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1.xml" ContentType="application/vnd.ms-excel.namedsheetview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2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namedSheetViews/namedSheetView2.xml" ContentType="application/vnd.ms-excel.namedsheetviews+xml"/>
  <Override PartName="/xl/tables/table3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namedSheetViews/namedSheetView3.xml" ContentType="application/vnd.ms-excel.namedsheetviews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5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namedSheetViews/namedSheetView4.xml" ContentType="application/vnd.ms-excel.namedsheetview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pivotTables/pivotTable5.xml" ContentType="application/vnd.openxmlformats-officedocument.spreadsheetml.pivotTable+xml"/>
  <Override PartName="/xl/tables/table6.xml" ContentType="application/vnd.openxmlformats-officedocument.spreadsheetml.table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tables/table7.xml" ContentType="application/vnd.openxmlformats-officedocument.spreadsheetml.table+xml"/>
  <Override PartName="/xl/queryTables/queryTable1.xml" ContentType="application/vnd.openxmlformats-officedocument.spreadsheetml.queryTable+xml"/>
  <Override PartName="/xl/tables/table8.xml" ContentType="application/vnd.openxmlformats-officedocument.spreadsheetml.table+xml"/>
  <Override PartName="/xl/queryTables/queryTable2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nan2.shao\Downloads\"/>
    </mc:Choice>
  </mc:AlternateContent>
  <xr:revisionPtr revIDLastSave="0" documentId="13_ncr:1_{A62B754B-F64F-4B3B-B37F-E96807581632}" xr6:coauthVersionLast="47" xr6:coauthVersionMax="47" xr10:uidLastSave="{00000000-0000-0000-0000-000000000000}"/>
  <bookViews>
    <workbookView xWindow="28690" yWindow="-110" windowWidth="29020" windowHeight="17620" tabRatio="815" firstSheet="2" activeTab="3" xr2:uid="{00000000-000D-0000-FFFF-FFFF00000000}"/>
  </bookViews>
  <sheets>
    <sheet name="H1-2026 PV DATA" sheetId="148" state="hidden" r:id="rId1"/>
    <sheet name="H2-2025 PV DATA" sheetId="105" state="hidden" r:id="rId2"/>
    <sheet name="CT capacity tracker" sheetId="122" r:id="rId3"/>
    <sheet name="PV SUPPLY DATA" sheetId="3" r:id="rId4"/>
    <sheet name="ESS SUPPLY DATA" sheetId="70" r:id="rId5"/>
    <sheet name="CT tracker site" sheetId="129" r:id="rId6"/>
    <sheet name="Carole - Sales Requests" sheetId="66" r:id="rId7"/>
    <sheet name="New Ark data" sheetId="137" r:id="rId8"/>
    <sheet name="Sheet3" sheetId="130" r:id="rId9"/>
    <sheet name="Vessel" sheetId="139" r:id="rId10"/>
    <sheet name="ESS ATP JB" sheetId="118" r:id="rId11"/>
    <sheet name="H1-2025 PV DATA" sheetId="69" state="hidden" r:id="rId12"/>
    <sheet name="SAMPLES &amp; SPARE PARTS" sheetId="109" r:id="rId13"/>
    <sheet name="Sheet2" sheetId="124" state="hidden" r:id="rId14"/>
    <sheet name="Diane - MDS " sheetId="80" r:id="rId15"/>
    <sheet name="Priority Level" sheetId="91" r:id="rId16"/>
    <sheet name="Product Spec" sheetId="86" r:id="rId17"/>
    <sheet name="PO Check" sheetId="147" r:id="rId18"/>
    <sheet name="Total Stock" sheetId="145" r:id="rId19"/>
    <sheet name="Assumption ATP" sheetId="47" r:id="rId20"/>
    <sheet name="Sheet4" sheetId="150" r:id="rId21"/>
  </sheets>
  <definedNames>
    <definedName name="_xlnm._FilterDatabase" localSheetId="19" hidden="1">'Assumption ATP'!#REF!</definedName>
    <definedName name="_xlnm._FilterDatabase" localSheetId="2" hidden="1">'CT capacity tracker'!$A$1:$AP$142</definedName>
    <definedName name="_xlnm._FilterDatabase" localSheetId="4" hidden="1">'ESS SUPPLY DATA'!$AH$306:$AH$306</definedName>
    <definedName name="_xlnm._FilterDatabase" localSheetId="11" hidden="1">'H1-2025 PV DATA'!$A$3:$AQ$3</definedName>
    <definedName name="_xlnm._FilterDatabase" localSheetId="0" hidden="1">'H1-2026 PV DATA'!$A$1:$BH$500</definedName>
    <definedName name="_xlnm._FilterDatabase" localSheetId="1" hidden="1">'H2-2025 PV DATA'!$U$470:$U$470</definedName>
    <definedName name="_xlnm._FilterDatabase" localSheetId="3" hidden="1">'PV SUPPLY DATA'!$F$1433:$F$1433</definedName>
    <definedName name="_xlnm._FilterDatabase" localSheetId="12" hidden="1">'SAMPLES &amp; SPARE PARTS'!$A$1:$T$82</definedName>
    <definedName name="_xlnm._FilterDatabase" localSheetId="9" hidden="1">Vessel!$A$1:$I$270</definedName>
    <definedName name="date_end_horizon">DATE(2026,11,15)</definedName>
    <definedName name="ExternalData_1" localSheetId="18" hidden="1">'Total Stock'!$A$1:$V$181</definedName>
    <definedName name="ExternalData_2" localSheetId="17" hidden="1">'PO Check'!$A$1:$P$1403</definedName>
    <definedName name="fx_qty" localSheetId="1">SUMIFS('H2-2025 PV DATA'!A:A,'H2-2025 PV DATA'!$C:$C,'H2-2025 PV DATA'!$A1)</definedName>
    <definedName name="fx_qty">SUMIFS('PV SUPPLY DATA'!A:A,'PV SUPPLY DATA'!$C:$C,'PV SUPPLY DATA'!$A1)</definedName>
  </definedNames>
  <calcPr calcId="191028"/>
  <pivotCaches>
    <pivotCache cacheId="2" r:id="rId22"/>
    <pivotCache cacheId="70" r:id="rId23"/>
    <pivotCache cacheId="85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26" i="3" l="1" a="1"/>
  <c r="F1426" i="3" s="1"/>
  <c r="F1425" i="3" a="1"/>
  <c r="F1425" i="3" s="1"/>
  <c r="F1424" i="3" a="1"/>
  <c r="F1424" i="3" s="1"/>
  <c r="F1423" i="3" a="1"/>
  <c r="F1423" i="3" s="1"/>
  <c r="F1422" i="3" a="1"/>
  <c r="F1422" i="3" s="1"/>
  <c r="F1421" i="3" a="1"/>
  <c r="F1421" i="3" s="1"/>
  <c r="F1420" i="3" a="1"/>
  <c r="F1420" i="3" s="1"/>
  <c r="F1419" i="3" a="1"/>
  <c r="F1419" i="3" s="1"/>
  <c r="F1418" i="3" a="1"/>
  <c r="F1418" i="3" s="1"/>
  <c r="AD26" i="122"/>
  <c r="AM1349" i="3"/>
  <c r="AN1349" i="3"/>
  <c r="Z1349" i="3" s="1"/>
  <c r="U1349" i="3"/>
  <c r="F1349" i="3" a="1"/>
  <c r="AX1349" i="3"/>
  <c r="AY1349" i="3" s="1"/>
  <c r="BH1349" i="3"/>
  <c r="BG1349" i="3"/>
  <c r="BF1349" i="3"/>
  <c r="BE1349" i="3"/>
  <c r="AZ1349" i="3"/>
  <c r="AC1349" i="3"/>
  <c r="S1349" i="3"/>
  <c r="R1349" i="3"/>
  <c r="C1349" i="3"/>
  <c r="U1222" i="3"/>
  <c r="U1367" i="3"/>
  <c r="BH1367" i="3"/>
  <c r="BG1367" i="3"/>
  <c r="BF1367" i="3"/>
  <c r="BE1367" i="3"/>
  <c r="AZ1367" i="3"/>
  <c r="AX1367" i="3"/>
  <c r="AY1367" i="3" s="1"/>
  <c r="AW1367" i="3" a="1"/>
  <c r="AU1367" i="3"/>
  <c r="AC1367" i="3"/>
  <c r="Z1367" i="3"/>
  <c r="S1367" i="3"/>
  <c r="R1367" i="3"/>
  <c r="F1367" i="3" a="1"/>
  <c r="C1367" i="3"/>
  <c r="U1374" i="3"/>
  <c r="U1372" i="3"/>
  <c r="U1356" i="3"/>
  <c r="U1362" i="3"/>
  <c r="U1360" i="3"/>
  <c r="U1359" i="3"/>
  <c r="U1369" i="3"/>
  <c r="U1321" i="3"/>
  <c r="U1322" i="3"/>
  <c r="V1322" i="3" s="1"/>
  <c r="AW1322" i="3" a="1"/>
  <c r="F1322" i="3" a="1"/>
  <c r="AX1322" i="3"/>
  <c r="AY1322" i="3" s="1"/>
  <c r="Z1322" i="3"/>
  <c r="BH1322" i="3"/>
  <c r="BG1322" i="3"/>
  <c r="BF1322" i="3"/>
  <c r="BE1322" i="3"/>
  <c r="AZ1322" i="3"/>
  <c r="AC1322" i="3"/>
  <c r="W1322" i="3"/>
  <c r="S1322" i="3"/>
  <c r="R1322" i="3"/>
  <c r="C1322" i="3"/>
  <c r="U1208" i="3"/>
  <c r="AN1222" i="3"/>
  <c r="AM1222" i="3"/>
  <c r="AN1220" i="3"/>
  <c r="AM1220" i="3"/>
  <c r="AN1219" i="3"/>
  <c r="AM1219" i="3"/>
  <c r="AN1218" i="3"/>
  <c r="AW1218" i="3" s="1" a="1"/>
  <c r="AM1218" i="3"/>
  <c r="AN1215" i="3"/>
  <c r="AM1215" i="3"/>
  <c r="AN1214" i="3"/>
  <c r="AM1214" i="3"/>
  <c r="AN1213" i="3"/>
  <c r="AM1213" i="3"/>
  <c r="AN1212" i="3"/>
  <c r="AM1212" i="3"/>
  <c r="AN1211" i="3"/>
  <c r="AM1211" i="3"/>
  <c r="AN1210" i="3"/>
  <c r="AM1210" i="3"/>
  <c r="AN1209" i="3"/>
  <c r="AM1209" i="3"/>
  <c r="AN1208" i="3"/>
  <c r="AM1208" i="3"/>
  <c r="AN1207" i="3"/>
  <c r="AM1207" i="3"/>
  <c r="AN1203" i="3"/>
  <c r="AM1203" i="3"/>
  <c r="AN1202" i="3"/>
  <c r="AM1202" i="3"/>
  <c r="AN1201" i="3"/>
  <c r="AM1201" i="3"/>
  <c r="AN1200" i="3"/>
  <c r="AN1199" i="3"/>
  <c r="AM1199" i="3"/>
  <c r="AN1198" i="3"/>
  <c r="AM1198" i="3"/>
  <c r="AN1197" i="3"/>
  <c r="AM1197" i="3"/>
  <c r="AN1196" i="3"/>
  <c r="AM1196" i="3"/>
  <c r="AN1195" i="3"/>
  <c r="AM1195" i="3"/>
  <c r="AN1194" i="3"/>
  <c r="AM1194" i="3"/>
  <c r="AN1193" i="3"/>
  <c r="AM1193" i="3"/>
  <c r="AN1192" i="3"/>
  <c r="AM1192" i="3"/>
  <c r="AN1191" i="3"/>
  <c r="AM1191" i="3"/>
  <c r="AN1190" i="3"/>
  <c r="AM1190" i="3"/>
  <c r="AN1189" i="3"/>
  <c r="AM1189" i="3"/>
  <c r="AN1188" i="3"/>
  <c r="AM1188" i="3"/>
  <c r="AN1187" i="3"/>
  <c r="AM1187" i="3"/>
  <c r="AN1186" i="3"/>
  <c r="AM1186" i="3"/>
  <c r="AN1185" i="3"/>
  <c r="AM1185" i="3"/>
  <c r="AN1184" i="3"/>
  <c r="AM1184" i="3"/>
  <c r="AN1183" i="3"/>
  <c r="AM1183" i="3"/>
  <c r="AN1182" i="3"/>
  <c r="AM1182" i="3"/>
  <c r="AN1181" i="3"/>
  <c r="AM1181" i="3"/>
  <c r="AN1180" i="3"/>
  <c r="AM1180" i="3"/>
  <c r="AN1179" i="3"/>
  <c r="AM1179" i="3"/>
  <c r="AN1178" i="3"/>
  <c r="AM1178" i="3"/>
  <c r="AN1177" i="3"/>
  <c r="AM1177" i="3"/>
  <c r="AN1176" i="3"/>
  <c r="AM1176" i="3"/>
  <c r="AN1175" i="3"/>
  <c r="AM1175" i="3"/>
  <c r="AN1174" i="3"/>
  <c r="AM1174" i="3"/>
  <c r="AN1173" i="3"/>
  <c r="AM1173" i="3"/>
  <c r="AN1172" i="3"/>
  <c r="AM1172" i="3"/>
  <c r="AN1171" i="3"/>
  <c r="AM1171" i="3"/>
  <c r="AN1170" i="3"/>
  <c r="AN1169" i="3"/>
  <c r="AM1169" i="3"/>
  <c r="AN1168" i="3"/>
  <c r="AM1168" i="3"/>
  <c r="AN1167" i="3"/>
  <c r="AM1167" i="3"/>
  <c r="AN1166" i="3"/>
  <c r="AM1166" i="3"/>
  <c r="AN1165" i="3"/>
  <c r="AM1165" i="3"/>
  <c r="AN1164" i="3"/>
  <c r="AM1164" i="3"/>
  <c r="AN1163" i="3"/>
  <c r="AM1163" i="3"/>
  <c r="AN1162" i="3"/>
  <c r="AM1162" i="3"/>
  <c r="AN1161" i="3"/>
  <c r="AM1161" i="3"/>
  <c r="AN1160" i="3"/>
  <c r="AM1160" i="3"/>
  <c r="AN1159" i="3"/>
  <c r="AM1159" i="3"/>
  <c r="AN1158" i="3"/>
  <c r="AM1158" i="3"/>
  <c r="AN1157" i="3"/>
  <c r="AM1157" i="3"/>
  <c r="AN1156" i="3"/>
  <c r="AM1156" i="3"/>
  <c r="AN1155" i="3"/>
  <c r="AM1155" i="3"/>
  <c r="AN1153" i="3"/>
  <c r="AM1153" i="3"/>
  <c r="AN1152" i="3"/>
  <c r="AM1152" i="3"/>
  <c r="AN1151" i="3"/>
  <c r="AM1151" i="3"/>
  <c r="AN1150" i="3"/>
  <c r="AM1150" i="3"/>
  <c r="AN1149" i="3"/>
  <c r="AM1149" i="3"/>
  <c r="AN1148" i="3"/>
  <c r="AM1148" i="3"/>
  <c r="AN1147" i="3"/>
  <c r="AM1147" i="3"/>
  <c r="AN1146" i="3"/>
  <c r="AM1146" i="3"/>
  <c r="AN1145" i="3"/>
  <c r="AM1145" i="3"/>
  <c r="AN1144" i="3"/>
  <c r="AM1144" i="3"/>
  <c r="AN1143" i="3"/>
  <c r="AM1143" i="3"/>
  <c r="AN1142" i="3"/>
  <c r="AM1142" i="3"/>
  <c r="AN1141" i="3"/>
  <c r="AM1141" i="3"/>
  <c r="AN1140" i="3"/>
  <c r="AM1140" i="3"/>
  <c r="AN1139" i="3"/>
  <c r="AM1139" i="3"/>
  <c r="AN1138" i="3"/>
  <c r="AM1138" i="3"/>
  <c r="AN1137" i="3"/>
  <c r="AM1137" i="3"/>
  <c r="AN1136" i="3"/>
  <c r="AM1136" i="3"/>
  <c r="AN1135" i="3"/>
  <c r="AM1135" i="3"/>
  <c r="AN1134" i="3"/>
  <c r="AM1134" i="3"/>
  <c r="AN1133" i="3"/>
  <c r="AM1133" i="3"/>
  <c r="AN1132" i="3"/>
  <c r="AM1132" i="3"/>
  <c r="AN1131" i="3"/>
  <c r="AM1131" i="3"/>
  <c r="AN1130" i="3"/>
  <c r="AM1130" i="3"/>
  <c r="AN1129" i="3"/>
  <c r="AM1129" i="3"/>
  <c r="AN1128" i="3"/>
  <c r="AM1128" i="3"/>
  <c r="AN1127" i="3"/>
  <c r="AM1127" i="3"/>
  <c r="AN1126" i="3"/>
  <c r="AM1126" i="3"/>
  <c r="AN1125" i="3"/>
  <c r="AM1125" i="3"/>
  <c r="AN1124" i="3"/>
  <c r="AM1124" i="3"/>
  <c r="AM1011" i="3"/>
  <c r="AM977" i="3"/>
  <c r="X1424" i="3"/>
  <c r="BH1426" i="3"/>
  <c r="BH1425" i="3"/>
  <c r="BH1424" i="3"/>
  <c r="BH1423" i="3"/>
  <c r="BH1422" i="3"/>
  <c r="BH1421" i="3"/>
  <c r="BH1420" i="3"/>
  <c r="BH1419" i="3"/>
  <c r="BG1426" i="3"/>
  <c r="BG1425" i="3"/>
  <c r="BG1424" i="3"/>
  <c r="BG1423" i="3"/>
  <c r="BG1422" i="3"/>
  <c r="BG1421" i="3"/>
  <c r="BG1420" i="3"/>
  <c r="BG1419" i="3"/>
  <c r="BF1426" i="3"/>
  <c r="X1426" i="3" s="1"/>
  <c r="BF1425" i="3"/>
  <c r="X1425" i="3" s="1"/>
  <c r="BF1423" i="3"/>
  <c r="X1423" i="3" s="1"/>
  <c r="BF1422" i="3"/>
  <c r="X1422" i="3" s="1"/>
  <c r="BF1421" i="3"/>
  <c r="X1421" i="3" s="1"/>
  <c r="BF1420" i="3"/>
  <c r="X1420" i="3" s="1"/>
  <c r="BF1419" i="3"/>
  <c r="X1419" i="3" s="1"/>
  <c r="BE1426" i="3"/>
  <c r="BE1425" i="3"/>
  <c r="W1425" i="3" s="1"/>
  <c r="BE1423" i="3"/>
  <c r="BE1422" i="3"/>
  <c r="W1422" i="3" s="1"/>
  <c r="BE1421" i="3"/>
  <c r="BE1420" i="3"/>
  <c r="BE1419" i="3"/>
  <c r="W1419" i="3" s="1"/>
  <c r="AZ1426" i="3"/>
  <c r="AZ1425" i="3"/>
  <c r="AZ1424" i="3"/>
  <c r="AZ1423" i="3"/>
  <c r="AZ1422" i="3"/>
  <c r="AZ1421" i="3"/>
  <c r="AZ1420" i="3"/>
  <c r="AZ1419" i="3"/>
  <c r="AX1426" i="3"/>
  <c r="AY1426" i="3" s="1"/>
  <c r="AX1425" i="3"/>
  <c r="AY1425" i="3" s="1"/>
  <c r="AX1424" i="3"/>
  <c r="AY1424" i="3" s="1"/>
  <c r="AX1423" i="3"/>
  <c r="AY1423" i="3" s="1"/>
  <c r="AX1422" i="3"/>
  <c r="AY1422" i="3" s="1"/>
  <c r="AX1421" i="3"/>
  <c r="AY1421" i="3" s="1"/>
  <c r="AX1420" i="3"/>
  <c r="AY1420" i="3" s="1"/>
  <c r="AX1419" i="3"/>
  <c r="AY1419" i="3" s="1"/>
  <c r="AW1426" i="3" a="1"/>
  <c r="AW1425" i="3" a="1"/>
  <c r="AW1424" i="3" a="1"/>
  <c r="AW1423" i="3" a="1"/>
  <c r="AW1422" i="3" a="1"/>
  <c r="AW1421" i="3" a="1"/>
  <c r="AW1420" i="3" a="1"/>
  <c r="AW1419" i="3" a="1"/>
  <c r="AC1426" i="3"/>
  <c r="AC1425" i="3"/>
  <c r="AC1424" i="3"/>
  <c r="AC1423" i="3"/>
  <c r="AC1422" i="3"/>
  <c r="AC1421" i="3"/>
  <c r="AC1420" i="3"/>
  <c r="AC1419" i="3"/>
  <c r="Z1426" i="3"/>
  <c r="Z1425" i="3"/>
  <c r="Z1424" i="3"/>
  <c r="Z1423" i="3"/>
  <c r="Z1422" i="3"/>
  <c r="Z1421" i="3"/>
  <c r="Z1420" i="3"/>
  <c r="Z1419" i="3"/>
  <c r="W1426" i="3"/>
  <c r="W1424" i="3"/>
  <c r="W1423" i="3"/>
  <c r="W1421" i="3"/>
  <c r="W1420" i="3"/>
  <c r="V1426" i="3"/>
  <c r="V1425" i="3"/>
  <c r="V1424" i="3"/>
  <c r="V1423" i="3"/>
  <c r="V1422" i="3"/>
  <c r="V1421" i="3"/>
  <c r="V1420" i="3"/>
  <c r="V1419" i="3"/>
  <c r="S1426" i="3"/>
  <c r="S1425" i="3"/>
  <c r="S1423" i="3"/>
  <c r="S1422" i="3"/>
  <c r="S1421" i="3"/>
  <c r="S1420" i="3"/>
  <c r="S1419" i="3"/>
  <c r="R1426" i="3"/>
  <c r="R1425" i="3"/>
  <c r="R1423" i="3"/>
  <c r="R1422" i="3"/>
  <c r="R1421" i="3"/>
  <c r="R1420" i="3"/>
  <c r="R1419" i="3"/>
  <c r="C1426" i="3"/>
  <c r="C1425" i="3"/>
  <c r="C1424" i="3"/>
  <c r="C1423" i="3"/>
  <c r="C1422" i="3"/>
  <c r="C1421" i="3"/>
  <c r="C1420" i="3"/>
  <c r="C1419" i="3"/>
  <c r="C1418" i="3"/>
  <c r="R1418" i="3"/>
  <c r="S1418" i="3"/>
  <c r="V1418" i="3"/>
  <c r="Z1418" i="3"/>
  <c r="AC1418" i="3"/>
  <c r="AW1418" i="3" a="1"/>
  <c r="AX1418" i="3"/>
  <c r="AY1418" i="3"/>
  <c r="AZ1418" i="3"/>
  <c r="BE1418" i="3"/>
  <c r="W1418" i="3" s="1"/>
  <c r="BF1418" i="3"/>
  <c r="X1418" i="3" s="1"/>
  <c r="BG1418" i="3"/>
  <c r="BH1418" i="3"/>
  <c r="S1301" i="3"/>
  <c r="AC61" i="122"/>
  <c r="U1223" i="3"/>
  <c r="U1355" i="3"/>
  <c r="U1330" i="3"/>
  <c r="U1329" i="3"/>
  <c r="U1328" i="3"/>
  <c r="BH1330" i="3"/>
  <c r="BG1330" i="3"/>
  <c r="BE1330" i="3"/>
  <c r="AZ1330" i="3"/>
  <c r="AX1330" i="3"/>
  <c r="AY1330" i="3" s="1"/>
  <c r="AW1330" i="3" a="1"/>
  <c r="AC1330" i="3"/>
  <c r="Z1330" i="3"/>
  <c r="S1330" i="3"/>
  <c r="R1330" i="3"/>
  <c r="F1330" i="3" a="1"/>
  <c r="C1330" i="3"/>
  <c r="BH1328" i="3"/>
  <c r="BG1328" i="3"/>
  <c r="BE1328" i="3"/>
  <c r="AZ1328" i="3"/>
  <c r="AX1328" i="3"/>
  <c r="AY1328" i="3" s="1"/>
  <c r="AW1328" i="3" a="1"/>
  <c r="AC1328" i="3"/>
  <c r="Z1328" i="3"/>
  <c r="S1328" i="3"/>
  <c r="R1328" i="3"/>
  <c r="F1328" i="3" a="1"/>
  <c r="C1328" i="3"/>
  <c r="BH1339" i="3"/>
  <c r="BG1339" i="3"/>
  <c r="AZ1339" i="3"/>
  <c r="AX1339" i="3"/>
  <c r="AY1339" i="3" s="1"/>
  <c r="AW1339" i="3" a="1"/>
  <c r="AC1339" i="3"/>
  <c r="Z1339" i="3"/>
  <c r="U1339" i="3"/>
  <c r="S1339" i="3"/>
  <c r="R1339" i="3"/>
  <c r="F1339" i="3" a="1"/>
  <c r="C1339" i="3"/>
  <c r="BH1338" i="3"/>
  <c r="BG1338" i="3"/>
  <c r="AZ1338" i="3"/>
  <c r="AX1338" i="3"/>
  <c r="AY1338" i="3" s="1"/>
  <c r="AW1338" i="3" a="1"/>
  <c r="AC1338" i="3"/>
  <c r="Z1338" i="3"/>
  <c r="U1338" i="3"/>
  <c r="S1338" i="3"/>
  <c r="R1338" i="3"/>
  <c r="F1338" i="3" a="1"/>
  <c r="C1338" i="3"/>
  <c r="U1335" i="3"/>
  <c r="BH1335" i="3"/>
  <c r="BG1335" i="3"/>
  <c r="BE1335" i="3"/>
  <c r="AZ1335" i="3"/>
  <c r="AX1335" i="3"/>
  <c r="AY1335" i="3" s="1"/>
  <c r="AW1335" i="3" a="1"/>
  <c r="AC1335" i="3"/>
  <c r="Z1335" i="3"/>
  <c r="S1335" i="3"/>
  <c r="R1335" i="3"/>
  <c r="F1335" i="3" a="1"/>
  <c r="C1335" i="3"/>
  <c r="U1340" i="3"/>
  <c r="U1342" i="3"/>
  <c r="U1341" i="3"/>
  <c r="BH1342" i="3"/>
  <c r="BG1342" i="3"/>
  <c r="AZ1342" i="3"/>
  <c r="AX1342" i="3"/>
  <c r="AY1342" i="3" s="1"/>
  <c r="AW1342" i="3" a="1"/>
  <c r="AC1342" i="3"/>
  <c r="Z1342" i="3"/>
  <c r="S1342" i="3"/>
  <c r="R1342" i="3"/>
  <c r="F1342" i="3" a="1"/>
  <c r="C1342" i="3"/>
  <c r="U1337" i="3"/>
  <c r="U1334" i="3"/>
  <c r="U1333" i="3"/>
  <c r="U1331" i="3"/>
  <c r="U1332" i="3"/>
  <c r="Z1210" i="3"/>
  <c r="AC1210" i="3"/>
  <c r="AC1212" i="3"/>
  <c r="AC1213" i="3"/>
  <c r="AC1214" i="3"/>
  <c r="AJ1214" i="3"/>
  <c r="AK1214" i="3"/>
  <c r="AJ1213" i="3"/>
  <c r="AK1213" i="3"/>
  <c r="AJ1209" i="3"/>
  <c r="AK1209" i="3"/>
  <c r="AJ1207" i="3"/>
  <c r="AK1207" i="3"/>
  <c r="AJ1215" i="3"/>
  <c r="AK1215" i="3"/>
  <c r="AJ1203" i="3"/>
  <c r="AK1203" i="3"/>
  <c r="AJ1182" i="3"/>
  <c r="AK1182" i="3"/>
  <c r="AJ1222" i="3"/>
  <c r="AK1222" i="3"/>
  <c r="Z1222" i="3" s="1"/>
  <c r="AJ1220" i="3"/>
  <c r="AK1220" i="3"/>
  <c r="Z1220" i="3" s="1"/>
  <c r="AJ1212" i="3"/>
  <c r="AK1212" i="3"/>
  <c r="Z1212" i="3" s="1"/>
  <c r="AJ1208" i="3"/>
  <c r="AK1208" i="3"/>
  <c r="Z1208" i="3" s="1"/>
  <c r="AJ1165" i="3"/>
  <c r="AK1165" i="3"/>
  <c r="AJ1184" i="3"/>
  <c r="AK1184" i="3"/>
  <c r="AK1218" i="3"/>
  <c r="AU1218" i="3" s="1"/>
  <c r="AJ1219" i="3"/>
  <c r="AK1219" i="3"/>
  <c r="AU1219" i="3" s="1"/>
  <c r="AJ1201" i="3"/>
  <c r="AK1201" i="3"/>
  <c r="AJ1164" i="3"/>
  <c r="AK1164" i="3"/>
  <c r="AJ1170" i="3"/>
  <c r="AK1170" i="3"/>
  <c r="AJ1171" i="3"/>
  <c r="AK1171" i="3"/>
  <c r="AJ1172" i="3"/>
  <c r="AK1172" i="3"/>
  <c r="AJ1173" i="3"/>
  <c r="AK1173" i="3"/>
  <c r="AJ1174" i="3"/>
  <c r="AK1174" i="3"/>
  <c r="Z1174" i="3" s="1"/>
  <c r="AJ1175" i="3"/>
  <c r="AK1175" i="3"/>
  <c r="AJ1176" i="3"/>
  <c r="AK1176" i="3"/>
  <c r="AJ1177" i="3"/>
  <c r="AK1177" i="3"/>
  <c r="AJ1178" i="3"/>
  <c r="AK1178" i="3"/>
  <c r="AJ1179" i="3"/>
  <c r="AK1179" i="3"/>
  <c r="AJ1193" i="3"/>
  <c r="AK1193" i="3"/>
  <c r="AJ1194" i="3"/>
  <c r="AK1194" i="3"/>
  <c r="AJ1195" i="3"/>
  <c r="AK1195" i="3"/>
  <c r="AJ1196" i="3"/>
  <c r="AK1196" i="3"/>
  <c r="AJ1197" i="3"/>
  <c r="AK1197" i="3"/>
  <c r="AJ1198" i="3"/>
  <c r="AK1198" i="3"/>
  <c r="AJ1199" i="3"/>
  <c r="AK1199" i="3"/>
  <c r="AJ1200" i="3"/>
  <c r="AK1200" i="3"/>
  <c r="AJ1180" i="3"/>
  <c r="AK1180" i="3"/>
  <c r="AJ1181" i="3"/>
  <c r="AK1181" i="3"/>
  <c r="AJ1161" i="3"/>
  <c r="AJ1160" i="3"/>
  <c r="AK1160" i="3"/>
  <c r="U1219" i="3"/>
  <c r="U1218" i="3"/>
  <c r="AW1219" i="3" a="1"/>
  <c r="F1219" i="3" a="1"/>
  <c r="AX1219" i="3"/>
  <c r="AY1219" i="3" s="1"/>
  <c r="F1218" i="3" a="1"/>
  <c r="AX1218" i="3"/>
  <c r="AY1218" i="3" s="1"/>
  <c r="BH1218" i="3"/>
  <c r="BG1218" i="3"/>
  <c r="BF1218" i="3"/>
  <c r="BE1218" i="3"/>
  <c r="W1218" i="3" s="1"/>
  <c r="AZ1218" i="3"/>
  <c r="AC1218" i="3"/>
  <c r="V1218" i="3"/>
  <c r="S1218" i="3"/>
  <c r="R1218" i="3"/>
  <c r="C1218" i="3"/>
  <c r="BH1219" i="3"/>
  <c r="BG1219" i="3"/>
  <c r="BF1219" i="3"/>
  <c r="BE1219" i="3"/>
  <c r="W1219" i="3" s="1"/>
  <c r="AZ1219" i="3"/>
  <c r="AC1219" i="3"/>
  <c r="V1219" i="3"/>
  <c r="S1219" i="3"/>
  <c r="R1219" i="3"/>
  <c r="C1219" i="3"/>
  <c r="AF7" i="122"/>
  <c r="U1215" i="3"/>
  <c r="U1353" i="3"/>
  <c r="U1314" i="3"/>
  <c r="U1212" i="3"/>
  <c r="U1361" i="3"/>
  <c r="BH1361" i="3"/>
  <c r="BG1361" i="3"/>
  <c r="BF1361" i="3"/>
  <c r="BE1361" i="3"/>
  <c r="AZ1361" i="3"/>
  <c r="AX1361" i="3"/>
  <c r="AY1361" i="3" s="1"/>
  <c r="AW1361" i="3" a="1"/>
  <c r="AU1361" i="3"/>
  <c r="AC1361" i="3"/>
  <c r="Z1361" i="3"/>
  <c r="S1361" i="3"/>
  <c r="R1361" i="3"/>
  <c r="C1361" i="3"/>
  <c r="F1360" i="3" a="1"/>
  <c r="F1359" i="3" a="1"/>
  <c r="BH1360" i="3"/>
  <c r="BG1360" i="3"/>
  <c r="BF1360" i="3"/>
  <c r="BE1360" i="3"/>
  <c r="AZ1360" i="3"/>
  <c r="AX1360" i="3"/>
  <c r="AY1360" i="3" s="1"/>
  <c r="AW1360" i="3" a="1"/>
  <c r="AU1360" i="3"/>
  <c r="AC1360" i="3"/>
  <c r="Z1360" i="3"/>
  <c r="S1360" i="3"/>
  <c r="R1360" i="3"/>
  <c r="C1360" i="3"/>
  <c r="BH1359" i="3"/>
  <c r="BG1359" i="3"/>
  <c r="BF1359" i="3"/>
  <c r="BE1359" i="3"/>
  <c r="AZ1359" i="3"/>
  <c r="AX1359" i="3"/>
  <c r="AY1359" i="3" s="1"/>
  <c r="AW1359" i="3" a="1"/>
  <c r="AU1359" i="3"/>
  <c r="AC1359" i="3"/>
  <c r="Z1359" i="3"/>
  <c r="S1359" i="3"/>
  <c r="R1359" i="3"/>
  <c r="C1359" i="3"/>
  <c r="F1358" i="3" a="1"/>
  <c r="F1357" i="3" a="1"/>
  <c r="F1356" i="3" a="1"/>
  <c r="F1355" i="3" a="1"/>
  <c r="U1358" i="3"/>
  <c r="U1357" i="3"/>
  <c r="BH1358" i="3"/>
  <c r="BG1358" i="3"/>
  <c r="BF1358" i="3"/>
  <c r="BE1358" i="3"/>
  <c r="AZ1358" i="3"/>
  <c r="AX1358" i="3"/>
  <c r="AY1358" i="3" s="1"/>
  <c r="AW1358" i="3" a="1"/>
  <c r="AU1358" i="3"/>
  <c r="AC1358" i="3"/>
  <c r="Z1358" i="3"/>
  <c r="S1358" i="3"/>
  <c r="R1358" i="3"/>
  <c r="C1358" i="3"/>
  <c r="BH1357" i="3"/>
  <c r="BG1357" i="3"/>
  <c r="BF1357" i="3"/>
  <c r="BE1357" i="3"/>
  <c r="AZ1357" i="3"/>
  <c r="AX1357" i="3"/>
  <c r="AY1357" i="3" s="1"/>
  <c r="AW1357" i="3" a="1"/>
  <c r="AU1357" i="3"/>
  <c r="AC1357" i="3"/>
  <c r="Z1357" i="3"/>
  <c r="S1357" i="3"/>
  <c r="R1357" i="3"/>
  <c r="C1357" i="3"/>
  <c r="BH1356" i="3"/>
  <c r="BG1356" i="3"/>
  <c r="BF1356" i="3"/>
  <c r="BE1356" i="3"/>
  <c r="AZ1356" i="3"/>
  <c r="AX1356" i="3"/>
  <c r="AY1356" i="3" s="1"/>
  <c r="AW1356" i="3" a="1"/>
  <c r="AU1356" i="3"/>
  <c r="AC1356" i="3"/>
  <c r="Z1356" i="3"/>
  <c r="S1356" i="3"/>
  <c r="R1356" i="3"/>
  <c r="C1356" i="3"/>
  <c r="BH1355" i="3"/>
  <c r="BG1355" i="3"/>
  <c r="BF1355" i="3"/>
  <c r="BE1355" i="3"/>
  <c r="AZ1355" i="3"/>
  <c r="AX1355" i="3"/>
  <c r="AY1355" i="3" s="1"/>
  <c r="AW1355" i="3" a="1"/>
  <c r="AU1355" i="3"/>
  <c r="AC1355" i="3"/>
  <c r="Z1355" i="3"/>
  <c r="S1355" i="3"/>
  <c r="R1355" i="3"/>
  <c r="C1355" i="3"/>
  <c r="F1394" i="3" a="1"/>
  <c r="F1393" i="3" a="1"/>
  <c r="F1392" i="3" a="1"/>
  <c r="F1391" i="3" a="1"/>
  <c r="F1390" i="3" a="1"/>
  <c r="U1393" i="3"/>
  <c r="U1394" i="3"/>
  <c r="U1392" i="3"/>
  <c r="U1391" i="3"/>
  <c r="U1390" i="3"/>
  <c r="BH1394" i="3"/>
  <c r="BG1394" i="3"/>
  <c r="BF1394" i="3"/>
  <c r="BE1394" i="3"/>
  <c r="AZ1394" i="3"/>
  <c r="AX1394" i="3"/>
  <c r="AY1394" i="3" s="1"/>
  <c r="AW1394" i="3" a="1"/>
  <c r="AC1394" i="3"/>
  <c r="Z1394" i="3"/>
  <c r="S1394" i="3"/>
  <c r="R1394" i="3"/>
  <c r="C1394" i="3"/>
  <c r="BH1393" i="3"/>
  <c r="BG1393" i="3"/>
  <c r="BF1393" i="3"/>
  <c r="BE1393" i="3"/>
  <c r="AZ1393" i="3"/>
  <c r="AX1393" i="3"/>
  <c r="AY1393" i="3" s="1"/>
  <c r="AW1393" i="3" a="1"/>
  <c r="AC1393" i="3"/>
  <c r="Z1393" i="3"/>
  <c r="S1393" i="3"/>
  <c r="R1393" i="3"/>
  <c r="C1393" i="3"/>
  <c r="BH1392" i="3"/>
  <c r="BG1392" i="3"/>
  <c r="BF1392" i="3"/>
  <c r="BE1392" i="3"/>
  <c r="AZ1392" i="3"/>
  <c r="AX1392" i="3"/>
  <c r="AY1392" i="3" s="1"/>
  <c r="AW1392" i="3" a="1"/>
  <c r="AC1392" i="3"/>
  <c r="Z1392" i="3"/>
  <c r="S1392" i="3"/>
  <c r="R1392" i="3"/>
  <c r="C1392" i="3"/>
  <c r="BH1391" i="3"/>
  <c r="BG1391" i="3"/>
  <c r="BF1391" i="3"/>
  <c r="BE1391" i="3"/>
  <c r="AZ1391" i="3"/>
  <c r="AX1391" i="3"/>
  <c r="AY1391" i="3" s="1"/>
  <c r="AW1391" i="3" a="1"/>
  <c r="AC1391" i="3"/>
  <c r="Z1391" i="3"/>
  <c r="S1391" i="3"/>
  <c r="R1391" i="3"/>
  <c r="C1391" i="3"/>
  <c r="BH1390" i="3"/>
  <c r="BG1390" i="3"/>
  <c r="BF1390" i="3"/>
  <c r="BE1390" i="3"/>
  <c r="AZ1390" i="3"/>
  <c r="AX1390" i="3"/>
  <c r="AY1390" i="3" s="1"/>
  <c r="AW1390" i="3" a="1"/>
  <c r="AC1390" i="3"/>
  <c r="Z1390" i="3"/>
  <c r="S1390" i="3"/>
  <c r="R1390" i="3"/>
  <c r="C1390" i="3"/>
  <c r="BH1319" i="3"/>
  <c r="BG1319" i="3"/>
  <c r="BF1319" i="3"/>
  <c r="BE1319" i="3"/>
  <c r="AZ1319" i="3"/>
  <c r="AX1319" i="3"/>
  <c r="AY1319" i="3" s="1"/>
  <c r="AN1319" i="3"/>
  <c r="AW1319" i="3" s="1" a="1"/>
  <c r="AK1319" i="3"/>
  <c r="AJ1319" i="3"/>
  <c r="AC1319" i="3"/>
  <c r="U1319" i="3"/>
  <c r="S1319" i="3"/>
  <c r="R1319" i="3"/>
  <c r="F1319" i="3" a="1"/>
  <c r="C1319" i="3"/>
  <c r="U1318" i="3"/>
  <c r="U1317" i="3"/>
  <c r="U1194" i="3"/>
  <c r="BH1362" i="3"/>
  <c r="BG1362" i="3"/>
  <c r="BF1362" i="3"/>
  <c r="BE1362" i="3"/>
  <c r="AZ1362" i="3"/>
  <c r="AX1362" i="3"/>
  <c r="AY1362" i="3" s="1"/>
  <c r="AW1362" i="3" a="1"/>
  <c r="AU1362" i="3"/>
  <c r="AC1362" i="3"/>
  <c r="Z1362" i="3"/>
  <c r="S1362" i="3"/>
  <c r="R1362" i="3"/>
  <c r="F1362" i="3" a="1"/>
  <c r="C1362" i="3"/>
  <c r="BH1337" i="3"/>
  <c r="BG1337" i="3"/>
  <c r="AZ1337" i="3"/>
  <c r="AX1337" i="3"/>
  <c r="AY1337" i="3" s="1"/>
  <c r="AW1337" i="3" a="1"/>
  <c r="AC1337" i="3"/>
  <c r="Z1337" i="3"/>
  <c r="S1337" i="3"/>
  <c r="R1337" i="3"/>
  <c r="F1337" i="3" a="1"/>
  <c r="C1337" i="3"/>
  <c r="BH1329" i="3"/>
  <c r="BG1329" i="3"/>
  <c r="BE1329" i="3"/>
  <c r="AZ1329" i="3"/>
  <c r="AX1329" i="3"/>
  <c r="AY1329" i="3" s="1"/>
  <c r="AW1329" i="3" a="1"/>
  <c r="AC1329" i="3"/>
  <c r="Z1329" i="3"/>
  <c r="S1329" i="3"/>
  <c r="R1329" i="3"/>
  <c r="F1329" i="3" a="1"/>
  <c r="C1329" i="3"/>
  <c r="AE7" i="122"/>
  <c r="AD7" i="122"/>
  <c r="F1417" i="3" a="1"/>
  <c r="F1416" i="3" a="1"/>
  <c r="F1415" i="3" a="1"/>
  <c r="F1414" i="3" a="1"/>
  <c r="F1413" i="3" a="1"/>
  <c r="F1412" i="3" a="1"/>
  <c r="AC7" i="122"/>
  <c r="AB7" i="122"/>
  <c r="BH1412" i="3"/>
  <c r="BH1413" i="3"/>
  <c r="BH1414" i="3"/>
  <c r="BH1415" i="3"/>
  <c r="BH1416" i="3"/>
  <c r="BH1417" i="3"/>
  <c r="BG1412" i="3"/>
  <c r="BG1413" i="3"/>
  <c r="BG1414" i="3"/>
  <c r="BG1415" i="3"/>
  <c r="BG1416" i="3"/>
  <c r="BG1417" i="3"/>
  <c r="X1412" i="3"/>
  <c r="X1413" i="3"/>
  <c r="X1414" i="3"/>
  <c r="X1415" i="3"/>
  <c r="BF1416" i="3"/>
  <c r="X1416" i="3" s="1"/>
  <c r="BF1417" i="3"/>
  <c r="X1417" i="3" s="1"/>
  <c r="BE1416" i="3"/>
  <c r="W1416" i="3" s="1"/>
  <c r="BE1417" i="3"/>
  <c r="AZ1412" i="3"/>
  <c r="AZ1413" i="3"/>
  <c r="AZ1414" i="3"/>
  <c r="AZ1415" i="3"/>
  <c r="AZ1416" i="3"/>
  <c r="AZ1417" i="3"/>
  <c r="AX1412" i="3"/>
  <c r="AY1412" i="3" s="1"/>
  <c r="AX1413" i="3"/>
  <c r="AY1413" i="3" s="1"/>
  <c r="AX1414" i="3"/>
  <c r="AY1414" i="3" s="1"/>
  <c r="AX1415" i="3"/>
  <c r="AY1415" i="3" s="1"/>
  <c r="AX1416" i="3"/>
  <c r="AY1416" i="3" s="1"/>
  <c r="AX1417" i="3"/>
  <c r="AY1417" i="3" s="1"/>
  <c r="AW1417" i="3" a="1"/>
  <c r="AW1416" i="3" a="1"/>
  <c r="AW1415" i="3" a="1"/>
  <c r="AW1414" i="3" a="1"/>
  <c r="AW1413" i="3" a="1"/>
  <c r="AW1412" i="3" a="1"/>
  <c r="AC1412" i="3"/>
  <c r="AC1413" i="3"/>
  <c r="AC1414" i="3"/>
  <c r="AC1415" i="3"/>
  <c r="AC1416" i="3"/>
  <c r="AC1417" i="3"/>
  <c r="Z1412" i="3"/>
  <c r="Z1413" i="3"/>
  <c r="Z1414" i="3"/>
  <c r="Z1415" i="3"/>
  <c r="Z1416" i="3"/>
  <c r="Z1417" i="3"/>
  <c r="W1412" i="3"/>
  <c r="W1413" i="3"/>
  <c r="W1414" i="3"/>
  <c r="W1415" i="3"/>
  <c r="W1417" i="3"/>
  <c r="V1412" i="3"/>
  <c r="V1413" i="3"/>
  <c r="V1414" i="3"/>
  <c r="V1415" i="3"/>
  <c r="V1416" i="3"/>
  <c r="V1417" i="3"/>
  <c r="S1416" i="3"/>
  <c r="S1417" i="3"/>
  <c r="R1416" i="3"/>
  <c r="R1417" i="3"/>
  <c r="C1412" i="3"/>
  <c r="C1413" i="3"/>
  <c r="C1414" i="3"/>
  <c r="C1415" i="3"/>
  <c r="C1416" i="3"/>
  <c r="C1417" i="3"/>
  <c r="AU25" i="3"/>
  <c r="F1353" i="3" a="1"/>
  <c r="BH1353" i="3"/>
  <c r="BG1353" i="3"/>
  <c r="BF1353" i="3"/>
  <c r="BE1353" i="3"/>
  <c r="AZ1353" i="3"/>
  <c r="AX1353" i="3"/>
  <c r="AY1353" i="3" s="1"/>
  <c r="AW1353" i="3" a="1"/>
  <c r="AC1353" i="3"/>
  <c r="Z1353" i="3"/>
  <c r="S1353" i="3"/>
  <c r="R1353" i="3"/>
  <c r="C1353" i="3"/>
  <c r="AC137" i="122"/>
  <c r="AD137" i="122"/>
  <c r="AE137" i="122"/>
  <c r="AF137" i="122"/>
  <c r="AG137" i="122"/>
  <c r="AH137" i="122"/>
  <c r="AI137" i="122"/>
  <c r="AJ137" i="122"/>
  <c r="AC133" i="122"/>
  <c r="AD133" i="122"/>
  <c r="AE133" i="122"/>
  <c r="AF133" i="122"/>
  <c r="AG133" i="122"/>
  <c r="AH133" i="122"/>
  <c r="AI133" i="122"/>
  <c r="AJ133" i="122"/>
  <c r="AC129" i="122"/>
  <c r="AD129" i="122"/>
  <c r="AE129" i="122"/>
  <c r="AF129" i="122"/>
  <c r="AG129" i="122"/>
  <c r="AH129" i="122"/>
  <c r="AI129" i="122"/>
  <c r="AJ129" i="122"/>
  <c r="AC125" i="122"/>
  <c r="AD125" i="122"/>
  <c r="AD141" i="122" s="1"/>
  <c r="AE125" i="122"/>
  <c r="AF125" i="122"/>
  <c r="AG125" i="122"/>
  <c r="AG141" i="122" s="1"/>
  <c r="AH125" i="122"/>
  <c r="AI125" i="122"/>
  <c r="AI141" i="122" s="1"/>
  <c r="AJ125" i="122"/>
  <c r="AC117" i="122"/>
  <c r="AD117" i="122"/>
  <c r="AE117" i="122"/>
  <c r="AF117" i="122"/>
  <c r="AG117" i="122"/>
  <c r="AH117" i="122"/>
  <c r="AI117" i="122"/>
  <c r="AJ117" i="122"/>
  <c r="AC113" i="122"/>
  <c r="AD113" i="122"/>
  <c r="AE113" i="122"/>
  <c r="AF113" i="122"/>
  <c r="AG113" i="122"/>
  <c r="AH113" i="122"/>
  <c r="AI113" i="122"/>
  <c r="AJ113" i="122"/>
  <c r="AC109" i="122"/>
  <c r="AD109" i="122"/>
  <c r="AE109" i="122"/>
  <c r="AF109" i="122"/>
  <c r="AG109" i="122"/>
  <c r="AH109" i="122"/>
  <c r="AI109" i="122"/>
  <c r="AJ109" i="122"/>
  <c r="AC105" i="122"/>
  <c r="AD105" i="122"/>
  <c r="AE105" i="122"/>
  <c r="AF105" i="122"/>
  <c r="AG105" i="122"/>
  <c r="AG121" i="122" s="1"/>
  <c r="AH105" i="122"/>
  <c r="AH121" i="122" s="1"/>
  <c r="AI105" i="122"/>
  <c r="AI121" i="122" s="1"/>
  <c r="AJ105" i="122"/>
  <c r="AJ121" i="122" s="1"/>
  <c r="AC101" i="122"/>
  <c r="AC121" i="122" s="1"/>
  <c r="AD101" i="122"/>
  <c r="AE101" i="122"/>
  <c r="AF101" i="122"/>
  <c r="AF121" i="122" s="1"/>
  <c r="AG101" i="122"/>
  <c r="AH101" i="122"/>
  <c r="AI101" i="122"/>
  <c r="AJ101" i="122"/>
  <c r="AC91" i="122"/>
  <c r="AD91" i="122"/>
  <c r="AE91" i="122"/>
  <c r="AF91" i="122"/>
  <c r="AG91" i="122"/>
  <c r="AH91" i="122"/>
  <c r="AI91" i="122"/>
  <c r="AJ91" i="122"/>
  <c r="AC87" i="122"/>
  <c r="AD87" i="122"/>
  <c r="AE87" i="122"/>
  <c r="AF87" i="122"/>
  <c r="AG87" i="122"/>
  <c r="AH87" i="122"/>
  <c r="AI87" i="122"/>
  <c r="AJ87" i="122"/>
  <c r="AC83" i="122"/>
  <c r="AD83" i="122"/>
  <c r="AE83" i="122"/>
  <c r="AF83" i="122"/>
  <c r="AG83" i="122"/>
  <c r="AH83" i="122"/>
  <c r="AI83" i="122"/>
  <c r="AI95" i="122" s="1"/>
  <c r="AJ83" i="122"/>
  <c r="AE79" i="122"/>
  <c r="AE95" i="122" s="1"/>
  <c r="AH79" i="122"/>
  <c r="AH95" i="122" s="1"/>
  <c r="AI79" i="122"/>
  <c r="AJ79" i="122"/>
  <c r="AC71" i="122"/>
  <c r="AD71" i="122"/>
  <c r="AE71" i="122"/>
  <c r="AF71" i="122"/>
  <c r="AG71" i="122"/>
  <c r="AH71" i="122"/>
  <c r="AI71" i="122"/>
  <c r="AJ71" i="122"/>
  <c r="AC67" i="122"/>
  <c r="AD67" i="122"/>
  <c r="AE67" i="122"/>
  <c r="AF67" i="122"/>
  <c r="AG67" i="122"/>
  <c r="AH67" i="122"/>
  <c r="AI67" i="122"/>
  <c r="AJ67" i="122"/>
  <c r="AC63" i="122"/>
  <c r="AD63" i="122"/>
  <c r="AE63" i="122"/>
  <c r="AF63" i="122"/>
  <c r="AG63" i="122"/>
  <c r="AH63" i="122"/>
  <c r="AI63" i="122"/>
  <c r="AJ63" i="122"/>
  <c r="AC59" i="122"/>
  <c r="AD59" i="122"/>
  <c r="AE59" i="122"/>
  <c r="AF59" i="122"/>
  <c r="AG59" i="122"/>
  <c r="AH59" i="122"/>
  <c r="AI59" i="122"/>
  <c r="AJ59" i="122"/>
  <c r="AC55" i="122"/>
  <c r="AD55" i="122"/>
  <c r="AE55" i="122"/>
  <c r="AF55" i="122"/>
  <c r="AG55" i="122"/>
  <c r="AH55" i="122"/>
  <c r="AI55" i="122"/>
  <c r="AJ55" i="122"/>
  <c r="AC45" i="122"/>
  <c r="AD45" i="122"/>
  <c r="AE45" i="122"/>
  <c r="AF45" i="122"/>
  <c r="AG45" i="122"/>
  <c r="AH45" i="122"/>
  <c r="AH49" i="122" s="1"/>
  <c r="AI45" i="122"/>
  <c r="AJ45" i="122"/>
  <c r="AE41" i="122"/>
  <c r="AF41" i="122"/>
  <c r="AG41" i="122"/>
  <c r="AH41" i="122"/>
  <c r="AI41" i="122"/>
  <c r="AJ41" i="122"/>
  <c r="AD37" i="122"/>
  <c r="AE37" i="122"/>
  <c r="AF37" i="122"/>
  <c r="AG37" i="122"/>
  <c r="AH37" i="122"/>
  <c r="AI37" i="122"/>
  <c r="AJ37" i="122"/>
  <c r="AJ49" i="122" s="1"/>
  <c r="AE33" i="122"/>
  <c r="AF33" i="122"/>
  <c r="AG33" i="122"/>
  <c r="AH33" i="122"/>
  <c r="AI33" i="122"/>
  <c r="AJ33" i="122"/>
  <c r="AD29" i="122"/>
  <c r="AE29" i="122"/>
  <c r="AE49" i="122" s="1"/>
  <c r="AF29" i="122"/>
  <c r="AF49" i="122" s="1"/>
  <c r="AG29" i="122"/>
  <c r="AH29" i="122"/>
  <c r="AI29" i="122"/>
  <c r="AJ29" i="122"/>
  <c r="AC21" i="122"/>
  <c r="AD21" i="122"/>
  <c r="AE21" i="122"/>
  <c r="AF21" i="122"/>
  <c r="AG21" i="122"/>
  <c r="AH21" i="122"/>
  <c r="AI21" i="122"/>
  <c r="AJ21" i="122"/>
  <c r="AC17" i="122"/>
  <c r="AD17" i="122"/>
  <c r="AE17" i="122"/>
  <c r="AF17" i="122"/>
  <c r="AG17" i="122"/>
  <c r="AH17" i="122"/>
  <c r="AI17" i="122"/>
  <c r="AJ17" i="122"/>
  <c r="AC13" i="122"/>
  <c r="AD13" i="122"/>
  <c r="AE13" i="122"/>
  <c r="AF13" i="122"/>
  <c r="AG13" i="122"/>
  <c r="AH13" i="122"/>
  <c r="AI13" i="122"/>
  <c r="AJ13" i="122"/>
  <c r="AE9" i="122"/>
  <c r="AF9" i="122"/>
  <c r="AG9" i="122"/>
  <c r="AH9" i="122"/>
  <c r="AI9" i="122"/>
  <c r="AJ9" i="122"/>
  <c r="AE141" i="122"/>
  <c r="AH141" i="122"/>
  <c r="AJ141" i="122"/>
  <c r="AE121" i="122"/>
  <c r="AC134" i="122"/>
  <c r="AC136" i="122" s="1"/>
  <c r="AD134" i="122"/>
  <c r="AD136" i="122" s="1"/>
  <c r="AE134" i="122"/>
  <c r="AE136" i="122" s="1"/>
  <c r="AF134" i="122"/>
  <c r="AF136" i="122" s="1"/>
  <c r="AG134" i="122"/>
  <c r="AG136" i="122" s="1"/>
  <c r="AH134" i="122"/>
  <c r="AH136" i="122" s="1"/>
  <c r="AI134" i="122"/>
  <c r="AI136" i="122" s="1"/>
  <c r="AJ134" i="122"/>
  <c r="AJ136" i="122" s="1"/>
  <c r="AC130" i="122"/>
  <c r="AC132" i="122" s="1"/>
  <c r="AD130" i="122"/>
  <c r="AD132" i="122" s="1"/>
  <c r="AE130" i="122"/>
  <c r="AE132" i="122" s="1"/>
  <c r="AF130" i="122"/>
  <c r="AF132" i="122" s="1"/>
  <c r="AG130" i="122"/>
  <c r="AG132" i="122" s="1"/>
  <c r="AH130" i="122"/>
  <c r="AH132" i="122" s="1"/>
  <c r="AI130" i="122"/>
  <c r="AI132" i="122" s="1"/>
  <c r="AJ130" i="122"/>
  <c r="AJ132" i="122" s="1"/>
  <c r="AC126" i="122"/>
  <c r="AD126" i="122"/>
  <c r="AE126" i="122"/>
  <c r="AF126" i="122"/>
  <c r="AG126" i="122"/>
  <c r="AH126" i="122"/>
  <c r="AH128" i="122" s="1"/>
  <c r="AI126" i="122"/>
  <c r="AI128" i="122" s="1"/>
  <c r="AJ126" i="122"/>
  <c r="AJ128" i="122" s="1"/>
  <c r="AC122" i="122"/>
  <c r="AC124" i="122" s="1"/>
  <c r="AD122" i="122"/>
  <c r="AD124" i="122" s="1"/>
  <c r="AE122" i="122"/>
  <c r="AE124" i="122" s="1"/>
  <c r="AF122" i="122"/>
  <c r="AF124" i="122" s="1"/>
  <c r="AG122" i="122"/>
  <c r="AG124" i="122" s="1"/>
  <c r="AH122" i="122"/>
  <c r="AI122" i="122"/>
  <c r="AJ122" i="122"/>
  <c r="AC114" i="122"/>
  <c r="AC116" i="122" s="1"/>
  <c r="AD114" i="122"/>
  <c r="AD116" i="122" s="1"/>
  <c r="AE114" i="122"/>
  <c r="AE116" i="122" s="1"/>
  <c r="AF114" i="122"/>
  <c r="AF116" i="122" s="1"/>
  <c r="AG114" i="122"/>
  <c r="AG116" i="122" s="1"/>
  <c r="AH114" i="122"/>
  <c r="AH116" i="122" s="1"/>
  <c r="AI114" i="122"/>
  <c r="AI116" i="122" s="1"/>
  <c r="AJ114" i="122"/>
  <c r="AJ116" i="122" s="1"/>
  <c r="AC110" i="122"/>
  <c r="AC112" i="122" s="1"/>
  <c r="AD110" i="122"/>
  <c r="AD112" i="122" s="1"/>
  <c r="AE110" i="122"/>
  <c r="AE112" i="122" s="1"/>
  <c r="AF110" i="122"/>
  <c r="AF112" i="122" s="1"/>
  <c r="AG110" i="122"/>
  <c r="AG112" i="122" s="1"/>
  <c r="AH110" i="122"/>
  <c r="AH112" i="122" s="1"/>
  <c r="AI110" i="122"/>
  <c r="AI112" i="122" s="1"/>
  <c r="AJ110" i="122"/>
  <c r="AJ112" i="122" s="1"/>
  <c r="AC106" i="122"/>
  <c r="AC108" i="122" s="1"/>
  <c r="AD106" i="122"/>
  <c r="AD108" i="122" s="1"/>
  <c r="AE106" i="122"/>
  <c r="AE108" i="122" s="1"/>
  <c r="AF106" i="122"/>
  <c r="AF108" i="122" s="1"/>
  <c r="AG106" i="122"/>
  <c r="AG108" i="122" s="1"/>
  <c r="AH106" i="122"/>
  <c r="AH108" i="122" s="1"/>
  <c r="AI106" i="122"/>
  <c r="AI108" i="122" s="1"/>
  <c r="AJ106" i="122"/>
  <c r="AJ108" i="122" s="1"/>
  <c r="AC102" i="122"/>
  <c r="AC104" i="122" s="1"/>
  <c r="AD102" i="122"/>
  <c r="AD104" i="122" s="1"/>
  <c r="AE102" i="122"/>
  <c r="AE104" i="122" s="1"/>
  <c r="AF102" i="122"/>
  <c r="AF104" i="122" s="1"/>
  <c r="AG102" i="122"/>
  <c r="AG104" i="122" s="1"/>
  <c r="AH102" i="122"/>
  <c r="AH104" i="122" s="1"/>
  <c r="AI102" i="122"/>
  <c r="AI104" i="122" s="1"/>
  <c r="AJ102" i="122"/>
  <c r="AJ104" i="122" s="1"/>
  <c r="AC98" i="122"/>
  <c r="AE98" i="122"/>
  <c r="AF98" i="122"/>
  <c r="AG98" i="122"/>
  <c r="AH98" i="122"/>
  <c r="AI98" i="122"/>
  <c r="AJ98" i="122"/>
  <c r="AC88" i="122"/>
  <c r="AC90" i="122" s="1"/>
  <c r="AD88" i="122"/>
  <c r="AD90" i="122" s="1"/>
  <c r="AE88" i="122"/>
  <c r="AE90" i="122" s="1"/>
  <c r="AF88" i="122"/>
  <c r="AF90" i="122" s="1"/>
  <c r="AG88" i="122"/>
  <c r="AG90" i="122" s="1"/>
  <c r="AH88" i="122"/>
  <c r="AH90" i="122" s="1"/>
  <c r="AI88" i="122"/>
  <c r="AI90" i="122" s="1"/>
  <c r="AJ88" i="122"/>
  <c r="AJ90" i="122" s="1"/>
  <c r="AC84" i="122"/>
  <c r="AC86" i="122" s="1"/>
  <c r="AD84" i="122"/>
  <c r="AD86" i="122" s="1"/>
  <c r="AE84" i="122"/>
  <c r="AE86" i="122" s="1"/>
  <c r="AF84" i="122"/>
  <c r="AF86" i="122" s="1"/>
  <c r="AG84" i="122"/>
  <c r="AG86" i="122" s="1"/>
  <c r="AH84" i="122"/>
  <c r="AH86" i="122" s="1"/>
  <c r="AI84" i="122"/>
  <c r="AI86" i="122" s="1"/>
  <c r="AJ84" i="122"/>
  <c r="AJ86" i="122" s="1"/>
  <c r="AC80" i="122"/>
  <c r="AC82" i="122" s="1"/>
  <c r="AD80" i="122"/>
  <c r="AD82" i="122" s="1"/>
  <c r="AE80" i="122"/>
  <c r="AE82" i="122" s="1"/>
  <c r="AF80" i="122"/>
  <c r="AF82" i="122" s="1"/>
  <c r="AG80" i="122"/>
  <c r="AG82" i="122" s="1"/>
  <c r="AH80" i="122"/>
  <c r="AH82" i="122" s="1"/>
  <c r="AI80" i="122"/>
  <c r="AI82" i="122" s="1"/>
  <c r="AJ80" i="122"/>
  <c r="AJ82" i="122" s="1"/>
  <c r="AI76" i="122"/>
  <c r="AJ76" i="122"/>
  <c r="AC68" i="122"/>
  <c r="AC70" i="122" s="1"/>
  <c r="AD68" i="122"/>
  <c r="AD70" i="122" s="1"/>
  <c r="AE68" i="122"/>
  <c r="AE70" i="122" s="1"/>
  <c r="AF68" i="122"/>
  <c r="AF70" i="122" s="1"/>
  <c r="AG68" i="122"/>
  <c r="AG70" i="122" s="1"/>
  <c r="AH68" i="122"/>
  <c r="AH70" i="122" s="1"/>
  <c r="AI68" i="122"/>
  <c r="AI70" i="122" s="1"/>
  <c r="AJ68" i="122"/>
  <c r="AJ70" i="122" s="1"/>
  <c r="AF64" i="122"/>
  <c r="AF66" i="122" s="1"/>
  <c r="AG64" i="122"/>
  <c r="AG66" i="122" s="1"/>
  <c r="AH64" i="122"/>
  <c r="AH66" i="122" s="1"/>
  <c r="AI64" i="122"/>
  <c r="AI66" i="122" s="1"/>
  <c r="AJ64" i="122"/>
  <c r="AJ66" i="122" s="1"/>
  <c r="AD60" i="122"/>
  <c r="AD62" i="122" s="1"/>
  <c r="AE60" i="122"/>
  <c r="AE62" i="122" s="1"/>
  <c r="AF60" i="122"/>
  <c r="AF62" i="122" s="1"/>
  <c r="AG60" i="122"/>
  <c r="AG62" i="122" s="1"/>
  <c r="AH60" i="122"/>
  <c r="AH62" i="122" s="1"/>
  <c r="AI60" i="122"/>
  <c r="AI62" i="122" s="1"/>
  <c r="AJ60" i="122"/>
  <c r="AJ62" i="122" s="1"/>
  <c r="AC56" i="122"/>
  <c r="AC58" i="122" s="1"/>
  <c r="AF56" i="122"/>
  <c r="AF58" i="122" s="1"/>
  <c r="AG56" i="122"/>
  <c r="AG58" i="122" s="1"/>
  <c r="AH56" i="122"/>
  <c r="AH58" i="122" s="1"/>
  <c r="AJ56" i="122"/>
  <c r="AJ58" i="122" s="1"/>
  <c r="AC52" i="122"/>
  <c r="AC54" i="122" s="1"/>
  <c r="AD52" i="122"/>
  <c r="AD54" i="122" s="1"/>
  <c r="AE52" i="122"/>
  <c r="AE54" i="122" s="1"/>
  <c r="AF52" i="122"/>
  <c r="AG52" i="122"/>
  <c r="AH52" i="122"/>
  <c r="AI52" i="122"/>
  <c r="AJ52" i="122"/>
  <c r="AC42" i="122"/>
  <c r="AC44" i="122" s="1"/>
  <c r="AD42" i="122"/>
  <c r="AD44" i="122" s="1"/>
  <c r="AE42" i="122"/>
  <c r="AE44" i="122" s="1"/>
  <c r="AF42" i="122"/>
  <c r="AF44" i="122" s="1"/>
  <c r="AG42" i="122"/>
  <c r="AG44" i="122" s="1"/>
  <c r="AH42" i="122"/>
  <c r="AH44" i="122" s="1"/>
  <c r="AI42" i="122"/>
  <c r="AI44" i="122" s="1"/>
  <c r="AJ42" i="122"/>
  <c r="AJ44" i="122" s="1"/>
  <c r="AJ38" i="122"/>
  <c r="AJ40" i="122" s="1"/>
  <c r="AD34" i="122"/>
  <c r="AD36" i="122" s="1"/>
  <c r="AF34" i="122"/>
  <c r="AF36" i="122" s="1"/>
  <c r="AG34" i="122"/>
  <c r="AG36" i="122" s="1"/>
  <c r="AH34" i="122"/>
  <c r="AH36" i="122" s="1"/>
  <c r="AI34" i="122"/>
  <c r="AI36" i="122" s="1"/>
  <c r="AJ34" i="122"/>
  <c r="AJ36" i="122" s="1"/>
  <c r="AE30" i="122"/>
  <c r="AE32" i="122" s="1"/>
  <c r="AF30" i="122"/>
  <c r="AF32" i="122" s="1"/>
  <c r="AG30" i="122"/>
  <c r="AG32" i="122" s="1"/>
  <c r="AH30" i="122"/>
  <c r="AH32" i="122" s="1"/>
  <c r="AI30" i="122"/>
  <c r="AI32" i="122" s="1"/>
  <c r="AJ30" i="122"/>
  <c r="AJ32" i="122" s="1"/>
  <c r="AD28" i="122"/>
  <c r="AE26" i="122"/>
  <c r="AE28" i="122" s="1"/>
  <c r="AJ26" i="122"/>
  <c r="AC18" i="122"/>
  <c r="AC20" i="122" s="1"/>
  <c r="AD18" i="122"/>
  <c r="AD20" i="122" s="1"/>
  <c r="AE18" i="122"/>
  <c r="AE20" i="122" s="1"/>
  <c r="AF18" i="122"/>
  <c r="AF20" i="122" s="1"/>
  <c r="AG18" i="122"/>
  <c r="AG20" i="122" s="1"/>
  <c r="AH18" i="122"/>
  <c r="AH20" i="122" s="1"/>
  <c r="AI18" i="122"/>
  <c r="AI20" i="122" s="1"/>
  <c r="AJ18" i="122"/>
  <c r="AJ20" i="122" s="1"/>
  <c r="AC14" i="122"/>
  <c r="AC16" i="122" s="1"/>
  <c r="AD14" i="122"/>
  <c r="AD16" i="122" s="1"/>
  <c r="AE14" i="122"/>
  <c r="AE16" i="122" s="1"/>
  <c r="AF14" i="122"/>
  <c r="AF16" i="122" s="1"/>
  <c r="AG14" i="122"/>
  <c r="AG16" i="122" s="1"/>
  <c r="AH14" i="122"/>
  <c r="AH16" i="122" s="1"/>
  <c r="AI14" i="122"/>
  <c r="AI16" i="122" s="1"/>
  <c r="AJ14" i="122"/>
  <c r="AJ16" i="122" s="1"/>
  <c r="AC10" i="122"/>
  <c r="AC12" i="122" s="1"/>
  <c r="AD10" i="122"/>
  <c r="AD12" i="122" s="1"/>
  <c r="AE10" i="122"/>
  <c r="AE12" i="122" s="1"/>
  <c r="AF10" i="122"/>
  <c r="AF12" i="122" s="1"/>
  <c r="AG10" i="122"/>
  <c r="AG12" i="122" s="1"/>
  <c r="AH10" i="122"/>
  <c r="AH12" i="122" s="1"/>
  <c r="AI10" i="122"/>
  <c r="AI12" i="122" s="1"/>
  <c r="AJ10" i="122"/>
  <c r="AJ12" i="122" s="1"/>
  <c r="AC5" i="122"/>
  <c r="AD5" i="122"/>
  <c r="AE5" i="122"/>
  <c r="AF5" i="122"/>
  <c r="AG5" i="122"/>
  <c r="AH5" i="122"/>
  <c r="AI5" i="122"/>
  <c r="AJ5" i="122"/>
  <c r="AC2" i="122"/>
  <c r="AC4" i="122" s="1"/>
  <c r="AJ1202" i="3"/>
  <c r="AK1202" i="3"/>
  <c r="AJ1166" i="3"/>
  <c r="AK1166" i="3"/>
  <c r="AU1166" i="3" s="1"/>
  <c r="U236" i="70"/>
  <c r="U237" i="70"/>
  <c r="U238" i="70"/>
  <c r="U239" i="70"/>
  <c r="U240" i="70"/>
  <c r="U241" i="70"/>
  <c r="U235" i="70"/>
  <c r="BC241" i="70"/>
  <c r="AX241" i="70"/>
  <c r="AV241" i="70"/>
  <c r="AW241" i="70" s="1"/>
  <c r="AU241" i="70" a="1"/>
  <c r="AS241" i="70"/>
  <c r="AA241" i="70"/>
  <c r="X241" i="70"/>
  <c r="C241" i="70"/>
  <c r="U1199" i="3"/>
  <c r="V1199" i="3" s="1"/>
  <c r="U1310" i="3"/>
  <c r="V1310" i="3" s="1"/>
  <c r="AW1199" i="3" a="1"/>
  <c r="F1199" i="3" a="1"/>
  <c r="AX1199" i="3"/>
  <c r="AY1199" i="3" s="1"/>
  <c r="BH1199" i="3"/>
  <c r="BG1199" i="3"/>
  <c r="BF1199" i="3"/>
  <c r="BE1199" i="3"/>
  <c r="AZ1199" i="3"/>
  <c r="S1199" i="3"/>
  <c r="R1199" i="3"/>
  <c r="C1199" i="3"/>
  <c r="U1182" i="3"/>
  <c r="AW1222" i="3" a="1"/>
  <c r="F1222" i="3" a="1"/>
  <c r="AX1222" i="3"/>
  <c r="AY1222" i="3" s="1"/>
  <c r="BH1222" i="3"/>
  <c r="BG1222" i="3"/>
  <c r="BF1222" i="3"/>
  <c r="X1222" i="3" s="1"/>
  <c r="BE1222" i="3"/>
  <c r="W1222" i="3" s="1"/>
  <c r="AZ1222" i="3"/>
  <c r="AC1222" i="3"/>
  <c r="V1222" i="3"/>
  <c r="S1222" i="3"/>
  <c r="R1222" i="3"/>
  <c r="C1222" i="3"/>
  <c r="U1203" i="3"/>
  <c r="BH1203" i="3"/>
  <c r="BG1203" i="3"/>
  <c r="BF1203" i="3"/>
  <c r="BE1203" i="3"/>
  <c r="AZ1203" i="3"/>
  <c r="AX1203" i="3"/>
  <c r="AY1203" i="3" s="1"/>
  <c r="AW1203" i="3" a="1"/>
  <c r="AC1203" i="3"/>
  <c r="Z1203" i="3"/>
  <c r="S1203" i="3"/>
  <c r="R1203" i="3"/>
  <c r="F1203" i="3" a="1"/>
  <c r="C1203" i="3"/>
  <c r="U1202" i="3"/>
  <c r="U1206" i="3"/>
  <c r="U1205" i="3"/>
  <c r="BH1206" i="3"/>
  <c r="BG1206" i="3"/>
  <c r="BF1206" i="3"/>
  <c r="BE1206" i="3"/>
  <c r="AZ1206" i="3"/>
  <c r="AX1206" i="3"/>
  <c r="AY1206" i="3" s="1"/>
  <c r="AW1206" i="3" a="1"/>
  <c r="AC1206" i="3"/>
  <c r="Z1206" i="3"/>
  <c r="S1206" i="3"/>
  <c r="R1206" i="3"/>
  <c r="F1206" i="3" a="1"/>
  <c r="C1206" i="3"/>
  <c r="U1207" i="3"/>
  <c r="BH1207" i="3"/>
  <c r="BG1207" i="3"/>
  <c r="BF1207" i="3"/>
  <c r="BE1207" i="3"/>
  <c r="AZ1207" i="3"/>
  <c r="AX1207" i="3"/>
  <c r="AY1207" i="3" s="1"/>
  <c r="AW1207" i="3" a="1"/>
  <c r="AU1207" i="3"/>
  <c r="AC1207" i="3"/>
  <c r="Z1207" i="3"/>
  <c r="S1207" i="3"/>
  <c r="R1207" i="3"/>
  <c r="C1207" i="3"/>
  <c r="F1408" i="3" a="1"/>
  <c r="F1407" i="3" a="1"/>
  <c r="F1406" i="3" a="1"/>
  <c r="F1405" i="3" a="1"/>
  <c r="F1404" i="3" a="1"/>
  <c r="F1402" i="3" a="1"/>
  <c r="F1401" i="3" a="1"/>
  <c r="F1400" i="3" a="1"/>
  <c r="U1407" i="3"/>
  <c r="U1406" i="3"/>
  <c r="U1405" i="3"/>
  <c r="U1404" i="3"/>
  <c r="U1402" i="3"/>
  <c r="U1401" i="3"/>
  <c r="U1400" i="3"/>
  <c r="U1399" i="3"/>
  <c r="BH1408" i="3"/>
  <c r="BG1408" i="3"/>
  <c r="BF1408" i="3"/>
  <c r="BE1408" i="3"/>
  <c r="AZ1408" i="3"/>
  <c r="AX1408" i="3"/>
  <c r="AY1408" i="3" s="1"/>
  <c r="AW1408" i="3" a="1"/>
  <c r="AC1408" i="3"/>
  <c r="Z1408" i="3"/>
  <c r="C1408" i="3"/>
  <c r="BH1407" i="3"/>
  <c r="BG1407" i="3"/>
  <c r="BF1407" i="3"/>
  <c r="BE1407" i="3"/>
  <c r="AZ1407" i="3"/>
  <c r="AX1407" i="3"/>
  <c r="AY1407" i="3" s="1"/>
  <c r="AW1407" i="3" a="1"/>
  <c r="AC1407" i="3"/>
  <c r="Z1407" i="3"/>
  <c r="C1407" i="3"/>
  <c r="BH1406" i="3"/>
  <c r="BG1406" i="3"/>
  <c r="BF1406" i="3"/>
  <c r="BE1406" i="3"/>
  <c r="AZ1406" i="3"/>
  <c r="AX1406" i="3"/>
  <c r="AY1406" i="3" s="1"/>
  <c r="AW1406" i="3" a="1"/>
  <c r="AC1406" i="3"/>
  <c r="Z1406" i="3"/>
  <c r="C1406" i="3"/>
  <c r="BH1405" i="3"/>
  <c r="BG1405" i="3"/>
  <c r="BF1405" i="3"/>
  <c r="BE1405" i="3"/>
  <c r="AZ1405" i="3"/>
  <c r="AX1405" i="3"/>
  <c r="AY1405" i="3" s="1"/>
  <c r="AW1405" i="3" a="1"/>
  <c r="AC1405" i="3"/>
  <c r="Z1405" i="3"/>
  <c r="C1405" i="3"/>
  <c r="BH1404" i="3"/>
  <c r="BG1404" i="3"/>
  <c r="BF1404" i="3"/>
  <c r="BE1404" i="3"/>
  <c r="AZ1404" i="3"/>
  <c r="AX1404" i="3"/>
  <c r="AY1404" i="3" s="1"/>
  <c r="AW1404" i="3" a="1"/>
  <c r="AC1404" i="3"/>
  <c r="Z1404" i="3"/>
  <c r="C1404" i="3"/>
  <c r="BH1402" i="3"/>
  <c r="BG1402" i="3"/>
  <c r="BF1402" i="3"/>
  <c r="BE1402" i="3"/>
  <c r="AZ1402" i="3"/>
  <c r="AX1402" i="3"/>
  <c r="AY1402" i="3" s="1"/>
  <c r="AW1402" i="3" a="1"/>
  <c r="AC1402" i="3"/>
  <c r="Z1402" i="3"/>
  <c r="C1402" i="3"/>
  <c r="BH1401" i="3"/>
  <c r="BG1401" i="3"/>
  <c r="BF1401" i="3"/>
  <c r="BE1401" i="3"/>
  <c r="AZ1401" i="3"/>
  <c r="AX1401" i="3"/>
  <c r="AY1401" i="3" s="1"/>
  <c r="AW1401" i="3" a="1"/>
  <c r="AC1401" i="3"/>
  <c r="Z1401" i="3"/>
  <c r="C1401" i="3"/>
  <c r="BH1400" i="3"/>
  <c r="BG1400" i="3"/>
  <c r="BF1400" i="3"/>
  <c r="BE1400" i="3"/>
  <c r="AZ1400" i="3"/>
  <c r="AX1400" i="3"/>
  <c r="AY1400" i="3" s="1"/>
  <c r="AW1400" i="3" a="1"/>
  <c r="AC1400" i="3"/>
  <c r="Z1400" i="3"/>
  <c r="C1400" i="3"/>
  <c r="BH1399" i="3"/>
  <c r="BG1399" i="3"/>
  <c r="BF1399" i="3"/>
  <c r="BE1399" i="3"/>
  <c r="AZ1399" i="3"/>
  <c r="AX1399" i="3"/>
  <c r="AY1399" i="3" s="1"/>
  <c r="AW1399" i="3" a="1"/>
  <c r="AC1399" i="3"/>
  <c r="Z1399" i="3"/>
  <c r="F1399" i="3" a="1"/>
  <c r="C1399" i="3"/>
  <c r="C1388" i="3"/>
  <c r="F1388" i="3" a="1"/>
  <c r="F1387" i="3" a="1"/>
  <c r="F1386" i="3" a="1"/>
  <c r="F1385" i="3" a="1"/>
  <c r="F1384" i="3" a="1"/>
  <c r="F1383" i="3" a="1"/>
  <c r="U262" i="70"/>
  <c r="U263" i="70"/>
  <c r="U264" i="70"/>
  <c r="U265" i="70"/>
  <c r="U266" i="70"/>
  <c r="U267" i="70"/>
  <c r="U261" i="70"/>
  <c r="C262" i="70"/>
  <c r="C263" i="70"/>
  <c r="X262" i="70"/>
  <c r="X263" i="70"/>
  <c r="AA262" i="70"/>
  <c r="AA263" i="70"/>
  <c r="AS262" i="70"/>
  <c r="AS263" i="70"/>
  <c r="AU262" i="70" a="1"/>
  <c r="AU263" i="70" a="1"/>
  <c r="AV262" i="70"/>
  <c r="AV263" i="70"/>
  <c r="AW262" i="70"/>
  <c r="AW263" i="70"/>
  <c r="AX262" i="70"/>
  <c r="AX263" i="70"/>
  <c r="BC262" i="70"/>
  <c r="BC263" i="70"/>
  <c r="C264" i="70"/>
  <c r="C265" i="70"/>
  <c r="X264" i="70"/>
  <c r="X265" i="70"/>
  <c r="AA264" i="70"/>
  <c r="AA265" i="70"/>
  <c r="AS264" i="70"/>
  <c r="AS265" i="70"/>
  <c r="AU264" i="70" a="1"/>
  <c r="AU265" i="70" a="1"/>
  <c r="AV264" i="70"/>
  <c r="AV265" i="70"/>
  <c r="AW264" i="70"/>
  <c r="AW265" i="70"/>
  <c r="AX264" i="70"/>
  <c r="AX265" i="70"/>
  <c r="BC264" i="70"/>
  <c r="BC265" i="70"/>
  <c r="C261" i="70"/>
  <c r="X261" i="70"/>
  <c r="AA261" i="70"/>
  <c r="AS261" i="70"/>
  <c r="AU261" i="70" a="1"/>
  <c r="AV261" i="70"/>
  <c r="AW261" i="70"/>
  <c r="AX261" i="70"/>
  <c r="BC261" i="70"/>
  <c r="C266" i="70"/>
  <c r="X266" i="70"/>
  <c r="AA266" i="70"/>
  <c r="AS266" i="70"/>
  <c r="AU266" i="70" a="1"/>
  <c r="AV266" i="70"/>
  <c r="AW266" i="70"/>
  <c r="AX266" i="70"/>
  <c r="BC266" i="70"/>
  <c r="C267" i="70"/>
  <c r="X267" i="70"/>
  <c r="AA267" i="70"/>
  <c r="AS267" i="70"/>
  <c r="AU267" i="70" a="1"/>
  <c r="AV267" i="70"/>
  <c r="AW267" i="70"/>
  <c r="AX267" i="70"/>
  <c r="BC267" i="70"/>
  <c r="AN1204" i="3"/>
  <c r="AM1204" i="3"/>
  <c r="AK1169" i="3"/>
  <c r="AK1187" i="3"/>
  <c r="AK1168" i="3"/>
  <c r="AK1167" i="3"/>
  <c r="AK1186" i="3"/>
  <c r="AK1183" i="3"/>
  <c r="AK1185" i="3"/>
  <c r="AJ1169" i="3"/>
  <c r="AJ1187" i="3"/>
  <c r="AJ1168" i="3"/>
  <c r="AJ1167" i="3"/>
  <c r="AJ1186" i="3"/>
  <c r="AJ1183" i="3"/>
  <c r="AJ1185" i="3"/>
  <c r="U1388" i="3"/>
  <c r="U1387" i="3"/>
  <c r="U1386" i="3"/>
  <c r="AW1388" i="3" a="1"/>
  <c r="AW1387" i="3" a="1"/>
  <c r="C1387" i="3"/>
  <c r="Z1387" i="3"/>
  <c r="AC1387" i="3"/>
  <c r="AX1387" i="3"/>
  <c r="AY1387" i="3" s="1"/>
  <c r="AZ1387" i="3"/>
  <c r="BE1387" i="3"/>
  <c r="BF1387" i="3"/>
  <c r="BG1387" i="3"/>
  <c r="BH1387" i="3"/>
  <c r="Z1388" i="3"/>
  <c r="AC1388" i="3"/>
  <c r="AX1388" i="3"/>
  <c r="AY1388" i="3" s="1"/>
  <c r="AZ1388" i="3"/>
  <c r="BE1388" i="3"/>
  <c r="BF1388" i="3"/>
  <c r="BG1388" i="3"/>
  <c r="BH1388" i="3"/>
  <c r="U1385" i="3"/>
  <c r="U1384" i="3"/>
  <c r="U1383" i="3"/>
  <c r="U1382" i="3"/>
  <c r="BH1386" i="3"/>
  <c r="BG1386" i="3"/>
  <c r="BF1386" i="3"/>
  <c r="BE1386" i="3"/>
  <c r="AZ1386" i="3"/>
  <c r="AX1386" i="3"/>
  <c r="AY1386" i="3" s="1"/>
  <c r="AW1386" i="3" a="1"/>
  <c r="AC1386" i="3"/>
  <c r="Z1386" i="3"/>
  <c r="C1386" i="3"/>
  <c r="BH1385" i="3"/>
  <c r="BG1385" i="3"/>
  <c r="BF1385" i="3"/>
  <c r="BE1385" i="3"/>
  <c r="AZ1385" i="3"/>
  <c r="AX1385" i="3"/>
  <c r="AY1385" i="3" s="1"/>
  <c r="AW1385" i="3" a="1"/>
  <c r="AC1385" i="3"/>
  <c r="Z1385" i="3"/>
  <c r="C1385" i="3"/>
  <c r="BH1384" i="3"/>
  <c r="BG1384" i="3"/>
  <c r="BF1384" i="3"/>
  <c r="BE1384" i="3"/>
  <c r="AZ1384" i="3"/>
  <c r="AX1384" i="3"/>
  <c r="AY1384" i="3" s="1"/>
  <c r="AW1384" i="3" a="1"/>
  <c r="AC1384" i="3"/>
  <c r="Z1384" i="3"/>
  <c r="C1384" i="3"/>
  <c r="BH1383" i="3"/>
  <c r="BG1383" i="3"/>
  <c r="BF1383" i="3"/>
  <c r="BE1383" i="3"/>
  <c r="AZ1383" i="3"/>
  <c r="AX1383" i="3"/>
  <c r="AY1383" i="3" s="1"/>
  <c r="AW1383" i="3" a="1"/>
  <c r="AC1383" i="3"/>
  <c r="Z1383" i="3"/>
  <c r="C1383" i="3"/>
  <c r="BH1382" i="3"/>
  <c r="BG1382" i="3"/>
  <c r="BF1382" i="3"/>
  <c r="BE1382" i="3"/>
  <c r="AZ1382" i="3"/>
  <c r="AX1382" i="3"/>
  <c r="AY1382" i="3" s="1"/>
  <c r="AW1382" i="3" a="1"/>
  <c r="AC1382" i="3"/>
  <c r="Z1382" i="3"/>
  <c r="F1382" i="3" a="1"/>
  <c r="C1382" i="3"/>
  <c r="F1397" i="3" a="1"/>
  <c r="F1396" i="3" a="1"/>
  <c r="U1397" i="3"/>
  <c r="U1396" i="3"/>
  <c r="BH1397" i="3"/>
  <c r="BG1397" i="3"/>
  <c r="BF1397" i="3"/>
  <c r="BE1397" i="3"/>
  <c r="AZ1397" i="3"/>
  <c r="AX1397" i="3"/>
  <c r="AY1397" i="3" s="1"/>
  <c r="AW1397" i="3" a="1"/>
  <c r="AC1397" i="3"/>
  <c r="Z1397" i="3"/>
  <c r="C1397" i="3"/>
  <c r="BH1396" i="3"/>
  <c r="BG1396" i="3"/>
  <c r="BF1396" i="3"/>
  <c r="BE1396" i="3"/>
  <c r="AZ1396" i="3"/>
  <c r="AX1396" i="3"/>
  <c r="AY1396" i="3" s="1"/>
  <c r="AW1396" i="3" a="1"/>
  <c r="AC1396" i="3"/>
  <c r="Z1396" i="3"/>
  <c r="C1396" i="3"/>
  <c r="U1411" i="3"/>
  <c r="U1410" i="3"/>
  <c r="BH1410" i="3"/>
  <c r="BG1410" i="3"/>
  <c r="BF1410" i="3"/>
  <c r="BE1410" i="3"/>
  <c r="AZ1410" i="3"/>
  <c r="AX1410" i="3"/>
  <c r="AY1410" i="3" s="1"/>
  <c r="AW1410" i="3" a="1"/>
  <c r="AC1410" i="3"/>
  <c r="Z1410" i="3"/>
  <c r="F1410" i="3" a="1"/>
  <c r="C1410" i="3"/>
  <c r="BH1409" i="3"/>
  <c r="BG1409" i="3"/>
  <c r="BF1409" i="3"/>
  <c r="BE1409" i="3"/>
  <c r="AZ1409" i="3"/>
  <c r="AX1409" i="3"/>
  <c r="AY1409" i="3" s="1"/>
  <c r="AW1409" i="3" a="1"/>
  <c r="AC1409" i="3"/>
  <c r="Z1409" i="3"/>
  <c r="F1409" i="3" a="1"/>
  <c r="C1409" i="3"/>
  <c r="U1195" i="3"/>
  <c r="W1195" i="3" s="1"/>
  <c r="AW1195" i="3" a="1"/>
  <c r="F1195" i="3" a="1"/>
  <c r="AX1195" i="3"/>
  <c r="AY1195" i="3" s="1"/>
  <c r="BH1195" i="3"/>
  <c r="BG1195" i="3"/>
  <c r="BF1195" i="3"/>
  <c r="X1195" i="3" s="1"/>
  <c r="BE1195" i="3"/>
  <c r="AZ1195" i="3"/>
  <c r="AC1195" i="3"/>
  <c r="S1195" i="3"/>
  <c r="R1195" i="3"/>
  <c r="C1195" i="3"/>
  <c r="BE645" i="3"/>
  <c r="U1309" i="3"/>
  <c r="U1197" i="3"/>
  <c r="AW1197" i="3" a="1"/>
  <c r="F1197" i="3" a="1"/>
  <c r="AX1197" i="3"/>
  <c r="AY1197" i="3" s="1"/>
  <c r="BH1197" i="3"/>
  <c r="BG1197" i="3"/>
  <c r="BF1197" i="3"/>
  <c r="BE1197" i="3"/>
  <c r="AZ1197" i="3"/>
  <c r="S1197" i="3"/>
  <c r="R1197" i="3"/>
  <c r="C1197" i="3"/>
  <c r="U1196" i="3"/>
  <c r="V1196" i="3" s="1"/>
  <c r="BC2" i="70"/>
  <c r="AS231" i="70"/>
  <c r="U1181" i="3"/>
  <c r="AW1193" i="3" a="1"/>
  <c r="F1193" i="3" a="1"/>
  <c r="AX1193" i="3"/>
  <c r="AY1193" i="3" s="1"/>
  <c r="U1193" i="3"/>
  <c r="BH1193" i="3"/>
  <c r="BG1193" i="3"/>
  <c r="BF1193" i="3"/>
  <c r="BE1193" i="3"/>
  <c r="W1193" i="3" s="1"/>
  <c r="AZ1193" i="3"/>
  <c r="V1193" i="3"/>
  <c r="S1193" i="3"/>
  <c r="R1193" i="3"/>
  <c r="C1193" i="3"/>
  <c r="U1344" i="3"/>
  <c r="BH1205" i="3"/>
  <c r="BG1205" i="3"/>
  <c r="BF1205" i="3"/>
  <c r="BE1205" i="3"/>
  <c r="AZ1205" i="3"/>
  <c r="AX1205" i="3"/>
  <c r="AY1205" i="3" s="1"/>
  <c r="AW1205" i="3" a="1"/>
  <c r="AC1205" i="3"/>
  <c r="Z1205" i="3"/>
  <c r="S1205" i="3"/>
  <c r="R1205" i="3"/>
  <c r="F1205" i="3" a="1"/>
  <c r="C1205" i="3"/>
  <c r="BH1344" i="3"/>
  <c r="BG1344" i="3"/>
  <c r="BF1344" i="3"/>
  <c r="BE1344" i="3"/>
  <c r="AZ1344" i="3"/>
  <c r="AX1344" i="3"/>
  <c r="AY1344" i="3" s="1"/>
  <c r="AW1344" i="3" a="1"/>
  <c r="AC1344" i="3"/>
  <c r="Z1344" i="3"/>
  <c r="S1344" i="3"/>
  <c r="R1344" i="3"/>
  <c r="F1344" i="3" a="1"/>
  <c r="C1344" i="3"/>
  <c r="U1164" i="3"/>
  <c r="U1221" i="3"/>
  <c r="AW1221" i="3" a="1"/>
  <c r="F1221" i="3" a="1"/>
  <c r="AX1221" i="3"/>
  <c r="AY1221" i="3" s="1"/>
  <c r="BH1221" i="3"/>
  <c r="BG1221" i="3"/>
  <c r="BF1221" i="3"/>
  <c r="BE1221" i="3"/>
  <c r="AZ1221" i="3"/>
  <c r="Z1221" i="3"/>
  <c r="S1221" i="3"/>
  <c r="R1221" i="3"/>
  <c r="C1221" i="3"/>
  <c r="U1185" i="3"/>
  <c r="F1326" i="3" a="1"/>
  <c r="F1324" i="3" a="1"/>
  <c r="F1323" i="3" a="1"/>
  <c r="U1323" i="3"/>
  <c r="U1324" i="3"/>
  <c r="AW1324" i="3" a="1"/>
  <c r="AW1323" i="3" a="1"/>
  <c r="AW1321" i="3" a="1"/>
  <c r="F1321" i="3" a="1"/>
  <c r="C1321" i="3"/>
  <c r="R1321" i="3"/>
  <c r="S1321" i="3"/>
  <c r="V1321" i="3"/>
  <c r="Z1321" i="3"/>
  <c r="AC1321" i="3"/>
  <c r="AX1321" i="3"/>
  <c r="AY1321" i="3" s="1"/>
  <c r="AZ1321" i="3"/>
  <c r="BE1321" i="3"/>
  <c r="W1321" i="3" s="1"/>
  <c r="BF1321" i="3"/>
  <c r="X1321" i="3" s="1"/>
  <c r="BG1321" i="3"/>
  <c r="BH1321" i="3"/>
  <c r="C1323" i="3"/>
  <c r="R1323" i="3"/>
  <c r="S1323" i="3"/>
  <c r="V1323" i="3"/>
  <c r="Z1323" i="3"/>
  <c r="AC1323" i="3"/>
  <c r="AX1323" i="3"/>
  <c r="AY1323" i="3"/>
  <c r="AZ1323" i="3"/>
  <c r="BE1323" i="3"/>
  <c r="W1323" i="3" s="1"/>
  <c r="BF1323" i="3"/>
  <c r="BG1323" i="3"/>
  <c r="BH1323" i="3"/>
  <c r="C1324" i="3"/>
  <c r="R1324" i="3"/>
  <c r="S1324" i="3"/>
  <c r="V1324" i="3"/>
  <c r="Z1324" i="3"/>
  <c r="AC1324" i="3"/>
  <c r="AX1324" i="3"/>
  <c r="AY1324" i="3" s="1"/>
  <c r="AZ1324" i="3"/>
  <c r="BE1324" i="3"/>
  <c r="BF1324" i="3"/>
  <c r="X1324" i="3" s="1"/>
  <c r="BG1324" i="3"/>
  <c r="BH1324" i="3"/>
  <c r="AW1326" i="3" a="1"/>
  <c r="AX1326" i="3"/>
  <c r="AY1326" i="3" s="1"/>
  <c r="Z1326" i="3"/>
  <c r="BH1326" i="3"/>
  <c r="BG1326" i="3"/>
  <c r="BF1326" i="3"/>
  <c r="BE1326" i="3"/>
  <c r="AZ1326" i="3"/>
  <c r="AC1326" i="3"/>
  <c r="S1326" i="3"/>
  <c r="R1326" i="3"/>
  <c r="C1326" i="3"/>
  <c r="F1301" i="3" a="1"/>
  <c r="AW1208" i="3" a="1"/>
  <c r="F1208" i="3" a="1"/>
  <c r="AX1208" i="3"/>
  <c r="AY1208" i="3" s="1"/>
  <c r="BH1208" i="3"/>
  <c r="BG1208" i="3"/>
  <c r="BF1208" i="3"/>
  <c r="BE1208" i="3"/>
  <c r="AZ1208" i="3"/>
  <c r="AC1208" i="3"/>
  <c r="S1208" i="3"/>
  <c r="R1208" i="3"/>
  <c r="C1208" i="3"/>
  <c r="AB71" i="122"/>
  <c r="AA71" i="122"/>
  <c r="Z71" i="122"/>
  <c r="Y71" i="122"/>
  <c r="X71" i="122"/>
  <c r="W71" i="122"/>
  <c r="V71" i="122"/>
  <c r="U71" i="122"/>
  <c r="T71" i="122"/>
  <c r="S71" i="122"/>
  <c r="R71" i="122"/>
  <c r="Q71" i="122"/>
  <c r="P71" i="122"/>
  <c r="O71" i="122"/>
  <c r="N71" i="122"/>
  <c r="M71" i="122"/>
  <c r="L71" i="122"/>
  <c r="K71" i="122"/>
  <c r="I71" i="122"/>
  <c r="H71" i="122"/>
  <c r="G71" i="122"/>
  <c r="F71" i="122"/>
  <c r="E71" i="122"/>
  <c r="AB68" i="122"/>
  <c r="AB70" i="122" s="1"/>
  <c r="AA68" i="122"/>
  <c r="AA70" i="122" s="1"/>
  <c r="Z68" i="122"/>
  <c r="Z70" i="122" s="1"/>
  <c r="Y68" i="122"/>
  <c r="Y70" i="122" s="1"/>
  <c r="X68" i="122"/>
  <c r="W68" i="122"/>
  <c r="V68" i="122"/>
  <c r="U68" i="122"/>
  <c r="T68" i="122"/>
  <c r="S68" i="122"/>
  <c r="R68" i="122"/>
  <c r="Q68" i="122"/>
  <c r="P68" i="122"/>
  <c r="O68" i="122"/>
  <c r="N68" i="122"/>
  <c r="M68" i="122"/>
  <c r="L68" i="122"/>
  <c r="K68" i="122"/>
  <c r="I68" i="122"/>
  <c r="H68" i="122"/>
  <c r="G68" i="122"/>
  <c r="F68" i="122"/>
  <c r="E68" i="122"/>
  <c r="AB67" i="122"/>
  <c r="W67" i="122"/>
  <c r="J67" i="122"/>
  <c r="F67" i="122"/>
  <c r="E67" i="122"/>
  <c r="W64" i="122"/>
  <c r="J64" i="122"/>
  <c r="F64" i="122"/>
  <c r="E64" i="122"/>
  <c r="AA63" i="122"/>
  <c r="Z63" i="122"/>
  <c r="Y63" i="122"/>
  <c r="X63" i="122"/>
  <c r="W63" i="122"/>
  <c r="V63" i="122"/>
  <c r="U63" i="122"/>
  <c r="T63" i="122"/>
  <c r="S63" i="122"/>
  <c r="R63" i="122"/>
  <c r="Q63" i="122"/>
  <c r="P63" i="122"/>
  <c r="O63" i="122"/>
  <c r="N63" i="122"/>
  <c r="M63" i="122"/>
  <c r="L63" i="122"/>
  <c r="K63" i="122"/>
  <c r="J63" i="122"/>
  <c r="I63" i="122"/>
  <c r="H63" i="122"/>
  <c r="G63" i="122"/>
  <c r="F63" i="122"/>
  <c r="E63" i="122"/>
  <c r="AA60" i="122"/>
  <c r="AA62" i="122" s="1"/>
  <c r="Z60" i="122"/>
  <c r="Z62" i="122" s="1"/>
  <c r="Y60" i="122"/>
  <c r="Y62" i="122" s="1"/>
  <c r="X60" i="122"/>
  <c r="W60" i="122"/>
  <c r="V60" i="122"/>
  <c r="U60" i="122"/>
  <c r="T60" i="122"/>
  <c r="S60" i="122"/>
  <c r="R60" i="122"/>
  <c r="Q60" i="122"/>
  <c r="P60" i="122"/>
  <c r="O60" i="122"/>
  <c r="N60" i="122"/>
  <c r="M60" i="122"/>
  <c r="L60" i="122"/>
  <c r="K60" i="122"/>
  <c r="J60" i="122"/>
  <c r="I60" i="122"/>
  <c r="H60" i="122"/>
  <c r="G60" i="122"/>
  <c r="F60" i="122"/>
  <c r="E60" i="122"/>
  <c r="AB59" i="122"/>
  <c r="AA59" i="122"/>
  <c r="Z59" i="122"/>
  <c r="X59" i="122"/>
  <c r="U59" i="122"/>
  <c r="T59" i="122"/>
  <c r="R59" i="122"/>
  <c r="Q59" i="122"/>
  <c r="P59" i="122"/>
  <c r="N59" i="122"/>
  <c r="M59" i="122"/>
  <c r="K59" i="122"/>
  <c r="I59" i="122"/>
  <c r="E59" i="122"/>
  <c r="AA56" i="122"/>
  <c r="Z56" i="122"/>
  <c r="Z58" i="122" s="1"/>
  <c r="X56" i="122"/>
  <c r="U56" i="122"/>
  <c r="T56" i="122"/>
  <c r="R56" i="122"/>
  <c r="Q56" i="122"/>
  <c r="P56" i="122"/>
  <c r="N56" i="122"/>
  <c r="M56" i="122"/>
  <c r="K56" i="122"/>
  <c r="I56" i="122"/>
  <c r="E56" i="122"/>
  <c r="AB55" i="122"/>
  <c r="AA55" i="122"/>
  <c r="Z55" i="122"/>
  <c r="Y55" i="122"/>
  <c r="X55" i="122"/>
  <c r="W55" i="122"/>
  <c r="V55" i="122"/>
  <c r="U55" i="122"/>
  <c r="T55" i="122"/>
  <c r="S55" i="122"/>
  <c r="R55" i="122"/>
  <c r="Q55" i="122"/>
  <c r="P55" i="122"/>
  <c r="N55" i="122"/>
  <c r="M55" i="122"/>
  <c r="L55" i="122"/>
  <c r="K55" i="122"/>
  <c r="J55" i="122"/>
  <c r="I55" i="122"/>
  <c r="H55" i="122"/>
  <c r="F55" i="122"/>
  <c r="E55" i="122"/>
  <c r="AB52" i="122"/>
  <c r="AA52" i="122"/>
  <c r="Z52" i="122"/>
  <c r="Y52" i="122"/>
  <c r="X52" i="122"/>
  <c r="W52" i="122"/>
  <c r="V52" i="122"/>
  <c r="U52" i="122"/>
  <c r="T52" i="122"/>
  <c r="S52" i="122"/>
  <c r="R52" i="122"/>
  <c r="Q52" i="122"/>
  <c r="P52" i="122"/>
  <c r="N52" i="122"/>
  <c r="M52" i="122"/>
  <c r="L52" i="122"/>
  <c r="K52" i="122"/>
  <c r="J52" i="122"/>
  <c r="I52" i="122"/>
  <c r="H52" i="122"/>
  <c r="F52" i="122"/>
  <c r="E52" i="122"/>
  <c r="AB117" i="122"/>
  <c r="AA117" i="122"/>
  <c r="Z117" i="122"/>
  <c r="Y117" i="122"/>
  <c r="X117" i="122"/>
  <c r="W117" i="122"/>
  <c r="V117" i="122"/>
  <c r="U117" i="122"/>
  <c r="S117" i="122"/>
  <c r="R117" i="122"/>
  <c r="Q117" i="122"/>
  <c r="P117" i="122"/>
  <c r="O117" i="122"/>
  <c r="N117" i="122"/>
  <c r="M117" i="122"/>
  <c r="L117" i="122"/>
  <c r="K117" i="122"/>
  <c r="I117" i="122"/>
  <c r="H117" i="122"/>
  <c r="G117" i="122"/>
  <c r="F117" i="122"/>
  <c r="E117" i="122"/>
  <c r="AB114" i="122"/>
  <c r="AB116" i="122" s="1"/>
  <c r="AA114" i="122"/>
  <c r="AA116" i="122" s="1"/>
  <c r="Z114" i="122"/>
  <c r="Z116" i="122" s="1"/>
  <c r="Y114" i="122"/>
  <c r="Y116" i="122" s="1"/>
  <c r="X114" i="122"/>
  <c r="W114" i="122"/>
  <c r="V114" i="122"/>
  <c r="U114" i="122"/>
  <c r="S114" i="122"/>
  <c r="R114" i="122"/>
  <c r="Q114" i="122"/>
  <c r="P114" i="122"/>
  <c r="O114" i="122"/>
  <c r="N114" i="122"/>
  <c r="M114" i="122"/>
  <c r="L114" i="122"/>
  <c r="K114" i="122"/>
  <c r="I114" i="122"/>
  <c r="H114" i="122"/>
  <c r="G114" i="122"/>
  <c r="F114" i="122"/>
  <c r="E114" i="122"/>
  <c r="D114" i="122"/>
  <c r="AB113" i="122"/>
  <c r="AA113" i="122"/>
  <c r="Z113" i="122"/>
  <c r="Y113" i="122"/>
  <c r="X113" i="122"/>
  <c r="W113" i="122"/>
  <c r="V113" i="122"/>
  <c r="U113" i="122"/>
  <c r="T113" i="122"/>
  <c r="S113" i="122"/>
  <c r="P113" i="122"/>
  <c r="O113" i="122"/>
  <c r="N113" i="122"/>
  <c r="M113" i="122"/>
  <c r="L113" i="122"/>
  <c r="K113" i="122"/>
  <c r="J113" i="122"/>
  <c r="I113" i="122"/>
  <c r="H113" i="122"/>
  <c r="G113" i="122"/>
  <c r="F113" i="122"/>
  <c r="E113" i="122"/>
  <c r="AB110" i="122"/>
  <c r="AB112" i="122" s="1"/>
  <c r="AA110" i="122"/>
  <c r="AA112" i="122" s="1"/>
  <c r="Z110" i="122"/>
  <c r="Z112" i="122" s="1"/>
  <c r="Y110" i="122"/>
  <c r="Y112" i="122" s="1"/>
  <c r="X110" i="122"/>
  <c r="X112" i="122" s="1"/>
  <c r="W110" i="122"/>
  <c r="W112" i="122" s="1"/>
  <c r="V110" i="122"/>
  <c r="V112" i="122" s="1"/>
  <c r="U110" i="122"/>
  <c r="U112" i="122" s="1"/>
  <c r="T110" i="122"/>
  <c r="T112" i="122" s="1"/>
  <c r="S110" i="122"/>
  <c r="S112" i="122" s="1"/>
  <c r="P110" i="122"/>
  <c r="P112" i="122" s="1"/>
  <c r="O110" i="122"/>
  <c r="O112" i="122" s="1"/>
  <c r="N110" i="122"/>
  <c r="N112" i="122" s="1"/>
  <c r="M110" i="122"/>
  <c r="M112" i="122" s="1"/>
  <c r="L110" i="122"/>
  <c r="L112" i="122" s="1"/>
  <c r="K110" i="122"/>
  <c r="K112" i="122" s="1"/>
  <c r="I110" i="122"/>
  <c r="I112" i="122" s="1"/>
  <c r="H110" i="122"/>
  <c r="H112" i="122" s="1"/>
  <c r="G110" i="122"/>
  <c r="G112" i="122" s="1"/>
  <c r="F110" i="122"/>
  <c r="F112" i="122" s="1"/>
  <c r="E110" i="122"/>
  <c r="E112" i="122" s="1"/>
  <c r="D110" i="122"/>
  <c r="AB109" i="122"/>
  <c r="AA109" i="122"/>
  <c r="Z109" i="122"/>
  <c r="Y109" i="122"/>
  <c r="X109" i="122"/>
  <c r="W109" i="122"/>
  <c r="V109" i="122"/>
  <c r="U109" i="122"/>
  <c r="T109" i="122"/>
  <c r="S109" i="122"/>
  <c r="R109" i="122"/>
  <c r="Q109" i="122"/>
  <c r="P109" i="122"/>
  <c r="O109" i="122"/>
  <c r="N109" i="122"/>
  <c r="M109" i="122"/>
  <c r="L109" i="122"/>
  <c r="K109" i="122"/>
  <c r="J109" i="122"/>
  <c r="I109" i="122"/>
  <c r="H109" i="122"/>
  <c r="G109" i="122"/>
  <c r="F109" i="122"/>
  <c r="E109" i="122"/>
  <c r="AB106" i="122"/>
  <c r="AB108" i="122" s="1"/>
  <c r="AA106" i="122"/>
  <c r="AA108" i="122" s="1"/>
  <c r="Z106" i="122"/>
  <c r="Z108" i="122" s="1"/>
  <c r="Y106" i="122"/>
  <c r="Y108" i="122" s="1"/>
  <c r="X106" i="122"/>
  <c r="W106" i="122"/>
  <c r="V106" i="122"/>
  <c r="U106" i="122"/>
  <c r="T106" i="122"/>
  <c r="S106" i="122"/>
  <c r="R106" i="122"/>
  <c r="Q106" i="122"/>
  <c r="P106" i="122"/>
  <c r="O106" i="122"/>
  <c r="N106" i="122"/>
  <c r="M106" i="122"/>
  <c r="L106" i="122"/>
  <c r="K106" i="122"/>
  <c r="J106" i="122"/>
  <c r="I106" i="122"/>
  <c r="H106" i="122"/>
  <c r="G106" i="122"/>
  <c r="F106" i="122"/>
  <c r="E106" i="122"/>
  <c r="D106" i="122"/>
  <c r="Y105" i="122"/>
  <c r="S105" i="122"/>
  <c r="R105" i="122"/>
  <c r="O105" i="122"/>
  <c r="L105" i="122"/>
  <c r="K105" i="122"/>
  <c r="J105" i="122"/>
  <c r="I105" i="122"/>
  <c r="H105" i="122"/>
  <c r="G105" i="122"/>
  <c r="F105" i="122"/>
  <c r="E105" i="122"/>
  <c r="Y102" i="122"/>
  <c r="Y104" i="122" s="1"/>
  <c r="S102" i="122"/>
  <c r="R102" i="122"/>
  <c r="O102" i="122"/>
  <c r="L102" i="122"/>
  <c r="K102" i="122"/>
  <c r="J102" i="122"/>
  <c r="I102" i="122"/>
  <c r="H102" i="122"/>
  <c r="G102" i="122"/>
  <c r="F102" i="122"/>
  <c r="E102" i="122"/>
  <c r="D102" i="122"/>
  <c r="Y101" i="122"/>
  <c r="X101" i="122"/>
  <c r="W101" i="122"/>
  <c r="U101" i="122"/>
  <c r="T101" i="122"/>
  <c r="S101" i="122"/>
  <c r="N101" i="122"/>
  <c r="M101" i="122"/>
  <c r="L101" i="122"/>
  <c r="K101" i="122"/>
  <c r="J101" i="122"/>
  <c r="I101" i="122"/>
  <c r="H101" i="122"/>
  <c r="G101" i="122"/>
  <c r="F101" i="122"/>
  <c r="E101" i="122"/>
  <c r="Y98" i="122"/>
  <c r="X98" i="122"/>
  <c r="W98" i="122"/>
  <c r="U98" i="122"/>
  <c r="T98" i="122"/>
  <c r="S98" i="122"/>
  <c r="N98" i="122"/>
  <c r="M98" i="122"/>
  <c r="L98" i="122"/>
  <c r="K98" i="122"/>
  <c r="J98" i="122"/>
  <c r="I98" i="122"/>
  <c r="H98" i="122"/>
  <c r="G98" i="122"/>
  <c r="F98" i="122"/>
  <c r="E98" i="122"/>
  <c r="D98" i="122"/>
  <c r="AB21" i="122"/>
  <c r="AA21" i="122"/>
  <c r="Z21" i="122"/>
  <c r="Y21" i="122"/>
  <c r="X21" i="122"/>
  <c r="T21" i="122"/>
  <c r="S21" i="122"/>
  <c r="R21" i="122"/>
  <c r="Q21" i="122"/>
  <c r="O21" i="122"/>
  <c r="N21" i="122"/>
  <c r="M21" i="122"/>
  <c r="J21" i="122"/>
  <c r="I21" i="122"/>
  <c r="H21" i="122"/>
  <c r="G21" i="122"/>
  <c r="F21" i="122"/>
  <c r="E21" i="122"/>
  <c r="AB18" i="122"/>
  <c r="AB20" i="122" s="1"/>
  <c r="AA18" i="122"/>
  <c r="AA20" i="122" s="1"/>
  <c r="Z18" i="122"/>
  <c r="Z20" i="122" s="1"/>
  <c r="Y18" i="122"/>
  <c r="Y20" i="122" s="1"/>
  <c r="X18" i="122"/>
  <c r="T18" i="122"/>
  <c r="S18" i="122"/>
  <c r="R18" i="122"/>
  <c r="Q18" i="122"/>
  <c r="O18" i="122"/>
  <c r="N18" i="122"/>
  <c r="M18" i="122"/>
  <c r="J18" i="122"/>
  <c r="I18" i="122"/>
  <c r="H18" i="122"/>
  <c r="G18" i="122"/>
  <c r="F18" i="122"/>
  <c r="E18" i="122"/>
  <c r="AB17" i="122"/>
  <c r="Z17" i="122"/>
  <c r="Y17" i="122"/>
  <c r="X17" i="122"/>
  <c r="W17" i="122"/>
  <c r="V17" i="122"/>
  <c r="U17" i="122"/>
  <c r="T17" i="122"/>
  <c r="S17" i="122"/>
  <c r="R17" i="122"/>
  <c r="P17" i="122"/>
  <c r="O17" i="122"/>
  <c r="N17" i="122"/>
  <c r="M17" i="122"/>
  <c r="L17" i="122"/>
  <c r="K17" i="122"/>
  <c r="J17" i="122"/>
  <c r="I17" i="122"/>
  <c r="H17" i="122"/>
  <c r="G17" i="122"/>
  <c r="F17" i="122"/>
  <c r="E17" i="122"/>
  <c r="AB14" i="122"/>
  <c r="AB16" i="122" s="1"/>
  <c r="Z14" i="122"/>
  <c r="Z16" i="122" s="1"/>
  <c r="Y14" i="122"/>
  <c r="Y16" i="122" s="1"/>
  <c r="X14" i="122"/>
  <c r="X16" i="122" s="1"/>
  <c r="W14" i="122"/>
  <c r="W16" i="122" s="1"/>
  <c r="V14" i="122"/>
  <c r="V16" i="122" s="1"/>
  <c r="U14" i="122"/>
  <c r="U16" i="122" s="1"/>
  <c r="T14" i="122"/>
  <c r="T16" i="122" s="1"/>
  <c r="S14" i="122"/>
  <c r="S16" i="122" s="1"/>
  <c r="R14" i="122"/>
  <c r="R16" i="122" s="1"/>
  <c r="P14" i="122"/>
  <c r="O14" i="122"/>
  <c r="O16" i="122" s="1"/>
  <c r="N14" i="122"/>
  <c r="N16" i="122" s="1"/>
  <c r="M14" i="122"/>
  <c r="M16" i="122" s="1"/>
  <c r="L14" i="122"/>
  <c r="K14" i="122"/>
  <c r="J14" i="122"/>
  <c r="J16" i="122" s="1"/>
  <c r="I14" i="122"/>
  <c r="I16" i="122" s="1"/>
  <c r="H14" i="122"/>
  <c r="H16" i="122" s="1"/>
  <c r="G14" i="122"/>
  <c r="G16" i="122" s="1"/>
  <c r="F14" i="122"/>
  <c r="F16" i="122" s="1"/>
  <c r="E14" i="122"/>
  <c r="E16" i="122" s="1"/>
  <c r="AB13" i="122"/>
  <c r="AA13" i="122"/>
  <c r="Z13" i="122"/>
  <c r="Y13" i="122"/>
  <c r="X13" i="122"/>
  <c r="W13" i="122"/>
  <c r="V13" i="122"/>
  <c r="U13" i="122"/>
  <c r="T13" i="122"/>
  <c r="S13" i="122"/>
  <c r="R13" i="122"/>
  <c r="P13" i="122"/>
  <c r="O13" i="122"/>
  <c r="N13" i="122"/>
  <c r="M13" i="122"/>
  <c r="L13" i="122"/>
  <c r="K13" i="122"/>
  <c r="J13" i="122"/>
  <c r="I13" i="122"/>
  <c r="H13" i="122"/>
  <c r="F13" i="122"/>
  <c r="E13" i="122"/>
  <c r="AB10" i="122"/>
  <c r="AB12" i="122" s="1"/>
  <c r="AA10" i="122"/>
  <c r="AA12" i="122" s="1"/>
  <c r="Z10" i="122"/>
  <c r="Z12" i="122" s="1"/>
  <c r="Y10" i="122"/>
  <c r="Y12" i="122" s="1"/>
  <c r="X10" i="122"/>
  <c r="W10" i="122"/>
  <c r="V10" i="122"/>
  <c r="U10" i="122"/>
  <c r="T10" i="122"/>
  <c r="S10" i="122"/>
  <c r="R10" i="122"/>
  <c r="P10" i="122"/>
  <c r="O10" i="122"/>
  <c r="N10" i="122"/>
  <c r="M10" i="122"/>
  <c r="L10" i="122"/>
  <c r="K10" i="122"/>
  <c r="J10" i="122"/>
  <c r="I10" i="122"/>
  <c r="H10" i="122"/>
  <c r="F10" i="122"/>
  <c r="E10" i="122"/>
  <c r="O9" i="122"/>
  <c r="F9" i="122"/>
  <c r="O6" i="122"/>
  <c r="F6" i="122"/>
  <c r="X5" i="122"/>
  <c r="W5" i="122"/>
  <c r="V5" i="122"/>
  <c r="U5" i="122"/>
  <c r="S5" i="122"/>
  <c r="N5" i="122"/>
  <c r="K5" i="122"/>
  <c r="I5" i="122"/>
  <c r="G5" i="122"/>
  <c r="F5" i="122"/>
  <c r="E5" i="122"/>
  <c r="X2" i="122"/>
  <c r="W2" i="122"/>
  <c r="V2" i="122"/>
  <c r="U2" i="122"/>
  <c r="S2" i="122"/>
  <c r="N2" i="122"/>
  <c r="K2" i="122"/>
  <c r="I2" i="122"/>
  <c r="G2" i="122"/>
  <c r="F2" i="122"/>
  <c r="E2" i="122"/>
  <c r="AB45" i="122"/>
  <c r="AA45" i="122"/>
  <c r="Z45" i="122"/>
  <c r="Y45" i="122"/>
  <c r="X45" i="122"/>
  <c r="W45" i="122"/>
  <c r="R45" i="122"/>
  <c r="Q45" i="122"/>
  <c r="P45" i="122"/>
  <c r="O45" i="122"/>
  <c r="N45" i="122"/>
  <c r="M45" i="122"/>
  <c r="L45" i="122"/>
  <c r="K45" i="122"/>
  <c r="J45" i="122"/>
  <c r="I45" i="122"/>
  <c r="H45" i="122"/>
  <c r="G45" i="122"/>
  <c r="F45" i="122"/>
  <c r="E45" i="122"/>
  <c r="AB42" i="122"/>
  <c r="AB44" i="122" s="1"/>
  <c r="AA42" i="122"/>
  <c r="AA44" i="122" s="1"/>
  <c r="Z42" i="122"/>
  <c r="Z44" i="122" s="1"/>
  <c r="Y42" i="122"/>
  <c r="Y44" i="122" s="1"/>
  <c r="X42" i="122"/>
  <c r="X44" i="122" s="1"/>
  <c r="W42" i="122"/>
  <c r="R42" i="122"/>
  <c r="Q42" i="122"/>
  <c r="P42" i="122"/>
  <c r="O42" i="122"/>
  <c r="N42" i="122"/>
  <c r="N44" i="122" s="1"/>
  <c r="M42" i="122"/>
  <c r="L42" i="122"/>
  <c r="L44" i="122" s="1"/>
  <c r="K42" i="122"/>
  <c r="J42" i="122"/>
  <c r="I42" i="122"/>
  <c r="H42" i="122"/>
  <c r="H44" i="122" s="1"/>
  <c r="G42" i="122"/>
  <c r="G44" i="122" s="1"/>
  <c r="F42" i="122"/>
  <c r="F44" i="122" s="1"/>
  <c r="E42" i="122"/>
  <c r="E44" i="122" s="1"/>
  <c r="U41" i="122"/>
  <c r="N41" i="122"/>
  <c r="L41" i="122"/>
  <c r="H41" i="122"/>
  <c r="G41" i="122"/>
  <c r="F41" i="122"/>
  <c r="E41" i="122"/>
  <c r="U38" i="122"/>
  <c r="N38" i="122"/>
  <c r="L38" i="122"/>
  <c r="H38" i="122"/>
  <c r="G38" i="122"/>
  <c r="F38" i="122"/>
  <c r="E38" i="122"/>
  <c r="AB37" i="122"/>
  <c r="AA37" i="122"/>
  <c r="X37" i="122"/>
  <c r="V37" i="122"/>
  <c r="U37" i="122"/>
  <c r="T37" i="122"/>
  <c r="R37" i="122"/>
  <c r="O37" i="122"/>
  <c r="N37" i="122"/>
  <c r="M37" i="122"/>
  <c r="L37" i="122"/>
  <c r="K37" i="122"/>
  <c r="G37" i="122"/>
  <c r="F37" i="122"/>
  <c r="E37" i="122"/>
  <c r="AB34" i="122"/>
  <c r="AB36" i="122" s="1"/>
  <c r="AA34" i="122"/>
  <c r="AA36" i="122" s="1"/>
  <c r="X34" i="122"/>
  <c r="V34" i="122"/>
  <c r="U34" i="122"/>
  <c r="T34" i="122"/>
  <c r="R34" i="122"/>
  <c r="O34" i="122"/>
  <c r="N34" i="122"/>
  <c r="M34" i="122"/>
  <c r="L34" i="122"/>
  <c r="K34" i="122"/>
  <c r="G34" i="122"/>
  <c r="F34" i="122"/>
  <c r="E34" i="122"/>
  <c r="W33" i="122"/>
  <c r="U33" i="122"/>
  <c r="T33" i="122"/>
  <c r="S33" i="122"/>
  <c r="Q33" i="122"/>
  <c r="P33" i="122"/>
  <c r="O33" i="122"/>
  <c r="L33" i="122"/>
  <c r="J33" i="122"/>
  <c r="I33" i="122"/>
  <c r="H33" i="122"/>
  <c r="G33" i="122"/>
  <c r="F33" i="122"/>
  <c r="E33" i="122"/>
  <c r="W30" i="122"/>
  <c r="U30" i="122"/>
  <c r="T30" i="122"/>
  <c r="S30" i="122"/>
  <c r="Q30" i="122"/>
  <c r="P30" i="122"/>
  <c r="O30" i="122"/>
  <c r="L30" i="122"/>
  <c r="J30" i="122"/>
  <c r="I30" i="122"/>
  <c r="H30" i="122"/>
  <c r="G30" i="122"/>
  <c r="F30" i="122"/>
  <c r="E30" i="122"/>
  <c r="F29" i="122"/>
  <c r="E29" i="122"/>
  <c r="F26" i="122"/>
  <c r="E26" i="122"/>
  <c r="Z134" i="122"/>
  <c r="Z136" i="122" s="1"/>
  <c r="Y134" i="122"/>
  <c r="Y136" i="122" s="1"/>
  <c r="X134" i="122"/>
  <c r="W134" i="122"/>
  <c r="V134" i="122"/>
  <c r="U134" i="122"/>
  <c r="T134" i="122"/>
  <c r="S134" i="122"/>
  <c r="R134" i="122"/>
  <c r="Q134" i="122"/>
  <c r="P134" i="122"/>
  <c r="AB133" i="122"/>
  <c r="AA133" i="122"/>
  <c r="Z133" i="122"/>
  <c r="Y133" i="122"/>
  <c r="X133" i="122"/>
  <c r="W133" i="122"/>
  <c r="V133" i="122"/>
  <c r="U133" i="122"/>
  <c r="T133" i="122"/>
  <c r="S133" i="122"/>
  <c r="P133" i="122"/>
  <c r="O133" i="122"/>
  <c r="N133" i="122"/>
  <c r="M133" i="122"/>
  <c r="L133" i="122"/>
  <c r="K133" i="122"/>
  <c r="J133" i="122"/>
  <c r="I133" i="122"/>
  <c r="H133" i="122"/>
  <c r="G133" i="122"/>
  <c r="F133" i="122"/>
  <c r="E133" i="122"/>
  <c r="AB130" i="122"/>
  <c r="AB132" i="122" s="1"/>
  <c r="AA130" i="122"/>
  <c r="AA132" i="122" s="1"/>
  <c r="Z130" i="122"/>
  <c r="Z132" i="122" s="1"/>
  <c r="Y130" i="122"/>
  <c r="Y132" i="122" s="1"/>
  <c r="X130" i="122"/>
  <c r="W130" i="122"/>
  <c r="V130" i="122"/>
  <c r="U130" i="122"/>
  <c r="T130" i="122"/>
  <c r="S130" i="122"/>
  <c r="P130" i="122"/>
  <c r="O130" i="122"/>
  <c r="N130" i="122"/>
  <c r="M130" i="122"/>
  <c r="L130" i="122"/>
  <c r="K130" i="122"/>
  <c r="J130" i="122"/>
  <c r="I130" i="122"/>
  <c r="H130" i="122"/>
  <c r="G130" i="122"/>
  <c r="F130" i="122"/>
  <c r="E130" i="122"/>
  <c r="D130" i="122"/>
  <c r="AA129" i="122"/>
  <c r="Y129" i="122"/>
  <c r="W129" i="122"/>
  <c r="V129" i="122"/>
  <c r="U129" i="122"/>
  <c r="T129" i="122"/>
  <c r="S129" i="122"/>
  <c r="Q129" i="122"/>
  <c r="P129" i="122"/>
  <c r="O129" i="122"/>
  <c r="N129" i="122"/>
  <c r="M129" i="122"/>
  <c r="L129" i="122"/>
  <c r="K129" i="122"/>
  <c r="J129" i="122"/>
  <c r="I129" i="122"/>
  <c r="H129" i="122"/>
  <c r="G129" i="122"/>
  <c r="F129" i="122"/>
  <c r="E129" i="122"/>
  <c r="AA126" i="122"/>
  <c r="AA128" i="122" s="1"/>
  <c r="Y126" i="122"/>
  <c r="Y128" i="122" s="1"/>
  <c r="W126" i="122"/>
  <c r="V126" i="122"/>
  <c r="U126" i="122"/>
  <c r="T126" i="122"/>
  <c r="S126" i="122"/>
  <c r="Q126" i="122"/>
  <c r="P126" i="122"/>
  <c r="O126" i="122"/>
  <c r="N126" i="122"/>
  <c r="M126" i="122"/>
  <c r="L126" i="122"/>
  <c r="K126" i="122"/>
  <c r="J126" i="122"/>
  <c r="I126" i="122"/>
  <c r="H126" i="122"/>
  <c r="G126" i="122"/>
  <c r="F126" i="122"/>
  <c r="E126" i="122"/>
  <c r="D126" i="122"/>
  <c r="AA125" i="122"/>
  <c r="Z125" i="122"/>
  <c r="X125" i="122"/>
  <c r="V125" i="122"/>
  <c r="M125" i="122"/>
  <c r="L125" i="122"/>
  <c r="K125" i="122"/>
  <c r="J125" i="122"/>
  <c r="I125" i="122"/>
  <c r="H125" i="122"/>
  <c r="G125" i="122"/>
  <c r="F125" i="122"/>
  <c r="E125" i="122"/>
  <c r="AA122" i="122"/>
  <c r="AA124" i="122" s="1"/>
  <c r="Z122" i="122"/>
  <c r="Z124" i="122" s="1"/>
  <c r="X122" i="122"/>
  <c r="V122" i="122"/>
  <c r="M122" i="122"/>
  <c r="L122" i="122"/>
  <c r="K122" i="122"/>
  <c r="J122" i="122"/>
  <c r="I122" i="122"/>
  <c r="H122" i="122"/>
  <c r="G122" i="122"/>
  <c r="F122" i="122"/>
  <c r="E122" i="122"/>
  <c r="D122" i="122"/>
  <c r="AB91" i="122"/>
  <c r="AA91" i="122"/>
  <c r="Z91" i="122"/>
  <c r="Y91" i="122"/>
  <c r="X91" i="122"/>
  <c r="W91" i="122"/>
  <c r="V91" i="122"/>
  <c r="U91" i="122"/>
  <c r="T91" i="122"/>
  <c r="S91" i="122"/>
  <c r="R91" i="122"/>
  <c r="Q91" i="122"/>
  <c r="L91" i="122"/>
  <c r="J91" i="122"/>
  <c r="I91" i="122"/>
  <c r="H91" i="122"/>
  <c r="G91" i="122"/>
  <c r="F91" i="122"/>
  <c r="E91" i="122"/>
  <c r="AB88" i="122"/>
  <c r="AB90" i="122" s="1"/>
  <c r="AA88" i="122"/>
  <c r="AA90" i="122" s="1"/>
  <c r="Z88" i="122"/>
  <c r="Z90" i="122" s="1"/>
  <c r="Y88" i="122"/>
  <c r="Y90" i="122" s="1"/>
  <c r="X88" i="122"/>
  <c r="W88" i="122"/>
  <c r="V88" i="122"/>
  <c r="U88" i="122"/>
  <c r="T88" i="122"/>
  <c r="S88" i="122"/>
  <c r="R88" i="122"/>
  <c r="Q88" i="122"/>
  <c r="L88" i="122"/>
  <c r="J88" i="122"/>
  <c r="I88" i="122"/>
  <c r="H88" i="122"/>
  <c r="G88" i="122"/>
  <c r="F88" i="122"/>
  <c r="E88" i="122"/>
  <c r="AB87" i="122"/>
  <c r="AA87" i="122"/>
  <c r="Z87" i="122"/>
  <c r="Y87" i="122"/>
  <c r="X87" i="122"/>
  <c r="W87" i="122"/>
  <c r="V87" i="122"/>
  <c r="U87" i="122"/>
  <c r="T87" i="122"/>
  <c r="S87" i="122"/>
  <c r="R87" i="122"/>
  <c r="Q87" i="122"/>
  <c r="P87" i="122"/>
  <c r="O87" i="122"/>
  <c r="N87" i="122"/>
  <c r="M87" i="122"/>
  <c r="L87" i="122"/>
  <c r="K87" i="122"/>
  <c r="J87" i="122"/>
  <c r="I87" i="122"/>
  <c r="G87" i="122"/>
  <c r="F87" i="122"/>
  <c r="E87" i="122"/>
  <c r="AB84" i="122"/>
  <c r="AB86" i="122" s="1"/>
  <c r="AA84" i="122"/>
  <c r="AA86" i="122" s="1"/>
  <c r="Z84" i="122"/>
  <c r="Z86" i="122" s="1"/>
  <c r="Y84" i="122"/>
  <c r="Y86" i="122" s="1"/>
  <c r="X84" i="122"/>
  <c r="W84" i="122"/>
  <c r="V84" i="122"/>
  <c r="U84" i="122"/>
  <c r="T84" i="122"/>
  <c r="S84" i="122"/>
  <c r="R84" i="122"/>
  <c r="Q84" i="122"/>
  <c r="P84" i="122"/>
  <c r="O84" i="122"/>
  <c r="N84" i="122"/>
  <c r="M84" i="122"/>
  <c r="L84" i="122"/>
  <c r="K84" i="122"/>
  <c r="J84" i="122"/>
  <c r="I84" i="122"/>
  <c r="G84" i="122"/>
  <c r="F84" i="122"/>
  <c r="E84" i="122"/>
  <c r="Z83" i="122"/>
  <c r="Y83" i="122"/>
  <c r="X83" i="122"/>
  <c r="W83" i="122"/>
  <c r="V83" i="122"/>
  <c r="U83" i="122"/>
  <c r="T83" i="122"/>
  <c r="S83" i="122"/>
  <c r="R83" i="122"/>
  <c r="Q83" i="122"/>
  <c r="P83" i="122"/>
  <c r="O83" i="122"/>
  <c r="N83" i="122"/>
  <c r="M83" i="122"/>
  <c r="L83" i="122"/>
  <c r="K83" i="122"/>
  <c r="J83" i="122"/>
  <c r="I83" i="122"/>
  <c r="H83" i="122"/>
  <c r="G83" i="122"/>
  <c r="F83" i="122"/>
  <c r="E83" i="122"/>
  <c r="Z80" i="122"/>
  <c r="Z82" i="122" s="1"/>
  <c r="Y80" i="122"/>
  <c r="Y82" i="122" s="1"/>
  <c r="X80" i="122"/>
  <c r="W80" i="122"/>
  <c r="V80" i="122"/>
  <c r="U80" i="122"/>
  <c r="T80" i="122"/>
  <c r="S80" i="122"/>
  <c r="R80" i="122"/>
  <c r="Q80" i="122"/>
  <c r="P80" i="122"/>
  <c r="O80" i="122"/>
  <c r="N80" i="122"/>
  <c r="M80" i="122"/>
  <c r="L80" i="122"/>
  <c r="K80" i="122"/>
  <c r="J80" i="122"/>
  <c r="I80" i="122"/>
  <c r="H80" i="122"/>
  <c r="G80" i="122"/>
  <c r="F80" i="122"/>
  <c r="E80" i="122"/>
  <c r="AB79" i="122"/>
  <c r="AA79" i="122"/>
  <c r="Z79" i="122"/>
  <c r="X79" i="122"/>
  <c r="V79" i="122"/>
  <c r="K79" i="122"/>
  <c r="G79" i="122"/>
  <c r="F79" i="122"/>
  <c r="E79" i="122"/>
  <c r="AB76" i="122"/>
  <c r="AA76" i="122"/>
  <c r="Z76" i="122"/>
  <c r="X76" i="122"/>
  <c r="V76" i="122"/>
  <c r="K76" i="122"/>
  <c r="G76" i="122"/>
  <c r="F76" i="122"/>
  <c r="E76" i="122"/>
  <c r="N137" i="122"/>
  <c r="L137" i="122"/>
  <c r="K137" i="122"/>
  <c r="J137" i="122"/>
  <c r="I137" i="122"/>
  <c r="H137" i="122"/>
  <c r="G137" i="122"/>
  <c r="F137" i="122"/>
  <c r="E137" i="122"/>
  <c r="N134" i="122"/>
  <c r="L134" i="122"/>
  <c r="K134" i="122"/>
  <c r="J134" i="122"/>
  <c r="I134" i="122"/>
  <c r="H134" i="122"/>
  <c r="G134" i="122"/>
  <c r="F134" i="122"/>
  <c r="E134" i="122"/>
  <c r="D134" i="122"/>
  <c r="Z137" i="122"/>
  <c r="Y137" i="122"/>
  <c r="X137" i="122"/>
  <c r="W137" i="122"/>
  <c r="V137" i="122"/>
  <c r="U137" i="122"/>
  <c r="T137" i="122"/>
  <c r="S137" i="122"/>
  <c r="R137" i="122"/>
  <c r="Q137" i="122"/>
  <c r="P137" i="122"/>
  <c r="U1216" i="3"/>
  <c r="U1179" i="3"/>
  <c r="AW1194" i="3" a="1"/>
  <c r="F1194" i="3" a="1"/>
  <c r="AX1194" i="3"/>
  <c r="AY1194" i="3" s="1"/>
  <c r="AU1194" i="3"/>
  <c r="BH1194" i="3"/>
  <c r="BG1194" i="3"/>
  <c r="BF1194" i="3"/>
  <c r="BE1194" i="3"/>
  <c r="AZ1194" i="3"/>
  <c r="AC1194" i="3"/>
  <c r="Z1194" i="3"/>
  <c r="S1194" i="3"/>
  <c r="R1194" i="3"/>
  <c r="C1194" i="3"/>
  <c r="X151" i="70"/>
  <c r="U1191" i="3"/>
  <c r="V1191" i="3" s="1"/>
  <c r="U1190" i="3"/>
  <c r="F1191" i="3" a="1"/>
  <c r="AX1191" i="3"/>
  <c r="AY1191" i="3" s="1"/>
  <c r="AW1191" i="3" a="1"/>
  <c r="AJ1191" i="3"/>
  <c r="AK1191" i="3"/>
  <c r="Z1191" i="3" s="1"/>
  <c r="BH1191" i="3"/>
  <c r="BG1191" i="3"/>
  <c r="BF1191" i="3"/>
  <c r="BE1191" i="3"/>
  <c r="AZ1191" i="3"/>
  <c r="AC1191" i="3"/>
  <c r="S1191" i="3"/>
  <c r="R1191" i="3"/>
  <c r="C1191" i="3"/>
  <c r="AW1215" i="3" a="1"/>
  <c r="F1215" i="3" a="1"/>
  <c r="AX1215" i="3"/>
  <c r="AY1215" i="3" s="1"/>
  <c r="Z1215" i="3"/>
  <c r="BH1215" i="3"/>
  <c r="BG1215" i="3"/>
  <c r="BF1215" i="3"/>
  <c r="BE1215" i="3"/>
  <c r="AZ1215" i="3"/>
  <c r="AC1215" i="3"/>
  <c r="S1215" i="3"/>
  <c r="R1215" i="3"/>
  <c r="C1215" i="3"/>
  <c r="U1201" i="3"/>
  <c r="U1180" i="3"/>
  <c r="U1186" i="3"/>
  <c r="V1186" i="3" s="1"/>
  <c r="U1171" i="3"/>
  <c r="BH1171" i="3"/>
  <c r="BG1171" i="3"/>
  <c r="BF1171" i="3"/>
  <c r="BE1171" i="3"/>
  <c r="AZ1171" i="3"/>
  <c r="AX1171" i="3"/>
  <c r="AY1171" i="3" s="1"/>
  <c r="AW1171" i="3" a="1"/>
  <c r="S1171" i="3"/>
  <c r="R1171" i="3"/>
  <c r="F1171" i="3" a="1"/>
  <c r="C1171" i="3"/>
  <c r="U1172" i="3"/>
  <c r="BH1172" i="3"/>
  <c r="BG1172" i="3"/>
  <c r="BF1172" i="3"/>
  <c r="BE1172" i="3"/>
  <c r="AZ1172" i="3"/>
  <c r="AX1172" i="3"/>
  <c r="AY1172" i="3" s="1"/>
  <c r="AW1172" i="3" a="1"/>
  <c r="S1172" i="3"/>
  <c r="R1172" i="3"/>
  <c r="F1172" i="3" a="1"/>
  <c r="C1172" i="3"/>
  <c r="U1173" i="3"/>
  <c r="AK1189" i="3"/>
  <c r="AJ1189" i="3"/>
  <c r="F1354" i="3" a="1"/>
  <c r="U1363" i="3"/>
  <c r="AW1363" i="3" a="1"/>
  <c r="F1363" i="3" a="1"/>
  <c r="AX1363" i="3"/>
  <c r="AY1363" i="3" s="1"/>
  <c r="AU1363" i="3"/>
  <c r="Z1363" i="3"/>
  <c r="BH1363" i="3"/>
  <c r="BG1363" i="3"/>
  <c r="BF1363" i="3"/>
  <c r="BE1363" i="3"/>
  <c r="AZ1363" i="3"/>
  <c r="AC1363" i="3"/>
  <c r="S1363" i="3"/>
  <c r="R1363" i="3"/>
  <c r="C1363" i="3"/>
  <c r="U1189" i="3"/>
  <c r="V1189" i="3" s="1"/>
  <c r="F1189" i="3" a="1"/>
  <c r="AX1189" i="3"/>
  <c r="AY1189" i="3" s="1"/>
  <c r="BH1189" i="3"/>
  <c r="BG1189" i="3"/>
  <c r="BF1189" i="3"/>
  <c r="BE1189" i="3"/>
  <c r="AZ1189" i="3"/>
  <c r="AC1189" i="3"/>
  <c r="S1189" i="3"/>
  <c r="R1189" i="3"/>
  <c r="C1189" i="3"/>
  <c r="U1204" i="3"/>
  <c r="F1379" i="3" a="1"/>
  <c r="AX1379" i="3"/>
  <c r="AY1379" i="3" s="1"/>
  <c r="AM1379" i="3"/>
  <c r="AN1379" i="3"/>
  <c r="AJ1379" i="3"/>
  <c r="AK1379" i="3"/>
  <c r="Z1379" i="3" s="1"/>
  <c r="BH1379" i="3"/>
  <c r="BG1379" i="3"/>
  <c r="BF1379" i="3"/>
  <c r="BE1379" i="3"/>
  <c r="AZ1379" i="3"/>
  <c r="AC1379" i="3"/>
  <c r="S1379" i="3"/>
  <c r="R1379" i="3"/>
  <c r="C1379" i="3"/>
  <c r="F1377" i="3" a="1"/>
  <c r="F1411" i="3" a="1"/>
  <c r="F1403" i="3" a="1"/>
  <c r="F1398" i="3" a="1"/>
  <c r="F1395" i="3" a="1"/>
  <c r="F1389" i="3" a="1"/>
  <c r="F1381" i="3" a="1"/>
  <c r="F1380" i="3" a="1"/>
  <c r="AX1381" i="3"/>
  <c r="AY1381" i="3" s="1"/>
  <c r="AX1389" i="3"/>
  <c r="AY1389" i="3" s="1"/>
  <c r="AX1395" i="3"/>
  <c r="AY1395" i="3" s="1"/>
  <c r="AX1398" i="3"/>
  <c r="AY1398" i="3" s="1"/>
  <c r="AX1403" i="3"/>
  <c r="AY1403" i="3" s="1"/>
  <c r="AX1411" i="3"/>
  <c r="AY1411" i="3" s="1"/>
  <c r="U1161" i="3"/>
  <c r="V1161" i="3" s="1"/>
  <c r="F289" i="70" a="1"/>
  <c r="BH1389" i="3"/>
  <c r="BH1395" i="3"/>
  <c r="BH1398" i="3"/>
  <c r="BH1403" i="3"/>
  <c r="BH1411" i="3"/>
  <c r="BG1389" i="3"/>
  <c r="BG1395" i="3"/>
  <c r="BG1398" i="3"/>
  <c r="BG1403" i="3"/>
  <c r="BG1411" i="3"/>
  <c r="BF1389" i="3"/>
  <c r="BF1395" i="3"/>
  <c r="BF1398" i="3"/>
  <c r="BF1403" i="3"/>
  <c r="BF1411" i="3"/>
  <c r="BE1389" i="3"/>
  <c r="BE1395" i="3"/>
  <c r="BE1398" i="3"/>
  <c r="BE1403" i="3"/>
  <c r="BE1411" i="3"/>
  <c r="AZ1389" i="3"/>
  <c r="AZ1395" i="3"/>
  <c r="AZ1398" i="3"/>
  <c r="AZ1403" i="3"/>
  <c r="AZ1411" i="3"/>
  <c r="AW1411" i="3" a="1"/>
  <c r="AW1403" i="3" a="1"/>
  <c r="AW1398" i="3" a="1"/>
  <c r="AW1395" i="3" a="1"/>
  <c r="AW1389" i="3" a="1"/>
  <c r="AC1389" i="3"/>
  <c r="AC1395" i="3"/>
  <c r="AC1398" i="3"/>
  <c r="AC1403" i="3"/>
  <c r="AC1411" i="3"/>
  <c r="Z1389" i="3"/>
  <c r="Z1395" i="3"/>
  <c r="Z1398" i="3"/>
  <c r="Z1403" i="3"/>
  <c r="Z1411" i="3"/>
  <c r="S1389" i="3"/>
  <c r="R1389" i="3"/>
  <c r="C1389" i="3"/>
  <c r="C1395" i="3"/>
  <c r="C1398" i="3"/>
  <c r="C1403" i="3"/>
  <c r="C1411" i="3"/>
  <c r="AW1380" i="3" a="1"/>
  <c r="AW1381" i="3" a="1"/>
  <c r="AZ1381" i="3"/>
  <c r="BE1381" i="3"/>
  <c r="BF1381" i="3"/>
  <c r="BG1381" i="3"/>
  <c r="BH1381" i="3"/>
  <c r="AC1381" i="3"/>
  <c r="Z1381" i="3"/>
  <c r="C1381" i="3"/>
  <c r="U1187" i="3"/>
  <c r="V1187" i="3" s="1"/>
  <c r="U1165" i="3"/>
  <c r="V1165" i="3" s="1"/>
  <c r="U1169" i="3"/>
  <c r="U1376" i="3"/>
  <c r="BH1169" i="3"/>
  <c r="BG1169" i="3"/>
  <c r="BF1169" i="3"/>
  <c r="BE1169" i="3"/>
  <c r="AZ1169" i="3"/>
  <c r="AX1169" i="3"/>
  <c r="AY1169" i="3" s="1"/>
  <c r="AW1169" i="3" a="1"/>
  <c r="AC1169" i="3"/>
  <c r="Z1169" i="3"/>
  <c r="S1169" i="3"/>
  <c r="R1169" i="3"/>
  <c r="F1169" i="3" a="1"/>
  <c r="C1169" i="3"/>
  <c r="U1184" i="3"/>
  <c r="BH1184" i="3"/>
  <c r="BG1184" i="3"/>
  <c r="BF1184" i="3"/>
  <c r="BE1184" i="3"/>
  <c r="AZ1184" i="3"/>
  <c r="AX1184" i="3"/>
  <c r="AY1184" i="3" s="1"/>
  <c r="AW1184" i="3" a="1"/>
  <c r="AU1184" i="3"/>
  <c r="AC1184" i="3"/>
  <c r="Z1184" i="3"/>
  <c r="S1184" i="3"/>
  <c r="R1184" i="3"/>
  <c r="F1184" i="3" a="1"/>
  <c r="C1184" i="3"/>
  <c r="U1200" i="3"/>
  <c r="V1200" i="3" s="1"/>
  <c r="U1160" i="3"/>
  <c r="AW1314" i="3" a="1"/>
  <c r="F1314" i="3" a="1"/>
  <c r="AX1314" i="3"/>
  <c r="AY1314" i="3" s="1"/>
  <c r="Z1314" i="3"/>
  <c r="BH1314" i="3"/>
  <c r="BG1314" i="3"/>
  <c r="BF1314" i="3"/>
  <c r="BE1314" i="3"/>
  <c r="AZ1314" i="3"/>
  <c r="AC1314" i="3"/>
  <c r="S1314" i="3"/>
  <c r="R1314" i="3"/>
  <c r="C1314" i="3"/>
  <c r="U1350" i="3"/>
  <c r="U1346" i="3"/>
  <c r="V1346" i="3" s="1"/>
  <c r="U1347" i="3"/>
  <c r="V1347" i="3" s="1"/>
  <c r="U1345" i="3"/>
  <c r="V1345" i="3" s="1"/>
  <c r="AW1347" i="3" a="1"/>
  <c r="F1347" i="3" a="1"/>
  <c r="AW1346" i="3" a="1"/>
  <c r="F1346" i="3" a="1"/>
  <c r="AW1345" i="3" a="1"/>
  <c r="F1345" i="3" a="1"/>
  <c r="C1345" i="3"/>
  <c r="R1345" i="3"/>
  <c r="S1345" i="3"/>
  <c r="Z1345" i="3"/>
  <c r="AC1345" i="3"/>
  <c r="AX1345" i="3"/>
  <c r="AY1345" i="3" s="1"/>
  <c r="AZ1345" i="3"/>
  <c r="BE1345" i="3"/>
  <c r="BF1345" i="3"/>
  <c r="BG1345" i="3"/>
  <c r="BH1345" i="3"/>
  <c r="C1346" i="3"/>
  <c r="R1346" i="3"/>
  <c r="S1346" i="3"/>
  <c r="Z1346" i="3"/>
  <c r="AC1346" i="3"/>
  <c r="AX1346" i="3"/>
  <c r="AY1346" i="3" s="1"/>
  <c r="AZ1346" i="3"/>
  <c r="BE1346" i="3"/>
  <c r="BF1346" i="3"/>
  <c r="BG1346" i="3"/>
  <c r="BH1346" i="3"/>
  <c r="C1347" i="3"/>
  <c r="R1347" i="3"/>
  <c r="S1347" i="3"/>
  <c r="Z1347" i="3"/>
  <c r="AC1347" i="3"/>
  <c r="AX1347" i="3"/>
  <c r="AY1347" i="3" s="1"/>
  <c r="AZ1347" i="3"/>
  <c r="BE1347" i="3"/>
  <c r="BF1347" i="3"/>
  <c r="BG1347" i="3"/>
  <c r="BH1347" i="3"/>
  <c r="AW1183" i="3" a="1"/>
  <c r="F1183" i="3" a="1"/>
  <c r="AW1351" i="3" a="1"/>
  <c r="F1351" i="3" a="1"/>
  <c r="U1351" i="3"/>
  <c r="V1351" i="3" s="1"/>
  <c r="Z1351" i="3"/>
  <c r="AX1351" i="3"/>
  <c r="AY1351" i="3" s="1"/>
  <c r="U1183" i="3"/>
  <c r="AX1183" i="3"/>
  <c r="AY1183" i="3" s="1"/>
  <c r="BH1183" i="3"/>
  <c r="BG1183" i="3"/>
  <c r="BF1183" i="3"/>
  <c r="BE1183" i="3"/>
  <c r="AZ1183" i="3"/>
  <c r="AC1183" i="3"/>
  <c r="V1183" i="3"/>
  <c r="S1183" i="3"/>
  <c r="R1183" i="3"/>
  <c r="C1183" i="3"/>
  <c r="BH1351" i="3"/>
  <c r="BG1351" i="3"/>
  <c r="BF1351" i="3"/>
  <c r="X1351" i="3" s="1"/>
  <c r="BE1351" i="3"/>
  <c r="AZ1351" i="3"/>
  <c r="AC1351" i="3"/>
  <c r="S1351" i="3"/>
  <c r="R1351" i="3"/>
  <c r="C1351" i="3"/>
  <c r="AW1182" i="3" a="1"/>
  <c r="F1182" i="3" a="1"/>
  <c r="AW1350" i="3" a="1"/>
  <c r="F1350" i="3" a="1"/>
  <c r="C1350" i="3"/>
  <c r="R1350" i="3"/>
  <c r="S1350" i="3"/>
  <c r="Z1350" i="3"/>
  <c r="AC1350" i="3"/>
  <c r="AX1350" i="3"/>
  <c r="AY1350" i="3" s="1"/>
  <c r="AZ1350" i="3"/>
  <c r="BE1350" i="3"/>
  <c r="BF1350" i="3"/>
  <c r="BG1350" i="3"/>
  <c r="BH1350" i="3"/>
  <c r="C1182" i="3"/>
  <c r="R1182" i="3"/>
  <c r="S1182" i="3"/>
  <c r="Z1182" i="3"/>
  <c r="AC1182" i="3"/>
  <c r="AX1182" i="3"/>
  <c r="AY1182" i="3" s="1"/>
  <c r="AZ1182" i="3"/>
  <c r="BE1182" i="3"/>
  <c r="BF1182" i="3"/>
  <c r="BG1182" i="3"/>
  <c r="BH1182" i="3"/>
  <c r="AW1374" i="3" a="1"/>
  <c r="F1374" i="3" a="1"/>
  <c r="AX1374" i="3"/>
  <c r="AY1374" i="3" s="1"/>
  <c r="V1374" i="3"/>
  <c r="BH1374" i="3"/>
  <c r="BG1374" i="3"/>
  <c r="BF1374" i="3"/>
  <c r="BE1374" i="3"/>
  <c r="AZ1374" i="3"/>
  <c r="AC1374" i="3"/>
  <c r="Z1374" i="3"/>
  <c r="S1374" i="3"/>
  <c r="R1374" i="3"/>
  <c r="C1374" i="3"/>
  <c r="U1371" i="3"/>
  <c r="AW1371" i="3" a="1"/>
  <c r="F1371" i="3" a="1"/>
  <c r="AX1371" i="3"/>
  <c r="AY1371" i="3" s="1"/>
  <c r="BH1371" i="3"/>
  <c r="BG1371" i="3"/>
  <c r="BF1371" i="3"/>
  <c r="BE1371" i="3"/>
  <c r="AZ1371" i="3"/>
  <c r="AC1371" i="3"/>
  <c r="Z1371" i="3"/>
  <c r="S1371" i="3"/>
  <c r="R1371" i="3"/>
  <c r="C1371" i="3"/>
  <c r="U1373" i="3"/>
  <c r="F1166" i="3" a="1"/>
  <c r="AU1214" i="3"/>
  <c r="AU1354" i="3"/>
  <c r="AU1364" i="3"/>
  <c r="AU1365" i="3"/>
  <c r="AU1366" i="3"/>
  <c r="AU1223" i="3"/>
  <c r="BH1380" i="3"/>
  <c r="BG1380" i="3"/>
  <c r="BF1380" i="3"/>
  <c r="BE1380" i="3"/>
  <c r="AZ1380" i="3"/>
  <c r="AX1380" i="3"/>
  <c r="AY1380" i="3" s="1"/>
  <c r="AC1380" i="3"/>
  <c r="Z1380" i="3"/>
  <c r="C1380" i="3"/>
  <c r="F1186" i="3" a="1"/>
  <c r="AW1164" i="3" a="1"/>
  <c r="F1164" i="3" a="1"/>
  <c r="C1164" i="3"/>
  <c r="R1164" i="3"/>
  <c r="S1164" i="3"/>
  <c r="V1164" i="3"/>
  <c r="AX1164" i="3"/>
  <c r="AY1164" i="3" s="1"/>
  <c r="AZ1164" i="3"/>
  <c r="BE1164" i="3"/>
  <c r="BF1164" i="3"/>
  <c r="BG1164" i="3"/>
  <c r="BH1164" i="3"/>
  <c r="C1186" i="3"/>
  <c r="R1186" i="3"/>
  <c r="S1186" i="3"/>
  <c r="AX1186" i="3"/>
  <c r="AY1186" i="3" s="1"/>
  <c r="AZ1186" i="3"/>
  <c r="BE1186" i="3"/>
  <c r="BF1186" i="3"/>
  <c r="BG1186" i="3"/>
  <c r="BH1186" i="3"/>
  <c r="F953" i="3" a="1"/>
  <c r="AN960" i="3"/>
  <c r="AM960" i="3"/>
  <c r="AM937" i="3"/>
  <c r="AM920" i="3"/>
  <c r="AM852" i="3"/>
  <c r="AN852" i="3"/>
  <c r="AJ1145" i="3"/>
  <c r="AJ1163" i="3"/>
  <c r="AJ1162" i="3"/>
  <c r="AJ1159" i="3"/>
  <c r="AK1147" i="3"/>
  <c r="AK1146" i="3"/>
  <c r="Z1146" i="3" s="1"/>
  <c r="AK1145" i="3"/>
  <c r="AK1163" i="3"/>
  <c r="Z1163" i="3" s="1"/>
  <c r="AK1162" i="3"/>
  <c r="AK1159" i="3"/>
  <c r="AK1158" i="3"/>
  <c r="Z1158" i="3" s="1"/>
  <c r="AK1157" i="3"/>
  <c r="Z1157" i="3" s="1"/>
  <c r="AK1156" i="3"/>
  <c r="Z1156" i="3" s="1"/>
  <c r="AK1155" i="3"/>
  <c r="Z1155" i="3" s="1"/>
  <c r="AJ1158" i="3"/>
  <c r="AJ1157" i="3"/>
  <c r="AJ1156" i="3"/>
  <c r="AJ1155" i="3"/>
  <c r="AK1140" i="3"/>
  <c r="AJ1140" i="3"/>
  <c r="AK1139" i="3"/>
  <c r="Z1139" i="3" s="1"/>
  <c r="AJ1139" i="3"/>
  <c r="AK1138" i="3"/>
  <c r="Z1138" i="3" s="1"/>
  <c r="AJ1138" i="3"/>
  <c r="AK1137" i="3"/>
  <c r="Z1137" i="3" s="1"/>
  <c r="AJ1137" i="3"/>
  <c r="AK1136" i="3"/>
  <c r="Z1136" i="3" s="1"/>
  <c r="AJ1136" i="3"/>
  <c r="AK1153" i="3"/>
  <c r="AK1148" i="3"/>
  <c r="Z1148" i="3" s="1"/>
  <c r="AK1144" i="3"/>
  <c r="Z1144" i="3" s="1"/>
  <c r="AK1143" i="3"/>
  <c r="AK1142" i="3"/>
  <c r="AK1141" i="3"/>
  <c r="AK1131" i="3"/>
  <c r="F293" i="70" a="1"/>
  <c r="F292" i="70" a="1"/>
  <c r="F291" i="70" a="1"/>
  <c r="F290" i="70" a="1"/>
  <c r="F288" i="70" a="1"/>
  <c r="F287" i="70" a="1"/>
  <c r="F286" i="70" a="1"/>
  <c r="F285" i="70" a="1"/>
  <c r="F275" i="70" a="1"/>
  <c r="F274" i="70" a="1"/>
  <c r="F283" i="70" a="1"/>
  <c r="F282" i="70" a="1"/>
  <c r="F281" i="70" a="1"/>
  <c r="F280" i="70" a="1"/>
  <c r="F279" i="70" a="1"/>
  <c r="F278" i="70" a="1"/>
  <c r="F269" i="70" a="1"/>
  <c r="F284" i="70" a="1"/>
  <c r="F1343" i="3" a="1"/>
  <c r="AU269" i="70" a="1"/>
  <c r="BH1190" i="3"/>
  <c r="BG1190" i="3"/>
  <c r="BF1190" i="3"/>
  <c r="BE1190" i="3"/>
  <c r="AZ1190" i="3"/>
  <c r="AX1190" i="3"/>
  <c r="AY1190" i="3" s="1"/>
  <c r="AK1190" i="3"/>
  <c r="AJ1190" i="3"/>
  <c r="AC1190" i="3"/>
  <c r="S1190" i="3"/>
  <c r="R1190" i="3"/>
  <c r="F1190" i="3" a="1"/>
  <c r="C1190" i="3"/>
  <c r="AX1145" i="3"/>
  <c r="AY1145" i="3" s="1"/>
  <c r="AX1202" i="3"/>
  <c r="AY1202" i="3" s="1"/>
  <c r="AX1163" i="3"/>
  <c r="AY1163" i="3" s="1"/>
  <c r="AX1180" i="3"/>
  <c r="AY1180" i="3" s="1"/>
  <c r="AX1181" i="3"/>
  <c r="AY1181" i="3" s="1"/>
  <c r="AX1162" i="3"/>
  <c r="AY1162" i="3" s="1"/>
  <c r="AX1165" i="3"/>
  <c r="AY1165" i="3" s="1"/>
  <c r="AX1200" i="3"/>
  <c r="AY1200" i="3" s="1"/>
  <c r="AX1166" i="3"/>
  <c r="AY1166" i="3" s="1"/>
  <c r="AX1155" i="3"/>
  <c r="AY1155" i="3" s="1"/>
  <c r="AX1156" i="3"/>
  <c r="AY1156" i="3" s="1"/>
  <c r="AX1157" i="3"/>
  <c r="AY1157" i="3" s="1"/>
  <c r="AX1158" i="3"/>
  <c r="AY1158" i="3" s="1"/>
  <c r="AX1144" i="3"/>
  <c r="AY1144" i="3" s="1"/>
  <c r="AX1148" i="3"/>
  <c r="AY1148" i="3" s="1"/>
  <c r="AX1136" i="3"/>
  <c r="AY1136" i="3" s="1"/>
  <c r="AX1137" i="3"/>
  <c r="AY1137" i="3" s="1"/>
  <c r="AX1138" i="3"/>
  <c r="AY1138" i="3" s="1"/>
  <c r="AX1139" i="3"/>
  <c r="AY1139" i="3" s="1"/>
  <c r="U234" i="70"/>
  <c r="U233" i="70"/>
  <c r="C238" i="70"/>
  <c r="C239" i="70"/>
  <c r="C240" i="70"/>
  <c r="BC238" i="70"/>
  <c r="AX238" i="70"/>
  <c r="AV238" i="70"/>
  <c r="AW238" i="70" s="1"/>
  <c r="AU238" i="70" a="1"/>
  <c r="AS238" i="70"/>
  <c r="AA238" i="70"/>
  <c r="X238" i="70"/>
  <c r="BC239" i="70"/>
  <c r="AX239" i="70"/>
  <c r="AV239" i="70"/>
  <c r="AW239" i="70" s="1"/>
  <c r="AU239" i="70" a="1"/>
  <c r="AS239" i="70"/>
  <c r="AA239" i="70"/>
  <c r="X239" i="70"/>
  <c r="BC240" i="70"/>
  <c r="AX240" i="70"/>
  <c r="AV240" i="70"/>
  <c r="AW240" i="70" s="1"/>
  <c r="AU240" i="70" a="1"/>
  <c r="AS240" i="70"/>
  <c r="AA240" i="70"/>
  <c r="X240" i="70"/>
  <c r="U1109" i="3"/>
  <c r="V1109" i="3" s="1"/>
  <c r="U1108" i="3"/>
  <c r="V1108" i="3" s="1"/>
  <c r="C1109" i="3"/>
  <c r="F1109" i="3" a="1"/>
  <c r="R1109" i="3"/>
  <c r="S1109" i="3"/>
  <c r="AC1109" i="3"/>
  <c r="AJ1109" i="3"/>
  <c r="AK1109" i="3"/>
  <c r="AM1109" i="3"/>
  <c r="AN1109" i="3"/>
  <c r="AX1109" i="3"/>
  <c r="AY1109" i="3" s="1"/>
  <c r="AZ1109" i="3"/>
  <c r="BE1109" i="3"/>
  <c r="BF1109" i="3"/>
  <c r="BG1109" i="3"/>
  <c r="BH1109" i="3"/>
  <c r="R719" i="3"/>
  <c r="S719" i="3"/>
  <c r="R720" i="3"/>
  <c r="S720" i="3"/>
  <c r="R721" i="3"/>
  <c r="S721" i="3"/>
  <c r="R722" i="3"/>
  <c r="S722" i="3"/>
  <c r="R723" i="3"/>
  <c r="S723" i="3"/>
  <c r="R724" i="3"/>
  <c r="S724" i="3"/>
  <c r="R725" i="3"/>
  <c r="S725" i="3"/>
  <c r="R726" i="3"/>
  <c r="S726" i="3"/>
  <c r="R727" i="3"/>
  <c r="S727" i="3"/>
  <c r="R728" i="3"/>
  <c r="S728" i="3"/>
  <c r="R729" i="3"/>
  <c r="S729" i="3"/>
  <c r="R730" i="3"/>
  <c r="S730" i="3"/>
  <c r="R731" i="3"/>
  <c r="S731" i="3"/>
  <c r="R732" i="3"/>
  <c r="S732" i="3"/>
  <c r="R733" i="3"/>
  <c r="S733" i="3"/>
  <c r="R734" i="3"/>
  <c r="S734" i="3"/>
  <c r="R735" i="3"/>
  <c r="S735" i="3"/>
  <c r="R736" i="3"/>
  <c r="S736" i="3"/>
  <c r="R737" i="3"/>
  <c r="S737" i="3"/>
  <c r="R738" i="3"/>
  <c r="S738" i="3"/>
  <c r="R739" i="3"/>
  <c r="S739" i="3"/>
  <c r="R740" i="3"/>
  <c r="S740" i="3"/>
  <c r="R741" i="3"/>
  <c r="S741" i="3"/>
  <c r="R742" i="3"/>
  <c r="S742" i="3"/>
  <c r="R743" i="3"/>
  <c r="S743" i="3"/>
  <c r="R744" i="3"/>
  <c r="S744" i="3"/>
  <c r="R745" i="3"/>
  <c r="S745" i="3"/>
  <c r="R746" i="3"/>
  <c r="S746" i="3"/>
  <c r="R747" i="3"/>
  <c r="S747" i="3"/>
  <c r="R748" i="3"/>
  <c r="S748" i="3"/>
  <c r="R749" i="3"/>
  <c r="S749" i="3"/>
  <c r="R750" i="3"/>
  <c r="S750" i="3"/>
  <c r="R751" i="3"/>
  <c r="S751" i="3"/>
  <c r="R752" i="3"/>
  <c r="S752" i="3"/>
  <c r="R753" i="3"/>
  <c r="S753" i="3"/>
  <c r="R754" i="3"/>
  <c r="S754" i="3"/>
  <c r="R755" i="3"/>
  <c r="S755" i="3"/>
  <c r="R756" i="3"/>
  <c r="S756" i="3"/>
  <c r="R757" i="3"/>
  <c r="S757" i="3"/>
  <c r="R758" i="3"/>
  <c r="S758" i="3"/>
  <c r="R759" i="3"/>
  <c r="S759" i="3"/>
  <c r="R760" i="3"/>
  <c r="S760" i="3"/>
  <c r="R761" i="3"/>
  <c r="S761" i="3"/>
  <c r="R762" i="3"/>
  <c r="S762" i="3"/>
  <c r="R763" i="3"/>
  <c r="S763" i="3"/>
  <c r="R764" i="3"/>
  <c r="S764" i="3"/>
  <c r="R765" i="3"/>
  <c r="S765" i="3"/>
  <c r="R766" i="3"/>
  <c r="S766" i="3"/>
  <c r="R767" i="3"/>
  <c r="S767" i="3"/>
  <c r="R768" i="3"/>
  <c r="S768" i="3"/>
  <c r="R769" i="3"/>
  <c r="S769" i="3"/>
  <c r="R770" i="3"/>
  <c r="S770" i="3"/>
  <c r="R771" i="3"/>
  <c r="S771" i="3"/>
  <c r="R772" i="3"/>
  <c r="S772" i="3"/>
  <c r="R773" i="3"/>
  <c r="S773" i="3"/>
  <c r="R774" i="3"/>
  <c r="S774" i="3"/>
  <c r="R775" i="3"/>
  <c r="S775" i="3"/>
  <c r="R776" i="3"/>
  <c r="S776" i="3"/>
  <c r="R777" i="3"/>
  <c r="S777" i="3"/>
  <c r="R778" i="3"/>
  <c r="S778" i="3"/>
  <c r="R779" i="3"/>
  <c r="S779" i="3"/>
  <c r="R780" i="3"/>
  <c r="S780" i="3"/>
  <c r="R781" i="3"/>
  <c r="S781" i="3"/>
  <c r="R782" i="3"/>
  <c r="S782" i="3"/>
  <c r="R783" i="3"/>
  <c r="S783" i="3"/>
  <c r="R784" i="3"/>
  <c r="S784" i="3"/>
  <c r="R785" i="3"/>
  <c r="S785" i="3"/>
  <c r="R786" i="3"/>
  <c r="S786" i="3"/>
  <c r="R787" i="3"/>
  <c r="S787" i="3"/>
  <c r="R788" i="3"/>
  <c r="S788" i="3"/>
  <c r="R789" i="3"/>
  <c r="S789" i="3"/>
  <c r="R790" i="3"/>
  <c r="S790" i="3"/>
  <c r="R791" i="3"/>
  <c r="S791" i="3"/>
  <c r="R792" i="3"/>
  <c r="S792" i="3"/>
  <c r="R793" i="3"/>
  <c r="S793" i="3"/>
  <c r="R794" i="3"/>
  <c r="S794" i="3"/>
  <c r="R795" i="3"/>
  <c r="S795" i="3"/>
  <c r="R796" i="3"/>
  <c r="S796" i="3"/>
  <c r="R797" i="3"/>
  <c r="S797" i="3"/>
  <c r="R798" i="3"/>
  <c r="S798" i="3"/>
  <c r="R799" i="3"/>
  <c r="S799" i="3"/>
  <c r="R800" i="3"/>
  <c r="S800" i="3"/>
  <c r="R801" i="3"/>
  <c r="S801" i="3"/>
  <c r="R802" i="3"/>
  <c r="S802" i="3"/>
  <c r="R803" i="3"/>
  <c r="S803" i="3"/>
  <c r="R804" i="3"/>
  <c r="S804" i="3"/>
  <c r="R805" i="3"/>
  <c r="S805" i="3"/>
  <c r="R806" i="3"/>
  <c r="S806" i="3"/>
  <c r="R807" i="3"/>
  <c r="S807" i="3"/>
  <c r="R808" i="3"/>
  <c r="S808" i="3"/>
  <c r="R809" i="3"/>
  <c r="S809" i="3"/>
  <c r="R810" i="3"/>
  <c r="S810" i="3"/>
  <c r="R811" i="3"/>
  <c r="S811" i="3"/>
  <c r="R812" i="3"/>
  <c r="S812" i="3"/>
  <c r="R813" i="3"/>
  <c r="S813" i="3"/>
  <c r="R814" i="3"/>
  <c r="S814" i="3"/>
  <c r="R815" i="3"/>
  <c r="S815" i="3"/>
  <c r="R816" i="3"/>
  <c r="S816" i="3"/>
  <c r="R817" i="3"/>
  <c r="S817" i="3"/>
  <c r="R818" i="3"/>
  <c r="S818" i="3"/>
  <c r="R819" i="3"/>
  <c r="S819" i="3"/>
  <c r="R820" i="3"/>
  <c r="S820" i="3"/>
  <c r="R821" i="3"/>
  <c r="S821" i="3"/>
  <c r="R822" i="3"/>
  <c r="S822" i="3"/>
  <c r="R823" i="3"/>
  <c r="S823" i="3"/>
  <c r="R824" i="3"/>
  <c r="S824" i="3"/>
  <c r="R825" i="3"/>
  <c r="S825" i="3"/>
  <c r="R826" i="3"/>
  <c r="S826" i="3"/>
  <c r="R827" i="3"/>
  <c r="S827" i="3"/>
  <c r="R828" i="3"/>
  <c r="S828" i="3"/>
  <c r="R829" i="3"/>
  <c r="S829" i="3"/>
  <c r="R830" i="3"/>
  <c r="S830" i="3"/>
  <c r="R831" i="3"/>
  <c r="S831" i="3"/>
  <c r="R832" i="3"/>
  <c r="S832" i="3"/>
  <c r="R833" i="3"/>
  <c r="S833" i="3"/>
  <c r="R834" i="3"/>
  <c r="S834" i="3"/>
  <c r="R835" i="3"/>
  <c r="S835" i="3"/>
  <c r="R836" i="3"/>
  <c r="S836" i="3"/>
  <c r="R837" i="3"/>
  <c r="S837" i="3"/>
  <c r="R838" i="3"/>
  <c r="S838" i="3"/>
  <c r="R839" i="3"/>
  <c r="S839" i="3"/>
  <c r="R840" i="3"/>
  <c r="S840" i="3"/>
  <c r="R841" i="3"/>
  <c r="S841" i="3"/>
  <c r="R842" i="3"/>
  <c r="S842" i="3"/>
  <c r="R843" i="3"/>
  <c r="S843" i="3"/>
  <c r="R844" i="3"/>
  <c r="S844" i="3"/>
  <c r="R845" i="3"/>
  <c r="S845" i="3"/>
  <c r="R846" i="3"/>
  <c r="S846" i="3"/>
  <c r="R847" i="3"/>
  <c r="S847" i="3"/>
  <c r="R848" i="3"/>
  <c r="S848" i="3"/>
  <c r="R849" i="3"/>
  <c r="S849" i="3"/>
  <c r="R850" i="3"/>
  <c r="S850" i="3"/>
  <c r="R851" i="3"/>
  <c r="S851" i="3"/>
  <c r="R852" i="3"/>
  <c r="S852" i="3"/>
  <c r="R853" i="3"/>
  <c r="S853" i="3"/>
  <c r="R854" i="3"/>
  <c r="S854" i="3"/>
  <c r="R855" i="3"/>
  <c r="S855" i="3"/>
  <c r="R856" i="3"/>
  <c r="S856" i="3"/>
  <c r="R857" i="3"/>
  <c r="S857" i="3"/>
  <c r="R858" i="3"/>
  <c r="S858" i="3"/>
  <c r="R859" i="3"/>
  <c r="S859" i="3"/>
  <c r="R860" i="3"/>
  <c r="S860" i="3"/>
  <c r="R861" i="3"/>
  <c r="S861" i="3"/>
  <c r="R862" i="3"/>
  <c r="S862" i="3"/>
  <c r="R863" i="3"/>
  <c r="S863" i="3"/>
  <c r="R864" i="3"/>
  <c r="S864" i="3"/>
  <c r="R865" i="3"/>
  <c r="S865" i="3"/>
  <c r="R866" i="3"/>
  <c r="S866" i="3"/>
  <c r="R867" i="3"/>
  <c r="S867" i="3"/>
  <c r="R868" i="3"/>
  <c r="S868" i="3"/>
  <c r="R869" i="3"/>
  <c r="S869" i="3"/>
  <c r="R870" i="3"/>
  <c r="S870" i="3"/>
  <c r="R871" i="3"/>
  <c r="S871" i="3"/>
  <c r="R872" i="3"/>
  <c r="S872" i="3"/>
  <c r="R873" i="3"/>
  <c r="S873" i="3"/>
  <c r="R874" i="3"/>
  <c r="S874" i="3"/>
  <c r="R875" i="3"/>
  <c r="S875" i="3"/>
  <c r="R876" i="3"/>
  <c r="S876" i="3"/>
  <c r="R877" i="3"/>
  <c r="S877" i="3"/>
  <c r="R878" i="3"/>
  <c r="S878" i="3"/>
  <c r="R879" i="3"/>
  <c r="S879" i="3"/>
  <c r="R880" i="3"/>
  <c r="S880" i="3"/>
  <c r="R881" i="3"/>
  <c r="S881" i="3"/>
  <c r="R882" i="3"/>
  <c r="S882" i="3"/>
  <c r="R883" i="3"/>
  <c r="S883" i="3"/>
  <c r="R884" i="3"/>
  <c r="S884" i="3"/>
  <c r="R885" i="3"/>
  <c r="S885" i="3"/>
  <c r="R886" i="3"/>
  <c r="S886" i="3"/>
  <c r="R887" i="3"/>
  <c r="S887" i="3"/>
  <c r="R888" i="3"/>
  <c r="S888" i="3"/>
  <c r="R889" i="3"/>
  <c r="S889" i="3"/>
  <c r="R890" i="3"/>
  <c r="S890" i="3"/>
  <c r="R891" i="3"/>
  <c r="S891" i="3"/>
  <c r="R892" i="3"/>
  <c r="S892" i="3"/>
  <c r="R893" i="3"/>
  <c r="S893" i="3"/>
  <c r="R894" i="3"/>
  <c r="S894" i="3"/>
  <c r="R895" i="3"/>
  <c r="S895" i="3"/>
  <c r="R896" i="3"/>
  <c r="S896" i="3"/>
  <c r="R897" i="3"/>
  <c r="S897" i="3"/>
  <c r="R898" i="3"/>
  <c r="S898" i="3"/>
  <c r="R899" i="3"/>
  <c r="S899" i="3"/>
  <c r="R900" i="3"/>
  <c r="S900" i="3"/>
  <c r="R901" i="3"/>
  <c r="S901" i="3"/>
  <c r="R902" i="3"/>
  <c r="S902" i="3"/>
  <c r="R903" i="3"/>
  <c r="S903" i="3"/>
  <c r="R904" i="3"/>
  <c r="S904" i="3"/>
  <c r="R905" i="3"/>
  <c r="S905" i="3"/>
  <c r="R906" i="3"/>
  <c r="S906" i="3"/>
  <c r="R907" i="3"/>
  <c r="S907" i="3"/>
  <c r="R908" i="3"/>
  <c r="S908" i="3"/>
  <c r="R909" i="3"/>
  <c r="S909" i="3"/>
  <c r="R910" i="3"/>
  <c r="S910" i="3"/>
  <c r="R911" i="3"/>
  <c r="S911" i="3"/>
  <c r="R912" i="3"/>
  <c r="S912" i="3"/>
  <c r="R913" i="3"/>
  <c r="S913" i="3"/>
  <c r="R914" i="3"/>
  <c r="S914" i="3"/>
  <c r="R915" i="3"/>
  <c r="S915" i="3"/>
  <c r="R916" i="3"/>
  <c r="S916" i="3"/>
  <c r="R917" i="3"/>
  <c r="S917" i="3"/>
  <c r="R918" i="3"/>
  <c r="S918" i="3"/>
  <c r="R919" i="3"/>
  <c r="S919" i="3"/>
  <c r="R920" i="3"/>
  <c r="S920" i="3"/>
  <c r="R921" i="3"/>
  <c r="S921" i="3"/>
  <c r="R922" i="3"/>
  <c r="S922" i="3"/>
  <c r="R923" i="3"/>
  <c r="S923" i="3"/>
  <c r="R924" i="3"/>
  <c r="S924" i="3"/>
  <c r="R925" i="3"/>
  <c r="S925" i="3"/>
  <c r="R926" i="3"/>
  <c r="S926" i="3"/>
  <c r="R927" i="3"/>
  <c r="S927" i="3"/>
  <c r="R928" i="3"/>
  <c r="S928" i="3"/>
  <c r="R929" i="3"/>
  <c r="S929" i="3"/>
  <c r="R930" i="3"/>
  <c r="S930" i="3"/>
  <c r="R931" i="3"/>
  <c r="S931" i="3"/>
  <c r="R932" i="3"/>
  <c r="S932" i="3"/>
  <c r="R933" i="3"/>
  <c r="S933" i="3"/>
  <c r="R934" i="3"/>
  <c r="S934" i="3"/>
  <c r="R935" i="3"/>
  <c r="S935" i="3"/>
  <c r="R936" i="3"/>
  <c r="S936" i="3"/>
  <c r="R937" i="3"/>
  <c r="S937" i="3"/>
  <c r="R938" i="3"/>
  <c r="S938" i="3"/>
  <c r="R939" i="3"/>
  <c r="S939" i="3"/>
  <c r="R940" i="3"/>
  <c r="S940" i="3"/>
  <c r="R941" i="3"/>
  <c r="S941" i="3"/>
  <c r="R942" i="3"/>
  <c r="S942" i="3"/>
  <c r="R943" i="3"/>
  <c r="S943" i="3"/>
  <c r="R944" i="3"/>
  <c r="S944" i="3"/>
  <c r="R945" i="3"/>
  <c r="S945" i="3"/>
  <c r="R946" i="3"/>
  <c r="S946" i="3"/>
  <c r="R947" i="3"/>
  <c r="S947" i="3"/>
  <c r="R948" i="3"/>
  <c r="S948" i="3"/>
  <c r="R949" i="3"/>
  <c r="S949" i="3"/>
  <c r="R950" i="3"/>
  <c r="S950" i="3"/>
  <c r="R951" i="3"/>
  <c r="S951" i="3"/>
  <c r="R952" i="3"/>
  <c r="S952" i="3"/>
  <c r="R953" i="3"/>
  <c r="S953" i="3"/>
  <c r="R954" i="3"/>
  <c r="S954" i="3"/>
  <c r="R955" i="3"/>
  <c r="S955" i="3"/>
  <c r="R956" i="3"/>
  <c r="S956" i="3"/>
  <c r="R957" i="3"/>
  <c r="S957" i="3"/>
  <c r="R958" i="3"/>
  <c r="S958" i="3"/>
  <c r="R959" i="3"/>
  <c r="S959" i="3"/>
  <c r="R960" i="3"/>
  <c r="S960" i="3"/>
  <c r="R961" i="3"/>
  <c r="S961" i="3"/>
  <c r="R962" i="3"/>
  <c r="S962" i="3"/>
  <c r="R963" i="3"/>
  <c r="S963" i="3"/>
  <c r="R964" i="3"/>
  <c r="S964" i="3"/>
  <c r="R965" i="3"/>
  <c r="S965" i="3"/>
  <c r="R966" i="3"/>
  <c r="S966" i="3"/>
  <c r="R967" i="3"/>
  <c r="S967" i="3"/>
  <c r="R968" i="3"/>
  <c r="S968" i="3"/>
  <c r="R969" i="3"/>
  <c r="S969" i="3"/>
  <c r="R970" i="3"/>
  <c r="S970" i="3"/>
  <c r="R971" i="3"/>
  <c r="S971" i="3"/>
  <c r="R972" i="3"/>
  <c r="S972" i="3"/>
  <c r="R973" i="3"/>
  <c r="S973" i="3"/>
  <c r="R974" i="3"/>
  <c r="S974" i="3"/>
  <c r="R975" i="3"/>
  <c r="S975" i="3"/>
  <c r="R976" i="3"/>
  <c r="S976" i="3"/>
  <c r="R977" i="3"/>
  <c r="S977" i="3"/>
  <c r="R978" i="3"/>
  <c r="S978" i="3"/>
  <c r="R979" i="3"/>
  <c r="S979" i="3"/>
  <c r="R980" i="3"/>
  <c r="S980" i="3"/>
  <c r="R981" i="3"/>
  <c r="S981" i="3"/>
  <c r="R982" i="3"/>
  <c r="S982" i="3"/>
  <c r="R983" i="3"/>
  <c r="S983" i="3"/>
  <c r="R984" i="3"/>
  <c r="S984" i="3"/>
  <c r="R985" i="3"/>
  <c r="S985" i="3"/>
  <c r="R986" i="3"/>
  <c r="S986" i="3"/>
  <c r="R987" i="3"/>
  <c r="S987" i="3"/>
  <c r="R988" i="3"/>
  <c r="S988" i="3"/>
  <c r="R989" i="3"/>
  <c r="S989" i="3"/>
  <c r="R990" i="3"/>
  <c r="S990" i="3"/>
  <c r="R991" i="3"/>
  <c r="S991" i="3"/>
  <c r="R992" i="3"/>
  <c r="S992" i="3"/>
  <c r="R993" i="3"/>
  <c r="S993" i="3"/>
  <c r="R994" i="3"/>
  <c r="S994" i="3"/>
  <c r="R995" i="3"/>
  <c r="S995" i="3"/>
  <c r="R996" i="3"/>
  <c r="S996" i="3"/>
  <c r="R997" i="3"/>
  <c r="S997" i="3"/>
  <c r="R998" i="3"/>
  <c r="S998" i="3"/>
  <c r="R999" i="3"/>
  <c r="S999" i="3"/>
  <c r="R1000" i="3"/>
  <c r="S1000" i="3"/>
  <c r="R1001" i="3"/>
  <c r="S1001" i="3"/>
  <c r="R1002" i="3"/>
  <c r="S1002" i="3"/>
  <c r="R1003" i="3"/>
  <c r="S1003" i="3"/>
  <c r="R1004" i="3"/>
  <c r="S1004" i="3"/>
  <c r="R1005" i="3"/>
  <c r="S1005" i="3"/>
  <c r="R1006" i="3"/>
  <c r="S1006" i="3"/>
  <c r="R1007" i="3"/>
  <c r="S1007" i="3"/>
  <c r="R1008" i="3"/>
  <c r="S1008" i="3"/>
  <c r="R1009" i="3"/>
  <c r="S1009" i="3"/>
  <c r="R1010" i="3"/>
  <c r="S1010" i="3"/>
  <c r="R1011" i="3"/>
  <c r="S1011" i="3"/>
  <c r="R1012" i="3"/>
  <c r="S1012" i="3"/>
  <c r="R1013" i="3"/>
  <c r="S1013" i="3"/>
  <c r="R1014" i="3"/>
  <c r="S1014" i="3"/>
  <c r="R1015" i="3"/>
  <c r="S1015" i="3"/>
  <c r="R1016" i="3"/>
  <c r="S1016" i="3"/>
  <c r="R1017" i="3"/>
  <c r="S1017" i="3"/>
  <c r="R1018" i="3"/>
  <c r="S1018" i="3"/>
  <c r="R1019" i="3"/>
  <c r="S1019" i="3"/>
  <c r="R1020" i="3"/>
  <c r="S1020" i="3"/>
  <c r="R1021" i="3"/>
  <c r="S1021" i="3"/>
  <c r="R1022" i="3"/>
  <c r="S1022" i="3"/>
  <c r="R1023" i="3"/>
  <c r="S1023" i="3"/>
  <c r="R1024" i="3"/>
  <c r="S1024" i="3"/>
  <c r="R1025" i="3"/>
  <c r="S1025" i="3"/>
  <c r="R1026" i="3"/>
  <c r="S1026" i="3"/>
  <c r="R1027" i="3"/>
  <c r="S1027" i="3"/>
  <c r="R1028" i="3"/>
  <c r="S1028" i="3"/>
  <c r="R1029" i="3"/>
  <c r="S1029" i="3"/>
  <c r="R1030" i="3"/>
  <c r="S1030" i="3"/>
  <c r="R1031" i="3"/>
  <c r="S1031" i="3"/>
  <c r="R1032" i="3"/>
  <c r="S1032" i="3"/>
  <c r="R1033" i="3"/>
  <c r="S1033" i="3"/>
  <c r="R1034" i="3"/>
  <c r="S1034" i="3"/>
  <c r="R1035" i="3"/>
  <c r="S1035" i="3"/>
  <c r="R1036" i="3"/>
  <c r="S1036" i="3"/>
  <c r="R1037" i="3"/>
  <c r="S1037" i="3"/>
  <c r="R1038" i="3"/>
  <c r="S1038" i="3"/>
  <c r="R1039" i="3"/>
  <c r="S1039" i="3"/>
  <c r="R1040" i="3"/>
  <c r="S1040" i="3"/>
  <c r="R1041" i="3"/>
  <c r="S1041" i="3"/>
  <c r="R1042" i="3"/>
  <c r="S1042" i="3"/>
  <c r="R1043" i="3"/>
  <c r="S1043" i="3"/>
  <c r="R1044" i="3"/>
  <c r="S1044" i="3"/>
  <c r="R1045" i="3"/>
  <c r="S1045" i="3"/>
  <c r="R1046" i="3"/>
  <c r="S1046" i="3"/>
  <c r="R1047" i="3"/>
  <c r="S1047" i="3"/>
  <c r="R1048" i="3"/>
  <c r="S1048" i="3"/>
  <c r="R1049" i="3"/>
  <c r="S1049" i="3"/>
  <c r="R1050" i="3"/>
  <c r="S1050" i="3"/>
  <c r="R1051" i="3"/>
  <c r="S1051" i="3"/>
  <c r="R1052" i="3"/>
  <c r="S1052" i="3"/>
  <c r="R1053" i="3"/>
  <c r="S1053" i="3"/>
  <c r="R1054" i="3"/>
  <c r="S1054" i="3"/>
  <c r="R1055" i="3"/>
  <c r="S1055" i="3"/>
  <c r="R1056" i="3"/>
  <c r="S1056" i="3"/>
  <c r="R1057" i="3"/>
  <c r="S1057" i="3"/>
  <c r="R1058" i="3"/>
  <c r="S1058" i="3"/>
  <c r="R1059" i="3"/>
  <c r="S1059" i="3"/>
  <c r="R1060" i="3"/>
  <c r="S1060" i="3"/>
  <c r="R1061" i="3"/>
  <c r="S1061" i="3"/>
  <c r="R1062" i="3"/>
  <c r="S1062" i="3"/>
  <c r="R1063" i="3"/>
  <c r="S1063" i="3"/>
  <c r="R1064" i="3"/>
  <c r="S1064" i="3"/>
  <c r="R1065" i="3"/>
  <c r="S1065" i="3"/>
  <c r="R1066" i="3"/>
  <c r="S1066" i="3"/>
  <c r="R1067" i="3"/>
  <c r="S1067" i="3"/>
  <c r="R1068" i="3"/>
  <c r="S1068" i="3"/>
  <c r="R1069" i="3"/>
  <c r="S1069" i="3"/>
  <c r="R1070" i="3"/>
  <c r="S1070" i="3"/>
  <c r="R1071" i="3"/>
  <c r="S1071" i="3"/>
  <c r="R1072" i="3"/>
  <c r="S1072" i="3"/>
  <c r="R1073" i="3"/>
  <c r="S1073" i="3"/>
  <c r="R1074" i="3"/>
  <c r="S1074" i="3"/>
  <c r="R1075" i="3"/>
  <c r="S1075" i="3"/>
  <c r="R1076" i="3"/>
  <c r="S1076" i="3"/>
  <c r="R1077" i="3"/>
  <c r="S1077" i="3"/>
  <c r="R1078" i="3"/>
  <c r="S1078" i="3"/>
  <c r="R1079" i="3"/>
  <c r="S1079" i="3"/>
  <c r="R1080" i="3"/>
  <c r="S1080" i="3"/>
  <c r="R1081" i="3"/>
  <c r="S1081" i="3"/>
  <c r="R1082" i="3"/>
  <c r="S1082" i="3"/>
  <c r="R1083" i="3"/>
  <c r="S1083" i="3"/>
  <c r="R1084" i="3"/>
  <c r="S1084" i="3"/>
  <c r="R1085" i="3"/>
  <c r="S1085" i="3"/>
  <c r="R1086" i="3"/>
  <c r="S1086" i="3"/>
  <c r="R1087" i="3"/>
  <c r="S1087" i="3"/>
  <c r="R1088" i="3"/>
  <c r="S1088" i="3"/>
  <c r="R1089" i="3"/>
  <c r="S1089" i="3"/>
  <c r="R1090" i="3"/>
  <c r="S1090" i="3"/>
  <c r="R1091" i="3"/>
  <c r="S1091" i="3"/>
  <c r="R1092" i="3"/>
  <c r="S1092" i="3"/>
  <c r="R1093" i="3"/>
  <c r="S1093" i="3"/>
  <c r="R1094" i="3"/>
  <c r="S1094" i="3"/>
  <c r="R1095" i="3"/>
  <c r="S1095" i="3"/>
  <c r="R1096" i="3"/>
  <c r="S1096" i="3"/>
  <c r="R1097" i="3"/>
  <c r="S1097" i="3"/>
  <c r="R1098" i="3"/>
  <c r="S1098" i="3"/>
  <c r="R1099" i="3"/>
  <c r="S1099" i="3"/>
  <c r="R1100" i="3"/>
  <c r="S1100" i="3"/>
  <c r="R1101" i="3"/>
  <c r="S1101" i="3"/>
  <c r="R1102" i="3"/>
  <c r="S1102" i="3"/>
  <c r="R1103" i="3"/>
  <c r="S1103" i="3"/>
  <c r="R1104" i="3"/>
  <c r="S1104" i="3"/>
  <c r="R1105" i="3"/>
  <c r="S1105" i="3"/>
  <c r="R1106" i="3"/>
  <c r="S1106" i="3"/>
  <c r="R1107" i="3"/>
  <c r="S1107" i="3"/>
  <c r="R1110" i="3"/>
  <c r="S1110" i="3"/>
  <c r="R1111" i="3"/>
  <c r="S1111" i="3"/>
  <c r="R1112" i="3"/>
  <c r="S1112" i="3"/>
  <c r="R1113" i="3"/>
  <c r="S1113" i="3"/>
  <c r="R1114" i="3"/>
  <c r="S1114" i="3"/>
  <c r="R1115" i="3"/>
  <c r="S1115" i="3"/>
  <c r="R1116" i="3"/>
  <c r="S1116" i="3"/>
  <c r="R1117" i="3"/>
  <c r="S1117" i="3"/>
  <c r="R1118" i="3"/>
  <c r="S1118" i="3"/>
  <c r="R1119" i="3"/>
  <c r="S1119" i="3"/>
  <c r="R1120" i="3"/>
  <c r="S1120" i="3"/>
  <c r="R1121" i="3"/>
  <c r="S1121" i="3"/>
  <c r="R1122" i="3"/>
  <c r="S1122" i="3"/>
  <c r="R1123" i="3"/>
  <c r="S1123" i="3"/>
  <c r="R1124" i="3"/>
  <c r="S1124" i="3"/>
  <c r="R1125" i="3"/>
  <c r="S1125" i="3"/>
  <c r="R1126" i="3"/>
  <c r="S1126" i="3"/>
  <c r="R1127" i="3"/>
  <c r="S1127" i="3"/>
  <c r="R1128" i="3"/>
  <c r="S1128" i="3"/>
  <c r="R1129" i="3"/>
  <c r="S1129" i="3"/>
  <c r="R1130" i="3"/>
  <c r="S1130" i="3"/>
  <c r="R1131" i="3"/>
  <c r="S1131" i="3"/>
  <c r="R1132" i="3"/>
  <c r="S1132" i="3"/>
  <c r="R1133" i="3"/>
  <c r="S1133" i="3"/>
  <c r="R1134" i="3"/>
  <c r="S1134" i="3"/>
  <c r="R1135" i="3"/>
  <c r="S1135" i="3"/>
  <c r="R1136" i="3"/>
  <c r="S1136" i="3"/>
  <c r="R1137" i="3"/>
  <c r="S1137" i="3"/>
  <c r="R1138" i="3"/>
  <c r="S1138" i="3"/>
  <c r="R1139" i="3"/>
  <c r="S1139" i="3"/>
  <c r="R1140" i="3"/>
  <c r="S1140" i="3"/>
  <c r="R1141" i="3"/>
  <c r="S1141" i="3"/>
  <c r="R1142" i="3"/>
  <c r="S1142" i="3"/>
  <c r="R1143" i="3"/>
  <c r="S1143" i="3"/>
  <c r="R1144" i="3"/>
  <c r="S1144" i="3"/>
  <c r="R1148" i="3"/>
  <c r="S1148" i="3"/>
  <c r="R1149" i="3"/>
  <c r="S1149" i="3"/>
  <c r="R1150" i="3"/>
  <c r="S1150" i="3"/>
  <c r="R1151" i="3"/>
  <c r="S1151" i="3"/>
  <c r="R1152" i="3"/>
  <c r="S1152" i="3"/>
  <c r="R1153" i="3"/>
  <c r="S1153" i="3"/>
  <c r="R1108" i="3"/>
  <c r="S1108" i="3"/>
  <c r="R1154" i="3"/>
  <c r="S1154" i="3"/>
  <c r="R1155" i="3"/>
  <c r="S1155" i="3"/>
  <c r="R1156" i="3"/>
  <c r="S1156" i="3"/>
  <c r="R1157" i="3"/>
  <c r="S1157" i="3"/>
  <c r="R1158" i="3"/>
  <c r="S1158" i="3"/>
  <c r="R1196" i="3"/>
  <c r="S1196" i="3"/>
  <c r="R1163" i="3"/>
  <c r="S1163" i="3"/>
  <c r="R1180" i="3"/>
  <c r="S1180" i="3"/>
  <c r="R1181" i="3"/>
  <c r="S1181" i="3"/>
  <c r="R1162" i="3"/>
  <c r="S1162" i="3"/>
  <c r="R1165" i="3"/>
  <c r="S1165" i="3"/>
  <c r="R1200" i="3"/>
  <c r="S1200" i="3"/>
  <c r="R1166" i="3"/>
  <c r="S1166" i="3"/>
  <c r="R1173" i="3"/>
  <c r="S1173" i="3"/>
  <c r="R1145" i="3"/>
  <c r="S1145" i="3"/>
  <c r="R1202" i="3"/>
  <c r="S1202" i="3"/>
  <c r="R1225" i="3"/>
  <c r="S1225" i="3"/>
  <c r="R1226" i="3"/>
  <c r="S1226" i="3"/>
  <c r="R1227" i="3"/>
  <c r="S1227" i="3"/>
  <c r="R1146" i="3"/>
  <c r="S1146" i="3"/>
  <c r="R1228" i="3"/>
  <c r="S1228" i="3"/>
  <c r="R1229" i="3"/>
  <c r="S1229" i="3"/>
  <c r="R1230" i="3"/>
  <c r="S1230" i="3"/>
  <c r="R1231" i="3"/>
  <c r="S1231" i="3"/>
  <c r="R1232" i="3"/>
  <c r="S1232" i="3"/>
  <c r="R1233" i="3"/>
  <c r="S1233" i="3"/>
  <c r="R1234" i="3"/>
  <c r="S1234" i="3"/>
  <c r="R1235" i="3"/>
  <c r="S1235" i="3"/>
  <c r="R1236" i="3"/>
  <c r="S1236" i="3"/>
  <c r="R1237" i="3"/>
  <c r="S1237" i="3"/>
  <c r="R1238" i="3"/>
  <c r="S1238" i="3"/>
  <c r="R1239" i="3"/>
  <c r="S1239" i="3"/>
  <c r="R1240" i="3"/>
  <c r="S1240" i="3"/>
  <c r="R1241" i="3"/>
  <c r="S1241" i="3"/>
  <c r="R1242" i="3"/>
  <c r="S1242" i="3"/>
  <c r="R1243" i="3"/>
  <c r="S1243" i="3"/>
  <c r="R1244" i="3"/>
  <c r="S1244" i="3"/>
  <c r="R1245" i="3"/>
  <c r="S1245" i="3"/>
  <c r="R1246" i="3"/>
  <c r="S1246" i="3"/>
  <c r="R1247" i="3"/>
  <c r="S1247" i="3"/>
  <c r="R1248" i="3"/>
  <c r="S1248" i="3"/>
  <c r="R1249" i="3"/>
  <c r="S1249" i="3"/>
  <c r="R1250" i="3"/>
  <c r="S1250" i="3"/>
  <c r="R1251" i="3"/>
  <c r="S1251" i="3"/>
  <c r="R1252" i="3"/>
  <c r="S1252" i="3"/>
  <c r="R1253" i="3"/>
  <c r="S1253" i="3"/>
  <c r="R1254" i="3"/>
  <c r="S1254" i="3"/>
  <c r="R1255" i="3"/>
  <c r="S1255" i="3"/>
  <c r="R1256" i="3"/>
  <c r="S1256" i="3"/>
  <c r="R1257" i="3"/>
  <c r="S1257" i="3"/>
  <c r="R1258" i="3"/>
  <c r="S1258" i="3"/>
  <c r="R1259" i="3"/>
  <c r="S1259" i="3"/>
  <c r="R1260" i="3"/>
  <c r="S1260" i="3"/>
  <c r="R1261" i="3"/>
  <c r="S1261" i="3"/>
  <c r="R1262" i="3"/>
  <c r="S1262" i="3"/>
  <c r="R1263" i="3"/>
  <c r="S1263" i="3"/>
  <c r="R1264" i="3"/>
  <c r="S1264" i="3"/>
  <c r="R1265" i="3"/>
  <c r="S1265" i="3"/>
  <c r="R1266" i="3"/>
  <c r="S1266" i="3"/>
  <c r="R1267" i="3"/>
  <c r="S1267" i="3"/>
  <c r="R1268" i="3"/>
  <c r="S1268" i="3"/>
  <c r="R1269" i="3"/>
  <c r="S1269" i="3"/>
  <c r="R1270" i="3"/>
  <c r="S1270" i="3"/>
  <c r="R1271" i="3"/>
  <c r="S1271" i="3"/>
  <c r="R1272" i="3"/>
  <c r="S1272" i="3"/>
  <c r="R1273" i="3"/>
  <c r="S1273" i="3"/>
  <c r="R1274" i="3"/>
  <c r="S1274" i="3"/>
  <c r="R1275" i="3"/>
  <c r="S1275" i="3"/>
  <c r="R1276" i="3"/>
  <c r="S1276" i="3"/>
  <c r="R1277" i="3"/>
  <c r="S1277" i="3"/>
  <c r="R1278" i="3"/>
  <c r="S1278" i="3"/>
  <c r="R1279" i="3"/>
  <c r="S1279" i="3"/>
  <c r="R1280" i="3"/>
  <c r="S1280" i="3"/>
  <c r="R1281" i="3"/>
  <c r="S1281" i="3"/>
  <c r="R1282" i="3"/>
  <c r="S1282" i="3"/>
  <c r="R1283" i="3"/>
  <c r="S1283" i="3"/>
  <c r="R1284" i="3"/>
  <c r="S1284" i="3"/>
  <c r="R1285" i="3"/>
  <c r="S1285" i="3"/>
  <c r="R1286" i="3"/>
  <c r="S1286" i="3"/>
  <c r="R1287" i="3"/>
  <c r="S1287" i="3"/>
  <c r="R1288" i="3"/>
  <c r="S1288" i="3"/>
  <c r="R1289" i="3"/>
  <c r="S1289" i="3"/>
  <c r="R1290" i="3"/>
  <c r="S1290" i="3"/>
  <c r="R1291" i="3"/>
  <c r="S1291" i="3"/>
  <c r="R1292" i="3"/>
  <c r="S1292" i="3"/>
  <c r="R1293" i="3"/>
  <c r="S1293" i="3"/>
  <c r="R1294" i="3"/>
  <c r="S1294" i="3"/>
  <c r="R1295" i="3"/>
  <c r="S1295" i="3"/>
  <c r="R1296" i="3"/>
  <c r="S1296" i="3"/>
  <c r="R1188" i="3"/>
  <c r="S1188" i="3"/>
  <c r="R1297" i="3"/>
  <c r="S1297" i="3"/>
  <c r="R1298" i="3"/>
  <c r="S1298" i="3"/>
  <c r="R1299" i="3"/>
  <c r="S1299" i="3"/>
  <c r="R1300" i="3"/>
  <c r="S1300" i="3"/>
  <c r="R1301" i="3"/>
  <c r="R1302" i="3"/>
  <c r="S1302" i="3"/>
  <c r="R1303" i="3"/>
  <c r="S1303" i="3"/>
  <c r="R1304" i="3"/>
  <c r="S1304" i="3"/>
  <c r="R1305" i="3"/>
  <c r="S1305" i="3"/>
  <c r="R1175" i="3"/>
  <c r="S1175" i="3"/>
  <c r="R1176" i="3"/>
  <c r="S1176" i="3"/>
  <c r="R1147" i="3"/>
  <c r="S1147" i="3"/>
  <c r="R1306" i="3"/>
  <c r="S1306" i="3"/>
  <c r="R1198" i="3"/>
  <c r="S1198" i="3"/>
  <c r="R1307" i="3"/>
  <c r="S1307" i="3"/>
  <c r="R1177" i="3"/>
  <c r="S1177" i="3"/>
  <c r="R1308" i="3"/>
  <c r="S1308" i="3"/>
  <c r="R1309" i="3"/>
  <c r="S1309" i="3"/>
  <c r="R1211" i="3"/>
  <c r="S1211" i="3"/>
  <c r="R1161" i="3"/>
  <c r="S1161" i="3"/>
  <c r="R1310" i="3"/>
  <c r="S1310" i="3"/>
  <c r="R1311" i="3"/>
  <c r="S1311" i="3"/>
  <c r="R1312" i="3"/>
  <c r="S1312" i="3"/>
  <c r="R1212" i="3"/>
  <c r="S1212" i="3"/>
  <c r="R1313" i="3"/>
  <c r="S1313" i="3"/>
  <c r="R1315" i="3"/>
  <c r="S1315" i="3"/>
  <c r="R1316" i="3"/>
  <c r="S1316" i="3"/>
  <c r="R1192" i="3"/>
  <c r="S1192" i="3"/>
  <c r="R1204" i="3"/>
  <c r="S1204" i="3"/>
  <c r="R1317" i="3"/>
  <c r="S1317" i="3"/>
  <c r="R1318" i="3"/>
  <c r="S1318" i="3"/>
  <c r="R1320" i="3"/>
  <c r="S1320" i="3"/>
  <c r="R1325" i="3"/>
  <c r="S1325" i="3"/>
  <c r="R1327" i="3"/>
  <c r="S1327" i="3"/>
  <c r="R1331" i="3"/>
  <c r="S1331" i="3"/>
  <c r="R1178" i="3"/>
  <c r="S1178" i="3"/>
  <c r="R1185" i="3"/>
  <c r="S1185" i="3"/>
  <c r="R1332" i="3"/>
  <c r="S1332" i="3"/>
  <c r="R1333" i="3"/>
  <c r="S1333" i="3"/>
  <c r="R1334" i="3"/>
  <c r="S1334" i="3"/>
  <c r="R1336" i="3"/>
  <c r="S1336" i="3"/>
  <c r="R1220" i="3"/>
  <c r="S1220" i="3"/>
  <c r="R1179" i="3"/>
  <c r="S1179" i="3"/>
  <c r="R1216" i="3"/>
  <c r="S1216" i="3"/>
  <c r="R1217" i="3"/>
  <c r="S1217" i="3"/>
  <c r="R1210" i="3"/>
  <c r="S1210" i="3"/>
  <c r="R1340" i="3"/>
  <c r="S1340" i="3"/>
  <c r="R1341" i="3"/>
  <c r="S1341" i="3"/>
  <c r="R1343" i="3"/>
  <c r="S1343" i="3"/>
  <c r="R1348" i="3"/>
  <c r="S1348" i="3"/>
  <c r="R1352" i="3"/>
  <c r="S1352" i="3"/>
  <c r="R1201" i="3"/>
  <c r="S1201" i="3"/>
  <c r="R1170" i="3"/>
  <c r="S1170" i="3"/>
  <c r="R1354" i="3"/>
  <c r="S1354" i="3"/>
  <c r="R1167" i="3"/>
  <c r="S1167" i="3"/>
  <c r="R1168" i="3"/>
  <c r="S1168" i="3"/>
  <c r="R1223" i="3"/>
  <c r="S1223" i="3"/>
  <c r="R1160" i="3"/>
  <c r="S1160" i="3"/>
  <c r="R1364" i="3"/>
  <c r="S1364" i="3"/>
  <c r="R1365" i="3"/>
  <c r="S1365" i="3"/>
  <c r="R1366" i="3"/>
  <c r="S1366" i="3"/>
  <c r="R1187" i="3"/>
  <c r="S1187" i="3"/>
  <c r="R1368" i="3"/>
  <c r="S1368" i="3"/>
  <c r="R1213" i="3"/>
  <c r="S1213" i="3"/>
  <c r="R1209" i="3"/>
  <c r="S1209" i="3"/>
  <c r="R1369" i="3"/>
  <c r="S1369" i="3"/>
  <c r="R1370" i="3"/>
  <c r="S1370" i="3"/>
  <c r="R1214" i="3"/>
  <c r="S1214" i="3"/>
  <c r="R1372" i="3"/>
  <c r="S1372" i="3"/>
  <c r="R1373" i="3"/>
  <c r="S1373" i="3"/>
  <c r="R1375" i="3"/>
  <c r="S1375" i="3"/>
  <c r="R1376" i="3"/>
  <c r="S1376" i="3"/>
  <c r="R1377" i="3"/>
  <c r="S1377" i="3"/>
  <c r="R1224" i="3"/>
  <c r="S1224" i="3"/>
  <c r="R1174" i="3"/>
  <c r="S1174" i="3"/>
  <c r="R1378" i="3"/>
  <c r="S1378" i="3"/>
  <c r="R1159" i="3"/>
  <c r="S1159" i="3"/>
  <c r="AN1378" i="3"/>
  <c r="AM1378" i="3"/>
  <c r="AK1378" i="3"/>
  <c r="AJ1378" i="3"/>
  <c r="BE1108" i="3"/>
  <c r="BF1108" i="3"/>
  <c r="BG1108" i="3"/>
  <c r="BE1154" i="3"/>
  <c r="BF1154" i="3"/>
  <c r="BG1154" i="3"/>
  <c r="BE1155" i="3"/>
  <c r="BF1155" i="3"/>
  <c r="BG1155" i="3"/>
  <c r="BE1156" i="3"/>
  <c r="BF1156" i="3"/>
  <c r="BG1156" i="3"/>
  <c r="BE1157" i="3"/>
  <c r="BF1157" i="3"/>
  <c r="BG1157" i="3"/>
  <c r="BE1158" i="3"/>
  <c r="BF1158" i="3"/>
  <c r="BG1158" i="3"/>
  <c r="BE1196" i="3"/>
  <c r="BF1196" i="3"/>
  <c r="BG1196" i="3"/>
  <c r="BE1163" i="3"/>
  <c r="BF1163" i="3"/>
  <c r="BG1163" i="3"/>
  <c r="BE1180" i="3"/>
  <c r="BF1180" i="3"/>
  <c r="BG1180" i="3"/>
  <c r="BE1181" i="3"/>
  <c r="BF1181" i="3"/>
  <c r="BG1181" i="3"/>
  <c r="BE1162" i="3"/>
  <c r="BF1162" i="3"/>
  <c r="BG1162" i="3"/>
  <c r="BE1165" i="3"/>
  <c r="BF1165" i="3"/>
  <c r="BG1165" i="3"/>
  <c r="BE1200" i="3"/>
  <c r="BF1200" i="3"/>
  <c r="BG1200" i="3"/>
  <c r="BE1166" i="3"/>
  <c r="BF1166" i="3"/>
  <c r="BG1166" i="3"/>
  <c r="BE1173" i="3"/>
  <c r="BF1173" i="3"/>
  <c r="BG1173" i="3"/>
  <c r="BE1145" i="3"/>
  <c r="BF1145" i="3"/>
  <c r="BG1145" i="3"/>
  <c r="BE1202" i="3"/>
  <c r="BF1202" i="3"/>
  <c r="BG1202" i="3"/>
  <c r="BE1225" i="3"/>
  <c r="BF1225" i="3"/>
  <c r="BG1225" i="3"/>
  <c r="BE1226" i="3"/>
  <c r="BF1226" i="3"/>
  <c r="BG1226" i="3"/>
  <c r="BE1227" i="3"/>
  <c r="BF1227" i="3"/>
  <c r="BG1227" i="3"/>
  <c r="BE1146" i="3"/>
  <c r="BF1146" i="3"/>
  <c r="BG1146" i="3"/>
  <c r="BE1228" i="3"/>
  <c r="BF1228" i="3"/>
  <c r="BG1228" i="3"/>
  <c r="BE1229" i="3"/>
  <c r="BF1229" i="3"/>
  <c r="BG1229" i="3"/>
  <c r="BE1230" i="3"/>
  <c r="BF1230" i="3"/>
  <c r="BG1230" i="3"/>
  <c r="BE1231" i="3"/>
  <c r="BF1231" i="3"/>
  <c r="BG1231" i="3"/>
  <c r="BE1232" i="3"/>
  <c r="BF1232" i="3"/>
  <c r="BG1232" i="3"/>
  <c r="BE1233" i="3"/>
  <c r="BF1233" i="3"/>
  <c r="BG1233" i="3"/>
  <c r="BE1234" i="3"/>
  <c r="BF1234" i="3"/>
  <c r="BG1234" i="3"/>
  <c r="BE1235" i="3"/>
  <c r="BF1235" i="3"/>
  <c r="BG1235" i="3"/>
  <c r="BE1236" i="3"/>
  <c r="BF1236" i="3"/>
  <c r="BG1236" i="3"/>
  <c r="BE1237" i="3"/>
  <c r="BF1237" i="3"/>
  <c r="BG1237" i="3"/>
  <c r="BE1238" i="3"/>
  <c r="BF1238" i="3"/>
  <c r="BG1238" i="3"/>
  <c r="BE1239" i="3"/>
  <c r="BF1239" i="3"/>
  <c r="BG1239" i="3"/>
  <c r="BE1240" i="3"/>
  <c r="BF1240" i="3"/>
  <c r="BG1240" i="3"/>
  <c r="BE1241" i="3"/>
  <c r="BF1241" i="3"/>
  <c r="BG1241" i="3"/>
  <c r="BE1242" i="3"/>
  <c r="BF1242" i="3"/>
  <c r="BG1242" i="3"/>
  <c r="BE1243" i="3"/>
  <c r="BF1243" i="3"/>
  <c r="BG1243" i="3"/>
  <c r="BE1244" i="3"/>
  <c r="BF1244" i="3"/>
  <c r="BG1244" i="3"/>
  <c r="BE1245" i="3"/>
  <c r="BF1245" i="3"/>
  <c r="BG1245" i="3"/>
  <c r="BE1246" i="3"/>
  <c r="BF1246" i="3"/>
  <c r="BG1246" i="3"/>
  <c r="BE1247" i="3"/>
  <c r="BG1247" i="3"/>
  <c r="BE1248" i="3"/>
  <c r="BG1248" i="3"/>
  <c r="BE1249" i="3"/>
  <c r="BF1249" i="3"/>
  <c r="BG1249" i="3"/>
  <c r="BE1250" i="3"/>
  <c r="BF1250" i="3"/>
  <c r="BG1250" i="3"/>
  <c r="BE1251" i="3"/>
  <c r="BF1251" i="3"/>
  <c r="BG1251" i="3"/>
  <c r="BE1252" i="3"/>
  <c r="BF1252" i="3"/>
  <c r="BG1252" i="3"/>
  <c r="BE1253" i="3"/>
  <c r="BF1253" i="3"/>
  <c r="BG1253" i="3"/>
  <c r="BE1254" i="3"/>
  <c r="BF1254" i="3"/>
  <c r="BG1254" i="3"/>
  <c r="BE1255" i="3"/>
  <c r="BF1255" i="3"/>
  <c r="BG1255" i="3"/>
  <c r="BE1256" i="3"/>
  <c r="BF1256" i="3"/>
  <c r="BG1256" i="3"/>
  <c r="BE1257" i="3"/>
  <c r="BF1257" i="3"/>
  <c r="BG1257" i="3"/>
  <c r="BE1258" i="3"/>
  <c r="BF1258" i="3"/>
  <c r="BG1258" i="3"/>
  <c r="BE1259" i="3"/>
  <c r="BF1259" i="3"/>
  <c r="BG1259" i="3"/>
  <c r="BE1260" i="3"/>
  <c r="BF1260" i="3"/>
  <c r="BG1260" i="3"/>
  <c r="BE1261" i="3"/>
  <c r="BF1261" i="3"/>
  <c r="BG1261" i="3"/>
  <c r="BE1262" i="3"/>
  <c r="BF1262" i="3"/>
  <c r="BG1262" i="3"/>
  <c r="BE1263" i="3"/>
  <c r="BF1263" i="3"/>
  <c r="BG1263" i="3"/>
  <c r="BE1264" i="3"/>
  <c r="BF1264" i="3"/>
  <c r="BG1264" i="3"/>
  <c r="BE1265" i="3"/>
  <c r="BF1265" i="3"/>
  <c r="BG1265" i="3"/>
  <c r="BE1266" i="3"/>
  <c r="BF1266" i="3"/>
  <c r="BG1266" i="3"/>
  <c r="BE1267" i="3"/>
  <c r="BF1267" i="3"/>
  <c r="BG1267" i="3"/>
  <c r="BE1268" i="3"/>
  <c r="BF1268" i="3"/>
  <c r="BG1268" i="3"/>
  <c r="BE1269" i="3"/>
  <c r="BG1269" i="3"/>
  <c r="BE1270" i="3"/>
  <c r="BF1270" i="3"/>
  <c r="BG1270" i="3"/>
  <c r="BE1271" i="3"/>
  <c r="BF1271" i="3"/>
  <c r="BG1271" i="3"/>
  <c r="BE1272" i="3"/>
  <c r="BF1272" i="3"/>
  <c r="BG1272" i="3"/>
  <c r="BE1273" i="3"/>
  <c r="BF1273" i="3"/>
  <c r="BG1273" i="3"/>
  <c r="BE1274" i="3"/>
  <c r="BF1274" i="3"/>
  <c r="BG1274" i="3"/>
  <c r="BE1275" i="3"/>
  <c r="BF1275" i="3"/>
  <c r="BG1275" i="3"/>
  <c r="BE1276" i="3"/>
  <c r="BF1276" i="3"/>
  <c r="BG1276" i="3"/>
  <c r="BE1277" i="3"/>
  <c r="BF1277" i="3"/>
  <c r="BG1277" i="3"/>
  <c r="BE1278" i="3"/>
  <c r="BF1278" i="3"/>
  <c r="BG1278" i="3"/>
  <c r="BE1279" i="3"/>
  <c r="BF1279" i="3"/>
  <c r="BG1279" i="3"/>
  <c r="BE1280" i="3"/>
  <c r="BF1280" i="3"/>
  <c r="BG1280" i="3"/>
  <c r="BE1281" i="3"/>
  <c r="BF1281" i="3"/>
  <c r="BG1281" i="3"/>
  <c r="BE1282" i="3"/>
  <c r="BF1282" i="3"/>
  <c r="BG1282" i="3"/>
  <c r="BE1283" i="3"/>
  <c r="BF1283" i="3"/>
  <c r="BG1283" i="3"/>
  <c r="BE1284" i="3"/>
  <c r="BF1284" i="3"/>
  <c r="BG1284" i="3"/>
  <c r="BE1285" i="3"/>
  <c r="BF1285" i="3"/>
  <c r="BG1285" i="3"/>
  <c r="BE1286" i="3"/>
  <c r="BF1286" i="3"/>
  <c r="BG1286" i="3"/>
  <c r="BE1287" i="3"/>
  <c r="BF1287" i="3"/>
  <c r="BG1287" i="3"/>
  <c r="BE1288" i="3"/>
  <c r="BF1288" i="3"/>
  <c r="BG1288" i="3"/>
  <c r="BE1289" i="3"/>
  <c r="BF1289" i="3"/>
  <c r="BG1289" i="3"/>
  <c r="BE1290" i="3"/>
  <c r="BF1290" i="3"/>
  <c r="BG1290" i="3"/>
  <c r="BE1291" i="3"/>
  <c r="BF1291" i="3"/>
  <c r="BG1291" i="3"/>
  <c r="BE1292" i="3"/>
  <c r="BF1292" i="3"/>
  <c r="BG1292" i="3"/>
  <c r="BE1293" i="3"/>
  <c r="BF1293" i="3"/>
  <c r="BG1293" i="3"/>
  <c r="BE1294" i="3"/>
  <c r="BF1294" i="3"/>
  <c r="BG1294" i="3"/>
  <c r="BE1295" i="3"/>
  <c r="BF1295" i="3"/>
  <c r="BG1295" i="3"/>
  <c r="BE1296" i="3"/>
  <c r="BF1296" i="3"/>
  <c r="BG1296" i="3"/>
  <c r="BE1188" i="3"/>
  <c r="BF1188" i="3"/>
  <c r="BG1188" i="3"/>
  <c r="BE1297" i="3"/>
  <c r="BF1297" i="3"/>
  <c r="BG1297" i="3"/>
  <c r="BE1298" i="3"/>
  <c r="BF1298" i="3"/>
  <c r="BG1298" i="3"/>
  <c r="BE1299" i="3"/>
  <c r="BF1299" i="3"/>
  <c r="BG1299" i="3"/>
  <c r="BE1300" i="3"/>
  <c r="BF1300" i="3"/>
  <c r="BG1300" i="3"/>
  <c r="BE1301" i="3"/>
  <c r="BF1301" i="3"/>
  <c r="BG1301" i="3"/>
  <c r="BE1302" i="3"/>
  <c r="BF1302" i="3"/>
  <c r="BG1302" i="3"/>
  <c r="BE1303" i="3"/>
  <c r="BF1303" i="3"/>
  <c r="BG1303" i="3"/>
  <c r="BE1304" i="3"/>
  <c r="BF1304" i="3"/>
  <c r="BG1304" i="3"/>
  <c r="BE1305" i="3"/>
  <c r="BF1305" i="3"/>
  <c r="BG1305" i="3"/>
  <c r="BE1175" i="3"/>
  <c r="BF1175" i="3"/>
  <c r="BG1175" i="3"/>
  <c r="BE1176" i="3"/>
  <c r="W1176" i="3" s="1"/>
  <c r="BF1176" i="3"/>
  <c r="X1176" i="3" s="1"/>
  <c r="BG1176" i="3"/>
  <c r="BE1147" i="3"/>
  <c r="W1147" i="3" s="1"/>
  <c r="BF1147" i="3"/>
  <c r="X1147" i="3" s="1"/>
  <c r="BG1147" i="3"/>
  <c r="BE1306" i="3"/>
  <c r="BF1306" i="3"/>
  <c r="BG1306" i="3"/>
  <c r="BE1198" i="3"/>
  <c r="BF1198" i="3"/>
  <c r="BG1198" i="3"/>
  <c r="BE1307" i="3"/>
  <c r="BF1307" i="3"/>
  <c r="BG1307" i="3"/>
  <c r="BE1177" i="3"/>
  <c r="BF1177" i="3"/>
  <c r="BG1177" i="3"/>
  <c r="BE1308" i="3"/>
  <c r="BF1308" i="3"/>
  <c r="BG1308" i="3"/>
  <c r="BE1309" i="3"/>
  <c r="BF1309" i="3"/>
  <c r="BG1309" i="3"/>
  <c r="BE1211" i="3"/>
  <c r="BF1211" i="3"/>
  <c r="BG1211" i="3"/>
  <c r="BE1161" i="3"/>
  <c r="BF1161" i="3"/>
  <c r="BG1161" i="3"/>
  <c r="BE1310" i="3"/>
  <c r="BF1310" i="3"/>
  <c r="BG1310" i="3"/>
  <c r="BE1311" i="3"/>
  <c r="BF1311" i="3"/>
  <c r="BG1311" i="3"/>
  <c r="BE1312" i="3"/>
  <c r="BF1312" i="3"/>
  <c r="BG1312" i="3"/>
  <c r="BE1212" i="3"/>
  <c r="BF1212" i="3"/>
  <c r="BG1212" i="3"/>
  <c r="BE1313" i="3"/>
  <c r="BF1313" i="3"/>
  <c r="BG1313" i="3"/>
  <c r="BE1315" i="3"/>
  <c r="BF1315" i="3"/>
  <c r="BG1315" i="3"/>
  <c r="BE1316" i="3"/>
  <c r="BG1316" i="3"/>
  <c r="BE1192" i="3"/>
  <c r="W1192" i="3" s="1"/>
  <c r="BG1192" i="3"/>
  <c r="BE1204" i="3"/>
  <c r="BG1204" i="3"/>
  <c r="BE1317" i="3"/>
  <c r="BG1317" i="3"/>
  <c r="BE1318" i="3"/>
  <c r="BG1318" i="3"/>
  <c r="BE1320" i="3"/>
  <c r="BF1320" i="3"/>
  <c r="BG1320" i="3"/>
  <c r="BE1325" i="3"/>
  <c r="BF1325" i="3"/>
  <c r="BG1325" i="3"/>
  <c r="BE1327" i="3"/>
  <c r="BG1327" i="3"/>
  <c r="BE1331" i="3"/>
  <c r="BG1331" i="3"/>
  <c r="BE1178" i="3"/>
  <c r="BG1178" i="3"/>
  <c r="BE1185" i="3"/>
  <c r="BG1185" i="3"/>
  <c r="BE1332" i="3"/>
  <c r="BG1332" i="3"/>
  <c r="BE1333" i="3"/>
  <c r="BG1333" i="3"/>
  <c r="BE1334" i="3"/>
  <c r="BG1334" i="3"/>
  <c r="BG1336" i="3"/>
  <c r="BG1220" i="3"/>
  <c r="BG1179" i="3"/>
  <c r="BG1216" i="3"/>
  <c r="BG1217" i="3"/>
  <c r="BG1210" i="3"/>
  <c r="BG1340" i="3"/>
  <c r="BG1341" i="3"/>
  <c r="BE1343" i="3"/>
  <c r="BF1343" i="3"/>
  <c r="BG1343" i="3"/>
  <c r="BE1348" i="3"/>
  <c r="BF1348" i="3"/>
  <c r="BG1348" i="3"/>
  <c r="BE1352" i="3"/>
  <c r="BF1352" i="3"/>
  <c r="BG1352" i="3"/>
  <c r="BE1201" i="3"/>
  <c r="BF1201" i="3"/>
  <c r="BG1201" i="3"/>
  <c r="BE1170" i="3"/>
  <c r="BF1170" i="3"/>
  <c r="BG1170" i="3"/>
  <c r="BE1354" i="3"/>
  <c r="BF1354" i="3"/>
  <c r="BG1354" i="3"/>
  <c r="BE1167" i="3"/>
  <c r="BF1167" i="3"/>
  <c r="BG1167" i="3"/>
  <c r="BE1168" i="3"/>
  <c r="BF1168" i="3"/>
  <c r="BG1168" i="3"/>
  <c r="BE1223" i="3"/>
  <c r="BF1223" i="3"/>
  <c r="BG1223" i="3"/>
  <c r="BE1160" i="3"/>
  <c r="BF1160" i="3"/>
  <c r="BG1160" i="3"/>
  <c r="BE1364" i="3"/>
  <c r="BF1364" i="3"/>
  <c r="BG1364" i="3"/>
  <c r="BE1365" i="3"/>
  <c r="BF1365" i="3"/>
  <c r="BG1365" i="3"/>
  <c r="BE1366" i="3"/>
  <c r="BF1366" i="3"/>
  <c r="BG1366" i="3"/>
  <c r="BE1187" i="3"/>
  <c r="BF1187" i="3"/>
  <c r="BG1187" i="3"/>
  <c r="BE1368" i="3"/>
  <c r="BF1368" i="3"/>
  <c r="BG1368" i="3"/>
  <c r="BE1213" i="3"/>
  <c r="BF1213" i="3"/>
  <c r="BG1213" i="3"/>
  <c r="BE1209" i="3"/>
  <c r="BF1209" i="3"/>
  <c r="BG1209" i="3"/>
  <c r="BE1369" i="3"/>
  <c r="BF1369" i="3"/>
  <c r="BG1369" i="3"/>
  <c r="BE1370" i="3"/>
  <c r="BF1370" i="3"/>
  <c r="BG1370" i="3"/>
  <c r="BE1214" i="3"/>
  <c r="BF1214" i="3"/>
  <c r="BG1214" i="3"/>
  <c r="BE1372" i="3"/>
  <c r="BF1372" i="3"/>
  <c r="BG1372" i="3"/>
  <c r="BE1373" i="3"/>
  <c r="BF1373" i="3"/>
  <c r="BG1373" i="3"/>
  <c r="BE1375" i="3"/>
  <c r="BF1375" i="3"/>
  <c r="BG1375" i="3"/>
  <c r="BE1376" i="3"/>
  <c r="BF1376" i="3"/>
  <c r="BG1376" i="3"/>
  <c r="BE1377" i="3"/>
  <c r="BF1377" i="3"/>
  <c r="BG1377" i="3"/>
  <c r="BE1224" i="3"/>
  <c r="BF1224" i="3"/>
  <c r="BG1224" i="3"/>
  <c r="BE1174" i="3"/>
  <c r="BF1174" i="3"/>
  <c r="BG1174" i="3"/>
  <c r="BE1378" i="3"/>
  <c r="BF1378" i="3"/>
  <c r="BG1378" i="3"/>
  <c r="BE1159" i="3"/>
  <c r="BF1159" i="3"/>
  <c r="BG1159" i="3"/>
  <c r="U1159" i="3"/>
  <c r="V1159" i="3" s="1"/>
  <c r="C1159" i="3"/>
  <c r="BH1159" i="3"/>
  <c r="AZ1159" i="3"/>
  <c r="AX1159" i="3"/>
  <c r="AY1159" i="3" s="1"/>
  <c r="AC1159" i="3"/>
  <c r="F1159" i="3" a="1"/>
  <c r="F1302" i="3" a="1"/>
  <c r="F1300" i="3" a="1"/>
  <c r="F1299" i="3" a="1"/>
  <c r="F1298" i="3" a="1"/>
  <c r="F1297" i="3" a="1"/>
  <c r="F1296" i="3" a="1"/>
  <c r="F1295" i="3" a="1"/>
  <c r="F1294" i="3" a="1"/>
  <c r="F1293" i="3" a="1"/>
  <c r="F1292" i="3" a="1"/>
  <c r="F1291" i="3" a="1"/>
  <c r="F1290" i="3" a="1"/>
  <c r="F1289" i="3" a="1"/>
  <c r="F1288" i="3" a="1"/>
  <c r="F1287" i="3" a="1"/>
  <c r="F1286" i="3" a="1"/>
  <c r="F1285" i="3" a="1"/>
  <c r="F1284" i="3" a="1"/>
  <c r="F1283" i="3" a="1"/>
  <c r="F1282" i="3" a="1"/>
  <c r="F1281" i="3" a="1"/>
  <c r="F1280" i="3" a="1"/>
  <c r="F1279" i="3" a="1"/>
  <c r="F1278" i="3" a="1"/>
  <c r="F1277" i="3" a="1"/>
  <c r="F1276" i="3" a="1"/>
  <c r="F1275" i="3" a="1"/>
  <c r="F1327" i="3" a="1"/>
  <c r="F1325" i="3" a="1"/>
  <c r="F1320" i="3" a="1"/>
  <c r="F1315" i="3" a="1"/>
  <c r="F1313" i="3" a="1"/>
  <c r="F1312" i="3" a="1"/>
  <c r="F1311" i="3" a="1"/>
  <c r="F1336" i="3" a="1"/>
  <c r="F1352" i="3" a="1"/>
  <c r="F1348" i="3" a="1"/>
  <c r="F1366" i="3" a="1"/>
  <c r="F1368" i="3" a="1"/>
  <c r="F1370" i="3" a="1"/>
  <c r="AX1320" i="3"/>
  <c r="AY1320" i="3" s="1"/>
  <c r="AX1325" i="3"/>
  <c r="AY1325" i="3" s="1"/>
  <c r="AX1327" i="3"/>
  <c r="AY1327" i="3" s="1"/>
  <c r="AX1331" i="3"/>
  <c r="AY1331" i="3" s="1"/>
  <c r="AX1178" i="3"/>
  <c r="AY1178" i="3" s="1"/>
  <c r="AX1185" i="3"/>
  <c r="AY1185" i="3" s="1"/>
  <c r="AX1332" i="3"/>
  <c r="AY1332" i="3" s="1"/>
  <c r="AX1333" i="3"/>
  <c r="AY1333" i="3" s="1"/>
  <c r="AX1334" i="3"/>
  <c r="AY1334" i="3" s="1"/>
  <c r="AX1336" i="3"/>
  <c r="AY1336" i="3" s="1"/>
  <c r="AX1220" i="3"/>
  <c r="AY1220" i="3" s="1"/>
  <c r="AX1179" i="3"/>
  <c r="AY1179" i="3" s="1"/>
  <c r="AX1216" i="3"/>
  <c r="AY1216" i="3" s="1"/>
  <c r="AX1217" i="3"/>
  <c r="AY1217" i="3" s="1"/>
  <c r="AX1210" i="3"/>
  <c r="AY1210" i="3" s="1"/>
  <c r="AX1340" i="3"/>
  <c r="AY1340" i="3" s="1"/>
  <c r="AX1341" i="3"/>
  <c r="AY1341" i="3" s="1"/>
  <c r="AX1343" i="3"/>
  <c r="AY1343" i="3" s="1"/>
  <c r="AX1348" i="3"/>
  <c r="AY1348" i="3" s="1"/>
  <c r="AX1352" i="3"/>
  <c r="AY1352" i="3" s="1"/>
  <c r="AX1201" i="3"/>
  <c r="AY1201" i="3" s="1"/>
  <c r="AX1170" i="3"/>
  <c r="AY1170" i="3" s="1"/>
  <c r="AX1354" i="3"/>
  <c r="AY1354" i="3" s="1"/>
  <c r="AX1167" i="3"/>
  <c r="AY1167" i="3" s="1"/>
  <c r="AX1168" i="3"/>
  <c r="AY1168" i="3" s="1"/>
  <c r="AX1223" i="3"/>
  <c r="AY1223" i="3" s="1"/>
  <c r="AX1160" i="3"/>
  <c r="AY1160" i="3" s="1"/>
  <c r="AX1364" i="3"/>
  <c r="AY1364" i="3" s="1"/>
  <c r="AX1365" i="3"/>
  <c r="AY1365" i="3" s="1"/>
  <c r="AX1366" i="3"/>
  <c r="AY1366" i="3" s="1"/>
  <c r="AX1187" i="3"/>
  <c r="AY1187" i="3" s="1"/>
  <c r="AX1368" i="3"/>
  <c r="AY1368" i="3" s="1"/>
  <c r="AX1213" i="3"/>
  <c r="AY1213" i="3" s="1"/>
  <c r="AX1209" i="3"/>
  <c r="AY1209" i="3" s="1"/>
  <c r="AX1369" i="3"/>
  <c r="AY1369" i="3" s="1"/>
  <c r="AX1370" i="3"/>
  <c r="AY1370" i="3" s="1"/>
  <c r="AX1214" i="3"/>
  <c r="AY1214" i="3" s="1"/>
  <c r="AX1372" i="3"/>
  <c r="AY1372" i="3" s="1"/>
  <c r="AX1373" i="3"/>
  <c r="AY1373" i="3" s="1"/>
  <c r="AX1375" i="3"/>
  <c r="AY1375" i="3" s="1"/>
  <c r="AX1376" i="3"/>
  <c r="AY1376" i="3" s="1"/>
  <c r="AX1377" i="3"/>
  <c r="AY1377" i="3" s="1"/>
  <c r="AX1224" i="3"/>
  <c r="AY1224" i="3" s="1"/>
  <c r="AX1174" i="3"/>
  <c r="AY1174" i="3" s="1"/>
  <c r="AX1378" i="3"/>
  <c r="AY1378" i="3" s="1"/>
  <c r="AJ1148" i="3"/>
  <c r="U1170" i="3"/>
  <c r="BH1170" i="3"/>
  <c r="AZ1170" i="3"/>
  <c r="AW1170" i="3" a="1"/>
  <c r="AC1170" i="3"/>
  <c r="F1170" i="3" a="1"/>
  <c r="C1170" i="3"/>
  <c r="U1162" i="3"/>
  <c r="U1139" i="3"/>
  <c r="U1137" i="3"/>
  <c r="U1138" i="3"/>
  <c r="U1136" i="3"/>
  <c r="U245" i="70"/>
  <c r="U246" i="70"/>
  <c r="U247" i="70"/>
  <c r="U248" i="70"/>
  <c r="U249" i="70"/>
  <c r="U250" i="70"/>
  <c r="U251" i="70"/>
  <c r="U244" i="70"/>
  <c r="AS252" i="70"/>
  <c r="AA252" i="70"/>
  <c r="AM1093" i="3"/>
  <c r="BH1176" i="3"/>
  <c r="AZ1176" i="3"/>
  <c r="AX1176" i="3"/>
  <c r="AY1176" i="3" s="1"/>
  <c r="AC1176" i="3"/>
  <c r="V1176" i="3"/>
  <c r="F1176" i="3" a="1"/>
  <c r="C1176" i="3"/>
  <c r="X213" i="70"/>
  <c r="X214" i="70"/>
  <c r="X215" i="70"/>
  <c r="X216" i="70"/>
  <c r="X217" i="70"/>
  <c r="X209" i="70"/>
  <c r="X210" i="70"/>
  <c r="X190" i="70"/>
  <c r="X171" i="70"/>
  <c r="X172" i="70"/>
  <c r="X173" i="70"/>
  <c r="C1378" i="3"/>
  <c r="F1378" i="3" a="1"/>
  <c r="AC1378" i="3"/>
  <c r="AW1378" i="3" a="1"/>
  <c r="AZ1378" i="3"/>
  <c r="BH1378" i="3"/>
  <c r="Z1166" i="3"/>
  <c r="AC1166" i="3"/>
  <c r="AW1166" i="3" a="1"/>
  <c r="AZ1166" i="3"/>
  <c r="BH1166" i="3"/>
  <c r="BH1334" i="3"/>
  <c r="AZ1334" i="3"/>
  <c r="AW1334" i="3" a="1"/>
  <c r="AC1334" i="3"/>
  <c r="Z1334" i="3"/>
  <c r="F1334" i="3" a="1"/>
  <c r="C1334" i="3"/>
  <c r="BH1341" i="3"/>
  <c r="AZ1341" i="3"/>
  <c r="AW1341" i="3" a="1"/>
  <c r="AC1341" i="3"/>
  <c r="Z1341" i="3"/>
  <c r="F1341" i="3" a="1"/>
  <c r="C1341" i="3"/>
  <c r="U1217" i="3"/>
  <c r="U1210" i="3"/>
  <c r="X1210" i="3" s="1"/>
  <c r="BH1340" i="3"/>
  <c r="AZ1340" i="3"/>
  <c r="AW1340" i="3" a="1"/>
  <c r="AC1340" i="3"/>
  <c r="Z1340" i="3"/>
  <c r="F1340" i="3" a="1"/>
  <c r="C1340" i="3"/>
  <c r="BH1210" i="3"/>
  <c r="AZ1210" i="3"/>
  <c r="AW1210" i="3" a="1"/>
  <c r="F1210" i="3" a="1"/>
  <c r="C1210" i="3"/>
  <c r="BH1217" i="3"/>
  <c r="AZ1217" i="3"/>
  <c r="AW1217" i="3" a="1"/>
  <c r="AC1217" i="3"/>
  <c r="Z1217" i="3"/>
  <c r="F1217" i="3" a="1"/>
  <c r="C1217" i="3"/>
  <c r="BH1333" i="3"/>
  <c r="AZ1333" i="3"/>
  <c r="AW1333" i="3" a="1"/>
  <c r="AC1333" i="3"/>
  <c r="Z1333" i="3"/>
  <c r="F1333" i="3" a="1"/>
  <c r="C1333" i="3"/>
  <c r="BH1332" i="3"/>
  <c r="AZ1332" i="3"/>
  <c r="AW1332" i="3" a="1"/>
  <c r="AC1332" i="3"/>
  <c r="Z1332" i="3"/>
  <c r="F1332" i="3" a="1"/>
  <c r="C1332" i="3"/>
  <c r="BH1185" i="3"/>
  <c r="AZ1185" i="3"/>
  <c r="AC1185" i="3"/>
  <c r="F1185" i="3" a="1"/>
  <c r="C1185" i="3"/>
  <c r="BH1216" i="3"/>
  <c r="AZ1216" i="3"/>
  <c r="AW1216" i="3" a="1"/>
  <c r="AC1216" i="3"/>
  <c r="Z1216" i="3"/>
  <c r="F1216" i="3" a="1"/>
  <c r="C1216" i="3"/>
  <c r="F1139" i="3" a="1"/>
  <c r="F1137" i="3" a="1"/>
  <c r="F1158" i="3" a="1"/>
  <c r="F1156" i="3" a="1"/>
  <c r="F1168" i="3" a="1"/>
  <c r="F1167" i="3" a="1"/>
  <c r="F1202" i="3" a="1"/>
  <c r="F1145" i="3" a="1"/>
  <c r="F1200" i="3" a="1"/>
  <c r="F1165" i="3" a="1"/>
  <c r="U1168" i="3"/>
  <c r="U1167" i="3"/>
  <c r="BH1168" i="3"/>
  <c r="AZ1168" i="3"/>
  <c r="AC1168" i="3"/>
  <c r="C1168" i="3"/>
  <c r="BH1167" i="3"/>
  <c r="AZ1167" i="3"/>
  <c r="AC1167" i="3"/>
  <c r="C1167" i="3"/>
  <c r="BH1202" i="3"/>
  <c r="AZ1202" i="3"/>
  <c r="AW1202" i="3" a="1"/>
  <c r="AC1202" i="3"/>
  <c r="Z1202" i="3"/>
  <c r="C1202" i="3"/>
  <c r="BH1145" i="3"/>
  <c r="AZ1145" i="3"/>
  <c r="AW1145" i="3" a="1"/>
  <c r="AC1145" i="3"/>
  <c r="C1145" i="3"/>
  <c r="U1214" i="3"/>
  <c r="X1214" i="3" s="1"/>
  <c r="BH1214" i="3"/>
  <c r="AZ1214" i="3"/>
  <c r="AW1214" i="3" a="1"/>
  <c r="F1214" i="3" a="1"/>
  <c r="C1214" i="3"/>
  <c r="U1365" i="3"/>
  <c r="U1209" i="3"/>
  <c r="F1187" i="3" a="1"/>
  <c r="F1365" i="3" a="1"/>
  <c r="F1364" i="3" a="1"/>
  <c r="F1160" i="3" a="1"/>
  <c r="F1223" i="3" a="1"/>
  <c r="U1157" i="3"/>
  <c r="AW1200" i="3" a="1"/>
  <c r="AW1165" i="3" a="1"/>
  <c r="BH1165" i="3"/>
  <c r="BH1200" i="3"/>
  <c r="AZ1165" i="3"/>
  <c r="AZ1200" i="3"/>
  <c r="AC1165" i="3"/>
  <c r="AC1200" i="3"/>
  <c r="C1165" i="3"/>
  <c r="C1200" i="3"/>
  <c r="F1375" i="3" a="1"/>
  <c r="F1373" i="3" a="1"/>
  <c r="F1372" i="3" a="1"/>
  <c r="F1369" i="3" a="1"/>
  <c r="F1209" i="3" a="1"/>
  <c r="F1213" i="3" a="1"/>
  <c r="U1213" i="3"/>
  <c r="C1372" i="3"/>
  <c r="Z1372" i="3"/>
  <c r="AC1372" i="3"/>
  <c r="BH1372" i="3"/>
  <c r="C1373" i="3"/>
  <c r="Z1373" i="3"/>
  <c r="AC1373" i="3"/>
  <c r="BH1373" i="3"/>
  <c r="C1213" i="3"/>
  <c r="BH1213" i="3"/>
  <c r="C1209" i="3"/>
  <c r="Z1209" i="3"/>
  <c r="AC1209" i="3"/>
  <c r="BH1209" i="3"/>
  <c r="C1369" i="3"/>
  <c r="Z1369" i="3"/>
  <c r="AC1369" i="3"/>
  <c r="BH1369" i="3"/>
  <c r="BH1212" i="3"/>
  <c r="AX1212" i="3"/>
  <c r="AY1212" i="3" s="1"/>
  <c r="F1212" i="3" a="1"/>
  <c r="C1212" i="3"/>
  <c r="U1303" i="3"/>
  <c r="F1303" i="3" a="1"/>
  <c r="AX1303" i="3"/>
  <c r="AY1303" i="3" s="1"/>
  <c r="AN1303" i="3"/>
  <c r="AJ1303" i="3"/>
  <c r="AK1303" i="3"/>
  <c r="BH1303" i="3"/>
  <c r="AC1303" i="3"/>
  <c r="C1303" i="3"/>
  <c r="U1188" i="3"/>
  <c r="F1188" i="3" a="1"/>
  <c r="AX1188" i="3"/>
  <c r="AY1188" i="3" s="1"/>
  <c r="AJ1188" i="3"/>
  <c r="AK1188" i="3"/>
  <c r="BH1188" i="3"/>
  <c r="AC1188" i="3"/>
  <c r="C1188" i="3"/>
  <c r="C1187" i="3"/>
  <c r="AC1187" i="3"/>
  <c r="BH1187" i="3"/>
  <c r="BH1137" i="3"/>
  <c r="BG1137" i="3"/>
  <c r="BF1137" i="3"/>
  <c r="BE1137" i="3"/>
  <c r="AC1137" i="3"/>
  <c r="C1137" i="3"/>
  <c r="BH1139" i="3"/>
  <c r="BG1139" i="3"/>
  <c r="BF1139" i="3"/>
  <c r="BE1139" i="3"/>
  <c r="AC1139" i="3"/>
  <c r="C1139" i="3"/>
  <c r="BH1365" i="3"/>
  <c r="AC1365" i="3"/>
  <c r="Z1365" i="3"/>
  <c r="C1365" i="3"/>
  <c r="BH1364" i="3"/>
  <c r="AC1364" i="3"/>
  <c r="Z1364" i="3"/>
  <c r="U1364" i="3"/>
  <c r="C1364" i="3"/>
  <c r="U1158" i="3"/>
  <c r="BH1160" i="3"/>
  <c r="AC1160" i="3"/>
  <c r="C1160" i="3"/>
  <c r="BH1223" i="3"/>
  <c r="AC1223" i="3"/>
  <c r="Z1223" i="3"/>
  <c r="C1223" i="3"/>
  <c r="BH1158" i="3"/>
  <c r="AC1158" i="3"/>
  <c r="C1158" i="3"/>
  <c r="BH1156" i="3"/>
  <c r="AC1156" i="3"/>
  <c r="C1156" i="3"/>
  <c r="U1155" i="3"/>
  <c r="BH1155" i="3"/>
  <c r="AC1155" i="3"/>
  <c r="F1155" i="3" a="1"/>
  <c r="C1155" i="3"/>
  <c r="BH1181" i="3"/>
  <c r="AC1181" i="3"/>
  <c r="F1181" i="3" a="1"/>
  <c r="C1181" i="3"/>
  <c r="BH1180" i="3"/>
  <c r="AC1180" i="3"/>
  <c r="F1180" i="3" a="1"/>
  <c r="C1180" i="3"/>
  <c r="BH1201" i="3"/>
  <c r="AC1201" i="3"/>
  <c r="F1201" i="3" a="1"/>
  <c r="C1201" i="3"/>
  <c r="BH1157" i="3"/>
  <c r="AC1157" i="3"/>
  <c r="F1157" i="3" a="1"/>
  <c r="C1157" i="3"/>
  <c r="BH1162" i="3"/>
  <c r="AC1162" i="3"/>
  <c r="F1162" i="3" a="1"/>
  <c r="C1162" i="3"/>
  <c r="U1178" i="3"/>
  <c r="U1220" i="3"/>
  <c r="F1179" i="3" a="1"/>
  <c r="F1220" i="3" a="1"/>
  <c r="F1178" i="3" a="1"/>
  <c r="BH1220" i="3"/>
  <c r="AC1220" i="3"/>
  <c r="C1220" i="3"/>
  <c r="BH1331" i="3"/>
  <c r="AC1331" i="3"/>
  <c r="Z1331" i="3"/>
  <c r="F1331" i="3" a="1"/>
  <c r="C1331" i="3"/>
  <c r="BH1179" i="3"/>
  <c r="AC1179" i="3"/>
  <c r="C1179" i="3"/>
  <c r="BH1178" i="3"/>
  <c r="AC1178" i="3"/>
  <c r="C1178" i="3"/>
  <c r="F1144" i="3" a="1"/>
  <c r="BH1144" i="3"/>
  <c r="BG1144" i="3"/>
  <c r="BF1144" i="3"/>
  <c r="X1144" i="3" s="1"/>
  <c r="BE1144" i="3"/>
  <c r="W1144" i="3" s="1"/>
  <c r="AC1144" i="3"/>
  <c r="V1144" i="3"/>
  <c r="C1144" i="3"/>
  <c r="U1163" i="3"/>
  <c r="F1174" i="3" a="1"/>
  <c r="F1224" i="3" a="1"/>
  <c r="F1163" i="3" a="1"/>
  <c r="C1174" i="3"/>
  <c r="C1224" i="3"/>
  <c r="U1174" i="3"/>
  <c r="U1224" i="3"/>
  <c r="F1153" i="3" a="1"/>
  <c r="U1153" i="3"/>
  <c r="F1150" i="3" a="1"/>
  <c r="BH1153" i="3"/>
  <c r="BG1153" i="3"/>
  <c r="BF1153" i="3"/>
  <c r="BE1153" i="3"/>
  <c r="AX1153" i="3"/>
  <c r="AY1153" i="3" s="1"/>
  <c r="AJ1153" i="3"/>
  <c r="AC1153" i="3"/>
  <c r="C1153" i="3"/>
  <c r="U1150" i="3"/>
  <c r="U1149" i="3"/>
  <c r="BH1149" i="3"/>
  <c r="BG1149" i="3"/>
  <c r="BF1149" i="3"/>
  <c r="BE1149" i="3"/>
  <c r="AX1149" i="3"/>
  <c r="AY1149" i="3" s="1"/>
  <c r="AK1149" i="3"/>
  <c r="AJ1149" i="3"/>
  <c r="AC1149" i="3"/>
  <c r="F1149" i="3" a="1"/>
  <c r="C1149" i="3"/>
  <c r="BH1174" i="3"/>
  <c r="AC1174" i="3"/>
  <c r="BH1224" i="3"/>
  <c r="AC1224" i="3"/>
  <c r="Z1224" i="3"/>
  <c r="BH1163" i="3"/>
  <c r="AC1163" i="3"/>
  <c r="C1163" i="3"/>
  <c r="BH1376" i="3"/>
  <c r="AC1376" i="3"/>
  <c r="Z1376" i="3"/>
  <c r="F1376" i="3" a="1"/>
  <c r="C1376" i="3"/>
  <c r="BH1138" i="3"/>
  <c r="BG1138" i="3"/>
  <c r="BF1138" i="3"/>
  <c r="BE1138" i="3"/>
  <c r="AC1138" i="3"/>
  <c r="F1138" i="3" a="1"/>
  <c r="C1138" i="3"/>
  <c r="BH1136" i="3"/>
  <c r="BG1136" i="3"/>
  <c r="BF1136" i="3"/>
  <c r="BE1136" i="3"/>
  <c r="AC1136" i="3"/>
  <c r="F1136" i="3" a="1"/>
  <c r="C1136" i="3"/>
  <c r="BH1366" i="3"/>
  <c r="AC1366" i="3"/>
  <c r="Z1366" i="3"/>
  <c r="C1366" i="3"/>
  <c r="AK1152" i="3"/>
  <c r="AJ1152" i="3"/>
  <c r="AJ1129" i="3"/>
  <c r="AJ1128" i="3"/>
  <c r="AK1108" i="3"/>
  <c r="AJ1108" i="3"/>
  <c r="AJ1127" i="3"/>
  <c r="AJ1126" i="3"/>
  <c r="AJ1080" i="3"/>
  <c r="AJ1125" i="3"/>
  <c r="AK1124" i="3"/>
  <c r="AJ1124" i="3"/>
  <c r="AK1123" i="3"/>
  <c r="AJ1079" i="3"/>
  <c r="AK1151" i="3"/>
  <c r="AJ1151" i="3"/>
  <c r="AJ1130" i="3"/>
  <c r="AK1030" i="3"/>
  <c r="AJ1143" i="3"/>
  <c r="AJ1142" i="3"/>
  <c r="AJ1141" i="3"/>
  <c r="AK1121" i="3"/>
  <c r="AJ1121" i="3"/>
  <c r="AK1120" i="3"/>
  <c r="AJ1120" i="3"/>
  <c r="AJ1119" i="3"/>
  <c r="AJ1117" i="3"/>
  <c r="AJ1116" i="3"/>
  <c r="AJ1132" i="3"/>
  <c r="AJ1131" i="3"/>
  <c r="AJ1106" i="3"/>
  <c r="AJ1105" i="3"/>
  <c r="AK1104" i="3"/>
  <c r="AK1103" i="3"/>
  <c r="AK1102" i="3"/>
  <c r="AK1093" i="3"/>
  <c r="AJ1093" i="3"/>
  <c r="AK1092" i="3"/>
  <c r="AJ1070" i="3"/>
  <c r="AJ1067" i="3"/>
  <c r="AK1066" i="3"/>
  <c r="AJ1066" i="3"/>
  <c r="AJ1134" i="3"/>
  <c r="AJ1135" i="3"/>
  <c r="AJ1107" i="3"/>
  <c r="AK1107" i="3"/>
  <c r="AJ1110" i="3"/>
  <c r="AK1110" i="3"/>
  <c r="AJ1111" i="3"/>
  <c r="AK1111" i="3"/>
  <c r="AJ1133" i="3"/>
  <c r="Z1129" i="3"/>
  <c r="AN1108" i="3"/>
  <c r="AM1108" i="3"/>
  <c r="AN1034" i="3"/>
  <c r="AM1034" i="3"/>
  <c r="AN1078" i="3"/>
  <c r="AM1078" i="3"/>
  <c r="Z1126" i="3"/>
  <c r="AN1080" i="3"/>
  <c r="AM1080" i="3"/>
  <c r="AN1123" i="3"/>
  <c r="AM1123" i="3"/>
  <c r="AN1079" i="3"/>
  <c r="AM1079" i="3"/>
  <c r="AN1033" i="3"/>
  <c r="AM1033" i="3"/>
  <c r="AN1082" i="3"/>
  <c r="AM1082" i="3"/>
  <c r="AN1036" i="3"/>
  <c r="AM1036" i="3"/>
  <c r="AN1035" i="3"/>
  <c r="AM1035" i="3"/>
  <c r="AN1061" i="3"/>
  <c r="AM1061" i="3"/>
  <c r="AN1060" i="3"/>
  <c r="AM1060" i="3"/>
  <c r="AN1059" i="3"/>
  <c r="AM1059" i="3"/>
  <c r="AN1063" i="3"/>
  <c r="AM1063" i="3"/>
  <c r="AN1062" i="3"/>
  <c r="AM1062" i="3"/>
  <c r="AN1038" i="3"/>
  <c r="AM1038" i="3"/>
  <c r="AN1037" i="3"/>
  <c r="AM1037" i="3"/>
  <c r="AN1030" i="3"/>
  <c r="AM1030" i="3"/>
  <c r="AN1029" i="3"/>
  <c r="AM1029" i="3"/>
  <c r="AN1028" i="3"/>
  <c r="AM1028" i="3"/>
  <c r="AN1027" i="3"/>
  <c r="AM1027" i="3"/>
  <c r="AN1115" i="3"/>
  <c r="AM1115" i="3"/>
  <c r="AN1114" i="3"/>
  <c r="AM1114" i="3"/>
  <c r="AN1113" i="3"/>
  <c r="AM1113" i="3"/>
  <c r="AN1081" i="3"/>
  <c r="AM1081" i="3"/>
  <c r="AN1121" i="3"/>
  <c r="AM1121" i="3"/>
  <c r="AN1120" i="3"/>
  <c r="AM1120" i="3"/>
  <c r="AN1119" i="3"/>
  <c r="Z1119" i="3" s="1"/>
  <c r="AM1119" i="3"/>
  <c r="AN1118" i="3"/>
  <c r="AM1118" i="3"/>
  <c r="AN1117" i="3"/>
  <c r="AM1117" i="3"/>
  <c r="AN1116" i="3"/>
  <c r="AM1116" i="3"/>
  <c r="AN1040" i="3"/>
  <c r="AM1040" i="3"/>
  <c r="AN1039" i="3"/>
  <c r="AM1039" i="3"/>
  <c r="Z1132" i="3"/>
  <c r="AN1106" i="3"/>
  <c r="Z1106" i="3" s="1"/>
  <c r="AM1106" i="3"/>
  <c r="AN1105" i="3"/>
  <c r="AM1105" i="3"/>
  <c r="AN1104" i="3"/>
  <c r="AM1104" i="3"/>
  <c r="AN1103" i="3"/>
  <c r="AM1103" i="3"/>
  <c r="AN1102" i="3"/>
  <c r="AM1102" i="3"/>
  <c r="AN1098" i="3"/>
  <c r="AM1098" i="3"/>
  <c r="AN1097" i="3"/>
  <c r="AM1097" i="3"/>
  <c r="AN1096" i="3"/>
  <c r="Z1096" i="3" s="1"/>
  <c r="AM1096" i="3"/>
  <c r="AN1095" i="3"/>
  <c r="AM1095" i="3"/>
  <c r="AN1094" i="3"/>
  <c r="AM1094" i="3"/>
  <c r="AN1093" i="3"/>
  <c r="AN1092" i="3"/>
  <c r="AM1092" i="3"/>
  <c r="AN1091" i="3"/>
  <c r="AM1091" i="3"/>
  <c r="AN1090" i="3"/>
  <c r="AM1090" i="3"/>
  <c r="AN1075" i="3"/>
  <c r="AM1075" i="3"/>
  <c r="AN1074" i="3"/>
  <c r="AM1074" i="3"/>
  <c r="AN1073" i="3"/>
  <c r="AM1073" i="3"/>
  <c r="AN1072" i="3"/>
  <c r="AM1072" i="3"/>
  <c r="AN1071" i="3"/>
  <c r="AM1071" i="3"/>
  <c r="AN1070" i="3"/>
  <c r="AM1070" i="3"/>
  <c r="AN1069" i="3"/>
  <c r="AM1069" i="3"/>
  <c r="AN1068" i="3"/>
  <c r="AM1068" i="3"/>
  <c r="AN1067" i="3"/>
  <c r="AM1067" i="3"/>
  <c r="AN1066" i="3"/>
  <c r="AM1066" i="3"/>
  <c r="AN1057" i="3"/>
  <c r="AM1057" i="3"/>
  <c r="AN1054" i="3"/>
  <c r="AM1054" i="3"/>
  <c r="AN1053" i="3"/>
  <c r="AM1053" i="3"/>
  <c r="AN1052" i="3"/>
  <c r="AM1052" i="3"/>
  <c r="AN1051" i="3"/>
  <c r="AM1051" i="3"/>
  <c r="AN1050" i="3"/>
  <c r="AM1050" i="3"/>
  <c r="AN1043" i="3"/>
  <c r="AM1043" i="3"/>
  <c r="AN1032" i="3"/>
  <c r="AM1032" i="3"/>
  <c r="AN1031" i="3"/>
  <c r="AM1031" i="3"/>
  <c r="AN1111" i="3"/>
  <c r="AM1111" i="3"/>
  <c r="AN1110" i="3"/>
  <c r="AM1110" i="3"/>
  <c r="AN1107" i="3"/>
  <c r="AM1107" i="3"/>
  <c r="AN1024" i="3"/>
  <c r="AM1024" i="3"/>
  <c r="AN1023" i="3"/>
  <c r="AM1023" i="3"/>
  <c r="AN1022" i="3"/>
  <c r="AM1022" i="3"/>
  <c r="AN1021" i="3"/>
  <c r="AM1021" i="3"/>
  <c r="AN1020" i="3"/>
  <c r="AM1020" i="3"/>
  <c r="AN1019" i="3"/>
  <c r="AM1019" i="3"/>
  <c r="AN1018" i="3"/>
  <c r="AM1018" i="3"/>
  <c r="AN1017" i="3"/>
  <c r="AM1017" i="3"/>
  <c r="AN1016" i="3"/>
  <c r="AM1016" i="3"/>
  <c r="AN1011" i="3"/>
  <c r="AN1010" i="3"/>
  <c r="AM1010" i="3"/>
  <c r="AN1009" i="3"/>
  <c r="AM1009" i="3"/>
  <c r="AN1008" i="3"/>
  <c r="AM1008" i="3"/>
  <c r="AN1007" i="3"/>
  <c r="AM1007" i="3"/>
  <c r="AN1006" i="3"/>
  <c r="AM1006" i="3"/>
  <c r="AN1005" i="3"/>
  <c r="AM1005" i="3"/>
  <c r="AN1003" i="3"/>
  <c r="AM1003" i="3"/>
  <c r="AN1002" i="3"/>
  <c r="AM1002" i="3"/>
  <c r="AN1001" i="3"/>
  <c r="AM1001" i="3"/>
  <c r="AN1000" i="3"/>
  <c r="AM1000" i="3"/>
  <c r="AN999" i="3"/>
  <c r="AM999" i="3"/>
  <c r="AN998" i="3"/>
  <c r="AM998" i="3"/>
  <c r="AN994" i="3"/>
  <c r="AM994" i="3"/>
  <c r="AN993" i="3"/>
  <c r="AM993" i="3"/>
  <c r="AN980" i="3"/>
  <c r="AM980" i="3"/>
  <c r="AN979" i="3"/>
  <c r="AM979" i="3"/>
  <c r="AN978" i="3"/>
  <c r="AM978" i="3"/>
  <c r="AN977" i="3"/>
  <c r="AN976" i="3"/>
  <c r="AM976" i="3"/>
  <c r="AN975" i="3"/>
  <c r="AM975" i="3"/>
  <c r="AN919" i="3"/>
  <c r="AM919" i="3"/>
  <c r="AN918" i="3"/>
  <c r="AM918" i="3"/>
  <c r="AN917" i="3"/>
  <c r="AM917" i="3"/>
  <c r="AN916" i="3"/>
  <c r="AM916" i="3"/>
  <c r="AN915" i="3"/>
  <c r="AM915" i="3"/>
  <c r="AN914" i="3"/>
  <c r="AM914" i="3"/>
  <c r="AN913" i="3"/>
  <c r="AM913" i="3"/>
  <c r="AN971" i="3"/>
  <c r="AM971" i="3"/>
  <c r="AN970" i="3"/>
  <c r="AM970" i="3"/>
  <c r="AN969" i="3"/>
  <c r="AM969" i="3"/>
  <c r="AN963" i="3"/>
  <c r="AM963" i="3"/>
  <c r="AN962" i="3"/>
  <c r="AM962" i="3"/>
  <c r="AN961" i="3"/>
  <c r="AM961" i="3"/>
  <c r="AN959" i="3"/>
  <c r="AM959" i="3"/>
  <c r="AN958" i="3"/>
  <c r="AM958" i="3"/>
  <c r="AM957" i="3"/>
  <c r="AN956" i="3"/>
  <c r="AM956" i="3"/>
  <c r="AN955" i="3"/>
  <c r="AM955" i="3"/>
  <c r="AM954" i="3"/>
  <c r="AN953" i="3"/>
  <c r="AM953" i="3"/>
  <c r="AN952" i="3"/>
  <c r="AM952" i="3"/>
  <c r="AN951" i="3"/>
  <c r="AM951" i="3"/>
  <c r="AN950" i="3"/>
  <c r="AM950" i="3"/>
  <c r="AN949" i="3"/>
  <c r="AM949" i="3"/>
  <c r="AN943" i="3"/>
  <c r="AM943" i="3"/>
  <c r="AN942" i="3"/>
  <c r="AM942" i="3"/>
  <c r="AN941" i="3"/>
  <c r="AM941" i="3"/>
  <c r="AN940" i="3"/>
  <c r="AM940" i="3"/>
  <c r="AN937" i="3"/>
  <c r="AN936" i="3"/>
  <c r="AM936" i="3"/>
  <c r="AN927" i="3"/>
  <c r="AM927" i="3"/>
  <c r="AN926" i="3"/>
  <c r="AM926" i="3"/>
  <c r="AM925" i="3"/>
  <c r="AM924" i="3"/>
  <c r="AM923" i="3"/>
  <c r="AM922" i="3"/>
  <c r="AM921" i="3"/>
  <c r="AN920" i="3"/>
  <c r="AN901" i="3"/>
  <c r="AM901" i="3"/>
  <c r="AN900" i="3"/>
  <c r="AM900" i="3"/>
  <c r="AN893" i="3"/>
  <c r="AM893" i="3"/>
  <c r="AN892" i="3"/>
  <c r="AM892" i="3"/>
  <c r="AN891" i="3"/>
  <c r="AM891" i="3"/>
  <c r="AN890" i="3"/>
  <c r="AM890" i="3"/>
  <c r="AN889" i="3"/>
  <c r="AM889" i="3"/>
  <c r="AN888" i="3"/>
  <c r="AM888" i="3"/>
  <c r="AN882" i="3"/>
  <c r="AM882" i="3"/>
  <c r="AN881" i="3"/>
  <c r="AM881" i="3"/>
  <c r="AM864" i="3"/>
  <c r="AN863" i="3"/>
  <c r="AM863" i="3"/>
  <c r="AN862" i="3"/>
  <c r="AU862" i="3" s="1"/>
  <c r="AM862" i="3"/>
  <c r="AM861" i="3"/>
  <c r="AM860" i="3"/>
  <c r="AM859" i="3"/>
  <c r="AM858" i="3"/>
  <c r="AN854" i="3"/>
  <c r="AM854" i="3"/>
  <c r="AN851" i="3"/>
  <c r="AM851" i="3"/>
  <c r="AM822" i="3"/>
  <c r="AN822" i="3"/>
  <c r="AM821" i="3"/>
  <c r="AN821" i="3"/>
  <c r="W93" i="122"/>
  <c r="U1198" i="3"/>
  <c r="V1198" i="3" s="1"/>
  <c r="BH1198" i="3"/>
  <c r="AX1198" i="3"/>
  <c r="AY1198" i="3" s="1"/>
  <c r="AC1198" i="3"/>
  <c r="Z1198" i="3"/>
  <c r="F1198" i="3" a="1"/>
  <c r="C1198" i="3"/>
  <c r="F1147" i="3" a="1"/>
  <c r="AX1147" i="3"/>
  <c r="AY1147" i="3" s="1"/>
  <c r="AJ1147" i="3"/>
  <c r="BH1147" i="3"/>
  <c r="AC1147" i="3"/>
  <c r="V1147" i="3"/>
  <c r="C1147" i="3"/>
  <c r="F1192" i="3" a="1"/>
  <c r="AX1192" i="3"/>
  <c r="AY1192" i="3" s="1"/>
  <c r="AJ1192" i="3"/>
  <c r="AK1192" i="3"/>
  <c r="BH1192" i="3"/>
  <c r="AC1192" i="3"/>
  <c r="V1192" i="3"/>
  <c r="C1192" i="3"/>
  <c r="F260" i="70" a="1"/>
  <c r="F259" i="70" a="1"/>
  <c r="F258" i="70" a="1"/>
  <c r="F257" i="70" a="1"/>
  <c r="F256" i="70" a="1"/>
  <c r="F255" i="70" a="1"/>
  <c r="F254" i="70" a="1"/>
  <c r="F253" i="70" a="1"/>
  <c r="F242" i="70" a="1"/>
  <c r="F223" i="70" a="1"/>
  <c r="F222" i="70" a="1"/>
  <c r="F221" i="70" a="1"/>
  <c r="F220" i="70" a="1"/>
  <c r="F219" i="70" a="1"/>
  <c r="F218" i="70" a="1"/>
  <c r="F251" i="70" a="1"/>
  <c r="F250" i="70" a="1"/>
  <c r="F249" i="70" a="1"/>
  <c r="F248" i="70" a="1"/>
  <c r="F247" i="70" a="1"/>
  <c r="F246" i="70" a="1"/>
  <c r="F245" i="70" a="1"/>
  <c r="F244" i="70" a="1"/>
  <c r="F252" i="70" a="1"/>
  <c r="U1119" i="3"/>
  <c r="Y47" i="122"/>
  <c r="AB47" i="122"/>
  <c r="Y23" i="122"/>
  <c r="U242" i="70"/>
  <c r="F1148" i="3" a="1"/>
  <c r="BH1148" i="3"/>
  <c r="BG1148" i="3"/>
  <c r="BF1148" i="3"/>
  <c r="BE1148" i="3"/>
  <c r="W1148" i="3" s="1"/>
  <c r="AC1148" i="3"/>
  <c r="V1148" i="3"/>
  <c r="C1148" i="3"/>
  <c r="AA7" i="122"/>
  <c r="Z7" i="122"/>
  <c r="AA27" i="122"/>
  <c r="Z27" i="122"/>
  <c r="T27" i="122"/>
  <c r="T7" i="122"/>
  <c r="BH1375" i="3"/>
  <c r="BH1377" i="3"/>
  <c r="AC1375" i="3"/>
  <c r="AC1377" i="3"/>
  <c r="Z1375" i="3"/>
  <c r="Z1377" i="3"/>
  <c r="C1375" i="3"/>
  <c r="C1377" i="3"/>
  <c r="BH1368" i="3"/>
  <c r="BH1370" i="3"/>
  <c r="AC1368" i="3"/>
  <c r="AC1370" i="3"/>
  <c r="Z1368" i="3"/>
  <c r="Z1370" i="3"/>
  <c r="C1368" i="3"/>
  <c r="C1370" i="3"/>
  <c r="BH1354" i="3"/>
  <c r="AC1354" i="3"/>
  <c r="Z1354" i="3"/>
  <c r="C1354" i="3"/>
  <c r="U27" i="122"/>
  <c r="U47" i="122" s="1"/>
  <c r="V27" i="122"/>
  <c r="V47" i="122" s="1"/>
  <c r="BH1352" i="3"/>
  <c r="AC1352" i="3"/>
  <c r="Z1352" i="3"/>
  <c r="C1352" i="3"/>
  <c r="BH1343" i="3"/>
  <c r="BH1348" i="3"/>
  <c r="AC1343" i="3"/>
  <c r="AC1348" i="3"/>
  <c r="Z1343" i="3"/>
  <c r="Z1348" i="3"/>
  <c r="C1343" i="3"/>
  <c r="C1348" i="3"/>
  <c r="BH1327" i="3"/>
  <c r="BH1336" i="3"/>
  <c r="AC1327" i="3"/>
  <c r="AC1336" i="3"/>
  <c r="Z1327" i="3"/>
  <c r="Z1336" i="3"/>
  <c r="C1327" i="3"/>
  <c r="C1336" i="3"/>
  <c r="Y93" i="122"/>
  <c r="Z93" i="122"/>
  <c r="AA93" i="122"/>
  <c r="AB93" i="122"/>
  <c r="Y73" i="122"/>
  <c r="Z73" i="122"/>
  <c r="AA73" i="122"/>
  <c r="AB73" i="122"/>
  <c r="AB139" i="122"/>
  <c r="AA139" i="122"/>
  <c r="Z139" i="122"/>
  <c r="Y139" i="122"/>
  <c r="Y119" i="122"/>
  <c r="Z119" i="122"/>
  <c r="AA119" i="122"/>
  <c r="AB119" i="122"/>
  <c r="W27" i="122"/>
  <c r="W47" i="122" s="1"/>
  <c r="BH1325" i="3"/>
  <c r="AC1325" i="3"/>
  <c r="Z1325" i="3"/>
  <c r="C1325" i="3"/>
  <c r="W7" i="122"/>
  <c r="W23" i="122" s="1"/>
  <c r="BH1320" i="3"/>
  <c r="AC1320" i="3"/>
  <c r="Z1320" i="3"/>
  <c r="C1320" i="3"/>
  <c r="W139" i="122"/>
  <c r="BH1126" i="3"/>
  <c r="BG1126" i="3"/>
  <c r="BF1126" i="3"/>
  <c r="X1126" i="3" s="1"/>
  <c r="BE1126" i="3"/>
  <c r="W1126" i="3" s="1"/>
  <c r="AX1126" i="3"/>
  <c r="AY1126" i="3" s="1"/>
  <c r="AC1126" i="3"/>
  <c r="V1126" i="3"/>
  <c r="F1126" i="3" a="1"/>
  <c r="C1126" i="3"/>
  <c r="U260" i="70"/>
  <c r="BC260" i="70"/>
  <c r="AV260" i="70"/>
  <c r="AW260" i="70" s="1"/>
  <c r="AS260" i="70"/>
  <c r="AA260" i="70"/>
  <c r="X260" i="70"/>
  <c r="C260" i="70"/>
  <c r="U231" i="70"/>
  <c r="BC236" i="70"/>
  <c r="BC237" i="70"/>
  <c r="AV236" i="70"/>
  <c r="AW236" i="70" s="1"/>
  <c r="AV237" i="70"/>
  <c r="AW237" i="70" s="1"/>
  <c r="AS236" i="70"/>
  <c r="AS237" i="70"/>
  <c r="AA236" i="70"/>
  <c r="AA237" i="70"/>
  <c r="X236" i="70"/>
  <c r="X237" i="70"/>
  <c r="C236" i="70"/>
  <c r="C237" i="70"/>
  <c r="BC242" i="70"/>
  <c r="BC243" i="70"/>
  <c r="AV242" i="70"/>
  <c r="AW242" i="70" s="1"/>
  <c r="AV243" i="70"/>
  <c r="AW243" i="70" s="1"/>
  <c r="AS242" i="70"/>
  <c r="AS243" i="70"/>
  <c r="AA242" i="70"/>
  <c r="AA243" i="70"/>
  <c r="X242" i="70"/>
  <c r="X243" i="70"/>
  <c r="C242" i="70"/>
  <c r="C243" i="70"/>
  <c r="U232" i="70"/>
  <c r="BC234" i="70"/>
  <c r="AV234" i="70"/>
  <c r="AW234" i="70" s="1"/>
  <c r="AS234" i="70"/>
  <c r="AA234" i="70"/>
  <c r="X234" i="70"/>
  <c r="C234" i="70"/>
  <c r="BC235" i="70"/>
  <c r="AV235" i="70"/>
  <c r="AW235" i="70" s="1"/>
  <c r="AS235" i="70"/>
  <c r="AA235" i="70"/>
  <c r="X235" i="70"/>
  <c r="C235" i="70"/>
  <c r="BC232" i="70"/>
  <c r="AV232" i="70"/>
  <c r="AW232" i="70" s="1"/>
  <c r="AS232" i="70"/>
  <c r="AA232" i="70"/>
  <c r="X232" i="70"/>
  <c r="C232" i="70"/>
  <c r="BC233" i="70"/>
  <c r="AV233" i="70"/>
  <c r="AW233" i="70" s="1"/>
  <c r="AS233" i="70"/>
  <c r="AA233" i="70"/>
  <c r="X233" i="70"/>
  <c r="C233" i="70"/>
  <c r="U219" i="70"/>
  <c r="U220" i="70"/>
  <c r="U221" i="70"/>
  <c r="U222" i="70"/>
  <c r="U223" i="70"/>
  <c r="U218" i="70"/>
  <c r="X219" i="70"/>
  <c r="C218" i="70"/>
  <c r="X218" i="70"/>
  <c r="AA218" i="70"/>
  <c r="AS218" i="70"/>
  <c r="AV218" i="70"/>
  <c r="AW218" i="70" s="1"/>
  <c r="BC218" i="70"/>
  <c r="C223" i="70"/>
  <c r="X223" i="70"/>
  <c r="AA223" i="70"/>
  <c r="AS223" i="70"/>
  <c r="AV223" i="70"/>
  <c r="AW223" i="70" s="1"/>
  <c r="BC223" i="70"/>
  <c r="AM760" i="3"/>
  <c r="AN711" i="3"/>
  <c r="BH1119" i="3"/>
  <c r="BG1119" i="3"/>
  <c r="BF1119" i="3"/>
  <c r="BE1119" i="3"/>
  <c r="AZ1119" i="3"/>
  <c r="AX1119" i="3"/>
  <c r="AY1119" i="3" s="1"/>
  <c r="AC1119" i="3"/>
  <c r="F1119" i="3" a="1"/>
  <c r="C1119" i="3"/>
  <c r="F1123" i="3" a="1"/>
  <c r="AX1123" i="3"/>
  <c r="AY1123" i="3" s="1"/>
  <c r="BH1123" i="3"/>
  <c r="BG1123" i="3"/>
  <c r="BF1123" i="3"/>
  <c r="X1123" i="3" s="1"/>
  <c r="BE1123" i="3"/>
  <c r="W1123" i="3" s="1"/>
  <c r="AC1123" i="3"/>
  <c r="V1123" i="3"/>
  <c r="C1123" i="3"/>
  <c r="C1096" i="3"/>
  <c r="F1096" i="3" a="1"/>
  <c r="V1096" i="3"/>
  <c r="W1096" i="3"/>
  <c r="AC1096" i="3"/>
  <c r="AX1096" i="3"/>
  <c r="AY1096" i="3" s="1"/>
  <c r="AZ1096" i="3"/>
  <c r="BE1096" i="3"/>
  <c r="BF1096" i="3"/>
  <c r="X1096" i="3" s="1"/>
  <c r="BG1096" i="3"/>
  <c r="BH1096" i="3"/>
  <c r="F1135" i="3" a="1"/>
  <c r="C848" i="3"/>
  <c r="F848" i="3" a="1"/>
  <c r="U848" i="3"/>
  <c r="V848" i="3" s="1"/>
  <c r="Z848" i="3"/>
  <c r="AC848" i="3"/>
  <c r="AU848" i="3"/>
  <c r="AX848" i="3"/>
  <c r="AY848" i="3" s="1"/>
  <c r="BE848" i="3"/>
  <c r="BF848" i="3"/>
  <c r="BG848" i="3"/>
  <c r="BH848" i="3"/>
  <c r="U1102" i="3"/>
  <c r="V1102" i="3" s="1"/>
  <c r="AN739" i="3"/>
  <c r="AM739" i="3"/>
  <c r="BH1106" i="3"/>
  <c r="BG1106" i="3"/>
  <c r="BF1106" i="3"/>
  <c r="X1106" i="3" s="1"/>
  <c r="BE1106" i="3"/>
  <c r="W1106" i="3" s="1"/>
  <c r="AX1106" i="3"/>
  <c r="AY1106" i="3" s="1"/>
  <c r="AC1106" i="3"/>
  <c r="V1106" i="3"/>
  <c r="F1106" i="3" a="1"/>
  <c r="C1106" i="3"/>
  <c r="AJ1035" i="3"/>
  <c r="AK1035" i="3"/>
  <c r="AK1057" i="3"/>
  <c r="AJ1032" i="3"/>
  <c r="AJ1031" i="3"/>
  <c r="AA173" i="70"/>
  <c r="AJ1028" i="3"/>
  <c r="AK1028" i="3"/>
  <c r="AJ1029" i="3"/>
  <c r="AK1029" i="3"/>
  <c r="AJ1027" i="3"/>
  <c r="AJ1113" i="3"/>
  <c r="AJ1081" i="3"/>
  <c r="AJ1040" i="3"/>
  <c r="AK1040" i="3"/>
  <c r="AJ1039" i="3"/>
  <c r="AK1039" i="3"/>
  <c r="AJ1068" i="3"/>
  <c r="AK1068" i="3"/>
  <c r="AJ1069" i="3"/>
  <c r="AK1069" i="3"/>
  <c r="AK1054" i="3"/>
  <c r="AJ1054" i="3"/>
  <c r="AJ1052" i="3"/>
  <c r="AK1112" i="3"/>
  <c r="AK1031" i="3"/>
  <c r="AK1032" i="3"/>
  <c r="AK1043" i="3"/>
  <c r="BH1132" i="3"/>
  <c r="BG1132" i="3"/>
  <c r="BF1132" i="3"/>
  <c r="X1132" i="3" s="1"/>
  <c r="BE1132" i="3"/>
  <c r="W1132" i="3" s="1"/>
  <c r="AX1132" i="3"/>
  <c r="AY1132" i="3" s="1"/>
  <c r="AC1132" i="3"/>
  <c r="V1132" i="3"/>
  <c r="F1132" i="3" a="1"/>
  <c r="C1132" i="3"/>
  <c r="F1110" i="3" a="1"/>
  <c r="AX1110" i="3"/>
  <c r="AY1110" i="3" s="1"/>
  <c r="BH1110" i="3"/>
  <c r="BG1110" i="3"/>
  <c r="BF1110" i="3"/>
  <c r="X1110" i="3" s="1"/>
  <c r="BE1110" i="3"/>
  <c r="W1110" i="3" s="1"/>
  <c r="AC1110" i="3"/>
  <c r="V1110" i="3"/>
  <c r="C1110" i="3"/>
  <c r="F1107" i="3" a="1"/>
  <c r="AX1107" i="3"/>
  <c r="AY1107" i="3" s="1"/>
  <c r="BH1107" i="3"/>
  <c r="BG1107" i="3"/>
  <c r="BF1107" i="3"/>
  <c r="X1107" i="3" s="1"/>
  <c r="BE1107" i="3"/>
  <c r="W1107" i="3" s="1"/>
  <c r="AC1107" i="3"/>
  <c r="V1107" i="3"/>
  <c r="C1107" i="3"/>
  <c r="F1129" i="3" a="1"/>
  <c r="AX1129" i="3"/>
  <c r="AY1129" i="3" s="1"/>
  <c r="X1129" i="3"/>
  <c r="BH1129" i="3"/>
  <c r="BG1129" i="3"/>
  <c r="AC1129" i="3"/>
  <c r="W1129" i="3"/>
  <c r="V1129" i="3"/>
  <c r="C1129" i="3"/>
  <c r="BH1089" i="3"/>
  <c r="BG1089" i="3"/>
  <c r="BF1089" i="3"/>
  <c r="BE1089" i="3"/>
  <c r="AX1089" i="3"/>
  <c r="AY1089" i="3" s="1"/>
  <c r="AN1089" i="3"/>
  <c r="AC1089" i="3"/>
  <c r="F1089" i="3" a="1"/>
  <c r="C1089" i="3"/>
  <c r="BH1141" i="3"/>
  <c r="BG1141" i="3"/>
  <c r="BF1141" i="3"/>
  <c r="X1141" i="3" s="1"/>
  <c r="BE1141" i="3"/>
  <c r="W1141" i="3" s="1"/>
  <c r="AX1141" i="3"/>
  <c r="AY1141" i="3" s="1"/>
  <c r="AC1141" i="3"/>
  <c r="V1141" i="3"/>
  <c r="F1141" i="3" a="1"/>
  <c r="C1141" i="3"/>
  <c r="AC1080" i="3"/>
  <c r="F189" i="70" a="1"/>
  <c r="F188" i="70" a="1"/>
  <c r="F187" i="70" a="1"/>
  <c r="E42" i="47"/>
  <c r="F186" i="70" a="1"/>
  <c r="U1122" i="3"/>
  <c r="V1122" i="3" s="1"/>
  <c r="U1301" i="3"/>
  <c r="V1301" i="3" s="1"/>
  <c r="F1122" i="3" a="1"/>
  <c r="AX1122" i="3"/>
  <c r="AY1122" i="3" s="1"/>
  <c r="BH1122" i="3"/>
  <c r="BG1122" i="3"/>
  <c r="BF1122" i="3"/>
  <c r="BE1122" i="3"/>
  <c r="AC1122" i="3"/>
  <c r="C1122" i="3"/>
  <c r="W1152" i="3"/>
  <c r="U1070" i="3"/>
  <c r="AX1047" i="3"/>
  <c r="AY1047" i="3" s="1"/>
  <c r="AX1087" i="3"/>
  <c r="AY1087" i="3" s="1"/>
  <c r="AX1084" i="3"/>
  <c r="AY1084" i="3" s="1"/>
  <c r="AX1041" i="3"/>
  <c r="AY1041" i="3" s="1"/>
  <c r="U228" i="70"/>
  <c r="U229" i="70"/>
  <c r="U230" i="70"/>
  <c r="U227" i="70"/>
  <c r="AC1034" i="3"/>
  <c r="AC1044" i="3"/>
  <c r="AC1045" i="3"/>
  <c r="AC1046" i="3"/>
  <c r="BC231" i="70"/>
  <c r="AV231" i="70"/>
  <c r="AW231" i="70" s="1"/>
  <c r="AA231" i="70"/>
  <c r="X231" i="70"/>
  <c r="C231" i="70"/>
  <c r="AN1046" i="3"/>
  <c r="F1069" i="3" a="1"/>
  <c r="AX1069" i="3"/>
  <c r="AY1069" i="3" s="1"/>
  <c r="BH1069" i="3"/>
  <c r="BG1069" i="3"/>
  <c r="BF1069" i="3"/>
  <c r="BE1069" i="3"/>
  <c r="AZ1069" i="3"/>
  <c r="AC1069" i="3"/>
  <c r="V1069" i="3"/>
  <c r="C1069" i="3"/>
  <c r="F1095" i="3" a="1"/>
  <c r="AX1095" i="3"/>
  <c r="AY1095" i="3" s="1"/>
  <c r="BH1095" i="3"/>
  <c r="BG1095" i="3"/>
  <c r="BF1095" i="3"/>
  <c r="BE1095" i="3"/>
  <c r="AZ1095" i="3"/>
  <c r="AC1095" i="3"/>
  <c r="V1095" i="3"/>
  <c r="C1095" i="3"/>
  <c r="F1131" i="3" a="1"/>
  <c r="AX1131" i="3"/>
  <c r="AY1131" i="3" s="1"/>
  <c r="BH1131" i="3"/>
  <c r="BG1131" i="3"/>
  <c r="BF1131" i="3"/>
  <c r="BE1131" i="3"/>
  <c r="W1131" i="3" s="1"/>
  <c r="AC1131" i="3"/>
  <c r="V1131" i="3"/>
  <c r="C1131" i="3"/>
  <c r="F1120" i="3" a="1"/>
  <c r="AX1120" i="3"/>
  <c r="AY1120" i="3" s="1"/>
  <c r="BH1120" i="3"/>
  <c r="BG1120" i="3"/>
  <c r="BF1120" i="3"/>
  <c r="X1120" i="3" s="1"/>
  <c r="BE1120" i="3"/>
  <c r="W1120" i="3" s="1"/>
  <c r="AC1120" i="3"/>
  <c r="V1120" i="3"/>
  <c r="C1120" i="3"/>
  <c r="Z1084" i="3"/>
  <c r="V1084" i="3"/>
  <c r="F1084" i="3" a="1"/>
  <c r="C1084" i="3"/>
  <c r="AC1084" i="3"/>
  <c r="AZ1084" i="3"/>
  <c r="BE1084" i="3"/>
  <c r="W1084" i="3" s="1"/>
  <c r="BF1084" i="3"/>
  <c r="X1084" i="3" s="1"/>
  <c r="BG1084" i="3"/>
  <c r="BH1084" i="3"/>
  <c r="F1066" i="3" a="1"/>
  <c r="V1042" i="3"/>
  <c r="Z1042" i="3"/>
  <c r="AC1042" i="3"/>
  <c r="U1064" i="3"/>
  <c r="V1064" i="3" s="1"/>
  <c r="Z1064" i="3"/>
  <c r="AC1064" i="3"/>
  <c r="U1116" i="3"/>
  <c r="U1017" i="3"/>
  <c r="U1057" i="3"/>
  <c r="AJ1057" i="3"/>
  <c r="F1034" i="3" a="1"/>
  <c r="AX1034" i="3"/>
  <c r="AY1034" i="3" s="1"/>
  <c r="AK1034" i="3"/>
  <c r="BH1034" i="3"/>
  <c r="BG1034" i="3"/>
  <c r="BF1034" i="3"/>
  <c r="X1034" i="3" s="1"/>
  <c r="BE1034" i="3"/>
  <c r="W1034" i="3" s="1"/>
  <c r="V1034" i="3"/>
  <c r="C1034" i="3"/>
  <c r="E27" i="47"/>
  <c r="V1117" i="3"/>
  <c r="F1117" i="3" a="1"/>
  <c r="AX1117" i="3"/>
  <c r="AY1117" i="3" s="1"/>
  <c r="BH1117" i="3"/>
  <c r="BG1117" i="3"/>
  <c r="BF1117" i="3"/>
  <c r="BE1117" i="3"/>
  <c r="AZ1117" i="3"/>
  <c r="AC1117" i="3"/>
  <c r="C1117" i="3"/>
  <c r="W1092" i="3"/>
  <c r="F1092" i="3" a="1"/>
  <c r="AX1092" i="3"/>
  <c r="AY1092" i="3" s="1"/>
  <c r="BH1092" i="3"/>
  <c r="BG1092" i="3"/>
  <c r="BF1092" i="3"/>
  <c r="BE1092" i="3"/>
  <c r="AZ1092" i="3"/>
  <c r="AC1092" i="3"/>
  <c r="V1092" i="3"/>
  <c r="C1092" i="3"/>
  <c r="F1105" i="3" a="1"/>
  <c r="AX1105" i="3"/>
  <c r="AY1105" i="3" s="1"/>
  <c r="BH1105" i="3"/>
  <c r="BG1105" i="3"/>
  <c r="BF1105" i="3"/>
  <c r="X1105" i="3" s="1"/>
  <c r="BE1105" i="3"/>
  <c r="W1105" i="3" s="1"/>
  <c r="AC1105" i="3"/>
  <c r="V1105" i="3"/>
  <c r="C1105" i="3"/>
  <c r="U1093" i="3"/>
  <c r="V1093" i="3" s="1"/>
  <c r="U1098" i="3"/>
  <c r="W1098" i="3" s="1"/>
  <c r="U1090" i="3"/>
  <c r="F1093" i="3" a="1"/>
  <c r="F1098" i="3" a="1"/>
  <c r="AX1098" i="3"/>
  <c r="AY1098" i="3" s="1"/>
  <c r="AX1093" i="3"/>
  <c r="AY1093" i="3" s="1"/>
  <c r="BH1098" i="3"/>
  <c r="BH1093" i="3"/>
  <c r="BG1098" i="3"/>
  <c r="BG1093" i="3"/>
  <c r="BF1098" i="3"/>
  <c r="BF1093" i="3"/>
  <c r="BE1098" i="3"/>
  <c r="BE1093" i="3"/>
  <c r="AZ1098" i="3"/>
  <c r="AZ1093" i="3"/>
  <c r="AC1098" i="3"/>
  <c r="AC1093" i="3"/>
  <c r="C1098" i="3"/>
  <c r="C1093" i="3"/>
  <c r="BH1097" i="3"/>
  <c r="BG1097" i="3"/>
  <c r="BF1097" i="3"/>
  <c r="BE1097" i="3"/>
  <c r="AZ1097" i="3"/>
  <c r="AX1097" i="3"/>
  <c r="AY1097" i="3" s="1"/>
  <c r="AC1097" i="3"/>
  <c r="F1097" i="3" a="1"/>
  <c r="C1097" i="3"/>
  <c r="F1227" i="3" a="1"/>
  <c r="BH1227" i="3"/>
  <c r="AX1227" i="3"/>
  <c r="AY1227" i="3" s="1"/>
  <c r="AN1227" i="3"/>
  <c r="AK1227" i="3"/>
  <c r="AC1227" i="3"/>
  <c r="C1227" i="3"/>
  <c r="F1225" i="3" a="1"/>
  <c r="BH1225" i="3"/>
  <c r="AX1225" i="3"/>
  <c r="AY1225" i="3" s="1"/>
  <c r="AN1225" i="3"/>
  <c r="AK1225" i="3"/>
  <c r="AC1225" i="3"/>
  <c r="C1225" i="3"/>
  <c r="U1066" i="3"/>
  <c r="V1066" i="3" s="1"/>
  <c r="BH1043" i="3"/>
  <c r="BG1043" i="3"/>
  <c r="BF1043" i="3"/>
  <c r="BE1043" i="3"/>
  <c r="AZ1043" i="3"/>
  <c r="AX1043" i="3"/>
  <c r="AY1043" i="3" s="1"/>
  <c r="AC1043" i="3"/>
  <c r="U1043" i="3"/>
  <c r="F1043" i="3" a="1"/>
  <c r="C1043" i="3"/>
  <c r="U1081" i="3"/>
  <c r="F1226" i="3" a="1"/>
  <c r="AX1054" i="3"/>
  <c r="AY1054" i="3" s="1"/>
  <c r="AX1226" i="3"/>
  <c r="AY1226" i="3" s="1"/>
  <c r="BH1226" i="3"/>
  <c r="AC1226" i="3"/>
  <c r="Z1226" i="3"/>
  <c r="C1226" i="3"/>
  <c r="AM761" i="3"/>
  <c r="AM711" i="3"/>
  <c r="AM706" i="3"/>
  <c r="AU706" i="3" s="1"/>
  <c r="AM846" i="3"/>
  <c r="AN688" i="3"/>
  <c r="AN689" i="3"/>
  <c r="AN685" i="3"/>
  <c r="AN682" i="3"/>
  <c r="AN683" i="3"/>
  <c r="AJ977" i="3"/>
  <c r="F1061" i="3" a="1"/>
  <c r="F1060" i="3" a="1"/>
  <c r="AK1060" i="3"/>
  <c r="AX1060" i="3"/>
  <c r="AY1060" i="3" s="1"/>
  <c r="AJ1061" i="3"/>
  <c r="AK1061" i="3"/>
  <c r="AX1061" i="3"/>
  <c r="AY1061" i="3" s="1"/>
  <c r="BH1060" i="3"/>
  <c r="BG1060" i="3"/>
  <c r="BF1060" i="3"/>
  <c r="X1060" i="3" s="1"/>
  <c r="BE1060" i="3"/>
  <c r="W1060" i="3" s="1"/>
  <c r="V1060" i="3"/>
  <c r="C1060" i="3"/>
  <c r="BH1061" i="3"/>
  <c r="BG1061" i="3"/>
  <c r="BF1061" i="3"/>
  <c r="X1061" i="3" s="1"/>
  <c r="BE1061" i="3"/>
  <c r="W1061" i="3" s="1"/>
  <c r="V1061" i="3"/>
  <c r="C1061" i="3"/>
  <c r="BC227" i="70"/>
  <c r="AV227" i="70"/>
  <c r="AW227" i="70" s="1"/>
  <c r="AS227" i="70"/>
  <c r="AA227" i="70"/>
  <c r="X227" i="70"/>
  <c r="C227" i="70"/>
  <c r="BC228" i="70"/>
  <c r="AV228" i="70"/>
  <c r="AW228" i="70" s="1"/>
  <c r="AS228" i="70"/>
  <c r="AA228" i="70"/>
  <c r="X228" i="70"/>
  <c r="C228" i="70"/>
  <c r="BC229" i="70"/>
  <c r="AV229" i="70"/>
  <c r="AW229" i="70" s="1"/>
  <c r="AS229" i="70"/>
  <c r="AA229" i="70"/>
  <c r="X229" i="70"/>
  <c r="C229" i="70"/>
  <c r="BC230" i="70"/>
  <c r="AV230" i="70"/>
  <c r="AW230" i="70" s="1"/>
  <c r="AS230" i="70"/>
  <c r="AA230" i="70"/>
  <c r="X230" i="70"/>
  <c r="C230" i="70"/>
  <c r="V7" i="122"/>
  <c r="V23" i="122" s="1"/>
  <c r="U292" i="70"/>
  <c r="U293" i="70"/>
  <c r="U291" i="70"/>
  <c r="U290" i="70"/>
  <c r="U278" i="70"/>
  <c r="U279" i="70"/>
  <c r="U280" i="70"/>
  <c r="U281" i="70"/>
  <c r="U282" i="70"/>
  <c r="U283" i="70"/>
  <c r="U284" i="70"/>
  <c r="U274" i="70"/>
  <c r="U275" i="70"/>
  <c r="U285" i="70"/>
  <c r="U286" i="70"/>
  <c r="U287" i="70"/>
  <c r="U288" i="70"/>
  <c r="U289" i="70"/>
  <c r="U276" i="70"/>
  <c r="U277" i="70"/>
  <c r="U269" i="70"/>
  <c r="U270" i="70"/>
  <c r="U271" i="70"/>
  <c r="U272" i="70"/>
  <c r="U273" i="70"/>
  <c r="U268" i="70"/>
  <c r="U258" i="70"/>
  <c r="U259" i="70"/>
  <c r="U257" i="70"/>
  <c r="U254" i="70"/>
  <c r="U255" i="70"/>
  <c r="U256" i="70"/>
  <c r="U253" i="70"/>
  <c r="U252" i="70"/>
  <c r="C287" i="70"/>
  <c r="C288" i="70"/>
  <c r="X287" i="70"/>
  <c r="X288" i="70"/>
  <c r="AA287" i="70"/>
  <c r="AA288" i="70"/>
  <c r="AS287" i="70"/>
  <c r="AS288" i="70"/>
  <c r="AV287" i="70"/>
  <c r="AW287" i="70" s="1"/>
  <c r="AV288" i="70"/>
  <c r="AW288" i="70" s="1"/>
  <c r="BC287" i="70"/>
  <c r="BC288" i="70"/>
  <c r="C289" i="70"/>
  <c r="C290" i="70"/>
  <c r="X289" i="70"/>
  <c r="X290" i="70"/>
  <c r="AA289" i="70"/>
  <c r="AA290" i="70"/>
  <c r="AS289" i="70"/>
  <c r="AS290" i="70"/>
  <c r="AV289" i="70"/>
  <c r="AW289" i="70" s="1"/>
  <c r="AV290" i="70"/>
  <c r="AW290" i="70" s="1"/>
  <c r="BC289" i="70"/>
  <c r="BC290" i="70"/>
  <c r="C291" i="70"/>
  <c r="C292" i="70"/>
  <c r="X291" i="70"/>
  <c r="X292" i="70"/>
  <c r="AA291" i="70"/>
  <c r="AA292" i="70"/>
  <c r="AS291" i="70"/>
  <c r="AS292" i="70"/>
  <c r="AV291" i="70"/>
  <c r="AW291" i="70" s="1"/>
  <c r="AV292" i="70"/>
  <c r="AW292" i="70" s="1"/>
  <c r="BC291" i="70"/>
  <c r="BC292" i="70"/>
  <c r="C275" i="70"/>
  <c r="C285" i="70"/>
  <c r="C286" i="70"/>
  <c r="X275" i="70"/>
  <c r="X285" i="70"/>
  <c r="X286" i="70"/>
  <c r="AA275" i="70"/>
  <c r="AA285" i="70"/>
  <c r="AA286" i="70"/>
  <c r="AS275" i="70"/>
  <c r="AS285" i="70"/>
  <c r="AS286" i="70"/>
  <c r="AV275" i="70"/>
  <c r="AW275" i="70" s="1"/>
  <c r="AV285" i="70"/>
  <c r="AW285" i="70" s="1"/>
  <c r="AV286" i="70"/>
  <c r="AW286" i="70" s="1"/>
  <c r="BC275" i="70"/>
  <c r="BC285" i="70"/>
  <c r="BC286" i="70"/>
  <c r="BC282" i="70"/>
  <c r="BC283" i="70"/>
  <c r="BC284" i="70"/>
  <c r="AV282" i="70"/>
  <c r="AW282" i="70" s="1"/>
  <c r="AV283" i="70"/>
  <c r="AW283" i="70" s="1"/>
  <c r="AV284" i="70"/>
  <c r="AW284" i="70" s="1"/>
  <c r="AS282" i="70"/>
  <c r="AS283" i="70"/>
  <c r="AS284" i="70"/>
  <c r="AA282" i="70"/>
  <c r="AA283" i="70"/>
  <c r="AA284" i="70"/>
  <c r="X282" i="70"/>
  <c r="X283" i="70"/>
  <c r="X284" i="70"/>
  <c r="C282" i="70"/>
  <c r="C283" i="70"/>
  <c r="C284" i="70"/>
  <c r="BC294" i="70"/>
  <c r="AV294" i="70"/>
  <c r="AW294" i="70" s="1"/>
  <c r="AS294" i="70"/>
  <c r="AA294" i="70"/>
  <c r="X294" i="70"/>
  <c r="C279" i="70"/>
  <c r="X279" i="70"/>
  <c r="AA279" i="70"/>
  <c r="AS279" i="70"/>
  <c r="AV279" i="70"/>
  <c r="AW279" i="70" s="1"/>
  <c r="BC279" i="70"/>
  <c r="C280" i="70"/>
  <c r="X280" i="70"/>
  <c r="AA280" i="70"/>
  <c r="AS280" i="70"/>
  <c r="AV280" i="70"/>
  <c r="AW280" i="70" s="1"/>
  <c r="BC280" i="70"/>
  <c r="C281" i="70"/>
  <c r="X281" i="70"/>
  <c r="AA281" i="70"/>
  <c r="AS281" i="70"/>
  <c r="AV281" i="70"/>
  <c r="AW281" i="70" s="1"/>
  <c r="BC281" i="70"/>
  <c r="C274" i="70"/>
  <c r="X274" i="70"/>
  <c r="AA274" i="70"/>
  <c r="AS274" i="70"/>
  <c r="AV274" i="70"/>
  <c r="AW274" i="70" s="1"/>
  <c r="BC274" i="70"/>
  <c r="C293" i="70"/>
  <c r="X293" i="70"/>
  <c r="AA293" i="70"/>
  <c r="AS293" i="70"/>
  <c r="AV293" i="70"/>
  <c r="AW293" i="70" s="1"/>
  <c r="BC293" i="70"/>
  <c r="BC277" i="70"/>
  <c r="AV277" i="70"/>
  <c r="AW277" i="70" s="1"/>
  <c r="AS277" i="70"/>
  <c r="AA277" i="70"/>
  <c r="X277" i="70"/>
  <c r="C277" i="70"/>
  <c r="BC276" i="70"/>
  <c r="AV276" i="70"/>
  <c r="AW276" i="70" s="1"/>
  <c r="AS276" i="70"/>
  <c r="AA276" i="70"/>
  <c r="X276" i="70"/>
  <c r="C276" i="70"/>
  <c r="C278" i="70"/>
  <c r="X278" i="70"/>
  <c r="AA278" i="70"/>
  <c r="AS278" i="70"/>
  <c r="AV278" i="70"/>
  <c r="AW278" i="70" s="1"/>
  <c r="BC278" i="70"/>
  <c r="X295" i="70"/>
  <c r="AA295" i="70"/>
  <c r="AS295" i="70"/>
  <c r="AV295" i="70"/>
  <c r="AW295" i="70" s="1"/>
  <c r="BC295" i="70"/>
  <c r="F1029" i="3" a="1"/>
  <c r="AX1029" i="3"/>
  <c r="AY1029" i="3" s="1"/>
  <c r="BH1029" i="3"/>
  <c r="BG1029" i="3"/>
  <c r="BF1029" i="3"/>
  <c r="BE1029" i="3"/>
  <c r="W1029" i="3" s="1"/>
  <c r="AC1029" i="3"/>
  <c r="V1029" i="3"/>
  <c r="C1029" i="3"/>
  <c r="C268" i="70"/>
  <c r="C269" i="70"/>
  <c r="X268" i="70"/>
  <c r="X269" i="70"/>
  <c r="AA268" i="70"/>
  <c r="AA269" i="70"/>
  <c r="AS268" i="70"/>
  <c r="AS269" i="70"/>
  <c r="AV268" i="70"/>
  <c r="AW268" i="70" s="1"/>
  <c r="AV269" i="70"/>
  <c r="AW269" i="70" s="1"/>
  <c r="BC268" i="70"/>
  <c r="BC269" i="70"/>
  <c r="C270" i="70"/>
  <c r="C271" i="70"/>
  <c r="C272" i="70"/>
  <c r="X270" i="70"/>
  <c r="X271" i="70"/>
  <c r="X272" i="70"/>
  <c r="AA270" i="70"/>
  <c r="AA271" i="70"/>
  <c r="AA272" i="70"/>
  <c r="AS270" i="70"/>
  <c r="AS271" i="70"/>
  <c r="AS272" i="70"/>
  <c r="AV270" i="70"/>
  <c r="AW270" i="70" s="1"/>
  <c r="AV271" i="70"/>
  <c r="AW271" i="70" s="1"/>
  <c r="AV272" i="70"/>
  <c r="AW272" i="70" s="1"/>
  <c r="BC270" i="70"/>
  <c r="BC271" i="70"/>
  <c r="BC272" i="70"/>
  <c r="C273" i="70"/>
  <c r="X273" i="70"/>
  <c r="AA273" i="70"/>
  <c r="AS273" i="70"/>
  <c r="AV273" i="70"/>
  <c r="AW273" i="70" s="1"/>
  <c r="BC273" i="70"/>
  <c r="T139" i="122"/>
  <c r="Q119" i="122"/>
  <c r="F1033" i="3" a="1"/>
  <c r="AX1033" i="3"/>
  <c r="AY1033" i="3" s="1"/>
  <c r="AK1033" i="3"/>
  <c r="BH1033" i="3"/>
  <c r="BG1033" i="3"/>
  <c r="BF1033" i="3"/>
  <c r="BE1033" i="3"/>
  <c r="AC1033" i="3"/>
  <c r="V1033" i="3"/>
  <c r="C1033" i="3"/>
  <c r="F1077" i="3" a="1"/>
  <c r="AX1077" i="3"/>
  <c r="AY1077" i="3" s="1"/>
  <c r="AN1077" i="3"/>
  <c r="BH1077" i="3"/>
  <c r="BG1077" i="3"/>
  <c r="BF1077" i="3"/>
  <c r="BE1077" i="3"/>
  <c r="AZ1077" i="3"/>
  <c r="AC1077" i="3"/>
  <c r="V1077" i="3"/>
  <c r="C1077" i="3"/>
  <c r="F1082" i="3" a="1"/>
  <c r="AX1082" i="3"/>
  <c r="AY1082" i="3" s="1"/>
  <c r="AJ1082" i="3"/>
  <c r="AK1082" i="3"/>
  <c r="BH1082" i="3"/>
  <c r="BG1082" i="3"/>
  <c r="BF1082" i="3"/>
  <c r="BE1082" i="3"/>
  <c r="W1082" i="3" s="1"/>
  <c r="AC1082" i="3"/>
  <c r="V1082" i="3"/>
  <c r="C1082" i="3"/>
  <c r="F1030" i="3" a="1"/>
  <c r="AX1030" i="3"/>
  <c r="AY1030" i="3" s="1"/>
  <c r="BH1030" i="3"/>
  <c r="BG1030" i="3"/>
  <c r="BF1030" i="3"/>
  <c r="X1030" i="3" s="1"/>
  <c r="BE1030" i="3"/>
  <c r="W1030" i="3" s="1"/>
  <c r="AC1030" i="3"/>
  <c r="V1030" i="3"/>
  <c r="C1030" i="3"/>
  <c r="AM902" i="3"/>
  <c r="U1039" i="3"/>
  <c r="U1040" i="3"/>
  <c r="U1063" i="3"/>
  <c r="V1063" i="3" s="1"/>
  <c r="X149" i="70"/>
  <c r="AK1051" i="3"/>
  <c r="AJ1051" i="3"/>
  <c r="AK1050" i="3"/>
  <c r="AJ1050" i="3"/>
  <c r="Z1047" i="3"/>
  <c r="F1047" i="3" a="1"/>
  <c r="BH1047" i="3"/>
  <c r="BG1047" i="3"/>
  <c r="BF1047" i="3"/>
  <c r="X1047" i="3" s="1"/>
  <c r="BE1047" i="3"/>
  <c r="W1047" i="3" s="1"/>
  <c r="AC1047" i="3"/>
  <c r="V1047" i="3"/>
  <c r="C1047" i="3"/>
  <c r="W1054" i="3"/>
  <c r="F1054" i="3" a="1"/>
  <c r="BH1054" i="3"/>
  <c r="BG1054" i="3"/>
  <c r="BF1054" i="3"/>
  <c r="X1054" i="3" s="1"/>
  <c r="BE1054" i="3"/>
  <c r="AZ1054" i="3"/>
  <c r="AC1054" i="3"/>
  <c r="V1054" i="3"/>
  <c r="C1054" i="3"/>
  <c r="U1058" i="3"/>
  <c r="F1152" i="3" a="1"/>
  <c r="AX1152" i="3"/>
  <c r="AY1152" i="3" s="1"/>
  <c r="BH1152" i="3"/>
  <c r="BG1152" i="3"/>
  <c r="AC1152" i="3"/>
  <c r="C1152" i="3"/>
  <c r="F1050" i="3" a="1"/>
  <c r="AX1050" i="3"/>
  <c r="AY1050" i="3" s="1"/>
  <c r="BH1050" i="3"/>
  <c r="BG1050" i="3"/>
  <c r="BF1050" i="3"/>
  <c r="BE1050" i="3"/>
  <c r="W1050" i="3" s="1"/>
  <c r="AC1050" i="3"/>
  <c r="V1050" i="3"/>
  <c r="C1050" i="3"/>
  <c r="BH1318" i="3"/>
  <c r="AX1318" i="3"/>
  <c r="AY1318" i="3" s="1"/>
  <c r="AN1318" i="3"/>
  <c r="AK1318" i="3"/>
  <c r="AJ1318" i="3"/>
  <c r="AC1318" i="3"/>
  <c r="F1318" i="3" a="1"/>
  <c r="C1318" i="3"/>
  <c r="U1211" i="3"/>
  <c r="BH1177" i="3"/>
  <c r="AX1177" i="3"/>
  <c r="AY1177" i="3" s="1"/>
  <c r="U1177" i="3"/>
  <c r="F1177" i="3" a="1"/>
  <c r="C1177" i="3"/>
  <c r="U1143" i="3"/>
  <c r="BH1140" i="3"/>
  <c r="BG1140" i="3"/>
  <c r="BF1140" i="3"/>
  <c r="BE1140" i="3"/>
  <c r="AX1140" i="3"/>
  <c r="AY1140" i="3" s="1"/>
  <c r="F1140" i="3" a="1"/>
  <c r="C1140" i="3"/>
  <c r="BH1309" i="3"/>
  <c r="AX1309" i="3"/>
  <c r="AY1309" i="3" s="1"/>
  <c r="AK1309" i="3"/>
  <c r="AJ1309" i="3"/>
  <c r="F1309" i="3" a="1"/>
  <c r="C1309" i="3"/>
  <c r="U1142" i="3"/>
  <c r="BH1142" i="3"/>
  <c r="BG1142" i="3"/>
  <c r="BF1142" i="3"/>
  <c r="BE1142" i="3"/>
  <c r="AX1142" i="3"/>
  <c r="AY1142" i="3" s="1"/>
  <c r="F1142" i="3" a="1"/>
  <c r="C1142" i="3"/>
  <c r="BH1173" i="3"/>
  <c r="AX1173" i="3"/>
  <c r="AY1173" i="3" s="1"/>
  <c r="F1173" i="3" a="1"/>
  <c r="C1173" i="3"/>
  <c r="U1103" i="3"/>
  <c r="V1103" i="3" s="1"/>
  <c r="U1071" i="3"/>
  <c r="V1071" i="3" s="1"/>
  <c r="U1078" i="3"/>
  <c r="F1175" i="3" a="1"/>
  <c r="F1121" i="3" a="1"/>
  <c r="V1121" i="3"/>
  <c r="AX1121" i="3"/>
  <c r="AY1121" i="3" s="1"/>
  <c r="V1175" i="3"/>
  <c r="AX1175" i="3"/>
  <c r="AY1175" i="3" s="1"/>
  <c r="BH1175" i="3"/>
  <c r="AC1175" i="3"/>
  <c r="C1175" i="3"/>
  <c r="BH1121" i="3"/>
  <c r="BG1121" i="3"/>
  <c r="BF1121" i="3"/>
  <c r="BE1121" i="3"/>
  <c r="AC1121" i="3"/>
  <c r="C1121" i="3"/>
  <c r="I18" i="47"/>
  <c r="I34" i="47"/>
  <c r="I20" i="47"/>
  <c r="I23" i="47"/>
  <c r="I24" i="47"/>
  <c r="I21" i="47"/>
  <c r="I15" i="47"/>
  <c r="I14" i="47"/>
  <c r="I12" i="47"/>
  <c r="I11" i="47"/>
  <c r="I9" i="47"/>
  <c r="I6" i="47"/>
  <c r="I8" i="47"/>
  <c r="J35" i="47"/>
  <c r="I36" i="47"/>
  <c r="J36" i="47" s="1"/>
  <c r="E35" i="47"/>
  <c r="I33" i="47"/>
  <c r="J33" i="47" s="1"/>
  <c r="I31" i="47"/>
  <c r="J31" i="47" s="1"/>
  <c r="I29" i="47"/>
  <c r="J29" i="47"/>
  <c r="J28" i="47"/>
  <c r="J32" i="47"/>
  <c r="F1087" i="3" a="1"/>
  <c r="BH1087" i="3"/>
  <c r="BG1087" i="3"/>
  <c r="BF1087" i="3"/>
  <c r="X1087" i="3" s="1"/>
  <c r="BE1087" i="3"/>
  <c r="W1087" i="3" s="1"/>
  <c r="AZ1087" i="3"/>
  <c r="AC1087" i="3"/>
  <c r="Z1087" i="3"/>
  <c r="V1087" i="3"/>
  <c r="C1087" i="3"/>
  <c r="U1003" i="3"/>
  <c r="F1048" i="3" a="1"/>
  <c r="AX1048" i="3"/>
  <c r="AY1048" i="3" s="1"/>
  <c r="AN1048" i="3"/>
  <c r="BH1048" i="3"/>
  <c r="BG1048" i="3"/>
  <c r="BF1048" i="3"/>
  <c r="BE1048" i="3"/>
  <c r="W1048" i="3" s="1"/>
  <c r="AC1048" i="3"/>
  <c r="V1048" i="3"/>
  <c r="C1048" i="3"/>
  <c r="F1055" i="3" a="1"/>
  <c r="AX1055" i="3"/>
  <c r="AY1055" i="3" s="1"/>
  <c r="Z1055" i="3"/>
  <c r="BH1055" i="3"/>
  <c r="BG1055" i="3"/>
  <c r="BF1055" i="3"/>
  <c r="BE1055" i="3"/>
  <c r="AZ1055" i="3"/>
  <c r="AC1055" i="3"/>
  <c r="V1055" i="3"/>
  <c r="C1055" i="3"/>
  <c r="F1035" i="3" a="1"/>
  <c r="U1035" i="3"/>
  <c r="AK1037" i="3"/>
  <c r="AJ1037" i="3"/>
  <c r="AK1038" i="3"/>
  <c r="AJ1038" i="3"/>
  <c r="AJ1062" i="3"/>
  <c r="AK1062" i="3"/>
  <c r="AJ1063" i="3"/>
  <c r="AK1063" i="3"/>
  <c r="F1037" i="3" a="1"/>
  <c r="F1063" i="3" a="1"/>
  <c r="AX1063" i="3"/>
  <c r="AY1063" i="3" s="1"/>
  <c r="BH1063" i="3"/>
  <c r="BG1063" i="3"/>
  <c r="BF1063" i="3"/>
  <c r="BE1063" i="3"/>
  <c r="AC1063" i="3"/>
  <c r="C1063" i="3"/>
  <c r="Z1041" i="3"/>
  <c r="V1041" i="3"/>
  <c r="F1041" i="3" a="1"/>
  <c r="C1041" i="3"/>
  <c r="AC1041" i="3"/>
  <c r="AZ1041" i="3"/>
  <c r="BE1041" i="3"/>
  <c r="W1041" i="3" s="1"/>
  <c r="BF1041" i="3"/>
  <c r="X1041" i="3" s="1"/>
  <c r="BG1041" i="3"/>
  <c r="BH1041" i="3"/>
  <c r="U214" i="70"/>
  <c r="F214" i="70" a="1"/>
  <c r="BC214" i="70"/>
  <c r="AV214" i="70"/>
  <c r="AW214" i="70" s="1"/>
  <c r="AS214" i="70"/>
  <c r="AA214" i="70"/>
  <c r="C214" i="70"/>
  <c r="F200" i="70" a="1"/>
  <c r="X200" i="70"/>
  <c r="BC200" i="70"/>
  <c r="AV200" i="70"/>
  <c r="AW200" i="70" s="1"/>
  <c r="AS200" i="70"/>
  <c r="AA200" i="70"/>
  <c r="C200" i="70"/>
  <c r="F199" i="70" a="1"/>
  <c r="U199" i="70"/>
  <c r="X199" i="70"/>
  <c r="BC199" i="70"/>
  <c r="AV199" i="70"/>
  <c r="AW199" i="70" s="1"/>
  <c r="AS199" i="70"/>
  <c r="AA199" i="70"/>
  <c r="C199" i="70"/>
  <c r="BC197" i="70"/>
  <c r="AV197" i="70"/>
  <c r="AW197" i="70" s="1"/>
  <c r="AS197" i="70"/>
  <c r="AA197" i="70"/>
  <c r="X197" i="70"/>
  <c r="U197" i="70"/>
  <c r="F197" i="70" a="1"/>
  <c r="C197" i="70"/>
  <c r="BC195" i="70"/>
  <c r="AV195" i="70"/>
  <c r="AW195" i="70" s="1"/>
  <c r="AS195" i="70"/>
  <c r="AA195" i="70"/>
  <c r="X195" i="70"/>
  <c r="U195" i="70"/>
  <c r="F195" i="70" a="1"/>
  <c r="C195" i="70"/>
  <c r="BC194" i="70"/>
  <c r="AV194" i="70"/>
  <c r="AW194" i="70" s="1"/>
  <c r="AS194" i="70"/>
  <c r="AA194" i="70"/>
  <c r="X194" i="70"/>
  <c r="U194" i="70"/>
  <c r="F194" i="70" a="1"/>
  <c r="C194" i="70"/>
  <c r="AX756" i="3"/>
  <c r="V1128" i="3"/>
  <c r="F1128" i="3" a="1"/>
  <c r="F1108" i="3" a="1"/>
  <c r="C1108" i="3"/>
  <c r="AC1108" i="3"/>
  <c r="AX1108" i="3"/>
  <c r="AY1108" i="3" s="1"/>
  <c r="BH1108" i="3"/>
  <c r="C1128" i="3"/>
  <c r="AC1128" i="3"/>
  <c r="AX1128" i="3"/>
  <c r="AY1128" i="3" s="1"/>
  <c r="BE1128" i="3"/>
  <c r="BF1128" i="3"/>
  <c r="BG1128" i="3"/>
  <c r="BH1128" i="3"/>
  <c r="BH1032" i="3"/>
  <c r="BG1032" i="3"/>
  <c r="BF1032" i="3"/>
  <c r="BE1032" i="3"/>
  <c r="AX1032" i="3"/>
  <c r="AY1032" i="3" s="1"/>
  <c r="AC1032" i="3"/>
  <c r="F1032" i="3" a="1"/>
  <c r="C1032" i="3"/>
  <c r="V1073" i="3"/>
  <c r="U1079" i="3"/>
  <c r="V1079" i="3" s="1"/>
  <c r="V1101" i="3"/>
  <c r="F1310" i="3" a="1"/>
  <c r="F1161" i="3" a="1"/>
  <c r="F1211" i="3" a="1"/>
  <c r="AJ1211" i="3"/>
  <c r="AK1211" i="3"/>
  <c r="AX1211" i="3"/>
  <c r="AY1211" i="3" s="1"/>
  <c r="AK1161" i="3"/>
  <c r="AX1161" i="3"/>
  <c r="AY1161" i="3" s="1"/>
  <c r="AX1310" i="3"/>
  <c r="AY1310" i="3" s="1"/>
  <c r="F1196" i="3" a="1"/>
  <c r="C1196" i="3"/>
  <c r="AX1196" i="3"/>
  <c r="AY1196" i="3" s="1"/>
  <c r="BH1196" i="3"/>
  <c r="F1308" i="3" a="1"/>
  <c r="F1307" i="3" a="1"/>
  <c r="F1143" i="3" a="1"/>
  <c r="AX1143" i="3"/>
  <c r="AY1143" i="3" s="1"/>
  <c r="BH1211" i="3"/>
  <c r="C1211" i="3"/>
  <c r="BH1161" i="3"/>
  <c r="C1161" i="3"/>
  <c r="BH1310" i="3"/>
  <c r="C1310" i="3"/>
  <c r="BH1143" i="3"/>
  <c r="BG1143" i="3"/>
  <c r="BF1143" i="3"/>
  <c r="BE1143" i="3"/>
  <c r="C1143" i="3"/>
  <c r="F1125" i="3" a="1"/>
  <c r="AX1125" i="3"/>
  <c r="AY1125" i="3" s="1"/>
  <c r="BH1125" i="3"/>
  <c r="BG1125" i="3"/>
  <c r="BF1125" i="3"/>
  <c r="BE1125" i="3"/>
  <c r="AC1125" i="3"/>
  <c r="C1125" i="3"/>
  <c r="U1124" i="3"/>
  <c r="V1124" i="3" s="1"/>
  <c r="F1124" i="3" a="1"/>
  <c r="AX1124" i="3"/>
  <c r="AY1124" i="3" s="1"/>
  <c r="BH1124" i="3"/>
  <c r="BG1124" i="3"/>
  <c r="BF1124" i="3"/>
  <c r="BE1124" i="3"/>
  <c r="AC1124" i="3"/>
  <c r="C1124" i="3"/>
  <c r="AP43" i="122"/>
  <c r="X27" i="122"/>
  <c r="X47" i="122" s="1"/>
  <c r="X7" i="122"/>
  <c r="X23" i="122" s="1"/>
  <c r="U7" i="122"/>
  <c r="U23" i="122" s="1"/>
  <c r="AJ774" i="3"/>
  <c r="AJ777" i="3"/>
  <c r="AJ794" i="3"/>
  <c r="AJ795" i="3"/>
  <c r="AJ796" i="3"/>
  <c r="AJ797" i="3"/>
  <c r="AJ802" i="3"/>
  <c r="AJ803" i="3"/>
  <c r="AJ807" i="3"/>
  <c r="AJ808" i="3"/>
  <c r="AJ809" i="3"/>
  <c r="AJ900" i="3"/>
  <c r="AU447" i="3"/>
  <c r="AU448" i="3"/>
  <c r="AU449" i="3"/>
  <c r="AU450" i="3"/>
  <c r="AU451" i="3"/>
  <c r="AU452" i="3"/>
  <c r="AU453" i="3"/>
  <c r="AU454" i="3"/>
  <c r="AU455" i="3"/>
  <c r="AU456" i="3"/>
  <c r="AU457" i="3"/>
  <c r="AU458" i="3"/>
  <c r="AU459" i="3"/>
  <c r="AU460" i="3"/>
  <c r="AU461" i="3"/>
  <c r="AU462" i="3"/>
  <c r="AU463" i="3"/>
  <c r="AU464" i="3"/>
  <c r="AU465" i="3"/>
  <c r="AU466" i="3"/>
  <c r="AU467" i="3"/>
  <c r="AU468" i="3"/>
  <c r="AU469" i="3"/>
  <c r="AU470" i="3"/>
  <c r="AU471" i="3"/>
  <c r="AU472" i="3"/>
  <c r="AU473" i="3"/>
  <c r="AU474" i="3"/>
  <c r="AU475" i="3"/>
  <c r="AU476" i="3"/>
  <c r="AU477" i="3"/>
  <c r="AU478" i="3"/>
  <c r="AU479" i="3"/>
  <c r="AU480" i="3"/>
  <c r="AU481" i="3"/>
  <c r="AU482" i="3"/>
  <c r="AU483" i="3"/>
  <c r="AU484" i="3"/>
  <c r="AU485" i="3"/>
  <c r="AU486" i="3"/>
  <c r="AU487" i="3"/>
  <c r="AU488" i="3"/>
  <c r="AU489" i="3"/>
  <c r="AU490" i="3"/>
  <c r="AU491" i="3"/>
  <c r="AU492" i="3"/>
  <c r="AU493" i="3"/>
  <c r="AU494" i="3"/>
  <c r="AU495" i="3"/>
  <c r="AU496" i="3"/>
  <c r="AU497" i="3"/>
  <c r="AU498" i="3"/>
  <c r="AU499" i="3"/>
  <c r="AU500" i="3"/>
  <c r="AU501" i="3"/>
  <c r="AU502" i="3"/>
  <c r="AU503" i="3"/>
  <c r="AU504" i="3"/>
  <c r="AU505" i="3"/>
  <c r="AU506" i="3"/>
  <c r="AU507" i="3"/>
  <c r="AU508" i="3"/>
  <c r="AU509" i="3"/>
  <c r="AU510" i="3"/>
  <c r="AU511" i="3"/>
  <c r="AU512" i="3"/>
  <c r="AU513" i="3"/>
  <c r="AU514" i="3"/>
  <c r="AU515" i="3"/>
  <c r="AU516" i="3"/>
  <c r="AU517" i="3"/>
  <c r="AU518" i="3"/>
  <c r="AU519" i="3"/>
  <c r="AU520" i="3"/>
  <c r="AU521" i="3"/>
  <c r="AU522" i="3"/>
  <c r="AU523" i="3"/>
  <c r="AU524" i="3"/>
  <c r="AU525" i="3"/>
  <c r="AU526" i="3"/>
  <c r="AU527" i="3"/>
  <c r="AU530" i="3"/>
  <c r="AU531" i="3"/>
  <c r="AU532" i="3"/>
  <c r="AU533" i="3"/>
  <c r="AU534" i="3"/>
  <c r="AU535" i="3"/>
  <c r="AU536" i="3"/>
  <c r="AU537" i="3"/>
  <c r="AU538" i="3"/>
  <c r="AU539" i="3"/>
  <c r="AU540" i="3"/>
  <c r="AU541" i="3"/>
  <c r="AU542" i="3"/>
  <c r="AU543" i="3"/>
  <c r="AU544" i="3"/>
  <c r="AU545" i="3"/>
  <c r="AU546" i="3"/>
  <c r="AU547" i="3"/>
  <c r="AU548" i="3"/>
  <c r="AU549" i="3"/>
  <c r="AU550" i="3"/>
  <c r="AU551" i="3"/>
  <c r="AU552" i="3"/>
  <c r="AU553" i="3"/>
  <c r="AU554" i="3"/>
  <c r="AU555" i="3"/>
  <c r="AU556" i="3"/>
  <c r="AU557" i="3"/>
  <c r="AU558" i="3"/>
  <c r="AU561" i="3"/>
  <c r="AU562" i="3"/>
  <c r="AU563" i="3"/>
  <c r="AU564" i="3"/>
  <c r="AU565" i="3"/>
  <c r="AU566" i="3"/>
  <c r="AU567" i="3"/>
  <c r="AU568" i="3"/>
  <c r="AU570" i="3"/>
  <c r="AU571" i="3"/>
  <c r="AU572" i="3"/>
  <c r="AU573" i="3"/>
  <c r="AU574" i="3"/>
  <c r="AU575" i="3"/>
  <c r="AU576" i="3"/>
  <c r="AU577" i="3"/>
  <c r="AU580" i="3"/>
  <c r="AU581" i="3"/>
  <c r="AU582" i="3"/>
  <c r="AU583" i="3"/>
  <c r="AU584" i="3"/>
  <c r="AU585" i="3"/>
  <c r="AU590" i="3"/>
  <c r="AU595" i="3"/>
  <c r="AU596" i="3"/>
  <c r="AU597" i="3"/>
  <c r="AU598" i="3"/>
  <c r="AU599" i="3"/>
  <c r="AU600" i="3"/>
  <c r="AU601" i="3"/>
  <c r="AU603" i="3"/>
  <c r="AU604" i="3"/>
  <c r="AU605" i="3"/>
  <c r="AU608" i="3"/>
  <c r="AU609" i="3"/>
  <c r="AU610" i="3"/>
  <c r="AU611" i="3"/>
  <c r="AU612" i="3"/>
  <c r="AU614" i="3"/>
  <c r="AU615" i="3"/>
  <c r="AU616" i="3"/>
  <c r="AU617" i="3"/>
  <c r="AU623" i="3"/>
  <c r="AU624" i="3"/>
  <c r="AU625" i="3"/>
  <c r="AU626" i="3"/>
  <c r="AU634" i="3"/>
  <c r="AU635" i="3"/>
  <c r="AU636" i="3"/>
  <c r="AU637" i="3"/>
  <c r="AU638" i="3"/>
  <c r="AU640" i="3"/>
  <c r="AU654" i="3"/>
  <c r="AU660" i="3"/>
  <c r="AU666" i="3"/>
  <c r="AU695" i="3"/>
  <c r="AU716" i="3"/>
  <c r="AU717" i="3"/>
  <c r="AU872" i="3"/>
  <c r="AU873" i="3"/>
  <c r="AU874" i="3"/>
  <c r="AU935" i="3"/>
  <c r="AU101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U197" i="3"/>
  <c r="AU198" i="3"/>
  <c r="AU199" i="3"/>
  <c r="AU200" i="3"/>
  <c r="AU201" i="3"/>
  <c r="AU202" i="3"/>
  <c r="AU203" i="3"/>
  <c r="AU204" i="3"/>
  <c r="AU205" i="3"/>
  <c r="AU206" i="3"/>
  <c r="AU207" i="3"/>
  <c r="AU208" i="3"/>
  <c r="AU209" i="3"/>
  <c r="AU210" i="3"/>
  <c r="AU211" i="3"/>
  <c r="AU212" i="3"/>
  <c r="AU213" i="3"/>
  <c r="AU214" i="3"/>
  <c r="AU215" i="3"/>
  <c r="AU216" i="3"/>
  <c r="AU217" i="3"/>
  <c r="AU218" i="3"/>
  <c r="AU219" i="3"/>
  <c r="AU220" i="3"/>
  <c r="AU221" i="3"/>
  <c r="AU222" i="3"/>
  <c r="AU223" i="3"/>
  <c r="AU224" i="3"/>
  <c r="AU225" i="3"/>
  <c r="AU226" i="3"/>
  <c r="AU227" i="3"/>
  <c r="AU228" i="3"/>
  <c r="AU229" i="3"/>
  <c r="AU230" i="3"/>
  <c r="AU231" i="3"/>
  <c r="AU232" i="3"/>
  <c r="AU233" i="3"/>
  <c r="AU234" i="3"/>
  <c r="AU235" i="3"/>
  <c r="AU236" i="3"/>
  <c r="AU237" i="3"/>
  <c r="AU238" i="3"/>
  <c r="AU239" i="3"/>
  <c r="AU240" i="3"/>
  <c r="AU241" i="3"/>
  <c r="AU242" i="3"/>
  <c r="AU243" i="3"/>
  <c r="AU244" i="3"/>
  <c r="AU245" i="3"/>
  <c r="AU246" i="3"/>
  <c r="AU247" i="3"/>
  <c r="AU248" i="3"/>
  <c r="AU249" i="3"/>
  <c r="AU250" i="3"/>
  <c r="AU251" i="3"/>
  <c r="AU252" i="3"/>
  <c r="AU253" i="3"/>
  <c r="AU254" i="3"/>
  <c r="AU255" i="3"/>
  <c r="AU256" i="3"/>
  <c r="AU257" i="3"/>
  <c r="AU258" i="3"/>
  <c r="AU259" i="3"/>
  <c r="AU260" i="3"/>
  <c r="AU261" i="3"/>
  <c r="AU262" i="3"/>
  <c r="AU263" i="3"/>
  <c r="AU264" i="3"/>
  <c r="AU265" i="3"/>
  <c r="AU266" i="3"/>
  <c r="AU267" i="3"/>
  <c r="AU268" i="3"/>
  <c r="AU269" i="3"/>
  <c r="AU270" i="3"/>
  <c r="AU271" i="3"/>
  <c r="AU272" i="3"/>
  <c r="AU273" i="3"/>
  <c r="AU274" i="3"/>
  <c r="AU275" i="3"/>
  <c r="AU276" i="3"/>
  <c r="AU277" i="3"/>
  <c r="AU278" i="3"/>
  <c r="AU279" i="3"/>
  <c r="AU280" i="3"/>
  <c r="AU281" i="3"/>
  <c r="AU282" i="3"/>
  <c r="AU283" i="3"/>
  <c r="AU284" i="3"/>
  <c r="AU285" i="3"/>
  <c r="AU286" i="3"/>
  <c r="AU287" i="3"/>
  <c r="AU288" i="3"/>
  <c r="AU289" i="3"/>
  <c r="AU290" i="3"/>
  <c r="AU291" i="3"/>
  <c r="AU292" i="3"/>
  <c r="AU293" i="3"/>
  <c r="AU294" i="3"/>
  <c r="AU295" i="3"/>
  <c r="AU296" i="3"/>
  <c r="AU297" i="3"/>
  <c r="AU298" i="3"/>
  <c r="AU299" i="3"/>
  <c r="AU300" i="3"/>
  <c r="AU301" i="3"/>
  <c r="AU302" i="3"/>
  <c r="AU303" i="3"/>
  <c r="AU304" i="3"/>
  <c r="AU305" i="3"/>
  <c r="AU306" i="3"/>
  <c r="AU307" i="3"/>
  <c r="AU308" i="3"/>
  <c r="AU309" i="3"/>
  <c r="AU310" i="3"/>
  <c r="AU311" i="3"/>
  <c r="AU312" i="3"/>
  <c r="AU313" i="3"/>
  <c r="AU314" i="3"/>
  <c r="AU315" i="3"/>
  <c r="AU316" i="3"/>
  <c r="AU317" i="3"/>
  <c r="AU318" i="3"/>
  <c r="AU319" i="3"/>
  <c r="AU320" i="3"/>
  <c r="AU321" i="3"/>
  <c r="AU322" i="3"/>
  <c r="AU323" i="3"/>
  <c r="AU324" i="3"/>
  <c r="AU325" i="3"/>
  <c r="AU326" i="3"/>
  <c r="AU327" i="3"/>
  <c r="AU328" i="3"/>
  <c r="AU329" i="3"/>
  <c r="AU330" i="3"/>
  <c r="AU331" i="3"/>
  <c r="AU332" i="3"/>
  <c r="AU333" i="3"/>
  <c r="AU334" i="3"/>
  <c r="AU335" i="3"/>
  <c r="AU336" i="3"/>
  <c r="AU337" i="3"/>
  <c r="AU338" i="3"/>
  <c r="AU339" i="3"/>
  <c r="AU340" i="3"/>
  <c r="AU341" i="3"/>
  <c r="AU342" i="3"/>
  <c r="AU343" i="3"/>
  <c r="AU344" i="3"/>
  <c r="AU345" i="3"/>
  <c r="AU346" i="3"/>
  <c r="AU347" i="3"/>
  <c r="AU348" i="3"/>
  <c r="AU349" i="3"/>
  <c r="AU350" i="3"/>
  <c r="AU351" i="3"/>
  <c r="AU352" i="3"/>
  <c r="AU353" i="3"/>
  <c r="AU354" i="3"/>
  <c r="AU355" i="3"/>
  <c r="AU356" i="3"/>
  <c r="AU357" i="3"/>
  <c r="AU358" i="3"/>
  <c r="AU359" i="3"/>
  <c r="AU360" i="3"/>
  <c r="AU361" i="3"/>
  <c r="AU362" i="3"/>
  <c r="AU363" i="3"/>
  <c r="AU364" i="3"/>
  <c r="AU365" i="3"/>
  <c r="AU366" i="3"/>
  <c r="AU367" i="3"/>
  <c r="AU368" i="3"/>
  <c r="AU369" i="3"/>
  <c r="AU370" i="3"/>
  <c r="AU371" i="3"/>
  <c r="AU372" i="3"/>
  <c r="AU373" i="3"/>
  <c r="AU374" i="3"/>
  <c r="AU375" i="3"/>
  <c r="AU376" i="3"/>
  <c r="AU377" i="3"/>
  <c r="AU378" i="3"/>
  <c r="AU379" i="3"/>
  <c r="AU380" i="3"/>
  <c r="AU381" i="3"/>
  <c r="AU382" i="3"/>
  <c r="AU383" i="3"/>
  <c r="AU384" i="3"/>
  <c r="AU385" i="3"/>
  <c r="AU386" i="3"/>
  <c r="AU387" i="3"/>
  <c r="AU388" i="3"/>
  <c r="AU389" i="3"/>
  <c r="AU390" i="3"/>
  <c r="AU391" i="3"/>
  <c r="AU392" i="3"/>
  <c r="AU393" i="3"/>
  <c r="AU394" i="3"/>
  <c r="AU395" i="3"/>
  <c r="AU396" i="3"/>
  <c r="AU397" i="3"/>
  <c r="AU398" i="3"/>
  <c r="AU399" i="3"/>
  <c r="AU400" i="3"/>
  <c r="AU401" i="3"/>
  <c r="AU402" i="3"/>
  <c r="AU403" i="3"/>
  <c r="AU404" i="3"/>
  <c r="AU405" i="3"/>
  <c r="AU406" i="3"/>
  <c r="AU407" i="3"/>
  <c r="AU408" i="3"/>
  <c r="AU409" i="3"/>
  <c r="AU410" i="3"/>
  <c r="AU411" i="3"/>
  <c r="AU412" i="3"/>
  <c r="AU413" i="3"/>
  <c r="AU414" i="3"/>
  <c r="AU415" i="3"/>
  <c r="AU416" i="3"/>
  <c r="AU417" i="3"/>
  <c r="AU418" i="3"/>
  <c r="AU419" i="3"/>
  <c r="AU420" i="3"/>
  <c r="AU421" i="3"/>
  <c r="AU422" i="3"/>
  <c r="AU423" i="3"/>
  <c r="AU424" i="3"/>
  <c r="AU425" i="3"/>
  <c r="AU426" i="3"/>
  <c r="AU427" i="3"/>
  <c r="AU428" i="3"/>
  <c r="AU429" i="3"/>
  <c r="AU430" i="3"/>
  <c r="AU431" i="3"/>
  <c r="AU432" i="3"/>
  <c r="AU433" i="3"/>
  <c r="AU434" i="3"/>
  <c r="AU435" i="3"/>
  <c r="AU436" i="3"/>
  <c r="AU437" i="3"/>
  <c r="AU438" i="3"/>
  <c r="AU439" i="3"/>
  <c r="AU440" i="3"/>
  <c r="AU441" i="3"/>
  <c r="AU442" i="3"/>
  <c r="AU443" i="3"/>
  <c r="AU444" i="3"/>
  <c r="AU445" i="3"/>
  <c r="AU446" i="3"/>
  <c r="AU2" i="3"/>
  <c r="AU3" i="3"/>
  <c r="AV144" i="70"/>
  <c r="AW144" i="70" s="1"/>
  <c r="AV213" i="70"/>
  <c r="AW213" i="70" s="1"/>
  <c r="AV215" i="70"/>
  <c r="AW215" i="70" s="1"/>
  <c r="AV216" i="70"/>
  <c r="AW216" i="70" s="1"/>
  <c r="AV217" i="70"/>
  <c r="AW217" i="70" s="1"/>
  <c r="AV219" i="70"/>
  <c r="AW219" i="70" s="1"/>
  <c r="AV220" i="70"/>
  <c r="AW220" i="70" s="1"/>
  <c r="AV221" i="70"/>
  <c r="AW221" i="70" s="1"/>
  <c r="AV222" i="70"/>
  <c r="AW222" i="70" s="1"/>
  <c r="AV224" i="70"/>
  <c r="AW224" i="70" s="1"/>
  <c r="AV225" i="70"/>
  <c r="AW225" i="70" s="1"/>
  <c r="AV226" i="70"/>
  <c r="AW226" i="70" s="1"/>
  <c r="AV244" i="70"/>
  <c r="AW244" i="70" s="1"/>
  <c r="AV245" i="70"/>
  <c r="AW245" i="70" s="1"/>
  <c r="AV246" i="70"/>
  <c r="AW246" i="70" s="1"/>
  <c r="AV247" i="70"/>
  <c r="AW247" i="70" s="1"/>
  <c r="AV248" i="70"/>
  <c r="AW248" i="70" s="1"/>
  <c r="AV249" i="70"/>
  <c r="AW249" i="70" s="1"/>
  <c r="AV250" i="70"/>
  <c r="AW250" i="70" s="1"/>
  <c r="AV251" i="70"/>
  <c r="AW251" i="70" s="1"/>
  <c r="AV252" i="70"/>
  <c r="AW252" i="70" s="1"/>
  <c r="AV253" i="70"/>
  <c r="AW253" i="70" s="1"/>
  <c r="AV254" i="70"/>
  <c r="AW254" i="70" s="1"/>
  <c r="AV255" i="70"/>
  <c r="AW255" i="70" s="1"/>
  <c r="AV256" i="70"/>
  <c r="AW256" i="70" s="1"/>
  <c r="AV257" i="70"/>
  <c r="AW257" i="70" s="1"/>
  <c r="AV258" i="70"/>
  <c r="AW258" i="70" s="1"/>
  <c r="AV259" i="70"/>
  <c r="AW259" i="70" s="1"/>
  <c r="AV296" i="70"/>
  <c r="AW296" i="70" s="1"/>
  <c r="AV297" i="70"/>
  <c r="AW297" i="70" s="1"/>
  <c r="AV298" i="70"/>
  <c r="AW298" i="70" s="1"/>
  <c r="AV299" i="70"/>
  <c r="AW299" i="70" s="1"/>
  <c r="AV300" i="70"/>
  <c r="AW300" i="70" s="1"/>
  <c r="AV301" i="70"/>
  <c r="AW301" i="70" s="1"/>
  <c r="AV181" i="70"/>
  <c r="AW181" i="70" s="1"/>
  <c r="AV182" i="70"/>
  <c r="AW182" i="70" s="1"/>
  <c r="AV183" i="70"/>
  <c r="AW183" i="70" s="1"/>
  <c r="AV184" i="70"/>
  <c r="AW184" i="70" s="1"/>
  <c r="AV185" i="70"/>
  <c r="AW185" i="70" s="1"/>
  <c r="AV186" i="70"/>
  <c r="AW186" i="70" s="1"/>
  <c r="AV187" i="70"/>
  <c r="AW187" i="70" s="1"/>
  <c r="AV188" i="70"/>
  <c r="AW188" i="70" s="1"/>
  <c r="AV189" i="70"/>
  <c r="AW189" i="70" s="1"/>
  <c r="AV190" i="70"/>
  <c r="AW190" i="70" s="1"/>
  <c r="AV191" i="70"/>
  <c r="AW191" i="70" s="1"/>
  <c r="AV192" i="70"/>
  <c r="AW192" i="70" s="1"/>
  <c r="AV193" i="70"/>
  <c r="AW193" i="70" s="1"/>
  <c r="AV196" i="70"/>
  <c r="AW196" i="70" s="1"/>
  <c r="AV198" i="70"/>
  <c r="AW198" i="70" s="1"/>
  <c r="AV201" i="70"/>
  <c r="AW201" i="70" s="1"/>
  <c r="AV202" i="70"/>
  <c r="AW202" i="70" s="1"/>
  <c r="AV203" i="70"/>
  <c r="AW203" i="70" s="1"/>
  <c r="AV204" i="70"/>
  <c r="AW204" i="70" s="1"/>
  <c r="AV205" i="70"/>
  <c r="AW205" i="70" s="1"/>
  <c r="AV206" i="70"/>
  <c r="AW206" i="70" s="1"/>
  <c r="AV207" i="70"/>
  <c r="AW207" i="70" s="1"/>
  <c r="AV208" i="70"/>
  <c r="AW208" i="70" s="1"/>
  <c r="AV209" i="70"/>
  <c r="AW209" i="70" s="1"/>
  <c r="AV210" i="70"/>
  <c r="AW210" i="70" s="1"/>
  <c r="AV211" i="70"/>
  <c r="AW211" i="70" s="1"/>
  <c r="AV212" i="70"/>
  <c r="AW212" i="70" s="1"/>
  <c r="AV133" i="70"/>
  <c r="AW133" i="70" s="1"/>
  <c r="AV134" i="70"/>
  <c r="AW134" i="70" s="1"/>
  <c r="AV135" i="70"/>
  <c r="AW135" i="70" s="1"/>
  <c r="AV136" i="70"/>
  <c r="AW136" i="70" s="1"/>
  <c r="AV137" i="70"/>
  <c r="AW137" i="70" s="1"/>
  <c r="AV138" i="70"/>
  <c r="AW138" i="70" s="1"/>
  <c r="AV139" i="70"/>
  <c r="AW139" i="70" s="1"/>
  <c r="AV140" i="70"/>
  <c r="AW140" i="70" s="1"/>
  <c r="AV141" i="70"/>
  <c r="AW141" i="70" s="1"/>
  <c r="AV142" i="70"/>
  <c r="AW142" i="70" s="1"/>
  <c r="AV143" i="70"/>
  <c r="AW143" i="70" s="1"/>
  <c r="AV145" i="70"/>
  <c r="AW145" i="70" s="1"/>
  <c r="AV146" i="70"/>
  <c r="AW146" i="70" s="1"/>
  <c r="AV147" i="70"/>
  <c r="AW147" i="70" s="1"/>
  <c r="AV148" i="70"/>
  <c r="AW148" i="70" s="1"/>
  <c r="AV149" i="70"/>
  <c r="AW149" i="70" s="1"/>
  <c r="AV150" i="70"/>
  <c r="AW150" i="70" s="1"/>
  <c r="AV151" i="70"/>
  <c r="AW151" i="70" s="1"/>
  <c r="AV152" i="70"/>
  <c r="AW152" i="70" s="1"/>
  <c r="AV153" i="70"/>
  <c r="AW153" i="70" s="1"/>
  <c r="AV154" i="70"/>
  <c r="AW154" i="70" s="1"/>
  <c r="AV155" i="70"/>
  <c r="AW155" i="70" s="1"/>
  <c r="AV156" i="70"/>
  <c r="AW156" i="70" s="1"/>
  <c r="AV157" i="70"/>
  <c r="AW157" i="70" s="1"/>
  <c r="AV158" i="70"/>
  <c r="AW158" i="70" s="1"/>
  <c r="AV159" i="70"/>
  <c r="AW159" i="70" s="1"/>
  <c r="AV160" i="70"/>
  <c r="AW160" i="70" s="1"/>
  <c r="AV161" i="70"/>
  <c r="AW161" i="70" s="1"/>
  <c r="AV162" i="70"/>
  <c r="AW162" i="70" s="1"/>
  <c r="AV163" i="70"/>
  <c r="AW163" i="70" s="1"/>
  <c r="AV164" i="70"/>
  <c r="AW164" i="70" s="1"/>
  <c r="AV165" i="70"/>
  <c r="AW165" i="70" s="1"/>
  <c r="AV166" i="70"/>
  <c r="AW166" i="70" s="1"/>
  <c r="AV167" i="70"/>
  <c r="AW167" i="70" s="1"/>
  <c r="AV168" i="70"/>
  <c r="AW168" i="70" s="1"/>
  <c r="AV169" i="70"/>
  <c r="AW169" i="70" s="1"/>
  <c r="AV170" i="70"/>
  <c r="AW170" i="70" s="1"/>
  <c r="AV171" i="70"/>
  <c r="AW171" i="70" s="1"/>
  <c r="AV172" i="70"/>
  <c r="AW172" i="70" s="1"/>
  <c r="AV173" i="70"/>
  <c r="AW173" i="70" s="1"/>
  <c r="AV174" i="70"/>
  <c r="AW174" i="70" s="1"/>
  <c r="AV175" i="70"/>
  <c r="AW175" i="70" s="1"/>
  <c r="AV176" i="70"/>
  <c r="AW176" i="70" s="1"/>
  <c r="AV177" i="70"/>
  <c r="AW177" i="70" s="1"/>
  <c r="AV178" i="70"/>
  <c r="AW178" i="70" s="1"/>
  <c r="AV179" i="70"/>
  <c r="AW179" i="70" s="1"/>
  <c r="AV180" i="70"/>
  <c r="AW180" i="70" s="1"/>
  <c r="AV92" i="70"/>
  <c r="AW92" i="70" s="1"/>
  <c r="AV93" i="70"/>
  <c r="AW93" i="70" s="1"/>
  <c r="AV94" i="70"/>
  <c r="AW94" i="70" s="1"/>
  <c r="AV95" i="70"/>
  <c r="AW95" i="70" s="1"/>
  <c r="AV96" i="70"/>
  <c r="AW96" i="70" s="1"/>
  <c r="AV97" i="70"/>
  <c r="AW97" i="70" s="1"/>
  <c r="AV98" i="70"/>
  <c r="AW98" i="70" s="1"/>
  <c r="AV99" i="70"/>
  <c r="AW99" i="70" s="1"/>
  <c r="AV100" i="70"/>
  <c r="AW100" i="70" s="1"/>
  <c r="AV101" i="70"/>
  <c r="AW101" i="70" s="1"/>
  <c r="AV102" i="70"/>
  <c r="AW102" i="70" s="1"/>
  <c r="AV103" i="70"/>
  <c r="AW103" i="70" s="1"/>
  <c r="AV104" i="70"/>
  <c r="AW104" i="70" s="1"/>
  <c r="AV105" i="70"/>
  <c r="AW105" i="70" s="1"/>
  <c r="AV106" i="70"/>
  <c r="AW106" i="70" s="1"/>
  <c r="AV107" i="70"/>
  <c r="AW107" i="70" s="1"/>
  <c r="AV108" i="70"/>
  <c r="AW108" i="70" s="1"/>
  <c r="AV109" i="70"/>
  <c r="AW109" i="70" s="1"/>
  <c r="AV110" i="70"/>
  <c r="AW110" i="70" s="1"/>
  <c r="AV111" i="70"/>
  <c r="AW111" i="70" s="1"/>
  <c r="AV112" i="70"/>
  <c r="AW112" i="70" s="1"/>
  <c r="AV113" i="70"/>
  <c r="AW113" i="70" s="1"/>
  <c r="AV114" i="70"/>
  <c r="AW114" i="70" s="1"/>
  <c r="AV115" i="70"/>
  <c r="AW115" i="70" s="1"/>
  <c r="AV116" i="70"/>
  <c r="AW116" i="70" s="1"/>
  <c r="AV117" i="70"/>
  <c r="AW117" i="70" s="1"/>
  <c r="AV118" i="70"/>
  <c r="AW118" i="70" s="1"/>
  <c r="AV119" i="70"/>
  <c r="AW119" i="70" s="1"/>
  <c r="AV120" i="70"/>
  <c r="AW120" i="70" s="1"/>
  <c r="AV121" i="70"/>
  <c r="AW121" i="70" s="1"/>
  <c r="AV122" i="70"/>
  <c r="AW122" i="70" s="1"/>
  <c r="AV123" i="70"/>
  <c r="AW123" i="70" s="1"/>
  <c r="AV124" i="70"/>
  <c r="AW124" i="70" s="1"/>
  <c r="AV125" i="70"/>
  <c r="AW125" i="70" s="1"/>
  <c r="AV126" i="70"/>
  <c r="AW126" i="70" s="1"/>
  <c r="AV127" i="70"/>
  <c r="AW127" i="70" s="1"/>
  <c r="AV128" i="70"/>
  <c r="AW128" i="70" s="1"/>
  <c r="AV129" i="70"/>
  <c r="AW129" i="70" s="1"/>
  <c r="AV130" i="70"/>
  <c r="AW130" i="70" s="1"/>
  <c r="AV131" i="70"/>
  <c r="AW131" i="70" s="1"/>
  <c r="AV132" i="70"/>
  <c r="AW132" i="70" s="1"/>
  <c r="AV23" i="70"/>
  <c r="AW23" i="70" s="1"/>
  <c r="AV24" i="70"/>
  <c r="AW24" i="70" s="1"/>
  <c r="AV25" i="70"/>
  <c r="AW25" i="70" s="1"/>
  <c r="AV26" i="70"/>
  <c r="AW26" i="70" s="1"/>
  <c r="AV27" i="70"/>
  <c r="AW27" i="70" s="1"/>
  <c r="AV28" i="70"/>
  <c r="AW28" i="70" s="1"/>
  <c r="AV29" i="70"/>
  <c r="AW29" i="70" s="1"/>
  <c r="AV30" i="70"/>
  <c r="AW30" i="70" s="1"/>
  <c r="AV31" i="70"/>
  <c r="AW31" i="70" s="1"/>
  <c r="AV32" i="70"/>
  <c r="AW32" i="70" s="1"/>
  <c r="AV33" i="70"/>
  <c r="AW33" i="70" s="1"/>
  <c r="AV34" i="70"/>
  <c r="AW34" i="70" s="1"/>
  <c r="AV35" i="70"/>
  <c r="AW35" i="70" s="1"/>
  <c r="AV36" i="70"/>
  <c r="AW36" i="70" s="1"/>
  <c r="AV37" i="70"/>
  <c r="AW37" i="70" s="1"/>
  <c r="AV38" i="70"/>
  <c r="AW38" i="70" s="1"/>
  <c r="AV39" i="70"/>
  <c r="AW39" i="70" s="1"/>
  <c r="AV40" i="70"/>
  <c r="AW40" i="70" s="1"/>
  <c r="AV41" i="70"/>
  <c r="AW41" i="70" s="1"/>
  <c r="AV42" i="70"/>
  <c r="AW42" i="70" s="1"/>
  <c r="AV43" i="70"/>
  <c r="AW43" i="70" s="1"/>
  <c r="AV44" i="70"/>
  <c r="AW44" i="70" s="1"/>
  <c r="AV45" i="70"/>
  <c r="AW45" i="70" s="1"/>
  <c r="AV46" i="70"/>
  <c r="AW46" i="70" s="1"/>
  <c r="AV47" i="70"/>
  <c r="AW47" i="70" s="1"/>
  <c r="AV48" i="70"/>
  <c r="AW48" i="70" s="1"/>
  <c r="AV49" i="70"/>
  <c r="AW49" i="70" s="1"/>
  <c r="AV50" i="70"/>
  <c r="AW50" i="70" s="1"/>
  <c r="AV51" i="70"/>
  <c r="AW51" i="70" s="1"/>
  <c r="AV52" i="70"/>
  <c r="AW52" i="70" s="1"/>
  <c r="AV53" i="70"/>
  <c r="AW53" i="70" s="1"/>
  <c r="AV54" i="70"/>
  <c r="AW54" i="70" s="1"/>
  <c r="AV55" i="70"/>
  <c r="AW55" i="70" s="1"/>
  <c r="AV56" i="70"/>
  <c r="AW56" i="70" s="1"/>
  <c r="AV57" i="70"/>
  <c r="AW57" i="70" s="1"/>
  <c r="AV58" i="70"/>
  <c r="AW58" i="70" s="1"/>
  <c r="AV59" i="70"/>
  <c r="AW59" i="70" s="1"/>
  <c r="AV60" i="70"/>
  <c r="AW60" i="70" s="1"/>
  <c r="AV61" i="70"/>
  <c r="AW61" i="70" s="1"/>
  <c r="AV62" i="70"/>
  <c r="AW62" i="70" s="1"/>
  <c r="AV63" i="70"/>
  <c r="AW63" i="70" s="1"/>
  <c r="AV64" i="70"/>
  <c r="AW64" i="70" s="1"/>
  <c r="AV65" i="70"/>
  <c r="AW65" i="70" s="1"/>
  <c r="AV66" i="70"/>
  <c r="AW66" i="70" s="1"/>
  <c r="AV67" i="70"/>
  <c r="AW67" i="70" s="1"/>
  <c r="AV68" i="70"/>
  <c r="AW68" i="70" s="1"/>
  <c r="AV69" i="70"/>
  <c r="AW69" i="70" s="1"/>
  <c r="AV70" i="70"/>
  <c r="AW70" i="70" s="1"/>
  <c r="AV71" i="70"/>
  <c r="AW71" i="70" s="1"/>
  <c r="AV72" i="70"/>
  <c r="AW72" i="70" s="1"/>
  <c r="AV73" i="70"/>
  <c r="AW73" i="70" s="1"/>
  <c r="AV74" i="70"/>
  <c r="AW74" i="70" s="1"/>
  <c r="AV75" i="70"/>
  <c r="AW75" i="70" s="1"/>
  <c r="AV76" i="70"/>
  <c r="AW76" i="70" s="1"/>
  <c r="AV77" i="70"/>
  <c r="AW77" i="70" s="1"/>
  <c r="AV78" i="70"/>
  <c r="AW78" i="70" s="1"/>
  <c r="AV79" i="70"/>
  <c r="AW79" i="70" s="1"/>
  <c r="AV80" i="70"/>
  <c r="AW80" i="70" s="1"/>
  <c r="AV81" i="70"/>
  <c r="AW81" i="70" s="1"/>
  <c r="AV82" i="70"/>
  <c r="AW82" i="70" s="1"/>
  <c r="AV83" i="70"/>
  <c r="AW83" i="70" s="1"/>
  <c r="AV84" i="70"/>
  <c r="AW84" i="70" s="1"/>
  <c r="AV85" i="70"/>
  <c r="AW85" i="70" s="1"/>
  <c r="AV86" i="70"/>
  <c r="AW86" i="70" s="1"/>
  <c r="AV87" i="70"/>
  <c r="AW87" i="70" s="1"/>
  <c r="AV88" i="70"/>
  <c r="AW88" i="70" s="1"/>
  <c r="AV89" i="70"/>
  <c r="AW89" i="70" s="1"/>
  <c r="AV90" i="70"/>
  <c r="AW90" i="70" s="1"/>
  <c r="AV91" i="70"/>
  <c r="AW91" i="70" s="1"/>
  <c r="BH997" i="3"/>
  <c r="BG997" i="3"/>
  <c r="BF997" i="3"/>
  <c r="X997" i="3" s="1"/>
  <c r="BE997" i="3"/>
  <c r="W997" i="3" s="1"/>
  <c r="AX997" i="3"/>
  <c r="AY997" i="3" s="1"/>
  <c r="V997" i="3"/>
  <c r="F997" i="3" a="1"/>
  <c r="C997" i="3"/>
  <c r="BH1146" i="3"/>
  <c r="AX1146" i="3"/>
  <c r="AY1146" i="3" s="1"/>
  <c r="AC1146" i="3"/>
  <c r="F1146" i="3" a="1"/>
  <c r="C1146" i="3"/>
  <c r="AX950" i="3"/>
  <c r="AX952" i="3"/>
  <c r="AX1133" i="3"/>
  <c r="AX1134" i="3"/>
  <c r="AX1026" i="3"/>
  <c r="AY1026" i="3" s="1"/>
  <c r="AX1058" i="3"/>
  <c r="AY1058" i="3" s="1"/>
  <c r="AX1076" i="3"/>
  <c r="AY1076" i="3" s="1"/>
  <c r="AX1074" i="3"/>
  <c r="AY1074" i="3" s="1"/>
  <c r="AX1067" i="3"/>
  <c r="AY1067" i="3" s="1"/>
  <c r="AX1301" i="3"/>
  <c r="AY1301" i="3" s="1"/>
  <c r="AX1154" i="3"/>
  <c r="AX1304" i="3"/>
  <c r="AX1064" i="3"/>
  <c r="AY1064" i="3" s="1"/>
  <c r="AX1083" i="3"/>
  <c r="AX1085" i="3"/>
  <c r="AX1086" i="3"/>
  <c r="AX1065" i="3"/>
  <c r="AX1042" i="3"/>
  <c r="AX1073" i="3"/>
  <c r="AY1073" i="3" s="1"/>
  <c r="AX1079" i="3"/>
  <c r="AY1079" i="3" s="1"/>
  <c r="AX1104" i="3"/>
  <c r="AY1104" i="3" s="1"/>
  <c r="AX1101" i="3"/>
  <c r="AY1101" i="3" s="1"/>
  <c r="AX1071" i="3"/>
  <c r="AY1071" i="3" s="1"/>
  <c r="AX1103" i="3"/>
  <c r="AY1103" i="3" s="1"/>
  <c r="AX1075" i="3"/>
  <c r="AY1075" i="3" s="1"/>
  <c r="AX1100" i="3"/>
  <c r="AY1100" i="3" s="1"/>
  <c r="AX1080" i="3"/>
  <c r="AY1080" i="3" s="1"/>
  <c r="AX1102" i="3"/>
  <c r="AY1102" i="3" s="1"/>
  <c r="AX1118" i="3"/>
  <c r="AY1118" i="3" s="1"/>
  <c r="AX1078" i="3"/>
  <c r="AY1078" i="3" s="1"/>
  <c r="AX1135" i="3"/>
  <c r="AY1135" i="3" s="1"/>
  <c r="AX1013" i="3"/>
  <c r="AX1056" i="3"/>
  <c r="AX1088" i="3"/>
  <c r="AX1094" i="3"/>
  <c r="AX1090" i="3"/>
  <c r="AX1068" i="3"/>
  <c r="AX1070" i="3"/>
  <c r="AX1091" i="3"/>
  <c r="AX1274" i="3"/>
  <c r="AX1039" i="3"/>
  <c r="AX1023" i="3"/>
  <c r="AY1023" i="3" s="1"/>
  <c r="AX1024" i="3"/>
  <c r="AY1024" i="3" s="1"/>
  <c r="AX1017" i="3"/>
  <c r="AX1018" i="3"/>
  <c r="AY1018" i="3" s="1"/>
  <c r="AX1019" i="3"/>
  <c r="AY1019" i="3" s="1"/>
  <c r="AX1014" i="3"/>
  <c r="AX1015" i="3"/>
  <c r="AX978" i="3"/>
  <c r="AX979" i="3"/>
  <c r="AX980" i="3"/>
  <c r="AX981" i="3"/>
  <c r="AX982" i="3"/>
  <c r="AX983" i="3"/>
  <c r="AX984" i="3"/>
  <c r="AX985" i="3"/>
  <c r="AY985" i="3" s="1"/>
  <c r="AX986" i="3"/>
  <c r="AY986" i="3" s="1"/>
  <c r="AX987" i="3"/>
  <c r="AX988" i="3"/>
  <c r="AY988" i="3" s="1"/>
  <c r="AX989" i="3"/>
  <c r="AY989" i="3" s="1"/>
  <c r="AX990" i="3"/>
  <c r="AY990" i="3" s="1"/>
  <c r="AX991" i="3"/>
  <c r="AY991" i="3" s="1"/>
  <c r="AX992" i="3"/>
  <c r="AY992" i="3" s="1"/>
  <c r="AX961" i="3"/>
  <c r="AX962" i="3"/>
  <c r="AX932" i="3"/>
  <c r="AX933" i="3"/>
  <c r="AX934" i="3"/>
  <c r="AX935" i="3"/>
  <c r="AX927" i="3"/>
  <c r="AX886" i="3"/>
  <c r="AX862" i="3"/>
  <c r="AX863" i="3"/>
  <c r="AV3" i="70"/>
  <c r="AW3" i="70" s="1"/>
  <c r="AV4" i="70"/>
  <c r="AW4" i="70" s="1"/>
  <c r="AV5" i="70"/>
  <c r="AW5" i="70" s="1"/>
  <c r="AV6" i="70"/>
  <c r="AW6" i="70" s="1"/>
  <c r="AV7" i="70"/>
  <c r="AW7" i="70" s="1"/>
  <c r="AV8" i="70"/>
  <c r="AW8" i="70" s="1"/>
  <c r="AV9" i="70"/>
  <c r="AW9" i="70" s="1"/>
  <c r="AV10" i="70"/>
  <c r="AW10" i="70" s="1"/>
  <c r="AV11" i="70"/>
  <c r="AW11" i="70" s="1"/>
  <c r="AV12" i="70"/>
  <c r="AW12" i="70" s="1"/>
  <c r="AV13" i="70"/>
  <c r="AW13" i="70" s="1"/>
  <c r="AV14" i="70"/>
  <c r="AW14" i="70" s="1"/>
  <c r="AV15" i="70"/>
  <c r="AW15" i="70" s="1"/>
  <c r="AV16" i="70"/>
  <c r="AW16" i="70" s="1"/>
  <c r="AV17" i="70"/>
  <c r="AW17" i="70" s="1"/>
  <c r="AV18" i="70"/>
  <c r="AW18" i="70" s="1"/>
  <c r="AV19" i="70"/>
  <c r="AW19" i="70" s="1"/>
  <c r="AV20" i="70"/>
  <c r="AW20" i="70" s="1"/>
  <c r="AV21" i="70"/>
  <c r="AW21" i="70" s="1"/>
  <c r="AV22" i="70"/>
  <c r="AW22" i="70" s="1"/>
  <c r="AV2" i="70"/>
  <c r="AW2" i="70" s="1"/>
  <c r="AX1317" i="3"/>
  <c r="AY1317" i="3" s="1"/>
  <c r="AX1204" i="3"/>
  <c r="AY1204" i="3" s="1"/>
  <c r="AX1115" i="3"/>
  <c r="AY1115" i="3" s="1"/>
  <c r="AX1316" i="3"/>
  <c r="AX1315" i="3"/>
  <c r="AX1150" i="3"/>
  <c r="AY1150" i="3" s="1"/>
  <c r="AX1313" i="3"/>
  <c r="AX1127" i="3"/>
  <c r="AY1127" i="3" s="1"/>
  <c r="AX1306" i="3"/>
  <c r="AX1305" i="3"/>
  <c r="AX1302" i="3"/>
  <c r="AX1300" i="3"/>
  <c r="AX1005" i="3"/>
  <c r="AX1299" i="3"/>
  <c r="AX1298" i="3"/>
  <c r="AX1297" i="3"/>
  <c r="AX1037" i="3"/>
  <c r="AX1296" i="3"/>
  <c r="AX1295" i="3"/>
  <c r="AX951" i="3"/>
  <c r="AX1294" i="3"/>
  <c r="AX1293" i="3"/>
  <c r="AX1292" i="3"/>
  <c r="AX1291" i="3"/>
  <c r="AX1290" i="3"/>
  <c r="AX1289" i="3"/>
  <c r="AX1288" i="3"/>
  <c r="AX1287" i="3"/>
  <c r="AX1286" i="3"/>
  <c r="AX1285" i="3"/>
  <c r="AX1284" i="3"/>
  <c r="AX1283" i="3"/>
  <c r="AX1282" i="3"/>
  <c r="AX1281" i="3"/>
  <c r="AX1280" i="3"/>
  <c r="AX1279" i="3"/>
  <c r="AX1278" i="3"/>
  <c r="AX1277" i="3"/>
  <c r="AX1276" i="3"/>
  <c r="AX1275" i="3"/>
  <c r="AX1270" i="3"/>
  <c r="AX1269" i="3"/>
  <c r="AX1268" i="3"/>
  <c r="AX1267" i="3"/>
  <c r="AX1266" i="3"/>
  <c r="AX1265" i="3"/>
  <c r="AX1264" i="3"/>
  <c r="AX1263" i="3"/>
  <c r="AX1262" i="3"/>
  <c r="AX1259" i="3"/>
  <c r="AX1258" i="3"/>
  <c r="AX1257" i="3"/>
  <c r="AX1256" i="3"/>
  <c r="AX1255" i="3"/>
  <c r="AX1254" i="3"/>
  <c r="AX1253" i="3"/>
  <c r="AX1252" i="3"/>
  <c r="AX1251" i="3"/>
  <c r="AX1250" i="3"/>
  <c r="AX1249" i="3"/>
  <c r="AX1248" i="3"/>
  <c r="AX1247" i="3"/>
  <c r="AX1246" i="3"/>
  <c r="AX1245" i="3"/>
  <c r="AX1244" i="3"/>
  <c r="AX1243" i="3"/>
  <c r="AX1242" i="3"/>
  <c r="AX1241" i="3"/>
  <c r="AX1240" i="3"/>
  <c r="AX1239" i="3"/>
  <c r="AX1238" i="3"/>
  <c r="AX1237" i="3"/>
  <c r="AX1236" i="3"/>
  <c r="AX1235" i="3"/>
  <c r="AX1234" i="3"/>
  <c r="AX1233" i="3"/>
  <c r="AX1232" i="3"/>
  <c r="AX1231" i="3"/>
  <c r="AX1230" i="3"/>
  <c r="AX1229" i="3"/>
  <c r="AX1228" i="3"/>
  <c r="AX1016" i="3"/>
  <c r="AY1016" i="3" s="1"/>
  <c r="AX1001" i="3"/>
  <c r="AX977" i="3"/>
  <c r="AX975" i="3"/>
  <c r="AX919" i="3"/>
  <c r="AX1112" i="3"/>
  <c r="AX924" i="3"/>
  <c r="AX923" i="3"/>
  <c r="F1024" i="3" a="1"/>
  <c r="AJ1024" i="3"/>
  <c r="AK1024" i="3"/>
  <c r="BH1024" i="3"/>
  <c r="BG1024" i="3"/>
  <c r="BF1024" i="3"/>
  <c r="BE1024" i="3"/>
  <c r="AC1024" i="3"/>
  <c r="V1024" i="3"/>
  <c r="C1024" i="3"/>
  <c r="F1127" i="3" a="1"/>
  <c r="F1306" i="3" a="1"/>
  <c r="F1305" i="3" a="1"/>
  <c r="F1005" i="3" a="1"/>
  <c r="F951" i="3" a="1"/>
  <c r="F1270" i="3" a="1"/>
  <c r="F1269" i="3" a="1"/>
  <c r="F1268" i="3" a="1"/>
  <c r="F1267" i="3" a="1"/>
  <c r="F1266" i="3" a="1"/>
  <c r="F1265" i="3" a="1"/>
  <c r="F1264" i="3" a="1"/>
  <c r="F1263" i="3" a="1"/>
  <c r="F1262" i="3" a="1"/>
  <c r="F1259" i="3" a="1"/>
  <c r="F1258" i="3" a="1"/>
  <c r="F1257" i="3" a="1"/>
  <c r="F1256" i="3" a="1"/>
  <c r="F1255" i="3" a="1"/>
  <c r="F1254" i="3" a="1"/>
  <c r="F1253" i="3" a="1"/>
  <c r="F1252" i="3" a="1"/>
  <c r="F1251" i="3" a="1"/>
  <c r="F1250" i="3" a="1"/>
  <c r="F1249" i="3" a="1"/>
  <c r="F1248" i="3" a="1"/>
  <c r="F1247" i="3" a="1"/>
  <c r="F1246" i="3" a="1"/>
  <c r="F1245" i="3" a="1"/>
  <c r="F1244" i="3" a="1"/>
  <c r="F1243" i="3" a="1"/>
  <c r="F1242" i="3" a="1"/>
  <c r="F1241" i="3" a="1"/>
  <c r="F1240" i="3" a="1"/>
  <c r="F1239" i="3" a="1"/>
  <c r="F1238" i="3" a="1"/>
  <c r="F1237" i="3" a="1"/>
  <c r="F1236" i="3" a="1"/>
  <c r="F1235" i="3" a="1"/>
  <c r="F1234" i="3" a="1"/>
  <c r="F1233" i="3" a="1"/>
  <c r="F1232" i="3" a="1"/>
  <c r="F1231" i="3" a="1"/>
  <c r="F1230" i="3" a="1"/>
  <c r="F1229" i="3" a="1"/>
  <c r="F1228" i="3" a="1"/>
  <c r="U1074" i="3"/>
  <c r="F1074" i="3" a="1"/>
  <c r="F1023" i="3" a="1"/>
  <c r="C1023" i="3"/>
  <c r="AC1023" i="3"/>
  <c r="AJ1023" i="3"/>
  <c r="AK1023" i="3"/>
  <c r="BE1023" i="3"/>
  <c r="BF1023" i="3"/>
  <c r="BG1023" i="3"/>
  <c r="BH1023" i="3"/>
  <c r="C1074" i="3"/>
  <c r="AC1074" i="3"/>
  <c r="AJ1074" i="3"/>
  <c r="AK1074" i="3"/>
  <c r="BE1074" i="3"/>
  <c r="BF1074" i="3"/>
  <c r="BG1074" i="3"/>
  <c r="BH1074" i="3"/>
  <c r="U1026" i="3"/>
  <c r="AU991" i="3"/>
  <c r="AJ980" i="3"/>
  <c r="AU981" i="3"/>
  <c r="F1028" i="3" a="1"/>
  <c r="AX1028" i="3"/>
  <c r="AY1028" i="3" s="1"/>
  <c r="BH1028" i="3"/>
  <c r="BG1028" i="3"/>
  <c r="BF1028" i="3"/>
  <c r="BE1028" i="3"/>
  <c r="W1028" i="3" s="1"/>
  <c r="AC1028" i="3"/>
  <c r="V1028" i="3"/>
  <c r="C1028" i="3"/>
  <c r="U976" i="3"/>
  <c r="AK949" i="3"/>
  <c r="AK942" i="3"/>
  <c r="AK941" i="3"/>
  <c r="AK940" i="3"/>
  <c r="AK937" i="3"/>
  <c r="AK936" i="3"/>
  <c r="AJ936" i="3"/>
  <c r="AJ940" i="3"/>
  <c r="AJ941" i="3"/>
  <c r="AJ942" i="3"/>
  <c r="AJ943" i="3"/>
  <c r="AJ920" i="3"/>
  <c r="AU946" i="3"/>
  <c r="F946" i="3" a="1"/>
  <c r="F1019" i="3" a="1"/>
  <c r="AJ1019" i="3"/>
  <c r="AK1019" i="3"/>
  <c r="F1018" i="3" a="1"/>
  <c r="AJ1018" i="3"/>
  <c r="AK1018" i="3"/>
  <c r="BH1018" i="3"/>
  <c r="BG1018" i="3"/>
  <c r="BF1018" i="3"/>
  <c r="BE1018" i="3"/>
  <c r="AZ1018" i="3"/>
  <c r="AC1018" i="3"/>
  <c r="V1018" i="3"/>
  <c r="C1018" i="3"/>
  <c r="BH1019" i="3"/>
  <c r="BG1019" i="3"/>
  <c r="BF1019" i="3"/>
  <c r="BE1019" i="3"/>
  <c r="AZ1019" i="3"/>
  <c r="AC1019" i="3"/>
  <c r="V1019" i="3"/>
  <c r="C1019" i="3"/>
  <c r="S99" i="122"/>
  <c r="S119" i="122" s="1"/>
  <c r="F835" i="3" a="1"/>
  <c r="F837" i="3" a="1"/>
  <c r="F838" i="3" a="1"/>
  <c r="F878" i="3" a="1"/>
  <c r="F1101" i="3" a="1"/>
  <c r="F1104" i="3" a="1"/>
  <c r="F1079" i="3" a="1"/>
  <c r="F1073" i="3" a="1"/>
  <c r="V1104" i="3"/>
  <c r="U1127" i="3"/>
  <c r="BH1078" i="3"/>
  <c r="BG1078" i="3"/>
  <c r="BF1078" i="3"/>
  <c r="BE1078" i="3"/>
  <c r="AK1078" i="3"/>
  <c r="AJ1078" i="3"/>
  <c r="AC1078" i="3"/>
  <c r="F1078" i="3" a="1"/>
  <c r="C1078" i="3"/>
  <c r="BH1127" i="3"/>
  <c r="BG1127" i="3"/>
  <c r="BF1127" i="3"/>
  <c r="BE1127" i="3"/>
  <c r="AC1127" i="3"/>
  <c r="C1127" i="3"/>
  <c r="F1118" i="3" a="1"/>
  <c r="F1102" i="3" a="1"/>
  <c r="F1080" i="3" a="1"/>
  <c r="BH1080" i="3"/>
  <c r="BG1080" i="3"/>
  <c r="BF1080" i="3"/>
  <c r="BE1080" i="3"/>
  <c r="C1080" i="3"/>
  <c r="BH1102" i="3"/>
  <c r="BG1102" i="3"/>
  <c r="BF1102" i="3"/>
  <c r="BE1102" i="3"/>
  <c r="AC1102" i="3"/>
  <c r="C1102" i="3"/>
  <c r="BH1118" i="3"/>
  <c r="BG1118" i="3"/>
  <c r="BF1118" i="3"/>
  <c r="BE1118" i="3"/>
  <c r="AC1118" i="3"/>
  <c r="C1118" i="3"/>
  <c r="F1100" i="3" a="1"/>
  <c r="F1075" i="3" a="1"/>
  <c r="F1103" i="3" a="1"/>
  <c r="V1100" i="3"/>
  <c r="V1075" i="3"/>
  <c r="C1073" i="3"/>
  <c r="AC1073" i="3"/>
  <c r="AJ1073" i="3"/>
  <c r="AK1073" i="3"/>
  <c r="BE1073" i="3"/>
  <c r="BF1073" i="3"/>
  <c r="BG1073" i="3"/>
  <c r="BH1073" i="3"/>
  <c r="C1079" i="3"/>
  <c r="AC1079" i="3"/>
  <c r="BE1079" i="3"/>
  <c r="BF1079" i="3"/>
  <c r="BG1079" i="3"/>
  <c r="BH1079" i="3"/>
  <c r="C1104" i="3"/>
  <c r="AC1104" i="3"/>
  <c r="BE1104" i="3"/>
  <c r="BF1104" i="3"/>
  <c r="BG1104" i="3"/>
  <c r="BH1104" i="3"/>
  <c r="C1101" i="3"/>
  <c r="AC1101" i="3"/>
  <c r="AJ1101" i="3"/>
  <c r="AN1101" i="3"/>
  <c r="BE1101" i="3"/>
  <c r="BF1101" i="3"/>
  <c r="BG1101" i="3"/>
  <c r="BH1101" i="3"/>
  <c r="F1071" i="3" a="1"/>
  <c r="C1071" i="3"/>
  <c r="AC1071" i="3"/>
  <c r="AJ1071" i="3"/>
  <c r="AK1071" i="3"/>
  <c r="BE1071" i="3"/>
  <c r="BF1071" i="3"/>
  <c r="BG1071" i="3"/>
  <c r="BH1071" i="3"/>
  <c r="C1103" i="3"/>
  <c r="AC1103" i="3"/>
  <c r="BE1103" i="3"/>
  <c r="BF1103" i="3"/>
  <c r="BG1103" i="3"/>
  <c r="BH1103" i="3"/>
  <c r="C1075" i="3"/>
  <c r="AC1075" i="3"/>
  <c r="AJ1075" i="3"/>
  <c r="AK1075" i="3"/>
  <c r="BE1075" i="3"/>
  <c r="BF1075" i="3"/>
  <c r="BG1075" i="3"/>
  <c r="BH1075" i="3"/>
  <c r="C1100" i="3"/>
  <c r="AC1100" i="3"/>
  <c r="AJ1100" i="3"/>
  <c r="AN1100" i="3"/>
  <c r="BE1100" i="3"/>
  <c r="BF1100" i="3"/>
  <c r="BG1100" i="3"/>
  <c r="BH1100" i="3"/>
  <c r="F1067" i="3" a="1"/>
  <c r="F1130" i="3" a="1"/>
  <c r="F1116" i="3" a="1"/>
  <c r="W1067" i="3"/>
  <c r="C1067" i="3"/>
  <c r="AC1067" i="3"/>
  <c r="BE1067" i="3"/>
  <c r="BF1067" i="3"/>
  <c r="BG1067" i="3"/>
  <c r="BH1067" i="3"/>
  <c r="C1301" i="3"/>
  <c r="AC1301" i="3"/>
  <c r="AJ1301" i="3"/>
  <c r="AK1301" i="3"/>
  <c r="AN1301" i="3"/>
  <c r="BH1301" i="3"/>
  <c r="BH1130" i="3"/>
  <c r="BG1130" i="3"/>
  <c r="BF1130" i="3"/>
  <c r="BE1130" i="3"/>
  <c r="AX1130" i="3"/>
  <c r="AY1130" i="3" s="1"/>
  <c r="AC1130" i="3"/>
  <c r="C1130" i="3"/>
  <c r="BH1116" i="3"/>
  <c r="BG1116" i="3"/>
  <c r="BF1116" i="3"/>
  <c r="BE1116" i="3"/>
  <c r="AX1116" i="3"/>
  <c r="AY1116" i="3" s="1"/>
  <c r="AC1116" i="3"/>
  <c r="C1116" i="3"/>
  <c r="F1317" i="3" a="1"/>
  <c r="F1204" i="3" a="1"/>
  <c r="F1115" i="3" a="1"/>
  <c r="C1115" i="3"/>
  <c r="AC1115" i="3"/>
  <c r="AJ1115" i="3"/>
  <c r="AK1115" i="3"/>
  <c r="BG1115" i="3"/>
  <c r="BH1115" i="3"/>
  <c r="C1204" i="3"/>
  <c r="AC1204" i="3"/>
  <c r="BH1204" i="3"/>
  <c r="C1317" i="3"/>
  <c r="AC1317" i="3"/>
  <c r="AJ1317" i="3"/>
  <c r="AK1317" i="3"/>
  <c r="AN1317" i="3"/>
  <c r="BH1317" i="3"/>
  <c r="BH1150" i="3"/>
  <c r="BG1150" i="3"/>
  <c r="BF1150" i="3"/>
  <c r="BE1150" i="3"/>
  <c r="AK1150" i="3"/>
  <c r="AJ1150" i="3"/>
  <c r="AC1150" i="3"/>
  <c r="C1150" i="3"/>
  <c r="F1044" i="3" a="1"/>
  <c r="U1049" i="3"/>
  <c r="BH1044" i="3"/>
  <c r="BG1044" i="3"/>
  <c r="BF1044" i="3"/>
  <c r="BE1044" i="3"/>
  <c r="AX1044" i="3"/>
  <c r="AY1044" i="3" s="1"/>
  <c r="C1044" i="3"/>
  <c r="F986" i="3" a="1"/>
  <c r="BH986" i="3"/>
  <c r="BG986" i="3"/>
  <c r="BF986" i="3"/>
  <c r="BE986" i="3"/>
  <c r="AZ986" i="3"/>
  <c r="AC986" i="3"/>
  <c r="V986" i="3"/>
  <c r="C986" i="3"/>
  <c r="F989" i="3" a="1"/>
  <c r="W989" i="3"/>
  <c r="BH989" i="3"/>
  <c r="BG989" i="3"/>
  <c r="BF989" i="3"/>
  <c r="X989" i="3" s="1"/>
  <c r="BE989" i="3"/>
  <c r="AZ989" i="3"/>
  <c r="AC989" i="3"/>
  <c r="V989" i="3"/>
  <c r="C989" i="3"/>
  <c r="F999" i="3" a="1"/>
  <c r="AX999" i="3"/>
  <c r="AY999" i="3" s="1"/>
  <c r="AJ999" i="3"/>
  <c r="BH999" i="3"/>
  <c r="BG999" i="3"/>
  <c r="BF999" i="3"/>
  <c r="X999" i="3" s="1"/>
  <c r="BE999" i="3"/>
  <c r="W999" i="3" s="1"/>
  <c r="V999" i="3"/>
  <c r="C999" i="3"/>
  <c r="V1135" i="3"/>
  <c r="BH1135" i="3"/>
  <c r="BG1135" i="3"/>
  <c r="BF1135" i="3"/>
  <c r="BE1135" i="3"/>
  <c r="AC1135" i="3"/>
  <c r="C1135" i="3"/>
  <c r="U1016" i="3"/>
  <c r="BH1099" i="3"/>
  <c r="BG1099" i="3"/>
  <c r="BF1099" i="3"/>
  <c r="BE1099" i="3"/>
  <c r="AX1099" i="3"/>
  <c r="AY1099" i="3" s="1"/>
  <c r="AN1099" i="3"/>
  <c r="AM1099" i="3"/>
  <c r="AJ1099" i="3"/>
  <c r="AC1099" i="3"/>
  <c r="F1099" i="3" a="1"/>
  <c r="C1099" i="3"/>
  <c r="BH1016" i="3"/>
  <c r="BG1016" i="3"/>
  <c r="BF1016" i="3"/>
  <c r="BE1016" i="3"/>
  <c r="AK1016" i="3"/>
  <c r="AJ1016" i="3"/>
  <c r="AC1016" i="3"/>
  <c r="F1016" i="3" a="1"/>
  <c r="C1016" i="3"/>
  <c r="U993" i="3"/>
  <c r="BH1066" i="3"/>
  <c r="BG1066" i="3"/>
  <c r="BF1066" i="3"/>
  <c r="BE1066" i="3"/>
  <c r="AX1066" i="3"/>
  <c r="AY1066" i="3" s="1"/>
  <c r="AC1066" i="3"/>
  <c r="C1066" i="3"/>
  <c r="O139" i="122"/>
  <c r="P119" i="122"/>
  <c r="R119" i="122"/>
  <c r="U119" i="122"/>
  <c r="V119" i="122"/>
  <c r="W119" i="122"/>
  <c r="X119" i="122"/>
  <c r="O119" i="122"/>
  <c r="AP111" i="122"/>
  <c r="AM685" i="3"/>
  <c r="AN696" i="3"/>
  <c r="AN697" i="3"/>
  <c r="AN698" i="3"/>
  <c r="AN699" i="3"/>
  <c r="AN700" i="3"/>
  <c r="AN701" i="3"/>
  <c r="AN672" i="3"/>
  <c r="AN673" i="3"/>
  <c r="AN674" i="3"/>
  <c r="AN675" i="3"/>
  <c r="AN676" i="3"/>
  <c r="AN677" i="3"/>
  <c r="AN678" i="3"/>
  <c r="AN679" i="3"/>
  <c r="AU679" i="3" s="1"/>
  <c r="AN680" i="3"/>
  <c r="AU680" i="3" s="1"/>
  <c r="AN681" i="3"/>
  <c r="AU681" i="3" s="1"/>
  <c r="AN684" i="3"/>
  <c r="AN656" i="3"/>
  <c r="AU646" i="3"/>
  <c r="AU647" i="3"/>
  <c r="AU648" i="3"/>
  <c r="AU649" i="3"/>
  <c r="AU650" i="3"/>
  <c r="AU651" i="3"/>
  <c r="AN632" i="3"/>
  <c r="AU632" i="3" s="1"/>
  <c r="AN633" i="3"/>
  <c r="AN627" i="3"/>
  <c r="AN606" i="3"/>
  <c r="AU606" i="3" s="1"/>
  <c r="F990" i="3" a="1"/>
  <c r="BH990" i="3"/>
  <c r="BG990" i="3"/>
  <c r="BF990" i="3"/>
  <c r="BE990" i="3"/>
  <c r="W990" i="3" s="1"/>
  <c r="AC990" i="3"/>
  <c r="V990" i="3"/>
  <c r="C990" i="3"/>
  <c r="F985" i="3" a="1"/>
  <c r="BH985" i="3"/>
  <c r="BG985" i="3"/>
  <c r="BF985" i="3"/>
  <c r="BE985" i="3"/>
  <c r="AZ985" i="3"/>
  <c r="AC985" i="3"/>
  <c r="V985" i="3"/>
  <c r="C985" i="3"/>
  <c r="T119" i="122"/>
  <c r="AJ978" i="3"/>
  <c r="F1046" i="3" a="1"/>
  <c r="F1049" i="3" a="1"/>
  <c r="F1025" i="3" a="1"/>
  <c r="BH1046" i="3"/>
  <c r="BG1046" i="3"/>
  <c r="BF1046" i="3"/>
  <c r="BE1046" i="3"/>
  <c r="AX1046" i="3"/>
  <c r="AY1046" i="3" s="1"/>
  <c r="C1046" i="3"/>
  <c r="U1025" i="3"/>
  <c r="BH1049" i="3"/>
  <c r="BG1049" i="3"/>
  <c r="BF1049" i="3"/>
  <c r="BE1049" i="3"/>
  <c r="AX1049" i="3"/>
  <c r="AY1049" i="3" s="1"/>
  <c r="C1049" i="3"/>
  <c r="BH1025" i="3"/>
  <c r="BG1025" i="3"/>
  <c r="BF1025" i="3"/>
  <c r="BE1025" i="3"/>
  <c r="AX1025" i="3"/>
  <c r="AY1025" i="3" s="1"/>
  <c r="C1025" i="3"/>
  <c r="F1020" i="3" a="1"/>
  <c r="BH1020" i="3"/>
  <c r="BG1020" i="3"/>
  <c r="BF1020" i="3"/>
  <c r="X1020" i="3" s="1"/>
  <c r="BE1020" i="3"/>
  <c r="W1020" i="3" s="1"/>
  <c r="AX1020" i="3"/>
  <c r="AY1020" i="3" s="1"/>
  <c r="AK1020" i="3"/>
  <c r="AJ1020" i="3"/>
  <c r="V1020" i="3"/>
  <c r="C1020" i="3"/>
  <c r="AJ998" i="3"/>
  <c r="AJ993" i="3"/>
  <c r="AJ976" i="3"/>
  <c r="AK976" i="3"/>
  <c r="AK863" i="3"/>
  <c r="U945" i="3"/>
  <c r="U936" i="3"/>
  <c r="U885" i="3"/>
  <c r="U865" i="3"/>
  <c r="U960" i="3"/>
  <c r="U979" i="3"/>
  <c r="U981" i="3"/>
  <c r="U925" i="3"/>
  <c r="BC259" i="70"/>
  <c r="AS259" i="70"/>
  <c r="AA259" i="70"/>
  <c r="X259" i="70"/>
  <c r="C259" i="70"/>
  <c r="X296" i="70"/>
  <c r="AA296" i="70"/>
  <c r="AS296" i="70"/>
  <c r="BC296" i="70"/>
  <c r="BC256" i="70"/>
  <c r="AS256" i="70"/>
  <c r="AA256" i="70"/>
  <c r="X256" i="70"/>
  <c r="C256" i="70"/>
  <c r="BC255" i="70"/>
  <c r="AS255" i="70"/>
  <c r="AA255" i="70"/>
  <c r="X255" i="70"/>
  <c r="C255" i="70"/>
  <c r="BC254" i="70"/>
  <c r="AS254" i="70"/>
  <c r="AA254" i="70"/>
  <c r="X254" i="70"/>
  <c r="C254" i="70"/>
  <c r="BC253" i="70"/>
  <c r="AS253" i="70"/>
  <c r="AA253" i="70"/>
  <c r="X253" i="70"/>
  <c r="C253" i="70"/>
  <c r="C252" i="70"/>
  <c r="AC823" i="3"/>
  <c r="F1064" i="3" a="1"/>
  <c r="BH1064" i="3"/>
  <c r="BG1064" i="3"/>
  <c r="BF1064" i="3"/>
  <c r="BE1064" i="3"/>
  <c r="AZ1064" i="3"/>
  <c r="C1064" i="3"/>
  <c r="S65" i="122"/>
  <c r="R65" i="122"/>
  <c r="U186" i="70"/>
  <c r="U187" i="70"/>
  <c r="X187" i="70"/>
  <c r="U188" i="70"/>
  <c r="X188" i="70"/>
  <c r="U189" i="70"/>
  <c r="X189" i="70"/>
  <c r="BC186" i="70"/>
  <c r="AS186" i="70"/>
  <c r="AA186" i="70"/>
  <c r="X186" i="70"/>
  <c r="C186" i="70"/>
  <c r="BC187" i="70"/>
  <c r="AS187" i="70"/>
  <c r="AA187" i="70"/>
  <c r="C187" i="70"/>
  <c r="BC188" i="70"/>
  <c r="AS188" i="70"/>
  <c r="AA188" i="70"/>
  <c r="C188" i="70"/>
  <c r="BC189" i="70"/>
  <c r="AS189" i="70"/>
  <c r="AA189" i="70"/>
  <c r="C189" i="70"/>
  <c r="F1134" i="3" a="1"/>
  <c r="C1134" i="3"/>
  <c r="U992" i="3"/>
  <c r="BH992" i="3"/>
  <c r="BG992" i="3"/>
  <c r="BF992" i="3"/>
  <c r="BE992" i="3"/>
  <c r="AZ992" i="3"/>
  <c r="AC992" i="3"/>
  <c r="F992" i="3" a="1"/>
  <c r="C992" i="3"/>
  <c r="BH1076" i="3"/>
  <c r="BG1076" i="3"/>
  <c r="BF1076" i="3"/>
  <c r="BE1076" i="3"/>
  <c r="AZ1076" i="3"/>
  <c r="AN1076" i="3"/>
  <c r="AC1076" i="3"/>
  <c r="F1076" i="3" a="1"/>
  <c r="C1076" i="3"/>
  <c r="BH1058" i="3"/>
  <c r="BG1058" i="3"/>
  <c r="BF1058" i="3"/>
  <c r="BE1058" i="3"/>
  <c r="AZ1058" i="3"/>
  <c r="AC1058" i="3"/>
  <c r="F1058" i="3" a="1"/>
  <c r="C1058" i="3"/>
  <c r="BH1026" i="3"/>
  <c r="BG1026" i="3"/>
  <c r="BF1026" i="3"/>
  <c r="BE1026" i="3"/>
  <c r="AZ1026" i="3"/>
  <c r="AC1026" i="3"/>
  <c r="F1026" i="3" a="1"/>
  <c r="C1026" i="3"/>
  <c r="AW1349" i="3" l="1" a="1"/>
  <c r="AI49" i="122"/>
  <c r="AC141" i="122"/>
  <c r="AU1202" i="3"/>
  <c r="AG49" i="122"/>
  <c r="AJ95" i="122"/>
  <c r="Z1218" i="3"/>
  <c r="AI75" i="122"/>
  <c r="Z1319" i="3"/>
  <c r="W1197" i="3"/>
  <c r="AD121" i="122"/>
  <c r="Z1179" i="3"/>
  <c r="AF75" i="122"/>
  <c r="Z1213" i="3"/>
  <c r="Z1219" i="3"/>
  <c r="Z1178" i="3"/>
  <c r="AD75" i="122"/>
  <c r="Z1214" i="3"/>
  <c r="AC75" i="122"/>
  <c r="W1221" i="3"/>
  <c r="AF141" i="122"/>
  <c r="AE75" i="122"/>
  <c r="AH75" i="122"/>
  <c r="AG75" i="122"/>
  <c r="AJ75" i="122"/>
  <c r="W1199" i="3"/>
  <c r="X1213" i="3"/>
  <c r="X1323" i="3"/>
  <c r="W1324" i="3"/>
  <c r="V1197" i="3"/>
  <c r="V1221" i="3"/>
  <c r="V1195" i="3"/>
  <c r="X1322" i="3"/>
  <c r="AD9" i="122" s="1"/>
  <c r="AD25" i="122" s="1"/>
  <c r="X1330" i="3"/>
  <c r="W1330" i="3"/>
  <c r="V1330" i="3"/>
  <c r="X1328" i="3"/>
  <c r="W1328" i="3"/>
  <c r="V1328" i="3"/>
  <c r="X1339" i="3"/>
  <c r="W1339" i="3"/>
  <c r="V1339" i="3"/>
  <c r="X1338" i="3"/>
  <c r="W1338" i="3"/>
  <c r="V1338" i="3"/>
  <c r="X1335" i="3"/>
  <c r="W1335" i="3"/>
  <c r="V1335" i="3"/>
  <c r="X1342" i="3"/>
  <c r="W1342" i="3"/>
  <c r="V1342" i="3"/>
  <c r="X1212" i="3"/>
  <c r="V1211" i="3"/>
  <c r="X1211" i="3"/>
  <c r="Z1183" i="3"/>
  <c r="Z1190" i="3"/>
  <c r="AE25" i="122"/>
  <c r="AF25" i="122"/>
  <c r="AG25" i="122"/>
  <c r="AH25" i="122"/>
  <c r="AI25" i="122"/>
  <c r="AJ25" i="122"/>
  <c r="AU1165" i="3"/>
  <c r="Z1165" i="3"/>
  <c r="AU1201" i="3"/>
  <c r="Z1201" i="3"/>
  <c r="Z1164" i="3"/>
  <c r="AU1164" i="3"/>
  <c r="Z1170" i="3"/>
  <c r="AU1170" i="3"/>
  <c r="AU1193" i="3"/>
  <c r="Z1193" i="3"/>
  <c r="AU1195" i="3"/>
  <c r="Z1195" i="3"/>
  <c r="AU1200" i="3"/>
  <c r="Z1200" i="3"/>
  <c r="Z1180" i="3"/>
  <c r="AU1180" i="3"/>
  <c r="AU1181" i="3"/>
  <c r="Z1181" i="3"/>
  <c r="AU1160" i="3"/>
  <c r="Z1160" i="3"/>
  <c r="AU1187" i="3"/>
  <c r="Z1187" i="3"/>
  <c r="AW1168" i="3" a="1"/>
  <c r="AU1168" i="3"/>
  <c r="Z1168" i="3"/>
  <c r="Z1167" i="3"/>
  <c r="AU1167" i="3"/>
  <c r="AW1167" i="3" a="1"/>
  <c r="Z1186" i="3"/>
  <c r="AU1186" i="3"/>
  <c r="AW1186" i="3" a="1"/>
  <c r="AW1185" i="3" a="1"/>
  <c r="Z1185" i="3"/>
  <c r="AC128" i="122"/>
  <c r="AC138" i="122"/>
  <c r="AD128" i="122"/>
  <c r="AD138" i="122"/>
  <c r="AE128" i="122"/>
  <c r="AE138" i="122"/>
  <c r="AF128" i="122"/>
  <c r="AF138" i="122"/>
  <c r="AG128" i="122"/>
  <c r="AG138" i="122"/>
  <c r="AC29" i="122"/>
  <c r="X1219" i="3"/>
  <c r="X1218" i="3"/>
  <c r="X1361" i="3"/>
  <c r="W1361" i="3"/>
  <c r="V1361" i="3"/>
  <c r="X1319" i="3"/>
  <c r="AI56" i="122" s="1"/>
  <c r="W1319" i="3"/>
  <c r="V1319" i="3"/>
  <c r="Z1189" i="3"/>
  <c r="AW1189" i="3" a="1"/>
  <c r="W1345" i="3"/>
  <c r="X1345" i="3"/>
  <c r="AC64" i="122" s="1"/>
  <c r="AC66" i="122" s="1"/>
  <c r="Z1378" i="3"/>
  <c r="AW1379" i="3" a="1"/>
  <c r="X1155" i="3"/>
  <c r="W1347" i="3"/>
  <c r="X1189" i="3"/>
  <c r="AH124" i="122"/>
  <c r="AH138" i="122"/>
  <c r="AI124" i="122"/>
  <c r="AI138" i="122"/>
  <c r="AJ124" i="122"/>
  <c r="AJ138" i="122"/>
  <c r="W1194" i="3"/>
  <c r="V1194" i="3"/>
  <c r="AC26" i="122"/>
  <c r="AC28" i="122" s="1"/>
  <c r="AC33" i="122"/>
  <c r="AC118" i="122"/>
  <c r="AC100" i="122"/>
  <c r="AE118" i="122"/>
  <c r="AE100" i="122"/>
  <c r="AF118" i="122"/>
  <c r="AF100" i="122"/>
  <c r="AG118" i="122"/>
  <c r="AG100" i="122"/>
  <c r="AH118" i="122"/>
  <c r="AH100" i="122"/>
  <c r="AI118" i="122"/>
  <c r="AI100" i="122"/>
  <c r="AJ118" i="122"/>
  <c r="AJ100" i="122"/>
  <c r="AI92" i="122"/>
  <c r="AI78" i="122"/>
  <c r="AJ92" i="122"/>
  <c r="AJ78" i="122"/>
  <c r="AF72" i="122"/>
  <c r="AF54" i="122"/>
  <c r="AG72" i="122"/>
  <c r="AG54" i="122"/>
  <c r="AH72" i="122"/>
  <c r="AH54" i="122"/>
  <c r="AI54" i="122"/>
  <c r="AJ72" i="122"/>
  <c r="AJ54" i="122"/>
  <c r="AJ46" i="122"/>
  <c r="AJ28" i="122"/>
  <c r="W1191" i="3"/>
  <c r="X1347" i="3"/>
  <c r="AE64" i="122" s="1"/>
  <c r="W1189" i="3"/>
  <c r="X1199" i="3"/>
  <c r="AD33" i="122" s="1"/>
  <c r="X1203" i="3"/>
  <c r="W1203" i="3"/>
  <c r="V1203" i="3"/>
  <c r="W1346" i="3"/>
  <c r="X1183" i="3"/>
  <c r="X1346" i="3"/>
  <c r="AD64" i="122" s="1"/>
  <c r="AD66" i="122" s="1"/>
  <c r="X1206" i="3"/>
  <c r="W1206" i="3"/>
  <c r="V1206" i="3"/>
  <c r="AB29" i="122"/>
  <c r="X1197" i="3"/>
  <c r="X1193" i="3"/>
  <c r="Z33" i="122"/>
  <c r="Z30" i="122"/>
  <c r="X1221" i="3"/>
  <c r="X41" i="122"/>
  <c r="X38" i="122"/>
  <c r="Y33" i="122"/>
  <c r="Y30" i="122"/>
  <c r="Y32" i="122" s="1"/>
  <c r="W59" i="122"/>
  <c r="W56" i="122"/>
  <c r="X105" i="122"/>
  <c r="X102" i="122"/>
  <c r="Z1141" i="3"/>
  <c r="Z1159" i="3"/>
  <c r="AW1159" i="3" a="1"/>
  <c r="AU1145" i="3"/>
  <c r="Z1145" i="3"/>
  <c r="AU1162" i="3"/>
  <c r="Z1162" i="3"/>
  <c r="X1194" i="3"/>
  <c r="X1191" i="3"/>
  <c r="X1171" i="3"/>
  <c r="W1171" i="3"/>
  <c r="V1171" i="3"/>
  <c r="X1172" i="3"/>
  <c r="W1172" i="3"/>
  <c r="V1172" i="3"/>
  <c r="W1164" i="3"/>
  <c r="X1186" i="3"/>
  <c r="W1374" i="3"/>
  <c r="W1183" i="3"/>
  <c r="W1351" i="3"/>
  <c r="Z1109" i="3"/>
  <c r="AU1109" i="3"/>
  <c r="AW1109" i="3" a="1"/>
  <c r="AU863" i="3"/>
  <c r="W1109" i="3"/>
  <c r="W1186" i="3"/>
  <c r="X1164" i="3"/>
  <c r="X1169" i="3"/>
  <c r="W1169" i="3"/>
  <c r="V1169" i="3"/>
  <c r="X1184" i="3"/>
  <c r="W1184" i="3"/>
  <c r="V1184" i="3"/>
  <c r="X1109" i="3"/>
  <c r="X1374" i="3"/>
  <c r="Z1176" i="3"/>
  <c r="W1187" i="3"/>
  <c r="X1187" i="3"/>
  <c r="AU1155" i="3"/>
  <c r="AU1156" i="3"/>
  <c r="AU1157" i="3"/>
  <c r="AU1158" i="3"/>
  <c r="Z1149" i="3"/>
  <c r="Z1120" i="3"/>
  <c r="Z1131" i="3"/>
  <c r="Z1123" i="3"/>
  <c r="AW1190" i="3" a="1"/>
  <c r="Z1107" i="3"/>
  <c r="AU1060" i="3"/>
  <c r="AU1034" i="3"/>
  <c r="AU1119" i="3"/>
  <c r="AU1030" i="3"/>
  <c r="X1159" i="3"/>
  <c r="W1159" i="3"/>
  <c r="X1200" i="3"/>
  <c r="W1200" i="3"/>
  <c r="X1165" i="3"/>
  <c r="W1165" i="3"/>
  <c r="Z1303" i="3"/>
  <c r="AU1032" i="3"/>
  <c r="Z1188" i="3"/>
  <c r="X1174" i="3"/>
  <c r="V1174" i="3"/>
  <c r="W1224" i="3"/>
  <c r="X1224" i="3"/>
  <c r="V1224" i="3"/>
  <c r="X1170" i="3"/>
  <c r="W1170" i="3"/>
  <c r="V1170" i="3"/>
  <c r="AW1176" i="3" a="1"/>
  <c r="AU949" i="3"/>
  <c r="W1119" i="3"/>
  <c r="V1119" i="3"/>
  <c r="X1166" i="3"/>
  <c r="W1166" i="3"/>
  <c r="V1166" i="3"/>
  <c r="X1119" i="3"/>
  <c r="W1198" i="3"/>
  <c r="AU1107" i="3"/>
  <c r="AU739" i="3"/>
  <c r="Z1153" i="3"/>
  <c r="AU1061" i="3"/>
  <c r="AU1043" i="3"/>
  <c r="AU1132" i="3"/>
  <c r="Z1054" i="3"/>
  <c r="W1064" i="3"/>
  <c r="Z1192" i="3"/>
  <c r="Z1147" i="3"/>
  <c r="AU1110" i="3"/>
  <c r="AU1031" i="3"/>
  <c r="Z1032" i="3"/>
  <c r="AU1096" i="3"/>
  <c r="AU711" i="3"/>
  <c r="AU761" i="3"/>
  <c r="Z1110" i="3"/>
  <c r="X1198" i="3"/>
  <c r="W1174" i="3"/>
  <c r="X1334" i="3"/>
  <c r="W1334" i="3"/>
  <c r="V1334" i="3"/>
  <c r="X1341" i="3"/>
  <c r="AI38" i="122" s="1"/>
  <c r="AI40" i="122" s="1"/>
  <c r="W1341" i="3"/>
  <c r="V1341" i="3"/>
  <c r="X1217" i="3"/>
  <c r="W1217" i="3"/>
  <c r="V1217" i="3"/>
  <c r="W1210" i="3"/>
  <c r="V1210" i="3"/>
  <c r="X1340" i="3"/>
  <c r="AF38" i="122" s="1"/>
  <c r="AF40" i="122" s="1"/>
  <c r="W1340" i="3"/>
  <c r="V1340" i="3"/>
  <c r="X1185" i="3"/>
  <c r="W1185" i="3"/>
  <c r="V1185" i="3"/>
  <c r="X1332" i="3"/>
  <c r="AE38" i="122" s="1"/>
  <c r="W1332" i="3"/>
  <c r="V1332" i="3"/>
  <c r="X1333" i="3"/>
  <c r="AG38" i="122" s="1"/>
  <c r="AG40" i="122" s="1"/>
  <c r="W1333" i="3"/>
  <c r="V1333" i="3"/>
  <c r="X1216" i="3"/>
  <c r="W1216" i="3"/>
  <c r="V1216" i="3"/>
  <c r="W1214" i="3"/>
  <c r="V1214" i="3"/>
  <c r="AA64" i="122"/>
  <c r="W1212" i="3"/>
  <c r="V1212" i="3"/>
  <c r="X1139" i="3"/>
  <c r="W1139" i="3"/>
  <c r="V1139" i="3"/>
  <c r="X1137" i="3"/>
  <c r="W1137" i="3"/>
  <c r="V1137" i="3"/>
  <c r="X1364" i="3"/>
  <c r="W1364" i="3"/>
  <c r="V1364" i="3"/>
  <c r="X1365" i="3"/>
  <c r="AB102" i="122" s="1"/>
  <c r="W1365" i="3"/>
  <c r="V1365" i="3"/>
  <c r="W1155" i="3"/>
  <c r="V1155" i="3"/>
  <c r="X1157" i="3"/>
  <c r="W1157" i="3"/>
  <c r="V1157" i="3"/>
  <c r="X1201" i="3"/>
  <c r="W1201" i="3"/>
  <c r="V1201" i="3"/>
  <c r="X1180" i="3"/>
  <c r="W1180" i="3"/>
  <c r="V1180" i="3"/>
  <c r="X1181" i="3"/>
  <c r="W1181" i="3"/>
  <c r="V1181" i="3"/>
  <c r="X1153" i="3"/>
  <c r="W1153" i="3"/>
  <c r="V1153" i="3"/>
  <c r="AU1153" i="3"/>
  <c r="AU1149" i="3"/>
  <c r="Y121" i="122"/>
  <c r="X848" i="3"/>
  <c r="W848" i="3"/>
  <c r="Z95" i="122"/>
  <c r="Z47" i="122"/>
  <c r="AA47" i="122"/>
  <c r="Z23" i="122"/>
  <c r="AA23" i="122"/>
  <c r="AB23" i="122"/>
  <c r="X1148" i="3"/>
  <c r="Z92" i="122"/>
  <c r="Z78" i="122"/>
  <c r="Z94" i="122" s="1"/>
  <c r="Y54" i="122"/>
  <c r="Z54" i="122"/>
  <c r="AA54" i="122"/>
  <c r="AB54" i="122"/>
  <c r="Y118" i="122"/>
  <c r="Y100" i="122"/>
  <c r="Y120" i="122" s="1"/>
  <c r="AU1126" i="3"/>
  <c r="AU1123" i="3"/>
  <c r="AU1106" i="3"/>
  <c r="W1122" i="3"/>
  <c r="X1122" i="3"/>
  <c r="Z1089" i="3"/>
  <c r="AU1121" i="3"/>
  <c r="Z1030" i="3"/>
  <c r="AU1129" i="3"/>
  <c r="X1089" i="3"/>
  <c r="W1089" i="3"/>
  <c r="V1089" i="3"/>
  <c r="AU1089" i="3"/>
  <c r="AU1141" i="3"/>
  <c r="Z1116" i="3"/>
  <c r="Z1122" i="3"/>
  <c r="AU1122" i="3"/>
  <c r="X1092" i="3"/>
  <c r="V1152" i="3"/>
  <c r="W1066" i="3"/>
  <c r="X1066" i="3"/>
  <c r="Z1152" i="3"/>
  <c r="W1093" i="3"/>
  <c r="Z1050" i="3"/>
  <c r="W1121" i="3"/>
  <c r="Z1077" i="3"/>
  <c r="Z1098" i="3"/>
  <c r="Z1095" i="3"/>
  <c r="AU685" i="3"/>
  <c r="Z1048" i="3"/>
  <c r="Z1029" i="3"/>
  <c r="Z1093" i="3"/>
  <c r="Z1069" i="3"/>
  <c r="W1175" i="3"/>
  <c r="Z1225" i="3"/>
  <c r="Z1092" i="3"/>
  <c r="AU1128" i="3"/>
  <c r="Z1227" i="3"/>
  <c r="Z1033" i="3"/>
  <c r="Z1318" i="3"/>
  <c r="Z1082" i="3"/>
  <c r="Z1117" i="3"/>
  <c r="Z1105" i="3"/>
  <c r="Z1097" i="3"/>
  <c r="AU1098" i="3"/>
  <c r="AU1124" i="3"/>
  <c r="AU1093" i="3"/>
  <c r="W1124" i="3"/>
  <c r="X1152" i="3"/>
  <c r="W1211" i="3"/>
  <c r="X1117" i="3"/>
  <c r="W1161" i="3"/>
  <c r="W1063" i="3"/>
  <c r="X1175" i="3"/>
  <c r="X1093" i="3"/>
  <c r="X1063" i="3"/>
  <c r="X1121" i="3"/>
  <c r="V1098" i="3"/>
  <c r="X1098" i="3"/>
  <c r="W1117" i="3"/>
  <c r="X1064" i="3"/>
  <c r="X1310" i="3"/>
  <c r="W1069" i="3"/>
  <c r="X1069" i="3"/>
  <c r="AU1069" i="3"/>
  <c r="W1095" i="3"/>
  <c r="X1095" i="3"/>
  <c r="AU1095" i="3"/>
  <c r="X1131" i="3"/>
  <c r="AU1131" i="3"/>
  <c r="AU1120" i="3"/>
  <c r="AU1117" i="3"/>
  <c r="AU1092" i="3"/>
  <c r="AU1105" i="3"/>
  <c r="X1097" i="3"/>
  <c r="W1097" i="3"/>
  <c r="V1097" i="3"/>
  <c r="AU1097" i="3"/>
  <c r="X1043" i="3"/>
  <c r="W1043" i="3"/>
  <c r="V1043" i="3"/>
  <c r="X1029" i="3"/>
  <c r="AU1029" i="3"/>
  <c r="W1033" i="3"/>
  <c r="X1033" i="3"/>
  <c r="AU1033" i="3"/>
  <c r="W1077" i="3"/>
  <c r="X1077" i="3"/>
  <c r="AU1077" i="3"/>
  <c r="X1082" i="3"/>
  <c r="AU1082" i="3"/>
  <c r="AU1152" i="3"/>
  <c r="X1050" i="3"/>
  <c r="AU1050" i="3"/>
  <c r="W1318" i="3"/>
  <c r="V1318" i="3"/>
  <c r="X1177" i="3"/>
  <c r="W1177" i="3"/>
  <c r="V1177" i="3"/>
  <c r="X1309" i="3"/>
  <c r="W1309" i="3"/>
  <c r="V1309" i="3"/>
  <c r="X1140" i="3"/>
  <c r="W1140" i="3"/>
  <c r="V1140" i="3"/>
  <c r="AU1140" i="3"/>
  <c r="X1142" i="3"/>
  <c r="W1142" i="3"/>
  <c r="V1142" i="3"/>
  <c r="AU1142" i="3"/>
  <c r="X1173" i="3"/>
  <c r="W1173" i="3"/>
  <c r="V1173" i="3"/>
  <c r="Z1175" i="3"/>
  <c r="Z1121" i="3"/>
  <c r="X1048" i="3"/>
  <c r="AU1048" i="3"/>
  <c r="W1055" i="3"/>
  <c r="X1055" i="3"/>
  <c r="AU1055" i="3"/>
  <c r="Z1125" i="3"/>
  <c r="W1310" i="3"/>
  <c r="AU1143" i="3"/>
  <c r="Z1063" i="3"/>
  <c r="AU1108" i="3"/>
  <c r="W1125" i="3"/>
  <c r="W1143" i="3"/>
  <c r="W1128" i="3"/>
  <c r="X1161" i="3"/>
  <c r="X1124" i="3"/>
  <c r="V1125" i="3"/>
  <c r="X1143" i="3"/>
  <c r="X1196" i="3"/>
  <c r="X1128" i="3"/>
  <c r="V1143" i="3"/>
  <c r="AU992" i="3"/>
  <c r="X1108" i="3"/>
  <c r="W1108" i="3"/>
  <c r="W1196" i="3"/>
  <c r="AU1063" i="3"/>
  <c r="AU999" i="3"/>
  <c r="T47" i="122"/>
  <c r="AU1028" i="3"/>
  <c r="AU1023" i="3"/>
  <c r="AU1103" i="3"/>
  <c r="AU1073" i="3"/>
  <c r="AU1115" i="3"/>
  <c r="AU1100" i="3"/>
  <c r="AU1071" i="3"/>
  <c r="Z1128" i="3"/>
  <c r="Z1108" i="3"/>
  <c r="X1032" i="3"/>
  <c r="W1032" i="3"/>
  <c r="V1032" i="3"/>
  <c r="Z1124" i="3"/>
  <c r="X1125" i="3"/>
  <c r="AU1125" i="3"/>
  <c r="W1103" i="3"/>
  <c r="AU986" i="3"/>
  <c r="AU976" i="3"/>
  <c r="AU1067" i="3"/>
  <c r="AU1075" i="3"/>
  <c r="AU990" i="3"/>
  <c r="AU1079" i="3"/>
  <c r="AU1074" i="3"/>
  <c r="AU1104" i="3"/>
  <c r="AU1101" i="3"/>
  <c r="AU1026" i="3"/>
  <c r="AU1058" i="3"/>
  <c r="AU1076" i="3"/>
  <c r="AU1064" i="3"/>
  <c r="AU1020" i="3"/>
  <c r="AU1025" i="3"/>
  <c r="AU1049" i="3"/>
  <c r="AU1046" i="3"/>
  <c r="AU985" i="3"/>
  <c r="AU1066" i="3"/>
  <c r="AU1016" i="3"/>
  <c r="AU1099" i="3"/>
  <c r="AU1135" i="3"/>
  <c r="AU989" i="3"/>
  <c r="AU1044" i="3"/>
  <c r="AU1150" i="3"/>
  <c r="AU1116" i="3"/>
  <c r="AU1130" i="3"/>
  <c r="AU1118" i="3"/>
  <c r="AU1102" i="3"/>
  <c r="AU1080" i="3"/>
  <c r="AU1127" i="3"/>
  <c r="AU1078" i="3"/>
  <c r="AU1018" i="3"/>
  <c r="AU1019" i="3"/>
  <c r="AU943" i="3"/>
  <c r="AU1024" i="3"/>
  <c r="AU997" i="3"/>
  <c r="V1067" i="3"/>
  <c r="X1073" i="3"/>
  <c r="Z1028" i="3"/>
  <c r="Z1130" i="3"/>
  <c r="Z1078" i="3"/>
  <c r="X1146" i="3"/>
  <c r="W1146" i="3"/>
  <c r="V1146" i="3"/>
  <c r="Z1066" i="3"/>
  <c r="Z989" i="3"/>
  <c r="Z1019" i="3"/>
  <c r="X1104" i="3"/>
  <c r="X1101" i="3"/>
  <c r="W1104" i="3"/>
  <c r="W1135" i="3"/>
  <c r="W1101" i="3"/>
  <c r="X1103" i="3"/>
  <c r="W1071" i="3"/>
  <c r="X1100" i="3"/>
  <c r="X1079" i="3"/>
  <c r="W102" i="122" s="1"/>
  <c r="W1301" i="3"/>
  <c r="W1102" i="3"/>
  <c r="X1301" i="3"/>
  <c r="W1100" i="3"/>
  <c r="X1080" i="3"/>
  <c r="X1067" i="3"/>
  <c r="W1075" i="3"/>
  <c r="X1071" i="3"/>
  <c r="X1075" i="3"/>
  <c r="W1079" i="3"/>
  <c r="W1073" i="3"/>
  <c r="Z1016" i="3"/>
  <c r="Z1099" i="3"/>
  <c r="W1118" i="3"/>
  <c r="Z986" i="3"/>
  <c r="Z1018" i="3"/>
  <c r="Z1150" i="3"/>
  <c r="Z1102" i="3"/>
  <c r="Z1127" i="3"/>
  <c r="Z1024" i="3"/>
  <c r="Z985" i="3"/>
  <c r="Z990" i="3"/>
  <c r="W1080" i="3"/>
  <c r="Z1118" i="3"/>
  <c r="Z1080" i="3"/>
  <c r="Z1135" i="3"/>
  <c r="V1118" i="3"/>
  <c r="X1102" i="3"/>
  <c r="W44" i="122"/>
  <c r="X1118" i="3"/>
  <c r="V1080" i="3"/>
  <c r="W1024" i="3"/>
  <c r="X1024" i="3"/>
  <c r="Z1074" i="3"/>
  <c r="Z1023" i="3"/>
  <c r="X1028" i="3"/>
  <c r="W1018" i="3"/>
  <c r="X1018" i="3"/>
  <c r="W1019" i="3"/>
  <c r="X1019" i="3"/>
  <c r="X1127" i="3"/>
  <c r="W1127" i="3"/>
  <c r="V1127" i="3"/>
  <c r="X1078" i="3"/>
  <c r="W1078" i="3"/>
  <c r="V1078" i="3"/>
  <c r="Z1101" i="3"/>
  <c r="Z1104" i="3"/>
  <c r="Z1079" i="3"/>
  <c r="Z1073" i="3"/>
  <c r="Z1100" i="3"/>
  <c r="Z1075" i="3"/>
  <c r="Z1103" i="3"/>
  <c r="Z1071" i="3"/>
  <c r="Z1301" i="3"/>
  <c r="Z1067" i="3"/>
  <c r="Z1317" i="3"/>
  <c r="Z1204" i="3"/>
  <c r="Z1115" i="3"/>
  <c r="W986" i="3"/>
  <c r="X986" i="3"/>
  <c r="X1135" i="3"/>
  <c r="X990" i="3"/>
  <c r="X985" i="3"/>
  <c r="W985" i="3"/>
  <c r="X1046" i="3"/>
  <c r="W1046" i="3"/>
  <c r="V1046" i="3"/>
  <c r="Z992" i="3"/>
  <c r="Z1076" i="3"/>
  <c r="Z1058" i="3"/>
  <c r="Z1026" i="3"/>
  <c r="U982" i="3"/>
  <c r="BH982" i="3"/>
  <c r="BG982" i="3"/>
  <c r="BF982" i="3"/>
  <c r="BE982" i="3"/>
  <c r="AZ982" i="3"/>
  <c r="AY982" i="3"/>
  <c r="AU982" i="3"/>
  <c r="AC982" i="3"/>
  <c r="F982" i="3" a="1"/>
  <c r="C982" i="3"/>
  <c r="Z1013" i="3"/>
  <c r="V1013" i="3"/>
  <c r="F1013" i="3" a="1"/>
  <c r="C1013" i="3"/>
  <c r="AC1013" i="3"/>
  <c r="AY1013" i="3"/>
  <c r="BE1013" i="3"/>
  <c r="W1013" i="3" s="1"/>
  <c r="BF1013" i="3"/>
  <c r="X1013" i="3" s="1"/>
  <c r="BG1013" i="3"/>
  <c r="BH1013" i="3"/>
  <c r="F1004" i="3" a="1"/>
  <c r="AX1004" i="3"/>
  <c r="AY1004" i="3" s="1"/>
  <c r="AU1004" i="3"/>
  <c r="F956" i="3" a="1"/>
  <c r="AX956" i="3"/>
  <c r="AY956" i="3" s="1"/>
  <c r="AK956" i="3"/>
  <c r="BH956" i="3"/>
  <c r="BG956" i="3"/>
  <c r="BF956" i="3"/>
  <c r="BE956" i="3"/>
  <c r="AZ956" i="3"/>
  <c r="AC956" i="3"/>
  <c r="V956" i="3"/>
  <c r="C956" i="3"/>
  <c r="BH1004" i="3"/>
  <c r="BG1004" i="3"/>
  <c r="BF1004" i="3"/>
  <c r="BE1004" i="3"/>
  <c r="AZ1004" i="3"/>
  <c r="AC1004" i="3"/>
  <c r="V1004" i="3"/>
  <c r="C1004" i="3"/>
  <c r="F1086" i="3" a="1"/>
  <c r="BH1086" i="3"/>
  <c r="BG1086" i="3"/>
  <c r="BF1086" i="3"/>
  <c r="X1086" i="3" s="1"/>
  <c r="BE1086" i="3"/>
  <c r="W1086" i="3" s="1"/>
  <c r="AZ1086" i="3"/>
  <c r="AY1086" i="3"/>
  <c r="AC1086" i="3"/>
  <c r="V1086" i="3"/>
  <c r="C1086" i="3"/>
  <c r="F1085" i="3" a="1"/>
  <c r="F1083" i="3" a="1"/>
  <c r="BH1083" i="3"/>
  <c r="BG1083" i="3"/>
  <c r="BF1083" i="3"/>
  <c r="X1083" i="3" s="1"/>
  <c r="BE1083" i="3"/>
  <c r="W1083" i="3" s="1"/>
  <c r="AZ1083" i="3"/>
  <c r="AY1083" i="3"/>
  <c r="AC1083" i="3"/>
  <c r="V1083" i="3"/>
  <c r="C1083" i="3"/>
  <c r="BH1085" i="3"/>
  <c r="BG1085" i="3"/>
  <c r="BF1085" i="3"/>
  <c r="X1085" i="3" s="1"/>
  <c r="BE1085" i="3"/>
  <c r="W1085" i="3" s="1"/>
  <c r="AZ1085" i="3"/>
  <c r="AY1085" i="3"/>
  <c r="AC1085" i="3"/>
  <c r="V1085" i="3"/>
  <c r="C1085" i="3"/>
  <c r="F1042" i="3" a="1"/>
  <c r="BH1042" i="3"/>
  <c r="BG1042" i="3"/>
  <c r="BF1042" i="3"/>
  <c r="X1042" i="3" s="1"/>
  <c r="BE1042" i="3"/>
  <c r="W1042" i="3" s="1"/>
  <c r="AZ1042" i="3"/>
  <c r="AY1042" i="3"/>
  <c r="C1042" i="3"/>
  <c r="U873" i="3"/>
  <c r="U872" i="3"/>
  <c r="F873" i="3" a="1"/>
  <c r="AX873" i="3"/>
  <c r="AY873" i="3" s="1"/>
  <c r="Z873" i="3"/>
  <c r="BH873" i="3"/>
  <c r="BG873" i="3"/>
  <c r="BF873" i="3"/>
  <c r="BE873" i="3"/>
  <c r="AC873" i="3"/>
  <c r="C873" i="3"/>
  <c r="U928" i="3"/>
  <c r="U874" i="3"/>
  <c r="BH928" i="3"/>
  <c r="BG928" i="3"/>
  <c r="BF928" i="3"/>
  <c r="BE928" i="3"/>
  <c r="AX928" i="3"/>
  <c r="AY928" i="3" s="1"/>
  <c r="AU928" i="3"/>
  <c r="AC928" i="3"/>
  <c r="F928" i="3" a="1"/>
  <c r="C928" i="3"/>
  <c r="U978" i="3"/>
  <c r="U929" i="3"/>
  <c r="U1053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Z504" i="3"/>
  <c r="Z505" i="3"/>
  <c r="Z506" i="3"/>
  <c r="Z507" i="3"/>
  <c r="Z508" i="3"/>
  <c r="Z509" i="3"/>
  <c r="Z510" i="3"/>
  <c r="Z511" i="3"/>
  <c r="Z512" i="3"/>
  <c r="Z513" i="3"/>
  <c r="Z514" i="3"/>
  <c r="Z515" i="3"/>
  <c r="Z516" i="3"/>
  <c r="Z517" i="3"/>
  <c r="Z518" i="3"/>
  <c r="Z519" i="3"/>
  <c r="Z520" i="3"/>
  <c r="Z521" i="3"/>
  <c r="Z522" i="3"/>
  <c r="Z523" i="3"/>
  <c r="Z524" i="3"/>
  <c r="Z525" i="3"/>
  <c r="Z526" i="3"/>
  <c r="Z527" i="3"/>
  <c r="Z53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61" i="3"/>
  <c r="Z562" i="3"/>
  <c r="Z563" i="3"/>
  <c r="Z564" i="3"/>
  <c r="Z565" i="3"/>
  <c r="Z566" i="3"/>
  <c r="Z567" i="3"/>
  <c r="Z568" i="3"/>
  <c r="Z570" i="3"/>
  <c r="Z571" i="3"/>
  <c r="Z572" i="3"/>
  <c r="Z573" i="3"/>
  <c r="Z574" i="3"/>
  <c r="Z575" i="3"/>
  <c r="Z576" i="3"/>
  <c r="Z577" i="3"/>
  <c r="Z580" i="3"/>
  <c r="Z581" i="3"/>
  <c r="Z582" i="3"/>
  <c r="Z583" i="3"/>
  <c r="Z584" i="3"/>
  <c r="Z585" i="3"/>
  <c r="Z590" i="3"/>
  <c r="Z595" i="3"/>
  <c r="Z596" i="3"/>
  <c r="Z597" i="3"/>
  <c r="Z598" i="3"/>
  <c r="Z599" i="3"/>
  <c r="Z600" i="3"/>
  <c r="Z601" i="3"/>
  <c r="Z603" i="3"/>
  <c r="Z604" i="3"/>
  <c r="Z605" i="3"/>
  <c r="Z608" i="3"/>
  <c r="Z609" i="3"/>
  <c r="Z610" i="3"/>
  <c r="Z611" i="3"/>
  <c r="Z612" i="3"/>
  <c r="Z614" i="3"/>
  <c r="Z615" i="3"/>
  <c r="Z616" i="3"/>
  <c r="Z617" i="3"/>
  <c r="Z623" i="3"/>
  <c r="Z624" i="3"/>
  <c r="Z625" i="3"/>
  <c r="Z634" i="3"/>
  <c r="Z635" i="3"/>
  <c r="Z636" i="3"/>
  <c r="Z637" i="3"/>
  <c r="Z638" i="3"/>
  <c r="Z640" i="3"/>
  <c r="Z862" i="3"/>
  <c r="Z991" i="3"/>
  <c r="Z863" i="3"/>
  <c r="F984" i="3" a="1"/>
  <c r="AU984" i="3"/>
  <c r="W984" i="3"/>
  <c r="BH984" i="3"/>
  <c r="BG984" i="3"/>
  <c r="BF984" i="3"/>
  <c r="X984" i="3" s="1"/>
  <c r="BE984" i="3"/>
  <c r="AZ984" i="3"/>
  <c r="AY984" i="3"/>
  <c r="AC984" i="3"/>
  <c r="V984" i="3"/>
  <c r="C984" i="3"/>
  <c r="AN621" i="3"/>
  <c r="F1008" i="3" a="1"/>
  <c r="AX1008" i="3"/>
  <c r="AY1008" i="3" s="1"/>
  <c r="AJ1008" i="3"/>
  <c r="AK1008" i="3"/>
  <c r="BH1008" i="3"/>
  <c r="BG1008" i="3"/>
  <c r="BF1008" i="3"/>
  <c r="X1008" i="3" s="1"/>
  <c r="BE1008" i="3"/>
  <c r="W1008" i="3" s="1"/>
  <c r="AC1008" i="3"/>
  <c r="V1008" i="3"/>
  <c r="C1008" i="3"/>
  <c r="AJ1001" i="3"/>
  <c r="AK1001" i="3"/>
  <c r="AJ1002" i="3"/>
  <c r="AK1002" i="3"/>
  <c r="AJ1299" i="3"/>
  <c r="AK1299" i="3"/>
  <c r="AK921" i="3"/>
  <c r="AJ950" i="3"/>
  <c r="AK950" i="3"/>
  <c r="AJ951" i="3"/>
  <c r="AK951" i="3"/>
  <c r="AJ1005" i="3"/>
  <c r="AK1005" i="3"/>
  <c r="AJ1300" i="3"/>
  <c r="AK1300" i="3"/>
  <c r="AJ1302" i="3"/>
  <c r="AK1302" i="3"/>
  <c r="AJ1304" i="3"/>
  <c r="AK1304" i="3"/>
  <c r="AJ1305" i="3"/>
  <c r="AK1305" i="3"/>
  <c r="AJ1306" i="3"/>
  <c r="AK1306" i="3"/>
  <c r="AJ1307" i="3"/>
  <c r="AK1307" i="3"/>
  <c r="AJ1308" i="3"/>
  <c r="AK1308" i="3"/>
  <c r="AJ1311" i="3"/>
  <c r="AK1311" i="3"/>
  <c r="AJ1312" i="3"/>
  <c r="AK1312" i="3"/>
  <c r="AJ1313" i="3"/>
  <c r="AK1313" i="3"/>
  <c r="AJ1315" i="3"/>
  <c r="AK1315" i="3"/>
  <c r="AJ1316" i="3"/>
  <c r="AK1316" i="3"/>
  <c r="AM1293" i="3"/>
  <c r="AN1293" i="3"/>
  <c r="AM1294" i="3"/>
  <c r="AN1294" i="3"/>
  <c r="AM1295" i="3"/>
  <c r="AN1295" i="3"/>
  <c r="AM1296" i="3"/>
  <c r="AN1296" i="3"/>
  <c r="AM1297" i="3"/>
  <c r="AN1297" i="3"/>
  <c r="AM1298" i="3"/>
  <c r="AN1298" i="3"/>
  <c r="AJ1295" i="3"/>
  <c r="AK1295" i="3"/>
  <c r="AJ1007" i="3"/>
  <c r="AK1007" i="3"/>
  <c r="AJ1296" i="3"/>
  <c r="AK1296" i="3"/>
  <c r="AJ1009" i="3"/>
  <c r="AK1009" i="3"/>
  <c r="AJ1072" i="3"/>
  <c r="AJ1021" i="3"/>
  <c r="AK1021" i="3"/>
  <c r="AJ1297" i="3"/>
  <c r="AK1297" i="3"/>
  <c r="AJ1022" i="3"/>
  <c r="AK1022" i="3"/>
  <c r="AJ1010" i="3"/>
  <c r="AK1010" i="3"/>
  <c r="AJ1298" i="3"/>
  <c r="AK1298" i="3"/>
  <c r="AK957" i="3"/>
  <c r="AM1292" i="3"/>
  <c r="AN1292" i="3"/>
  <c r="AJ1292" i="3"/>
  <c r="AK1292" i="3"/>
  <c r="AJ1293" i="3"/>
  <c r="AK1293" i="3"/>
  <c r="AJ1294" i="3"/>
  <c r="AK1294" i="3"/>
  <c r="AJ952" i="3"/>
  <c r="AK952" i="3"/>
  <c r="AU952" i="3" s="1"/>
  <c r="F705" i="3" a="1"/>
  <c r="F980" i="3" a="1"/>
  <c r="AK980" i="3"/>
  <c r="W980" i="3"/>
  <c r="BH980" i="3"/>
  <c r="BG980" i="3"/>
  <c r="BF980" i="3"/>
  <c r="X980" i="3" s="1"/>
  <c r="BE980" i="3"/>
  <c r="AZ980" i="3"/>
  <c r="AY980" i="3"/>
  <c r="AC980" i="3"/>
  <c r="V980" i="3"/>
  <c r="C980" i="3"/>
  <c r="U1045" i="3"/>
  <c r="AY1287" i="3"/>
  <c r="AN1287" i="3"/>
  <c r="AK1287" i="3"/>
  <c r="BH1287" i="3"/>
  <c r="AC1287" i="3"/>
  <c r="C1287" i="3"/>
  <c r="AN798" i="3"/>
  <c r="AM799" i="3"/>
  <c r="AN799" i="3"/>
  <c r="AM798" i="3"/>
  <c r="X142" i="70"/>
  <c r="AM801" i="3"/>
  <c r="F801" i="3" a="1"/>
  <c r="AX801" i="3"/>
  <c r="AY801" i="3" s="1"/>
  <c r="AN801" i="3"/>
  <c r="AK801" i="3"/>
  <c r="BH801" i="3"/>
  <c r="BG801" i="3"/>
  <c r="BF801" i="3"/>
  <c r="BE801" i="3"/>
  <c r="W801" i="3" s="1"/>
  <c r="AC801" i="3"/>
  <c r="V801" i="3"/>
  <c r="C801" i="3"/>
  <c r="U225" i="70"/>
  <c r="U226" i="70"/>
  <c r="U224" i="70"/>
  <c r="BC224" i="70"/>
  <c r="AS224" i="70"/>
  <c r="AA224" i="70"/>
  <c r="X224" i="70"/>
  <c r="C224" i="70"/>
  <c r="BC225" i="70"/>
  <c r="AS225" i="70"/>
  <c r="AA225" i="70"/>
  <c r="X225" i="70"/>
  <c r="C225" i="70"/>
  <c r="BC226" i="70"/>
  <c r="AS226" i="70"/>
  <c r="AA226" i="70"/>
  <c r="X226" i="70"/>
  <c r="C226" i="70"/>
  <c r="BC219" i="70"/>
  <c r="AS219" i="70"/>
  <c r="AA219" i="70"/>
  <c r="C219" i="70"/>
  <c r="BC220" i="70"/>
  <c r="AS220" i="70"/>
  <c r="AA220" i="70"/>
  <c r="X220" i="70"/>
  <c r="C220" i="70"/>
  <c r="BC221" i="70"/>
  <c r="AS221" i="70"/>
  <c r="AA221" i="70"/>
  <c r="X221" i="70"/>
  <c r="C221" i="70"/>
  <c r="BC222" i="70"/>
  <c r="AS222" i="70"/>
  <c r="AA222" i="70"/>
  <c r="X222" i="70"/>
  <c r="C222" i="70"/>
  <c r="F183" i="70" a="1"/>
  <c r="F182" i="70" a="1"/>
  <c r="F181" i="70" a="1"/>
  <c r="F180" i="70" a="1"/>
  <c r="U180" i="70"/>
  <c r="U181" i="70"/>
  <c r="U182" i="70"/>
  <c r="U183" i="70"/>
  <c r="BC180" i="70"/>
  <c r="AS180" i="70"/>
  <c r="AA180" i="70"/>
  <c r="X180" i="70"/>
  <c r="C180" i="70"/>
  <c r="BC181" i="70"/>
  <c r="AS181" i="70"/>
  <c r="AA181" i="70"/>
  <c r="X181" i="70"/>
  <c r="C181" i="70"/>
  <c r="BC182" i="70"/>
  <c r="AS182" i="70"/>
  <c r="AA182" i="70"/>
  <c r="X182" i="70"/>
  <c r="C182" i="70"/>
  <c r="BC183" i="70"/>
  <c r="AS183" i="70"/>
  <c r="AA183" i="70"/>
  <c r="X183" i="70"/>
  <c r="C183" i="70"/>
  <c r="Q7" i="122"/>
  <c r="Q23" i="122" s="1"/>
  <c r="Q27" i="122"/>
  <c r="P27" i="122"/>
  <c r="O27" i="122"/>
  <c r="S27" i="122"/>
  <c r="S47" i="122" s="1"/>
  <c r="O7" i="122"/>
  <c r="O23" i="122" s="1"/>
  <c r="N7" i="122"/>
  <c r="P3" i="122"/>
  <c r="P7" i="122"/>
  <c r="R27" i="122"/>
  <c r="R7" i="122"/>
  <c r="R23" i="122" s="1"/>
  <c r="S7" i="122"/>
  <c r="S23" i="122" s="1"/>
  <c r="T23" i="122"/>
  <c r="AM868" i="3"/>
  <c r="AM866" i="3"/>
  <c r="AM834" i="3"/>
  <c r="AM831" i="3"/>
  <c r="AM827" i="3"/>
  <c r="U935" i="3"/>
  <c r="W935" i="3" s="1"/>
  <c r="U934" i="3"/>
  <c r="AC935" i="3"/>
  <c r="Z935" i="3"/>
  <c r="F935" i="3" a="1"/>
  <c r="C935" i="3"/>
  <c r="AY935" i="3"/>
  <c r="AZ935" i="3"/>
  <c r="BE935" i="3"/>
  <c r="BF935" i="3"/>
  <c r="BG935" i="3"/>
  <c r="BH935" i="3"/>
  <c r="AX868" i="3"/>
  <c r="AX859" i="3"/>
  <c r="AX832" i="3"/>
  <c r="AX825" i="3"/>
  <c r="AX819" i="3"/>
  <c r="AX777" i="3"/>
  <c r="AX766" i="3"/>
  <c r="AX740" i="3"/>
  <c r="AX715" i="3"/>
  <c r="AX690" i="3"/>
  <c r="AX686" i="3"/>
  <c r="AX681" i="3"/>
  <c r="AX653" i="3"/>
  <c r="AX652" i="3"/>
  <c r="AX649" i="3"/>
  <c r="AX648" i="3"/>
  <c r="AX634" i="3"/>
  <c r="AX624" i="3"/>
  <c r="AX620" i="3"/>
  <c r="AX581" i="3"/>
  <c r="F190" i="70" a="1"/>
  <c r="F191" i="70" a="1"/>
  <c r="F192" i="70" a="1"/>
  <c r="F193" i="70" a="1"/>
  <c r="F184" i="70" a="1"/>
  <c r="F185" i="70" a="1"/>
  <c r="F196" i="70" a="1"/>
  <c r="F198" i="70" a="1"/>
  <c r="F201" i="70" a="1"/>
  <c r="F202" i="70" a="1"/>
  <c r="F203" i="70" a="1"/>
  <c r="F204" i="70" a="1"/>
  <c r="F205" i="70" a="1"/>
  <c r="F206" i="70" a="1"/>
  <c r="F207" i="70" a="1"/>
  <c r="F208" i="70" a="1"/>
  <c r="F209" i="70" a="1"/>
  <c r="F210" i="70" a="1"/>
  <c r="F211" i="70" a="1"/>
  <c r="F212" i="70" a="1"/>
  <c r="F213" i="70" a="1"/>
  <c r="F215" i="70" a="1"/>
  <c r="F216" i="70" a="1"/>
  <c r="F217" i="70" a="1"/>
  <c r="U799" i="3"/>
  <c r="BH991" i="3"/>
  <c r="BG991" i="3"/>
  <c r="BF991" i="3"/>
  <c r="X991" i="3" s="1"/>
  <c r="BE991" i="3"/>
  <c r="W991" i="3" s="1"/>
  <c r="AZ991" i="3"/>
  <c r="V991" i="3"/>
  <c r="F991" i="3" a="1"/>
  <c r="C991" i="3"/>
  <c r="AG79" i="122" l="1"/>
  <c r="AG95" i="122" s="1"/>
  <c r="AF79" i="122"/>
  <c r="AF95" i="122" s="1"/>
  <c r="AH38" i="122"/>
  <c r="AH40" i="122" s="1"/>
  <c r="AC34" i="122"/>
  <c r="AC36" i="122" s="1"/>
  <c r="AC37" i="122"/>
  <c r="AC41" i="122"/>
  <c r="AC79" i="122"/>
  <c r="AC95" i="122" s="1"/>
  <c r="AA67" i="122"/>
  <c r="AA75" i="122" s="1"/>
  <c r="AI72" i="122"/>
  <c r="AI58" i="122"/>
  <c r="AE66" i="122"/>
  <c r="AE40" i="122"/>
  <c r="AC76" i="122"/>
  <c r="AC38" i="122"/>
  <c r="Z34" i="122"/>
  <c r="Z36" i="122" s="1"/>
  <c r="Z37" i="122"/>
  <c r="AB134" i="122"/>
  <c r="AB136" i="122" s="1"/>
  <c r="AB137" i="122"/>
  <c r="AA29" i="122"/>
  <c r="AA26" i="122"/>
  <c r="W105" i="122"/>
  <c r="D52" i="122"/>
  <c r="X6" i="122"/>
  <c r="X9" i="122"/>
  <c r="X67" i="122"/>
  <c r="X64" i="122"/>
  <c r="V101" i="122"/>
  <c r="V98" i="122"/>
  <c r="S125" i="122"/>
  <c r="S122" i="122"/>
  <c r="X33" i="122"/>
  <c r="X30" i="122"/>
  <c r="Y41" i="122"/>
  <c r="Y38" i="122"/>
  <c r="Y40" i="122" s="1"/>
  <c r="V33" i="122"/>
  <c r="V30" i="122"/>
  <c r="X129" i="122"/>
  <c r="X126" i="122"/>
  <c r="W37" i="122"/>
  <c r="W34" i="122"/>
  <c r="R129" i="122"/>
  <c r="R126" i="122"/>
  <c r="Y125" i="122"/>
  <c r="Y141" i="122" s="1"/>
  <c r="Y122" i="122"/>
  <c r="Y138" i="122" s="1"/>
  <c r="Y79" i="122"/>
  <c r="Y95" i="122" s="1"/>
  <c r="Y76" i="122"/>
  <c r="Y37" i="122"/>
  <c r="Y34" i="122"/>
  <c r="AA33" i="122"/>
  <c r="AA30" i="122"/>
  <c r="AA32" i="122" s="1"/>
  <c r="V105" i="122"/>
  <c r="V102" i="122"/>
  <c r="U125" i="122"/>
  <c r="U122" i="122"/>
  <c r="U21" i="122"/>
  <c r="U18" i="122"/>
  <c r="W125" i="122"/>
  <c r="W122" i="122"/>
  <c r="V21" i="122"/>
  <c r="V18" i="122"/>
  <c r="Z67" i="122"/>
  <c r="Z75" i="122" s="1"/>
  <c r="Z64" i="122"/>
  <c r="Z5" i="122"/>
  <c r="Z2" i="122"/>
  <c r="AB105" i="122"/>
  <c r="Z101" i="122"/>
  <c r="Z98" i="122"/>
  <c r="Z100" i="122" s="1"/>
  <c r="AA17" i="122"/>
  <c r="AA14" i="122"/>
  <c r="AA16" i="122" s="1"/>
  <c r="Z129" i="122"/>
  <c r="Z141" i="122" s="1"/>
  <c r="Z126" i="122"/>
  <c r="Z128" i="122" s="1"/>
  <c r="Z140" i="122" s="1"/>
  <c r="AB125" i="122"/>
  <c r="AB122" i="122"/>
  <c r="AA5" i="122"/>
  <c r="AA2" i="122"/>
  <c r="AA4" i="122" s="1"/>
  <c r="AA101" i="122"/>
  <c r="AA98" i="122"/>
  <c r="AA100" i="122" s="1"/>
  <c r="Z32" i="122"/>
  <c r="AA58" i="122"/>
  <c r="AU1111" i="3"/>
  <c r="AU1134" i="3"/>
  <c r="AU1133" i="3"/>
  <c r="AU993" i="3"/>
  <c r="AU801" i="3"/>
  <c r="AU980" i="3"/>
  <c r="AU1057" i="3"/>
  <c r="AU1027" i="3"/>
  <c r="AU1010" i="3"/>
  <c r="AU1022" i="3"/>
  <c r="AU1021" i="3"/>
  <c r="AU1151" i="3"/>
  <c r="AU1062" i="3"/>
  <c r="AU1072" i="3"/>
  <c r="AU1038" i="3"/>
  <c r="AU1037" i="3"/>
  <c r="AU972" i="3"/>
  <c r="AU1009" i="3"/>
  <c r="AU1007" i="3"/>
  <c r="AU1008" i="3"/>
  <c r="Z621" i="3"/>
  <c r="AU621" i="3"/>
  <c r="AU1042" i="3"/>
  <c r="AU1083" i="3"/>
  <c r="AU1085" i="3"/>
  <c r="AU1086" i="3"/>
  <c r="AU956" i="3"/>
  <c r="P23" i="122"/>
  <c r="Z801" i="3"/>
  <c r="X873" i="3"/>
  <c r="Z1004" i="3"/>
  <c r="Z982" i="3"/>
  <c r="Z928" i="3"/>
  <c r="Z1085" i="3"/>
  <c r="Z1086" i="3"/>
  <c r="Z1083" i="3"/>
  <c r="Z956" i="3"/>
  <c r="X982" i="3"/>
  <c r="W873" i="3"/>
  <c r="V982" i="3"/>
  <c r="W982" i="3"/>
  <c r="V873" i="3"/>
  <c r="W1004" i="3"/>
  <c r="X1004" i="3"/>
  <c r="W956" i="3"/>
  <c r="X956" i="3"/>
  <c r="X928" i="3"/>
  <c r="W928" i="3"/>
  <c r="V928" i="3"/>
  <c r="V935" i="3"/>
  <c r="Z984" i="3"/>
  <c r="Z1008" i="3"/>
  <c r="X935" i="3"/>
  <c r="Z1287" i="3"/>
  <c r="Z980" i="3"/>
  <c r="X801" i="3"/>
  <c r="U1154" i="3"/>
  <c r="BH1302" i="3"/>
  <c r="AY1302" i="3"/>
  <c r="AN1302" i="3"/>
  <c r="AC1302" i="3"/>
  <c r="C1302" i="3"/>
  <c r="F863" i="3" a="1"/>
  <c r="BH863" i="3"/>
  <c r="BG863" i="3"/>
  <c r="BF863" i="3"/>
  <c r="X863" i="3" s="1"/>
  <c r="BE863" i="3"/>
  <c r="W863" i="3" s="1"/>
  <c r="AZ863" i="3"/>
  <c r="AY863" i="3"/>
  <c r="AC863" i="3"/>
  <c r="V863" i="3"/>
  <c r="C863" i="3"/>
  <c r="F927" i="3" a="1"/>
  <c r="AK927" i="3"/>
  <c r="BH927" i="3"/>
  <c r="BG927" i="3"/>
  <c r="BF927" i="3"/>
  <c r="BE927" i="3"/>
  <c r="AZ927" i="3"/>
  <c r="AY927" i="3"/>
  <c r="AC927" i="3"/>
  <c r="V927" i="3"/>
  <c r="C927" i="3"/>
  <c r="F921" i="3" a="1"/>
  <c r="U921" i="3"/>
  <c r="BH1299" i="3"/>
  <c r="AY1299" i="3"/>
  <c r="AN1299" i="3"/>
  <c r="AC1299" i="3"/>
  <c r="C1299" i="3"/>
  <c r="F983" i="3" a="1"/>
  <c r="W983" i="3"/>
  <c r="BH983" i="3"/>
  <c r="BG983" i="3"/>
  <c r="BF983" i="3"/>
  <c r="X983" i="3" s="1"/>
  <c r="BE983" i="3"/>
  <c r="AZ983" i="3"/>
  <c r="AY983" i="3"/>
  <c r="AC983" i="3"/>
  <c r="V983" i="3"/>
  <c r="C983" i="3"/>
  <c r="U838" i="3"/>
  <c r="V838" i="3" s="1"/>
  <c r="U837" i="3"/>
  <c r="AX838" i="3"/>
  <c r="AY838" i="3" s="1"/>
  <c r="AU838" i="3"/>
  <c r="BH838" i="3"/>
  <c r="BG838" i="3"/>
  <c r="BF838" i="3"/>
  <c r="BE838" i="3"/>
  <c r="AC838" i="3"/>
  <c r="C838" i="3"/>
  <c r="BH973" i="3"/>
  <c r="BG973" i="3"/>
  <c r="BF973" i="3"/>
  <c r="BE973" i="3"/>
  <c r="AX973" i="3"/>
  <c r="AY973" i="3" s="1"/>
  <c r="AU973" i="3"/>
  <c r="AC973" i="3"/>
  <c r="F973" i="3" a="1"/>
  <c r="C973" i="3"/>
  <c r="F979" i="3" a="1"/>
  <c r="AJ979" i="3"/>
  <c r="AK979" i="3"/>
  <c r="BH979" i="3"/>
  <c r="BG979" i="3"/>
  <c r="BF979" i="3"/>
  <c r="BE979" i="3"/>
  <c r="AZ979" i="3"/>
  <c r="AY979" i="3"/>
  <c r="AC979" i="3"/>
  <c r="V979" i="3"/>
  <c r="C979" i="3"/>
  <c r="F1014" i="3" a="1"/>
  <c r="AU1014" i="3"/>
  <c r="BH1014" i="3"/>
  <c r="BG1014" i="3"/>
  <c r="BF1014" i="3"/>
  <c r="BE1014" i="3"/>
  <c r="W1014" i="3" s="1"/>
  <c r="AZ1014" i="3"/>
  <c r="AY1014" i="3"/>
  <c r="AC1014" i="3"/>
  <c r="V1014" i="3"/>
  <c r="C1014" i="3"/>
  <c r="F1015" i="3" a="1"/>
  <c r="AU1015" i="3"/>
  <c r="BH1015" i="3"/>
  <c r="BG1015" i="3"/>
  <c r="BF1015" i="3"/>
  <c r="BE1015" i="3"/>
  <c r="AZ1015" i="3"/>
  <c r="AY1015" i="3"/>
  <c r="AC1015" i="3"/>
  <c r="V1015" i="3"/>
  <c r="C1015" i="3"/>
  <c r="BC149" i="70"/>
  <c r="H102" i="86"/>
  <c r="H101" i="86"/>
  <c r="AC49" i="122" l="1"/>
  <c r="AC92" i="122"/>
  <c r="AC78" i="122"/>
  <c r="AC40" i="122"/>
  <c r="Z138" i="122"/>
  <c r="AB124" i="122"/>
  <c r="AA28" i="122"/>
  <c r="Y36" i="122"/>
  <c r="Z4" i="122"/>
  <c r="AB104" i="122"/>
  <c r="BF1316" i="3"/>
  <c r="BF1192" i="3"/>
  <c r="X1192" i="3" s="1"/>
  <c r="BF1204" i="3"/>
  <c r="BF1317" i="3"/>
  <c r="BF1318" i="3"/>
  <c r="X1318" i="3" s="1"/>
  <c r="Z66" i="122"/>
  <c r="Z74" i="122" s="1"/>
  <c r="Z72" i="122"/>
  <c r="Y124" i="122"/>
  <c r="Y140" i="122" s="1"/>
  <c r="Y92" i="122"/>
  <c r="Y78" i="122"/>
  <c r="Y94" i="122" s="1"/>
  <c r="AU983" i="3"/>
  <c r="AU979" i="3"/>
  <c r="AU927" i="3"/>
  <c r="Z838" i="3"/>
  <c r="Z1302" i="3"/>
  <c r="Z927" i="3"/>
  <c r="Z979" i="3"/>
  <c r="W927" i="3"/>
  <c r="X927" i="3"/>
  <c r="Z1299" i="3"/>
  <c r="W838" i="3"/>
  <c r="Z973" i="3"/>
  <c r="Z1014" i="3"/>
  <c r="Z983" i="3"/>
  <c r="Z1015" i="3"/>
  <c r="X838" i="3"/>
  <c r="X973" i="3"/>
  <c r="W973" i="3"/>
  <c r="V973" i="3"/>
  <c r="W979" i="3"/>
  <c r="X979" i="3"/>
  <c r="X1014" i="3"/>
  <c r="W1015" i="3"/>
  <c r="X1015" i="3"/>
  <c r="J39" i="47"/>
  <c r="E39" i="47"/>
  <c r="J20" i="47"/>
  <c r="AJ856" i="3"/>
  <c r="AJ855" i="3"/>
  <c r="AJ854" i="3"/>
  <c r="AJ853" i="3"/>
  <c r="K34" i="47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AZ182" i="3"/>
  <c r="AZ197" i="3"/>
  <c r="AZ198" i="3"/>
  <c r="AZ199" i="3"/>
  <c r="AZ200" i="3"/>
  <c r="AZ207" i="3"/>
  <c r="AZ208" i="3"/>
  <c r="AZ209" i="3"/>
  <c r="AZ210" i="3"/>
  <c r="AZ219" i="3"/>
  <c r="AZ220" i="3"/>
  <c r="AZ222" i="3"/>
  <c r="AZ225" i="3"/>
  <c r="AZ241" i="3"/>
  <c r="AZ242" i="3"/>
  <c r="AZ243" i="3"/>
  <c r="AZ244" i="3"/>
  <c r="AZ245" i="3"/>
  <c r="AZ246" i="3"/>
  <c r="AZ247" i="3"/>
  <c r="AZ248" i="3"/>
  <c r="AZ249" i="3"/>
  <c r="AZ250" i="3"/>
  <c r="AZ251" i="3"/>
  <c r="AZ252" i="3"/>
  <c r="AZ253" i="3"/>
  <c r="AZ257" i="3"/>
  <c r="AZ267" i="3"/>
  <c r="AZ268" i="3"/>
  <c r="AZ275" i="3"/>
  <c r="AZ277" i="3"/>
  <c r="AZ280" i="3"/>
  <c r="AZ281" i="3"/>
  <c r="AZ282" i="3"/>
  <c r="AZ283" i="3"/>
  <c r="AZ289" i="3"/>
  <c r="AZ290" i="3"/>
  <c r="AZ308" i="3"/>
  <c r="AZ309" i="3"/>
  <c r="AZ310" i="3"/>
  <c r="AZ318" i="3"/>
  <c r="AZ322" i="3"/>
  <c r="AZ358" i="3"/>
  <c r="AZ359" i="3"/>
  <c r="AZ368" i="3"/>
  <c r="AZ369" i="3"/>
  <c r="AZ370" i="3"/>
  <c r="AZ371" i="3"/>
  <c r="AZ372" i="3"/>
  <c r="AZ378" i="3"/>
  <c r="AZ379" i="3"/>
  <c r="AZ381" i="3"/>
  <c r="AZ382" i="3"/>
  <c r="AZ385" i="3"/>
  <c r="AZ386" i="3"/>
  <c r="AZ387" i="3"/>
  <c r="AZ388" i="3"/>
  <c r="AZ389" i="3"/>
  <c r="AZ390" i="3"/>
  <c r="AZ391" i="3"/>
  <c r="AZ392" i="3"/>
  <c r="AZ395" i="3"/>
  <c r="AZ397" i="3"/>
  <c r="AZ398" i="3"/>
  <c r="AZ399" i="3"/>
  <c r="AZ400" i="3"/>
  <c r="AZ401" i="3"/>
  <c r="AZ410" i="3"/>
  <c r="AZ411" i="3"/>
  <c r="AZ412" i="3"/>
  <c r="AZ416" i="3"/>
  <c r="AZ417" i="3"/>
  <c r="AZ418" i="3"/>
  <c r="AZ421" i="3"/>
  <c r="AZ430" i="3"/>
  <c r="AZ431" i="3"/>
  <c r="AZ433" i="3"/>
  <c r="AZ434" i="3"/>
  <c r="AZ463" i="3"/>
  <c r="AZ468" i="3"/>
  <c r="AZ489" i="3"/>
  <c r="AZ490" i="3"/>
  <c r="AZ491" i="3"/>
  <c r="AZ492" i="3"/>
  <c r="AZ493" i="3"/>
  <c r="AZ522" i="3"/>
  <c r="AZ527" i="3"/>
  <c r="AZ528" i="3"/>
  <c r="AZ529" i="3"/>
  <c r="AZ537" i="3"/>
  <c r="AZ538" i="3"/>
  <c r="AZ539" i="3"/>
  <c r="AZ540" i="3"/>
  <c r="AZ541" i="3"/>
  <c r="AZ542" i="3"/>
  <c r="AZ543" i="3"/>
  <c r="AZ544" i="3"/>
  <c r="AZ550" i="3"/>
  <c r="AZ554" i="3"/>
  <c r="AZ558" i="3"/>
  <c r="AZ562" i="3"/>
  <c r="AZ565" i="3"/>
  <c r="AZ572" i="3"/>
  <c r="AZ579" i="3"/>
  <c r="AZ580" i="3"/>
  <c r="AZ581" i="3"/>
  <c r="AZ583" i="3"/>
  <c r="AZ584" i="3"/>
  <c r="AZ585" i="3"/>
  <c r="AZ596" i="3"/>
  <c r="AZ597" i="3"/>
  <c r="AZ598" i="3"/>
  <c r="AZ600" i="3"/>
  <c r="AZ601" i="3"/>
  <c r="AZ602" i="3"/>
  <c r="AZ603" i="3"/>
  <c r="AZ608" i="3"/>
  <c r="AZ609" i="3"/>
  <c r="AZ612" i="3"/>
  <c r="AZ613" i="3"/>
  <c r="AZ614" i="3"/>
  <c r="AZ615" i="3"/>
  <c r="AZ616" i="3"/>
  <c r="AZ617" i="3"/>
  <c r="AZ620" i="3"/>
  <c r="AZ628" i="3"/>
  <c r="AZ630" i="3"/>
  <c r="AZ634" i="3"/>
  <c r="AZ637" i="3"/>
  <c r="AZ638" i="3"/>
  <c r="AZ639" i="3"/>
  <c r="AZ640" i="3"/>
  <c r="AZ641" i="3"/>
  <c r="AZ642" i="3"/>
  <c r="AZ643" i="3"/>
  <c r="AZ660" i="3"/>
  <c r="AZ661" i="3"/>
  <c r="AZ664" i="3"/>
  <c r="AZ665" i="3"/>
  <c r="AZ666" i="3"/>
  <c r="AZ667" i="3"/>
  <c r="AZ668" i="3"/>
  <c r="AZ669" i="3"/>
  <c r="AZ690" i="3"/>
  <c r="AZ691" i="3"/>
  <c r="AZ692" i="3"/>
  <c r="AZ693" i="3"/>
  <c r="AZ694" i="3"/>
  <c r="AZ695" i="3"/>
  <c r="AZ702" i="3"/>
  <c r="AZ707" i="3"/>
  <c r="AZ708" i="3"/>
  <c r="AZ709" i="3"/>
  <c r="AZ710" i="3"/>
  <c r="AZ711" i="3"/>
  <c r="AZ714" i="3"/>
  <c r="AZ715" i="3"/>
  <c r="AZ716" i="3"/>
  <c r="AZ717" i="3"/>
  <c r="AZ729" i="3"/>
  <c r="AZ730" i="3"/>
  <c r="AZ731" i="3"/>
  <c r="AZ732" i="3"/>
  <c r="AZ733" i="3"/>
  <c r="AZ734" i="3"/>
  <c r="AZ735" i="3"/>
  <c r="AZ752" i="3"/>
  <c r="AZ753" i="3"/>
  <c r="AZ767" i="3"/>
  <c r="AZ790" i="3"/>
  <c r="AZ791" i="3"/>
  <c r="AZ792" i="3"/>
  <c r="AZ793" i="3"/>
  <c r="AZ794" i="3"/>
  <c r="AZ810" i="3"/>
  <c r="AZ811" i="3"/>
  <c r="AZ812" i="3"/>
  <c r="AZ823" i="3"/>
  <c r="AZ824" i="3"/>
  <c r="AZ839" i="3"/>
  <c r="AZ840" i="3"/>
  <c r="AZ845" i="3"/>
  <c r="AZ862" i="3"/>
  <c r="AZ920" i="3"/>
  <c r="AZ925" i="3"/>
  <c r="AZ926" i="3"/>
  <c r="AZ971" i="3"/>
  <c r="AZ981" i="3"/>
  <c r="AZ934" i="3"/>
  <c r="AZ988" i="3"/>
  <c r="AZ1056" i="3"/>
  <c r="AZ1017" i="3"/>
  <c r="AZ1088" i="3"/>
  <c r="AZ1274" i="3"/>
  <c r="AZ1094" i="3"/>
  <c r="AZ1090" i="3"/>
  <c r="AZ1068" i="3"/>
  <c r="AZ1070" i="3"/>
  <c r="AZ1091" i="3"/>
  <c r="AZ1271" i="3"/>
  <c r="AZ1272" i="3"/>
  <c r="AZ1273" i="3"/>
  <c r="AZ1035" i="3"/>
  <c r="AZ954" i="3"/>
  <c r="AZ976" i="3"/>
  <c r="AZ1009" i="3"/>
  <c r="AZ957" i="3"/>
  <c r="AZ937" i="3"/>
  <c r="AZ958" i="3"/>
  <c r="AZ959" i="3"/>
  <c r="AZ960" i="3"/>
  <c r="AZ1002" i="3"/>
  <c r="AZ950" i="3"/>
  <c r="AZ1304" i="3"/>
  <c r="AZ1065" i="3"/>
  <c r="AD56" i="122" l="1"/>
  <c r="AD72" i="122" s="1"/>
  <c r="AE56" i="122"/>
  <c r="F1274" i="3" a="1"/>
  <c r="U1274" i="3"/>
  <c r="BH1274" i="3"/>
  <c r="AY1274" i="3"/>
  <c r="AC1274" i="3"/>
  <c r="C1274" i="3"/>
  <c r="AK798" i="3"/>
  <c r="AK799" i="3"/>
  <c r="AK800" i="3"/>
  <c r="AK775" i="3"/>
  <c r="AK774" i="3"/>
  <c r="AU965" i="3"/>
  <c r="AU966" i="3"/>
  <c r="F1088" i="3" a="1"/>
  <c r="F1056" i="3" a="1"/>
  <c r="F981" i="3" a="1"/>
  <c r="C981" i="3"/>
  <c r="AC981" i="3"/>
  <c r="AY981" i="3"/>
  <c r="BE981" i="3"/>
  <c r="BF981" i="3"/>
  <c r="X981" i="3" s="1"/>
  <c r="BG981" i="3"/>
  <c r="BH981" i="3"/>
  <c r="C1056" i="3"/>
  <c r="AC1056" i="3"/>
  <c r="AY1056" i="3"/>
  <c r="BE1056" i="3"/>
  <c r="BF1056" i="3"/>
  <c r="X1056" i="3" s="1"/>
  <c r="BG1056" i="3"/>
  <c r="BH1056" i="3"/>
  <c r="C1088" i="3"/>
  <c r="AC1088" i="3"/>
  <c r="AN1088" i="3"/>
  <c r="AY1088" i="3"/>
  <c r="BE1088" i="3"/>
  <c r="BF1088" i="3"/>
  <c r="X1088" i="3" s="1"/>
  <c r="BG1088" i="3"/>
  <c r="BH1088" i="3"/>
  <c r="Q65" i="122"/>
  <c r="F998" i="3" a="1"/>
  <c r="AX998" i="3"/>
  <c r="AY998" i="3" s="1"/>
  <c r="BH998" i="3"/>
  <c r="BG998" i="3"/>
  <c r="BF998" i="3"/>
  <c r="X998" i="3" s="1"/>
  <c r="BE998" i="3"/>
  <c r="W998" i="3" s="1"/>
  <c r="AC998" i="3"/>
  <c r="V998" i="3"/>
  <c r="C998" i="3"/>
  <c r="W1017" i="3"/>
  <c r="F1017" i="3" a="1"/>
  <c r="C1017" i="3"/>
  <c r="AC1017" i="3"/>
  <c r="AJ1017" i="3"/>
  <c r="AK1017" i="3"/>
  <c r="AY1017" i="3"/>
  <c r="BE1017" i="3"/>
  <c r="BF1017" i="3"/>
  <c r="BG1017" i="3"/>
  <c r="BH1017" i="3"/>
  <c r="F1154" i="3" a="1"/>
  <c r="AU1154" i="3"/>
  <c r="BH1154" i="3"/>
  <c r="AY1154" i="3"/>
  <c r="AC1154" i="3"/>
  <c r="C1154" i="3"/>
  <c r="BH1316" i="3"/>
  <c r="AY1316" i="3"/>
  <c r="AN1316" i="3"/>
  <c r="AC1316" i="3"/>
  <c r="F1316" i="3" a="1"/>
  <c r="C1316" i="3"/>
  <c r="BH1312" i="3"/>
  <c r="AX1312" i="3"/>
  <c r="AY1312" i="3" s="1"/>
  <c r="C1312" i="3"/>
  <c r="BH1311" i="3"/>
  <c r="AX1311" i="3"/>
  <c r="AY1311" i="3" s="1"/>
  <c r="C1311" i="3"/>
  <c r="BH1308" i="3"/>
  <c r="AX1308" i="3"/>
  <c r="AY1308" i="3" s="1"/>
  <c r="C1308" i="3"/>
  <c r="BH1307" i="3"/>
  <c r="AX1307" i="3"/>
  <c r="AY1307" i="3" s="1"/>
  <c r="C1307" i="3"/>
  <c r="U1012" i="3"/>
  <c r="V1012" i="3" s="1"/>
  <c r="U1010" i="3"/>
  <c r="V1010" i="3" s="1"/>
  <c r="F1027" i="3" a="1"/>
  <c r="AX1027" i="3"/>
  <c r="AY1027" i="3" s="1"/>
  <c r="BE1027" i="3"/>
  <c r="W1027" i="3" s="1"/>
  <c r="BF1027" i="3"/>
  <c r="BG1027" i="3"/>
  <c r="BH1027" i="3"/>
  <c r="V1027" i="3"/>
  <c r="AC1027" i="3"/>
  <c r="C1027" i="3"/>
  <c r="V1134" i="3"/>
  <c r="F862" i="3" a="1"/>
  <c r="BH862" i="3"/>
  <c r="BG862" i="3"/>
  <c r="BF862" i="3"/>
  <c r="BE862" i="3"/>
  <c r="AY862" i="3"/>
  <c r="AC862" i="3"/>
  <c r="V862" i="3"/>
  <c r="C862" i="3"/>
  <c r="F931" i="3" a="1"/>
  <c r="AX931" i="3"/>
  <c r="AY931" i="3" s="1"/>
  <c r="AU931" i="3"/>
  <c r="BH931" i="3"/>
  <c r="BG931" i="3"/>
  <c r="BF931" i="3"/>
  <c r="BE931" i="3"/>
  <c r="AC931" i="3"/>
  <c r="V931" i="3"/>
  <c r="C931" i="3"/>
  <c r="F923" i="3" a="1"/>
  <c r="AK923" i="3"/>
  <c r="W923" i="3"/>
  <c r="BH923" i="3"/>
  <c r="BG923" i="3"/>
  <c r="BF923" i="3"/>
  <c r="BE923" i="3"/>
  <c r="AY923" i="3"/>
  <c r="AC923" i="3"/>
  <c r="V923" i="3"/>
  <c r="C923" i="3"/>
  <c r="AU823" i="3"/>
  <c r="AN825" i="3"/>
  <c r="AN826" i="3"/>
  <c r="AN827" i="3"/>
  <c r="AU827" i="3" s="1"/>
  <c r="AN828" i="3"/>
  <c r="AN829" i="3"/>
  <c r="AN830" i="3"/>
  <c r="AN831" i="3"/>
  <c r="AU831" i="3" s="1"/>
  <c r="AN832" i="3"/>
  <c r="AU837" i="3"/>
  <c r="AU841" i="3"/>
  <c r="AU842" i="3"/>
  <c r="AU843" i="3"/>
  <c r="AN844" i="3"/>
  <c r="AN845" i="3"/>
  <c r="AU847" i="3"/>
  <c r="AU849" i="3"/>
  <c r="AN850" i="3"/>
  <c r="AN853" i="3"/>
  <c r="AN855" i="3"/>
  <c r="AN856" i="3"/>
  <c r="AN857" i="3"/>
  <c r="AN865" i="3"/>
  <c r="AN866" i="3"/>
  <c r="AN867" i="3"/>
  <c r="AN868" i="3"/>
  <c r="AN869" i="3"/>
  <c r="AN870" i="3"/>
  <c r="AN871" i="3"/>
  <c r="AN875" i="3"/>
  <c r="AN876" i="3"/>
  <c r="AN877" i="3"/>
  <c r="AN878" i="3"/>
  <c r="AN879" i="3"/>
  <c r="Z879" i="3" s="1"/>
  <c r="AN880" i="3"/>
  <c r="AU883" i="3"/>
  <c r="AU884" i="3"/>
  <c r="AU885" i="3"/>
  <c r="AU886" i="3"/>
  <c r="AU887" i="3"/>
  <c r="AN902" i="3"/>
  <c r="AU894" i="3"/>
  <c r="AU895" i="3"/>
  <c r="AU896" i="3"/>
  <c r="AU897" i="3"/>
  <c r="AU898" i="3"/>
  <c r="AU899" i="3"/>
  <c r="AU964" i="3"/>
  <c r="AU968" i="3"/>
  <c r="AN1112" i="3"/>
  <c r="AU988" i="3"/>
  <c r="AN1228" i="3"/>
  <c r="AN1229" i="3"/>
  <c r="AN1230" i="3"/>
  <c r="AN1231" i="3"/>
  <c r="AN1232" i="3"/>
  <c r="AN1233" i="3"/>
  <c r="AN1234" i="3"/>
  <c r="AN1235" i="3"/>
  <c r="AN1236" i="3"/>
  <c r="AN1237" i="3"/>
  <c r="AN1238" i="3"/>
  <c r="AN1239" i="3"/>
  <c r="AN1240" i="3"/>
  <c r="AN1241" i="3"/>
  <c r="AN1242" i="3"/>
  <c r="AN1243" i="3"/>
  <c r="AN1244" i="3"/>
  <c r="AN1245" i="3"/>
  <c r="AN1246" i="3"/>
  <c r="AU936" i="3"/>
  <c r="AN1247" i="3"/>
  <c r="AN1248" i="3"/>
  <c r="AN1249" i="3"/>
  <c r="AN1250" i="3"/>
  <c r="AN1251" i="3"/>
  <c r="AN1252" i="3"/>
  <c r="AN1253" i="3"/>
  <c r="AN1254" i="3"/>
  <c r="AN1255" i="3"/>
  <c r="AN1256" i="3"/>
  <c r="AN1257" i="3"/>
  <c r="AN1258" i="3"/>
  <c r="AN1259" i="3"/>
  <c r="AN1260" i="3"/>
  <c r="AN1261" i="3"/>
  <c r="AN1262" i="3"/>
  <c r="AN1263" i="3"/>
  <c r="AN1264" i="3"/>
  <c r="AN1265" i="3"/>
  <c r="AN1266" i="3"/>
  <c r="AU1012" i="3"/>
  <c r="AN1267" i="3"/>
  <c r="AN1268" i="3"/>
  <c r="AN1269" i="3"/>
  <c r="AN1275" i="3"/>
  <c r="AU939" i="3"/>
  <c r="AU945" i="3"/>
  <c r="AN1276" i="3"/>
  <c r="AU996" i="3"/>
  <c r="AU948" i="3"/>
  <c r="AN1277" i="3"/>
  <c r="AN1278" i="3"/>
  <c r="AN1279" i="3"/>
  <c r="AN1280" i="3"/>
  <c r="AU944" i="3"/>
  <c r="AN1281" i="3"/>
  <c r="AN1282" i="3"/>
  <c r="AN1283" i="3"/>
  <c r="AN1284" i="3"/>
  <c r="AN1285" i="3"/>
  <c r="AN1045" i="3"/>
  <c r="AN1286" i="3"/>
  <c r="AN1288" i="3"/>
  <c r="AN1289" i="3"/>
  <c r="AN1291" i="3"/>
  <c r="AU947" i="3"/>
  <c r="AU995" i="3"/>
  <c r="AU957" i="3"/>
  <c r="AU937" i="3"/>
  <c r="AU1001" i="3"/>
  <c r="AU1002" i="3"/>
  <c r="AU921" i="3"/>
  <c r="AN1300" i="3"/>
  <c r="AN1305" i="3"/>
  <c r="AN1306" i="3"/>
  <c r="AN1313" i="3"/>
  <c r="AN1315" i="3"/>
  <c r="AN1290" i="3"/>
  <c r="AN1304" i="3"/>
  <c r="AU1065" i="3"/>
  <c r="Z672" i="3"/>
  <c r="Z673" i="3"/>
  <c r="Z674" i="3"/>
  <c r="Z675" i="3"/>
  <c r="Z676" i="3"/>
  <c r="Z677" i="3"/>
  <c r="Z678" i="3"/>
  <c r="Z679" i="3"/>
  <c r="Z680" i="3"/>
  <c r="Z681" i="3"/>
  <c r="Z682" i="3"/>
  <c r="Z683" i="3"/>
  <c r="Z684" i="3"/>
  <c r="Z685" i="3"/>
  <c r="AN686" i="3"/>
  <c r="AN687" i="3"/>
  <c r="Z688" i="3"/>
  <c r="Z689" i="3"/>
  <c r="Z691" i="3"/>
  <c r="AN692" i="3"/>
  <c r="AN693" i="3"/>
  <c r="AN694" i="3"/>
  <c r="Z695" i="3"/>
  <c r="Z696" i="3"/>
  <c r="Z697" i="3"/>
  <c r="Z698" i="3"/>
  <c r="Z699" i="3"/>
  <c r="Z700" i="3"/>
  <c r="Z701" i="3"/>
  <c r="AN702" i="3"/>
  <c r="Z703" i="3"/>
  <c r="Z704" i="3"/>
  <c r="AN705" i="3"/>
  <c r="Z706" i="3"/>
  <c r="AN707" i="3"/>
  <c r="AN708" i="3"/>
  <c r="AN709" i="3"/>
  <c r="AN710" i="3"/>
  <c r="Z711" i="3"/>
  <c r="AN712" i="3"/>
  <c r="AN713" i="3"/>
  <c r="AN714" i="3"/>
  <c r="AN715" i="3"/>
  <c r="Z716" i="3"/>
  <c r="Z717" i="3"/>
  <c r="AN718" i="3"/>
  <c r="AN719" i="3"/>
  <c r="AN720" i="3"/>
  <c r="AU721" i="3"/>
  <c r="AN724" i="3"/>
  <c r="AN725" i="3"/>
  <c r="AN726" i="3"/>
  <c r="AN727" i="3"/>
  <c r="AN728" i="3"/>
  <c r="AN729" i="3"/>
  <c r="AN730" i="3"/>
  <c r="AN731" i="3"/>
  <c r="AN732" i="3"/>
  <c r="AN733" i="3"/>
  <c r="AN734" i="3"/>
  <c r="AN735" i="3"/>
  <c r="AN737" i="3"/>
  <c r="Z739" i="3"/>
  <c r="AN740" i="3"/>
  <c r="AN741" i="3"/>
  <c r="AN742" i="3"/>
  <c r="AN743" i="3"/>
  <c r="AN744" i="3"/>
  <c r="AN745" i="3"/>
  <c r="AN746" i="3"/>
  <c r="AN747" i="3"/>
  <c r="AN748" i="3"/>
  <c r="AN749" i="3"/>
  <c r="AN750" i="3"/>
  <c r="AN756" i="3"/>
  <c r="AN757" i="3"/>
  <c r="AN758" i="3"/>
  <c r="AN759" i="3"/>
  <c r="AN760" i="3"/>
  <c r="Z761" i="3"/>
  <c r="AU765" i="3"/>
  <c r="AN767" i="3"/>
  <c r="AN769" i="3"/>
  <c r="AN770" i="3"/>
  <c r="AN771" i="3"/>
  <c r="AN772" i="3"/>
  <c r="AN773" i="3"/>
  <c r="AN774" i="3"/>
  <c r="AN775" i="3"/>
  <c r="AN778" i="3"/>
  <c r="AN781" i="3"/>
  <c r="AN782" i="3"/>
  <c r="AN783" i="3"/>
  <c r="AU785" i="3"/>
  <c r="AU791" i="3"/>
  <c r="AN794" i="3"/>
  <c r="AN795" i="3"/>
  <c r="AN796" i="3"/>
  <c r="AN797" i="3"/>
  <c r="AN800" i="3"/>
  <c r="AN802" i="3"/>
  <c r="AN803" i="3"/>
  <c r="AU804" i="3"/>
  <c r="AU805" i="3"/>
  <c r="AU806" i="3"/>
  <c r="AN808" i="3"/>
  <c r="AN809" i="3"/>
  <c r="AN817" i="3"/>
  <c r="AN818" i="3"/>
  <c r="AN819" i="3"/>
  <c r="AK803" i="3"/>
  <c r="AK807" i="3"/>
  <c r="AK809" i="3"/>
  <c r="AK813" i="3"/>
  <c r="AK814" i="3"/>
  <c r="AK817" i="3"/>
  <c r="AK818" i="3"/>
  <c r="AK819" i="3"/>
  <c r="AK820" i="3"/>
  <c r="AK821" i="3"/>
  <c r="AU821" i="3" s="1"/>
  <c r="AK822" i="3"/>
  <c r="AU822" i="3" s="1"/>
  <c r="AK824" i="3"/>
  <c r="AK825" i="3"/>
  <c r="AK833" i="3"/>
  <c r="AK834" i="3"/>
  <c r="AK844" i="3"/>
  <c r="AK845" i="3"/>
  <c r="AK846" i="3"/>
  <c r="AU846" i="3" s="1"/>
  <c r="AK850" i="3"/>
  <c r="AK851" i="3"/>
  <c r="AU851" i="3" s="1"/>
  <c r="AK852" i="3"/>
  <c r="AU852" i="3" s="1"/>
  <c r="AK853" i="3"/>
  <c r="AK854" i="3"/>
  <c r="Z854" i="3" s="1"/>
  <c r="AK855" i="3"/>
  <c r="AK856" i="3"/>
  <c r="AK857" i="3"/>
  <c r="AK858" i="3"/>
  <c r="AK859" i="3"/>
  <c r="AK860" i="3"/>
  <c r="AK861" i="3"/>
  <c r="AK864" i="3"/>
  <c r="AK865" i="3"/>
  <c r="AK879" i="3"/>
  <c r="AK880" i="3"/>
  <c r="AK881" i="3"/>
  <c r="AK882" i="3"/>
  <c r="AK888" i="3"/>
  <c r="AK889" i="3"/>
  <c r="AK890" i="3"/>
  <c r="AK891" i="3"/>
  <c r="AK892" i="3"/>
  <c r="AU892" i="3" s="1"/>
  <c r="AK893" i="3"/>
  <c r="AU893" i="3" s="1"/>
  <c r="AK902" i="3"/>
  <c r="AK900" i="3"/>
  <c r="AK901" i="3"/>
  <c r="AU901" i="3" s="1"/>
  <c r="AK925" i="3"/>
  <c r="AK961" i="3"/>
  <c r="AK962" i="3"/>
  <c r="AK963" i="3"/>
  <c r="AK969" i="3"/>
  <c r="AK970" i="3"/>
  <c r="AK971" i="3"/>
  <c r="AK922" i="3"/>
  <c r="AK913" i="3"/>
  <c r="AK914" i="3"/>
  <c r="AK915" i="3"/>
  <c r="AK916" i="3"/>
  <c r="AK917" i="3"/>
  <c r="AK918" i="3"/>
  <c r="AU918" i="3" s="1"/>
  <c r="AK924" i="3"/>
  <c r="AK1053" i="3"/>
  <c r="AK926" i="3"/>
  <c r="AK1228" i="3"/>
  <c r="AK1229" i="3"/>
  <c r="AK1230" i="3"/>
  <c r="AK1231" i="3"/>
  <c r="AK1232" i="3"/>
  <c r="AK1233" i="3"/>
  <c r="AK1234" i="3"/>
  <c r="AK1235" i="3"/>
  <c r="AK1236" i="3"/>
  <c r="AK1237" i="3"/>
  <c r="AK1238" i="3"/>
  <c r="AK1239" i="3"/>
  <c r="AK1240" i="3"/>
  <c r="AK1241" i="3"/>
  <c r="AK1242" i="3"/>
  <c r="AK1243" i="3"/>
  <c r="AK1244" i="3"/>
  <c r="AK1245" i="3"/>
  <c r="AK1246" i="3"/>
  <c r="AK1247" i="3"/>
  <c r="AK1248" i="3"/>
  <c r="AK1249" i="3"/>
  <c r="AK1250" i="3"/>
  <c r="AK1251" i="3"/>
  <c r="AK1252" i="3"/>
  <c r="AK1253" i="3"/>
  <c r="AK1254" i="3"/>
  <c r="AK1255" i="3"/>
  <c r="AK1256" i="3"/>
  <c r="AK1257" i="3"/>
  <c r="AK955" i="3"/>
  <c r="AK1258" i="3"/>
  <c r="AK1260" i="3"/>
  <c r="AK1261" i="3"/>
  <c r="AK1262" i="3"/>
  <c r="AK1263" i="3"/>
  <c r="AK1264" i="3"/>
  <c r="AK1265" i="3"/>
  <c r="AK1000" i="3"/>
  <c r="AK1011" i="3"/>
  <c r="AK1266" i="3"/>
  <c r="AK1081" i="3"/>
  <c r="AK1113" i="3"/>
  <c r="AK1267" i="3"/>
  <c r="AK1268" i="3"/>
  <c r="AK1269" i="3"/>
  <c r="AK1114" i="3"/>
  <c r="AK1275" i="3"/>
  <c r="AK994" i="3"/>
  <c r="AK1276" i="3"/>
  <c r="AK1277" i="3"/>
  <c r="AK1278" i="3"/>
  <c r="AK1279" i="3"/>
  <c r="AK1280" i="3"/>
  <c r="AK1281" i="3"/>
  <c r="AK1282" i="3"/>
  <c r="AK1059" i="3"/>
  <c r="AK1283" i="3"/>
  <c r="AK1036" i="3"/>
  <c r="AK1006" i="3"/>
  <c r="AK1284" i="3"/>
  <c r="AK953" i="3"/>
  <c r="AK954" i="3"/>
  <c r="AK1285" i="3"/>
  <c r="AK1052" i="3"/>
  <c r="AK1286" i="3"/>
  <c r="AK1288" i="3"/>
  <c r="AK1289" i="3"/>
  <c r="AK1291" i="3"/>
  <c r="AK978" i="3"/>
  <c r="AK919" i="3"/>
  <c r="AK975" i="3"/>
  <c r="AK958" i="3"/>
  <c r="AK959" i="3"/>
  <c r="AK960" i="3"/>
  <c r="AK1003" i="3"/>
  <c r="AK977" i="3"/>
  <c r="AK1090" i="3"/>
  <c r="AK1091" i="3"/>
  <c r="AK1290" i="3"/>
  <c r="AK802" i="3"/>
  <c r="AN620" i="3"/>
  <c r="AN619" i="3"/>
  <c r="AN618" i="3"/>
  <c r="AN613" i="3"/>
  <c r="AN579" i="3"/>
  <c r="AN569" i="3"/>
  <c r="AN560" i="3"/>
  <c r="AN559" i="3"/>
  <c r="AN529" i="3"/>
  <c r="AN528" i="3"/>
  <c r="AU528" i="3" s="1"/>
  <c r="Z633" i="3"/>
  <c r="Z632" i="3"/>
  <c r="Z627" i="3"/>
  <c r="Z626" i="3"/>
  <c r="AN622" i="3"/>
  <c r="AN607" i="3"/>
  <c r="Z606" i="3"/>
  <c r="Z666" i="3"/>
  <c r="Z646" i="3"/>
  <c r="Z647" i="3"/>
  <c r="Z648" i="3"/>
  <c r="Z649" i="3"/>
  <c r="Z650" i="3"/>
  <c r="Z651" i="3"/>
  <c r="Z652" i="3"/>
  <c r="Z653" i="3"/>
  <c r="Z654" i="3"/>
  <c r="Z656" i="3"/>
  <c r="Z657" i="3"/>
  <c r="AN658" i="3" a="1"/>
  <c r="Z659" i="3"/>
  <c r="AX971" i="3"/>
  <c r="AY971" i="3" s="1"/>
  <c r="U151" i="70"/>
  <c r="AM589" i="3"/>
  <c r="AM590" i="3"/>
  <c r="AM667" i="3"/>
  <c r="AM668" i="3"/>
  <c r="AM669" i="3"/>
  <c r="AM664" i="3"/>
  <c r="AM665" i="3"/>
  <c r="AM655" i="3"/>
  <c r="AM644" i="3"/>
  <c r="AM645" i="3"/>
  <c r="AM640" i="3"/>
  <c r="AM641" i="3"/>
  <c r="AM642" i="3"/>
  <c r="AM630" i="3"/>
  <c r="AM631" i="3"/>
  <c r="AM588" i="3"/>
  <c r="AM586" i="3"/>
  <c r="AJ1112" i="3"/>
  <c r="F962" i="3" a="1"/>
  <c r="BH962" i="3"/>
  <c r="BG962" i="3"/>
  <c r="BF962" i="3"/>
  <c r="X962" i="3" s="1"/>
  <c r="BE962" i="3"/>
  <c r="AY962" i="3"/>
  <c r="AC962" i="3"/>
  <c r="V962" i="3"/>
  <c r="C962" i="3"/>
  <c r="BH951" i="3"/>
  <c r="BG951" i="3"/>
  <c r="BF951" i="3"/>
  <c r="X951" i="3" s="1"/>
  <c r="BE951" i="3"/>
  <c r="AY951" i="3"/>
  <c r="AC951" i="3"/>
  <c r="V951" i="3"/>
  <c r="C951" i="3"/>
  <c r="F879" i="3" a="1"/>
  <c r="AX879" i="3"/>
  <c r="AY879" i="3" s="1"/>
  <c r="AM879" i="3"/>
  <c r="BH879" i="3"/>
  <c r="BG879" i="3"/>
  <c r="BF879" i="3"/>
  <c r="BE879" i="3"/>
  <c r="AC879" i="3"/>
  <c r="V879" i="3"/>
  <c r="C879" i="3"/>
  <c r="BH1134" i="3"/>
  <c r="BG1134" i="3"/>
  <c r="BF1134" i="3"/>
  <c r="BE1134" i="3"/>
  <c r="AY1134" i="3"/>
  <c r="AC1134" i="3"/>
  <c r="P65" i="122"/>
  <c r="P73" i="122" s="1"/>
  <c r="AA171" i="70"/>
  <c r="AA172" i="70"/>
  <c r="BF950" i="3"/>
  <c r="BE950" i="3"/>
  <c r="BG182" i="3"/>
  <c r="BG183" i="3"/>
  <c r="BG184" i="3"/>
  <c r="BG185" i="3"/>
  <c r="BG186" i="3"/>
  <c r="BG187" i="3"/>
  <c r="BG188" i="3"/>
  <c r="BG189" i="3"/>
  <c r="BG190" i="3"/>
  <c r="BG191" i="3"/>
  <c r="BG192" i="3"/>
  <c r="BG193" i="3"/>
  <c r="BG194" i="3"/>
  <c r="BG195" i="3"/>
  <c r="BG196" i="3"/>
  <c r="BG197" i="3"/>
  <c r="BG198" i="3"/>
  <c r="BG199" i="3"/>
  <c r="BG200" i="3"/>
  <c r="BG201" i="3"/>
  <c r="BG202" i="3"/>
  <c r="BG203" i="3"/>
  <c r="BG204" i="3"/>
  <c r="BG205" i="3"/>
  <c r="BG206" i="3"/>
  <c r="BG207" i="3"/>
  <c r="BG208" i="3"/>
  <c r="BG209" i="3"/>
  <c r="BG210" i="3"/>
  <c r="BG211" i="3"/>
  <c r="BG212" i="3"/>
  <c r="BG213" i="3"/>
  <c r="BG214" i="3"/>
  <c r="BG215" i="3"/>
  <c r="BG216" i="3"/>
  <c r="BG217" i="3"/>
  <c r="BG218" i="3"/>
  <c r="BG219" i="3"/>
  <c r="BG220" i="3"/>
  <c r="BG221" i="3"/>
  <c r="BG222" i="3"/>
  <c r="BG223" i="3"/>
  <c r="BG224" i="3"/>
  <c r="BG225" i="3"/>
  <c r="BG226" i="3"/>
  <c r="BG227" i="3"/>
  <c r="BG228" i="3"/>
  <c r="BG229" i="3"/>
  <c r="BG230" i="3"/>
  <c r="BG231" i="3"/>
  <c r="BG232" i="3"/>
  <c r="BG233" i="3"/>
  <c r="BG234" i="3"/>
  <c r="BG235" i="3"/>
  <c r="BG236" i="3"/>
  <c r="BG237" i="3"/>
  <c r="BG238" i="3"/>
  <c r="BG239" i="3"/>
  <c r="BG240" i="3"/>
  <c r="BG241" i="3"/>
  <c r="BG242" i="3"/>
  <c r="BG243" i="3"/>
  <c r="BG244" i="3"/>
  <c r="BG245" i="3"/>
  <c r="BG246" i="3"/>
  <c r="BG247" i="3"/>
  <c r="BG248" i="3"/>
  <c r="BG249" i="3"/>
  <c r="BG250" i="3"/>
  <c r="BG251" i="3"/>
  <c r="BG252" i="3"/>
  <c r="BG253" i="3"/>
  <c r="BG254" i="3"/>
  <c r="BG255" i="3"/>
  <c r="BG256" i="3"/>
  <c r="BG257" i="3"/>
  <c r="BG258" i="3"/>
  <c r="BG259" i="3"/>
  <c r="BG260" i="3"/>
  <c r="BG261" i="3"/>
  <c r="BG262" i="3"/>
  <c r="BG263" i="3"/>
  <c r="BG264" i="3"/>
  <c r="BG265" i="3"/>
  <c r="BG266" i="3"/>
  <c r="BG267" i="3"/>
  <c r="BG268" i="3"/>
  <c r="BG269" i="3"/>
  <c r="BG270" i="3"/>
  <c r="BG271" i="3"/>
  <c r="BG272" i="3"/>
  <c r="BG273" i="3"/>
  <c r="BG274" i="3"/>
  <c r="BG275" i="3"/>
  <c r="BG276" i="3"/>
  <c r="BG277" i="3"/>
  <c r="BG278" i="3"/>
  <c r="BG279" i="3"/>
  <c r="BG280" i="3"/>
  <c r="BG281" i="3"/>
  <c r="BG282" i="3"/>
  <c r="BG283" i="3"/>
  <c r="BG284" i="3"/>
  <c r="BG285" i="3"/>
  <c r="BG286" i="3"/>
  <c r="BG287" i="3"/>
  <c r="BG288" i="3"/>
  <c r="BG289" i="3"/>
  <c r="BG290" i="3"/>
  <c r="BG291" i="3"/>
  <c r="BG292" i="3"/>
  <c r="BG293" i="3"/>
  <c r="BG294" i="3"/>
  <c r="BG295" i="3"/>
  <c r="BG296" i="3"/>
  <c r="BG297" i="3"/>
  <c r="BG298" i="3"/>
  <c r="BG299" i="3"/>
  <c r="BG300" i="3"/>
  <c r="BG301" i="3"/>
  <c r="BG302" i="3"/>
  <c r="BG303" i="3"/>
  <c r="BG304" i="3"/>
  <c r="BG305" i="3"/>
  <c r="BG306" i="3"/>
  <c r="BG307" i="3"/>
  <c r="BG308" i="3"/>
  <c r="BG309" i="3"/>
  <c r="BG310" i="3"/>
  <c r="BG311" i="3"/>
  <c r="BG312" i="3"/>
  <c r="BG313" i="3"/>
  <c r="BG314" i="3"/>
  <c r="BG315" i="3"/>
  <c r="BG316" i="3"/>
  <c r="BG317" i="3"/>
  <c r="BG318" i="3"/>
  <c r="BG319" i="3"/>
  <c r="BG320" i="3"/>
  <c r="BG321" i="3"/>
  <c r="BG322" i="3"/>
  <c r="BG323" i="3"/>
  <c r="BG324" i="3"/>
  <c r="BG325" i="3"/>
  <c r="BG326" i="3"/>
  <c r="BG327" i="3"/>
  <c r="BG328" i="3"/>
  <c r="BG329" i="3"/>
  <c r="BG330" i="3"/>
  <c r="BG331" i="3"/>
  <c r="BG332" i="3"/>
  <c r="BG333" i="3"/>
  <c r="BG334" i="3"/>
  <c r="BG335" i="3"/>
  <c r="BG336" i="3"/>
  <c r="BG337" i="3"/>
  <c r="BG338" i="3"/>
  <c r="BG339" i="3"/>
  <c r="BG340" i="3"/>
  <c r="BG341" i="3"/>
  <c r="BG342" i="3"/>
  <c r="BG343" i="3"/>
  <c r="BG344" i="3"/>
  <c r="BG345" i="3"/>
  <c r="BG346" i="3"/>
  <c r="BG347" i="3"/>
  <c r="BG348" i="3"/>
  <c r="BG349" i="3"/>
  <c r="BG350" i="3"/>
  <c r="BG351" i="3"/>
  <c r="BG352" i="3"/>
  <c r="BG353" i="3"/>
  <c r="BG354" i="3"/>
  <c r="BG355" i="3"/>
  <c r="BG356" i="3"/>
  <c r="BG357" i="3"/>
  <c r="BG358" i="3"/>
  <c r="BG359" i="3"/>
  <c r="BG360" i="3"/>
  <c r="BG361" i="3"/>
  <c r="BG362" i="3"/>
  <c r="BG363" i="3"/>
  <c r="BG364" i="3"/>
  <c r="BG365" i="3"/>
  <c r="BG366" i="3"/>
  <c r="BG367" i="3"/>
  <c r="BG368" i="3"/>
  <c r="BG369" i="3"/>
  <c r="BG370" i="3"/>
  <c r="BG371" i="3"/>
  <c r="BG372" i="3"/>
  <c r="BG373" i="3"/>
  <c r="BG374" i="3"/>
  <c r="BG375" i="3"/>
  <c r="BG376" i="3"/>
  <c r="BG377" i="3"/>
  <c r="BG378" i="3"/>
  <c r="BG379" i="3"/>
  <c r="BG380" i="3"/>
  <c r="BG381" i="3"/>
  <c r="BG382" i="3"/>
  <c r="BG383" i="3"/>
  <c r="BG384" i="3"/>
  <c r="BG385" i="3"/>
  <c r="BG386" i="3"/>
  <c r="BG387" i="3"/>
  <c r="BG388" i="3"/>
  <c r="BG389" i="3"/>
  <c r="BG390" i="3"/>
  <c r="BG391" i="3"/>
  <c r="BG392" i="3"/>
  <c r="BG393" i="3"/>
  <c r="BG394" i="3"/>
  <c r="BG395" i="3"/>
  <c r="BG396" i="3"/>
  <c r="BG397" i="3"/>
  <c r="BG398" i="3"/>
  <c r="BG399" i="3"/>
  <c r="BG400" i="3"/>
  <c r="BG401" i="3"/>
  <c r="BG402" i="3"/>
  <c r="BG403" i="3"/>
  <c r="BG404" i="3"/>
  <c r="BG405" i="3"/>
  <c r="BG406" i="3"/>
  <c r="BG407" i="3"/>
  <c r="BG408" i="3"/>
  <c r="BG409" i="3"/>
  <c r="BG410" i="3"/>
  <c r="BG411" i="3"/>
  <c r="BG412" i="3"/>
  <c r="BG413" i="3"/>
  <c r="BG414" i="3"/>
  <c r="BG415" i="3"/>
  <c r="BG416" i="3"/>
  <c r="BG417" i="3"/>
  <c r="BG418" i="3"/>
  <c r="BG419" i="3"/>
  <c r="BG420" i="3"/>
  <c r="BG421" i="3"/>
  <c r="BG422" i="3"/>
  <c r="BG423" i="3"/>
  <c r="BG424" i="3"/>
  <c r="BG425" i="3"/>
  <c r="BG426" i="3"/>
  <c r="BG427" i="3"/>
  <c r="BG428" i="3"/>
  <c r="BG429" i="3"/>
  <c r="BG430" i="3"/>
  <c r="BG431" i="3"/>
  <c r="BG432" i="3"/>
  <c r="BG433" i="3"/>
  <c r="BG434" i="3"/>
  <c r="BG435" i="3"/>
  <c r="BG436" i="3"/>
  <c r="BG437" i="3"/>
  <c r="BG438" i="3"/>
  <c r="BG439" i="3"/>
  <c r="BG440" i="3"/>
  <c r="BG441" i="3"/>
  <c r="BG442" i="3"/>
  <c r="BG443" i="3"/>
  <c r="BG444" i="3"/>
  <c r="BG445" i="3"/>
  <c r="BG446" i="3"/>
  <c r="BG447" i="3"/>
  <c r="BG448" i="3"/>
  <c r="BG449" i="3"/>
  <c r="BG450" i="3"/>
  <c r="BG451" i="3"/>
  <c r="BG452" i="3"/>
  <c r="BG453" i="3"/>
  <c r="BG454" i="3"/>
  <c r="BG455" i="3"/>
  <c r="BG456" i="3"/>
  <c r="BG457" i="3"/>
  <c r="BG458" i="3"/>
  <c r="BG459" i="3"/>
  <c r="BG460" i="3"/>
  <c r="BG461" i="3"/>
  <c r="BG462" i="3"/>
  <c r="BG463" i="3"/>
  <c r="BG464" i="3"/>
  <c r="BG465" i="3"/>
  <c r="BG466" i="3"/>
  <c r="BG467" i="3"/>
  <c r="BG468" i="3"/>
  <c r="BG469" i="3"/>
  <c r="BG470" i="3"/>
  <c r="BG471" i="3"/>
  <c r="BG472" i="3"/>
  <c r="BG473" i="3"/>
  <c r="BG474" i="3"/>
  <c r="BG475" i="3"/>
  <c r="BG476" i="3"/>
  <c r="BG477" i="3"/>
  <c r="BG478" i="3"/>
  <c r="BG479" i="3"/>
  <c r="BG480" i="3"/>
  <c r="BG481" i="3"/>
  <c r="BG482" i="3"/>
  <c r="BG483" i="3"/>
  <c r="BG484" i="3"/>
  <c r="BG485" i="3"/>
  <c r="BG486" i="3"/>
  <c r="BG487" i="3"/>
  <c r="BG488" i="3"/>
  <c r="BG489" i="3"/>
  <c r="BG490" i="3"/>
  <c r="BG491" i="3"/>
  <c r="BG492" i="3"/>
  <c r="BG493" i="3"/>
  <c r="BG494" i="3"/>
  <c r="BG495" i="3"/>
  <c r="BG496" i="3"/>
  <c r="BG497" i="3"/>
  <c r="BG498" i="3"/>
  <c r="BG499" i="3"/>
  <c r="BG500" i="3"/>
  <c r="BG501" i="3"/>
  <c r="BG502" i="3"/>
  <c r="BG503" i="3"/>
  <c r="BG504" i="3"/>
  <c r="BG505" i="3"/>
  <c r="BG506" i="3"/>
  <c r="BG507" i="3"/>
  <c r="BG508" i="3"/>
  <c r="BG509" i="3"/>
  <c r="BG510" i="3"/>
  <c r="BG511" i="3"/>
  <c r="BG512" i="3"/>
  <c r="BG513" i="3"/>
  <c r="BG514" i="3"/>
  <c r="BG515" i="3"/>
  <c r="BG516" i="3"/>
  <c r="BG517" i="3"/>
  <c r="BG518" i="3"/>
  <c r="BG519" i="3"/>
  <c r="BG520" i="3"/>
  <c r="BG521" i="3"/>
  <c r="BG522" i="3"/>
  <c r="BG523" i="3"/>
  <c r="BG524" i="3"/>
  <c r="BG525" i="3"/>
  <c r="BG526" i="3"/>
  <c r="BG527" i="3"/>
  <c r="BG528" i="3"/>
  <c r="BG529" i="3"/>
  <c r="BG530" i="3"/>
  <c r="BG531" i="3"/>
  <c r="BG532" i="3"/>
  <c r="BG533" i="3"/>
  <c r="BG534" i="3"/>
  <c r="BG535" i="3"/>
  <c r="BG536" i="3"/>
  <c r="BG537" i="3"/>
  <c r="BG538" i="3"/>
  <c r="BG539" i="3"/>
  <c r="BG540" i="3"/>
  <c r="BG541" i="3"/>
  <c r="BG542" i="3"/>
  <c r="BG543" i="3"/>
  <c r="BG544" i="3"/>
  <c r="BG545" i="3"/>
  <c r="BG546" i="3"/>
  <c r="BG547" i="3"/>
  <c r="BG548" i="3"/>
  <c r="BG549" i="3"/>
  <c r="BG550" i="3"/>
  <c r="BG551" i="3"/>
  <c r="BG552" i="3"/>
  <c r="BG553" i="3"/>
  <c r="BG554" i="3"/>
  <c r="BG555" i="3"/>
  <c r="BG556" i="3"/>
  <c r="BG557" i="3"/>
  <c r="BG558" i="3"/>
  <c r="BG559" i="3"/>
  <c r="BG560" i="3"/>
  <c r="BG561" i="3"/>
  <c r="BG562" i="3"/>
  <c r="BG563" i="3"/>
  <c r="BG564" i="3"/>
  <c r="BG565" i="3"/>
  <c r="BG566" i="3"/>
  <c r="BG567" i="3"/>
  <c r="BG568" i="3"/>
  <c r="BG569" i="3"/>
  <c r="BG570" i="3"/>
  <c r="BG571" i="3"/>
  <c r="BG572" i="3"/>
  <c r="BG573" i="3"/>
  <c r="BG574" i="3"/>
  <c r="BG575" i="3"/>
  <c r="BG576" i="3"/>
  <c r="BG577" i="3"/>
  <c r="BG578" i="3"/>
  <c r="BG579" i="3"/>
  <c r="BG580" i="3"/>
  <c r="BG581" i="3"/>
  <c r="BG582" i="3"/>
  <c r="BG583" i="3"/>
  <c r="BG584" i="3"/>
  <c r="BG585" i="3"/>
  <c r="BG586" i="3"/>
  <c r="BG587" i="3"/>
  <c r="BG588" i="3"/>
  <c r="BG589" i="3"/>
  <c r="BG590" i="3"/>
  <c r="BG591" i="3"/>
  <c r="BG592" i="3"/>
  <c r="BG593" i="3"/>
  <c r="BG594" i="3"/>
  <c r="BG595" i="3"/>
  <c r="BG596" i="3"/>
  <c r="BG597" i="3"/>
  <c r="BG598" i="3"/>
  <c r="BG599" i="3"/>
  <c r="BG600" i="3"/>
  <c r="BG601" i="3"/>
  <c r="BG602" i="3"/>
  <c r="BG603" i="3"/>
  <c r="BG604" i="3"/>
  <c r="BG605" i="3"/>
  <c r="BG606" i="3"/>
  <c r="BG607" i="3"/>
  <c r="BG608" i="3"/>
  <c r="BG609" i="3"/>
  <c r="BG610" i="3"/>
  <c r="BG611" i="3"/>
  <c r="BG612" i="3"/>
  <c r="BG613" i="3"/>
  <c r="BG614" i="3"/>
  <c r="BG615" i="3"/>
  <c r="BG616" i="3"/>
  <c r="BG617" i="3"/>
  <c r="BG618" i="3"/>
  <c r="BG619" i="3"/>
  <c r="BG620" i="3"/>
  <c r="BG621" i="3"/>
  <c r="BG622" i="3"/>
  <c r="BG623" i="3"/>
  <c r="BG624" i="3"/>
  <c r="BG625" i="3"/>
  <c r="BG626" i="3"/>
  <c r="BG627" i="3"/>
  <c r="BG628" i="3"/>
  <c r="BG629" i="3"/>
  <c r="BG630" i="3"/>
  <c r="BG631" i="3"/>
  <c r="BG632" i="3"/>
  <c r="BG633" i="3"/>
  <c r="BG634" i="3"/>
  <c r="BG635" i="3"/>
  <c r="BG636" i="3"/>
  <c r="BG637" i="3"/>
  <c r="BG638" i="3"/>
  <c r="BG639" i="3"/>
  <c r="BG640" i="3"/>
  <c r="BG641" i="3"/>
  <c r="BG642" i="3"/>
  <c r="BG643" i="3"/>
  <c r="BG644" i="3"/>
  <c r="BG645" i="3"/>
  <c r="BG646" i="3"/>
  <c r="BG647" i="3"/>
  <c r="BG648" i="3"/>
  <c r="BG649" i="3"/>
  <c r="BG650" i="3"/>
  <c r="BG651" i="3"/>
  <c r="BG652" i="3"/>
  <c r="BG653" i="3"/>
  <c r="BG654" i="3"/>
  <c r="BG655" i="3"/>
  <c r="BG656" i="3"/>
  <c r="BG657" i="3"/>
  <c r="BG658" i="3"/>
  <c r="BG659" i="3"/>
  <c r="BG660" i="3"/>
  <c r="BG661" i="3"/>
  <c r="BG662" i="3"/>
  <c r="BG663" i="3"/>
  <c r="BG664" i="3"/>
  <c r="BG665" i="3"/>
  <c r="BG666" i="3"/>
  <c r="BG667" i="3"/>
  <c r="BG668" i="3"/>
  <c r="BG669" i="3"/>
  <c r="BG670" i="3"/>
  <c r="BG671" i="3"/>
  <c r="BG672" i="3"/>
  <c r="BG673" i="3"/>
  <c r="BG674" i="3"/>
  <c r="BG675" i="3"/>
  <c r="BG676" i="3"/>
  <c r="BG677" i="3"/>
  <c r="BG678" i="3"/>
  <c r="BG679" i="3"/>
  <c r="BG680" i="3"/>
  <c r="BG681" i="3"/>
  <c r="BG682" i="3"/>
  <c r="BG683" i="3"/>
  <c r="BG684" i="3"/>
  <c r="BG685" i="3"/>
  <c r="BG686" i="3"/>
  <c r="BG687" i="3"/>
  <c r="BG688" i="3"/>
  <c r="BG689" i="3"/>
  <c r="BG690" i="3"/>
  <c r="BG691" i="3"/>
  <c r="BG692" i="3"/>
  <c r="BG693" i="3"/>
  <c r="BG694" i="3"/>
  <c r="BG695" i="3"/>
  <c r="BG696" i="3"/>
  <c r="BG697" i="3"/>
  <c r="BG698" i="3"/>
  <c r="BG699" i="3"/>
  <c r="BG700" i="3"/>
  <c r="BG701" i="3"/>
  <c r="BG702" i="3"/>
  <c r="BG703" i="3"/>
  <c r="BG704" i="3"/>
  <c r="BG705" i="3"/>
  <c r="BG706" i="3"/>
  <c r="BG707" i="3"/>
  <c r="BG708" i="3"/>
  <c r="BG709" i="3"/>
  <c r="BG710" i="3"/>
  <c r="BG711" i="3"/>
  <c r="BG712" i="3"/>
  <c r="BG713" i="3"/>
  <c r="BG714" i="3"/>
  <c r="BG715" i="3"/>
  <c r="BG716" i="3"/>
  <c r="BG717" i="3"/>
  <c r="BG718" i="3"/>
  <c r="BG719" i="3"/>
  <c r="BG720" i="3"/>
  <c r="BG721" i="3"/>
  <c r="BG722" i="3"/>
  <c r="BG723" i="3"/>
  <c r="BG724" i="3"/>
  <c r="BG725" i="3"/>
  <c r="BG726" i="3"/>
  <c r="BG727" i="3"/>
  <c r="BG728" i="3"/>
  <c r="BG729" i="3"/>
  <c r="BG730" i="3"/>
  <c r="BG731" i="3"/>
  <c r="BG732" i="3"/>
  <c r="BG733" i="3"/>
  <c r="BG734" i="3"/>
  <c r="BG735" i="3"/>
  <c r="BG736" i="3"/>
  <c r="BG737" i="3"/>
  <c r="BG738" i="3"/>
  <c r="BG739" i="3"/>
  <c r="BG740" i="3"/>
  <c r="BG741" i="3"/>
  <c r="BG742" i="3"/>
  <c r="BG743" i="3"/>
  <c r="BG744" i="3"/>
  <c r="BG745" i="3"/>
  <c r="BG746" i="3"/>
  <c r="BG747" i="3"/>
  <c r="BG748" i="3"/>
  <c r="BG749" i="3"/>
  <c r="BG750" i="3"/>
  <c r="BG751" i="3"/>
  <c r="BG752" i="3"/>
  <c r="BG753" i="3"/>
  <c r="BG754" i="3"/>
  <c r="BG755" i="3"/>
  <c r="BG756" i="3"/>
  <c r="BG757" i="3"/>
  <c r="BG758" i="3"/>
  <c r="BG759" i="3"/>
  <c r="BG760" i="3"/>
  <c r="BG761" i="3"/>
  <c r="BG762" i="3"/>
  <c r="BG763" i="3"/>
  <c r="BG764" i="3"/>
  <c r="BG765" i="3"/>
  <c r="BG766" i="3"/>
  <c r="BG767" i="3"/>
  <c r="BG768" i="3"/>
  <c r="BG769" i="3"/>
  <c r="BG770" i="3"/>
  <c r="BG771" i="3"/>
  <c r="BG772" i="3"/>
  <c r="BG773" i="3"/>
  <c r="BG774" i="3"/>
  <c r="BG775" i="3"/>
  <c r="BG776" i="3"/>
  <c r="BG777" i="3"/>
  <c r="BG778" i="3"/>
  <c r="BG779" i="3"/>
  <c r="BG780" i="3"/>
  <c r="BG781" i="3"/>
  <c r="BG782" i="3"/>
  <c r="BG783" i="3"/>
  <c r="BG784" i="3"/>
  <c r="BG785" i="3"/>
  <c r="BG786" i="3"/>
  <c r="BG787" i="3"/>
  <c r="BG788" i="3"/>
  <c r="BG789" i="3"/>
  <c r="BG790" i="3"/>
  <c r="BG791" i="3"/>
  <c r="BG792" i="3"/>
  <c r="BG793" i="3"/>
  <c r="BG794" i="3"/>
  <c r="BG795" i="3"/>
  <c r="BG796" i="3"/>
  <c r="BG797" i="3"/>
  <c r="BG798" i="3"/>
  <c r="BG799" i="3"/>
  <c r="BG800" i="3"/>
  <c r="BG802" i="3"/>
  <c r="BG803" i="3"/>
  <c r="BG804" i="3"/>
  <c r="BG805" i="3"/>
  <c r="BG806" i="3"/>
  <c r="BG807" i="3"/>
  <c r="BG808" i="3"/>
  <c r="BG809" i="3"/>
  <c r="BG810" i="3"/>
  <c r="BG811" i="3"/>
  <c r="BG812" i="3"/>
  <c r="BG813" i="3"/>
  <c r="BG814" i="3"/>
  <c r="BG815" i="3"/>
  <c r="BG816" i="3"/>
  <c r="BG817" i="3"/>
  <c r="BG818" i="3"/>
  <c r="BG819" i="3"/>
  <c r="BG820" i="3"/>
  <c r="BG821" i="3"/>
  <c r="BG822" i="3"/>
  <c r="BG823" i="3"/>
  <c r="BG824" i="3"/>
  <c r="BG825" i="3"/>
  <c r="BG826" i="3"/>
  <c r="BG827" i="3"/>
  <c r="BG828" i="3"/>
  <c r="BG829" i="3"/>
  <c r="BG830" i="3"/>
  <c r="BG831" i="3"/>
  <c r="BG832" i="3"/>
  <c r="BG833" i="3"/>
  <c r="BG834" i="3"/>
  <c r="BG835" i="3"/>
  <c r="BG836" i="3"/>
  <c r="BG837" i="3"/>
  <c r="BG839" i="3"/>
  <c r="BG840" i="3"/>
  <c r="BG841" i="3"/>
  <c r="BG842" i="3"/>
  <c r="BG843" i="3"/>
  <c r="BG844" i="3"/>
  <c r="BG845" i="3"/>
  <c r="BG846" i="3"/>
  <c r="BG847" i="3"/>
  <c r="BG849" i="3"/>
  <c r="BG850" i="3"/>
  <c r="BG851" i="3"/>
  <c r="BG852" i="3"/>
  <c r="BG853" i="3"/>
  <c r="BG854" i="3"/>
  <c r="BG855" i="3"/>
  <c r="BG856" i="3"/>
  <c r="BG857" i="3"/>
  <c r="BG858" i="3"/>
  <c r="BG859" i="3"/>
  <c r="BG860" i="3"/>
  <c r="BG861" i="3"/>
  <c r="BG864" i="3"/>
  <c r="BG865" i="3"/>
  <c r="BG866" i="3"/>
  <c r="BG867" i="3"/>
  <c r="BG868" i="3"/>
  <c r="BG869" i="3"/>
  <c r="BG870" i="3"/>
  <c r="BG871" i="3"/>
  <c r="BG872" i="3"/>
  <c r="BG875" i="3"/>
  <c r="BG876" i="3"/>
  <c r="BG877" i="3"/>
  <c r="BG878" i="3"/>
  <c r="BG936" i="3"/>
  <c r="BG880" i="3"/>
  <c r="BG881" i="3"/>
  <c r="BG882" i="3"/>
  <c r="BG883" i="3"/>
  <c r="BG884" i="3"/>
  <c r="BG885" i="3"/>
  <c r="BG886" i="3"/>
  <c r="BG887" i="3"/>
  <c r="BG888" i="3"/>
  <c r="BG889" i="3"/>
  <c r="BG890" i="3"/>
  <c r="BG891" i="3"/>
  <c r="BG892" i="3"/>
  <c r="BG893" i="3"/>
  <c r="BG902" i="3"/>
  <c r="BG894" i="3"/>
  <c r="BG895" i="3"/>
  <c r="BG896" i="3"/>
  <c r="BG897" i="3"/>
  <c r="BG898" i="3"/>
  <c r="BG899" i="3"/>
  <c r="BG900" i="3"/>
  <c r="BG901" i="3"/>
  <c r="BG903" i="3"/>
  <c r="BG904" i="3"/>
  <c r="BG905" i="3"/>
  <c r="BG906" i="3"/>
  <c r="BG907" i="3"/>
  <c r="BG908" i="3"/>
  <c r="BG909" i="3"/>
  <c r="BG910" i="3"/>
  <c r="BG911" i="3"/>
  <c r="BG912" i="3"/>
  <c r="BG925" i="3"/>
  <c r="BG938" i="3"/>
  <c r="BG940" i="3"/>
  <c r="BG941" i="3"/>
  <c r="BG942" i="3"/>
  <c r="BG943" i="3"/>
  <c r="BG961" i="3"/>
  <c r="BG964" i="3"/>
  <c r="BG967" i="3"/>
  <c r="BG968" i="3"/>
  <c r="BG969" i="3"/>
  <c r="BG922" i="3"/>
  <c r="BG1112" i="3"/>
  <c r="BG913" i="3"/>
  <c r="BG914" i="3"/>
  <c r="BG974" i="3"/>
  <c r="BG915" i="3"/>
  <c r="BG916" i="3"/>
  <c r="BG917" i="3"/>
  <c r="BG918" i="3"/>
  <c r="BG970" i="3"/>
  <c r="BG874" i="3"/>
  <c r="BG924" i="3"/>
  <c r="BG929" i="3"/>
  <c r="BG1031" i="3"/>
  <c r="BG1053" i="3"/>
  <c r="BG926" i="3"/>
  <c r="BG987" i="3"/>
  <c r="BG988" i="3"/>
  <c r="BG955" i="3"/>
  <c r="BG1000" i="3"/>
  <c r="BG1011" i="3"/>
  <c r="BG1012" i="3"/>
  <c r="BG1039" i="3"/>
  <c r="BG1040" i="3"/>
  <c r="BG1081" i="3"/>
  <c r="BG1113" i="3"/>
  <c r="BG1051" i="3"/>
  <c r="BG1114" i="3"/>
  <c r="BG939" i="3"/>
  <c r="BG945" i="3"/>
  <c r="BG994" i="3"/>
  <c r="BG996" i="3"/>
  <c r="BG948" i="3"/>
  <c r="BG944" i="3"/>
  <c r="BG1059" i="3"/>
  <c r="BG1035" i="3"/>
  <c r="BG930" i="3"/>
  <c r="BG1036" i="3"/>
  <c r="BG1006" i="3"/>
  <c r="BG953" i="3"/>
  <c r="BG954" i="3"/>
  <c r="BG1052" i="3"/>
  <c r="BG1045" i="3"/>
  <c r="BG932" i="3"/>
  <c r="BG947" i="3"/>
  <c r="BG995" i="3"/>
  <c r="BG993" i="3"/>
  <c r="BG978" i="3"/>
  <c r="BG949" i="3"/>
  <c r="BG952" i="3"/>
  <c r="BG1007" i="3"/>
  <c r="BG1133" i="3"/>
  <c r="BG1111" i="3"/>
  <c r="BG963" i="3"/>
  <c r="BG1009" i="3"/>
  <c r="BG971" i="3"/>
  <c r="BG965" i="3"/>
  <c r="BG966" i="3"/>
  <c r="BG972" i="3"/>
  <c r="BG919" i="3"/>
  <c r="BG975" i="3"/>
  <c r="BG1037" i="3"/>
  <c r="BG1038" i="3"/>
  <c r="BG1072" i="3"/>
  <c r="BG1062" i="3"/>
  <c r="BG1151" i="3"/>
  <c r="BG1021" i="3"/>
  <c r="BG1022" i="3"/>
  <c r="BG1010" i="3"/>
  <c r="BG1057" i="3"/>
  <c r="BG957" i="3"/>
  <c r="BG937" i="3"/>
  <c r="BG933" i="3"/>
  <c r="BG958" i="3"/>
  <c r="BG959" i="3"/>
  <c r="BG960" i="3"/>
  <c r="BG1003" i="3"/>
  <c r="BG1001" i="3"/>
  <c r="BG977" i="3"/>
  <c r="BG920" i="3"/>
  <c r="BG1002" i="3"/>
  <c r="BG921" i="3"/>
  <c r="BG950" i="3"/>
  <c r="BG1005" i="3"/>
  <c r="BG934" i="3"/>
  <c r="BG1094" i="3"/>
  <c r="BG1090" i="3"/>
  <c r="BG1068" i="3"/>
  <c r="BG1070" i="3"/>
  <c r="BG1091" i="3"/>
  <c r="BG976" i="3"/>
  <c r="BG946" i="3"/>
  <c r="BG1065" i="3"/>
  <c r="U1009" i="3"/>
  <c r="BH1009" i="3"/>
  <c r="BF1009" i="3"/>
  <c r="BE1009" i="3"/>
  <c r="AX1009" i="3"/>
  <c r="AY1009" i="3" s="1"/>
  <c r="AC1009" i="3"/>
  <c r="F1009" i="3" a="1"/>
  <c r="C1009" i="3"/>
  <c r="F1065" i="3" a="1"/>
  <c r="F1304" i="3" a="1"/>
  <c r="F961" i="3" a="1"/>
  <c r="C961" i="3"/>
  <c r="V961" i="3"/>
  <c r="AC961" i="3"/>
  <c r="AY961" i="3"/>
  <c r="BE961" i="3"/>
  <c r="BF961" i="3"/>
  <c r="BH961" i="3"/>
  <c r="X123" i="70"/>
  <c r="BH967" i="3"/>
  <c r="BF967" i="3"/>
  <c r="BE967" i="3"/>
  <c r="W967" i="3" s="1"/>
  <c r="AX967" i="3"/>
  <c r="AY967" i="3" s="1"/>
  <c r="AC967" i="3"/>
  <c r="F967" i="3" a="1"/>
  <c r="C967" i="3"/>
  <c r="U946" i="3"/>
  <c r="V946" i="3" s="1"/>
  <c r="U996" i="3"/>
  <c r="V996" i="3" s="1"/>
  <c r="BH946" i="3"/>
  <c r="BF946" i="3"/>
  <c r="BE946" i="3"/>
  <c r="AX946" i="3"/>
  <c r="AY946" i="3" s="1"/>
  <c r="AC946" i="3"/>
  <c r="C946" i="3"/>
  <c r="F1006" i="3" a="1"/>
  <c r="AX1006" i="3"/>
  <c r="AY1006" i="3" s="1"/>
  <c r="BH1006" i="3"/>
  <c r="BF1006" i="3"/>
  <c r="BE1006" i="3"/>
  <c r="AC1006" i="3"/>
  <c r="V1006" i="3"/>
  <c r="C1006" i="3"/>
  <c r="BH925" i="3"/>
  <c r="BF925" i="3"/>
  <c r="BE925" i="3"/>
  <c r="AX925" i="3"/>
  <c r="AY925" i="3" s="1"/>
  <c r="AC925" i="3"/>
  <c r="F925" i="3" a="1"/>
  <c r="C925" i="3"/>
  <c r="BH937" i="3"/>
  <c r="BF937" i="3"/>
  <c r="BE937" i="3"/>
  <c r="AX937" i="3"/>
  <c r="AY937" i="3" s="1"/>
  <c r="AC937" i="3"/>
  <c r="F937" i="3" a="1"/>
  <c r="C937" i="3"/>
  <c r="U139" i="122"/>
  <c r="V139" i="122"/>
  <c r="X139" i="122"/>
  <c r="U136" i="122"/>
  <c r="V136" i="122"/>
  <c r="W136" i="122"/>
  <c r="X136" i="122"/>
  <c r="U132" i="122"/>
  <c r="V132" i="122"/>
  <c r="W132" i="122"/>
  <c r="X132" i="122"/>
  <c r="U128" i="122"/>
  <c r="V128" i="122"/>
  <c r="W128" i="122"/>
  <c r="X128" i="122"/>
  <c r="U124" i="122"/>
  <c r="V124" i="122"/>
  <c r="W124" i="122"/>
  <c r="X124" i="122"/>
  <c r="U116" i="122"/>
  <c r="V116" i="122"/>
  <c r="W116" i="122"/>
  <c r="X116" i="122"/>
  <c r="U108" i="122"/>
  <c r="V108" i="122"/>
  <c r="W108" i="122"/>
  <c r="X108" i="122"/>
  <c r="W104" i="122"/>
  <c r="X104" i="122"/>
  <c r="T93" i="122"/>
  <c r="U93" i="122"/>
  <c r="V93" i="122"/>
  <c r="X93" i="122"/>
  <c r="U90" i="122"/>
  <c r="V90" i="122"/>
  <c r="W90" i="122"/>
  <c r="X90" i="122"/>
  <c r="U86" i="122"/>
  <c r="V86" i="122"/>
  <c r="W86" i="122"/>
  <c r="X86" i="122"/>
  <c r="U82" i="122"/>
  <c r="V82" i="122"/>
  <c r="W82" i="122"/>
  <c r="X82" i="122"/>
  <c r="X78" i="122"/>
  <c r="U73" i="122"/>
  <c r="V73" i="122"/>
  <c r="W73" i="122"/>
  <c r="X73" i="122"/>
  <c r="U70" i="122"/>
  <c r="V70" i="122"/>
  <c r="W70" i="122"/>
  <c r="X70" i="122"/>
  <c r="U62" i="122"/>
  <c r="V62" i="122"/>
  <c r="X62" i="122"/>
  <c r="U58" i="122"/>
  <c r="W58" i="122"/>
  <c r="U54" i="122"/>
  <c r="V54" i="122"/>
  <c r="X54" i="122"/>
  <c r="U40" i="122"/>
  <c r="X40" i="122"/>
  <c r="V36" i="122"/>
  <c r="W36" i="122"/>
  <c r="X36" i="122"/>
  <c r="U32" i="122"/>
  <c r="V32" i="122"/>
  <c r="W32" i="122"/>
  <c r="X32" i="122"/>
  <c r="V20" i="122"/>
  <c r="X20" i="122"/>
  <c r="U12" i="122"/>
  <c r="V12" i="122"/>
  <c r="W12" i="122"/>
  <c r="X12" i="122"/>
  <c r="BC250" i="70"/>
  <c r="AS250" i="70"/>
  <c r="AA250" i="70"/>
  <c r="X250" i="70"/>
  <c r="C250" i="70"/>
  <c r="BC251" i="70"/>
  <c r="AS251" i="70"/>
  <c r="AA251" i="70"/>
  <c r="X251" i="70"/>
  <c r="C251" i="70"/>
  <c r="BC257" i="70"/>
  <c r="AS257" i="70"/>
  <c r="AA257" i="70"/>
  <c r="X257" i="70"/>
  <c r="C257" i="70"/>
  <c r="BC246" i="70"/>
  <c r="AS246" i="70"/>
  <c r="AA246" i="70"/>
  <c r="X246" i="70"/>
  <c r="C246" i="70"/>
  <c r="BC247" i="70"/>
  <c r="AS247" i="70"/>
  <c r="AA247" i="70"/>
  <c r="X247" i="70"/>
  <c r="C247" i="70"/>
  <c r="BC245" i="70"/>
  <c r="AS245" i="70"/>
  <c r="AA245" i="70"/>
  <c r="X245" i="70"/>
  <c r="C245" i="70"/>
  <c r="BC248" i="70"/>
  <c r="AS248" i="70"/>
  <c r="AA248" i="70"/>
  <c r="X248" i="70"/>
  <c r="C248" i="70"/>
  <c r="BC249" i="70"/>
  <c r="AS249" i="70"/>
  <c r="AA249" i="70"/>
  <c r="X249" i="70"/>
  <c r="C249" i="70"/>
  <c r="BC258" i="70"/>
  <c r="AS258" i="70"/>
  <c r="AA258" i="70"/>
  <c r="X258" i="70"/>
  <c r="C258" i="70"/>
  <c r="U871" i="3"/>
  <c r="V871" i="3" s="1"/>
  <c r="C212" i="70"/>
  <c r="C209" i="70"/>
  <c r="C202" i="70"/>
  <c r="C203" i="70"/>
  <c r="C204" i="70"/>
  <c r="C205" i="70"/>
  <c r="C198" i="70"/>
  <c r="C185" i="70"/>
  <c r="C193" i="70"/>
  <c r="F868" i="3" a="1"/>
  <c r="BH868" i="3"/>
  <c r="BF868" i="3"/>
  <c r="BE868" i="3"/>
  <c r="AY868" i="3"/>
  <c r="AC868" i="3"/>
  <c r="V868" i="3"/>
  <c r="C868" i="3"/>
  <c r="U176" i="70"/>
  <c r="U177" i="70"/>
  <c r="U178" i="70"/>
  <c r="U179" i="70"/>
  <c r="U175" i="70"/>
  <c r="BC178" i="70"/>
  <c r="AS178" i="70"/>
  <c r="AA178" i="70"/>
  <c r="X178" i="70"/>
  <c r="C178" i="70"/>
  <c r="BC179" i="70"/>
  <c r="AS179" i="70"/>
  <c r="AA179" i="70"/>
  <c r="X179" i="70"/>
  <c r="C179" i="70"/>
  <c r="F975" i="3" a="1"/>
  <c r="AY975" i="3"/>
  <c r="BH975" i="3"/>
  <c r="BF975" i="3"/>
  <c r="BE975" i="3"/>
  <c r="AC975" i="3"/>
  <c r="V975" i="3"/>
  <c r="C975" i="3"/>
  <c r="U947" i="3"/>
  <c r="V947" i="3" s="1"/>
  <c r="U913" i="3"/>
  <c r="V913" i="3" s="1"/>
  <c r="BH913" i="3"/>
  <c r="BF913" i="3"/>
  <c r="BE913" i="3"/>
  <c r="AX913" i="3"/>
  <c r="AY913" i="3" s="1"/>
  <c r="AC913" i="3"/>
  <c r="C913" i="3"/>
  <c r="F1000" i="3" a="1"/>
  <c r="F941" i="3" a="1"/>
  <c r="U1000" i="3"/>
  <c r="X1000" i="3" s="1"/>
  <c r="U941" i="3"/>
  <c r="V941" i="3" s="1"/>
  <c r="AX1000" i="3"/>
  <c r="AY1000" i="3" s="1"/>
  <c r="AX941" i="3"/>
  <c r="AY941" i="3" s="1"/>
  <c r="BH1000" i="3"/>
  <c r="BF1000" i="3"/>
  <c r="BE1000" i="3"/>
  <c r="AC1000" i="3"/>
  <c r="C1000" i="3"/>
  <c r="BH941" i="3"/>
  <c r="BF941" i="3"/>
  <c r="BE941" i="3"/>
  <c r="AC941" i="3"/>
  <c r="C941" i="3"/>
  <c r="BH952" i="3"/>
  <c r="BF952" i="3"/>
  <c r="BE952" i="3"/>
  <c r="W952" i="3" s="1"/>
  <c r="AY952" i="3"/>
  <c r="AC952" i="3"/>
  <c r="F952" i="3" a="1"/>
  <c r="C952" i="3"/>
  <c r="AM871" i="3"/>
  <c r="AM875" i="3"/>
  <c r="AM870" i="3"/>
  <c r="AM869" i="3"/>
  <c r="AM876" i="3"/>
  <c r="AM877" i="3"/>
  <c r="AM878" i="3"/>
  <c r="AM628" i="3"/>
  <c r="AM880" i="3"/>
  <c r="AM865" i="3"/>
  <c r="AM867" i="3"/>
  <c r="AM850" i="3"/>
  <c r="AM853" i="3"/>
  <c r="AM855" i="3"/>
  <c r="AM856" i="3"/>
  <c r="AM857" i="3"/>
  <c r="AM844" i="3"/>
  <c r="AM845" i="3"/>
  <c r="AM825" i="3"/>
  <c r="AM826" i="3"/>
  <c r="AM828" i="3"/>
  <c r="AM829" i="3"/>
  <c r="AM830" i="3"/>
  <c r="AM832" i="3"/>
  <c r="AM833" i="3"/>
  <c r="AM824" i="3"/>
  <c r="AM817" i="3"/>
  <c r="AM818" i="3"/>
  <c r="AM819" i="3"/>
  <c r="AM820" i="3"/>
  <c r="AM813" i="3"/>
  <c r="AM814" i="3"/>
  <c r="AM807" i="3"/>
  <c r="AM808" i="3"/>
  <c r="AM809" i="3"/>
  <c r="AM793" i="3"/>
  <c r="AM794" i="3"/>
  <c r="AM795" i="3"/>
  <c r="AM796" i="3"/>
  <c r="AM797" i="3"/>
  <c r="AM800" i="3"/>
  <c r="AM802" i="3"/>
  <c r="AM774" i="3"/>
  <c r="AM775" i="3"/>
  <c r="AM776" i="3"/>
  <c r="AM777" i="3"/>
  <c r="AM778" i="3"/>
  <c r="AM779" i="3"/>
  <c r="AM780" i="3"/>
  <c r="AM781" i="3"/>
  <c r="AM782" i="3"/>
  <c r="AM783" i="3"/>
  <c r="AM767" i="3"/>
  <c r="AM768" i="3"/>
  <c r="AM769" i="3"/>
  <c r="AM770" i="3"/>
  <c r="AM771" i="3"/>
  <c r="AM772" i="3"/>
  <c r="AM773" i="3"/>
  <c r="AM724" i="3"/>
  <c r="AM725" i="3"/>
  <c r="AM726" i="3"/>
  <c r="AM727" i="3"/>
  <c r="AM728" i="3"/>
  <c r="AM729" i="3"/>
  <c r="AM730" i="3"/>
  <c r="AM731" i="3"/>
  <c r="AM732" i="3"/>
  <c r="AM733" i="3"/>
  <c r="AM734" i="3"/>
  <c r="AM735" i="3"/>
  <c r="AM736" i="3"/>
  <c r="AM737" i="3"/>
  <c r="AM740" i="3"/>
  <c r="AM741" i="3"/>
  <c r="AM742" i="3"/>
  <c r="AM743" i="3"/>
  <c r="AM744" i="3"/>
  <c r="AM745" i="3"/>
  <c r="AM746" i="3"/>
  <c r="AM747" i="3"/>
  <c r="AM748" i="3"/>
  <c r="AM749" i="3"/>
  <c r="AM750" i="3"/>
  <c r="AM751" i="3"/>
  <c r="AM752" i="3"/>
  <c r="AM753" i="3"/>
  <c r="AM754" i="3"/>
  <c r="AM755" i="3"/>
  <c r="AM756" i="3"/>
  <c r="AM757" i="3"/>
  <c r="AM758" i="3"/>
  <c r="AM759" i="3"/>
  <c r="AM716" i="3"/>
  <c r="AM717" i="3"/>
  <c r="AM718" i="3"/>
  <c r="AM719" i="3"/>
  <c r="AM720" i="3"/>
  <c r="AM691" i="3"/>
  <c r="AU691" i="3" s="1"/>
  <c r="AM695" i="3"/>
  <c r="AM696" i="3"/>
  <c r="AU696" i="3" s="1"/>
  <c r="AM697" i="3"/>
  <c r="AU697" i="3" s="1"/>
  <c r="AM698" i="3"/>
  <c r="AU698" i="3" s="1"/>
  <c r="AM699" i="3"/>
  <c r="AU699" i="3" s="1"/>
  <c r="AM700" i="3"/>
  <c r="AU700" i="3" s="1"/>
  <c r="AM701" i="3"/>
  <c r="AU701" i="3" s="1"/>
  <c r="AM702" i="3"/>
  <c r="AM703" i="3"/>
  <c r="AU703" i="3" s="1"/>
  <c r="AM704" i="3"/>
  <c r="AU704" i="3" s="1"/>
  <c r="AM705" i="3"/>
  <c r="AM707" i="3"/>
  <c r="AM708" i="3"/>
  <c r="AM709" i="3"/>
  <c r="AM710" i="3"/>
  <c r="AM672" i="3"/>
  <c r="AU672" i="3" s="1"/>
  <c r="AM673" i="3"/>
  <c r="AU673" i="3" s="1"/>
  <c r="AM674" i="3"/>
  <c r="AU674" i="3" s="1"/>
  <c r="AM675" i="3"/>
  <c r="AU675" i="3" s="1"/>
  <c r="AM676" i="3"/>
  <c r="AU676" i="3" s="1"/>
  <c r="AM677" i="3"/>
  <c r="AU677" i="3" s="1"/>
  <c r="AM678" i="3"/>
  <c r="AU678" i="3" s="1"/>
  <c r="AM682" i="3"/>
  <c r="AU682" i="3" s="1"/>
  <c r="AM683" i="3"/>
  <c r="AU683" i="3" s="1"/>
  <c r="AM684" i="3"/>
  <c r="AU684" i="3" s="1"/>
  <c r="AM688" i="3"/>
  <c r="AU688" i="3" s="1"/>
  <c r="AM689" i="3"/>
  <c r="AU689" i="3" s="1"/>
  <c r="AM666" i="3"/>
  <c r="AM653" i="3"/>
  <c r="AU653" i="3" s="1"/>
  <c r="AM654" i="3"/>
  <c r="AM656" i="3"/>
  <c r="AU656" i="3" s="1"/>
  <c r="AM657" i="3"/>
  <c r="AU657" i="3" s="1"/>
  <c r="AM658" i="3"/>
  <c r="AM659" i="3"/>
  <c r="AU659" i="3" s="1"/>
  <c r="AU652" i="3"/>
  <c r="AM632" i="3"/>
  <c r="AM633" i="3"/>
  <c r="AU633" i="3" s="1"/>
  <c r="AM629" i="3"/>
  <c r="AM623" i="3"/>
  <c r="AM624" i="3"/>
  <c r="AM625" i="3"/>
  <c r="AM626" i="3"/>
  <c r="AM627" i="3"/>
  <c r="AU627" i="3" s="1"/>
  <c r="AM606" i="3"/>
  <c r="AM607" i="3"/>
  <c r="AM608" i="3"/>
  <c r="AM609" i="3"/>
  <c r="AM602" i="3"/>
  <c r="AM559" i="3"/>
  <c r="AJ1003" i="3"/>
  <c r="AJ919" i="3"/>
  <c r="AJ1053" i="3"/>
  <c r="AJ901" i="3"/>
  <c r="AJ1011" i="3"/>
  <c r="AJ955" i="3"/>
  <c r="AJ918" i="3"/>
  <c r="AJ917" i="3"/>
  <c r="AJ916" i="3"/>
  <c r="AJ915" i="3"/>
  <c r="AJ893" i="3"/>
  <c r="AJ892" i="3"/>
  <c r="AJ852" i="3"/>
  <c r="AJ851" i="3"/>
  <c r="AJ850" i="3"/>
  <c r="AJ846" i="3"/>
  <c r="AJ814" i="3"/>
  <c r="AK797" i="3"/>
  <c r="AK796" i="3"/>
  <c r="AK795" i="3"/>
  <c r="AK794" i="3"/>
  <c r="AK793" i="3"/>
  <c r="C1304" i="3"/>
  <c r="C1065" i="3"/>
  <c r="AC1304" i="3"/>
  <c r="AC1065" i="3"/>
  <c r="AY1304" i="3"/>
  <c r="AY1065" i="3"/>
  <c r="BE1065" i="3"/>
  <c r="BF1065" i="3"/>
  <c r="BH1304" i="3"/>
  <c r="BH1065" i="3"/>
  <c r="AY1283" i="3"/>
  <c r="BH1283" i="3"/>
  <c r="AC1283" i="3"/>
  <c r="C1283" i="3"/>
  <c r="F905" i="3" a="1"/>
  <c r="AX905" i="3"/>
  <c r="AY905" i="3" s="1"/>
  <c r="BH905" i="3"/>
  <c r="BF905" i="3"/>
  <c r="BE905" i="3"/>
  <c r="AC905" i="3"/>
  <c r="V905" i="3"/>
  <c r="C905" i="3"/>
  <c r="F871" i="3" a="1"/>
  <c r="AX871" i="3"/>
  <c r="AY871" i="3" s="1"/>
  <c r="BH871" i="3"/>
  <c r="BF871" i="3"/>
  <c r="BE871" i="3"/>
  <c r="AC871" i="3"/>
  <c r="C871" i="3"/>
  <c r="F959" i="3" a="1"/>
  <c r="AX959" i="3"/>
  <c r="AY959" i="3" s="1"/>
  <c r="BH959" i="3"/>
  <c r="BF959" i="3"/>
  <c r="BE959" i="3"/>
  <c r="AC959" i="3"/>
  <c r="V959" i="3"/>
  <c r="C959" i="3"/>
  <c r="F954" i="3" a="1"/>
  <c r="AX954" i="3"/>
  <c r="AY954" i="3" s="1"/>
  <c r="BH954" i="3"/>
  <c r="BF954" i="3"/>
  <c r="BE954" i="3"/>
  <c r="AC954" i="3"/>
  <c r="V954" i="3"/>
  <c r="C954" i="3"/>
  <c r="F1045" i="3" a="1"/>
  <c r="BH976" i="3"/>
  <c r="BF976" i="3"/>
  <c r="BE976" i="3"/>
  <c r="AX976" i="3"/>
  <c r="AY976" i="3" s="1"/>
  <c r="AC976" i="3"/>
  <c r="F976" i="3" a="1"/>
  <c r="C976" i="3"/>
  <c r="F914" i="3" a="1"/>
  <c r="AX914" i="3"/>
  <c r="AY914" i="3" s="1"/>
  <c r="BH914" i="3"/>
  <c r="BF914" i="3"/>
  <c r="BE914" i="3"/>
  <c r="AC914" i="3"/>
  <c r="V914" i="3"/>
  <c r="C914" i="3"/>
  <c r="F918" i="3" a="1"/>
  <c r="AX918" i="3"/>
  <c r="AY918" i="3" s="1"/>
  <c r="BH918" i="3"/>
  <c r="BF918" i="3"/>
  <c r="BE918" i="3"/>
  <c r="AC918" i="3"/>
  <c r="V918" i="3"/>
  <c r="C918" i="3"/>
  <c r="F543" i="3" a="1"/>
  <c r="F825" i="3" a="1"/>
  <c r="BH825" i="3"/>
  <c r="BF825" i="3"/>
  <c r="BE825" i="3"/>
  <c r="AY825" i="3"/>
  <c r="AC825" i="3"/>
  <c r="V825" i="3"/>
  <c r="C825" i="3"/>
  <c r="U866" i="3"/>
  <c r="V866" i="3" s="1"/>
  <c r="F538" i="3" a="1"/>
  <c r="U938" i="3"/>
  <c r="V938" i="3" s="1"/>
  <c r="F870" i="3" a="1"/>
  <c r="AX870" i="3"/>
  <c r="AY870" i="3" s="1"/>
  <c r="BH870" i="3"/>
  <c r="BF870" i="3"/>
  <c r="BE870" i="3"/>
  <c r="AC870" i="3"/>
  <c r="V870" i="3"/>
  <c r="C870" i="3"/>
  <c r="F872" i="3" a="1"/>
  <c r="AX872" i="3"/>
  <c r="AY872" i="3" s="1"/>
  <c r="BH872" i="3"/>
  <c r="BF872" i="3"/>
  <c r="BE872" i="3"/>
  <c r="AC872" i="3"/>
  <c r="V872" i="3"/>
  <c r="C872" i="3"/>
  <c r="F896" i="3" a="1"/>
  <c r="AX896" i="3"/>
  <c r="AY896" i="3" s="1"/>
  <c r="BH896" i="3"/>
  <c r="BF896" i="3"/>
  <c r="BE896" i="3"/>
  <c r="AC896" i="3"/>
  <c r="V896" i="3"/>
  <c r="C896" i="3"/>
  <c r="F898" i="3" a="1"/>
  <c r="AX898" i="3"/>
  <c r="AY898" i="3" s="1"/>
  <c r="BH898" i="3"/>
  <c r="BF898" i="3"/>
  <c r="BE898" i="3"/>
  <c r="AC898" i="3"/>
  <c r="V898" i="3"/>
  <c r="C898" i="3"/>
  <c r="F900" i="3" a="1"/>
  <c r="AX900" i="3"/>
  <c r="AY900" i="3" s="1"/>
  <c r="BH900" i="3"/>
  <c r="BF900" i="3"/>
  <c r="BE900" i="3"/>
  <c r="AC900" i="3"/>
  <c r="V900" i="3"/>
  <c r="C900" i="3"/>
  <c r="F901" i="3" a="1"/>
  <c r="AX901" i="3"/>
  <c r="AY901" i="3" s="1"/>
  <c r="BH901" i="3"/>
  <c r="BF901" i="3"/>
  <c r="BE901" i="3"/>
  <c r="AC901" i="3"/>
  <c r="V901" i="3"/>
  <c r="C901" i="3"/>
  <c r="F889" i="3" a="1"/>
  <c r="AX889" i="3"/>
  <c r="AY889" i="3" s="1"/>
  <c r="BH889" i="3"/>
  <c r="BF889" i="3"/>
  <c r="BE889" i="3"/>
  <c r="AC889" i="3"/>
  <c r="V889" i="3"/>
  <c r="C889" i="3"/>
  <c r="BH1290" i="3"/>
  <c r="AY1290" i="3"/>
  <c r="AC1290" i="3"/>
  <c r="U212" i="70"/>
  <c r="U213" i="70"/>
  <c r="U215" i="70"/>
  <c r="U216" i="70"/>
  <c r="U217" i="70"/>
  <c r="U211" i="70"/>
  <c r="U209" i="70"/>
  <c r="U210" i="70"/>
  <c r="U204" i="70"/>
  <c r="U205" i="70"/>
  <c r="U206" i="70"/>
  <c r="U207" i="70"/>
  <c r="U208" i="70"/>
  <c r="U203" i="70"/>
  <c r="U196" i="70"/>
  <c r="U198" i="70"/>
  <c r="U201" i="70"/>
  <c r="U202" i="70"/>
  <c r="U185" i="70"/>
  <c r="U184" i="70"/>
  <c r="U190" i="70"/>
  <c r="U191" i="70"/>
  <c r="U192" i="70"/>
  <c r="U193" i="70"/>
  <c r="C215" i="70"/>
  <c r="AA215" i="70"/>
  <c r="AS215" i="70"/>
  <c r="BC215" i="70"/>
  <c r="C216" i="70"/>
  <c r="AA216" i="70"/>
  <c r="AS216" i="70"/>
  <c r="BC216" i="70"/>
  <c r="C217" i="70"/>
  <c r="AA217" i="70"/>
  <c r="AS217" i="70"/>
  <c r="BC217" i="70"/>
  <c r="BC213" i="70"/>
  <c r="AS213" i="70"/>
  <c r="AA213" i="70"/>
  <c r="C213" i="70"/>
  <c r="BC209" i="70"/>
  <c r="AS209" i="70"/>
  <c r="AA209" i="70"/>
  <c r="BC210" i="70"/>
  <c r="AS210" i="70"/>
  <c r="AA210" i="70"/>
  <c r="C210" i="70"/>
  <c r="X205" i="70"/>
  <c r="C206" i="70"/>
  <c r="BC205" i="70"/>
  <c r="AS205" i="70"/>
  <c r="AA205" i="70"/>
  <c r="X206" i="70"/>
  <c r="BC206" i="70"/>
  <c r="AS206" i="70"/>
  <c r="AA206" i="70"/>
  <c r="X203" i="70"/>
  <c r="BC203" i="70"/>
  <c r="AS203" i="70"/>
  <c r="AA203" i="70"/>
  <c r="X202" i="70"/>
  <c r="BC201" i="70"/>
  <c r="AS201" i="70"/>
  <c r="AA201" i="70"/>
  <c r="X201" i="70"/>
  <c r="C201" i="70"/>
  <c r="BC202" i="70"/>
  <c r="AS202" i="70"/>
  <c r="AA202" i="70"/>
  <c r="X198" i="70"/>
  <c r="BC196" i="70"/>
  <c r="AS196" i="70"/>
  <c r="AA196" i="70"/>
  <c r="X196" i="70"/>
  <c r="C196" i="70"/>
  <c r="BC198" i="70"/>
  <c r="AS198" i="70"/>
  <c r="AA198" i="70"/>
  <c r="BC193" i="70"/>
  <c r="AS193" i="70"/>
  <c r="AA193" i="70"/>
  <c r="X193" i="70"/>
  <c r="BC192" i="70"/>
  <c r="AS192" i="70"/>
  <c r="AA192" i="70"/>
  <c r="X192" i="70"/>
  <c r="C192" i="70"/>
  <c r="C184" i="70"/>
  <c r="X184" i="70"/>
  <c r="AA184" i="70"/>
  <c r="AS184" i="70"/>
  <c r="BC184" i="70"/>
  <c r="C190" i="70"/>
  <c r="AA190" i="70"/>
  <c r="AS190" i="70"/>
  <c r="BC190" i="70"/>
  <c r="J14" i="47"/>
  <c r="W1003" i="3"/>
  <c r="V960" i="3"/>
  <c r="W1094" i="3"/>
  <c r="W1090" i="3"/>
  <c r="V1091" i="3"/>
  <c r="V1070" i="3"/>
  <c r="F1091" i="3" a="1"/>
  <c r="F1070" i="3" a="1"/>
  <c r="F1068" i="3" a="1"/>
  <c r="F1090" i="3" a="1"/>
  <c r="F1094" i="3" a="1"/>
  <c r="C1094" i="3"/>
  <c r="AC1094" i="3"/>
  <c r="AY1094" i="3"/>
  <c r="BE1094" i="3"/>
  <c r="BF1094" i="3"/>
  <c r="BH1094" i="3"/>
  <c r="C1090" i="3"/>
  <c r="AC1090" i="3"/>
  <c r="AY1090" i="3"/>
  <c r="BE1090" i="3"/>
  <c r="BF1090" i="3"/>
  <c r="BH1090" i="3"/>
  <c r="C1068" i="3"/>
  <c r="AC1068" i="3"/>
  <c r="AY1068" i="3"/>
  <c r="BE1068" i="3"/>
  <c r="BF1068" i="3"/>
  <c r="BH1068" i="3"/>
  <c r="C1070" i="3"/>
  <c r="AC1070" i="3"/>
  <c r="AY1070" i="3"/>
  <c r="BE1070" i="3"/>
  <c r="BF1070" i="3"/>
  <c r="BH1070" i="3"/>
  <c r="C1091" i="3"/>
  <c r="AC1091" i="3"/>
  <c r="AY1091" i="3"/>
  <c r="BE1091" i="3"/>
  <c r="BF1091" i="3"/>
  <c r="BH1091" i="3"/>
  <c r="R47" i="122"/>
  <c r="F1022" i="3" a="1"/>
  <c r="F1072" i="3" a="1"/>
  <c r="F1038" i="3" a="1"/>
  <c r="U1022" i="3"/>
  <c r="V1022" i="3" s="1"/>
  <c r="BH1022" i="3"/>
  <c r="BF1022" i="3"/>
  <c r="BE1022" i="3"/>
  <c r="AX1022" i="3"/>
  <c r="AY1022" i="3" s="1"/>
  <c r="AC1022" i="3"/>
  <c r="C1022" i="3"/>
  <c r="BH1072" i="3"/>
  <c r="BF1072" i="3"/>
  <c r="BE1072" i="3"/>
  <c r="AX1072" i="3"/>
  <c r="AY1072" i="3" s="1"/>
  <c r="AC1072" i="3"/>
  <c r="C1072" i="3"/>
  <c r="BH1038" i="3"/>
  <c r="BF1038" i="3"/>
  <c r="BE1038" i="3"/>
  <c r="AX1038" i="3"/>
  <c r="AY1038" i="3" s="1"/>
  <c r="AC1038" i="3"/>
  <c r="C1038" i="3"/>
  <c r="BH957" i="3"/>
  <c r="BF957" i="3"/>
  <c r="BE957" i="3"/>
  <c r="AX957" i="3"/>
  <c r="AY957" i="3" s="1"/>
  <c r="AC957" i="3"/>
  <c r="F957" i="3" a="1"/>
  <c r="C957" i="3"/>
  <c r="F987" i="3" a="1"/>
  <c r="BH987" i="3"/>
  <c r="BF987" i="3"/>
  <c r="BE987" i="3"/>
  <c r="AY987" i="3"/>
  <c r="AC987" i="3"/>
  <c r="C987" i="3"/>
  <c r="U939" i="3"/>
  <c r="V939" i="3" s="1"/>
  <c r="V934" i="3"/>
  <c r="W988" i="3"/>
  <c r="BH934" i="3"/>
  <c r="BF934" i="3"/>
  <c r="BE934" i="3"/>
  <c r="AY934" i="3"/>
  <c r="AC934" i="3"/>
  <c r="F934" i="3" a="1"/>
  <c r="C934" i="3"/>
  <c r="BH988" i="3"/>
  <c r="BF988" i="3"/>
  <c r="BE988" i="3"/>
  <c r="AC988" i="3"/>
  <c r="F988" i="3" a="1"/>
  <c r="C988" i="3"/>
  <c r="C1315" i="3"/>
  <c r="C1313" i="3"/>
  <c r="C1306" i="3"/>
  <c r="C1305" i="3"/>
  <c r="C1300" i="3"/>
  <c r="C1298" i="3"/>
  <c r="C1297" i="3"/>
  <c r="C1037" i="3"/>
  <c r="C1296" i="3"/>
  <c r="C1295" i="3"/>
  <c r="C1294" i="3"/>
  <c r="C1293" i="3"/>
  <c r="C1286" i="3"/>
  <c r="C996" i="3"/>
  <c r="C1276" i="3"/>
  <c r="C939" i="3"/>
  <c r="C1275" i="3"/>
  <c r="C1270" i="3"/>
  <c r="C1266" i="3"/>
  <c r="C1265" i="3"/>
  <c r="BH996" i="3"/>
  <c r="BF996" i="3"/>
  <c r="BE996" i="3"/>
  <c r="AX996" i="3"/>
  <c r="AY996" i="3" s="1"/>
  <c r="AC996" i="3"/>
  <c r="F996" i="3" a="1"/>
  <c r="BH939" i="3"/>
  <c r="BF939" i="3"/>
  <c r="BE939" i="3"/>
  <c r="AX939" i="3"/>
  <c r="AY939" i="3" s="1"/>
  <c r="AC939" i="3"/>
  <c r="F939" i="3" a="1"/>
  <c r="BH970" i="3"/>
  <c r="BF970" i="3"/>
  <c r="BE970" i="3"/>
  <c r="AX970" i="3"/>
  <c r="AY970" i="3" s="1"/>
  <c r="AC970" i="3"/>
  <c r="F970" i="3" a="1"/>
  <c r="C970" i="3"/>
  <c r="AA149" i="70"/>
  <c r="AA150" i="70"/>
  <c r="AS149" i="70"/>
  <c r="AS150" i="70"/>
  <c r="O47" i="122"/>
  <c r="F932" i="3" a="1"/>
  <c r="BH932" i="3"/>
  <c r="BF932" i="3"/>
  <c r="BE932" i="3"/>
  <c r="AY932" i="3"/>
  <c r="AC932" i="3"/>
  <c r="V932" i="3"/>
  <c r="C932" i="3"/>
  <c r="V978" i="3"/>
  <c r="F978" i="3" a="1"/>
  <c r="F993" i="3" a="1"/>
  <c r="BH978" i="3"/>
  <c r="BF978" i="3"/>
  <c r="BE978" i="3"/>
  <c r="AY978" i="3"/>
  <c r="AC978" i="3"/>
  <c r="C978" i="3"/>
  <c r="BH993" i="3"/>
  <c r="BF993" i="3"/>
  <c r="BE993" i="3"/>
  <c r="AX993" i="3"/>
  <c r="AY993" i="3" s="1"/>
  <c r="AC993" i="3"/>
  <c r="C993" i="3"/>
  <c r="F929" i="3" a="1"/>
  <c r="BH929" i="3"/>
  <c r="BF929" i="3"/>
  <c r="X929" i="3" s="1"/>
  <c r="BE929" i="3"/>
  <c r="W929" i="3" s="1"/>
  <c r="AX929" i="3"/>
  <c r="AY929" i="3" s="1"/>
  <c r="AC929" i="3"/>
  <c r="C929" i="3"/>
  <c r="F942" i="3" a="1"/>
  <c r="F891" i="3" a="1"/>
  <c r="BH942" i="3"/>
  <c r="BF942" i="3"/>
  <c r="BE942" i="3"/>
  <c r="W942" i="3" s="1"/>
  <c r="AX942" i="3"/>
  <c r="AY942" i="3" s="1"/>
  <c r="AC942" i="3"/>
  <c r="C942" i="3"/>
  <c r="BH891" i="3"/>
  <c r="BF891" i="3"/>
  <c r="BE891" i="3"/>
  <c r="W891" i="3" s="1"/>
  <c r="AX891" i="3"/>
  <c r="AY891" i="3" s="1"/>
  <c r="AC891" i="3"/>
  <c r="C891" i="3"/>
  <c r="F943" i="3" a="1"/>
  <c r="F949" i="3" a="1"/>
  <c r="U943" i="3"/>
  <c r="V943" i="3" s="1"/>
  <c r="BH943" i="3"/>
  <c r="BF943" i="3"/>
  <c r="BE943" i="3"/>
  <c r="AX943" i="3"/>
  <c r="AY943" i="3" s="1"/>
  <c r="AC943" i="3"/>
  <c r="C943" i="3"/>
  <c r="BH949" i="3"/>
  <c r="BF949" i="3"/>
  <c r="BE949" i="3"/>
  <c r="W949" i="3" s="1"/>
  <c r="AX949" i="3"/>
  <c r="AY949" i="3" s="1"/>
  <c r="AC949" i="3"/>
  <c r="C949" i="3"/>
  <c r="F866" i="3" a="1"/>
  <c r="BH866" i="3"/>
  <c r="BF866" i="3"/>
  <c r="BE866" i="3"/>
  <c r="AX866" i="3"/>
  <c r="AY866" i="3" s="1"/>
  <c r="AC866" i="3"/>
  <c r="C866" i="3"/>
  <c r="F804" i="3" a="1"/>
  <c r="AX804" i="3"/>
  <c r="AY804" i="3" s="1"/>
  <c r="BH804" i="3"/>
  <c r="BF804" i="3"/>
  <c r="X804" i="3" s="1"/>
  <c r="BE804" i="3"/>
  <c r="AC804" i="3"/>
  <c r="V804" i="3"/>
  <c r="C804" i="3"/>
  <c r="F1059" i="3" a="1"/>
  <c r="F894" i="3" a="1"/>
  <c r="U1059" i="3"/>
  <c r="V1059" i="3" s="1"/>
  <c r="U894" i="3"/>
  <c r="V894" i="3" s="1"/>
  <c r="AX1059" i="3"/>
  <c r="AY1059" i="3" s="1"/>
  <c r="AX894" i="3"/>
  <c r="AY894" i="3" s="1"/>
  <c r="BH1059" i="3"/>
  <c r="BF1059" i="3"/>
  <c r="BE1059" i="3"/>
  <c r="AC1059" i="3"/>
  <c r="C1059" i="3"/>
  <c r="BH894" i="3"/>
  <c r="BF894" i="3"/>
  <c r="BE894" i="3"/>
  <c r="AC894" i="3"/>
  <c r="C894" i="3"/>
  <c r="F1012" i="3" a="1"/>
  <c r="BH1012" i="3"/>
  <c r="BF1012" i="3"/>
  <c r="BE1012" i="3"/>
  <c r="AX1012" i="3"/>
  <c r="AY1012" i="3" s="1"/>
  <c r="AC1012" i="3"/>
  <c r="C1012" i="3"/>
  <c r="BH908" i="3"/>
  <c r="BF908" i="3"/>
  <c r="BE908" i="3"/>
  <c r="AX908" i="3"/>
  <c r="AY908" i="3" s="1"/>
  <c r="AC908" i="3"/>
  <c r="F908" i="3" a="1"/>
  <c r="C908" i="3"/>
  <c r="F1053" i="3" a="1"/>
  <c r="F1052" i="3" a="1"/>
  <c r="F1031" i="3" a="1"/>
  <c r="BH1053" i="3"/>
  <c r="BF1053" i="3"/>
  <c r="X1053" i="3" s="1"/>
  <c r="BE1053" i="3"/>
  <c r="AX1053" i="3"/>
  <c r="AY1053" i="3" s="1"/>
  <c r="AC1053" i="3"/>
  <c r="C1053" i="3"/>
  <c r="BH1052" i="3"/>
  <c r="BF1052" i="3"/>
  <c r="BE1052" i="3"/>
  <c r="AX1052" i="3"/>
  <c r="AY1052" i="3" s="1"/>
  <c r="AC1052" i="3"/>
  <c r="C1052" i="3"/>
  <c r="BH1031" i="3"/>
  <c r="BF1031" i="3"/>
  <c r="BE1031" i="3"/>
  <c r="AX1031" i="3"/>
  <c r="AY1031" i="3" s="1"/>
  <c r="AC1031" i="3"/>
  <c r="C1031" i="3"/>
  <c r="V1111" i="3"/>
  <c r="V1133" i="3"/>
  <c r="F1111" i="3" a="1"/>
  <c r="F1133" i="3" a="1"/>
  <c r="BH1111" i="3"/>
  <c r="BF1111" i="3"/>
  <c r="BE1111" i="3"/>
  <c r="AX1111" i="3"/>
  <c r="AY1111" i="3" s="1"/>
  <c r="AC1111" i="3"/>
  <c r="C1111" i="3"/>
  <c r="BH1133" i="3"/>
  <c r="BF1133" i="3"/>
  <c r="BE1133" i="3"/>
  <c r="AY1133" i="3"/>
  <c r="AC1133" i="3"/>
  <c r="C1133" i="3"/>
  <c r="BH1007" i="3"/>
  <c r="BF1007" i="3"/>
  <c r="BE1007" i="3"/>
  <c r="AX1007" i="3"/>
  <c r="AY1007" i="3" s="1"/>
  <c r="AC1007" i="3"/>
  <c r="F1007" i="3" a="1"/>
  <c r="C1007" i="3"/>
  <c r="F886" i="3" a="1"/>
  <c r="BH886" i="3"/>
  <c r="BF886" i="3"/>
  <c r="BE886" i="3"/>
  <c r="AY886" i="3"/>
  <c r="AC886" i="3"/>
  <c r="V886" i="3"/>
  <c r="C886" i="3"/>
  <c r="U971" i="3"/>
  <c r="V971" i="3" s="1"/>
  <c r="F971" i="3" a="1"/>
  <c r="BH971" i="3"/>
  <c r="BF971" i="3"/>
  <c r="BE971" i="3"/>
  <c r="AC971" i="3"/>
  <c r="C971" i="3"/>
  <c r="F853" i="3" a="1"/>
  <c r="AX853" i="3"/>
  <c r="AY853" i="3" s="1"/>
  <c r="BH853" i="3"/>
  <c r="BF853" i="3"/>
  <c r="BE853" i="3"/>
  <c r="AC853" i="3"/>
  <c r="V853" i="3"/>
  <c r="C853" i="3"/>
  <c r="F861" i="3" a="1"/>
  <c r="F887" i="3" a="1"/>
  <c r="AX887" i="3"/>
  <c r="AY887" i="3" s="1"/>
  <c r="BH887" i="3"/>
  <c r="BF887" i="3"/>
  <c r="BE887" i="3"/>
  <c r="AC887" i="3"/>
  <c r="V887" i="3"/>
  <c r="C887" i="3"/>
  <c r="AX1045" i="3"/>
  <c r="AY1045" i="3" s="1"/>
  <c r="BH1045" i="3"/>
  <c r="BF1045" i="3"/>
  <c r="X1045" i="3" s="1"/>
  <c r="BE1045" i="3"/>
  <c r="W1045" i="3" s="1"/>
  <c r="C1045" i="3"/>
  <c r="U836" i="3"/>
  <c r="V836" i="3" s="1"/>
  <c r="BH836" i="3"/>
  <c r="BF836" i="3"/>
  <c r="BE836" i="3"/>
  <c r="AX836" i="3"/>
  <c r="AY836" i="3" s="1"/>
  <c r="AC836" i="3"/>
  <c r="F836" i="3" a="1"/>
  <c r="C836" i="3"/>
  <c r="AX861" i="3"/>
  <c r="AY861" i="3" s="1"/>
  <c r="BH861" i="3"/>
  <c r="BF861" i="3"/>
  <c r="BE861" i="3"/>
  <c r="AC861" i="3"/>
  <c r="V861" i="3"/>
  <c r="C861" i="3"/>
  <c r="U826" i="3"/>
  <c r="U833" i="3"/>
  <c r="V833" i="3" s="1"/>
  <c r="F826" i="3" a="1"/>
  <c r="AX826" i="3"/>
  <c r="AY826" i="3" s="1"/>
  <c r="BH826" i="3"/>
  <c r="BF826" i="3"/>
  <c r="BE826" i="3"/>
  <c r="AC826" i="3"/>
  <c r="C826" i="3"/>
  <c r="AC950" i="3"/>
  <c r="U846" i="3"/>
  <c r="V846" i="3" s="1"/>
  <c r="W977" i="3"/>
  <c r="F977" i="3" a="1"/>
  <c r="BH977" i="3"/>
  <c r="BF977" i="3"/>
  <c r="BE977" i="3"/>
  <c r="AY977" i="3"/>
  <c r="AC977" i="3"/>
  <c r="V977" i="3"/>
  <c r="C977" i="3"/>
  <c r="W1001" i="3"/>
  <c r="F1001" i="3" a="1"/>
  <c r="BH1001" i="3"/>
  <c r="BF1001" i="3"/>
  <c r="BE1001" i="3"/>
  <c r="AY1001" i="3"/>
  <c r="AC1001" i="3"/>
  <c r="V1001" i="3"/>
  <c r="C1001" i="3"/>
  <c r="U893" i="3"/>
  <c r="V893" i="3" s="1"/>
  <c r="F893" i="3" a="1"/>
  <c r="AX893" i="3"/>
  <c r="AY893" i="3" s="1"/>
  <c r="C893" i="3"/>
  <c r="AC893" i="3"/>
  <c r="BE893" i="3"/>
  <c r="BF893" i="3"/>
  <c r="BH893" i="3"/>
  <c r="F808" i="3" a="1"/>
  <c r="AX808" i="3"/>
  <c r="AY808" i="3" s="1"/>
  <c r="BH808" i="3"/>
  <c r="BF808" i="3"/>
  <c r="BE808" i="3"/>
  <c r="AC808" i="3"/>
  <c r="V808" i="3"/>
  <c r="C808" i="3"/>
  <c r="F916" i="3" a="1"/>
  <c r="AX916" i="3"/>
  <c r="AY916" i="3" s="1"/>
  <c r="BH916" i="3"/>
  <c r="BF916" i="3"/>
  <c r="BE916" i="3"/>
  <c r="AC916" i="3"/>
  <c r="V916" i="3"/>
  <c r="C916" i="3"/>
  <c r="F851" i="3" a="1"/>
  <c r="AX851" i="3"/>
  <c r="AY851" i="3" s="1"/>
  <c r="BH851" i="3"/>
  <c r="BF851" i="3"/>
  <c r="X851" i="3" s="1"/>
  <c r="BE851" i="3"/>
  <c r="AC851" i="3"/>
  <c r="V851" i="3"/>
  <c r="C851" i="3"/>
  <c r="F917" i="3" a="1"/>
  <c r="AX917" i="3"/>
  <c r="AY917" i="3" s="1"/>
  <c r="BE917" i="3"/>
  <c r="BF917" i="3"/>
  <c r="BH917" i="3"/>
  <c r="V917" i="3"/>
  <c r="AC917" i="3"/>
  <c r="C917" i="3"/>
  <c r="U174" i="70"/>
  <c r="X174" i="70"/>
  <c r="BC174" i="70"/>
  <c r="AS174" i="70"/>
  <c r="AA174" i="70"/>
  <c r="C174" i="70"/>
  <c r="AX835" i="3"/>
  <c r="AY835" i="3" s="1"/>
  <c r="BH835" i="3"/>
  <c r="BF835" i="3"/>
  <c r="BE835" i="3"/>
  <c r="AC835" i="3"/>
  <c r="V835" i="3"/>
  <c r="C835" i="3"/>
  <c r="F860" i="3" a="1"/>
  <c r="AX860" i="3"/>
  <c r="AY860" i="3" s="1"/>
  <c r="X860" i="3"/>
  <c r="BH860" i="3"/>
  <c r="BF860" i="3"/>
  <c r="BE860" i="3"/>
  <c r="AC860" i="3"/>
  <c r="V860" i="3"/>
  <c r="C860" i="3"/>
  <c r="C244" i="70"/>
  <c r="X244" i="70"/>
  <c r="AA244" i="70"/>
  <c r="AS244" i="70"/>
  <c r="BC244" i="70"/>
  <c r="K73" i="122"/>
  <c r="E4" i="122"/>
  <c r="F4" i="122"/>
  <c r="G4" i="122"/>
  <c r="I4" i="122"/>
  <c r="K4" i="122"/>
  <c r="N4" i="122"/>
  <c r="O104" i="122"/>
  <c r="U1021" i="3"/>
  <c r="V1021" i="3" s="1"/>
  <c r="U1151" i="3"/>
  <c r="V1151" i="3" s="1"/>
  <c r="BH1057" i="3"/>
  <c r="BF1057" i="3"/>
  <c r="BE1057" i="3"/>
  <c r="AX1057" i="3"/>
  <c r="AY1057" i="3" s="1"/>
  <c r="AC1057" i="3"/>
  <c r="F1057" i="3" a="1"/>
  <c r="C1057" i="3"/>
  <c r="BH1010" i="3"/>
  <c r="BF1010" i="3"/>
  <c r="BE1010" i="3"/>
  <c r="AX1010" i="3"/>
  <c r="AY1010" i="3" s="1"/>
  <c r="AC1010" i="3"/>
  <c r="F1010" i="3" a="1"/>
  <c r="C1010" i="3"/>
  <c r="BH1021" i="3"/>
  <c r="BF1021" i="3"/>
  <c r="BE1021" i="3"/>
  <c r="AX1021" i="3"/>
  <c r="AY1021" i="3" s="1"/>
  <c r="AC1021" i="3"/>
  <c r="F1021" i="3" a="1"/>
  <c r="C1021" i="3"/>
  <c r="BH1151" i="3"/>
  <c r="BF1151" i="3"/>
  <c r="BE1151" i="3"/>
  <c r="AX1151" i="3"/>
  <c r="AY1151" i="3" s="1"/>
  <c r="AC1151" i="3"/>
  <c r="F1151" i="3" a="1"/>
  <c r="C1151" i="3"/>
  <c r="BH1062" i="3"/>
  <c r="BF1062" i="3"/>
  <c r="BE1062" i="3"/>
  <c r="AX1062" i="3"/>
  <c r="AY1062" i="3" s="1"/>
  <c r="AC1062" i="3"/>
  <c r="F1062" i="3" a="1"/>
  <c r="C1062" i="3"/>
  <c r="BH965" i="3"/>
  <c r="BF965" i="3"/>
  <c r="BE965" i="3"/>
  <c r="AX965" i="3"/>
  <c r="AY965" i="3" s="1"/>
  <c r="AC965" i="3"/>
  <c r="U965" i="3"/>
  <c r="V965" i="3" s="1"/>
  <c r="F965" i="3" a="1"/>
  <c r="C965" i="3"/>
  <c r="U963" i="3"/>
  <c r="V963" i="3" s="1"/>
  <c r="U966" i="3"/>
  <c r="V966" i="3" s="1"/>
  <c r="U899" i="3"/>
  <c r="V899" i="3" s="1"/>
  <c r="BH899" i="3"/>
  <c r="BF899" i="3"/>
  <c r="BE899" i="3"/>
  <c r="AX899" i="3"/>
  <c r="AY899" i="3" s="1"/>
  <c r="AC899" i="3"/>
  <c r="F899" i="3" a="1"/>
  <c r="C899" i="3"/>
  <c r="BH897" i="3"/>
  <c r="BF897" i="3"/>
  <c r="BE897" i="3"/>
  <c r="W897" i="3" s="1"/>
  <c r="AX897" i="3"/>
  <c r="AY897" i="3" s="1"/>
  <c r="AC897" i="3"/>
  <c r="F897" i="3" a="1"/>
  <c r="C897" i="3"/>
  <c r="BH895" i="3"/>
  <c r="BF895" i="3"/>
  <c r="BE895" i="3"/>
  <c r="W895" i="3" s="1"/>
  <c r="AX895" i="3"/>
  <c r="AY895" i="3" s="1"/>
  <c r="AC895" i="3"/>
  <c r="F895" i="3" a="1"/>
  <c r="C895" i="3"/>
  <c r="U842" i="3"/>
  <c r="V842" i="3" s="1"/>
  <c r="BH842" i="3"/>
  <c r="BF842" i="3"/>
  <c r="BE842" i="3"/>
  <c r="AX842" i="3"/>
  <c r="AY842" i="3" s="1"/>
  <c r="AC842" i="3"/>
  <c r="F842" i="3" a="1"/>
  <c r="C842" i="3"/>
  <c r="T73" i="122"/>
  <c r="F832" i="3" a="1"/>
  <c r="C832" i="3"/>
  <c r="V832" i="3"/>
  <c r="AC832" i="3"/>
  <c r="AY832" i="3"/>
  <c r="BE832" i="3"/>
  <c r="BF832" i="3"/>
  <c r="BH832" i="3"/>
  <c r="N27" i="122"/>
  <c r="N47" i="122" s="1"/>
  <c r="F972" i="3" a="1"/>
  <c r="AX972" i="3"/>
  <c r="AY972" i="3" s="1"/>
  <c r="F966" i="3" a="1"/>
  <c r="AX966" i="3"/>
  <c r="AY966" i="3" s="1"/>
  <c r="F963" i="3" a="1"/>
  <c r="AX963" i="3"/>
  <c r="AY963" i="3" s="1"/>
  <c r="BH966" i="3"/>
  <c r="BF966" i="3"/>
  <c r="BE966" i="3"/>
  <c r="AC966" i="3"/>
  <c r="C966" i="3"/>
  <c r="BH972" i="3"/>
  <c r="BF972" i="3"/>
  <c r="BE972" i="3"/>
  <c r="AC972" i="3"/>
  <c r="C972" i="3"/>
  <c r="BH963" i="3"/>
  <c r="BF963" i="3"/>
  <c r="BE963" i="3"/>
  <c r="AC963" i="3"/>
  <c r="C963" i="3"/>
  <c r="C948" i="3"/>
  <c r="F948" i="3" a="1"/>
  <c r="AX948" i="3"/>
  <c r="AY948" i="3" s="1"/>
  <c r="F938" i="3" a="1"/>
  <c r="AX938" i="3"/>
  <c r="AY938" i="3" s="1"/>
  <c r="BH948" i="3"/>
  <c r="BF948" i="3"/>
  <c r="X948" i="3" s="1"/>
  <c r="BE948" i="3"/>
  <c r="AC948" i="3"/>
  <c r="C938" i="3"/>
  <c r="AC938" i="3"/>
  <c r="BE938" i="3"/>
  <c r="BF938" i="3"/>
  <c r="BH938" i="3"/>
  <c r="C175" i="70"/>
  <c r="C176" i="70"/>
  <c r="C177" i="70"/>
  <c r="BC207" i="70"/>
  <c r="AS207" i="70"/>
  <c r="AA207" i="70"/>
  <c r="X207" i="70"/>
  <c r="C207" i="70"/>
  <c r="BC208" i="70"/>
  <c r="AS208" i="70"/>
  <c r="AA208" i="70"/>
  <c r="X208" i="70"/>
  <c r="C208" i="70"/>
  <c r="BC211" i="70"/>
  <c r="AS211" i="70"/>
  <c r="AA211" i="70"/>
  <c r="X211" i="70"/>
  <c r="C211" i="70"/>
  <c r="BC204" i="70"/>
  <c r="AS204" i="70"/>
  <c r="AA204" i="70"/>
  <c r="X204" i="70"/>
  <c r="BC191" i="70"/>
  <c r="AS191" i="70"/>
  <c r="AA191" i="70"/>
  <c r="X191" i="70"/>
  <c r="C191" i="70"/>
  <c r="BC177" i="70"/>
  <c r="AS177" i="70"/>
  <c r="AA177" i="70"/>
  <c r="X177" i="70"/>
  <c r="M27" i="122"/>
  <c r="M47" i="122" s="1"/>
  <c r="F792" i="3" a="1"/>
  <c r="AX792" i="3"/>
  <c r="AY792" i="3" s="1"/>
  <c r="BH792" i="3"/>
  <c r="BF792" i="3"/>
  <c r="BE792" i="3"/>
  <c r="AC792" i="3"/>
  <c r="V792" i="3"/>
  <c r="C792" i="3"/>
  <c r="N65" i="122"/>
  <c r="N73" i="122" s="1"/>
  <c r="F834" i="3" a="1"/>
  <c r="AX834" i="3"/>
  <c r="AY834" i="3" s="1"/>
  <c r="BH834" i="3"/>
  <c r="BF834" i="3"/>
  <c r="BE834" i="3"/>
  <c r="AC834" i="3"/>
  <c r="V834" i="3"/>
  <c r="C834" i="3"/>
  <c r="BC156" i="70"/>
  <c r="AS156" i="70"/>
  <c r="AA156" i="70"/>
  <c r="X156" i="70"/>
  <c r="C156" i="70"/>
  <c r="F919" i="3" a="1"/>
  <c r="AY919" i="3"/>
  <c r="BH919" i="3"/>
  <c r="BF919" i="3"/>
  <c r="BE919" i="3"/>
  <c r="AC919" i="3"/>
  <c r="V919" i="3"/>
  <c r="C919" i="3"/>
  <c r="F815" i="3" a="1"/>
  <c r="AX815" i="3"/>
  <c r="AY815" i="3" s="1"/>
  <c r="BH815" i="3"/>
  <c r="BF815" i="3"/>
  <c r="BE815" i="3"/>
  <c r="AC815" i="3"/>
  <c r="V815" i="3"/>
  <c r="C815" i="3"/>
  <c r="F1003" i="3" a="1"/>
  <c r="F960" i="3" a="1"/>
  <c r="F958" i="3" a="1"/>
  <c r="F933" i="3" a="1"/>
  <c r="C933" i="3"/>
  <c r="AC933" i="3"/>
  <c r="AY933" i="3"/>
  <c r="BE933" i="3"/>
  <c r="BF933" i="3"/>
  <c r="BH933" i="3"/>
  <c r="C958" i="3"/>
  <c r="AC958" i="3"/>
  <c r="AX958" i="3"/>
  <c r="AY958" i="3" s="1"/>
  <c r="BE958" i="3"/>
  <c r="BF958" i="3"/>
  <c r="BH958" i="3"/>
  <c r="C960" i="3"/>
  <c r="AC960" i="3"/>
  <c r="AX960" i="3"/>
  <c r="AY960" i="3" s="1"/>
  <c r="BE960" i="3"/>
  <c r="BF960" i="3"/>
  <c r="BH960" i="3"/>
  <c r="C1003" i="3"/>
  <c r="AC1003" i="3"/>
  <c r="AX1003" i="3"/>
  <c r="AY1003" i="3" s="1"/>
  <c r="BE1003" i="3"/>
  <c r="BF1003" i="3"/>
  <c r="BH1003" i="3"/>
  <c r="U890" i="3"/>
  <c r="V890" i="3" s="1"/>
  <c r="U940" i="3"/>
  <c r="V940" i="3" s="1"/>
  <c r="F940" i="3" a="1"/>
  <c r="F890" i="3" a="1"/>
  <c r="C890" i="3"/>
  <c r="AC890" i="3"/>
  <c r="AX890" i="3"/>
  <c r="AY890" i="3" s="1"/>
  <c r="BE890" i="3"/>
  <c r="BF890" i="3"/>
  <c r="BH890" i="3"/>
  <c r="C940" i="3"/>
  <c r="AC940" i="3"/>
  <c r="AX940" i="3"/>
  <c r="AY940" i="3" s="1"/>
  <c r="BE940" i="3"/>
  <c r="BF940" i="3"/>
  <c r="BH940" i="3"/>
  <c r="F888" i="3" a="1"/>
  <c r="BH888" i="3"/>
  <c r="BF888" i="3"/>
  <c r="BE888" i="3"/>
  <c r="AX888" i="3"/>
  <c r="AY888" i="3" s="1"/>
  <c r="AC888" i="3"/>
  <c r="C888" i="3"/>
  <c r="AA135" i="70"/>
  <c r="X159" i="70"/>
  <c r="C159" i="70"/>
  <c r="AA159" i="70"/>
  <c r="AS159" i="70"/>
  <c r="BC159" i="70"/>
  <c r="F797" i="3" a="1"/>
  <c r="AX797" i="3"/>
  <c r="AY797" i="3" s="1"/>
  <c r="BH797" i="3"/>
  <c r="BF797" i="3"/>
  <c r="BE797" i="3"/>
  <c r="AC797" i="3"/>
  <c r="V797" i="3"/>
  <c r="C797" i="3"/>
  <c r="F795" i="3" a="1"/>
  <c r="AX795" i="3"/>
  <c r="AY795" i="3" s="1"/>
  <c r="BH795" i="3"/>
  <c r="BF795" i="3"/>
  <c r="BE795" i="3"/>
  <c r="AC795" i="3"/>
  <c r="V795" i="3"/>
  <c r="C795" i="3"/>
  <c r="F791" i="3" a="1"/>
  <c r="AX791" i="3"/>
  <c r="AY791" i="3" s="1"/>
  <c r="BH791" i="3"/>
  <c r="BF791" i="3"/>
  <c r="BE791" i="3"/>
  <c r="AC791" i="3"/>
  <c r="V791" i="3"/>
  <c r="C791" i="3"/>
  <c r="F802" i="3" a="1"/>
  <c r="AX802" i="3"/>
  <c r="AY802" i="3" s="1"/>
  <c r="BH802" i="3"/>
  <c r="BF802" i="3"/>
  <c r="BE802" i="3"/>
  <c r="AC802" i="3"/>
  <c r="V802" i="3"/>
  <c r="C802" i="3"/>
  <c r="X185" i="70"/>
  <c r="AA185" i="70"/>
  <c r="AS185" i="70"/>
  <c r="BC185" i="70"/>
  <c r="X212" i="70"/>
  <c r="AA212" i="70"/>
  <c r="AS212" i="70"/>
  <c r="BC212" i="70"/>
  <c r="X176" i="70"/>
  <c r="AA176" i="70"/>
  <c r="AS176" i="70"/>
  <c r="BC176" i="70"/>
  <c r="X175" i="70"/>
  <c r="AA175" i="70"/>
  <c r="AS175" i="70"/>
  <c r="BC175" i="70"/>
  <c r="AC620" i="3"/>
  <c r="U620" i="3"/>
  <c r="U619" i="3"/>
  <c r="V619" i="3" s="1"/>
  <c r="F620" i="3" a="1"/>
  <c r="C620" i="3"/>
  <c r="AY620" i="3"/>
  <c r="BE620" i="3"/>
  <c r="BF620" i="3"/>
  <c r="S620" i="3"/>
  <c r="BH620" i="3"/>
  <c r="U810" i="3"/>
  <c r="V810" i="3" s="1"/>
  <c r="BH810" i="3"/>
  <c r="BF810" i="3"/>
  <c r="BE810" i="3"/>
  <c r="AX810" i="3"/>
  <c r="AY810" i="3" s="1"/>
  <c r="AC810" i="3"/>
  <c r="F810" i="3" a="1"/>
  <c r="C810" i="3"/>
  <c r="J24" i="47"/>
  <c r="J21" i="47"/>
  <c r="J18" i="47"/>
  <c r="J15" i="47"/>
  <c r="J12" i="47"/>
  <c r="J9" i="47"/>
  <c r="J6" i="47"/>
  <c r="E9" i="47"/>
  <c r="E12" i="47"/>
  <c r="E15" i="47"/>
  <c r="E18" i="47"/>
  <c r="I5" i="47"/>
  <c r="J5" i="47" s="1"/>
  <c r="J8" i="47"/>
  <c r="F819" i="3" a="1"/>
  <c r="C819" i="3"/>
  <c r="V819" i="3"/>
  <c r="AC819" i="3"/>
  <c r="AY819" i="3"/>
  <c r="BE819" i="3"/>
  <c r="BF819" i="3"/>
  <c r="BH819" i="3"/>
  <c r="Q139" i="122"/>
  <c r="R139" i="122"/>
  <c r="S139" i="122"/>
  <c r="Q93" i="122"/>
  <c r="R93" i="122"/>
  <c r="S93" i="122"/>
  <c r="Q73" i="122"/>
  <c r="R73" i="122"/>
  <c r="S73" i="122"/>
  <c r="N23" i="122"/>
  <c r="L7" i="122"/>
  <c r="L23" i="122" s="1"/>
  <c r="F715" i="3" a="1"/>
  <c r="BH715" i="3"/>
  <c r="S715" i="3"/>
  <c r="BF715" i="3"/>
  <c r="BE715" i="3"/>
  <c r="AY715" i="3"/>
  <c r="AC715" i="3"/>
  <c r="V715" i="3"/>
  <c r="C715" i="3"/>
  <c r="Z995" i="3"/>
  <c r="AC1305" i="3"/>
  <c r="AC1306" i="3"/>
  <c r="AC1313" i="3"/>
  <c r="AC1315" i="3"/>
  <c r="AY1305" i="3"/>
  <c r="AY1306" i="3"/>
  <c r="AY1313" i="3"/>
  <c r="AY1315" i="3"/>
  <c r="BH1305" i="3"/>
  <c r="BH1306" i="3"/>
  <c r="BH1313" i="3"/>
  <c r="BH1315" i="3"/>
  <c r="U920" i="3"/>
  <c r="V920" i="3" s="1"/>
  <c r="F1002" i="3" a="1"/>
  <c r="F920" i="3" a="1"/>
  <c r="BH1002" i="3"/>
  <c r="BF1002" i="3"/>
  <c r="BE1002" i="3"/>
  <c r="AX1002" i="3"/>
  <c r="AY1002" i="3" s="1"/>
  <c r="AC1002" i="3"/>
  <c r="C1002" i="3"/>
  <c r="BH920" i="3"/>
  <c r="BF920" i="3"/>
  <c r="BE920" i="3"/>
  <c r="AX920" i="3"/>
  <c r="AY920" i="3" s="1"/>
  <c r="AC920" i="3"/>
  <c r="C920" i="3"/>
  <c r="C1005" i="3"/>
  <c r="AC1005" i="3"/>
  <c r="AY1005" i="3"/>
  <c r="BE1005" i="3"/>
  <c r="BF1005" i="3"/>
  <c r="BH1005" i="3"/>
  <c r="U950" i="3"/>
  <c r="W950" i="3" s="1"/>
  <c r="F950" i="3" a="1"/>
  <c r="AC1300" i="3"/>
  <c r="AY1300" i="3"/>
  <c r="BH1300" i="3"/>
  <c r="AY950" i="3"/>
  <c r="BH950" i="3"/>
  <c r="C950" i="3"/>
  <c r="V955" i="3"/>
  <c r="F859" i="3" a="1"/>
  <c r="BH859" i="3"/>
  <c r="BF859" i="3"/>
  <c r="BE859" i="3"/>
  <c r="AY859" i="3"/>
  <c r="AC859" i="3"/>
  <c r="V859" i="3"/>
  <c r="C859" i="3"/>
  <c r="I40" i="47"/>
  <c r="J40" i="47" s="1"/>
  <c r="E40" i="47"/>
  <c r="I43" i="47"/>
  <c r="J43" i="47" s="1"/>
  <c r="I41" i="47"/>
  <c r="J41" i="47" s="1"/>
  <c r="J30" i="47"/>
  <c r="I38" i="47"/>
  <c r="J38" i="47" s="1"/>
  <c r="I25" i="47"/>
  <c r="I27" i="47" s="1"/>
  <c r="J27" i="47" s="1"/>
  <c r="J22" i="47"/>
  <c r="J19" i="47"/>
  <c r="J13" i="47"/>
  <c r="J16" i="47"/>
  <c r="J10" i="47"/>
  <c r="J7" i="47"/>
  <c r="J4" i="47"/>
  <c r="E7" i="47"/>
  <c r="E10" i="47"/>
  <c r="E13" i="47"/>
  <c r="E16" i="47"/>
  <c r="E19" i="47"/>
  <c r="E22" i="47"/>
  <c r="E26" i="47"/>
  <c r="F777" i="3" a="1"/>
  <c r="BH777" i="3"/>
  <c r="BF777" i="3"/>
  <c r="BE777" i="3"/>
  <c r="AY777" i="3"/>
  <c r="AC777" i="3"/>
  <c r="V777" i="3"/>
  <c r="C777" i="3"/>
  <c r="F766" i="3" a="1"/>
  <c r="BH766" i="3"/>
  <c r="BF766" i="3"/>
  <c r="BE766" i="3"/>
  <c r="AY766" i="3"/>
  <c r="AC766" i="3"/>
  <c r="V766" i="3"/>
  <c r="C766" i="3"/>
  <c r="E4" i="47"/>
  <c r="E25" i="47"/>
  <c r="E29" i="47"/>
  <c r="E28" i="47"/>
  <c r="E31" i="47"/>
  <c r="E33" i="47"/>
  <c r="E36" i="47"/>
  <c r="E32" i="47"/>
  <c r="E30" i="47"/>
  <c r="E37" i="47"/>
  <c r="E38" i="47"/>
  <c r="E6" i="47"/>
  <c r="E21" i="47"/>
  <c r="E24" i="47"/>
  <c r="E34" i="47"/>
  <c r="AX921" i="3"/>
  <c r="AY921" i="3" s="1"/>
  <c r="AY1298" i="3"/>
  <c r="AY1297" i="3"/>
  <c r="AY1037" i="3"/>
  <c r="AY1296" i="3"/>
  <c r="AY1295" i="3"/>
  <c r="AY1294" i="3"/>
  <c r="AX995" i="3"/>
  <c r="AY995" i="3" s="1"/>
  <c r="AX947" i="3"/>
  <c r="AY947" i="3" s="1"/>
  <c r="AY1293" i="3"/>
  <c r="AX922" i="3"/>
  <c r="AY922" i="3" s="1"/>
  <c r="AY1292" i="3"/>
  <c r="AX930" i="3"/>
  <c r="AY930" i="3" s="1"/>
  <c r="AY924" i="3"/>
  <c r="AX902" i="3"/>
  <c r="AY902" i="3" s="1"/>
  <c r="AY1291" i="3"/>
  <c r="AY1289" i="3"/>
  <c r="AX854" i="3"/>
  <c r="AY854" i="3" s="1"/>
  <c r="AX816" i="3"/>
  <c r="AY816" i="3" s="1"/>
  <c r="AX818" i="3"/>
  <c r="AY818" i="3" s="1"/>
  <c r="AY1288" i="3"/>
  <c r="AY1286" i="3"/>
  <c r="AY1285" i="3"/>
  <c r="AX953" i="3"/>
  <c r="AY953" i="3" s="1"/>
  <c r="AY1284" i="3"/>
  <c r="AX781" i="3"/>
  <c r="AY781" i="3" s="1"/>
  <c r="AX856" i="3"/>
  <c r="AY856" i="3" s="1"/>
  <c r="AX824" i="3"/>
  <c r="AY824" i="3" s="1"/>
  <c r="AX1036" i="3"/>
  <c r="AY1036" i="3" s="1"/>
  <c r="AX1035" i="3"/>
  <c r="AY1035" i="3" s="1"/>
  <c r="AX857" i="3"/>
  <c r="AY857" i="3" s="1"/>
  <c r="AX770" i="3"/>
  <c r="AY770" i="3" s="1"/>
  <c r="AX884" i="3"/>
  <c r="AY884" i="3" s="1"/>
  <c r="AX849" i="3"/>
  <c r="AY849" i="3" s="1"/>
  <c r="AY1282" i="3"/>
  <c r="AY1281" i="3"/>
  <c r="AX847" i="3"/>
  <c r="AY847" i="3" s="1"/>
  <c r="AX867" i="3"/>
  <c r="AY867" i="3" s="1"/>
  <c r="AX806" i="3"/>
  <c r="AY806" i="3" s="1"/>
  <c r="AX944" i="3"/>
  <c r="AY944" i="3" s="1"/>
  <c r="AX881" i="3"/>
  <c r="AY881" i="3" s="1"/>
  <c r="AY1280" i="3"/>
  <c r="AX880" i="3"/>
  <c r="AY880" i="3" s="1"/>
  <c r="AX936" i="3"/>
  <c r="AY936" i="3" s="1"/>
  <c r="AY1279" i="3"/>
  <c r="AX892" i="3"/>
  <c r="AY892" i="3" s="1"/>
  <c r="AX846" i="3"/>
  <c r="AY846" i="3" s="1"/>
  <c r="AX865" i="3"/>
  <c r="AY865" i="3" s="1"/>
  <c r="AX827" i="3"/>
  <c r="AY827" i="3" s="1"/>
  <c r="AX831" i="3"/>
  <c r="AY831" i="3" s="1"/>
  <c r="AY1278" i="3"/>
  <c r="AX788" i="3"/>
  <c r="AY788" i="3" s="1"/>
  <c r="AX882" i="3"/>
  <c r="AY882" i="3" s="1"/>
  <c r="AY1277" i="3"/>
  <c r="AX885" i="3"/>
  <c r="AY885" i="3" s="1"/>
  <c r="AY1276" i="3"/>
  <c r="AX994" i="3"/>
  <c r="AY994" i="3" s="1"/>
  <c r="AX945" i="3"/>
  <c r="AY945" i="3" s="1"/>
  <c r="AY1275" i="3"/>
  <c r="AX911" i="3"/>
  <c r="AY911" i="3" s="1"/>
  <c r="AX841" i="3"/>
  <c r="AY841" i="3" s="1"/>
  <c r="AX1273" i="3"/>
  <c r="AY1273" i="3" s="1"/>
  <c r="AX1272" i="3"/>
  <c r="AY1272" i="3" s="1"/>
  <c r="AX1271" i="3"/>
  <c r="AY1271" i="3" s="1"/>
  <c r="AX829" i="3"/>
  <c r="AY829" i="3" s="1"/>
  <c r="AY1270" i="3"/>
  <c r="AX1114" i="3"/>
  <c r="AY1114" i="3" s="1"/>
  <c r="AX830" i="3"/>
  <c r="AY830" i="3" s="1"/>
  <c r="AY1269" i="3"/>
  <c r="AX805" i="3"/>
  <c r="AY805" i="3" s="1"/>
  <c r="AY1268" i="3"/>
  <c r="AX1051" i="3"/>
  <c r="AY1051" i="3" s="1"/>
  <c r="AX843" i="3"/>
  <c r="AY843" i="3" s="1"/>
  <c r="AY1267" i="3"/>
  <c r="AX1113" i="3"/>
  <c r="AY1113" i="3" s="1"/>
  <c r="AX1081" i="3"/>
  <c r="AY1081" i="3" s="1"/>
  <c r="AX1040" i="3"/>
  <c r="AY1040" i="3" s="1"/>
  <c r="AY1039" i="3"/>
  <c r="AY1266" i="3"/>
  <c r="AX822" i="3"/>
  <c r="AY822" i="3" s="1"/>
  <c r="AX1011" i="3"/>
  <c r="AY1011" i="3" s="1"/>
  <c r="AX852" i="3"/>
  <c r="AY852" i="3" s="1"/>
  <c r="AX821" i="3"/>
  <c r="AY821" i="3" s="1"/>
  <c r="AY1265" i="3"/>
  <c r="AX809" i="3"/>
  <c r="AY809" i="3" s="1"/>
  <c r="AX803" i="3"/>
  <c r="AY803" i="3" s="1"/>
  <c r="AY1264" i="3"/>
  <c r="AY1263" i="3"/>
  <c r="AY1262" i="3"/>
  <c r="AX1261" i="3"/>
  <c r="AY1261" i="3" s="1"/>
  <c r="AX1260" i="3"/>
  <c r="AY1260" i="3" s="1"/>
  <c r="AX820" i="3"/>
  <c r="AY820" i="3" s="1"/>
  <c r="AY1259" i="3"/>
  <c r="AX769" i="3"/>
  <c r="AY769" i="3" s="1"/>
  <c r="AY1258" i="3"/>
  <c r="AX807" i="3"/>
  <c r="AY807" i="3" s="1"/>
  <c r="AX772" i="3"/>
  <c r="AY772" i="3" s="1"/>
  <c r="AX771" i="3"/>
  <c r="AY771" i="3" s="1"/>
  <c r="AX858" i="3"/>
  <c r="AY858" i="3" s="1"/>
  <c r="AX955" i="3"/>
  <c r="AY955" i="3" s="1"/>
  <c r="AX776" i="3"/>
  <c r="AY776" i="3" s="1"/>
  <c r="AX775" i="3"/>
  <c r="AY775" i="3" s="1"/>
  <c r="AX774" i="3"/>
  <c r="AY774" i="3" s="1"/>
  <c r="AX773" i="3"/>
  <c r="AY773" i="3" s="1"/>
  <c r="AY1257" i="3"/>
  <c r="AY1256" i="3"/>
  <c r="AX910" i="3"/>
  <c r="AY910" i="3" s="1"/>
  <c r="AX907" i="3"/>
  <c r="AY907" i="3" s="1"/>
  <c r="AY1255" i="3"/>
  <c r="AY1254" i="3"/>
  <c r="AY1253" i="3"/>
  <c r="AX968" i="3"/>
  <c r="AY968" i="3" s="1"/>
  <c r="AX903" i="3"/>
  <c r="AY903" i="3" s="1"/>
  <c r="AX969" i="3"/>
  <c r="AY969" i="3" s="1"/>
  <c r="AX964" i="3"/>
  <c r="AY964" i="3" s="1"/>
  <c r="AY1252" i="3"/>
  <c r="AY1251" i="3"/>
  <c r="AY1250" i="3"/>
  <c r="AY1249" i="3"/>
  <c r="AY1248" i="3"/>
  <c r="AY1247" i="3"/>
  <c r="AY1246" i="3"/>
  <c r="AY1245" i="3"/>
  <c r="AY1244" i="3"/>
  <c r="AY1243" i="3"/>
  <c r="AX906" i="3"/>
  <c r="AY906" i="3" s="1"/>
  <c r="AY1242" i="3"/>
  <c r="AY1241" i="3"/>
  <c r="AY1240" i="3"/>
  <c r="AY1239" i="3"/>
  <c r="AY1238" i="3"/>
  <c r="AY1237" i="3"/>
  <c r="AY1236" i="3"/>
  <c r="AY1235" i="3"/>
  <c r="AY1234" i="3"/>
  <c r="AY1233" i="3"/>
  <c r="AY1232" i="3"/>
  <c r="AY1231" i="3"/>
  <c r="AY1230" i="3"/>
  <c r="AX783" i="3"/>
  <c r="AY783" i="3" s="1"/>
  <c r="AX782" i="3"/>
  <c r="AY782" i="3" s="1"/>
  <c r="AY1229" i="3"/>
  <c r="AY1228" i="3"/>
  <c r="AY1112" i="3"/>
  <c r="AX812" i="3"/>
  <c r="AY812" i="3" s="1"/>
  <c r="AX823" i="3"/>
  <c r="AY823" i="3" s="1"/>
  <c r="AX811" i="3"/>
  <c r="AY811" i="3" s="1"/>
  <c r="AX909" i="3"/>
  <c r="AY909" i="3" s="1"/>
  <c r="AX814" i="3"/>
  <c r="AY814" i="3" s="1"/>
  <c r="AX974" i="3"/>
  <c r="AY974" i="3" s="1"/>
  <c r="AX904" i="3"/>
  <c r="AY904" i="3" s="1"/>
  <c r="AX817" i="3"/>
  <c r="AY817" i="3" s="1"/>
  <c r="AX780" i="3"/>
  <c r="AY780" i="3" s="1"/>
  <c r="AX779" i="3"/>
  <c r="AY779" i="3" s="1"/>
  <c r="AX855" i="3"/>
  <c r="AY855" i="3" s="1"/>
  <c r="AX778" i="3"/>
  <c r="AY778" i="3" s="1"/>
  <c r="AX813" i="3"/>
  <c r="AY813" i="3" s="1"/>
  <c r="AX926" i="3"/>
  <c r="AY926" i="3" s="1"/>
  <c r="AX828" i="3"/>
  <c r="AY828" i="3" s="1"/>
  <c r="AX875" i="3"/>
  <c r="AY875" i="3" s="1"/>
  <c r="AX864" i="3"/>
  <c r="AY864" i="3" s="1"/>
  <c r="AX878" i="3"/>
  <c r="AY878" i="3" s="1"/>
  <c r="AX837" i="3"/>
  <c r="AY837" i="3" s="1"/>
  <c r="AX912" i="3"/>
  <c r="AY912" i="3" s="1"/>
  <c r="AX876" i="3"/>
  <c r="AY876" i="3" s="1"/>
  <c r="AX796" i="3"/>
  <c r="AY796" i="3" s="1"/>
  <c r="AX874" i="3"/>
  <c r="AY874" i="3" s="1"/>
  <c r="AX793" i="3"/>
  <c r="AY793" i="3" s="1"/>
  <c r="AX767" i="3"/>
  <c r="AY767" i="3" s="1"/>
  <c r="AX840" i="3"/>
  <c r="AY840" i="3" s="1"/>
  <c r="AX789" i="3"/>
  <c r="AY789" i="3" s="1"/>
  <c r="AX794" i="3"/>
  <c r="AY794" i="3" s="1"/>
  <c r="AX787" i="3"/>
  <c r="AY787" i="3" s="1"/>
  <c r="AX786" i="3"/>
  <c r="AY786" i="3" s="1"/>
  <c r="AX833" i="3"/>
  <c r="AY833" i="3" s="1"/>
  <c r="AX785" i="3"/>
  <c r="AY785" i="3" s="1"/>
  <c r="AX784" i="3"/>
  <c r="AY784" i="3" s="1"/>
  <c r="AX877" i="3"/>
  <c r="AY877" i="3" s="1"/>
  <c r="AX790" i="3"/>
  <c r="AY790" i="3" s="1"/>
  <c r="AX869" i="3"/>
  <c r="AY869" i="3" s="1"/>
  <c r="AX845" i="3"/>
  <c r="AY845" i="3" s="1"/>
  <c r="AX844" i="3"/>
  <c r="AY844" i="3" s="1"/>
  <c r="AX850" i="3"/>
  <c r="AY850" i="3" s="1"/>
  <c r="AX915" i="3"/>
  <c r="AY915" i="3" s="1"/>
  <c r="AX883" i="3"/>
  <c r="AY883" i="3" s="1"/>
  <c r="AX799" i="3"/>
  <c r="AY799" i="3" s="1"/>
  <c r="AX800" i="3"/>
  <c r="AY800" i="3" s="1"/>
  <c r="AX768" i="3"/>
  <c r="AY768" i="3" s="1"/>
  <c r="AX798" i="3"/>
  <c r="AY798" i="3" s="1"/>
  <c r="AX765" i="3"/>
  <c r="AY765" i="3" s="1"/>
  <c r="AX764" i="3"/>
  <c r="AY764" i="3" s="1"/>
  <c r="AX763" i="3"/>
  <c r="AY763" i="3" s="1"/>
  <c r="AX762" i="3"/>
  <c r="AY762" i="3" s="1"/>
  <c r="AX761" i="3"/>
  <c r="AY761" i="3" s="1"/>
  <c r="AX760" i="3"/>
  <c r="AY760" i="3" s="1"/>
  <c r="AX759" i="3"/>
  <c r="AY759" i="3" s="1"/>
  <c r="AX758" i="3"/>
  <c r="AY758" i="3" s="1"/>
  <c r="AX757" i="3"/>
  <c r="AY757" i="3" s="1"/>
  <c r="AY756" i="3"/>
  <c r="AX755" i="3"/>
  <c r="AY755" i="3" s="1"/>
  <c r="AX754" i="3"/>
  <c r="AY754" i="3" s="1"/>
  <c r="AX753" i="3"/>
  <c r="AY753" i="3" s="1"/>
  <c r="AX752" i="3"/>
  <c r="AY752" i="3" s="1"/>
  <c r="AX751" i="3"/>
  <c r="AY751" i="3" s="1"/>
  <c r="AX750" i="3"/>
  <c r="AY750" i="3" s="1"/>
  <c r="AX749" i="3"/>
  <c r="AY749" i="3" s="1"/>
  <c r="AX748" i="3"/>
  <c r="AY748" i="3" s="1"/>
  <c r="AX747" i="3"/>
  <c r="AY747" i="3" s="1"/>
  <c r="AX746" i="3"/>
  <c r="AY746" i="3" s="1"/>
  <c r="AX745" i="3"/>
  <c r="AY745" i="3" s="1"/>
  <c r="AX744" i="3"/>
  <c r="AY744" i="3" s="1"/>
  <c r="AX743" i="3"/>
  <c r="AY743" i="3" s="1"/>
  <c r="AX742" i="3"/>
  <c r="AY742" i="3" s="1"/>
  <c r="AX741" i="3"/>
  <c r="AY741" i="3" s="1"/>
  <c r="AY740" i="3"/>
  <c r="AX739" i="3"/>
  <c r="AY739" i="3" s="1"/>
  <c r="AX738" i="3"/>
  <c r="AY738" i="3" s="1"/>
  <c r="AX737" i="3"/>
  <c r="AY737" i="3" s="1"/>
  <c r="AX736" i="3"/>
  <c r="AY736" i="3" s="1"/>
  <c r="AX735" i="3"/>
  <c r="AY735" i="3" s="1"/>
  <c r="AX734" i="3"/>
  <c r="AY734" i="3" s="1"/>
  <c r="AX733" i="3"/>
  <c r="AY733" i="3" s="1"/>
  <c r="AX732" i="3"/>
  <c r="AY732" i="3" s="1"/>
  <c r="AX731" i="3"/>
  <c r="AY731" i="3" s="1"/>
  <c r="AX730" i="3"/>
  <c r="AY730" i="3" s="1"/>
  <c r="AX729" i="3"/>
  <c r="AY729" i="3" s="1"/>
  <c r="AX728" i="3"/>
  <c r="AY728" i="3" s="1"/>
  <c r="AX727" i="3"/>
  <c r="AY727" i="3" s="1"/>
  <c r="AX726" i="3"/>
  <c r="AY726" i="3" s="1"/>
  <c r="AX725" i="3"/>
  <c r="AY725" i="3" s="1"/>
  <c r="AX724" i="3"/>
  <c r="AY724" i="3" s="1"/>
  <c r="AX723" i="3"/>
  <c r="AY723" i="3" s="1"/>
  <c r="AX722" i="3"/>
  <c r="AY722" i="3" s="1"/>
  <c r="AX721" i="3"/>
  <c r="AY721" i="3" s="1"/>
  <c r="AX720" i="3"/>
  <c r="AY720" i="3" s="1"/>
  <c r="AX719" i="3"/>
  <c r="AY719" i="3" s="1"/>
  <c r="AX718" i="3"/>
  <c r="AY718" i="3" s="1"/>
  <c r="AX717" i="3"/>
  <c r="AY717" i="3" s="1"/>
  <c r="AX716" i="3"/>
  <c r="AY716" i="3" s="1"/>
  <c r="AX839" i="3"/>
  <c r="AY839" i="3" s="1"/>
  <c r="AX714" i="3"/>
  <c r="AY714" i="3" s="1"/>
  <c r="AX713" i="3"/>
  <c r="AY713" i="3" s="1"/>
  <c r="AX712" i="3"/>
  <c r="AY712" i="3" s="1"/>
  <c r="AX711" i="3"/>
  <c r="AY711" i="3" s="1"/>
  <c r="AX710" i="3"/>
  <c r="AY710" i="3" s="1"/>
  <c r="AX709" i="3"/>
  <c r="AY709" i="3" s="1"/>
  <c r="AX708" i="3"/>
  <c r="AY708" i="3" s="1"/>
  <c r="AX707" i="3"/>
  <c r="AY707" i="3" s="1"/>
  <c r="AX706" i="3"/>
  <c r="AY706" i="3" s="1"/>
  <c r="AX705" i="3"/>
  <c r="AY705" i="3" s="1"/>
  <c r="AX704" i="3"/>
  <c r="AY704" i="3" s="1"/>
  <c r="AX703" i="3"/>
  <c r="AY703" i="3" s="1"/>
  <c r="AX702" i="3"/>
  <c r="AY702" i="3" s="1"/>
  <c r="AX701" i="3"/>
  <c r="AY701" i="3" s="1"/>
  <c r="AX700" i="3"/>
  <c r="AY700" i="3" s="1"/>
  <c r="AX699" i="3"/>
  <c r="AY699" i="3" s="1"/>
  <c r="AX698" i="3"/>
  <c r="AY698" i="3" s="1"/>
  <c r="AX697" i="3"/>
  <c r="AY697" i="3" s="1"/>
  <c r="AX696" i="3"/>
  <c r="AY696" i="3" s="1"/>
  <c r="AX695" i="3"/>
  <c r="AY695" i="3" s="1"/>
  <c r="AX694" i="3"/>
  <c r="AY694" i="3" s="1"/>
  <c r="AX693" i="3"/>
  <c r="AY693" i="3" s="1"/>
  <c r="AX692" i="3"/>
  <c r="AY692" i="3" s="1"/>
  <c r="AX691" i="3"/>
  <c r="AY691" i="3" s="1"/>
  <c r="AY690" i="3"/>
  <c r="AX689" i="3"/>
  <c r="AY689" i="3" s="1"/>
  <c r="AX688" i="3"/>
  <c r="AY688" i="3" s="1"/>
  <c r="AX687" i="3"/>
  <c r="AY687" i="3" s="1"/>
  <c r="AY686" i="3"/>
  <c r="AX685" i="3"/>
  <c r="AY685" i="3" s="1"/>
  <c r="AX684" i="3"/>
  <c r="AY684" i="3" s="1"/>
  <c r="AX683" i="3"/>
  <c r="AY683" i="3" s="1"/>
  <c r="AX682" i="3"/>
  <c r="AY682" i="3" s="1"/>
  <c r="AY681" i="3"/>
  <c r="AX680" i="3"/>
  <c r="AY680" i="3" s="1"/>
  <c r="AX679" i="3"/>
  <c r="AY679" i="3" s="1"/>
  <c r="AX678" i="3"/>
  <c r="AY678" i="3" s="1"/>
  <c r="AX677" i="3"/>
  <c r="AY677" i="3" s="1"/>
  <c r="AX676" i="3"/>
  <c r="AY676" i="3" s="1"/>
  <c r="AX675" i="3"/>
  <c r="AY675" i="3" s="1"/>
  <c r="AX674" i="3"/>
  <c r="AY674" i="3" s="1"/>
  <c r="AX673" i="3"/>
  <c r="AY673" i="3" s="1"/>
  <c r="AX672" i="3"/>
  <c r="AY672" i="3" s="1"/>
  <c r="AX671" i="3"/>
  <c r="AY671" i="3" s="1"/>
  <c r="AX670" i="3"/>
  <c r="AY670" i="3" s="1"/>
  <c r="AX669" i="3"/>
  <c r="AY669" i="3" s="1"/>
  <c r="AX668" i="3"/>
  <c r="AY668" i="3" s="1"/>
  <c r="AX667" i="3"/>
  <c r="AY667" i="3" s="1"/>
  <c r="AX666" i="3"/>
  <c r="AY666" i="3" s="1"/>
  <c r="AX665" i="3"/>
  <c r="AY665" i="3" s="1"/>
  <c r="AX664" i="3"/>
  <c r="AY664" i="3" s="1"/>
  <c r="AX663" i="3"/>
  <c r="AY663" i="3" s="1"/>
  <c r="AX662" i="3"/>
  <c r="AY662" i="3" s="1"/>
  <c r="AX661" i="3"/>
  <c r="AY661" i="3" s="1"/>
  <c r="AX660" i="3"/>
  <c r="AY660" i="3" s="1"/>
  <c r="AX659" i="3"/>
  <c r="AY659" i="3" s="1"/>
  <c r="AX658" i="3"/>
  <c r="AY658" i="3" s="1"/>
  <c r="AX657" i="3"/>
  <c r="AY657" i="3" s="1"/>
  <c r="AX656" i="3"/>
  <c r="AY656" i="3" s="1"/>
  <c r="AX655" i="3"/>
  <c r="AY655" i="3" s="1"/>
  <c r="AX654" i="3"/>
  <c r="AY654" i="3" s="1"/>
  <c r="AY653" i="3"/>
  <c r="AY652" i="3"/>
  <c r="AX651" i="3"/>
  <c r="AY651" i="3" s="1"/>
  <c r="AX650" i="3"/>
  <c r="AY650" i="3" s="1"/>
  <c r="AY649" i="3"/>
  <c r="AY648" i="3"/>
  <c r="AX647" i="3"/>
  <c r="AY647" i="3" s="1"/>
  <c r="AX646" i="3"/>
  <c r="AY646" i="3" s="1"/>
  <c r="AX645" i="3"/>
  <c r="AY645" i="3" s="1"/>
  <c r="AX644" i="3"/>
  <c r="AY644" i="3" s="1"/>
  <c r="AX643" i="3"/>
  <c r="AY643" i="3" s="1"/>
  <c r="AX642" i="3"/>
  <c r="AY642" i="3" s="1"/>
  <c r="AX641" i="3"/>
  <c r="AY641" i="3" s="1"/>
  <c r="AX640" i="3"/>
  <c r="AY640" i="3" s="1"/>
  <c r="AX639" i="3"/>
  <c r="AY639" i="3" s="1"/>
  <c r="AX638" i="3"/>
  <c r="AY638" i="3" s="1"/>
  <c r="AX637" i="3"/>
  <c r="AY637" i="3" s="1"/>
  <c r="AX636" i="3"/>
  <c r="AY636" i="3" s="1"/>
  <c r="AX635" i="3"/>
  <c r="AY635" i="3" s="1"/>
  <c r="AY634" i="3"/>
  <c r="AX633" i="3"/>
  <c r="AY633" i="3" s="1"/>
  <c r="AX632" i="3"/>
  <c r="AY632" i="3" s="1"/>
  <c r="AX631" i="3"/>
  <c r="AY631" i="3" s="1"/>
  <c r="AX630" i="3"/>
  <c r="AY630" i="3" s="1"/>
  <c r="AX629" i="3"/>
  <c r="AY629" i="3" s="1"/>
  <c r="AX628" i="3"/>
  <c r="AY628" i="3" s="1"/>
  <c r="AX627" i="3"/>
  <c r="AY627" i="3" s="1"/>
  <c r="AX626" i="3"/>
  <c r="AY626" i="3" s="1"/>
  <c r="AX625" i="3"/>
  <c r="AY625" i="3" s="1"/>
  <c r="AY624" i="3"/>
  <c r="AX623" i="3"/>
  <c r="AY623" i="3" s="1"/>
  <c r="AX622" i="3"/>
  <c r="AY622" i="3" s="1"/>
  <c r="AX621" i="3"/>
  <c r="AY621" i="3" s="1"/>
  <c r="AX619" i="3"/>
  <c r="AY619" i="3" s="1"/>
  <c r="AX618" i="3"/>
  <c r="AY618" i="3" s="1"/>
  <c r="AX617" i="3"/>
  <c r="AY617" i="3" s="1"/>
  <c r="AX616" i="3"/>
  <c r="AY616" i="3" s="1"/>
  <c r="AX615" i="3"/>
  <c r="AY615" i="3" s="1"/>
  <c r="AX614" i="3"/>
  <c r="AY614" i="3" s="1"/>
  <c r="AX613" i="3"/>
  <c r="AY613" i="3" s="1"/>
  <c r="AX612" i="3"/>
  <c r="AY612" i="3" s="1"/>
  <c r="AX611" i="3"/>
  <c r="AY611" i="3" s="1"/>
  <c r="AX610" i="3"/>
  <c r="AY610" i="3" s="1"/>
  <c r="AX609" i="3"/>
  <c r="AY609" i="3" s="1"/>
  <c r="AX608" i="3"/>
  <c r="AY608" i="3" s="1"/>
  <c r="AX607" i="3"/>
  <c r="AY607" i="3" s="1"/>
  <c r="AX606" i="3"/>
  <c r="AY606" i="3" s="1"/>
  <c r="AX605" i="3"/>
  <c r="AY605" i="3" s="1"/>
  <c r="AX604" i="3"/>
  <c r="AY604" i="3" s="1"/>
  <c r="AX603" i="3"/>
  <c r="AY603" i="3" s="1"/>
  <c r="AX602" i="3"/>
  <c r="AY602" i="3" s="1"/>
  <c r="AX601" i="3"/>
  <c r="AY601" i="3" s="1"/>
  <c r="AX600" i="3"/>
  <c r="AY600" i="3" s="1"/>
  <c r="AX599" i="3"/>
  <c r="AY599" i="3" s="1"/>
  <c r="AX598" i="3"/>
  <c r="AY598" i="3" s="1"/>
  <c r="AX597" i="3"/>
  <c r="AY597" i="3" s="1"/>
  <c r="AX596" i="3"/>
  <c r="AY596" i="3" s="1"/>
  <c r="AX595" i="3"/>
  <c r="AY595" i="3" s="1"/>
  <c r="AX594" i="3"/>
  <c r="AY594" i="3" s="1"/>
  <c r="AX593" i="3"/>
  <c r="AY593" i="3" s="1"/>
  <c r="AX592" i="3"/>
  <c r="AY592" i="3" s="1"/>
  <c r="AX591" i="3"/>
  <c r="AY591" i="3" s="1"/>
  <c r="AX590" i="3"/>
  <c r="AY590" i="3" s="1"/>
  <c r="AX589" i="3"/>
  <c r="AY589" i="3" s="1"/>
  <c r="AX588" i="3"/>
  <c r="AY588" i="3" s="1"/>
  <c r="AX587" i="3"/>
  <c r="AY587" i="3" s="1"/>
  <c r="AX586" i="3"/>
  <c r="AY586" i="3" s="1"/>
  <c r="AX585" i="3"/>
  <c r="AY585" i="3" s="1"/>
  <c r="AX584" i="3"/>
  <c r="AY584" i="3" s="1"/>
  <c r="AX583" i="3"/>
  <c r="AY583" i="3" s="1"/>
  <c r="AX582" i="3"/>
  <c r="AY582" i="3" s="1"/>
  <c r="AY581" i="3"/>
  <c r="AX580" i="3"/>
  <c r="AY580" i="3" s="1"/>
  <c r="AX579" i="3"/>
  <c r="AY579" i="3" s="1"/>
  <c r="AX578" i="3"/>
  <c r="AY578" i="3" s="1"/>
  <c r="AX577" i="3"/>
  <c r="AY577" i="3" s="1"/>
  <c r="AX576" i="3"/>
  <c r="AY576" i="3" s="1"/>
  <c r="AX575" i="3"/>
  <c r="AY575" i="3" s="1"/>
  <c r="AX574" i="3"/>
  <c r="AY574" i="3" s="1"/>
  <c r="AX573" i="3"/>
  <c r="AY573" i="3" s="1"/>
  <c r="AX572" i="3"/>
  <c r="AY572" i="3" s="1"/>
  <c r="AX571" i="3"/>
  <c r="AY571" i="3" s="1"/>
  <c r="AX570" i="3"/>
  <c r="AY570" i="3" s="1"/>
  <c r="AX569" i="3"/>
  <c r="AY569" i="3" s="1"/>
  <c r="AX568" i="3"/>
  <c r="AY568" i="3" s="1"/>
  <c r="AX567" i="3"/>
  <c r="AY567" i="3" s="1"/>
  <c r="AX566" i="3"/>
  <c r="AY566" i="3" s="1"/>
  <c r="AX565" i="3"/>
  <c r="AY565" i="3" s="1"/>
  <c r="AX564" i="3"/>
  <c r="AY564" i="3" s="1"/>
  <c r="AX563" i="3"/>
  <c r="AY563" i="3" s="1"/>
  <c r="AX562" i="3"/>
  <c r="AY562" i="3" s="1"/>
  <c r="AX561" i="3"/>
  <c r="AY561" i="3" s="1"/>
  <c r="AX560" i="3"/>
  <c r="AY560" i="3" s="1"/>
  <c r="AX559" i="3"/>
  <c r="AY559" i="3" s="1"/>
  <c r="AX558" i="3"/>
  <c r="AY558" i="3" s="1"/>
  <c r="AX557" i="3"/>
  <c r="AY557" i="3" s="1"/>
  <c r="AX556" i="3"/>
  <c r="AY556" i="3" s="1"/>
  <c r="AX555" i="3"/>
  <c r="AY555" i="3" s="1"/>
  <c r="AX554" i="3"/>
  <c r="AY554" i="3" s="1"/>
  <c r="AX553" i="3"/>
  <c r="AY553" i="3" s="1"/>
  <c r="AX552" i="3"/>
  <c r="AY552" i="3" s="1"/>
  <c r="AX551" i="3"/>
  <c r="AY551" i="3" s="1"/>
  <c r="AX550" i="3"/>
  <c r="AY550" i="3" s="1"/>
  <c r="AX549" i="3"/>
  <c r="AY549" i="3" s="1"/>
  <c r="AX548" i="3"/>
  <c r="AY548" i="3" s="1"/>
  <c r="AX547" i="3"/>
  <c r="AY547" i="3" s="1"/>
  <c r="AX546" i="3"/>
  <c r="AY546" i="3" s="1"/>
  <c r="AX545" i="3"/>
  <c r="AY545" i="3" s="1"/>
  <c r="AX544" i="3"/>
  <c r="AY544" i="3" s="1"/>
  <c r="AX543" i="3"/>
  <c r="AY543" i="3" s="1"/>
  <c r="AX542" i="3"/>
  <c r="AY542" i="3" s="1"/>
  <c r="AX541" i="3"/>
  <c r="AY541" i="3" s="1"/>
  <c r="AX540" i="3"/>
  <c r="AY540" i="3" s="1"/>
  <c r="AX539" i="3"/>
  <c r="AY539" i="3" s="1"/>
  <c r="AX538" i="3"/>
  <c r="AY538" i="3" s="1"/>
  <c r="AX537" i="3"/>
  <c r="AY537" i="3" s="1"/>
  <c r="AX536" i="3"/>
  <c r="AY536" i="3" s="1"/>
  <c r="AX535" i="3"/>
  <c r="AY535" i="3" s="1"/>
  <c r="AX534" i="3"/>
  <c r="AY534" i="3" s="1"/>
  <c r="AX533" i="3"/>
  <c r="AY533" i="3" s="1"/>
  <c r="AX532" i="3"/>
  <c r="AY532" i="3" s="1"/>
  <c r="AX531" i="3"/>
  <c r="AY531" i="3" s="1"/>
  <c r="AX530" i="3"/>
  <c r="AY530" i="3" s="1"/>
  <c r="AX529" i="3"/>
  <c r="AY529" i="3" s="1"/>
  <c r="AX528" i="3"/>
  <c r="AY528" i="3" s="1"/>
  <c r="AX527" i="3"/>
  <c r="AY527" i="3" s="1"/>
  <c r="AX526" i="3"/>
  <c r="AY526" i="3" s="1"/>
  <c r="AX525" i="3"/>
  <c r="AY525" i="3" s="1"/>
  <c r="AX524" i="3"/>
  <c r="AY524" i="3" s="1"/>
  <c r="AX523" i="3"/>
  <c r="AY523" i="3" s="1"/>
  <c r="AX522" i="3"/>
  <c r="AY522" i="3" s="1"/>
  <c r="AX521" i="3"/>
  <c r="AY521" i="3" s="1"/>
  <c r="AX520" i="3"/>
  <c r="AY520" i="3" s="1"/>
  <c r="AX519" i="3"/>
  <c r="AY519" i="3" s="1"/>
  <c r="AX518" i="3"/>
  <c r="AY518" i="3" s="1"/>
  <c r="AX517" i="3"/>
  <c r="AY517" i="3" s="1"/>
  <c r="AX516" i="3"/>
  <c r="AY516" i="3" s="1"/>
  <c r="AX515" i="3"/>
  <c r="AY515" i="3" s="1"/>
  <c r="AX514" i="3"/>
  <c r="AY514" i="3" s="1"/>
  <c r="AX513" i="3"/>
  <c r="AY513" i="3" s="1"/>
  <c r="AX512" i="3"/>
  <c r="AY512" i="3" s="1"/>
  <c r="AX511" i="3"/>
  <c r="AY511" i="3" s="1"/>
  <c r="AX510" i="3"/>
  <c r="AY510" i="3" s="1"/>
  <c r="AX509" i="3"/>
  <c r="AY509" i="3" s="1"/>
  <c r="AX508" i="3"/>
  <c r="AY508" i="3" s="1"/>
  <c r="AX507" i="3"/>
  <c r="AY507" i="3" s="1"/>
  <c r="AX506" i="3"/>
  <c r="AY506" i="3" s="1"/>
  <c r="AX505" i="3"/>
  <c r="AY505" i="3" s="1"/>
  <c r="AX504" i="3"/>
  <c r="AY504" i="3" s="1"/>
  <c r="AX503" i="3"/>
  <c r="AY503" i="3" s="1"/>
  <c r="AX502" i="3"/>
  <c r="AY502" i="3" s="1"/>
  <c r="AX501" i="3"/>
  <c r="AY501" i="3" s="1"/>
  <c r="AX500" i="3"/>
  <c r="AY500" i="3" s="1"/>
  <c r="AX499" i="3"/>
  <c r="AY499" i="3" s="1"/>
  <c r="AX498" i="3"/>
  <c r="AY498" i="3" s="1"/>
  <c r="AX497" i="3"/>
  <c r="AY497" i="3" s="1"/>
  <c r="AX496" i="3"/>
  <c r="AY496" i="3" s="1"/>
  <c r="AX495" i="3"/>
  <c r="AY495" i="3" s="1"/>
  <c r="AX494" i="3"/>
  <c r="AY494" i="3" s="1"/>
  <c r="AX493" i="3"/>
  <c r="AY493" i="3" s="1"/>
  <c r="AX492" i="3"/>
  <c r="AY492" i="3" s="1"/>
  <c r="AX491" i="3"/>
  <c r="AY491" i="3" s="1"/>
  <c r="AX490" i="3"/>
  <c r="AY490" i="3" s="1"/>
  <c r="AX489" i="3"/>
  <c r="AY489" i="3" s="1"/>
  <c r="AX488" i="3"/>
  <c r="AY488" i="3" s="1"/>
  <c r="AX487" i="3"/>
  <c r="AY487" i="3" s="1"/>
  <c r="AX486" i="3"/>
  <c r="AY486" i="3" s="1"/>
  <c r="AX485" i="3"/>
  <c r="AY485" i="3" s="1"/>
  <c r="AX484" i="3"/>
  <c r="AY484" i="3" s="1"/>
  <c r="AX483" i="3"/>
  <c r="AY483" i="3" s="1"/>
  <c r="AX482" i="3"/>
  <c r="AY482" i="3" s="1"/>
  <c r="AX481" i="3"/>
  <c r="AY481" i="3" s="1"/>
  <c r="AX480" i="3"/>
  <c r="AY480" i="3" s="1"/>
  <c r="AX479" i="3"/>
  <c r="AY479" i="3" s="1"/>
  <c r="AX478" i="3"/>
  <c r="AY478" i="3" s="1"/>
  <c r="AX477" i="3"/>
  <c r="AY477" i="3" s="1"/>
  <c r="AX476" i="3"/>
  <c r="AY476" i="3" s="1"/>
  <c r="AX475" i="3"/>
  <c r="AY475" i="3" s="1"/>
  <c r="AX474" i="3"/>
  <c r="AY474" i="3" s="1"/>
  <c r="AX473" i="3"/>
  <c r="AY473" i="3" s="1"/>
  <c r="AX472" i="3"/>
  <c r="AY472" i="3" s="1"/>
  <c r="AX471" i="3"/>
  <c r="AY471" i="3" s="1"/>
  <c r="AX470" i="3"/>
  <c r="AY470" i="3" s="1"/>
  <c r="AX469" i="3"/>
  <c r="AY469" i="3" s="1"/>
  <c r="AX468" i="3"/>
  <c r="AY468" i="3" s="1"/>
  <c r="AX467" i="3"/>
  <c r="AY467" i="3" s="1"/>
  <c r="AX466" i="3"/>
  <c r="AY466" i="3" s="1"/>
  <c r="AX465" i="3"/>
  <c r="AY465" i="3" s="1"/>
  <c r="AX464" i="3"/>
  <c r="AY464" i="3" s="1"/>
  <c r="AX463" i="3"/>
  <c r="AY463" i="3" s="1"/>
  <c r="AX462" i="3"/>
  <c r="AY462" i="3" s="1"/>
  <c r="AX461" i="3"/>
  <c r="AY461" i="3" s="1"/>
  <c r="AX460" i="3"/>
  <c r="AY460" i="3" s="1"/>
  <c r="AX459" i="3"/>
  <c r="AY459" i="3" s="1"/>
  <c r="AX458" i="3"/>
  <c r="AY458" i="3" s="1"/>
  <c r="AX457" i="3"/>
  <c r="AY457" i="3" s="1"/>
  <c r="AX456" i="3"/>
  <c r="AY456" i="3" s="1"/>
  <c r="AX455" i="3"/>
  <c r="AY455" i="3" s="1"/>
  <c r="AX454" i="3"/>
  <c r="AY454" i="3" s="1"/>
  <c r="AX453" i="3"/>
  <c r="AY453" i="3" s="1"/>
  <c r="AX452" i="3"/>
  <c r="AY452" i="3" s="1"/>
  <c r="AX451" i="3"/>
  <c r="AY451" i="3" s="1"/>
  <c r="AX450" i="3"/>
  <c r="AY450" i="3" s="1"/>
  <c r="AX449" i="3"/>
  <c r="AY449" i="3" s="1"/>
  <c r="AX448" i="3"/>
  <c r="AY448" i="3" s="1"/>
  <c r="AX447" i="3"/>
  <c r="AY447" i="3" s="1"/>
  <c r="AX446" i="3"/>
  <c r="AY446" i="3" s="1"/>
  <c r="AX445" i="3"/>
  <c r="AY445" i="3" s="1"/>
  <c r="AX444" i="3"/>
  <c r="AY444" i="3" s="1"/>
  <c r="AX443" i="3"/>
  <c r="AY443" i="3" s="1"/>
  <c r="AX442" i="3"/>
  <c r="AY442" i="3" s="1"/>
  <c r="AX441" i="3"/>
  <c r="AY441" i="3" s="1"/>
  <c r="AX440" i="3"/>
  <c r="AY440" i="3" s="1"/>
  <c r="AX439" i="3"/>
  <c r="AY439" i="3" s="1"/>
  <c r="AX438" i="3"/>
  <c r="AY438" i="3" s="1"/>
  <c r="AX437" i="3"/>
  <c r="AY437" i="3" s="1"/>
  <c r="AX436" i="3"/>
  <c r="AY436" i="3" s="1"/>
  <c r="AX435" i="3"/>
  <c r="AY435" i="3" s="1"/>
  <c r="AX434" i="3"/>
  <c r="AY434" i="3" s="1"/>
  <c r="AX433" i="3"/>
  <c r="AY433" i="3" s="1"/>
  <c r="AX432" i="3"/>
  <c r="AY432" i="3" s="1"/>
  <c r="AX431" i="3"/>
  <c r="AY431" i="3" s="1"/>
  <c r="AX430" i="3"/>
  <c r="AY430" i="3" s="1"/>
  <c r="AX429" i="3"/>
  <c r="AY429" i="3" s="1"/>
  <c r="AX428" i="3"/>
  <c r="AY428" i="3" s="1"/>
  <c r="AX427" i="3"/>
  <c r="AY427" i="3" s="1"/>
  <c r="AX426" i="3"/>
  <c r="AY426" i="3" s="1"/>
  <c r="AX425" i="3"/>
  <c r="AY425" i="3" s="1"/>
  <c r="AX424" i="3"/>
  <c r="AY424" i="3" s="1"/>
  <c r="AX423" i="3"/>
  <c r="AY423" i="3" s="1"/>
  <c r="AX422" i="3"/>
  <c r="AY422" i="3" s="1"/>
  <c r="AX421" i="3"/>
  <c r="AY421" i="3" s="1"/>
  <c r="AX420" i="3"/>
  <c r="AY420" i="3" s="1"/>
  <c r="AX419" i="3"/>
  <c r="AY419" i="3" s="1"/>
  <c r="AX418" i="3"/>
  <c r="AY418" i="3" s="1"/>
  <c r="AX417" i="3"/>
  <c r="AY417" i="3" s="1"/>
  <c r="AX416" i="3"/>
  <c r="AY416" i="3" s="1"/>
  <c r="AX415" i="3"/>
  <c r="AY415" i="3" s="1"/>
  <c r="AX414" i="3"/>
  <c r="AY414" i="3" s="1"/>
  <c r="AX413" i="3"/>
  <c r="AY413" i="3" s="1"/>
  <c r="AX412" i="3"/>
  <c r="AY412" i="3" s="1"/>
  <c r="AX411" i="3"/>
  <c r="AY411" i="3" s="1"/>
  <c r="AX410" i="3"/>
  <c r="AY410" i="3" s="1"/>
  <c r="AX409" i="3"/>
  <c r="AY409" i="3" s="1"/>
  <c r="AX408" i="3"/>
  <c r="AY408" i="3" s="1"/>
  <c r="AX407" i="3"/>
  <c r="AY407" i="3" s="1"/>
  <c r="AX406" i="3"/>
  <c r="AY406" i="3" s="1"/>
  <c r="AX405" i="3"/>
  <c r="AY405" i="3" s="1"/>
  <c r="AX404" i="3"/>
  <c r="AY404" i="3" s="1"/>
  <c r="AX403" i="3"/>
  <c r="AY403" i="3" s="1"/>
  <c r="AX402" i="3"/>
  <c r="AY402" i="3" s="1"/>
  <c r="AX401" i="3"/>
  <c r="AY401" i="3" s="1"/>
  <c r="AX400" i="3"/>
  <c r="AY400" i="3" s="1"/>
  <c r="AX399" i="3"/>
  <c r="AY399" i="3" s="1"/>
  <c r="AX398" i="3"/>
  <c r="AY398" i="3" s="1"/>
  <c r="AX397" i="3"/>
  <c r="AY397" i="3" s="1"/>
  <c r="AX396" i="3"/>
  <c r="AY396" i="3" s="1"/>
  <c r="AX395" i="3"/>
  <c r="AY395" i="3" s="1"/>
  <c r="AX394" i="3"/>
  <c r="AY394" i="3" s="1"/>
  <c r="AX393" i="3"/>
  <c r="AY393" i="3" s="1"/>
  <c r="AX392" i="3"/>
  <c r="AY392" i="3" s="1"/>
  <c r="AX391" i="3"/>
  <c r="AY391" i="3" s="1"/>
  <c r="AX390" i="3"/>
  <c r="AY390" i="3" s="1"/>
  <c r="AX389" i="3"/>
  <c r="AY389" i="3" s="1"/>
  <c r="AX388" i="3"/>
  <c r="AY388" i="3" s="1"/>
  <c r="AX387" i="3"/>
  <c r="AY387" i="3" s="1"/>
  <c r="AX386" i="3"/>
  <c r="AY386" i="3" s="1"/>
  <c r="AX385" i="3"/>
  <c r="AY385" i="3" s="1"/>
  <c r="AX384" i="3"/>
  <c r="AY384" i="3" s="1"/>
  <c r="AX383" i="3"/>
  <c r="AY383" i="3" s="1"/>
  <c r="AX382" i="3"/>
  <c r="AY382" i="3" s="1"/>
  <c r="AX381" i="3"/>
  <c r="AY381" i="3" s="1"/>
  <c r="AX380" i="3"/>
  <c r="AY380" i="3" s="1"/>
  <c r="AX379" i="3"/>
  <c r="AY379" i="3" s="1"/>
  <c r="AX378" i="3"/>
  <c r="AY378" i="3" s="1"/>
  <c r="AX377" i="3"/>
  <c r="AY377" i="3" s="1"/>
  <c r="AX376" i="3"/>
  <c r="AY376" i="3" s="1"/>
  <c r="AX375" i="3"/>
  <c r="AY375" i="3" s="1"/>
  <c r="AX374" i="3"/>
  <c r="AY374" i="3" s="1"/>
  <c r="AX373" i="3"/>
  <c r="AY373" i="3" s="1"/>
  <c r="AX372" i="3"/>
  <c r="AY372" i="3" s="1"/>
  <c r="AX371" i="3"/>
  <c r="AY371" i="3" s="1"/>
  <c r="AX370" i="3"/>
  <c r="AY370" i="3" s="1"/>
  <c r="AX369" i="3"/>
  <c r="AY369" i="3" s="1"/>
  <c r="AX368" i="3"/>
  <c r="AY368" i="3" s="1"/>
  <c r="AX367" i="3"/>
  <c r="AY367" i="3" s="1"/>
  <c r="AX366" i="3"/>
  <c r="AY366" i="3" s="1"/>
  <c r="AX365" i="3"/>
  <c r="AY365" i="3" s="1"/>
  <c r="AX364" i="3"/>
  <c r="AY364" i="3" s="1"/>
  <c r="AX363" i="3"/>
  <c r="AY363" i="3" s="1"/>
  <c r="AX362" i="3"/>
  <c r="AY362" i="3" s="1"/>
  <c r="AX361" i="3"/>
  <c r="AY361" i="3" s="1"/>
  <c r="AX360" i="3"/>
  <c r="AY360" i="3" s="1"/>
  <c r="AX359" i="3"/>
  <c r="AY359" i="3" s="1"/>
  <c r="AX358" i="3"/>
  <c r="AY358" i="3" s="1"/>
  <c r="AX357" i="3"/>
  <c r="AY357" i="3" s="1"/>
  <c r="AX356" i="3"/>
  <c r="AY356" i="3" s="1"/>
  <c r="AX355" i="3"/>
  <c r="AY355" i="3" s="1"/>
  <c r="AX354" i="3"/>
  <c r="AY354" i="3" s="1"/>
  <c r="AX353" i="3"/>
  <c r="AY353" i="3" s="1"/>
  <c r="AX352" i="3"/>
  <c r="AY352" i="3" s="1"/>
  <c r="AX351" i="3"/>
  <c r="AY351" i="3" s="1"/>
  <c r="AX350" i="3"/>
  <c r="AY350" i="3" s="1"/>
  <c r="AX349" i="3"/>
  <c r="AY349" i="3" s="1"/>
  <c r="AX348" i="3"/>
  <c r="AY348" i="3" s="1"/>
  <c r="AX347" i="3"/>
  <c r="AY347" i="3" s="1"/>
  <c r="AX346" i="3"/>
  <c r="AY346" i="3" s="1"/>
  <c r="AX345" i="3"/>
  <c r="AY345" i="3" s="1"/>
  <c r="AX344" i="3"/>
  <c r="AY344" i="3" s="1"/>
  <c r="AX343" i="3"/>
  <c r="AY343" i="3" s="1"/>
  <c r="AX342" i="3"/>
  <c r="AY342" i="3" s="1"/>
  <c r="AX341" i="3"/>
  <c r="AY341" i="3" s="1"/>
  <c r="AX340" i="3"/>
  <c r="AY340" i="3" s="1"/>
  <c r="AX339" i="3"/>
  <c r="AY339" i="3" s="1"/>
  <c r="AX338" i="3"/>
  <c r="AY338" i="3" s="1"/>
  <c r="AX337" i="3"/>
  <c r="AY337" i="3" s="1"/>
  <c r="AX336" i="3"/>
  <c r="AY336" i="3" s="1"/>
  <c r="AX335" i="3"/>
  <c r="AY335" i="3" s="1"/>
  <c r="AX334" i="3"/>
  <c r="AY334" i="3" s="1"/>
  <c r="AX333" i="3"/>
  <c r="AY333" i="3" s="1"/>
  <c r="AX332" i="3"/>
  <c r="AY332" i="3" s="1"/>
  <c r="AX331" i="3"/>
  <c r="AY331" i="3" s="1"/>
  <c r="AX330" i="3"/>
  <c r="AY330" i="3" s="1"/>
  <c r="AX329" i="3"/>
  <c r="AY329" i="3" s="1"/>
  <c r="AX328" i="3"/>
  <c r="AY328" i="3" s="1"/>
  <c r="AX327" i="3"/>
  <c r="AY327" i="3" s="1"/>
  <c r="AX326" i="3"/>
  <c r="AY326" i="3" s="1"/>
  <c r="AX325" i="3"/>
  <c r="AY325" i="3" s="1"/>
  <c r="AX324" i="3"/>
  <c r="AY324" i="3" s="1"/>
  <c r="AX323" i="3"/>
  <c r="AY323" i="3" s="1"/>
  <c r="AX322" i="3"/>
  <c r="AY322" i="3" s="1"/>
  <c r="AX321" i="3"/>
  <c r="AY321" i="3" s="1"/>
  <c r="AX320" i="3"/>
  <c r="AY320" i="3" s="1"/>
  <c r="AX319" i="3"/>
  <c r="AY319" i="3" s="1"/>
  <c r="AX318" i="3"/>
  <c r="AY318" i="3" s="1"/>
  <c r="AX317" i="3"/>
  <c r="AY317" i="3" s="1"/>
  <c r="AX316" i="3"/>
  <c r="AY316" i="3" s="1"/>
  <c r="AX182" i="3"/>
  <c r="AY182" i="3" s="1"/>
  <c r="AX183" i="3"/>
  <c r="AY183" i="3" s="1"/>
  <c r="AX184" i="3"/>
  <c r="AY184" i="3" s="1"/>
  <c r="AX185" i="3"/>
  <c r="AY185" i="3" s="1"/>
  <c r="AX186" i="3"/>
  <c r="AY186" i="3" s="1"/>
  <c r="AX187" i="3"/>
  <c r="AY187" i="3" s="1"/>
  <c r="AX188" i="3"/>
  <c r="AY188" i="3" s="1"/>
  <c r="AX189" i="3"/>
  <c r="AY189" i="3" s="1"/>
  <c r="AX190" i="3"/>
  <c r="AY190" i="3" s="1"/>
  <c r="AX191" i="3"/>
  <c r="AY191" i="3" s="1"/>
  <c r="AX192" i="3"/>
  <c r="AY192" i="3" s="1"/>
  <c r="AX193" i="3"/>
  <c r="AY193" i="3" s="1"/>
  <c r="AX194" i="3"/>
  <c r="AY194" i="3" s="1"/>
  <c r="AX195" i="3"/>
  <c r="AY195" i="3" s="1"/>
  <c r="AX196" i="3"/>
  <c r="AY196" i="3" s="1"/>
  <c r="AX197" i="3"/>
  <c r="AY197" i="3" s="1"/>
  <c r="AX198" i="3"/>
  <c r="AY198" i="3" s="1"/>
  <c r="AX199" i="3"/>
  <c r="AY199" i="3" s="1"/>
  <c r="AX200" i="3"/>
  <c r="AY200" i="3" s="1"/>
  <c r="AX201" i="3"/>
  <c r="AY201" i="3" s="1"/>
  <c r="AX202" i="3"/>
  <c r="AY202" i="3" s="1"/>
  <c r="AX203" i="3"/>
  <c r="AY203" i="3" s="1"/>
  <c r="AX204" i="3"/>
  <c r="AY204" i="3" s="1"/>
  <c r="AX205" i="3"/>
  <c r="AY205" i="3" s="1"/>
  <c r="AX206" i="3"/>
  <c r="AY206" i="3" s="1"/>
  <c r="AX207" i="3"/>
  <c r="AY207" i="3" s="1"/>
  <c r="AX208" i="3"/>
  <c r="AY208" i="3" s="1"/>
  <c r="AX209" i="3"/>
  <c r="AY209" i="3" s="1"/>
  <c r="AX210" i="3"/>
  <c r="AY210" i="3" s="1"/>
  <c r="AX211" i="3"/>
  <c r="AY211" i="3" s="1"/>
  <c r="AX212" i="3"/>
  <c r="AY212" i="3" s="1"/>
  <c r="AX213" i="3"/>
  <c r="AY213" i="3" s="1"/>
  <c r="AX214" i="3"/>
  <c r="AY214" i="3" s="1"/>
  <c r="AX215" i="3"/>
  <c r="AY215" i="3" s="1"/>
  <c r="AX216" i="3"/>
  <c r="AY216" i="3" s="1"/>
  <c r="AX217" i="3"/>
  <c r="AY217" i="3" s="1"/>
  <c r="AX218" i="3"/>
  <c r="AY218" i="3" s="1"/>
  <c r="AX219" i="3"/>
  <c r="AY219" i="3" s="1"/>
  <c r="AX220" i="3"/>
  <c r="AY220" i="3" s="1"/>
  <c r="AX221" i="3"/>
  <c r="AY221" i="3" s="1"/>
  <c r="AX222" i="3"/>
  <c r="AY222" i="3" s="1"/>
  <c r="AX223" i="3"/>
  <c r="AY223" i="3" s="1"/>
  <c r="AX224" i="3"/>
  <c r="AY224" i="3" s="1"/>
  <c r="AX225" i="3"/>
  <c r="AY225" i="3" s="1"/>
  <c r="AX226" i="3"/>
  <c r="AY226" i="3" s="1"/>
  <c r="AX227" i="3"/>
  <c r="AY227" i="3" s="1"/>
  <c r="AX228" i="3"/>
  <c r="AY228" i="3" s="1"/>
  <c r="AX229" i="3"/>
  <c r="AY229" i="3" s="1"/>
  <c r="AX230" i="3"/>
  <c r="AY230" i="3" s="1"/>
  <c r="AX231" i="3"/>
  <c r="AY231" i="3" s="1"/>
  <c r="AX232" i="3"/>
  <c r="AY232" i="3" s="1"/>
  <c r="AX233" i="3"/>
  <c r="AY233" i="3" s="1"/>
  <c r="AX234" i="3"/>
  <c r="AY234" i="3" s="1"/>
  <c r="AX235" i="3"/>
  <c r="AY235" i="3" s="1"/>
  <c r="AX236" i="3"/>
  <c r="AY236" i="3" s="1"/>
  <c r="AX237" i="3"/>
  <c r="AY237" i="3" s="1"/>
  <c r="AX238" i="3"/>
  <c r="AY238" i="3" s="1"/>
  <c r="AX239" i="3"/>
  <c r="AY239" i="3" s="1"/>
  <c r="AX240" i="3"/>
  <c r="AY240" i="3" s="1"/>
  <c r="AX241" i="3"/>
  <c r="AY241" i="3" s="1"/>
  <c r="AX242" i="3"/>
  <c r="AY242" i="3" s="1"/>
  <c r="AX243" i="3"/>
  <c r="AY243" i="3" s="1"/>
  <c r="AX244" i="3"/>
  <c r="AY244" i="3" s="1"/>
  <c r="AX245" i="3"/>
  <c r="AY245" i="3" s="1"/>
  <c r="AX246" i="3"/>
  <c r="AY246" i="3" s="1"/>
  <c r="AX247" i="3"/>
  <c r="AY247" i="3" s="1"/>
  <c r="AX248" i="3"/>
  <c r="AY248" i="3" s="1"/>
  <c r="AX249" i="3"/>
  <c r="AY249" i="3" s="1"/>
  <c r="AX250" i="3"/>
  <c r="AY250" i="3" s="1"/>
  <c r="AX251" i="3"/>
  <c r="AY251" i="3" s="1"/>
  <c r="AX252" i="3"/>
  <c r="AY252" i="3" s="1"/>
  <c r="AX253" i="3"/>
  <c r="AY253" i="3" s="1"/>
  <c r="AX254" i="3"/>
  <c r="AY254" i="3" s="1"/>
  <c r="AX255" i="3"/>
  <c r="AY255" i="3" s="1"/>
  <c r="AX256" i="3"/>
  <c r="AY256" i="3" s="1"/>
  <c r="AX257" i="3"/>
  <c r="AY257" i="3" s="1"/>
  <c r="AX258" i="3"/>
  <c r="AY258" i="3" s="1"/>
  <c r="AX259" i="3"/>
  <c r="AY259" i="3" s="1"/>
  <c r="AX260" i="3"/>
  <c r="AY260" i="3" s="1"/>
  <c r="AX261" i="3"/>
  <c r="AY261" i="3" s="1"/>
  <c r="AX262" i="3"/>
  <c r="AY262" i="3" s="1"/>
  <c r="AX263" i="3"/>
  <c r="AY263" i="3" s="1"/>
  <c r="AX264" i="3"/>
  <c r="AY264" i="3" s="1"/>
  <c r="AX265" i="3"/>
  <c r="AY265" i="3" s="1"/>
  <c r="AX266" i="3"/>
  <c r="AY266" i="3" s="1"/>
  <c r="AX267" i="3"/>
  <c r="AY267" i="3" s="1"/>
  <c r="AX268" i="3"/>
  <c r="AY268" i="3" s="1"/>
  <c r="AX269" i="3"/>
  <c r="AY269" i="3" s="1"/>
  <c r="AX270" i="3"/>
  <c r="AY270" i="3" s="1"/>
  <c r="AX271" i="3"/>
  <c r="AY271" i="3" s="1"/>
  <c r="AX272" i="3"/>
  <c r="AY272" i="3" s="1"/>
  <c r="AX273" i="3"/>
  <c r="AY273" i="3" s="1"/>
  <c r="AX274" i="3"/>
  <c r="AY274" i="3" s="1"/>
  <c r="AX275" i="3"/>
  <c r="AY275" i="3" s="1"/>
  <c r="AX276" i="3"/>
  <c r="AY276" i="3" s="1"/>
  <c r="AX277" i="3"/>
  <c r="AY277" i="3" s="1"/>
  <c r="AX278" i="3"/>
  <c r="AY278" i="3" s="1"/>
  <c r="AX279" i="3"/>
  <c r="AY279" i="3" s="1"/>
  <c r="AX280" i="3"/>
  <c r="AY280" i="3" s="1"/>
  <c r="AX281" i="3"/>
  <c r="AY281" i="3" s="1"/>
  <c r="AX282" i="3"/>
  <c r="AY282" i="3" s="1"/>
  <c r="AX283" i="3"/>
  <c r="AY283" i="3" s="1"/>
  <c r="AX284" i="3"/>
  <c r="AY284" i="3" s="1"/>
  <c r="AX285" i="3"/>
  <c r="AY285" i="3" s="1"/>
  <c r="AX286" i="3"/>
  <c r="AY286" i="3" s="1"/>
  <c r="AX287" i="3"/>
  <c r="AY287" i="3" s="1"/>
  <c r="AX288" i="3"/>
  <c r="AY288" i="3" s="1"/>
  <c r="AX289" i="3"/>
  <c r="AY289" i="3" s="1"/>
  <c r="AX290" i="3"/>
  <c r="AY290" i="3" s="1"/>
  <c r="AX291" i="3"/>
  <c r="AY291" i="3" s="1"/>
  <c r="AX292" i="3"/>
  <c r="AY292" i="3" s="1"/>
  <c r="AX293" i="3"/>
  <c r="AY293" i="3" s="1"/>
  <c r="AX294" i="3"/>
  <c r="AY294" i="3" s="1"/>
  <c r="AX295" i="3"/>
  <c r="AY295" i="3" s="1"/>
  <c r="AX296" i="3"/>
  <c r="AY296" i="3" s="1"/>
  <c r="AX297" i="3"/>
  <c r="AY297" i="3" s="1"/>
  <c r="AX298" i="3"/>
  <c r="AY298" i="3" s="1"/>
  <c r="AX299" i="3"/>
  <c r="AY299" i="3" s="1"/>
  <c r="AX300" i="3"/>
  <c r="AY300" i="3" s="1"/>
  <c r="AX301" i="3"/>
  <c r="AY301" i="3" s="1"/>
  <c r="AX302" i="3"/>
  <c r="AY302" i="3" s="1"/>
  <c r="AX303" i="3"/>
  <c r="AY303" i="3" s="1"/>
  <c r="AX304" i="3"/>
  <c r="AY304" i="3" s="1"/>
  <c r="AX305" i="3"/>
  <c r="AY305" i="3" s="1"/>
  <c r="AX306" i="3"/>
  <c r="AY306" i="3" s="1"/>
  <c r="AX307" i="3"/>
  <c r="AY307" i="3" s="1"/>
  <c r="AX308" i="3"/>
  <c r="AY308" i="3" s="1"/>
  <c r="AX309" i="3"/>
  <c r="AY309" i="3" s="1"/>
  <c r="AX310" i="3"/>
  <c r="AY310" i="3" s="1"/>
  <c r="AX311" i="3"/>
  <c r="AY311" i="3" s="1"/>
  <c r="AX312" i="3"/>
  <c r="AY312" i="3" s="1"/>
  <c r="AX313" i="3"/>
  <c r="AY313" i="3" s="1"/>
  <c r="AX314" i="3"/>
  <c r="AY314" i="3" s="1"/>
  <c r="AX315" i="3"/>
  <c r="AY315" i="3" s="1"/>
  <c r="U816" i="3"/>
  <c r="U818" i="3"/>
  <c r="V818" i="3" s="1"/>
  <c r="U915" i="3"/>
  <c r="F840" i="3" a="1"/>
  <c r="BH840" i="3"/>
  <c r="BF840" i="3"/>
  <c r="BE840" i="3"/>
  <c r="AC840" i="3"/>
  <c r="V840" i="3"/>
  <c r="C840" i="3"/>
  <c r="S718" i="3"/>
  <c r="S717" i="3"/>
  <c r="S716" i="3"/>
  <c r="S714" i="3"/>
  <c r="S713" i="3"/>
  <c r="S712" i="3"/>
  <c r="S711" i="3"/>
  <c r="S710" i="3"/>
  <c r="S709" i="3"/>
  <c r="S708" i="3"/>
  <c r="S707" i="3"/>
  <c r="S706" i="3"/>
  <c r="S705" i="3"/>
  <c r="S704" i="3"/>
  <c r="S703" i="3"/>
  <c r="S702" i="3"/>
  <c r="S701" i="3"/>
  <c r="S700" i="3"/>
  <c r="S699" i="3"/>
  <c r="S698" i="3"/>
  <c r="S697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U806" i="3"/>
  <c r="V806" i="3" s="1"/>
  <c r="U867" i="3"/>
  <c r="BH867" i="3"/>
  <c r="BF867" i="3"/>
  <c r="BE867" i="3"/>
  <c r="AC867" i="3"/>
  <c r="F867" i="3" a="1"/>
  <c r="C867" i="3"/>
  <c r="V944" i="3"/>
  <c r="U881" i="3"/>
  <c r="V881" i="3" s="1"/>
  <c r="BH806" i="3"/>
  <c r="BF806" i="3"/>
  <c r="BE806" i="3"/>
  <c r="AC806" i="3"/>
  <c r="F806" i="3" a="1"/>
  <c r="C806" i="3"/>
  <c r="BH944" i="3"/>
  <c r="BF944" i="3"/>
  <c r="BE944" i="3"/>
  <c r="AC944" i="3"/>
  <c r="F944" i="3" a="1"/>
  <c r="C944" i="3"/>
  <c r="BH881" i="3"/>
  <c r="BF881" i="3"/>
  <c r="BE881" i="3"/>
  <c r="AC881" i="3"/>
  <c r="F881" i="3" a="1"/>
  <c r="C881" i="3"/>
  <c r="F936" i="3" a="1"/>
  <c r="BH936" i="3"/>
  <c r="BF936" i="3"/>
  <c r="BE936" i="3"/>
  <c r="AC936" i="3"/>
  <c r="C936" i="3"/>
  <c r="U857" i="3"/>
  <c r="V857" i="3" s="1"/>
  <c r="BH824" i="3"/>
  <c r="BF824" i="3"/>
  <c r="BE824" i="3"/>
  <c r="AC824" i="3"/>
  <c r="F824" i="3" a="1"/>
  <c r="C824" i="3"/>
  <c r="BH1036" i="3"/>
  <c r="BF1036" i="3"/>
  <c r="BE1036" i="3"/>
  <c r="AC1036" i="3"/>
  <c r="F1036" i="3" a="1"/>
  <c r="C1036" i="3"/>
  <c r="BH1035" i="3"/>
  <c r="BF1035" i="3"/>
  <c r="BE1035" i="3"/>
  <c r="AC1035" i="3"/>
  <c r="C1035" i="3"/>
  <c r="BH857" i="3"/>
  <c r="BF857" i="3"/>
  <c r="BE857" i="3"/>
  <c r="AC857" i="3"/>
  <c r="F857" i="3" a="1"/>
  <c r="C857" i="3"/>
  <c r="BH953" i="3"/>
  <c r="BF953" i="3"/>
  <c r="BE953" i="3"/>
  <c r="AC953" i="3"/>
  <c r="C953" i="3"/>
  <c r="F994" i="3" a="1"/>
  <c r="F945" i="3" a="1"/>
  <c r="V885" i="3"/>
  <c r="C885" i="3"/>
  <c r="BH994" i="3"/>
  <c r="BF994" i="3"/>
  <c r="BE994" i="3"/>
  <c r="AC994" i="3"/>
  <c r="C994" i="3"/>
  <c r="BH945" i="3"/>
  <c r="BF945" i="3"/>
  <c r="BE945" i="3"/>
  <c r="AC945" i="3"/>
  <c r="C945" i="3"/>
  <c r="BH885" i="3"/>
  <c r="BF885" i="3"/>
  <c r="BE885" i="3"/>
  <c r="AC885" i="3"/>
  <c r="F885" i="3" a="1"/>
  <c r="U922" i="3"/>
  <c r="V922" i="3" s="1"/>
  <c r="BH930" i="3"/>
  <c r="BF930" i="3"/>
  <c r="BE930" i="3"/>
  <c r="AC930" i="3"/>
  <c r="F930" i="3" a="1"/>
  <c r="C930" i="3"/>
  <c r="F924" i="3" a="1"/>
  <c r="F902" i="3" a="1"/>
  <c r="BH902" i="3"/>
  <c r="BF902" i="3"/>
  <c r="BE902" i="3"/>
  <c r="AC902" i="3"/>
  <c r="C902" i="3"/>
  <c r="BH924" i="3"/>
  <c r="BF924" i="3"/>
  <c r="BE924" i="3"/>
  <c r="AC924" i="3"/>
  <c r="C924" i="3"/>
  <c r="F922" i="3" a="1"/>
  <c r="BH922" i="3"/>
  <c r="BF922" i="3"/>
  <c r="BE922" i="3"/>
  <c r="AC922" i="3"/>
  <c r="C922" i="3"/>
  <c r="U1114" i="3"/>
  <c r="F1114" i="3" a="1"/>
  <c r="BH1114" i="3"/>
  <c r="BF1114" i="3"/>
  <c r="BE1114" i="3"/>
  <c r="AC1114" i="3"/>
  <c r="C1114" i="3"/>
  <c r="F1113" i="3" a="1"/>
  <c r="F1081" i="3" a="1"/>
  <c r="F1040" i="3" a="1"/>
  <c r="U1113" i="3"/>
  <c r="F1039" i="3" a="1"/>
  <c r="C1039" i="3"/>
  <c r="V1039" i="3"/>
  <c r="AC1039" i="3"/>
  <c r="BE1039" i="3"/>
  <c r="W1039" i="3" s="1"/>
  <c r="BF1039" i="3"/>
  <c r="BH1039" i="3"/>
  <c r="C1040" i="3"/>
  <c r="AC1040" i="3"/>
  <c r="BE1040" i="3"/>
  <c r="BF1040" i="3"/>
  <c r="BH1040" i="3"/>
  <c r="C1081" i="3"/>
  <c r="AC1081" i="3"/>
  <c r="BE1081" i="3"/>
  <c r="BF1081" i="3"/>
  <c r="BH1081" i="3"/>
  <c r="C1113" i="3"/>
  <c r="AC1113" i="3"/>
  <c r="BE1113" i="3"/>
  <c r="BF1113" i="3"/>
  <c r="BH1113" i="3"/>
  <c r="F865" i="3" a="1"/>
  <c r="F827" i="3" a="1"/>
  <c r="F831" i="3" a="1"/>
  <c r="F995" i="3" a="1"/>
  <c r="F947" i="3" a="1"/>
  <c r="BH995" i="3"/>
  <c r="BF995" i="3"/>
  <c r="BE995" i="3"/>
  <c r="AC995" i="3"/>
  <c r="C995" i="3"/>
  <c r="BH947" i="3"/>
  <c r="BF947" i="3"/>
  <c r="BE947" i="3"/>
  <c r="AC947" i="3"/>
  <c r="C947" i="3"/>
  <c r="BH865" i="3"/>
  <c r="BF865" i="3"/>
  <c r="BE865" i="3"/>
  <c r="AC865" i="3"/>
  <c r="C865" i="3"/>
  <c r="BH892" i="3"/>
  <c r="BF892" i="3"/>
  <c r="BE892" i="3"/>
  <c r="AC892" i="3"/>
  <c r="F892" i="3" a="1"/>
  <c r="C892" i="3"/>
  <c r="U831" i="3"/>
  <c r="V831" i="3" s="1"/>
  <c r="BH827" i="3"/>
  <c r="BF827" i="3"/>
  <c r="BE827" i="3"/>
  <c r="AC827" i="3"/>
  <c r="C827" i="3"/>
  <c r="BH831" i="3"/>
  <c r="BF831" i="3"/>
  <c r="BE831" i="3"/>
  <c r="AC831" i="3"/>
  <c r="C831" i="3"/>
  <c r="U783" i="3"/>
  <c r="V783" i="3" s="1"/>
  <c r="F846" i="3" a="1"/>
  <c r="BH846" i="3"/>
  <c r="BF846" i="3"/>
  <c r="BE846" i="3"/>
  <c r="AC846" i="3"/>
  <c r="C846" i="3"/>
  <c r="U697" i="3"/>
  <c r="V697" i="3" s="1"/>
  <c r="U114" i="70"/>
  <c r="BH1295" i="3"/>
  <c r="BH1296" i="3"/>
  <c r="BH1037" i="3"/>
  <c r="BH1297" i="3"/>
  <c r="BH1298" i="3"/>
  <c r="BH921" i="3"/>
  <c r="BF1037" i="3"/>
  <c r="BF921" i="3"/>
  <c r="BE1037" i="3"/>
  <c r="BE921" i="3"/>
  <c r="AC1295" i="3"/>
  <c r="AC1296" i="3"/>
  <c r="AC1037" i="3"/>
  <c r="AC1297" i="3"/>
  <c r="AC1298" i="3"/>
  <c r="AC921" i="3"/>
  <c r="C921" i="3"/>
  <c r="BH1293" i="3"/>
  <c r="BH1294" i="3"/>
  <c r="AC1293" i="3"/>
  <c r="AC1294" i="3"/>
  <c r="Q47" i="122"/>
  <c r="F775" i="3" a="1"/>
  <c r="F776" i="3" a="1"/>
  <c r="BH775" i="3"/>
  <c r="BF775" i="3"/>
  <c r="BE775" i="3"/>
  <c r="AC775" i="3"/>
  <c r="V775" i="3"/>
  <c r="C775" i="3"/>
  <c r="BH776" i="3"/>
  <c r="BF776" i="3"/>
  <c r="BE776" i="3"/>
  <c r="AC776" i="3"/>
  <c r="V776" i="3"/>
  <c r="C776" i="3"/>
  <c r="C1292" i="3"/>
  <c r="AC1292" i="3"/>
  <c r="BH1292" i="3"/>
  <c r="C1291" i="3"/>
  <c r="AC1291" i="3"/>
  <c r="BH1291" i="3"/>
  <c r="F773" i="3" a="1"/>
  <c r="C773" i="3"/>
  <c r="F774" i="3" a="1"/>
  <c r="C774" i="3"/>
  <c r="V773" i="3"/>
  <c r="AC773" i="3"/>
  <c r="BE773" i="3"/>
  <c r="BF773" i="3"/>
  <c r="BH773" i="3"/>
  <c r="V774" i="3"/>
  <c r="AC774" i="3"/>
  <c r="BE774" i="3"/>
  <c r="BF774" i="3"/>
  <c r="BH774" i="3"/>
  <c r="F772" i="3" a="1"/>
  <c r="C772" i="3"/>
  <c r="V772" i="3"/>
  <c r="AC772" i="3"/>
  <c r="BE772" i="3"/>
  <c r="BF772" i="3"/>
  <c r="BH772" i="3"/>
  <c r="F780" i="3" a="1"/>
  <c r="BH780" i="3"/>
  <c r="BF780" i="3"/>
  <c r="BE780" i="3"/>
  <c r="AC780" i="3"/>
  <c r="V780" i="3"/>
  <c r="C780" i="3"/>
  <c r="F813" i="3" a="1"/>
  <c r="BH813" i="3"/>
  <c r="BF813" i="3"/>
  <c r="BE813" i="3"/>
  <c r="AC813" i="3"/>
  <c r="V813" i="3"/>
  <c r="C813" i="3"/>
  <c r="F856" i="3" a="1"/>
  <c r="C856" i="3"/>
  <c r="V856" i="3"/>
  <c r="AC856" i="3"/>
  <c r="BE856" i="3"/>
  <c r="BF856" i="3"/>
  <c r="BH856" i="3"/>
  <c r="F858" i="3" a="1"/>
  <c r="C858" i="3"/>
  <c r="V858" i="3"/>
  <c r="AC858" i="3"/>
  <c r="BE858" i="3"/>
  <c r="BF858" i="3"/>
  <c r="BH858" i="3"/>
  <c r="F768" i="3" a="1"/>
  <c r="C768" i="3"/>
  <c r="F844" i="3" a="1"/>
  <c r="C844" i="3"/>
  <c r="AC844" i="3"/>
  <c r="BE844" i="3"/>
  <c r="BF844" i="3"/>
  <c r="BH844" i="3"/>
  <c r="AC768" i="3"/>
  <c r="BE768" i="3"/>
  <c r="BF768" i="3"/>
  <c r="BH768" i="3"/>
  <c r="U147" i="70"/>
  <c r="U148" i="70"/>
  <c r="U146" i="70"/>
  <c r="U172" i="70"/>
  <c r="U173" i="70"/>
  <c r="U171" i="70"/>
  <c r="U168" i="70"/>
  <c r="U169" i="70"/>
  <c r="U170" i="70"/>
  <c r="U167" i="70"/>
  <c r="U166" i="70"/>
  <c r="U163" i="70"/>
  <c r="U164" i="70"/>
  <c r="U165" i="70"/>
  <c r="U162" i="70"/>
  <c r="U144" i="70"/>
  <c r="U145" i="70"/>
  <c r="U143" i="70"/>
  <c r="U158" i="70"/>
  <c r="U160" i="70"/>
  <c r="U161" i="70"/>
  <c r="U157" i="70"/>
  <c r="U155" i="70"/>
  <c r="U154" i="70"/>
  <c r="U150" i="70"/>
  <c r="U152" i="70"/>
  <c r="U153" i="70"/>
  <c r="U149" i="70"/>
  <c r="C173" i="70"/>
  <c r="C172" i="70"/>
  <c r="C171" i="70"/>
  <c r="BC167" i="70"/>
  <c r="AS167" i="70"/>
  <c r="AA167" i="70"/>
  <c r="X167" i="70"/>
  <c r="C167" i="70"/>
  <c r="BC168" i="70"/>
  <c r="AS168" i="70"/>
  <c r="AA168" i="70"/>
  <c r="X168" i="70"/>
  <c r="C168" i="70"/>
  <c r="BC169" i="70"/>
  <c r="AS169" i="70"/>
  <c r="AA169" i="70"/>
  <c r="X169" i="70"/>
  <c r="C169" i="70"/>
  <c r="BC170" i="70"/>
  <c r="AS170" i="70"/>
  <c r="AA170" i="70"/>
  <c r="X170" i="70"/>
  <c r="C170" i="70"/>
  <c r="BC166" i="70"/>
  <c r="AS166" i="70"/>
  <c r="AA166" i="70"/>
  <c r="X166" i="70"/>
  <c r="C166" i="70"/>
  <c r="BC164" i="70"/>
  <c r="AS164" i="70"/>
  <c r="AA164" i="70"/>
  <c r="X164" i="70"/>
  <c r="C164" i="70"/>
  <c r="BC165" i="70"/>
  <c r="AS165" i="70"/>
  <c r="AA165" i="70"/>
  <c r="X165" i="70"/>
  <c r="C165" i="70"/>
  <c r="BC162" i="70"/>
  <c r="AS162" i="70"/>
  <c r="AA162" i="70"/>
  <c r="X162" i="70"/>
  <c r="C162" i="70"/>
  <c r="BC163" i="70"/>
  <c r="AS163" i="70"/>
  <c r="AA163" i="70"/>
  <c r="X163" i="70"/>
  <c r="C163" i="70"/>
  <c r="BC143" i="70"/>
  <c r="AS143" i="70"/>
  <c r="AA143" i="70"/>
  <c r="X143" i="70"/>
  <c r="C143" i="70"/>
  <c r="BC144" i="70"/>
  <c r="AS144" i="70"/>
  <c r="AA144" i="70"/>
  <c r="X144" i="70"/>
  <c r="C144" i="70"/>
  <c r="BC145" i="70"/>
  <c r="AS145" i="70"/>
  <c r="AA145" i="70"/>
  <c r="X145" i="70"/>
  <c r="C145" i="70"/>
  <c r="BC160" i="70"/>
  <c r="AS160" i="70"/>
  <c r="AA160" i="70"/>
  <c r="X160" i="70"/>
  <c r="C160" i="70"/>
  <c r="BC161" i="70"/>
  <c r="AS161" i="70"/>
  <c r="AA161" i="70"/>
  <c r="X161" i="70"/>
  <c r="C161" i="70"/>
  <c r="BC157" i="70"/>
  <c r="AS157" i="70"/>
  <c r="AA157" i="70"/>
  <c r="X157" i="70"/>
  <c r="C157" i="70"/>
  <c r="BC158" i="70"/>
  <c r="AS158" i="70"/>
  <c r="AA158" i="70"/>
  <c r="X158" i="70"/>
  <c r="C158" i="70"/>
  <c r="BC148" i="70"/>
  <c r="AS148" i="70"/>
  <c r="AA148" i="70"/>
  <c r="X148" i="70"/>
  <c r="C148" i="70"/>
  <c r="BC146" i="70"/>
  <c r="AS146" i="70"/>
  <c r="AA146" i="70"/>
  <c r="X146" i="70"/>
  <c r="C146" i="70"/>
  <c r="BC147" i="70"/>
  <c r="AS147" i="70"/>
  <c r="AA147" i="70"/>
  <c r="X147" i="70"/>
  <c r="C147" i="70"/>
  <c r="BC154" i="70"/>
  <c r="AS154" i="70"/>
  <c r="AA154" i="70"/>
  <c r="X154" i="70"/>
  <c r="C154" i="70"/>
  <c r="BC155" i="70"/>
  <c r="AS155" i="70"/>
  <c r="AA155" i="70"/>
  <c r="X155" i="70"/>
  <c r="C155" i="70"/>
  <c r="BC152" i="70"/>
  <c r="AS152" i="70"/>
  <c r="AA152" i="70"/>
  <c r="X152" i="70"/>
  <c r="C152" i="70"/>
  <c r="BC153" i="70"/>
  <c r="C153" i="70"/>
  <c r="X153" i="70"/>
  <c r="AA153" i="70"/>
  <c r="AS153" i="70"/>
  <c r="C149" i="70"/>
  <c r="C150" i="70"/>
  <c r="C151" i="70"/>
  <c r="C142" i="70"/>
  <c r="BC151" i="70"/>
  <c r="AS151" i="70"/>
  <c r="AA151" i="70"/>
  <c r="T136" i="122"/>
  <c r="S136" i="122"/>
  <c r="R136" i="122"/>
  <c r="Q136" i="122"/>
  <c r="T132" i="122"/>
  <c r="S132" i="122"/>
  <c r="T128" i="122"/>
  <c r="S128" i="122"/>
  <c r="R128" i="122"/>
  <c r="Q128" i="122"/>
  <c r="T108" i="122"/>
  <c r="S108" i="122"/>
  <c r="R108" i="122"/>
  <c r="Q108" i="122"/>
  <c r="BC150" i="70"/>
  <c r="X150" i="70"/>
  <c r="F762" i="3" a="1"/>
  <c r="C762" i="3"/>
  <c r="V762" i="3"/>
  <c r="AC762" i="3"/>
  <c r="BE762" i="3"/>
  <c r="BF762" i="3"/>
  <c r="BH762" i="3"/>
  <c r="U803" i="3"/>
  <c r="V803" i="3" s="1"/>
  <c r="U752" i="3"/>
  <c r="F752" i="3" a="1"/>
  <c r="BH752" i="3"/>
  <c r="BF752" i="3"/>
  <c r="BE752" i="3"/>
  <c r="AC752" i="3"/>
  <c r="C752" i="3"/>
  <c r="U753" i="3"/>
  <c r="F753" i="3" a="1"/>
  <c r="BH753" i="3"/>
  <c r="BF753" i="3"/>
  <c r="BE753" i="3"/>
  <c r="AC753" i="3"/>
  <c r="C753" i="3"/>
  <c r="BC138" i="70"/>
  <c r="AS138" i="70"/>
  <c r="AA138" i="70"/>
  <c r="X138" i="70"/>
  <c r="U138" i="70"/>
  <c r="C138" i="70"/>
  <c r="BC137" i="70"/>
  <c r="AS137" i="70"/>
  <c r="AA137" i="70"/>
  <c r="X137" i="70"/>
  <c r="U137" i="70"/>
  <c r="C137" i="70"/>
  <c r="F742" i="3" a="1"/>
  <c r="BH742" i="3"/>
  <c r="BF742" i="3"/>
  <c r="BE742" i="3"/>
  <c r="AC742" i="3"/>
  <c r="V742" i="3"/>
  <c r="C742" i="3"/>
  <c r="F743" i="3" a="1"/>
  <c r="BH743" i="3"/>
  <c r="BF743" i="3"/>
  <c r="BE743" i="3"/>
  <c r="AC743" i="3"/>
  <c r="V743" i="3"/>
  <c r="C743" i="3"/>
  <c r="F746" i="3" a="1"/>
  <c r="BH746" i="3"/>
  <c r="BF746" i="3"/>
  <c r="BE746" i="3"/>
  <c r="AC746" i="3"/>
  <c r="V746" i="3"/>
  <c r="C746" i="3"/>
  <c r="F757" i="3" a="1"/>
  <c r="BH757" i="3"/>
  <c r="BF757" i="3"/>
  <c r="BE757" i="3"/>
  <c r="AC757" i="3"/>
  <c r="V757" i="3"/>
  <c r="C757" i="3"/>
  <c r="BH756" i="3"/>
  <c r="BF756" i="3"/>
  <c r="BE756" i="3"/>
  <c r="AC756" i="3"/>
  <c r="F756" i="3" a="1"/>
  <c r="C756" i="3"/>
  <c r="BH723" i="3"/>
  <c r="BF723" i="3"/>
  <c r="BE723" i="3"/>
  <c r="AC723" i="3"/>
  <c r="U723" i="3"/>
  <c r="F723" i="3" a="1"/>
  <c r="C723" i="3"/>
  <c r="BH722" i="3"/>
  <c r="BF722" i="3"/>
  <c r="BE722" i="3"/>
  <c r="AC722" i="3"/>
  <c r="V722" i="3"/>
  <c r="F722" i="3" a="1"/>
  <c r="C722" i="3"/>
  <c r="BH877" i="3"/>
  <c r="BF877" i="3"/>
  <c r="BE877" i="3"/>
  <c r="AC877" i="3"/>
  <c r="F877" i="3" a="1"/>
  <c r="C877" i="3"/>
  <c r="F116" i="122"/>
  <c r="G116" i="122"/>
  <c r="H116" i="122"/>
  <c r="I116" i="122"/>
  <c r="K116" i="122"/>
  <c r="L116" i="122"/>
  <c r="M116" i="122"/>
  <c r="N116" i="122"/>
  <c r="O116" i="122"/>
  <c r="E116" i="122"/>
  <c r="F108" i="122"/>
  <c r="G108" i="122"/>
  <c r="H108" i="122"/>
  <c r="I108" i="122"/>
  <c r="J108" i="122"/>
  <c r="K108" i="122"/>
  <c r="L108" i="122"/>
  <c r="M108" i="122"/>
  <c r="N108" i="122"/>
  <c r="O108" i="122"/>
  <c r="P108" i="122"/>
  <c r="F104" i="122"/>
  <c r="G104" i="122"/>
  <c r="H104" i="122"/>
  <c r="I104" i="122"/>
  <c r="J104" i="122"/>
  <c r="K104" i="122"/>
  <c r="L104" i="122"/>
  <c r="E104" i="122"/>
  <c r="F100" i="122"/>
  <c r="G100" i="122"/>
  <c r="H100" i="122"/>
  <c r="I100" i="122"/>
  <c r="J100" i="122"/>
  <c r="K100" i="122"/>
  <c r="L100" i="122"/>
  <c r="M100" i="122"/>
  <c r="N100" i="122"/>
  <c r="E100" i="122"/>
  <c r="F136" i="122"/>
  <c r="G136" i="122"/>
  <c r="H136" i="122"/>
  <c r="I136" i="122"/>
  <c r="J136" i="122"/>
  <c r="K136" i="122"/>
  <c r="L136" i="122"/>
  <c r="E136" i="122"/>
  <c r="F132" i="122"/>
  <c r="G132" i="122"/>
  <c r="H132" i="122"/>
  <c r="I132" i="122"/>
  <c r="J132" i="122"/>
  <c r="K132" i="122"/>
  <c r="L132" i="122"/>
  <c r="M132" i="122"/>
  <c r="N132" i="122"/>
  <c r="O132" i="122"/>
  <c r="P132" i="122"/>
  <c r="E132" i="122"/>
  <c r="G128" i="122"/>
  <c r="H128" i="122"/>
  <c r="I128" i="122"/>
  <c r="J128" i="122"/>
  <c r="K128" i="122"/>
  <c r="L128" i="122"/>
  <c r="M128" i="122"/>
  <c r="N128" i="122"/>
  <c r="O128" i="122"/>
  <c r="P128" i="122"/>
  <c r="E128" i="122"/>
  <c r="F124" i="122"/>
  <c r="G124" i="122"/>
  <c r="H124" i="122"/>
  <c r="I124" i="122"/>
  <c r="J124" i="122"/>
  <c r="K124" i="122"/>
  <c r="L124" i="122"/>
  <c r="M124" i="122"/>
  <c r="AP142" i="122"/>
  <c r="J139" i="122"/>
  <c r="I139" i="122"/>
  <c r="H139" i="122"/>
  <c r="G139" i="122"/>
  <c r="F139" i="122"/>
  <c r="E139" i="122"/>
  <c r="AP135" i="122"/>
  <c r="AP131" i="122"/>
  <c r="AP127" i="122"/>
  <c r="AP123" i="122"/>
  <c r="H119" i="122"/>
  <c r="F119" i="122"/>
  <c r="E119" i="122"/>
  <c r="AP115" i="122"/>
  <c r="AP107" i="122"/>
  <c r="U823" i="3"/>
  <c r="V837" i="3"/>
  <c r="BH823" i="3"/>
  <c r="BF823" i="3"/>
  <c r="BE823" i="3"/>
  <c r="F823" i="3" a="1"/>
  <c r="C823" i="3"/>
  <c r="M7" i="122"/>
  <c r="M23" i="122" s="1"/>
  <c r="U755" i="3"/>
  <c r="V755" i="3" s="1"/>
  <c r="AC845" i="3"/>
  <c r="U745" i="3"/>
  <c r="V745" i="3" s="1"/>
  <c r="U811" i="3"/>
  <c r="V811" i="3" s="1"/>
  <c r="U909" i="3"/>
  <c r="V909" i="3" s="1"/>
  <c r="BH811" i="3"/>
  <c r="BF811" i="3"/>
  <c r="BE811" i="3"/>
  <c r="AC811" i="3"/>
  <c r="F811" i="3" a="1"/>
  <c r="C811" i="3"/>
  <c r="V794" i="3"/>
  <c r="F760" i="3" a="1"/>
  <c r="BH760" i="3"/>
  <c r="BF760" i="3"/>
  <c r="BE760" i="3"/>
  <c r="AC760" i="3"/>
  <c r="V760" i="3"/>
  <c r="C760" i="3"/>
  <c r="F915" i="3" a="1"/>
  <c r="BH915" i="3"/>
  <c r="BF915" i="3"/>
  <c r="BE915" i="3"/>
  <c r="AC915" i="3"/>
  <c r="C915" i="3"/>
  <c r="U787" i="3"/>
  <c r="V787" i="3" s="1"/>
  <c r="U740" i="3"/>
  <c r="F745" i="3" a="1"/>
  <c r="BH745" i="3"/>
  <c r="BF745" i="3"/>
  <c r="BE745" i="3"/>
  <c r="AC745" i="3"/>
  <c r="C745" i="3"/>
  <c r="F847" i="3" a="1"/>
  <c r="F880" i="3" a="1"/>
  <c r="U880" i="3"/>
  <c r="V880" i="3" s="1"/>
  <c r="BH847" i="3"/>
  <c r="BF847" i="3"/>
  <c r="BE847" i="3"/>
  <c r="AC847" i="3"/>
  <c r="C847" i="3"/>
  <c r="BH880" i="3"/>
  <c r="BF880" i="3"/>
  <c r="BE880" i="3"/>
  <c r="AC880" i="3"/>
  <c r="C880" i="3"/>
  <c r="U779" i="3"/>
  <c r="V779" i="3" s="1"/>
  <c r="BH854" i="3"/>
  <c r="BF854" i="3"/>
  <c r="BE854" i="3"/>
  <c r="AC854" i="3"/>
  <c r="F854" i="3" a="1"/>
  <c r="C854" i="3"/>
  <c r="BH816" i="3"/>
  <c r="BF816" i="3"/>
  <c r="BE816" i="3"/>
  <c r="AC816" i="3"/>
  <c r="F816" i="3" a="1"/>
  <c r="C816" i="3"/>
  <c r="V748" i="3"/>
  <c r="F748" i="3" a="1"/>
  <c r="C748" i="3"/>
  <c r="AC748" i="3"/>
  <c r="BE748" i="3"/>
  <c r="BF748" i="3"/>
  <c r="BH748" i="3"/>
  <c r="F700" i="3" a="1"/>
  <c r="C700" i="3"/>
  <c r="V700" i="3"/>
  <c r="AC700" i="3"/>
  <c r="BE700" i="3"/>
  <c r="BF700" i="3"/>
  <c r="BH700" i="3"/>
  <c r="F714" i="3" a="1"/>
  <c r="BH714" i="3"/>
  <c r="BF714" i="3"/>
  <c r="BE714" i="3"/>
  <c r="AC714" i="3"/>
  <c r="V714" i="3"/>
  <c r="C714" i="3"/>
  <c r="F763" i="3" a="1"/>
  <c r="BH763" i="3"/>
  <c r="BF763" i="3"/>
  <c r="BE763" i="3"/>
  <c r="AC763" i="3"/>
  <c r="V763" i="3"/>
  <c r="C763" i="3"/>
  <c r="U117" i="70"/>
  <c r="C117" i="70"/>
  <c r="X117" i="70"/>
  <c r="AA117" i="70"/>
  <c r="AS117" i="70"/>
  <c r="BC117" i="70"/>
  <c r="F788" i="3" a="1"/>
  <c r="F882" i="3" a="1"/>
  <c r="BH788" i="3"/>
  <c r="BF788" i="3"/>
  <c r="BE788" i="3"/>
  <c r="AC788" i="3"/>
  <c r="C788" i="3"/>
  <c r="BH882" i="3"/>
  <c r="BF882" i="3"/>
  <c r="BE882" i="3"/>
  <c r="AC882" i="3"/>
  <c r="C882" i="3"/>
  <c r="F818" i="3" a="1"/>
  <c r="F779" i="3" a="1"/>
  <c r="BH818" i="3"/>
  <c r="BF818" i="3"/>
  <c r="BE818" i="3"/>
  <c r="AC818" i="3"/>
  <c r="C818" i="3"/>
  <c r="BH779" i="3"/>
  <c r="BF779" i="3"/>
  <c r="BE779" i="3"/>
  <c r="AC779" i="3"/>
  <c r="C779" i="3"/>
  <c r="U782" i="3"/>
  <c r="BH783" i="3"/>
  <c r="BF783" i="3"/>
  <c r="BE783" i="3"/>
  <c r="AC783" i="3"/>
  <c r="F783" i="3" a="1"/>
  <c r="C783" i="3"/>
  <c r="BH822" i="3"/>
  <c r="BF822" i="3"/>
  <c r="BE822" i="3"/>
  <c r="AC822" i="3"/>
  <c r="U822" i="3"/>
  <c r="F822" i="3" a="1"/>
  <c r="C822" i="3"/>
  <c r="V1011" i="3"/>
  <c r="U761" i="3"/>
  <c r="V761" i="3" s="1"/>
  <c r="BH1011" i="3"/>
  <c r="BF1011" i="3"/>
  <c r="BE1011" i="3"/>
  <c r="AC1011" i="3"/>
  <c r="F1011" i="3" a="1"/>
  <c r="C1011" i="3"/>
  <c r="M73" i="122"/>
  <c r="U869" i="3"/>
  <c r="V869" i="3" s="1"/>
  <c r="BH869" i="3"/>
  <c r="BF869" i="3"/>
  <c r="BE869" i="3"/>
  <c r="AC869" i="3"/>
  <c r="F869" i="3" a="1"/>
  <c r="C869" i="3"/>
  <c r="F725" i="3" a="1"/>
  <c r="BH725" i="3"/>
  <c r="BF725" i="3"/>
  <c r="BE725" i="3"/>
  <c r="AC725" i="3"/>
  <c r="V725" i="3"/>
  <c r="C725" i="3"/>
  <c r="F712" i="3" a="1"/>
  <c r="BH712" i="3"/>
  <c r="BF712" i="3"/>
  <c r="BE712" i="3"/>
  <c r="AC712" i="3"/>
  <c r="V712" i="3"/>
  <c r="C712" i="3"/>
  <c r="U730" i="3"/>
  <c r="U731" i="3"/>
  <c r="V731" i="3" s="1"/>
  <c r="F730" i="3" a="1"/>
  <c r="F731" i="3" a="1"/>
  <c r="BH730" i="3"/>
  <c r="BF730" i="3"/>
  <c r="BE730" i="3"/>
  <c r="AC730" i="3"/>
  <c r="C730" i="3"/>
  <c r="F737" i="3" a="1"/>
  <c r="BH737" i="3"/>
  <c r="BF737" i="3"/>
  <c r="BE737" i="3"/>
  <c r="AC737" i="3"/>
  <c r="V737" i="3"/>
  <c r="C737" i="3"/>
  <c r="F738" i="3" a="1"/>
  <c r="BH738" i="3"/>
  <c r="BF738" i="3"/>
  <c r="BE738" i="3"/>
  <c r="AC738" i="3"/>
  <c r="V738" i="3"/>
  <c r="C738" i="3"/>
  <c r="U717" i="3"/>
  <c r="BH717" i="3"/>
  <c r="BF717" i="3"/>
  <c r="BE717" i="3"/>
  <c r="AC717" i="3"/>
  <c r="F717" i="3" a="1"/>
  <c r="C717" i="3"/>
  <c r="F739" i="3" a="1"/>
  <c r="BH739" i="3"/>
  <c r="BF739" i="3"/>
  <c r="BE739" i="3"/>
  <c r="AC739" i="3"/>
  <c r="V739" i="3"/>
  <c r="C739" i="3"/>
  <c r="L27" i="122"/>
  <c r="L47" i="122" s="1"/>
  <c r="F926" i="3" a="1"/>
  <c r="BH794" i="3"/>
  <c r="BF794" i="3"/>
  <c r="BE794" i="3"/>
  <c r="AC794" i="3"/>
  <c r="F794" i="3" a="1"/>
  <c r="C794" i="3"/>
  <c r="BH634" i="3"/>
  <c r="BE634" i="3"/>
  <c r="AC634" i="3"/>
  <c r="F634" i="3" a="1"/>
  <c r="C634" i="3"/>
  <c r="K7" i="122"/>
  <c r="K23" i="122" s="1"/>
  <c r="U118" i="70"/>
  <c r="U120" i="70"/>
  <c r="X120" i="70"/>
  <c r="BC118" i="70"/>
  <c r="AS118" i="70"/>
  <c r="AA118" i="70"/>
  <c r="X118" i="70"/>
  <c r="C118" i="70"/>
  <c r="BC120" i="70"/>
  <c r="AS120" i="70"/>
  <c r="AA120" i="70"/>
  <c r="C120" i="70"/>
  <c r="U100" i="70"/>
  <c r="U101" i="70"/>
  <c r="U102" i="70"/>
  <c r="U103" i="70"/>
  <c r="C100" i="70"/>
  <c r="X100" i="70"/>
  <c r="AA100" i="70"/>
  <c r="AS100" i="70"/>
  <c r="AX100" i="70"/>
  <c r="BC100" i="70"/>
  <c r="C101" i="70"/>
  <c r="X101" i="70"/>
  <c r="AA101" i="70"/>
  <c r="AS101" i="70"/>
  <c r="AX101" i="70"/>
  <c r="BC101" i="70"/>
  <c r="C102" i="70"/>
  <c r="X102" i="70"/>
  <c r="AA102" i="70"/>
  <c r="AS102" i="70"/>
  <c r="AX102" i="70"/>
  <c r="BC102" i="70"/>
  <c r="C103" i="70"/>
  <c r="X103" i="70"/>
  <c r="AA103" i="70"/>
  <c r="AS103" i="70"/>
  <c r="AX103" i="70"/>
  <c r="BC103" i="70"/>
  <c r="BH809" i="3"/>
  <c r="BF809" i="3"/>
  <c r="BE809" i="3"/>
  <c r="AC809" i="3"/>
  <c r="F809" i="3" a="1"/>
  <c r="C809" i="3"/>
  <c r="F755" i="3" a="1"/>
  <c r="BH755" i="3"/>
  <c r="BF755" i="3"/>
  <c r="BE755" i="3"/>
  <c r="AC755" i="3"/>
  <c r="C755" i="3"/>
  <c r="K27" i="122"/>
  <c r="K47" i="122" s="1"/>
  <c r="G7" i="122"/>
  <c r="I7" i="122"/>
  <c r="I23" i="122" s="1"/>
  <c r="J7" i="122"/>
  <c r="J23" i="122" s="1"/>
  <c r="X2" i="70"/>
  <c r="X3" i="70"/>
  <c r="X4" i="70"/>
  <c r="X5" i="70"/>
  <c r="X6" i="70"/>
  <c r="X7" i="70"/>
  <c r="X8" i="70"/>
  <c r="X9" i="70"/>
  <c r="X10" i="70"/>
  <c r="X11" i="70"/>
  <c r="X12" i="70"/>
  <c r="X13" i="70"/>
  <c r="X14" i="70"/>
  <c r="X15" i="70"/>
  <c r="X16" i="70"/>
  <c r="X17" i="70"/>
  <c r="X18" i="70"/>
  <c r="X19" i="70"/>
  <c r="X20" i="70"/>
  <c r="X21" i="70"/>
  <c r="X22" i="70"/>
  <c r="X23" i="70"/>
  <c r="X24" i="70"/>
  <c r="X25" i="70"/>
  <c r="X26" i="70"/>
  <c r="X27" i="70"/>
  <c r="X28" i="70"/>
  <c r="X29" i="70"/>
  <c r="X30" i="70"/>
  <c r="X31" i="70"/>
  <c r="X32" i="70"/>
  <c r="X33" i="70"/>
  <c r="X34" i="70"/>
  <c r="X35" i="70"/>
  <c r="X36" i="70"/>
  <c r="X37" i="70"/>
  <c r="X38" i="70"/>
  <c r="X39" i="70"/>
  <c r="X40" i="70"/>
  <c r="X41" i="70"/>
  <c r="X42" i="70"/>
  <c r="X43" i="70"/>
  <c r="X44" i="70"/>
  <c r="X45" i="70"/>
  <c r="X46" i="70"/>
  <c r="X47" i="70"/>
  <c r="X48" i="70"/>
  <c r="X49" i="70"/>
  <c r="X50" i="70"/>
  <c r="X51" i="70"/>
  <c r="X52" i="70"/>
  <c r="X53" i="70"/>
  <c r="X54" i="70"/>
  <c r="X55" i="70"/>
  <c r="X56" i="70"/>
  <c r="X57" i="70"/>
  <c r="X58" i="70"/>
  <c r="X59" i="70"/>
  <c r="X60" i="70"/>
  <c r="X61" i="70"/>
  <c r="X62" i="70"/>
  <c r="X63" i="70"/>
  <c r="X64" i="70"/>
  <c r="X65" i="70"/>
  <c r="X66" i="70"/>
  <c r="X67" i="70"/>
  <c r="X68" i="70"/>
  <c r="X69" i="70"/>
  <c r="X70" i="70"/>
  <c r="X71" i="70"/>
  <c r="X72" i="70"/>
  <c r="X73" i="70"/>
  <c r="X74" i="70"/>
  <c r="X75" i="70"/>
  <c r="X76" i="70"/>
  <c r="X77" i="70"/>
  <c r="X78" i="70"/>
  <c r="X79" i="70"/>
  <c r="X80" i="70"/>
  <c r="X81" i="70"/>
  <c r="X82" i="70"/>
  <c r="X83" i="70"/>
  <c r="X84" i="70"/>
  <c r="X85" i="70"/>
  <c r="X86" i="70"/>
  <c r="X87" i="70"/>
  <c r="X88" i="70"/>
  <c r="X89" i="70"/>
  <c r="X90" i="70"/>
  <c r="X91" i="70"/>
  <c r="X92" i="70"/>
  <c r="X93" i="70"/>
  <c r="X94" i="70"/>
  <c r="X95" i="70"/>
  <c r="X96" i="70"/>
  <c r="X97" i="70"/>
  <c r="X98" i="70"/>
  <c r="X99" i="70"/>
  <c r="X104" i="70"/>
  <c r="X105" i="70"/>
  <c r="X106" i="70"/>
  <c r="X107" i="70"/>
  <c r="X108" i="70"/>
  <c r="X109" i="70"/>
  <c r="X110" i="70"/>
  <c r="X111" i="70"/>
  <c r="X112" i="70"/>
  <c r="X113" i="70"/>
  <c r="X114" i="70"/>
  <c r="X115" i="70"/>
  <c r="X116" i="70"/>
  <c r="X119" i="70"/>
  <c r="X121" i="70"/>
  <c r="X122" i="70"/>
  <c r="X124" i="70"/>
  <c r="X125" i="70"/>
  <c r="X126" i="70"/>
  <c r="X127" i="70"/>
  <c r="X128" i="70"/>
  <c r="X129" i="70"/>
  <c r="X130" i="70"/>
  <c r="X131" i="70"/>
  <c r="X132" i="70"/>
  <c r="X133" i="70"/>
  <c r="X134" i="70"/>
  <c r="X139" i="70"/>
  <c r="X135" i="70"/>
  <c r="X136" i="70"/>
  <c r="X140" i="70"/>
  <c r="X141" i="70"/>
  <c r="X297" i="70"/>
  <c r="X298" i="70"/>
  <c r="X299" i="70"/>
  <c r="X300" i="70"/>
  <c r="X301" i="70"/>
  <c r="P93" i="122"/>
  <c r="O93" i="122"/>
  <c r="O73" i="122"/>
  <c r="P47" i="122"/>
  <c r="U1272" i="3"/>
  <c r="V1272" i="3" s="1"/>
  <c r="U1271" i="3"/>
  <c r="BH1271" i="3"/>
  <c r="AC1271" i="3"/>
  <c r="F1271" i="3" a="1"/>
  <c r="C1271" i="3"/>
  <c r="BH798" i="3"/>
  <c r="BF798" i="3"/>
  <c r="BE798" i="3"/>
  <c r="AC798" i="3"/>
  <c r="U798" i="3"/>
  <c r="V798" i="3" s="1"/>
  <c r="F798" i="3" a="1"/>
  <c r="C798" i="3"/>
  <c r="U744" i="3"/>
  <c r="V744" i="3" s="1"/>
  <c r="BH744" i="3"/>
  <c r="BF744" i="3"/>
  <c r="BE744" i="3"/>
  <c r="AC744" i="3"/>
  <c r="F744" i="3" a="1"/>
  <c r="C744" i="3"/>
  <c r="F800" i="3" a="1"/>
  <c r="BH800" i="3"/>
  <c r="BF800" i="3"/>
  <c r="BE800" i="3"/>
  <c r="AC800" i="3"/>
  <c r="C800" i="3"/>
  <c r="U906" i="3"/>
  <c r="V906" i="3" s="1"/>
  <c r="F906" i="3" a="1"/>
  <c r="BH906" i="3"/>
  <c r="BF906" i="3"/>
  <c r="BE906" i="3"/>
  <c r="AC906" i="3"/>
  <c r="C906" i="3"/>
  <c r="BH850" i="3"/>
  <c r="BF850" i="3"/>
  <c r="BE850" i="3"/>
  <c r="AC850" i="3"/>
  <c r="F850" i="3" a="1"/>
  <c r="C850" i="3"/>
  <c r="V852" i="3"/>
  <c r="V821" i="3"/>
  <c r="BH821" i="3"/>
  <c r="BF821" i="3"/>
  <c r="BE821" i="3"/>
  <c r="AC821" i="3"/>
  <c r="F821" i="3" a="1"/>
  <c r="C821" i="3"/>
  <c r="BH852" i="3"/>
  <c r="BF852" i="3"/>
  <c r="BE852" i="3"/>
  <c r="AC852" i="3"/>
  <c r="F852" i="3" a="1"/>
  <c r="C852" i="3"/>
  <c r="BH761" i="3"/>
  <c r="BF761" i="3"/>
  <c r="BE761" i="3"/>
  <c r="AC761" i="3"/>
  <c r="F761" i="3" a="1"/>
  <c r="C761" i="3"/>
  <c r="W951" i="3"/>
  <c r="V967" i="3"/>
  <c r="W925" i="3"/>
  <c r="V925" i="3"/>
  <c r="W937" i="3"/>
  <c r="V937" i="3"/>
  <c r="V952" i="3"/>
  <c r="W959" i="3"/>
  <c r="V976" i="3"/>
  <c r="W825" i="3"/>
  <c r="X825" i="3"/>
  <c r="V970" i="3"/>
  <c r="W1005" i="3"/>
  <c r="V1005" i="3"/>
  <c r="W930" i="3"/>
  <c r="V930" i="3"/>
  <c r="V865" i="3"/>
  <c r="V892" i="3"/>
  <c r="V768" i="3"/>
  <c r="V844" i="3"/>
  <c r="AS172" i="70"/>
  <c r="AS171" i="70"/>
  <c r="V756" i="3"/>
  <c r="V877" i="3"/>
  <c r="G119" i="122"/>
  <c r="AP103" i="122"/>
  <c r="I119" i="122"/>
  <c r="J119" i="122"/>
  <c r="K119" i="122"/>
  <c r="L119" i="122"/>
  <c r="M119" i="122"/>
  <c r="N119" i="122"/>
  <c r="K139" i="122"/>
  <c r="L139" i="122"/>
  <c r="M139" i="122"/>
  <c r="N139" i="122"/>
  <c r="P139" i="122"/>
  <c r="V854" i="3"/>
  <c r="V809" i="3"/>
  <c r="V800" i="3"/>
  <c r="V850" i="3"/>
  <c r="S124" i="122"/>
  <c r="N136" i="122"/>
  <c r="P136" i="122"/>
  <c r="AS173" i="70"/>
  <c r="BC172" i="70"/>
  <c r="BC171" i="70"/>
  <c r="T90" i="122"/>
  <c r="S90" i="122"/>
  <c r="R90" i="122"/>
  <c r="Q90" i="122"/>
  <c r="T86" i="122"/>
  <c r="S86" i="122"/>
  <c r="R86" i="122"/>
  <c r="Q86" i="122"/>
  <c r="T82" i="122"/>
  <c r="S82" i="122"/>
  <c r="R82" i="122"/>
  <c r="Q82" i="122"/>
  <c r="T70" i="122"/>
  <c r="S70" i="122"/>
  <c r="R70" i="122"/>
  <c r="Q70" i="122"/>
  <c r="Q62" i="122"/>
  <c r="T58" i="122"/>
  <c r="R58" i="122"/>
  <c r="Q58" i="122"/>
  <c r="T54" i="122"/>
  <c r="S54" i="122"/>
  <c r="R54" i="122"/>
  <c r="Q54" i="122"/>
  <c r="T32" i="122"/>
  <c r="S32" i="122"/>
  <c r="Q32" i="122"/>
  <c r="Q20" i="122"/>
  <c r="S20" i="122"/>
  <c r="T20" i="122"/>
  <c r="R12" i="122"/>
  <c r="S12" i="122"/>
  <c r="T12" i="122"/>
  <c r="P12" i="122"/>
  <c r="E90" i="122"/>
  <c r="F90" i="122"/>
  <c r="G90" i="122"/>
  <c r="H90" i="122"/>
  <c r="I90" i="122"/>
  <c r="J90" i="122"/>
  <c r="E86" i="122"/>
  <c r="F86" i="122"/>
  <c r="G86" i="122"/>
  <c r="I86" i="122"/>
  <c r="J86" i="122"/>
  <c r="K86" i="122"/>
  <c r="M86" i="122"/>
  <c r="N86" i="122"/>
  <c r="O86" i="122"/>
  <c r="P86" i="122"/>
  <c r="E82" i="122"/>
  <c r="F82" i="122"/>
  <c r="G82" i="122"/>
  <c r="H82" i="122"/>
  <c r="I82" i="122"/>
  <c r="J82" i="122"/>
  <c r="K82" i="122"/>
  <c r="L82" i="122"/>
  <c r="M82" i="122"/>
  <c r="N82" i="122"/>
  <c r="O82" i="122"/>
  <c r="P82" i="122"/>
  <c r="E78" i="122"/>
  <c r="F78" i="122"/>
  <c r="G78" i="122"/>
  <c r="E70" i="122"/>
  <c r="F70" i="122"/>
  <c r="G70" i="122"/>
  <c r="H70" i="122"/>
  <c r="I70" i="122"/>
  <c r="L70" i="122"/>
  <c r="O70" i="122"/>
  <c r="P70" i="122"/>
  <c r="E66" i="122"/>
  <c r="F66" i="122"/>
  <c r="J66" i="122"/>
  <c r="E62" i="122"/>
  <c r="F62" i="122"/>
  <c r="G62" i="122"/>
  <c r="H62" i="122"/>
  <c r="I62" i="122"/>
  <c r="J62" i="122"/>
  <c r="K62" i="122"/>
  <c r="L62" i="122"/>
  <c r="M62" i="122"/>
  <c r="N62" i="122"/>
  <c r="O62" i="122"/>
  <c r="P62" i="122"/>
  <c r="E58" i="122"/>
  <c r="I58" i="122"/>
  <c r="K58" i="122"/>
  <c r="M58" i="122"/>
  <c r="N58" i="122"/>
  <c r="P58" i="122"/>
  <c r="P54" i="122"/>
  <c r="L54" i="122"/>
  <c r="K54" i="122"/>
  <c r="J54" i="122"/>
  <c r="I54" i="122"/>
  <c r="H54" i="122"/>
  <c r="F54" i="122"/>
  <c r="E54" i="122"/>
  <c r="E40" i="122"/>
  <c r="F40" i="122"/>
  <c r="G40" i="122"/>
  <c r="H40" i="122"/>
  <c r="E36" i="122"/>
  <c r="F36" i="122"/>
  <c r="G36" i="122"/>
  <c r="K36" i="122"/>
  <c r="L36" i="122"/>
  <c r="M36" i="122"/>
  <c r="N36" i="122"/>
  <c r="O36" i="122"/>
  <c r="E32" i="122"/>
  <c r="F32" i="122"/>
  <c r="G32" i="122"/>
  <c r="H32" i="122"/>
  <c r="I32" i="122"/>
  <c r="J32" i="122"/>
  <c r="L32" i="122"/>
  <c r="E28" i="122"/>
  <c r="F28" i="122"/>
  <c r="E20" i="122"/>
  <c r="F20" i="122"/>
  <c r="G20" i="122"/>
  <c r="H20" i="122"/>
  <c r="I20" i="122"/>
  <c r="M20" i="122"/>
  <c r="N20" i="122"/>
  <c r="O20" i="122"/>
  <c r="E12" i="122"/>
  <c r="F12" i="122"/>
  <c r="H12" i="122"/>
  <c r="I12" i="122"/>
  <c r="J12" i="122"/>
  <c r="M12" i="122"/>
  <c r="N12" i="122"/>
  <c r="F8" i="122"/>
  <c r="BC173" i="70"/>
  <c r="F841" i="3" a="1"/>
  <c r="F805" i="3" a="1"/>
  <c r="F1051" i="3" a="1"/>
  <c r="U805" i="3"/>
  <c r="V805" i="3" s="1"/>
  <c r="U843" i="3"/>
  <c r="V843" i="3" s="1"/>
  <c r="BH1051" i="3"/>
  <c r="BF1051" i="3"/>
  <c r="BE1051" i="3"/>
  <c r="AC1051" i="3"/>
  <c r="C1051" i="3"/>
  <c r="BH843" i="3"/>
  <c r="BF843" i="3"/>
  <c r="BE843" i="3"/>
  <c r="AC843" i="3"/>
  <c r="F843" i="3" a="1"/>
  <c r="C843" i="3"/>
  <c r="BH805" i="3"/>
  <c r="BE805" i="3"/>
  <c r="AC805" i="3"/>
  <c r="C805" i="3"/>
  <c r="F911" i="3" a="1"/>
  <c r="F968" i="3" a="1"/>
  <c r="U830" i="3"/>
  <c r="V830" i="3" s="1"/>
  <c r="BH926" i="3"/>
  <c r="BF926" i="3"/>
  <c r="BE926" i="3"/>
  <c r="AC926" i="3"/>
  <c r="C926" i="3"/>
  <c r="BH807" i="3"/>
  <c r="BF807" i="3"/>
  <c r="BE807" i="3"/>
  <c r="AC807" i="3"/>
  <c r="F807" i="3" a="1"/>
  <c r="C807" i="3"/>
  <c r="BH771" i="3"/>
  <c r="BF771" i="3"/>
  <c r="BE771" i="3"/>
  <c r="AC771" i="3"/>
  <c r="F771" i="3" a="1"/>
  <c r="C771" i="3"/>
  <c r="U884" i="3"/>
  <c r="V884" i="3" s="1"/>
  <c r="U849" i="3"/>
  <c r="V849" i="3" s="1"/>
  <c r="BH770" i="3"/>
  <c r="BF770" i="3"/>
  <c r="BE770" i="3"/>
  <c r="AC770" i="3"/>
  <c r="F770" i="3" a="1"/>
  <c r="C770" i="3"/>
  <c r="BH884" i="3"/>
  <c r="BF884" i="3"/>
  <c r="BE884" i="3"/>
  <c r="AC884" i="3"/>
  <c r="F884" i="3" a="1"/>
  <c r="C884" i="3"/>
  <c r="BH849" i="3"/>
  <c r="BF849" i="3"/>
  <c r="BE849" i="3"/>
  <c r="AC849" i="3"/>
  <c r="F849" i="3" a="1"/>
  <c r="C849" i="3"/>
  <c r="BH955" i="3"/>
  <c r="BF955" i="3"/>
  <c r="BE955" i="3"/>
  <c r="AC955" i="3"/>
  <c r="F955" i="3" a="1"/>
  <c r="C955" i="3"/>
  <c r="BH781" i="3"/>
  <c r="BF781" i="3"/>
  <c r="BE781" i="3"/>
  <c r="AC781" i="3"/>
  <c r="F781" i="3" a="1"/>
  <c r="C781" i="3"/>
  <c r="F678" i="3" a="1"/>
  <c r="BH678" i="3"/>
  <c r="BF678" i="3"/>
  <c r="BE678" i="3"/>
  <c r="AC678" i="3"/>
  <c r="V678" i="3"/>
  <c r="C678" i="3"/>
  <c r="V926" i="3"/>
  <c r="V781" i="3"/>
  <c r="F685" i="3" a="1"/>
  <c r="BH685" i="3"/>
  <c r="BF685" i="3"/>
  <c r="BE685" i="3"/>
  <c r="AC685" i="3"/>
  <c r="V685" i="3"/>
  <c r="C685" i="3"/>
  <c r="V904" i="3"/>
  <c r="U974" i="3"/>
  <c r="U716" i="3"/>
  <c r="U692" i="3"/>
  <c r="BH692" i="3"/>
  <c r="BF692" i="3"/>
  <c r="BE692" i="3"/>
  <c r="AC692" i="3"/>
  <c r="F692" i="3" a="1"/>
  <c r="C692" i="3"/>
  <c r="F669" i="3" a="1"/>
  <c r="BH669" i="3"/>
  <c r="BF669" i="3"/>
  <c r="BE669" i="3"/>
  <c r="AC669" i="3"/>
  <c r="V669" i="3"/>
  <c r="C669" i="3"/>
  <c r="BH778" i="3"/>
  <c r="BF778" i="3"/>
  <c r="BE778" i="3"/>
  <c r="AC778" i="3"/>
  <c r="F778" i="3" a="1"/>
  <c r="C778" i="3"/>
  <c r="F701" i="3" a="1"/>
  <c r="C701" i="3"/>
  <c r="V701" i="3"/>
  <c r="AC701" i="3"/>
  <c r="BE701" i="3"/>
  <c r="BF701" i="3"/>
  <c r="BH701" i="3"/>
  <c r="F695" i="3" a="1"/>
  <c r="C695" i="3"/>
  <c r="V695" i="3"/>
  <c r="AC695" i="3"/>
  <c r="BE695" i="3"/>
  <c r="BF695" i="3"/>
  <c r="BH695" i="3"/>
  <c r="AC667" i="3"/>
  <c r="V765" i="3"/>
  <c r="C1279" i="3"/>
  <c r="C1280" i="3"/>
  <c r="C1281" i="3"/>
  <c r="C1282" i="3"/>
  <c r="C1284" i="3"/>
  <c r="C1285" i="3"/>
  <c r="C1288" i="3"/>
  <c r="C1289" i="3"/>
  <c r="AC1279" i="3"/>
  <c r="AC1280" i="3"/>
  <c r="AC1281" i="3"/>
  <c r="AC1282" i="3"/>
  <c r="AC1284" i="3"/>
  <c r="AC1285" i="3"/>
  <c r="AC1286" i="3"/>
  <c r="AC1288" i="3"/>
  <c r="AC1289" i="3"/>
  <c r="BH1279" i="3"/>
  <c r="BH1280" i="3"/>
  <c r="BH1281" i="3"/>
  <c r="BH1282" i="3"/>
  <c r="BH1284" i="3"/>
  <c r="BH1285" i="3"/>
  <c r="BH1286" i="3"/>
  <c r="BH1288" i="3"/>
  <c r="BH1289" i="3"/>
  <c r="C1278" i="3"/>
  <c r="AC1278" i="3"/>
  <c r="BH1278" i="3"/>
  <c r="U469" i="3"/>
  <c r="U468" i="3"/>
  <c r="F468" i="3" a="1"/>
  <c r="BF468" i="3"/>
  <c r="C468" i="3"/>
  <c r="BE468" i="3"/>
  <c r="AC468" i="3"/>
  <c r="BH468" i="3"/>
  <c r="U688" i="3"/>
  <c r="V817" i="3"/>
  <c r="F688" i="3" a="1"/>
  <c r="BH688" i="3"/>
  <c r="BF688" i="3"/>
  <c r="BE688" i="3"/>
  <c r="AC688" i="3"/>
  <c r="C688" i="3"/>
  <c r="F691" i="3" a="1"/>
  <c r="BH691" i="3"/>
  <c r="BF691" i="3"/>
  <c r="BE691" i="3"/>
  <c r="AC691" i="3"/>
  <c r="V691" i="3"/>
  <c r="C691" i="3"/>
  <c r="C1277" i="3"/>
  <c r="AC1277" i="3"/>
  <c r="BH1277" i="3"/>
  <c r="U489" i="3"/>
  <c r="U488" i="3"/>
  <c r="BH489" i="3"/>
  <c r="BF489" i="3"/>
  <c r="BE489" i="3"/>
  <c r="AC489" i="3"/>
  <c r="F489" i="3" a="1"/>
  <c r="C489" i="3"/>
  <c r="U727" i="3"/>
  <c r="U707" i="3"/>
  <c r="U729" i="3"/>
  <c r="F729" i="3" a="1"/>
  <c r="BH729" i="3"/>
  <c r="BF729" i="3"/>
  <c r="BE729" i="3"/>
  <c r="AC729" i="3"/>
  <c r="C729" i="3"/>
  <c r="BH731" i="3"/>
  <c r="BF731" i="3"/>
  <c r="BE731" i="3"/>
  <c r="AC731" i="3"/>
  <c r="C731" i="3"/>
  <c r="BH727" i="3"/>
  <c r="BF727" i="3"/>
  <c r="BE727" i="3"/>
  <c r="AC727" i="3"/>
  <c r="F727" i="3" a="1"/>
  <c r="C727" i="3"/>
  <c r="U427" i="3"/>
  <c r="F817" i="3" a="1"/>
  <c r="F687" i="3" a="1"/>
  <c r="BH687" i="3"/>
  <c r="BF687" i="3"/>
  <c r="BE687" i="3"/>
  <c r="AC687" i="3"/>
  <c r="V687" i="3"/>
  <c r="C687" i="3"/>
  <c r="F632" i="3" a="1"/>
  <c r="F608" i="3" a="1"/>
  <c r="C632" i="3"/>
  <c r="C608" i="3"/>
  <c r="U666" i="3"/>
  <c r="U668" i="3"/>
  <c r="V668" i="3" s="1"/>
  <c r="BH666" i="3"/>
  <c r="BF666" i="3"/>
  <c r="BE666" i="3"/>
  <c r="AC666" i="3"/>
  <c r="F666" i="3" a="1"/>
  <c r="C666" i="3"/>
  <c r="F667" i="3" a="1"/>
  <c r="C667" i="3"/>
  <c r="V667" i="3"/>
  <c r="BE667" i="3"/>
  <c r="BF667" i="3"/>
  <c r="BH667" i="3"/>
  <c r="C123" i="70"/>
  <c r="C124" i="70"/>
  <c r="AA123" i="70"/>
  <c r="AS123" i="70"/>
  <c r="BC123" i="70"/>
  <c r="AA124" i="70"/>
  <c r="AS124" i="70"/>
  <c r="BC124" i="70"/>
  <c r="U690" i="3"/>
  <c r="V874" i="3"/>
  <c r="F690" i="3" a="1"/>
  <c r="BH690" i="3"/>
  <c r="BF690" i="3"/>
  <c r="BE690" i="3"/>
  <c r="AC690" i="3"/>
  <c r="C690" i="3"/>
  <c r="U706" i="3"/>
  <c r="BH706" i="3"/>
  <c r="BF706" i="3"/>
  <c r="BE706" i="3"/>
  <c r="AC706" i="3"/>
  <c r="F706" i="3" a="1"/>
  <c r="C706" i="3"/>
  <c r="U683" i="3"/>
  <c r="U653" i="3"/>
  <c r="BH683" i="3"/>
  <c r="BF683" i="3"/>
  <c r="BE683" i="3"/>
  <c r="AC683" i="3"/>
  <c r="F683" i="3" a="1"/>
  <c r="C683" i="3"/>
  <c r="BH653" i="3"/>
  <c r="BF653" i="3"/>
  <c r="BE653" i="3"/>
  <c r="AC653" i="3"/>
  <c r="F653" i="3" a="1"/>
  <c r="C653" i="3"/>
  <c r="BC132" i="70"/>
  <c r="AS132" i="70"/>
  <c r="AA132" i="70"/>
  <c r="U132" i="70"/>
  <c r="C132" i="70"/>
  <c r="BC128" i="70"/>
  <c r="AS128" i="70"/>
  <c r="AA128" i="70"/>
  <c r="U128" i="70"/>
  <c r="C128" i="70"/>
  <c r="F883" i="3" a="1"/>
  <c r="BH883" i="3"/>
  <c r="BF883" i="3"/>
  <c r="BE883" i="3"/>
  <c r="AC883" i="3"/>
  <c r="V883" i="3"/>
  <c r="C883" i="3"/>
  <c r="F754" i="3" a="1"/>
  <c r="BH754" i="3"/>
  <c r="BF754" i="3"/>
  <c r="BE754" i="3"/>
  <c r="AC754" i="3"/>
  <c r="V754" i="3"/>
  <c r="C754" i="3"/>
  <c r="F680" i="3" a="1"/>
  <c r="BH680" i="3"/>
  <c r="BF680" i="3"/>
  <c r="BE680" i="3"/>
  <c r="AC680" i="3"/>
  <c r="V680" i="3"/>
  <c r="C680" i="3"/>
  <c r="BH681" i="3"/>
  <c r="BF681" i="3"/>
  <c r="BE681" i="3"/>
  <c r="AC681" i="3"/>
  <c r="V681" i="3"/>
  <c r="F681" i="3" a="1"/>
  <c r="C681" i="3"/>
  <c r="BH1272" i="3"/>
  <c r="AC1272" i="3"/>
  <c r="F1272" i="3" a="1"/>
  <c r="C1272" i="3"/>
  <c r="F659" i="3" a="1"/>
  <c r="BH659" i="3"/>
  <c r="BF659" i="3"/>
  <c r="BE659" i="3"/>
  <c r="AC659" i="3"/>
  <c r="V659" i="3"/>
  <c r="C659" i="3"/>
  <c r="V658" i="3"/>
  <c r="AC658" i="3"/>
  <c r="BE658" i="3"/>
  <c r="BF658" i="3"/>
  <c r="BH658" i="3"/>
  <c r="V686" i="3"/>
  <c r="V654" i="3"/>
  <c r="AC654" i="3"/>
  <c r="BE654" i="3"/>
  <c r="BF654" i="3"/>
  <c r="BH654" i="3"/>
  <c r="AC577" i="3"/>
  <c r="V796" i="3"/>
  <c r="U720" i="3"/>
  <c r="V785" i="3"/>
  <c r="BH787" i="3"/>
  <c r="BF787" i="3"/>
  <c r="BE787" i="3"/>
  <c r="AC787" i="3"/>
  <c r="F787" i="3" a="1"/>
  <c r="C787" i="3"/>
  <c r="U662" i="3"/>
  <c r="U741" i="3"/>
  <c r="BH662" i="3"/>
  <c r="BF662" i="3"/>
  <c r="BE662" i="3"/>
  <c r="AC662" i="3"/>
  <c r="F662" i="3" a="1"/>
  <c r="C662" i="3"/>
  <c r="BH709" i="3"/>
  <c r="BF709" i="3"/>
  <c r="BE709" i="3"/>
  <c r="AC709" i="3"/>
  <c r="V709" i="3"/>
  <c r="F709" i="3" a="1"/>
  <c r="C709" i="3"/>
  <c r="BH735" i="3"/>
  <c r="BF735" i="3"/>
  <c r="BE735" i="3"/>
  <c r="AC735" i="3"/>
  <c r="V735" i="3"/>
  <c r="F735" i="3" a="1"/>
  <c r="C735" i="3"/>
  <c r="BH733" i="3"/>
  <c r="BF733" i="3"/>
  <c r="BE733" i="3"/>
  <c r="AC733" i="3"/>
  <c r="V733" i="3"/>
  <c r="F733" i="3" a="1"/>
  <c r="C733" i="3"/>
  <c r="BH732" i="3"/>
  <c r="BF732" i="3"/>
  <c r="BE732" i="3"/>
  <c r="AC732" i="3"/>
  <c r="V732" i="3"/>
  <c r="F732" i="3" a="1"/>
  <c r="C732" i="3"/>
  <c r="BH710" i="3"/>
  <c r="BF710" i="3"/>
  <c r="BE710" i="3"/>
  <c r="AC710" i="3"/>
  <c r="V710" i="3"/>
  <c r="F710" i="3" a="1"/>
  <c r="C710" i="3"/>
  <c r="BH708" i="3"/>
  <c r="BF708" i="3"/>
  <c r="BE708" i="3"/>
  <c r="AC708" i="3"/>
  <c r="V708" i="3"/>
  <c r="F708" i="3" a="1"/>
  <c r="C708" i="3"/>
  <c r="F702" i="3" a="1"/>
  <c r="U750" i="3"/>
  <c r="V750" i="3" s="1"/>
  <c r="BH820" i="3"/>
  <c r="BF820" i="3"/>
  <c r="BE820" i="3"/>
  <c r="AC820" i="3"/>
  <c r="F820" i="3" a="1"/>
  <c r="C820" i="3"/>
  <c r="U728" i="3"/>
  <c r="V728" i="3" s="1"/>
  <c r="BH758" i="3"/>
  <c r="BF758" i="3"/>
  <c r="BE758" i="3"/>
  <c r="AC758" i="3"/>
  <c r="V758" i="3"/>
  <c r="F758" i="3" a="1"/>
  <c r="C758" i="3"/>
  <c r="F839" i="3" a="1"/>
  <c r="U647" i="3"/>
  <c r="U672" i="3"/>
  <c r="F647" i="3" a="1"/>
  <c r="BH647" i="3"/>
  <c r="BF647" i="3"/>
  <c r="BE647" i="3"/>
  <c r="AC647" i="3"/>
  <c r="C647" i="3"/>
  <c r="V855" i="3"/>
  <c r="F677" i="3" a="1"/>
  <c r="C677" i="3"/>
  <c r="AC677" i="3"/>
  <c r="BE677" i="3"/>
  <c r="BF677" i="3"/>
  <c r="BH677" i="3"/>
  <c r="F676" i="3" a="1"/>
  <c r="C676" i="3"/>
  <c r="V676" i="3"/>
  <c r="AC676" i="3"/>
  <c r="BE676" i="3"/>
  <c r="BF676" i="3"/>
  <c r="BH676" i="3"/>
  <c r="V670" i="3"/>
  <c r="F670" i="3" a="1"/>
  <c r="C670" i="3"/>
  <c r="AC670" i="3"/>
  <c r="BE670" i="3"/>
  <c r="BF670" i="3"/>
  <c r="BH670" i="3"/>
  <c r="AC704" i="3"/>
  <c r="U624" i="3"/>
  <c r="U623" i="3"/>
  <c r="F624" i="3" a="1"/>
  <c r="BH624" i="3"/>
  <c r="BF624" i="3"/>
  <c r="BE624" i="3"/>
  <c r="AC624" i="3"/>
  <c r="C624" i="3"/>
  <c r="U639" i="3"/>
  <c r="U638" i="3"/>
  <c r="BH639" i="3"/>
  <c r="BF639" i="3"/>
  <c r="BE639" i="3"/>
  <c r="AC639" i="3"/>
  <c r="F639" i="3" a="1"/>
  <c r="C639" i="3"/>
  <c r="AA89" i="70"/>
  <c r="AA84" i="70"/>
  <c r="AA85" i="70"/>
  <c r="F633" i="3" a="1"/>
  <c r="BH631" i="3"/>
  <c r="BF631" i="3"/>
  <c r="BE631" i="3"/>
  <c r="AC631" i="3"/>
  <c r="BH632" i="3"/>
  <c r="BF632" i="3"/>
  <c r="BE632" i="3"/>
  <c r="AC632" i="3"/>
  <c r="V632" i="3"/>
  <c r="BH633" i="3"/>
  <c r="BF633" i="3"/>
  <c r="BE633" i="3"/>
  <c r="AC633" i="3"/>
  <c r="V633" i="3"/>
  <c r="C633" i="3"/>
  <c r="BH664" i="3"/>
  <c r="BF664" i="3"/>
  <c r="BE664" i="3"/>
  <c r="AC664" i="3"/>
  <c r="V664" i="3"/>
  <c r="BH1276" i="3"/>
  <c r="AC1276" i="3"/>
  <c r="BH1275" i="3"/>
  <c r="AC1275" i="3"/>
  <c r="C645" i="3"/>
  <c r="V645" i="3"/>
  <c r="AC645" i="3"/>
  <c r="BF645" i="3"/>
  <c r="BH645" i="3"/>
  <c r="BH640" i="3"/>
  <c r="BF640" i="3"/>
  <c r="BE640" i="3"/>
  <c r="AC640" i="3"/>
  <c r="V640" i="3"/>
  <c r="V845" i="3"/>
  <c r="U705" i="3"/>
  <c r="C845" i="3"/>
  <c r="F845" i="3" a="1"/>
  <c r="BE845" i="3"/>
  <c r="BF845" i="3"/>
  <c r="BH845" i="3"/>
  <c r="C803" i="3"/>
  <c r="F803" i="3" a="1"/>
  <c r="AC803" i="3"/>
  <c r="BE803" i="3"/>
  <c r="BF803" i="3"/>
  <c r="BH803" i="3"/>
  <c r="C705" i="3"/>
  <c r="AC705" i="3"/>
  <c r="BE705" i="3"/>
  <c r="BF705" i="3"/>
  <c r="BH705" i="3"/>
  <c r="U615" i="3"/>
  <c r="BH615" i="3"/>
  <c r="BF615" i="3"/>
  <c r="BE615" i="3"/>
  <c r="AC615" i="3"/>
  <c r="F615" i="3" a="1"/>
  <c r="C615" i="3"/>
  <c r="V642" i="3"/>
  <c r="AC642" i="3"/>
  <c r="BE642" i="3"/>
  <c r="BF642" i="3"/>
  <c r="BH642" i="3"/>
  <c r="C839" i="3"/>
  <c r="V839" i="3"/>
  <c r="AC839" i="3"/>
  <c r="BE839" i="3"/>
  <c r="BF839" i="3"/>
  <c r="BH839" i="3"/>
  <c r="V628" i="3"/>
  <c r="AC628" i="3"/>
  <c r="BE628" i="3"/>
  <c r="BF628" i="3"/>
  <c r="BH628" i="3"/>
  <c r="C1269" i="3"/>
  <c r="AC1269" i="3"/>
  <c r="BH1269" i="3"/>
  <c r="C1268" i="3"/>
  <c r="AC1268" i="3"/>
  <c r="BH1268" i="3"/>
  <c r="F610" i="3" a="1"/>
  <c r="C610" i="3"/>
  <c r="V610" i="3"/>
  <c r="AC610" i="3"/>
  <c r="BE610" i="3"/>
  <c r="BF610" i="3"/>
  <c r="BH610" i="3"/>
  <c r="U684" i="3"/>
  <c r="BH629" i="3"/>
  <c r="BF629" i="3"/>
  <c r="BE629" i="3"/>
  <c r="AC629" i="3"/>
  <c r="V629" i="3"/>
  <c r="F629" i="3" a="1"/>
  <c r="C629" i="3"/>
  <c r="V677" i="3"/>
  <c r="U614" i="3"/>
  <c r="U613" i="3"/>
  <c r="F613" i="3" a="1"/>
  <c r="BH613" i="3"/>
  <c r="BF613" i="3"/>
  <c r="BE613" i="3"/>
  <c r="AC613" i="3"/>
  <c r="C613" i="3"/>
  <c r="U617" i="3"/>
  <c r="BH617" i="3"/>
  <c r="BF617" i="3"/>
  <c r="BE617" i="3"/>
  <c r="AC617" i="3"/>
  <c r="F617" i="3" a="1"/>
  <c r="C617" i="3"/>
  <c r="U622" i="3"/>
  <c r="BH622" i="3"/>
  <c r="BF622" i="3"/>
  <c r="BE622" i="3"/>
  <c r="AC622" i="3"/>
  <c r="F622" i="3" a="1"/>
  <c r="C622" i="3"/>
  <c r="G154" i="122"/>
  <c r="BH604" i="3"/>
  <c r="BF604" i="3"/>
  <c r="BE604" i="3"/>
  <c r="AC604" i="3"/>
  <c r="U604" i="3"/>
  <c r="F604" i="3" a="1"/>
  <c r="C604" i="3"/>
  <c r="U605" i="3"/>
  <c r="U621" i="3"/>
  <c r="F769" i="3" a="1"/>
  <c r="U121" i="70"/>
  <c r="BC121" i="70"/>
  <c r="AS121" i="70"/>
  <c r="AA121" i="70"/>
  <c r="C121" i="70"/>
  <c r="BC116" i="70"/>
  <c r="AS116" i="70"/>
  <c r="AA116" i="70"/>
  <c r="U116" i="70"/>
  <c r="C116" i="70"/>
  <c r="BC112" i="70"/>
  <c r="AS112" i="70"/>
  <c r="AA112" i="70"/>
  <c r="C112" i="70"/>
  <c r="BC110" i="70"/>
  <c r="AS110" i="70"/>
  <c r="AA110" i="70"/>
  <c r="U110" i="70"/>
  <c r="C110" i="70"/>
  <c r="BC111" i="70"/>
  <c r="AS111" i="70"/>
  <c r="AA111" i="70"/>
  <c r="U111" i="70"/>
  <c r="C111" i="70"/>
  <c r="BC108" i="70"/>
  <c r="AS108" i="70"/>
  <c r="AA108" i="70"/>
  <c r="U108" i="70"/>
  <c r="C108" i="70"/>
  <c r="BC109" i="70"/>
  <c r="AS109" i="70"/>
  <c r="AA109" i="70"/>
  <c r="U109" i="70"/>
  <c r="C109" i="70"/>
  <c r="U104" i="70"/>
  <c r="BC105" i="70"/>
  <c r="AS105" i="70"/>
  <c r="AA105" i="70"/>
  <c r="U105" i="70"/>
  <c r="C105" i="70"/>
  <c r="C104" i="70"/>
  <c r="AA104" i="70"/>
  <c r="AS104" i="70"/>
  <c r="BC104" i="70"/>
  <c r="BH626" i="3"/>
  <c r="BF626" i="3"/>
  <c r="BE626" i="3"/>
  <c r="AC626" i="3"/>
  <c r="V626" i="3"/>
  <c r="BH686" i="3"/>
  <c r="BF686" i="3"/>
  <c r="BE686" i="3"/>
  <c r="AC686" i="3"/>
  <c r="F686" i="3" a="1"/>
  <c r="C686" i="3"/>
  <c r="BH855" i="3"/>
  <c r="BF855" i="3"/>
  <c r="BE855" i="3"/>
  <c r="AC855" i="3"/>
  <c r="F855" i="3" a="1"/>
  <c r="C855" i="3"/>
  <c r="BH630" i="3"/>
  <c r="BF630" i="3"/>
  <c r="BE630" i="3"/>
  <c r="AC630" i="3"/>
  <c r="V630" i="3"/>
  <c r="F630" i="3" a="1"/>
  <c r="C630" i="3"/>
  <c r="BH817" i="3"/>
  <c r="BF817" i="3"/>
  <c r="BE817" i="3"/>
  <c r="AC817" i="3"/>
  <c r="C817" i="3"/>
  <c r="BH627" i="3"/>
  <c r="BF627" i="3"/>
  <c r="BE627" i="3"/>
  <c r="U627" i="3"/>
  <c r="AC627" i="3"/>
  <c r="F627" i="3" a="1"/>
  <c r="C627" i="3"/>
  <c r="AP89" i="122"/>
  <c r="AP85" i="122"/>
  <c r="AP81" i="122"/>
  <c r="AP77" i="122"/>
  <c r="AP69" i="122"/>
  <c r="AP65" i="122"/>
  <c r="AP61" i="122"/>
  <c r="AP57" i="122"/>
  <c r="AP53" i="122"/>
  <c r="AP51" i="122"/>
  <c r="AP50" i="122"/>
  <c r="AP39" i="122"/>
  <c r="AP35" i="122"/>
  <c r="AP31" i="122"/>
  <c r="AP27" i="122"/>
  <c r="AP19" i="122"/>
  <c r="AP11" i="122"/>
  <c r="L73" i="122"/>
  <c r="J73" i="122"/>
  <c r="I73" i="122"/>
  <c r="H73" i="122"/>
  <c r="G73" i="122"/>
  <c r="AP73" i="122" s="1"/>
  <c r="F73" i="122"/>
  <c r="E73" i="122"/>
  <c r="H23" i="122"/>
  <c r="F23" i="122"/>
  <c r="E23" i="122"/>
  <c r="J47" i="122"/>
  <c r="I47" i="122"/>
  <c r="H47" i="122"/>
  <c r="G47" i="122"/>
  <c r="AP47" i="122" s="1"/>
  <c r="F47" i="122"/>
  <c r="E47" i="122"/>
  <c r="N93" i="122"/>
  <c r="M93" i="122"/>
  <c r="L93" i="122"/>
  <c r="K93" i="122"/>
  <c r="J93" i="122"/>
  <c r="I93" i="122"/>
  <c r="H93" i="122"/>
  <c r="G93" i="122"/>
  <c r="F93" i="122"/>
  <c r="E93" i="122"/>
  <c r="C656" i="3"/>
  <c r="F656" i="3" a="1"/>
  <c r="U656" i="3"/>
  <c r="AC656" i="3"/>
  <c r="BE656" i="3"/>
  <c r="BF656" i="3"/>
  <c r="BH656" i="3"/>
  <c r="F789" i="3" a="1"/>
  <c r="BH789" i="3"/>
  <c r="BF789" i="3"/>
  <c r="BE789" i="3"/>
  <c r="AC789" i="3"/>
  <c r="C789" i="3"/>
  <c r="U652" i="3"/>
  <c r="BH652" i="3"/>
  <c r="BF652" i="3"/>
  <c r="BE652" i="3"/>
  <c r="AC652" i="3"/>
  <c r="F652" i="3" a="1"/>
  <c r="C652" i="3"/>
  <c r="U644" i="3"/>
  <c r="BH623" i="3"/>
  <c r="BF623" i="3"/>
  <c r="BE623" i="3"/>
  <c r="AC623" i="3"/>
  <c r="F623" i="3" a="1"/>
  <c r="C623" i="3"/>
  <c r="U637" i="3"/>
  <c r="BH637" i="3"/>
  <c r="BF637" i="3"/>
  <c r="BE637" i="3"/>
  <c r="AC637" i="3"/>
  <c r="F637" i="3" a="1"/>
  <c r="C637" i="3"/>
  <c r="BC3" i="70"/>
  <c r="BC4" i="70"/>
  <c r="BC5" i="70"/>
  <c r="BC6" i="70"/>
  <c r="BC7" i="70"/>
  <c r="BC8" i="70"/>
  <c r="BC9" i="70"/>
  <c r="BC10" i="70"/>
  <c r="BC11" i="70"/>
  <c r="BC12" i="70"/>
  <c r="BC13" i="70"/>
  <c r="BC14" i="70"/>
  <c r="BC15" i="70"/>
  <c r="BC16" i="70"/>
  <c r="BC17" i="70"/>
  <c r="BC18" i="70"/>
  <c r="BC19" i="70"/>
  <c r="BC20" i="70"/>
  <c r="BC21" i="70"/>
  <c r="BC22" i="70"/>
  <c r="BC23" i="70"/>
  <c r="BC24" i="70"/>
  <c r="BC25" i="70"/>
  <c r="BC26" i="70"/>
  <c r="BC27" i="70"/>
  <c r="BC28" i="70"/>
  <c r="BC29" i="70"/>
  <c r="BC30" i="70"/>
  <c r="BC31" i="70"/>
  <c r="BC32" i="70"/>
  <c r="BC33" i="70"/>
  <c r="BC34" i="70"/>
  <c r="BC35" i="70"/>
  <c r="BC36" i="70"/>
  <c r="BC37" i="70"/>
  <c r="BC38" i="70"/>
  <c r="BC39" i="70"/>
  <c r="BC40" i="70"/>
  <c r="BC41" i="70"/>
  <c r="BC42" i="70"/>
  <c r="BC43" i="70"/>
  <c r="BC44" i="70"/>
  <c r="BC45" i="70"/>
  <c r="BC46" i="70"/>
  <c r="BC47" i="70"/>
  <c r="BC48" i="70"/>
  <c r="BC49" i="70"/>
  <c r="BC50" i="70"/>
  <c r="BC51" i="70"/>
  <c r="BC52" i="70"/>
  <c r="BC53" i="70"/>
  <c r="BC54" i="70"/>
  <c r="BC55" i="70"/>
  <c r="BC56" i="70"/>
  <c r="BC57" i="70"/>
  <c r="BC58" i="70"/>
  <c r="BC59" i="70"/>
  <c r="BC60" i="70"/>
  <c r="BC61" i="70"/>
  <c r="BC62" i="70"/>
  <c r="BC63" i="70"/>
  <c r="BC64" i="70"/>
  <c r="BC65" i="70"/>
  <c r="BC66" i="70"/>
  <c r="BC67" i="70"/>
  <c r="BC68" i="70"/>
  <c r="BC69" i="70"/>
  <c r="BC70" i="70"/>
  <c r="BC71" i="70"/>
  <c r="BC72" i="70"/>
  <c r="BC73" i="70"/>
  <c r="BC74" i="70"/>
  <c r="BC75" i="70"/>
  <c r="BC76" i="70"/>
  <c r="BC77" i="70"/>
  <c r="BC78" i="70"/>
  <c r="BC79" i="70"/>
  <c r="BC80" i="70"/>
  <c r="BC81" i="70"/>
  <c r="BC82" i="70"/>
  <c r="BC83" i="70"/>
  <c r="BC84" i="70"/>
  <c r="BC85" i="70"/>
  <c r="BC86" i="70"/>
  <c r="BC87" i="70"/>
  <c r="BC88" i="70"/>
  <c r="BC89" i="70"/>
  <c r="BC90" i="70"/>
  <c r="BC91" i="70"/>
  <c r="BC92" i="70"/>
  <c r="BC93" i="70"/>
  <c r="BC94" i="70"/>
  <c r="BC95" i="70"/>
  <c r="BC96" i="70"/>
  <c r="BC97" i="70"/>
  <c r="BC98" i="70"/>
  <c r="BC99" i="70"/>
  <c r="BC106" i="70"/>
  <c r="BC107" i="70"/>
  <c r="BC113" i="70"/>
  <c r="BC114" i="70"/>
  <c r="BC115" i="70"/>
  <c r="BC119" i="70"/>
  <c r="BC122" i="70"/>
  <c r="BC125" i="70"/>
  <c r="BC126" i="70"/>
  <c r="BC127" i="70"/>
  <c r="BC129" i="70"/>
  <c r="BC130" i="70"/>
  <c r="BC131" i="70"/>
  <c r="BC133" i="70"/>
  <c r="BC134" i="70"/>
  <c r="BC139" i="70"/>
  <c r="BC135" i="70"/>
  <c r="BC136" i="70"/>
  <c r="BC140" i="70"/>
  <c r="BC141" i="70"/>
  <c r="BC142" i="70"/>
  <c r="BC297" i="70"/>
  <c r="BC298" i="70"/>
  <c r="BC299" i="70"/>
  <c r="BC300" i="70"/>
  <c r="BC301" i="70"/>
  <c r="F618" i="3" a="1"/>
  <c r="U618" i="3"/>
  <c r="BH618" i="3"/>
  <c r="BF618" i="3"/>
  <c r="BE618" i="3"/>
  <c r="AC618" i="3"/>
  <c r="C618" i="3"/>
  <c r="AS135" i="70"/>
  <c r="C135" i="70"/>
  <c r="AS139" i="70"/>
  <c r="AA139" i="70"/>
  <c r="U139" i="70"/>
  <c r="C139" i="70"/>
  <c r="AS134" i="70"/>
  <c r="AA134" i="70"/>
  <c r="U134" i="70"/>
  <c r="C134" i="70"/>
  <c r="AS133" i="70"/>
  <c r="AA133" i="70"/>
  <c r="U133" i="70"/>
  <c r="C133" i="70"/>
  <c r="AS131" i="70"/>
  <c r="AA131" i="70"/>
  <c r="U131" i="70"/>
  <c r="C131" i="70"/>
  <c r="AS130" i="70"/>
  <c r="AA130" i="70"/>
  <c r="U130" i="70"/>
  <c r="C130" i="70"/>
  <c r="AS129" i="70"/>
  <c r="AA129" i="70"/>
  <c r="U129" i="70"/>
  <c r="C129" i="70"/>
  <c r="U142" i="70"/>
  <c r="AS142" i="70"/>
  <c r="AA142" i="70"/>
  <c r="U140" i="70"/>
  <c r="U141" i="70"/>
  <c r="AS140" i="70"/>
  <c r="AS141" i="70"/>
  <c r="AA140" i="70"/>
  <c r="AA141" i="70"/>
  <c r="C140" i="70"/>
  <c r="C141" i="70"/>
  <c r="U127" i="70"/>
  <c r="AS127" i="70"/>
  <c r="AA127" i="70"/>
  <c r="C127" i="70"/>
  <c r="U616" i="3"/>
  <c r="U585" i="3"/>
  <c r="BH585" i="3"/>
  <c r="BF585" i="3"/>
  <c r="BE585" i="3"/>
  <c r="AC585" i="3"/>
  <c r="F585" i="3" a="1"/>
  <c r="C585" i="3"/>
  <c r="U584" i="3"/>
  <c r="U583" i="3"/>
  <c r="BH584" i="3"/>
  <c r="BF584" i="3"/>
  <c r="BE584" i="3"/>
  <c r="AC584" i="3"/>
  <c r="F584" i="3" a="1"/>
  <c r="C584" i="3"/>
  <c r="AA73" i="70"/>
  <c r="AS88" i="70"/>
  <c r="AA88" i="70"/>
  <c r="C88" i="70"/>
  <c r="AS87" i="70"/>
  <c r="AA87" i="70"/>
  <c r="C87" i="70"/>
  <c r="V713" i="3"/>
  <c r="V699" i="3"/>
  <c r="U648" i="3"/>
  <c r="BH648" i="3"/>
  <c r="BF648" i="3"/>
  <c r="BE648" i="3"/>
  <c r="AC648" i="3"/>
  <c r="F648" i="3" a="1"/>
  <c r="C648" i="3"/>
  <c r="BH672" i="3"/>
  <c r="BF672" i="3"/>
  <c r="BE672" i="3"/>
  <c r="AC672" i="3"/>
  <c r="F672" i="3" a="1"/>
  <c r="C672" i="3"/>
  <c r="U749" i="3"/>
  <c r="C749" i="3"/>
  <c r="F749" i="3" a="1"/>
  <c r="AC749" i="3"/>
  <c r="BE749" i="3"/>
  <c r="BF749" i="3"/>
  <c r="BH749" i="3"/>
  <c r="U969" i="3"/>
  <c r="BH969" i="3"/>
  <c r="BF969" i="3"/>
  <c r="BE969" i="3"/>
  <c r="AC969" i="3"/>
  <c r="F969" i="3" a="1"/>
  <c r="C969" i="3"/>
  <c r="U698" i="3"/>
  <c r="U650" i="3"/>
  <c r="BH699" i="3"/>
  <c r="BF699" i="3"/>
  <c r="BE699" i="3"/>
  <c r="AC699" i="3"/>
  <c r="F699" i="3" a="1"/>
  <c r="C699" i="3"/>
  <c r="BF605" i="3"/>
  <c r="BH603" i="3"/>
  <c r="BF603" i="3"/>
  <c r="BE603" i="3"/>
  <c r="AC603" i="3"/>
  <c r="V603" i="3"/>
  <c r="BH751" i="3"/>
  <c r="BH830" i="3"/>
  <c r="BH1270" i="3"/>
  <c r="BH829" i="3"/>
  <c r="BH841" i="3"/>
  <c r="BH657" i="3"/>
  <c r="BH1273" i="3"/>
  <c r="BH911" i="3"/>
  <c r="BF751" i="3"/>
  <c r="BF830" i="3"/>
  <c r="BF829" i="3"/>
  <c r="BF841" i="3"/>
  <c r="BF657" i="3"/>
  <c r="BF911" i="3"/>
  <c r="BE751" i="3"/>
  <c r="BE830" i="3"/>
  <c r="BE829" i="3"/>
  <c r="BE841" i="3"/>
  <c r="BE657" i="3"/>
  <c r="BE911" i="3"/>
  <c r="AC751" i="3"/>
  <c r="AC830" i="3"/>
  <c r="AC1270" i="3"/>
  <c r="AC829" i="3"/>
  <c r="AC841" i="3"/>
  <c r="AC657" i="3"/>
  <c r="AC1273" i="3"/>
  <c r="AC911" i="3"/>
  <c r="V751" i="3"/>
  <c r="V657" i="3"/>
  <c r="F1273" i="3" a="1"/>
  <c r="F657" i="3" a="1"/>
  <c r="F829" i="3" a="1"/>
  <c r="F830" i="3" a="1"/>
  <c r="F751" i="3" a="1"/>
  <c r="C751" i="3"/>
  <c r="C830" i="3"/>
  <c r="C829" i="3"/>
  <c r="C841" i="3"/>
  <c r="C657" i="3"/>
  <c r="C1273" i="3"/>
  <c r="C911" i="3"/>
  <c r="BH625" i="3"/>
  <c r="BE625" i="3"/>
  <c r="AC625" i="3"/>
  <c r="V625" i="3"/>
  <c r="F625" i="3" a="1"/>
  <c r="C625" i="3"/>
  <c r="F602" i="3" a="1"/>
  <c r="C602" i="3"/>
  <c r="V602" i="3"/>
  <c r="AC602" i="3"/>
  <c r="BE602" i="3"/>
  <c r="BF602" i="3"/>
  <c r="BH602" i="3"/>
  <c r="V608" i="3"/>
  <c r="AC608" i="3"/>
  <c r="BE608" i="3"/>
  <c r="BF608" i="3"/>
  <c r="BH608" i="3"/>
  <c r="V606" i="3"/>
  <c r="AC606" i="3"/>
  <c r="BE606" i="3"/>
  <c r="BF606" i="3"/>
  <c r="BH606" i="3"/>
  <c r="BH581" i="3"/>
  <c r="BF581" i="3"/>
  <c r="U581" i="3"/>
  <c r="BE581" i="3"/>
  <c r="AC581" i="3"/>
  <c r="F581" i="3" a="1"/>
  <c r="C581" i="3"/>
  <c r="C136" i="70"/>
  <c r="C126" i="70"/>
  <c r="C125" i="70"/>
  <c r="AS89" i="70"/>
  <c r="AS86" i="70"/>
  <c r="AS85" i="70"/>
  <c r="AS84" i="70"/>
  <c r="AS83" i="70"/>
  <c r="AS82" i="70"/>
  <c r="AS81" i="70"/>
  <c r="AS80" i="70"/>
  <c r="AS79" i="70"/>
  <c r="AS78" i="70"/>
  <c r="AS77" i="70"/>
  <c r="AS76" i="70"/>
  <c r="AS75" i="70"/>
  <c r="AS74" i="70"/>
  <c r="AS73" i="70"/>
  <c r="AS297" i="70"/>
  <c r="BH619" i="3"/>
  <c r="BF619" i="3"/>
  <c r="BE619" i="3"/>
  <c r="AC619" i="3"/>
  <c r="F619" i="3" a="1"/>
  <c r="C619" i="3"/>
  <c r="BH1266" i="3"/>
  <c r="BH1267" i="3"/>
  <c r="AC1266" i="3"/>
  <c r="AC1267" i="3"/>
  <c r="C1267" i="3"/>
  <c r="BH1265" i="3"/>
  <c r="AC1265" i="3"/>
  <c r="BH1264" i="3"/>
  <c r="AC1264" i="3"/>
  <c r="C1264" i="3"/>
  <c r="AC571" i="3"/>
  <c r="U126" i="70"/>
  <c r="U136" i="70"/>
  <c r="U125" i="70"/>
  <c r="AA126" i="70"/>
  <c r="AS126" i="70"/>
  <c r="AA136" i="70"/>
  <c r="AS136" i="70"/>
  <c r="AA125" i="70"/>
  <c r="AS125" i="70"/>
  <c r="U593" i="3"/>
  <c r="U594" i="3"/>
  <c r="BH593" i="3"/>
  <c r="BF593" i="3"/>
  <c r="BE593" i="3"/>
  <c r="AC593" i="3"/>
  <c r="F593" i="3" a="1"/>
  <c r="C593" i="3"/>
  <c r="F545" i="3" a="1"/>
  <c r="BH799" i="3"/>
  <c r="BF799" i="3"/>
  <c r="V799" i="3"/>
  <c r="BE799" i="3"/>
  <c r="AC799" i="3"/>
  <c r="F799" i="3" a="1"/>
  <c r="C799" i="3"/>
  <c r="BH740" i="3"/>
  <c r="BF740" i="3"/>
  <c r="BE740" i="3"/>
  <c r="AC740" i="3"/>
  <c r="F740" i="3" a="1"/>
  <c r="C740" i="3"/>
  <c r="V724" i="3"/>
  <c r="F596" i="3" a="1"/>
  <c r="U596" i="3"/>
  <c r="BH596" i="3"/>
  <c r="BF596" i="3"/>
  <c r="BE596" i="3"/>
  <c r="AC596" i="3"/>
  <c r="C596" i="3"/>
  <c r="F833" i="3" a="1"/>
  <c r="BH720" i="3"/>
  <c r="BF720" i="3"/>
  <c r="BF641" i="3"/>
  <c r="BF643" i="3"/>
  <c r="BF665" i="3"/>
  <c r="U665" i="3"/>
  <c r="BF718" i="3"/>
  <c r="U718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2" i="3"/>
  <c r="C573" i="3"/>
  <c r="C574" i="3"/>
  <c r="C575" i="3"/>
  <c r="C576" i="3"/>
  <c r="C577" i="3"/>
  <c r="C578" i="3"/>
  <c r="C579" i="3"/>
  <c r="C580" i="3"/>
  <c r="C582" i="3"/>
  <c r="C583" i="3"/>
  <c r="C586" i="3"/>
  <c r="C587" i="3"/>
  <c r="C588" i="3"/>
  <c r="C589" i="3"/>
  <c r="C590" i="3"/>
  <c r="C591" i="3"/>
  <c r="C594" i="3"/>
  <c r="C595" i="3"/>
  <c r="C597" i="3"/>
  <c r="C598" i="3"/>
  <c r="C599" i="3"/>
  <c r="C600" i="3"/>
  <c r="C601" i="3"/>
  <c r="C605" i="3"/>
  <c r="C607" i="3"/>
  <c r="C609" i="3"/>
  <c r="C611" i="3"/>
  <c r="C612" i="3"/>
  <c r="C614" i="3"/>
  <c r="C616" i="3"/>
  <c r="C621" i="3"/>
  <c r="C635" i="3"/>
  <c r="C636" i="3"/>
  <c r="C638" i="3"/>
  <c r="C641" i="3"/>
  <c r="C643" i="3"/>
  <c r="C644" i="3"/>
  <c r="C646" i="3"/>
  <c r="C649" i="3"/>
  <c r="C650" i="3"/>
  <c r="C651" i="3"/>
  <c r="C655" i="3"/>
  <c r="C660" i="3"/>
  <c r="C661" i="3"/>
  <c r="C665" i="3"/>
  <c r="C668" i="3"/>
  <c r="C671" i="3"/>
  <c r="C673" i="3"/>
  <c r="C674" i="3"/>
  <c r="C675" i="3"/>
  <c r="C679" i="3"/>
  <c r="C682" i="3"/>
  <c r="C684" i="3"/>
  <c r="C720" i="3"/>
  <c r="C767" i="3"/>
  <c r="C796" i="3"/>
  <c r="C793" i="3"/>
  <c r="C718" i="3"/>
  <c r="C784" i="3"/>
  <c r="C874" i="3"/>
  <c r="C693" i="3"/>
  <c r="C694" i="3"/>
  <c r="C719" i="3"/>
  <c r="C721" i="3"/>
  <c r="C785" i="3"/>
  <c r="C904" i="3"/>
  <c r="C974" i="3"/>
  <c r="C814" i="3"/>
  <c r="C909" i="3"/>
  <c r="C812" i="3"/>
  <c r="C689" i="3"/>
  <c r="C1112" i="3"/>
  <c r="C1228" i="3"/>
  <c r="C1229" i="3"/>
  <c r="C782" i="3"/>
  <c r="C697" i="3"/>
  <c r="C716" i="3"/>
  <c r="C833" i="3"/>
  <c r="C837" i="3"/>
  <c r="C878" i="3"/>
  <c r="C864" i="3"/>
  <c r="C1230" i="3"/>
  <c r="C790" i="3"/>
  <c r="C704" i="3"/>
  <c r="C724" i="3"/>
  <c r="C876" i="3"/>
  <c r="C875" i="3"/>
  <c r="C711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703" i="3"/>
  <c r="C1249" i="3"/>
  <c r="C663" i="3"/>
  <c r="C696" i="3"/>
  <c r="C1250" i="3"/>
  <c r="C1251" i="3"/>
  <c r="C786" i="3"/>
  <c r="C828" i="3"/>
  <c r="C1252" i="3"/>
  <c r="C964" i="3"/>
  <c r="C1253" i="3"/>
  <c r="C912" i="3"/>
  <c r="C903" i="3"/>
  <c r="C968" i="3"/>
  <c r="C698" i="3"/>
  <c r="C713" i="3"/>
  <c r="C765" i="3"/>
  <c r="C1254" i="3"/>
  <c r="C1255" i="3"/>
  <c r="C759" i="3"/>
  <c r="C907" i="3"/>
  <c r="C910" i="3"/>
  <c r="C1256" i="3"/>
  <c r="C1257" i="3"/>
  <c r="C1258" i="3"/>
  <c r="C741" i="3"/>
  <c r="C769" i="3"/>
  <c r="C764" i="3"/>
  <c r="C747" i="3"/>
  <c r="C1259" i="3"/>
  <c r="C707" i="3"/>
  <c r="C734" i="3"/>
  <c r="C702" i="3"/>
  <c r="C736" i="3"/>
  <c r="C726" i="3"/>
  <c r="C728" i="3"/>
  <c r="C750" i="3"/>
  <c r="C1260" i="3"/>
  <c r="C1261" i="3"/>
  <c r="C1262" i="3"/>
  <c r="C1263" i="3"/>
  <c r="U726" i="3"/>
  <c r="U636" i="3"/>
  <c r="U675" i="3"/>
  <c r="V721" i="3"/>
  <c r="P33" i="66"/>
  <c r="S65" i="66" a="1"/>
  <c r="U182" i="3"/>
  <c r="U185" i="3"/>
  <c r="U186" i="3"/>
  <c r="U187" i="3"/>
  <c r="U189" i="3"/>
  <c r="U192" i="3"/>
  <c r="U193" i="3"/>
  <c r="U194" i="3"/>
  <c r="U195" i="3"/>
  <c r="U196" i="3"/>
  <c r="U201" i="3"/>
  <c r="U202" i="3"/>
  <c r="U203" i="3"/>
  <c r="U204" i="3"/>
  <c r="U209" i="3"/>
  <c r="U210" i="3"/>
  <c r="U211" i="3"/>
  <c r="U212" i="3"/>
  <c r="U216" i="3"/>
  <c r="P36" i="66" s="1"/>
  <c r="U217" i="3"/>
  <c r="U218" i="3"/>
  <c r="U221" i="3"/>
  <c r="U223" i="3"/>
  <c r="U224" i="3"/>
  <c r="U225" i="3"/>
  <c r="U226" i="3"/>
  <c r="U227" i="3"/>
  <c r="U231" i="3"/>
  <c r="U232" i="3"/>
  <c r="U234" i="3"/>
  <c r="U236" i="3"/>
  <c r="P56" i="66" s="1"/>
  <c r="U237" i="3"/>
  <c r="U238" i="3"/>
  <c r="U249" i="3"/>
  <c r="U250" i="3"/>
  <c r="U251" i="3"/>
  <c r="U252" i="3"/>
  <c r="U253" i="3"/>
  <c r="U254" i="3"/>
  <c r="U255" i="3"/>
  <c r="U256" i="3"/>
  <c r="U260" i="3"/>
  <c r="U263" i="3"/>
  <c r="U264" i="3"/>
  <c r="U265" i="3"/>
  <c r="U266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V283" i="3" s="1"/>
  <c r="U284" i="3"/>
  <c r="U285" i="3"/>
  <c r="U286" i="3"/>
  <c r="U288" i="3"/>
  <c r="U289" i="3"/>
  <c r="U290" i="3"/>
  <c r="U291" i="3"/>
  <c r="U292" i="3"/>
  <c r="U293" i="3"/>
  <c r="U294" i="3"/>
  <c r="U298" i="3"/>
  <c r="U333" i="3"/>
  <c r="U334" i="3"/>
  <c r="U303" i="3"/>
  <c r="U304" i="3"/>
  <c r="U305" i="3"/>
  <c r="U306" i="3"/>
  <c r="U307" i="3"/>
  <c r="U308" i="3"/>
  <c r="U309" i="3"/>
  <c r="U310" i="3"/>
  <c r="U311" i="3"/>
  <c r="U312" i="3"/>
  <c r="U314" i="3"/>
  <c r="U316" i="3"/>
  <c r="U317" i="3"/>
  <c r="U318" i="3"/>
  <c r="U319" i="3"/>
  <c r="U320" i="3"/>
  <c r="U321" i="3"/>
  <c r="U323" i="3"/>
  <c r="U325" i="3"/>
  <c r="U328" i="3"/>
  <c r="U330" i="3"/>
  <c r="U331" i="3"/>
  <c r="U336" i="3"/>
  <c r="U337" i="3"/>
  <c r="U338" i="3"/>
  <c r="U339" i="3"/>
  <c r="U340" i="3"/>
  <c r="U341" i="3"/>
  <c r="U343" i="3"/>
  <c r="U344" i="3"/>
  <c r="U345" i="3"/>
  <c r="U346" i="3"/>
  <c r="U347" i="3"/>
  <c r="U348" i="3"/>
  <c r="U349" i="3"/>
  <c r="U350" i="3"/>
  <c r="U351" i="3"/>
  <c r="U352" i="3"/>
  <c r="U358" i="3"/>
  <c r="U359" i="3"/>
  <c r="U360" i="3"/>
  <c r="U361" i="3"/>
  <c r="U362" i="3"/>
  <c r="U365" i="3"/>
  <c r="U368" i="3"/>
  <c r="U369" i="3"/>
  <c r="U370" i="3"/>
  <c r="U371" i="3"/>
  <c r="U372" i="3"/>
  <c r="U373" i="3"/>
  <c r="U375" i="3"/>
  <c r="U376" i="3"/>
  <c r="U378" i="3"/>
  <c r="U379" i="3"/>
  <c r="U381" i="3"/>
  <c r="U382" i="3"/>
  <c r="U383" i="3"/>
  <c r="U384" i="3"/>
  <c r="U385" i="3"/>
  <c r="U386" i="3"/>
  <c r="U388" i="3"/>
  <c r="U389" i="3"/>
  <c r="U390" i="3"/>
  <c r="U391" i="3"/>
  <c r="U392" i="3"/>
  <c r="U395" i="3"/>
  <c r="U396" i="3"/>
  <c r="U397" i="3"/>
  <c r="U398" i="3"/>
  <c r="U399" i="3"/>
  <c r="U400" i="3"/>
  <c r="U401" i="3"/>
  <c r="U404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3" i="3"/>
  <c r="U424" i="3"/>
  <c r="U425" i="3"/>
  <c r="U426" i="3"/>
  <c r="U428" i="3"/>
  <c r="U429" i="3"/>
  <c r="U431" i="3"/>
  <c r="U432" i="3"/>
  <c r="U433" i="3"/>
  <c r="U436" i="3"/>
  <c r="U440" i="3"/>
  <c r="U441" i="3"/>
  <c r="U442" i="3"/>
  <c r="U446" i="3"/>
  <c r="U447" i="3"/>
  <c r="U448" i="3"/>
  <c r="U451" i="3"/>
  <c r="U452" i="3"/>
  <c r="U453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70" i="3"/>
  <c r="U471" i="3"/>
  <c r="U472" i="3"/>
  <c r="U473" i="3"/>
  <c r="U474" i="3"/>
  <c r="U493" i="3"/>
  <c r="U478" i="3"/>
  <c r="U479" i="3"/>
  <c r="U482" i="3"/>
  <c r="U483" i="3"/>
  <c r="U485" i="3"/>
  <c r="U486" i="3"/>
  <c r="U490" i="3"/>
  <c r="U491" i="3"/>
  <c r="U492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10" i="3"/>
  <c r="U511" i="3"/>
  <c r="U512" i="3"/>
  <c r="U513" i="3"/>
  <c r="U514" i="3"/>
  <c r="U516" i="3"/>
  <c r="U517" i="3"/>
  <c r="U518" i="3"/>
  <c r="U519" i="3"/>
  <c r="U520" i="3"/>
  <c r="U523" i="3"/>
  <c r="U526" i="3"/>
  <c r="U528" i="3"/>
  <c r="U529" i="3"/>
  <c r="U530" i="3"/>
  <c r="U531" i="3"/>
  <c r="U532" i="3"/>
  <c r="U533" i="3"/>
  <c r="U534" i="3"/>
  <c r="U535" i="3"/>
  <c r="U537" i="3"/>
  <c r="V537" i="3" s="1"/>
  <c r="U538" i="3"/>
  <c r="U539" i="3"/>
  <c r="U540" i="3"/>
  <c r="U541" i="3"/>
  <c r="U542" i="3"/>
  <c r="U543" i="3"/>
  <c r="U544" i="3"/>
  <c r="U545" i="3"/>
  <c r="U549" i="3"/>
  <c r="U551" i="3"/>
  <c r="U552" i="3"/>
  <c r="U553" i="3"/>
  <c r="U556" i="3"/>
  <c r="U558" i="3"/>
  <c r="U559" i="3"/>
  <c r="U562" i="3"/>
  <c r="U563" i="3"/>
  <c r="U564" i="3"/>
  <c r="U565" i="3"/>
  <c r="U566" i="3"/>
  <c r="U567" i="3"/>
  <c r="U568" i="3"/>
  <c r="U569" i="3"/>
  <c r="U570" i="3"/>
  <c r="U572" i="3"/>
  <c r="U579" i="3"/>
  <c r="U580" i="3"/>
  <c r="U582" i="3"/>
  <c r="U586" i="3"/>
  <c r="U587" i="3"/>
  <c r="U589" i="3"/>
  <c r="U590" i="3"/>
  <c r="V590" i="3" s="1"/>
  <c r="U591" i="3"/>
  <c r="U595" i="3"/>
  <c r="U597" i="3"/>
  <c r="U598" i="3"/>
  <c r="U599" i="3"/>
  <c r="U600" i="3"/>
  <c r="U601" i="3"/>
  <c r="U611" i="3"/>
  <c r="U612" i="3"/>
  <c r="U649" i="3"/>
  <c r="U655" i="3"/>
  <c r="U660" i="3"/>
  <c r="U671" i="3"/>
  <c r="U682" i="3"/>
  <c r="V767" i="3"/>
  <c r="U793" i="3"/>
  <c r="U784" i="3"/>
  <c r="U719" i="3"/>
  <c r="U814" i="3"/>
  <c r="U812" i="3"/>
  <c r="V878" i="3"/>
  <c r="U864" i="3"/>
  <c r="V790" i="3"/>
  <c r="U704" i="3"/>
  <c r="V876" i="3"/>
  <c r="V875" i="3"/>
  <c r="U711" i="3"/>
  <c r="U703" i="3"/>
  <c r="U663" i="3"/>
  <c r="U696" i="3"/>
  <c r="V786" i="3"/>
  <c r="U828" i="3"/>
  <c r="V964" i="3"/>
  <c r="V912" i="3"/>
  <c r="U903" i="3"/>
  <c r="V907" i="3"/>
  <c r="U910" i="3"/>
  <c r="U769" i="3"/>
  <c r="V764" i="3"/>
  <c r="BF182" i="3"/>
  <c r="BF183" i="3"/>
  <c r="BF184" i="3"/>
  <c r="BF185" i="3"/>
  <c r="BF186" i="3"/>
  <c r="BF187" i="3"/>
  <c r="BF188" i="3"/>
  <c r="BF189" i="3"/>
  <c r="BF190" i="3"/>
  <c r="BF191" i="3"/>
  <c r="BF192" i="3"/>
  <c r="BF193" i="3"/>
  <c r="BF194" i="3"/>
  <c r="BF195" i="3"/>
  <c r="BF196" i="3"/>
  <c r="BF197" i="3"/>
  <c r="BF198" i="3"/>
  <c r="BF199" i="3"/>
  <c r="BF200" i="3"/>
  <c r="BF201" i="3"/>
  <c r="BF202" i="3"/>
  <c r="BF203" i="3"/>
  <c r="BF204" i="3"/>
  <c r="BF205" i="3"/>
  <c r="BF206" i="3"/>
  <c r="BF207" i="3"/>
  <c r="BF208" i="3"/>
  <c r="BF209" i="3"/>
  <c r="BF210" i="3"/>
  <c r="BF211" i="3"/>
  <c r="BF212" i="3"/>
  <c r="BF213" i="3"/>
  <c r="BF214" i="3"/>
  <c r="BF216" i="3"/>
  <c r="BF217" i="3"/>
  <c r="BF218" i="3"/>
  <c r="BF219" i="3"/>
  <c r="BF220" i="3"/>
  <c r="BF221" i="3"/>
  <c r="BF222" i="3"/>
  <c r="BF223" i="3"/>
  <c r="BF224" i="3"/>
  <c r="BF225" i="3"/>
  <c r="BF227" i="3"/>
  <c r="BF228" i="3"/>
  <c r="BF229" i="3"/>
  <c r="BF230" i="3"/>
  <c r="BF231" i="3"/>
  <c r="BF232" i="3"/>
  <c r="BF233" i="3"/>
  <c r="BF234" i="3"/>
  <c r="BF235" i="3"/>
  <c r="BF236" i="3"/>
  <c r="BF237" i="3"/>
  <c r="BF238" i="3"/>
  <c r="BF240" i="3"/>
  <c r="BF242" i="3"/>
  <c r="BF244" i="3"/>
  <c r="BF249" i="3"/>
  <c r="BF250" i="3"/>
  <c r="BF251" i="3"/>
  <c r="BF252" i="3"/>
  <c r="BF253" i="3"/>
  <c r="BF254" i="3"/>
  <c r="BF255" i="3"/>
  <c r="BF256" i="3"/>
  <c r="BF257" i="3"/>
  <c r="BF258" i="3"/>
  <c r="BF259" i="3"/>
  <c r="BF260" i="3"/>
  <c r="BF261" i="3"/>
  <c r="BF262" i="3"/>
  <c r="BF263" i="3"/>
  <c r="BF264" i="3"/>
  <c r="BF265" i="3"/>
  <c r="BF266" i="3"/>
  <c r="BF267" i="3"/>
  <c r="BF268" i="3"/>
  <c r="BF269" i="3"/>
  <c r="BF270" i="3"/>
  <c r="BF271" i="3"/>
  <c r="BF272" i="3"/>
  <c r="BF273" i="3"/>
  <c r="BF274" i="3"/>
  <c r="BF275" i="3"/>
  <c r="BF276" i="3"/>
  <c r="BF277" i="3"/>
  <c r="BF278" i="3"/>
  <c r="BF279" i="3"/>
  <c r="BF280" i="3"/>
  <c r="BF281" i="3"/>
  <c r="BF282" i="3"/>
  <c r="BF283" i="3"/>
  <c r="BF284" i="3"/>
  <c r="BF285" i="3"/>
  <c r="BF286" i="3"/>
  <c r="BF287" i="3"/>
  <c r="BF288" i="3"/>
  <c r="BF289" i="3"/>
  <c r="BF290" i="3"/>
  <c r="BF291" i="3"/>
  <c r="BF292" i="3"/>
  <c r="BF293" i="3"/>
  <c r="BF294" i="3"/>
  <c r="BF295" i="3"/>
  <c r="BF296" i="3"/>
  <c r="BF298" i="3"/>
  <c r="BF299" i="3"/>
  <c r="BF300" i="3"/>
  <c r="BF302" i="3"/>
  <c r="BF303" i="3"/>
  <c r="BF304" i="3"/>
  <c r="BF305" i="3"/>
  <c r="BF306" i="3"/>
  <c r="BF307" i="3"/>
  <c r="BF308" i="3"/>
  <c r="BF309" i="3"/>
  <c r="BF310" i="3"/>
  <c r="BF311" i="3"/>
  <c r="BF312" i="3"/>
  <c r="BF313" i="3"/>
  <c r="BF314" i="3"/>
  <c r="BF315" i="3"/>
  <c r="BF316" i="3"/>
  <c r="BF317" i="3"/>
  <c r="BF318" i="3"/>
  <c r="BF319" i="3"/>
  <c r="BF320" i="3"/>
  <c r="BF321" i="3"/>
  <c r="BF322" i="3"/>
  <c r="BF323" i="3"/>
  <c r="BF327" i="3"/>
  <c r="BF328" i="3"/>
  <c r="BF329" i="3"/>
  <c r="BF330" i="3"/>
  <c r="BF331" i="3"/>
  <c r="BF332" i="3"/>
  <c r="BF335" i="3"/>
  <c r="BF336" i="3"/>
  <c r="BF338" i="3"/>
  <c r="BF339" i="3"/>
  <c r="BF341" i="3"/>
  <c r="BF342" i="3"/>
  <c r="BF343" i="3"/>
  <c r="BF344" i="3"/>
  <c r="BF345" i="3"/>
  <c r="BF346" i="3"/>
  <c r="BF347" i="3"/>
  <c r="BF348" i="3"/>
  <c r="BF349" i="3"/>
  <c r="BF350" i="3"/>
  <c r="BF351" i="3"/>
  <c r="BF352" i="3"/>
  <c r="BF353" i="3"/>
  <c r="BF354" i="3"/>
  <c r="BF355" i="3"/>
  <c r="BF356" i="3"/>
  <c r="BF357" i="3"/>
  <c r="BF358" i="3"/>
  <c r="BF359" i="3"/>
  <c r="BF360" i="3"/>
  <c r="BF361" i="3"/>
  <c r="BF362" i="3"/>
  <c r="BF363" i="3"/>
  <c r="BF364" i="3"/>
  <c r="BF365" i="3"/>
  <c r="BF366" i="3"/>
  <c r="BF367" i="3"/>
  <c r="BF368" i="3"/>
  <c r="BF369" i="3"/>
  <c r="BF370" i="3"/>
  <c r="BF371" i="3"/>
  <c r="BF372" i="3"/>
  <c r="BF373" i="3"/>
  <c r="BF374" i="3"/>
  <c r="BF375" i="3"/>
  <c r="BF376" i="3"/>
  <c r="BF377" i="3"/>
  <c r="BF378" i="3"/>
  <c r="BF379" i="3"/>
  <c r="BF380" i="3"/>
  <c r="BF381" i="3"/>
  <c r="BF382" i="3"/>
  <c r="BF383" i="3"/>
  <c r="BF384" i="3"/>
  <c r="BF385" i="3"/>
  <c r="BF386" i="3"/>
  <c r="BF387" i="3"/>
  <c r="BF388" i="3"/>
  <c r="BF389" i="3"/>
  <c r="BF390" i="3"/>
  <c r="BF391" i="3"/>
  <c r="BF392" i="3"/>
  <c r="BF393" i="3"/>
  <c r="BF394" i="3"/>
  <c r="BF395" i="3"/>
  <c r="BF396" i="3"/>
  <c r="BF397" i="3"/>
  <c r="BF398" i="3"/>
  <c r="BF399" i="3"/>
  <c r="BF400" i="3"/>
  <c r="BF401" i="3"/>
  <c r="BF402" i="3"/>
  <c r="BF403" i="3"/>
  <c r="BF404" i="3"/>
  <c r="BF405" i="3"/>
  <c r="BF406" i="3"/>
  <c r="BF407" i="3"/>
  <c r="BF408" i="3"/>
  <c r="BF409" i="3"/>
  <c r="BF410" i="3"/>
  <c r="BF411" i="3"/>
  <c r="BF412" i="3"/>
  <c r="BF413" i="3"/>
  <c r="BF414" i="3"/>
  <c r="BF415" i="3"/>
  <c r="BF416" i="3"/>
  <c r="BF417" i="3"/>
  <c r="BF418" i="3"/>
  <c r="BF419" i="3"/>
  <c r="BF420" i="3"/>
  <c r="BF421" i="3"/>
  <c r="BF422" i="3"/>
  <c r="BF423" i="3"/>
  <c r="BF424" i="3"/>
  <c r="BF425" i="3"/>
  <c r="BF426" i="3"/>
  <c r="BF427" i="3"/>
  <c r="BF428" i="3"/>
  <c r="BF429" i="3"/>
  <c r="BF430" i="3"/>
  <c r="BF431" i="3"/>
  <c r="BF432" i="3"/>
  <c r="BF433" i="3"/>
  <c r="BF434" i="3"/>
  <c r="BF435" i="3"/>
  <c r="BF436" i="3"/>
  <c r="BF437" i="3"/>
  <c r="BF438" i="3"/>
  <c r="BF439" i="3"/>
  <c r="BF440" i="3"/>
  <c r="BF441" i="3"/>
  <c r="BF442" i="3"/>
  <c r="BF443" i="3"/>
  <c r="BF444" i="3"/>
  <c r="BF445" i="3"/>
  <c r="BF446" i="3"/>
  <c r="BF447" i="3"/>
  <c r="BF448" i="3"/>
  <c r="BF449" i="3"/>
  <c r="BF450" i="3"/>
  <c r="BF451" i="3"/>
  <c r="BF452" i="3"/>
  <c r="BF453" i="3"/>
  <c r="BF454" i="3"/>
  <c r="BF455" i="3"/>
  <c r="BF456" i="3"/>
  <c r="BF457" i="3"/>
  <c r="BF458" i="3"/>
  <c r="BF459" i="3"/>
  <c r="BF460" i="3"/>
  <c r="BF461" i="3"/>
  <c r="BF462" i="3"/>
  <c r="BF463" i="3"/>
  <c r="BF464" i="3"/>
  <c r="BF465" i="3"/>
  <c r="BF466" i="3"/>
  <c r="BF467" i="3"/>
  <c r="BF469" i="3"/>
  <c r="BF470" i="3"/>
  <c r="BF471" i="3"/>
  <c r="BF472" i="3"/>
  <c r="BF473" i="3"/>
  <c r="BF474" i="3"/>
  <c r="BF475" i="3"/>
  <c r="BF476" i="3"/>
  <c r="BF477" i="3"/>
  <c r="BF478" i="3"/>
  <c r="BF479" i="3"/>
  <c r="BF480" i="3"/>
  <c r="BF481" i="3"/>
  <c r="BF482" i="3"/>
  <c r="BF483" i="3"/>
  <c r="BF484" i="3"/>
  <c r="BF485" i="3"/>
  <c r="BF486" i="3"/>
  <c r="BF487" i="3"/>
  <c r="BF488" i="3"/>
  <c r="BF490" i="3"/>
  <c r="BF491" i="3"/>
  <c r="BF492" i="3"/>
  <c r="BF493" i="3"/>
  <c r="BF494" i="3"/>
  <c r="BF495" i="3"/>
  <c r="BF496" i="3"/>
  <c r="BF497" i="3"/>
  <c r="BF498" i="3"/>
  <c r="BF499" i="3"/>
  <c r="BF500" i="3"/>
  <c r="BF501" i="3"/>
  <c r="BF502" i="3"/>
  <c r="BF503" i="3"/>
  <c r="BF504" i="3"/>
  <c r="BF505" i="3"/>
  <c r="BF506" i="3"/>
  <c r="BF507" i="3"/>
  <c r="BF508" i="3"/>
  <c r="BF509" i="3"/>
  <c r="BF510" i="3"/>
  <c r="BF511" i="3"/>
  <c r="BF512" i="3"/>
  <c r="BF513" i="3"/>
  <c r="BF514" i="3"/>
  <c r="BF516" i="3"/>
  <c r="BF517" i="3"/>
  <c r="BF518" i="3"/>
  <c r="BF519" i="3"/>
  <c r="BF520" i="3"/>
  <c r="BF521" i="3"/>
  <c r="BF523" i="3"/>
  <c r="BF524" i="3"/>
  <c r="BF525" i="3"/>
  <c r="BF526" i="3"/>
  <c r="BF527" i="3"/>
  <c r="BF528" i="3"/>
  <c r="BF529" i="3"/>
  <c r="BF530" i="3"/>
  <c r="BF531" i="3"/>
  <c r="BF532" i="3"/>
  <c r="BF533" i="3"/>
  <c r="BF534" i="3"/>
  <c r="BF535" i="3"/>
  <c r="BF537" i="3"/>
  <c r="BF538" i="3"/>
  <c r="BF539" i="3"/>
  <c r="BF540" i="3"/>
  <c r="BF541" i="3"/>
  <c r="BF542" i="3"/>
  <c r="BF543" i="3"/>
  <c r="BF544" i="3"/>
  <c r="BF545" i="3"/>
  <c r="BF546" i="3"/>
  <c r="BF547" i="3"/>
  <c r="BF548" i="3"/>
  <c r="BF549" i="3"/>
  <c r="BF551" i="3"/>
  <c r="BF552" i="3"/>
  <c r="BF553" i="3"/>
  <c r="BF554" i="3"/>
  <c r="BF555" i="3"/>
  <c r="BF556" i="3"/>
  <c r="BF557" i="3"/>
  <c r="BF558" i="3"/>
  <c r="BF559" i="3"/>
  <c r="BF560" i="3"/>
  <c r="BF561" i="3"/>
  <c r="BF562" i="3"/>
  <c r="BF565" i="3"/>
  <c r="BF566" i="3"/>
  <c r="BF567" i="3"/>
  <c r="BF568" i="3"/>
  <c r="BF569" i="3"/>
  <c r="BF570" i="3"/>
  <c r="BF571" i="3"/>
  <c r="BF572" i="3"/>
  <c r="BF574" i="3"/>
  <c r="BF575" i="3"/>
  <c r="BF576" i="3"/>
  <c r="BF577" i="3"/>
  <c r="BF578" i="3"/>
  <c r="BF579" i="3"/>
  <c r="BF580" i="3"/>
  <c r="BF582" i="3"/>
  <c r="BF583" i="3"/>
  <c r="BF586" i="3"/>
  <c r="BF587" i="3"/>
  <c r="BF588" i="3"/>
  <c r="BF589" i="3"/>
  <c r="BF590" i="3"/>
  <c r="BF594" i="3"/>
  <c r="BF595" i="3"/>
  <c r="BF597" i="3"/>
  <c r="BF598" i="3"/>
  <c r="BF599" i="3"/>
  <c r="BF600" i="3"/>
  <c r="BF601" i="3"/>
  <c r="BF607" i="3"/>
  <c r="BF609" i="3"/>
  <c r="BF611" i="3"/>
  <c r="BF612" i="3"/>
  <c r="BF614" i="3"/>
  <c r="BF616" i="3"/>
  <c r="BF621" i="3"/>
  <c r="BF635" i="3"/>
  <c r="BF636" i="3"/>
  <c r="BF638" i="3"/>
  <c r="BF644" i="3"/>
  <c r="BF646" i="3"/>
  <c r="BF649" i="3"/>
  <c r="BF650" i="3"/>
  <c r="BF651" i="3"/>
  <c r="BF655" i="3"/>
  <c r="BF660" i="3"/>
  <c r="BF661" i="3"/>
  <c r="BF668" i="3"/>
  <c r="BF671" i="3"/>
  <c r="BF673" i="3"/>
  <c r="BF674" i="3"/>
  <c r="BF675" i="3"/>
  <c r="BF679" i="3"/>
  <c r="BF682" i="3"/>
  <c r="BF684" i="3"/>
  <c r="BF767" i="3"/>
  <c r="BF796" i="3"/>
  <c r="BF784" i="3"/>
  <c r="BF874" i="3"/>
  <c r="X874" i="3" s="1"/>
  <c r="BF693" i="3"/>
  <c r="BF694" i="3"/>
  <c r="BF719" i="3"/>
  <c r="BF721" i="3"/>
  <c r="BF785" i="3"/>
  <c r="BF904" i="3"/>
  <c r="BF974" i="3"/>
  <c r="BF814" i="3"/>
  <c r="BF909" i="3"/>
  <c r="BF812" i="3"/>
  <c r="BF689" i="3"/>
  <c r="BF1112" i="3"/>
  <c r="BF782" i="3"/>
  <c r="BF697" i="3"/>
  <c r="BF716" i="3"/>
  <c r="BF833" i="3"/>
  <c r="BF837" i="3"/>
  <c r="BF878" i="3"/>
  <c r="BF864" i="3"/>
  <c r="BF790" i="3"/>
  <c r="BF704" i="3"/>
  <c r="BF724" i="3"/>
  <c r="BF876" i="3"/>
  <c r="BF875" i="3"/>
  <c r="BF711" i="3"/>
  <c r="BF703" i="3"/>
  <c r="BF663" i="3"/>
  <c r="BF696" i="3"/>
  <c r="BF786" i="3"/>
  <c r="BF828" i="3"/>
  <c r="BF964" i="3"/>
  <c r="BF912" i="3"/>
  <c r="BF903" i="3"/>
  <c r="BF968" i="3"/>
  <c r="BF698" i="3"/>
  <c r="BF713" i="3"/>
  <c r="BF765" i="3"/>
  <c r="BF759" i="3"/>
  <c r="BF907" i="3"/>
  <c r="BF910" i="3"/>
  <c r="BF741" i="3"/>
  <c r="BF769" i="3"/>
  <c r="BF764" i="3"/>
  <c r="BF747" i="3"/>
  <c r="BF707" i="3"/>
  <c r="BF734" i="3"/>
  <c r="BF702" i="3"/>
  <c r="BF736" i="3"/>
  <c r="BF726" i="3"/>
  <c r="BF728" i="3"/>
  <c r="BF750" i="3"/>
  <c r="BE720" i="3"/>
  <c r="AC720" i="3"/>
  <c r="F720" i="3" a="1"/>
  <c r="F785" i="3" a="1"/>
  <c r="F796" i="3" a="1"/>
  <c r="BH785" i="3"/>
  <c r="BE785" i="3"/>
  <c r="AC785" i="3"/>
  <c r="BH724" i="3"/>
  <c r="BE724" i="3"/>
  <c r="AC724" i="3"/>
  <c r="F724" i="3" a="1"/>
  <c r="BH833" i="3"/>
  <c r="BE833" i="3"/>
  <c r="AC833" i="3"/>
  <c r="BH796" i="3"/>
  <c r="BE796" i="3"/>
  <c r="AC796" i="3"/>
  <c r="AC1263" i="3"/>
  <c r="BH1263" i="3"/>
  <c r="AC1262" i="3"/>
  <c r="BH1262" i="3"/>
  <c r="BH182" i="3"/>
  <c r="BH183" i="3"/>
  <c r="BH184" i="3"/>
  <c r="BH185" i="3"/>
  <c r="BH186" i="3"/>
  <c r="BH187" i="3"/>
  <c r="BH188" i="3"/>
  <c r="BH189" i="3"/>
  <c r="BH190" i="3"/>
  <c r="BH191" i="3"/>
  <c r="BH192" i="3"/>
  <c r="BH193" i="3"/>
  <c r="BH194" i="3"/>
  <c r="BH195" i="3"/>
  <c r="BH196" i="3"/>
  <c r="BH197" i="3"/>
  <c r="BH198" i="3"/>
  <c r="BH199" i="3"/>
  <c r="BH200" i="3"/>
  <c r="BH201" i="3"/>
  <c r="BH202" i="3"/>
  <c r="BH203" i="3"/>
  <c r="BH204" i="3"/>
  <c r="BH205" i="3"/>
  <c r="BH206" i="3"/>
  <c r="BH207" i="3"/>
  <c r="BH208" i="3"/>
  <c r="BH209" i="3"/>
  <c r="BH210" i="3"/>
  <c r="BH211" i="3"/>
  <c r="BH212" i="3"/>
  <c r="BH213" i="3"/>
  <c r="BH214" i="3"/>
  <c r="BH215" i="3"/>
  <c r="BH216" i="3"/>
  <c r="BH217" i="3"/>
  <c r="BH218" i="3"/>
  <c r="BH219" i="3"/>
  <c r="BH220" i="3"/>
  <c r="BH221" i="3"/>
  <c r="BH222" i="3"/>
  <c r="BH223" i="3"/>
  <c r="BH224" i="3"/>
  <c r="BH225" i="3"/>
  <c r="BH226" i="3"/>
  <c r="BH227" i="3"/>
  <c r="BH228" i="3"/>
  <c r="BH229" i="3"/>
  <c r="BH230" i="3"/>
  <c r="BH231" i="3"/>
  <c r="BH232" i="3"/>
  <c r="BH233" i="3"/>
  <c r="BH234" i="3"/>
  <c r="BH235" i="3"/>
  <c r="BH236" i="3"/>
  <c r="BH237" i="3"/>
  <c r="BH238" i="3"/>
  <c r="BH239" i="3"/>
  <c r="BH240" i="3"/>
  <c r="BH241" i="3"/>
  <c r="BH242" i="3"/>
  <c r="BH243" i="3"/>
  <c r="BH244" i="3"/>
  <c r="BH245" i="3"/>
  <c r="BH246" i="3"/>
  <c r="BH247" i="3"/>
  <c r="BH248" i="3"/>
  <c r="BH249" i="3"/>
  <c r="BH250" i="3"/>
  <c r="BH251" i="3"/>
  <c r="BH252" i="3"/>
  <c r="BH253" i="3"/>
  <c r="BH254" i="3"/>
  <c r="BH255" i="3"/>
  <c r="BH256" i="3"/>
  <c r="BH257" i="3"/>
  <c r="BH258" i="3"/>
  <c r="BH259" i="3"/>
  <c r="BH260" i="3"/>
  <c r="BH261" i="3"/>
  <c r="BH262" i="3"/>
  <c r="BH263" i="3"/>
  <c r="BH264" i="3"/>
  <c r="BH265" i="3"/>
  <c r="BH266" i="3"/>
  <c r="BH267" i="3"/>
  <c r="BH268" i="3"/>
  <c r="BH269" i="3"/>
  <c r="BH270" i="3"/>
  <c r="BH271" i="3"/>
  <c r="BH272" i="3"/>
  <c r="BH273" i="3"/>
  <c r="BH274" i="3"/>
  <c r="BH275" i="3"/>
  <c r="BH276" i="3"/>
  <c r="BH277" i="3"/>
  <c r="BH278" i="3"/>
  <c r="BH279" i="3"/>
  <c r="BH280" i="3"/>
  <c r="BH281" i="3"/>
  <c r="BH282" i="3"/>
  <c r="BH283" i="3"/>
  <c r="BH284" i="3"/>
  <c r="BH285" i="3"/>
  <c r="BH286" i="3"/>
  <c r="BH287" i="3"/>
  <c r="BH288" i="3"/>
  <c r="BH289" i="3"/>
  <c r="BH290" i="3"/>
  <c r="BH291" i="3"/>
  <c r="BH292" i="3"/>
  <c r="BH293" i="3"/>
  <c r="BH294" i="3"/>
  <c r="BH295" i="3"/>
  <c r="BH296" i="3"/>
  <c r="BH297" i="3"/>
  <c r="BH298" i="3"/>
  <c r="BH299" i="3"/>
  <c r="BH300" i="3"/>
  <c r="BH301" i="3"/>
  <c r="BH302" i="3"/>
  <c r="BH303" i="3"/>
  <c r="BH304" i="3"/>
  <c r="BH305" i="3"/>
  <c r="BH306" i="3"/>
  <c r="BH307" i="3"/>
  <c r="BH308" i="3"/>
  <c r="BH309" i="3"/>
  <c r="BH310" i="3"/>
  <c r="BH311" i="3"/>
  <c r="BH312" i="3"/>
  <c r="BH313" i="3"/>
  <c r="BH314" i="3"/>
  <c r="BH315" i="3"/>
  <c r="BH316" i="3"/>
  <c r="BH317" i="3"/>
  <c r="BH318" i="3"/>
  <c r="BH319" i="3"/>
  <c r="BH320" i="3"/>
  <c r="BH321" i="3"/>
  <c r="BH322" i="3"/>
  <c r="BH323" i="3"/>
  <c r="BH324" i="3"/>
  <c r="BH325" i="3"/>
  <c r="BH326" i="3"/>
  <c r="BH327" i="3"/>
  <c r="BH328" i="3"/>
  <c r="BH329" i="3"/>
  <c r="BH330" i="3"/>
  <c r="BH331" i="3"/>
  <c r="BH332" i="3"/>
  <c r="BH333" i="3"/>
  <c r="BH334" i="3"/>
  <c r="BH335" i="3"/>
  <c r="BH336" i="3"/>
  <c r="BH337" i="3"/>
  <c r="BH338" i="3"/>
  <c r="BH339" i="3"/>
  <c r="BH340" i="3"/>
  <c r="BH341" i="3"/>
  <c r="BH342" i="3"/>
  <c r="BH343" i="3"/>
  <c r="BH344" i="3"/>
  <c r="BH345" i="3"/>
  <c r="BH346" i="3"/>
  <c r="BH347" i="3"/>
  <c r="BH348" i="3"/>
  <c r="BH349" i="3"/>
  <c r="BH350" i="3"/>
  <c r="BH351" i="3"/>
  <c r="BH352" i="3"/>
  <c r="BH353" i="3"/>
  <c r="BH354" i="3"/>
  <c r="BH355" i="3"/>
  <c r="BH356" i="3"/>
  <c r="BH357" i="3"/>
  <c r="BH358" i="3"/>
  <c r="BH359" i="3"/>
  <c r="BH360" i="3"/>
  <c r="BH361" i="3"/>
  <c r="BH362" i="3"/>
  <c r="BH363" i="3"/>
  <c r="BH364" i="3"/>
  <c r="BH365" i="3"/>
  <c r="BH366" i="3"/>
  <c r="BH367" i="3"/>
  <c r="BH368" i="3"/>
  <c r="BH369" i="3"/>
  <c r="BH370" i="3"/>
  <c r="BH371" i="3"/>
  <c r="BH372" i="3"/>
  <c r="BH373" i="3"/>
  <c r="BH374" i="3"/>
  <c r="BH375" i="3"/>
  <c r="BH376" i="3"/>
  <c r="BH377" i="3"/>
  <c r="BH378" i="3"/>
  <c r="BH379" i="3"/>
  <c r="BH380" i="3"/>
  <c r="BH381" i="3"/>
  <c r="BH382" i="3"/>
  <c r="BH383" i="3"/>
  <c r="BH384" i="3"/>
  <c r="BH385" i="3"/>
  <c r="BH386" i="3"/>
  <c r="BH387" i="3"/>
  <c r="BH388" i="3"/>
  <c r="BH389" i="3"/>
  <c r="BH390" i="3"/>
  <c r="BH391" i="3"/>
  <c r="BH392" i="3"/>
  <c r="BH393" i="3"/>
  <c r="BH394" i="3"/>
  <c r="BH395" i="3"/>
  <c r="BH396" i="3"/>
  <c r="BH397" i="3"/>
  <c r="BH398" i="3"/>
  <c r="BH399" i="3"/>
  <c r="BH400" i="3"/>
  <c r="BH401" i="3"/>
  <c r="BH402" i="3"/>
  <c r="BH403" i="3"/>
  <c r="BH404" i="3"/>
  <c r="BH405" i="3"/>
  <c r="BH406" i="3"/>
  <c r="BH407" i="3"/>
  <c r="BH408" i="3"/>
  <c r="BH409" i="3"/>
  <c r="BH410" i="3"/>
  <c r="BH411" i="3"/>
  <c r="BH412" i="3"/>
  <c r="BH413" i="3"/>
  <c r="BH414" i="3"/>
  <c r="BH415" i="3"/>
  <c r="BH416" i="3"/>
  <c r="BH417" i="3"/>
  <c r="BH418" i="3"/>
  <c r="BH419" i="3"/>
  <c r="BH420" i="3"/>
  <c r="BH421" i="3"/>
  <c r="BH422" i="3"/>
  <c r="BH423" i="3"/>
  <c r="BH424" i="3"/>
  <c r="BH425" i="3"/>
  <c r="BH426" i="3"/>
  <c r="BH427" i="3"/>
  <c r="BH428" i="3"/>
  <c r="BH429" i="3"/>
  <c r="BH430" i="3"/>
  <c r="BH431" i="3"/>
  <c r="BH432" i="3"/>
  <c r="BH433" i="3"/>
  <c r="BH434" i="3"/>
  <c r="BH435" i="3"/>
  <c r="BH436" i="3"/>
  <c r="BH437" i="3"/>
  <c r="BH438" i="3"/>
  <c r="BH439" i="3"/>
  <c r="BH440" i="3"/>
  <c r="BH441" i="3"/>
  <c r="BH442" i="3"/>
  <c r="BH443" i="3"/>
  <c r="BH444" i="3"/>
  <c r="BH445" i="3"/>
  <c r="BH446" i="3"/>
  <c r="BH447" i="3"/>
  <c r="BH448" i="3"/>
  <c r="BH449" i="3"/>
  <c r="BH450" i="3"/>
  <c r="BH451" i="3"/>
  <c r="BH452" i="3"/>
  <c r="BH453" i="3"/>
  <c r="BH454" i="3"/>
  <c r="BH455" i="3"/>
  <c r="BH456" i="3"/>
  <c r="BH457" i="3"/>
  <c r="BH458" i="3"/>
  <c r="BH459" i="3"/>
  <c r="BH460" i="3"/>
  <c r="BH461" i="3"/>
  <c r="BH462" i="3"/>
  <c r="BH463" i="3"/>
  <c r="BH464" i="3"/>
  <c r="BH465" i="3"/>
  <c r="BH466" i="3"/>
  <c r="BH467" i="3"/>
  <c r="BH469" i="3"/>
  <c r="BH470" i="3"/>
  <c r="BH471" i="3"/>
  <c r="BH472" i="3"/>
  <c r="BH473" i="3"/>
  <c r="BH474" i="3"/>
  <c r="BH475" i="3"/>
  <c r="BH476" i="3"/>
  <c r="BH477" i="3"/>
  <c r="BH478" i="3"/>
  <c r="BH479" i="3"/>
  <c r="BH480" i="3"/>
  <c r="BH481" i="3"/>
  <c r="BH482" i="3"/>
  <c r="BH483" i="3"/>
  <c r="BH484" i="3"/>
  <c r="BH485" i="3"/>
  <c r="BH486" i="3"/>
  <c r="BH487" i="3"/>
  <c r="BH488" i="3"/>
  <c r="BH490" i="3"/>
  <c r="BH491" i="3"/>
  <c r="BH492" i="3"/>
  <c r="BH493" i="3"/>
  <c r="BH494" i="3"/>
  <c r="BH495" i="3"/>
  <c r="BH496" i="3"/>
  <c r="BH497" i="3"/>
  <c r="BH498" i="3"/>
  <c r="BH499" i="3"/>
  <c r="BH500" i="3"/>
  <c r="BH501" i="3"/>
  <c r="BH502" i="3"/>
  <c r="BH503" i="3"/>
  <c r="BH504" i="3"/>
  <c r="BH505" i="3"/>
  <c r="BH506" i="3"/>
  <c r="BH507" i="3"/>
  <c r="BH508" i="3"/>
  <c r="BH509" i="3"/>
  <c r="BH510" i="3"/>
  <c r="BH511" i="3"/>
  <c r="BH512" i="3"/>
  <c r="BH513" i="3"/>
  <c r="BH514" i="3"/>
  <c r="BH515" i="3"/>
  <c r="BH516" i="3"/>
  <c r="BH517" i="3"/>
  <c r="BH518" i="3"/>
  <c r="BH519" i="3"/>
  <c r="BH520" i="3"/>
  <c r="BH521" i="3"/>
  <c r="BH522" i="3"/>
  <c r="BH523" i="3"/>
  <c r="BH524" i="3"/>
  <c r="BH525" i="3"/>
  <c r="BH526" i="3"/>
  <c r="BH527" i="3"/>
  <c r="BH528" i="3"/>
  <c r="BH529" i="3"/>
  <c r="BH530" i="3"/>
  <c r="BH531" i="3"/>
  <c r="BH532" i="3"/>
  <c r="BH533" i="3"/>
  <c r="BH534" i="3"/>
  <c r="BH535" i="3"/>
  <c r="BH536" i="3"/>
  <c r="BH537" i="3"/>
  <c r="BH538" i="3"/>
  <c r="BH539" i="3"/>
  <c r="BH540" i="3"/>
  <c r="BH541" i="3"/>
  <c r="BH542" i="3"/>
  <c r="BH543" i="3"/>
  <c r="BH544" i="3"/>
  <c r="BH545" i="3"/>
  <c r="BH546" i="3"/>
  <c r="BH547" i="3"/>
  <c r="BH548" i="3"/>
  <c r="BH549" i="3"/>
  <c r="BH550" i="3"/>
  <c r="BH551" i="3"/>
  <c r="BH552" i="3"/>
  <c r="BH553" i="3"/>
  <c r="BH554" i="3"/>
  <c r="BH555" i="3"/>
  <c r="BH556" i="3"/>
  <c r="BH557" i="3"/>
  <c r="BH558" i="3"/>
  <c r="BH559" i="3"/>
  <c r="BH560" i="3"/>
  <c r="BH561" i="3"/>
  <c r="BH562" i="3"/>
  <c r="BH563" i="3"/>
  <c r="BH564" i="3"/>
  <c r="BH565" i="3"/>
  <c r="BH566" i="3"/>
  <c r="BH567" i="3"/>
  <c r="BH568" i="3"/>
  <c r="BH569" i="3"/>
  <c r="BH570" i="3"/>
  <c r="BH571" i="3"/>
  <c r="BH572" i="3"/>
  <c r="BH573" i="3"/>
  <c r="BH574" i="3"/>
  <c r="BH575" i="3"/>
  <c r="BH576" i="3"/>
  <c r="BH577" i="3"/>
  <c r="BH578" i="3"/>
  <c r="BH579" i="3"/>
  <c r="BH580" i="3"/>
  <c r="BH597" i="3"/>
  <c r="BH621" i="3"/>
  <c r="BH582" i="3"/>
  <c r="BH612" i="3"/>
  <c r="BH583" i="3"/>
  <c r="BH616" i="3"/>
  <c r="BH614" i="3"/>
  <c r="BH837" i="3"/>
  <c r="BH586" i="3"/>
  <c r="BH587" i="3"/>
  <c r="BH588" i="3"/>
  <c r="BH589" i="3"/>
  <c r="BH590" i="3"/>
  <c r="BH591" i="3"/>
  <c r="BH592" i="3"/>
  <c r="BH594" i="3"/>
  <c r="BH595" i="3"/>
  <c r="BH598" i="3"/>
  <c r="BH599" i="3"/>
  <c r="BH600" i="3"/>
  <c r="BH601" i="3"/>
  <c r="BH605" i="3"/>
  <c r="BH607" i="3"/>
  <c r="BH609" i="3"/>
  <c r="BH767" i="3"/>
  <c r="BH878" i="3"/>
  <c r="BH638" i="3"/>
  <c r="BH668" i="3"/>
  <c r="BH646" i="3"/>
  <c r="BH904" i="3"/>
  <c r="BH793" i="3"/>
  <c r="BH643" i="3"/>
  <c r="BH665" i="3"/>
  <c r="BH641" i="3"/>
  <c r="BH611" i="3"/>
  <c r="BH874" i="3"/>
  <c r="BH718" i="3"/>
  <c r="BH784" i="3"/>
  <c r="BH644" i="3"/>
  <c r="BH635" i="3"/>
  <c r="BH649" i="3"/>
  <c r="BH704" i="3"/>
  <c r="BH697" i="3"/>
  <c r="BH682" i="3"/>
  <c r="BH974" i="3"/>
  <c r="BH655" i="3"/>
  <c r="BH814" i="3"/>
  <c r="BH812" i="3"/>
  <c r="BH684" i="3"/>
  <c r="BH689" i="3"/>
  <c r="BH1112" i="3"/>
  <c r="BH1228" i="3"/>
  <c r="BH1229" i="3"/>
  <c r="BH694" i="3"/>
  <c r="BH716" i="3"/>
  <c r="BH864" i="3"/>
  <c r="BH1230" i="3"/>
  <c r="BH693" i="3"/>
  <c r="BH790" i="3"/>
  <c r="BH876" i="3"/>
  <c r="BH875" i="3"/>
  <c r="BH660" i="3"/>
  <c r="BH661" i="3"/>
  <c r="BH711" i="3"/>
  <c r="BH1231" i="3"/>
  <c r="BH1232" i="3"/>
  <c r="BH1233" i="3"/>
  <c r="BH1234" i="3"/>
  <c r="BH1235" i="3"/>
  <c r="BH1236" i="3"/>
  <c r="BH1237" i="3"/>
  <c r="BH1238" i="3"/>
  <c r="BH1239" i="3"/>
  <c r="BH1240" i="3"/>
  <c r="BH1241" i="3"/>
  <c r="BH1242" i="3"/>
  <c r="BH1243" i="3"/>
  <c r="BH1244" i="3"/>
  <c r="BH1245" i="3"/>
  <c r="BH1246" i="3"/>
  <c r="BH1247" i="3"/>
  <c r="BH1248" i="3"/>
  <c r="BH673" i="3"/>
  <c r="BH703" i="3"/>
  <c r="BH1249" i="3"/>
  <c r="BH663" i="3"/>
  <c r="BH782" i="3"/>
  <c r="BH679" i="3"/>
  <c r="BH719" i="3"/>
  <c r="BH696" i="3"/>
  <c r="BH1250" i="3"/>
  <c r="BH1251" i="3"/>
  <c r="BH786" i="3"/>
  <c r="BH671" i="3"/>
  <c r="BH651" i="3"/>
  <c r="BH828" i="3"/>
  <c r="BH1252" i="3"/>
  <c r="BH964" i="3"/>
  <c r="BH1253" i="3"/>
  <c r="BH912" i="3"/>
  <c r="BH903" i="3"/>
  <c r="BH968" i="3"/>
  <c r="BH650" i="3"/>
  <c r="BH698" i="3"/>
  <c r="BH713" i="3"/>
  <c r="BH765" i="3"/>
  <c r="BH1254" i="3"/>
  <c r="BH1255" i="3"/>
  <c r="BH759" i="3"/>
  <c r="BH907" i="3"/>
  <c r="BH910" i="3"/>
  <c r="BH1256" i="3"/>
  <c r="BH909" i="3"/>
  <c r="BH1257" i="3"/>
  <c r="BH674" i="3"/>
  <c r="BH1258" i="3"/>
  <c r="BH741" i="3"/>
  <c r="BH769" i="3"/>
  <c r="BH636" i="3"/>
  <c r="BH764" i="3"/>
  <c r="BH747" i="3"/>
  <c r="BH675" i="3"/>
  <c r="BH721" i="3"/>
  <c r="BH1259" i="3"/>
  <c r="BH734" i="3"/>
  <c r="BH728" i="3"/>
  <c r="BH707" i="3"/>
  <c r="BH750" i="3"/>
  <c r="BH726" i="3"/>
  <c r="BH702" i="3"/>
  <c r="BH736" i="3"/>
  <c r="BH1260" i="3"/>
  <c r="BH1261" i="3"/>
  <c r="AC289" i="3"/>
  <c r="AC382" i="3"/>
  <c r="AC1241" i="3"/>
  <c r="BE586" i="3"/>
  <c r="AC586" i="3"/>
  <c r="F586" i="3" a="1"/>
  <c r="BE182" i="3"/>
  <c r="BE183" i="3"/>
  <c r="BE184" i="3"/>
  <c r="BE185" i="3"/>
  <c r="BE186" i="3"/>
  <c r="BE187" i="3"/>
  <c r="BE188" i="3"/>
  <c r="BE189" i="3"/>
  <c r="BE190" i="3"/>
  <c r="BE191" i="3"/>
  <c r="BE192" i="3"/>
  <c r="BE193" i="3"/>
  <c r="BE194" i="3"/>
  <c r="BE195" i="3"/>
  <c r="BE196" i="3"/>
  <c r="BE197" i="3"/>
  <c r="BE198" i="3"/>
  <c r="BE199" i="3"/>
  <c r="BE200" i="3"/>
  <c r="BE201" i="3"/>
  <c r="BE202" i="3"/>
  <c r="BE203" i="3"/>
  <c r="BE204" i="3"/>
  <c r="BE205" i="3"/>
  <c r="BE206" i="3"/>
  <c r="BE207" i="3"/>
  <c r="BE208" i="3"/>
  <c r="BE209" i="3"/>
  <c r="BE210" i="3"/>
  <c r="BE211" i="3"/>
  <c r="BE212" i="3"/>
  <c r="BE213" i="3"/>
  <c r="Q33" i="66" s="1"/>
  <c r="BE214" i="3"/>
  <c r="BE215" i="3"/>
  <c r="BE216" i="3"/>
  <c r="BE217" i="3"/>
  <c r="BE218" i="3"/>
  <c r="BE219" i="3"/>
  <c r="BE220" i="3"/>
  <c r="BE221" i="3"/>
  <c r="BE222" i="3"/>
  <c r="BE223" i="3"/>
  <c r="BE224" i="3"/>
  <c r="BE225" i="3"/>
  <c r="BE226" i="3"/>
  <c r="BE227" i="3"/>
  <c r="BE228" i="3"/>
  <c r="BE229" i="3"/>
  <c r="BE230" i="3"/>
  <c r="BE231" i="3"/>
  <c r="BE232" i="3"/>
  <c r="BE233" i="3"/>
  <c r="BE234" i="3"/>
  <c r="BE235" i="3"/>
  <c r="BE236" i="3"/>
  <c r="BE237" i="3"/>
  <c r="BE238" i="3"/>
  <c r="BE239" i="3"/>
  <c r="BE240" i="3"/>
  <c r="BE241" i="3"/>
  <c r="BE242" i="3"/>
  <c r="BE243" i="3"/>
  <c r="BE244" i="3"/>
  <c r="BE245" i="3"/>
  <c r="BE246" i="3"/>
  <c r="BE247" i="3"/>
  <c r="BE248" i="3"/>
  <c r="BE249" i="3"/>
  <c r="BE250" i="3"/>
  <c r="BE251" i="3"/>
  <c r="BE252" i="3"/>
  <c r="BE253" i="3"/>
  <c r="BE254" i="3"/>
  <c r="BE255" i="3"/>
  <c r="BE256" i="3"/>
  <c r="BE257" i="3"/>
  <c r="BE258" i="3"/>
  <c r="BE259" i="3"/>
  <c r="BE260" i="3"/>
  <c r="BE261" i="3"/>
  <c r="BE262" i="3"/>
  <c r="BE263" i="3"/>
  <c r="BE264" i="3"/>
  <c r="BE265" i="3"/>
  <c r="BE266" i="3"/>
  <c r="BE267" i="3"/>
  <c r="BE268" i="3"/>
  <c r="BE269" i="3"/>
  <c r="BE270" i="3"/>
  <c r="BE271" i="3"/>
  <c r="BE272" i="3"/>
  <c r="BE273" i="3"/>
  <c r="BE274" i="3"/>
  <c r="BE275" i="3"/>
  <c r="BE276" i="3"/>
  <c r="BE277" i="3"/>
  <c r="BE278" i="3"/>
  <c r="BE279" i="3"/>
  <c r="BE280" i="3"/>
  <c r="BE281" i="3"/>
  <c r="BE282" i="3"/>
  <c r="BE283" i="3"/>
  <c r="BE284" i="3"/>
  <c r="BE285" i="3"/>
  <c r="BE286" i="3"/>
  <c r="BE287" i="3"/>
  <c r="BE288" i="3"/>
  <c r="BE289" i="3"/>
  <c r="BE290" i="3"/>
  <c r="BE291" i="3"/>
  <c r="BE292" i="3"/>
  <c r="BE293" i="3"/>
  <c r="BE294" i="3"/>
  <c r="BE295" i="3"/>
  <c r="BE296" i="3"/>
  <c r="BE298" i="3"/>
  <c r="BE299" i="3"/>
  <c r="BE300" i="3"/>
  <c r="BE302" i="3"/>
  <c r="BE303" i="3"/>
  <c r="BE304" i="3"/>
  <c r="BE305" i="3"/>
  <c r="BE306" i="3"/>
  <c r="BE307" i="3"/>
  <c r="BE308" i="3"/>
  <c r="BE309" i="3"/>
  <c r="BE310" i="3"/>
  <c r="BE311" i="3"/>
  <c r="BE312" i="3"/>
  <c r="BE313" i="3"/>
  <c r="BE314" i="3"/>
  <c r="BE315" i="3"/>
  <c r="BE316" i="3"/>
  <c r="BE317" i="3"/>
  <c r="BE318" i="3"/>
  <c r="BE319" i="3"/>
  <c r="BE320" i="3"/>
  <c r="BE321" i="3"/>
  <c r="BE322" i="3"/>
  <c r="BE323" i="3"/>
  <c r="BE324" i="3"/>
  <c r="BE325" i="3"/>
  <c r="BE326" i="3"/>
  <c r="BE327" i="3"/>
  <c r="BE328" i="3"/>
  <c r="BE329" i="3"/>
  <c r="BE330" i="3"/>
  <c r="BE331" i="3"/>
  <c r="BE332" i="3"/>
  <c r="BE335" i="3"/>
  <c r="BE336" i="3"/>
  <c r="BE337" i="3"/>
  <c r="BE338" i="3"/>
  <c r="BE339" i="3"/>
  <c r="BE340" i="3"/>
  <c r="BE341" i="3"/>
  <c r="BE342" i="3"/>
  <c r="BE343" i="3"/>
  <c r="BE344" i="3"/>
  <c r="BE345" i="3"/>
  <c r="BE346" i="3"/>
  <c r="BE347" i="3"/>
  <c r="BE348" i="3"/>
  <c r="BE349" i="3"/>
  <c r="BE350" i="3"/>
  <c r="BE351" i="3"/>
  <c r="BE352" i="3"/>
  <c r="BE353" i="3"/>
  <c r="BE354" i="3"/>
  <c r="BE355" i="3"/>
  <c r="BE356" i="3"/>
  <c r="BE357" i="3"/>
  <c r="BE358" i="3"/>
  <c r="BE359" i="3"/>
  <c r="BE360" i="3"/>
  <c r="BE361" i="3"/>
  <c r="BE362" i="3"/>
  <c r="BE363" i="3"/>
  <c r="BE364" i="3"/>
  <c r="BE365" i="3"/>
  <c r="BE366" i="3"/>
  <c r="BE367" i="3"/>
  <c r="BE368" i="3"/>
  <c r="BE369" i="3"/>
  <c r="BE370" i="3"/>
  <c r="BE371" i="3"/>
  <c r="BE372" i="3"/>
  <c r="BE373" i="3"/>
  <c r="BE374" i="3"/>
  <c r="BE375" i="3"/>
  <c r="BE376" i="3"/>
  <c r="BE377" i="3"/>
  <c r="BE378" i="3"/>
  <c r="BE379" i="3"/>
  <c r="BE380" i="3"/>
  <c r="BE381" i="3"/>
  <c r="BE382" i="3"/>
  <c r="BE383" i="3"/>
  <c r="BE384" i="3"/>
  <c r="BE385" i="3"/>
  <c r="BE386" i="3"/>
  <c r="BE387" i="3"/>
  <c r="BE388" i="3"/>
  <c r="BE389" i="3"/>
  <c r="BE390" i="3"/>
  <c r="BE391" i="3"/>
  <c r="BE392" i="3"/>
  <c r="BE393" i="3"/>
  <c r="BE394" i="3"/>
  <c r="BE395" i="3"/>
  <c r="BE396" i="3"/>
  <c r="BE397" i="3"/>
  <c r="BE398" i="3"/>
  <c r="BE399" i="3"/>
  <c r="BE400" i="3"/>
  <c r="BE401" i="3"/>
  <c r="BE402" i="3"/>
  <c r="BE403" i="3"/>
  <c r="BE404" i="3"/>
  <c r="BE405" i="3"/>
  <c r="BE406" i="3"/>
  <c r="BE407" i="3"/>
  <c r="BE408" i="3"/>
  <c r="BE409" i="3"/>
  <c r="BE410" i="3"/>
  <c r="BE411" i="3"/>
  <c r="BE412" i="3"/>
  <c r="BE413" i="3"/>
  <c r="BE414" i="3"/>
  <c r="BE415" i="3"/>
  <c r="BE416" i="3"/>
  <c r="BE417" i="3"/>
  <c r="BE418" i="3"/>
  <c r="BE419" i="3"/>
  <c r="BE420" i="3"/>
  <c r="BE421" i="3"/>
  <c r="BE422" i="3"/>
  <c r="BE423" i="3"/>
  <c r="BE424" i="3"/>
  <c r="BE425" i="3"/>
  <c r="BE426" i="3"/>
  <c r="BE427" i="3"/>
  <c r="BE428" i="3"/>
  <c r="BE429" i="3"/>
  <c r="BE430" i="3"/>
  <c r="BE431" i="3"/>
  <c r="BE432" i="3"/>
  <c r="BE433" i="3"/>
  <c r="BE434" i="3"/>
  <c r="BE435" i="3"/>
  <c r="BE436" i="3"/>
  <c r="BE437" i="3"/>
  <c r="BE438" i="3"/>
  <c r="BE439" i="3"/>
  <c r="BE440" i="3"/>
  <c r="BE441" i="3"/>
  <c r="BE442" i="3"/>
  <c r="BE443" i="3"/>
  <c r="BE444" i="3"/>
  <c r="BE445" i="3"/>
  <c r="BE446" i="3"/>
  <c r="BE447" i="3"/>
  <c r="BE448" i="3"/>
  <c r="BE449" i="3"/>
  <c r="BE450" i="3"/>
  <c r="BE451" i="3"/>
  <c r="BE452" i="3"/>
  <c r="BE453" i="3"/>
  <c r="BE454" i="3"/>
  <c r="BE455" i="3"/>
  <c r="BE456" i="3"/>
  <c r="BE457" i="3"/>
  <c r="BE458" i="3"/>
  <c r="BE459" i="3"/>
  <c r="BE460" i="3"/>
  <c r="BE461" i="3"/>
  <c r="BE462" i="3"/>
  <c r="BE463" i="3"/>
  <c r="BE464" i="3"/>
  <c r="BE465" i="3"/>
  <c r="BE466" i="3"/>
  <c r="BE467" i="3"/>
  <c r="BE469" i="3"/>
  <c r="BE470" i="3"/>
  <c r="BE471" i="3"/>
  <c r="BE472" i="3"/>
  <c r="BE473" i="3"/>
  <c r="BE474" i="3"/>
  <c r="BE475" i="3"/>
  <c r="BE476" i="3"/>
  <c r="BE477" i="3"/>
  <c r="BE478" i="3"/>
  <c r="BE479" i="3"/>
  <c r="BE480" i="3"/>
  <c r="BE481" i="3"/>
  <c r="BE482" i="3"/>
  <c r="BE483" i="3"/>
  <c r="BE484" i="3"/>
  <c r="BE485" i="3"/>
  <c r="BE486" i="3"/>
  <c r="BE487" i="3"/>
  <c r="BE488" i="3"/>
  <c r="BE490" i="3"/>
  <c r="BE491" i="3"/>
  <c r="BE492" i="3"/>
  <c r="BE493" i="3"/>
  <c r="BE494" i="3"/>
  <c r="BE495" i="3"/>
  <c r="BE496" i="3"/>
  <c r="BE497" i="3"/>
  <c r="BE498" i="3"/>
  <c r="BE499" i="3"/>
  <c r="BE500" i="3"/>
  <c r="BE501" i="3"/>
  <c r="BE502" i="3"/>
  <c r="BE503" i="3"/>
  <c r="BE504" i="3"/>
  <c r="BE505" i="3"/>
  <c r="BE506" i="3"/>
  <c r="BE507" i="3"/>
  <c r="BE508" i="3"/>
  <c r="BE509" i="3"/>
  <c r="BE510" i="3"/>
  <c r="BE511" i="3"/>
  <c r="BE512" i="3"/>
  <c r="BE513" i="3"/>
  <c r="BE514" i="3"/>
  <c r="BE515" i="3"/>
  <c r="BE516" i="3"/>
  <c r="BE517" i="3"/>
  <c r="BE518" i="3"/>
  <c r="BE519" i="3"/>
  <c r="BE520" i="3"/>
  <c r="BE521" i="3"/>
  <c r="BE522" i="3"/>
  <c r="BE523" i="3"/>
  <c r="BE524" i="3"/>
  <c r="BE525" i="3"/>
  <c r="BE526" i="3"/>
  <c r="BE527" i="3"/>
  <c r="BE528" i="3"/>
  <c r="BE529" i="3"/>
  <c r="BE530" i="3"/>
  <c r="BE531" i="3"/>
  <c r="BE532" i="3"/>
  <c r="BE533" i="3"/>
  <c r="BE534" i="3"/>
  <c r="BE535" i="3"/>
  <c r="BE536" i="3"/>
  <c r="BE537" i="3"/>
  <c r="BE538" i="3"/>
  <c r="BE539" i="3"/>
  <c r="BE540" i="3"/>
  <c r="BE541" i="3"/>
  <c r="BE542" i="3"/>
  <c r="BE543" i="3"/>
  <c r="BE544" i="3"/>
  <c r="BE545" i="3"/>
  <c r="BE546" i="3"/>
  <c r="BE547" i="3"/>
  <c r="BE548" i="3"/>
  <c r="BE549" i="3"/>
  <c r="BE550" i="3"/>
  <c r="BE551" i="3"/>
  <c r="BE552" i="3"/>
  <c r="BE553" i="3"/>
  <c r="BE554" i="3"/>
  <c r="BE555" i="3"/>
  <c r="BE556" i="3"/>
  <c r="BE557" i="3"/>
  <c r="BE558" i="3"/>
  <c r="BE559" i="3"/>
  <c r="BE560" i="3"/>
  <c r="BE561" i="3"/>
  <c r="BE562" i="3"/>
  <c r="BE563" i="3"/>
  <c r="BE564" i="3"/>
  <c r="BE565" i="3"/>
  <c r="BE566" i="3"/>
  <c r="BE567" i="3"/>
  <c r="BE568" i="3"/>
  <c r="BE569" i="3"/>
  <c r="BE570" i="3"/>
  <c r="BE571" i="3"/>
  <c r="BE572" i="3"/>
  <c r="BE573" i="3"/>
  <c r="BE575" i="3"/>
  <c r="BE576" i="3"/>
  <c r="BE577" i="3"/>
  <c r="BE578" i="3"/>
  <c r="BE579" i="3"/>
  <c r="BE580" i="3"/>
  <c r="BE574" i="3"/>
  <c r="BE621" i="3"/>
  <c r="BE582" i="3"/>
  <c r="BE612" i="3"/>
  <c r="BE583" i="3"/>
  <c r="BE616" i="3"/>
  <c r="BE614" i="3"/>
  <c r="BE837" i="3"/>
  <c r="BE588" i="3"/>
  <c r="BE589" i="3"/>
  <c r="BE590" i="3"/>
  <c r="BE591" i="3"/>
  <c r="BE592" i="3"/>
  <c r="BE598" i="3"/>
  <c r="BE599" i="3"/>
  <c r="BE605" i="3"/>
  <c r="BE607" i="3"/>
  <c r="BE812" i="3"/>
  <c r="BE594" i="3"/>
  <c r="BE595" i="3"/>
  <c r="BE904" i="3"/>
  <c r="BE684" i="3"/>
  <c r="BE655" i="3"/>
  <c r="BE974" i="3"/>
  <c r="BE600" i="3"/>
  <c r="BE814" i="3"/>
  <c r="BE689" i="3"/>
  <c r="BE1112" i="3"/>
  <c r="BE767" i="3"/>
  <c r="BE878" i="3"/>
  <c r="BE638" i="3"/>
  <c r="BE668" i="3"/>
  <c r="BE793" i="3"/>
  <c r="BF793" i="3"/>
  <c r="BE643" i="3"/>
  <c r="BE611" i="3"/>
  <c r="BE874" i="3"/>
  <c r="W874" i="3" s="1"/>
  <c r="BE587" i="3"/>
  <c r="BE646" i="3"/>
  <c r="BE644" i="3"/>
  <c r="BE665" i="3"/>
  <c r="BE694" i="3"/>
  <c r="BE716" i="3"/>
  <c r="BE864" i="3"/>
  <c r="BE641" i="3"/>
  <c r="BE693" i="3"/>
  <c r="BE790" i="3"/>
  <c r="BE876" i="3"/>
  <c r="BE875" i="3"/>
  <c r="BE597" i="3"/>
  <c r="BE601" i="3"/>
  <c r="BE660" i="3"/>
  <c r="BE661" i="3"/>
  <c r="BE711" i="3"/>
  <c r="BE704" i="3"/>
  <c r="BE673" i="3"/>
  <c r="BE703" i="3"/>
  <c r="BE663" i="3"/>
  <c r="BE782" i="3"/>
  <c r="BE679" i="3"/>
  <c r="BE719" i="3"/>
  <c r="BE697" i="3"/>
  <c r="BE696" i="3"/>
  <c r="BE682" i="3"/>
  <c r="BE718" i="3"/>
  <c r="BE649" i="3"/>
  <c r="BE784" i="3"/>
  <c r="BE786" i="3"/>
  <c r="BE671" i="3"/>
  <c r="BE651" i="3"/>
  <c r="BE828" i="3"/>
  <c r="BE964" i="3"/>
  <c r="BE912" i="3"/>
  <c r="BE903" i="3"/>
  <c r="BE968" i="3"/>
  <c r="BE650" i="3"/>
  <c r="BE698" i="3"/>
  <c r="BE713" i="3"/>
  <c r="BE765" i="3"/>
  <c r="BE759" i="3"/>
  <c r="BE907" i="3"/>
  <c r="BE910" i="3"/>
  <c r="BE909" i="3"/>
  <c r="BE635" i="3"/>
  <c r="BE674" i="3"/>
  <c r="BE609" i="3"/>
  <c r="BE741" i="3"/>
  <c r="BE769" i="3"/>
  <c r="BE636" i="3"/>
  <c r="BE764" i="3"/>
  <c r="BE747" i="3"/>
  <c r="BE675" i="3"/>
  <c r="BE721" i="3"/>
  <c r="BE734" i="3"/>
  <c r="BE728" i="3"/>
  <c r="BE707" i="3"/>
  <c r="BE750" i="3"/>
  <c r="BE726" i="3"/>
  <c r="BE702" i="3"/>
  <c r="BE736" i="3"/>
  <c r="H107" i="86"/>
  <c r="H106" i="86"/>
  <c r="BF591" i="3" s="1"/>
  <c r="H109" i="86"/>
  <c r="H110" i="86"/>
  <c r="BF634" i="3" s="1"/>
  <c r="H108" i="86"/>
  <c r="H105" i="86"/>
  <c r="BF215" i="3" s="1"/>
  <c r="H97" i="86"/>
  <c r="BF241" i="3" s="1"/>
  <c r="H99" i="86"/>
  <c r="BF247" i="3" s="1"/>
  <c r="H100" i="86"/>
  <c r="BF248" i="3" s="1"/>
  <c r="H104" i="86"/>
  <c r="BF245" i="3" s="1"/>
  <c r="H103" i="86"/>
  <c r="BF243" i="3" s="1"/>
  <c r="H98" i="86"/>
  <c r="BF246" i="3" s="1"/>
  <c r="H96" i="86"/>
  <c r="BF324" i="3" s="1"/>
  <c r="H95" i="86"/>
  <c r="H94" i="86"/>
  <c r="V592" i="3"/>
  <c r="V588" i="3"/>
  <c r="V574" i="3"/>
  <c r="V578" i="3"/>
  <c r="V577" i="3"/>
  <c r="V576" i="3"/>
  <c r="V575" i="3"/>
  <c r="V573" i="3"/>
  <c r="V571" i="3"/>
  <c r="V561" i="3"/>
  <c r="V560" i="3"/>
  <c r="V557" i="3"/>
  <c r="V555" i="3"/>
  <c r="V554" i="3"/>
  <c r="V550" i="3"/>
  <c r="V548" i="3"/>
  <c r="V547" i="3"/>
  <c r="V546" i="3"/>
  <c r="V536" i="3"/>
  <c r="V527" i="3"/>
  <c r="V525" i="3"/>
  <c r="V524" i="3"/>
  <c r="V522" i="3"/>
  <c r="V521" i="3"/>
  <c r="V515" i="3"/>
  <c r="V509" i="3"/>
  <c r="V508" i="3"/>
  <c r="V484" i="3"/>
  <c r="V481" i="3"/>
  <c r="V480" i="3"/>
  <c r="V477" i="3"/>
  <c r="V476" i="3"/>
  <c r="V454" i="3"/>
  <c r="V450" i="3"/>
  <c r="V449" i="3"/>
  <c r="V445" i="3"/>
  <c r="V444" i="3"/>
  <c r="V443" i="3"/>
  <c r="V439" i="3"/>
  <c r="V438" i="3"/>
  <c r="V437" i="3"/>
  <c r="V435" i="3"/>
  <c r="V434" i="3"/>
  <c r="V430" i="3"/>
  <c r="V422" i="3"/>
  <c r="V420" i="3"/>
  <c r="V405" i="3"/>
  <c r="V403" i="3"/>
  <c r="V402" i="3"/>
  <c r="V394" i="3"/>
  <c r="V393" i="3"/>
  <c r="V387" i="3"/>
  <c r="V380" i="3"/>
  <c r="V377" i="3"/>
  <c r="V374" i="3"/>
  <c r="V367" i="3"/>
  <c r="V366" i="3"/>
  <c r="V364" i="3"/>
  <c r="V363" i="3"/>
  <c r="V356" i="3"/>
  <c r="V355" i="3"/>
  <c r="V354" i="3"/>
  <c r="V353" i="3"/>
  <c r="V342" i="3"/>
  <c r="V335" i="3"/>
  <c r="V332" i="3"/>
  <c r="V329" i="3"/>
  <c r="V327" i="3"/>
  <c r="V326" i="3"/>
  <c r="V324" i="3"/>
  <c r="V322" i="3"/>
  <c r="V315" i="3"/>
  <c r="V313" i="3"/>
  <c r="V302" i="3"/>
  <c r="V300" i="3"/>
  <c r="V299" i="3"/>
  <c r="V297" i="3"/>
  <c r="V296" i="3"/>
  <c r="V295" i="3"/>
  <c r="V287" i="3"/>
  <c r="V268" i="3"/>
  <c r="V267" i="3"/>
  <c r="V262" i="3"/>
  <c r="V261" i="3"/>
  <c r="V259" i="3"/>
  <c r="V258" i="3"/>
  <c r="V257" i="3"/>
  <c r="V248" i="3"/>
  <c r="V247" i="3"/>
  <c r="V246" i="3"/>
  <c r="V245" i="3"/>
  <c r="V244" i="3"/>
  <c r="V243" i="3"/>
  <c r="V242" i="3"/>
  <c r="V241" i="3"/>
  <c r="V240" i="3"/>
  <c r="V239" i="3"/>
  <c r="V235" i="3"/>
  <c r="V233" i="3"/>
  <c r="V230" i="3"/>
  <c r="V229" i="3"/>
  <c r="V228" i="3"/>
  <c r="V222" i="3"/>
  <c r="V220" i="3"/>
  <c r="V219" i="3"/>
  <c r="V215" i="3"/>
  <c r="V213" i="3"/>
  <c r="V208" i="3"/>
  <c r="V207" i="3"/>
  <c r="V206" i="3"/>
  <c r="V205" i="3"/>
  <c r="V200" i="3"/>
  <c r="V199" i="3"/>
  <c r="V198" i="3"/>
  <c r="V197" i="3"/>
  <c r="V191" i="3"/>
  <c r="V184" i="3"/>
  <c r="V183" i="3"/>
  <c r="F182" i="3" a="1"/>
  <c r="F183" i="3" a="1"/>
  <c r="F184" i="3" a="1"/>
  <c r="F185" i="3" a="1"/>
  <c r="F186" i="3" a="1"/>
  <c r="F187" i="3" a="1"/>
  <c r="F188" i="3" a="1"/>
  <c r="F189" i="3" a="1"/>
  <c r="F190" i="3" a="1"/>
  <c r="F191" i="3" a="1"/>
  <c r="F192" i="3" a="1"/>
  <c r="F193" i="3" a="1"/>
  <c r="F194" i="3" a="1"/>
  <c r="F195" i="3" a="1"/>
  <c r="F196" i="3" a="1"/>
  <c r="F197" i="3" a="1"/>
  <c r="F198" i="3" a="1"/>
  <c r="F199" i="3" a="1"/>
  <c r="F200" i="3" a="1"/>
  <c r="F201" i="3" a="1"/>
  <c r="F202" i="3" a="1"/>
  <c r="F203" i="3" a="1"/>
  <c r="F204" i="3" a="1"/>
  <c r="F205" i="3" a="1"/>
  <c r="F206" i="3" a="1"/>
  <c r="F207" i="3" a="1"/>
  <c r="F208" i="3" a="1"/>
  <c r="F209" i="3" a="1"/>
  <c r="F210" i="3" a="1"/>
  <c r="F211" i="3" a="1"/>
  <c r="F212" i="3" a="1"/>
  <c r="F213" i="3" a="1"/>
  <c r="F214" i="3" a="1"/>
  <c r="F215" i="3" a="1"/>
  <c r="F216" i="3" a="1"/>
  <c r="F217" i="3" a="1"/>
  <c r="F218" i="3" a="1"/>
  <c r="F219" i="3" a="1"/>
  <c r="F220" i="3" a="1"/>
  <c r="F221" i="3" a="1"/>
  <c r="F222" i="3" a="1"/>
  <c r="F223" i="3" a="1"/>
  <c r="F224" i="3" a="1"/>
  <c r="F225" i="3" a="1"/>
  <c r="F226" i="3" a="1"/>
  <c r="F227" i="3" a="1"/>
  <c r="F228" i="3" a="1"/>
  <c r="F229" i="3" a="1"/>
  <c r="F230" i="3" a="1"/>
  <c r="F231" i="3" a="1"/>
  <c r="F232" i="3" a="1"/>
  <c r="F233" i="3" a="1"/>
  <c r="F234" i="3" a="1"/>
  <c r="F235" i="3" a="1"/>
  <c r="F236" i="3" a="1"/>
  <c r="F237" i="3" a="1"/>
  <c r="F238" i="3" a="1"/>
  <c r="F239" i="3" a="1"/>
  <c r="F240" i="3" a="1"/>
  <c r="F241" i="3" a="1"/>
  <c r="F242" i="3" a="1"/>
  <c r="F243" i="3" a="1"/>
  <c r="F244" i="3" a="1"/>
  <c r="F245" i="3" a="1"/>
  <c r="F246" i="3" a="1"/>
  <c r="F247" i="3" a="1"/>
  <c r="F248" i="3" a="1"/>
  <c r="F249" i="3" a="1"/>
  <c r="F250" i="3" a="1"/>
  <c r="F251" i="3" a="1"/>
  <c r="F252" i="3" a="1"/>
  <c r="F253" i="3" a="1"/>
  <c r="F254" i="3" a="1"/>
  <c r="F255" i="3" a="1"/>
  <c r="F256" i="3" a="1"/>
  <c r="F257" i="3" a="1"/>
  <c r="F258" i="3" a="1"/>
  <c r="F259" i="3" a="1"/>
  <c r="F260" i="3" a="1"/>
  <c r="F261" i="3" a="1"/>
  <c r="F262" i="3" a="1"/>
  <c r="F263" i="3" a="1"/>
  <c r="F264" i="3" a="1"/>
  <c r="F265" i="3" a="1"/>
  <c r="F266" i="3" a="1"/>
  <c r="F267" i="3" a="1"/>
  <c r="F268" i="3" a="1"/>
  <c r="F269" i="3" a="1"/>
  <c r="F270" i="3" a="1"/>
  <c r="F271" i="3" a="1"/>
  <c r="F272" i="3" a="1"/>
  <c r="F273" i="3" a="1"/>
  <c r="F274" i="3" a="1"/>
  <c r="F275" i="3" a="1"/>
  <c r="F276" i="3" a="1"/>
  <c r="F277" i="3" a="1"/>
  <c r="F278" i="3" a="1"/>
  <c r="F279" i="3" a="1"/>
  <c r="F280" i="3" a="1"/>
  <c r="F281" i="3" a="1"/>
  <c r="F282" i="3" a="1"/>
  <c r="F283" i="3" a="1"/>
  <c r="F284" i="3" a="1"/>
  <c r="F285" i="3" a="1"/>
  <c r="F286" i="3" a="1"/>
  <c r="F287" i="3" a="1"/>
  <c r="F288" i="3" a="1"/>
  <c r="F289" i="3" a="1"/>
  <c r="F290" i="3" a="1"/>
  <c r="F291" i="3" a="1"/>
  <c r="F292" i="3" a="1"/>
  <c r="F293" i="3" a="1"/>
  <c r="F294" i="3" a="1"/>
  <c r="F295" i="3" a="1"/>
  <c r="F296" i="3" a="1"/>
  <c r="F297" i="3" a="1"/>
  <c r="F298" i="3" a="1"/>
  <c r="F299" i="3" a="1"/>
  <c r="F300" i="3" a="1"/>
  <c r="F301" i="3" a="1"/>
  <c r="F302" i="3" a="1"/>
  <c r="F303" i="3" a="1"/>
  <c r="F304" i="3" a="1"/>
  <c r="F305" i="3" a="1"/>
  <c r="F306" i="3" a="1"/>
  <c r="F307" i="3" a="1"/>
  <c r="F308" i="3" a="1"/>
  <c r="F309" i="3" a="1"/>
  <c r="F310" i="3" a="1"/>
  <c r="F311" i="3" a="1"/>
  <c r="F312" i="3" a="1"/>
  <c r="F313" i="3" a="1"/>
  <c r="F314" i="3" a="1"/>
  <c r="F315" i="3" a="1"/>
  <c r="F316" i="3" a="1"/>
  <c r="F317" i="3" a="1"/>
  <c r="F318" i="3" a="1"/>
  <c r="F319" i="3" a="1"/>
  <c r="F320" i="3" a="1"/>
  <c r="F321" i="3" a="1"/>
  <c r="F322" i="3" a="1"/>
  <c r="F323" i="3" a="1"/>
  <c r="F324" i="3" a="1"/>
  <c r="F325" i="3" a="1"/>
  <c r="F326" i="3" a="1"/>
  <c r="F327" i="3" a="1"/>
  <c r="F328" i="3" a="1"/>
  <c r="F329" i="3" a="1"/>
  <c r="F330" i="3" a="1"/>
  <c r="F331" i="3" a="1"/>
  <c r="F332" i="3" a="1"/>
  <c r="F333" i="3" a="1"/>
  <c r="F334" i="3" a="1"/>
  <c r="F335" i="3" a="1"/>
  <c r="F336" i="3" a="1"/>
  <c r="F337" i="3" a="1"/>
  <c r="F338" i="3" a="1"/>
  <c r="F339" i="3" a="1"/>
  <c r="F340" i="3" a="1"/>
  <c r="F341" i="3" a="1"/>
  <c r="F342" i="3" a="1"/>
  <c r="F343" i="3" a="1"/>
  <c r="F344" i="3" a="1"/>
  <c r="F345" i="3" a="1"/>
  <c r="F346" i="3" a="1"/>
  <c r="F347" i="3" a="1"/>
  <c r="F348" i="3" a="1"/>
  <c r="F349" i="3" a="1"/>
  <c r="F350" i="3" a="1"/>
  <c r="F351" i="3" a="1"/>
  <c r="F352" i="3" a="1"/>
  <c r="F353" i="3" a="1"/>
  <c r="F354" i="3" a="1"/>
  <c r="F355" i="3" a="1"/>
  <c r="F356" i="3" a="1"/>
  <c r="F357" i="3" a="1"/>
  <c r="F358" i="3" a="1"/>
  <c r="F359" i="3" a="1"/>
  <c r="F360" i="3" a="1"/>
  <c r="F361" i="3" a="1"/>
  <c r="F362" i="3" a="1"/>
  <c r="F363" i="3" a="1"/>
  <c r="F364" i="3" a="1"/>
  <c r="F365" i="3" a="1"/>
  <c r="F366" i="3" a="1"/>
  <c r="F367" i="3" a="1"/>
  <c r="F368" i="3" a="1"/>
  <c r="F369" i="3" a="1"/>
  <c r="F370" i="3" a="1"/>
  <c r="F371" i="3" a="1"/>
  <c r="F372" i="3" a="1"/>
  <c r="F373" i="3" a="1"/>
  <c r="F374" i="3" a="1"/>
  <c r="F375" i="3" a="1"/>
  <c r="F376" i="3" a="1"/>
  <c r="F377" i="3" a="1"/>
  <c r="F378" i="3" a="1"/>
  <c r="F379" i="3" a="1"/>
  <c r="F380" i="3" a="1"/>
  <c r="F381" i="3" a="1"/>
  <c r="F382" i="3" a="1"/>
  <c r="F383" i="3" a="1"/>
  <c r="F384" i="3" a="1"/>
  <c r="F385" i="3" a="1"/>
  <c r="F386" i="3" a="1"/>
  <c r="F387" i="3" a="1"/>
  <c r="F388" i="3" a="1"/>
  <c r="F389" i="3" a="1"/>
  <c r="F390" i="3" a="1"/>
  <c r="F391" i="3" a="1"/>
  <c r="F392" i="3" a="1"/>
  <c r="F393" i="3" a="1"/>
  <c r="F394" i="3" a="1"/>
  <c r="F395" i="3" a="1"/>
  <c r="F396" i="3" a="1"/>
  <c r="F397" i="3" a="1"/>
  <c r="F398" i="3" a="1"/>
  <c r="F399" i="3" a="1"/>
  <c r="F400" i="3" a="1"/>
  <c r="F401" i="3" a="1"/>
  <c r="F402" i="3" a="1"/>
  <c r="F403" i="3" a="1"/>
  <c r="F404" i="3" a="1"/>
  <c r="F405" i="3" a="1"/>
  <c r="F406" i="3" a="1"/>
  <c r="F407" i="3" a="1"/>
  <c r="F408" i="3" a="1"/>
  <c r="F409" i="3" a="1"/>
  <c r="F410" i="3" a="1"/>
  <c r="F411" i="3" a="1"/>
  <c r="F412" i="3" a="1"/>
  <c r="F413" i="3" a="1"/>
  <c r="F414" i="3" a="1"/>
  <c r="F415" i="3" a="1"/>
  <c r="F416" i="3" a="1"/>
  <c r="F417" i="3" a="1"/>
  <c r="F418" i="3" a="1"/>
  <c r="F419" i="3" a="1"/>
  <c r="F420" i="3" a="1"/>
  <c r="F421" i="3" a="1"/>
  <c r="F422" i="3" a="1"/>
  <c r="F423" i="3" a="1"/>
  <c r="F424" i="3" a="1"/>
  <c r="F425" i="3" a="1"/>
  <c r="F426" i="3" a="1"/>
  <c r="F427" i="3" a="1"/>
  <c r="F428" i="3" a="1"/>
  <c r="F429" i="3" a="1"/>
  <c r="F430" i="3" a="1"/>
  <c r="F431" i="3" a="1"/>
  <c r="F432" i="3" a="1"/>
  <c r="F433" i="3" a="1"/>
  <c r="F434" i="3" a="1"/>
  <c r="F435" i="3" a="1"/>
  <c r="F436" i="3" a="1"/>
  <c r="F437" i="3" a="1"/>
  <c r="F438" i="3" a="1"/>
  <c r="F439" i="3" a="1"/>
  <c r="F440" i="3" a="1"/>
  <c r="F441" i="3" a="1"/>
  <c r="F442" i="3" a="1"/>
  <c r="F443" i="3" a="1"/>
  <c r="F444" i="3" a="1"/>
  <c r="F445" i="3" a="1"/>
  <c r="F446" i="3" a="1"/>
  <c r="F447" i="3" a="1"/>
  <c r="F448" i="3" a="1"/>
  <c r="F449" i="3" a="1"/>
  <c r="F450" i="3" a="1"/>
  <c r="F451" i="3" a="1"/>
  <c r="F452" i="3" a="1"/>
  <c r="F453" i="3" a="1"/>
  <c r="F454" i="3" a="1"/>
  <c r="F455" i="3" a="1"/>
  <c r="F456" i="3" a="1"/>
  <c r="F457" i="3" a="1"/>
  <c r="F458" i="3" a="1"/>
  <c r="F459" i="3" a="1"/>
  <c r="F460" i="3" a="1"/>
  <c r="F461" i="3" a="1"/>
  <c r="F462" i="3" a="1"/>
  <c r="F463" i="3" a="1"/>
  <c r="F464" i="3" a="1"/>
  <c r="F465" i="3" a="1"/>
  <c r="F466" i="3" a="1"/>
  <c r="F467" i="3" a="1"/>
  <c r="F469" i="3" a="1"/>
  <c r="F470" i="3" a="1"/>
  <c r="F471" i="3" a="1"/>
  <c r="F472" i="3" a="1"/>
  <c r="F473" i="3" a="1"/>
  <c r="F474" i="3" a="1"/>
  <c r="F475" i="3" a="1"/>
  <c r="F476" i="3" a="1"/>
  <c r="F477" i="3" a="1"/>
  <c r="F478" i="3" a="1"/>
  <c r="F479" i="3" a="1"/>
  <c r="F480" i="3" a="1"/>
  <c r="F481" i="3" a="1"/>
  <c r="F482" i="3" a="1"/>
  <c r="F483" i="3" a="1"/>
  <c r="F484" i="3" a="1"/>
  <c r="F485" i="3" a="1"/>
  <c r="F486" i="3" a="1"/>
  <c r="F487" i="3" a="1"/>
  <c r="F488" i="3" a="1"/>
  <c r="F490" i="3" a="1"/>
  <c r="F491" i="3" a="1"/>
  <c r="F492" i="3" a="1"/>
  <c r="F493" i="3" a="1"/>
  <c r="F494" i="3" a="1"/>
  <c r="F495" i="3" a="1"/>
  <c r="F496" i="3" a="1"/>
  <c r="F497" i="3" a="1"/>
  <c r="F498" i="3" a="1"/>
  <c r="F499" i="3" a="1"/>
  <c r="F500" i="3" a="1"/>
  <c r="F501" i="3" a="1"/>
  <c r="F502" i="3" a="1"/>
  <c r="F503" i="3" a="1"/>
  <c r="F504" i="3" a="1"/>
  <c r="F505" i="3" a="1"/>
  <c r="F506" i="3" a="1"/>
  <c r="F507" i="3" a="1"/>
  <c r="F508" i="3" a="1"/>
  <c r="F509" i="3" a="1"/>
  <c r="F510" i="3" a="1"/>
  <c r="F511" i="3" a="1"/>
  <c r="F512" i="3" a="1"/>
  <c r="F513" i="3" a="1"/>
  <c r="F514" i="3" a="1"/>
  <c r="F515" i="3" a="1"/>
  <c r="F516" i="3" a="1"/>
  <c r="F517" i="3" a="1"/>
  <c r="F518" i="3" a="1"/>
  <c r="F519" i="3" a="1"/>
  <c r="F520" i="3" a="1"/>
  <c r="F521" i="3" a="1"/>
  <c r="F522" i="3" a="1"/>
  <c r="F523" i="3" a="1"/>
  <c r="F524" i="3" a="1"/>
  <c r="F525" i="3" a="1"/>
  <c r="F526" i="3" a="1"/>
  <c r="F527" i="3" a="1"/>
  <c r="F528" i="3" a="1"/>
  <c r="F529" i="3" a="1"/>
  <c r="F530" i="3" a="1"/>
  <c r="F531" i="3" a="1"/>
  <c r="F532" i="3" a="1"/>
  <c r="F533" i="3" a="1"/>
  <c r="F534" i="3" a="1"/>
  <c r="F535" i="3" a="1"/>
  <c r="F536" i="3" a="1"/>
  <c r="F537" i="3" a="1"/>
  <c r="F539" i="3" a="1"/>
  <c r="F540" i="3" a="1"/>
  <c r="F541" i="3" a="1"/>
  <c r="F542" i="3" a="1"/>
  <c r="F544" i="3" a="1"/>
  <c r="F546" i="3" a="1"/>
  <c r="F547" i="3" a="1"/>
  <c r="F548" i="3" a="1"/>
  <c r="F549" i="3" a="1"/>
  <c r="F550" i="3" a="1"/>
  <c r="F551" i="3" a="1"/>
  <c r="F552" i="3" a="1"/>
  <c r="F553" i="3" a="1"/>
  <c r="F554" i="3" a="1"/>
  <c r="F555" i="3" a="1"/>
  <c r="F556" i="3" a="1"/>
  <c r="F557" i="3" a="1"/>
  <c r="F558" i="3" a="1"/>
  <c r="F559" i="3" a="1"/>
  <c r="F560" i="3" a="1"/>
  <c r="F561" i="3" a="1"/>
  <c r="F562" i="3" a="1"/>
  <c r="F563" i="3" a="1"/>
  <c r="F564" i="3" a="1"/>
  <c r="F565" i="3" a="1"/>
  <c r="F566" i="3" a="1"/>
  <c r="F567" i="3" a="1"/>
  <c r="F568" i="3" a="1"/>
  <c r="F569" i="3" a="1"/>
  <c r="F570" i="3" a="1"/>
  <c r="F571" i="3" a="1"/>
  <c r="F572" i="3" a="1"/>
  <c r="F573" i="3" a="1"/>
  <c r="F575" i="3" a="1"/>
  <c r="F576" i="3" a="1"/>
  <c r="F577" i="3" a="1"/>
  <c r="F578" i="3" a="1"/>
  <c r="F579" i="3" a="1"/>
  <c r="F580" i="3" a="1"/>
  <c r="F574" i="3" a="1"/>
  <c r="F621" i="3" a="1"/>
  <c r="F582" i="3" a="1"/>
  <c r="F612" i="3" a="1"/>
  <c r="F583" i="3" a="1"/>
  <c r="F616" i="3" a="1"/>
  <c r="F614" i="3" a="1"/>
  <c r="F588" i="3" a="1"/>
  <c r="F589" i="3" a="1"/>
  <c r="F590" i="3" a="1"/>
  <c r="F591" i="3" a="1"/>
  <c r="F592" i="3" a="1"/>
  <c r="F598" i="3" a="1"/>
  <c r="F599" i="3" a="1"/>
  <c r="F605" i="3" a="1"/>
  <c r="F607" i="3" a="1"/>
  <c r="F812" i="3" a="1"/>
  <c r="F594" i="3" a="1"/>
  <c r="F595" i="3" a="1"/>
  <c r="F904" i="3" a="1"/>
  <c r="F684" i="3" a="1"/>
  <c r="F655" i="3" a="1"/>
  <c r="F974" i="3" a="1"/>
  <c r="F600" i="3" a="1"/>
  <c r="F814" i="3" a="1"/>
  <c r="F689" i="3" a="1"/>
  <c r="F1112" i="3" a="1"/>
  <c r="F767" i="3" a="1"/>
  <c r="F638" i="3" a="1"/>
  <c r="F668" i="3" a="1"/>
  <c r="F793" i="3" a="1"/>
  <c r="F643" i="3" a="1"/>
  <c r="F611" i="3" a="1"/>
  <c r="F874" i="3" a="1"/>
  <c r="F587" i="3" a="1"/>
  <c r="F646" i="3" a="1"/>
  <c r="F644" i="3" a="1"/>
  <c r="F665" i="3" a="1"/>
  <c r="F694" i="3" a="1"/>
  <c r="F716" i="3" a="1"/>
  <c r="F864" i="3" a="1"/>
  <c r="F641" i="3" a="1"/>
  <c r="F693" i="3" a="1"/>
  <c r="F790" i="3" a="1"/>
  <c r="F876" i="3" a="1"/>
  <c r="F875" i="3" a="1"/>
  <c r="F597" i="3" a="1"/>
  <c r="F601" i="3" a="1"/>
  <c r="F660" i="3" a="1"/>
  <c r="F661" i="3" a="1"/>
  <c r="F711" i="3" a="1"/>
  <c r="F704" i="3" a="1"/>
  <c r="F673" i="3" a="1"/>
  <c r="F703" i="3" a="1"/>
  <c r="F663" i="3" a="1"/>
  <c r="F782" i="3" a="1"/>
  <c r="F679" i="3" a="1"/>
  <c r="F719" i="3" a="1"/>
  <c r="F697" i="3" a="1"/>
  <c r="F696" i="3" a="1"/>
  <c r="F682" i="3" a="1"/>
  <c r="F718" i="3" a="1"/>
  <c r="F649" i="3" a="1"/>
  <c r="F784" i="3" a="1"/>
  <c r="F786" i="3" a="1"/>
  <c r="F671" i="3" a="1"/>
  <c r="F651" i="3" a="1"/>
  <c r="F828" i="3" a="1"/>
  <c r="F964" i="3" a="1"/>
  <c r="F912" i="3" a="1"/>
  <c r="F903" i="3" a="1"/>
  <c r="F650" i="3" a="1"/>
  <c r="F698" i="3" a="1"/>
  <c r="F713" i="3" a="1"/>
  <c r="F765" i="3" a="1"/>
  <c r="F759" i="3" a="1"/>
  <c r="F907" i="3" a="1"/>
  <c r="F910" i="3" a="1"/>
  <c r="F909" i="3" a="1"/>
  <c r="F635" i="3" a="1"/>
  <c r="F674" i="3" a="1"/>
  <c r="F609" i="3" a="1"/>
  <c r="F741" i="3" a="1"/>
  <c r="F636" i="3" a="1"/>
  <c r="F764" i="3" a="1"/>
  <c r="F747" i="3" a="1"/>
  <c r="F675" i="3" a="1"/>
  <c r="F721" i="3" a="1"/>
  <c r="F734" i="3" a="1"/>
  <c r="F728" i="3" a="1"/>
  <c r="F707" i="3" a="1"/>
  <c r="F750" i="3" a="1"/>
  <c r="F726" i="3" a="1"/>
  <c r="F736" i="3" a="1"/>
  <c r="F1260" i="3" a="1"/>
  <c r="F1261" i="3" a="1"/>
  <c r="AC587" i="3"/>
  <c r="V646" i="3"/>
  <c r="AC1239" i="3"/>
  <c r="AC1240" i="3"/>
  <c r="AC1242" i="3"/>
  <c r="V674" i="3"/>
  <c r="V635" i="3"/>
  <c r="V661" i="3"/>
  <c r="AC565" i="3"/>
  <c r="AC674" i="3"/>
  <c r="AC575" i="3"/>
  <c r="AC578" i="3"/>
  <c r="AA80" i="70"/>
  <c r="U80" i="70"/>
  <c r="C80" i="70"/>
  <c r="AA79" i="70"/>
  <c r="U79" i="70"/>
  <c r="C79" i="70"/>
  <c r="AC910" i="3"/>
  <c r="AC907" i="3"/>
  <c r="AC759" i="3"/>
  <c r="AC909" i="3"/>
  <c r="AC644" i="3"/>
  <c r="AC912" i="3"/>
  <c r="AC903" i="3"/>
  <c r="AC964" i="3"/>
  <c r="AC765" i="3"/>
  <c r="AC713" i="3"/>
  <c r="AC698" i="3"/>
  <c r="AC650" i="3"/>
  <c r="AC611" i="3"/>
  <c r="AC721" i="3"/>
  <c r="AC675" i="3"/>
  <c r="AC747" i="3"/>
  <c r="AC764" i="3"/>
  <c r="AC636" i="3"/>
  <c r="AC635" i="3"/>
  <c r="AC769" i="3"/>
  <c r="AC741" i="3"/>
  <c r="V747" i="3"/>
  <c r="V759" i="3"/>
  <c r="V689" i="3"/>
  <c r="AC726" i="3"/>
  <c r="AC702" i="3"/>
  <c r="AC736" i="3"/>
  <c r="AC750" i="3"/>
  <c r="AC728" i="3"/>
  <c r="AC707" i="3"/>
  <c r="AC734" i="3"/>
  <c r="AC828" i="3"/>
  <c r="AC651" i="3"/>
  <c r="AC671" i="3"/>
  <c r="AC786" i="3"/>
  <c r="AC784" i="3"/>
  <c r="AC718" i="3"/>
  <c r="AC649" i="3"/>
  <c r="V651" i="3"/>
  <c r="V702" i="3"/>
  <c r="V734" i="3"/>
  <c r="AC696" i="3"/>
  <c r="AC697" i="3"/>
  <c r="AC682" i="3"/>
  <c r="AC719" i="3"/>
  <c r="AC679" i="3"/>
  <c r="AC703" i="3"/>
  <c r="AC673" i="3"/>
  <c r="AC592" i="3"/>
  <c r="AC559" i="3"/>
  <c r="AC560" i="3"/>
  <c r="AC561" i="3"/>
  <c r="AC562" i="3"/>
  <c r="AC609" i="3"/>
  <c r="V609" i="3"/>
  <c r="V679" i="3"/>
  <c r="V673" i="3"/>
  <c r="AC557" i="3"/>
  <c r="U99" i="70"/>
  <c r="AS99" i="70"/>
  <c r="AA99" i="70"/>
  <c r="C99" i="70"/>
  <c r="AA78" i="70"/>
  <c r="U78" i="70"/>
  <c r="C78" i="70"/>
  <c r="AA74" i="70"/>
  <c r="U74" i="70"/>
  <c r="C74" i="70"/>
  <c r="AA76" i="70"/>
  <c r="U76" i="70"/>
  <c r="C76" i="70"/>
  <c r="AA83" i="70"/>
  <c r="U83" i="70"/>
  <c r="C83" i="70"/>
  <c r="AC782" i="3"/>
  <c r="AC663" i="3"/>
  <c r="AC1256" i="3"/>
  <c r="AC1257" i="3"/>
  <c r="AC1258" i="3"/>
  <c r="AC1259" i="3"/>
  <c r="AC1260" i="3"/>
  <c r="AC1261" i="3"/>
  <c r="AC968" i="3"/>
  <c r="AC1254" i="3"/>
  <c r="AC1255" i="3"/>
  <c r="AC1251" i="3"/>
  <c r="AC1252" i="3"/>
  <c r="AC1253" i="3"/>
  <c r="AC1250" i="3"/>
  <c r="AC1249" i="3"/>
  <c r="U93" i="70"/>
  <c r="AS93" i="70"/>
  <c r="AA93" i="70"/>
  <c r="C93" i="70"/>
  <c r="U91" i="70"/>
  <c r="U92" i="70"/>
  <c r="U90" i="70"/>
  <c r="AS90" i="70"/>
  <c r="AA90" i="70"/>
  <c r="C90" i="70"/>
  <c r="AS91" i="70"/>
  <c r="AA91" i="70"/>
  <c r="C91" i="70"/>
  <c r="AS92" i="70"/>
  <c r="AA92" i="70"/>
  <c r="C92" i="70"/>
  <c r="AC555" i="3"/>
  <c r="AC566" i="3"/>
  <c r="AC513" i="3"/>
  <c r="AC418" i="3"/>
  <c r="AC417" i="3"/>
  <c r="AC661" i="3"/>
  <c r="AC605" i="3"/>
  <c r="AC540" i="3"/>
  <c r="AC541" i="3"/>
  <c r="AC543" i="3"/>
  <c r="AC537" i="3"/>
  <c r="AC607" i="3"/>
  <c r="V607" i="3"/>
  <c r="AC601" i="3"/>
  <c r="AC711" i="3"/>
  <c r="AC660" i="3"/>
  <c r="AC597" i="3"/>
  <c r="AC814" i="3"/>
  <c r="AC572" i="3"/>
  <c r="AC594" i="3"/>
  <c r="AC595" i="3"/>
  <c r="AC875" i="3"/>
  <c r="AC876" i="3"/>
  <c r="AC790" i="3"/>
  <c r="AC693" i="3"/>
  <c r="AC641" i="3"/>
  <c r="AC668" i="3"/>
  <c r="AC864" i="3"/>
  <c r="AC716" i="3"/>
  <c r="AC694" i="3"/>
  <c r="AC665" i="3"/>
  <c r="AC638" i="3"/>
  <c r="AC643" i="3"/>
  <c r="AC878" i="3"/>
  <c r="AC542" i="3"/>
  <c r="AC793" i="3"/>
  <c r="AC767" i="3"/>
  <c r="U85" i="70"/>
  <c r="U84" i="70"/>
  <c r="C84" i="70"/>
  <c r="C85" i="70"/>
  <c r="U82" i="70"/>
  <c r="AA82" i="70"/>
  <c r="C82" i="70"/>
  <c r="V641" i="3"/>
  <c r="V643" i="3"/>
  <c r="V694" i="3"/>
  <c r="V693" i="3"/>
  <c r="AC536" i="3"/>
  <c r="AC563" i="3"/>
  <c r="AC526" i="3"/>
  <c r="AC496" i="3"/>
  <c r="AC531" i="3"/>
  <c r="AC550" i="3"/>
  <c r="AC573" i="3"/>
  <c r="AC564" i="3"/>
  <c r="AC551" i="3"/>
  <c r="AC522" i="3"/>
  <c r="AC591" i="3"/>
  <c r="AC515" i="3"/>
  <c r="AC655" i="3"/>
  <c r="AC904" i="3"/>
  <c r="AC684" i="3"/>
  <c r="AC599" i="3"/>
  <c r="AC974" i="3"/>
  <c r="AC576" i="3"/>
  <c r="AC1246" i="3"/>
  <c r="AC1230" i="3"/>
  <c r="AC546" i="3"/>
  <c r="AC646" i="3"/>
  <c r="AC874" i="3"/>
  <c r="AC525" i="3"/>
  <c r="AC517" i="3"/>
  <c r="AC509" i="3"/>
  <c r="AC579" i="3"/>
  <c r="AC432" i="3"/>
  <c r="AC580" i="3"/>
  <c r="AC689" i="3"/>
  <c r="R66" i="70"/>
  <c r="U66" i="70" s="1"/>
  <c r="U67" i="70"/>
  <c r="AS66" i="70"/>
  <c r="AA66" i="70"/>
  <c r="C66" i="70"/>
  <c r="AS67" i="70"/>
  <c r="AA67" i="70"/>
  <c r="C67" i="70"/>
  <c r="AC524" i="3"/>
  <c r="AC527" i="3"/>
  <c r="AC547" i="3"/>
  <c r="AC574" i="3"/>
  <c r="AC621" i="3"/>
  <c r="AC556" i="3"/>
  <c r="AC567" i="3"/>
  <c r="AC569" i="3"/>
  <c r="AC837" i="3"/>
  <c r="AC616" i="3"/>
  <c r="AC614" i="3"/>
  <c r="AC1228" i="3"/>
  <c r="AC583" i="3"/>
  <c r="AC539" i="3"/>
  <c r="U122" i="70"/>
  <c r="U119" i="70"/>
  <c r="U107" i="70"/>
  <c r="U113" i="70"/>
  <c r="U115" i="70"/>
  <c r="U106" i="70"/>
  <c r="C115" i="70"/>
  <c r="AA115" i="70"/>
  <c r="AS115" i="70"/>
  <c r="C119" i="70"/>
  <c r="AA119" i="70"/>
  <c r="AS119" i="70"/>
  <c r="C114" i="70"/>
  <c r="AA114" i="70"/>
  <c r="AS114" i="70"/>
  <c r="C107" i="70"/>
  <c r="AA107" i="70"/>
  <c r="AS107" i="70"/>
  <c r="C113" i="70"/>
  <c r="AA113" i="70"/>
  <c r="AS113" i="70"/>
  <c r="C106" i="70"/>
  <c r="AA106" i="70"/>
  <c r="AS106" i="70"/>
  <c r="C122" i="70"/>
  <c r="AA122" i="70"/>
  <c r="AS122" i="70"/>
  <c r="AC506" i="3"/>
  <c r="AC504" i="3"/>
  <c r="AC427" i="3"/>
  <c r="AC535" i="3"/>
  <c r="AC612" i="3"/>
  <c r="AC544" i="3"/>
  <c r="AC538" i="3"/>
  <c r="AC250" i="3"/>
  <c r="AC251" i="3"/>
  <c r="AC253" i="3"/>
  <c r="AC600" i="3"/>
  <c r="AC554" i="3"/>
  <c r="AS52" i="70"/>
  <c r="AA52" i="70"/>
  <c r="C52" i="70"/>
  <c r="C53" i="70"/>
  <c r="AA53" i="70"/>
  <c r="AS53" i="70"/>
  <c r="AC589" i="3"/>
  <c r="AC590" i="3"/>
  <c r="AC568" i="3"/>
  <c r="AC588" i="3"/>
  <c r="AC553" i="3"/>
  <c r="AC534" i="3"/>
  <c r="AC582" i="3"/>
  <c r="AC511" i="3"/>
  <c r="AC494" i="3"/>
  <c r="AC469" i="3"/>
  <c r="AC502" i="3"/>
  <c r="AC503" i="3"/>
  <c r="AC500" i="3"/>
  <c r="AC505" i="3"/>
  <c r="AC499" i="3"/>
  <c r="AC501" i="3"/>
  <c r="AC467" i="3"/>
  <c r="AC1229" i="3"/>
  <c r="AC497" i="3"/>
  <c r="AC479" i="3"/>
  <c r="AC490" i="3"/>
  <c r="AC1244" i="3"/>
  <c r="AC1112" i="3"/>
  <c r="AC1245" i="3"/>
  <c r="AC1243" i="3"/>
  <c r="AA81" i="70"/>
  <c r="U81" i="70"/>
  <c r="C81" i="70"/>
  <c r="AA77" i="70"/>
  <c r="U77" i="70"/>
  <c r="C77" i="70"/>
  <c r="U73" i="70"/>
  <c r="C73" i="70"/>
  <c r="AS70" i="70"/>
  <c r="AA70" i="70"/>
  <c r="U70" i="70"/>
  <c r="C70" i="70"/>
  <c r="AS63" i="70"/>
  <c r="AA63" i="70"/>
  <c r="U63" i="70"/>
  <c r="C63" i="70"/>
  <c r="AS59" i="70"/>
  <c r="AA59" i="70"/>
  <c r="U59" i="70"/>
  <c r="C59" i="70"/>
  <c r="AC528" i="3"/>
  <c r="AS51" i="70"/>
  <c r="AA51" i="70"/>
  <c r="C51" i="70"/>
  <c r="AC447" i="3"/>
  <c r="AC252" i="3"/>
  <c r="AC249" i="3"/>
  <c r="AC276" i="3"/>
  <c r="AC277" i="3"/>
  <c r="AA58" i="70"/>
  <c r="AC532" i="3"/>
  <c r="AC508" i="3"/>
  <c r="AC473" i="3"/>
  <c r="AC470" i="3"/>
  <c r="AC533" i="3"/>
  <c r="AC507" i="3"/>
  <c r="AC472" i="3"/>
  <c r="AC471" i="3"/>
  <c r="U98" i="70"/>
  <c r="U96" i="70"/>
  <c r="U97" i="70"/>
  <c r="U95" i="70"/>
  <c r="U94" i="70"/>
  <c r="C97" i="70"/>
  <c r="AA97" i="70"/>
  <c r="AS97" i="70"/>
  <c r="C95" i="70"/>
  <c r="AA95" i="70"/>
  <c r="AS95" i="70"/>
  <c r="C94" i="70"/>
  <c r="AA94" i="70"/>
  <c r="AS94" i="70"/>
  <c r="C96" i="70"/>
  <c r="AA96" i="70"/>
  <c r="AS96" i="70"/>
  <c r="C98" i="70"/>
  <c r="AA98" i="70"/>
  <c r="AS98" i="70"/>
  <c r="AC478" i="3"/>
  <c r="AC523" i="3"/>
  <c r="AC520" i="3"/>
  <c r="AC480" i="3"/>
  <c r="AC519" i="3"/>
  <c r="AC552" i="3"/>
  <c r="AC516" i="3"/>
  <c r="AC514" i="3"/>
  <c r="AC518" i="3"/>
  <c r="AC510" i="3"/>
  <c r="AC495" i="3"/>
  <c r="AC521" i="3"/>
  <c r="AC512" i="3"/>
  <c r="AC530" i="3"/>
  <c r="AC548" i="3"/>
  <c r="AC498" i="3"/>
  <c r="AC570" i="3"/>
  <c r="AC545" i="3"/>
  <c r="AC549" i="3"/>
  <c r="AC483" i="3"/>
  <c r="AC484" i="3"/>
  <c r="AC529" i="3"/>
  <c r="AC224" i="3"/>
  <c r="AC558" i="3"/>
  <c r="AC492" i="3"/>
  <c r="C34" i="47"/>
  <c r="AW848" i="3" s="1" a="1"/>
  <c r="C27" i="47"/>
  <c r="AC486" i="3"/>
  <c r="AC464" i="3"/>
  <c r="AC454" i="3"/>
  <c r="AC448" i="3"/>
  <c r="AC477" i="3"/>
  <c r="AC482" i="3"/>
  <c r="AC1232" i="3"/>
  <c r="AC1233" i="3"/>
  <c r="AC1234" i="3"/>
  <c r="AC1235" i="3"/>
  <c r="AC487" i="3"/>
  <c r="AC491" i="3"/>
  <c r="AC488" i="3"/>
  <c r="AC1237" i="3"/>
  <c r="AC465" i="3"/>
  <c r="AC1238" i="3"/>
  <c r="AC451" i="3"/>
  <c r="AC453" i="3"/>
  <c r="AC1231" i="3"/>
  <c r="AC493" i="3"/>
  <c r="AC598" i="3"/>
  <c r="AC812" i="3"/>
  <c r="AC475" i="3"/>
  <c r="AC445" i="3"/>
  <c r="AC450" i="3"/>
  <c r="AC449" i="3"/>
  <c r="AC439" i="3"/>
  <c r="AC438" i="3"/>
  <c r="AC435" i="3"/>
  <c r="AC434" i="3"/>
  <c r="AC433" i="3"/>
  <c r="AC437" i="3"/>
  <c r="AC436" i="3"/>
  <c r="U89" i="70"/>
  <c r="U75" i="70"/>
  <c r="C89" i="70"/>
  <c r="C75" i="70"/>
  <c r="C86" i="70"/>
  <c r="AA86" i="70"/>
  <c r="AA75" i="70"/>
  <c r="AC426" i="3"/>
  <c r="AC428" i="3"/>
  <c r="AC429" i="3"/>
  <c r="AC466" i="3"/>
  <c r="AC444" i="3"/>
  <c r="AC442" i="3"/>
  <c r="AC419" i="3"/>
  <c r="AC425" i="3"/>
  <c r="AC423" i="3"/>
  <c r="AC422" i="3"/>
  <c r="AC405" i="3"/>
  <c r="AC441" i="3"/>
  <c r="AC452" i="3"/>
  <c r="AC446" i="3"/>
  <c r="AC485" i="3"/>
  <c r="AC476" i="3"/>
  <c r="AC474" i="3"/>
  <c r="AC481" i="3"/>
  <c r="AC420" i="3"/>
  <c r="AC413" i="3"/>
  <c r="AC409" i="3"/>
  <c r="AC404" i="3"/>
  <c r="AC403" i="3"/>
  <c r="AC407" i="3"/>
  <c r="AC408" i="3"/>
  <c r="AC401" i="3"/>
  <c r="AC430" i="3"/>
  <c r="AC431" i="3"/>
  <c r="AC415" i="3"/>
  <c r="AC410" i="3"/>
  <c r="AC411" i="3"/>
  <c r="AC412" i="3"/>
  <c r="AC393" i="3"/>
  <c r="AC394" i="3"/>
  <c r="AC398" i="3"/>
  <c r="AC395" i="3"/>
  <c r="AC396" i="3"/>
  <c r="AC399" i="3"/>
  <c r="AC402" i="3"/>
  <c r="AC397" i="3"/>
  <c r="AC379" i="3"/>
  <c r="AC389" i="3"/>
  <c r="AC349" i="3"/>
  <c r="AC463" i="3"/>
  <c r="AC460" i="3"/>
  <c r="AC459" i="3"/>
  <c r="AC458" i="3"/>
  <c r="AC318" i="3"/>
  <c r="AC375" i="3"/>
  <c r="AC457" i="3"/>
  <c r="AC455" i="3"/>
  <c r="U69" i="70"/>
  <c r="U68" i="70"/>
  <c r="U61" i="70"/>
  <c r="U62" i="70"/>
  <c r="U64" i="70"/>
  <c r="U60" i="70"/>
  <c r="U72" i="70"/>
  <c r="U71" i="70"/>
  <c r="AS65" i="70"/>
  <c r="AA65" i="70"/>
  <c r="C65" i="70"/>
  <c r="AS71" i="70"/>
  <c r="AA71" i="70"/>
  <c r="C71" i="70"/>
  <c r="AS72" i="70"/>
  <c r="AA72" i="70"/>
  <c r="C72" i="70"/>
  <c r="AS68" i="70"/>
  <c r="AA68" i="70"/>
  <c r="C68" i="70"/>
  <c r="AS69" i="70"/>
  <c r="AA69" i="70"/>
  <c r="C69" i="70"/>
  <c r="AS61" i="70"/>
  <c r="AA61" i="70"/>
  <c r="C61" i="70"/>
  <c r="AS62" i="70"/>
  <c r="AA62" i="70"/>
  <c r="C62" i="70"/>
  <c r="AC443" i="3"/>
  <c r="AC424" i="3"/>
  <c r="AC462" i="3"/>
  <c r="AC414" i="3"/>
  <c r="AC461" i="3"/>
  <c r="AC456" i="3"/>
  <c r="AC440" i="3"/>
  <c r="AC345" i="3"/>
  <c r="AC346" i="3"/>
  <c r="AC341" i="3"/>
  <c r="AC364" i="3"/>
  <c r="AC337" i="3"/>
  <c r="AC377" i="3"/>
  <c r="E8" i="47"/>
  <c r="E11" i="47"/>
  <c r="E17" i="47"/>
  <c r="E23" i="47"/>
  <c r="E20" i="47"/>
  <c r="E41" i="47"/>
  <c r="E43" i="47"/>
  <c r="E14" i="47"/>
  <c r="AC315" i="3"/>
  <c r="AC331" i="3"/>
  <c r="AF64" i="66"/>
  <c r="AF65" i="66"/>
  <c r="J64" i="66"/>
  <c r="J65" i="66"/>
  <c r="J17" i="47"/>
  <c r="J11" i="47"/>
  <c r="AC367" i="3"/>
  <c r="AC376" i="3"/>
  <c r="J23" i="47"/>
  <c r="AC338" i="3"/>
  <c r="AC334" i="3"/>
  <c r="C50" i="70"/>
  <c r="AA50" i="70"/>
  <c r="AS50" i="70"/>
  <c r="AC385" i="3"/>
  <c r="AC360" i="3"/>
  <c r="AC351" i="3"/>
  <c r="AC400" i="3"/>
  <c r="AC291" i="3"/>
  <c r="AC372" i="3"/>
  <c r="AC378" i="3"/>
  <c r="AC371" i="3"/>
  <c r="AC369" i="3"/>
  <c r="AC368" i="3"/>
  <c r="C58" i="70"/>
  <c r="AC299" i="3"/>
  <c r="AC327" i="3"/>
  <c r="AC342" i="3"/>
  <c r="AC325" i="3"/>
  <c r="AC326" i="3"/>
  <c r="AC324" i="3"/>
  <c r="AC286" i="3"/>
  <c r="AC287" i="3"/>
  <c r="AC288" i="3"/>
  <c r="AC290" i="3"/>
  <c r="AC285" i="3"/>
  <c r="AC284" i="3"/>
  <c r="U54" i="70"/>
  <c r="U55" i="70"/>
  <c r="U56" i="70"/>
  <c r="U57" i="70"/>
  <c r="AS54" i="70"/>
  <c r="AA54" i="70"/>
  <c r="C54" i="70"/>
  <c r="AS55" i="70"/>
  <c r="AA55" i="70"/>
  <c r="C55" i="70"/>
  <c r="AS56" i="70"/>
  <c r="AA56" i="70"/>
  <c r="C56" i="70"/>
  <c r="AS57" i="70"/>
  <c r="AA57" i="70"/>
  <c r="C57" i="70"/>
  <c r="AS58" i="70"/>
  <c r="AC308" i="3"/>
  <c r="AC361" i="3"/>
  <c r="AC309" i="3"/>
  <c r="AC310" i="3"/>
  <c r="AC357" i="3"/>
  <c r="AC353" i="3"/>
  <c r="AC356" i="3"/>
  <c r="AC300" i="3"/>
  <c r="AC301" i="3"/>
  <c r="AC293" i="3"/>
  <c r="AC256" i="3"/>
  <c r="AC255" i="3"/>
  <c r="AC254" i="3"/>
  <c r="AC275" i="3"/>
  <c r="AC248" i="3"/>
  <c r="AC247" i="3"/>
  <c r="AC246" i="3"/>
  <c r="AC245" i="3"/>
  <c r="AC244" i="3"/>
  <c r="AC243" i="3"/>
  <c r="AC242" i="3"/>
  <c r="AC241" i="3"/>
  <c r="AC240" i="3"/>
  <c r="AC239" i="3"/>
  <c r="AC238" i="3"/>
  <c r="AC237" i="3"/>
  <c r="AC236" i="3"/>
  <c r="AC416" i="3"/>
  <c r="AC370" i="3"/>
  <c r="AC261" i="3"/>
  <c r="AC264" i="3"/>
  <c r="AC355" i="3"/>
  <c r="AC354" i="3"/>
  <c r="AC352" i="3"/>
  <c r="AC262" i="3"/>
  <c r="O56" i="66"/>
  <c r="AC1248" i="3"/>
  <c r="AC373" i="3"/>
  <c r="AC265" i="3"/>
  <c r="AC304" i="3"/>
  <c r="AC303" i="3"/>
  <c r="AC263" i="3"/>
  <c r="AC228" i="3"/>
  <c r="AC233" i="3"/>
  <c r="AC380" i="3"/>
  <c r="AC313" i="3"/>
  <c r="AC366" i="3"/>
  <c r="AC314" i="3"/>
  <c r="AC365" i="3"/>
  <c r="AC363" i="3"/>
  <c r="AC374" i="3"/>
  <c r="AC294" i="3"/>
  <c r="AC339" i="3"/>
  <c r="AC317" i="3"/>
  <c r="AC359" i="3"/>
  <c r="AC333" i="3"/>
  <c r="AC312" i="3"/>
  <c r="AC307" i="3"/>
  <c r="AC362" i="3"/>
  <c r="AC306" i="3"/>
  <c r="AC311" i="3"/>
  <c r="AC322" i="3"/>
  <c r="AC386" i="3"/>
  <c r="AC323" i="3"/>
  <c r="AC392" i="3"/>
  <c r="AC319" i="3"/>
  <c r="AC321" i="3"/>
  <c r="AC273" i="3"/>
  <c r="AC274" i="3"/>
  <c r="AC391" i="3"/>
  <c r="AC320" i="3"/>
  <c r="AC292" i="3"/>
  <c r="AC348" i="3"/>
  <c r="AC383" i="3"/>
  <c r="AC381" i="3"/>
  <c r="AC260" i="3"/>
  <c r="AC384" i="3"/>
  <c r="AC347" i="3"/>
  <c r="AC302" i="3"/>
  <c r="AC259" i="3"/>
  <c r="AC336" i="3"/>
  <c r="AC343" i="3"/>
  <c r="AC296" i="3"/>
  <c r="AC350" i="3"/>
  <c r="AC266" i="3"/>
  <c r="AC298" i="3"/>
  <c r="AC305" i="3"/>
  <c r="AC406" i="3"/>
  <c r="R20" i="70"/>
  <c r="U20" i="70" s="1"/>
  <c r="AC278" i="3"/>
  <c r="AC212" i="3"/>
  <c r="AC213" i="3"/>
  <c r="AC216" i="3"/>
  <c r="AC217" i="3"/>
  <c r="AC202" i="3"/>
  <c r="U34" i="70"/>
  <c r="U35" i="70"/>
  <c r="U36" i="70"/>
  <c r="U37" i="70"/>
  <c r="U38" i="70"/>
  <c r="U39" i="70"/>
  <c r="U40" i="70"/>
  <c r="U41" i="70"/>
  <c r="U42" i="70"/>
  <c r="U43" i="70"/>
  <c r="U44" i="70"/>
  <c r="U45" i="70"/>
  <c r="U46" i="70"/>
  <c r="U47" i="70"/>
  <c r="U48" i="70"/>
  <c r="U49" i="70"/>
  <c r="U33" i="70"/>
  <c r="U32" i="70"/>
  <c r="U31" i="70"/>
  <c r="U29" i="70"/>
  <c r="U30" i="70"/>
  <c r="AC332" i="3"/>
  <c r="AC258" i="3"/>
  <c r="AC227" i="3"/>
  <c r="AC226" i="3"/>
  <c r="AC268" i="3"/>
  <c r="AC267" i="3"/>
  <c r="AC340" i="3"/>
  <c r="AC297" i="3"/>
  <c r="AC1247" i="3"/>
  <c r="AC344" i="3"/>
  <c r="AC358" i="3"/>
  <c r="AC421" i="3"/>
  <c r="AC316" i="3"/>
  <c r="AC272" i="3"/>
  <c r="AC390" i="3"/>
  <c r="AC388" i="3"/>
  <c r="AC387" i="3"/>
  <c r="AC335" i="3"/>
  <c r="AC330" i="3"/>
  <c r="AC329" i="3"/>
  <c r="AC328" i="3"/>
  <c r="AC269" i="3"/>
  <c r="AC271" i="3"/>
  <c r="AC270" i="3"/>
  <c r="AC295" i="3"/>
  <c r="AC283" i="3"/>
  <c r="AC282" i="3"/>
  <c r="AC279" i="3"/>
  <c r="AC225" i="3"/>
  <c r="AC229" i="3"/>
  <c r="AC235" i="3"/>
  <c r="AC280" i="3"/>
  <c r="AC281" i="3"/>
  <c r="AC257" i="3"/>
  <c r="AC234" i="3"/>
  <c r="AC232" i="3"/>
  <c r="AC231" i="3"/>
  <c r="AC223" i="3"/>
  <c r="AC222" i="3"/>
  <c r="AC221" i="3"/>
  <c r="AC220" i="3"/>
  <c r="AC219" i="3"/>
  <c r="AC218" i="3"/>
  <c r="AC215" i="3"/>
  <c r="AC214" i="3"/>
  <c r="AC211" i="3"/>
  <c r="AC210" i="3"/>
  <c r="AC209" i="3"/>
  <c r="AC208" i="3"/>
  <c r="AC207" i="3"/>
  <c r="AC206" i="3"/>
  <c r="AC205" i="3"/>
  <c r="AC204" i="3"/>
  <c r="AC203" i="3"/>
  <c r="AC201" i="3"/>
  <c r="AC200" i="3"/>
  <c r="AC199" i="3"/>
  <c r="AC198" i="3"/>
  <c r="AC197" i="3"/>
  <c r="AC230" i="3"/>
  <c r="AC196" i="3"/>
  <c r="AC195" i="3"/>
  <c r="AC194" i="3"/>
  <c r="AC193" i="3"/>
  <c r="AC192" i="3"/>
  <c r="AC191" i="3"/>
  <c r="AC190" i="3"/>
  <c r="AC189" i="3"/>
  <c r="AC188" i="3"/>
  <c r="AC187" i="3"/>
  <c r="AC186" i="3"/>
  <c r="AC185" i="3"/>
  <c r="AC184" i="3"/>
  <c r="AC183" i="3"/>
  <c r="AC182" i="3"/>
  <c r="R28" i="70"/>
  <c r="U28" i="70" s="1"/>
  <c r="AS64" i="70"/>
  <c r="AA64" i="70"/>
  <c r="C64" i="70"/>
  <c r="AS60" i="70"/>
  <c r="AA60" i="70"/>
  <c r="C60" i="70"/>
  <c r="C28" i="70"/>
  <c r="AA28" i="70"/>
  <c r="AS28" i="70"/>
  <c r="C29" i="70"/>
  <c r="AA29" i="70"/>
  <c r="AS29" i="70"/>
  <c r="C30" i="70"/>
  <c r="AA30" i="70"/>
  <c r="AS30" i="70"/>
  <c r="AS48" i="70"/>
  <c r="AA48" i="70"/>
  <c r="C48" i="70"/>
  <c r="AS43" i="70"/>
  <c r="AA43" i="70"/>
  <c r="C43" i="70"/>
  <c r="AS44" i="70"/>
  <c r="AA44" i="70"/>
  <c r="C44" i="70"/>
  <c r="AS45" i="70"/>
  <c r="AA45" i="70"/>
  <c r="C45" i="70"/>
  <c r="AS46" i="70"/>
  <c r="AA46" i="70"/>
  <c r="C46" i="70"/>
  <c r="AS47" i="70"/>
  <c r="AA47" i="70"/>
  <c r="C47" i="70"/>
  <c r="AS37" i="70"/>
  <c r="AA37" i="70"/>
  <c r="C37" i="70"/>
  <c r="AS38" i="70"/>
  <c r="AA38" i="70"/>
  <c r="C38" i="70"/>
  <c r="AS39" i="70"/>
  <c r="AA39" i="70"/>
  <c r="C39" i="70"/>
  <c r="AS40" i="70"/>
  <c r="AA40" i="70"/>
  <c r="C40" i="70"/>
  <c r="AS41" i="70"/>
  <c r="AA41" i="70"/>
  <c r="C41" i="70"/>
  <c r="AS34" i="70"/>
  <c r="AA34" i="70"/>
  <c r="C34" i="70"/>
  <c r="AS35" i="70"/>
  <c r="AA35" i="70"/>
  <c r="C35" i="70"/>
  <c r="AS36" i="70"/>
  <c r="AA36" i="70"/>
  <c r="C36" i="70"/>
  <c r="AS33" i="70"/>
  <c r="AA33" i="70"/>
  <c r="C33" i="70"/>
  <c r="AS42" i="70"/>
  <c r="AA42" i="70"/>
  <c r="C42" i="70"/>
  <c r="AS49" i="70"/>
  <c r="AA49" i="70"/>
  <c r="C49" i="70"/>
  <c r="S64" i="66" a="1"/>
  <c r="AS300" i="70"/>
  <c r="AS301" i="70"/>
  <c r="AA300" i="70"/>
  <c r="AA301" i="70"/>
  <c r="C300" i="70"/>
  <c r="C301" i="70"/>
  <c r="AS2" i="70"/>
  <c r="AS3" i="70"/>
  <c r="AS4" i="70"/>
  <c r="AS5" i="70"/>
  <c r="AS6" i="70"/>
  <c r="AS7" i="70"/>
  <c r="AS8" i="70"/>
  <c r="AS9" i="70"/>
  <c r="AS10" i="70"/>
  <c r="AS11" i="70"/>
  <c r="AS12" i="70"/>
  <c r="AS13" i="70"/>
  <c r="AS14" i="70"/>
  <c r="AS15" i="70"/>
  <c r="AS16" i="70"/>
  <c r="AS17" i="70"/>
  <c r="AS18" i="70"/>
  <c r="AS19" i="70"/>
  <c r="AS20" i="70"/>
  <c r="AS23" i="70"/>
  <c r="AS21" i="70"/>
  <c r="AS22" i="70"/>
  <c r="AS24" i="70"/>
  <c r="AS25" i="70"/>
  <c r="AS26" i="70"/>
  <c r="AS27" i="70"/>
  <c r="AS31" i="70"/>
  <c r="AS32" i="70"/>
  <c r="AS298" i="70"/>
  <c r="AS299" i="70"/>
  <c r="AA298" i="70"/>
  <c r="AA299" i="70"/>
  <c r="U27" i="70"/>
  <c r="U26" i="70"/>
  <c r="U25" i="70"/>
  <c r="U24" i="70"/>
  <c r="U22" i="70"/>
  <c r="U21" i="70"/>
  <c r="U15" i="70"/>
  <c r="U14" i="70"/>
  <c r="U23" i="70"/>
  <c r="U17" i="70"/>
  <c r="U19" i="70"/>
  <c r="U16" i="70"/>
  <c r="R18" i="70"/>
  <c r="U18" i="70" s="1"/>
  <c r="AA21" i="70"/>
  <c r="C21" i="70"/>
  <c r="C23" i="70"/>
  <c r="AA23" i="70"/>
  <c r="AA22" i="70"/>
  <c r="C22" i="70"/>
  <c r="AA14" i="70"/>
  <c r="C14" i="70"/>
  <c r="AA15" i="70"/>
  <c r="C15" i="70"/>
  <c r="C31" i="70"/>
  <c r="AA31" i="70"/>
  <c r="C32" i="70"/>
  <c r="AA32" i="70"/>
  <c r="AA2" i="70"/>
  <c r="AA3" i="70"/>
  <c r="AA4" i="70"/>
  <c r="AA5" i="70"/>
  <c r="AA6" i="70"/>
  <c r="AA7" i="70"/>
  <c r="AA8" i="70"/>
  <c r="AA9" i="70"/>
  <c r="AA10" i="70"/>
  <c r="AA11" i="70"/>
  <c r="AA12" i="70"/>
  <c r="AA13" i="70"/>
  <c r="AA16" i="70"/>
  <c r="AA17" i="70"/>
  <c r="AA18" i="70"/>
  <c r="AA19" i="70"/>
  <c r="AA20" i="70"/>
  <c r="AA24" i="70"/>
  <c r="AA25" i="70"/>
  <c r="AA26" i="70"/>
  <c r="AA27" i="70"/>
  <c r="C27" i="70"/>
  <c r="C24" i="70"/>
  <c r="C25" i="70"/>
  <c r="C26" i="70"/>
  <c r="P10" i="66"/>
  <c r="Q10" i="66"/>
  <c r="R10" i="66"/>
  <c r="P9" i="66"/>
  <c r="Q9" i="66"/>
  <c r="R9" i="66"/>
  <c r="R12" i="66"/>
  <c r="P12" i="66"/>
  <c r="Q12" i="66"/>
  <c r="P11" i="66"/>
  <c r="Q11" i="66"/>
  <c r="R11" i="66"/>
  <c r="C16" i="70"/>
  <c r="C17" i="70"/>
  <c r="C18" i="70"/>
  <c r="C19" i="70"/>
  <c r="C20" i="70"/>
  <c r="C2" i="70"/>
  <c r="C3" i="70"/>
  <c r="C4" i="70"/>
  <c r="C5" i="70"/>
  <c r="C6" i="70"/>
  <c r="C7" i="70"/>
  <c r="C8" i="70"/>
  <c r="C9" i="70"/>
  <c r="C10" i="70"/>
  <c r="C11" i="70"/>
  <c r="C12" i="70"/>
  <c r="C13" i="70"/>
  <c r="AO168" i="69"/>
  <c r="S168" i="69"/>
  <c r="Q168" i="69"/>
  <c r="P168" i="69"/>
  <c r="O168" i="69"/>
  <c r="AO167" i="69"/>
  <c r="Q167" i="69"/>
  <c r="P167" i="69"/>
  <c r="O167" i="69"/>
  <c r="AO166" i="69"/>
  <c r="Q166" i="69"/>
  <c r="P166" i="69"/>
  <c r="O166" i="69"/>
  <c r="AO165" i="69"/>
  <c r="Q165" i="69"/>
  <c r="P165" i="69"/>
  <c r="O165" i="69"/>
  <c r="AO164" i="69"/>
  <c r="Q164" i="69"/>
  <c r="P164" i="69"/>
  <c r="O164" i="69"/>
  <c r="AO163" i="69"/>
  <c r="Q163" i="69"/>
  <c r="P163" i="69"/>
  <c r="O163" i="69"/>
  <c r="AO162" i="69"/>
  <c r="Q162" i="69"/>
  <c r="P162" i="69"/>
  <c r="O162" i="69"/>
  <c r="AO161" i="69"/>
  <c r="Q161" i="69"/>
  <c r="P161" i="69"/>
  <c r="O161" i="69"/>
  <c r="AO160" i="69"/>
  <c r="Q160" i="69"/>
  <c r="P160" i="69"/>
  <c r="O160" i="69"/>
  <c r="AO159" i="69"/>
  <c r="Q159" i="69"/>
  <c r="P159" i="69"/>
  <c r="O159" i="69"/>
  <c r="AO158" i="69"/>
  <c r="Q158" i="69"/>
  <c r="P158" i="69"/>
  <c r="O158" i="69"/>
  <c r="AO157" i="69"/>
  <c r="Q157" i="69"/>
  <c r="P157" i="69"/>
  <c r="O157" i="69"/>
  <c r="AO156" i="69"/>
  <c r="Q156" i="69"/>
  <c r="P156" i="69"/>
  <c r="O156" i="69"/>
  <c r="AO155" i="69"/>
  <c r="Q155" i="69"/>
  <c r="P155" i="69"/>
  <c r="O155" i="69"/>
  <c r="AO154" i="69"/>
  <c r="Q154" i="69"/>
  <c r="P154" i="69"/>
  <c r="O154" i="69"/>
  <c r="AO153" i="69"/>
  <c r="Q153" i="69"/>
  <c r="P153" i="69"/>
  <c r="O153" i="69"/>
  <c r="AO152" i="69"/>
  <c r="Q152" i="69"/>
  <c r="P152" i="69"/>
  <c r="O152" i="69"/>
  <c r="AO151" i="69"/>
  <c r="Q151" i="69"/>
  <c r="P151" i="69"/>
  <c r="O151" i="69"/>
  <c r="AO150" i="69"/>
  <c r="Q150" i="69"/>
  <c r="P150" i="69"/>
  <c r="O150" i="69"/>
  <c r="AO149" i="69"/>
  <c r="Q149" i="69"/>
  <c r="P149" i="69"/>
  <c r="O149" i="69"/>
  <c r="AO148" i="69"/>
  <c r="Q148" i="69"/>
  <c r="P148" i="69"/>
  <c r="O148" i="69"/>
  <c r="AO147" i="69"/>
  <c r="Q147" i="69"/>
  <c r="P147" i="69"/>
  <c r="O147" i="69"/>
  <c r="AO146" i="69"/>
  <c r="Q146" i="69"/>
  <c r="P146" i="69"/>
  <c r="O146" i="69"/>
  <c r="AO145" i="69"/>
  <c r="Q145" i="69"/>
  <c r="P145" i="69"/>
  <c r="O145" i="69"/>
  <c r="AO144" i="69"/>
  <c r="Q144" i="69"/>
  <c r="P144" i="69"/>
  <c r="O144" i="69"/>
  <c r="AO143" i="69"/>
  <c r="Q143" i="69"/>
  <c r="P143" i="69"/>
  <c r="O143" i="69"/>
  <c r="AO142" i="69"/>
  <c r="Q142" i="69"/>
  <c r="P142" i="69"/>
  <c r="O142" i="69"/>
  <c r="AO141" i="69"/>
  <c r="Q141" i="69"/>
  <c r="P141" i="69"/>
  <c r="O141" i="69"/>
  <c r="AO140" i="69"/>
  <c r="Q140" i="69"/>
  <c r="P140" i="69"/>
  <c r="O140" i="69"/>
  <c r="AO139" i="69"/>
  <c r="Q139" i="69"/>
  <c r="P139" i="69"/>
  <c r="O139" i="69"/>
  <c r="AO138" i="69"/>
  <c r="Q138" i="69"/>
  <c r="P138" i="69"/>
  <c r="O138" i="69"/>
  <c r="AO137" i="69"/>
  <c r="Q137" i="69"/>
  <c r="P137" i="69"/>
  <c r="O137" i="69"/>
  <c r="AO136" i="69"/>
  <c r="Q136" i="69"/>
  <c r="P136" i="69"/>
  <c r="O136" i="69"/>
  <c r="AO135" i="69"/>
  <c r="Q135" i="69"/>
  <c r="P135" i="69"/>
  <c r="O135" i="69"/>
  <c r="AO134" i="69"/>
  <c r="Q134" i="69"/>
  <c r="P134" i="69"/>
  <c r="O134" i="69"/>
  <c r="AO133" i="69"/>
  <c r="Q133" i="69"/>
  <c r="P133" i="69"/>
  <c r="O133" i="69"/>
  <c r="AO132" i="69"/>
  <c r="Q132" i="69"/>
  <c r="P132" i="69"/>
  <c r="O132" i="69"/>
  <c r="AO131" i="69"/>
  <c r="Q131" i="69"/>
  <c r="P131" i="69"/>
  <c r="O131" i="69"/>
  <c r="AO130" i="69"/>
  <c r="Q130" i="69"/>
  <c r="P130" i="69"/>
  <c r="O130" i="69"/>
  <c r="AO129" i="69"/>
  <c r="Q129" i="69"/>
  <c r="P129" i="69"/>
  <c r="O129" i="69"/>
  <c r="AO128" i="69"/>
  <c r="Q128" i="69"/>
  <c r="P128" i="69"/>
  <c r="O128" i="69"/>
  <c r="AO127" i="69"/>
  <c r="Q127" i="69"/>
  <c r="P127" i="69"/>
  <c r="O127" i="69"/>
  <c r="AO126" i="69"/>
  <c r="Q126" i="69"/>
  <c r="P126" i="69"/>
  <c r="O126" i="69"/>
  <c r="AO125" i="69"/>
  <c r="Q125" i="69"/>
  <c r="P125" i="69"/>
  <c r="O125" i="69"/>
  <c r="AO124" i="69"/>
  <c r="Q124" i="69"/>
  <c r="P124" i="69"/>
  <c r="O124" i="69"/>
  <c r="AO123" i="69"/>
  <c r="Q123" i="69"/>
  <c r="P123" i="69"/>
  <c r="O123" i="69"/>
  <c r="AO122" i="69"/>
  <c r="Q122" i="69"/>
  <c r="P122" i="69"/>
  <c r="O122" i="69"/>
  <c r="AO121" i="69"/>
  <c r="Q121" i="69"/>
  <c r="P121" i="69"/>
  <c r="O121" i="69"/>
  <c r="AO120" i="69"/>
  <c r="Q120" i="69"/>
  <c r="P120" i="69"/>
  <c r="O120" i="69"/>
  <c r="AO119" i="69"/>
  <c r="Q119" i="69"/>
  <c r="P119" i="69"/>
  <c r="O119" i="69"/>
  <c r="AO118" i="69"/>
  <c r="Q118" i="69"/>
  <c r="P118" i="69"/>
  <c r="O118" i="69"/>
  <c r="AO117" i="69"/>
  <c r="Q117" i="69"/>
  <c r="P117" i="69"/>
  <c r="O117" i="69"/>
  <c r="AO116" i="69"/>
  <c r="Q116" i="69"/>
  <c r="P116" i="69"/>
  <c r="O116" i="69"/>
  <c r="AO115" i="69"/>
  <c r="Q115" i="69"/>
  <c r="P115" i="69"/>
  <c r="O115" i="69"/>
  <c r="AO114" i="69"/>
  <c r="Q114" i="69"/>
  <c r="P114" i="69"/>
  <c r="O114" i="69"/>
  <c r="AO113" i="69"/>
  <c r="Q113" i="69"/>
  <c r="P113" i="69"/>
  <c r="O113" i="69"/>
  <c r="AO112" i="69"/>
  <c r="Q112" i="69"/>
  <c r="P112" i="69"/>
  <c r="O112" i="69"/>
  <c r="AO111" i="69"/>
  <c r="Q111" i="69"/>
  <c r="P111" i="69"/>
  <c r="O111" i="69"/>
  <c r="AO110" i="69"/>
  <c r="Q110" i="69"/>
  <c r="P110" i="69"/>
  <c r="O110" i="69"/>
  <c r="AO109" i="69"/>
  <c r="Q109" i="69"/>
  <c r="P109" i="69"/>
  <c r="O109" i="69"/>
  <c r="AO108" i="69"/>
  <c r="Q108" i="69"/>
  <c r="P108" i="69"/>
  <c r="O108" i="69"/>
  <c r="AO107" i="69"/>
  <c r="Q107" i="69"/>
  <c r="P107" i="69"/>
  <c r="O107" i="69"/>
  <c r="AO106" i="69"/>
  <c r="Q106" i="69"/>
  <c r="P106" i="69"/>
  <c r="O106" i="69"/>
  <c r="AO105" i="69"/>
  <c r="Q105" i="69"/>
  <c r="P105" i="69"/>
  <c r="O105" i="69"/>
  <c r="AO104" i="69"/>
  <c r="Q104" i="69"/>
  <c r="P104" i="69"/>
  <c r="O104" i="69"/>
  <c r="AO103" i="69"/>
  <c r="Q103" i="69"/>
  <c r="P103" i="69"/>
  <c r="O103" i="69"/>
  <c r="AO102" i="69"/>
  <c r="Q102" i="69"/>
  <c r="P102" i="69"/>
  <c r="O102" i="69"/>
  <c r="AO101" i="69"/>
  <c r="Q101" i="69"/>
  <c r="P101" i="69"/>
  <c r="O101" i="69"/>
  <c r="AO100" i="69"/>
  <c r="Q100" i="69"/>
  <c r="P100" i="69"/>
  <c r="O100" i="69"/>
  <c r="AO99" i="69"/>
  <c r="Q99" i="69"/>
  <c r="P99" i="69"/>
  <c r="O99" i="69"/>
  <c r="AO98" i="69"/>
  <c r="Q98" i="69"/>
  <c r="P98" i="69"/>
  <c r="O98" i="69"/>
  <c r="AO97" i="69"/>
  <c r="N97" i="69"/>
  <c r="P97" i="69" s="1"/>
  <c r="AO96" i="69"/>
  <c r="Q96" i="69"/>
  <c r="P96" i="69"/>
  <c r="O96" i="69"/>
  <c r="AO95" i="69"/>
  <c r="N95" i="69"/>
  <c r="O95" i="69"/>
  <c r="AO94" i="69"/>
  <c r="Q94" i="69"/>
  <c r="P94" i="69"/>
  <c r="O94" i="69"/>
  <c r="AO93" i="69"/>
  <c r="Q93" i="69"/>
  <c r="P93" i="69"/>
  <c r="O93" i="69"/>
  <c r="AO92" i="69"/>
  <c r="Q92" i="69"/>
  <c r="P92" i="69"/>
  <c r="O92" i="69"/>
  <c r="AO91" i="69"/>
  <c r="N91" i="69"/>
  <c r="AO90" i="69"/>
  <c r="N90" i="69"/>
  <c r="AO89" i="69"/>
  <c r="Q89" i="69"/>
  <c r="P89" i="69"/>
  <c r="O89" i="69"/>
  <c r="AO88" i="69"/>
  <c r="Q88" i="69"/>
  <c r="P88" i="69"/>
  <c r="O88" i="69"/>
  <c r="AO87" i="69"/>
  <c r="Q87" i="69"/>
  <c r="P87" i="69"/>
  <c r="O87" i="69"/>
  <c r="AO86" i="69"/>
  <c r="Q86" i="69"/>
  <c r="P86" i="69"/>
  <c r="O86" i="69"/>
  <c r="AO85" i="69"/>
  <c r="Q85" i="69"/>
  <c r="P85" i="69"/>
  <c r="O85" i="69"/>
  <c r="AO84" i="69"/>
  <c r="Q84" i="69"/>
  <c r="P84" i="69"/>
  <c r="O84" i="69"/>
  <c r="AO83" i="69"/>
  <c r="Q83" i="69"/>
  <c r="P83" i="69"/>
  <c r="O83" i="69"/>
  <c r="AO82" i="69"/>
  <c r="N82" i="69"/>
  <c r="P82" i="69" s="1"/>
  <c r="AO81" i="69"/>
  <c r="N81" i="69"/>
  <c r="AO80" i="69"/>
  <c r="Q80" i="69"/>
  <c r="P80" i="69"/>
  <c r="O80" i="69"/>
  <c r="AO79" i="69"/>
  <c r="Q79" i="69"/>
  <c r="P79" i="69"/>
  <c r="O79" i="69"/>
  <c r="AO78" i="69"/>
  <c r="Q78" i="69"/>
  <c r="P78" i="69"/>
  <c r="O78" i="69"/>
  <c r="AO77" i="69"/>
  <c r="Q77" i="69"/>
  <c r="P77" i="69"/>
  <c r="O77" i="69"/>
  <c r="AO76" i="69"/>
  <c r="Q76" i="69"/>
  <c r="P76" i="69"/>
  <c r="O76" i="69"/>
  <c r="AO75" i="69"/>
  <c r="Q75" i="69"/>
  <c r="P75" i="69"/>
  <c r="O75" i="69"/>
  <c r="AO74" i="69"/>
  <c r="Q74" i="69"/>
  <c r="P74" i="69"/>
  <c r="O74" i="69"/>
  <c r="AO73" i="69"/>
  <c r="Q73" i="69"/>
  <c r="P73" i="69"/>
  <c r="O73" i="69"/>
  <c r="AO72" i="69"/>
  <c r="Q72" i="69"/>
  <c r="P72" i="69"/>
  <c r="O72" i="69"/>
  <c r="AO71" i="69"/>
  <c r="Q71" i="69"/>
  <c r="P71" i="69"/>
  <c r="O71" i="69"/>
  <c r="AO70" i="69"/>
  <c r="Q70" i="69"/>
  <c r="P70" i="69"/>
  <c r="O70" i="69"/>
  <c r="AO69" i="69"/>
  <c r="N69" i="69"/>
  <c r="AO68" i="69"/>
  <c r="Q68" i="69"/>
  <c r="P68" i="69"/>
  <c r="O68" i="69"/>
  <c r="AO67" i="69"/>
  <c r="Q67" i="69"/>
  <c r="P67" i="69"/>
  <c r="O67" i="69"/>
  <c r="AO66" i="69"/>
  <c r="Q66" i="69"/>
  <c r="P66" i="69"/>
  <c r="O66" i="69"/>
  <c r="AO65" i="69"/>
  <c r="Q65" i="69"/>
  <c r="P65" i="69"/>
  <c r="O65" i="69"/>
  <c r="AO64" i="69"/>
  <c r="Q64" i="69"/>
  <c r="P64" i="69"/>
  <c r="O64" i="69"/>
  <c r="AO63" i="69"/>
  <c r="N63" i="69"/>
  <c r="P63" i="69"/>
  <c r="AO62" i="69"/>
  <c r="Q62" i="69"/>
  <c r="P62" i="69"/>
  <c r="O62" i="69"/>
  <c r="AO61" i="69"/>
  <c r="Q61" i="69"/>
  <c r="P61" i="69"/>
  <c r="O61" i="69"/>
  <c r="AO60" i="69"/>
  <c r="Q60" i="69"/>
  <c r="P60" i="69"/>
  <c r="O60" i="69"/>
  <c r="AO59" i="69"/>
  <c r="Q59" i="69"/>
  <c r="P59" i="69"/>
  <c r="O59" i="69"/>
  <c r="AO58" i="69"/>
  <c r="Q58" i="69"/>
  <c r="P58" i="69"/>
  <c r="O58" i="69"/>
  <c r="AO57" i="69"/>
  <c r="Q57" i="69"/>
  <c r="P57" i="69"/>
  <c r="O57" i="69"/>
  <c r="AO56" i="69"/>
  <c r="Q56" i="69"/>
  <c r="P56" i="69"/>
  <c r="O56" i="69"/>
  <c r="AO55" i="69"/>
  <c r="N55" i="69"/>
  <c r="P55" i="69" s="1"/>
  <c r="AO54" i="69"/>
  <c r="Q54" i="69"/>
  <c r="P54" i="69"/>
  <c r="O54" i="69"/>
  <c r="AO53" i="69"/>
  <c r="P53" i="69"/>
  <c r="O53" i="69"/>
  <c r="AO52" i="69"/>
  <c r="Q52" i="69"/>
  <c r="P52" i="69"/>
  <c r="O52" i="69"/>
  <c r="AO51" i="69"/>
  <c r="Q51" i="69"/>
  <c r="P51" i="69"/>
  <c r="O51" i="69"/>
  <c r="AO50" i="69"/>
  <c r="Q50" i="69"/>
  <c r="P50" i="69"/>
  <c r="O50" i="69"/>
  <c r="AO49" i="69"/>
  <c r="Q49" i="69"/>
  <c r="P49" i="69"/>
  <c r="O49" i="69"/>
  <c r="AO48" i="69"/>
  <c r="Q48" i="69"/>
  <c r="P48" i="69"/>
  <c r="O48" i="69"/>
  <c r="AO47" i="69"/>
  <c r="Q47" i="69"/>
  <c r="P47" i="69"/>
  <c r="O47" i="69"/>
  <c r="AO46" i="69"/>
  <c r="Q46" i="69"/>
  <c r="P46" i="69"/>
  <c r="O46" i="69"/>
  <c r="AO45" i="69"/>
  <c r="Q45" i="69"/>
  <c r="P45" i="69"/>
  <c r="O45" i="69"/>
  <c r="AO44" i="69"/>
  <c r="Q44" i="69"/>
  <c r="P44" i="69"/>
  <c r="O44" i="69"/>
  <c r="AO43" i="69"/>
  <c r="Q43" i="69"/>
  <c r="P43" i="69"/>
  <c r="O43" i="69"/>
  <c r="AO42" i="69"/>
  <c r="Q42" i="69"/>
  <c r="P42" i="69"/>
  <c r="O42" i="69"/>
  <c r="AO41" i="69"/>
  <c r="Q41" i="69"/>
  <c r="P41" i="69"/>
  <c r="O41" i="69"/>
  <c r="AO40" i="69"/>
  <c r="Q40" i="69"/>
  <c r="P40" i="69"/>
  <c r="O40" i="69"/>
  <c r="AO39" i="69"/>
  <c r="Q39" i="69"/>
  <c r="P39" i="69"/>
  <c r="O39" i="69"/>
  <c r="AO38" i="69"/>
  <c r="Q38" i="69"/>
  <c r="P38" i="69"/>
  <c r="O38" i="69"/>
  <c r="AO37" i="69"/>
  <c r="Q37" i="69"/>
  <c r="P37" i="69"/>
  <c r="O37" i="69"/>
  <c r="AO36" i="69"/>
  <c r="Q36" i="69"/>
  <c r="P36" i="69"/>
  <c r="O36" i="69"/>
  <c r="AO35" i="69"/>
  <c r="Q35" i="69"/>
  <c r="P35" i="69"/>
  <c r="O35" i="69"/>
  <c r="AO34" i="69"/>
  <c r="Q34" i="69"/>
  <c r="P34" i="69"/>
  <c r="O34" i="69"/>
  <c r="AO33" i="69"/>
  <c r="Q33" i="69"/>
  <c r="P33" i="69"/>
  <c r="O33" i="69"/>
  <c r="AO32" i="69"/>
  <c r="N32" i="69"/>
  <c r="AO31" i="69"/>
  <c r="Q31" i="69"/>
  <c r="P31" i="69"/>
  <c r="O31" i="69"/>
  <c r="AO30" i="69"/>
  <c r="Q30" i="69"/>
  <c r="P30" i="69"/>
  <c r="O30" i="69"/>
  <c r="AO29" i="69"/>
  <c r="Q29" i="69"/>
  <c r="P29" i="69"/>
  <c r="O29" i="69"/>
  <c r="AO28" i="69"/>
  <c r="Q28" i="69"/>
  <c r="P28" i="69"/>
  <c r="O28" i="69"/>
  <c r="AO27" i="69"/>
  <c r="Q27" i="69"/>
  <c r="P27" i="69"/>
  <c r="O27" i="69"/>
  <c r="AO26" i="69"/>
  <c r="Q26" i="69"/>
  <c r="P26" i="69"/>
  <c r="O26" i="69"/>
  <c r="AO25" i="69"/>
  <c r="Q25" i="69"/>
  <c r="P25" i="69"/>
  <c r="O25" i="69"/>
  <c r="AO24" i="69"/>
  <c r="Q24" i="69"/>
  <c r="P24" i="69"/>
  <c r="O24" i="69"/>
  <c r="AO23" i="69"/>
  <c r="Q23" i="69"/>
  <c r="P23" i="69"/>
  <c r="O23" i="69"/>
  <c r="AO22" i="69"/>
  <c r="Q22" i="69"/>
  <c r="P22" i="69"/>
  <c r="O22" i="69"/>
  <c r="AO21" i="69"/>
  <c r="Q21" i="69"/>
  <c r="P21" i="69"/>
  <c r="O21" i="69"/>
  <c r="AO20" i="69"/>
  <c r="Q20" i="69"/>
  <c r="P20" i="69"/>
  <c r="O20" i="69"/>
  <c r="AO19" i="69"/>
  <c r="Q19" i="69"/>
  <c r="P19" i="69"/>
  <c r="O19" i="69"/>
  <c r="AO18" i="69"/>
  <c r="Q18" i="69"/>
  <c r="P18" i="69"/>
  <c r="O18" i="69"/>
  <c r="AO17" i="69"/>
  <c r="P17" i="69"/>
  <c r="AO16" i="69"/>
  <c r="P16" i="69"/>
  <c r="AO15" i="69"/>
  <c r="AO14" i="69"/>
  <c r="P14" i="69"/>
  <c r="AO13" i="69"/>
  <c r="P13" i="69"/>
  <c r="AO12" i="69"/>
  <c r="P12" i="69"/>
  <c r="AO11" i="69"/>
  <c r="P11" i="69"/>
  <c r="AO10" i="69"/>
  <c r="P10" i="69"/>
  <c r="AO9" i="69"/>
  <c r="P9" i="69"/>
  <c r="AO8" i="69"/>
  <c r="P8" i="69"/>
  <c r="AO7" i="69"/>
  <c r="P7" i="69"/>
  <c r="AO6" i="69"/>
  <c r="P6" i="69"/>
  <c r="AO5" i="69"/>
  <c r="P5" i="69"/>
  <c r="AO4" i="69"/>
  <c r="P4" i="69"/>
  <c r="B2" i="69"/>
  <c r="C2" i="69"/>
  <c r="D2" i="69" s="1"/>
  <c r="E2" i="69" s="1"/>
  <c r="F2" i="69" s="1"/>
  <c r="G2" i="69" s="1"/>
  <c r="H2" i="69" s="1"/>
  <c r="I2" i="69" s="1"/>
  <c r="J2" i="69" s="1"/>
  <c r="K2" i="69" s="1"/>
  <c r="L2" i="69" s="1"/>
  <c r="M2" i="69" s="1"/>
  <c r="N2" i="69" s="1"/>
  <c r="O2" i="69" s="1"/>
  <c r="P2" i="69" s="1"/>
  <c r="Q2" i="69" s="1"/>
  <c r="R2" i="69" s="1"/>
  <c r="S2" i="69" s="1"/>
  <c r="T2" i="69" s="1"/>
  <c r="U2" i="69" s="1"/>
  <c r="V2" i="69" s="1"/>
  <c r="W2" i="69" s="1"/>
  <c r="X2" i="69" s="1"/>
  <c r="Y2" i="69" s="1"/>
  <c r="AA2" i="69" s="1"/>
  <c r="AB2" i="69" s="1"/>
  <c r="AC2" i="69" s="1"/>
  <c r="AD2" i="69" s="1"/>
  <c r="AF2" i="69" s="1"/>
  <c r="AG2" i="69" s="1"/>
  <c r="AI2" i="69" s="1"/>
  <c r="AJ2" i="69" s="1"/>
  <c r="AK2" i="69" s="1"/>
  <c r="AL2" i="69" s="1"/>
  <c r="AM2" i="69" s="1"/>
  <c r="AN2" i="69" s="1"/>
  <c r="AO2" i="69" s="1"/>
  <c r="AP2" i="69" s="1"/>
  <c r="AQ2" i="69" s="1"/>
  <c r="V789" i="3"/>
  <c r="O97" i="69"/>
  <c r="O90" i="69"/>
  <c r="P20" i="66"/>
  <c r="Q63" i="69"/>
  <c r="O63" i="69"/>
  <c r="O12" i="122"/>
  <c r="M70" i="122"/>
  <c r="V820" i="3"/>
  <c r="V736" i="3"/>
  <c r="AX26" i="70"/>
  <c r="AX27" i="70"/>
  <c r="AX24" i="70"/>
  <c r="AX25" i="70"/>
  <c r="V778" i="3"/>
  <c r="V1038" i="3"/>
  <c r="V1072" i="3"/>
  <c r="W957" i="3"/>
  <c r="V957" i="3"/>
  <c r="V987" i="3"/>
  <c r="V993" i="3"/>
  <c r="V929" i="3"/>
  <c r="V942" i="3"/>
  <c r="V891" i="3"/>
  <c r="V949" i="3"/>
  <c r="V908" i="3"/>
  <c r="V1053" i="3"/>
  <c r="V1031" i="3"/>
  <c r="V1052" i="3"/>
  <c r="V1007" i="3"/>
  <c r="V1045" i="3"/>
  <c r="V1057" i="3"/>
  <c r="V1062" i="3"/>
  <c r="V895" i="3"/>
  <c r="V972" i="3"/>
  <c r="V948" i="3"/>
  <c r="V933" i="3"/>
  <c r="W933" i="3"/>
  <c r="V888" i="3"/>
  <c r="W1002" i="3"/>
  <c r="V1002" i="3"/>
  <c r="L90" i="122"/>
  <c r="V936" i="3"/>
  <c r="V1035" i="3"/>
  <c r="V953" i="3"/>
  <c r="W924" i="3"/>
  <c r="V924" i="3"/>
  <c r="W902" i="3"/>
  <c r="V902" i="3"/>
  <c r="V827" i="3"/>
  <c r="L40" i="122"/>
  <c r="N54" i="122"/>
  <c r="V847" i="3"/>
  <c r="N40" i="122"/>
  <c r="V788" i="3"/>
  <c r="V882" i="3"/>
  <c r="N70" i="122"/>
  <c r="K78" i="122"/>
  <c r="L12" i="122"/>
  <c r="K12" i="122"/>
  <c r="L86" i="122"/>
  <c r="M54" i="122"/>
  <c r="K70" i="122"/>
  <c r="V1051" i="3"/>
  <c r="V771" i="3"/>
  <c r="V807" i="3"/>
  <c r="V770" i="3"/>
  <c r="Q116" i="122"/>
  <c r="S116" i="122"/>
  <c r="S62" i="122"/>
  <c r="T36" i="122"/>
  <c r="V897" i="3"/>
  <c r="V958" i="3"/>
  <c r="W960" i="3"/>
  <c r="W958" i="3"/>
  <c r="O32" i="122"/>
  <c r="P32" i="122"/>
  <c r="V1036" i="3"/>
  <c r="V824" i="3"/>
  <c r="S104" i="122"/>
  <c r="O8" i="122"/>
  <c r="C1290" i="3"/>
  <c r="O32" i="69"/>
  <c r="P32" i="69"/>
  <c r="Q32" i="69"/>
  <c r="Q91" i="69"/>
  <c r="P91" i="69"/>
  <c r="O91" i="69"/>
  <c r="O69" i="69"/>
  <c r="Q69" i="69"/>
  <c r="P69" i="69"/>
  <c r="Q82" i="69"/>
  <c r="O82" i="69"/>
  <c r="Q90" i="69"/>
  <c r="P90" i="69"/>
  <c r="Q55" i="69"/>
  <c r="O55" i="69"/>
  <c r="P81" i="69"/>
  <c r="Q81" i="69"/>
  <c r="O81" i="69"/>
  <c r="Q95" i="69"/>
  <c r="P95" i="69"/>
  <c r="AD58" i="122" l="1"/>
  <c r="V1349" i="3"/>
  <c r="W1349" i="3"/>
  <c r="X1349" i="3"/>
  <c r="AD79" i="122" s="1"/>
  <c r="AD95" i="122" s="1"/>
  <c r="V1367" i="3"/>
  <c r="W1367" i="3"/>
  <c r="X1367" i="3"/>
  <c r="U1354" i="3" a="1"/>
  <c r="U1366" i="3" a="1"/>
  <c r="AE58" i="122"/>
  <c r="AE72" i="122"/>
  <c r="X1362" i="3"/>
  <c r="W1337" i="3"/>
  <c r="X1329" i="3"/>
  <c r="V1353" i="3"/>
  <c r="W1353" i="3"/>
  <c r="X1353" i="3"/>
  <c r="AC30" i="122" s="1"/>
  <c r="V1207" i="3"/>
  <c r="W1207" i="3"/>
  <c r="X1207" i="3"/>
  <c r="AB5" i="122" s="1"/>
  <c r="U1409" i="3" a="1"/>
  <c r="U1352" i="3" a="1"/>
  <c r="V29" i="122"/>
  <c r="V26" i="122"/>
  <c r="W26" i="122"/>
  <c r="W29" i="122"/>
  <c r="X29" i="122"/>
  <c r="X49" i="122" s="1"/>
  <c r="X26" i="122"/>
  <c r="Y26" i="122"/>
  <c r="Y29" i="122"/>
  <c r="Y49" i="122" s="1"/>
  <c r="G13" i="122"/>
  <c r="G10" i="122"/>
  <c r="W41" i="122"/>
  <c r="W38" i="122"/>
  <c r="W40" i="122" s="1"/>
  <c r="U1326" i="3" a="1"/>
  <c r="X1208" i="3"/>
  <c r="V1208" i="3"/>
  <c r="S41" i="122"/>
  <c r="S38" i="122"/>
  <c r="S40" i="122" s="1"/>
  <c r="X1215" i="3"/>
  <c r="AB129" i="122" s="1"/>
  <c r="AB141" i="122" s="1"/>
  <c r="X1363" i="3"/>
  <c r="X1379" i="3"/>
  <c r="U1395" i="3" a="1"/>
  <c r="U1380" i="3" a="1"/>
  <c r="X1314" i="3"/>
  <c r="X1371" i="3"/>
  <c r="AD98" i="122" s="1"/>
  <c r="X1190" i="3"/>
  <c r="BF1247" i="3"/>
  <c r="BF563" i="3"/>
  <c r="X563" i="3" s="1"/>
  <c r="BF515" i="3"/>
  <c r="X515" i="3" s="1"/>
  <c r="BF536" i="3"/>
  <c r="X536" i="3" s="1"/>
  <c r="BF625" i="3"/>
  <c r="X625" i="3" s="1"/>
  <c r="BF239" i="3"/>
  <c r="X239" i="3" s="1"/>
  <c r="BF226" i="3"/>
  <c r="X226" i="3" s="1"/>
  <c r="BF326" i="3"/>
  <c r="X326" i="3" s="1"/>
  <c r="BF325" i="3"/>
  <c r="X325" i="3" s="1"/>
  <c r="BF1269" i="3"/>
  <c r="BF337" i="3"/>
  <c r="X337" i="3" s="1"/>
  <c r="BF805" i="3"/>
  <c r="X805" i="3" s="1"/>
  <c r="BF340" i="3"/>
  <c r="X340" i="3" s="1"/>
  <c r="W1010" i="3"/>
  <c r="BF564" i="3"/>
  <c r="X564" i="3" s="1"/>
  <c r="BF550" i="3"/>
  <c r="X550" i="3" s="1"/>
  <c r="BF1248" i="3"/>
  <c r="X1010" i="3"/>
  <c r="AZ1372" i="3"/>
  <c r="AZ1373" i="3"/>
  <c r="AZ1213" i="3"/>
  <c r="AZ1209" i="3"/>
  <c r="AZ1369" i="3"/>
  <c r="AZ1212" i="3"/>
  <c r="AZ1303" i="3"/>
  <c r="AZ1188" i="3"/>
  <c r="AZ1187" i="3"/>
  <c r="AZ1137" i="3"/>
  <c r="AZ1139" i="3"/>
  <c r="AZ1365" i="3"/>
  <c r="AZ1364" i="3"/>
  <c r="AZ1160" i="3"/>
  <c r="AZ1223" i="3"/>
  <c r="AZ1158" i="3"/>
  <c r="AZ1156" i="3"/>
  <c r="AZ1155" i="3"/>
  <c r="AZ1181" i="3"/>
  <c r="AZ1180" i="3"/>
  <c r="AZ1201" i="3"/>
  <c r="AZ1157" i="3"/>
  <c r="AZ1162" i="3"/>
  <c r="AZ1220" i="3"/>
  <c r="AZ1331" i="3"/>
  <c r="AZ1179" i="3"/>
  <c r="AZ1178" i="3"/>
  <c r="AZ1144" i="3"/>
  <c r="AZ1153" i="3"/>
  <c r="AZ1149" i="3"/>
  <c r="AZ1174" i="3"/>
  <c r="AZ1224" i="3"/>
  <c r="AZ1163" i="3"/>
  <c r="AZ1376" i="3"/>
  <c r="AZ1138" i="3"/>
  <c r="AZ1136" i="3"/>
  <c r="AZ1366" i="3"/>
  <c r="AW1366" i="3" a="1"/>
  <c r="AZ1198" i="3"/>
  <c r="AZ1147" i="3"/>
  <c r="AZ1192" i="3"/>
  <c r="AZ1148" i="3"/>
  <c r="AZ1375" i="3"/>
  <c r="AZ1377" i="3"/>
  <c r="AW1377" i="3" a="1"/>
  <c r="AW1375" i="3" a="1"/>
  <c r="AZ1368" i="3"/>
  <c r="AZ1370" i="3"/>
  <c r="AW1370" i="3" a="1"/>
  <c r="AW1368" i="3" a="1"/>
  <c r="AZ1354" i="3"/>
  <c r="AW1354" i="3" a="1"/>
  <c r="AZ1352" i="3"/>
  <c r="AW1352" i="3" a="1"/>
  <c r="AZ1343" i="3"/>
  <c r="AZ1348" i="3"/>
  <c r="AW1348" i="3" a="1"/>
  <c r="AW1343" i="3" a="1"/>
  <c r="AZ1327" i="3"/>
  <c r="AZ1336" i="3"/>
  <c r="AW1336" i="3" a="1"/>
  <c r="AW1327" i="3" a="1"/>
  <c r="AZ1325" i="3"/>
  <c r="AW1325" i="3" a="1"/>
  <c r="AZ1320" i="3"/>
  <c r="AW1320" i="3" a="1"/>
  <c r="AZ1126" i="3"/>
  <c r="AX260" i="70"/>
  <c r="AU260" i="70" a="1"/>
  <c r="AX236" i="70"/>
  <c r="AX237" i="70"/>
  <c r="AU237" i="70" a="1"/>
  <c r="AU236" i="70" a="1"/>
  <c r="AX242" i="70"/>
  <c r="AX243" i="70"/>
  <c r="AU243" i="70" a="1"/>
  <c r="AU242" i="70" a="1"/>
  <c r="AX234" i="70"/>
  <c r="AU234" i="70" a="1"/>
  <c r="AX235" i="70"/>
  <c r="AU235" i="70" a="1"/>
  <c r="AX232" i="70"/>
  <c r="AU232" i="70" a="1"/>
  <c r="AX233" i="70"/>
  <c r="AU233" i="70" a="1"/>
  <c r="AX218" i="70"/>
  <c r="AX223" i="70"/>
  <c r="AZ1123" i="3"/>
  <c r="AZ848" i="3"/>
  <c r="AZ1106" i="3"/>
  <c r="AZ1132" i="3"/>
  <c r="AZ1110" i="3"/>
  <c r="AZ1107" i="3"/>
  <c r="AZ1129" i="3"/>
  <c r="AZ1089" i="3"/>
  <c r="AZ1141" i="3"/>
  <c r="AZ1135" i="3"/>
  <c r="AW1303" i="3" a="1"/>
  <c r="AZ953" i="3"/>
  <c r="W1303" i="3"/>
  <c r="V1303" i="3"/>
  <c r="X1188" i="3"/>
  <c r="W1188" i="3"/>
  <c r="V1188" i="3"/>
  <c r="X1149" i="3"/>
  <c r="U1377" i="3" a="1"/>
  <c r="U1348" i="3" a="1"/>
  <c r="U1343" i="3" a="1"/>
  <c r="U1336" i="3" a="1"/>
  <c r="U1327" i="3" a="1"/>
  <c r="U1320" i="3" a="1"/>
  <c r="AP119" i="122"/>
  <c r="AP93" i="122"/>
  <c r="AP139" i="122"/>
  <c r="AX231" i="70"/>
  <c r="AZ1122" i="3"/>
  <c r="AU231" i="70" a="1"/>
  <c r="AZ1034" i="3"/>
  <c r="AZ1131" i="3"/>
  <c r="AZ1120" i="3"/>
  <c r="U1316" i="3" a="1"/>
  <c r="V1000" i="3"/>
  <c r="W1000" i="3"/>
  <c r="AZ1105" i="3"/>
  <c r="AZ1227" i="3"/>
  <c r="AZ1225" i="3"/>
  <c r="AW1227" i="3" a="1"/>
  <c r="AW1225" i="3" a="1"/>
  <c r="U1227" i="3" a="1"/>
  <c r="U1225" i="3" a="1"/>
  <c r="AZ1226" i="3"/>
  <c r="AW1226" i="3" a="1"/>
  <c r="AZ1060" i="3"/>
  <c r="AZ1061" i="3"/>
  <c r="AX227" i="70"/>
  <c r="AU227" i="70" a="1"/>
  <c r="AX228" i="70"/>
  <c r="AU228" i="70" a="1"/>
  <c r="AX229" i="70"/>
  <c r="AU229" i="70" a="1"/>
  <c r="AX230" i="70"/>
  <c r="AU230" i="70" a="1"/>
  <c r="AU287" i="70" a="1"/>
  <c r="AU288" i="70" a="1"/>
  <c r="AX287" i="70"/>
  <c r="AX288" i="70"/>
  <c r="AU289" i="70" a="1"/>
  <c r="AU290" i="70" a="1"/>
  <c r="AX289" i="70"/>
  <c r="AX290" i="70"/>
  <c r="AU291" i="70" a="1"/>
  <c r="AU292" i="70" a="1"/>
  <c r="AX291" i="70"/>
  <c r="AX292" i="70"/>
  <c r="AU275" i="70" a="1"/>
  <c r="AU285" i="70" a="1"/>
  <c r="AU286" i="70" a="1"/>
  <c r="AX275" i="70"/>
  <c r="AX285" i="70"/>
  <c r="AX286" i="70"/>
  <c r="AX282" i="70"/>
  <c r="AX283" i="70"/>
  <c r="AX284" i="70"/>
  <c r="AU284" i="70" a="1"/>
  <c r="AU283" i="70" a="1"/>
  <c r="AU282" i="70" a="1"/>
  <c r="AX294" i="70"/>
  <c r="AU294" i="70" a="1"/>
  <c r="AU279" i="70" a="1"/>
  <c r="AX279" i="70"/>
  <c r="AU280" i="70" a="1"/>
  <c r="AX280" i="70"/>
  <c r="AU281" i="70" a="1"/>
  <c r="AX281" i="70"/>
  <c r="AU274" i="70" a="1"/>
  <c r="AX274" i="70"/>
  <c r="AU293" i="70" a="1"/>
  <c r="AX293" i="70"/>
  <c r="AX277" i="70"/>
  <c r="AU277" i="70" a="1"/>
  <c r="AX276" i="70"/>
  <c r="AU276" i="70" a="1"/>
  <c r="AU278" i="70" a="1"/>
  <c r="AX278" i="70"/>
  <c r="AU295" i="70" a="1"/>
  <c r="AX295" i="70"/>
  <c r="AZ1029" i="3"/>
  <c r="AU268" i="70" a="1"/>
  <c r="AX268" i="70"/>
  <c r="AX269" i="70"/>
  <c r="AU270" i="70" a="1"/>
  <c r="AU271" i="70" a="1"/>
  <c r="AU272" i="70" a="1"/>
  <c r="AX270" i="70"/>
  <c r="AX271" i="70"/>
  <c r="AX272" i="70"/>
  <c r="AU273" i="70" a="1"/>
  <c r="AX273" i="70"/>
  <c r="AZ1033" i="3"/>
  <c r="AZ1082" i="3"/>
  <c r="AZ1030" i="3"/>
  <c r="U1315" i="3" a="1"/>
  <c r="U1226" i="3" a="1"/>
  <c r="U1302" i="3" a="1"/>
  <c r="AZ1047" i="3"/>
  <c r="AZ1152" i="3"/>
  <c r="AZ1050" i="3"/>
  <c r="AZ1318" i="3"/>
  <c r="AZ1177" i="3"/>
  <c r="AZ1140" i="3"/>
  <c r="AZ1309" i="3"/>
  <c r="AZ1142" i="3"/>
  <c r="AZ1173" i="3"/>
  <c r="AZ1175" i="3"/>
  <c r="AZ1121" i="3"/>
  <c r="I37" i="47"/>
  <c r="J37" i="47" s="1"/>
  <c r="I26" i="47"/>
  <c r="AW247" i="3" s="1" a="1"/>
  <c r="J25" i="47"/>
  <c r="AZ1048" i="3"/>
  <c r="AZ1063" i="3"/>
  <c r="AX214" i="70"/>
  <c r="AX200" i="70"/>
  <c r="AX199" i="70"/>
  <c r="AX197" i="70"/>
  <c r="AX195" i="70"/>
  <c r="AX194" i="70"/>
  <c r="AZ1108" i="3"/>
  <c r="AZ1128" i="3"/>
  <c r="AZ1032" i="3"/>
  <c r="AZ1196" i="3"/>
  <c r="AZ1211" i="3"/>
  <c r="AZ1161" i="3"/>
  <c r="AZ1310" i="3"/>
  <c r="AZ1143" i="3"/>
  <c r="AZ1125" i="3"/>
  <c r="AZ1124" i="3"/>
  <c r="AZ997" i="3"/>
  <c r="AZ1146" i="3"/>
  <c r="AZ1024" i="3"/>
  <c r="AZ1023" i="3"/>
  <c r="AZ1074" i="3"/>
  <c r="AZ1028" i="3"/>
  <c r="AZ1078" i="3"/>
  <c r="AZ1127" i="3"/>
  <c r="AZ1080" i="3"/>
  <c r="AZ1102" i="3"/>
  <c r="AZ1118" i="3"/>
  <c r="AZ1073" i="3"/>
  <c r="AZ1079" i="3"/>
  <c r="AZ1104" i="3"/>
  <c r="AZ1101" i="3"/>
  <c r="AZ1071" i="3"/>
  <c r="AZ1103" i="3"/>
  <c r="AZ1075" i="3"/>
  <c r="AZ1100" i="3"/>
  <c r="AZ1067" i="3"/>
  <c r="AZ1301" i="3"/>
  <c r="AZ1130" i="3"/>
  <c r="AZ1116" i="3"/>
  <c r="AZ1115" i="3"/>
  <c r="AZ1204" i="3"/>
  <c r="AZ1317" i="3"/>
  <c r="AZ1150" i="3"/>
  <c r="AZ1044" i="3"/>
  <c r="AZ999" i="3"/>
  <c r="AZ1099" i="3"/>
  <c r="AZ1016" i="3"/>
  <c r="AZ1066" i="3"/>
  <c r="AZ990" i="3"/>
  <c r="AZ1046" i="3"/>
  <c r="AZ1049" i="3"/>
  <c r="AZ1025" i="3"/>
  <c r="AZ1020" i="3"/>
  <c r="AX259" i="70"/>
  <c r="AU259" i="70" a="1"/>
  <c r="AU296" i="70" a="1"/>
  <c r="AX296" i="70"/>
  <c r="AX256" i="70"/>
  <c r="AU256" i="70" a="1"/>
  <c r="AX255" i="70"/>
  <c r="AU255" i="70" a="1"/>
  <c r="AX254" i="70"/>
  <c r="AU254" i="70" a="1"/>
  <c r="AX253" i="70"/>
  <c r="AU253" i="70" a="1"/>
  <c r="AU189" i="70" a="1"/>
  <c r="AU188" i="70" a="1"/>
  <c r="AU187" i="70" a="1"/>
  <c r="AU186" i="70" a="1"/>
  <c r="AX186" i="70"/>
  <c r="AX187" i="70"/>
  <c r="AX188" i="70"/>
  <c r="AX189" i="70"/>
  <c r="AZ946" i="3"/>
  <c r="AZ1134" i="3"/>
  <c r="Z881" i="3"/>
  <c r="X833" i="3"/>
  <c r="W1009" i="3"/>
  <c r="AU854" i="3"/>
  <c r="V1003" i="3"/>
  <c r="W947" i="3"/>
  <c r="AU824" i="3"/>
  <c r="X947" i="3"/>
  <c r="V1009" i="3"/>
  <c r="X943" i="3"/>
  <c r="AU1088" i="3"/>
  <c r="AU1017" i="3"/>
  <c r="U1300" i="3" a="1"/>
  <c r="U1308" i="3" a="1"/>
  <c r="U1307" i="3" a="1"/>
  <c r="AU1056" i="3"/>
  <c r="Z578" i="3"/>
  <c r="AU578" i="3"/>
  <c r="Z591" i="3"/>
  <c r="AU591" i="3"/>
  <c r="Z592" i="3"/>
  <c r="AU592" i="3"/>
  <c r="Z593" i="3"/>
  <c r="AU593" i="3"/>
  <c r="Z594" i="3"/>
  <c r="AU594" i="3"/>
  <c r="Z607" i="3"/>
  <c r="AU607" i="3"/>
  <c r="Z622" i="3"/>
  <c r="AU622" i="3"/>
  <c r="Z529" i="3"/>
  <c r="AU529" i="3"/>
  <c r="Z559" i="3"/>
  <c r="AU559" i="3"/>
  <c r="Z560" i="3"/>
  <c r="AU560" i="3"/>
  <c r="Z569" i="3"/>
  <c r="AU569" i="3"/>
  <c r="Z579" i="3"/>
  <c r="AU579" i="3"/>
  <c r="Z586" i="3"/>
  <c r="AU586" i="3"/>
  <c r="Z587" i="3"/>
  <c r="AU587" i="3"/>
  <c r="Z588" i="3"/>
  <c r="AU588" i="3"/>
  <c r="Z589" i="3"/>
  <c r="AU589" i="3"/>
  <c r="Z602" i="3"/>
  <c r="AU602" i="3"/>
  <c r="Z613" i="3"/>
  <c r="AU613" i="3"/>
  <c r="Z618" i="3"/>
  <c r="AU618" i="3"/>
  <c r="Z619" i="3"/>
  <c r="AU619" i="3"/>
  <c r="Z620" i="3"/>
  <c r="AU620" i="3"/>
  <c r="Z629" i="3"/>
  <c r="AU629" i="3"/>
  <c r="Z630" i="3"/>
  <c r="AU630" i="3"/>
  <c r="Z631" i="3"/>
  <c r="AU631" i="3"/>
  <c r="Z641" i="3"/>
  <c r="AU641" i="3"/>
  <c r="Z642" i="3"/>
  <c r="AU642" i="3"/>
  <c r="Z644" i="3"/>
  <c r="AU644" i="3"/>
  <c r="Z645" i="3"/>
  <c r="AU645" i="3"/>
  <c r="Z655" i="3"/>
  <c r="AU655" i="3"/>
  <c r="Z664" i="3"/>
  <c r="AU664" i="3"/>
  <c r="Z665" i="3"/>
  <c r="AU665" i="3"/>
  <c r="Z667" i="3"/>
  <c r="AU667" i="3"/>
  <c r="Z668" i="3"/>
  <c r="AU668" i="3"/>
  <c r="Z669" i="3"/>
  <c r="AU669" i="3"/>
  <c r="AU1011" i="3"/>
  <c r="AU820" i="3"/>
  <c r="AU819" i="3"/>
  <c r="AU818" i="3"/>
  <c r="AU817" i="3"/>
  <c r="Z816" i="3"/>
  <c r="AU816" i="3"/>
  <c r="Z815" i="3"/>
  <c r="AU815" i="3"/>
  <c r="AU814" i="3"/>
  <c r="AU813" i="3"/>
  <c r="Z812" i="3"/>
  <c r="AU812" i="3"/>
  <c r="Z811" i="3"/>
  <c r="AU811" i="3"/>
  <c r="Z810" i="3"/>
  <c r="AU810" i="3"/>
  <c r="AU809" i="3"/>
  <c r="AU808" i="3"/>
  <c r="AU807" i="3"/>
  <c r="AU803" i="3"/>
  <c r="AU802" i="3"/>
  <c r="Z800" i="3"/>
  <c r="AU800" i="3"/>
  <c r="AU797" i="3"/>
  <c r="AU796" i="3"/>
  <c r="AU795" i="3"/>
  <c r="AU794" i="3"/>
  <c r="AU793" i="3"/>
  <c r="Z792" i="3"/>
  <c r="AU792" i="3"/>
  <c r="Z790" i="3"/>
  <c r="AU790" i="3"/>
  <c r="Z789" i="3"/>
  <c r="AU789" i="3"/>
  <c r="Z788" i="3"/>
  <c r="AU788" i="3"/>
  <c r="Z787" i="3"/>
  <c r="AU787" i="3"/>
  <c r="Z786" i="3"/>
  <c r="AU786" i="3"/>
  <c r="Z784" i="3"/>
  <c r="AU784" i="3"/>
  <c r="Z783" i="3"/>
  <c r="AU783" i="3"/>
  <c r="Z782" i="3"/>
  <c r="AU782" i="3"/>
  <c r="Z781" i="3"/>
  <c r="AU781" i="3"/>
  <c r="Z780" i="3"/>
  <c r="AU780" i="3"/>
  <c r="Z779" i="3"/>
  <c r="AU779" i="3"/>
  <c r="Z778" i="3"/>
  <c r="AU778" i="3"/>
  <c r="Z777" i="3"/>
  <c r="AU777" i="3"/>
  <c r="Z776" i="3"/>
  <c r="AU776" i="3"/>
  <c r="Z775" i="3"/>
  <c r="AU775" i="3"/>
  <c r="Z774" i="3"/>
  <c r="AU774" i="3"/>
  <c r="Z773" i="3"/>
  <c r="AU773" i="3"/>
  <c r="Z772" i="3"/>
  <c r="AU772" i="3"/>
  <c r="Z771" i="3"/>
  <c r="AU771" i="3"/>
  <c r="Z770" i="3"/>
  <c r="AU770" i="3"/>
  <c r="Z769" i="3"/>
  <c r="AU769" i="3"/>
  <c r="Z768" i="3"/>
  <c r="AU768" i="3"/>
  <c r="Z767" i="3"/>
  <c r="AU767" i="3"/>
  <c r="Z766" i="3"/>
  <c r="AU766" i="3"/>
  <c r="Z764" i="3"/>
  <c r="AU764" i="3"/>
  <c r="Z763" i="3"/>
  <c r="AU763" i="3"/>
  <c r="Z762" i="3"/>
  <c r="AU762" i="3"/>
  <c r="Z760" i="3"/>
  <c r="AU760" i="3"/>
  <c r="Z759" i="3"/>
  <c r="AU759" i="3"/>
  <c r="Z758" i="3"/>
  <c r="AU758" i="3"/>
  <c r="Z757" i="3"/>
  <c r="AU757" i="3"/>
  <c r="Z756" i="3"/>
  <c r="AU756" i="3"/>
  <c r="Z755" i="3"/>
  <c r="AU755" i="3"/>
  <c r="Z754" i="3"/>
  <c r="AU754" i="3"/>
  <c r="Z753" i="3"/>
  <c r="AU753" i="3"/>
  <c r="Z752" i="3"/>
  <c r="AU752" i="3"/>
  <c r="Z751" i="3"/>
  <c r="AU751" i="3"/>
  <c r="Z750" i="3"/>
  <c r="AU750" i="3"/>
  <c r="Z749" i="3"/>
  <c r="AU749" i="3"/>
  <c r="Z748" i="3"/>
  <c r="AU748" i="3"/>
  <c r="Z747" i="3"/>
  <c r="AU747" i="3"/>
  <c r="Z746" i="3"/>
  <c r="AU746" i="3"/>
  <c r="Z745" i="3"/>
  <c r="AU745" i="3"/>
  <c r="Z744" i="3"/>
  <c r="AU744" i="3"/>
  <c r="Z743" i="3"/>
  <c r="AU743" i="3"/>
  <c r="Z742" i="3"/>
  <c r="AU742" i="3"/>
  <c r="Z741" i="3"/>
  <c r="AU741" i="3"/>
  <c r="Z740" i="3"/>
  <c r="AU740" i="3"/>
  <c r="Z738" i="3"/>
  <c r="AU738" i="3"/>
  <c r="Z737" i="3"/>
  <c r="AU737" i="3"/>
  <c r="Z736" i="3"/>
  <c r="AU736" i="3"/>
  <c r="Z735" i="3"/>
  <c r="AU735" i="3"/>
  <c r="Z734" i="3"/>
  <c r="AU734" i="3"/>
  <c r="Z733" i="3"/>
  <c r="AU733" i="3"/>
  <c r="Z732" i="3"/>
  <c r="AU732" i="3"/>
  <c r="Z731" i="3"/>
  <c r="AU731" i="3"/>
  <c r="Z730" i="3"/>
  <c r="AU730" i="3"/>
  <c r="Z729" i="3"/>
  <c r="AU729" i="3"/>
  <c r="Z728" i="3"/>
  <c r="AU728" i="3"/>
  <c r="Z727" i="3"/>
  <c r="AU727" i="3"/>
  <c r="Z726" i="3"/>
  <c r="AU726" i="3"/>
  <c r="Z725" i="3"/>
  <c r="AU725" i="3"/>
  <c r="Z724" i="3"/>
  <c r="AU724" i="3"/>
  <c r="Z723" i="3"/>
  <c r="AU723" i="3"/>
  <c r="Z722" i="3"/>
  <c r="AU722" i="3"/>
  <c r="Z720" i="3"/>
  <c r="AU720" i="3"/>
  <c r="Z719" i="3"/>
  <c r="AU719" i="3"/>
  <c r="Z718" i="3"/>
  <c r="AU718" i="3"/>
  <c r="Z715" i="3"/>
  <c r="AU715" i="3"/>
  <c r="Z714" i="3"/>
  <c r="AU714" i="3"/>
  <c r="Z713" i="3"/>
  <c r="AU713" i="3"/>
  <c r="Z712" i="3"/>
  <c r="AU712" i="3"/>
  <c r="Z710" i="3"/>
  <c r="AU710" i="3"/>
  <c r="Z709" i="3"/>
  <c r="AU709" i="3"/>
  <c r="Z708" i="3"/>
  <c r="AU708" i="3"/>
  <c r="Z707" i="3"/>
  <c r="AU707" i="3"/>
  <c r="Z705" i="3"/>
  <c r="AU705" i="3"/>
  <c r="Z702" i="3"/>
  <c r="AU702" i="3"/>
  <c r="Z694" i="3"/>
  <c r="AU694" i="3"/>
  <c r="Z693" i="3"/>
  <c r="AU693" i="3"/>
  <c r="Z692" i="3"/>
  <c r="AU692" i="3"/>
  <c r="Z690" i="3"/>
  <c r="AU690" i="3"/>
  <c r="Z687" i="3"/>
  <c r="AU687" i="3"/>
  <c r="Z686" i="3"/>
  <c r="AU686" i="3"/>
  <c r="Z671" i="3"/>
  <c r="AU671" i="3"/>
  <c r="Z670" i="3"/>
  <c r="AU670" i="3"/>
  <c r="AU1091" i="3"/>
  <c r="AU1070" i="3"/>
  <c r="AU1068" i="3"/>
  <c r="AU1090" i="3"/>
  <c r="AU1094" i="3"/>
  <c r="AU934" i="3"/>
  <c r="AU951" i="3"/>
  <c r="AU1005" i="3"/>
  <c r="AU950" i="3"/>
  <c r="AU920" i="3"/>
  <c r="AU977" i="3"/>
  <c r="AU1003" i="3"/>
  <c r="AU960" i="3"/>
  <c r="AU959" i="3"/>
  <c r="AU958" i="3"/>
  <c r="AU933" i="3"/>
  <c r="AU975" i="3"/>
  <c r="AU919" i="3"/>
  <c r="AU978" i="3"/>
  <c r="AU932" i="3"/>
  <c r="AU1045" i="3"/>
  <c r="AU1052" i="3"/>
  <c r="AU954" i="3"/>
  <c r="AU953" i="3"/>
  <c r="AU1006" i="3"/>
  <c r="AU1036" i="3"/>
  <c r="AU930" i="3"/>
  <c r="AU1035" i="3"/>
  <c r="AU1059" i="3"/>
  <c r="AU994" i="3"/>
  <c r="AU1114" i="3"/>
  <c r="AU1051" i="3"/>
  <c r="AU1113" i="3"/>
  <c r="AU1081" i="3"/>
  <c r="AU1040" i="3"/>
  <c r="AU1039" i="3"/>
  <c r="AU1000" i="3"/>
  <c r="AU955" i="3"/>
  <c r="AU987" i="3"/>
  <c r="AU926" i="3"/>
  <c r="AU1053" i="3"/>
  <c r="AU929" i="3"/>
  <c r="AU924" i="3"/>
  <c r="AU917" i="3"/>
  <c r="AU916" i="3"/>
  <c r="AU915" i="3"/>
  <c r="AU974" i="3"/>
  <c r="AU914" i="3"/>
  <c r="AU913" i="3"/>
  <c r="AU1112" i="3"/>
  <c r="AU922" i="3"/>
  <c r="AU971" i="3"/>
  <c r="AU970" i="3"/>
  <c r="AU969" i="3"/>
  <c r="AU967" i="3"/>
  <c r="AU963" i="3"/>
  <c r="AU962" i="3"/>
  <c r="AU961" i="3"/>
  <c r="AU942" i="3"/>
  <c r="AU941" i="3"/>
  <c r="AU940" i="3"/>
  <c r="AU938" i="3"/>
  <c r="AU925" i="3"/>
  <c r="AU912" i="3"/>
  <c r="AU911" i="3"/>
  <c r="AU910" i="3"/>
  <c r="Z909" i="3"/>
  <c r="AU909" i="3"/>
  <c r="AU908" i="3"/>
  <c r="AU907" i="3"/>
  <c r="AU906" i="3"/>
  <c r="AU905" i="3"/>
  <c r="AU904" i="3"/>
  <c r="Z903" i="3"/>
  <c r="AU903" i="3"/>
  <c r="AU900" i="3"/>
  <c r="AU902" i="3"/>
  <c r="AU891" i="3"/>
  <c r="AU890" i="3"/>
  <c r="AU889" i="3"/>
  <c r="AU888" i="3"/>
  <c r="AU882" i="3"/>
  <c r="AU881" i="3"/>
  <c r="AU880" i="3"/>
  <c r="AU879" i="3"/>
  <c r="Z878" i="3"/>
  <c r="AU878" i="3"/>
  <c r="Z877" i="3"/>
  <c r="AU877" i="3"/>
  <c r="Z876" i="3"/>
  <c r="AU876" i="3"/>
  <c r="Z875" i="3"/>
  <c r="AU875" i="3"/>
  <c r="AU871" i="3"/>
  <c r="AU870" i="3"/>
  <c r="AU869" i="3"/>
  <c r="AU868" i="3"/>
  <c r="AU867" i="3"/>
  <c r="AU866" i="3"/>
  <c r="AU865" i="3"/>
  <c r="AU864" i="3"/>
  <c r="AU861" i="3"/>
  <c r="AU860" i="3"/>
  <c r="AU859" i="3"/>
  <c r="AU858" i="3"/>
  <c r="AU857" i="3"/>
  <c r="AU856" i="3"/>
  <c r="AU855" i="3"/>
  <c r="AU853" i="3"/>
  <c r="AU850" i="3"/>
  <c r="AU845" i="3"/>
  <c r="AU844" i="3"/>
  <c r="Z840" i="3"/>
  <c r="AU840" i="3"/>
  <c r="Z839" i="3"/>
  <c r="AU839" i="3"/>
  <c r="Z836" i="3"/>
  <c r="AU836" i="3"/>
  <c r="Z835" i="3"/>
  <c r="AU835" i="3"/>
  <c r="AU834" i="3"/>
  <c r="AU833" i="3"/>
  <c r="Z832" i="3"/>
  <c r="AU832" i="3"/>
  <c r="Z830" i="3"/>
  <c r="AU830" i="3"/>
  <c r="Z829" i="3"/>
  <c r="AU829" i="3"/>
  <c r="Z828" i="3"/>
  <c r="AU828" i="3"/>
  <c r="Z826" i="3"/>
  <c r="AU826" i="3"/>
  <c r="AU825" i="3"/>
  <c r="AU923" i="3"/>
  <c r="AU998" i="3"/>
  <c r="Z799" i="3"/>
  <c r="AU799" i="3"/>
  <c r="Z798" i="3"/>
  <c r="AU798" i="3"/>
  <c r="Z628" i="3"/>
  <c r="AU628" i="3"/>
  <c r="Z639" i="3"/>
  <c r="AU639" i="3"/>
  <c r="W655" i="3"/>
  <c r="U1306" i="3" a="1"/>
  <c r="U1305" i="3" a="1"/>
  <c r="X1130" i="3"/>
  <c r="X121" i="122"/>
  <c r="W121" i="122"/>
  <c r="S121" i="122"/>
  <c r="D118" i="122"/>
  <c r="X100" i="122"/>
  <c r="X120" i="122" s="1"/>
  <c r="X118" i="122"/>
  <c r="W100" i="122"/>
  <c r="W120" i="122" s="1"/>
  <c r="W118" i="122"/>
  <c r="V100" i="122"/>
  <c r="U100" i="122"/>
  <c r="S100" i="122"/>
  <c r="S120" i="122" s="1"/>
  <c r="S118" i="122"/>
  <c r="T100" i="122"/>
  <c r="S4" i="122"/>
  <c r="X4" i="122"/>
  <c r="W4" i="122"/>
  <c r="U4" i="122"/>
  <c r="Z821" i="3"/>
  <c r="Z820" i="3"/>
  <c r="Z819" i="3"/>
  <c r="Z818" i="3"/>
  <c r="Z817" i="3"/>
  <c r="Z814" i="3"/>
  <c r="Z813" i="3"/>
  <c r="Z809" i="3"/>
  <c r="Z808" i="3"/>
  <c r="Z807" i="3"/>
  <c r="Z803" i="3"/>
  <c r="Z802" i="3"/>
  <c r="Z797" i="3"/>
  <c r="Z796" i="3"/>
  <c r="Z795" i="3"/>
  <c r="Z794" i="3"/>
  <c r="Z793" i="3"/>
  <c r="Z926" i="3"/>
  <c r="Z963" i="3"/>
  <c r="Z871" i="3"/>
  <c r="Z870" i="3"/>
  <c r="Z869" i="3"/>
  <c r="Z867" i="3"/>
  <c r="Z865" i="3"/>
  <c r="Z864" i="3"/>
  <c r="Z861" i="3"/>
  <c r="Z860" i="3"/>
  <c r="Z859" i="3"/>
  <c r="Z858" i="3"/>
  <c r="Z857" i="3"/>
  <c r="Z856" i="3"/>
  <c r="Z855" i="3"/>
  <c r="Z853" i="3"/>
  <c r="Z850" i="3"/>
  <c r="Z845" i="3"/>
  <c r="Z844" i="3"/>
  <c r="Z833" i="3"/>
  <c r="Z825" i="3"/>
  <c r="Z824" i="3"/>
  <c r="V950" i="3"/>
  <c r="U1311" i="3" a="1"/>
  <c r="U1304" i="3" a="1"/>
  <c r="U1065" i="3" a="1"/>
  <c r="W54" i="122"/>
  <c r="W948" i="3"/>
  <c r="AW605" i="3" a="1"/>
  <c r="AW577" i="3" a="1"/>
  <c r="AW558" i="3" a="1"/>
  <c r="AW542" i="3" a="1"/>
  <c r="AW524" i="3" a="1"/>
  <c r="AW508" i="3" a="1"/>
  <c r="AW492" i="3" a="1"/>
  <c r="AW476" i="3" a="1"/>
  <c r="AW460" i="3" a="1"/>
  <c r="AW444" i="3" a="1"/>
  <c r="AW428" i="3" a="1"/>
  <c r="AW412" i="3" a="1"/>
  <c r="AW397" i="3" a="1"/>
  <c r="AW381" i="3" a="1"/>
  <c r="AW366" i="3" a="1"/>
  <c r="AW352" i="3" a="1"/>
  <c r="AW336" i="3" a="1"/>
  <c r="AW321" i="3" a="1"/>
  <c r="AW305" i="3" a="1"/>
  <c r="AW275" i="3" a="1"/>
  <c r="AW259" i="3" a="1"/>
  <c r="AW232" i="3" a="1"/>
  <c r="AW219" i="3" a="1"/>
  <c r="AW208" i="3" a="1"/>
  <c r="AW188" i="3" a="1"/>
  <c r="AX219" i="70"/>
  <c r="AX221" i="70"/>
  <c r="AX180" i="70"/>
  <c r="AW603" i="3" a="1"/>
  <c r="AW575" i="3" a="1"/>
  <c r="AW556" i="3" a="1"/>
  <c r="AW540" i="3" a="1"/>
  <c r="AW522" i="3" a="1"/>
  <c r="AW506" i="3" a="1"/>
  <c r="AW490" i="3" a="1"/>
  <c r="AW474" i="3" a="1"/>
  <c r="AW458" i="3" a="1"/>
  <c r="AW442" i="3" a="1"/>
  <c r="AW426" i="3" a="1"/>
  <c r="AW410" i="3" a="1"/>
  <c r="AW395" i="3" a="1"/>
  <c r="AW379" i="3" a="1"/>
  <c r="AW364" i="3" a="1"/>
  <c r="AW350" i="3" a="1"/>
  <c r="AW334" i="3" a="1"/>
  <c r="AW319" i="3" a="1"/>
  <c r="AW303" i="3" a="1"/>
  <c r="AW289" i="3" a="1"/>
  <c r="AW273" i="3" a="1"/>
  <c r="AW257" i="3" a="1"/>
  <c r="AW230" i="3" a="1"/>
  <c r="AW217" i="3" a="1"/>
  <c r="AW186" i="3" a="1"/>
  <c r="AX183" i="70"/>
  <c r="AW601" i="3" a="1"/>
  <c r="AW574" i="3" a="1"/>
  <c r="AW555" i="3" a="1"/>
  <c r="AW539" i="3" a="1"/>
  <c r="AW521" i="3" a="1"/>
  <c r="AW505" i="3" a="1"/>
  <c r="AW489" i="3" a="1"/>
  <c r="AW473" i="3" a="1"/>
  <c r="AW457" i="3" a="1"/>
  <c r="AW441" i="3" a="1"/>
  <c r="AW425" i="3" a="1"/>
  <c r="AW394" i="3" a="1"/>
  <c r="AW378" i="3" a="1"/>
  <c r="AW363" i="3" a="1"/>
  <c r="AW349" i="3" a="1"/>
  <c r="AW333" i="3" a="1"/>
  <c r="AW318" i="3" a="1"/>
  <c r="AW302" i="3" a="1"/>
  <c r="AW288" i="3" a="1"/>
  <c r="AW272" i="3" a="1"/>
  <c r="AW256" i="3" a="1"/>
  <c r="AW240" i="3" a="1"/>
  <c r="AW216" i="3" a="1"/>
  <c r="AW196" i="3" a="1"/>
  <c r="AX224" i="70"/>
  <c r="AW634" i="3" a="1"/>
  <c r="AW598" i="3" a="1"/>
  <c r="AW571" i="3" a="1"/>
  <c r="AW552" i="3" a="1"/>
  <c r="AW536" i="3" a="1"/>
  <c r="AW518" i="3" a="1"/>
  <c r="AW502" i="3" a="1"/>
  <c r="AW486" i="3" a="1"/>
  <c r="AW470" i="3" a="1"/>
  <c r="AW454" i="3" a="1"/>
  <c r="AW438" i="3" a="1"/>
  <c r="AW422" i="3" a="1"/>
  <c r="AW407" i="3" a="1"/>
  <c r="AW391" i="3" a="1"/>
  <c r="AW376" i="3" a="1"/>
  <c r="AW360" i="3" a="1"/>
  <c r="AW346" i="3" a="1"/>
  <c r="AW330" i="3" a="1"/>
  <c r="AW315" i="3" a="1"/>
  <c r="AW299" i="3" a="1"/>
  <c r="AW285" i="3" a="1"/>
  <c r="AW269" i="3" a="1"/>
  <c r="AW253" i="3" a="1"/>
  <c r="AW237" i="3" a="1"/>
  <c r="AW229" i="3" a="1"/>
  <c r="AW213" i="3" a="1"/>
  <c r="AW204" i="3" a="1"/>
  <c r="AW193" i="3" a="1"/>
  <c r="AW184" i="3" a="1"/>
  <c r="AU226" i="70" a="1"/>
  <c r="AX181" i="70"/>
  <c r="AW597" i="3" a="1"/>
  <c r="AW570" i="3" a="1"/>
  <c r="AZ928" i="3"/>
  <c r="AZ1287" i="3"/>
  <c r="AW600" i="3" a="1"/>
  <c r="AW573" i="3" a="1"/>
  <c r="AW554" i="3" a="1"/>
  <c r="AW538" i="3" a="1"/>
  <c r="AW520" i="3" a="1"/>
  <c r="AW504" i="3" a="1"/>
  <c r="AW488" i="3" a="1"/>
  <c r="AW472" i="3" a="1"/>
  <c r="AW456" i="3" a="1"/>
  <c r="AW440" i="3" a="1"/>
  <c r="AW424" i="3" a="1"/>
  <c r="AW409" i="3" a="1"/>
  <c r="AW393" i="3" a="1"/>
  <c r="AW362" i="3" a="1"/>
  <c r="AW348" i="3" a="1"/>
  <c r="AW332" i="3" a="1"/>
  <c r="AW317" i="3" a="1"/>
  <c r="AW301" i="3" a="1"/>
  <c r="AW287" i="3" a="1"/>
  <c r="AW271" i="3" a="1"/>
  <c r="AW255" i="3" a="1"/>
  <c r="AW239" i="3" a="1"/>
  <c r="AW215" i="3" a="1"/>
  <c r="AW206" i="3" a="1"/>
  <c r="AW195" i="3" a="1"/>
  <c r="AW191" i="3" a="1"/>
  <c r="AX226" i="70"/>
  <c r="AW599" i="3" a="1"/>
  <c r="AW572" i="3" a="1"/>
  <c r="AW553" i="3" a="1"/>
  <c r="AW537" i="3" a="1"/>
  <c r="AW519" i="3" a="1"/>
  <c r="AW503" i="3" a="1"/>
  <c r="AW487" i="3" a="1"/>
  <c r="AW471" i="3" a="1"/>
  <c r="AW455" i="3" a="1"/>
  <c r="AW439" i="3" a="1"/>
  <c r="AW423" i="3" a="1"/>
  <c r="AW408" i="3" a="1"/>
  <c r="AW392" i="3" a="1"/>
  <c r="AW377" i="3" a="1"/>
  <c r="AW361" i="3" a="1"/>
  <c r="AW347" i="3" a="1"/>
  <c r="AW331" i="3" a="1"/>
  <c r="AW316" i="3" a="1"/>
  <c r="AW300" i="3" a="1"/>
  <c r="AW286" i="3" a="1"/>
  <c r="AW270" i="3" a="1"/>
  <c r="AW254" i="3" a="1"/>
  <c r="AW238" i="3" a="1"/>
  <c r="AW214" i="3" a="1"/>
  <c r="AW205" i="3" a="1"/>
  <c r="AW194" i="3" a="1"/>
  <c r="AW190" i="3" a="1"/>
  <c r="AW185" i="3" a="1"/>
  <c r="AU224" i="70" a="1"/>
  <c r="AW563" i="3" a="1"/>
  <c r="AW533" i="3" a="1"/>
  <c r="AW509" i="3" a="1"/>
  <c r="AW481" i="3" a="1"/>
  <c r="AW453" i="3" a="1"/>
  <c r="AW431" i="3" a="1"/>
  <c r="AW404" i="3" a="1"/>
  <c r="AW382" i="3" a="1"/>
  <c r="AW357" i="3" a="1"/>
  <c r="AW329" i="3" a="1"/>
  <c r="AW308" i="3" a="1"/>
  <c r="AW282" i="3" a="1"/>
  <c r="AW260" i="3" a="1"/>
  <c r="AW212" i="3" a="1"/>
  <c r="AW198" i="3" a="1"/>
  <c r="AZ1008" i="3"/>
  <c r="AW595" i="3" a="1"/>
  <c r="AW530" i="3" a="1"/>
  <c r="AW478" i="3" a="1"/>
  <c r="AW401" i="3" a="1"/>
  <c r="AW354" i="3" a="1"/>
  <c r="AW279" i="3" a="1"/>
  <c r="AX220" i="70"/>
  <c r="AW1312" i="3" a="1"/>
  <c r="AW604" i="3" a="1"/>
  <c r="AW562" i="3" a="1"/>
  <c r="AW532" i="3" a="1"/>
  <c r="AW507" i="3" a="1"/>
  <c r="AW480" i="3" a="1"/>
  <c r="AW452" i="3" a="1"/>
  <c r="AW430" i="3" a="1"/>
  <c r="AW403" i="3" a="1"/>
  <c r="AW380" i="3" a="1"/>
  <c r="AW356" i="3" a="1"/>
  <c r="AW328" i="3" a="1"/>
  <c r="AW307" i="3" a="1"/>
  <c r="AW281" i="3" a="1"/>
  <c r="AW258" i="3" a="1"/>
  <c r="AW211" i="3" a="1"/>
  <c r="AW197" i="3" a="1"/>
  <c r="AX222" i="70"/>
  <c r="AX182" i="70"/>
  <c r="AW1311" i="3" a="1"/>
  <c r="AW596" i="3" a="1"/>
  <c r="AW561" i="3" a="1"/>
  <c r="AW531" i="3" a="1"/>
  <c r="AW501" i="3" a="1"/>
  <c r="AW479" i="3" a="1"/>
  <c r="AW451" i="3" a="1"/>
  <c r="AW429" i="3" a="1"/>
  <c r="AW402" i="3" a="1"/>
  <c r="AW375" i="3" a="1"/>
  <c r="AW355" i="3" a="1"/>
  <c r="AW306" i="3" a="1"/>
  <c r="AW280" i="3" a="1"/>
  <c r="AW252" i="3" a="1"/>
  <c r="AZ873" i="3"/>
  <c r="AW584" i="3" a="1"/>
  <c r="AW550" i="3" a="1"/>
  <c r="AW526" i="3" a="1"/>
  <c r="AW498" i="3" a="1"/>
  <c r="AW475" i="3" a="1"/>
  <c r="AW448" i="3" a="1"/>
  <c r="AW420" i="3" a="1"/>
  <c r="AW399" i="3" a="1"/>
  <c r="AW372" i="3" a="1"/>
  <c r="AW351" i="3" a="1"/>
  <c r="AW325" i="3" a="1"/>
  <c r="AW297" i="3" a="1"/>
  <c r="AW277" i="3" a="1"/>
  <c r="AW249" i="3" a="1"/>
  <c r="AW231" i="3" a="1"/>
  <c r="AW209" i="3" a="1"/>
  <c r="AW582" i="3" a="1"/>
  <c r="AW468" i="3" a="1"/>
  <c r="AW396" i="3" a="1"/>
  <c r="AW323" i="3" a="1"/>
  <c r="AW187" i="3" a="1"/>
  <c r="AW547" i="3" a="1"/>
  <c r="AW467" i="3" a="1"/>
  <c r="AW369" i="3" a="1"/>
  <c r="AW294" i="3" a="1"/>
  <c r="AW226" i="3" a="1"/>
  <c r="AW583" i="3" a="1"/>
  <c r="AW549" i="3" a="1"/>
  <c r="AW525" i="3" a="1"/>
  <c r="AW497" i="3" a="1"/>
  <c r="AW469" i="3" a="1"/>
  <c r="AW447" i="3" a="1"/>
  <c r="AW419" i="3" a="1"/>
  <c r="AW398" i="3" a="1"/>
  <c r="AW371" i="3" a="1"/>
  <c r="AW345" i="3" a="1"/>
  <c r="AW324" i="3" a="1"/>
  <c r="AW296" i="3" a="1"/>
  <c r="AW276" i="3" a="1"/>
  <c r="AW228" i="3" a="1"/>
  <c r="AW192" i="3" a="1"/>
  <c r="AZ1013" i="3"/>
  <c r="AW580" i="3" a="1"/>
  <c r="AW546" i="3" a="1"/>
  <c r="AW516" i="3" a="1"/>
  <c r="AW494" i="3" a="1"/>
  <c r="AW466" i="3" a="1"/>
  <c r="AW443" i="3" a="1"/>
  <c r="AW416" i="3" a="1"/>
  <c r="AW389" i="3" a="1"/>
  <c r="AW368" i="3" a="1"/>
  <c r="AW342" i="3" a="1"/>
  <c r="AW320" i="3" a="1"/>
  <c r="AW293" i="3" a="1"/>
  <c r="AW267" i="3" a="1"/>
  <c r="AW225" i="3" a="1"/>
  <c r="AW207" i="3" a="1"/>
  <c r="AW617" i="3" a="1"/>
  <c r="AW576" i="3" a="1"/>
  <c r="AW545" i="3" a="1"/>
  <c r="AW515" i="3" a="1"/>
  <c r="AW493" i="3" a="1"/>
  <c r="AW465" i="3" a="1"/>
  <c r="AW437" i="3" a="1"/>
  <c r="AW415" i="3" a="1"/>
  <c r="AW388" i="3" a="1"/>
  <c r="AW367" i="3" a="1"/>
  <c r="AW341" i="3" a="1"/>
  <c r="AW314" i="3" a="1"/>
  <c r="AW266" i="3" a="1"/>
  <c r="AW224" i="3" a="1"/>
  <c r="AZ801" i="3"/>
  <c r="AX225" i="70"/>
  <c r="AW445" i="3" a="1"/>
  <c r="AW268" i="3" a="1"/>
  <c r="AW616" i="3" a="1"/>
  <c r="AW568" i="3" a="1"/>
  <c r="AW544" i="3" a="1"/>
  <c r="AW514" i="3" a="1"/>
  <c r="AW491" i="3" a="1"/>
  <c r="AW464" i="3" a="1"/>
  <c r="AW436" i="3" a="1"/>
  <c r="AW414" i="3" a="1"/>
  <c r="AW387" i="3" a="1"/>
  <c r="AW365" i="3" a="1"/>
  <c r="AW340" i="3" a="1"/>
  <c r="AW313" i="3" a="1"/>
  <c r="AW292" i="3" a="1"/>
  <c r="AW265" i="3" a="1"/>
  <c r="AW223" i="3" a="1"/>
  <c r="AW203" i="3" a="1"/>
  <c r="AW1308" i="3" a="1"/>
  <c r="AW557" i="3" a="1"/>
  <c r="AW500" i="3" a="1"/>
  <c r="AW450" i="3" a="1"/>
  <c r="AW374" i="3" a="1"/>
  <c r="AW304" i="3" a="1"/>
  <c r="AW251" i="3" a="1"/>
  <c r="AW551" i="3" a="1"/>
  <c r="AW477" i="3" a="1"/>
  <c r="AW400" i="3" a="1"/>
  <c r="AW326" i="3" a="1"/>
  <c r="AW250" i="3" a="1"/>
  <c r="AW523" i="3" a="1"/>
  <c r="AW446" i="3" a="1"/>
  <c r="AW344" i="3" a="1"/>
  <c r="AW227" i="3" a="1"/>
  <c r="AW581" i="3" a="1"/>
  <c r="AW495" i="3" a="1"/>
  <c r="AW390" i="3" a="1"/>
  <c r="AW322" i="3" a="1"/>
  <c r="AW615" i="3" a="1"/>
  <c r="AW567" i="3" a="1"/>
  <c r="AW543" i="3" a="1"/>
  <c r="AW513" i="3" a="1"/>
  <c r="AW485" i="3" a="1"/>
  <c r="AW463" i="3" a="1"/>
  <c r="AW435" i="3" a="1"/>
  <c r="AW413" i="3" a="1"/>
  <c r="AW386" i="3" a="1"/>
  <c r="AW359" i="3" a="1"/>
  <c r="AW339" i="3" a="1"/>
  <c r="AW312" i="3" a="1"/>
  <c r="AW291" i="3" a="1"/>
  <c r="AW264" i="3" a="1"/>
  <c r="AW222" i="3" a="1"/>
  <c r="AW202" i="3" a="1"/>
  <c r="AW183" i="3" a="1"/>
  <c r="AU225" i="70" a="1"/>
  <c r="AW1307" i="3" a="1"/>
  <c r="AW499" i="3" a="1"/>
  <c r="AW421" i="3" a="1"/>
  <c r="AW353" i="3" a="1"/>
  <c r="AW278" i="3" a="1"/>
  <c r="AW210" i="3" a="1"/>
  <c r="AW548" i="3" a="1"/>
  <c r="AW418" i="3" a="1"/>
  <c r="AW295" i="3" a="1"/>
  <c r="AW614" i="3" a="1"/>
  <c r="AW566" i="3" a="1"/>
  <c r="AW541" i="3" a="1"/>
  <c r="AW512" i="3" a="1"/>
  <c r="AW484" i="3" a="1"/>
  <c r="AW462" i="3" a="1"/>
  <c r="AW434" i="3" a="1"/>
  <c r="AW411" i="3" a="1"/>
  <c r="AW385" i="3" a="1"/>
  <c r="AW358" i="3" a="1"/>
  <c r="AW338" i="3" a="1"/>
  <c r="AW311" i="3" a="1"/>
  <c r="AW290" i="3" a="1"/>
  <c r="AW263" i="3" a="1"/>
  <c r="AW221" i="3" a="1"/>
  <c r="AW201" i="3" a="1"/>
  <c r="AW182" i="3" a="1"/>
  <c r="AW565" i="3" a="1"/>
  <c r="AW535" i="3" a="1"/>
  <c r="AW511" i="3" a="1"/>
  <c r="AW483" i="3" a="1"/>
  <c r="AW461" i="3" a="1"/>
  <c r="AW433" i="3" a="1"/>
  <c r="AW406" i="3" a="1"/>
  <c r="AW384" i="3" a="1"/>
  <c r="AW337" i="3" a="1"/>
  <c r="AW310" i="3" a="1"/>
  <c r="AW284" i="3" a="1"/>
  <c r="AW262" i="3" a="1"/>
  <c r="AW236" i="3" a="1"/>
  <c r="AW220" i="3" a="1"/>
  <c r="AW200" i="3" a="1"/>
  <c r="AW427" i="3" a="1"/>
  <c r="AW327" i="3" a="1"/>
  <c r="AW234" i="3" a="1"/>
  <c r="AW585" i="3" a="1"/>
  <c r="AW527" i="3" a="1"/>
  <c r="AW449" i="3" a="1"/>
  <c r="AW373" i="3" a="1"/>
  <c r="AW298" i="3" a="1"/>
  <c r="AW233" i="3" a="1"/>
  <c r="AW189" i="3" a="1"/>
  <c r="AW496" i="3" a="1"/>
  <c r="AW370" i="3" a="1"/>
  <c r="AW274" i="3" a="1"/>
  <c r="AW517" i="3" a="1"/>
  <c r="AW417" i="3" a="1"/>
  <c r="AW343" i="3" a="1"/>
  <c r="AW564" i="3" a="1"/>
  <c r="AW534" i="3" a="1"/>
  <c r="AW510" i="3" a="1"/>
  <c r="AW482" i="3" a="1"/>
  <c r="AW459" i="3" a="1"/>
  <c r="AW432" i="3" a="1"/>
  <c r="AW405" i="3" a="1"/>
  <c r="AW383" i="3" a="1"/>
  <c r="AW335" i="3" a="1"/>
  <c r="AW309" i="3" a="1"/>
  <c r="AW283" i="3" a="1"/>
  <c r="AW261" i="3" a="1"/>
  <c r="AW235" i="3" a="1"/>
  <c r="AW218" i="3" a="1"/>
  <c r="AW199" i="3" a="1"/>
  <c r="AW1287" i="3" a="1"/>
  <c r="AZ1299" i="3"/>
  <c r="AZ1302" i="3"/>
  <c r="AZ973" i="3"/>
  <c r="AZ838" i="3"/>
  <c r="AW798" i="3" a="1"/>
  <c r="AX149" i="70"/>
  <c r="AW1299" i="3" a="1"/>
  <c r="AW1302" i="3" a="1"/>
  <c r="AW1291" i="3" a="1"/>
  <c r="AW1283" i="3" a="1"/>
  <c r="AW1256" i="3" a="1"/>
  <c r="AW1241" i="3" a="1"/>
  <c r="AW969" i="3" a="1"/>
  <c r="AW1297" i="3" a="1"/>
  <c r="AW1289" i="3" a="1"/>
  <c r="AW1275" i="3" a="1"/>
  <c r="AW1255" i="3" a="1"/>
  <c r="AW1240" i="3" a="1"/>
  <c r="AW968" i="3" a="1"/>
  <c r="AW1288" i="3" a="1"/>
  <c r="AW1282" i="3" a="1"/>
  <c r="AW1254" i="3" a="1"/>
  <c r="AW1239" i="3" a="1"/>
  <c r="AW1295" i="3" a="1"/>
  <c r="AW1286" i="3" a="1"/>
  <c r="AW1281" i="3" a="1"/>
  <c r="AW1266" i="3" a="1"/>
  <c r="AW1253" i="3" a="1"/>
  <c r="AW1238" i="3" a="1"/>
  <c r="AW924" i="3" a="1"/>
  <c r="AW964" i="3" a="1"/>
  <c r="AW625" i="3" a="1"/>
  <c r="AW1011" i="3" a="1"/>
  <c r="AW1252" i="3" a="1"/>
  <c r="AW1237" i="3" a="1"/>
  <c r="AW624" i="3" a="1"/>
  <c r="AW1280" i="3" a="1"/>
  <c r="AW1270" i="3" a="1"/>
  <c r="AW1251" i="3" a="1"/>
  <c r="AW1236" i="3" a="1"/>
  <c r="AW918" i="3" a="1"/>
  <c r="AW623" i="3" a="1"/>
  <c r="AW1315" i="3" a="1"/>
  <c r="AW1285" i="3" a="1"/>
  <c r="AW1279" i="3" a="1"/>
  <c r="AW1265" i="3" a="1"/>
  <c r="AW1250" i="3" a="1"/>
  <c r="AW1235" i="3" a="1"/>
  <c r="AW1269" i="3" a="1"/>
  <c r="AW1264" i="3" a="1"/>
  <c r="AW1249" i="3" a="1"/>
  <c r="AW1234" i="3" a="1"/>
  <c r="AW887" i="3" a="1"/>
  <c r="AW621" i="3" a="1"/>
  <c r="AW590" i="3" a="1"/>
  <c r="AW1313" i="3" a="1"/>
  <c r="AW1278" i="3" a="1"/>
  <c r="AW1268" i="3" a="1"/>
  <c r="AW1263" i="3" a="1"/>
  <c r="AW1248" i="3" a="1"/>
  <c r="AW1233" i="3" a="1"/>
  <c r="AW886" i="3" a="1"/>
  <c r="AW1316" i="3" a="1"/>
  <c r="AW1306" i="3" a="1"/>
  <c r="AW1294" i="3" a="1"/>
  <c r="AW1284" i="3" a="1"/>
  <c r="AW1277" i="3" a="1"/>
  <c r="AW1262" i="3" a="1"/>
  <c r="AW1247" i="3" a="1"/>
  <c r="AW1232" i="3" a="1"/>
  <c r="AW1305" i="3" a="1"/>
  <c r="AW1267" i="3" a="1"/>
  <c r="AW1261" i="3" a="1"/>
  <c r="AW1231" i="3" a="1"/>
  <c r="AW1304" i="3" a="1"/>
  <c r="AW1260" i="3" a="1"/>
  <c r="AW1246" i="3" a="1"/>
  <c r="AW1230" i="3" a="1"/>
  <c r="AW1296" i="3" a="1"/>
  <c r="AW1293" i="3" a="1"/>
  <c r="AW1276" i="3" a="1"/>
  <c r="AW1259" i="3" a="1"/>
  <c r="AW1245" i="3" a="1"/>
  <c r="AW1229" i="3" a="1"/>
  <c r="AW1112" i="3" a="1"/>
  <c r="AW884" i="3" a="1"/>
  <c r="C28" i="47"/>
  <c r="AW656" i="3" s="1" a="1"/>
  <c r="AW638" i="3" a="1"/>
  <c r="AW637" i="3" a="1"/>
  <c r="AW610" i="3" a="1"/>
  <c r="AW612" i="3" a="1"/>
  <c r="AW611" i="3" a="1"/>
  <c r="AW1292" i="3" a="1"/>
  <c r="AW1258" i="3" a="1"/>
  <c r="AW1244" i="3" a="1"/>
  <c r="AW1228" i="3" a="1"/>
  <c r="AW922" i="3" a="1"/>
  <c r="C35" i="47"/>
  <c r="AW885" i="3" s="1" a="1"/>
  <c r="AW799" i="3" a="1"/>
  <c r="AW609" i="3" a="1"/>
  <c r="AW1290" i="3" a="1"/>
  <c r="AW1300" i="3" a="1"/>
  <c r="AW1298" i="3" a="1"/>
  <c r="AW1243" i="3" a="1"/>
  <c r="AW882" i="3" a="1"/>
  <c r="AW608" i="3" a="1"/>
  <c r="AW1257" i="3" a="1"/>
  <c r="AW1242" i="3" a="1"/>
  <c r="Z1284" i="3"/>
  <c r="Z1239" i="3"/>
  <c r="W1012" i="3"/>
  <c r="X1012" i="3"/>
  <c r="W938" i="3"/>
  <c r="Z1261" i="3"/>
  <c r="Z1231" i="3"/>
  <c r="W1072" i="3"/>
  <c r="Z894" i="3"/>
  <c r="Z880" i="3"/>
  <c r="W939" i="3"/>
  <c r="Z1291" i="3"/>
  <c r="Z1256" i="3"/>
  <c r="Z1241" i="3"/>
  <c r="W1062" i="3"/>
  <c r="W971" i="3"/>
  <c r="W920" i="3"/>
  <c r="Z660" i="3"/>
  <c r="AW528" i="3" a="1"/>
  <c r="Z528" i="3"/>
  <c r="AW822" i="3" a="1"/>
  <c r="Z822" i="3"/>
  <c r="Z806" i="3"/>
  <c r="Z805" i="3"/>
  <c r="Z804" i="3"/>
  <c r="Z791" i="3"/>
  <c r="Z785" i="3"/>
  <c r="Z765" i="3"/>
  <c r="Z721" i="3"/>
  <c r="Z872" i="3"/>
  <c r="Z868" i="3"/>
  <c r="Z866" i="3"/>
  <c r="Z852" i="3"/>
  <c r="Z851" i="3"/>
  <c r="Z849" i="3"/>
  <c r="AW847" i="3" a="1"/>
  <c r="Z847" i="3"/>
  <c r="Z846" i="3"/>
  <c r="Z843" i="3"/>
  <c r="Z842" i="3"/>
  <c r="Z841" i="3"/>
  <c r="Z837" i="3"/>
  <c r="AW834" i="3" a="1"/>
  <c r="Z834" i="3"/>
  <c r="Z831" i="3"/>
  <c r="Z827" i="3"/>
  <c r="AW823" i="3" a="1"/>
  <c r="Z823" i="3"/>
  <c r="W941" i="3"/>
  <c r="X965" i="3"/>
  <c r="W472" i="3"/>
  <c r="W406" i="3"/>
  <c r="X996" i="3"/>
  <c r="Z1268" i="3"/>
  <c r="W894" i="3"/>
  <c r="W1057" i="3"/>
  <c r="W271" i="3"/>
  <c r="U1287" i="3" a="1"/>
  <c r="U1286" i="3" a="1"/>
  <c r="U1285" i="3" a="1"/>
  <c r="AW578" i="3" a="1"/>
  <c r="AW654" i="3" a="1"/>
  <c r="AW646" i="3" a="1"/>
  <c r="AW666" i="3" a="1"/>
  <c r="AW591" i="3" a="1"/>
  <c r="AW592" i="3" a="1"/>
  <c r="AW593" i="3" a="1"/>
  <c r="AW594" i="3" a="1"/>
  <c r="AW606" i="3" a="1"/>
  <c r="AW607" i="3" a="1"/>
  <c r="AW622" i="3" a="1"/>
  <c r="AW626" i="3" a="1"/>
  <c r="AW627" i="3" a="1"/>
  <c r="AW632" i="3" a="1"/>
  <c r="AW633" i="3" a="1"/>
  <c r="AW529" i="3" a="1"/>
  <c r="AW559" i="3" a="1"/>
  <c r="AW560" i="3" a="1"/>
  <c r="AW569" i="3" a="1"/>
  <c r="AW579" i="3" a="1"/>
  <c r="AW586" i="3" a="1"/>
  <c r="AW587" i="3" a="1"/>
  <c r="AW588" i="3" a="1"/>
  <c r="AW589" i="3" a="1"/>
  <c r="AW602" i="3" a="1"/>
  <c r="AW613" i="3" a="1"/>
  <c r="AW618" i="3" a="1"/>
  <c r="AW619" i="3" a="1"/>
  <c r="AW620" i="3" a="1"/>
  <c r="AW629" i="3" a="1"/>
  <c r="AW630" i="3" a="1"/>
  <c r="AW631" i="3" a="1"/>
  <c r="AW642" i="3" a="1"/>
  <c r="AW645" i="3" a="1"/>
  <c r="AW664" i="3" a="1"/>
  <c r="AW668" i="3" a="1"/>
  <c r="AW821" i="3" a="1"/>
  <c r="AW820" i="3" a="1"/>
  <c r="AW819" i="3" a="1"/>
  <c r="AW818" i="3" a="1"/>
  <c r="AW816" i="3" a="1"/>
  <c r="AW814" i="3" a="1"/>
  <c r="AW812" i="3" a="1"/>
  <c r="AW811" i="3" a="1"/>
  <c r="AW809" i="3" a="1"/>
  <c r="AW808" i="3" a="1"/>
  <c r="AW803" i="3" a="1"/>
  <c r="AW802" i="3" a="1"/>
  <c r="AW800" i="3" a="1"/>
  <c r="AW788" i="3" a="1"/>
  <c r="AW782" i="3" a="1"/>
  <c r="AW776" i="3" a="1"/>
  <c r="AW775" i="3" a="1"/>
  <c r="AW774" i="3" a="1"/>
  <c r="AW773" i="3" a="1"/>
  <c r="AW772" i="3" a="1"/>
  <c r="AW770" i="3" a="1"/>
  <c r="AW769" i="3" a="1"/>
  <c r="AW768" i="3" a="1"/>
  <c r="AW746" i="3" a="1"/>
  <c r="AW688" i="3" a="1"/>
  <c r="AW687" i="3" a="1"/>
  <c r="AW686" i="3" a="1"/>
  <c r="AW955" i="3" a="1"/>
  <c r="AW917" i="3" a="1"/>
  <c r="AW916" i="3" a="1"/>
  <c r="AW915" i="3" a="1"/>
  <c r="AW970" i="3" a="1"/>
  <c r="AW967" i="3" a="1"/>
  <c r="AW961" i="3" a="1"/>
  <c r="AW911" i="3" a="1"/>
  <c r="AW909" i="3" a="1"/>
  <c r="AW905" i="3" a="1"/>
  <c r="AW904" i="3" a="1"/>
  <c r="AW903" i="3" a="1"/>
  <c r="AW900" i="3" a="1"/>
  <c r="AW888" i="3" a="1"/>
  <c r="AW880" i="3" a="1"/>
  <c r="AW861" i="3" a="1"/>
  <c r="AW860" i="3" a="1"/>
  <c r="AW855" i="3" a="1"/>
  <c r="AW844" i="3" a="1"/>
  <c r="AW830" i="3" a="1"/>
  <c r="AW829" i="3" a="1"/>
  <c r="AW825" i="3" a="1"/>
  <c r="AW628" i="3" a="1"/>
  <c r="AW639" i="3" a="1"/>
  <c r="W1133" i="3"/>
  <c r="W1059" i="3"/>
  <c r="Z966" i="3"/>
  <c r="Z910" i="3"/>
  <c r="Z902" i="3"/>
  <c r="Z965" i="3"/>
  <c r="Z920" i="3"/>
  <c r="Z1245" i="3"/>
  <c r="Z1229" i="3"/>
  <c r="Z913" i="3"/>
  <c r="Z898" i="3"/>
  <c r="Z885" i="3"/>
  <c r="Z1040" i="3"/>
  <c r="Z1112" i="3"/>
  <c r="Z884" i="3"/>
  <c r="Z1305" i="3"/>
  <c r="Z1269" i="3"/>
  <c r="Z1264" i="3"/>
  <c r="Z1249" i="3"/>
  <c r="Z1234" i="3"/>
  <c r="Z917" i="3"/>
  <c r="Z904" i="3"/>
  <c r="Z888" i="3"/>
  <c r="Z1002" i="3"/>
  <c r="Z1297" i="3"/>
  <c r="Z1289" i="3"/>
  <c r="Z1059" i="3"/>
  <c r="Z1275" i="3"/>
  <c r="Z1012" i="3"/>
  <c r="Z1240" i="3"/>
  <c r="Z969" i="3"/>
  <c r="Z940" i="3"/>
  <c r="Z899" i="3"/>
  <c r="Z1031" i="3"/>
  <c r="Z971" i="3"/>
  <c r="Z912" i="3"/>
  <c r="Z950" i="3"/>
  <c r="Z1288" i="3"/>
  <c r="Z1282" i="3"/>
  <c r="Z1292" i="3"/>
  <c r="W343" i="3"/>
  <c r="X1134" i="3"/>
  <c r="Z1053" i="3"/>
  <c r="Z1037" i="3"/>
  <c r="Z1113" i="3"/>
  <c r="Z1260" i="3"/>
  <c r="Z1246" i="3"/>
  <c r="Z1230" i="3"/>
  <c r="Z921" i="3"/>
  <c r="Z970" i="3"/>
  <c r="X906" i="3"/>
  <c r="W869" i="3"/>
  <c r="W622" i="3"/>
  <c r="W963" i="3"/>
  <c r="W397" i="3"/>
  <c r="Z893" i="3"/>
  <c r="W347" i="3"/>
  <c r="Z1258" i="3"/>
  <c r="Z938" i="3"/>
  <c r="W552" i="3"/>
  <c r="Z930" i="3"/>
  <c r="Z994" i="3"/>
  <c r="W682" i="3"/>
  <c r="W344" i="3"/>
  <c r="W279" i="3"/>
  <c r="W209" i="3"/>
  <c r="X864" i="3"/>
  <c r="W648" i="3"/>
  <c r="V1017" i="3"/>
  <c r="W470" i="3"/>
  <c r="W277" i="3"/>
  <c r="X593" i="3"/>
  <c r="X884" i="3"/>
  <c r="W276" i="3"/>
  <c r="X584" i="3"/>
  <c r="W867" i="3"/>
  <c r="X656" i="3"/>
  <c r="W615" i="3"/>
  <c r="W350" i="3"/>
  <c r="W711" i="3"/>
  <c r="W1134" i="3"/>
  <c r="X871" i="3"/>
  <c r="Z1295" i="3"/>
  <c r="Z1281" i="3"/>
  <c r="Z1253" i="3"/>
  <c r="Z929" i="3"/>
  <c r="Z908" i="3"/>
  <c r="Z1300" i="3"/>
  <c r="W282" i="3"/>
  <c r="W407" i="3"/>
  <c r="W346" i="3"/>
  <c r="W744" i="3"/>
  <c r="W940" i="3"/>
  <c r="W595" i="3"/>
  <c r="W1052" i="3"/>
  <c r="Z1021" i="3"/>
  <c r="Z1285" i="3"/>
  <c r="Z1244" i="3"/>
  <c r="Z1313" i="3"/>
  <c r="Z1251" i="3"/>
  <c r="Z890" i="3"/>
  <c r="Z1242" i="3"/>
  <c r="X806" i="3"/>
  <c r="W280" i="3"/>
  <c r="X613" i="3"/>
  <c r="X753" i="3"/>
  <c r="X894" i="3"/>
  <c r="X987" i="3"/>
  <c r="X828" i="3"/>
  <c r="X249" i="3"/>
  <c r="W976" i="3"/>
  <c r="X976" i="3"/>
  <c r="X1009" i="3"/>
  <c r="W828" i="3"/>
  <c r="Z874" i="3"/>
  <c r="Z906" i="3"/>
  <c r="W617" i="3"/>
  <c r="W966" i="3"/>
  <c r="X703" i="3"/>
  <c r="W365" i="3"/>
  <c r="W318" i="3"/>
  <c r="W286" i="3"/>
  <c r="W270" i="3"/>
  <c r="W717" i="3"/>
  <c r="X842" i="3"/>
  <c r="W663" i="3"/>
  <c r="W386" i="3"/>
  <c r="W831" i="3"/>
  <c r="X1062" i="3"/>
  <c r="W1021" i="3"/>
  <c r="X893" i="3"/>
  <c r="W1053" i="3"/>
  <c r="W943" i="3"/>
  <c r="Z1057" i="3"/>
  <c r="Z1228" i="3"/>
  <c r="Z897" i="3"/>
  <c r="W1038" i="3"/>
  <c r="W383" i="3"/>
  <c r="W1007" i="3"/>
  <c r="W558" i="3"/>
  <c r="W352" i="3"/>
  <c r="W319" i="3"/>
  <c r="X966" i="3"/>
  <c r="W330" i="3"/>
  <c r="W836" i="3"/>
  <c r="X836" i="3"/>
  <c r="X910" i="3"/>
  <c r="W432" i="3"/>
  <c r="W401" i="3"/>
  <c r="W385" i="3"/>
  <c r="W866" i="3"/>
  <c r="V1094" i="3"/>
  <c r="W274" i="3"/>
  <c r="X745" i="3"/>
  <c r="W864" i="3"/>
  <c r="W400" i="3"/>
  <c r="W321" i="3"/>
  <c r="W375" i="3"/>
  <c r="W618" i="3"/>
  <c r="W273" i="3"/>
  <c r="W398" i="3"/>
  <c r="W382" i="3"/>
  <c r="W978" i="3"/>
  <c r="W996" i="3"/>
  <c r="W857" i="3"/>
  <c r="X940" i="3"/>
  <c r="W572" i="3"/>
  <c r="W395" i="3"/>
  <c r="W285" i="3"/>
  <c r="W585" i="3"/>
  <c r="W705" i="3"/>
  <c r="X639" i="3"/>
  <c r="X811" i="3"/>
  <c r="W349" i="3"/>
  <c r="W316" i="3"/>
  <c r="W849" i="3"/>
  <c r="W913" i="3"/>
  <c r="W675" i="3"/>
  <c r="W769" i="3"/>
  <c r="W473" i="3"/>
  <c r="W409" i="3"/>
  <c r="W283" i="3"/>
  <c r="W969" i="3"/>
  <c r="W1271" i="3"/>
  <c r="W899" i="3"/>
  <c r="X913" i="3"/>
  <c r="X899" i="3"/>
  <c r="W946" i="3"/>
  <c r="W551" i="3"/>
  <c r="W810" i="3"/>
  <c r="X810" i="3"/>
  <c r="W433" i="3"/>
  <c r="W972" i="3"/>
  <c r="Z1236" i="3"/>
  <c r="Z1022" i="3"/>
  <c r="Z911" i="3"/>
  <c r="Z968" i="3"/>
  <c r="Z947" i="3"/>
  <c r="Z1255" i="3"/>
  <c r="Z1273" i="3"/>
  <c r="Z1254" i="3"/>
  <c r="Z972" i="3"/>
  <c r="Z948" i="3"/>
  <c r="Z1267" i="3"/>
  <c r="Z936" i="3"/>
  <c r="Z974" i="3"/>
  <c r="Z900" i="3"/>
  <c r="Z958" i="3"/>
  <c r="Z993" i="3"/>
  <c r="Z953" i="3"/>
  <c r="Z1278" i="3"/>
  <c r="Z1263" i="3"/>
  <c r="Z1248" i="3"/>
  <c r="Z1133" i="3"/>
  <c r="Z1290" i="3"/>
  <c r="Z933" i="3"/>
  <c r="Z919" i="3"/>
  <c r="Z1294" i="3"/>
  <c r="Z1277" i="3"/>
  <c r="Z1051" i="3"/>
  <c r="Z1262" i="3"/>
  <c r="Z1247" i="3"/>
  <c r="Z1232" i="3"/>
  <c r="Z915" i="3"/>
  <c r="Z942" i="3"/>
  <c r="Z901" i="3"/>
  <c r="Z886" i="3"/>
  <c r="Z1233" i="3"/>
  <c r="Z1270" i="3"/>
  <c r="Z1003" i="3"/>
  <c r="Z1280" i="3"/>
  <c r="Z916" i="3"/>
  <c r="Z943" i="3"/>
  <c r="Z887" i="3"/>
  <c r="Z1237" i="3"/>
  <c r="Z924" i="3"/>
  <c r="Z964" i="3"/>
  <c r="Z907" i="3"/>
  <c r="Z891" i="3"/>
  <c r="Z1091" i="3"/>
  <c r="X890" i="3"/>
  <c r="U1298" i="3" a="1"/>
  <c r="U1299" i="3" a="1"/>
  <c r="Z1068" i="3"/>
  <c r="Z1090" i="3"/>
  <c r="Z1315" i="3"/>
  <c r="Z1005" i="3"/>
  <c r="Z977" i="3"/>
  <c r="Z1010" i="3"/>
  <c r="Z1151" i="3"/>
  <c r="Z1111" i="3"/>
  <c r="Z932" i="3"/>
  <c r="Z1286" i="3"/>
  <c r="Z954" i="3"/>
  <c r="Z1035" i="3"/>
  <c r="Z1283" i="3"/>
  <c r="Z945" i="3"/>
  <c r="Z939" i="3"/>
  <c r="Z1272" i="3"/>
  <c r="Z1266" i="3"/>
  <c r="Z1257" i="3"/>
  <c r="Z1238" i="3"/>
  <c r="Z892" i="3"/>
  <c r="BF573" i="3"/>
  <c r="X573" i="3" s="1"/>
  <c r="BF522" i="3"/>
  <c r="X522" i="3" s="1"/>
  <c r="BF592" i="3"/>
  <c r="X592" i="3" s="1"/>
  <c r="U138" i="122"/>
  <c r="Z1001" i="3"/>
  <c r="Z1062" i="3"/>
  <c r="Z944" i="3"/>
  <c r="Z1271" i="3"/>
  <c r="Z1011" i="3"/>
  <c r="Z1252" i="3"/>
  <c r="Z1039" i="3"/>
  <c r="Z955" i="3"/>
  <c r="Z1243" i="3"/>
  <c r="Z922" i="3"/>
  <c r="Z883" i="3"/>
  <c r="Z996" i="3"/>
  <c r="Z987" i="3"/>
  <c r="Z895" i="3"/>
  <c r="Z882" i="3"/>
  <c r="Z988" i="3"/>
  <c r="Z925" i="3"/>
  <c r="Z896" i="3"/>
  <c r="Z976" i="3"/>
  <c r="Z1045" i="3"/>
  <c r="X94" i="122"/>
  <c r="E121" i="122"/>
  <c r="X138" i="122"/>
  <c r="AX15" i="70"/>
  <c r="AX169" i="70"/>
  <c r="AU136" i="70" a="1"/>
  <c r="AX75" i="70"/>
  <c r="AU129" i="70" a="1"/>
  <c r="AX133" i="70"/>
  <c r="AX18" i="70"/>
  <c r="AU72" i="70" a="1"/>
  <c r="AU137" i="70" a="1"/>
  <c r="AX94" i="70"/>
  <c r="AU138" i="70" a="1"/>
  <c r="AX78" i="70"/>
  <c r="AU128" i="70" a="1"/>
  <c r="AU37" i="70" a="1"/>
  <c r="AU132" i="70" a="1"/>
  <c r="AX30" i="70"/>
  <c r="AX156" i="70"/>
  <c r="AX44" i="70"/>
  <c r="AX82" i="70"/>
  <c r="AX164" i="70"/>
  <c r="AX152" i="70"/>
  <c r="AX70" i="70"/>
  <c r="AU66" i="70" a="1"/>
  <c r="AX49" i="70"/>
  <c r="AX128" i="70"/>
  <c r="AU70" i="70" a="1"/>
  <c r="AX13" i="70"/>
  <c r="AX68" i="70"/>
  <c r="AX16" i="70"/>
  <c r="AX110" i="70"/>
  <c r="AX126" i="70"/>
  <c r="AX61" i="70"/>
  <c r="AX148" i="70"/>
  <c r="AX88" i="70"/>
  <c r="AX159" i="70"/>
  <c r="AX122" i="70"/>
  <c r="AX4" i="70"/>
  <c r="AX165" i="70"/>
  <c r="AX153" i="70"/>
  <c r="AX12" i="70"/>
  <c r="AU2" i="70" a="1"/>
  <c r="AX134" i="70"/>
  <c r="AX124" i="70"/>
  <c r="AU6" i="70" a="1"/>
  <c r="AX77" i="70"/>
  <c r="AU62" i="70" a="1"/>
  <c r="AX59" i="70"/>
  <c r="AX105" i="70"/>
  <c r="AU46" i="70" a="1"/>
  <c r="AX172" i="70"/>
  <c r="AU81" i="70" a="1"/>
  <c r="AX173" i="70"/>
  <c r="AU12" i="70" a="1"/>
  <c r="AX39" i="70"/>
  <c r="AU30" i="70" a="1"/>
  <c r="AX162" i="70"/>
  <c r="AX151" i="70"/>
  <c r="AX31" i="70"/>
  <c r="AU16" i="70" a="1"/>
  <c r="AX10" i="70"/>
  <c r="AX5" i="70"/>
  <c r="AU69" i="70" a="1"/>
  <c r="AX43" i="70"/>
  <c r="AU67" i="70" a="1"/>
  <c r="AX17" i="70"/>
  <c r="AX29" i="70"/>
  <c r="AU11" i="70" a="1"/>
  <c r="AX176" i="70"/>
  <c r="AU31" i="70" a="1"/>
  <c r="AU139" i="70" a="1"/>
  <c r="AX205" i="70"/>
  <c r="AX114" i="70"/>
  <c r="AU14" i="70" a="1"/>
  <c r="AX163" i="70"/>
  <c r="AX150" i="70"/>
  <c r="AX95" i="70"/>
  <c r="AU135" i="70" a="1"/>
  <c r="AX74" i="70"/>
  <c r="AX69" i="70"/>
  <c r="AU5" i="70" a="1"/>
  <c r="AX46" i="70"/>
  <c r="AU61" i="70" a="1"/>
  <c r="AX81" i="70"/>
  <c r="AX93" i="70"/>
  <c r="AU45" i="70" a="1"/>
  <c r="AX139" i="70"/>
  <c r="AX158" i="70"/>
  <c r="AU127" i="70" a="1"/>
  <c r="AX76" i="70"/>
  <c r="AX140" i="70"/>
  <c r="AU33" i="70" a="1"/>
  <c r="AX143" i="70"/>
  <c r="AX138" i="70"/>
  <c r="AX127" i="70"/>
  <c r="AX67" i="70"/>
  <c r="AX3" i="70"/>
  <c r="AU15" i="70" a="1"/>
  <c r="AX131" i="70"/>
  <c r="AU75" i="70" a="1"/>
  <c r="AX35" i="70"/>
  <c r="AX142" i="70"/>
  <c r="AU43" i="70" a="1"/>
  <c r="AU36" i="70" a="1"/>
  <c r="AU17" i="70" a="1"/>
  <c r="AX64" i="70"/>
  <c r="AX167" i="70"/>
  <c r="AX129" i="70"/>
  <c r="AX21" i="70"/>
  <c r="AX28" i="70"/>
  <c r="AU77" i="70" a="1"/>
  <c r="AX144" i="70"/>
  <c r="AX137" i="70"/>
  <c r="AX32" i="70"/>
  <c r="AU124" i="70" a="1"/>
  <c r="AU125" i="70" a="1"/>
  <c r="AX38" i="70"/>
  <c r="AU28" i="70" a="1"/>
  <c r="AX7" i="70"/>
  <c r="AU20" i="70" a="1"/>
  <c r="AX42" i="70"/>
  <c r="AX62" i="70"/>
  <c r="AU68" i="70" a="1"/>
  <c r="AX157" i="70"/>
  <c r="AX171" i="70"/>
  <c r="AX86" i="70"/>
  <c r="AX19" i="70"/>
  <c r="AU134" i="70" a="1"/>
  <c r="AX125" i="70"/>
  <c r="AX40" i="70"/>
  <c r="AU29" i="70" a="1"/>
  <c r="AX145" i="70"/>
  <c r="AX117" i="70"/>
  <c r="AU82" i="70" a="1"/>
  <c r="AX96" i="70"/>
  <c r="AX132" i="70"/>
  <c r="AU22" i="70" a="1"/>
  <c r="AX113" i="70"/>
  <c r="AU34" i="70" a="1"/>
  <c r="AX71" i="70"/>
  <c r="AU23" i="70" a="1"/>
  <c r="AX119" i="70"/>
  <c r="AU4" i="70" a="1"/>
  <c r="AU88" i="70" a="1"/>
  <c r="AX160" i="70"/>
  <c r="AX118" i="70"/>
  <c r="AX33" i="70"/>
  <c r="AX104" i="70"/>
  <c r="AU39" i="70" a="1"/>
  <c r="AU9" i="70" a="1"/>
  <c r="AX106" i="70"/>
  <c r="AX23" i="70"/>
  <c r="AU74" i="70" a="1"/>
  <c r="AX108" i="70"/>
  <c r="AX22" i="70"/>
  <c r="AX135" i="70"/>
  <c r="AU79" i="70" a="1"/>
  <c r="AU59" i="70" a="1"/>
  <c r="AU44" i="70" a="1"/>
  <c r="AX130" i="70"/>
  <c r="AX116" i="70"/>
  <c r="AX115" i="70"/>
  <c r="AU13" i="70" a="1"/>
  <c r="AX63" i="70"/>
  <c r="AX11" i="70"/>
  <c r="AU47" i="70" a="1"/>
  <c r="AX91" i="70"/>
  <c r="AU41" i="70" a="1"/>
  <c r="AX9" i="70"/>
  <c r="AX111" i="70"/>
  <c r="AX20" i="70"/>
  <c r="AU49" i="70" a="1"/>
  <c r="AX161" i="70"/>
  <c r="AX120" i="70"/>
  <c r="AU78" i="70" a="1"/>
  <c r="AX97" i="70"/>
  <c r="AX136" i="70"/>
  <c r="AU21" i="70" a="1"/>
  <c r="AU131" i="70" a="1"/>
  <c r="AU48" i="70" a="1"/>
  <c r="AX8" i="70"/>
  <c r="AU40" i="70" a="1"/>
  <c r="AU35" i="70" a="1"/>
  <c r="AX87" i="70"/>
  <c r="AU10" i="70" a="1"/>
  <c r="AX84" i="70"/>
  <c r="AX72" i="70"/>
  <c r="AU71" i="70" a="1"/>
  <c r="AU133" i="70" a="1"/>
  <c r="AU85" i="70" a="1"/>
  <c r="AU245" i="70" a="1"/>
  <c r="AX92" i="70"/>
  <c r="AU3" i="70" a="1"/>
  <c r="AX45" i="70"/>
  <c r="AX41" i="70"/>
  <c r="AU42" i="70" a="1"/>
  <c r="AU76" i="70" a="1"/>
  <c r="AU38" i="70" a="1"/>
  <c r="AX168" i="70"/>
  <c r="AU73" i="70" a="1"/>
  <c r="AX60" i="70"/>
  <c r="AX66" i="70"/>
  <c r="AX47" i="70"/>
  <c r="AX141" i="70"/>
  <c r="AX99" i="70"/>
  <c r="AX112" i="70"/>
  <c r="AX123" i="70"/>
  <c r="AX155" i="70"/>
  <c r="AX14" i="70"/>
  <c r="AU126" i="70" a="1"/>
  <c r="AU60" i="70" a="1"/>
  <c r="AU19" i="70" a="1"/>
  <c r="AU63" i="70" a="1"/>
  <c r="AX36" i="70"/>
  <c r="AX6" i="70"/>
  <c r="AX154" i="70"/>
  <c r="AU130" i="70" a="1"/>
  <c r="AX85" i="70"/>
  <c r="AX73" i="70"/>
  <c r="AU65" i="70" a="1"/>
  <c r="AU32" i="70" a="1"/>
  <c r="AX90" i="70"/>
  <c r="AX107" i="70"/>
  <c r="AX147" i="70"/>
  <c r="AU8" i="70" a="1"/>
  <c r="AX48" i="70"/>
  <c r="AX34" i="70"/>
  <c r="AX89" i="70"/>
  <c r="AX37" i="70"/>
  <c r="AX83" i="70"/>
  <c r="AX109" i="70"/>
  <c r="AU7" i="70" a="1"/>
  <c r="AX146" i="70"/>
  <c r="AU18" i="70" a="1"/>
  <c r="AX65" i="70"/>
  <c r="AX121" i="70"/>
  <c r="AX166" i="70"/>
  <c r="AU64" i="70" a="1"/>
  <c r="AX98" i="70"/>
  <c r="AX2" i="70"/>
  <c r="AX79" i="70"/>
  <c r="AU123" i="70" a="1"/>
  <c r="AX170" i="70"/>
  <c r="AU83" i="70" a="1"/>
  <c r="AX202" i="70"/>
  <c r="AX201" i="70"/>
  <c r="AX249" i="70"/>
  <c r="AU50" i="70" a="1"/>
  <c r="AU51" i="70" a="1"/>
  <c r="AX178" i="70"/>
  <c r="AX298" i="70"/>
  <c r="AX203" i="70"/>
  <c r="AX177" i="70"/>
  <c r="AU248" i="70" a="1"/>
  <c r="AU26" i="70" a="1"/>
  <c r="AX206" i="70"/>
  <c r="AX248" i="70"/>
  <c r="AX175" i="70"/>
  <c r="AX50" i="70"/>
  <c r="AU246" i="70" a="1"/>
  <c r="AX246" i="70"/>
  <c r="AX58" i="70"/>
  <c r="AU249" i="70" a="1"/>
  <c r="AX213" i="70"/>
  <c r="AU56" i="70" a="1"/>
  <c r="AX51" i="70"/>
  <c r="AU250" i="70" a="1"/>
  <c r="AU258" i="70" a="1"/>
  <c r="AU297" i="70" a="1"/>
  <c r="AU57" i="70" a="1"/>
  <c r="AX301" i="70"/>
  <c r="AX250" i="70"/>
  <c r="AX258" i="70"/>
  <c r="AX209" i="70"/>
  <c r="AU24" i="70" a="1"/>
  <c r="AX210" i="70"/>
  <c r="AU25" i="70" a="1"/>
  <c r="AU301" i="70" a="1"/>
  <c r="AU27" i="70" a="1"/>
  <c r="AX55" i="70"/>
  <c r="AU298" i="70" a="1"/>
  <c r="AU174" i="70" a="1"/>
  <c r="AU247" i="70" a="1"/>
  <c r="AX53" i="70"/>
  <c r="AX297" i="70"/>
  <c r="AX184" i="70"/>
  <c r="AX257" i="70"/>
  <c r="AX54" i="70"/>
  <c r="AX217" i="70"/>
  <c r="AX80" i="70"/>
  <c r="AX190" i="70"/>
  <c r="AU257" i="70" a="1"/>
  <c r="AX57" i="70"/>
  <c r="AX192" i="70"/>
  <c r="AU251" i="70" a="1"/>
  <c r="AU53" i="70" a="1"/>
  <c r="AX174" i="70"/>
  <c r="AX185" i="70"/>
  <c r="AX300" i="70"/>
  <c r="AX56" i="70"/>
  <c r="AU300" i="70" a="1"/>
  <c r="AX245" i="70"/>
  <c r="AX247" i="70"/>
  <c r="AX193" i="70"/>
  <c r="AX251" i="70"/>
  <c r="AU54" i="70" a="1"/>
  <c r="AX299" i="70"/>
  <c r="AU299" i="70" a="1"/>
  <c r="AX52" i="70"/>
  <c r="AU80" i="70" a="1"/>
  <c r="AU55" i="70" a="1"/>
  <c r="AX216" i="70"/>
  <c r="AX215" i="70"/>
  <c r="AX198" i="70"/>
  <c r="AX196" i="70"/>
  <c r="AX179" i="70"/>
  <c r="AU52" i="70" a="1"/>
  <c r="AX191" i="70"/>
  <c r="AX204" i="70"/>
  <c r="AX211" i="70"/>
  <c r="AX208" i="70"/>
  <c r="AX207" i="70"/>
  <c r="AX244" i="70"/>
  <c r="AX212" i="70"/>
  <c r="AU244" i="70" a="1"/>
  <c r="AZ211" i="3"/>
  <c r="AZ233" i="3"/>
  <c r="AZ263" i="3"/>
  <c r="AZ288" i="3"/>
  <c r="AZ302" i="3"/>
  <c r="AZ343" i="3"/>
  <c r="AZ396" i="3"/>
  <c r="AZ414" i="3"/>
  <c r="AZ436" i="3"/>
  <c r="AZ485" i="3"/>
  <c r="AZ511" i="3"/>
  <c r="AZ532" i="3"/>
  <c r="AZ548" i="3"/>
  <c r="AZ570" i="3"/>
  <c r="AZ591" i="3"/>
  <c r="AZ648" i="3"/>
  <c r="AZ670" i="3"/>
  <c r="AZ725" i="3"/>
  <c r="AZ745" i="3"/>
  <c r="AZ786" i="3"/>
  <c r="AZ803" i="3"/>
  <c r="AZ829" i="3"/>
  <c r="AZ846" i="3"/>
  <c r="AZ867" i="3"/>
  <c r="AZ885" i="3"/>
  <c r="AZ898" i="3"/>
  <c r="AZ941" i="3"/>
  <c r="AZ945" i="3"/>
  <c r="AZ949" i="3"/>
  <c r="AZ776" i="3"/>
  <c r="AZ186" i="3"/>
  <c r="AZ212" i="3"/>
  <c r="AZ234" i="3"/>
  <c r="AZ264" i="3"/>
  <c r="AZ303" i="3"/>
  <c r="AZ328" i="3"/>
  <c r="AZ344" i="3"/>
  <c r="AZ415" i="3"/>
  <c r="AZ437" i="3"/>
  <c r="AZ470" i="3"/>
  <c r="AZ512" i="3"/>
  <c r="AZ533" i="3"/>
  <c r="AZ549" i="3"/>
  <c r="AZ571" i="3"/>
  <c r="AZ592" i="3"/>
  <c r="AZ649" i="3"/>
  <c r="AZ671" i="3"/>
  <c r="AZ726" i="3"/>
  <c r="AZ746" i="3"/>
  <c r="AZ768" i="3"/>
  <c r="AZ787" i="3"/>
  <c r="AZ804" i="3"/>
  <c r="AZ830" i="3"/>
  <c r="AZ847" i="3"/>
  <c r="AZ868" i="3"/>
  <c r="AZ899" i="3"/>
  <c r="AZ942" i="3"/>
  <c r="AZ952" i="3"/>
  <c r="AZ520" i="3"/>
  <c r="AZ860" i="3"/>
  <c r="AZ187" i="3"/>
  <c r="AZ213" i="3"/>
  <c r="AZ265" i="3"/>
  <c r="AZ304" i="3"/>
  <c r="AZ329" i="3"/>
  <c r="AZ345" i="3"/>
  <c r="AZ380" i="3"/>
  <c r="AZ438" i="3"/>
  <c r="AZ471" i="3"/>
  <c r="AZ513" i="3"/>
  <c r="AZ534" i="3"/>
  <c r="AZ593" i="3"/>
  <c r="AZ650" i="3"/>
  <c r="AZ672" i="3"/>
  <c r="AZ727" i="3"/>
  <c r="AZ747" i="3"/>
  <c r="AZ769" i="3"/>
  <c r="AZ788" i="3"/>
  <c r="AZ805" i="3"/>
  <c r="AZ831" i="3"/>
  <c r="AZ869" i="3"/>
  <c r="AZ900" i="3"/>
  <c r="AZ943" i="3"/>
  <c r="AZ987" i="3"/>
  <c r="AZ994" i="3"/>
  <c r="AZ1005" i="3"/>
  <c r="AZ996" i="3"/>
  <c r="AZ188" i="3"/>
  <c r="AZ201" i="3"/>
  <c r="AZ214" i="3"/>
  <c r="AZ266" i="3"/>
  <c r="AZ305" i="3"/>
  <c r="AZ330" i="3"/>
  <c r="AZ346" i="3"/>
  <c r="AZ360" i="3"/>
  <c r="AZ439" i="3"/>
  <c r="AZ472" i="3"/>
  <c r="AZ514" i="3"/>
  <c r="AZ535" i="3"/>
  <c r="AZ551" i="3"/>
  <c r="AZ573" i="3"/>
  <c r="AZ594" i="3"/>
  <c r="AZ635" i="3"/>
  <c r="AZ651" i="3"/>
  <c r="AZ673" i="3"/>
  <c r="AZ712" i="3"/>
  <c r="AZ728" i="3"/>
  <c r="AZ748" i="3"/>
  <c r="AZ770" i="3"/>
  <c r="AZ789" i="3"/>
  <c r="AZ806" i="3"/>
  <c r="AZ832" i="3"/>
  <c r="AZ870" i="3"/>
  <c r="AZ886" i="3"/>
  <c r="AZ901" i="3"/>
  <c r="AZ947" i="3"/>
  <c r="AZ1059" i="3"/>
  <c r="AZ951" i="3"/>
  <c r="AZ563" i="3"/>
  <c r="AZ892" i="3"/>
  <c r="AZ202" i="3"/>
  <c r="AZ215" i="3"/>
  <c r="AZ291" i="3"/>
  <c r="AZ306" i="3"/>
  <c r="AZ331" i="3"/>
  <c r="AZ347" i="3"/>
  <c r="AZ361" i="3"/>
  <c r="AZ445" i="3"/>
  <c r="AZ473" i="3"/>
  <c r="AZ515" i="3"/>
  <c r="AZ536" i="3"/>
  <c r="AZ552" i="3"/>
  <c r="AZ595" i="3"/>
  <c r="AZ636" i="3"/>
  <c r="AZ652" i="3"/>
  <c r="AZ674" i="3"/>
  <c r="AZ696" i="3"/>
  <c r="AZ713" i="3"/>
  <c r="AZ749" i="3"/>
  <c r="AZ771" i="3"/>
  <c r="AZ807" i="3"/>
  <c r="AZ833" i="3"/>
  <c r="AZ849" i="3"/>
  <c r="AZ871" i="3"/>
  <c r="AZ887" i="3"/>
  <c r="AZ922" i="3"/>
  <c r="AZ944" i="3"/>
  <c r="AZ203" i="3"/>
  <c r="AZ216" i="3"/>
  <c r="AZ235" i="3"/>
  <c r="AZ292" i="3"/>
  <c r="AZ307" i="3"/>
  <c r="AZ332" i="3"/>
  <c r="AZ348" i="3"/>
  <c r="AZ362" i="3"/>
  <c r="AZ383" i="3"/>
  <c r="AZ419" i="3"/>
  <c r="AZ446" i="3"/>
  <c r="AZ474" i="3"/>
  <c r="AZ516" i="3"/>
  <c r="AZ553" i="3"/>
  <c r="AZ653" i="3"/>
  <c r="AZ675" i="3"/>
  <c r="AZ697" i="3"/>
  <c r="AZ750" i="3"/>
  <c r="AZ772" i="3"/>
  <c r="AZ808" i="3"/>
  <c r="AZ834" i="3"/>
  <c r="AZ856" i="3"/>
  <c r="AZ872" i="3"/>
  <c r="AZ888" i="3"/>
  <c r="AZ874" i="3"/>
  <c r="AZ939" i="3"/>
  <c r="AZ621" i="3"/>
  <c r="AZ930" i="3"/>
  <c r="AZ189" i="3"/>
  <c r="AZ217" i="3"/>
  <c r="AZ236" i="3"/>
  <c r="AZ333" i="3"/>
  <c r="AZ349" i="3"/>
  <c r="AZ363" i="3"/>
  <c r="AZ384" i="3"/>
  <c r="AZ402" i="3"/>
  <c r="AZ420" i="3"/>
  <c r="AZ447" i="3"/>
  <c r="AZ475" i="3"/>
  <c r="AZ494" i="3"/>
  <c r="AZ517" i="3"/>
  <c r="AZ618" i="3"/>
  <c r="AZ676" i="3"/>
  <c r="AZ698" i="3"/>
  <c r="AZ751" i="3"/>
  <c r="AZ773" i="3"/>
  <c r="AZ809" i="3"/>
  <c r="AZ835" i="3"/>
  <c r="AZ857" i="3"/>
  <c r="AZ875" i="3"/>
  <c r="AZ889" i="3"/>
  <c r="AZ924" i="3"/>
  <c r="AZ948" i="3"/>
  <c r="AZ1036" i="3"/>
  <c r="AZ663" i="3"/>
  <c r="AZ204" i="3"/>
  <c r="AZ218" i="3"/>
  <c r="AZ293" i="3"/>
  <c r="AZ334" i="3"/>
  <c r="AZ350" i="3"/>
  <c r="AZ364" i="3"/>
  <c r="AZ403" i="3"/>
  <c r="AZ448" i="3"/>
  <c r="AZ476" i="3"/>
  <c r="AZ495" i="3"/>
  <c r="AZ518" i="3"/>
  <c r="AZ582" i="3"/>
  <c r="AZ619" i="3"/>
  <c r="AZ677" i="3"/>
  <c r="AZ699" i="3"/>
  <c r="AZ774" i="3"/>
  <c r="AZ836" i="3"/>
  <c r="AZ858" i="3"/>
  <c r="AZ876" i="3"/>
  <c r="AZ890" i="3"/>
  <c r="AZ938" i="3"/>
  <c r="AZ1006" i="3"/>
  <c r="AZ679" i="3"/>
  <c r="AZ929" i="3"/>
  <c r="AZ205" i="3"/>
  <c r="AZ294" i="3"/>
  <c r="AZ335" i="3"/>
  <c r="AZ351" i="3"/>
  <c r="AZ365" i="3"/>
  <c r="AZ404" i="3"/>
  <c r="AZ422" i="3"/>
  <c r="AZ449" i="3"/>
  <c r="AZ477" i="3"/>
  <c r="AZ496" i="3"/>
  <c r="AZ519" i="3"/>
  <c r="AZ662" i="3"/>
  <c r="AZ678" i="3"/>
  <c r="AZ700" i="3"/>
  <c r="AZ775" i="3"/>
  <c r="AZ837" i="3"/>
  <c r="AZ859" i="3"/>
  <c r="AZ877" i="3"/>
  <c r="AZ891" i="3"/>
  <c r="AZ1031" i="3"/>
  <c r="AZ995" i="3"/>
  <c r="AZ206" i="3"/>
  <c r="AZ237" i="3"/>
  <c r="AZ295" i="3"/>
  <c r="AZ311" i="3"/>
  <c r="AZ336" i="3"/>
  <c r="AZ352" i="3"/>
  <c r="AZ366" i="3"/>
  <c r="AZ405" i="3"/>
  <c r="AZ423" i="3"/>
  <c r="AZ450" i="3"/>
  <c r="AZ478" i="3"/>
  <c r="AZ497" i="3"/>
  <c r="AZ701" i="3"/>
  <c r="AZ718" i="3"/>
  <c r="AZ754" i="3"/>
  <c r="AZ795" i="3"/>
  <c r="AZ878" i="3"/>
  <c r="AZ238" i="3"/>
  <c r="AZ296" i="3"/>
  <c r="AZ312" i="3"/>
  <c r="AZ337" i="3"/>
  <c r="AZ353" i="3"/>
  <c r="AZ367" i="3"/>
  <c r="AZ406" i="3"/>
  <c r="AZ451" i="3"/>
  <c r="AZ479" i="3"/>
  <c r="AZ498" i="3"/>
  <c r="AZ521" i="3"/>
  <c r="AZ564" i="3"/>
  <c r="AZ622" i="3"/>
  <c r="AZ680" i="3"/>
  <c r="AZ719" i="3"/>
  <c r="AZ755" i="3"/>
  <c r="AZ777" i="3"/>
  <c r="AZ796" i="3"/>
  <c r="AZ861" i="3"/>
  <c r="AZ879" i="3"/>
  <c r="AZ893" i="3"/>
  <c r="AZ931" i="3"/>
  <c r="AZ1045" i="3"/>
  <c r="AZ998" i="3"/>
  <c r="AZ239" i="3"/>
  <c r="AZ262" i="3"/>
  <c r="AZ298" i="3"/>
  <c r="AZ341" i="3"/>
  <c r="AZ453" i="3"/>
  <c r="AZ507" i="3"/>
  <c r="AZ703" i="3"/>
  <c r="AZ724" i="3"/>
  <c r="AZ763" i="3"/>
  <c r="AZ798" i="3"/>
  <c r="AZ842" i="3"/>
  <c r="AZ895" i="3"/>
  <c r="AZ1052" i="3"/>
  <c r="AZ1001" i="3"/>
  <c r="AZ299" i="3"/>
  <c r="AZ342" i="3"/>
  <c r="AZ454" i="3"/>
  <c r="AZ508" i="3"/>
  <c r="AZ545" i="3"/>
  <c r="AZ704" i="3"/>
  <c r="AZ764" i="3"/>
  <c r="AZ799" i="3"/>
  <c r="AZ843" i="3"/>
  <c r="AZ896" i="3"/>
  <c r="AZ978" i="3"/>
  <c r="AZ923" i="3"/>
  <c r="AZ883" i="3"/>
  <c r="AZ300" i="3"/>
  <c r="AZ354" i="3"/>
  <c r="AZ462" i="3"/>
  <c r="AZ509" i="3"/>
  <c r="AZ546" i="3"/>
  <c r="AZ610" i="3"/>
  <c r="AZ705" i="3"/>
  <c r="AZ765" i="3"/>
  <c r="AZ800" i="3"/>
  <c r="AZ844" i="3"/>
  <c r="AZ897" i="3"/>
  <c r="AZ977" i="3"/>
  <c r="AZ301" i="3"/>
  <c r="AZ355" i="3"/>
  <c r="AZ510" i="3"/>
  <c r="AZ547" i="3"/>
  <c r="AZ611" i="3"/>
  <c r="AZ766" i="3"/>
  <c r="AZ802" i="3"/>
  <c r="AZ1053" i="3"/>
  <c r="AZ993" i="3"/>
  <c r="AZ356" i="3"/>
  <c r="AZ413" i="3"/>
  <c r="AZ586" i="3"/>
  <c r="AZ1247" i="3"/>
  <c r="AZ881" i="3"/>
  <c r="AZ357" i="3"/>
  <c r="AZ480" i="3"/>
  <c r="AZ523" i="3"/>
  <c r="AZ587" i="3"/>
  <c r="AZ781" i="3"/>
  <c r="AZ864" i="3"/>
  <c r="AZ1248" i="3"/>
  <c r="AZ481" i="3"/>
  <c r="AZ588" i="3"/>
  <c r="AZ681" i="3"/>
  <c r="AZ782" i="3"/>
  <c r="AZ865" i="3"/>
  <c r="AZ955" i="3"/>
  <c r="AZ287" i="3"/>
  <c r="AZ313" i="3"/>
  <c r="AZ482" i="3"/>
  <c r="AZ589" i="3"/>
  <c r="AZ682" i="3"/>
  <c r="AZ783" i="3"/>
  <c r="AZ932" i="3"/>
  <c r="AZ1000" i="3"/>
  <c r="AZ314" i="3"/>
  <c r="AZ483" i="3"/>
  <c r="AZ590" i="3"/>
  <c r="AZ683" i="3"/>
  <c r="AZ740" i="3"/>
  <c r="AZ784" i="3"/>
  <c r="AZ866" i="3"/>
  <c r="AZ933" i="3"/>
  <c r="AZ230" i="3"/>
  <c r="AZ284" i="3"/>
  <c r="AZ315" i="3"/>
  <c r="AZ484" i="3"/>
  <c r="AZ566" i="3"/>
  <c r="AZ741" i="3"/>
  <c r="AZ785" i="3"/>
  <c r="AZ825" i="3"/>
  <c r="AZ880" i="3"/>
  <c r="AZ936" i="3"/>
  <c r="AZ231" i="3"/>
  <c r="AZ285" i="3"/>
  <c r="AZ316" i="3"/>
  <c r="AZ567" i="3"/>
  <c r="AZ644" i="3"/>
  <c r="AZ742" i="3"/>
  <c r="AZ826" i="3"/>
  <c r="AZ232" i="3"/>
  <c r="AZ286" i="3"/>
  <c r="AZ432" i="3"/>
  <c r="AZ568" i="3"/>
  <c r="AZ623" i="3"/>
  <c r="AZ645" i="3"/>
  <c r="AZ743" i="3"/>
  <c r="AZ827" i="3"/>
  <c r="AZ882" i="3"/>
  <c r="AZ940" i="3"/>
  <c r="AZ258" i="3"/>
  <c r="AZ569" i="3"/>
  <c r="AZ624" i="3"/>
  <c r="AZ646" i="3"/>
  <c r="AZ720" i="3"/>
  <c r="AZ744" i="3"/>
  <c r="AZ828" i="3"/>
  <c r="AZ240" i="3"/>
  <c r="AZ259" i="3"/>
  <c r="AZ338" i="3"/>
  <c r="AZ625" i="3"/>
  <c r="AZ647" i="3"/>
  <c r="AZ721" i="3"/>
  <c r="AZ884" i="3"/>
  <c r="AZ260" i="3"/>
  <c r="AZ339" i="3"/>
  <c r="AZ435" i="3"/>
  <c r="AZ722" i="3"/>
  <c r="AZ902" i="3"/>
  <c r="AZ261" i="3"/>
  <c r="AZ297" i="3"/>
  <c r="AZ340" i="3"/>
  <c r="AZ452" i="3"/>
  <c r="AZ499" i="3"/>
  <c r="AZ723" i="3"/>
  <c r="AZ762" i="3"/>
  <c r="AZ797" i="3"/>
  <c r="AZ841" i="3"/>
  <c r="AZ894" i="3"/>
  <c r="AZ1051" i="3"/>
  <c r="AZ1003" i="3"/>
  <c r="Z959" i="3"/>
  <c r="Z1274" i="3"/>
  <c r="Z934" i="3"/>
  <c r="Z1259" i="3"/>
  <c r="Z975" i="3"/>
  <c r="Z1072" i="3"/>
  <c r="Z949" i="3"/>
  <c r="Z1052" i="3"/>
  <c r="Z1000" i="3"/>
  <c r="Z1304" i="3"/>
  <c r="Z1306" i="3"/>
  <c r="Z960" i="3"/>
  <c r="Z1038" i="3"/>
  <c r="Z978" i="3"/>
  <c r="Z1279" i="3"/>
  <c r="Z1094" i="3"/>
  <c r="Z1298" i="3"/>
  <c r="Z1296" i="3"/>
  <c r="Z1293" i="3"/>
  <c r="Z1036" i="3"/>
  <c r="Z1276" i="3"/>
  <c r="Z1081" i="3"/>
  <c r="Z1114" i="3"/>
  <c r="Z1265" i="3"/>
  <c r="Z1250" i="3"/>
  <c r="Z998" i="3"/>
  <c r="Z1154" i="3"/>
  <c r="Z1235" i="3"/>
  <c r="Z918" i="3"/>
  <c r="Z905" i="3"/>
  <c r="Z889" i="3"/>
  <c r="Z1316" i="3"/>
  <c r="V138" i="122"/>
  <c r="Z1070" i="3"/>
  <c r="Z957" i="3"/>
  <c r="Z1009" i="3"/>
  <c r="Z914" i="3"/>
  <c r="X92" i="122"/>
  <c r="Z937" i="3"/>
  <c r="Z941" i="3"/>
  <c r="Z952" i="3"/>
  <c r="X950" i="3"/>
  <c r="AZ196" i="3"/>
  <c r="AZ256" i="3"/>
  <c r="AZ272" i="3"/>
  <c r="AZ394" i="3"/>
  <c r="AZ425" i="3"/>
  <c r="AZ441" i="3"/>
  <c r="AZ457" i="3"/>
  <c r="AZ505" i="3"/>
  <c r="AZ633" i="3"/>
  <c r="AZ759" i="3"/>
  <c r="AZ904" i="3"/>
  <c r="AZ969" i="3"/>
  <c r="AZ1239" i="3"/>
  <c r="AZ1255" i="3"/>
  <c r="AZ1012" i="3"/>
  <c r="AZ1275" i="3"/>
  <c r="AZ1151" i="3"/>
  <c r="AZ1306" i="3"/>
  <c r="AZ1283" i="3"/>
  <c r="AZ273" i="3"/>
  <c r="AZ319" i="3"/>
  <c r="AZ426" i="3"/>
  <c r="AZ442" i="3"/>
  <c r="AZ458" i="3"/>
  <c r="AZ506" i="3"/>
  <c r="AZ760" i="3"/>
  <c r="AZ905" i="3"/>
  <c r="AZ970" i="3"/>
  <c r="AZ1240" i="3"/>
  <c r="AZ1256" i="3"/>
  <c r="AZ1276" i="3"/>
  <c r="AZ1021" i="3"/>
  <c r="AZ1307" i="3"/>
  <c r="AZ578" i="3"/>
  <c r="AZ817" i="3"/>
  <c r="AZ962" i="3"/>
  <c r="AZ1296" i="3"/>
  <c r="AZ274" i="3"/>
  <c r="AZ320" i="3"/>
  <c r="AZ427" i="3"/>
  <c r="AZ443" i="3"/>
  <c r="AZ459" i="3"/>
  <c r="AZ555" i="3"/>
  <c r="AZ761" i="3"/>
  <c r="AZ906" i="3"/>
  <c r="AZ1241" i="3"/>
  <c r="AZ1257" i="3"/>
  <c r="AZ1277" i="3"/>
  <c r="AZ1285" i="3"/>
  <c r="AZ1295" i="3"/>
  <c r="AZ1297" i="3"/>
  <c r="AZ1308" i="3"/>
  <c r="AZ656" i="3"/>
  <c r="AZ1268" i="3"/>
  <c r="AZ321" i="3"/>
  <c r="AZ428" i="3"/>
  <c r="AZ444" i="3"/>
  <c r="AZ460" i="3"/>
  <c r="AZ524" i="3"/>
  <c r="AZ556" i="3"/>
  <c r="AZ604" i="3"/>
  <c r="AZ778" i="3"/>
  <c r="AZ907" i="3"/>
  <c r="AZ1242" i="3"/>
  <c r="AZ1278" i="3"/>
  <c r="AZ1286" i="3"/>
  <c r="AZ1022" i="3"/>
  <c r="AZ1311" i="3"/>
  <c r="AZ327" i="3"/>
  <c r="AZ530" i="3"/>
  <c r="AZ1232" i="3"/>
  <c r="AZ276" i="3"/>
  <c r="AZ429" i="3"/>
  <c r="AZ461" i="3"/>
  <c r="AZ525" i="3"/>
  <c r="AZ557" i="3"/>
  <c r="AZ605" i="3"/>
  <c r="AZ779" i="3"/>
  <c r="AZ908" i="3"/>
  <c r="AZ1112" i="3"/>
  <c r="AZ1243" i="3"/>
  <c r="AZ1258" i="3"/>
  <c r="AZ1039" i="3"/>
  <c r="AZ1279" i="3"/>
  <c r="AZ1288" i="3"/>
  <c r="AZ921" i="3"/>
  <c r="AZ1312" i="3"/>
  <c r="AZ466" i="3"/>
  <c r="AZ1263" i="3"/>
  <c r="AZ221" i="3"/>
  <c r="AZ323" i="3"/>
  <c r="AZ526" i="3"/>
  <c r="AZ574" i="3"/>
  <c r="AZ606" i="3"/>
  <c r="AZ684" i="3"/>
  <c r="AZ780" i="3"/>
  <c r="AZ813" i="3"/>
  <c r="AZ909" i="3"/>
  <c r="AZ913" i="3"/>
  <c r="AZ1228" i="3"/>
  <c r="AZ1244" i="3"/>
  <c r="AZ1259" i="3"/>
  <c r="AZ1040" i="3"/>
  <c r="AZ1280" i="3"/>
  <c r="AZ1289" i="3"/>
  <c r="AZ1007" i="3"/>
  <c r="AZ1010" i="3"/>
  <c r="AZ1313" i="3"/>
  <c r="AZ278" i="3"/>
  <c r="AZ324" i="3"/>
  <c r="AZ559" i="3"/>
  <c r="AZ575" i="3"/>
  <c r="AZ607" i="3"/>
  <c r="AZ685" i="3"/>
  <c r="AZ814" i="3"/>
  <c r="AZ910" i="3"/>
  <c r="AZ914" i="3"/>
  <c r="AZ1229" i="3"/>
  <c r="AZ1245" i="3"/>
  <c r="AZ1260" i="3"/>
  <c r="AZ1081" i="3"/>
  <c r="AZ1281" i="3"/>
  <c r="AZ1290" i="3"/>
  <c r="AZ1133" i="3"/>
  <c r="AZ1027" i="3"/>
  <c r="AZ626" i="3"/>
  <c r="AZ736" i="3"/>
  <c r="AZ1300" i="3"/>
  <c r="AZ223" i="3"/>
  <c r="AZ279" i="3"/>
  <c r="AZ325" i="3"/>
  <c r="AZ464" i="3"/>
  <c r="AZ560" i="3"/>
  <c r="AZ576" i="3"/>
  <c r="AZ654" i="3"/>
  <c r="AZ686" i="3"/>
  <c r="AZ815" i="3"/>
  <c r="AZ911" i="3"/>
  <c r="AZ974" i="3"/>
  <c r="AZ1230" i="3"/>
  <c r="AZ1246" i="3"/>
  <c r="AZ1261" i="3"/>
  <c r="AZ1113" i="3"/>
  <c r="AZ1282" i="3"/>
  <c r="AZ1111" i="3"/>
  <c r="AZ1057" i="3"/>
  <c r="AZ688" i="3"/>
  <c r="AZ916" i="3"/>
  <c r="AZ1291" i="3"/>
  <c r="AZ224" i="3"/>
  <c r="AZ326" i="3"/>
  <c r="AZ465" i="3"/>
  <c r="AZ561" i="3"/>
  <c r="AZ577" i="3"/>
  <c r="AZ655" i="3"/>
  <c r="AZ687" i="3"/>
  <c r="AZ816" i="3"/>
  <c r="AZ912" i="3"/>
  <c r="AZ961" i="3"/>
  <c r="AZ915" i="3"/>
  <c r="AZ1231" i="3"/>
  <c r="AZ1262" i="3"/>
  <c r="AZ1267" i="3"/>
  <c r="AZ1298" i="3"/>
  <c r="AZ1315" i="3"/>
  <c r="AZ1316" i="3"/>
  <c r="AZ531" i="3"/>
  <c r="AZ627" i="3"/>
  <c r="AZ855" i="3"/>
  <c r="AZ903" i="3"/>
  <c r="AZ963" i="3"/>
  <c r="AZ1254" i="3"/>
  <c r="AZ226" i="3"/>
  <c r="AZ818" i="3"/>
  <c r="AZ190" i="3"/>
  <c r="AZ964" i="3"/>
  <c r="AZ1154" i="3"/>
  <c r="AZ1114" i="3"/>
  <c r="AZ191" i="3"/>
  <c r="AZ455" i="3"/>
  <c r="AZ629" i="3"/>
  <c r="AZ965" i="3"/>
  <c r="AZ1264" i="3"/>
  <c r="AZ195" i="3"/>
  <c r="AZ469" i="3"/>
  <c r="AZ192" i="3"/>
  <c r="AZ456" i="3"/>
  <c r="AZ966" i="3"/>
  <c r="AZ1233" i="3"/>
  <c r="AZ1265" i="3"/>
  <c r="AZ1072" i="3"/>
  <c r="AZ269" i="3"/>
  <c r="AZ757" i="3"/>
  <c r="AZ1293" i="3"/>
  <c r="AZ1250" i="3"/>
  <c r="AZ631" i="3"/>
  <c r="AZ967" i="3"/>
  <c r="AZ1234" i="3"/>
  <c r="AZ1284" i="3"/>
  <c r="AZ501" i="3"/>
  <c r="AZ1238" i="3"/>
  <c r="AZ756" i="3"/>
  <c r="AZ317" i="3"/>
  <c r="AZ632" i="3"/>
  <c r="AZ968" i="3"/>
  <c r="AZ1235" i="3"/>
  <c r="AZ1011" i="3"/>
  <c r="AZ972" i="3"/>
  <c r="AZ373" i="3"/>
  <c r="AZ706" i="3"/>
  <c r="AZ486" i="3"/>
  <c r="AZ850" i="3"/>
  <c r="AZ193" i="3"/>
  <c r="AZ467" i="3"/>
  <c r="AZ737" i="3"/>
  <c r="AZ1236" i="3"/>
  <c r="AZ1266" i="3"/>
  <c r="AZ1037" i="3"/>
  <c r="AZ917" i="3"/>
  <c r="AZ502" i="3"/>
  <c r="AZ194" i="3"/>
  <c r="AZ440" i="3"/>
  <c r="AZ500" i="3"/>
  <c r="AZ689" i="3"/>
  <c r="AZ738" i="3"/>
  <c r="AZ1237" i="3"/>
  <c r="AZ1038" i="3"/>
  <c r="AZ739" i="3"/>
  <c r="AZ374" i="3"/>
  <c r="AZ1062" i="3"/>
  <c r="AZ1269" i="3"/>
  <c r="AZ227" i="3"/>
  <c r="AZ599" i="3"/>
  <c r="AZ918" i="3"/>
  <c r="AZ228" i="3"/>
  <c r="AZ270" i="3"/>
  <c r="AZ375" i="3"/>
  <c r="AZ407" i="3"/>
  <c r="AZ487" i="3"/>
  <c r="AZ503" i="3"/>
  <c r="AZ919" i="3"/>
  <c r="AZ1270" i="3"/>
  <c r="AZ1292" i="3"/>
  <c r="AZ229" i="3"/>
  <c r="AZ254" i="3"/>
  <c r="AZ271" i="3"/>
  <c r="AZ376" i="3"/>
  <c r="AZ408" i="3"/>
  <c r="AZ488" i="3"/>
  <c r="AZ504" i="3"/>
  <c r="AZ758" i="3"/>
  <c r="AZ975" i="3"/>
  <c r="AZ1249" i="3"/>
  <c r="AZ183" i="3"/>
  <c r="AZ255" i="3"/>
  <c r="AZ377" i="3"/>
  <c r="AZ409" i="3"/>
  <c r="AZ424" i="3"/>
  <c r="AZ657" i="3"/>
  <c r="AZ819" i="3"/>
  <c r="AZ851" i="3"/>
  <c r="AZ1294" i="3"/>
  <c r="AZ184" i="3"/>
  <c r="AZ393" i="3"/>
  <c r="AZ658" i="3"/>
  <c r="AZ820" i="3"/>
  <c r="AZ852" i="3"/>
  <c r="AZ1251" i="3"/>
  <c r="AZ1305" i="3"/>
  <c r="AZ659" i="3"/>
  <c r="AZ821" i="3"/>
  <c r="AZ853" i="3"/>
  <c r="AZ854" i="3"/>
  <c r="AZ1253" i="3"/>
  <c r="AZ185" i="3"/>
  <c r="AZ1252" i="3"/>
  <c r="AZ822" i="3"/>
  <c r="W1274" i="3"/>
  <c r="X797" i="3"/>
  <c r="X1003" i="3"/>
  <c r="I141" i="122"/>
  <c r="W1151" i="3"/>
  <c r="X866" i="3"/>
  <c r="W993" i="3"/>
  <c r="Z1088" i="3"/>
  <c r="Z1056" i="3"/>
  <c r="Z981" i="3"/>
  <c r="X1017" i="3"/>
  <c r="Z1017" i="3"/>
  <c r="W779" i="3"/>
  <c r="W915" i="3"/>
  <c r="H141" i="122"/>
  <c r="X792" i="3"/>
  <c r="X870" i="3"/>
  <c r="W138" i="122"/>
  <c r="W816" i="3"/>
  <c r="Z931" i="3"/>
  <c r="Z1006" i="3"/>
  <c r="X818" i="3"/>
  <c r="Z1027" i="3"/>
  <c r="X783" i="3"/>
  <c r="W890" i="3"/>
  <c r="F95" i="122"/>
  <c r="AM83" i="122"/>
  <c r="H121" i="122"/>
  <c r="W888" i="3"/>
  <c r="W833" i="3"/>
  <c r="X872" i="3"/>
  <c r="E75" i="122"/>
  <c r="K141" i="122"/>
  <c r="AM129" i="122"/>
  <c r="W871" i="3"/>
  <c r="L121" i="122"/>
  <c r="F121" i="122"/>
  <c r="F141" i="122"/>
  <c r="G141" i="122"/>
  <c r="W761" i="3"/>
  <c r="W909" i="3"/>
  <c r="W698" i="3"/>
  <c r="W616" i="3"/>
  <c r="X698" i="3"/>
  <c r="X644" i="3"/>
  <c r="X834" i="3"/>
  <c r="W846" i="3"/>
  <c r="AM109" i="122"/>
  <c r="X1052" i="3"/>
  <c r="X1094" i="3"/>
  <c r="G95" i="122"/>
  <c r="W718" i="3"/>
  <c r="W660" i="3"/>
  <c r="W600" i="3"/>
  <c r="W612" i="3"/>
  <c r="W535" i="3"/>
  <c r="W532" i="3"/>
  <c r="W529" i="3"/>
  <c r="X619" i="3"/>
  <c r="S141" i="122"/>
  <c r="X853" i="3"/>
  <c r="X846" i="3"/>
  <c r="E49" i="122"/>
  <c r="I121" i="122"/>
  <c r="K121" i="122"/>
  <c r="E141" i="122"/>
  <c r="X1068" i="3"/>
  <c r="X946" i="3"/>
  <c r="X1151" i="3"/>
  <c r="X826" i="3"/>
  <c r="X614" i="3"/>
  <c r="X787" i="3"/>
  <c r="W731" i="3"/>
  <c r="X1272" i="3"/>
  <c r="W837" i="3"/>
  <c r="X837" i="3"/>
  <c r="X638" i="3"/>
  <c r="W619" i="3"/>
  <c r="X731" i="3"/>
  <c r="X938" i="3"/>
  <c r="X1072" i="3"/>
  <c r="W1091" i="3"/>
  <c r="X939" i="3"/>
  <c r="X1091" i="3"/>
  <c r="W862" i="3"/>
  <c r="W636" i="3"/>
  <c r="W611" i="3"/>
  <c r="W599" i="3"/>
  <c r="W582" i="3"/>
  <c r="W534" i="3"/>
  <c r="W531" i="3"/>
  <c r="W528" i="3"/>
  <c r="W513" i="3"/>
  <c r="W510" i="3"/>
  <c r="W492" i="3"/>
  <c r="W482" i="3"/>
  <c r="W451" i="3"/>
  <c r="W424" i="3"/>
  <c r="W418" i="3"/>
  <c r="W415" i="3"/>
  <c r="W412" i="3"/>
  <c r="W392" i="3"/>
  <c r="W389" i="3"/>
  <c r="W360" i="3"/>
  <c r="W310" i="3"/>
  <c r="W307" i="3"/>
  <c r="W304" i="3"/>
  <c r="W293" i="3"/>
  <c r="W291" i="3"/>
  <c r="W289" i="3"/>
  <c r="W265" i="3"/>
  <c r="W238" i="3"/>
  <c r="W231" i="3"/>
  <c r="W186" i="3"/>
  <c r="X568" i="3"/>
  <c r="X565" i="3"/>
  <c r="X279" i="3"/>
  <c r="X276" i="3"/>
  <c r="Z951" i="3"/>
  <c r="Z967" i="3"/>
  <c r="Z962" i="3"/>
  <c r="Z961" i="3"/>
  <c r="X95" i="122"/>
  <c r="W141" i="122"/>
  <c r="W703" i="3"/>
  <c r="I140" i="122"/>
  <c r="W1006" i="3"/>
  <c r="W707" i="3"/>
  <c r="W910" i="3"/>
  <c r="W719" i="3"/>
  <c r="W597" i="3"/>
  <c r="W644" i="3"/>
  <c r="W668" i="3"/>
  <c r="W814" i="3"/>
  <c r="W590" i="3"/>
  <c r="W583" i="3"/>
  <c r="W621" i="3"/>
  <c r="W579" i="3"/>
  <c r="W569" i="3"/>
  <c r="W566" i="3"/>
  <c r="W563" i="3"/>
  <c r="W545" i="3"/>
  <c r="W542" i="3"/>
  <c r="W539" i="3"/>
  <c r="W530" i="3"/>
  <c r="W518" i="3"/>
  <c r="W506" i="3"/>
  <c r="W503" i="3"/>
  <c r="W500" i="3"/>
  <c r="W497" i="3"/>
  <c r="W494" i="3"/>
  <c r="W478" i="3"/>
  <c r="W469" i="3"/>
  <c r="W465" i="3"/>
  <c r="W462" i="3"/>
  <c r="W459" i="3"/>
  <c r="W456" i="3"/>
  <c r="W447" i="3"/>
  <c r="W441" i="3"/>
  <c r="W429" i="3"/>
  <c r="W379" i="3"/>
  <c r="W371" i="3"/>
  <c r="W368" i="3"/>
  <c r="W340" i="3"/>
  <c r="W337" i="3"/>
  <c r="W255" i="3"/>
  <c r="W252" i="3"/>
  <c r="W249" i="3"/>
  <c r="W227" i="3"/>
  <c r="W224" i="3"/>
  <c r="W218" i="3"/>
  <c r="W212" i="3"/>
  <c r="W204" i="3"/>
  <c r="W202" i="3"/>
  <c r="W194" i="3"/>
  <c r="W189" i="3"/>
  <c r="X697" i="3"/>
  <c r="X974" i="3"/>
  <c r="X668" i="3"/>
  <c r="X621" i="3"/>
  <c r="X488" i="3"/>
  <c r="U141" i="122"/>
  <c r="W922" i="3"/>
  <c r="W750" i="3"/>
  <c r="W782" i="3"/>
  <c r="W812" i="3"/>
  <c r="W488" i="3"/>
  <c r="X728" i="3"/>
  <c r="I118" i="122"/>
  <c r="W728" i="3"/>
  <c r="W741" i="3"/>
  <c r="W638" i="3"/>
  <c r="W740" i="3"/>
  <c r="W830" i="3"/>
  <c r="W523" i="3"/>
  <c r="W514" i="3"/>
  <c r="W511" i="3"/>
  <c r="W490" i="3"/>
  <c r="W483" i="3"/>
  <c r="W452" i="3"/>
  <c r="W425" i="3"/>
  <c r="W419" i="3"/>
  <c r="W416" i="3"/>
  <c r="W413" i="3"/>
  <c r="W410" i="3"/>
  <c r="W390" i="3"/>
  <c r="W361" i="3"/>
  <c r="W358" i="3"/>
  <c r="W323" i="3"/>
  <c r="W311" i="3"/>
  <c r="W308" i="3"/>
  <c r="W305" i="3"/>
  <c r="W294" i="3"/>
  <c r="W292" i="3"/>
  <c r="W290" i="3"/>
  <c r="W266" i="3"/>
  <c r="W263" i="3"/>
  <c r="W232" i="3"/>
  <c r="W192" i="3"/>
  <c r="W187" i="3"/>
  <c r="W182" i="3"/>
  <c r="X782" i="3"/>
  <c r="X909" i="3"/>
  <c r="X719" i="3"/>
  <c r="X616" i="3"/>
  <c r="X583" i="3"/>
  <c r="X579" i="3"/>
  <c r="X569" i="3"/>
  <c r="X566" i="3"/>
  <c r="X558" i="3"/>
  <c r="X459" i="3"/>
  <c r="X277" i="3"/>
  <c r="X274" i="3"/>
  <c r="X271" i="3"/>
  <c r="X227" i="3"/>
  <c r="X209" i="3"/>
  <c r="X187" i="3"/>
  <c r="W656" i="3"/>
  <c r="W787" i="3"/>
  <c r="W1272" i="3"/>
  <c r="X727" i="3"/>
  <c r="W884" i="3"/>
  <c r="X915" i="3"/>
  <c r="G140" i="122"/>
  <c r="W934" i="3"/>
  <c r="X1070" i="3"/>
  <c r="X75" i="122"/>
  <c r="X141" i="122"/>
  <c r="Z946" i="3"/>
  <c r="Z1134" i="3"/>
  <c r="Z923" i="3"/>
  <c r="V141" i="122"/>
  <c r="V140" i="122"/>
  <c r="U140" i="122"/>
  <c r="X140" i="122"/>
  <c r="W880" i="3"/>
  <c r="I138" i="122"/>
  <c r="W726" i="3"/>
  <c r="W903" i="3"/>
  <c r="W784" i="3"/>
  <c r="W696" i="3"/>
  <c r="W704" i="3"/>
  <c r="W665" i="3"/>
  <c r="W684" i="3"/>
  <c r="W594" i="3"/>
  <c r="W605" i="3"/>
  <c r="W589" i="3"/>
  <c r="W614" i="3"/>
  <c r="W568" i="3"/>
  <c r="W565" i="3"/>
  <c r="W562" i="3"/>
  <c r="W559" i="3"/>
  <c r="W556" i="3"/>
  <c r="W553" i="3"/>
  <c r="W544" i="3"/>
  <c r="W541" i="3"/>
  <c r="W538" i="3"/>
  <c r="W526" i="3"/>
  <c r="W520" i="3"/>
  <c r="W517" i="3"/>
  <c r="W505" i="3"/>
  <c r="W502" i="3"/>
  <c r="W499" i="3"/>
  <c r="W496" i="3"/>
  <c r="W493" i="3"/>
  <c r="W486" i="3"/>
  <c r="W474" i="3"/>
  <c r="W471" i="3"/>
  <c r="W467" i="3"/>
  <c r="W464" i="3"/>
  <c r="W461" i="3"/>
  <c r="W458" i="3"/>
  <c r="X591" i="3"/>
  <c r="W671" i="3"/>
  <c r="W697" i="3"/>
  <c r="W793" i="3"/>
  <c r="W974" i="3"/>
  <c r="W195" i="3"/>
  <c r="X684" i="3"/>
  <c r="X408" i="3"/>
  <c r="X396" i="3"/>
  <c r="X803" i="3"/>
  <c r="W455" i="3"/>
  <c r="W446" i="3"/>
  <c r="W440" i="3"/>
  <c r="W431" i="3"/>
  <c r="W428" i="3"/>
  <c r="W408" i="3"/>
  <c r="W399" i="3"/>
  <c r="W396" i="3"/>
  <c r="W384" i="3"/>
  <c r="W381" i="3"/>
  <c r="W378" i="3"/>
  <c r="W376" i="3"/>
  <c r="W373" i="3"/>
  <c r="W370" i="3"/>
  <c r="W351" i="3"/>
  <c r="W348" i="3"/>
  <c r="W345" i="3"/>
  <c r="W339" i="3"/>
  <c r="W336" i="3"/>
  <c r="W331" i="3"/>
  <c r="W328" i="3"/>
  <c r="W320" i="3"/>
  <c r="W317" i="3"/>
  <c r="W314" i="3"/>
  <c r="W298" i="3"/>
  <c r="W284" i="3"/>
  <c r="W281" i="3"/>
  <c r="W278" i="3"/>
  <c r="W275" i="3"/>
  <c r="W272" i="3"/>
  <c r="W269" i="3"/>
  <c r="W260" i="3"/>
  <c r="W254" i="3"/>
  <c r="W251" i="3"/>
  <c r="W226" i="3"/>
  <c r="W223" i="3"/>
  <c r="W217" i="3"/>
  <c r="W211" i="3"/>
  <c r="W210" i="3"/>
  <c r="W201" i="3"/>
  <c r="W196" i="3"/>
  <c r="W193" i="3"/>
  <c r="W185" i="3"/>
  <c r="X750" i="3"/>
  <c r="X707" i="3"/>
  <c r="X903" i="3"/>
  <c r="X598" i="3"/>
  <c r="X512" i="3"/>
  <c r="X491" i="3"/>
  <c r="X469" i="3"/>
  <c r="W140" i="122"/>
  <c r="X1059" i="3"/>
  <c r="X934" i="3"/>
  <c r="W987" i="3"/>
  <c r="X1090" i="3"/>
  <c r="X971" i="3"/>
  <c r="X1133" i="3"/>
  <c r="W1022" i="3"/>
  <c r="U20" i="122"/>
  <c r="X324" i="3"/>
  <c r="X246" i="3"/>
  <c r="X243" i="3"/>
  <c r="X245" i="3"/>
  <c r="X248" i="3"/>
  <c r="X247" i="3"/>
  <c r="X241" i="3"/>
  <c r="X215" i="3"/>
  <c r="W736" i="3"/>
  <c r="W702" i="3"/>
  <c r="W734" i="3"/>
  <c r="W721" i="3"/>
  <c r="W747" i="3"/>
  <c r="W764" i="3"/>
  <c r="W609" i="3"/>
  <c r="W674" i="3"/>
  <c r="W635" i="3"/>
  <c r="W907" i="3"/>
  <c r="W759" i="3"/>
  <c r="W765" i="3"/>
  <c r="W713" i="3"/>
  <c r="W912" i="3"/>
  <c r="W964" i="3"/>
  <c r="W651" i="3"/>
  <c r="W786" i="3"/>
  <c r="W679" i="3"/>
  <c r="W673" i="3"/>
  <c r="W661" i="3"/>
  <c r="W875" i="3"/>
  <c r="W876" i="3"/>
  <c r="W790" i="3"/>
  <c r="W693" i="3"/>
  <c r="W641" i="3"/>
  <c r="W694" i="3"/>
  <c r="W646" i="3"/>
  <c r="W643" i="3"/>
  <c r="W878" i="3"/>
  <c r="W767" i="3"/>
  <c r="W689" i="3"/>
  <c r="W904" i="3"/>
  <c r="W607" i="3"/>
  <c r="W592" i="3"/>
  <c r="W588" i="3"/>
  <c r="W574" i="3"/>
  <c r="W578" i="3"/>
  <c r="W577" i="3"/>
  <c r="W576" i="3"/>
  <c r="W575" i="3"/>
  <c r="W573" i="3"/>
  <c r="W571" i="3"/>
  <c r="W561" i="3"/>
  <c r="W560" i="3"/>
  <c r="W557" i="3"/>
  <c r="W555" i="3"/>
  <c r="W554" i="3"/>
  <c r="W550" i="3"/>
  <c r="W548" i="3"/>
  <c r="W547" i="3"/>
  <c r="W546" i="3"/>
  <c r="W536" i="3"/>
  <c r="W527" i="3"/>
  <c r="W525" i="3"/>
  <c r="W524" i="3"/>
  <c r="W522" i="3"/>
  <c r="W521" i="3"/>
  <c r="W515" i="3"/>
  <c r="W509" i="3"/>
  <c r="W508" i="3"/>
  <c r="W484" i="3"/>
  <c r="W481" i="3"/>
  <c r="W480" i="3"/>
  <c r="W477" i="3"/>
  <c r="W476" i="3"/>
  <c r="W454" i="3"/>
  <c r="W450" i="3"/>
  <c r="W449" i="3"/>
  <c r="W445" i="3"/>
  <c r="W444" i="3"/>
  <c r="W443" i="3"/>
  <c r="W439" i="3"/>
  <c r="W438" i="3"/>
  <c r="W437" i="3"/>
  <c r="W435" i="3"/>
  <c r="W434" i="3"/>
  <c r="W430" i="3"/>
  <c r="W422" i="3"/>
  <c r="W420" i="3"/>
  <c r="W405" i="3"/>
  <c r="W403" i="3"/>
  <c r="W402" i="3"/>
  <c r="W394" i="3"/>
  <c r="W393" i="3"/>
  <c r="W387" i="3"/>
  <c r="W380" i="3"/>
  <c r="W377" i="3"/>
  <c r="W374" i="3"/>
  <c r="W367" i="3"/>
  <c r="W366" i="3"/>
  <c r="W364" i="3"/>
  <c r="W363" i="3"/>
  <c r="W356" i="3"/>
  <c r="W355" i="3"/>
  <c r="W354" i="3"/>
  <c r="W353" i="3"/>
  <c r="W342" i="3"/>
  <c r="W335" i="3"/>
  <c r="W332" i="3"/>
  <c r="W329" i="3"/>
  <c r="W327" i="3"/>
  <c r="W326" i="3"/>
  <c r="W324" i="3"/>
  <c r="W322" i="3"/>
  <c r="W315" i="3"/>
  <c r="W313" i="3"/>
  <c r="W302" i="3"/>
  <c r="W300" i="3"/>
  <c r="W299" i="3"/>
  <c r="W296" i="3"/>
  <c r="W295" i="3"/>
  <c r="W287" i="3"/>
  <c r="W268" i="3"/>
  <c r="W267" i="3"/>
  <c r="W262" i="3"/>
  <c r="W261" i="3"/>
  <c r="W259" i="3"/>
  <c r="W258" i="3"/>
  <c r="W257" i="3"/>
  <c r="W248" i="3"/>
  <c r="W247" i="3"/>
  <c r="W246" i="3"/>
  <c r="W245" i="3"/>
  <c r="W244" i="3"/>
  <c r="W243" i="3"/>
  <c r="W242" i="3"/>
  <c r="W241" i="3"/>
  <c r="W240" i="3"/>
  <c r="W239" i="3"/>
  <c r="W235" i="3"/>
  <c r="W233" i="3"/>
  <c r="W230" i="3"/>
  <c r="W229" i="3"/>
  <c r="W228" i="3"/>
  <c r="W222" i="3"/>
  <c r="W220" i="3"/>
  <c r="W219" i="3"/>
  <c r="W215" i="3"/>
  <c r="W213" i="3"/>
  <c r="W208" i="3"/>
  <c r="W207" i="3"/>
  <c r="W206" i="3"/>
  <c r="W205" i="3"/>
  <c r="W200" i="3"/>
  <c r="W199" i="3"/>
  <c r="W198" i="3"/>
  <c r="W197" i="3"/>
  <c r="W191" i="3"/>
  <c r="W184" i="3"/>
  <c r="W183" i="3"/>
  <c r="W796" i="3"/>
  <c r="W724" i="3"/>
  <c r="W785" i="3"/>
  <c r="X736" i="3"/>
  <c r="X702" i="3"/>
  <c r="X734" i="3"/>
  <c r="X747" i="3"/>
  <c r="X764" i="3"/>
  <c r="X907" i="3"/>
  <c r="X759" i="3"/>
  <c r="X765" i="3"/>
  <c r="X713" i="3"/>
  <c r="X912" i="3"/>
  <c r="X964" i="3"/>
  <c r="X786" i="3"/>
  <c r="X875" i="3"/>
  <c r="X876" i="3"/>
  <c r="X724" i="3"/>
  <c r="X790" i="3"/>
  <c r="X878" i="3"/>
  <c r="X689" i="3"/>
  <c r="X904" i="3"/>
  <c r="X785" i="3"/>
  <c r="X721" i="3"/>
  <c r="X694" i="3"/>
  <c r="X693" i="3"/>
  <c r="X796" i="3"/>
  <c r="X767" i="3"/>
  <c r="X679" i="3"/>
  <c r="X674" i="3"/>
  <c r="X673" i="3"/>
  <c r="X661" i="3"/>
  <c r="X651" i="3"/>
  <c r="X646" i="3"/>
  <c r="X635" i="3"/>
  <c r="X609" i="3"/>
  <c r="X607" i="3"/>
  <c r="X588" i="3"/>
  <c r="X578" i="3"/>
  <c r="X577" i="3"/>
  <c r="X576" i="3"/>
  <c r="X575" i="3"/>
  <c r="X574" i="3"/>
  <c r="X571" i="3"/>
  <c r="X561" i="3"/>
  <c r="X560" i="3"/>
  <c r="X557" i="3"/>
  <c r="X555" i="3"/>
  <c r="X554" i="3"/>
  <c r="X548" i="3"/>
  <c r="X547" i="3"/>
  <c r="X546" i="3"/>
  <c r="X527" i="3"/>
  <c r="X525" i="3"/>
  <c r="X524" i="3"/>
  <c r="X521" i="3"/>
  <c r="X509" i="3"/>
  <c r="X508" i="3"/>
  <c r="X484" i="3"/>
  <c r="X481" i="3"/>
  <c r="X480" i="3"/>
  <c r="X477" i="3"/>
  <c r="X476" i="3"/>
  <c r="X454" i="3"/>
  <c r="X450" i="3"/>
  <c r="X449" i="3"/>
  <c r="X445" i="3"/>
  <c r="X444" i="3"/>
  <c r="X443" i="3"/>
  <c r="X439" i="3"/>
  <c r="X438" i="3"/>
  <c r="X437" i="3"/>
  <c r="X435" i="3"/>
  <c r="X434" i="3"/>
  <c r="X430" i="3"/>
  <c r="X422" i="3"/>
  <c r="X420" i="3"/>
  <c r="X405" i="3"/>
  <c r="X403" i="3"/>
  <c r="X402" i="3"/>
  <c r="X394" i="3"/>
  <c r="X393" i="3"/>
  <c r="X387" i="3"/>
  <c r="X380" i="3"/>
  <c r="X377" i="3"/>
  <c r="X374" i="3"/>
  <c r="X367" i="3"/>
  <c r="X366" i="3"/>
  <c r="X364" i="3"/>
  <c r="X363" i="3"/>
  <c r="X356" i="3"/>
  <c r="X355" i="3"/>
  <c r="X354" i="3"/>
  <c r="X353" i="3"/>
  <c r="X342" i="3"/>
  <c r="X335" i="3"/>
  <c r="X332" i="3"/>
  <c r="X329" i="3"/>
  <c r="X327" i="3"/>
  <c r="X322" i="3"/>
  <c r="X315" i="3"/>
  <c r="X313" i="3"/>
  <c r="X302" i="3"/>
  <c r="X300" i="3"/>
  <c r="X299" i="3"/>
  <c r="X296" i="3"/>
  <c r="X295" i="3"/>
  <c r="X287" i="3"/>
  <c r="X268" i="3"/>
  <c r="X267" i="3"/>
  <c r="X262" i="3"/>
  <c r="X261" i="3"/>
  <c r="X259" i="3"/>
  <c r="X258" i="3"/>
  <c r="X257" i="3"/>
  <c r="X244" i="3"/>
  <c r="X242" i="3"/>
  <c r="X240" i="3"/>
  <c r="X235" i="3"/>
  <c r="X233" i="3"/>
  <c r="X230" i="3"/>
  <c r="X229" i="3"/>
  <c r="X228" i="3"/>
  <c r="X222" i="3"/>
  <c r="X220" i="3"/>
  <c r="X219" i="3"/>
  <c r="X213" i="3"/>
  <c r="X208" i="3"/>
  <c r="X207" i="3"/>
  <c r="X206" i="3"/>
  <c r="X205" i="3"/>
  <c r="X200" i="3"/>
  <c r="X199" i="3"/>
  <c r="X198" i="3"/>
  <c r="X197" i="3"/>
  <c r="X191" i="3"/>
  <c r="X184" i="3"/>
  <c r="X183" i="3"/>
  <c r="V769" i="3"/>
  <c r="V910" i="3"/>
  <c r="V903" i="3"/>
  <c r="V828" i="3"/>
  <c r="V696" i="3"/>
  <c r="V663" i="3"/>
  <c r="V703" i="3"/>
  <c r="V711" i="3"/>
  <c r="V704" i="3"/>
  <c r="V864" i="3"/>
  <c r="V812" i="3"/>
  <c r="V814" i="3"/>
  <c r="V719" i="3"/>
  <c r="V784" i="3"/>
  <c r="V793" i="3"/>
  <c r="V682" i="3"/>
  <c r="V671" i="3"/>
  <c r="V660" i="3"/>
  <c r="V655" i="3"/>
  <c r="V649" i="3"/>
  <c r="V612" i="3"/>
  <c r="V611" i="3"/>
  <c r="V601" i="3"/>
  <c r="V600" i="3"/>
  <c r="V599" i="3"/>
  <c r="V598" i="3"/>
  <c r="V597" i="3"/>
  <c r="V595" i="3"/>
  <c r="V591" i="3"/>
  <c r="V589" i="3"/>
  <c r="V587" i="3"/>
  <c r="V586" i="3"/>
  <c r="V582" i="3"/>
  <c r="V580" i="3"/>
  <c r="V579" i="3"/>
  <c r="V572" i="3"/>
  <c r="V570" i="3"/>
  <c r="V569" i="3"/>
  <c r="V568" i="3"/>
  <c r="V567" i="3"/>
  <c r="V566" i="3"/>
  <c r="V565" i="3"/>
  <c r="V564" i="3"/>
  <c r="V563" i="3"/>
  <c r="V562" i="3"/>
  <c r="V559" i="3"/>
  <c r="V558" i="3"/>
  <c r="V556" i="3"/>
  <c r="V553" i="3"/>
  <c r="V552" i="3"/>
  <c r="V551" i="3"/>
  <c r="V549" i="3"/>
  <c r="V545" i="3"/>
  <c r="V544" i="3"/>
  <c r="V543" i="3"/>
  <c r="V542" i="3"/>
  <c r="V541" i="3"/>
  <c r="V540" i="3"/>
  <c r="V539" i="3"/>
  <c r="V538" i="3"/>
  <c r="V535" i="3"/>
  <c r="V534" i="3"/>
  <c r="V533" i="3"/>
  <c r="V532" i="3"/>
  <c r="V531" i="3"/>
  <c r="V530" i="3"/>
  <c r="V529" i="3"/>
  <c r="V528" i="3"/>
  <c r="V526" i="3"/>
  <c r="V523" i="3"/>
  <c r="V520" i="3"/>
  <c r="V519" i="3"/>
  <c r="V518" i="3"/>
  <c r="V517" i="3"/>
  <c r="V516" i="3"/>
  <c r="V514" i="3"/>
  <c r="V513" i="3"/>
  <c r="V512" i="3"/>
  <c r="V511" i="3"/>
  <c r="V510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2" i="3"/>
  <c r="V491" i="3"/>
  <c r="V490" i="3"/>
  <c r="V486" i="3"/>
  <c r="V485" i="3"/>
  <c r="V483" i="3"/>
  <c r="V482" i="3"/>
  <c r="V479" i="3"/>
  <c r="V478" i="3"/>
  <c r="V493" i="3"/>
  <c r="V474" i="3"/>
  <c r="V473" i="3"/>
  <c r="V472" i="3"/>
  <c r="V471" i="3"/>
  <c r="V470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3" i="3"/>
  <c r="V452" i="3"/>
  <c r="V451" i="3"/>
  <c r="V448" i="3"/>
  <c r="V447" i="3"/>
  <c r="V446" i="3"/>
  <c r="V442" i="3"/>
  <c r="V441" i="3"/>
  <c r="V440" i="3"/>
  <c r="V436" i="3"/>
  <c r="V433" i="3"/>
  <c r="V432" i="3"/>
  <c r="V431" i="3"/>
  <c r="V429" i="3"/>
  <c r="V428" i="3"/>
  <c r="V426" i="3"/>
  <c r="V425" i="3"/>
  <c r="V424" i="3"/>
  <c r="V423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4" i="3"/>
  <c r="V401" i="3"/>
  <c r="V400" i="3"/>
  <c r="V399" i="3"/>
  <c r="V398" i="3"/>
  <c r="V397" i="3"/>
  <c r="V396" i="3"/>
  <c r="V395" i="3"/>
  <c r="V392" i="3"/>
  <c r="V391" i="3"/>
  <c r="V390" i="3"/>
  <c r="V389" i="3"/>
  <c r="V388" i="3"/>
  <c r="V386" i="3"/>
  <c r="V385" i="3"/>
  <c r="V384" i="3"/>
  <c r="V383" i="3"/>
  <c r="V382" i="3"/>
  <c r="V381" i="3"/>
  <c r="V379" i="3"/>
  <c r="V378" i="3"/>
  <c r="V376" i="3"/>
  <c r="V375" i="3"/>
  <c r="V373" i="3"/>
  <c r="V372" i="3"/>
  <c r="V371" i="3"/>
  <c r="V370" i="3"/>
  <c r="V369" i="3"/>
  <c r="V368" i="3"/>
  <c r="V365" i="3"/>
  <c r="V362" i="3"/>
  <c r="V361" i="3"/>
  <c r="V360" i="3"/>
  <c r="V359" i="3"/>
  <c r="V358" i="3"/>
  <c r="V352" i="3"/>
  <c r="V351" i="3"/>
  <c r="V350" i="3"/>
  <c r="V349" i="3"/>
  <c r="V348" i="3"/>
  <c r="V347" i="3"/>
  <c r="V346" i="3"/>
  <c r="V345" i="3"/>
  <c r="V344" i="3"/>
  <c r="V343" i="3"/>
  <c r="V341" i="3"/>
  <c r="V340" i="3"/>
  <c r="V339" i="3"/>
  <c r="V338" i="3"/>
  <c r="V337" i="3"/>
  <c r="V336" i="3"/>
  <c r="V331" i="3"/>
  <c r="V330" i="3"/>
  <c r="V328" i="3"/>
  <c r="V325" i="3"/>
  <c r="V323" i="3"/>
  <c r="V321" i="3"/>
  <c r="V320" i="3"/>
  <c r="V319" i="3"/>
  <c r="V318" i="3"/>
  <c r="V317" i="3"/>
  <c r="V316" i="3"/>
  <c r="V314" i="3"/>
  <c r="V312" i="3"/>
  <c r="V311" i="3"/>
  <c r="V310" i="3"/>
  <c r="V309" i="3"/>
  <c r="V308" i="3"/>
  <c r="V307" i="3"/>
  <c r="V306" i="3"/>
  <c r="V305" i="3"/>
  <c r="V304" i="3"/>
  <c r="V303" i="3"/>
  <c r="V334" i="3"/>
  <c r="V333" i="3"/>
  <c r="V298" i="3"/>
  <c r="V294" i="3"/>
  <c r="V293" i="3"/>
  <c r="V292" i="3"/>
  <c r="V291" i="3"/>
  <c r="V290" i="3"/>
  <c r="V289" i="3"/>
  <c r="V288" i="3"/>
  <c r="V286" i="3"/>
  <c r="V285" i="3"/>
  <c r="V284" i="3"/>
  <c r="V282" i="3"/>
  <c r="V281" i="3"/>
  <c r="V280" i="3"/>
  <c r="V279" i="3"/>
  <c r="V278" i="3"/>
  <c r="V277" i="3"/>
  <c r="V276" i="3"/>
  <c r="V275" i="3"/>
  <c r="V274" i="3"/>
  <c r="V273" i="3"/>
  <c r="V272" i="3"/>
  <c r="V271" i="3"/>
  <c r="V270" i="3"/>
  <c r="V269" i="3"/>
  <c r="V266" i="3"/>
  <c r="V265" i="3"/>
  <c r="V264" i="3"/>
  <c r="V263" i="3"/>
  <c r="V260" i="3"/>
  <c r="V256" i="3"/>
  <c r="V255" i="3"/>
  <c r="V254" i="3"/>
  <c r="V253" i="3"/>
  <c r="V252" i="3"/>
  <c r="V251" i="3"/>
  <c r="V250" i="3"/>
  <c r="V249" i="3"/>
  <c r="V238" i="3"/>
  <c r="V237" i="3"/>
  <c r="V236" i="3"/>
  <c r="V234" i="3"/>
  <c r="V232" i="3"/>
  <c r="V231" i="3"/>
  <c r="V227" i="3"/>
  <c r="V226" i="3"/>
  <c r="V225" i="3"/>
  <c r="V224" i="3"/>
  <c r="V223" i="3"/>
  <c r="V221" i="3"/>
  <c r="V218" i="3"/>
  <c r="V217" i="3"/>
  <c r="V216" i="3"/>
  <c r="V212" i="3"/>
  <c r="V211" i="3"/>
  <c r="V210" i="3"/>
  <c r="V209" i="3"/>
  <c r="V204" i="3"/>
  <c r="V203" i="3"/>
  <c r="V202" i="3"/>
  <c r="V201" i="3"/>
  <c r="V196" i="3"/>
  <c r="V195" i="3"/>
  <c r="V194" i="3"/>
  <c r="V193" i="3"/>
  <c r="V192" i="3"/>
  <c r="V189" i="3"/>
  <c r="V187" i="3"/>
  <c r="V186" i="3"/>
  <c r="V185" i="3"/>
  <c r="V182" i="3"/>
  <c r="V675" i="3"/>
  <c r="V636" i="3"/>
  <c r="V726" i="3"/>
  <c r="V718" i="3"/>
  <c r="V665" i="3"/>
  <c r="X643" i="3"/>
  <c r="X641" i="3"/>
  <c r="V596" i="3"/>
  <c r="W799" i="3"/>
  <c r="X799" i="3"/>
  <c r="V594" i="3"/>
  <c r="V593" i="3"/>
  <c r="V581" i="3"/>
  <c r="W606" i="3"/>
  <c r="W608" i="3"/>
  <c r="W602" i="3"/>
  <c r="W625" i="3"/>
  <c r="W657" i="3"/>
  <c r="W751" i="3"/>
  <c r="X657" i="3"/>
  <c r="X751" i="3"/>
  <c r="W603" i="3"/>
  <c r="W699" i="3"/>
  <c r="X699" i="3"/>
  <c r="V650" i="3"/>
  <c r="V698" i="3"/>
  <c r="V969" i="3"/>
  <c r="V749" i="3"/>
  <c r="V648" i="3"/>
  <c r="V583" i="3"/>
  <c r="V584" i="3"/>
  <c r="V585" i="3"/>
  <c r="V616" i="3"/>
  <c r="V618" i="3"/>
  <c r="V637" i="3"/>
  <c r="V644" i="3"/>
  <c r="V652" i="3"/>
  <c r="W789" i="3"/>
  <c r="X789" i="3"/>
  <c r="V656" i="3"/>
  <c r="V627" i="3"/>
  <c r="W817" i="3"/>
  <c r="X817" i="3"/>
  <c r="W630" i="3"/>
  <c r="X630" i="3"/>
  <c r="W855" i="3"/>
  <c r="X855" i="3"/>
  <c r="W686" i="3"/>
  <c r="X686" i="3"/>
  <c r="W626" i="3"/>
  <c r="V621" i="3"/>
  <c r="V605" i="3"/>
  <c r="V604" i="3"/>
  <c r="V622" i="3"/>
  <c r="V617" i="3"/>
  <c r="V613" i="3"/>
  <c r="V614" i="3"/>
  <c r="W629" i="3"/>
  <c r="X629" i="3"/>
  <c r="V684" i="3"/>
  <c r="W610" i="3"/>
  <c r="W628" i="3"/>
  <c r="W839" i="3"/>
  <c r="W642" i="3"/>
  <c r="V615" i="3"/>
  <c r="X845" i="3"/>
  <c r="W845" i="3"/>
  <c r="V705" i="3"/>
  <c r="W640" i="3"/>
  <c r="W645" i="3"/>
  <c r="W664" i="3"/>
  <c r="W633" i="3"/>
  <c r="X633" i="3"/>
  <c r="W632" i="3"/>
  <c r="X632" i="3"/>
  <c r="V638" i="3"/>
  <c r="V639" i="3"/>
  <c r="V623" i="3"/>
  <c r="V624" i="3"/>
  <c r="X670" i="3"/>
  <c r="W670" i="3"/>
  <c r="W676" i="3"/>
  <c r="X677" i="3"/>
  <c r="W677" i="3"/>
  <c r="V672" i="3"/>
  <c r="V647" i="3"/>
  <c r="W758" i="3"/>
  <c r="X758" i="3"/>
  <c r="W820" i="3"/>
  <c r="X820" i="3"/>
  <c r="W708" i="3"/>
  <c r="X708" i="3"/>
  <c r="W710" i="3"/>
  <c r="X710" i="3"/>
  <c r="W732" i="3"/>
  <c r="X732" i="3"/>
  <c r="W733" i="3"/>
  <c r="X733" i="3"/>
  <c r="W735" i="3"/>
  <c r="X735" i="3"/>
  <c r="W709" i="3"/>
  <c r="X709" i="3"/>
  <c r="V741" i="3"/>
  <c r="V662" i="3"/>
  <c r="V720" i="3"/>
  <c r="W654" i="3"/>
  <c r="W658" i="3"/>
  <c r="W659" i="3"/>
  <c r="W681" i="3"/>
  <c r="W680" i="3"/>
  <c r="W754" i="3"/>
  <c r="W883" i="3"/>
  <c r="X883" i="3"/>
  <c r="V653" i="3"/>
  <c r="V683" i="3"/>
  <c r="V706" i="3"/>
  <c r="V690" i="3"/>
  <c r="X667" i="3"/>
  <c r="W667" i="3"/>
  <c r="V666" i="3"/>
  <c r="W687" i="3"/>
  <c r="X687" i="3"/>
  <c r="V427" i="3"/>
  <c r="V729" i="3"/>
  <c r="V707" i="3"/>
  <c r="V727" i="3"/>
  <c r="V488" i="3"/>
  <c r="V489" i="3"/>
  <c r="W691" i="3"/>
  <c r="X691" i="3"/>
  <c r="V688" i="3"/>
  <c r="V468" i="3"/>
  <c r="V469" i="3"/>
  <c r="W695" i="3"/>
  <c r="W701" i="3"/>
  <c r="W778" i="3"/>
  <c r="X778" i="3"/>
  <c r="W669" i="3"/>
  <c r="X669" i="3"/>
  <c r="V692" i="3"/>
  <c r="V716" i="3"/>
  <c r="V974" i="3"/>
  <c r="W685" i="3"/>
  <c r="X685" i="3"/>
  <c r="W678" i="3"/>
  <c r="X678" i="3"/>
  <c r="W781" i="3"/>
  <c r="X781" i="3"/>
  <c r="W955" i="3"/>
  <c r="X955" i="3"/>
  <c r="W770" i="3"/>
  <c r="X770" i="3"/>
  <c r="W771" i="3"/>
  <c r="X771" i="3"/>
  <c r="W807" i="3"/>
  <c r="X807" i="3"/>
  <c r="W926" i="3"/>
  <c r="X926" i="3"/>
  <c r="W1051" i="3"/>
  <c r="X1051" i="3"/>
  <c r="W852" i="3"/>
  <c r="X852" i="3"/>
  <c r="P88" i="122" s="1"/>
  <c r="W821" i="3"/>
  <c r="X821" i="3"/>
  <c r="W850" i="3"/>
  <c r="X850" i="3"/>
  <c r="W800" i="3"/>
  <c r="X800" i="3"/>
  <c r="V1271" i="3"/>
  <c r="W809" i="3"/>
  <c r="X809" i="3"/>
  <c r="W794" i="3"/>
  <c r="X794" i="3"/>
  <c r="W739" i="3"/>
  <c r="X739" i="3"/>
  <c r="V717" i="3"/>
  <c r="W738" i="3"/>
  <c r="X738" i="3"/>
  <c r="W737" i="3"/>
  <c r="X737" i="3"/>
  <c r="V730" i="3"/>
  <c r="W712" i="3"/>
  <c r="X712" i="3"/>
  <c r="W725" i="3"/>
  <c r="X725" i="3"/>
  <c r="W1011" i="3"/>
  <c r="X1011" i="3"/>
  <c r="V822" i="3"/>
  <c r="V782" i="3"/>
  <c r="W882" i="3"/>
  <c r="X882" i="3"/>
  <c r="W788" i="3"/>
  <c r="X788" i="3"/>
  <c r="W763" i="3"/>
  <c r="X763" i="3"/>
  <c r="W714" i="3"/>
  <c r="X714" i="3"/>
  <c r="X700" i="3"/>
  <c r="W700" i="3"/>
  <c r="X748" i="3"/>
  <c r="W748" i="3"/>
  <c r="W854" i="3"/>
  <c r="X854" i="3"/>
  <c r="W847" i="3"/>
  <c r="X847" i="3"/>
  <c r="V740" i="3"/>
  <c r="W760" i="3"/>
  <c r="X760" i="3"/>
  <c r="V823" i="3"/>
  <c r="W877" i="3"/>
  <c r="X877" i="3"/>
  <c r="W722" i="3"/>
  <c r="X722" i="3"/>
  <c r="V723" i="3"/>
  <c r="W756" i="3"/>
  <c r="X756" i="3"/>
  <c r="W757" i="3"/>
  <c r="X757" i="3"/>
  <c r="W746" i="3"/>
  <c r="X746" i="3"/>
  <c r="W743" i="3"/>
  <c r="X743" i="3"/>
  <c r="W742" i="3"/>
  <c r="X742" i="3"/>
  <c r="V753" i="3"/>
  <c r="V752" i="3"/>
  <c r="X762" i="3"/>
  <c r="W762" i="3"/>
  <c r="X768" i="3"/>
  <c r="W768" i="3"/>
  <c r="X844" i="3"/>
  <c r="W844" i="3"/>
  <c r="X858" i="3"/>
  <c r="W858" i="3"/>
  <c r="X856" i="3"/>
  <c r="W856" i="3"/>
  <c r="W813" i="3"/>
  <c r="X813" i="3"/>
  <c r="W780" i="3"/>
  <c r="X780" i="3"/>
  <c r="X772" i="3"/>
  <c r="W772" i="3"/>
  <c r="X774" i="3"/>
  <c r="W774" i="3"/>
  <c r="X773" i="3"/>
  <c r="W773" i="3"/>
  <c r="W776" i="3"/>
  <c r="X776" i="3"/>
  <c r="W775" i="3"/>
  <c r="X775" i="3"/>
  <c r="W827" i="3"/>
  <c r="X827" i="3"/>
  <c r="W892" i="3"/>
  <c r="X892" i="3"/>
  <c r="W865" i="3"/>
  <c r="X865" i="3"/>
  <c r="V995" i="3"/>
  <c r="V1113" i="3"/>
  <c r="V1081" i="3"/>
  <c r="V1040" i="3"/>
  <c r="V1114" i="3"/>
  <c r="X924" i="3"/>
  <c r="X902" i="3"/>
  <c r="X930" i="3"/>
  <c r="V945" i="3"/>
  <c r="V994" i="3"/>
  <c r="W953" i="3"/>
  <c r="X953" i="3"/>
  <c r="W1035" i="3"/>
  <c r="X1035" i="3"/>
  <c r="W1036" i="3"/>
  <c r="X1036" i="3"/>
  <c r="W824" i="3"/>
  <c r="X824" i="3"/>
  <c r="W936" i="3"/>
  <c r="X936" i="3"/>
  <c r="V867" i="3"/>
  <c r="W840" i="3"/>
  <c r="X840" i="3"/>
  <c r="V915" i="3"/>
  <c r="V816" i="3"/>
  <c r="W766" i="3"/>
  <c r="X766" i="3"/>
  <c r="W777" i="3"/>
  <c r="X777" i="3"/>
  <c r="W859" i="3"/>
  <c r="X859" i="3"/>
  <c r="X1005" i="3"/>
  <c r="X1002" i="3"/>
  <c r="W715" i="3"/>
  <c r="X715" i="3"/>
  <c r="X819" i="3"/>
  <c r="W819" i="3"/>
  <c r="W802" i="3"/>
  <c r="X802" i="3"/>
  <c r="W791" i="3"/>
  <c r="X791" i="3"/>
  <c r="W795" i="3"/>
  <c r="X795" i="3"/>
  <c r="W797" i="3"/>
  <c r="X888" i="3"/>
  <c r="X960" i="3"/>
  <c r="X958" i="3"/>
  <c r="X933" i="3"/>
  <c r="W815" i="3"/>
  <c r="X815" i="3"/>
  <c r="W919" i="3"/>
  <c r="X919" i="3"/>
  <c r="W834" i="3"/>
  <c r="W792" i="3"/>
  <c r="X832" i="3"/>
  <c r="W832" i="3"/>
  <c r="X895" i="3"/>
  <c r="X897" i="3"/>
  <c r="W860" i="3"/>
  <c r="W835" i="3"/>
  <c r="X835" i="3"/>
  <c r="X917" i="3"/>
  <c r="W917" i="3"/>
  <c r="W851" i="3"/>
  <c r="W916" i="3"/>
  <c r="X916" i="3"/>
  <c r="W808" i="3"/>
  <c r="X808" i="3"/>
  <c r="X1001" i="3"/>
  <c r="X977" i="3"/>
  <c r="V826" i="3"/>
  <c r="W861" i="3"/>
  <c r="X861" i="3"/>
  <c r="W887" i="3"/>
  <c r="X887" i="3"/>
  <c r="W853" i="3"/>
  <c r="W886" i="3"/>
  <c r="X886" i="3"/>
  <c r="W908" i="3"/>
  <c r="X908" i="3"/>
  <c r="W804" i="3"/>
  <c r="X949" i="3"/>
  <c r="X891" i="3"/>
  <c r="X942" i="3"/>
  <c r="W932" i="3"/>
  <c r="X932" i="3"/>
  <c r="W970" i="3"/>
  <c r="X970" i="3"/>
  <c r="V988" i="3"/>
  <c r="X957" i="3"/>
  <c r="W1070" i="3"/>
  <c r="V1068" i="3"/>
  <c r="V1090" i="3"/>
  <c r="W889" i="3"/>
  <c r="X889" i="3"/>
  <c r="W901" i="3"/>
  <c r="X901" i="3"/>
  <c r="W900" i="3"/>
  <c r="X900" i="3"/>
  <c r="W898" i="3"/>
  <c r="X898" i="3"/>
  <c r="W896" i="3"/>
  <c r="X896" i="3"/>
  <c r="W872" i="3"/>
  <c r="W870" i="3"/>
  <c r="W918" i="3"/>
  <c r="X918" i="3"/>
  <c r="W914" i="3"/>
  <c r="X914" i="3"/>
  <c r="W954" i="3"/>
  <c r="X954" i="3"/>
  <c r="X959" i="3"/>
  <c r="W905" i="3"/>
  <c r="X905" i="3"/>
  <c r="X952" i="3"/>
  <c r="W975" i="3"/>
  <c r="X975" i="3"/>
  <c r="W868" i="3"/>
  <c r="X868" i="3"/>
  <c r="X937" i="3"/>
  <c r="X925" i="3"/>
  <c r="X1006" i="3"/>
  <c r="X967" i="3"/>
  <c r="X961" i="3"/>
  <c r="W961" i="3"/>
  <c r="W879" i="3"/>
  <c r="X879" i="3"/>
  <c r="W962" i="3"/>
  <c r="X923" i="3"/>
  <c r="X314" i="3"/>
  <c r="X365" i="3"/>
  <c r="X265" i="3"/>
  <c r="F25" i="122"/>
  <c r="AP100" i="122"/>
  <c r="K138" i="122"/>
  <c r="G138" i="122"/>
  <c r="E72" i="122"/>
  <c r="D138" i="122"/>
  <c r="H138" i="122"/>
  <c r="L140" i="122"/>
  <c r="I120" i="122"/>
  <c r="AP132" i="122"/>
  <c r="J140" i="122"/>
  <c r="G120" i="122"/>
  <c r="AP136" i="122"/>
  <c r="H120" i="122"/>
  <c r="AP62" i="122"/>
  <c r="H140" i="122"/>
  <c r="AP104" i="122"/>
  <c r="AP102" i="122"/>
  <c r="AP122" i="122"/>
  <c r="L138" i="122"/>
  <c r="AP124" i="122"/>
  <c r="K118" i="122"/>
  <c r="H118" i="122"/>
  <c r="E118" i="122"/>
  <c r="AP130" i="122"/>
  <c r="AP134" i="122"/>
  <c r="E46" i="122"/>
  <c r="G118" i="122"/>
  <c r="L118" i="122"/>
  <c r="J138" i="122"/>
  <c r="AP18" i="122"/>
  <c r="AP80" i="122"/>
  <c r="AP88" i="122"/>
  <c r="G92" i="122"/>
  <c r="AP60" i="122"/>
  <c r="AP82" i="122"/>
  <c r="E95" i="122"/>
  <c r="E92" i="122"/>
  <c r="F92" i="122"/>
  <c r="X682" i="3"/>
  <c r="X655" i="3"/>
  <c r="X599" i="3"/>
  <c r="X589" i="3"/>
  <c r="X562" i="3"/>
  <c r="X513" i="3"/>
  <c r="X510" i="3"/>
  <c r="X451" i="3"/>
  <c r="X424" i="3"/>
  <c r="X260" i="3"/>
  <c r="X254" i="3"/>
  <c r="X251" i="3"/>
  <c r="X231" i="3"/>
  <c r="X201" i="3"/>
  <c r="X652" i="3"/>
  <c r="X696" i="3"/>
  <c r="X704" i="3"/>
  <c r="X636" i="3"/>
  <c r="X611" i="3"/>
  <c r="X594" i="3"/>
  <c r="X572" i="3"/>
  <c r="X472" i="3"/>
  <c r="X432" i="3"/>
  <c r="X409" i="3"/>
  <c r="X406" i="3"/>
  <c r="X400" i="3"/>
  <c r="X397" i="3"/>
  <c r="X385" i="3"/>
  <c r="X382" i="3"/>
  <c r="X352" i="3"/>
  <c r="X349" i="3"/>
  <c r="X346" i="3"/>
  <c r="X343" i="3"/>
  <c r="X339" i="3"/>
  <c r="X310" i="3"/>
  <c r="X307" i="3"/>
  <c r="X304" i="3"/>
  <c r="X293" i="3"/>
  <c r="X291" i="3"/>
  <c r="X289" i="3"/>
  <c r="F24" i="122"/>
  <c r="AP32" i="122"/>
  <c r="F22" i="122"/>
  <c r="F46" i="122"/>
  <c r="AP30" i="122"/>
  <c r="X1027" i="3"/>
  <c r="X1114" i="3"/>
  <c r="X994" i="3"/>
  <c r="X660" i="3"/>
  <c r="X597" i="3"/>
  <c r="W683" i="3"/>
  <c r="X672" i="3"/>
  <c r="X623" i="3"/>
  <c r="AP7" i="122"/>
  <c r="X620" i="3"/>
  <c r="F49" i="122"/>
  <c r="W650" i="3"/>
  <c r="W601" i="3"/>
  <c r="W716" i="3"/>
  <c r="W587" i="3"/>
  <c r="W591" i="3"/>
  <c r="W580" i="3"/>
  <c r="W570" i="3"/>
  <c r="W567" i="3"/>
  <c r="W564" i="3"/>
  <c r="W549" i="3"/>
  <c r="W543" i="3"/>
  <c r="W540" i="3"/>
  <c r="W537" i="3"/>
  <c r="W519" i="3"/>
  <c r="W516" i="3"/>
  <c r="W507" i="3"/>
  <c r="W504" i="3"/>
  <c r="W501" i="3"/>
  <c r="W498" i="3"/>
  <c r="W495" i="3"/>
  <c r="W485" i="3"/>
  <c r="W479" i="3"/>
  <c r="W466" i="3"/>
  <c r="W463" i="3"/>
  <c r="W460" i="3"/>
  <c r="W457" i="3"/>
  <c r="W448" i="3"/>
  <c r="W442" i="3"/>
  <c r="W436" i="3"/>
  <c r="W427" i="3"/>
  <c r="W404" i="3"/>
  <c r="W372" i="3"/>
  <c r="W369" i="3"/>
  <c r="W341" i="3"/>
  <c r="W338" i="3"/>
  <c r="W325" i="3"/>
  <c r="W256" i="3"/>
  <c r="W253" i="3"/>
  <c r="W250" i="3"/>
  <c r="W234" i="3"/>
  <c r="W225" i="3"/>
  <c r="W216" i="3"/>
  <c r="W203" i="3"/>
  <c r="W720" i="3"/>
  <c r="X716" i="3"/>
  <c r="X650" i="3"/>
  <c r="X312" i="3"/>
  <c r="X309" i="3"/>
  <c r="X306" i="3"/>
  <c r="X303" i="3"/>
  <c r="X945" i="3"/>
  <c r="X479" i="3"/>
  <c r="X601" i="3"/>
  <c r="W649" i="3"/>
  <c r="W598" i="3"/>
  <c r="W533" i="3"/>
  <c r="W512" i="3"/>
  <c r="W491" i="3"/>
  <c r="W453" i="3"/>
  <c r="W426" i="3"/>
  <c r="W423" i="3"/>
  <c r="W417" i="3"/>
  <c r="W414" i="3"/>
  <c r="W411" i="3"/>
  <c r="W391" i="3"/>
  <c r="W388" i="3"/>
  <c r="W362" i="3"/>
  <c r="W359" i="3"/>
  <c r="W312" i="3"/>
  <c r="W309" i="3"/>
  <c r="W306" i="3"/>
  <c r="W303" i="3"/>
  <c r="W288" i="3"/>
  <c r="W264" i="3"/>
  <c r="W237" i="3"/>
  <c r="W236" i="3"/>
  <c r="W221" i="3"/>
  <c r="W586" i="3"/>
  <c r="X726" i="3"/>
  <c r="X741" i="3"/>
  <c r="X711" i="3"/>
  <c r="X812" i="3"/>
  <c r="X649" i="3"/>
  <c r="X612" i="3"/>
  <c r="X586" i="3"/>
  <c r="X580" i="3"/>
  <c r="X570" i="3"/>
  <c r="X567" i="3"/>
  <c r="X553" i="3"/>
  <c r="X549" i="3"/>
  <c r="X540" i="3"/>
  <c r="X537" i="3"/>
  <c r="X533" i="3"/>
  <c r="X485" i="3"/>
  <c r="X466" i="3"/>
  <c r="X460" i="3"/>
  <c r="X457" i="3"/>
  <c r="X436" i="3"/>
  <c r="X427" i="3"/>
  <c r="X404" i="3"/>
  <c r="X401" i="3"/>
  <c r="X398" i="3"/>
  <c r="X375" i="3"/>
  <c r="X350" i="3"/>
  <c r="X347" i="3"/>
  <c r="X344" i="3"/>
  <c r="X331" i="3"/>
  <c r="X320" i="3"/>
  <c r="X311" i="3"/>
  <c r="X308" i="3"/>
  <c r="X305" i="3"/>
  <c r="X298" i="3"/>
  <c r="X292" i="3"/>
  <c r="X290" i="3"/>
  <c r="X284" i="3"/>
  <c r="X281" i="3"/>
  <c r="X278" i="3"/>
  <c r="X275" i="3"/>
  <c r="X269" i="3"/>
  <c r="X234" i="3"/>
  <c r="X210" i="3"/>
  <c r="X185" i="3"/>
  <c r="X830" i="3"/>
  <c r="G23" i="122"/>
  <c r="AP23" i="122" s="1"/>
  <c r="W803" i="3"/>
  <c r="X552" i="3"/>
  <c r="X545" i="3"/>
  <c r="X542" i="3"/>
  <c r="X539" i="3"/>
  <c r="X535" i="3"/>
  <c r="X532" i="3"/>
  <c r="X529" i="3"/>
  <c r="X526" i="3"/>
  <c r="X523" i="3"/>
  <c r="X519" i="3"/>
  <c r="X516" i="3"/>
  <c r="X506" i="3"/>
  <c r="X503" i="3"/>
  <c r="X500" i="3"/>
  <c r="X497" i="3"/>
  <c r="X494" i="3"/>
  <c r="X478" i="3"/>
  <c r="X465" i="3"/>
  <c r="X462" i="3"/>
  <c r="X456" i="3"/>
  <c r="X453" i="3"/>
  <c r="X447" i="3"/>
  <c r="X441" i="3"/>
  <c r="X429" i="3"/>
  <c r="X426" i="3"/>
  <c r="X423" i="3"/>
  <c r="X417" i="3"/>
  <c r="X414" i="3"/>
  <c r="X411" i="3"/>
  <c r="X391" i="3"/>
  <c r="X388" i="3"/>
  <c r="X379" i="3"/>
  <c r="X371" i="3"/>
  <c r="X368" i="3"/>
  <c r="X362" i="3"/>
  <c r="X359" i="3"/>
  <c r="X330" i="3"/>
  <c r="X319" i="3"/>
  <c r="X316" i="3"/>
  <c r="X286" i="3"/>
  <c r="X283" i="3"/>
  <c r="X280" i="3"/>
  <c r="X256" i="3"/>
  <c r="X253" i="3"/>
  <c r="X250" i="3"/>
  <c r="X237" i="3"/>
  <c r="X236" i="3"/>
  <c r="X223" i="3"/>
  <c r="X217" i="3"/>
  <c r="X203" i="3"/>
  <c r="X196" i="3"/>
  <c r="X193" i="3"/>
  <c r="X720" i="3"/>
  <c r="X740" i="3"/>
  <c r="W672" i="3"/>
  <c r="W623" i="3"/>
  <c r="V620" i="3"/>
  <c r="W620" i="3"/>
  <c r="X1021" i="3"/>
  <c r="W1111" i="3"/>
  <c r="X988" i="3"/>
  <c r="W1068" i="3"/>
  <c r="W755" i="3"/>
  <c r="W818" i="3"/>
  <c r="X816" i="3"/>
  <c r="X1040" i="3"/>
  <c r="X1039" i="3"/>
  <c r="X963" i="3"/>
  <c r="X972" i="3"/>
  <c r="S67" i="122" s="1"/>
  <c r="W893" i="3"/>
  <c r="X1007" i="3"/>
  <c r="X1111" i="3"/>
  <c r="X1038" i="3"/>
  <c r="X1022" i="3"/>
  <c r="X941" i="3"/>
  <c r="X862" i="3"/>
  <c r="X499" i="3"/>
  <c r="X496" i="3"/>
  <c r="X490" i="3"/>
  <c r="X483" i="3"/>
  <c r="X452" i="3"/>
  <c r="X378" i="3"/>
  <c r="X321" i="3"/>
  <c r="X596" i="3"/>
  <c r="X717" i="3"/>
  <c r="X504" i="3"/>
  <c r="X501" i="3"/>
  <c r="X492" i="3"/>
  <c r="X473" i="3"/>
  <c r="X418" i="3"/>
  <c r="X392" i="3"/>
  <c r="X389" i="3"/>
  <c r="X360" i="3"/>
  <c r="X266" i="3"/>
  <c r="X263" i="3"/>
  <c r="X224" i="3"/>
  <c r="X218" i="3"/>
  <c r="X194" i="3"/>
  <c r="X189" i="3"/>
  <c r="W652" i="3"/>
  <c r="W613" i="3"/>
  <c r="AP108" i="122"/>
  <c r="X769" i="3"/>
  <c r="X663" i="3"/>
  <c r="X814" i="3"/>
  <c r="X784" i="3"/>
  <c r="X675" i="3"/>
  <c r="X671" i="3"/>
  <c r="X600" i="3"/>
  <c r="X582" i="3"/>
  <c r="X544" i="3"/>
  <c r="X534" i="3"/>
  <c r="X493" i="3"/>
  <c r="X471" i="3"/>
  <c r="X464" i="3"/>
  <c r="X458" i="3"/>
  <c r="X455" i="3"/>
  <c r="X446" i="3"/>
  <c r="X358" i="3"/>
  <c r="X216" i="3"/>
  <c r="X705" i="3"/>
  <c r="W624" i="3"/>
  <c r="W826" i="3"/>
  <c r="X1031" i="3"/>
  <c r="X869" i="3"/>
  <c r="X779" i="3"/>
  <c r="X1113" i="3"/>
  <c r="X857" i="3"/>
  <c r="W944" i="3"/>
  <c r="X192" i="3"/>
  <c r="W639" i="3"/>
  <c r="X647" i="3"/>
  <c r="W662" i="3"/>
  <c r="X683" i="3"/>
  <c r="W690" i="3"/>
  <c r="W727" i="3"/>
  <c r="W489" i="3"/>
  <c r="X692" i="3"/>
  <c r="X730" i="3"/>
  <c r="X761" i="3"/>
  <c r="X755" i="3"/>
  <c r="W783" i="3"/>
  <c r="X880" i="3"/>
  <c r="W752" i="3"/>
  <c r="W1114" i="3"/>
  <c r="X922" i="3"/>
  <c r="X885" i="3"/>
  <c r="W945" i="3"/>
  <c r="W994" i="3"/>
  <c r="X944" i="3"/>
  <c r="W806" i="3"/>
  <c r="X920" i="3"/>
  <c r="W842" i="3"/>
  <c r="X1057" i="3"/>
  <c r="W1031" i="3"/>
  <c r="X993" i="3"/>
  <c r="X978" i="3"/>
  <c r="AP128" i="122"/>
  <c r="S140" i="122"/>
  <c r="AK82" i="122"/>
  <c r="E94" i="122"/>
  <c r="AL82" i="122"/>
  <c r="W931" i="3"/>
  <c r="X931" i="3"/>
  <c r="J20" i="122"/>
  <c r="AP20" i="122" s="1"/>
  <c r="S138" i="122"/>
  <c r="AP126" i="122"/>
  <c r="U1237" i="3" a="1"/>
  <c r="X531" i="3"/>
  <c r="X528" i="3"/>
  <c r="X518" i="3"/>
  <c r="X502" i="3"/>
  <c r="X474" i="3"/>
  <c r="X467" i="3"/>
  <c r="X416" i="3"/>
  <c r="X413" i="3"/>
  <c r="X384" i="3"/>
  <c r="X381" i="3"/>
  <c r="X376" i="3"/>
  <c r="X373" i="3"/>
  <c r="X370" i="3"/>
  <c r="X361" i="3"/>
  <c r="X318" i="3"/>
  <c r="X273" i="3"/>
  <c r="X264" i="3"/>
  <c r="X252" i="3"/>
  <c r="X212" i="3"/>
  <c r="X204" i="3"/>
  <c r="X186" i="3"/>
  <c r="W596" i="3"/>
  <c r="W593" i="3"/>
  <c r="X624" i="3"/>
  <c r="W688" i="3"/>
  <c r="W805" i="3"/>
  <c r="X843" i="3"/>
  <c r="W753" i="3"/>
  <c r="X881" i="3"/>
  <c r="X706" i="3"/>
  <c r="W843" i="3"/>
  <c r="W730" i="3"/>
  <c r="W811" i="3"/>
  <c r="X752" i="3"/>
  <c r="W995" i="3"/>
  <c r="W1113" i="3"/>
  <c r="W1040" i="3"/>
  <c r="W881" i="3"/>
  <c r="X867" i="3"/>
  <c r="U1275" i="3" a="1"/>
  <c r="U1266" i="3" a="1"/>
  <c r="U1231" i="3" a="1"/>
  <c r="U1264" i="3" a="1"/>
  <c r="U841" i="3" a="1"/>
  <c r="U1283" i="3" a="1"/>
  <c r="X590" i="3"/>
  <c r="X587" i="3"/>
  <c r="X551" i="3"/>
  <c r="X541" i="3"/>
  <c r="X538" i="3"/>
  <c r="X514" i="3"/>
  <c r="X511" i="3"/>
  <c r="X505" i="3"/>
  <c r="X486" i="3"/>
  <c r="X461" i="3"/>
  <c r="X440" i="3"/>
  <c r="X431" i="3"/>
  <c r="X428" i="3"/>
  <c r="X425" i="3"/>
  <c r="X419" i="3"/>
  <c r="X410" i="3"/>
  <c r="X399" i="3"/>
  <c r="X390" i="3"/>
  <c r="X351" i="3"/>
  <c r="X348" i="3"/>
  <c r="X345" i="3"/>
  <c r="X338" i="3"/>
  <c r="X288" i="3"/>
  <c r="X285" i="3"/>
  <c r="X282" i="3"/>
  <c r="X270" i="3"/>
  <c r="X255" i="3"/>
  <c r="X232" i="3"/>
  <c r="X225" i="3"/>
  <c r="X202" i="3"/>
  <c r="X195" i="3"/>
  <c r="X662" i="3"/>
  <c r="W653" i="3"/>
  <c r="W729" i="3"/>
  <c r="W468" i="3"/>
  <c r="X595" i="3"/>
  <c r="X559" i="3"/>
  <c r="X556" i="3"/>
  <c r="X543" i="3"/>
  <c r="X530" i="3"/>
  <c r="X520" i="3"/>
  <c r="X517" i="3"/>
  <c r="X507" i="3"/>
  <c r="X498" i="3"/>
  <c r="X495" i="3"/>
  <c r="X482" i="3"/>
  <c r="X470" i="3"/>
  <c r="X463" i="3"/>
  <c r="X448" i="3"/>
  <c r="X442" i="3"/>
  <c r="X433" i="3"/>
  <c r="X415" i="3"/>
  <c r="X412" i="3"/>
  <c r="X407" i="3"/>
  <c r="X395" i="3"/>
  <c r="X386" i="3"/>
  <c r="X383" i="3"/>
  <c r="X372" i="3"/>
  <c r="X369" i="3"/>
  <c r="X341" i="3"/>
  <c r="X336" i="3"/>
  <c r="X328" i="3"/>
  <c r="X323" i="3"/>
  <c r="X317" i="3"/>
  <c r="X294" i="3"/>
  <c r="X272" i="3"/>
  <c r="X238" i="3"/>
  <c r="X221" i="3"/>
  <c r="X211" i="3"/>
  <c r="X182" i="3"/>
  <c r="W581" i="3"/>
  <c r="X605" i="3"/>
  <c r="W749" i="3"/>
  <c r="X648" i="3"/>
  <c r="W584" i="3"/>
  <c r="X637" i="3"/>
  <c r="X729" i="3"/>
  <c r="W692" i="3"/>
  <c r="X969" i="3"/>
  <c r="X585" i="3"/>
  <c r="X622" i="3"/>
  <c r="X653" i="3"/>
  <c r="X690" i="3"/>
  <c r="W666" i="3"/>
  <c r="X489" i="3"/>
  <c r="X688" i="3"/>
  <c r="X849" i="3"/>
  <c r="X1271" i="3"/>
  <c r="W823" i="3"/>
  <c r="X831" i="3"/>
  <c r="X995" i="3"/>
  <c r="W1081" i="3"/>
  <c r="W885" i="3"/>
  <c r="X749" i="3"/>
  <c r="X618" i="3"/>
  <c r="W637" i="3"/>
  <c r="X617" i="3"/>
  <c r="X615" i="3"/>
  <c r="W647" i="3"/>
  <c r="W706" i="3"/>
  <c r="X666" i="3"/>
  <c r="X468" i="3"/>
  <c r="W906" i="3"/>
  <c r="X744" i="3"/>
  <c r="W745" i="3"/>
  <c r="X823" i="3"/>
  <c r="X1081" i="3"/>
  <c r="U36" i="122"/>
  <c r="U1037" i="3" a="1"/>
  <c r="O36" i="66" a="1"/>
  <c r="U1239" i="3" a="1"/>
  <c r="U1288" i="3" a="1"/>
  <c r="U1297" i="3" a="1"/>
  <c r="U1245" i="3" a="1"/>
  <c r="U1249" i="3" a="1"/>
  <c r="U1253" i="3" a="1"/>
  <c r="U829" i="3" a="1"/>
  <c r="U1290" i="3" a="1"/>
  <c r="U634" i="3" a="1"/>
  <c r="U1296" i="3" a="1"/>
  <c r="U1260" i="3" a="1"/>
  <c r="U1281" i="3" a="1"/>
  <c r="U1284" i="3" a="1"/>
  <c r="U1252" i="3" a="1"/>
  <c r="U1268" i="3" a="1"/>
  <c r="U1265" i="3" a="1"/>
  <c r="AP106" i="122"/>
  <c r="U1277" i="3" a="1"/>
  <c r="U968" i="3" a="1"/>
  <c r="U1261" i="3" a="1"/>
  <c r="U1254" i="3" a="1"/>
  <c r="U1238" i="3" a="1"/>
  <c r="U1276" i="3" a="1"/>
  <c r="U188" i="3" a="1"/>
  <c r="U1257" i="3" a="1"/>
  <c r="L120" i="122"/>
  <c r="K140" i="122"/>
  <c r="U1242" i="3" a="1"/>
  <c r="U1258" i="3" a="1"/>
  <c r="U1240" i="3" a="1"/>
  <c r="U1255" i="3" a="1"/>
  <c r="E48" i="122"/>
  <c r="AM80" i="122"/>
  <c r="K120" i="122"/>
  <c r="F94" i="122"/>
  <c r="F120" i="122"/>
  <c r="F48" i="122"/>
  <c r="G94" i="122"/>
  <c r="U1293" i="3" a="1"/>
  <c r="U1289" i="3" a="1"/>
  <c r="U301" i="3" a="1"/>
  <c r="U357" i="3" a="1"/>
  <c r="U1247" i="3" a="1"/>
  <c r="U1229" i="3" a="1"/>
  <c r="U475" i="3" a="1"/>
  <c r="U1243" i="3" a="1"/>
  <c r="U1228" i="3" a="1"/>
  <c r="U1241" i="3" a="1"/>
  <c r="U1259" i="3" a="1"/>
  <c r="X718" i="3"/>
  <c r="X665" i="3"/>
  <c r="X581" i="3"/>
  <c r="W627" i="3"/>
  <c r="X627" i="3"/>
  <c r="W604" i="3"/>
  <c r="X604" i="3"/>
  <c r="E74" i="122"/>
  <c r="AP90" i="122"/>
  <c r="W798" i="3"/>
  <c r="X798" i="3"/>
  <c r="W822" i="3"/>
  <c r="X822" i="3"/>
  <c r="W723" i="3"/>
  <c r="X723" i="3"/>
  <c r="J141" i="122"/>
  <c r="W965" i="3"/>
  <c r="Q56" i="66"/>
  <c r="Q36" i="66"/>
  <c r="R36" i="66"/>
  <c r="Q20" i="66"/>
  <c r="R56" i="66"/>
  <c r="R20" i="66"/>
  <c r="R33" i="66"/>
  <c r="U1267" i="3" a="1"/>
  <c r="U1248" i="3" a="1"/>
  <c r="U190" i="3" a="1"/>
  <c r="U1233" i="3" a="1"/>
  <c r="U1282" i="3" a="1"/>
  <c r="U1112" i="3" a="1"/>
  <c r="U1294" i="3" a="1"/>
  <c r="U1280" i="3" a="1"/>
  <c r="U1270" i="3" a="1"/>
  <c r="U1256" i="3" a="1"/>
  <c r="U1278" i="3" a="1"/>
  <c r="U911" i="3" a="1"/>
  <c r="U1244" i="3" a="1"/>
  <c r="F128" i="122"/>
  <c r="AL128" i="122" s="1"/>
  <c r="F138" i="122"/>
  <c r="E124" i="122"/>
  <c r="E138" i="122"/>
  <c r="AM126" i="122"/>
  <c r="E108" i="122"/>
  <c r="AM106" i="122"/>
  <c r="F118" i="122"/>
  <c r="G121" i="122"/>
  <c r="L141" i="122"/>
  <c r="U1262" i="3" a="1"/>
  <c r="U1246" i="3" a="1"/>
  <c r="U214" i="3" a="1"/>
  <c r="U1234" i="3" a="1"/>
  <c r="U1263" i="3" a="1"/>
  <c r="U1236" i="3" a="1"/>
  <c r="U1230" i="3" a="1"/>
  <c r="U1250" i="3" a="1"/>
  <c r="U1235" i="3" a="1"/>
  <c r="U1273" i="3" a="1"/>
  <c r="U487" i="3" a="1"/>
  <c r="U1279" i="3" a="1"/>
  <c r="U1251" i="3" a="1"/>
  <c r="U421" i="3" a="1"/>
  <c r="U1269" i="3" a="1"/>
  <c r="U1232" i="3" a="1"/>
  <c r="U1292" i="3" a="1"/>
  <c r="U1291" i="3" a="1"/>
  <c r="Q97" i="69"/>
  <c r="AU58" i="70" a="1"/>
  <c r="AD100" i="122" l="1"/>
  <c r="AD118" i="122"/>
  <c r="V1360" i="3"/>
  <c r="W1360" i="3"/>
  <c r="X1360" i="3"/>
  <c r="AE34" i="122" s="1"/>
  <c r="V1359" i="3"/>
  <c r="W1359" i="3"/>
  <c r="X1359" i="3"/>
  <c r="AD30" i="122" s="1"/>
  <c r="V1356" i="3"/>
  <c r="W1356" i="3"/>
  <c r="X1356" i="3"/>
  <c r="V1355" i="3"/>
  <c r="W1355" i="3"/>
  <c r="X1355" i="3"/>
  <c r="V1391" i="3"/>
  <c r="W1391" i="3"/>
  <c r="X1391" i="3"/>
  <c r="V1390" i="3"/>
  <c r="W1390" i="3"/>
  <c r="X1390" i="3"/>
  <c r="AH26" i="122" s="1"/>
  <c r="V1362" i="3"/>
  <c r="W1362" i="3"/>
  <c r="V1337" i="3"/>
  <c r="X1337" i="3"/>
  <c r="V1329" i="3"/>
  <c r="W1329" i="3"/>
  <c r="E6" i="122"/>
  <c r="AC46" i="122"/>
  <c r="AC32" i="122"/>
  <c r="AD2" i="122"/>
  <c r="AD4" i="122" s="1"/>
  <c r="AI2" i="122"/>
  <c r="AI4" i="122" s="1"/>
  <c r="AJ2" i="122"/>
  <c r="AJ4" i="122" s="1"/>
  <c r="AE2" i="122"/>
  <c r="AE4" i="122" s="1"/>
  <c r="AF2" i="122"/>
  <c r="AF4" i="122" s="1"/>
  <c r="AG2" i="122"/>
  <c r="AG4" i="122" s="1"/>
  <c r="AH2" i="122"/>
  <c r="AH4" i="122" s="1"/>
  <c r="AB33" i="122"/>
  <c r="AB126" i="122"/>
  <c r="V1405" i="3"/>
  <c r="W1405" i="3"/>
  <c r="X1405" i="3"/>
  <c r="V1404" i="3"/>
  <c r="W1404" i="3"/>
  <c r="X1404" i="3"/>
  <c r="V1400" i="3"/>
  <c r="W1400" i="3"/>
  <c r="X1400" i="3"/>
  <c r="AH76" i="122" s="1"/>
  <c r="V1399" i="3"/>
  <c r="W1399" i="3"/>
  <c r="X1399" i="3"/>
  <c r="AD76" i="122" s="1"/>
  <c r="V1382" i="3"/>
  <c r="W1382" i="3"/>
  <c r="X1382" i="3"/>
  <c r="AF26" i="122" s="1"/>
  <c r="V1397" i="3"/>
  <c r="W1397" i="3"/>
  <c r="X1397" i="3"/>
  <c r="V1396" i="3"/>
  <c r="W1396" i="3"/>
  <c r="X1396" i="3"/>
  <c r="V1410" i="3"/>
  <c r="W1410" i="3"/>
  <c r="X1410" i="3"/>
  <c r="V1205" i="3"/>
  <c r="W1205" i="3"/>
  <c r="X1205" i="3"/>
  <c r="V1344" i="3"/>
  <c r="W1344" i="3"/>
  <c r="X1344" i="3"/>
  <c r="AC60" i="122" s="1"/>
  <c r="S29" i="122"/>
  <c r="V6" i="122"/>
  <c r="S9" i="122"/>
  <c r="S25" i="122" s="1"/>
  <c r="S26" i="122"/>
  <c r="D34" i="122"/>
  <c r="W1208" i="3"/>
  <c r="J29" i="122"/>
  <c r="D80" i="122"/>
  <c r="D30" i="122"/>
  <c r="P91" i="122"/>
  <c r="D88" i="122"/>
  <c r="S6" i="122"/>
  <c r="W79" i="122"/>
  <c r="W95" i="122" s="1"/>
  <c r="W76" i="122"/>
  <c r="W78" i="122" s="1"/>
  <c r="W94" i="122" s="1"/>
  <c r="I29" i="122"/>
  <c r="T29" i="122"/>
  <c r="T26" i="122"/>
  <c r="R29" i="122"/>
  <c r="J26" i="122"/>
  <c r="J28" i="122" s="1"/>
  <c r="R98" i="122"/>
  <c r="R101" i="122"/>
  <c r="Q9" i="122"/>
  <c r="I26" i="122"/>
  <c r="I28" i="122" s="1"/>
  <c r="R26" i="122"/>
  <c r="R28" i="122" s="1"/>
  <c r="D68" i="122"/>
  <c r="D10" i="122"/>
  <c r="Q6" i="122"/>
  <c r="D14" i="122"/>
  <c r="U79" i="122"/>
  <c r="U95" i="122" s="1"/>
  <c r="U76" i="122"/>
  <c r="U78" i="122" s="1"/>
  <c r="U94" i="122" s="1"/>
  <c r="G64" i="122"/>
  <c r="G66" i="122" s="1"/>
  <c r="Q64" i="122"/>
  <c r="Q66" i="122" s="1"/>
  <c r="Q74" i="122" s="1"/>
  <c r="G67" i="122"/>
  <c r="V9" i="122"/>
  <c r="V25" i="122" s="1"/>
  <c r="AB30" i="122"/>
  <c r="AB32" i="122" s="1"/>
  <c r="Q67" i="122"/>
  <c r="Q75" i="122" s="1"/>
  <c r="O91" i="122"/>
  <c r="O88" i="122"/>
  <c r="O90" i="122" s="1"/>
  <c r="N33" i="122"/>
  <c r="N30" i="122"/>
  <c r="N32" i="122" s="1"/>
  <c r="H79" i="122"/>
  <c r="H76" i="122"/>
  <c r="H78" i="122" s="1"/>
  <c r="M33" i="122"/>
  <c r="M30" i="122"/>
  <c r="M32" i="122" s="1"/>
  <c r="H29" i="122"/>
  <c r="H26" i="122"/>
  <c r="H28" i="122" s="1"/>
  <c r="P29" i="122"/>
  <c r="P26" i="122"/>
  <c r="J5" i="122"/>
  <c r="J2" i="122"/>
  <c r="J4" i="122" s="1"/>
  <c r="E9" i="122"/>
  <c r="E25" i="122" s="1"/>
  <c r="E22" i="122"/>
  <c r="G29" i="122"/>
  <c r="G49" i="122" s="1"/>
  <c r="G26" i="122"/>
  <c r="G28" i="122" s="1"/>
  <c r="G48" i="122" s="1"/>
  <c r="M41" i="122"/>
  <c r="M38" i="122"/>
  <c r="M40" i="122" s="1"/>
  <c r="K91" i="122"/>
  <c r="K95" i="122" s="1"/>
  <c r="K88" i="122"/>
  <c r="K90" i="122" s="1"/>
  <c r="R33" i="122"/>
  <c r="R30" i="122"/>
  <c r="R32" i="122" s="1"/>
  <c r="Q17" i="122"/>
  <c r="Q14" i="122"/>
  <c r="Q16" i="122" s="1"/>
  <c r="K9" i="122"/>
  <c r="K6" i="122"/>
  <c r="P105" i="122"/>
  <c r="P102" i="122"/>
  <c r="P104" i="122" s="1"/>
  <c r="M67" i="122"/>
  <c r="M75" i="122" s="1"/>
  <c r="M64" i="122"/>
  <c r="M66" i="122" s="1"/>
  <c r="M74" i="122" s="1"/>
  <c r="T105" i="122"/>
  <c r="T102" i="122"/>
  <c r="K41" i="122"/>
  <c r="K38" i="122"/>
  <c r="K40" i="122" s="1"/>
  <c r="O59" i="122"/>
  <c r="O56" i="122"/>
  <c r="O58" i="122" s="1"/>
  <c r="O101" i="122"/>
  <c r="O121" i="122" s="1"/>
  <c r="O98" i="122"/>
  <c r="L9" i="122"/>
  <c r="L6" i="122"/>
  <c r="L8" i="122" s="1"/>
  <c r="R9" i="122"/>
  <c r="R6" i="122"/>
  <c r="R67" i="122"/>
  <c r="R64" i="122"/>
  <c r="R66" i="122" s="1"/>
  <c r="T67" i="122"/>
  <c r="T64" i="122"/>
  <c r="M5" i="122"/>
  <c r="M2" i="122"/>
  <c r="M4" i="122" s="1"/>
  <c r="H9" i="122"/>
  <c r="H6" i="122"/>
  <c r="H8" i="122" s="1"/>
  <c r="O55" i="122"/>
  <c r="O52" i="122"/>
  <c r="O54" i="122" s="1"/>
  <c r="L21" i="122"/>
  <c r="L18" i="122"/>
  <c r="L20" i="122" s="1"/>
  <c r="H37" i="122"/>
  <c r="H34" i="122"/>
  <c r="H36" i="122" s="1"/>
  <c r="J117" i="122"/>
  <c r="J121" i="122" s="1"/>
  <c r="J114" i="122"/>
  <c r="J118" i="122" s="1"/>
  <c r="AP118" i="122" s="1"/>
  <c r="J110" i="122"/>
  <c r="R125" i="122"/>
  <c r="R122" i="122"/>
  <c r="R124" i="122" s="1"/>
  <c r="H5" i="122"/>
  <c r="H2" i="122"/>
  <c r="H4" i="122" s="1"/>
  <c r="K33" i="122"/>
  <c r="K30" i="122"/>
  <c r="K32" i="122" s="1"/>
  <c r="I37" i="122"/>
  <c r="I34" i="122"/>
  <c r="I36" i="122" s="1"/>
  <c r="G59" i="122"/>
  <c r="G56" i="122"/>
  <c r="G58" i="122" s="1"/>
  <c r="I67" i="122"/>
  <c r="I75" i="122" s="1"/>
  <c r="I64" i="122"/>
  <c r="I66" i="122" s="1"/>
  <c r="I74" i="122" s="1"/>
  <c r="J37" i="122"/>
  <c r="J34" i="122"/>
  <c r="J36" i="122" s="1"/>
  <c r="Q5" i="122"/>
  <c r="Q2" i="122"/>
  <c r="Q29" i="122"/>
  <c r="Q26" i="122"/>
  <c r="Q28" i="122" s="1"/>
  <c r="Q125" i="122"/>
  <c r="Q122" i="122"/>
  <c r="R113" i="122"/>
  <c r="R110" i="122"/>
  <c r="R112" i="122" s="1"/>
  <c r="Q133" i="122"/>
  <c r="Q130" i="122"/>
  <c r="Q132" i="122" s="1"/>
  <c r="N79" i="122"/>
  <c r="N76" i="122"/>
  <c r="N78" i="122" s="1"/>
  <c r="R133" i="122"/>
  <c r="R130" i="122"/>
  <c r="R132" i="122" s="1"/>
  <c r="O125" i="122"/>
  <c r="O122" i="122"/>
  <c r="S59" i="122"/>
  <c r="S56" i="122"/>
  <c r="S58" i="122" s="1"/>
  <c r="Q113" i="122"/>
  <c r="Q110" i="122"/>
  <c r="Q112" i="122" s="1"/>
  <c r="O79" i="122"/>
  <c r="O76" i="122"/>
  <c r="O78" i="122" s="1"/>
  <c r="M9" i="122"/>
  <c r="M6" i="122"/>
  <c r="M8" i="122" s="1"/>
  <c r="M137" i="122"/>
  <c r="M141" i="122" s="1"/>
  <c r="M134" i="122"/>
  <c r="P21" i="122"/>
  <c r="P18" i="122"/>
  <c r="P20" i="122" s="1"/>
  <c r="T125" i="122"/>
  <c r="T141" i="122" s="1"/>
  <c r="AO141" i="122" s="1"/>
  <c r="T122" i="122"/>
  <c r="T124" i="122" s="1"/>
  <c r="T140" i="122" s="1"/>
  <c r="T117" i="122"/>
  <c r="T114" i="122"/>
  <c r="T116" i="122" s="1"/>
  <c r="P125" i="122"/>
  <c r="P141" i="122" s="1"/>
  <c r="P122" i="122"/>
  <c r="Q105" i="122"/>
  <c r="Q102" i="122"/>
  <c r="Q104" i="122" s="1"/>
  <c r="Q37" i="122"/>
  <c r="Q34" i="122"/>
  <c r="Q36" i="122" s="1"/>
  <c r="N125" i="122"/>
  <c r="N141" i="122" s="1"/>
  <c r="N122" i="122"/>
  <c r="N138" i="122" s="1"/>
  <c r="Q101" i="122"/>
  <c r="Q98" i="122"/>
  <c r="N29" i="122"/>
  <c r="N26" i="122"/>
  <c r="N28" i="122" s="1"/>
  <c r="M79" i="122"/>
  <c r="M76" i="122"/>
  <c r="M78" i="122" s="1"/>
  <c r="L67" i="122"/>
  <c r="L64" i="122"/>
  <c r="L66" i="122" s="1"/>
  <c r="M29" i="122"/>
  <c r="M26" i="122"/>
  <c r="M28" i="122" s="1"/>
  <c r="L5" i="122"/>
  <c r="L2" i="122"/>
  <c r="L4" i="122" s="1"/>
  <c r="K67" i="122"/>
  <c r="K75" i="122" s="1"/>
  <c r="K64" i="122"/>
  <c r="K72" i="122" s="1"/>
  <c r="M91" i="122"/>
  <c r="M88" i="122"/>
  <c r="M90" i="122" s="1"/>
  <c r="O137" i="122"/>
  <c r="O134" i="122"/>
  <c r="O136" i="122" s="1"/>
  <c r="P79" i="122"/>
  <c r="P76" i="122"/>
  <c r="P78" i="122" s="1"/>
  <c r="N91" i="122"/>
  <c r="N88" i="122"/>
  <c r="N90" i="122" s="1"/>
  <c r="M105" i="122"/>
  <c r="M121" i="122" s="1"/>
  <c r="M102" i="122"/>
  <c r="M118" i="122" s="1"/>
  <c r="N105" i="122"/>
  <c r="N121" i="122" s="1"/>
  <c r="N102" i="122"/>
  <c r="N104" i="122" s="1"/>
  <c r="N120" i="122" s="1"/>
  <c r="J71" i="122"/>
  <c r="AM71" i="122" s="1"/>
  <c r="J68" i="122"/>
  <c r="AM68" i="122" s="1"/>
  <c r="L59" i="122"/>
  <c r="L56" i="122"/>
  <c r="L58" i="122" s="1"/>
  <c r="K21" i="122"/>
  <c r="K18" i="122"/>
  <c r="K20" i="122" s="1"/>
  <c r="H67" i="122"/>
  <c r="H64" i="122"/>
  <c r="H66" i="122" s="1"/>
  <c r="J9" i="122"/>
  <c r="J6" i="122"/>
  <c r="J8" i="122" s="1"/>
  <c r="H87" i="122"/>
  <c r="AM87" i="122" s="1"/>
  <c r="H84" i="122"/>
  <c r="H86" i="122" s="1"/>
  <c r="P41" i="122"/>
  <c r="P38" i="122"/>
  <c r="P40" i="122" s="1"/>
  <c r="H59" i="122"/>
  <c r="H56" i="122"/>
  <c r="H58" i="122" s="1"/>
  <c r="I41" i="122"/>
  <c r="I38" i="122"/>
  <c r="I40" i="122" s="1"/>
  <c r="O29" i="122"/>
  <c r="O26" i="122"/>
  <c r="O28" i="122" s="1"/>
  <c r="I9" i="122"/>
  <c r="I25" i="122" s="1"/>
  <c r="I6" i="122"/>
  <c r="I8" i="122" s="1"/>
  <c r="I24" i="122" s="1"/>
  <c r="F59" i="122"/>
  <c r="F75" i="122" s="1"/>
  <c r="F56" i="122"/>
  <c r="F72" i="122" s="1"/>
  <c r="J41" i="122"/>
  <c r="J38" i="122"/>
  <c r="J40" i="122" s="1"/>
  <c r="L29" i="122"/>
  <c r="L49" i="122" s="1"/>
  <c r="L26" i="122"/>
  <c r="L46" i="122" s="1"/>
  <c r="L79" i="122"/>
  <c r="L95" i="122" s="1"/>
  <c r="L76" i="122"/>
  <c r="L92" i="122" s="1"/>
  <c r="V67" i="122"/>
  <c r="V64" i="122"/>
  <c r="Q79" i="122"/>
  <c r="Q95" i="122" s="1"/>
  <c r="Q76" i="122"/>
  <c r="U105" i="122"/>
  <c r="U121" i="122" s="1"/>
  <c r="U102" i="122"/>
  <c r="G55" i="122"/>
  <c r="G52" i="122"/>
  <c r="AP52" i="122" s="1"/>
  <c r="J79" i="122"/>
  <c r="J95" i="122" s="1"/>
  <c r="J76" i="122"/>
  <c r="J78" i="122" s="1"/>
  <c r="J94" i="122" s="1"/>
  <c r="O41" i="122"/>
  <c r="O38" i="122"/>
  <c r="O40" i="122" s="1"/>
  <c r="J59" i="122"/>
  <c r="J56" i="122"/>
  <c r="J58" i="122" s="1"/>
  <c r="G9" i="122"/>
  <c r="G25" i="122" s="1"/>
  <c r="G6" i="122"/>
  <c r="G8" i="122" s="1"/>
  <c r="O5" i="122"/>
  <c r="O25" i="122" s="1"/>
  <c r="O2" i="122"/>
  <c r="P37" i="122"/>
  <c r="P34" i="122"/>
  <c r="P36" i="122" s="1"/>
  <c r="P67" i="122"/>
  <c r="P75" i="122" s="1"/>
  <c r="P64" i="122"/>
  <c r="P72" i="122" s="1"/>
  <c r="K29" i="122"/>
  <c r="K26" i="122"/>
  <c r="K28" i="122" s="1"/>
  <c r="P5" i="122"/>
  <c r="P2" i="122"/>
  <c r="P4" i="122" s="1"/>
  <c r="T9" i="122"/>
  <c r="T6" i="122"/>
  <c r="P101" i="122"/>
  <c r="P98" i="122"/>
  <c r="Q41" i="122"/>
  <c r="Q38" i="122"/>
  <c r="Q40" i="122" s="1"/>
  <c r="R41" i="122"/>
  <c r="R38" i="122"/>
  <c r="R40" i="122" s="1"/>
  <c r="S79" i="122"/>
  <c r="S95" i="122" s="1"/>
  <c r="S76" i="122"/>
  <c r="S92" i="122" s="1"/>
  <c r="Q13" i="122"/>
  <c r="AM13" i="122" s="1"/>
  <c r="Q10" i="122"/>
  <c r="Q12" i="122" s="1"/>
  <c r="I79" i="122"/>
  <c r="I95" i="122" s="1"/>
  <c r="I76" i="122"/>
  <c r="I78" i="122" s="1"/>
  <c r="I94" i="122" s="1"/>
  <c r="U67" i="122"/>
  <c r="U75" i="122" s="1"/>
  <c r="U64" i="122"/>
  <c r="S37" i="122"/>
  <c r="S34" i="122"/>
  <c r="S36" i="122" s="1"/>
  <c r="R79" i="122"/>
  <c r="R95" i="122" s="1"/>
  <c r="R76" i="122"/>
  <c r="R92" i="122" s="1"/>
  <c r="AA83" i="122"/>
  <c r="AA95" i="122" s="1"/>
  <c r="AA80" i="122"/>
  <c r="AA82" i="122" s="1"/>
  <c r="V1215" i="3"/>
  <c r="W1215" i="3"/>
  <c r="V1363" i="3"/>
  <c r="W1363" i="3"/>
  <c r="U1378" i="3" a="1"/>
  <c r="V1379" i="3"/>
  <c r="W1379" i="3"/>
  <c r="P90" i="122"/>
  <c r="AA66" i="122"/>
  <c r="AA74" i="122" s="1"/>
  <c r="AA72" i="122"/>
  <c r="V1314" i="3"/>
  <c r="W1314" i="3"/>
  <c r="V1350" i="3"/>
  <c r="W1350" i="3"/>
  <c r="X1350" i="3"/>
  <c r="AB64" i="122" s="1"/>
  <c r="V1182" i="3"/>
  <c r="W1182" i="3"/>
  <c r="X1182" i="3"/>
  <c r="V1371" i="3"/>
  <c r="W1371" i="3"/>
  <c r="Y28" i="122"/>
  <c r="Y48" i="122" s="1"/>
  <c r="Y46" i="122"/>
  <c r="AA78" i="122"/>
  <c r="V1190" i="3"/>
  <c r="W1190" i="3"/>
  <c r="X1167" i="3"/>
  <c r="X1145" i="3"/>
  <c r="W1145" i="3"/>
  <c r="V1145" i="3"/>
  <c r="X1202" i="3"/>
  <c r="W1202" i="3"/>
  <c r="V1202" i="3"/>
  <c r="R36" i="122"/>
  <c r="V1373" i="3"/>
  <c r="U1370" i="3" a="1"/>
  <c r="W1209" i="3"/>
  <c r="W1373" i="3"/>
  <c r="V1213" i="3"/>
  <c r="W1213" i="3"/>
  <c r="AB101" i="122"/>
  <c r="AB121" i="122" s="1"/>
  <c r="X1303" i="3"/>
  <c r="X1223" i="3"/>
  <c r="X1156" i="3"/>
  <c r="W1156" i="3"/>
  <c r="V1156" i="3"/>
  <c r="V1158" i="3"/>
  <c r="X1162" i="3"/>
  <c r="W1162" i="3"/>
  <c r="V1162" i="3"/>
  <c r="X1220" i="3"/>
  <c r="W1220" i="3"/>
  <c r="V1220" i="3"/>
  <c r="X1331" i="3"/>
  <c r="W1331" i="3"/>
  <c r="V1331" i="3"/>
  <c r="X1179" i="3"/>
  <c r="AB41" i="122" s="1"/>
  <c r="W1179" i="3"/>
  <c r="V1179" i="3"/>
  <c r="X1178" i="3"/>
  <c r="W1178" i="3"/>
  <c r="V1178" i="3"/>
  <c r="U1295" i="3" a="1"/>
  <c r="V1149" i="3"/>
  <c r="W1149" i="3"/>
  <c r="X1376" i="3"/>
  <c r="AB26" i="122" s="1"/>
  <c r="W1376" i="3"/>
  <c r="V1376" i="3"/>
  <c r="X1163" i="3"/>
  <c r="W1163" i="3"/>
  <c r="V1163" i="3"/>
  <c r="X1136" i="3"/>
  <c r="W1136" i="3"/>
  <c r="V1136" i="3"/>
  <c r="X1138" i="3"/>
  <c r="W1138" i="3"/>
  <c r="V1138" i="3"/>
  <c r="V95" i="122"/>
  <c r="AU86" i="70" a="1"/>
  <c r="AW641" i="3" a="1"/>
  <c r="AW248" i="3" a="1"/>
  <c r="AW243" i="3" a="1"/>
  <c r="AU92" i="70" a="1"/>
  <c r="AW244" i="3" a="1"/>
  <c r="AU140" i="70" a="1"/>
  <c r="AW246" i="3" a="1"/>
  <c r="AW241" i="3" a="1"/>
  <c r="AU90" i="70" a="1"/>
  <c r="AW659" i="3" a="1"/>
  <c r="AW242" i="3" a="1"/>
  <c r="AW245" i="3" a="1"/>
  <c r="W49" i="122"/>
  <c r="X8" i="122"/>
  <c r="X24" i="122" s="1"/>
  <c r="X25" i="122"/>
  <c r="AU91" i="70" a="1"/>
  <c r="AU84" i="70" a="1"/>
  <c r="AU89" i="70" a="1"/>
  <c r="AW954" i="3" a="1"/>
  <c r="AW845" i="3" a="1"/>
  <c r="AW913" i="3" a="1"/>
  <c r="AW932" i="3" a="1"/>
  <c r="J26" i="47"/>
  <c r="J34" i="47"/>
  <c r="AW783" i="3" a="1"/>
  <c r="AW824" i="3" a="1"/>
  <c r="AW833" i="3" a="1"/>
  <c r="AW653" i="3" a="1"/>
  <c r="AU141" i="70" a="1"/>
  <c r="AW835" i="3" a="1"/>
  <c r="AW950" i="3" a="1"/>
  <c r="AW810" i="3" a="1"/>
  <c r="AW826" i="3" a="1"/>
  <c r="AW832" i="3" a="1"/>
  <c r="AW857" i="3" a="1"/>
  <c r="AW878" i="3" a="1"/>
  <c r="AW889" i="3" a="1"/>
  <c r="AW953" i="3" a="1"/>
  <c r="AW933" i="3" a="1"/>
  <c r="AW751" i="3" a="1"/>
  <c r="AW665" i="3" a="1"/>
  <c r="AW644" i="3" a="1"/>
  <c r="AW649" i="3" a="1"/>
  <c r="AW851" i="3" a="1"/>
  <c r="AW866" i="3" a="1"/>
  <c r="AW931" i="3" a="1"/>
  <c r="AW837" i="3" a="1"/>
  <c r="AW827" i="3" a="1"/>
  <c r="AW846" i="3" a="1"/>
  <c r="AW895" i="3" a="1"/>
  <c r="W28" i="122"/>
  <c r="W48" i="122" s="1"/>
  <c r="W46" i="122"/>
  <c r="V28" i="122"/>
  <c r="X28" i="122"/>
  <c r="X48" i="122" s="1"/>
  <c r="X46" i="122"/>
  <c r="Q44" i="122"/>
  <c r="R44" i="122"/>
  <c r="M44" i="122"/>
  <c r="K44" i="122"/>
  <c r="P44" i="122"/>
  <c r="J44" i="122"/>
  <c r="O44" i="122"/>
  <c r="V78" i="122"/>
  <c r="V94" i="122" s="1"/>
  <c r="V1023" i="3"/>
  <c r="W1023" i="3"/>
  <c r="X1023" i="3"/>
  <c r="V1074" i="3"/>
  <c r="W1074" i="3"/>
  <c r="X1074" i="3"/>
  <c r="V1130" i="3"/>
  <c r="W1130" i="3"/>
  <c r="X1116" i="3"/>
  <c r="D60" i="122" s="1"/>
  <c r="W1116" i="3"/>
  <c r="V1116" i="3"/>
  <c r="V1115" i="3"/>
  <c r="W1115" i="3"/>
  <c r="X1115" i="3"/>
  <c r="V1204" i="3"/>
  <c r="W1204" i="3"/>
  <c r="X1204" i="3"/>
  <c r="V1317" i="3"/>
  <c r="W1317" i="3"/>
  <c r="X1317" i="3"/>
  <c r="AB56" i="122" s="1"/>
  <c r="V4" i="122"/>
  <c r="X1044" i="3"/>
  <c r="W1044" i="3"/>
  <c r="V1044" i="3"/>
  <c r="X1016" i="3"/>
  <c r="W1016" i="3"/>
  <c r="V1016" i="3"/>
  <c r="X1099" i="3"/>
  <c r="W1099" i="3"/>
  <c r="V1099" i="3"/>
  <c r="L16" i="122"/>
  <c r="P16" i="122"/>
  <c r="X1049" i="3"/>
  <c r="X1025" i="3"/>
  <c r="U26" i="122" s="1"/>
  <c r="W1025" i="3"/>
  <c r="V1025" i="3"/>
  <c r="AW850" i="3" a="1"/>
  <c r="AW831" i="3" a="1"/>
  <c r="AW896" i="3" a="1"/>
  <c r="AU87" i="70" a="1"/>
  <c r="AU93" i="70" a="1"/>
  <c r="AW853" i="3" a="1"/>
  <c r="AW938" i="3" a="1"/>
  <c r="AW655" i="3" a="1"/>
  <c r="AW854" i="3" a="1"/>
  <c r="AW849" i="3" a="1"/>
  <c r="AW894" i="3" a="1"/>
  <c r="AW805" i="3" a="1"/>
  <c r="AW651" i="3" a="1"/>
  <c r="AW841" i="3" a="1"/>
  <c r="AW852" i="3" a="1"/>
  <c r="AW647" i="3" a="1"/>
  <c r="AW648" i="3" a="1"/>
  <c r="AW650" i="3" a="1"/>
  <c r="AW652" i="3" a="1"/>
  <c r="AW640" i="3" a="1"/>
  <c r="AW657" i="3" a="1"/>
  <c r="C36" i="47"/>
  <c r="AW973" i="3" a="1"/>
  <c r="AW838" i="3" a="1"/>
  <c r="AW1007" i="3" a="1"/>
  <c r="C29" i="47"/>
  <c r="AW635" i="3" a="1"/>
  <c r="AW893" i="3" a="1"/>
  <c r="X992" i="3"/>
  <c r="V992" i="3"/>
  <c r="W992" i="3"/>
  <c r="X1058" i="3"/>
  <c r="W1058" i="3"/>
  <c r="V1058" i="3"/>
  <c r="V1026" i="3"/>
  <c r="X1026" i="3"/>
  <c r="W1026" i="3"/>
  <c r="R104" i="122"/>
  <c r="T62" i="122"/>
  <c r="R116" i="122"/>
  <c r="AP140" i="122"/>
  <c r="V1274" i="3"/>
  <c r="X1274" i="3"/>
  <c r="V1056" i="3"/>
  <c r="V981" i="3"/>
  <c r="W981" i="3"/>
  <c r="AP10" i="122"/>
  <c r="AP138" i="122"/>
  <c r="G12" i="122"/>
  <c r="R20" i="122"/>
  <c r="P116" i="122"/>
  <c r="W921" i="3"/>
  <c r="AK128" i="122"/>
  <c r="X921" i="3"/>
  <c r="R5" i="122" s="1"/>
  <c r="V921" i="3"/>
  <c r="F140" i="122"/>
  <c r="AL108" i="122"/>
  <c r="AK108" i="122"/>
  <c r="E120" i="122"/>
  <c r="E140" i="122"/>
  <c r="AH78" i="122" l="1"/>
  <c r="AH92" i="122"/>
  <c r="AD38" i="122"/>
  <c r="AD41" i="122"/>
  <c r="AD49" i="122" s="1"/>
  <c r="AB2" i="122"/>
  <c r="AB98" i="122"/>
  <c r="AE36" i="122"/>
  <c r="AE46" i="122"/>
  <c r="AD32" i="122"/>
  <c r="AH46" i="122"/>
  <c r="AH28" i="122"/>
  <c r="AB60" i="122"/>
  <c r="AB62" i="122" s="1"/>
  <c r="AB63" i="122"/>
  <c r="AB75" i="122" s="1"/>
  <c r="D26" i="122"/>
  <c r="D76" i="122"/>
  <c r="AD92" i="122"/>
  <c r="AD78" i="122"/>
  <c r="AC72" i="122"/>
  <c r="AC62" i="122"/>
  <c r="AF46" i="122"/>
  <c r="AF28" i="122"/>
  <c r="AE76" i="122"/>
  <c r="AB49" i="122"/>
  <c r="AB128" i="122"/>
  <c r="AB140" i="122" s="1"/>
  <c r="AB138" i="122"/>
  <c r="AB80" i="122"/>
  <c r="AB83" i="122"/>
  <c r="AB95" i="122" s="1"/>
  <c r="U1398" i="3" a="1"/>
  <c r="AA38" i="122"/>
  <c r="AA40" i="122" s="1"/>
  <c r="AA48" i="122" s="1"/>
  <c r="AA41" i="122"/>
  <c r="AA49" i="122" s="1"/>
  <c r="U9" i="122"/>
  <c r="U25" i="122" s="1"/>
  <c r="D38" i="122"/>
  <c r="AB38" i="122"/>
  <c r="AB40" i="122" s="1"/>
  <c r="AA92" i="122"/>
  <c r="R2" i="122"/>
  <c r="U29" i="122"/>
  <c r="AM29" i="122" s="1"/>
  <c r="W6" i="122"/>
  <c r="W9" i="122"/>
  <c r="D84" i="122"/>
  <c r="Z26" i="122"/>
  <c r="Z29" i="122"/>
  <c r="Z105" i="122"/>
  <c r="Z121" i="122" s="1"/>
  <c r="Z102" i="122"/>
  <c r="Z118" i="122" s="1"/>
  <c r="U6" i="122"/>
  <c r="D18" i="122"/>
  <c r="T45" i="122"/>
  <c r="T42" i="122"/>
  <c r="T44" i="122" s="1"/>
  <c r="U45" i="122"/>
  <c r="U42" i="122"/>
  <c r="U44" i="122" s="1"/>
  <c r="S45" i="122"/>
  <c r="S49" i="122" s="1"/>
  <c r="S42" i="122"/>
  <c r="S44" i="122" s="1"/>
  <c r="T5" i="122"/>
  <c r="T25" i="122" s="1"/>
  <c r="T2" i="122"/>
  <c r="T4" i="122" s="1"/>
  <c r="Y59" i="122"/>
  <c r="Y56" i="122"/>
  <c r="V59" i="122"/>
  <c r="V75" i="122" s="1"/>
  <c r="V56" i="122"/>
  <c r="V58" i="122" s="1"/>
  <c r="W21" i="122"/>
  <c r="AM21" i="122" s="1"/>
  <c r="W18" i="122"/>
  <c r="W20" i="122" s="1"/>
  <c r="AK20" i="122" s="1"/>
  <c r="V41" i="122"/>
  <c r="V38" i="122"/>
  <c r="T41" i="122"/>
  <c r="T38" i="122"/>
  <c r="T40" i="122" s="1"/>
  <c r="Y9" i="122"/>
  <c r="Y6" i="122"/>
  <c r="Y8" i="122" s="1"/>
  <c r="Y5" i="122"/>
  <c r="Y2" i="122"/>
  <c r="AA134" i="122"/>
  <c r="AA136" i="122" s="1"/>
  <c r="AA140" i="122" s="1"/>
  <c r="AA137" i="122"/>
  <c r="AA141" i="122" s="1"/>
  <c r="Z41" i="122"/>
  <c r="Z38" i="122"/>
  <c r="Z40" i="122" s="1"/>
  <c r="AA94" i="122"/>
  <c r="AB66" i="122"/>
  <c r="W8" i="122"/>
  <c r="AB82" i="122"/>
  <c r="AB28" i="122"/>
  <c r="AB4" i="122"/>
  <c r="P95" i="122"/>
  <c r="P94" i="122"/>
  <c r="G75" i="122"/>
  <c r="Q141" i="122"/>
  <c r="H25" i="122"/>
  <c r="N49" i="122"/>
  <c r="J75" i="122"/>
  <c r="V1167" i="3"/>
  <c r="W1167" i="3"/>
  <c r="U104" i="122"/>
  <c r="U120" i="122" s="1"/>
  <c r="H75" i="122"/>
  <c r="AM55" i="122"/>
  <c r="X1372" i="3"/>
  <c r="X1373" i="3"/>
  <c r="W1372" i="3"/>
  <c r="V1372" i="3"/>
  <c r="X1209" i="3"/>
  <c r="V1209" i="3"/>
  <c r="U1368" i="3" a="1"/>
  <c r="W1158" i="3"/>
  <c r="X1158" i="3"/>
  <c r="Z6" i="122" s="1"/>
  <c r="X1160" i="3"/>
  <c r="V1160" i="3"/>
  <c r="W1160" i="3"/>
  <c r="V1223" i="3"/>
  <c r="W1223" i="3"/>
  <c r="U1375" i="3" a="1"/>
  <c r="AB58" i="122"/>
  <c r="X58" i="122"/>
  <c r="P28" i="122"/>
  <c r="P48" i="122" s="1"/>
  <c r="P46" i="122"/>
  <c r="V66" i="122"/>
  <c r="W62" i="122"/>
  <c r="X66" i="122"/>
  <c r="O49" i="122"/>
  <c r="X22" i="122"/>
  <c r="U118" i="122"/>
  <c r="T121" i="122"/>
  <c r="R141" i="122"/>
  <c r="W92" i="122"/>
  <c r="S75" i="122"/>
  <c r="T118" i="122"/>
  <c r="S28" i="122"/>
  <c r="AP40" i="122"/>
  <c r="AP42" i="122"/>
  <c r="I44" i="122"/>
  <c r="V92" i="122"/>
  <c r="U66" i="122"/>
  <c r="U74" i="122" s="1"/>
  <c r="U72" i="122"/>
  <c r="R78" i="122"/>
  <c r="R94" i="122" s="1"/>
  <c r="P121" i="122"/>
  <c r="K25" i="122"/>
  <c r="T138" i="122"/>
  <c r="AO138" i="122" s="1"/>
  <c r="Q121" i="122"/>
  <c r="Q25" i="122"/>
  <c r="O124" i="122"/>
  <c r="O140" i="122" s="1"/>
  <c r="O138" i="122"/>
  <c r="AM113" i="122"/>
  <c r="Q100" i="122"/>
  <c r="Q120" i="122" s="1"/>
  <c r="Q118" i="122"/>
  <c r="P100" i="122"/>
  <c r="P120" i="122" s="1"/>
  <c r="P118" i="122"/>
  <c r="O100" i="122"/>
  <c r="O120" i="122" s="1"/>
  <c r="O118" i="122"/>
  <c r="AM110" i="122"/>
  <c r="AP110" i="122"/>
  <c r="J112" i="122"/>
  <c r="Q4" i="122"/>
  <c r="Q22" i="122"/>
  <c r="O4" i="122"/>
  <c r="O24" i="122" s="1"/>
  <c r="O22" i="122"/>
  <c r="AM17" i="122"/>
  <c r="AM14" i="122"/>
  <c r="K16" i="122"/>
  <c r="AM98" i="122"/>
  <c r="V1049" i="3"/>
  <c r="U1312" i="3" a="1"/>
  <c r="W1049" i="3"/>
  <c r="T75" i="122"/>
  <c r="C30" i="47"/>
  <c r="AW636" i="3" a="1"/>
  <c r="AW681" i="3" a="1"/>
  <c r="AW680" i="3" a="1"/>
  <c r="AW679" i="3" a="1"/>
  <c r="AW710" i="3" a="1"/>
  <c r="AW694" i="3" a="1"/>
  <c r="AW678" i="3" a="1"/>
  <c r="AW709" i="3" a="1"/>
  <c r="AW693" i="3" a="1"/>
  <c r="AW677" i="3" a="1"/>
  <c r="AU97" i="70" a="1"/>
  <c r="AU98" i="70" a="1"/>
  <c r="AU96" i="70" a="1"/>
  <c r="AW708" i="3" a="1"/>
  <c r="AW676" i="3" a="1"/>
  <c r="AW707" i="3" a="1"/>
  <c r="AW675" i="3" a="1"/>
  <c r="AW674" i="3" a="1"/>
  <c r="AW722" i="3" a="1"/>
  <c r="AW689" i="3" a="1"/>
  <c r="AW673" i="3" a="1"/>
  <c r="AW660" i="3" a="1"/>
  <c r="AW685" i="3" a="1"/>
  <c r="AW672" i="3" a="1"/>
  <c r="AW682" i="3" a="1"/>
  <c r="AW671" i="3" a="1"/>
  <c r="AU99" i="70" a="1"/>
  <c r="AW667" i="3" a="1"/>
  <c r="AW670" i="3" a="1"/>
  <c r="AW669" i="3" a="1"/>
  <c r="AW684" i="3" a="1"/>
  <c r="AW721" i="3" a="1"/>
  <c r="AW699" i="3" a="1"/>
  <c r="AW683" i="3" a="1"/>
  <c r="AU95" i="70" a="1"/>
  <c r="AU94" i="70" a="1"/>
  <c r="C37" i="47"/>
  <c r="AW1146" i="3" s="1" a="1"/>
  <c r="AU149" i="70" a="1"/>
  <c r="AW1003" i="3" a="1"/>
  <c r="AU145" i="70" a="1"/>
  <c r="AU147" i="70" a="1"/>
  <c r="AW947" i="3" a="1"/>
  <c r="AW959" i="3" a="1"/>
  <c r="AW962" i="3" a="1"/>
  <c r="AU153" i="70" a="1"/>
  <c r="AW977" i="3" a="1"/>
  <c r="AW806" i="3" a="1"/>
  <c r="AW958" i="3" a="1"/>
  <c r="AW897" i="3" a="1"/>
  <c r="AU143" i="70" a="1"/>
  <c r="AW960" i="3" a="1"/>
  <c r="AW901" i="3" a="1"/>
  <c r="AW843" i="3" a="1"/>
  <c r="AW902" i="3" a="1"/>
  <c r="AW865" i="3" a="1"/>
  <c r="AU155" i="70" a="1"/>
  <c r="AW930" i="3" a="1"/>
  <c r="AW891" i="3" a="1"/>
  <c r="AW890" i="3" a="1"/>
  <c r="AU152" i="70" a="1"/>
  <c r="AW898" i="3" a="1"/>
  <c r="AW923" i="3" a="1"/>
  <c r="AW842" i="3" a="1"/>
  <c r="AU150" i="70" a="1"/>
  <c r="AW948" i="3" a="1"/>
  <c r="AW971" i="3" a="1"/>
  <c r="AU156" i="70" a="1"/>
  <c r="AU144" i="70" a="1"/>
  <c r="AW892" i="3" a="1"/>
  <c r="AW946" i="3" a="1"/>
  <c r="AW881" i="3" a="1"/>
  <c r="AU146" i="70" a="1"/>
  <c r="AW856" i="3" a="1"/>
  <c r="AW965" i="3" a="1"/>
  <c r="AW920" i="3" a="1"/>
  <c r="AU151" i="70" a="1"/>
  <c r="AW976" i="3" a="1"/>
  <c r="AU142" i="70" a="1"/>
  <c r="AW936" i="3" a="1"/>
  <c r="AW879" i="3" a="1"/>
  <c r="AU148" i="70" a="1"/>
  <c r="AW1001" i="3" a="1"/>
  <c r="AW951" i="3" a="1"/>
  <c r="AW1006" i="3" a="1"/>
  <c r="AU154" i="70" a="1"/>
  <c r="AW1005" i="3" a="1"/>
  <c r="AW908" i="3" a="1"/>
  <c r="V1076" i="3"/>
  <c r="X1076" i="3"/>
  <c r="D42" i="122" s="1"/>
  <c r="W1076" i="3"/>
  <c r="T72" i="122"/>
  <c r="T104" i="122"/>
  <c r="T120" i="122" s="1"/>
  <c r="AM63" i="122"/>
  <c r="R138" i="122"/>
  <c r="R62" i="122"/>
  <c r="AM10" i="122"/>
  <c r="R121" i="122"/>
  <c r="S78" i="122"/>
  <c r="S94" i="122" s="1"/>
  <c r="T66" i="122"/>
  <c r="T74" i="122" s="1"/>
  <c r="R8" i="122"/>
  <c r="Q49" i="122"/>
  <c r="M94" i="122"/>
  <c r="R75" i="122"/>
  <c r="P92" i="122"/>
  <c r="AP114" i="122"/>
  <c r="K22" i="122"/>
  <c r="N118" i="122"/>
  <c r="O141" i="122"/>
  <c r="AM117" i="122"/>
  <c r="L25" i="122"/>
  <c r="M95" i="122"/>
  <c r="L24" i="122"/>
  <c r="I49" i="122"/>
  <c r="G46" i="122"/>
  <c r="O48" i="122"/>
  <c r="K92" i="122"/>
  <c r="G54" i="122"/>
  <c r="G74" i="122" s="1"/>
  <c r="AM52" i="122"/>
  <c r="J92" i="122"/>
  <c r="H95" i="122"/>
  <c r="U92" i="122"/>
  <c r="J116" i="122"/>
  <c r="AP116" i="122" s="1"/>
  <c r="AM84" i="122"/>
  <c r="AP84" i="122"/>
  <c r="Q48" i="122"/>
  <c r="S8" i="122"/>
  <c r="H24" i="122"/>
  <c r="AP4" i="122"/>
  <c r="AP38" i="122"/>
  <c r="M72" i="122"/>
  <c r="AM37" i="122"/>
  <c r="J70" i="122"/>
  <c r="J74" i="122" s="1"/>
  <c r="M92" i="122"/>
  <c r="I92" i="122"/>
  <c r="AP68" i="122"/>
  <c r="L74" i="122"/>
  <c r="M25" i="122"/>
  <c r="O46" i="122"/>
  <c r="AP76" i="122"/>
  <c r="H92" i="122"/>
  <c r="L78" i="122"/>
  <c r="L94" i="122" s="1"/>
  <c r="N95" i="122"/>
  <c r="I22" i="122"/>
  <c r="J25" i="122"/>
  <c r="H74" i="122"/>
  <c r="K66" i="122"/>
  <c r="K74" i="122" s="1"/>
  <c r="R49" i="122"/>
  <c r="I72" i="122"/>
  <c r="L28" i="122"/>
  <c r="L48" i="122" s="1"/>
  <c r="T8" i="122"/>
  <c r="W1056" i="3"/>
  <c r="J24" i="122"/>
  <c r="M22" i="122"/>
  <c r="M48" i="122"/>
  <c r="N94" i="122"/>
  <c r="K49" i="122"/>
  <c r="AM34" i="122"/>
  <c r="H72" i="122"/>
  <c r="M24" i="122"/>
  <c r="AP56" i="122"/>
  <c r="J72" i="122"/>
  <c r="Q72" i="122"/>
  <c r="AP58" i="122"/>
  <c r="N46" i="122"/>
  <c r="N92" i="122"/>
  <c r="AM133" i="122"/>
  <c r="L72" i="122"/>
  <c r="P66" i="122"/>
  <c r="P74" i="122" s="1"/>
  <c r="AM125" i="122"/>
  <c r="J49" i="122"/>
  <c r="H49" i="122"/>
  <c r="L75" i="122"/>
  <c r="N48" i="122"/>
  <c r="F58" i="122"/>
  <c r="F74" i="122" s="1"/>
  <c r="AM33" i="122"/>
  <c r="K46" i="122"/>
  <c r="P49" i="122"/>
  <c r="K8" i="122"/>
  <c r="K24" i="122" s="1"/>
  <c r="AM114" i="122"/>
  <c r="R46" i="122"/>
  <c r="AM30" i="122"/>
  <c r="Q46" i="122"/>
  <c r="AM122" i="122"/>
  <c r="N124" i="122"/>
  <c r="N140" i="122" s="1"/>
  <c r="H22" i="122"/>
  <c r="M104" i="122"/>
  <c r="I48" i="122"/>
  <c r="J46" i="122"/>
  <c r="J22" i="122"/>
  <c r="G22" i="122"/>
  <c r="H48" i="122"/>
  <c r="AP12" i="122"/>
  <c r="AK12" i="122"/>
  <c r="AL12" i="122"/>
  <c r="AP6" i="122"/>
  <c r="AP34" i="122"/>
  <c r="L22" i="122"/>
  <c r="AL32" i="122"/>
  <c r="Q8" i="122"/>
  <c r="E8" i="122"/>
  <c r="E24" i="122" s="1"/>
  <c r="M136" i="122"/>
  <c r="M138" i="122"/>
  <c r="AM134" i="122"/>
  <c r="AM137" i="122"/>
  <c r="I46" i="122"/>
  <c r="P124" i="122"/>
  <c r="P140" i="122" s="1"/>
  <c r="P138" i="122"/>
  <c r="Q124" i="122"/>
  <c r="Q140" i="122" s="1"/>
  <c r="Q138" i="122"/>
  <c r="AM130" i="122"/>
  <c r="Q78" i="122"/>
  <c r="Q94" i="122" s="1"/>
  <c r="Q92" i="122"/>
  <c r="R48" i="122"/>
  <c r="AK32" i="122"/>
  <c r="M49" i="122"/>
  <c r="K48" i="122"/>
  <c r="R72" i="122"/>
  <c r="G72" i="122"/>
  <c r="AP64" i="122"/>
  <c r="M46" i="122"/>
  <c r="AP26" i="122"/>
  <c r="H46" i="122"/>
  <c r="AM88" i="122"/>
  <c r="O94" i="122"/>
  <c r="AP66" i="122"/>
  <c r="O92" i="122"/>
  <c r="AM91" i="122"/>
  <c r="O95" i="122"/>
  <c r="H94" i="122"/>
  <c r="AP94" i="122" s="1"/>
  <c r="AP86" i="122"/>
  <c r="AL86" i="122"/>
  <c r="AK86" i="122"/>
  <c r="AP78" i="122"/>
  <c r="R140" i="122"/>
  <c r="AL132" i="122"/>
  <c r="AK132" i="122"/>
  <c r="AP28" i="122"/>
  <c r="AP8" i="122"/>
  <c r="G24" i="122"/>
  <c r="AL90" i="122"/>
  <c r="K94" i="122"/>
  <c r="AK90" i="122"/>
  <c r="J48" i="122"/>
  <c r="AP36" i="122"/>
  <c r="AK36" i="122"/>
  <c r="AL36" i="122"/>
  <c r="D46" i="122" l="1"/>
  <c r="D92" i="122"/>
  <c r="AD40" i="122"/>
  <c r="AD46" i="122"/>
  <c r="AB100" i="122"/>
  <c r="AB120" i="122" s="1"/>
  <c r="AB118" i="122"/>
  <c r="X1358" i="3"/>
  <c r="W1358" i="3"/>
  <c r="V1358" i="3"/>
  <c r="X1357" i="3"/>
  <c r="W1357" i="3"/>
  <c r="V1357" i="3"/>
  <c r="X1393" i="3"/>
  <c r="W1393" i="3"/>
  <c r="V1393" i="3"/>
  <c r="X1392" i="3"/>
  <c r="W1392" i="3"/>
  <c r="V1392" i="3"/>
  <c r="AA46" i="122"/>
  <c r="AB6" i="122"/>
  <c r="AB9" i="122"/>
  <c r="AB25" i="122" s="1"/>
  <c r="AE92" i="122"/>
  <c r="AE78" i="122"/>
  <c r="X1407" i="3"/>
  <c r="W1407" i="3"/>
  <c r="V1407" i="3"/>
  <c r="X1406" i="3"/>
  <c r="W1406" i="3"/>
  <c r="V1406" i="3"/>
  <c r="X1402" i="3"/>
  <c r="AG76" i="122" s="1"/>
  <c r="W1402" i="3"/>
  <c r="V1402" i="3"/>
  <c r="X1401" i="3"/>
  <c r="W1401" i="3"/>
  <c r="V1401" i="3"/>
  <c r="Z9" i="122"/>
  <c r="Z25" i="122" s="1"/>
  <c r="AA9" i="122"/>
  <c r="AA25" i="122" s="1"/>
  <c r="AA6" i="122"/>
  <c r="AA22" i="122" s="1"/>
  <c r="V45" i="122"/>
  <c r="V49" i="122" s="1"/>
  <c r="V42" i="122"/>
  <c r="V44" i="122" s="1"/>
  <c r="AK44" i="122" s="1"/>
  <c r="AA138" i="122"/>
  <c r="U49" i="122"/>
  <c r="AB72" i="122"/>
  <c r="AB74" i="122"/>
  <c r="Z22" i="122"/>
  <c r="AB92" i="122"/>
  <c r="AB78" i="122"/>
  <c r="AB94" i="122" s="1"/>
  <c r="AB48" i="122"/>
  <c r="Z49" i="122"/>
  <c r="AB46" i="122"/>
  <c r="Z28" i="122"/>
  <c r="Z48" i="122" s="1"/>
  <c r="Z46" i="122"/>
  <c r="Y25" i="122"/>
  <c r="Y4" i="122"/>
  <c r="Y24" i="122" s="1"/>
  <c r="Y22" i="122"/>
  <c r="Z104" i="122"/>
  <c r="Z120" i="122" s="1"/>
  <c r="W1168" i="3"/>
  <c r="V1168" i="3"/>
  <c r="X1168" i="3"/>
  <c r="AM59" i="122"/>
  <c r="W25" i="122"/>
  <c r="AO25" i="122" s="1"/>
  <c r="X1369" i="3"/>
  <c r="V1369" i="3"/>
  <c r="W1369" i="3"/>
  <c r="Y58" i="122"/>
  <c r="X72" i="122"/>
  <c r="W24" i="122"/>
  <c r="AM60" i="122"/>
  <c r="AL20" i="122"/>
  <c r="V74" i="122"/>
  <c r="X74" i="122"/>
  <c r="AM18" i="122"/>
  <c r="AL62" i="122"/>
  <c r="W22" i="122"/>
  <c r="U46" i="122"/>
  <c r="T46" i="122"/>
  <c r="T49" i="122"/>
  <c r="S48" i="122"/>
  <c r="V40" i="122"/>
  <c r="S46" i="122"/>
  <c r="AM38" i="122"/>
  <c r="AP44" i="122"/>
  <c r="AM56" i="122"/>
  <c r="V72" i="122"/>
  <c r="AM41" i="122"/>
  <c r="T22" i="122"/>
  <c r="R100" i="122"/>
  <c r="R120" i="122" s="1"/>
  <c r="R118" i="122"/>
  <c r="AK112" i="122"/>
  <c r="AL112" i="122"/>
  <c r="AP112" i="122"/>
  <c r="AM5" i="122"/>
  <c r="R25" i="122"/>
  <c r="T24" i="122"/>
  <c r="Q24" i="122"/>
  <c r="S24" i="122"/>
  <c r="S22" i="122"/>
  <c r="R4" i="122"/>
  <c r="R22" i="122"/>
  <c r="AM26" i="122"/>
  <c r="AK16" i="122"/>
  <c r="AL16" i="122"/>
  <c r="U28" i="122"/>
  <c r="U48" i="122" s="1"/>
  <c r="T28" i="122"/>
  <c r="T48" i="122" s="1"/>
  <c r="AW935" i="3" a="1"/>
  <c r="AW863" i="3" a="1"/>
  <c r="AW862" i="3" a="1"/>
  <c r="AW1004" i="3" a="1"/>
  <c r="AW956" i="3" a="1"/>
  <c r="AW801" i="3" a="1"/>
  <c r="AW979" i="3" a="1"/>
  <c r="AW1014" i="3" a="1"/>
  <c r="AW1027" i="3" a="1"/>
  <c r="AW993" i="3" a="1"/>
  <c r="AW981" i="3" a="1"/>
  <c r="AW949" i="3" a="1"/>
  <c r="AW952" i="3" a="1"/>
  <c r="AW963" i="3" a="1"/>
  <c r="AU177" i="70" a="1"/>
  <c r="AW994" i="3" a="1"/>
  <c r="AW939" i="3" a="1"/>
  <c r="AW966" i="3" a="1"/>
  <c r="AW868" i="3" a="1"/>
  <c r="AW871" i="3" a="1"/>
  <c r="AU179" i="70" a="1"/>
  <c r="AW921" i="3" a="1"/>
  <c r="AU159" i="70" a="1"/>
  <c r="AW942" i="3" a="1"/>
  <c r="AU161" i="70" a="1"/>
  <c r="AW1010" i="3" a="1"/>
  <c r="AW926" i="3" a="1"/>
  <c r="AW941" i="3" a="1"/>
  <c r="AW934" i="3" a="1"/>
  <c r="AU178" i="70" a="1"/>
  <c r="AW995" i="3" a="1"/>
  <c r="AW940" i="3" a="1"/>
  <c r="AW929" i="3" a="1"/>
  <c r="AU157" i="70" a="1"/>
  <c r="AU166" i="70" a="1"/>
  <c r="AW925" i="3" a="1"/>
  <c r="AU160" i="70" a="1"/>
  <c r="AU158" i="70" a="1"/>
  <c r="AU176" i="70" a="1"/>
  <c r="AU175" i="70" a="1"/>
  <c r="AW937" i="3" a="1"/>
  <c r="AW945" i="3" a="1"/>
  <c r="AW1012" i="3" a="1"/>
  <c r="AW1002" i="3" a="1"/>
  <c r="AW899" i="3" a="1"/>
  <c r="AW957" i="3" a="1"/>
  <c r="C38" i="47"/>
  <c r="AW1030" i="3" s="1" a="1"/>
  <c r="AW781" i="3" a="1"/>
  <c r="C31" i="47"/>
  <c r="AW928" i="3" a="1"/>
  <c r="AW874" i="3" a="1"/>
  <c r="AW1272" i="3" a="1"/>
  <c r="AW797" i="3" a="1"/>
  <c r="AW713" i="3" a="1"/>
  <c r="AW697" i="3" a="1"/>
  <c r="AU114" i="70" a="1"/>
  <c r="AU105" i="70" a="1"/>
  <c r="AU108" i="70" a="1"/>
  <c r="AW696" i="3" a="1"/>
  <c r="AU110" i="70" a="1"/>
  <c r="AW698" i="3" a="1"/>
  <c r="AW695" i="3" a="1"/>
  <c r="AU112" i="70" a="1"/>
  <c r="AW759" i="3" a="1"/>
  <c r="AW743" i="3" a="1"/>
  <c r="AW840" i="3" a="1"/>
  <c r="AW793" i="3" a="1"/>
  <c r="AW839" i="3" a="1"/>
  <c r="AU113" i="70" a="1"/>
  <c r="AW1273" i="3" a="1"/>
  <c r="AW692" i="3" a="1"/>
  <c r="AW836" i="3" a="1"/>
  <c r="AU107" i="70" a="1"/>
  <c r="AU115" i="70" a="1"/>
  <c r="AW790" i="3" a="1"/>
  <c r="AW691" i="3" a="1"/>
  <c r="AU106" i="70" a="1"/>
  <c r="AW789" i="3" a="1"/>
  <c r="AW723" i="3" a="1"/>
  <c r="AW706" i="3" a="1"/>
  <c r="AW791" i="3" a="1"/>
  <c r="AW738" i="3" a="1"/>
  <c r="AW705" i="3" a="1"/>
  <c r="AW767" i="3" a="1"/>
  <c r="AU101" i="70" a="1"/>
  <c r="AW704" i="3" a="1"/>
  <c r="AU102" i="70" a="1"/>
  <c r="AW701" i="3" a="1"/>
  <c r="AU111" i="70" a="1"/>
  <c r="AW786" i="3" a="1"/>
  <c r="AW703" i="3" a="1"/>
  <c r="AU100" i="70" a="1"/>
  <c r="AU104" i="70" a="1"/>
  <c r="AU109" i="70" a="1"/>
  <c r="AU103" i="70" a="1"/>
  <c r="AW1271" i="3" a="1"/>
  <c r="AW716" i="3" a="1"/>
  <c r="AW714" i="3" a="1"/>
  <c r="AK62" i="122"/>
  <c r="R74" i="122"/>
  <c r="AM2" i="122"/>
  <c r="AP24" i="122"/>
  <c r="AM101" i="122"/>
  <c r="AM141" i="122"/>
  <c r="AP54" i="122"/>
  <c r="AK54" i="122"/>
  <c r="AL54" i="122"/>
  <c r="J120" i="122"/>
  <c r="AP120" i="122" s="1"/>
  <c r="AL116" i="122"/>
  <c r="AK116" i="122"/>
  <c r="AL70" i="122"/>
  <c r="AK70" i="122"/>
  <c r="AP70" i="122"/>
  <c r="AP92" i="122"/>
  <c r="AP72" i="122"/>
  <c r="X1154" i="3"/>
  <c r="W1154" i="3"/>
  <c r="V1154" i="3"/>
  <c r="U22" i="122"/>
  <c r="V1088" i="3"/>
  <c r="W1088" i="3"/>
  <c r="AK58" i="122"/>
  <c r="AL58" i="122"/>
  <c r="AP22" i="122"/>
  <c r="AP74" i="122"/>
  <c r="M120" i="122"/>
  <c r="AK124" i="122"/>
  <c r="AP46" i="122"/>
  <c r="AM138" i="122"/>
  <c r="AL124" i="122"/>
  <c r="M140" i="122"/>
  <c r="AK140" i="122" s="1"/>
  <c r="AL136" i="122"/>
  <c r="AK136" i="122"/>
  <c r="AP48" i="122"/>
  <c r="AB22" i="122" l="1"/>
  <c r="AB8" i="122"/>
  <c r="AB24" i="122" s="1"/>
  <c r="U1389" i="3" a="1"/>
  <c r="V1394" i="3"/>
  <c r="W1394" i="3"/>
  <c r="X1394" i="3"/>
  <c r="AG92" i="122"/>
  <c r="AG78" i="122"/>
  <c r="U1403" i="3" a="1"/>
  <c r="AA105" i="122"/>
  <c r="AA121" i="122" s="1"/>
  <c r="AA102" i="122"/>
  <c r="AA104" i="122" s="1"/>
  <c r="AA120" i="122" s="1"/>
  <c r="AA8" i="122"/>
  <c r="AA24" i="122" s="1"/>
  <c r="Z8" i="122"/>
  <c r="Z24" i="122" s="1"/>
  <c r="AO49" i="122"/>
  <c r="V48" i="122"/>
  <c r="AL48" i="122" s="1"/>
  <c r="AM45" i="122"/>
  <c r="V46" i="122"/>
  <c r="AM46" i="122" s="1"/>
  <c r="AL44" i="122"/>
  <c r="AM42" i="122"/>
  <c r="AM102" i="122"/>
  <c r="AW1063" i="3" a="1"/>
  <c r="AW985" i="3" a="1"/>
  <c r="AW989" i="3" a="1"/>
  <c r="AW990" i="3" a="1"/>
  <c r="AW986" i="3" a="1"/>
  <c r="AW1028" i="3" a="1"/>
  <c r="AW992" i="3" a="1"/>
  <c r="AL40" i="122"/>
  <c r="AM49" i="122"/>
  <c r="AK40" i="122"/>
  <c r="V22" i="122"/>
  <c r="AO22" i="122" s="1"/>
  <c r="AL100" i="122"/>
  <c r="AK100" i="122"/>
  <c r="AL4" i="122"/>
  <c r="R24" i="122"/>
  <c r="AK4" i="122"/>
  <c r="AK28" i="122"/>
  <c r="AL28" i="122"/>
  <c r="AW873" i="3" a="1"/>
  <c r="AW730" i="3" a="1"/>
  <c r="AW872" i="3" a="1"/>
  <c r="AW796" i="3" a="1"/>
  <c r="AW778" i="3" a="1"/>
  <c r="AW729" i="3" a="1"/>
  <c r="AW712" i="3" a="1"/>
  <c r="AW750" i="3" a="1"/>
  <c r="AW760" i="3" a="1"/>
  <c r="AW711" i="3" a="1"/>
  <c r="AW869" i="3" a="1"/>
  <c r="AW815" i="3" a="1"/>
  <c r="AW742" i="3" a="1"/>
  <c r="AW726" i="3" a="1"/>
  <c r="AW792" i="3" a="1"/>
  <c r="AW725" i="3" a="1"/>
  <c r="AU119" i="70" a="1"/>
  <c r="AU118" i="70" a="1"/>
  <c r="AW813" i="3" a="1"/>
  <c r="AW724" i="3" a="1"/>
  <c r="AW690" i="3" a="1"/>
  <c r="AU116" i="70" a="1"/>
  <c r="AW717" i="3" a="1"/>
  <c r="AW765" i="3" a="1"/>
  <c r="AU117" i="70" a="1"/>
  <c r="AW731" i="3" a="1"/>
  <c r="AW737" i="3" a="1"/>
  <c r="AW736" i="3" a="1"/>
  <c r="AW719" i="3" a="1"/>
  <c r="AW734" i="3" a="1"/>
  <c r="AW735" i="3" a="1"/>
  <c r="AW718" i="3" a="1"/>
  <c r="AW702" i="3" a="1"/>
  <c r="AW907" i="3" a="1"/>
  <c r="AU120" i="70" a="1"/>
  <c r="AW766" i="3" a="1"/>
  <c r="AW733" i="3" a="1"/>
  <c r="AW877" i="3" a="1"/>
  <c r="C32" i="47"/>
  <c r="AW756" i="3" s="1" a="1"/>
  <c r="AW732" i="3" a="1"/>
  <c r="AW876" i="3" a="1"/>
  <c r="C39" i="47"/>
  <c r="AW1052" i="3" s="1" a="1"/>
  <c r="AW991" i="3" a="1"/>
  <c r="AW1013" i="3" a="1"/>
  <c r="AW980" i="3" a="1"/>
  <c r="AW1008" i="3" a="1"/>
  <c r="AW984" i="3" a="1"/>
  <c r="AW982" i="3" a="1"/>
  <c r="AW927" i="3" a="1"/>
  <c r="AW983" i="3" a="1"/>
  <c r="AW1015" i="3" a="1"/>
  <c r="AW1009" i="3" a="1"/>
  <c r="AW972" i="3" a="1"/>
  <c r="AW1062" i="3" a="1"/>
  <c r="AW996" i="3" a="1"/>
  <c r="AW943" i="3" a="1"/>
  <c r="AW988" i="3" a="1"/>
  <c r="AW1057" i="3" a="1"/>
  <c r="AW867" i="3" a="1"/>
  <c r="AU171" i="70" a="1"/>
  <c r="AW1000" i="3" a="1"/>
  <c r="AW804" i="3" a="1"/>
  <c r="AW975" i="3" a="1"/>
  <c r="AU164" i="70" a="1"/>
  <c r="AU165" i="70" a="1"/>
  <c r="AW998" i="3" a="1"/>
  <c r="AW919" i="3" a="1"/>
  <c r="AU162" i="70" a="1"/>
  <c r="AW1274" i="3" a="1"/>
  <c r="AW944" i="3" a="1"/>
  <c r="AU163" i="70" a="1"/>
  <c r="AW978" i="3" a="1"/>
  <c r="U8" i="122"/>
  <c r="AL140" i="122"/>
  <c r="V1408" i="3" l="1"/>
  <c r="W1408" i="3"/>
  <c r="X1408" i="3"/>
  <c r="AA118" i="122"/>
  <c r="AW1053" i="3" a="1"/>
  <c r="AW1113" i="3" a="1"/>
  <c r="AO46" i="122"/>
  <c r="AK48" i="122"/>
  <c r="V118" i="122"/>
  <c r="AO118" i="122" s="1"/>
  <c r="V104" i="122"/>
  <c r="AK104" i="122" s="1"/>
  <c r="V121" i="122"/>
  <c r="AM105" i="122"/>
  <c r="AW1041" i="3" a="1"/>
  <c r="AW1032" i="3" a="1"/>
  <c r="AW997" i="3" a="1"/>
  <c r="AW999" i="3" a="1"/>
  <c r="AW1020" i="3" a="1"/>
  <c r="AW1048" i="3" a="1"/>
  <c r="AW1064" i="3" a="1"/>
  <c r="AW1019" i="3" a="1"/>
  <c r="AW1024" i="3" a="1"/>
  <c r="AW1018" i="3" a="1"/>
  <c r="AW1023" i="3" a="1"/>
  <c r="AW1016" i="3" a="1"/>
  <c r="AW1026" i="3" a="1"/>
  <c r="AW1042" i="3" a="1"/>
  <c r="AW1037" i="3" a="1"/>
  <c r="AW1039" i="3" a="1"/>
  <c r="AW1040" i="3" a="1"/>
  <c r="AW1036" i="3" a="1"/>
  <c r="AW1081" i="3" a="1"/>
  <c r="AW1031" i="3" a="1"/>
  <c r="AW1045" i="3" a="1"/>
  <c r="V8" i="122"/>
  <c r="V24" i="122" s="1"/>
  <c r="U24" i="122"/>
  <c r="AU181" i="70" a="1"/>
  <c r="AU180" i="70" a="1"/>
  <c r="AU182" i="70" a="1"/>
  <c r="AU183" i="70" a="1"/>
  <c r="AW1038" i="3" a="1"/>
  <c r="AW1151" i="3" a="1"/>
  <c r="AW1022" i="3" a="1"/>
  <c r="AW1114" i="3" a="1"/>
  <c r="AW1035" i="3" a="1"/>
  <c r="AW987" i="3" a="1"/>
  <c r="AU169" i="70" a="1"/>
  <c r="AU167" i="70" a="1"/>
  <c r="AU170" i="70" a="1"/>
  <c r="C40" i="47"/>
  <c r="AU172" i="70" a="1"/>
  <c r="AU168" i="70" a="1"/>
  <c r="AW779" i="3" a="1"/>
  <c r="AW762" i="3" a="1"/>
  <c r="AW906" i="3" a="1"/>
  <c r="AW761" i="3" a="1"/>
  <c r="AW745" i="3" a="1"/>
  <c r="AW817" i="3" a="1"/>
  <c r="AW795" i="3" a="1"/>
  <c r="AW777" i="3" a="1"/>
  <c r="AW744" i="3" a="1"/>
  <c r="AW728" i="3" a="1"/>
  <c r="AW870" i="3" a="1"/>
  <c r="AW794" i="3" a="1"/>
  <c r="AW727" i="3" a="1"/>
  <c r="AW763" i="3" a="1"/>
  <c r="AW758" i="3" a="1"/>
  <c r="AW875" i="3" a="1"/>
  <c r="AW757" i="3" a="1"/>
  <c r="AW741" i="3" a="1"/>
  <c r="AW883" i="3" a="1"/>
  <c r="AW740" i="3" a="1"/>
  <c r="AW864" i="3" a="1"/>
  <c r="AW910" i="3" a="1"/>
  <c r="AW755" i="3" a="1"/>
  <c r="AW739" i="3" a="1"/>
  <c r="AW771" i="3" a="1"/>
  <c r="AW754" i="3" a="1"/>
  <c r="AW787" i="3" a="1"/>
  <c r="AW753" i="3" a="1"/>
  <c r="AW720" i="3" a="1"/>
  <c r="AW859" i="3" a="1"/>
  <c r="AW807" i="3" a="1"/>
  <c r="AW785" i="3" a="1"/>
  <c r="AW752" i="3" a="1"/>
  <c r="AW912" i="3" a="1"/>
  <c r="AW858" i="3" a="1"/>
  <c r="AW747" i="3" a="1"/>
  <c r="AW784" i="3" a="1"/>
  <c r="AW974" i="3" a="1"/>
  <c r="AW828" i="3" a="1"/>
  <c r="AW914" i="3" a="1"/>
  <c r="AW780" i="3" a="1"/>
  <c r="AW749" i="3" a="1"/>
  <c r="AW700" i="3" a="1"/>
  <c r="AW764" i="3" a="1"/>
  <c r="AW748" i="3" a="1"/>
  <c r="AW715" i="3" a="1"/>
  <c r="AU121" i="70" a="1"/>
  <c r="AU122" i="70" a="1"/>
  <c r="AW1110" i="3" l="1" a="1"/>
  <c r="AW1107" i="3" a="1"/>
  <c r="AW1134" i="3" a="1"/>
  <c r="AW1120" i="3" a="1"/>
  <c r="AW1043" i="3" a="1"/>
  <c r="AW1050" i="3" a="1"/>
  <c r="AW1047" i="3" a="1"/>
  <c r="AW1054" i="3" a="1"/>
  <c r="AW1082" i="3" a="1"/>
  <c r="AW1029" i="3" a="1"/>
  <c r="V120" i="122"/>
  <c r="AK120" i="122" s="1"/>
  <c r="AM118" i="122"/>
  <c r="AL104" i="122"/>
  <c r="AO121" i="122"/>
  <c r="AM121" i="122"/>
  <c r="AW1049" i="3" a="1"/>
  <c r="AW1025" i="3" a="1"/>
  <c r="AW1055" i="3" a="1"/>
  <c r="AW1130" i="3" a="1"/>
  <c r="AW1099" i="3" a="1"/>
  <c r="AW1058" i="3" a="1"/>
  <c r="AW1083" i="3" a="1"/>
  <c r="AW1072" i="3" a="1"/>
  <c r="AW1021" i="3" a="1"/>
  <c r="AU184" i="70" a="1"/>
  <c r="AW1017" i="3" a="1"/>
  <c r="AW1059" i="3" a="1"/>
  <c r="AW1154" i="3" a="1"/>
  <c r="AU185" i="70" a="1"/>
  <c r="AW1051" i="3" a="1"/>
  <c r="C41" i="47"/>
  <c r="AW1192" i="3" s="1" a="1"/>
  <c r="AU173" i="70" a="1"/>
  <c r="AW1084" i="3" l="1" a="1"/>
  <c r="AW1069" i="3" a="1"/>
  <c r="AW1095" i="3" a="1"/>
  <c r="AW1152" i="3" a="1"/>
  <c r="AW1098" i="3" a="1"/>
  <c r="AW1066" i="3" a="1"/>
  <c r="AW1060" i="3" a="1"/>
  <c r="AW1061" i="3" a="1"/>
  <c r="AW1033" i="3" a="1"/>
  <c r="AW1077" i="3" a="1"/>
  <c r="AL120" i="122"/>
  <c r="AU200" i="70" a="1"/>
  <c r="AU199" i="70" a="1"/>
  <c r="AU197" i="70" a="1"/>
  <c r="AU195" i="70" a="1"/>
  <c r="AU194" i="70" a="1"/>
  <c r="AW1127" i="3" a="1"/>
  <c r="AW1078" i="3" a="1"/>
  <c r="AW1074" i="3" a="1"/>
  <c r="AW1071" i="3" a="1"/>
  <c r="AW1067" i="3" a="1"/>
  <c r="AW1115" i="3" a="1"/>
  <c r="AW1076" i="3" a="1"/>
  <c r="AW1086" i="3" a="1"/>
  <c r="AW1085" i="3" a="1"/>
  <c r="AW1133" i="3" a="1"/>
  <c r="AW1056" i="3" a="1"/>
  <c r="AU211" i="70" a="1"/>
  <c r="AU192" i="70" a="1"/>
  <c r="AU193" i="70" a="1"/>
  <c r="AU190" i="70" a="1"/>
  <c r="AU212" i="70" a="1"/>
  <c r="AU191" i="70" a="1"/>
  <c r="AW1070" i="3" a="1"/>
  <c r="AU198" i="70" a="1"/>
  <c r="AU196" i="70" a="1"/>
  <c r="C42" i="47"/>
  <c r="AU219" i="70" l="1" a="1"/>
  <c r="AU221" i="70" a="1"/>
  <c r="AU222" i="70" a="1"/>
  <c r="AU220" i="70" a="1"/>
  <c r="AU218" i="70" a="1"/>
  <c r="AU223" i="70" a="1"/>
  <c r="AW1119" i="3" a="1"/>
  <c r="AW1096" i="3" a="1"/>
  <c r="AW1132" i="3" a="1"/>
  <c r="AW1129" i="3" a="1"/>
  <c r="AW1034" i="3" a="1"/>
  <c r="AW1122" i="3" a="1"/>
  <c r="AW1131" i="3" a="1"/>
  <c r="AW1093" i="3" a="1"/>
  <c r="AW1116" i="3" a="1"/>
  <c r="AW1092" i="3" a="1"/>
  <c r="AW1097" i="3" a="1"/>
  <c r="AW1103" i="3" a="1"/>
  <c r="AW1087" i="3" a="1"/>
  <c r="AU214" i="70" a="1"/>
  <c r="AW1044" i="3" a="1"/>
  <c r="AW1046" i="3" a="1"/>
  <c r="AW1108" i="3" a="1"/>
  <c r="AW1079" i="3" a="1"/>
  <c r="AW1073" i="3" a="1"/>
  <c r="AW1100" i="3" a="1"/>
  <c r="AW1065" i="3" a="1"/>
  <c r="AW1111" i="3" a="1"/>
  <c r="AW1088" i="3" a="1"/>
  <c r="AW1094" i="3" a="1"/>
  <c r="AW1091" i="3" a="1"/>
  <c r="AU202" i="70" a="1"/>
  <c r="AU201" i="70" a="1"/>
  <c r="AU207" i="70" a="1"/>
  <c r="C43" i="47"/>
  <c r="AU205" i="70" a="1"/>
  <c r="AU208" i="70" a="1"/>
  <c r="AU204" i="70" a="1"/>
  <c r="AU206" i="70" a="1"/>
  <c r="AU203" i="70" a="1"/>
  <c r="AU213" i="70" a="1"/>
  <c r="AW1117" i="3" l="1" a="1"/>
  <c r="AW1148" i="3" a="1"/>
  <c r="AW1126" i="3" a="1"/>
  <c r="AW1123" i="3" a="1"/>
  <c r="AW1106" i="3" a="1"/>
  <c r="AW1089" i="3" a="1"/>
  <c r="AW1080" i="3" a="1"/>
  <c r="AW1102" i="3" a="1"/>
  <c r="AW1135" i="3" a="1"/>
  <c r="AW1124" i="3" a="1"/>
  <c r="AW1118" i="3" a="1"/>
  <c r="AW1101" i="3" a="1"/>
  <c r="AW1104" i="3" a="1"/>
  <c r="AW1301" i="3" a="1"/>
  <c r="AW1090" i="3" a="1"/>
  <c r="AU209" i="70" a="1"/>
  <c r="AU210" i="70" a="1"/>
  <c r="C44" i="47"/>
  <c r="AW1150" i="3" s="1" a="1"/>
  <c r="AU215" i="70" a="1"/>
  <c r="AW1204" i="3" l="1" a="1"/>
  <c r="AW1137" i="3" a="1"/>
  <c r="AW1139" i="3" a="1"/>
  <c r="AW1224" i="3" a="1"/>
  <c r="AW1138" i="3" a="1"/>
  <c r="AW1136" i="3" a="1"/>
  <c r="AW1188" i="3" a="1"/>
  <c r="AW1149" i="3" a="1"/>
  <c r="AW1147" i="3" a="1"/>
  <c r="AW1141" i="3" a="1"/>
  <c r="AW1142" i="3" a="1"/>
  <c r="AW1105" i="3" a="1"/>
  <c r="AW1075" i="3" a="1"/>
  <c r="AW1143" i="3" a="1"/>
  <c r="AW1128" i="3" a="1"/>
  <c r="AW1125" i="3" a="1"/>
  <c r="AW1068" i="3" a="1"/>
  <c r="AU216" i="70" a="1"/>
  <c r="C45" i="47"/>
  <c r="AW1158" i="3" l="1" a="1"/>
  <c r="AW1156" i="3" a="1"/>
  <c r="AW1155" i="3" a="1"/>
  <c r="AW1181" i="3" a="1"/>
  <c r="AW1180" i="3" a="1"/>
  <c r="AW1201" i="3" a="1"/>
  <c r="AW1157" i="3" a="1"/>
  <c r="AW1162" i="3" a="1"/>
  <c r="AW1163" i="3" a="1"/>
  <c r="AW1153" i="3" a="1"/>
  <c r="AW1121" i="3" a="1"/>
  <c r="AW1173" i="3" a="1"/>
  <c r="AW1196" i="3" a="1"/>
  <c r="C46" i="47"/>
  <c r="AW1140" i="3" s="1" a="1"/>
  <c r="AU217" i="70" a="1"/>
  <c r="AW1160" i="3" l="1" a="1"/>
  <c r="AW1223" i="3" a="1"/>
  <c r="AW1220" i="3" a="1"/>
  <c r="AW1178" i="3" a="1"/>
  <c r="AW1144" i="3" a="1"/>
  <c r="AW1174" i="3" a="1"/>
  <c r="AW1212" i="3" a="1"/>
  <c r="AW1175" i="3" a="1"/>
  <c r="AW1177" i="3" a="1"/>
  <c r="C47" i="47"/>
  <c r="AW1209" i="3" l="1" a="1"/>
  <c r="AW1213" i="3" a="1"/>
  <c r="AW1187" i="3" a="1"/>
  <c r="AW1365" i="3" a="1"/>
  <c r="AW1364" i="3" a="1"/>
  <c r="AW1331" i="3" a="1"/>
  <c r="AW1179" i="3" a="1"/>
  <c r="AW1376" i="3" a="1"/>
  <c r="AW1198" i="3" a="1"/>
  <c r="C48" i="47"/>
  <c r="AW1161" i="3" a="1"/>
  <c r="AW1317" i="3" a="1"/>
  <c r="AU643" i="3"/>
  <c r="Z643" i="3"/>
  <c r="AW643" i="3" a="1"/>
  <c r="AU661" i="3"/>
  <c r="Z661" i="3"/>
  <c r="AW661" i="3" a="1"/>
  <c r="Z662" i="3"/>
  <c r="AU662" i="3"/>
  <c r="AW662" i="3" a="1"/>
  <c r="Z663" i="3"/>
  <c r="AU663" i="3"/>
  <c r="AW663" i="3" a="1"/>
  <c r="X1150" i="3"/>
  <c r="U1313" i="3" a="1"/>
  <c r="V1150" i="3"/>
  <c r="W1150" i="3"/>
  <c r="D64" i="122" l="1"/>
  <c r="D6" i="122"/>
  <c r="Y67" i="122"/>
  <c r="Y75" i="122" s="1"/>
  <c r="Y64" i="122"/>
  <c r="Y66" i="122" s="1"/>
  <c r="Y74" i="122" s="1"/>
  <c r="D2" i="122"/>
  <c r="D56" i="122"/>
  <c r="AW1369" i="3" a="1"/>
  <c r="AW1309" i="3" a="1"/>
  <c r="C49" i="47"/>
  <c r="AW1372" i="3" s="1" a="1"/>
  <c r="AW1211" i="3" a="1"/>
  <c r="W66" i="122"/>
  <c r="W74" i="122" s="1"/>
  <c r="W75" i="122"/>
  <c r="AO75" i="122" s="1"/>
  <c r="Y72" i="122" l="1"/>
  <c r="C50" i="47"/>
  <c r="AW1318" i="3" a="1"/>
  <c r="AW1310" i="3" a="1"/>
  <c r="W72" i="122"/>
  <c r="AO72" i="122" s="1"/>
  <c r="C51" i="47" l="1"/>
  <c r="C52" i="47" s="1"/>
  <c r="C53" i="47" s="1"/>
  <c r="C54" i="47" s="1"/>
  <c r="AW1373" i="3" a="1"/>
  <c r="D72" i="122" l="1"/>
  <c r="D22" i="122"/>
  <c r="W1411" i="3" l="1"/>
  <c r="X1411" i="3"/>
  <c r="AF76" i="122" s="1"/>
  <c r="V1411" i="3"/>
  <c r="AF92" i="122" l="1"/>
  <c r="AF78" i="122"/>
  <c r="U1381" i="3" a="1"/>
  <c r="V1383" i="3"/>
  <c r="W1383" i="3"/>
  <c r="X1383" i="3"/>
  <c r="AG26" i="122" s="1"/>
  <c r="V1384" i="3"/>
  <c r="W1384" i="3"/>
  <c r="X1384" i="3"/>
  <c r="AI26" i="122" s="1"/>
  <c r="V1385" i="3"/>
  <c r="W1385" i="3"/>
  <c r="X1385" i="3"/>
  <c r="V1386" i="3"/>
  <c r="W1386" i="3"/>
  <c r="X1386" i="3"/>
  <c r="AG46" i="122" l="1"/>
  <c r="AG28" i="122"/>
  <c r="AI46" i="122"/>
  <c r="AI28" i="122"/>
  <c r="V1387" i="3"/>
  <c r="W1387" i="3"/>
  <c r="X1387" i="3"/>
  <c r="V1388" i="3"/>
  <c r="W1388" i="3"/>
  <c r="X1388" i="3"/>
  <c r="AF6" i="122" l="1"/>
  <c r="AE6" i="122"/>
  <c r="AG6" i="122"/>
  <c r="AH6" i="122"/>
  <c r="AI6" i="122"/>
  <c r="AJ6" i="122"/>
  <c r="AF22" i="122" l="1"/>
  <c r="AF8" i="122"/>
  <c r="AE22" i="122"/>
  <c r="AE8" i="122"/>
  <c r="AG22" i="122"/>
  <c r="AG8" i="122"/>
  <c r="AH22" i="122"/>
  <c r="AH8" i="122"/>
  <c r="AI22" i="122"/>
  <c r="AI8" i="122"/>
  <c r="AJ22" i="122"/>
  <c r="AJ8" i="122"/>
  <c r="AY301" i="70" s="1"/>
  <c r="AY300" i="70" s="1"/>
  <c r="AY295" i="70" s="1"/>
  <c r="AY294" i="70" s="1"/>
  <c r="AY293" i="70" s="1"/>
  <c r="AY292" i="70" s="1"/>
  <c r="AY291" i="70" s="1"/>
  <c r="AY290" i="70" s="1"/>
  <c r="AY289" i="70" s="1"/>
  <c r="AY288" i="70" s="1"/>
  <c r="AY287" i="70" s="1"/>
  <c r="AY286" i="70" s="1"/>
  <c r="AY285" i="70" s="1"/>
  <c r="AY284" i="70" s="1"/>
  <c r="AY283" i="70" s="1"/>
  <c r="AY282" i="70" s="1"/>
  <c r="AY281" i="70" s="1"/>
  <c r="AY280" i="70" s="1"/>
  <c r="AY279" i="70" s="1"/>
  <c r="AY278" i="70" s="1"/>
  <c r="AY277" i="70" s="1"/>
  <c r="AY276" i="70" s="1"/>
  <c r="AY275" i="70" s="1"/>
  <c r="AY274" i="70" s="1"/>
  <c r="AY273" i="70" s="1"/>
  <c r="AY272" i="70" s="1"/>
  <c r="AY271" i="70" s="1"/>
  <c r="AY270" i="70" s="1"/>
  <c r="AY268" i="70" s="1"/>
  <c r="AY267" i="70" s="1"/>
  <c r="AY266" i="70" s="1"/>
  <c r="AY265" i="70" s="1"/>
  <c r="AY264" i="70" s="1"/>
  <c r="AY263" i="70" s="1"/>
  <c r="AY262" i="70" s="1"/>
  <c r="AY261" i="70" s="1"/>
  <c r="AY260" i="70" s="1"/>
  <c r="AY243" i="70" s="1"/>
  <c r="AY242" i="70" s="1"/>
  <c r="AY241" i="70" s="1"/>
  <c r="AY237" i="70" s="1"/>
  <c r="AY236" i="70" s="1"/>
  <c r="AY235" i="70" s="1"/>
  <c r="AY234" i="70" s="1"/>
  <c r="AY233" i="70" s="1"/>
  <c r="AY232" i="70" s="1"/>
  <c r="AY231" i="70" s="1"/>
  <c r="AY230" i="70" s="1"/>
  <c r="AY229" i="70" s="1"/>
  <c r="AY228" i="70" s="1"/>
  <c r="AY227" i="70" s="1"/>
  <c r="AY223" i="70" s="1"/>
  <c r="AY218" i="70" s="1"/>
  <c r="AY214" i="70" s="1"/>
  <c r="AY200" i="70" s="1"/>
  <c r="AY199" i="70" s="1"/>
  <c r="AY197" i="70" s="1"/>
  <c r="AY195" i="70" s="1"/>
  <c r="AY194" i="70" s="1"/>
  <c r="BB194" i="70" l="1"/>
  <c r="BA194" i="70"/>
  <c r="AZ194" i="70"/>
  <c r="BA195" i="70"/>
  <c r="AZ195" i="70"/>
  <c r="BB195" i="70"/>
  <c r="AZ197" i="70"/>
  <c r="BB197" i="70"/>
  <c r="BA197" i="70"/>
  <c r="BB199" i="70"/>
  <c r="BA199" i="70"/>
  <c r="AZ199" i="70"/>
  <c r="AZ200" i="70"/>
  <c r="BA200" i="70"/>
  <c r="BB200" i="70"/>
  <c r="BA214" i="70"/>
  <c r="AZ214" i="70"/>
  <c r="BB214" i="70"/>
  <c r="AZ218" i="70"/>
  <c r="BA218" i="70"/>
  <c r="BB218" i="70"/>
  <c r="BA223" i="70"/>
  <c r="BB223" i="70"/>
  <c r="AZ223" i="70"/>
  <c r="AZ227" i="70"/>
  <c r="BA227" i="70"/>
  <c r="BB227" i="70"/>
  <c r="BB228" i="70"/>
  <c r="AZ228" i="70"/>
  <c r="BA228" i="70"/>
  <c r="AZ229" i="70"/>
  <c r="BB229" i="70"/>
  <c r="BA229" i="70"/>
  <c r="BA230" i="70"/>
  <c r="BB230" i="70"/>
  <c r="AZ230" i="70"/>
  <c r="BA231" i="70"/>
  <c r="BB231" i="70"/>
  <c r="AZ231" i="70"/>
  <c r="BA232" i="70"/>
  <c r="AZ232" i="70"/>
  <c r="BB232" i="70"/>
  <c r="BB233" i="70"/>
  <c r="BA233" i="70"/>
  <c r="AZ233" i="70"/>
  <c r="AZ234" i="70"/>
  <c r="BB234" i="70"/>
  <c r="BA234" i="70"/>
  <c r="BB235" i="70"/>
  <c r="BA235" i="70"/>
  <c r="AZ235" i="70"/>
  <c r="BB236" i="70"/>
  <c r="BA236" i="70"/>
  <c r="AZ236" i="70"/>
  <c r="AZ237" i="70"/>
  <c r="BB237" i="70"/>
  <c r="BA237" i="70"/>
  <c r="AZ241" i="70"/>
  <c r="BA241" i="70"/>
  <c r="BB241" i="70"/>
  <c r="AZ242" i="70"/>
  <c r="BB242" i="70"/>
  <c r="BA242" i="70"/>
  <c r="BB243" i="70"/>
  <c r="BA243" i="70"/>
  <c r="AZ243" i="70"/>
  <c r="BB260" i="70"/>
  <c r="AZ260" i="70"/>
  <c r="BA260" i="70"/>
  <c r="AZ261" i="70"/>
  <c r="BA261" i="70"/>
  <c r="BB261" i="70"/>
  <c r="AZ262" i="70"/>
  <c r="BA262" i="70"/>
  <c r="BB262" i="70"/>
  <c r="AZ263" i="70"/>
  <c r="BA263" i="70"/>
  <c r="BB263" i="70"/>
  <c r="AZ264" i="70"/>
  <c r="BA264" i="70"/>
  <c r="BB264" i="70"/>
  <c r="AZ265" i="70"/>
  <c r="BA265" i="70"/>
  <c r="BB265" i="70"/>
  <c r="AZ266" i="70"/>
  <c r="BA266" i="70"/>
  <c r="BB266" i="70"/>
  <c r="AZ267" i="70"/>
  <c r="BA267" i="70"/>
  <c r="BB267" i="70"/>
  <c r="BB268" i="70"/>
  <c r="BA268" i="70"/>
  <c r="AZ268" i="70"/>
  <c r="BA270" i="70"/>
  <c r="BB270" i="70"/>
  <c r="AZ270" i="70"/>
  <c r="BB271" i="70"/>
  <c r="AZ271" i="70"/>
  <c r="BA271" i="70"/>
  <c r="BB272" i="70"/>
  <c r="AZ272" i="70"/>
  <c r="BA272" i="70"/>
  <c r="BA273" i="70"/>
  <c r="BB273" i="70"/>
  <c r="AZ273" i="70"/>
  <c r="BA274" i="70"/>
  <c r="BB274" i="70"/>
  <c r="AZ274" i="70"/>
  <c r="BB275" i="70"/>
  <c r="AZ275" i="70"/>
  <c r="BA275" i="70"/>
  <c r="AZ276" i="70"/>
  <c r="BB276" i="70"/>
  <c r="BA276" i="70"/>
  <c r="AZ277" i="70"/>
  <c r="BB277" i="70"/>
  <c r="BA277" i="70"/>
  <c r="BA278" i="70"/>
  <c r="BB278" i="70"/>
  <c r="AZ278" i="70"/>
  <c r="AZ279" i="70"/>
  <c r="BB279" i="70"/>
  <c r="BA279" i="70"/>
  <c r="BB280" i="70"/>
  <c r="AZ280" i="70"/>
  <c r="BA280" i="70"/>
  <c r="BB281" i="70"/>
  <c r="AZ281" i="70"/>
  <c r="BA281" i="70"/>
  <c r="AZ282" i="70"/>
  <c r="BA282" i="70"/>
  <c r="BB282" i="70"/>
  <c r="AZ283" i="70"/>
  <c r="BB283" i="70"/>
  <c r="BA283" i="70"/>
  <c r="AZ284" i="70"/>
  <c r="BB284" i="70"/>
  <c r="BA284" i="70"/>
  <c r="BA285" i="70"/>
  <c r="BB285" i="70"/>
  <c r="AZ285" i="70"/>
  <c r="BB286" i="70"/>
  <c r="AZ286" i="70"/>
  <c r="BA286" i="70"/>
  <c r="BB287" i="70"/>
  <c r="AZ287" i="70"/>
  <c r="BA287" i="70"/>
  <c r="BA288" i="70"/>
  <c r="BB288" i="70"/>
  <c r="AZ288" i="70"/>
  <c r="BB289" i="70"/>
  <c r="BA289" i="70"/>
  <c r="AZ289" i="70"/>
  <c r="AZ290" i="70"/>
  <c r="BA290" i="70"/>
  <c r="BB290" i="70"/>
  <c r="BB291" i="70"/>
  <c r="BA291" i="70"/>
  <c r="AZ291" i="70"/>
  <c r="BB292" i="70"/>
  <c r="AZ292" i="70"/>
  <c r="BA292" i="70"/>
  <c r="BB293" i="70"/>
  <c r="AZ293" i="70"/>
  <c r="BA293" i="70"/>
  <c r="BA294" i="70"/>
  <c r="AZ294" i="70"/>
  <c r="BB294" i="70"/>
  <c r="AZ295" i="70"/>
  <c r="BA295" i="70"/>
  <c r="BB295" i="70"/>
  <c r="AY299" i="70"/>
  <c r="AZ300" i="70"/>
  <c r="BB300" i="70"/>
  <c r="BA300" i="70"/>
  <c r="BB301" i="70"/>
  <c r="BA301" i="70"/>
  <c r="AZ301" i="70"/>
  <c r="AY298" i="70" l="1"/>
  <c r="BB299" i="70"/>
  <c r="BA299" i="70"/>
  <c r="AZ299" i="70"/>
  <c r="AY297" i="70" l="1"/>
  <c r="BB298" i="70"/>
  <c r="AZ298" i="70"/>
  <c r="BA298" i="70"/>
  <c r="AY296" i="70" l="1"/>
  <c r="AZ297" i="70"/>
  <c r="BB297" i="70"/>
  <c r="BA297" i="70"/>
  <c r="AY269" i="70" l="1"/>
  <c r="AZ296" i="70"/>
  <c r="BB296" i="70"/>
  <c r="BA296" i="70"/>
  <c r="AY259" i="70" l="1"/>
  <c r="BB269" i="70"/>
  <c r="AZ269" i="70"/>
  <c r="BA269" i="70"/>
  <c r="AY258" i="70" l="1"/>
  <c r="BA259" i="70"/>
  <c r="AZ259" i="70"/>
  <c r="BB259" i="70"/>
  <c r="AY257" i="70" l="1"/>
  <c r="AZ258" i="70"/>
  <c r="BA258" i="70"/>
  <c r="BB258" i="70"/>
  <c r="AY256" i="70" l="1"/>
  <c r="AZ257" i="70"/>
  <c r="BB257" i="70"/>
  <c r="BA257" i="70"/>
  <c r="AY255" i="70" l="1"/>
  <c r="AZ256" i="70"/>
  <c r="BB256" i="70"/>
  <c r="BA256" i="70"/>
  <c r="AY254" i="70" l="1"/>
  <c r="BB255" i="70"/>
  <c r="BA255" i="70"/>
  <c r="AZ255" i="70"/>
  <c r="AY253" i="70" l="1"/>
  <c r="BA254" i="70"/>
  <c r="AZ254" i="70"/>
  <c r="BB254" i="70"/>
  <c r="AY251" i="70" l="1"/>
  <c r="BA253" i="70"/>
  <c r="AZ253" i="70"/>
  <c r="BB253" i="70"/>
  <c r="AY250" i="70" l="1"/>
  <c r="BB251" i="70"/>
  <c r="AZ251" i="70"/>
  <c r="BA251" i="70"/>
  <c r="AY249" i="70" l="1"/>
  <c r="BB250" i="70"/>
  <c r="BA250" i="70"/>
  <c r="AZ250" i="70"/>
  <c r="AY248" i="70" l="1"/>
  <c r="BB249" i="70"/>
  <c r="AZ249" i="70"/>
  <c r="BA249" i="70"/>
  <c r="AY247" i="70" l="1"/>
  <c r="AZ248" i="70"/>
  <c r="BB248" i="70"/>
  <c r="BA248" i="70"/>
  <c r="AY246" i="70" l="1"/>
  <c r="BB247" i="70"/>
  <c r="AZ247" i="70"/>
  <c r="BA247" i="70"/>
  <c r="AY245" i="70" l="1"/>
  <c r="BA246" i="70"/>
  <c r="BB246" i="70"/>
  <c r="AZ246" i="70"/>
  <c r="AY244" i="70" l="1"/>
  <c r="AZ245" i="70"/>
  <c r="BB245" i="70"/>
  <c r="BA245" i="70"/>
  <c r="AY240" i="70" l="1"/>
  <c r="BB244" i="70"/>
  <c r="AZ244" i="70"/>
  <c r="BA244" i="70"/>
  <c r="AY239" i="70" l="1"/>
  <c r="BB240" i="70"/>
  <c r="BA240" i="70"/>
  <c r="AZ240" i="70"/>
  <c r="AY238" i="70" l="1"/>
  <c r="BB239" i="70"/>
  <c r="BA239" i="70"/>
  <c r="AZ239" i="70"/>
  <c r="AY226" i="70" l="1"/>
  <c r="BB238" i="70"/>
  <c r="BA238" i="70"/>
  <c r="AZ238" i="70"/>
  <c r="AY225" i="70" l="1"/>
  <c r="BA226" i="70"/>
  <c r="BB226" i="70"/>
  <c r="AZ226" i="70"/>
  <c r="AY224" i="70" l="1"/>
  <c r="BB225" i="70"/>
  <c r="AZ225" i="70"/>
  <c r="BA225" i="70"/>
  <c r="AY222" i="70" l="1"/>
  <c r="BB224" i="70"/>
  <c r="BA224" i="70"/>
  <c r="AZ224" i="70"/>
  <c r="AY221" i="70" l="1"/>
  <c r="BB222" i="70"/>
  <c r="BA222" i="70"/>
  <c r="AZ222" i="70"/>
  <c r="AY220" i="70" l="1"/>
  <c r="BA221" i="70"/>
  <c r="BB221" i="70"/>
  <c r="AZ221" i="70"/>
  <c r="AY219" i="70" l="1"/>
  <c r="BB220" i="70"/>
  <c r="AZ220" i="70"/>
  <c r="BA220" i="70"/>
  <c r="AY217" i="70" l="1"/>
  <c r="AZ219" i="70"/>
  <c r="BB219" i="70"/>
  <c r="BA219" i="70"/>
  <c r="AY216" i="70" l="1"/>
  <c r="AZ217" i="70"/>
  <c r="BA217" i="70"/>
  <c r="BB217" i="70"/>
  <c r="AY215" i="70" l="1"/>
  <c r="AZ216" i="70"/>
  <c r="BA216" i="70"/>
  <c r="BB216" i="70"/>
  <c r="AY213" i="70" l="1"/>
  <c r="AZ215" i="70"/>
  <c r="BA215" i="70"/>
  <c r="BB215" i="70"/>
  <c r="AY212" i="70" l="1"/>
  <c r="BB213" i="70"/>
  <c r="BA213" i="70"/>
  <c r="AZ213" i="70"/>
  <c r="AY211" i="70" l="1"/>
  <c r="BB212" i="70"/>
  <c r="BA212" i="70"/>
  <c r="AZ212" i="70"/>
  <c r="AY210" i="70" l="1"/>
  <c r="AZ211" i="70"/>
  <c r="BA211" i="70"/>
  <c r="BB211" i="70"/>
  <c r="AY209" i="70" l="1"/>
  <c r="BA210" i="70"/>
  <c r="BB210" i="70"/>
  <c r="AZ210" i="70"/>
  <c r="AY208" i="70" l="1"/>
  <c r="AZ209" i="70"/>
  <c r="BB209" i="70"/>
  <c r="BA209" i="70"/>
  <c r="AY207" i="70" l="1"/>
  <c r="BA208" i="70"/>
  <c r="AZ208" i="70"/>
  <c r="BB208" i="70"/>
  <c r="AY206" i="70" l="1"/>
  <c r="BA207" i="70"/>
  <c r="AZ207" i="70"/>
  <c r="BB207" i="70"/>
  <c r="AY205" i="70" l="1"/>
  <c r="AZ206" i="70"/>
  <c r="BB206" i="70"/>
  <c r="BA206" i="70"/>
  <c r="AY204" i="70" l="1"/>
  <c r="BB205" i="70"/>
  <c r="BA205" i="70"/>
  <c r="AZ205" i="70"/>
  <c r="AY203" i="70" l="1"/>
  <c r="AZ204" i="70"/>
  <c r="BA204" i="70"/>
  <c r="BB204" i="70"/>
  <c r="AY202" i="70" l="1"/>
  <c r="BA203" i="70"/>
  <c r="AZ203" i="70"/>
  <c r="BB203" i="70"/>
  <c r="AY201" i="70" l="1"/>
  <c r="BB202" i="70"/>
  <c r="BA202" i="70"/>
  <c r="AZ202" i="70"/>
  <c r="AY198" i="70" l="1"/>
  <c r="BA201" i="70"/>
  <c r="BB201" i="70"/>
  <c r="AZ201" i="70"/>
  <c r="AY196" i="70" l="1"/>
  <c r="AZ198" i="70"/>
  <c r="BB198" i="70"/>
  <c r="BA198" i="70"/>
  <c r="AY193" i="70" l="1"/>
  <c r="BA196" i="70"/>
  <c r="BB196" i="70"/>
  <c r="AZ196" i="70"/>
  <c r="AY192" i="70" l="1"/>
  <c r="BB193" i="70"/>
  <c r="BA193" i="70"/>
  <c r="AZ193" i="70"/>
  <c r="AY191" i="70" l="1"/>
  <c r="AZ192" i="70"/>
  <c r="BB192" i="70"/>
  <c r="BA192" i="70"/>
  <c r="AY190" i="70" l="1"/>
  <c r="AZ191" i="70"/>
  <c r="BB191" i="70"/>
  <c r="BA191" i="70"/>
  <c r="AY189" i="70" l="1"/>
  <c r="BB190" i="70"/>
  <c r="AZ190" i="70"/>
  <c r="BA190" i="70"/>
  <c r="AY188" i="70" l="1"/>
  <c r="BB189" i="70"/>
  <c r="BA189" i="70"/>
  <c r="AZ189" i="70"/>
  <c r="AY187" i="70" l="1"/>
  <c r="BA188" i="70"/>
  <c r="AZ188" i="70"/>
  <c r="BB188" i="70"/>
  <c r="AY186" i="70" l="1"/>
  <c r="BA187" i="70"/>
  <c r="BB187" i="70"/>
  <c r="AZ187" i="70"/>
  <c r="AY185" i="70" l="1"/>
  <c r="BB186" i="70"/>
  <c r="BA186" i="70"/>
  <c r="AZ186" i="70"/>
  <c r="AY184" i="70" l="1"/>
  <c r="BA185" i="70"/>
  <c r="AZ185" i="70"/>
  <c r="BB185" i="70"/>
  <c r="AY183" i="70" l="1"/>
  <c r="AZ184" i="70"/>
  <c r="BA184" i="70"/>
  <c r="BB184" i="70"/>
  <c r="AY182" i="70" l="1"/>
  <c r="AZ183" i="70"/>
  <c r="BA183" i="70"/>
  <c r="BB183" i="70"/>
  <c r="AY181" i="70" l="1"/>
  <c r="AZ182" i="70"/>
  <c r="BB182" i="70"/>
  <c r="BA182" i="70"/>
  <c r="AY180" i="70" l="1"/>
  <c r="AZ181" i="70"/>
  <c r="BB181" i="70"/>
  <c r="BA181" i="70"/>
  <c r="AY179" i="70" l="1"/>
  <c r="BB180" i="70"/>
  <c r="AZ180" i="70"/>
  <c r="BA180" i="70"/>
  <c r="AY178" i="70" l="1"/>
  <c r="BB179" i="70"/>
  <c r="BA179" i="70"/>
  <c r="AZ179" i="70"/>
  <c r="AY177" i="70" l="1"/>
  <c r="BA178" i="70"/>
  <c r="BB178" i="70"/>
  <c r="AZ178" i="70"/>
  <c r="AY176" i="70" l="1"/>
  <c r="BA177" i="70"/>
  <c r="BB177" i="70"/>
  <c r="AZ177" i="70"/>
  <c r="AY175" i="70" l="1"/>
  <c r="BB176" i="70"/>
  <c r="AZ176" i="70"/>
  <c r="BA176" i="70"/>
  <c r="AY174" i="70" l="1"/>
  <c r="BB175" i="70"/>
  <c r="AZ175" i="70"/>
  <c r="BA175" i="70"/>
  <c r="AY173" i="70" l="1"/>
  <c r="AZ174" i="70"/>
  <c r="BB174" i="70"/>
  <c r="BA174" i="70"/>
  <c r="AY172" i="70" l="1"/>
  <c r="BB173" i="70"/>
  <c r="BA173" i="70"/>
  <c r="AZ173" i="70"/>
  <c r="AY171" i="70" l="1"/>
  <c r="AZ172" i="70"/>
  <c r="BA172" i="70"/>
  <c r="BB172" i="70"/>
  <c r="AY170" i="70" l="1"/>
  <c r="BB171" i="70"/>
  <c r="AZ171" i="70"/>
  <c r="BA171" i="70"/>
  <c r="AY169" i="70" l="1"/>
  <c r="BB170" i="70"/>
  <c r="BA170" i="70"/>
  <c r="AZ170" i="70"/>
  <c r="AY168" i="70" l="1"/>
  <c r="BA169" i="70"/>
  <c r="AZ169" i="70"/>
  <c r="BB169" i="70"/>
  <c r="AY167" i="70" l="1"/>
  <c r="BB168" i="70"/>
  <c r="AZ168" i="70"/>
  <c r="BA168" i="70"/>
  <c r="AY166" i="70" l="1"/>
  <c r="BB167" i="70"/>
  <c r="BA167" i="70"/>
  <c r="AZ167" i="70"/>
  <c r="AY165" i="70" l="1"/>
  <c r="BB166" i="70"/>
  <c r="BA166" i="70"/>
  <c r="AZ166" i="70"/>
  <c r="AY164" i="70" l="1"/>
  <c r="BA165" i="70"/>
  <c r="AZ165" i="70"/>
  <c r="BB165" i="70"/>
  <c r="AY163" i="70" l="1"/>
  <c r="AZ164" i="70"/>
  <c r="BA164" i="70"/>
  <c r="BB164" i="70"/>
  <c r="AY162" i="70" l="1"/>
  <c r="BB163" i="70"/>
  <c r="AZ163" i="70"/>
  <c r="BA163" i="70"/>
  <c r="AY161" i="70" l="1"/>
  <c r="AZ162" i="70"/>
  <c r="BA162" i="70"/>
  <c r="BB162" i="70"/>
  <c r="AY160" i="70" l="1"/>
  <c r="BB161" i="70"/>
  <c r="BA161" i="70"/>
  <c r="AZ161" i="70"/>
  <c r="AY159" i="70" l="1"/>
  <c r="AZ160" i="70"/>
  <c r="BA160" i="70"/>
  <c r="BB160" i="70"/>
  <c r="AY158" i="70" l="1"/>
  <c r="AZ159" i="70"/>
  <c r="BA159" i="70"/>
  <c r="BB159" i="70"/>
  <c r="AY157" i="70" l="1"/>
  <c r="BB158" i="70"/>
  <c r="AZ158" i="70"/>
  <c r="BA158" i="70"/>
  <c r="AY156" i="70" l="1"/>
  <c r="BB157" i="70"/>
  <c r="AZ157" i="70"/>
  <c r="BA157" i="70"/>
  <c r="AY155" i="70" l="1"/>
  <c r="BA156" i="70"/>
  <c r="BB156" i="70"/>
  <c r="AZ156" i="70"/>
  <c r="AY154" i="70" l="1"/>
  <c r="AZ155" i="70"/>
  <c r="BA155" i="70"/>
  <c r="BB155" i="70"/>
  <c r="AY153" i="70" l="1"/>
  <c r="BA154" i="70"/>
  <c r="BB154" i="70"/>
  <c r="AZ154" i="70"/>
  <c r="AY152" i="70" l="1"/>
  <c r="AZ153" i="70"/>
  <c r="BB153" i="70"/>
  <c r="BA153" i="70"/>
  <c r="AY151" i="70" l="1"/>
  <c r="BB152" i="70"/>
  <c r="AZ152" i="70"/>
  <c r="BA152" i="70"/>
  <c r="AY150" i="70" l="1"/>
  <c r="BB151" i="70"/>
  <c r="BA151" i="70"/>
  <c r="AZ151" i="70"/>
  <c r="AY149" i="70" l="1"/>
  <c r="AZ150" i="70"/>
  <c r="BA150" i="70"/>
  <c r="BB150" i="70"/>
  <c r="AY148" i="70" l="1"/>
  <c r="AZ149" i="70"/>
  <c r="BA149" i="70"/>
  <c r="BB149" i="70"/>
  <c r="AY147" i="70" l="1"/>
  <c r="BA148" i="70"/>
  <c r="AZ148" i="70"/>
  <c r="BB148" i="70"/>
  <c r="AY146" i="70" l="1"/>
  <c r="BA147" i="70"/>
  <c r="BB147" i="70"/>
  <c r="AZ147" i="70"/>
  <c r="AY145" i="70" l="1"/>
  <c r="BA146" i="70"/>
  <c r="BB146" i="70"/>
  <c r="AZ146" i="70"/>
  <c r="AY144" i="70" l="1"/>
  <c r="BA145" i="70"/>
  <c r="BB145" i="70"/>
  <c r="AZ145" i="70"/>
  <c r="AY143" i="70" l="1"/>
  <c r="BA144" i="70"/>
  <c r="AZ144" i="70"/>
  <c r="BB144" i="70"/>
  <c r="AY142" i="70" l="1"/>
  <c r="BB143" i="70"/>
  <c r="BA143" i="70"/>
  <c r="AZ143" i="70"/>
  <c r="AY141" i="70" l="1"/>
  <c r="BB142" i="70"/>
  <c r="AZ142" i="70"/>
  <c r="BA142" i="70"/>
  <c r="AY140" i="70" l="1"/>
  <c r="AZ141" i="70"/>
  <c r="BB141" i="70"/>
  <c r="BA141" i="70"/>
  <c r="AY139" i="70" l="1"/>
  <c r="AZ140" i="70"/>
  <c r="BA140" i="70"/>
  <c r="BB140" i="70"/>
  <c r="AY138" i="70" l="1"/>
  <c r="AZ139" i="70"/>
  <c r="BB139" i="70"/>
  <c r="BA139" i="70"/>
  <c r="AY137" i="70" l="1"/>
  <c r="BA138" i="70"/>
  <c r="AZ138" i="70"/>
  <c r="BB138" i="70"/>
  <c r="AY136" i="70" l="1"/>
  <c r="BB137" i="70"/>
  <c r="AZ137" i="70"/>
  <c r="BA137" i="70"/>
  <c r="AY135" i="70" l="1"/>
  <c r="AZ136" i="70"/>
  <c r="BB136" i="70"/>
  <c r="BA136" i="70"/>
  <c r="AY134" i="70" l="1"/>
  <c r="AZ135" i="70"/>
  <c r="BB135" i="70"/>
  <c r="BA135" i="70"/>
  <c r="AY133" i="70" l="1"/>
  <c r="BA134" i="70"/>
  <c r="BB134" i="70"/>
  <c r="AZ134" i="70"/>
  <c r="AY132" i="70" l="1"/>
  <c r="AZ133" i="70"/>
  <c r="BA133" i="70"/>
  <c r="BB133" i="70"/>
  <c r="AY131" i="70" l="1"/>
  <c r="AZ132" i="70"/>
  <c r="BB132" i="70"/>
  <c r="BA132" i="70"/>
  <c r="AY130" i="70" l="1"/>
  <c r="BB131" i="70"/>
  <c r="BA131" i="70"/>
  <c r="AZ131" i="70"/>
  <c r="AY129" i="70" l="1"/>
  <c r="BB130" i="70"/>
  <c r="BA130" i="70"/>
  <c r="AZ130" i="70"/>
  <c r="AY128" i="70" l="1"/>
  <c r="AZ129" i="70"/>
  <c r="BA129" i="70"/>
  <c r="BB129" i="70"/>
  <c r="AY127" i="70" l="1"/>
  <c r="AZ128" i="70"/>
  <c r="BB128" i="70"/>
  <c r="BA128" i="70"/>
  <c r="AY126" i="70" l="1"/>
  <c r="BB127" i="70"/>
  <c r="AZ127" i="70"/>
  <c r="BA127" i="70"/>
  <c r="AY125" i="70" l="1"/>
  <c r="BB126" i="70"/>
  <c r="BA126" i="70"/>
  <c r="AZ126" i="70"/>
  <c r="AY124" i="70" l="1"/>
  <c r="AZ125" i="70"/>
  <c r="BB125" i="70"/>
  <c r="BA125" i="70"/>
  <c r="AY123" i="70" l="1"/>
  <c r="BA124" i="70"/>
  <c r="AZ124" i="70"/>
  <c r="BB124" i="70"/>
  <c r="AY122" i="70" l="1"/>
  <c r="BA123" i="70"/>
  <c r="BB123" i="70"/>
  <c r="AZ123" i="70"/>
  <c r="AY121" i="70" l="1"/>
  <c r="BA122" i="70"/>
  <c r="AZ122" i="70"/>
  <c r="BB122" i="70"/>
  <c r="AY120" i="70" l="1"/>
  <c r="AZ121" i="70"/>
  <c r="BB121" i="70"/>
  <c r="BA121" i="70"/>
  <c r="AY119" i="70" l="1"/>
  <c r="AZ120" i="70"/>
  <c r="BB120" i="70"/>
  <c r="BA120" i="70"/>
  <c r="AY118" i="70" l="1"/>
  <c r="AZ119" i="70"/>
  <c r="BB119" i="70"/>
  <c r="BA119" i="70"/>
  <c r="AY117" i="70" l="1"/>
  <c r="AZ118" i="70"/>
  <c r="BB118" i="70"/>
  <c r="BA118" i="70"/>
  <c r="AY116" i="70" l="1"/>
  <c r="BB117" i="70"/>
  <c r="AZ117" i="70"/>
  <c r="BA117" i="70"/>
  <c r="AY115" i="70" l="1"/>
  <c r="AZ116" i="70"/>
  <c r="BA116" i="70"/>
  <c r="BB116" i="70"/>
  <c r="AY114" i="70" l="1"/>
  <c r="BB115" i="70"/>
  <c r="AZ115" i="70"/>
  <c r="BA115" i="70"/>
  <c r="AY113" i="70" l="1"/>
  <c r="BA114" i="70"/>
  <c r="BB114" i="70"/>
  <c r="AZ114" i="70"/>
  <c r="AY112" i="70" l="1"/>
  <c r="BA113" i="70"/>
  <c r="BB113" i="70"/>
  <c r="AZ113" i="70"/>
  <c r="AY111" i="70" l="1"/>
  <c r="AZ112" i="70"/>
  <c r="BB112" i="70"/>
  <c r="BA112" i="70"/>
  <c r="AY110" i="70" l="1"/>
  <c r="BB111" i="70"/>
  <c r="AZ111" i="70"/>
  <c r="BA111" i="70"/>
  <c r="AY109" i="70" l="1"/>
  <c r="BA110" i="70"/>
  <c r="AZ110" i="70"/>
  <c r="BB110" i="70"/>
  <c r="AY108" i="70" l="1"/>
  <c r="BA109" i="70"/>
  <c r="AZ109" i="70"/>
  <c r="BB109" i="70"/>
  <c r="AY107" i="70" l="1"/>
  <c r="BB108" i="70"/>
  <c r="BA108" i="70"/>
  <c r="AZ108" i="70"/>
  <c r="AY106" i="70" l="1"/>
  <c r="BB107" i="70"/>
  <c r="BA107" i="70"/>
  <c r="AZ107" i="70"/>
  <c r="AY105" i="70" l="1"/>
  <c r="BB106" i="70"/>
  <c r="AZ106" i="70"/>
  <c r="BA106" i="70"/>
  <c r="AY104" i="70" l="1"/>
  <c r="AZ105" i="70"/>
  <c r="BA105" i="70"/>
  <c r="BB105" i="70"/>
  <c r="AY103" i="70" l="1"/>
  <c r="BA104" i="70"/>
  <c r="AZ104" i="70"/>
  <c r="BB104" i="70"/>
  <c r="AY102" i="70" l="1"/>
  <c r="BB103" i="70"/>
  <c r="AZ103" i="70"/>
  <c r="BA103" i="70"/>
  <c r="AY101" i="70" l="1"/>
  <c r="BB102" i="70"/>
  <c r="AZ102" i="70"/>
  <c r="BA102" i="70"/>
  <c r="AY100" i="70" l="1"/>
  <c r="AZ101" i="70"/>
  <c r="BA101" i="70"/>
  <c r="BB101" i="70"/>
  <c r="AY99" i="70" l="1"/>
  <c r="BA100" i="70"/>
  <c r="BB100" i="70"/>
  <c r="AZ100" i="70"/>
  <c r="AY98" i="70" l="1"/>
  <c r="BB99" i="70"/>
  <c r="AZ99" i="70"/>
  <c r="BA99" i="70"/>
  <c r="AY97" i="70" l="1"/>
  <c r="BA98" i="70"/>
  <c r="AZ98" i="70"/>
  <c r="BB98" i="70"/>
  <c r="AY96" i="70" l="1"/>
  <c r="AZ97" i="70"/>
  <c r="BA97" i="70"/>
  <c r="BB97" i="70"/>
  <c r="AY95" i="70" l="1"/>
  <c r="BB96" i="70"/>
  <c r="AZ96" i="70"/>
  <c r="BA96" i="70"/>
  <c r="AY94" i="70" l="1"/>
  <c r="AZ95" i="70"/>
  <c r="BA95" i="70"/>
  <c r="BB95" i="70"/>
  <c r="AY93" i="70" l="1"/>
  <c r="BA94" i="70"/>
  <c r="BB94" i="70"/>
  <c r="AZ94" i="70"/>
  <c r="AY92" i="70" l="1"/>
  <c r="BB93" i="70"/>
  <c r="AZ93" i="70"/>
  <c r="BA93" i="70"/>
  <c r="AY91" i="70" l="1"/>
  <c r="BA92" i="70"/>
  <c r="BB92" i="70"/>
  <c r="AZ92" i="70"/>
  <c r="AY90" i="70" l="1"/>
  <c r="BA91" i="70"/>
  <c r="BB91" i="70"/>
  <c r="AZ91" i="70"/>
  <c r="AY89" i="70" l="1"/>
  <c r="BA90" i="70"/>
  <c r="BB90" i="70"/>
  <c r="AZ90" i="70"/>
  <c r="AY88" i="70" l="1"/>
  <c r="AZ89" i="70"/>
  <c r="BA89" i="70"/>
  <c r="BB89" i="70"/>
  <c r="AY87" i="70" l="1"/>
  <c r="BA88" i="70"/>
  <c r="BB88" i="70"/>
  <c r="AZ88" i="70"/>
  <c r="AY86" i="70" l="1"/>
  <c r="BB87" i="70"/>
  <c r="BA87" i="70"/>
  <c r="AZ87" i="70"/>
  <c r="AY85" i="70" l="1"/>
  <c r="AZ86" i="70"/>
  <c r="BA86" i="70"/>
  <c r="BB86" i="70"/>
  <c r="AY84" i="70" l="1"/>
  <c r="BA85" i="70"/>
  <c r="AZ85" i="70"/>
  <c r="BB85" i="70"/>
  <c r="AY83" i="70" l="1"/>
  <c r="BB84" i="70"/>
  <c r="AZ84" i="70"/>
  <c r="BA84" i="70"/>
  <c r="AY82" i="70" l="1"/>
  <c r="AZ83" i="70"/>
  <c r="BB83" i="70"/>
  <c r="BA83" i="70"/>
  <c r="AY81" i="70" l="1"/>
  <c r="AZ82" i="70"/>
  <c r="BA82" i="70"/>
  <c r="BB82" i="70"/>
  <c r="AY80" i="70" l="1"/>
  <c r="AZ81" i="70"/>
  <c r="BB81" i="70"/>
  <c r="BA81" i="70"/>
  <c r="AY79" i="70" l="1"/>
  <c r="BB80" i="70"/>
  <c r="BA80" i="70"/>
  <c r="AZ80" i="70"/>
  <c r="AY78" i="70" l="1"/>
  <c r="BA79" i="70"/>
  <c r="AZ79" i="70"/>
  <c r="BB79" i="70"/>
  <c r="AY77" i="70" l="1"/>
  <c r="AZ78" i="70"/>
  <c r="BA78" i="70"/>
  <c r="BB78" i="70"/>
  <c r="AY76" i="70" l="1"/>
  <c r="BB77" i="70"/>
  <c r="BA77" i="70"/>
  <c r="AZ77" i="70"/>
  <c r="AY75" i="70" l="1"/>
  <c r="BA76" i="70"/>
  <c r="BB76" i="70"/>
  <c r="AZ76" i="70"/>
  <c r="AY74" i="70" l="1"/>
  <c r="BA75" i="70"/>
  <c r="BB75" i="70"/>
  <c r="AZ75" i="70"/>
  <c r="AY73" i="70" l="1"/>
  <c r="BA74" i="70"/>
  <c r="BB74" i="70"/>
  <c r="AZ74" i="70"/>
  <c r="AY72" i="70" l="1"/>
  <c r="BB73" i="70"/>
  <c r="AZ73" i="70"/>
  <c r="BA73" i="70"/>
  <c r="AY71" i="70" l="1"/>
  <c r="BB72" i="70"/>
  <c r="BA72" i="70"/>
  <c r="AZ72" i="70"/>
  <c r="AY70" i="70" l="1"/>
  <c r="AZ71" i="70"/>
  <c r="BB71" i="70"/>
  <c r="BA71" i="70"/>
  <c r="AY69" i="70" l="1"/>
  <c r="BB70" i="70"/>
  <c r="BA70" i="70"/>
  <c r="AZ70" i="70"/>
  <c r="AY68" i="70" l="1"/>
  <c r="AZ69" i="70"/>
  <c r="BA69" i="70"/>
  <c r="BB69" i="70"/>
  <c r="AY67" i="70" l="1"/>
  <c r="BB68" i="70"/>
  <c r="AZ68" i="70"/>
  <c r="BA68" i="70"/>
  <c r="AY66" i="70" l="1"/>
  <c r="AZ67" i="70"/>
  <c r="BA67" i="70"/>
  <c r="BB67" i="70"/>
  <c r="AY65" i="70" l="1"/>
  <c r="AZ66" i="70"/>
  <c r="BB66" i="70"/>
  <c r="BA66" i="70"/>
  <c r="AY64" i="70" l="1"/>
  <c r="AZ65" i="70"/>
  <c r="BB65" i="70"/>
  <c r="BA65" i="70"/>
  <c r="AY63" i="70" l="1"/>
  <c r="BB64" i="70"/>
  <c r="AZ64" i="70"/>
  <c r="BA64" i="70"/>
  <c r="AY62" i="70" l="1"/>
  <c r="BA63" i="70"/>
  <c r="BB63" i="70"/>
  <c r="AZ63" i="70"/>
  <c r="AY61" i="70" l="1"/>
  <c r="BB62" i="70"/>
  <c r="AZ62" i="70"/>
  <c r="BA62" i="70"/>
  <c r="AY60" i="70" l="1"/>
  <c r="AZ61" i="70"/>
  <c r="BB61" i="70"/>
  <c r="BA61" i="70"/>
  <c r="AY59" i="70" l="1"/>
  <c r="BB60" i="70"/>
  <c r="AZ60" i="70"/>
  <c r="BA60" i="70"/>
  <c r="AY58" i="70" l="1"/>
  <c r="BA59" i="70"/>
  <c r="BB59" i="70"/>
  <c r="AZ59" i="70"/>
  <c r="AY57" i="70" l="1"/>
  <c r="BA58" i="70"/>
  <c r="BB58" i="70"/>
  <c r="AZ58" i="70"/>
  <c r="AY56" i="70" l="1"/>
  <c r="BB57" i="70"/>
  <c r="BA57" i="70"/>
  <c r="AZ57" i="70"/>
  <c r="AY55" i="70" l="1"/>
  <c r="AZ56" i="70"/>
  <c r="BA56" i="70"/>
  <c r="BB56" i="70"/>
  <c r="AY54" i="70" l="1"/>
  <c r="BB55" i="70"/>
  <c r="BA55" i="70"/>
  <c r="AZ55" i="70"/>
  <c r="AY53" i="70" l="1"/>
  <c r="BB54" i="70"/>
  <c r="AZ54" i="70"/>
  <c r="BA54" i="70"/>
  <c r="AY52" i="70" l="1"/>
  <c r="AZ53" i="70"/>
  <c r="BA53" i="70"/>
  <c r="BB53" i="70"/>
  <c r="AY51" i="70" l="1"/>
  <c r="BB52" i="70"/>
  <c r="AZ52" i="70"/>
  <c r="BA52" i="70"/>
  <c r="AY50" i="70" l="1"/>
  <c r="AZ51" i="70"/>
  <c r="BB51" i="70"/>
  <c r="BA51" i="70"/>
  <c r="AY49" i="70" l="1"/>
  <c r="BA50" i="70"/>
  <c r="BB50" i="70"/>
  <c r="AZ50" i="70"/>
  <c r="AY48" i="70" l="1"/>
  <c r="BA49" i="70"/>
  <c r="AZ49" i="70"/>
  <c r="BB49" i="70"/>
  <c r="AY47" i="70" l="1"/>
  <c r="AZ48" i="70"/>
  <c r="BB48" i="70"/>
  <c r="BA48" i="70"/>
  <c r="AY46" i="70" l="1"/>
  <c r="BB47" i="70"/>
  <c r="BA47" i="70"/>
  <c r="AZ47" i="70"/>
  <c r="AY45" i="70" l="1"/>
  <c r="AZ46" i="70"/>
  <c r="BB46" i="70"/>
  <c r="BA46" i="70"/>
  <c r="AY44" i="70" l="1"/>
  <c r="BA45" i="70"/>
  <c r="AZ45" i="70"/>
  <c r="BB45" i="70"/>
  <c r="AY43" i="70" l="1"/>
  <c r="BA44" i="70"/>
  <c r="AZ44" i="70"/>
  <c r="BB44" i="70"/>
  <c r="AY42" i="70" l="1"/>
  <c r="AZ43" i="70"/>
  <c r="BB43" i="70"/>
  <c r="BA43" i="70"/>
  <c r="AY41" i="70" l="1"/>
  <c r="AZ42" i="70"/>
  <c r="BB42" i="70"/>
  <c r="BA42" i="70"/>
  <c r="AY40" i="70" l="1"/>
  <c r="BB41" i="70"/>
  <c r="AZ41" i="70"/>
  <c r="BA41" i="70"/>
  <c r="AY39" i="70" l="1"/>
  <c r="BB40" i="70"/>
  <c r="BA40" i="70"/>
  <c r="AZ40" i="70"/>
  <c r="AY38" i="70" l="1"/>
  <c r="BB39" i="70"/>
  <c r="AZ39" i="70"/>
  <c r="BA39" i="70"/>
  <c r="AY37" i="70" l="1"/>
  <c r="AZ38" i="70"/>
  <c r="BA38" i="70"/>
  <c r="BB38" i="70"/>
  <c r="AY36" i="70" l="1"/>
  <c r="AZ37" i="70"/>
  <c r="BB37" i="70"/>
  <c r="BA37" i="70"/>
  <c r="AY35" i="70" l="1"/>
  <c r="AZ36" i="70"/>
  <c r="BA36" i="70"/>
  <c r="BB36" i="70"/>
  <c r="AY34" i="70" l="1"/>
  <c r="BB35" i="70"/>
  <c r="BA35" i="70"/>
  <c r="AZ35" i="70"/>
  <c r="AY33" i="70" l="1"/>
  <c r="BB34" i="70"/>
  <c r="AZ34" i="70"/>
  <c r="BA34" i="70"/>
  <c r="AY32" i="70" l="1"/>
  <c r="BB33" i="70"/>
  <c r="AZ33" i="70"/>
  <c r="BA33" i="70"/>
  <c r="AY31" i="70" l="1"/>
  <c r="AZ32" i="70"/>
  <c r="BB32" i="70"/>
  <c r="BA32" i="70"/>
  <c r="AY30" i="70" l="1"/>
  <c r="BA31" i="70"/>
  <c r="AZ31" i="70"/>
  <c r="BB31" i="70"/>
  <c r="AY29" i="70" l="1"/>
  <c r="BA30" i="70"/>
  <c r="BB30" i="70"/>
  <c r="AZ30" i="70"/>
  <c r="AY28" i="70" l="1"/>
  <c r="BA29" i="70"/>
  <c r="BB29" i="70"/>
  <c r="AZ29" i="70"/>
  <c r="AY27" i="70" l="1"/>
  <c r="BB28" i="70"/>
  <c r="AZ28" i="70"/>
  <c r="BA28" i="70"/>
  <c r="AY26" i="70" l="1"/>
  <c r="AZ27" i="70"/>
  <c r="BA27" i="70"/>
  <c r="BB27" i="70"/>
  <c r="AY25" i="70" l="1"/>
  <c r="BA26" i="70"/>
  <c r="BB26" i="70"/>
  <c r="AZ26" i="70"/>
  <c r="AY24" i="70" l="1"/>
  <c r="BA25" i="70"/>
  <c r="BB25" i="70"/>
  <c r="AZ25" i="70"/>
  <c r="AY23" i="70" l="1"/>
  <c r="BA24" i="70"/>
  <c r="AZ24" i="70"/>
  <c r="BB24" i="70"/>
  <c r="AY22" i="70" l="1"/>
  <c r="BA23" i="70"/>
  <c r="AZ23" i="70"/>
  <c r="BB23" i="70"/>
  <c r="AY21" i="70" l="1"/>
  <c r="BB22" i="70"/>
  <c r="AZ22" i="70"/>
  <c r="BA22" i="70"/>
  <c r="AY20" i="70" l="1"/>
  <c r="AZ21" i="70"/>
  <c r="BA21" i="70"/>
  <c r="BB21" i="70"/>
  <c r="AY19" i="70" l="1"/>
  <c r="BA20" i="70"/>
  <c r="BB20" i="70"/>
  <c r="AZ20" i="70"/>
  <c r="AY18" i="70" l="1"/>
  <c r="AZ19" i="70"/>
  <c r="BA19" i="70"/>
  <c r="BB19" i="70"/>
  <c r="AY17" i="70" l="1"/>
  <c r="AZ18" i="70"/>
  <c r="BA18" i="70"/>
  <c r="BB18" i="70"/>
  <c r="AY16" i="70" l="1"/>
  <c r="AZ17" i="70"/>
  <c r="BB17" i="70"/>
  <c r="BA17" i="70"/>
  <c r="AY15" i="70" l="1"/>
  <c r="BA16" i="70"/>
  <c r="AZ16" i="70"/>
  <c r="BB16" i="70"/>
  <c r="AY14" i="70" l="1"/>
  <c r="AZ15" i="70"/>
  <c r="BA15" i="70"/>
  <c r="BB15" i="70"/>
  <c r="AY13" i="70" l="1"/>
  <c r="BB14" i="70"/>
  <c r="BA14" i="70"/>
  <c r="AZ14" i="70"/>
  <c r="AY12" i="70" l="1"/>
  <c r="BB13" i="70"/>
  <c r="AZ13" i="70"/>
  <c r="BA13" i="70"/>
  <c r="AY11" i="70" l="1"/>
  <c r="BA12" i="70"/>
  <c r="AZ12" i="70"/>
  <c r="BB12" i="70"/>
  <c r="AY10" i="70" l="1"/>
  <c r="AZ11" i="70"/>
  <c r="BB11" i="70"/>
  <c r="BA11" i="70"/>
  <c r="AY9" i="70" l="1"/>
  <c r="BB10" i="70"/>
  <c r="AZ10" i="70"/>
  <c r="BA10" i="70"/>
  <c r="AY8" i="70" l="1"/>
  <c r="BB9" i="70"/>
  <c r="BA9" i="70"/>
  <c r="AZ9" i="70"/>
  <c r="AY7" i="70" l="1"/>
  <c r="BA8" i="70"/>
  <c r="AZ8" i="70"/>
  <c r="BB8" i="70"/>
  <c r="AY6" i="70" l="1"/>
  <c r="AZ7" i="70"/>
  <c r="BB7" i="70"/>
  <c r="BA7" i="70"/>
  <c r="AY5" i="70" l="1"/>
  <c r="AZ6" i="70"/>
  <c r="BA6" i="70"/>
  <c r="BB6" i="70"/>
  <c r="AY4" i="70" l="1"/>
  <c r="BB5" i="70"/>
  <c r="BA5" i="70"/>
  <c r="AZ5" i="70"/>
  <c r="AY3" i="70" l="1"/>
  <c r="BB4" i="70"/>
  <c r="AZ4" i="70"/>
  <c r="BA4" i="70"/>
  <c r="AY2" i="70" l="1"/>
  <c r="BB3" i="70"/>
  <c r="BA3" i="70"/>
  <c r="AZ3" i="70"/>
  <c r="BA2" i="70" l="1"/>
  <c r="AZ2" i="70"/>
  <c r="BB2" i="70"/>
  <c r="S65" i="66" l="1"/>
  <c r="S64" i="66"/>
  <c r="O36" i="66"/>
  <c r="AU301" i="70"/>
  <c r="AU300" i="70"/>
  <c r="AU299" i="70"/>
  <c r="AU298" i="70"/>
  <c r="AU297" i="70"/>
  <c r="AU296" i="70"/>
  <c r="AU295" i="70"/>
  <c r="AU294" i="70"/>
  <c r="AU293" i="70"/>
  <c r="F293" i="70"/>
  <c r="AU292" i="70"/>
  <c r="F292" i="70"/>
  <c r="AU291" i="70"/>
  <c r="F291" i="70"/>
  <c r="AU290" i="70"/>
  <c r="F290" i="70"/>
  <c r="AU289" i="70"/>
  <c r="F289" i="70"/>
  <c r="AU288" i="70"/>
  <c r="F288" i="70"/>
  <c r="AU287" i="70"/>
  <c r="F287" i="70"/>
  <c r="AU286" i="70"/>
  <c r="F286" i="70"/>
  <c r="AU285" i="70"/>
  <c r="F285" i="70"/>
  <c r="AU284" i="70"/>
  <c r="F284" i="70"/>
  <c r="AU283" i="70"/>
  <c r="F283" i="70"/>
  <c r="AU282" i="70"/>
  <c r="F282" i="70"/>
  <c r="AU281" i="70"/>
  <c r="F281" i="70"/>
  <c r="AU280" i="70"/>
  <c r="F280" i="70"/>
  <c r="AU279" i="70"/>
  <c r="F279" i="70"/>
  <c r="AU278" i="70"/>
  <c r="F278" i="70"/>
  <c r="AU277" i="70"/>
  <c r="AU276" i="70"/>
  <c r="AU275" i="70"/>
  <c r="F275" i="70"/>
  <c r="AU274" i="70"/>
  <c r="F274" i="70"/>
  <c r="AU273" i="70"/>
  <c r="AU272" i="70"/>
  <c r="AU271" i="70"/>
  <c r="AU270" i="70"/>
  <c r="AU269" i="70"/>
  <c r="F269" i="70"/>
  <c r="AU268" i="70"/>
  <c r="AU267" i="70"/>
  <c r="AU266" i="70"/>
  <c r="AU265" i="70"/>
  <c r="AU264" i="70"/>
  <c r="AU263" i="70"/>
  <c r="AU262" i="70"/>
  <c r="AU261" i="70"/>
  <c r="AU260" i="70"/>
  <c r="F260" i="70"/>
  <c r="AU259" i="70"/>
  <c r="F259" i="70"/>
  <c r="AU258" i="70"/>
  <c r="F258" i="70"/>
  <c r="AU257" i="70"/>
  <c r="F257" i="70"/>
  <c r="AU256" i="70"/>
  <c r="F256" i="70"/>
  <c r="AU255" i="70"/>
  <c r="F255" i="70"/>
  <c r="AU254" i="70"/>
  <c r="F254" i="70"/>
  <c r="AU253" i="70"/>
  <c r="F253" i="70"/>
  <c r="F252" i="70"/>
  <c r="AU251" i="70"/>
  <c r="F251" i="70"/>
  <c r="AU250" i="70"/>
  <c r="F250" i="70"/>
  <c r="AU249" i="70"/>
  <c r="F249" i="70"/>
  <c r="AU248" i="70"/>
  <c r="F248" i="70"/>
  <c r="AU247" i="70"/>
  <c r="F247" i="70"/>
  <c r="AU246" i="70"/>
  <c r="F246" i="70"/>
  <c r="AU245" i="70"/>
  <c r="F245" i="70"/>
  <c r="AU244" i="70"/>
  <c r="F244" i="70"/>
  <c r="AU243" i="70"/>
  <c r="AU242" i="70"/>
  <c r="F242" i="70"/>
  <c r="AU241" i="70"/>
  <c r="AU240" i="70"/>
  <c r="AU239" i="70"/>
  <c r="AU238" i="70"/>
  <c r="AU237" i="70"/>
  <c r="AU236" i="70"/>
  <c r="AU235" i="70"/>
  <c r="AU234" i="70"/>
  <c r="AU233" i="70"/>
  <c r="AU232" i="70"/>
  <c r="AU231" i="70"/>
  <c r="AU230" i="70"/>
  <c r="AU229" i="70"/>
  <c r="AU228" i="70"/>
  <c r="AU227" i="70"/>
  <c r="AU226" i="70"/>
  <c r="AU225" i="70"/>
  <c r="AU224" i="70"/>
  <c r="AU223" i="70"/>
  <c r="F223" i="70"/>
  <c r="AU222" i="70"/>
  <c r="F222" i="70"/>
  <c r="AU221" i="70"/>
  <c r="F221" i="70"/>
  <c r="AU220" i="70"/>
  <c r="F220" i="70"/>
  <c r="AU219" i="70"/>
  <c r="F219" i="70"/>
  <c r="AU218" i="70"/>
  <c r="F218" i="70"/>
  <c r="AU217" i="70"/>
  <c r="F217" i="70"/>
  <c r="AU216" i="70"/>
  <c r="F216" i="70"/>
  <c r="AU215" i="70"/>
  <c r="F215" i="70"/>
  <c r="AU214" i="70"/>
  <c r="F214" i="70"/>
  <c r="AU213" i="70"/>
  <c r="F213" i="70"/>
  <c r="AU212" i="70"/>
  <c r="F212" i="70"/>
  <c r="AU211" i="70"/>
  <c r="F211" i="70"/>
  <c r="AU210" i="70"/>
  <c r="F210" i="70"/>
  <c r="AU209" i="70"/>
  <c r="F209" i="70"/>
  <c r="AU208" i="70"/>
  <c r="F208" i="70"/>
  <c r="AU207" i="70"/>
  <c r="F207" i="70"/>
  <c r="AU206" i="70"/>
  <c r="F206" i="70"/>
  <c r="AU205" i="70"/>
  <c r="F205" i="70"/>
  <c r="AU204" i="70"/>
  <c r="F204" i="70"/>
  <c r="AU203" i="70"/>
  <c r="F203" i="70"/>
  <c r="AU202" i="70"/>
  <c r="F202" i="70"/>
  <c r="AU201" i="70"/>
  <c r="F201" i="70"/>
  <c r="AU200" i="70"/>
  <c r="F200" i="70"/>
  <c r="AU199" i="70"/>
  <c r="F199" i="70"/>
  <c r="AU198" i="70"/>
  <c r="F198" i="70"/>
  <c r="AU197" i="70"/>
  <c r="F197" i="70"/>
  <c r="AU196" i="70"/>
  <c r="F196" i="70"/>
  <c r="AU195" i="70"/>
  <c r="F195" i="70"/>
  <c r="AU194" i="70"/>
  <c r="F194" i="70"/>
  <c r="AU193" i="70"/>
  <c r="F193" i="70"/>
  <c r="AU192" i="70"/>
  <c r="F192" i="70"/>
  <c r="AU191" i="70"/>
  <c r="F191" i="70"/>
  <c r="AU190" i="70"/>
  <c r="F190" i="70"/>
  <c r="AU189" i="70"/>
  <c r="F189" i="70"/>
  <c r="AU188" i="70"/>
  <c r="F188" i="70"/>
  <c r="AU187" i="70"/>
  <c r="F187" i="70"/>
  <c r="AU186" i="70"/>
  <c r="F186" i="70"/>
  <c r="AU185" i="70"/>
  <c r="F185" i="70"/>
  <c r="AU184" i="70"/>
  <c r="F184" i="70"/>
  <c r="AU183" i="70"/>
  <c r="F183" i="70"/>
  <c r="AU182" i="70"/>
  <c r="F182" i="70"/>
  <c r="AU181" i="70"/>
  <c r="F181" i="70"/>
  <c r="AU180" i="70"/>
  <c r="F180" i="70"/>
  <c r="AU179" i="70"/>
  <c r="AU178" i="70"/>
  <c r="AU177" i="70"/>
  <c r="AU176" i="70"/>
  <c r="AU175" i="70"/>
  <c r="AU174" i="70"/>
  <c r="AU173" i="70"/>
  <c r="AU172" i="70"/>
  <c r="AU171" i="70"/>
  <c r="AU170" i="70"/>
  <c r="AU169" i="70"/>
  <c r="AU168" i="70"/>
  <c r="AU167" i="70"/>
  <c r="AU166" i="70"/>
  <c r="AU165" i="70"/>
  <c r="AU164" i="70"/>
  <c r="AU163" i="70"/>
  <c r="AU162" i="70"/>
  <c r="AU161" i="70"/>
  <c r="AU160" i="70"/>
  <c r="AU159" i="70"/>
  <c r="AU158" i="70"/>
  <c r="AU157" i="70"/>
  <c r="AU156" i="70"/>
  <c r="AU155" i="70"/>
  <c r="AU154" i="70"/>
  <c r="AU153" i="70"/>
  <c r="AU152" i="70"/>
  <c r="AU151" i="70"/>
  <c r="AU150" i="70"/>
  <c r="AU149" i="70"/>
  <c r="AU148" i="70"/>
  <c r="AU147" i="70"/>
  <c r="AU146" i="70"/>
  <c r="AU145" i="70"/>
  <c r="AU144" i="70"/>
  <c r="AU143" i="70"/>
  <c r="AU142" i="70"/>
  <c r="AU141" i="70"/>
  <c r="AU140" i="70"/>
  <c r="AU139" i="70"/>
  <c r="AU138" i="70"/>
  <c r="AU137" i="70"/>
  <c r="AU136" i="70"/>
  <c r="AU135" i="70"/>
  <c r="AU134" i="70"/>
  <c r="AU133" i="70"/>
  <c r="AU132" i="70"/>
  <c r="AU131" i="70"/>
  <c r="AU130" i="70"/>
  <c r="AU129" i="70"/>
  <c r="AU128" i="70"/>
  <c r="AU127" i="70"/>
  <c r="AU126" i="70"/>
  <c r="AU125" i="70"/>
  <c r="AU124" i="70"/>
  <c r="AU123" i="70"/>
  <c r="AU122" i="70"/>
  <c r="AU121" i="70"/>
  <c r="AU120" i="70"/>
  <c r="AU119" i="70"/>
  <c r="AU118" i="70"/>
  <c r="AU117" i="70"/>
  <c r="AU116" i="70"/>
  <c r="AU115" i="70"/>
  <c r="AU114" i="70"/>
  <c r="AU113" i="70"/>
  <c r="AU112" i="70"/>
  <c r="AU111" i="70"/>
  <c r="AU110" i="70"/>
  <c r="AU109" i="70"/>
  <c r="AU108" i="70"/>
  <c r="AU107" i="70"/>
  <c r="AU106" i="70"/>
  <c r="AU105" i="70"/>
  <c r="AU104" i="70"/>
  <c r="AU103" i="70"/>
  <c r="AU102" i="70"/>
  <c r="AU101" i="70"/>
  <c r="AU100" i="70"/>
  <c r="AU99" i="70"/>
  <c r="AU98" i="70"/>
  <c r="AU97" i="70"/>
  <c r="AU96" i="70"/>
  <c r="AU95" i="70"/>
  <c r="AU94" i="70"/>
  <c r="AU93" i="70"/>
  <c r="AU92" i="70"/>
  <c r="AU91" i="70"/>
  <c r="AU90" i="70"/>
  <c r="AU89" i="70"/>
  <c r="AU88" i="70"/>
  <c r="AU87" i="70"/>
  <c r="AU86" i="70"/>
  <c r="AU85" i="70"/>
  <c r="AU84" i="70"/>
  <c r="AU83" i="70"/>
  <c r="AU82" i="70"/>
  <c r="AU81" i="70"/>
  <c r="AU80" i="70"/>
  <c r="AU79" i="70"/>
  <c r="AU78" i="70"/>
  <c r="AU77" i="70"/>
  <c r="AU76" i="70"/>
  <c r="AU75" i="70"/>
  <c r="AU74" i="70"/>
  <c r="AU73" i="70"/>
  <c r="AU72" i="70"/>
  <c r="AU71" i="70"/>
  <c r="AU70" i="70"/>
  <c r="AU69" i="70"/>
  <c r="AU68" i="70"/>
  <c r="AU67" i="70"/>
  <c r="AU66" i="70"/>
  <c r="AU65" i="70"/>
  <c r="AU64" i="70"/>
  <c r="AU63" i="70"/>
  <c r="AU62" i="70"/>
  <c r="AU61" i="70"/>
  <c r="AU60" i="70"/>
  <c r="AU59" i="70"/>
  <c r="AU58" i="70"/>
  <c r="AU57" i="70"/>
  <c r="AU56" i="70"/>
  <c r="AU55" i="70"/>
  <c r="AU54" i="70"/>
  <c r="AU53" i="70"/>
  <c r="AU52" i="70"/>
  <c r="AU51" i="70"/>
  <c r="AU50" i="70"/>
  <c r="AU49" i="70"/>
  <c r="AU48" i="70"/>
  <c r="AU47" i="70"/>
  <c r="AU46" i="70"/>
  <c r="AU45" i="70"/>
  <c r="AU44" i="70"/>
  <c r="AU43" i="70"/>
  <c r="AU42" i="70"/>
  <c r="AU41" i="70"/>
  <c r="AU40" i="70"/>
  <c r="AU39" i="70"/>
  <c r="AU38" i="70"/>
  <c r="AU37" i="70"/>
  <c r="AU36" i="70"/>
  <c r="AU35" i="70"/>
  <c r="AU34" i="70"/>
  <c r="AU33" i="70"/>
  <c r="AU32" i="70"/>
  <c r="AU31" i="70"/>
  <c r="AU30" i="70"/>
  <c r="AU29" i="70"/>
  <c r="AU28" i="70"/>
  <c r="AU27" i="70"/>
  <c r="AU26" i="70"/>
  <c r="AU25" i="70"/>
  <c r="AU24" i="70"/>
  <c r="AU23" i="70"/>
  <c r="AU22" i="70"/>
  <c r="AU21" i="70"/>
  <c r="AU20" i="70"/>
  <c r="AU19" i="70"/>
  <c r="AU18" i="70"/>
  <c r="AU17" i="70"/>
  <c r="AU16" i="70"/>
  <c r="AU15" i="70"/>
  <c r="AU14" i="70"/>
  <c r="AU13" i="70"/>
  <c r="AU12" i="70"/>
  <c r="AU11" i="70"/>
  <c r="AU10" i="70"/>
  <c r="AU9" i="70"/>
  <c r="AU8" i="70"/>
  <c r="AU7" i="70"/>
  <c r="AU6" i="70"/>
  <c r="AU5" i="70"/>
  <c r="AU4" i="70"/>
  <c r="AU3" i="70"/>
  <c r="AU2" i="70"/>
  <c r="AW1426" i="3"/>
  <c r="BA1426" i="3" s="1"/>
  <c r="AW1425" i="3"/>
  <c r="AW1424" i="3"/>
  <c r="AW1423" i="3"/>
  <c r="AW1422" i="3"/>
  <c r="AW1421" i="3"/>
  <c r="AW1420" i="3"/>
  <c r="AW1419" i="3"/>
  <c r="AW1418" i="3"/>
  <c r="AW1417" i="3"/>
  <c r="F1417" i="3"/>
  <c r="AW1416" i="3"/>
  <c r="F1416" i="3"/>
  <c r="AW1415" i="3"/>
  <c r="F1415" i="3"/>
  <c r="AW1414" i="3"/>
  <c r="F1414" i="3"/>
  <c r="AW1413" i="3"/>
  <c r="F1413" i="3"/>
  <c r="AW1412" i="3"/>
  <c r="F1412" i="3"/>
  <c r="AW1411" i="3"/>
  <c r="F1411" i="3"/>
  <c r="AW1410" i="3"/>
  <c r="F1410" i="3"/>
  <c r="AW1409" i="3"/>
  <c r="U1409" i="3"/>
  <c r="F1409" i="3"/>
  <c r="AW1408" i="3"/>
  <c r="BA1408" i="3" s="1"/>
  <c r="F1408" i="3"/>
  <c r="AW1407" i="3"/>
  <c r="BA1407" i="3" s="1"/>
  <c r="F1407" i="3"/>
  <c r="AW1406" i="3"/>
  <c r="BA1406" i="3" s="1"/>
  <c r="F1406" i="3"/>
  <c r="AW1405" i="3"/>
  <c r="BA1405" i="3" s="1"/>
  <c r="F1405" i="3"/>
  <c r="AW1404" i="3"/>
  <c r="BA1404" i="3" s="1"/>
  <c r="F1404" i="3"/>
  <c r="AW1403" i="3"/>
  <c r="BA1403" i="3" s="1"/>
  <c r="U1403" i="3"/>
  <c r="F1403" i="3"/>
  <c r="AW1402" i="3"/>
  <c r="BA1402" i="3" s="1"/>
  <c r="F1402" i="3"/>
  <c r="AW1401" i="3"/>
  <c r="BA1401" i="3" s="1"/>
  <c r="F1401" i="3"/>
  <c r="AW1400" i="3"/>
  <c r="BA1400" i="3" s="1"/>
  <c r="F1400" i="3"/>
  <c r="AW1399" i="3"/>
  <c r="BA1399" i="3" s="1"/>
  <c r="F1399" i="3"/>
  <c r="AW1398" i="3"/>
  <c r="BA1398" i="3" s="1"/>
  <c r="U1398" i="3"/>
  <c r="F1398" i="3"/>
  <c r="AW1397" i="3"/>
  <c r="F1397" i="3"/>
  <c r="AW1396" i="3"/>
  <c r="F1396" i="3"/>
  <c r="AW1395" i="3"/>
  <c r="BA1395" i="3" s="1"/>
  <c r="U1395" i="3"/>
  <c r="F1395" i="3"/>
  <c r="AW1394" i="3"/>
  <c r="F1394" i="3"/>
  <c r="AW1393" i="3"/>
  <c r="F1393" i="3"/>
  <c r="AW1392" i="3"/>
  <c r="F1392" i="3"/>
  <c r="AW1391" i="3"/>
  <c r="F1391" i="3"/>
  <c r="AW1390" i="3"/>
  <c r="F1390" i="3"/>
  <c r="AW1389" i="3"/>
  <c r="BA1389" i="3" s="1"/>
  <c r="U1389" i="3"/>
  <c r="F1389" i="3"/>
  <c r="AW1388" i="3"/>
  <c r="BA1388" i="3" s="1"/>
  <c r="F1388" i="3"/>
  <c r="AW1387" i="3"/>
  <c r="BA1387" i="3" s="1"/>
  <c r="F1387" i="3"/>
  <c r="AW1386" i="3"/>
  <c r="F1386" i="3"/>
  <c r="AW1385" i="3"/>
  <c r="F1385" i="3"/>
  <c r="AW1384" i="3"/>
  <c r="F1384" i="3"/>
  <c r="AW1383" i="3"/>
  <c r="F1383" i="3"/>
  <c r="AW1382" i="3"/>
  <c r="F1382" i="3"/>
  <c r="AW1381" i="3"/>
  <c r="BA1381" i="3" s="1"/>
  <c r="U1381" i="3"/>
  <c r="F1381" i="3"/>
  <c r="AW1380" i="3"/>
  <c r="BA1380" i="3" s="1"/>
  <c r="U1380" i="3"/>
  <c r="F1380" i="3"/>
  <c r="AW1379" i="3"/>
  <c r="BA1379" i="3" s="1"/>
  <c r="F1379" i="3"/>
  <c r="AW1378" i="3"/>
  <c r="BA1378" i="3" s="1"/>
  <c r="U1378" i="3"/>
  <c r="F1378" i="3"/>
  <c r="AW1377" i="3"/>
  <c r="BA1377" i="3" s="1"/>
  <c r="U1377" i="3"/>
  <c r="F1377" i="3"/>
  <c r="AW1376" i="3"/>
  <c r="BA1376" i="3" s="1"/>
  <c r="F1376" i="3"/>
  <c r="AW1375" i="3"/>
  <c r="BA1375" i="3" s="1"/>
  <c r="U1375" i="3"/>
  <c r="F1375" i="3"/>
  <c r="AW1374" i="3"/>
  <c r="BA1374" i="3" s="1"/>
  <c r="F1374" i="3"/>
  <c r="AW1373" i="3"/>
  <c r="BA1373" i="3" s="1"/>
  <c r="F1373" i="3"/>
  <c r="AW1372" i="3"/>
  <c r="BA1372" i="3" s="1"/>
  <c r="F1372" i="3"/>
  <c r="AW1371" i="3"/>
  <c r="BA1371" i="3" s="1"/>
  <c r="F1371" i="3"/>
  <c r="AW1370" i="3"/>
  <c r="BA1370" i="3" s="1"/>
  <c r="U1370" i="3"/>
  <c r="F1370" i="3"/>
  <c r="AW1369" i="3"/>
  <c r="BA1369" i="3" s="1"/>
  <c r="F1369" i="3"/>
  <c r="AW1368" i="3"/>
  <c r="BA1368" i="3" s="1"/>
  <c r="U1368" i="3"/>
  <c r="F1368" i="3"/>
  <c r="AW1367" i="3"/>
  <c r="F1367" i="3"/>
  <c r="AW1366" i="3"/>
  <c r="BA1366" i="3" s="1"/>
  <c r="U1366" i="3"/>
  <c r="F1366" i="3"/>
  <c r="AW1365" i="3"/>
  <c r="BA1365" i="3" s="1"/>
  <c r="F1365" i="3"/>
  <c r="AW1364" i="3"/>
  <c r="BA1364" i="3" s="1"/>
  <c r="F1364" i="3"/>
  <c r="AW1363" i="3"/>
  <c r="BA1363" i="3" s="1"/>
  <c r="F1363" i="3"/>
  <c r="AW1362" i="3"/>
  <c r="BA1362" i="3" s="1"/>
  <c r="F1362" i="3"/>
  <c r="AW1361" i="3"/>
  <c r="AW1360" i="3"/>
  <c r="F1360" i="3"/>
  <c r="AW1359" i="3"/>
  <c r="F1359" i="3"/>
  <c r="AW1358" i="3"/>
  <c r="F1358" i="3"/>
  <c r="AW1357" i="3"/>
  <c r="F1357" i="3"/>
  <c r="AW1356" i="3"/>
  <c r="F1356" i="3"/>
  <c r="AW1355" i="3"/>
  <c r="F1355" i="3"/>
  <c r="AW1354" i="3"/>
  <c r="BA1354" i="3" s="1"/>
  <c r="U1354" i="3"/>
  <c r="F1354" i="3"/>
  <c r="AW1353" i="3"/>
  <c r="F1353" i="3"/>
  <c r="AW1352" i="3"/>
  <c r="BA1352" i="3" s="1"/>
  <c r="U1352" i="3"/>
  <c r="F1352" i="3"/>
  <c r="AW1351" i="3"/>
  <c r="BA1351" i="3" s="1"/>
  <c r="F1351" i="3"/>
  <c r="AW1350" i="3"/>
  <c r="BA1350" i="3" s="1"/>
  <c r="F1350" i="3"/>
  <c r="AW1349" i="3"/>
  <c r="F1349" i="3"/>
  <c r="AW1348" i="3"/>
  <c r="BA1348" i="3" s="1"/>
  <c r="U1348" i="3"/>
  <c r="F1348" i="3"/>
  <c r="AW1347" i="3"/>
  <c r="BA1347" i="3" s="1"/>
  <c r="F1347" i="3"/>
  <c r="AW1346" i="3"/>
  <c r="BA1346" i="3" s="1"/>
  <c r="F1346" i="3"/>
  <c r="AW1345" i="3"/>
  <c r="BA1345" i="3" s="1"/>
  <c r="F1345" i="3"/>
  <c r="AW1344" i="3"/>
  <c r="BA1344" i="3" s="1"/>
  <c r="F1344" i="3"/>
  <c r="AW1343" i="3"/>
  <c r="BA1343" i="3" s="1"/>
  <c r="U1343" i="3"/>
  <c r="F1343" i="3"/>
  <c r="AW1342" i="3"/>
  <c r="F1342" i="3"/>
  <c r="AW1341" i="3"/>
  <c r="BA1341" i="3" s="1"/>
  <c r="F1341" i="3"/>
  <c r="AW1340" i="3"/>
  <c r="BA1340" i="3" s="1"/>
  <c r="F1340" i="3"/>
  <c r="AW1339" i="3"/>
  <c r="F1339" i="3"/>
  <c r="AW1338" i="3"/>
  <c r="F1338" i="3"/>
  <c r="AW1337" i="3"/>
  <c r="BA1337" i="3" s="1"/>
  <c r="F1337" i="3"/>
  <c r="AW1336" i="3"/>
  <c r="BA1336" i="3" s="1"/>
  <c r="U1336" i="3"/>
  <c r="F1336" i="3"/>
  <c r="AW1335" i="3"/>
  <c r="F1335" i="3"/>
  <c r="AW1334" i="3"/>
  <c r="BA1334" i="3" s="1"/>
  <c r="F1334" i="3"/>
  <c r="AW1333" i="3"/>
  <c r="BA1333" i="3" s="1"/>
  <c r="F1333" i="3"/>
  <c r="AW1332" i="3"/>
  <c r="BA1332" i="3" s="1"/>
  <c r="F1332" i="3"/>
  <c r="AW1331" i="3"/>
  <c r="BA1331" i="3" s="1"/>
  <c r="F1331" i="3"/>
  <c r="AW1330" i="3"/>
  <c r="F1330" i="3"/>
  <c r="AW1329" i="3"/>
  <c r="BA1329" i="3" s="1"/>
  <c r="F1329" i="3"/>
  <c r="AW1328" i="3"/>
  <c r="F1328" i="3"/>
  <c r="AW1327" i="3"/>
  <c r="BA1327" i="3" s="1"/>
  <c r="U1327" i="3"/>
  <c r="F1327" i="3"/>
  <c r="AW1326" i="3"/>
  <c r="BA1326" i="3" s="1"/>
  <c r="U1326" i="3"/>
  <c r="F1326" i="3"/>
  <c r="AW1325" i="3"/>
  <c r="BA1325" i="3" s="1"/>
  <c r="F1325" i="3"/>
  <c r="AW1324" i="3"/>
  <c r="BA1324" i="3" s="1"/>
  <c r="F1324" i="3"/>
  <c r="AW1323" i="3"/>
  <c r="BA1323" i="3" s="1"/>
  <c r="F1323" i="3"/>
  <c r="AW1322" i="3"/>
  <c r="F1322" i="3"/>
  <c r="AW1321" i="3"/>
  <c r="BA1321" i="3" s="1"/>
  <c r="F1321" i="3"/>
  <c r="AW1320" i="3"/>
  <c r="BA1320" i="3" s="1"/>
  <c r="U1320" i="3"/>
  <c r="F1320" i="3"/>
  <c r="AW1319" i="3"/>
  <c r="F1319" i="3"/>
  <c r="AW1318" i="3"/>
  <c r="BA1318" i="3" s="1"/>
  <c r="BD1318" i="3" s="1"/>
  <c r="F1318" i="3"/>
  <c r="AW1317" i="3"/>
  <c r="F1317" i="3"/>
  <c r="AW1316" i="3"/>
  <c r="U1316" i="3"/>
  <c r="F1316" i="3"/>
  <c r="AW1315" i="3"/>
  <c r="U1315" i="3"/>
  <c r="F1315" i="3"/>
  <c r="AW1314" i="3"/>
  <c r="F1314" i="3"/>
  <c r="AW1313" i="3"/>
  <c r="U1313" i="3"/>
  <c r="F1313" i="3"/>
  <c r="AW1312" i="3"/>
  <c r="U1312" i="3"/>
  <c r="F1312" i="3"/>
  <c r="AW1311" i="3"/>
  <c r="BA1311" i="3" s="1"/>
  <c r="U1311" i="3"/>
  <c r="F1311" i="3"/>
  <c r="AW1310" i="3"/>
  <c r="F1310" i="3"/>
  <c r="AW1309" i="3"/>
  <c r="F1309" i="3"/>
  <c r="AW1308" i="3"/>
  <c r="BA1308" i="3" s="1"/>
  <c r="U1308" i="3"/>
  <c r="F1308" i="3"/>
  <c r="AW1307" i="3"/>
  <c r="BA1307" i="3" s="1"/>
  <c r="U1307" i="3"/>
  <c r="F1307" i="3"/>
  <c r="AW1306" i="3"/>
  <c r="U1306" i="3"/>
  <c r="F1306" i="3"/>
  <c r="AW1305" i="3"/>
  <c r="U1305" i="3"/>
  <c r="F1305" i="3"/>
  <c r="AW1304" i="3"/>
  <c r="U1304" i="3"/>
  <c r="F1304" i="3"/>
  <c r="AW1303" i="3"/>
  <c r="BA1303" i="3" s="1"/>
  <c r="F1303" i="3"/>
  <c r="AW1302" i="3"/>
  <c r="U1302" i="3"/>
  <c r="F1302" i="3"/>
  <c r="AW1301" i="3"/>
  <c r="BA1301" i="3" s="1"/>
  <c r="BD1301" i="3" s="1"/>
  <c r="BA1300" i="3" s="1"/>
  <c r="BD1300" i="3" s="1"/>
  <c r="F1301" i="3"/>
  <c r="AW1300" i="3"/>
  <c r="U1300" i="3"/>
  <c r="F1300" i="3"/>
  <c r="AW1299" i="3"/>
  <c r="U1299" i="3"/>
  <c r="F1299" i="3"/>
  <c r="AW1298" i="3"/>
  <c r="U1298" i="3"/>
  <c r="F1298" i="3"/>
  <c r="AW1297" i="3"/>
  <c r="BA1297" i="3" s="1"/>
  <c r="U1297" i="3"/>
  <c r="F1297" i="3"/>
  <c r="AW1296" i="3"/>
  <c r="BA1296" i="3" s="1"/>
  <c r="BD1296" i="3" s="1"/>
  <c r="BA1292" i="3" s="1"/>
  <c r="U1296" i="3"/>
  <c r="F1296" i="3"/>
  <c r="AW1295" i="3"/>
  <c r="U1295" i="3"/>
  <c r="F1295" i="3"/>
  <c r="AW1294" i="3"/>
  <c r="U1294" i="3"/>
  <c r="F1294" i="3"/>
  <c r="AW1293" i="3"/>
  <c r="U1293" i="3"/>
  <c r="F1293" i="3"/>
  <c r="AW1292" i="3"/>
  <c r="U1292" i="3"/>
  <c r="F1292" i="3"/>
  <c r="AW1291" i="3"/>
  <c r="BA1291" i="3" s="1"/>
  <c r="U1291" i="3"/>
  <c r="F1291" i="3"/>
  <c r="AW1290" i="3"/>
  <c r="BA1290" i="3" s="1"/>
  <c r="U1290" i="3"/>
  <c r="F1290" i="3"/>
  <c r="AW1289" i="3"/>
  <c r="BA1289" i="3" s="1"/>
  <c r="U1289" i="3"/>
  <c r="F1289" i="3"/>
  <c r="AW1288" i="3"/>
  <c r="BA1288" i="3" s="1"/>
  <c r="U1288" i="3"/>
  <c r="F1288" i="3"/>
  <c r="AW1287" i="3"/>
  <c r="BA1287" i="3" s="1"/>
  <c r="U1287" i="3"/>
  <c r="F1287" i="3"/>
  <c r="AW1286" i="3"/>
  <c r="BA1286" i="3" s="1"/>
  <c r="U1286" i="3"/>
  <c r="F1286" i="3"/>
  <c r="AW1285" i="3"/>
  <c r="BA1285" i="3" s="1"/>
  <c r="U1285" i="3"/>
  <c r="F1285" i="3"/>
  <c r="AW1284" i="3"/>
  <c r="BA1284" i="3" s="1"/>
  <c r="U1284" i="3"/>
  <c r="F1284" i="3"/>
  <c r="AW1283" i="3"/>
  <c r="BA1283" i="3" s="1"/>
  <c r="U1283" i="3"/>
  <c r="F1283" i="3"/>
  <c r="AW1282" i="3"/>
  <c r="BA1282" i="3" s="1"/>
  <c r="U1282" i="3"/>
  <c r="F1282" i="3"/>
  <c r="AW1281" i="3"/>
  <c r="BA1281" i="3" s="1"/>
  <c r="U1281" i="3"/>
  <c r="F1281" i="3"/>
  <c r="AW1280" i="3"/>
  <c r="BA1280" i="3" s="1"/>
  <c r="U1280" i="3"/>
  <c r="F1280" i="3"/>
  <c r="AW1279" i="3"/>
  <c r="BA1279" i="3" s="1"/>
  <c r="U1279" i="3"/>
  <c r="F1279" i="3"/>
  <c r="AW1278" i="3"/>
  <c r="BA1278" i="3" s="1"/>
  <c r="U1278" i="3"/>
  <c r="F1278" i="3"/>
  <c r="AW1277" i="3"/>
  <c r="BA1277" i="3" s="1"/>
  <c r="U1277" i="3"/>
  <c r="F1277" i="3"/>
  <c r="AW1276" i="3"/>
  <c r="BA1276" i="3" s="1"/>
  <c r="U1276" i="3"/>
  <c r="F1276" i="3"/>
  <c r="AW1275" i="3"/>
  <c r="BA1275" i="3" s="1"/>
  <c r="U1275" i="3"/>
  <c r="F1275" i="3"/>
  <c r="AW1274" i="3"/>
  <c r="BA1274" i="3" s="1"/>
  <c r="F1274" i="3"/>
  <c r="AW1273" i="3"/>
  <c r="BA1273" i="3" s="1"/>
  <c r="U1273" i="3"/>
  <c r="F1273" i="3"/>
  <c r="AW1272" i="3"/>
  <c r="BA1272" i="3" s="1"/>
  <c r="F1272" i="3"/>
  <c r="AW1271" i="3"/>
  <c r="BA1271" i="3" s="1"/>
  <c r="F1271" i="3"/>
  <c r="AW1270" i="3"/>
  <c r="BA1270" i="3" s="1"/>
  <c r="BD1270" i="3" s="1"/>
  <c r="U1270" i="3"/>
  <c r="F1270" i="3"/>
  <c r="AW1269" i="3"/>
  <c r="U1269" i="3"/>
  <c r="F1269" i="3"/>
  <c r="AW1268" i="3"/>
  <c r="U1268" i="3"/>
  <c r="F1268" i="3"/>
  <c r="AW1267" i="3"/>
  <c r="U1267" i="3"/>
  <c r="F1267" i="3"/>
  <c r="AW1266" i="3"/>
  <c r="U1266" i="3"/>
  <c r="F1266" i="3"/>
  <c r="AW1265" i="3"/>
  <c r="U1265" i="3"/>
  <c r="F1265" i="3"/>
  <c r="AW1264" i="3"/>
  <c r="U1264" i="3"/>
  <c r="F1264" i="3"/>
  <c r="AW1263" i="3"/>
  <c r="U1263" i="3"/>
  <c r="F1263" i="3"/>
  <c r="AW1262" i="3"/>
  <c r="U1262" i="3"/>
  <c r="F1262" i="3"/>
  <c r="AW1261" i="3"/>
  <c r="BA1261" i="3" s="1"/>
  <c r="U1261" i="3"/>
  <c r="F1261" i="3"/>
  <c r="AW1260" i="3"/>
  <c r="BA1260" i="3" s="1"/>
  <c r="U1260" i="3"/>
  <c r="F1260" i="3"/>
  <c r="AW1259" i="3"/>
  <c r="BA1259" i="3" s="1"/>
  <c r="U1259" i="3"/>
  <c r="F1259" i="3"/>
  <c r="AW1258" i="3"/>
  <c r="BA1258" i="3" s="1"/>
  <c r="U1258" i="3"/>
  <c r="F1258" i="3"/>
  <c r="AW1257" i="3"/>
  <c r="BA1257" i="3" s="1"/>
  <c r="U1257" i="3"/>
  <c r="F1257" i="3"/>
  <c r="AW1256" i="3"/>
  <c r="BA1256" i="3" s="1"/>
  <c r="U1256" i="3"/>
  <c r="F1256" i="3"/>
  <c r="AW1255" i="3"/>
  <c r="BA1255" i="3" s="1"/>
  <c r="U1255" i="3"/>
  <c r="F1255" i="3"/>
  <c r="AW1254" i="3"/>
  <c r="BA1254" i="3" s="1"/>
  <c r="U1254" i="3"/>
  <c r="F1254" i="3"/>
  <c r="AW1253" i="3"/>
  <c r="BA1253" i="3" s="1"/>
  <c r="U1253" i="3"/>
  <c r="F1253" i="3"/>
  <c r="AW1252" i="3"/>
  <c r="BA1252" i="3" s="1"/>
  <c r="U1252" i="3"/>
  <c r="F1252" i="3"/>
  <c r="AW1251" i="3"/>
  <c r="BA1251" i="3" s="1"/>
  <c r="U1251" i="3"/>
  <c r="F1251" i="3"/>
  <c r="AW1250" i="3"/>
  <c r="BA1250" i="3" s="1"/>
  <c r="U1250" i="3"/>
  <c r="F1250" i="3"/>
  <c r="AW1249" i="3"/>
  <c r="BA1249" i="3" s="1"/>
  <c r="U1249" i="3"/>
  <c r="F1249" i="3"/>
  <c r="AW1248" i="3"/>
  <c r="BA1248" i="3" s="1"/>
  <c r="U1248" i="3"/>
  <c r="F1248" i="3"/>
  <c r="AW1247" i="3"/>
  <c r="BA1247" i="3" s="1"/>
  <c r="U1247" i="3"/>
  <c r="F1247" i="3"/>
  <c r="AW1246" i="3"/>
  <c r="BA1246" i="3" s="1"/>
  <c r="U1246" i="3"/>
  <c r="F1246" i="3"/>
  <c r="AW1245" i="3"/>
  <c r="BA1245" i="3" s="1"/>
  <c r="U1245" i="3"/>
  <c r="F1245" i="3"/>
  <c r="AW1244" i="3"/>
  <c r="BA1244" i="3" s="1"/>
  <c r="U1244" i="3"/>
  <c r="F1244" i="3"/>
  <c r="AW1243" i="3"/>
  <c r="BA1243" i="3" s="1"/>
  <c r="U1243" i="3"/>
  <c r="F1243" i="3"/>
  <c r="AW1242" i="3"/>
  <c r="BA1242" i="3" s="1"/>
  <c r="U1242" i="3"/>
  <c r="F1242" i="3"/>
  <c r="AW1241" i="3"/>
  <c r="BA1241" i="3" s="1"/>
  <c r="U1241" i="3"/>
  <c r="F1241" i="3"/>
  <c r="AW1240" i="3"/>
  <c r="BA1240" i="3" s="1"/>
  <c r="U1240" i="3"/>
  <c r="F1240" i="3"/>
  <c r="AW1239" i="3"/>
  <c r="BA1239" i="3" s="1"/>
  <c r="U1239" i="3"/>
  <c r="F1239" i="3"/>
  <c r="AW1238" i="3"/>
  <c r="BA1238" i="3" s="1"/>
  <c r="U1238" i="3"/>
  <c r="F1238" i="3"/>
  <c r="AW1237" i="3"/>
  <c r="BA1237" i="3" s="1"/>
  <c r="U1237" i="3"/>
  <c r="F1237" i="3"/>
  <c r="AW1236" i="3"/>
  <c r="BA1236" i="3" s="1"/>
  <c r="U1236" i="3"/>
  <c r="F1236" i="3"/>
  <c r="AW1235" i="3"/>
  <c r="BA1235" i="3" s="1"/>
  <c r="U1235" i="3"/>
  <c r="F1235" i="3"/>
  <c r="AW1234" i="3"/>
  <c r="BA1234" i="3" s="1"/>
  <c r="U1234" i="3"/>
  <c r="F1234" i="3"/>
  <c r="AW1233" i="3"/>
  <c r="BA1233" i="3" s="1"/>
  <c r="U1233" i="3"/>
  <c r="F1233" i="3"/>
  <c r="AW1232" i="3"/>
  <c r="BA1232" i="3" s="1"/>
  <c r="U1232" i="3"/>
  <c r="F1232" i="3"/>
  <c r="AW1231" i="3"/>
  <c r="BA1231" i="3" s="1"/>
  <c r="U1231" i="3"/>
  <c r="F1231" i="3"/>
  <c r="AW1230" i="3"/>
  <c r="BA1230" i="3" s="1"/>
  <c r="U1230" i="3"/>
  <c r="F1230" i="3"/>
  <c r="AW1229" i="3"/>
  <c r="BA1229" i="3" s="1"/>
  <c r="U1229" i="3"/>
  <c r="F1229" i="3"/>
  <c r="AW1228" i="3"/>
  <c r="BA1228" i="3" s="1"/>
  <c r="U1228" i="3"/>
  <c r="F1228" i="3"/>
  <c r="AW1227" i="3"/>
  <c r="BA1227" i="3" s="1"/>
  <c r="U1227" i="3"/>
  <c r="F1227" i="3"/>
  <c r="AW1226" i="3"/>
  <c r="BA1226" i="3" s="1"/>
  <c r="U1226" i="3"/>
  <c r="F1226" i="3"/>
  <c r="AW1225" i="3"/>
  <c r="BA1225" i="3" s="1"/>
  <c r="U1225" i="3"/>
  <c r="F1225" i="3"/>
  <c r="AW1224" i="3"/>
  <c r="BA1224" i="3" s="1"/>
  <c r="F1224" i="3"/>
  <c r="AW1223" i="3"/>
  <c r="BA1223" i="3" s="1"/>
  <c r="F1223" i="3"/>
  <c r="AW1222" i="3"/>
  <c r="F1222" i="3"/>
  <c r="AW1221" i="3"/>
  <c r="BA1221" i="3" s="1"/>
  <c r="F1221" i="3"/>
  <c r="AW1220" i="3"/>
  <c r="BA1220" i="3" s="1"/>
  <c r="F1220" i="3"/>
  <c r="AW1219" i="3"/>
  <c r="F1219" i="3"/>
  <c r="AW1218" i="3"/>
  <c r="F1218" i="3"/>
  <c r="AW1217" i="3"/>
  <c r="BA1217" i="3" s="1"/>
  <c r="F1217" i="3"/>
  <c r="AW1216" i="3"/>
  <c r="BA1216" i="3" s="1"/>
  <c r="F1216" i="3"/>
  <c r="AW1215" i="3"/>
  <c r="BA1215" i="3" s="1"/>
  <c r="F1215" i="3"/>
  <c r="AW1214" i="3"/>
  <c r="BA1214" i="3" s="1"/>
  <c r="F1214" i="3"/>
  <c r="AW1213" i="3"/>
  <c r="BA1213" i="3" s="1"/>
  <c r="F1213" i="3"/>
  <c r="AW1212" i="3"/>
  <c r="BA1212" i="3" s="1"/>
  <c r="BD1212" i="3" s="1"/>
  <c r="F1212" i="3"/>
  <c r="AW1211" i="3"/>
  <c r="BA1211" i="3" s="1"/>
  <c r="F1211" i="3"/>
  <c r="AW1210" i="3"/>
  <c r="BA1210" i="3" s="1"/>
  <c r="F1210" i="3"/>
  <c r="AW1209" i="3"/>
  <c r="BA1209" i="3" s="1"/>
  <c r="F1209" i="3"/>
  <c r="AW1208" i="3"/>
  <c r="BA1208" i="3" s="1"/>
  <c r="F1208" i="3"/>
  <c r="AW1207" i="3"/>
  <c r="BA1207" i="3" s="1"/>
  <c r="AW1206" i="3"/>
  <c r="BA1206" i="3" s="1"/>
  <c r="F1206" i="3"/>
  <c r="AW1205" i="3"/>
  <c r="BA1205" i="3" s="1"/>
  <c r="F1205" i="3"/>
  <c r="AW1204" i="3"/>
  <c r="F1204" i="3"/>
  <c r="AW1203" i="3"/>
  <c r="F1203" i="3"/>
  <c r="AW1202" i="3"/>
  <c r="BA1202" i="3" s="1"/>
  <c r="F1202" i="3"/>
  <c r="AW1201" i="3"/>
  <c r="BA1201" i="3" s="1"/>
  <c r="F1201" i="3"/>
  <c r="AW1200" i="3"/>
  <c r="BA1200" i="3" s="1"/>
  <c r="F1200" i="3"/>
  <c r="AW1199" i="3"/>
  <c r="F1199" i="3"/>
  <c r="AW1198" i="3"/>
  <c r="BA1198" i="3" s="1"/>
  <c r="BD1198" i="3" s="1"/>
  <c r="BA1302" i="3" s="1"/>
  <c r="F1198" i="3"/>
  <c r="AW1197" i="3"/>
  <c r="F1197" i="3"/>
  <c r="AW1196" i="3"/>
  <c r="BA1196" i="3" s="1"/>
  <c r="F1196" i="3"/>
  <c r="AW1195" i="3"/>
  <c r="F1195" i="3"/>
  <c r="AW1194" i="3"/>
  <c r="BA1194" i="3" s="1"/>
  <c r="F1194" i="3"/>
  <c r="AW1193" i="3"/>
  <c r="F1193" i="3"/>
  <c r="AW1192" i="3"/>
  <c r="BA1192" i="3" s="1"/>
  <c r="BD1192" i="3" s="1"/>
  <c r="BA1315" i="3" s="1"/>
  <c r="BD1315" i="3" s="1"/>
  <c r="BA1147" i="3" s="1"/>
  <c r="BD1147" i="3" s="1"/>
  <c r="BA1188" i="3" s="1"/>
  <c r="BD1188" i="3" s="1"/>
  <c r="BA1294" i="3" s="1"/>
  <c r="BD1294" i="3" s="1"/>
  <c r="BA1269" i="3" s="1"/>
  <c r="F1192" i="3"/>
  <c r="AW1191" i="3"/>
  <c r="F1191" i="3"/>
  <c r="AW1190" i="3"/>
  <c r="F1190" i="3"/>
  <c r="AW1189" i="3"/>
  <c r="BA1189" i="3" s="1"/>
  <c r="BD1189" i="3" s="1"/>
  <c r="BA1293" i="3" s="1"/>
  <c r="F1189" i="3"/>
  <c r="AW1188" i="3"/>
  <c r="F1188" i="3"/>
  <c r="AW1187" i="3"/>
  <c r="BA1187" i="3" s="1"/>
  <c r="F1187" i="3"/>
  <c r="AW1186" i="3"/>
  <c r="BA1186" i="3" s="1"/>
  <c r="F1186" i="3"/>
  <c r="AW1185" i="3"/>
  <c r="BA1185" i="3" s="1"/>
  <c r="F1185" i="3"/>
  <c r="AW1184" i="3"/>
  <c r="BA1184" i="3" s="1"/>
  <c r="F1184" i="3"/>
  <c r="AW1183" i="3"/>
  <c r="BA1183" i="3" s="1"/>
  <c r="F1183" i="3"/>
  <c r="AW1182" i="3"/>
  <c r="BA1182" i="3" s="1"/>
  <c r="F1182" i="3"/>
  <c r="AW1181" i="3"/>
  <c r="BA1181" i="3" s="1"/>
  <c r="F1181" i="3"/>
  <c r="AW1180" i="3"/>
  <c r="BA1180" i="3" s="1"/>
  <c r="F1180" i="3"/>
  <c r="AW1179" i="3"/>
  <c r="BA1179" i="3" s="1"/>
  <c r="F1179" i="3"/>
  <c r="AW1178" i="3"/>
  <c r="BA1178" i="3" s="1"/>
  <c r="F1178" i="3"/>
  <c r="AW1177" i="3"/>
  <c r="BA1177" i="3" s="1"/>
  <c r="F1177" i="3"/>
  <c r="AW1176" i="3"/>
  <c r="BA1176" i="3" s="1"/>
  <c r="BD1176" i="3" s="1"/>
  <c r="F1176" i="3"/>
  <c r="AW1175" i="3"/>
  <c r="F1175" i="3"/>
  <c r="AW1174" i="3"/>
  <c r="BA1174" i="3" s="1"/>
  <c r="F1174" i="3"/>
  <c r="AW1173" i="3"/>
  <c r="F1173" i="3"/>
  <c r="AW1172" i="3"/>
  <c r="F1172" i="3"/>
  <c r="AW1171" i="3"/>
  <c r="BA1171" i="3" s="1"/>
  <c r="F1171" i="3"/>
  <c r="AW1170" i="3"/>
  <c r="BA1170" i="3" s="1"/>
  <c r="F1170" i="3"/>
  <c r="AW1169" i="3"/>
  <c r="BA1169" i="3" s="1"/>
  <c r="F1169" i="3"/>
  <c r="AW1168" i="3"/>
  <c r="BA1168" i="3" s="1"/>
  <c r="F1168" i="3"/>
  <c r="AW1167" i="3"/>
  <c r="BA1167" i="3" s="1"/>
  <c r="F1167" i="3"/>
  <c r="AW1166" i="3"/>
  <c r="BA1166" i="3" s="1"/>
  <c r="F1166" i="3"/>
  <c r="AW1165" i="3"/>
  <c r="BA1165" i="3" s="1"/>
  <c r="F1165" i="3"/>
  <c r="AW1164" i="3"/>
  <c r="BA1164" i="3" s="1"/>
  <c r="F1164" i="3"/>
  <c r="AW1163" i="3"/>
  <c r="BA1163" i="3" s="1"/>
  <c r="F1163" i="3"/>
  <c r="AW1162" i="3"/>
  <c r="BA1162" i="3" s="1"/>
  <c r="F1162" i="3"/>
  <c r="AW1161" i="3"/>
  <c r="BA1161" i="3" s="1"/>
  <c r="F1161" i="3"/>
  <c r="AW1160" i="3"/>
  <c r="BA1160" i="3" s="1"/>
  <c r="F1160" i="3"/>
  <c r="AW1159" i="3"/>
  <c r="BA1159" i="3" s="1"/>
  <c r="F1159" i="3"/>
  <c r="AW1158" i="3"/>
  <c r="BA1158" i="3" s="1"/>
  <c r="F1158" i="3"/>
  <c r="AW1157" i="3"/>
  <c r="BA1157" i="3" s="1"/>
  <c r="F1157" i="3"/>
  <c r="AW1156" i="3"/>
  <c r="BA1156" i="3" s="1"/>
  <c r="F1156" i="3"/>
  <c r="AW1155" i="3"/>
  <c r="BA1155" i="3" s="1"/>
  <c r="F1155" i="3"/>
  <c r="AW1154" i="3"/>
  <c r="F1154" i="3"/>
  <c r="AW1153" i="3"/>
  <c r="BA1153" i="3" s="1"/>
  <c r="BD1153" i="3" s="1"/>
  <c r="F1153" i="3"/>
  <c r="AW1152" i="3"/>
  <c r="F1152" i="3"/>
  <c r="AW1151" i="3"/>
  <c r="F1151" i="3"/>
  <c r="AW1150" i="3"/>
  <c r="F1150" i="3"/>
  <c r="AW1149" i="3"/>
  <c r="F1149" i="3"/>
  <c r="AW1148" i="3"/>
  <c r="BA1148" i="3" s="1"/>
  <c r="F1148" i="3"/>
  <c r="AW1147" i="3"/>
  <c r="F1147" i="3"/>
  <c r="AW1146" i="3"/>
  <c r="BA1146" i="3" s="1"/>
  <c r="F1146" i="3"/>
  <c r="AW1145" i="3"/>
  <c r="BA1145" i="3" s="1"/>
  <c r="F1145" i="3"/>
  <c r="AW1144" i="3"/>
  <c r="F1144" i="3"/>
  <c r="AW1143" i="3"/>
  <c r="F1143" i="3"/>
  <c r="AW1142" i="3"/>
  <c r="F1142" i="3"/>
  <c r="AW1141" i="3"/>
  <c r="F1141" i="3"/>
  <c r="AW1140" i="3"/>
  <c r="F1140" i="3"/>
  <c r="AW1139" i="3"/>
  <c r="F1139" i="3"/>
  <c r="AW1138" i="3"/>
  <c r="F1138" i="3"/>
  <c r="AW1137" i="3"/>
  <c r="F1137" i="3"/>
  <c r="AW1136" i="3"/>
  <c r="F1136" i="3"/>
  <c r="AW1135" i="3"/>
  <c r="BA1135" i="3" s="1"/>
  <c r="F1135" i="3"/>
  <c r="AW1134" i="3"/>
  <c r="BA1134" i="3" s="1"/>
  <c r="F1134" i="3"/>
  <c r="AW1133" i="3"/>
  <c r="BA1133" i="3" s="1"/>
  <c r="F1133" i="3"/>
  <c r="AW1132" i="3"/>
  <c r="BA1132" i="3" s="1"/>
  <c r="BD1132" i="3" s="1"/>
  <c r="F1132" i="3"/>
  <c r="AW1131" i="3"/>
  <c r="F1131" i="3"/>
  <c r="AW1130" i="3"/>
  <c r="F1130" i="3"/>
  <c r="AW1129" i="3"/>
  <c r="F1129" i="3"/>
  <c r="AW1128" i="3"/>
  <c r="F1128" i="3"/>
  <c r="AW1127" i="3"/>
  <c r="F1127" i="3"/>
  <c r="AW1126" i="3"/>
  <c r="F1126" i="3"/>
  <c r="AW1125" i="3"/>
  <c r="F1125" i="3"/>
  <c r="AW1124" i="3"/>
  <c r="F1124" i="3"/>
  <c r="AW1123" i="3"/>
  <c r="F1123" i="3"/>
  <c r="AW1122" i="3"/>
  <c r="F1122" i="3"/>
  <c r="AW1121" i="3"/>
  <c r="F1121" i="3"/>
  <c r="AW1120" i="3"/>
  <c r="F1120" i="3"/>
  <c r="AW1119" i="3"/>
  <c r="BA1119" i="3" s="1"/>
  <c r="F1119" i="3"/>
  <c r="AW1118" i="3"/>
  <c r="BA1118" i="3" s="1"/>
  <c r="BD1118" i="3" s="1"/>
  <c r="F1118" i="3"/>
  <c r="AW1117" i="3"/>
  <c r="F1117" i="3"/>
  <c r="AW1116" i="3"/>
  <c r="F1116" i="3"/>
  <c r="AW1115" i="3"/>
  <c r="F1115" i="3"/>
  <c r="AW1114" i="3"/>
  <c r="F1114" i="3"/>
  <c r="AW1113" i="3"/>
  <c r="F1113" i="3"/>
  <c r="AW1112" i="3"/>
  <c r="U1112" i="3"/>
  <c r="F1112" i="3"/>
  <c r="AW1111" i="3"/>
  <c r="F1111" i="3"/>
  <c r="AW1110" i="3"/>
  <c r="F1110" i="3"/>
  <c r="AW1109" i="3"/>
  <c r="F1109" i="3"/>
  <c r="AW1108" i="3"/>
  <c r="F1108" i="3"/>
  <c r="AW1107" i="3"/>
  <c r="F1107" i="3"/>
  <c r="AW1106" i="3"/>
  <c r="F1106" i="3"/>
  <c r="AW1105" i="3"/>
  <c r="BA1105" i="3" s="1"/>
  <c r="BD1105" i="3" s="1"/>
  <c r="F1105" i="3"/>
  <c r="AW1104" i="3"/>
  <c r="F1104" i="3"/>
  <c r="AW1103" i="3"/>
  <c r="F1103" i="3"/>
  <c r="AW1102" i="3"/>
  <c r="F1102" i="3"/>
  <c r="AW1101" i="3"/>
  <c r="F1101" i="3"/>
  <c r="AW1100" i="3"/>
  <c r="BA1100" i="3" s="1"/>
  <c r="BD1100" i="3" s="1"/>
  <c r="F1100" i="3"/>
  <c r="AW1099" i="3"/>
  <c r="F1099" i="3"/>
  <c r="AW1098" i="3"/>
  <c r="F1098" i="3"/>
  <c r="AW1097" i="3"/>
  <c r="F1097" i="3"/>
  <c r="AW1096" i="3"/>
  <c r="BA1096" i="3" s="1"/>
  <c r="F1096" i="3"/>
  <c r="AW1095" i="3"/>
  <c r="F1095" i="3"/>
  <c r="AW1094" i="3"/>
  <c r="BA1094" i="3" s="1"/>
  <c r="F1094" i="3"/>
  <c r="AW1093" i="3"/>
  <c r="BA1093" i="3" s="1"/>
  <c r="F1093" i="3"/>
  <c r="AW1092" i="3"/>
  <c r="BA1092" i="3" s="1"/>
  <c r="F1092" i="3"/>
  <c r="AW1091" i="3"/>
  <c r="BA1091" i="3" s="1"/>
  <c r="F1091" i="3"/>
  <c r="AW1090" i="3"/>
  <c r="BA1090" i="3" s="1"/>
  <c r="F1090" i="3"/>
  <c r="AW1089" i="3"/>
  <c r="BA1089" i="3" s="1"/>
  <c r="BD1089" i="3" s="1"/>
  <c r="F1089" i="3"/>
  <c r="AW1088" i="3"/>
  <c r="F1088" i="3"/>
  <c r="AW1087" i="3"/>
  <c r="F1087" i="3"/>
  <c r="AW1086" i="3"/>
  <c r="F1086" i="3"/>
  <c r="AW1085" i="3"/>
  <c r="F1085" i="3"/>
  <c r="AW1084" i="3"/>
  <c r="F1084" i="3"/>
  <c r="AW1083" i="3"/>
  <c r="F1083" i="3"/>
  <c r="AW1082" i="3"/>
  <c r="F1082" i="3"/>
  <c r="AW1081" i="3"/>
  <c r="F1081" i="3"/>
  <c r="AW1080" i="3"/>
  <c r="BA1080" i="3" s="1"/>
  <c r="BD1080" i="3" s="1"/>
  <c r="F1080" i="3"/>
  <c r="AW1079" i="3"/>
  <c r="F1079" i="3"/>
  <c r="AW1078" i="3"/>
  <c r="F1078" i="3"/>
  <c r="AW1077" i="3"/>
  <c r="F1077" i="3"/>
  <c r="AW1076" i="3"/>
  <c r="F1076" i="3"/>
  <c r="AW1075" i="3"/>
  <c r="BA1075" i="3" s="1"/>
  <c r="BD1075" i="3" s="1"/>
  <c r="F1075" i="3"/>
  <c r="AW1074" i="3"/>
  <c r="F1074" i="3"/>
  <c r="AW1073" i="3"/>
  <c r="BA1073" i="3" s="1"/>
  <c r="BD1073" i="3" s="1"/>
  <c r="BA1305" i="3" s="1"/>
  <c r="BD1305" i="3" s="1"/>
  <c r="BA1071" i="3" s="1"/>
  <c r="BD1071" i="3" s="1"/>
  <c r="BA1306" i="3" s="1"/>
  <c r="BD1306" i="3" s="1"/>
  <c r="BA1101" i="3" s="1"/>
  <c r="BD1101" i="3" s="1"/>
  <c r="BA1104" i="3" s="1"/>
  <c r="BD1104" i="3" s="1"/>
  <c r="BA1064" i="3" s="1"/>
  <c r="BD1064" i="3" s="1"/>
  <c r="F1073" i="3"/>
  <c r="AW1072" i="3"/>
  <c r="F1072" i="3"/>
  <c r="AW1071" i="3"/>
  <c r="F1071" i="3"/>
  <c r="AW1070" i="3"/>
  <c r="BA1070" i="3" s="1"/>
  <c r="F1070" i="3"/>
  <c r="AW1069" i="3"/>
  <c r="BA1069" i="3" s="1"/>
  <c r="F1069" i="3"/>
  <c r="AW1068" i="3"/>
  <c r="F1068" i="3"/>
  <c r="AW1067" i="3"/>
  <c r="BA1067" i="3" s="1"/>
  <c r="BD1067" i="3" s="1"/>
  <c r="BA1061" i="3" s="1"/>
  <c r="F1067" i="3"/>
  <c r="AW1066" i="3"/>
  <c r="F1066" i="3"/>
  <c r="AW1065" i="3"/>
  <c r="U1065" i="3"/>
  <c r="F1065" i="3"/>
  <c r="AW1064" i="3"/>
  <c r="F1064" i="3"/>
  <c r="AW1063" i="3"/>
  <c r="BA1063" i="3" s="1"/>
  <c r="F1063" i="3"/>
  <c r="AW1062" i="3"/>
  <c r="BA1062" i="3" s="1"/>
  <c r="F1062" i="3"/>
  <c r="AW1061" i="3"/>
  <c r="F1061" i="3"/>
  <c r="AW1060" i="3"/>
  <c r="BA1060" i="3" s="1"/>
  <c r="F1060" i="3"/>
  <c r="AW1059" i="3"/>
  <c r="BA1059" i="3" s="1"/>
  <c r="F1059" i="3"/>
  <c r="AW1058" i="3"/>
  <c r="BA1058" i="3" s="1"/>
  <c r="BD1058" i="3" s="1"/>
  <c r="BA1051" i="3" s="1"/>
  <c r="F1058" i="3"/>
  <c r="AW1057" i="3"/>
  <c r="F1057" i="3"/>
  <c r="AW1056" i="3"/>
  <c r="F1056" i="3"/>
  <c r="AW1055" i="3"/>
  <c r="F1055" i="3"/>
  <c r="AW1054" i="3"/>
  <c r="F1054" i="3"/>
  <c r="AW1053" i="3"/>
  <c r="F1053" i="3"/>
  <c r="AW1052" i="3"/>
  <c r="F1052" i="3"/>
  <c r="AW1051" i="3"/>
  <c r="F1051" i="3"/>
  <c r="AW1050" i="3"/>
  <c r="BA1050" i="3" s="1"/>
  <c r="BD1050" i="3" s="1"/>
  <c r="BA1043" i="3" s="1"/>
  <c r="F1050" i="3"/>
  <c r="AW1049" i="3"/>
  <c r="F1049" i="3"/>
  <c r="AW1048" i="3"/>
  <c r="F1048" i="3"/>
  <c r="AW1047" i="3"/>
  <c r="F1047" i="3"/>
  <c r="AW1046" i="3"/>
  <c r="F1046" i="3"/>
  <c r="AW1045" i="3"/>
  <c r="F1045" i="3"/>
  <c r="AW1044" i="3"/>
  <c r="F1044" i="3"/>
  <c r="AW1043" i="3"/>
  <c r="F1043" i="3"/>
  <c r="AW1042" i="3"/>
  <c r="F1042" i="3"/>
  <c r="AW1041" i="3"/>
  <c r="BA1041" i="3" s="1"/>
  <c r="F1041" i="3"/>
  <c r="AW1040" i="3"/>
  <c r="BA1040" i="3" s="1"/>
  <c r="F1040" i="3"/>
  <c r="AW1039" i="3"/>
  <c r="BA1039" i="3" s="1"/>
  <c r="F1039" i="3"/>
  <c r="AW1038" i="3"/>
  <c r="BA1038" i="3" s="1"/>
  <c r="F1038" i="3"/>
  <c r="AW1037" i="3"/>
  <c r="BA1037" i="3" s="1"/>
  <c r="U1037" i="3"/>
  <c r="F1037" i="3"/>
  <c r="AW1036" i="3"/>
  <c r="BA1036" i="3" s="1"/>
  <c r="F1036" i="3"/>
  <c r="AW1035" i="3"/>
  <c r="BA1035" i="3" s="1"/>
  <c r="F1035" i="3"/>
  <c r="AW1034" i="3"/>
  <c r="BA1034" i="3" s="1"/>
  <c r="F1034" i="3"/>
  <c r="AW1033" i="3"/>
  <c r="BA1033" i="3" s="1"/>
  <c r="BD1033" i="3" s="1"/>
  <c r="F1033" i="3"/>
  <c r="AW1032" i="3"/>
  <c r="F1032" i="3"/>
  <c r="AW1031" i="3"/>
  <c r="F1031" i="3"/>
  <c r="AW1030" i="3"/>
  <c r="F1030" i="3"/>
  <c r="AW1029" i="3"/>
  <c r="BA1029" i="3" s="1"/>
  <c r="F1029" i="3"/>
  <c r="AW1028" i="3"/>
  <c r="BA1028" i="3" s="1"/>
  <c r="F1028" i="3"/>
  <c r="AW1027" i="3"/>
  <c r="BA1027" i="3" s="1"/>
  <c r="F1027" i="3"/>
  <c r="AW1026" i="3"/>
  <c r="BA1026" i="3" s="1"/>
  <c r="BD1026" i="3" s="1"/>
  <c r="BA1021" i="3" s="1"/>
  <c r="F1026" i="3"/>
  <c r="AW1025" i="3"/>
  <c r="F1025" i="3"/>
  <c r="AW1024" i="3"/>
  <c r="F1024" i="3"/>
  <c r="AW1023" i="3"/>
  <c r="F1023" i="3"/>
  <c r="AW1022" i="3"/>
  <c r="F1022" i="3"/>
  <c r="AW1021" i="3"/>
  <c r="F1021" i="3"/>
  <c r="AW1020" i="3"/>
  <c r="F1020" i="3"/>
  <c r="AW1019" i="3"/>
  <c r="F1019" i="3"/>
  <c r="AW1018" i="3"/>
  <c r="BA1018" i="3" s="1"/>
  <c r="F1018" i="3"/>
  <c r="AW1017" i="3"/>
  <c r="BA1017" i="3" s="1"/>
  <c r="F1017" i="3"/>
  <c r="AW1016" i="3"/>
  <c r="BA1016" i="3" s="1"/>
  <c r="BD1016" i="3" s="1"/>
  <c r="F1016" i="3"/>
  <c r="AW1015" i="3"/>
  <c r="F1015" i="3"/>
  <c r="AW1014" i="3"/>
  <c r="F1014" i="3"/>
  <c r="AW1013" i="3"/>
  <c r="F1013" i="3"/>
  <c r="AW1012" i="3"/>
  <c r="F1012" i="3"/>
  <c r="AW1011" i="3"/>
  <c r="F1011" i="3"/>
  <c r="AW1010" i="3"/>
  <c r="F1010" i="3"/>
  <c r="AW1009" i="3"/>
  <c r="F1009" i="3"/>
  <c r="AW1008" i="3"/>
  <c r="F1008" i="3"/>
  <c r="AW1007" i="3"/>
  <c r="BA1007" i="3" s="1"/>
  <c r="F1007" i="3"/>
  <c r="AW1006" i="3"/>
  <c r="BA1006" i="3" s="1"/>
  <c r="F1006" i="3"/>
  <c r="AW1005" i="3"/>
  <c r="BA1005" i="3" s="1"/>
  <c r="F1005" i="3"/>
  <c r="AW1004" i="3"/>
  <c r="BA1004" i="3" s="1"/>
  <c r="F1004" i="3"/>
  <c r="AW1003" i="3"/>
  <c r="BA1003" i="3" s="1"/>
  <c r="F1003" i="3"/>
  <c r="AW1002" i="3"/>
  <c r="BA1002" i="3" s="1"/>
  <c r="F1002" i="3"/>
  <c r="AW1001" i="3"/>
  <c r="BA1001" i="3" s="1"/>
  <c r="F1001" i="3"/>
  <c r="AW1000" i="3"/>
  <c r="BA1000" i="3" s="1"/>
  <c r="F1000" i="3"/>
  <c r="AW999" i="3"/>
  <c r="BA999" i="3" s="1"/>
  <c r="F999" i="3"/>
  <c r="AW998" i="3"/>
  <c r="BA998" i="3" s="1"/>
  <c r="F998" i="3"/>
  <c r="AW997" i="3"/>
  <c r="BA997" i="3" s="1"/>
  <c r="F997" i="3"/>
  <c r="AW996" i="3"/>
  <c r="BA996" i="3" s="1"/>
  <c r="F996" i="3"/>
  <c r="AW995" i="3"/>
  <c r="BA995" i="3" s="1"/>
  <c r="F995" i="3"/>
  <c r="AW994" i="3"/>
  <c r="BA994" i="3" s="1"/>
  <c r="F994" i="3"/>
  <c r="AW993" i="3"/>
  <c r="BA993" i="3" s="1"/>
  <c r="F993" i="3"/>
  <c r="AW992" i="3"/>
  <c r="BA992" i="3" s="1"/>
  <c r="BD992" i="3" s="1"/>
  <c r="F992" i="3"/>
  <c r="AW991" i="3"/>
  <c r="F991" i="3"/>
  <c r="AW990" i="3"/>
  <c r="F990" i="3"/>
  <c r="AW989" i="3"/>
  <c r="F989" i="3"/>
  <c r="AW988" i="3"/>
  <c r="F988" i="3"/>
  <c r="AW987" i="3"/>
  <c r="F987" i="3"/>
  <c r="AW986" i="3"/>
  <c r="F986" i="3"/>
  <c r="AW985" i="3"/>
  <c r="F985" i="3"/>
  <c r="AW984" i="3"/>
  <c r="BA984" i="3" s="1"/>
  <c r="F984" i="3"/>
  <c r="AW983" i="3"/>
  <c r="BA983" i="3" s="1"/>
  <c r="F983" i="3"/>
  <c r="AW982" i="3"/>
  <c r="BA982" i="3" s="1"/>
  <c r="F982" i="3"/>
  <c r="AW981" i="3"/>
  <c r="BA981" i="3" s="1"/>
  <c r="F981" i="3"/>
  <c r="AW980" i="3"/>
  <c r="BA980" i="3" s="1"/>
  <c r="F980" i="3"/>
  <c r="AW979" i="3"/>
  <c r="BA979" i="3" s="1"/>
  <c r="F979" i="3"/>
  <c r="AW978" i="3"/>
  <c r="BA978" i="3" s="1"/>
  <c r="F978" i="3"/>
  <c r="AW977" i="3"/>
  <c r="BA977" i="3" s="1"/>
  <c r="F977" i="3"/>
  <c r="AW976" i="3"/>
  <c r="BA976" i="3" s="1"/>
  <c r="F976" i="3"/>
  <c r="AW975" i="3"/>
  <c r="BA975" i="3" s="1"/>
  <c r="F975" i="3"/>
  <c r="AW974" i="3"/>
  <c r="BA974" i="3" s="1"/>
  <c r="F974" i="3"/>
  <c r="AW973" i="3"/>
  <c r="BA973" i="3" s="1"/>
  <c r="F973" i="3"/>
  <c r="AW972" i="3"/>
  <c r="BA972" i="3" s="1"/>
  <c r="F972" i="3"/>
  <c r="S64" i="122" s="1"/>
  <c r="AW971" i="3"/>
  <c r="BA971" i="3" s="1"/>
  <c r="F971" i="3"/>
  <c r="AW970" i="3"/>
  <c r="BA970" i="3" s="1"/>
  <c r="F970" i="3"/>
  <c r="AW969" i="3"/>
  <c r="BA969" i="3" s="1"/>
  <c r="F969" i="3"/>
  <c r="AW968" i="3"/>
  <c r="BA968" i="3" s="1"/>
  <c r="U968" i="3"/>
  <c r="F968" i="3"/>
  <c r="AW967" i="3"/>
  <c r="BA967" i="3" s="1"/>
  <c r="F967" i="3"/>
  <c r="AW966" i="3"/>
  <c r="BA966" i="3" s="1"/>
  <c r="F966" i="3"/>
  <c r="AW965" i="3"/>
  <c r="BA965" i="3" s="1"/>
  <c r="F965" i="3"/>
  <c r="AW964" i="3"/>
  <c r="BA964" i="3" s="1"/>
  <c r="F964" i="3"/>
  <c r="AW963" i="3"/>
  <c r="BA963" i="3" s="1"/>
  <c r="F963" i="3"/>
  <c r="AW962" i="3"/>
  <c r="BA962" i="3" s="1"/>
  <c r="F962" i="3"/>
  <c r="AW961" i="3"/>
  <c r="BA961" i="3" s="1"/>
  <c r="F961" i="3"/>
  <c r="AW960" i="3"/>
  <c r="BA960" i="3" s="1"/>
  <c r="F960" i="3"/>
  <c r="AW959" i="3"/>
  <c r="BA959" i="3" s="1"/>
  <c r="F959" i="3"/>
  <c r="AW958" i="3"/>
  <c r="BA958" i="3" s="1"/>
  <c r="F958" i="3"/>
  <c r="AW957" i="3"/>
  <c r="BA957" i="3" s="1"/>
  <c r="F957" i="3"/>
  <c r="AW956" i="3"/>
  <c r="BA956" i="3" s="1"/>
  <c r="F956" i="3"/>
  <c r="AW955" i="3"/>
  <c r="BA955" i="3" s="1"/>
  <c r="F955" i="3"/>
  <c r="AW954" i="3"/>
  <c r="BA954" i="3" s="1"/>
  <c r="F954" i="3"/>
  <c r="AW953" i="3"/>
  <c r="BA953" i="3" s="1"/>
  <c r="F953" i="3"/>
  <c r="AW952" i="3"/>
  <c r="BA952" i="3" s="1"/>
  <c r="F952" i="3"/>
  <c r="AW951" i="3"/>
  <c r="BA951" i="3" s="1"/>
  <c r="F951" i="3"/>
  <c r="AW950" i="3"/>
  <c r="BA950" i="3" s="1"/>
  <c r="F950" i="3"/>
  <c r="AW949" i="3"/>
  <c r="BA949" i="3" s="1"/>
  <c r="F949" i="3"/>
  <c r="AW948" i="3"/>
  <c r="BA948" i="3" s="1"/>
  <c r="F948" i="3"/>
  <c r="AW947" i="3"/>
  <c r="BA947" i="3" s="1"/>
  <c r="F947" i="3"/>
  <c r="AW946" i="3"/>
  <c r="BA946" i="3" s="1"/>
  <c r="F946" i="3"/>
  <c r="AW945" i="3"/>
  <c r="BA945" i="3" s="1"/>
  <c r="F945" i="3"/>
  <c r="AW944" i="3"/>
  <c r="BA944" i="3" s="1"/>
  <c r="F944" i="3"/>
  <c r="AW943" i="3"/>
  <c r="BA943" i="3" s="1"/>
  <c r="F943" i="3"/>
  <c r="AW942" i="3"/>
  <c r="BA942" i="3" s="1"/>
  <c r="F942" i="3"/>
  <c r="AW941" i="3"/>
  <c r="BA941" i="3" s="1"/>
  <c r="F941" i="3"/>
  <c r="AW940" i="3"/>
  <c r="BA940" i="3" s="1"/>
  <c r="F940" i="3"/>
  <c r="AW939" i="3"/>
  <c r="BA939" i="3" s="1"/>
  <c r="F939" i="3"/>
  <c r="AW938" i="3"/>
  <c r="BA938" i="3" s="1"/>
  <c r="F938" i="3"/>
  <c r="AW937" i="3"/>
  <c r="BA937" i="3" s="1"/>
  <c r="F937" i="3"/>
  <c r="AW936" i="3"/>
  <c r="BA936" i="3" s="1"/>
  <c r="F936" i="3"/>
  <c r="AW935" i="3"/>
  <c r="BA935" i="3" s="1"/>
  <c r="F935" i="3"/>
  <c r="AW934" i="3"/>
  <c r="BA934" i="3" s="1"/>
  <c r="F934" i="3"/>
  <c r="AW933" i="3"/>
  <c r="BA933" i="3" s="1"/>
  <c r="F933" i="3"/>
  <c r="AW932" i="3"/>
  <c r="BA932" i="3" s="1"/>
  <c r="F932" i="3"/>
  <c r="AW931" i="3"/>
  <c r="BA931" i="3" s="1"/>
  <c r="F931" i="3"/>
  <c r="AW930" i="3"/>
  <c r="BA930" i="3" s="1"/>
  <c r="F930" i="3"/>
  <c r="AW929" i="3"/>
  <c r="BA929" i="3" s="1"/>
  <c r="F929" i="3"/>
  <c r="AW928" i="3"/>
  <c r="BA928" i="3" s="1"/>
  <c r="F928" i="3"/>
  <c r="AW927" i="3"/>
  <c r="BA927" i="3" s="1"/>
  <c r="F927" i="3"/>
  <c r="AW926" i="3"/>
  <c r="BA926" i="3" s="1"/>
  <c r="F926" i="3"/>
  <c r="AW925" i="3"/>
  <c r="BA925" i="3" s="1"/>
  <c r="F925" i="3"/>
  <c r="AW924" i="3"/>
  <c r="BA924" i="3" s="1"/>
  <c r="F924" i="3"/>
  <c r="AW923" i="3"/>
  <c r="BA923" i="3" s="1"/>
  <c r="F923" i="3"/>
  <c r="AW922" i="3"/>
  <c r="BA922" i="3" s="1"/>
  <c r="F922" i="3"/>
  <c r="AW921" i="3"/>
  <c r="BA921" i="3" s="1"/>
  <c r="F921" i="3"/>
  <c r="AW920" i="3"/>
  <c r="BA920" i="3" s="1"/>
  <c r="F920" i="3"/>
  <c r="AW919" i="3"/>
  <c r="BA919" i="3" s="1"/>
  <c r="F919" i="3"/>
  <c r="AW918" i="3"/>
  <c r="BA918" i="3" s="1"/>
  <c r="F918" i="3"/>
  <c r="AW917" i="3"/>
  <c r="BA917" i="3" s="1"/>
  <c r="F917" i="3"/>
  <c r="AW916" i="3"/>
  <c r="BA916" i="3" s="1"/>
  <c r="F916" i="3"/>
  <c r="AW915" i="3"/>
  <c r="BA915" i="3" s="1"/>
  <c r="F915" i="3"/>
  <c r="AW914" i="3"/>
  <c r="BA914" i="3" s="1"/>
  <c r="F914" i="3"/>
  <c r="AW913" i="3"/>
  <c r="BA913" i="3" s="1"/>
  <c r="AW912" i="3"/>
  <c r="BA912" i="3" s="1"/>
  <c r="F912" i="3"/>
  <c r="AW911" i="3"/>
  <c r="BA911" i="3" s="1"/>
  <c r="U911" i="3"/>
  <c r="F911" i="3"/>
  <c r="AW910" i="3"/>
  <c r="BA910" i="3" s="1"/>
  <c r="F910" i="3"/>
  <c r="AW909" i="3"/>
  <c r="BA909" i="3" s="1"/>
  <c r="F909" i="3"/>
  <c r="AW908" i="3"/>
  <c r="BA908" i="3" s="1"/>
  <c r="F908" i="3"/>
  <c r="AW907" i="3"/>
  <c r="BA907" i="3" s="1"/>
  <c r="F907" i="3"/>
  <c r="AW906" i="3"/>
  <c r="BA906" i="3" s="1"/>
  <c r="F906" i="3"/>
  <c r="AW905" i="3"/>
  <c r="BA905" i="3" s="1"/>
  <c r="F905" i="3"/>
  <c r="AW904" i="3"/>
  <c r="BA904" i="3" s="1"/>
  <c r="F904" i="3"/>
  <c r="AW903" i="3"/>
  <c r="BA903" i="3" s="1"/>
  <c r="F903" i="3"/>
  <c r="AW902" i="3"/>
  <c r="BA902" i="3" s="1"/>
  <c r="F902" i="3"/>
  <c r="AW901" i="3"/>
  <c r="BA901" i="3" s="1"/>
  <c r="F901" i="3"/>
  <c r="AW900" i="3"/>
  <c r="BA900" i="3" s="1"/>
  <c r="F900" i="3"/>
  <c r="AW899" i="3"/>
  <c r="BA899" i="3" s="1"/>
  <c r="F899" i="3"/>
  <c r="AW898" i="3"/>
  <c r="BA898" i="3" s="1"/>
  <c r="F898" i="3"/>
  <c r="AW897" i="3"/>
  <c r="BA897" i="3" s="1"/>
  <c r="F897" i="3"/>
  <c r="AW896" i="3"/>
  <c r="BA896" i="3" s="1"/>
  <c r="F896" i="3"/>
  <c r="AW895" i="3"/>
  <c r="BA895" i="3" s="1"/>
  <c r="F895" i="3"/>
  <c r="AW894" i="3"/>
  <c r="BA894" i="3" s="1"/>
  <c r="F894" i="3"/>
  <c r="AW893" i="3"/>
  <c r="BA893" i="3" s="1"/>
  <c r="F893" i="3"/>
  <c r="AW892" i="3"/>
  <c r="BA892" i="3" s="1"/>
  <c r="F892" i="3"/>
  <c r="AW891" i="3"/>
  <c r="BA891" i="3" s="1"/>
  <c r="F891" i="3"/>
  <c r="AW890" i="3"/>
  <c r="BA890" i="3" s="1"/>
  <c r="F890" i="3"/>
  <c r="AW889" i="3"/>
  <c r="BA889" i="3" s="1"/>
  <c r="F889" i="3"/>
  <c r="AW888" i="3"/>
  <c r="BA888" i="3" s="1"/>
  <c r="F888" i="3"/>
  <c r="AW887" i="3"/>
  <c r="BA887" i="3" s="1"/>
  <c r="F887" i="3"/>
  <c r="AW886" i="3"/>
  <c r="BA886" i="3" s="1"/>
  <c r="F886" i="3"/>
  <c r="AW885" i="3"/>
  <c r="BA885" i="3" s="1"/>
  <c r="F885" i="3"/>
  <c r="AW884" i="3"/>
  <c r="BA884" i="3" s="1"/>
  <c r="F884" i="3"/>
  <c r="AW883" i="3"/>
  <c r="BA883" i="3" s="1"/>
  <c r="F883" i="3"/>
  <c r="AW882" i="3"/>
  <c r="BA882" i="3" s="1"/>
  <c r="F882" i="3"/>
  <c r="AW881" i="3"/>
  <c r="BA881" i="3" s="1"/>
  <c r="F881" i="3"/>
  <c r="AW880" i="3"/>
  <c r="BA880" i="3" s="1"/>
  <c r="F880" i="3"/>
  <c r="AW879" i="3"/>
  <c r="BA879" i="3" s="1"/>
  <c r="F879" i="3"/>
  <c r="AW878" i="3"/>
  <c r="BA878" i="3" s="1"/>
  <c r="F878" i="3"/>
  <c r="AW877" i="3"/>
  <c r="BA877" i="3" s="1"/>
  <c r="F877" i="3"/>
  <c r="AW876" i="3"/>
  <c r="BA876" i="3" s="1"/>
  <c r="F876" i="3"/>
  <c r="AW875" i="3"/>
  <c r="BA875" i="3" s="1"/>
  <c r="F875" i="3"/>
  <c r="AW874" i="3"/>
  <c r="BA874" i="3" s="1"/>
  <c r="F874" i="3"/>
  <c r="AW873" i="3"/>
  <c r="BA873" i="3" s="1"/>
  <c r="F873" i="3"/>
  <c r="AW872" i="3"/>
  <c r="BA872" i="3" s="1"/>
  <c r="F872" i="3"/>
  <c r="AW871" i="3"/>
  <c r="BA871" i="3" s="1"/>
  <c r="F871" i="3"/>
  <c r="AW870" i="3"/>
  <c r="BA870" i="3" s="1"/>
  <c r="F870" i="3"/>
  <c r="AW869" i="3"/>
  <c r="BA869" i="3" s="1"/>
  <c r="F869" i="3"/>
  <c r="AW868" i="3"/>
  <c r="BA868" i="3" s="1"/>
  <c r="F868" i="3"/>
  <c r="AW867" i="3"/>
  <c r="BA867" i="3" s="1"/>
  <c r="F867" i="3"/>
  <c r="AW866" i="3"/>
  <c r="BA866" i="3" s="1"/>
  <c r="F866" i="3"/>
  <c r="AW865" i="3"/>
  <c r="BA865" i="3" s="1"/>
  <c r="F865" i="3"/>
  <c r="AW864" i="3"/>
  <c r="BA864" i="3" s="1"/>
  <c r="F864" i="3"/>
  <c r="AW863" i="3"/>
  <c r="BA863" i="3" s="1"/>
  <c r="F863" i="3"/>
  <c r="AW862" i="3"/>
  <c r="BA862" i="3" s="1"/>
  <c r="F862" i="3"/>
  <c r="AW861" i="3"/>
  <c r="BA861" i="3" s="1"/>
  <c r="F861" i="3"/>
  <c r="AW860" i="3"/>
  <c r="BA860" i="3" s="1"/>
  <c r="F860" i="3"/>
  <c r="AW859" i="3"/>
  <c r="BA859" i="3" s="1"/>
  <c r="F859" i="3"/>
  <c r="AW858" i="3"/>
  <c r="BA858" i="3" s="1"/>
  <c r="F858" i="3"/>
  <c r="AW857" i="3"/>
  <c r="BA857" i="3" s="1"/>
  <c r="F857" i="3"/>
  <c r="AW856" i="3"/>
  <c r="BA856" i="3" s="1"/>
  <c r="F856" i="3"/>
  <c r="AW855" i="3"/>
  <c r="BA855" i="3" s="1"/>
  <c r="F855" i="3"/>
  <c r="AW854" i="3"/>
  <c r="BA854" i="3" s="1"/>
  <c r="F854" i="3"/>
  <c r="AW853" i="3"/>
  <c r="BA853" i="3" s="1"/>
  <c r="F853" i="3"/>
  <c r="AW852" i="3"/>
  <c r="BA852" i="3" s="1"/>
  <c r="F852" i="3"/>
  <c r="AW851" i="3"/>
  <c r="BA851" i="3" s="1"/>
  <c r="F851" i="3"/>
  <c r="AW850" i="3"/>
  <c r="BA850" i="3" s="1"/>
  <c r="F850" i="3"/>
  <c r="AW849" i="3"/>
  <c r="BA849" i="3" s="1"/>
  <c r="F849" i="3"/>
  <c r="AW848" i="3"/>
  <c r="BA848" i="3" s="1"/>
  <c r="F848" i="3"/>
  <c r="AW847" i="3"/>
  <c r="BA847" i="3" s="1"/>
  <c r="F847" i="3"/>
  <c r="AW846" i="3"/>
  <c r="BA846" i="3" s="1"/>
  <c r="F846" i="3"/>
  <c r="AW845" i="3"/>
  <c r="BA845" i="3" s="1"/>
  <c r="F845" i="3"/>
  <c r="AW844" i="3"/>
  <c r="BA844" i="3" s="1"/>
  <c r="F844" i="3"/>
  <c r="AW843" i="3"/>
  <c r="BA843" i="3" s="1"/>
  <c r="F843" i="3"/>
  <c r="AW842" i="3"/>
  <c r="BA842" i="3" s="1"/>
  <c r="F842" i="3"/>
  <c r="AW841" i="3"/>
  <c r="BA841" i="3" s="1"/>
  <c r="U841" i="3"/>
  <c r="F841" i="3"/>
  <c r="AW840" i="3"/>
  <c r="BA840" i="3" s="1"/>
  <c r="F840" i="3"/>
  <c r="AW839" i="3"/>
  <c r="BA839" i="3" s="1"/>
  <c r="F839" i="3"/>
  <c r="AW838" i="3"/>
  <c r="BA838" i="3" s="1"/>
  <c r="F838" i="3"/>
  <c r="AW837" i="3"/>
  <c r="BA837" i="3" s="1"/>
  <c r="F837" i="3"/>
  <c r="AW836" i="3"/>
  <c r="BA836" i="3" s="1"/>
  <c r="F836" i="3"/>
  <c r="AW835" i="3"/>
  <c r="BA835" i="3" s="1"/>
  <c r="F835" i="3"/>
  <c r="AW834" i="3"/>
  <c r="BA834" i="3" s="1"/>
  <c r="F834" i="3"/>
  <c r="AW833" i="3"/>
  <c r="BA833" i="3" s="1"/>
  <c r="F833" i="3"/>
  <c r="AW832" i="3"/>
  <c r="BA832" i="3" s="1"/>
  <c r="F832" i="3"/>
  <c r="AW831" i="3"/>
  <c r="BA831" i="3" s="1"/>
  <c r="F831" i="3"/>
  <c r="AW830" i="3"/>
  <c r="BA830" i="3" s="1"/>
  <c r="F830" i="3"/>
  <c r="AW829" i="3"/>
  <c r="BA829" i="3" s="1"/>
  <c r="U829" i="3"/>
  <c r="F829" i="3"/>
  <c r="AW828" i="3"/>
  <c r="BA828" i="3" s="1"/>
  <c r="F828" i="3"/>
  <c r="AW827" i="3"/>
  <c r="BA827" i="3" s="1"/>
  <c r="F827" i="3"/>
  <c r="AW826" i="3"/>
  <c r="BA826" i="3" s="1"/>
  <c r="F826" i="3"/>
  <c r="AW825" i="3"/>
  <c r="BA825" i="3" s="1"/>
  <c r="F825" i="3"/>
  <c r="AW824" i="3"/>
  <c r="BA824" i="3" s="1"/>
  <c r="F824" i="3"/>
  <c r="AW823" i="3"/>
  <c r="BA823" i="3" s="1"/>
  <c r="F823" i="3"/>
  <c r="AW822" i="3"/>
  <c r="BA822" i="3" s="1"/>
  <c r="F822" i="3"/>
  <c r="AW821" i="3"/>
  <c r="BA821" i="3" s="1"/>
  <c r="F821" i="3"/>
  <c r="AW820" i="3"/>
  <c r="BA820" i="3" s="1"/>
  <c r="F820" i="3"/>
  <c r="AW819" i="3"/>
  <c r="BA819" i="3" s="1"/>
  <c r="F819" i="3"/>
  <c r="AW818" i="3"/>
  <c r="BA818" i="3" s="1"/>
  <c r="F818" i="3"/>
  <c r="AW817" i="3"/>
  <c r="BA817" i="3" s="1"/>
  <c r="F817" i="3"/>
  <c r="AW816" i="3"/>
  <c r="BA816" i="3" s="1"/>
  <c r="F816" i="3"/>
  <c r="AW815" i="3"/>
  <c r="BA815" i="3" s="1"/>
  <c r="F815" i="3"/>
  <c r="AW814" i="3"/>
  <c r="BA814" i="3" s="1"/>
  <c r="F814" i="3"/>
  <c r="AW813" i="3"/>
  <c r="BA813" i="3" s="1"/>
  <c r="F813" i="3"/>
  <c r="AW812" i="3"/>
  <c r="BA812" i="3" s="1"/>
  <c r="F812" i="3"/>
  <c r="AW811" i="3"/>
  <c r="BA811" i="3" s="1"/>
  <c r="F811" i="3"/>
  <c r="AW810" i="3"/>
  <c r="BA810" i="3" s="1"/>
  <c r="F810" i="3"/>
  <c r="AW809" i="3"/>
  <c r="BA809" i="3" s="1"/>
  <c r="F809" i="3"/>
  <c r="AW808" i="3"/>
  <c r="BA808" i="3" s="1"/>
  <c r="F808" i="3"/>
  <c r="AW807" i="3"/>
  <c r="BA807" i="3" s="1"/>
  <c r="F807" i="3"/>
  <c r="AW806" i="3"/>
  <c r="BA806" i="3" s="1"/>
  <c r="F806" i="3"/>
  <c r="AW805" i="3"/>
  <c r="BA805" i="3" s="1"/>
  <c r="F805" i="3"/>
  <c r="AW804" i="3"/>
  <c r="BA804" i="3" s="1"/>
  <c r="F804" i="3"/>
  <c r="AW803" i="3"/>
  <c r="BA803" i="3" s="1"/>
  <c r="F803" i="3"/>
  <c r="AW802" i="3"/>
  <c r="BA802" i="3" s="1"/>
  <c r="F802" i="3"/>
  <c r="AW801" i="3"/>
  <c r="BA801" i="3" s="1"/>
  <c r="F801" i="3"/>
  <c r="AW800" i="3"/>
  <c r="BA800" i="3" s="1"/>
  <c r="F800" i="3"/>
  <c r="AW799" i="3"/>
  <c r="BA799" i="3" s="1"/>
  <c r="F799" i="3"/>
  <c r="AW798" i="3"/>
  <c r="BA798" i="3" s="1"/>
  <c r="F798" i="3"/>
  <c r="AW797" i="3"/>
  <c r="BA797" i="3" s="1"/>
  <c r="F797" i="3"/>
  <c r="AW796" i="3"/>
  <c r="BA796" i="3" s="1"/>
  <c r="F796" i="3"/>
  <c r="AW795" i="3"/>
  <c r="BA795" i="3" s="1"/>
  <c r="F795" i="3"/>
  <c r="AW794" i="3"/>
  <c r="BA794" i="3" s="1"/>
  <c r="F794" i="3"/>
  <c r="AW793" i="3"/>
  <c r="BA793" i="3" s="1"/>
  <c r="F793" i="3"/>
  <c r="AW792" i="3"/>
  <c r="BA792" i="3" s="1"/>
  <c r="F792" i="3"/>
  <c r="AW791" i="3"/>
  <c r="BA791" i="3" s="1"/>
  <c r="F791" i="3"/>
  <c r="AW790" i="3"/>
  <c r="BA790" i="3" s="1"/>
  <c r="F790" i="3"/>
  <c r="AW789" i="3"/>
  <c r="BA789" i="3" s="1"/>
  <c r="F789" i="3"/>
  <c r="AW788" i="3"/>
  <c r="BA788" i="3" s="1"/>
  <c r="F788" i="3"/>
  <c r="AW787" i="3"/>
  <c r="BA787" i="3" s="1"/>
  <c r="F787" i="3"/>
  <c r="AW786" i="3"/>
  <c r="BA786" i="3" s="1"/>
  <c r="F786" i="3"/>
  <c r="AW785" i="3"/>
  <c r="BA785" i="3" s="1"/>
  <c r="F785" i="3"/>
  <c r="AW784" i="3"/>
  <c r="BA784" i="3" s="1"/>
  <c r="F784" i="3"/>
  <c r="AW783" i="3"/>
  <c r="BA783" i="3" s="1"/>
  <c r="F783" i="3"/>
  <c r="AW782" i="3"/>
  <c r="BA782" i="3" s="1"/>
  <c r="F782" i="3"/>
  <c r="AW781" i="3"/>
  <c r="BA781" i="3" s="1"/>
  <c r="F781" i="3"/>
  <c r="AW780" i="3"/>
  <c r="BA780" i="3" s="1"/>
  <c r="F780" i="3"/>
  <c r="AW779" i="3"/>
  <c r="BA779" i="3" s="1"/>
  <c r="F779" i="3"/>
  <c r="AW778" i="3"/>
  <c r="BA778" i="3" s="1"/>
  <c r="F778" i="3"/>
  <c r="AW777" i="3"/>
  <c r="BA777" i="3" s="1"/>
  <c r="F777" i="3"/>
  <c r="AW776" i="3"/>
  <c r="BA776" i="3" s="1"/>
  <c r="F776" i="3"/>
  <c r="AW775" i="3"/>
  <c r="BA775" i="3" s="1"/>
  <c r="F775" i="3"/>
  <c r="AW774" i="3"/>
  <c r="BA774" i="3" s="1"/>
  <c r="F774" i="3"/>
  <c r="AW773" i="3"/>
  <c r="BA773" i="3" s="1"/>
  <c r="F773" i="3"/>
  <c r="AW772" i="3"/>
  <c r="BA772" i="3" s="1"/>
  <c r="F772" i="3"/>
  <c r="AW771" i="3"/>
  <c r="BA771" i="3" s="1"/>
  <c r="F771" i="3"/>
  <c r="AW770" i="3"/>
  <c r="BA770" i="3" s="1"/>
  <c r="F770" i="3"/>
  <c r="AW769" i="3"/>
  <c r="BA769" i="3" s="1"/>
  <c r="F769" i="3"/>
  <c r="AW768" i="3"/>
  <c r="BA768" i="3" s="1"/>
  <c r="F768" i="3"/>
  <c r="AW767" i="3"/>
  <c r="BA767" i="3" s="1"/>
  <c r="F767" i="3"/>
  <c r="AW766" i="3"/>
  <c r="BA766" i="3" s="1"/>
  <c r="F766" i="3"/>
  <c r="AW765" i="3"/>
  <c r="BA765" i="3" s="1"/>
  <c r="F765" i="3"/>
  <c r="AW764" i="3"/>
  <c r="BA764" i="3" s="1"/>
  <c r="F764" i="3"/>
  <c r="AW763" i="3"/>
  <c r="BA763" i="3" s="1"/>
  <c r="F763" i="3"/>
  <c r="AW762" i="3"/>
  <c r="BA762" i="3" s="1"/>
  <c r="F762" i="3"/>
  <c r="AW761" i="3"/>
  <c r="BA761" i="3" s="1"/>
  <c r="F761" i="3"/>
  <c r="AW760" i="3"/>
  <c r="BA760" i="3" s="1"/>
  <c r="F760" i="3"/>
  <c r="AW759" i="3"/>
  <c r="BA759" i="3" s="1"/>
  <c r="F759" i="3"/>
  <c r="AW758" i="3"/>
  <c r="BA758" i="3" s="1"/>
  <c r="F758" i="3"/>
  <c r="AW757" i="3"/>
  <c r="BA757" i="3" s="1"/>
  <c r="F757" i="3"/>
  <c r="AW756" i="3"/>
  <c r="BA756" i="3" s="1"/>
  <c r="F756" i="3"/>
  <c r="AW755" i="3"/>
  <c r="BA755" i="3" s="1"/>
  <c r="F755" i="3"/>
  <c r="AW754" i="3"/>
  <c r="BA754" i="3" s="1"/>
  <c r="F754" i="3"/>
  <c r="AW753" i="3"/>
  <c r="BA753" i="3" s="1"/>
  <c r="F753" i="3"/>
  <c r="AW752" i="3"/>
  <c r="BA752" i="3" s="1"/>
  <c r="F752" i="3"/>
  <c r="AW751" i="3"/>
  <c r="BA751" i="3" s="1"/>
  <c r="F751" i="3"/>
  <c r="AW750" i="3"/>
  <c r="BA750" i="3" s="1"/>
  <c r="F750" i="3"/>
  <c r="AW749" i="3"/>
  <c r="BA749" i="3" s="1"/>
  <c r="F749" i="3"/>
  <c r="AW748" i="3"/>
  <c r="BA748" i="3" s="1"/>
  <c r="F748" i="3"/>
  <c r="AW747" i="3"/>
  <c r="BA747" i="3" s="1"/>
  <c r="F747" i="3"/>
  <c r="AW746" i="3"/>
  <c r="BA746" i="3" s="1"/>
  <c r="F746" i="3"/>
  <c r="AW745" i="3"/>
  <c r="BA745" i="3" s="1"/>
  <c r="F745" i="3"/>
  <c r="AW744" i="3"/>
  <c r="BA744" i="3" s="1"/>
  <c r="F744" i="3"/>
  <c r="AW743" i="3"/>
  <c r="BA743" i="3" s="1"/>
  <c r="F743" i="3"/>
  <c r="AW742" i="3"/>
  <c r="BA742" i="3" s="1"/>
  <c r="F742" i="3"/>
  <c r="AW741" i="3"/>
  <c r="BA741" i="3" s="1"/>
  <c r="F741" i="3"/>
  <c r="AW740" i="3"/>
  <c r="BA740" i="3" s="1"/>
  <c r="F740" i="3"/>
  <c r="AW739" i="3"/>
  <c r="BA739" i="3" s="1"/>
  <c r="F739" i="3"/>
  <c r="AW738" i="3"/>
  <c r="BA738" i="3" s="1"/>
  <c r="F738" i="3"/>
  <c r="AW737" i="3"/>
  <c r="BA737" i="3" s="1"/>
  <c r="F737" i="3"/>
  <c r="AW736" i="3"/>
  <c r="BA736" i="3" s="1"/>
  <c r="F736" i="3"/>
  <c r="AW735" i="3"/>
  <c r="BA735" i="3" s="1"/>
  <c r="F735" i="3"/>
  <c r="AW734" i="3"/>
  <c r="BA734" i="3" s="1"/>
  <c r="F734" i="3"/>
  <c r="AW733" i="3"/>
  <c r="BA733" i="3" s="1"/>
  <c r="F733" i="3"/>
  <c r="AW732" i="3"/>
  <c r="BA732" i="3" s="1"/>
  <c r="F732" i="3"/>
  <c r="AW731" i="3"/>
  <c r="BA731" i="3" s="1"/>
  <c r="F731" i="3"/>
  <c r="AW730" i="3"/>
  <c r="BA730" i="3" s="1"/>
  <c r="F730" i="3"/>
  <c r="AW729" i="3"/>
  <c r="BA729" i="3" s="1"/>
  <c r="F729" i="3"/>
  <c r="AW728" i="3"/>
  <c r="BA728" i="3" s="1"/>
  <c r="F728" i="3"/>
  <c r="AW727" i="3"/>
  <c r="BA727" i="3" s="1"/>
  <c r="F727" i="3"/>
  <c r="AW726" i="3"/>
  <c r="BA726" i="3" s="1"/>
  <c r="F726" i="3"/>
  <c r="AW725" i="3"/>
  <c r="BA725" i="3" s="1"/>
  <c r="F725" i="3"/>
  <c r="AW724" i="3"/>
  <c r="BA724" i="3" s="1"/>
  <c r="F724" i="3"/>
  <c r="AW723" i="3"/>
  <c r="BA723" i="3" s="1"/>
  <c r="F723" i="3"/>
  <c r="AW722" i="3"/>
  <c r="BA722" i="3" s="1"/>
  <c r="F722" i="3"/>
  <c r="AW721" i="3"/>
  <c r="BA721" i="3" s="1"/>
  <c r="F721" i="3"/>
  <c r="AW720" i="3"/>
  <c r="BA720" i="3" s="1"/>
  <c r="F720" i="3"/>
  <c r="AW719" i="3"/>
  <c r="BA719" i="3" s="1"/>
  <c r="F719" i="3"/>
  <c r="AW718" i="3"/>
  <c r="BA718" i="3" s="1"/>
  <c r="F718" i="3"/>
  <c r="AW717" i="3"/>
  <c r="BA717" i="3" s="1"/>
  <c r="F717" i="3"/>
  <c r="AW716" i="3"/>
  <c r="BA716" i="3" s="1"/>
  <c r="F716" i="3"/>
  <c r="AW715" i="3"/>
  <c r="BA715" i="3" s="1"/>
  <c r="F715" i="3"/>
  <c r="AW714" i="3"/>
  <c r="BA714" i="3" s="1"/>
  <c r="F714" i="3"/>
  <c r="AW713" i="3"/>
  <c r="BA713" i="3" s="1"/>
  <c r="F713" i="3"/>
  <c r="AW712" i="3"/>
  <c r="BA712" i="3" s="1"/>
  <c r="F712" i="3"/>
  <c r="AW711" i="3"/>
  <c r="BA711" i="3" s="1"/>
  <c r="F711" i="3"/>
  <c r="AW710" i="3"/>
  <c r="BA710" i="3" s="1"/>
  <c r="F710" i="3"/>
  <c r="AW709" i="3"/>
  <c r="BA709" i="3" s="1"/>
  <c r="F709" i="3"/>
  <c r="AW708" i="3"/>
  <c r="BA708" i="3" s="1"/>
  <c r="F708" i="3"/>
  <c r="AW707" i="3"/>
  <c r="BA707" i="3" s="1"/>
  <c r="F707" i="3"/>
  <c r="AW706" i="3"/>
  <c r="BA706" i="3" s="1"/>
  <c r="F706" i="3"/>
  <c r="AW705" i="3"/>
  <c r="BA705" i="3" s="1"/>
  <c r="F705" i="3"/>
  <c r="AW704" i="3"/>
  <c r="BA704" i="3" s="1"/>
  <c r="F704" i="3"/>
  <c r="AW703" i="3"/>
  <c r="BA703" i="3" s="1"/>
  <c r="F703" i="3"/>
  <c r="AW702" i="3"/>
  <c r="BA702" i="3" s="1"/>
  <c r="F702" i="3"/>
  <c r="AW701" i="3"/>
  <c r="BA701" i="3" s="1"/>
  <c r="F701" i="3"/>
  <c r="AW700" i="3"/>
  <c r="BA700" i="3" s="1"/>
  <c r="F700" i="3"/>
  <c r="AW699" i="3"/>
  <c r="BA699" i="3" s="1"/>
  <c r="F699" i="3"/>
  <c r="AW698" i="3"/>
  <c r="BA698" i="3" s="1"/>
  <c r="F698" i="3"/>
  <c r="AW697" i="3"/>
  <c r="BA697" i="3" s="1"/>
  <c r="F697" i="3"/>
  <c r="AW696" i="3"/>
  <c r="BA696" i="3" s="1"/>
  <c r="F696" i="3"/>
  <c r="AW695" i="3"/>
  <c r="BA695" i="3" s="1"/>
  <c r="F695" i="3"/>
  <c r="AW694" i="3"/>
  <c r="BA694" i="3" s="1"/>
  <c r="F694" i="3"/>
  <c r="AW693" i="3"/>
  <c r="BA693" i="3" s="1"/>
  <c r="F693" i="3"/>
  <c r="AW692" i="3"/>
  <c r="BA692" i="3" s="1"/>
  <c r="F692" i="3"/>
  <c r="AW691" i="3"/>
  <c r="BA691" i="3" s="1"/>
  <c r="F691" i="3"/>
  <c r="AW690" i="3"/>
  <c r="BA690" i="3" s="1"/>
  <c r="F690" i="3"/>
  <c r="AW689" i="3"/>
  <c r="BA689" i="3" s="1"/>
  <c r="F689" i="3"/>
  <c r="AW688" i="3"/>
  <c r="BA688" i="3" s="1"/>
  <c r="F688" i="3"/>
  <c r="AW687" i="3"/>
  <c r="BA687" i="3" s="1"/>
  <c r="F687" i="3"/>
  <c r="AW686" i="3"/>
  <c r="BA686" i="3" s="1"/>
  <c r="F686" i="3"/>
  <c r="AW685" i="3"/>
  <c r="BA685" i="3" s="1"/>
  <c r="F685" i="3"/>
  <c r="AW684" i="3"/>
  <c r="BA684" i="3" s="1"/>
  <c r="F684" i="3"/>
  <c r="AW683" i="3"/>
  <c r="BA683" i="3" s="1"/>
  <c r="F683" i="3"/>
  <c r="AW682" i="3"/>
  <c r="BA682" i="3" s="1"/>
  <c r="F682" i="3"/>
  <c r="AW681" i="3"/>
  <c r="BA681" i="3" s="1"/>
  <c r="F681" i="3"/>
  <c r="AW680" i="3"/>
  <c r="BA680" i="3" s="1"/>
  <c r="F680" i="3"/>
  <c r="AW679" i="3"/>
  <c r="BA679" i="3" s="1"/>
  <c r="F679" i="3"/>
  <c r="AW678" i="3"/>
  <c r="BA678" i="3" s="1"/>
  <c r="F678" i="3"/>
  <c r="AW677" i="3"/>
  <c r="BA677" i="3" s="1"/>
  <c r="F677" i="3"/>
  <c r="AW676" i="3"/>
  <c r="BA676" i="3" s="1"/>
  <c r="F676" i="3"/>
  <c r="AW675" i="3"/>
  <c r="BA675" i="3" s="1"/>
  <c r="F675" i="3"/>
  <c r="AW674" i="3"/>
  <c r="BA674" i="3" s="1"/>
  <c r="F674" i="3"/>
  <c r="AW673" i="3"/>
  <c r="BA673" i="3" s="1"/>
  <c r="F673" i="3"/>
  <c r="AW672" i="3"/>
  <c r="BA672" i="3" s="1"/>
  <c r="F672" i="3"/>
  <c r="AW671" i="3"/>
  <c r="BA671" i="3" s="1"/>
  <c r="F671" i="3"/>
  <c r="AW670" i="3"/>
  <c r="BA670" i="3" s="1"/>
  <c r="F670" i="3"/>
  <c r="AW669" i="3"/>
  <c r="BA669" i="3" s="1"/>
  <c r="F669" i="3"/>
  <c r="AW668" i="3"/>
  <c r="BA668" i="3" s="1"/>
  <c r="F668" i="3"/>
  <c r="AW667" i="3"/>
  <c r="BA667" i="3" s="1"/>
  <c r="F667" i="3"/>
  <c r="AW666" i="3"/>
  <c r="BA666" i="3" s="1"/>
  <c r="F666" i="3"/>
  <c r="AW665" i="3"/>
  <c r="BA665" i="3" s="1"/>
  <c r="F665" i="3"/>
  <c r="AW664" i="3"/>
  <c r="BA664" i="3" s="1"/>
  <c r="AW663" i="3"/>
  <c r="BA663" i="3" s="1"/>
  <c r="F663" i="3"/>
  <c r="AW662" i="3"/>
  <c r="BA662" i="3" s="1"/>
  <c r="F662" i="3"/>
  <c r="AW661" i="3"/>
  <c r="BA661" i="3" s="1"/>
  <c r="F661" i="3"/>
  <c r="AW660" i="3"/>
  <c r="BA660" i="3" s="1"/>
  <c r="F660" i="3"/>
  <c r="AW659" i="3"/>
  <c r="BA659" i="3" s="1"/>
  <c r="F659" i="3"/>
  <c r="AN658" i="3"/>
  <c r="AW657" i="3"/>
  <c r="BA657" i="3" s="1"/>
  <c r="F657" i="3"/>
  <c r="AW656" i="3"/>
  <c r="BA656" i="3" s="1"/>
  <c r="F656" i="3"/>
  <c r="AW655" i="3"/>
  <c r="BA655" i="3" s="1"/>
  <c r="F655" i="3"/>
  <c r="AW654" i="3"/>
  <c r="BA654" i="3" s="1"/>
  <c r="AW653" i="3"/>
  <c r="BA653" i="3" s="1"/>
  <c r="F653" i="3"/>
  <c r="AW652" i="3"/>
  <c r="BA652" i="3" s="1"/>
  <c r="F652" i="3"/>
  <c r="AW651" i="3"/>
  <c r="BA651" i="3" s="1"/>
  <c r="F651" i="3"/>
  <c r="AW650" i="3"/>
  <c r="BA650" i="3" s="1"/>
  <c r="F650" i="3"/>
  <c r="AW649" i="3"/>
  <c r="BA649" i="3" s="1"/>
  <c r="F649" i="3"/>
  <c r="AW648" i="3"/>
  <c r="BA648" i="3" s="1"/>
  <c r="F648" i="3"/>
  <c r="AW647" i="3"/>
  <c r="BA647" i="3" s="1"/>
  <c r="F647" i="3"/>
  <c r="AW646" i="3"/>
  <c r="BA646" i="3" s="1"/>
  <c r="F646" i="3"/>
  <c r="AW645" i="3"/>
  <c r="BA645" i="3" s="1"/>
  <c r="AW644" i="3"/>
  <c r="BA644" i="3" s="1"/>
  <c r="F644" i="3"/>
  <c r="AW643" i="3"/>
  <c r="BA643" i="3" s="1"/>
  <c r="F643" i="3"/>
  <c r="AW642" i="3"/>
  <c r="BA642" i="3" s="1"/>
  <c r="AW641" i="3"/>
  <c r="BA641" i="3" s="1"/>
  <c r="F641" i="3"/>
  <c r="AW640" i="3"/>
  <c r="BA640" i="3" s="1"/>
  <c r="AW639" i="3"/>
  <c r="BA639" i="3" s="1"/>
  <c r="F639" i="3"/>
  <c r="AW638" i="3"/>
  <c r="BA638" i="3" s="1"/>
  <c r="F638" i="3"/>
  <c r="AW637" i="3"/>
  <c r="BA637" i="3" s="1"/>
  <c r="F637" i="3"/>
  <c r="AW636" i="3"/>
  <c r="BA636" i="3" s="1"/>
  <c r="F636" i="3"/>
  <c r="AW635" i="3"/>
  <c r="BA635" i="3" s="1"/>
  <c r="F635" i="3"/>
  <c r="AW634" i="3"/>
  <c r="BA634" i="3" s="1"/>
  <c r="U634" i="3"/>
  <c r="F634" i="3"/>
  <c r="AW633" i="3"/>
  <c r="BA633" i="3" s="1"/>
  <c r="F633" i="3"/>
  <c r="AW632" i="3"/>
  <c r="BA632" i="3" s="1"/>
  <c r="F632" i="3"/>
  <c r="AW631" i="3"/>
  <c r="BA631" i="3" s="1"/>
  <c r="AW630" i="3"/>
  <c r="BA630" i="3" s="1"/>
  <c r="F630" i="3"/>
  <c r="AW629" i="3"/>
  <c r="BA629" i="3" s="1"/>
  <c r="F629" i="3"/>
  <c r="AW628" i="3"/>
  <c r="BA628" i="3" s="1"/>
  <c r="AW627" i="3"/>
  <c r="BA627" i="3" s="1"/>
  <c r="F627" i="3"/>
  <c r="AW626" i="3"/>
  <c r="BA626" i="3" s="1"/>
  <c r="AW625" i="3"/>
  <c r="BA625" i="3" s="1"/>
  <c r="F625" i="3"/>
  <c r="AW624" i="3"/>
  <c r="BA624" i="3" s="1"/>
  <c r="F624" i="3"/>
  <c r="AW623" i="3"/>
  <c r="BA623" i="3" s="1"/>
  <c r="F623" i="3"/>
  <c r="AW622" i="3"/>
  <c r="BA622" i="3" s="1"/>
  <c r="F622" i="3"/>
  <c r="AW621" i="3"/>
  <c r="BA621" i="3" s="1"/>
  <c r="F621" i="3"/>
  <c r="AW620" i="3"/>
  <c r="BA620" i="3" s="1"/>
  <c r="F620" i="3"/>
  <c r="AW619" i="3"/>
  <c r="BA619" i="3" s="1"/>
  <c r="F619" i="3"/>
  <c r="AW618" i="3"/>
  <c r="BA618" i="3" s="1"/>
  <c r="F618" i="3"/>
  <c r="AW617" i="3"/>
  <c r="BA617" i="3" s="1"/>
  <c r="F617" i="3"/>
  <c r="AW616" i="3"/>
  <c r="BA616" i="3" s="1"/>
  <c r="F616" i="3"/>
  <c r="AW615" i="3"/>
  <c r="BA615" i="3" s="1"/>
  <c r="F615" i="3"/>
  <c r="AW614" i="3"/>
  <c r="BA614" i="3" s="1"/>
  <c r="F614" i="3"/>
  <c r="AW613" i="3"/>
  <c r="BA613" i="3" s="1"/>
  <c r="F613" i="3"/>
  <c r="AW612" i="3"/>
  <c r="BA612" i="3" s="1"/>
  <c r="F612" i="3"/>
  <c r="AW611" i="3"/>
  <c r="BA611" i="3" s="1"/>
  <c r="F611" i="3"/>
  <c r="AW610" i="3"/>
  <c r="BA610" i="3" s="1"/>
  <c r="F610" i="3"/>
  <c r="AW609" i="3"/>
  <c r="BA609" i="3" s="1"/>
  <c r="F609" i="3"/>
  <c r="AW608" i="3"/>
  <c r="BA608" i="3" s="1"/>
  <c r="F608" i="3"/>
  <c r="AW607" i="3"/>
  <c r="BA607" i="3" s="1"/>
  <c r="F607" i="3"/>
  <c r="AW606" i="3"/>
  <c r="BA606" i="3" s="1"/>
  <c r="AW605" i="3"/>
  <c r="BA605" i="3" s="1"/>
  <c r="F605" i="3"/>
  <c r="AW604" i="3"/>
  <c r="BA604" i="3" s="1"/>
  <c r="F604" i="3"/>
  <c r="AW603" i="3"/>
  <c r="BA603" i="3" s="1"/>
  <c r="AW602" i="3"/>
  <c r="BA602" i="3" s="1"/>
  <c r="F602" i="3"/>
  <c r="AW601" i="3"/>
  <c r="BA601" i="3" s="1"/>
  <c r="F601" i="3"/>
  <c r="AW600" i="3"/>
  <c r="BA600" i="3" s="1"/>
  <c r="F600" i="3"/>
  <c r="AW599" i="3"/>
  <c r="BA599" i="3" s="1"/>
  <c r="F599" i="3"/>
  <c r="AW598" i="3"/>
  <c r="BA598" i="3" s="1"/>
  <c r="F598" i="3"/>
  <c r="AW597" i="3"/>
  <c r="BA597" i="3" s="1"/>
  <c r="F597" i="3"/>
  <c r="AW596" i="3"/>
  <c r="BA596" i="3" s="1"/>
  <c r="F596" i="3"/>
  <c r="AW595" i="3"/>
  <c r="BA595" i="3" s="1"/>
  <c r="F595" i="3"/>
  <c r="AW594" i="3"/>
  <c r="BA594" i="3" s="1"/>
  <c r="F594" i="3"/>
  <c r="AW593" i="3"/>
  <c r="BA593" i="3" s="1"/>
  <c r="F593" i="3"/>
  <c r="AW592" i="3"/>
  <c r="BA592" i="3" s="1"/>
  <c r="F592" i="3"/>
  <c r="AW591" i="3"/>
  <c r="BA591" i="3" s="1"/>
  <c r="F591" i="3"/>
  <c r="AW590" i="3"/>
  <c r="BA590" i="3" s="1"/>
  <c r="F590" i="3"/>
  <c r="AW589" i="3"/>
  <c r="BA589" i="3" s="1"/>
  <c r="F589" i="3"/>
  <c r="AW588" i="3"/>
  <c r="BA588" i="3" s="1"/>
  <c r="F588" i="3"/>
  <c r="AW587" i="3"/>
  <c r="BA587" i="3" s="1"/>
  <c r="F587" i="3"/>
  <c r="AW586" i="3"/>
  <c r="BA586" i="3" s="1"/>
  <c r="F586" i="3"/>
  <c r="AW585" i="3"/>
  <c r="BA585" i="3" s="1"/>
  <c r="F585" i="3"/>
  <c r="AW584" i="3"/>
  <c r="BA584" i="3" s="1"/>
  <c r="F584" i="3"/>
  <c r="AW583" i="3"/>
  <c r="BA583" i="3" s="1"/>
  <c r="F583" i="3"/>
  <c r="AW582" i="3"/>
  <c r="BA582" i="3" s="1"/>
  <c r="F582" i="3"/>
  <c r="AW581" i="3"/>
  <c r="BA581" i="3" s="1"/>
  <c r="F581" i="3"/>
  <c r="AW580" i="3"/>
  <c r="BA580" i="3" s="1"/>
  <c r="F580" i="3"/>
  <c r="AW579" i="3"/>
  <c r="BA579" i="3" s="1"/>
  <c r="F579" i="3"/>
  <c r="AW578" i="3"/>
  <c r="BA578" i="3" s="1"/>
  <c r="F578" i="3"/>
  <c r="AW577" i="3"/>
  <c r="BA577" i="3" s="1"/>
  <c r="F577" i="3"/>
  <c r="AW576" i="3"/>
  <c r="BA576" i="3" s="1"/>
  <c r="F576" i="3"/>
  <c r="AW575" i="3"/>
  <c r="BA575" i="3" s="1"/>
  <c r="F575" i="3"/>
  <c r="AW574" i="3"/>
  <c r="BA574" i="3" s="1"/>
  <c r="F574" i="3"/>
  <c r="AW573" i="3"/>
  <c r="BA573" i="3" s="1"/>
  <c r="F573" i="3"/>
  <c r="AW572" i="3"/>
  <c r="BA572" i="3" s="1"/>
  <c r="F572" i="3"/>
  <c r="AW571" i="3"/>
  <c r="BA571" i="3" s="1"/>
  <c r="F571" i="3"/>
  <c r="AW570" i="3"/>
  <c r="BA570" i="3" s="1"/>
  <c r="F570" i="3"/>
  <c r="AW569" i="3"/>
  <c r="BA569" i="3" s="1"/>
  <c r="F569" i="3"/>
  <c r="AW568" i="3"/>
  <c r="BA568" i="3" s="1"/>
  <c r="F568" i="3"/>
  <c r="AW567" i="3"/>
  <c r="BA567" i="3" s="1"/>
  <c r="F567" i="3"/>
  <c r="AW566" i="3"/>
  <c r="BA566" i="3" s="1"/>
  <c r="F566" i="3"/>
  <c r="AW565" i="3"/>
  <c r="BA565" i="3" s="1"/>
  <c r="F565" i="3"/>
  <c r="AW564" i="3"/>
  <c r="BA564" i="3" s="1"/>
  <c r="F564" i="3"/>
  <c r="AW563" i="3"/>
  <c r="BA563" i="3" s="1"/>
  <c r="F563" i="3"/>
  <c r="AW562" i="3"/>
  <c r="BA562" i="3" s="1"/>
  <c r="F562" i="3"/>
  <c r="AW561" i="3"/>
  <c r="BA561" i="3" s="1"/>
  <c r="F561" i="3"/>
  <c r="AW560" i="3"/>
  <c r="BA560" i="3" s="1"/>
  <c r="F560" i="3"/>
  <c r="AW559" i="3"/>
  <c r="BA559" i="3" s="1"/>
  <c r="F559" i="3"/>
  <c r="AW558" i="3"/>
  <c r="BA558" i="3" s="1"/>
  <c r="F558" i="3"/>
  <c r="AW557" i="3"/>
  <c r="BA557" i="3" s="1"/>
  <c r="F557" i="3"/>
  <c r="AW556" i="3"/>
  <c r="BA556" i="3" s="1"/>
  <c r="F556" i="3"/>
  <c r="AW555" i="3"/>
  <c r="BA555" i="3" s="1"/>
  <c r="F555" i="3"/>
  <c r="AW554" i="3"/>
  <c r="BA554" i="3" s="1"/>
  <c r="F554" i="3"/>
  <c r="AW553" i="3"/>
  <c r="BA553" i="3" s="1"/>
  <c r="F553" i="3"/>
  <c r="AW552" i="3"/>
  <c r="BA552" i="3" s="1"/>
  <c r="F552" i="3"/>
  <c r="AW551" i="3"/>
  <c r="BA551" i="3" s="1"/>
  <c r="F551" i="3"/>
  <c r="AW550" i="3"/>
  <c r="BA550" i="3" s="1"/>
  <c r="F550" i="3"/>
  <c r="AW549" i="3"/>
  <c r="BA549" i="3" s="1"/>
  <c r="F549" i="3"/>
  <c r="AW548" i="3"/>
  <c r="BA548" i="3" s="1"/>
  <c r="F548" i="3"/>
  <c r="AW547" i="3"/>
  <c r="BA547" i="3" s="1"/>
  <c r="F547" i="3"/>
  <c r="AW546" i="3"/>
  <c r="BA546" i="3" s="1"/>
  <c r="F546" i="3"/>
  <c r="AW545" i="3"/>
  <c r="BA545" i="3" s="1"/>
  <c r="F545" i="3"/>
  <c r="AW544" i="3"/>
  <c r="BA544" i="3" s="1"/>
  <c r="F544" i="3"/>
  <c r="AW543" i="3"/>
  <c r="BA543" i="3" s="1"/>
  <c r="F543" i="3"/>
  <c r="AW542" i="3"/>
  <c r="BA542" i="3" s="1"/>
  <c r="F542" i="3"/>
  <c r="AW541" i="3"/>
  <c r="BA541" i="3" s="1"/>
  <c r="F541" i="3"/>
  <c r="AW540" i="3"/>
  <c r="BA540" i="3" s="1"/>
  <c r="F540" i="3"/>
  <c r="AW539" i="3"/>
  <c r="BA539" i="3" s="1"/>
  <c r="F539" i="3"/>
  <c r="AW538" i="3"/>
  <c r="BA538" i="3" s="1"/>
  <c r="F538" i="3"/>
  <c r="AW537" i="3"/>
  <c r="BA537" i="3" s="1"/>
  <c r="F537" i="3"/>
  <c r="AW536" i="3"/>
  <c r="BA536" i="3" s="1"/>
  <c r="F536" i="3"/>
  <c r="AW535" i="3"/>
  <c r="BA535" i="3" s="1"/>
  <c r="F535" i="3"/>
  <c r="AW534" i="3"/>
  <c r="BA534" i="3" s="1"/>
  <c r="F534" i="3"/>
  <c r="AW533" i="3"/>
  <c r="BA533" i="3" s="1"/>
  <c r="F533" i="3"/>
  <c r="AW532" i="3"/>
  <c r="BA532" i="3" s="1"/>
  <c r="F532" i="3"/>
  <c r="AW531" i="3"/>
  <c r="BA531" i="3" s="1"/>
  <c r="F531" i="3"/>
  <c r="AW530" i="3"/>
  <c r="BA530" i="3" s="1"/>
  <c r="F530" i="3"/>
  <c r="AW529" i="3"/>
  <c r="BA529" i="3" s="1"/>
  <c r="F529" i="3"/>
  <c r="AW528" i="3"/>
  <c r="BA528" i="3" s="1"/>
  <c r="F528" i="3"/>
  <c r="AW527" i="3"/>
  <c r="BA527" i="3" s="1"/>
  <c r="F527" i="3"/>
  <c r="AW526" i="3"/>
  <c r="BA526" i="3" s="1"/>
  <c r="F526" i="3"/>
  <c r="AW525" i="3"/>
  <c r="BA525" i="3" s="1"/>
  <c r="F525" i="3"/>
  <c r="AW524" i="3"/>
  <c r="BA524" i="3" s="1"/>
  <c r="F524" i="3"/>
  <c r="AW523" i="3"/>
  <c r="BA523" i="3" s="1"/>
  <c r="F523" i="3"/>
  <c r="AW522" i="3"/>
  <c r="BA522" i="3" s="1"/>
  <c r="F522" i="3"/>
  <c r="AW521" i="3"/>
  <c r="BA521" i="3" s="1"/>
  <c r="F521" i="3"/>
  <c r="AW520" i="3"/>
  <c r="BA520" i="3" s="1"/>
  <c r="F520" i="3"/>
  <c r="AW519" i="3"/>
  <c r="BA519" i="3" s="1"/>
  <c r="F519" i="3"/>
  <c r="AW518" i="3"/>
  <c r="BA518" i="3" s="1"/>
  <c r="F518" i="3"/>
  <c r="AW517" i="3"/>
  <c r="BA517" i="3" s="1"/>
  <c r="F517" i="3"/>
  <c r="AW516" i="3"/>
  <c r="BA516" i="3" s="1"/>
  <c r="F516" i="3"/>
  <c r="AW515" i="3"/>
  <c r="BA515" i="3" s="1"/>
  <c r="F515" i="3"/>
  <c r="AW514" i="3"/>
  <c r="BA514" i="3" s="1"/>
  <c r="F514" i="3"/>
  <c r="AW513" i="3"/>
  <c r="BA513" i="3" s="1"/>
  <c r="F513" i="3"/>
  <c r="AW512" i="3"/>
  <c r="BA512" i="3" s="1"/>
  <c r="F512" i="3"/>
  <c r="AW511" i="3"/>
  <c r="BA511" i="3" s="1"/>
  <c r="F511" i="3"/>
  <c r="AW510" i="3"/>
  <c r="BA510" i="3" s="1"/>
  <c r="F510" i="3"/>
  <c r="AW509" i="3"/>
  <c r="BA509" i="3" s="1"/>
  <c r="F509" i="3"/>
  <c r="AW508" i="3"/>
  <c r="BA508" i="3" s="1"/>
  <c r="F508" i="3"/>
  <c r="AW507" i="3"/>
  <c r="BA507" i="3" s="1"/>
  <c r="F507" i="3"/>
  <c r="AW506" i="3"/>
  <c r="BA506" i="3" s="1"/>
  <c r="F506" i="3"/>
  <c r="AW505" i="3"/>
  <c r="BA505" i="3" s="1"/>
  <c r="F505" i="3"/>
  <c r="AW504" i="3"/>
  <c r="BA504" i="3" s="1"/>
  <c r="F504" i="3"/>
  <c r="AW503" i="3"/>
  <c r="BA503" i="3" s="1"/>
  <c r="F503" i="3"/>
  <c r="AW502" i="3"/>
  <c r="BA502" i="3" s="1"/>
  <c r="F502" i="3"/>
  <c r="AW501" i="3"/>
  <c r="BA501" i="3" s="1"/>
  <c r="F501" i="3"/>
  <c r="AW500" i="3"/>
  <c r="BA500" i="3" s="1"/>
  <c r="F500" i="3"/>
  <c r="AW499" i="3"/>
  <c r="BA499" i="3" s="1"/>
  <c r="F499" i="3"/>
  <c r="AW498" i="3"/>
  <c r="BA498" i="3" s="1"/>
  <c r="F498" i="3"/>
  <c r="AW497" i="3"/>
  <c r="BA497" i="3" s="1"/>
  <c r="F497" i="3"/>
  <c r="AW496" i="3"/>
  <c r="BA496" i="3" s="1"/>
  <c r="F496" i="3"/>
  <c r="AW495" i="3"/>
  <c r="BA495" i="3" s="1"/>
  <c r="F495" i="3"/>
  <c r="AW494" i="3"/>
  <c r="BA494" i="3" s="1"/>
  <c r="F494" i="3"/>
  <c r="AW493" i="3"/>
  <c r="BA493" i="3" s="1"/>
  <c r="F493" i="3"/>
  <c r="AW492" i="3"/>
  <c r="BA492" i="3" s="1"/>
  <c r="F492" i="3"/>
  <c r="AW491" i="3"/>
  <c r="BA491" i="3" s="1"/>
  <c r="F491" i="3"/>
  <c r="AW490" i="3"/>
  <c r="BA490" i="3" s="1"/>
  <c r="F490" i="3"/>
  <c r="AW489" i="3"/>
  <c r="BA489" i="3" s="1"/>
  <c r="F489" i="3"/>
  <c r="AW488" i="3"/>
  <c r="BA488" i="3" s="1"/>
  <c r="F488" i="3"/>
  <c r="AW487" i="3"/>
  <c r="BA487" i="3" s="1"/>
  <c r="U487" i="3"/>
  <c r="F487" i="3"/>
  <c r="AW486" i="3"/>
  <c r="BA486" i="3" s="1"/>
  <c r="F486" i="3"/>
  <c r="AW485" i="3"/>
  <c r="BA485" i="3" s="1"/>
  <c r="F485" i="3"/>
  <c r="AW484" i="3"/>
  <c r="BA484" i="3" s="1"/>
  <c r="F484" i="3"/>
  <c r="AW483" i="3"/>
  <c r="BA483" i="3" s="1"/>
  <c r="F483" i="3"/>
  <c r="AW482" i="3"/>
  <c r="BA482" i="3" s="1"/>
  <c r="F482" i="3"/>
  <c r="AW481" i="3"/>
  <c r="BA481" i="3" s="1"/>
  <c r="F481" i="3"/>
  <c r="AW480" i="3"/>
  <c r="BA480" i="3" s="1"/>
  <c r="F480" i="3"/>
  <c r="AW479" i="3"/>
  <c r="BA479" i="3" s="1"/>
  <c r="F479" i="3"/>
  <c r="AW478" i="3"/>
  <c r="BA478" i="3" s="1"/>
  <c r="F478" i="3"/>
  <c r="AW477" i="3"/>
  <c r="BA477" i="3" s="1"/>
  <c r="F477" i="3"/>
  <c r="AW476" i="3"/>
  <c r="BA476" i="3" s="1"/>
  <c r="F476" i="3"/>
  <c r="AW475" i="3"/>
  <c r="BA475" i="3" s="1"/>
  <c r="U475" i="3"/>
  <c r="F475" i="3"/>
  <c r="AW474" i="3"/>
  <c r="BA474" i="3" s="1"/>
  <c r="F474" i="3"/>
  <c r="AW473" i="3"/>
  <c r="BA473" i="3" s="1"/>
  <c r="F473" i="3"/>
  <c r="AW472" i="3"/>
  <c r="BA472" i="3" s="1"/>
  <c r="F472" i="3"/>
  <c r="AW471" i="3"/>
  <c r="BA471" i="3" s="1"/>
  <c r="F471" i="3"/>
  <c r="AW470" i="3"/>
  <c r="BA470" i="3" s="1"/>
  <c r="F470" i="3"/>
  <c r="AW469" i="3"/>
  <c r="BA469" i="3" s="1"/>
  <c r="F469" i="3"/>
  <c r="AW468" i="3"/>
  <c r="BA468" i="3" s="1"/>
  <c r="F468" i="3"/>
  <c r="AW467" i="3"/>
  <c r="BA467" i="3" s="1"/>
  <c r="F467" i="3"/>
  <c r="AW466" i="3"/>
  <c r="BA466" i="3" s="1"/>
  <c r="F466" i="3"/>
  <c r="AW465" i="3"/>
  <c r="BA465" i="3" s="1"/>
  <c r="F465" i="3"/>
  <c r="AW464" i="3"/>
  <c r="BA464" i="3" s="1"/>
  <c r="F464" i="3"/>
  <c r="AW463" i="3"/>
  <c r="BA463" i="3" s="1"/>
  <c r="F463" i="3"/>
  <c r="AW462" i="3"/>
  <c r="BA462" i="3" s="1"/>
  <c r="F462" i="3"/>
  <c r="AW461" i="3"/>
  <c r="BA461" i="3" s="1"/>
  <c r="F461" i="3"/>
  <c r="AW460" i="3"/>
  <c r="BA460" i="3" s="1"/>
  <c r="F460" i="3"/>
  <c r="AW459" i="3"/>
  <c r="BA459" i="3" s="1"/>
  <c r="F459" i="3"/>
  <c r="AW458" i="3"/>
  <c r="BA458" i="3" s="1"/>
  <c r="F458" i="3"/>
  <c r="AW457" i="3"/>
  <c r="BA457" i="3" s="1"/>
  <c r="F457" i="3"/>
  <c r="AW456" i="3"/>
  <c r="BA456" i="3" s="1"/>
  <c r="F456" i="3"/>
  <c r="AW455" i="3"/>
  <c r="BA455" i="3" s="1"/>
  <c r="F455" i="3"/>
  <c r="AW454" i="3"/>
  <c r="BA454" i="3" s="1"/>
  <c r="F454" i="3"/>
  <c r="AW453" i="3"/>
  <c r="BA453" i="3" s="1"/>
  <c r="F453" i="3"/>
  <c r="AW452" i="3"/>
  <c r="BA452" i="3" s="1"/>
  <c r="F452" i="3"/>
  <c r="AW451" i="3"/>
  <c r="BA451" i="3" s="1"/>
  <c r="F451" i="3"/>
  <c r="AW450" i="3"/>
  <c r="BA450" i="3" s="1"/>
  <c r="F450" i="3"/>
  <c r="AW449" i="3"/>
  <c r="BA449" i="3" s="1"/>
  <c r="F449" i="3"/>
  <c r="AW448" i="3"/>
  <c r="BA448" i="3" s="1"/>
  <c r="F448" i="3"/>
  <c r="AW447" i="3"/>
  <c r="BA447" i="3" s="1"/>
  <c r="F447" i="3"/>
  <c r="AW446" i="3"/>
  <c r="BA446" i="3" s="1"/>
  <c r="F446" i="3"/>
  <c r="AW445" i="3"/>
  <c r="BA445" i="3" s="1"/>
  <c r="F445" i="3"/>
  <c r="AW444" i="3"/>
  <c r="BA444" i="3" s="1"/>
  <c r="F444" i="3"/>
  <c r="AW443" i="3"/>
  <c r="BA443" i="3" s="1"/>
  <c r="F443" i="3"/>
  <c r="AW442" i="3"/>
  <c r="BA442" i="3" s="1"/>
  <c r="F442" i="3"/>
  <c r="AW441" i="3"/>
  <c r="BA441" i="3" s="1"/>
  <c r="F441" i="3"/>
  <c r="AW440" i="3"/>
  <c r="BA440" i="3" s="1"/>
  <c r="F440" i="3"/>
  <c r="AW439" i="3"/>
  <c r="BA439" i="3" s="1"/>
  <c r="F439" i="3"/>
  <c r="AW438" i="3"/>
  <c r="BA438" i="3" s="1"/>
  <c r="F438" i="3"/>
  <c r="AW437" i="3"/>
  <c r="BA437" i="3" s="1"/>
  <c r="F437" i="3"/>
  <c r="AW436" i="3"/>
  <c r="BA436" i="3" s="1"/>
  <c r="F436" i="3"/>
  <c r="AW435" i="3"/>
  <c r="BA435" i="3" s="1"/>
  <c r="F435" i="3"/>
  <c r="AW434" i="3"/>
  <c r="BA434" i="3" s="1"/>
  <c r="F434" i="3"/>
  <c r="AW433" i="3"/>
  <c r="BA433" i="3" s="1"/>
  <c r="F433" i="3"/>
  <c r="AW432" i="3"/>
  <c r="BA432" i="3" s="1"/>
  <c r="F432" i="3"/>
  <c r="AW431" i="3"/>
  <c r="BA431" i="3" s="1"/>
  <c r="F431" i="3"/>
  <c r="AW430" i="3"/>
  <c r="BA430" i="3" s="1"/>
  <c r="F430" i="3"/>
  <c r="AW429" i="3"/>
  <c r="BA429" i="3" s="1"/>
  <c r="F429" i="3"/>
  <c r="AW428" i="3"/>
  <c r="BA428" i="3" s="1"/>
  <c r="F428" i="3"/>
  <c r="AW427" i="3"/>
  <c r="BA427" i="3" s="1"/>
  <c r="F427" i="3"/>
  <c r="AW426" i="3"/>
  <c r="BA426" i="3" s="1"/>
  <c r="F426" i="3"/>
  <c r="AW425" i="3"/>
  <c r="BA425" i="3" s="1"/>
  <c r="F425" i="3"/>
  <c r="AW424" i="3"/>
  <c r="BA424" i="3" s="1"/>
  <c r="F424" i="3"/>
  <c r="AW423" i="3"/>
  <c r="BA423" i="3" s="1"/>
  <c r="F423" i="3"/>
  <c r="AW422" i="3"/>
  <c r="BA422" i="3" s="1"/>
  <c r="F422" i="3"/>
  <c r="AW421" i="3"/>
  <c r="BA421" i="3" s="1"/>
  <c r="U421" i="3"/>
  <c r="F421" i="3"/>
  <c r="AW420" i="3"/>
  <c r="BA420" i="3" s="1"/>
  <c r="F420" i="3"/>
  <c r="AW419" i="3"/>
  <c r="BA419" i="3" s="1"/>
  <c r="F419" i="3"/>
  <c r="AW418" i="3"/>
  <c r="BA418" i="3" s="1"/>
  <c r="F418" i="3"/>
  <c r="AW417" i="3"/>
  <c r="BA417" i="3" s="1"/>
  <c r="F417" i="3"/>
  <c r="AW416" i="3"/>
  <c r="BA416" i="3" s="1"/>
  <c r="F416" i="3"/>
  <c r="AW415" i="3"/>
  <c r="BA415" i="3" s="1"/>
  <c r="F415" i="3"/>
  <c r="AW414" i="3"/>
  <c r="BA414" i="3" s="1"/>
  <c r="F414" i="3"/>
  <c r="AW413" i="3"/>
  <c r="BA413" i="3" s="1"/>
  <c r="F413" i="3"/>
  <c r="AW412" i="3"/>
  <c r="BA412" i="3" s="1"/>
  <c r="F412" i="3"/>
  <c r="AW411" i="3"/>
  <c r="BA411" i="3" s="1"/>
  <c r="F411" i="3"/>
  <c r="AW410" i="3"/>
  <c r="BA410" i="3" s="1"/>
  <c r="F410" i="3"/>
  <c r="AW409" i="3"/>
  <c r="BA409" i="3" s="1"/>
  <c r="F409" i="3"/>
  <c r="AW408" i="3"/>
  <c r="BA408" i="3" s="1"/>
  <c r="F408" i="3"/>
  <c r="AW407" i="3"/>
  <c r="BA407" i="3" s="1"/>
  <c r="F407" i="3"/>
  <c r="AW406" i="3"/>
  <c r="BA406" i="3" s="1"/>
  <c r="F406" i="3"/>
  <c r="AW405" i="3"/>
  <c r="BA405" i="3" s="1"/>
  <c r="F405" i="3"/>
  <c r="AW404" i="3"/>
  <c r="BA404" i="3" s="1"/>
  <c r="F404" i="3"/>
  <c r="AW403" i="3"/>
  <c r="BA403" i="3" s="1"/>
  <c r="F403" i="3"/>
  <c r="AW402" i="3"/>
  <c r="BA402" i="3" s="1"/>
  <c r="F402" i="3"/>
  <c r="AW401" i="3"/>
  <c r="BA401" i="3" s="1"/>
  <c r="F401" i="3"/>
  <c r="AW400" i="3"/>
  <c r="BA400" i="3" s="1"/>
  <c r="F400" i="3"/>
  <c r="AW399" i="3"/>
  <c r="BA399" i="3" s="1"/>
  <c r="F399" i="3"/>
  <c r="AW398" i="3"/>
  <c r="BA398" i="3" s="1"/>
  <c r="F398" i="3"/>
  <c r="AW397" i="3"/>
  <c r="BA397" i="3" s="1"/>
  <c r="F397" i="3"/>
  <c r="AW396" i="3"/>
  <c r="BA396" i="3" s="1"/>
  <c r="F396" i="3"/>
  <c r="AW395" i="3"/>
  <c r="BA395" i="3" s="1"/>
  <c r="F395" i="3"/>
  <c r="AW394" i="3"/>
  <c r="BA394" i="3" s="1"/>
  <c r="F394" i="3"/>
  <c r="AW393" i="3"/>
  <c r="BA393" i="3" s="1"/>
  <c r="F393" i="3"/>
  <c r="AW392" i="3"/>
  <c r="BA392" i="3" s="1"/>
  <c r="F392" i="3"/>
  <c r="AW391" i="3"/>
  <c r="BA391" i="3" s="1"/>
  <c r="F391" i="3"/>
  <c r="AW390" i="3"/>
  <c r="BA390" i="3" s="1"/>
  <c r="F390" i="3"/>
  <c r="AW389" i="3"/>
  <c r="BA389" i="3" s="1"/>
  <c r="F389" i="3"/>
  <c r="AW388" i="3"/>
  <c r="BA388" i="3" s="1"/>
  <c r="F388" i="3"/>
  <c r="AW387" i="3"/>
  <c r="BA387" i="3" s="1"/>
  <c r="F387" i="3"/>
  <c r="AW386" i="3"/>
  <c r="BA386" i="3" s="1"/>
  <c r="F386" i="3"/>
  <c r="AW385" i="3"/>
  <c r="BA385" i="3" s="1"/>
  <c r="F385" i="3"/>
  <c r="AW384" i="3"/>
  <c r="BA384" i="3" s="1"/>
  <c r="F384" i="3"/>
  <c r="AW383" i="3"/>
  <c r="BA383" i="3" s="1"/>
  <c r="F383" i="3"/>
  <c r="AW382" i="3"/>
  <c r="BA382" i="3" s="1"/>
  <c r="F382" i="3"/>
  <c r="AW381" i="3"/>
  <c r="BA381" i="3" s="1"/>
  <c r="F381" i="3"/>
  <c r="AW380" i="3"/>
  <c r="BA380" i="3" s="1"/>
  <c r="F380" i="3"/>
  <c r="AW379" i="3"/>
  <c r="BA379" i="3" s="1"/>
  <c r="F379" i="3"/>
  <c r="AW378" i="3"/>
  <c r="BA378" i="3" s="1"/>
  <c r="F378" i="3"/>
  <c r="AW377" i="3"/>
  <c r="BA377" i="3" s="1"/>
  <c r="F377" i="3"/>
  <c r="AW376" i="3"/>
  <c r="BA376" i="3" s="1"/>
  <c r="F376" i="3"/>
  <c r="AW375" i="3"/>
  <c r="BA375" i="3" s="1"/>
  <c r="F375" i="3"/>
  <c r="AW374" i="3"/>
  <c r="BA374" i="3" s="1"/>
  <c r="F374" i="3"/>
  <c r="AW373" i="3"/>
  <c r="BA373" i="3" s="1"/>
  <c r="F373" i="3"/>
  <c r="AW372" i="3"/>
  <c r="BA372" i="3" s="1"/>
  <c r="F372" i="3"/>
  <c r="AW371" i="3"/>
  <c r="BA371" i="3" s="1"/>
  <c r="F371" i="3"/>
  <c r="AW370" i="3"/>
  <c r="BA370" i="3" s="1"/>
  <c r="F370" i="3"/>
  <c r="AW369" i="3"/>
  <c r="BA369" i="3" s="1"/>
  <c r="F369" i="3"/>
  <c r="AW368" i="3"/>
  <c r="BA368" i="3" s="1"/>
  <c r="F368" i="3"/>
  <c r="AW367" i="3"/>
  <c r="BA367" i="3" s="1"/>
  <c r="F367" i="3"/>
  <c r="AW366" i="3"/>
  <c r="BA366" i="3" s="1"/>
  <c r="F366" i="3"/>
  <c r="AW365" i="3"/>
  <c r="BA365" i="3" s="1"/>
  <c r="F365" i="3"/>
  <c r="AW364" i="3"/>
  <c r="BA364" i="3" s="1"/>
  <c r="F364" i="3"/>
  <c r="AW363" i="3"/>
  <c r="BA363" i="3" s="1"/>
  <c r="F363" i="3"/>
  <c r="AW362" i="3"/>
  <c r="BA362" i="3" s="1"/>
  <c r="F362" i="3"/>
  <c r="AW361" i="3"/>
  <c r="BA361" i="3" s="1"/>
  <c r="F361" i="3"/>
  <c r="AW360" i="3"/>
  <c r="BA360" i="3" s="1"/>
  <c r="F360" i="3"/>
  <c r="AW359" i="3"/>
  <c r="BA359" i="3" s="1"/>
  <c r="F359" i="3"/>
  <c r="AW358" i="3"/>
  <c r="BA358" i="3" s="1"/>
  <c r="F358" i="3"/>
  <c r="AW357" i="3"/>
  <c r="BA357" i="3" s="1"/>
  <c r="U357" i="3"/>
  <c r="F357" i="3"/>
  <c r="AW356" i="3"/>
  <c r="BA356" i="3" s="1"/>
  <c r="F356" i="3"/>
  <c r="AW355" i="3"/>
  <c r="BA355" i="3" s="1"/>
  <c r="F355" i="3"/>
  <c r="AW354" i="3"/>
  <c r="BA354" i="3" s="1"/>
  <c r="F354" i="3"/>
  <c r="AW353" i="3"/>
  <c r="BA353" i="3" s="1"/>
  <c r="F353" i="3"/>
  <c r="AW352" i="3"/>
  <c r="BA352" i="3" s="1"/>
  <c r="F352" i="3"/>
  <c r="AW351" i="3"/>
  <c r="BA351" i="3" s="1"/>
  <c r="F351" i="3"/>
  <c r="AW350" i="3"/>
  <c r="BA350" i="3" s="1"/>
  <c r="F350" i="3"/>
  <c r="AW349" i="3"/>
  <c r="BA349" i="3" s="1"/>
  <c r="F349" i="3"/>
  <c r="AW348" i="3"/>
  <c r="BA348" i="3" s="1"/>
  <c r="F348" i="3"/>
  <c r="AW347" i="3"/>
  <c r="BA347" i="3" s="1"/>
  <c r="F347" i="3"/>
  <c r="AW346" i="3"/>
  <c r="BA346" i="3" s="1"/>
  <c r="F346" i="3"/>
  <c r="AW345" i="3"/>
  <c r="BA345" i="3" s="1"/>
  <c r="F345" i="3"/>
  <c r="AW344" i="3"/>
  <c r="BA344" i="3" s="1"/>
  <c r="F344" i="3"/>
  <c r="AW343" i="3"/>
  <c r="BA343" i="3" s="1"/>
  <c r="F343" i="3"/>
  <c r="AW342" i="3"/>
  <c r="BA342" i="3" s="1"/>
  <c r="F342" i="3"/>
  <c r="AW341" i="3"/>
  <c r="BA341" i="3" s="1"/>
  <c r="F341" i="3"/>
  <c r="AW340" i="3"/>
  <c r="BA340" i="3" s="1"/>
  <c r="F340" i="3"/>
  <c r="AW339" i="3"/>
  <c r="BA339" i="3" s="1"/>
  <c r="F339" i="3"/>
  <c r="AW338" i="3"/>
  <c r="BA338" i="3" s="1"/>
  <c r="F338" i="3"/>
  <c r="AW337" i="3"/>
  <c r="BA337" i="3" s="1"/>
  <c r="F337" i="3"/>
  <c r="AW336" i="3"/>
  <c r="BA336" i="3" s="1"/>
  <c r="F336" i="3"/>
  <c r="AW335" i="3"/>
  <c r="BA335" i="3" s="1"/>
  <c r="F335" i="3"/>
  <c r="AW334" i="3"/>
  <c r="BA334" i="3" s="1"/>
  <c r="F334" i="3"/>
  <c r="AW333" i="3"/>
  <c r="BA333" i="3" s="1"/>
  <c r="F333" i="3"/>
  <c r="AW332" i="3"/>
  <c r="BA332" i="3" s="1"/>
  <c r="F332" i="3"/>
  <c r="AW331" i="3"/>
  <c r="BA331" i="3" s="1"/>
  <c r="F331" i="3"/>
  <c r="AW330" i="3"/>
  <c r="BA330" i="3" s="1"/>
  <c r="F330" i="3"/>
  <c r="AW329" i="3"/>
  <c r="BA329" i="3" s="1"/>
  <c r="F329" i="3"/>
  <c r="AW328" i="3"/>
  <c r="BA328" i="3" s="1"/>
  <c r="F328" i="3"/>
  <c r="AW327" i="3"/>
  <c r="BA327" i="3" s="1"/>
  <c r="F327" i="3"/>
  <c r="AW326" i="3"/>
  <c r="BA326" i="3" s="1"/>
  <c r="F326" i="3"/>
  <c r="AW325" i="3"/>
  <c r="BA325" i="3" s="1"/>
  <c r="F325" i="3"/>
  <c r="AW324" i="3"/>
  <c r="BA324" i="3" s="1"/>
  <c r="F324" i="3"/>
  <c r="AW323" i="3"/>
  <c r="BA323" i="3" s="1"/>
  <c r="F323" i="3"/>
  <c r="AW322" i="3"/>
  <c r="BA322" i="3" s="1"/>
  <c r="F322" i="3"/>
  <c r="AW321" i="3"/>
  <c r="BA321" i="3" s="1"/>
  <c r="F321" i="3"/>
  <c r="AW320" i="3"/>
  <c r="BA320" i="3" s="1"/>
  <c r="F320" i="3"/>
  <c r="AW319" i="3"/>
  <c r="BA319" i="3" s="1"/>
  <c r="F319" i="3"/>
  <c r="AW318" i="3"/>
  <c r="BA318" i="3" s="1"/>
  <c r="F318" i="3"/>
  <c r="AW317" i="3"/>
  <c r="BA317" i="3" s="1"/>
  <c r="F317" i="3"/>
  <c r="AW316" i="3"/>
  <c r="BA316" i="3" s="1"/>
  <c r="F316" i="3"/>
  <c r="AW315" i="3"/>
  <c r="BA315" i="3" s="1"/>
  <c r="F315" i="3"/>
  <c r="AW314" i="3"/>
  <c r="BA314" i="3" s="1"/>
  <c r="F314" i="3"/>
  <c r="AW313" i="3"/>
  <c r="BA313" i="3" s="1"/>
  <c r="F313" i="3"/>
  <c r="AW312" i="3"/>
  <c r="BA312" i="3" s="1"/>
  <c r="F312" i="3"/>
  <c r="AW311" i="3"/>
  <c r="BA311" i="3" s="1"/>
  <c r="F311" i="3"/>
  <c r="AW310" i="3"/>
  <c r="BA310" i="3" s="1"/>
  <c r="F310" i="3"/>
  <c r="AW309" i="3"/>
  <c r="BA309" i="3" s="1"/>
  <c r="F309" i="3"/>
  <c r="AW308" i="3"/>
  <c r="BA308" i="3" s="1"/>
  <c r="F308" i="3"/>
  <c r="AW307" i="3"/>
  <c r="BA307" i="3" s="1"/>
  <c r="F307" i="3"/>
  <c r="AW306" i="3"/>
  <c r="BA306" i="3" s="1"/>
  <c r="F306" i="3"/>
  <c r="AW305" i="3"/>
  <c r="BA305" i="3" s="1"/>
  <c r="F305" i="3"/>
  <c r="AW304" i="3"/>
  <c r="BA304" i="3" s="1"/>
  <c r="F304" i="3"/>
  <c r="AW303" i="3"/>
  <c r="BA303" i="3" s="1"/>
  <c r="F303" i="3"/>
  <c r="AW302" i="3"/>
  <c r="BA302" i="3" s="1"/>
  <c r="F302" i="3"/>
  <c r="AW301" i="3"/>
  <c r="BA301" i="3" s="1"/>
  <c r="U301" i="3"/>
  <c r="V301" i="3" s="1"/>
  <c r="F301" i="3"/>
  <c r="AW300" i="3"/>
  <c r="F300" i="3"/>
  <c r="AW299" i="3"/>
  <c r="F299" i="3"/>
  <c r="AW298" i="3"/>
  <c r="F298" i="3"/>
  <c r="AW297" i="3"/>
  <c r="F297" i="3"/>
  <c r="AW296" i="3"/>
  <c r="F296" i="3"/>
  <c r="AW295" i="3"/>
  <c r="F295" i="3"/>
  <c r="AW294" i="3"/>
  <c r="F294" i="3"/>
  <c r="AW293" i="3"/>
  <c r="F293" i="3"/>
  <c r="AW292" i="3"/>
  <c r="BA292" i="3" s="1"/>
  <c r="F292" i="3"/>
  <c r="AW291" i="3"/>
  <c r="BA291" i="3" s="1"/>
  <c r="F291" i="3"/>
  <c r="AW290" i="3"/>
  <c r="BA290" i="3" s="1"/>
  <c r="F290" i="3"/>
  <c r="AW289" i="3"/>
  <c r="BA289" i="3" s="1"/>
  <c r="F289" i="3"/>
  <c r="AW288" i="3"/>
  <c r="BA288" i="3" s="1"/>
  <c r="F288" i="3"/>
  <c r="AW287" i="3"/>
  <c r="BA287" i="3" s="1"/>
  <c r="F287" i="3"/>
  <c r="AW286" i="3"/>
  <c r="BA286" i="3" s="1"/>
  <c r="F286" i="3"/>
  <c r="AW285" i="3"/>
  <c r="BA285" i="3" s="1"/>
  <c r="F285" i="3"/>
  <c r="AW284" i="3"/>
  <c r="BA284" i="3" s="1"/>
  <c r="F284" i="3"/>
  <c r="AW283" i="3"/>
  <c r="BA283" i="3" s="1"/>
  <c r="F283" i="3"/>
  <c r="AW282" i="3"/>
  <c r="BA282" i="3" s="1"/>
  <c r="F282" i="3"/>
  <c r="AW281" i="3"/>
  <c r="BA281" i="3" s="1"/>
  <c r="F281" i="3"/>
  <c r="AW280" i="3"/>
  <c r="BA280" i="3" s="1"/>
  <c r="F280" i="3"/>
  <c r="AW279" i="3"/>
  <c r="BA279" i="3" s="1"/>
  <c r="F279" i="3"/>
  <c r="AW278" i="3"/>
  <c r="BA278" i="3" s="1"/>
  <c r="F278" i="3"/>
  <c r="AW277" i="3"/>
  <c r="BA277" i="3" s="1"/>
  <c r="F277" i="3"/>
  <c r="AW276" i="3"/>
  <c r="BA276" i="3" s="1"/>
  <c r="F276" i="3"/>
  <c r="AW275" i="3"/>
  <c r="BA275" i="3" s="1"/>
  <c r="F275" i="3"/>
  <c r="AW274" i="3"/>
  <c r="BA274" i="3" s="1"/>
  <c r="F274" i="3"/>
  <c r="AW273" i="3"/>
  <c r="BA273" i="3" s="1"/>
  <c r="F273" i="3"/>
  <c r="AW272" i="3"/>
  <c r="BA272" i="3" s="1"/>
  <c r="F272" i="3"/>
  <c r="AW271" i="3"/>
  <c r="BA271" i="3" s="1"/>
  <c r="F271" i="3"/>
  <c r="AW270" i="3"/>
  <c r="BA270" i="3" s="1"/>
  <c r="F270" i="3"/>
  <c r="AW269" i="3"/>
  <c r="BA269" i="3" s="1"/>
  <c r="F269" i="3"/>
  <c r="AW268" i="3"/>
  <c r="BA268" i="3" s="1"/>
  <c r="F268" i="3"/>
  <c r="AW267" i="3"/>
  <c r="BA267" i="3" s="1"/>
  <c r="F267" i="3"/>
  <c r="AW266" i="3"/>
  <c r="BA266" i="3" s="1"/>
  <c r="F266" i="3"/>
  <c r="AW265" i="3"/>
  <c r="BA265" i="3" s="1"/>
  <c r="F265" i="3"/>
  <c r="AW264" i="3"/>
  <c r="BA264" i="3" s="1"/>
  <c r="F264" i="3"/>
  <c r="AW263" i="3"/>
  <c r="BA263" i="3" s="1"/>
  <c r="F263" i="3"/>
  <c r="AW262" i="3"/>
  <c r="BA262" i="3" s="1"/>
  <c r="F262" i="3"/>
  <c r="AW261" i="3"/>
  <c r="BA261" i="3" s="1"/>
  <c r="F261" i="3"/>
  <c r="AW260" i="3"/>
  <c r="BA260" i="3" s="1"/>
  <c r="F260" i="3"/>
  <c r="AW259" i="3"/>
  <c r="BA259" i="3" s="1"/>
  <c r="F259" i="3"/>
  <c r="AW258" i="3"/>
  <c r="BA258" i="3" s="1"/>
  <c r="F258" i="3"/>
  <c r="AW257" i="3"/>
  <c r="BA257" i="3" s="1"/>
  <c r="F257" i="3"/>
  <c r="AW256" i="3"/>
  <c r="BA256" i="3" s="1"/>
  <c r="F256" i="3"/>
  <c r="AW255" i="3"/>
  <c r="BA255" i="3" s="1"/>
  <c r="F255" i="3"/>
  <c r="AW254" i="3"/>
  <c r="BA254" i="3" s="1"/>
  <c r="F254" i="3"/>
  <c r="AW253" i="3"/>
  <c r="BA253" i="3" s="1"/>
  <c r="F253" i="3"/>
  <c r="AW252" i="3"/>
  <c r="BA252" i="3" s="1"/>
  <c r="F252" i="3"/>
  <c r="AW251" i="3"/>
  <c r="BA251" i="3" s="1"/>
  <c r="F251" i="3"/>
  <c r="AW250" i="3"/>
  <c r="BA250" i="3" s="1"/>
  <c r="F250" i="3"/>
  <c r="AW249" i="3"/>
  <c r="BA249" i="3" s="1"/>
  <c r="F249" i="3"/>
  <c r="AW248" i="3"/>
  <c r="BA248" i="3" s="1"/>
  <c r="F248" i="3"/>
  <c r="AW247" i="3"/>
  <c r="BA247" i="3" s="1"/>
  <c r="F247" i="3"/>
  <c r="AW246" i="3"/>
  <c r="BA246" i="3" s="1"/>
  <c r="F246" i="3"/>
  <c r="AW245" i="3"/>
  <c r="BA245" i="3" s="1"/>
  <c r="F245" i="3"/>
  <c r="AW244" i="3"/>
  <c r="BA244" i="3" s="1"/>
  <c r="F244" i="3"/>
  <c r="AW243" i="3"/>
  <c r="BA243" i="3" s="1"/>
  <c r="F243" i="3"/>
  <c r="AW242" i="3"/>
  <c r="BA242" i="3" s="1"/>
  <c r="F242" i="3"/>
  <c r="AW241" i="3"/>
  <c r="BA241" i="3" s="1"/>
  <c r="F241" i="3"/>
  <c r="AW240" i="3"/>
  <c r="BA240" i="3" s="1"/>
  <c r="F240" i="3"/>
  <c r="AW239" i="3"/>
  <c r="BA239" i="3" s="1"/>
  <c r="F239" i="3"/>
  <c r="AW238" i="3"/>
  <c r="BA238" i="3" s="1"/>
  <c r="F238" i="3"/>
  <c r="AW237" i="3"/>
  <c r="BA237" i="3" s="1"/>
  <c r="F237" i="3"/>
  <c r="AW236" i="3"/>
  <c r="BA236" i="3" s="1"/>
  <c r="F236" i="3"/>
  <c r="AW235" i="3"/>
  <c r="BA235" i="3" s="1"/>
  <c r="F235" i="3"/>
  <c r="AW234" i="3"/>
  <c r="BA234" i="3" s="1"/>
  <c r="F234" i="3"/>
  <c r="AW233" i="3"/>
  <c r="BA233" i="3" s="1"/>
  <c r="F233" i="3"/>
  <c r="AW232" i="3"/>
  <c r="BA232" i="3" s="1"/>
  <c r="F232" i="3"/>
  <c r="AW231" i="3"/>
  <c r="BA231" i="3" s="1"/>
  <c r="F231" i="3"/>
  <c r="AW230" i="3"/>
  <c r="BA230" i="3" s="1"/>
  <c r="F230" i="3"/>
  <c r="AW229" i="3"/>
  <c r="BA229" i="3" s="1"/>
  <c r="F229" i="3"/>
  <c r="AW228" i="3"/>
  <c r="BA228" i="3" s="1"/>
  <c r="F228" i="3"/>
  <c r="AW227" i="3"/>
  <c r="BA227" i="3" s="1"/>
  <c r="F227" i="3"/>
  <c r="AW226" i="3"/>
  <c r="BA226" i="3" s="1"/>
  <c r="F226" i="3"/>
  <c r="AW225" i="3"/>
  <c r="BA225" i="3" s="1"/>
  <c r="F225" i="3"/>
  <c r="AW224" i="3"/>
  <c r="BA224" i="3" s="1"/>
  <c r="F224" i="3"/>
  <c r="AW223" i="3"/>
  <c r="BA223" i="3" s="1"/>
  <c r="F223" i="3"/>
  <c r="AW222" i="3"/>
  <c r="BA222" i="3" s="1"/>
  <c r="F222" i="3"/>
  <c r="AW221" i="3"/>
  <c r="BA221" i="3" s="1"/>
  <c r="F221" i="3"/>
  <c r="AW220" i="3"/>
  <c r="BA220" i="3" s="1"/>
  <c r="F220" i="3"/>
  <c r="AW219" i="3"/>
  <c r="BA219" i="3" s="1"/>
  <c r="F219" i="3"/>
  <c r="AW218" i="3"/>
  <c r="BA218" i="3" s="1"/>
  <c r="F218" i="3"/>
  <c r="AW217" i="3"/>
  <c r="BA217" i="3" s="1"/>
  <c r="F217" i="3"/>
  <c r="AW216" i="3"/>
  <c r="BA216" i="3" s="1"/>
  <c r="F216" i="3"/>
  <c r="AW215" i="3"/>
  <c r="BA215" i="3" s="1"/>
  <c r="F215" i="3"/>
  <c r="AW214" i="3"/>
  <c r="BA214" i="3" s="1"/>
  <c r="U214" i="3"/>
  <c r="F214" i="3"/>
  <c r="AW213" i="3"/>
  <c r="BA213" i="3" s="1"/>
  <c r="F213" i="3"/>
  <c r="AW212" i="3"/>
  <c r="BA212" i="3" s="1"/>
  <c r="F212" i="3"/>
  <c r="AW211" i="3"/>
  <c r="BA211" i="3" s="1"/>
  <c r="F211" i="3"/>
  <c r="AW210" i="3"/>
  <c r="BA210" i="3" s="1"/>
  <c r="F210" i="3"/>
  <c r="AW209" i="3"/>
  <c r="BA209" i="3" s="1"/>
  <c r="F209" i="3"/>
  <c r="AW208" i="3"/>
  <c r="BA208" i="3" s="1"/>
  <c r="F208" i="3"/>
  <c r="AW207" i="3"/>
  <c r="BA207" i="3" s="1"/>
  <c r="F207" i="3"/>
  <c r="AW206" i="3"/>
  <c r="BA206" i="3" s="1"/>
  <c r="F206" i="3"/>
  <c r="AW205" i="3"/>
  <c r="BA205" i="3" s="1"/>
  <c r="F205" i="3"/>
  <c r="AW204" i="3"/>
  <c r="BA204" i="3" s="1"/>
  <c r="F204" i="3"/>
  <c r="AW203" i="3"/>
  <c r="BA203" i="3" s="1"/>
  <c r="F203" i="3"/>
  <c r="AW202" i="3"/>
  <c r="BA202" i="3" s="1"/>
  <c r="F202" i="3"/>
  <c r="AW201" i="3"/>
  <c r="BA201" i="3" s="1"/>
  <c r="F201" i="3"/>
  <c r="AW200" i="3"/>
  <c r="BA200" i="3" s="1"/>
  <c r="F200" i="3"/>
  <c r="AW199" i="3"/>
  <c r="BA199" i="3" s="1"/>
  <c r="F199" i="3"/>
  <c r="AW198" i="3"/>
  <c r="BA198" i="3" s="1"/>
  <c r="F198" i="3"/>
  <c r="AW197" i="3"/>
  <c r="BA197" i="3" s="1"/>
  <c r="F197" i="3"/>
  <c r="AW196" i="3"/>
  <c r="BA196" i="3" s="1"/>
  <c r="F196" i="3"/>
  <c r="AW195" i="3"/>
  <c r="BA195" i="3" s="1"/>
  <c r="F195" i="3"/>
  <c r="AW194" i="3"/>
  <c r="BA194" i="3" s="1"/>
  <c r="F194" i="3"/>
  <c r="AW193" i="3"/>
  <c r="BA193" i="3" s="1"/>
  <c r="F193" i="3"/>
  <c r="AW192" i="3"/>
  <c r="BA192" i="3" s="1"/>
  <c r="F192" i="3"/>
  <c r="AW191" i="3"/>
  <c r="BA191" i="3" s="1"/>
  <c r="F191" i="3"/>
  <c r="AW190" i="3"/>
  <c r="BA190" i="3" s="1"/>
  <c r="U190" i="3"/>
  <c r="F190" i="3"/>
  <c r="AW189" i="3"/>
  <c r="BA189" i="3" s="1"/>
  <c r="F189" i="3"/>
  <c r="AW188" i="3"/>
  <c r="BA188" i="3" s="1"/>
  <c r="U188" i="3"/>
  <c r="F188" i="3"/>
  <c r="AW187" i="3"/>
  <c r="BA187" i="3" s="1"/>
  <c r="F187" i="3"/>
  <c r="AW186" i="3"/>
  <c r="BA186" i="3" s="1"/>
  <c r="F186" i="3"/>
  <c r="AW185" i="3"/>
  <c r="BA185" i="3" s="1"/>
  <c r="F185" i="3"/>
  <c r="AW184" i="3"/>
  <c r="BA184" i="3" s="1"/>
  <c r="F184" i="3"/>
  <c r="AW183" i="3"/>
  <c r="BA183" i="3" s="1"/>
  <c r="F183" i="3"/>
  <c r="AW182" i="3"/>
  <c r="BA182" i="3" s="1"/>
  <c r="BD182" i="3" s="1"/>
  <c r="F182" i="3"/>
  <c r="BA1072" i="3" l="1"/>
  <c r="BA985" i="3"/>
  <c r="AW658" i="3" a="1"/>
  <c r="AW658" i="3" s="1"/>
  <c r="Z658" i="3"/>
  <c r="AU658" i="3"/>
  <c r="BA1098" i="3"/>
  <c r="BA1173" i="3"/>
  <c r="BA1304" i="3"/>
  <c r="BD1304" i="3" s="1"/>
  <c r="BA1056" i="3" s="1"/>
  <c r="BA1150" i="3"/>
  <c r="BD1150" i="3" s="1"/>
  <c r="BA1149" i="3" s="1"/>
  <c r="BD1149" i="3" s="1"/>
  <c r="BA1141" i="3" s="1"/>
  <c r="BD1141" i="3" s="1"/>
  <c r="BA1136" i="3" s="1"/>
  <c r="BA1298" i="3"/>
  <c r="BA1310" i="3"/>
  <c r="BA1130" i="3"/>
  <c r="BD1130" i="3" s="1"/>
  <c r="BA1125" i="3" s="1"/>
  <c r="BD1125" i="3" s="1"/>
  <c r="BA1262" i="3"/>
  <c r="BC291" i="3"/>
  <c r="BD291" i="3"/>
  <c r="BB291" i="3"/>
  <c r="BB626" i="3"/>
  <c r="BC626" i="3"/>
  <c r="BD626" i="3"/>
  <c r="BD701" i="3"/>
  <c r="BC701" i="3"/>
  <c r="BB701" i="3"/>
  <c r="BC805" i="3"/>
  <c r="BD805" i="3"/>
  <c r="BB805" i="3"/>
  <c r="BD964" i="3"/>
  <c r="BC964" i="3"/>
  <c r="BB964" i="3"/>
  <c r="BC229" i="3"/>
  <c r="BB229" i="3"/>
  <c r="BD229" i="3"/>
  <c r="BD246" i="3"/>
  <c r="BB246" i="3"/>
  <c r="BC246" i="3"/>
  <c r="BB186" i="3"/>
  <c r="BD186" i="3"/>
  <c r="BC186" i="3"/>
  <c r="BD193" i="3"/>
  <c r="BB193" i="3"/>
  <c r="BC193" i="3"/>
  <c r="BB201" i="3"/>
  <c r="BD201" i="3"/>
  <c r="BC201" i="3"/>
  <c r="BB209" i="3"/>
  <c r="BD209" i="3"/>
  <c r="BC209" i="3"/>
  <c r="BC304" i="3"/>
  <c r="BB304" i="3"/>
  <c r="BD304" i="3"/>
  <c r="BC312" i="3"/>
  <c r="BB312" i="3"/>
  <c r="BD312" i="3"/>
  <c r="BB320" i="3"/>
  <c r="BD320" i="3"/>
  <c r="BC320" i="3"/>
  <c r="BC328" i="3"/>
  <c r="BD328" i="3"/>
  <c r="BB328" i="3"/>
  <c r="BD336" i="3"/>
  <c r="BC336" i="3"/>
  <c r="BB336" i="3"/>
  <c r="BC344" i="3"/>
  <c r="BD344" i="3"/>
  <c r="BB344" i="3"/>
  <c r="BC352" i="3"/>
  <c r="BD352" i="3"/>
  <c r="BB352" i="3"/>
  <c r="BC423" i="3"/>
  <c r="BB423" i="3"/>
  <c r="BD423" i="3"/>
  <c r="BB431" i="3"/>
  <c r="BC431" i="3"/>
  <c r="BD431" i="3"/>
  <c r="BB439" i="3"/>
  <c r="BC439" i="3"/>
  <c r="BD439" i="3"/>
  <c r="BD447" i="3"/>
  <c r="BC447" i="3"/>
  <c r="BB447" i="3"/>
  <c r="BC455" i="3"/>
  <c r="BB455" i="3"/>
  <c r="BD455" i="3"/>
  <c r="BC463" i="3"/>
  <c r="BD463" i="3"/>
  <c r="BB463" i="3"/>
  <c r="BB471" i="3"/>
  <c r="BC471" i="3"/>
  <c r="BD471" i="3"/>
  <c r="BD494" i="3"/>
  <c r="BB494" i="3"/>
  <c r="BC494" i="3"/>
  <c r="BC502" i="3"/>
  <c r="BB502" i="3"/>
  <c r="BD502" i="3"/>
  <c r="BD510" i="3"/>
  <c r="BC510" i="3"/>
  <c r="BB510" i="3"/>
  <c r="BD518" i="3"/>
  <c r="BC518" i="3"/>
  <c r="BB518" i="3"/>
  <c r="BD526" i="3"/>
  <c r="BC526" i="3"/>
  <c r="BB526" i="3"/>
  <c r="BB534" i="3"/>
  <c r="BD534" i="3"/>
  <c r="BC534" i="3"/>
  <c r="BB542" i="3"/>
  <c r="BC542" i="3"/>
  <c r="BD542" i="3"/>
  <c r="BB550" i="3"/>
  <c r="BD550" i="3"/>
  <c r="BC550" i="3"/>
  <c r="BC558" i="3"/>
  <c r="BD558" i="3"/>
  <c r="BB558" i="3"/>
  <c r="BC566" i="3"/>
  <c r="BB566" i="3"/>
  <c r="BD566" i="3"/>
  <c r="BC574" i="3"/>
  <c r="BB574" i="3"/>
  <c r="BD574" i="3"/>
  <c r="BC582" i="3"/>
  <c r="BD582" i="3"/>
  <c r="BB582" i="3"/>
  <c r="BD590" i="3"/>
  <c r="BB590" i="3"/>
  <c r="BC590" i="3"/>
  <c r="BB598" i="3"/>
  <c r="BC598" i="3"/>
  <c r="BD598" i="3"/>
  <c r="BB607" i="3"/>
  <c r="BC607" i="3"/>
  <c r="BD607" i="3"/>
  <c r="BC615" i="3"/>
  <c r="BD615" i="3"/>
  <c r="BB615" i="3"/>
  <c r="BB623" i="3"/>
  <c r="BC623" i="3"/>
  <c r="BD623" i="3"/>
  <c r="BB834" i="3"/>
  <c r="BC834" i="3"/>
  <c r="BD834" i="3"/>
  <c r="BC969" i="3"/>
  <c r="BB969" i="3"/>
  <c r="BD969" i="3"/>
  <c r="BB977" i="3"/>
  <c r="BC977" i="3"/>
  <c r="BD977" i="3"/>
  <c r="BC993" i="3"/>
  <c r="BB993" i="3"/>
  <c r="BD993" i="3"/>
  <c r="BB1001" i="3"/>
  <c r="BD1001" i="3"/>
  <c r="BC1001" i="3"/>
  <c r="BC1017" i="3"/>
  <c r="BD1017" i="3"/>
  <c r="BB1017" i="3"/>
  <c r="BA1032" i="3"/>
  <c r="BA1079" i="3"/>
  <c r="BD1079" i="3" s="1"/>
  <c r="BA1066" i="3" s="1"/>
  <c r="BD1096" i="3"/>
  <c r="BC1096" i="3"/>
  <c r="BB1096" i="3"/>
  <c r="X1112" i="3"/>
  <c r="W1112" i="3"/>
  <c r="V1112" i="3"/>
  <c r="BC1208" i="3"/>
  <c r="BD1208" i="3"/>
  <c r="BB1208" i="3"/>
  <c r="BC1216" i="3"/>
  <c r="BB1216" i="3"/>
  <c r="BD1216" i="3"/>
  <c r="BD1224" i="3"/>
  <c r="BB1224" i="3"/>
  <c r="BC1224" i="3"/>
  <c r="X1235" i="3"/>
  <c r="V1235" i="3"/>
  <c r="W1235" i="3"/>
  <c r="BC1240" i="3"/>
  <c r="BD1240" i="3"/>
  <c r="BB1240" i="3"/>
  <c r="W1251" i="3"/>
  <c r="V1251" i="3"/>
  <c r="X1251" i="3"/>
  <c r="BC1256" i="3"/>
  <c r="BB1256" i="3"/>
  <c r="BD1256" i="3"/>
  <c r="W1267" i="3"/>
  <c r="X1267" i="3"/>
  <c r="V1267" i="3"/>
  <c r="W1273" i="3"/>
  <c r="V1273" i="3"/>
  <c r="X1273" i="3"/>
  <c r="V1284" i="3"/>
  <c r="W1284" i="3"/>
  <c r="X1284" i="3"/>
  <c r="BC1289" i="3"/>
  <c r="BB1289" i="3"/>
  <c r="BD1289" i="3"/>
  <c r="W1300" i="3"/>
  <c r="X1300" i="3"/>
  <c r="V1300" i="3"/>
  <c r="X1306" i="3"/>
  <c r="W1306" i="3"/>
  <c r="V1306" i="3"/>
  <c r="X1312" i="3"/>
  <c r="W1312" i="3"/>
  <c r="V1312" i="3"/>
  <c r="BA1191" i="3"/>
  <c r="BD1191" i="3" s="1"/>
  <c r="BA1204" i="3" s="1"/>
  <c r="BD1204" i="3" s="1"/>
  <c r="BA1314" i="3" s="1"/>
  <c r="BD1314" i="3" s="1"/>
  <c r="BA1313" i="3" s="1"/>
  <c r="BD1313" i="3" s="1"/>
  <c r="BA1309" i="3" s="1"/>
  <c r="BB1325" i="3"/>
  <c r="BC1325" i="3"/>
  <c r="BD1325" i="3"/>
  <c r="BB1332" i="3"/>
  <c r="BC1332" i="3"/>
  <c r="BD1332" i="3"/>
  <c r="BD1347" i="3"/>
  <c r="BC1347" i="3"/>
  <c r="BB1347" i="3"/>
  <c r="X1354" i="3"/>
  <c r="V1354" i="3"/>
  <c r="W1354" i="3"/>
  <c r="BB1362" i="3"/>
  <c r="BC1362" i="3"/>
  <c r="BD1362" i="3"/>
  <c r="BB1369" i="3"/>
  <c r="BD1369" i="3"/>
  <c r="BC1369" i="3"/>
  <c r="BB1376" i="3"/>
  <c r="BC1376" i="3"/>
  <c r="BD1376" i="3"/>
  <c r="BC1404" i="3"/>
  <c r="BD1404" i="3"/>
  <c r="BB1404" i="3"/>
  <c r="BD267" i="3"/>
  <c r="BB267" i="3"/>
  <c r="BC267" i="3"/>
  <c r="BC362" i="3"/>
  <c r="BD362" i="3"/>
  <c r="BB362" i="3"/>
  <c r="BB402" i="3"/>
  <c r="BC402" i="3"/>
  <c r="BD402" i="3"/>
  <c r="BC481" i="3"/>
  <c r="BB481" i="3"/>
  <c r="BD481" i="3"/>
  <c r="BD652" i="3"/>
  <c r="BB652" i="3"/>
  <c r="BC652" i="3"/>
  <c r="BD677" i="3"/>
  <c r="BC677" i="3"/>
  <c r="BB677" i="3"/>
  <c r="BC709" i="3"/>
  <c r="BD709" i="3"/>
  <c r="BB709" i="3"/>
  <c r="BD757" i="3"/>
  <c r="BC757" i="3"/>
  <c r="BB757" i="3"/>
  <c r="BB781" i="3"/>
  <c r="BC781" i="3"/>
  <c r="BD781" i="3"/>
  <c r="BC821" i="3"/>
  <c r="BD821" i="3"/>
  <c r="BB821" i="3"/>
  <c r="BB852" i="3"/>
  <c r="BD852" i="3"/>
  <c r="BC852" i="3"/>
  <c r="BB876" i="3"/>
  <c r="BC876" i="3"/>
  <c r="BD876" i="3"/>
  <c r="BB217" i="3"/>
  <c r="BD217" i="3"/>
  <c r="BC217" i="3"/>
  <c r="BB225" i="3"/>
  <c r="BD225" i="3"/>
  <c r="BC225" i="3"/>
  <c r="BC233" i="3"/>
  <c r="BD233" i="3"/>
  <c r="BB233" i="3"/>
  <c r="BC241" i="3"/>
  <c r="BB241" i="3"/>
  <c r="BD241" i="3"/>
  <c r="BB249" i="3"/>
  <c r="BC249" i="3"/>
  <c r="BD249" i="3"/>
  <c r="BC257" i="3"/>
  <c r="BB257" i="3"/>
  <c r="BD257" i="3"/>
  <c r="BD265" i="3"/>
  <c r="BC265" i="3"/>
  <c r="BB265" i="3"/>
  <c r="BD273" i="3"/>
  <c r="BC273" i="3"/>
  <c r="BB273" i="3"/>
  <c r="BB281" i="3"/>
  <c r="BD281" i="3"/>
  <c r="BC281" i="3"/>
  <c r="BC289" i="3"/>
  <c r="BD289" i="3"/>
  <c r="BB289" i="3"/>
  <c r="BD360" i="3"/>
  <c r="BB360" i="3"/>
  <c r="BC360" i="3"/>
  <c r="BC368" i="3"/>
  <c r="BD368" i="3"/>
  <c r="BB368" i="3"/>
  <c r="BC376" i="3"/>
  <c r="BB376" i="3"/>
  <c r="BD376" i="3"/>
  <c r="BD384" i="3"/>
  <c r="BC384" i="3"/>
  <c r="BB384" i="3"/>
  <c r="BC392" i="3"/>
  <c r="BB392" i="3"/>
  <c r="BD392" i="3"/>
  <c r="BD400" i="3"/>
  <c r="BC400" i="3"/>
  <c r="BB400" i="3"/>
  <c r="BC408" i="3"/>
  <c r="BD408" i="3"/>
  <c r="BB408" i="3"/>
  <c r="BC416" i="3"/>
  <c r="BB416" i="3"/>
  <c r="BD416" i="3"/>
  <c r="BD479" i="3"/>
  <c r="BC479" i="3"/>
  <c r="BB479" i="3"/>
  <c r="W487" i="3"/>
  <c r="X487" i="3"/>
  <c r="V487" i="3"/>
  <c r="BC633" i="3"/>
  <c r="BB633" i="3"/>
  <c r="BD633" i="3"/>
  <c r="BC641" i="3"/>
  <c r="BB641" i="3"/>
  <c r="BD641" i="3"/>
  <c r="BC650" i="3"/>
  <c r="BB650" i="3"/>
  <c r="BD650" i="3"/>
  <c r="BC667" i="3"/>
  <c r="BD667" i="3"/>
  <c r="BB667" i="3"/>
  <c r="BC675" i="3"/>
  <c r="BB675" i="3"/>
  <c r="BD675" i="3"/>
  <c r="BC683" i="3"/>
  <c r="BB683" i="3"/>
  <c r="BD683" i="3"/>
  <c r="BD691" i="3"/>
  <c r="BC691" i="3"/>
  <c r="BB691" i="3"/>
  <c r="BB699" i="3"/>
  <c r="BD699" i="3"/>
  <c r="BC699" i="3"/>
  <c r="BD707" i="3"/>
  <c r="BB707" i="3"/>
  <c r="BC707" i="3"/>
  <c r="BC715" i="3"/>
  <c r="BD715" i="3"/>
  <c r="BB715" i="3"/>
  <c r="BD723" i="3"/>
  <c r="BC723" i="3"/>
  <c r="BB723" i="3"/>
  <c r="BB731" i="3"/>
  <c r="BC731" i="3"/>
  <c r="BD731" i="3"/>
  <c r="BC739" i="3"/>
  <c r="BD739" i="3"/>
  <c r="BB739" i="3"/>
  <c r="BC747" i="3"/>
  <c r="BB747" i="3"/>
  <c r="BD747" i="3"/>
  <c r="BD755" i="3"/>
  <c r="BC755" i="3"/>
  <c r="BB755" i="3"/>
  <c r="BC763" i="3"/>
  <c r="BD763" i="3"/>
  <c r="BB763" i="3"/>
  <c r="BC771" i="3"/>
  <c r="BD771" i="3"/>
  <c r="BB771" i="3"/>
  <c r="BC779" i="3"/>
  <c r="BD779" i="3"/>
  <c r="BB779" i="3"/>
  <c r="BC787" i="3"/>
  <c r="BB787" i="3"/>
  <c r="BD787" i="3"/>
  <c r="BB795" i="3"/>
  <c r="BC795" i="3"/>
  <c r="BD795" i="3"/>
  <c r="BC803" i="3"/>
  <c r="BD803" i="3"/>
  <c r="BB803" i="3"/>
  <c r="BB811" i="3"/>
  <c r="BC811" i="3"/>
  <c r="BD811" i="3"/>
  <c r="BB819" i="3"/>
  <c r="BD819" i="3"/>
  <c r="BC819" i="3"/>
  <c r="BD827" i="3"/>
  <c r="BB827" i="3"/>
  <c r="BC827" i="3"/>
  <c r="BC842" i="3"/>
  <c r="BD842" i="3"/>
  <c r="BB842" i="3"/>
  <c r="BD850" i="3"/>
  <c r="BB850" i="3"/>
  <c r="BC850" i="3"/>
  <c r="BD858" i="3"/>
  <c r="BC858" i="3"/>
  <c r="BB858" i="3"/>
  <c r="BC866" i="3"/>
  <c r="BB866" i="3"/>
  <c r="BD866" i="3"/>
  <c r="BC874" i="3"/>
  <c r="BB874" i="3"/>
  <c r="BD874" i="3"/>
  <c r="BC882" i="3"/>
  <c r="BB882" i="3"/>
  <c r="BD882" i="3"/>
  <c r="BD890" i="3"/>
  <c r="BC890" i="3"/>
  <c r="BB890" i="3"/>
  <c r="BC898" i="3"/>
  <c r="BD898" i="3"/>
  <c r="BB898" i="3"/>
  <c r="BC906" i="3"/>
  <c r="BB906" i="3"/>
  <c r="BD906" i="3"/>
  <c r="BC914" i="3"/>
  <c r="BB914" i="3"/>
  <c r="BD914" i="3"/>
  <c r="BB922" i="3"/>
  <c r="BC922" i="3"/>
  <c r="BD922" i="3"/>
  <c r="BD930" i="3"/>
  <c r="BB930" i="3"/>
  <c r="BC930" i="3"/>
  <c r="BB938" i="3"/>
  <c r="BC938" i="3"/>
  <c r="BD938" i="3"/>
  <c r="BC946" i="3"/>
  <c r="BB946" i="3"/>
  <c r="BD946" i="3"/>
  <c r="BC954" i="3"/>
  <c r="BD954" i="3"/>
  <c r="BB954" i="3"/>
  <c r="BC962" i="3"/>
  <c r="BB962" i="3"/>
  <c r="BD962" i="3"/>
  <c r="BB1041" i="3"/>
  <c r="BC1041" i="3"/>
  <c r="BD1041" i="3"/>
  <c r="V1065" i="3"/>
  <c r="X1065" i="3"/>
  <c r="W1065" i="3"/>
  <c r="BB1160" i="3"/>
  <c r="BD1160" i="3"/>
  <c r="BC1160" i="3"/>
  <c r="BC1168" i="3"/>
  <c r="BB1168" i="3"/>
  <c r="BD1168" i="3"/>
  <c r="BD1173" i="3"/>
  <c r="BC1173" i="3"/>
  <c r="BB1173" i="3"/>
  <c r="BD1184" i="3"/>
  <c r="BB1184" i="3"/>
  <c r="BC1184" i="3"/>
  <c r="BC1269" i="3"/>
  <c r="BB1269" i="3"/>
  <c r="BD1269" i="3"/>
  <c r="BD1200" i="3"/>
  <c r="BC1200" i="3"/>
  <c r="BB1200" i="3"/>
  <c r="V1230" i="3"/>
  <c r="X1230" i="3"/>
  <c r="W1230" i="3"/>
  <c r="BD1235" i="3"/>
  <c r="BC1235" i="3"/>
  <c r="BB1235" i="3"/>
  <c r="W1246" i="3"/>
  <c r="V1246" i="3"/>
  <c r="X1246" i="3"/>
  <c r="BD1251" i="3"/>
  <c r="BB1251" i="3"/>
  <c r="BC1251" i="3"/>
  <c r="W1262" i="3"/>
  <c r="X1262" i="3"/>
  <c r="V1262" i="3"/>
  <c r="BD1273" i="3"/>
  <c r="BB1273" i="3"/>
  <c r="BC1273" i="3"/>
  <c r="V1279" i="3"/>
  <c r="X1279" i="3"/>
  <c r="W1279" i="3"/>
  <c r="BD1284" i="3"/>
  <c r="BC1284" i="3"/>
  <c r="BB1284" i="3"/>
  <c r="W1295" i="3"/>
  <c r="X1295" i="3"/>
  <c r="V1295" i="3"/>
  <c r="BB1340" i="3"/>
  <c r="BC1340" i="3"/>
  <c r="BD1340" i="3"/>
  <c r="BD1354" i="3"/>
  <c r="BC1354" i="3"/>
  <c r="BB1354" i="3"/>
  <c r="BC251" i="3"/>
  <c r="BB251" i="3"/>
  <c r="BD251" i="3"/>
  <c r="BD844" i="3"/>
  <c r="BB844" i="3"/>
  <c r="BC844" i="3"/>
  <c r="BB187" i="3"/>
  <c r="BD187" i="3"/>
  <c r="BC187" i="3"/>
  <c r="BD194" i="3"/>
  <c r="BC194" i="3"/>
  <c r="BB194" i="3"/>
  <c r="BD202" i="3"/>
  <c r="BC202" i="3"/>
  <c r="BB202" i="3"/>
  <c r="BD210" i="3"/>
  <c r="BB210" i="3"/>
  <c r="BC210" i="3"/>
  <c r="BC305" i="3"/>
  <c r="BD305" i="3"/>
  <c r="BB305" i="3"/>
  <c r="BD313" i="3"/>
  <c r="BC313" i="3"/>
  <c r="BB313" i="3"/>
  <c r="BD321" i="3"/>
  <c r="BC321" i="3"/>
  <c r="BB321" i="3"/>
  <c r="BD329" i="3"/>
  <c r="BC329" i="3"/>
  <c r="BB329" i="3"/>
  <c r="BC337" i="3"/>
  <c r="BD337" i="3"/>
  <c r="BB337" i="3"/>
  <c r="BD345" i="3"/>
  <c r="BB345" i="3"/>
  <c r="BC345" i="3"/>
  <c r="BC353" i="3"/>
  <c r="BB353" i="3"/>
  <c r="BD353" i="3"/>
  <c r="BC424" i="3"/>
  <c r="BD424" i="3"/>
  <c r="BB424" i="3"/>
  <c r="BD432" i="3"/>
  <c r="BC432" i="3"/>
  <c r="BB432" i="3"/>
  <c r="BC440" i="3"/>
  <c r="BB440" i="3"/>
  <c r="BD440" i="3"/>
  <c r="BD448" i="3"/>
  <c r="BB448" i="3"/>
  <c r="BC448" i="3"/>
  <c r="BB456" i="3"/>
  <c r="BC456" i="3"/>
  <c r="BD456" i="3"/>
  <c r="BC464" i="3"/>
  <c r="BB464" i="3"/>
  <c r="BD464" i="3"/>
  <c r="BC472" i="3"/>
  <c r="BB472" i="3"/>
  <c r="BD472" i="3"/>
  <c r="BB487" i="3"/>
  <c r="BC487" i="3"/>
  <c r="BD487" i="3"/>
  <c r="BD495" i="3"/>
  <c r="BB495" i="3"/>
  <c r="BC495" i="3"/>
  <c r="BB503" i="3"/>
  <c r="BC503" i="3"/>
  <c r="BD503" i="3"/>
  <c r="BC511" i="3"/>
  <c r="BD511" i="3"/>
  <c r="BB511" i="3"/>
  <c r="BC519" i="3"/>
  <c r="BB519" i="3"/>
  <c r="BD519" i="3"/>
  <c r="BD527" i="3"/>
  <c r="BB527" i="3"/>
  <c r="BC527" i="3"/>
  <c r="BD535" i="3"/>
  <c r="BC535" i="3"/>
  <c r="BB535" i="3"/>
  <c r="BC543" i="3"/>
  <c r="BB543" i="3"/>
  <c r="BD543" i="3"/>
  <c r="BB551" i="3"/>
  <c r="BD551" i="3"/>
  <c r="BC551" i="3"/>
  <c r="BC559" i="3"/>
  <c r="BB559" i="3"/>
  <c r="BD559" i="3"/>
  <c r="BD567" i="3"/>
  <c r="BB567" i="3"/>
  <c r="BC567" i="3"/>
  <c r="BC575" i="3"/>
  <c r="BD575" i="3"/>
  <c r="BB575" i="3"/>
  <c r="BC583" i="3"/>
  <c r="BB583" i="3"/>
  <c r="BD583" i="3"/>
  <c r="BC591" i="3"/>
  <c r="BD591" i="3"/>
  <c r="BB591" i="3"/>
  <c r="BB599" i="3"/>
  <c r="BD599" i="3"/>
  <c r="BC599" i="3"/>
  <c r="BC608" i="3"/>
  <c r="BD608" i="3"/>
  <c r="BB608" i="3"/>
  <c r="BC616" i="3"/>
  <c r="BD616" i="3"/>
  <c r="BB616" i="3"/>
  <c r="BC624" i="3"/>
  <c r="BD624" i="3"/>
  <c r="BB624" i="3"/>
  <c r="BB642" i="3"/>
  <c r="BD642" i="3"/>
  <c r="BC642" i="3"/>
  <c r="BC659" i="3"/>
  <c r="BD659" i="3"/>
  <c r="BB659" i="3"/>
  <c r="BB835" i="3"/>
  <c r="BD835" i="3"/>
  <c r="BC835" i="3"/>
  <c r="BB970" i="3"/>
  <c r="BD970" i="3"/>
  <c r="BC970" i="3"/>
  <c r="BC978" i="3"/>
  <c r="BB978" i="3"/>
  <c r="BD978" i="3"/>
  <c r="BD994" i="3"/>
  <c r="BB994" i="3"/>
  <c r="BC994" i="3"/>
  <c r="BB1002" i="3"/>
  <c r="BC1002" i="3"/>
  <c r="BD1002" i="3"/>
  <c r="BC1018" i="3"/>
  <c r="BB1018" i="3"/>
  <c r="BD1018" i="3"/>
  <c r="BC1021" i="3"/>
  <c r="BD1021" i="3"/>
  <c r="BB1021" i="3"/>
  <c r="BB1034" i="3"/>
  <c r="BD1034" i="3"/>
  <c r="BC1034" i="3"/>
  <c r="BB1056" i="3"/>
  <c r="BC1056" i="3"/>
  <c r="BD1056" i="3"/>
  <c r="BA1084" i="3"/>
  <c r="BA1097" i="3"/>
  <c r="BB1209" i="3"/>
  <c r="BD1209" i="3"/>
  <c r="BC1209" i="3"/>
  <c r="BD1217" i="3"/>
  <c r="BB1217" i="3"/>
  <c r="BC1217" i="3"/>
  <c r="V1225" i="3"/>
  <c r="W1225" i="3"/>
  <c r="X1225" i="3"/>
  <c r="BD1230" i="3"/>
  <c r="BC1230" i="3"/>
  <c r="BB1230" i="3"/>
  <c r="V1241" i="3"/>
  <c r="X1241" i="3"/>
  <c r="W1241" i="3"/>
  <c r="BD1246" i="3"/>
  <c r="BB1246" i="3"/>
  <c r="BC1246" i="3"/>
  <c r="V1257" i="3"/>
  <c r="W1257" i="3"/>
  <c r="X1257" i="3"/>
  <c r="BD1279" i="3"/>
  <c r="BB1279" i="3"/>
  <c r="BC1279" i="3"/>
  <c r="X1290" i="3"/>
  <c r="V1290" i="3"/>
  <c r="W1290" i="3"/>
  <c r="V1326" i="3"/>
  <c r="W1326" i="3"/>
  <c r="X1326" i="3"/>
  <c r="AD6" i="122" s="1"/>
  <c r="U1325" i="3" a="1"/>
  <c r="U1325" i="3" s="1"/>
  <c r="BC1333" i="3"/>
  <c r="BB1333" i="3"/>
  <c r="BD1333" i="3"/>
  <c r="V1348" i="3"/>
  <c r="W1348" i="3"/>
  <c r="X1348" i="3"/>
  <c r="BD1363" i="3"/>
  <c r="BB1363" i="3"/>
  <c r="BC1363" i="3"/>
  <c r="W1370" i="3"/>
  <c r="X1370" i="3"/>
  <c r="V1370" i="3"/>
  <c r="X1377" i="3"/>
  <c r="V1377" i="3"/>
  <c r="W1377" i="3"/>
  <c r="V1398" i="3"/>
  <c r="W1398" i="3"/>
  <c r="X1398" i="3"/>
  <c r="BC1405" i="3"/>
  <c r="BD1405" i="3"/>
  <c r="BB1405" i="3"/>
  <c r="BC370" i="3"/>
  <c r="BB370" i="3"/>
  <c r="BD370" i="3"/>
  <c r="BD741" i="3"/>
  <c r="BB741" i="3"/>
  <c r="BC741" i="3"/>
  <c r="BC226" i="3"/>
  <c r="BD226" i="3"/>
  <c r="BB226" i="3"/>
  <c r="BD242" i="3"/>
  <c r="BC242" i="3"/>
  <c r="BB242" i="3"/>
  <c r="BB258" i="3"/>
  <c r="BC258" i="3"/>
  <c r="BD258" i="3"/>
  <c r="BD266" i="3"/>
  <c r="BC266" i="3"/>
  <c r="BB266" i="3"/>
  <c r="BD282" i="3"/>
  <c r="BC282" i="3"/>
  <c r="BB282" i="3"/>
  <c r="BC361" i="3"/>
  <c r="BB361" i="3"/>
  <c r="BD361" i="3"/>
  <c r="BD369" i="3"/>
  <c r="BB369" i="3"/>
  <c r="BC369" i="3"/>
  <c r="BD377" i="3"/>
  <c r="BC377" i="3"/>
  <c r="BB377" i="3"/>
  <c r="BB393" i="3"/>
  <c r="BD393" i="3"/>
  <c r="BC393" i="3"/>
  <c r="BC401" i="3"/>
  <c r="BB401" i="3"/>
  <c r="BD401" i="3"/>
  <c r="BB409" i="3"/>
  <c r="BC409" i="3"/>
  <c r="BD409" i="3"/>
  <c r="BC417" i="3"/>
  <c r="BB417" i="3"/>
  <c r="BD417" i="3"/>
  <c r="BD480" i="3"/>
  <c r="BC480" i="3"/>
  <c r="BB480" i="3"/>
  <c r="X634" i="3"/>
  <c r="V634" i="3"/>
  <c r="W634" i="3"/>
  <c r="BC651" i="3"/>
  <c r="BD651" i="3"/>
  <c r="BB651" i="3"/>
  <c r="BB668" i="3"/>
  <c r="BD668" i="3"/>
  <c r="BC668" i="3"/>
  <c r="BB676" i="3"/>
  <c r="BC676" i="3"/>
  <c r="BD676" i="3"/>
  <c r="BB684" i="3"/>
  <c r="BC684" i="3"/>
  <c r="BD684" i="3"/>
  <c r="BD692" i="3"/>
  <c r="BC692" i="3"/>
  <c r="BB692" i="3"/>
  <c r="BD700" i="3"/>
  <c r="BC700" i="3"/>
  <c r="BB700" i="3"/>
  <c r="BD708" i="3"/>
  <c r="BB708" i="3"/>
  <c r="BC708" i="3"/>
  <c r="BC716" i="3"/>
  <c r="BD716" i="3"/>
  <c r="BB716" i="3"/>
  <c r="BD724" i="3"/>
  <c r="BB724" i="3"/>
  <c r="BC724" i="3"/>
  <c r="BD732" i="3"/>
  <c r="BB732" i="3"/>
  <c r="BC732" i="3"/>
  <c r="BB740" i="3"/>
  <c r="BC740" i="3"/>
  <c r="BD740" i="3"/>
  <c r="BB748" i="3"/>
  <c r="BC748" i="3"/>
  <c r="BD748" i="3"/>
  <c r="BC756" i="3"/>
  <c r="BB756" i="3"/>
  <c r="BD756" i="3"/>
  <c r="BD764" i="3"/>
  <c r="BC764" i="3"/>
  <c r="BB764" i="3"/>
  <c r="BD772" i="3"/>
  <c r="BC772" i="3"/>
  <c r="BB772" i="3"/>
  <c r="BC780" i="3"/>
  <c r="BB780" i="3"/>
  <c r="BD780" i="3"/>
  <c r="BD788" i="3"/>
  <c r="BC788" i="3"/>
  <c r="BB788" i="3"/>
  <c r="BD796" i="3"/>
  <c r="BC796" i="3"/>
  <c r="BB796" i="3"/>
  <c r="BC804" i="3"/>
  <c r="BB804" i="3"/>
  <c r="BD804" i="3"/>
  <c r="BB812" i="3"/>
  <c r="BC812" i="3"/>
  <c r="BD812" i="3"/>
  <c r="BB820" i="3"/>
  <c r="BC820" i="3"/>
  <c r="BD820" i="3"/>
  <c r="BC828" i="3"/>
  <c r="BD828" i="3"/>
  <c r="BB828" i="3"/>
  <c r="BD843" i="3"/>
  <c r="BC843" i="3"/>
  <c r="BB843" i="3"/>
  <c r="BB851" i="3"/>
  <c r="BC851" i="3"/>
  <c r="BD851" i="3"/>
  <c r="BD859" i="3"/>
  <c r="BC859" i="3"/>
  <c r="BB859" i="3"/>
  <c r="BC867" i="3"/>
  <c r="BD867" i="3"/>
  <c r="BB867" i="3"/>
  <c r="BD875" i="3"/>
  <c r="BC875" i="3"/>
  <c r="BB875" i="3"/>
  <c r="BC883" i="3"/>
  <c r="BD883" i="3"/>
  <c r="BB883" i="3"/>
  <c r="BD891" i="3"/>
  <c r="BC891" i="3"/>
  <c r="BB891" i="3"/>
  <c r="BD899" i="3"/>
  <c r="BC899" i="3"/>
  <c r="BB899" i="3"/>
  <c r="BD907" i="3"/>
  <c r="BC907" i="3"/>
  <c r="BB907" i="3"/>
  <c r="BD915" i="3"/>
  <c r="BC915" i="3"/>
  <c r="BB915" i="3"/>
  <c r="BB923" i="3"/>
  <c r="BC923" i="3"/>
  <c r="BD923" i="3"/>
  <c r="BD931" i="3"/>
  <c r="BC931" i="3"/>
  <c r="BB931" i="3"/>
  <c r="BB939" i="3"/>
  <c r="BD939" i="3"/>
  <c r="BC939" i="3"/>
  <c r="BC947" i="3"/>
  <c r="BD947" i="3"/>
  <c r="BB947" i="3"/>
  <c r="BC955" i="3"/>
  <c r="BD955" i="3"/>
  <c r="BB955" i="3"/>
  <c r="BC963" i="3"/>
  <c r="BB963" i="3"/>
  <c r="BD963" i="3"/>
  <c r="BD1043" i="3"/>
  <c r="BB1043" i="3"/>
  <c r="BC1043" i="3"/>
  <c r="BD1051" i="3"/>
  <c r="BC1051" i="3"/>
  <c r="BB1051" i="3"/>
  <c r="BC1145" i="3"/>
  <c r="BB1145" i="3"/>
  <c r="BD1145" i="3"/>
  <c r="BC1136" i="3"/>
  <c r="BB1136" i="3"/>
  <c r="BD1136" i="3"/>
  <c r="BD1161" i="3"/>
  <c r="BC1161" i="3"/>
  <c r="BB1161" i="3"/>
  <c r="BC1169" i="3"/>
  <c r="BB1169" i="3"/>
  <c r="BD1169" i="3"/>
  <c r="BC1177" i="3"/>
  <c r="BD1177" i="3"/>
  <c r="BB1177" i="3"/>
  <c r="BB1185" i="3"/>
  <c r="BC1185" i="3"/>
  <c r="BD1185" i="3"/>
  <c r="BB1201" i="3"/>
  <c r="BD1201" i="3"/>
  <c r="BC1201" i="3"/>
  <c r="BB1225" i="3"/>
  <c r="BC1225" i="3"/>
  <c r="BD1225" i="3"/>
  <c r="X1236" i="3"/>
  <c r="V1236" i="3"/>
  <c r="W1236" i="3"/>
  <c r="BB1241" i="3"/>
  <c r="BD1241" i="3"/>
  <c r="BC1241" i="3"/>
  <c r="V1252" i="3"/>
  <c r="X1252" i="3"/>
  <c r="W1252" i="3"/>
  <c r="BC1257" i="3"/>
  <c r="BD1257" i="3"/>
  <c r="BB1257" i="3"/>
  <c r="W1268" i="3"/>
  <c r="X1268" i="3"/>
  <c r="V1268" i="3"/>
  <c r="BC1274" i="3"/>
  <c r="BD1274" i="3"/>
  <c r="BB1274" i="3"/>
  <c r="X1285" i="3"/>
  <c r="V1285" i="3"/>
  <c r="W1285" i="3"/>
  <c r="BD1290" i="3"/>
  <c r="BC1290" i="3"/>
  <c r="BB1290" i="3"/>
  <c r="BD1298" i="3"/>
  <c r="BC1298" i="3"/>
  <c r="BB1298" i="3"/>
  <c r="X1307" i="3"/>
  <c r="W1307" i="3"/>
  <c r="V1307" i="3"/>
  <c r="X1313" i="3"/>
  <c r="W1313" i="3"/>
  <c r="V1313" i="3"/>
  <c r="BB1326" i="3"/>
  <c r="BC1326" i="3"/>
  <c r="BD1326" i="3"/>
  <c r="BB1341" i="3"/>
  <c r="BC1341" i="3"/>
  <c r="BD1341" i="3"/>
  <c r="BB1348" i="3"/>
  <c r="BD1348" i="3"/>
  <c r="BC1348" i="3"/>
  <c r="BD1370" i="3"/>
  <c r="BB1370" i="3"/>
  <c r="BC1370" i="3"/>
  <c r="BB1377" i="3"/>
  <c r="BC1377" i="3"/>
  <c r="BD1377" i="3"/>
  <c r="BC1398" i="3"/>
  <c r="BD1398" i="3"/>
  <c r="BB1398" i="3"/>
  <c r="BC243" i="3"/>
  <c r="BB243" i="3"/>
  <c r="BD243" i="3"/>
  <c r="BD394" i="3"/>
  <c r="BC394" i="3"/>
  <c r="BB394" i="3"/>
  <c r="BB717" i="3"/>
  <c r="BD717" i="3"/>
  <c r="BC717" i="3"/>
  <c r="BD218" i="3"/>
  <c r="BC218" i="3"/>
  <c r="BB218" i="3"/>
  <c r="BB234" i="3"/>
  <c r="BC234" i="3"/>
  <c r="BD234" i="3"/>
  <c r="BB250" i="3"/>
  <c r="BC250" i="3"/>
  <c r="BD250" i="3"/>
  <c r="BD274" i="3"/>
  <c r="BB274" i="3"/>
  <c r="BC274" i="3"/>
  <c r="BC290" i="3"/>
  <c r="BB290" i="3"/>
  <c r="BD290" i="3"/>
  <c r="BC385" i="3"/>
  <c r="BB385" i="3"/>
  <c r="BD385" i="3"/>
  <c r="X188" i="3"/>
  <c r="V188" i="3"/>
  <c r="W188" i="3"/>
  <c r="BD195" i="3"/>
  <c r="BC195" i="3"/>
  <c r="BB195" i="3"/>
  <c r="BB203" i="3"/>
  <c r="BC203" i="3"/>
  <c r="BD203" i="3"/>
  <c r="BB211" i="3"/>
  <c r="BC211" i="3"/>
  <c r="BD211" i="3"/>
  <c r="BD306" i="3"/>
  <c r="BB306" i="3"/>
  <c r="BC306" i="3"/>
  <c r="BB314" i="3"/>
  <c r="BD314" i="3"/>
  <c r="BC314" i="3"/>
  <c r="BC322" i="3"/>
  <c r="BB322" i="3"/>
  <c r="BD322" i="3"/>
  <c r="BC330" i="3"/>
  <c r="BB330" i="3"/>
  <c r="BD330" i="3"/>
  <c r="BC338" i="3"/>
  <c r="BB338" i="3"/>
  <c r="BD338" i="3"/>
  <c r="BB346" i="3"/>
  <c r="BC346" i="3"/>
  <c r="BD346" i="3"/>
  <c r="BC354" i="3"/>
  <c r="BD354" i="3"/>
  <c r="BB354" i="3"/>
  <c r="BB425" i="3"/>
  <c r="BD425" i="3"/>
  <c r="BC425" i="3"/>
  <c r="BB433" i="3"/>
  <c r="BC433" i="3"/>
  <c r="BD433" i="3"/>
  <c r="BC441" i="3"/>
  <c r="BB441" i="3"/>
  <c r="BD441" i="3"/>
  <c r="BB449" i="3"/>
  <c r="BD449" i="3"/>
  <c r="BC449" i="3"/>
  <c r="BD457" i="3"/>
  <c r="BC457" i="3"/>
  <c r="BB457" i="3"/>
  <c r="BC465" i="3"/>
  <c r="BD465" i="3"/>
  <c r="BB465" i="3"/>
  <c r="BB473" i="3"/>
  <c r="BC473" i="3"/>
  <c r="BD473" i="3"/>
  <c r="BC488" i="3"/>
  <c r="BB488" i="3"/>
  <c r="BD488" i="3"/>
  <c r="BD496" i="3"/>
  <c r="BC496" i="3"/>
  <c r="BB496" i="3"/>
  <c r="BB504" i="3"/>
  <c r="BD504" i="3"/>
  <c r="BC504" i="3"/>
  <c r="BC512" i="3"/>
  <c r="BD512" i="3"/>
  <c r="BB512" i="3"/>
  <c r="BB520" i="3"/>
  <c r="BC520" i="3"/>
  <c r="BD520" i="3"/>
  <c r="BC528" i="3"/>
  <c r="BB528" i="3"/>
  <c r="BD528" i="3"/>
  <c r="BC536" i="3"/>
  <c r="BB536" i="3"/>
  <c r="BD536" i="3"/>
  <c r="BD544" i="3"/>
  <c r="BB544" i="3"/>
  <c r="BC544" i="3"/>
  <c r="BD552" i="3"/>
  <c r="BC552" i="3"/>
  <c r="BB552" i="3"/>
  <c r="BD560" i="3"/>
  <c r="BC560" i="3"/>
  <c r="BB560" i="3"/>
  <c r="BC568" i="3"/>
  <c r="BD568" i="3"/>
  <c r="BB568" i="3"/>
  <c r="BD576" i="3"/>
  <c r="BB576" i="3"/>
  <c r="BC576" i="3"/>
  <c r="BD584" i="3"/>
  <c r="BB584" i="3"/>
  <c r="BC584" i="3"/>
  <c r="BC592" i="3"/>
  <c r="BD592" i="3"/>
  <c r="BB592" i="3"/>
  <c r="BB600" i="3"/>
  <c r="BC600" i="3"/>
  <c r="BD600" i="3"/>
  <c r="BC609" i="3"/>
  <c r="BB609" i="3"/>
  <c r="BD609" i="3"/>
  <c r="BC617" i="3"/>
  <c r="BB617" i="3"/>
  <c r="BD617" i="3"/>
  <c r="BC625" i="3"/>
  <c r="BD625" i="3"/>
  <c r="BB625" i="3"/>
  <c r="BC634" i="3"/>
  <c r="BD634" i="3"/>
  <c r="BB634" i="3"/>
  <c r="BD643" i="3"/>
  <c r="BC643" i="3"/>
  <c r="BB643" i="3"/>
  <c r="BD660" i="3"/>
  <c r="BC660" i="3"/>
  <c r="BB660" i="3"/>
  <c r="BB836" i="3"/>
  <c r="BD836" i="3"/>
  <c r="BC836" i="3"/>
  <c r="BB971" i="3"/>
  <c r="BC971" i="3"/>
  <c r="BD971" i="3"/>
  <c r="BC979" i="3"/>
  <c r="BD979" i="3"/>
  <c r="BB979" i="3"/>
  <c r="BB995" i="3"/>
  <c r="BD995" i="3"/>
  <c r="BC995" i="3"/>
  <c r="BD1003" i="3"/>
  <c r="BB1003" i="3"/>
  <c r="BC1003" i="3"/>
  <c r="BD1027" i="3"/>
  <c r="BB1027" i="3"/>
  <c r="BC1027" i="3"/>
  <c r="BB1035" i="3"/>
  <c r="BC1035" i="3"/>
  <c r="BD1035" i="3"/>
  <c r="BD1090" i="3"/>
  <c r="BB1090" i="3"/>
  <c r="BC1090" i="3"/>
  <c r="BC1210" i="3"/>
  <c r="BB1210" i="3"/>
  <c r="BD1210" i="3"/>
  <c r="X1231" i="3"/>
  <c r="V1231" i="3"/>
  <c r="W1231" i="3"/>
  <c r="BD1236" i="3"/>
  <c r="BC1236" i="3"/>
  <c r="BB1236" i="3"/>
  <c r="W1247" i="3"/>
  <c r="V1247" i="3"/>
  <c r="X1247" i="3"/>
  <c r="BC1252" i="3"/>
  <c r="BB1252" i="3"/>
  <c r="BD1252" i="3"/>
  <c r="X1263" i="3"/>
  <c r="V1263" i="3"/>
  <c r="W1263" i="3"/>
  <c r="X1280" i="3"/>
  <c r="V1280" i="3"/>
  <c r="W1280" i="3"/>
  <c r="BD1285" i="3"/>
  <c r="BB1285" i="3"/>
  <c r="BC1285" i="3"/>
  <c r="V1296" i="3"/>
  <c r="X1296" i="3"/>
  <c r="W1296" i="3"/>
  <c r="BD1307" i="3"/>
  <c r="BB1307" i="3"/>
  <c r="BC1307" i="3"/>
  <c r="V1320" i="3"/>
  <c r="W1320" i="3"/>
  <c r="X1320" i="3"/>
  <c r="BC1334" i="3"/>
  <c r="BB1334" i="3"/>
  <c r="BD1334" i="3"/>
  <c r="BB1364" i="3"/>
  <c r="BC1364" i="3"/>
  <c r="BD1364" i="3"/>
  <c r="BC1406" i="3"/>
  <c r="BD1406" i="3"/>
  <c r="BB1406" i="3"/>
  <c r="S72" i="122"/>
  <c r="S66" i="122"/>
  <c r="S74" i="122" s="1"/>
  <c r="BB1059" i="3"/>
  <c r="BC1059" i="3"/>
  <c r="BD1059" i="3"/>
  <c r="BB1146" i="3"/>
  <c r="BC1146" i="3"/>
  <c r="BD1146" i="3"/>
  <c r="BD1162" i="3"/>
  <c r="BB1162" i="3"/>
  <c r="BC1162" i="3"/>
  <c r="BD1170" i="3"/>
  <c r="BC1170" i="3"/>
  <c r="BB1170" i="3"/>
  <c r="BB1178" i="3"/>
  <c r="BD1178" i="3"/>
  <c r="BC1178" i="3"/>
  <c r="BC1186" i="3"/>
  <c r="BD1186" i="3"/>
  <c r="BB1186" i="3"/>
  <c r="BB1194" i="3"/>
  <c r="BD1194" i="3"/>
  <c r="BC1194" i="3"/>
  <c r="BC1202" i="3"/>
  <c r="BD1202" i="3"/>
  <c r="BB1202" i="3"/>
  <c r="X1226" i="3"/>
  <c r="V1226" i="3"/>
  <c r="W1226" i="3"/>
  <c r="BD1231" i="3"/>
  <c r="BC1231" i="3"/>
  <c r="BB1231" i="3"/>
  <c r="V1242" i="3"/>
  <c r="X1242" i="3"/>
  <c r="W1242" i="3"/>
  <c r="BD1247" i="3"/>
  <c r="BB1247" i="3"/>
  <c r="BC1247" i="3"/>
  <c r="W1258" i="3"/>
  <c r="V1258" i="3"/>
  <c r="X1258" i="3"/>
  <c r="W1275" i="3"/>
  <c r="X1275" i="3"/>
  <c r="V1275" i="3"/>
  <c r="BB1280" i="3"/>
  <c r="BD1280" i="3"/>
  <c r="BC1280" i="3"/>
  <c r="V1291" i="3"/>
  <c r="W1291" i="3"/>
  <c r="X1291" i="3"/>
  <c r="BB1292" i="3"/>
  <c r="BD1292" i="3"/>
  <c r="BC1292" i="3"/>
  <c r="V1302" i="3"/>
  <c r="W1302" i="3"/>
  <c r="X1302" i="3"/>
  <c r="BD1320" i="3"/>
  <c r="BB1320" i="3"/>
  <c r="BC1320" i="3"/>
  <c r="V1327" i="3"/>
  <c r="W1327" i="3"/>
  <c r="X1327" i="3"/>
  <c r="BD1371" i="3"/>
  <c r="BB1371" i="3"/>
  <c r="BC1371" i="3"/>
  <c r="V1378" i="3"/>
  <c r="X1378" i="3"/>
  <c r="W1378" i="3"/>
  <c r="BC1399" i="3"/>
  <c r="BD1399" i="3"/>
  <c r="BB1399" i="3"/>
  <c r="BC219" i="3"/>
  <c r="BB219" i="3"/>
  <c r="BD219" i="3"/>
  <c r="BC892" i="3"/>
  <c r="BD892" i="3"/>
  <c r="BB892" i="3"/>
  <c r="BB196" i="3"/>
  <c r="BC196" i="3"/>
  <c r="BD196" i="3"/>
  <c r="BC204" i="3"/>
  <c r="BD204" i="3"/>
  <c r="BB204" i="3"/>
  <c r="BD212" i="3"/>
  <c r="BC212" i="3"/>
  <c r="BB212" i="3"/>
  <c r="BD307" i="3"/>
  <c r="BB307" i="3"/>
  <c r="BC307" i="3"/>
  <c r="BC315" i="3"/>
  <c r="BD315" i="3"/>
  <c r="BB315" i="3"/>
  <c r="BC323" i="3"/>
  <c r="BB323" i="3"/>
  <c r="BD323" i="3"/>
  <c r="BB331" i="3"/>
  <c r="BC331" i="3"/>
  <c r="BD331" i="3"/>
  <c r="BB339" i="3"/>
  <c r="BD339" i="3"/>
  <c r="BC339" i="3"/>
  <c r="BD347" i="3"/>
  <c r="BB347" i="3"/>
  <c r="BC347" i="3"/>
  <c r="BD355" i="3"/>
  <c r="BB355" i="3"/>
  <c r="BC355" i="3"/>
  <c r="BB426" i="3"/>
  <c r="BD426" i="3"/>
  <c r="BC426" i="3"/>
  <c r="BD434" i="3"/>
  <c r="BC434" i="3"/>
  <c r="BB434" i="3"/>
  <c r="BC442" i="3"/>
  <c r="BB442" i="3"/>
  <c r="BD442" i="3"/>
  <c r="BC450" i="3"/>
  <c r="BB450" i="3"/>
  <c r="BD450" i="3"/>
  <c r="BB458" i="3"/>
  <c r="BC458" i="3"/>
  <c r="BD458" i="3"/>
  <c r="BC466" i="3"/>
  <c r="BD466" i="3"/>
  <c r="BB466" i="3"/>
  <c r="BD474" i="3"/>
  <c r="BC474" i="3"/>
  <c r="BB474" i="3"/>
  <c r="BC489" i="3"/>
  <c r="BD489" i="3"/>
  <c r="BB489" i="3"/>
  <c r="BC497" i="3"/>
  <c r="BB497" i="3"/>
  <c r="BD497" i="3"/>
  <c r="BD505" i="3"/>
  <c r="BB505" i="3"/>
  <c r="BC505" i="3"/>
  <c r="BC513" i="3"/>
  <c r="BD513" i="3"/>
  <c r="BB513" i="3"/>
  <c r="BD521" i="3"/>
  <c r="BC521" i="3"/>
  <c r="BB521" i="3"/>
  <c r="BB529" i="3"/>
  <c r="BD529" i="3"/>
  <c r="BC529" i="3"/>
  <c r="BD537" i="3"/>
  <c r="BB537" i="3"/>
  <c r="BC537" i="3"/>
  <c r="BD545" i="3"/>
  <c r="BC545" i="3"/>
  <c r="BB545" i="3"/>
  <c r="BC553" i="3"/>
  <c r="BD553" i="3"/>
  <c r="BB553" i="3"/>
  <c r="BD561" i="3"/>
  <c r="BB561" i="3"/>
  <c r="BC561" i="3"/>
  <c r="BC569" i="3"/>
  <c r="BB569" i="3"/>
  <c r="BD569" i="3"/>
  <c r="BC577" i="3"/>
  <c r="BB577" i="3"/>
  <c r="BD577" i="3"/>
  <c r="BD585" i="3"/>
  <c r="BC585" i="3"/>
  <c r="BB585" i="3"/>
  <c r="BC593" i="3"/>
  <c r="BD593" i="3"/>
  <c r="BB593" i="3"/>
  <c r="BB601" i="3"/>
  <c r="BD601" i="3"/>
  <c r="BC601" i="3"/>
  <c r="BD610" i="3"/>
  <c r="BC610" i="3"/>
  <c r="BB610" i="3"/>
  <c r="BD618" i="3"/>
  <c r="BC618" i="3"/>
  <c r="BB618" i="3"/>
  <c r="BD635" i="3"/>
  <c r="BC635" i="3"/>
  <c r="BB635" i="3"/>
  <c r="BD644" i="3"/>
  <c r="BC644" i="3"/>
  <c r="BB644" i="3"/>
  <c r="BB661" i="3"/>
  <c r="BD661" i="3"/>
  <c r="BC661" i="3"/>
  <c r="BD829" i="3"/>
  <c r="BB829" i="3"/>
  <c r="BC829" i="3"/>
  <c r="BC837" i="3"/>
  <c r="BD837" i="3"/>
  <c r="BB837" i="3"/>
  <c r="BD972" i="3"/>
  <c r="BC972" i="3"/>
  <c r="BB972" i="3"/>
  <c r="BB980" i="3"/>
  <c r="BD980" i="3"/>
  <c r="BC980" i="3"/>
  <c r="BD996" i="3"/>
  <c r="BB996" i="3"/>
  <c r="BC996" i="3"/>
  <c r="BB1004" i="3"/>
  <c r="BD1004" i="3"/>
  <c r="BC1004" i="3"/>
  <c r="BD1028" i="3"/>
  <c r="BC1028" i="3"/>
  <c r="BB1028" i="3"/>
  <c r="BD1036" i="3"/>
  <c r="BB1036" i="3"/>
  <c r="BC1036" i="3"/>
  <c r="BD1061" i="3"/>
  <c r="BC1061" i="3"/>
  <c r="BB1061" i="3"/>
  <c r="BB1072" i="3"/>
  <c r="BD1072" i="3"/>
  <c r="BC1072" i="3"/>
  <c r="BD1091" i="3"/>
  <c r="BB1091" i="3"/>
  <c r="BC1091" i="3"/>
  <c r="BC1211" i="3"/>
  <c r="BD1211" i="3"/>
  <c r="BB1211" i="3"/>
  <c r="BD1226" i="3"/>
  <c r="BB1226" i="3"/>
  <c r="BC1226" i="3"/>
  <c r="V1237" i="3"/>
  <c r="W1237" i="3"/>
  <c r="X1237" i="3"/>
  <c r="BD1242" i="3"/>
  <c r="BC1242" i="3"/>
  <c r="BB1242" i="3"/>
  <c r="V1253" i="3"/>
  <c r="W1253" i="3"/>
  <c r="X1253" i="3"/>
  <c r="BB1258" i="3"/>
  <c r="BD1258" i="3"/>
  <c r="BC1258" i="3"/>
  <c r="V1269" i="3"/>
  <c r="X1269" i="3"/>
  <c r="W1269" i="3"/>
  <c r="BD1275" i="3"/>
  <c r="BC1275" i="3"/>
  <c r="BB1275" i="3"/>
  <c r="W1286" i="3"/>
  <c r="V1286" i="3"/>
  <c r="X1286" i="3"/>
  <c r="BD1291" i="3"/>
  <c r="BC1291" i="3"/>
  <c r="BB1291" i="3"/>
  <c r="X1308" i="3"/>
  <c r="W1308" i="3"/>
  <c r="V1308" i="3"/>
  <c r="BC1327" i="3"/>
  <c r="BD1327" i="3"/>
  <c r="BB1327" i="3"/>
  <c r="BC1365" i="3"/>
  <c r="BD1365" i="3"/>
  <c r="BB1365" i="3"/>
  <c r="BC1378" i="3"/>
  <c r="BB1378" i="3"/>
  <c r="BD1378" i="3"/>
  <c r="BC1407" i="3"/>
  <c r="BD1407" i="3"/>
  <c r="BB1407" i="3"/>
  <c r="BB259" i="3"/>
  <c r="BC259" i="3"/>
  <c r="BD259" i="3"/>
  <c r="BD884" i="3"/>
  <c r="BB884" i="3"/>
  <c r="BC884" i="3"/>
  <c r="BD220" i="3"/>
  <c r="BC220" i="3"/>
  <c r="BB220" i="3"/>
  <c r="BB228" i="3"/>
  <c r="BD228" i="3"/>
  <c r="BC228" i="3"/>
  <c r="BB236" i="3"/>
  <c r="BD236" i="3"/>
  <c r="BC236" i="3"/>
  <c r="BC244" i="3"/>
  <c r="BD244" i="3"/>
  <c r="BB244" i="3"/>
  <c r="BB252" i="3"/>
  <c r="BC252" i="3"/>
  <c r="BD252" i="3"/>
  <c r="BD260" i="3"/>
  <c r="BC260" i="3"/>
  <c r="BB260" i="3"/>
  <c r="BC268" i="3"/>
  <c r="BD268" i="3"/>
  <c r="BB268" i="3"/>
  <c r="BB276" i="3"/>
  <c r="BD276" i="3"/>
  <c r="BC276" i="3"/>
  <c r="BC284" i="3"/>
  <c r="BD284" i="3"/>
  <c r="BB284" i="3"/>
  <c r="BC292" i="3"/>
  <c r="BD292" i="3"/>
  <c r="BB292" i="3"/>
  <c r="BC363" i="3"/>
  <c r="BD363" i="3"/>
  <c r="BB363" i="3"/>
  <c r="BD371" i="3"/>
  <c r="BB371" i="3"/>
  <c r="BC371" i="3"/>
  <c r="BD379" i="3"/>
  <c r="BB379" i="3"/>
  <c r="BC379" i="3"/>
  <c r="BB387" i="3"/>
  <c r="BD387" i="3"/>
  <c r="BC387" i="3"/>
  <c r="BB395" i="3"/>
  <c r="BD395" i="3"/>
  <c r="BC395" i="3"/>
  <c r="BC403" i="3"/>
  <c r="BB403" i="3"/>
  <c r="BD403" i="3"/>
  <c r="BD411" i="3"/>
  <c r="BB411" i="3"/>
  <c r="BC411" i="3"/>
  <c r="BB419" i="3"/>
  <c r="BC419" i="3"/>
  <c r="BD419" i="3"/>
  <c r="BC482" i="3"/>
  <c r="BB482" i="3"/>
  <c r="BD482" i="3"/>
  <c r="BB627" i="3"/>
  <c r="BC627" i="3"/>
  <c r="BD627" i="3"/>
  <c r="BD645" i="3"/>
  <c r="BC645" i="3"/>
  <c r="BB645" i="3"/>
  <c r="BC653" i="3"/>
  <c r="BB653" i="3"/>
  <c r="BD653" i="3"/>
  <c r="BD670" i="3"/>
  <c r="BB670" i="3"/>
  <c r="BC670" i="3"/>
  <c r="BC678" i="3"/>
  <c r="BD678" i="3"/>
  <c r="BB678" i="3"/>
  <c r="BC686" i="3"/>
  <c r="BB686" i="3"/>
  <c r="BD686" i="3"/>
  <c r="BD694" i="3"/>
  <c r="BB694" i="3"/>
  <c r="BC694" i="3"/>
  <c r="BD702" i="3"/>
  <c r="BC702" i="3"/>
  <c r="BB702" i="3"/>
  <c r="BC710" i="3"/>
  <c r="BB710" i="3"/>
  <c r="BD710" i="3"/>
  <c r="BB718" i="3"/>
  <c r="BC718" i="3"/>
  <c r="BD718" i="3"/>
  <c r="BB726" i="3"/>
  <c r="BC726" i="3"/>
  <c r="BD726" i="3"/>
  <c r="BC734" i="3"/>
  <c r="BB734" i="3"/>
  <c r="BD734" i="3"/>
  <c r="BB742" i="3"/>
  <c r="BC742" i="3"/>
  <c r="BD742" i="3"/>
  <c r="BC750" i="3"/>
  <c r="BD750" i="3"/>
  <c r="BB750" i="3"/>
  <c r="BD758" i="3"/>
  <c r="BC758" i="3"/>
  <c r="BB758" i="3"/>
  <c r="BB766" i="3"/>
  <c r="BC766" i="3"/>
  <c r="BD766" i="3"/>
  <c r="BB774" i="3"/>
  <c r="BD774" i="3"/>
  <c r="BC774" i="3"/>
  <c r="BD782" i="3"/>
  <c r="BC782" i="3"/>
  <c r="BB782" i="3"/>
  <c r="BC790" i="3"/>
  <c r="BB790" i="3"/>
  <c r="BD790" i="3"/>
  <c r="BB798" i="3"/>
  <c r="BC798" i="3"/>
  <c r="BD798" i="3"/>
  <c r="BD806" i="3"/>
  <c r="BB806" i="3"/>
  <c r="BC806" i="3"/>
  <c r="BC814" i="3"/>
  <c r="BD814" i="3"/>
  <c r="BB814" i="3"/>
  <c r="BC822" i="3"/>
  <c r="BB822" i="3"/>
  <c r="BD822" i="3"/>
  <c r="BD845" i="3"/>
  <c r="BB845" i="3"/>
  <c r="BC845" i="3"/>
  <c r="BB853" i="3"/>
  <c r="BC853" i="3"/>
  <c r="BD853" i="3"/>
  <c r="BD861" i="3"/>
  <c r="BB861" i="3"/>
  <c r="BC861" i="3"/>
  <c r="BB869" i="3"/>
  <c r="BD869" i="3"/>
  <c r="BC869" i="3"/>
  <c r="BC877" i="3"/>
  <c r="BD877" i="3"/>
  <c r="BB877" i="3"/>
  <c r="BC885" i="3"/>
  <c r="BB885" i="3"/>
  <c r="BD885" i="3"/>
  <c r="BC893" i="3"/>
  <c r="BD893" i="3"/>
  <c r="BB893" i="3"/>
  <c r="BB901" i="3"/>
  <c r="BD901" i="3"/>
  <c r="BC901" i="3"/>
  <c r="BC909" i="3"/>
  <c r="BB909" i="3"/>
  <c r="BD909" i="3"/>
  <c r="BD917" i="3"/>
  <c r="BC917" i="3"/>
  <c r="BB917" i="3"/>
  <c r="BB925" i="3"/>
  <c r="BC925" i="3"/>
  <c r="BD925" i="3"/>
  <c r="BC933" i="3"/>
  <c r="BB933" i="3"/>
  <c r="BD933" i="3"/>
  <c r="BC941" i="3"/>
  <c r="BB941" i="3"/>
  <c r="BD941" i="3"/>
  <c r="BB949" i="3"/>
  <c r="BD949" i="3"/>
  <c r="BC949" i="3"/>
  <c r="BD957" i="3"/>
  <c r="BC957" i="3"/>
  <c r="BB957" i="3"/>
  <c r="BD965" i="3"/>
  <c r="BC965" i="3"/>
  <c r="BB965" i="3"/>
  <c r="BB1060" i="3"/>
  <c r="BD1060" i="3"/>
  <c r="BC1060" i="3"/>
  <c r="BD1155" i="3"/>
  <c r="BC1155" i="3"/>
  <c r="BB1155" i="3"/>
  <c r="BB1163" i="3"/>
  <c r="BC1163" i="3"/>
  <c r="BD1163" i="3"/>
  <c r="BC1171" i="3"/>
  <c r="BB1171" i="3"/>
  <c r="BD1171" i="3"/>
  <c r="BC1179" i="3"/>
  <c r="BD1179" i="3"/>
  <c r="BB1179" i="3"/>
  <c r="BB1187" i="3"/>
  <c r="BD1187" i="3"/>
  <c r="BC1187" i="3"/>
  <c r="X1232" i="3"/>
  <c r="W1232" i="3"/>
  <c r="V1232" i="3"/>
  <c r="BC1237" i="3"/>
  <c r="BD1237" i="3"/>
  <c r="BB1237" i="3"/>
  <c r="V1248" i="3"/>
  <c r="X1248" i="3"/>
  <c r="W1248" i="3"/>
  <c r="BB1253" i="3"/>
  <c r="BC1253" i="3"/>
  <c r="BD1253" i="3"/>
  <c r="X1264" i="3"/>
  <c r="V1264" i="3"/>
  <c r="W1264" i="3"/>
  <c r="W1281" i="3"/>
  <c r="V1281" i="3"/>
  <c r="X1281" i="3"/>
  <c r="BC1286" i="3"/>
  <c r="BD1286" i="3"/>
  <c r="BB1286" i="3"/>
  <c r="X1297" i="3"/>
  <c r="W1297" i="3"/>
  <c r="V1297" i="3"/>
  <c r="BB1308" i="3"/>
  <c r="BD1308" i="3"/>
  <c r="BC1308" i="3"/>
  <c r="BB1321" i="3"/>
  <c r="BD1321" i="3"/>
  <c r="BC1321" i="3"/>
  <c r="X1343" i="3"/>
  <c r="W1343" i="3"/>
  <c r="V1343" i="3"/>
  <c r="BC1350" i="3"/>
  <c r="BD1350" i="3"/>
  <c r="BB1350" i="3"/>
  <c r="BD1372" i="3"/>
  <c r="BC1372" i="3"/>
  <c r="BB1372" i="3"/>
  <c r="BD1400" i="3"/>
  <c r="BB1400" i="3"/>
  <c r="BC1400" i="3"/>
  <c r="BB916" i="3"/>
  <c r="BC916" i="3"/>
  <c r="BD916" i="3"/>
  <c r="BD189" i="3"/>
  <c r="BB189" i="3"/>
  <c r="BC189" i="3"/>
  <c r="BB197" i="3"/>
  <c r="BD197" i="3"/>
  <c r="BC197" i="3"/>
  <c r="BC205" i="3"/>
  <c r="BD205" i="3"/>
  <c r="BB205" i="3"/>
  <c r="BC213" i="3"/>
  <c r="BB213" i="3"/>
  <c r="BD213" i="3"/>
  <c r="BC308" i="3"/>
  <c r="BD308" i="3"/>
  <c r="BB308" i="3"/>
  <c r="BD316" i="3"/>
  <c r="BC316" i="3"/>
  <c r="BB316" i="3"/>
  <c r="BB324" i="3"/>
  <c r="BC324" i="3"/>
  <c r="BD324" i="3"/>
  <c r="BB332" i="3"/>
  <c r="BD332" i="3"/>
  <c r="BC332" i="3"/>
  <c r="BD340" i="3"/>
  <c r="BB340" i="3"/>
  <c r="BC340" i="3"/>
  <c r="BD348" i="3"/>
  <c r="BC348" i="3"/>
  <c r="BB348" i="3"/>
  <c r="BC356" i="3"/>
  <c r="BB356" i="3"/>
  <c r="BD356" i="3"/>
  <c r="BC427" i="3"/>
  <c r="BD427" i="3"/>
  <c r="BB427" i="3"/>
  <c r="BB435" i="3"/>
  <c r="BC435" i="3"/>
  <c r="BD435" i="3"/>
  <c r="BD443" i="3"/>
  <c r="BC443" i="3"/>
  <c r="BB443" i="3"/>
  <c r="BD451" i="3"/>
  <c r="BC451" i="3"/>
  <c r="BB451" i="3"/>
  <c r="BC459" i="3"/>
  <c r="BD459" i="3"/>
  <c r="BB459" i="3"/>
  <c r="BC467" i="3"/>
  <c r="BD467" i="3"/>
  <c r="BB467" i="3"/>
  <c r="X475" i="3"/>
  <c r="V475" i="3"/>
  <c r="W475" i="3"/>
  <c r="BB490" i="3"/>
  <c r="BD490" i="3"/>
  <c r="BC490" i="3"/>
  <c r="BB498" i="3"/>
  <c r="BC498" i="3"/>
  <c r="BD498" i="3"/>
  <c r="BC506" i="3"/>
  <c r="BD506" i="3"/>
  <c r="BB506" i="3"/>
  <c r="BD514" i="3"/>
  <c r="BC514" i="3"/>
  <c r="BB514" i="3"/>
  <c r="BB522" i="3"/>
  <c r="BD522" i="3"/>
  <c r="BC522" i="3"/>
  <c r="BC530" i="3"/>
  <c r="BB530" i="3"/>
  <c r="BD530" i="3"/>
  <c r="BC538" i="3"/>
  <c r="BB538" i="3"/>
  <c r="BD538" i="3"/>
  <c r="BB546" i="3"/>
  <c r="BD546" i="3"/>
  <c r="BC546" i="3"/>
  <c r="BB554" i="3"/>
  <c r="BC554" i="3"/>
  <c r="BD554" i="3"/>
  <c r="BB562" i="3"/>
  <c r="BD562" i="3"/>
  <c r="BC562" i="3"/>
  <c r="BD570" i="3"/>
  <c r="BB570" i="3"/>
  <c r="BC570" i="3"/>
  <c r="BC578" i="3"/>
  <c r="BD578" i="3"/>
  <c r="BB578" i="3"/>
  <c r="BD586" i="3"/>
  <c r="BC586" i="3"/>
  <c r="BB586" i="3"/>
  <c r="BB594" i="3"/>
  <c r="BD594" i="3"/>
  <c r="BC594" i="3"/>
  <c r="BB602" i="3"/>
  <c r="BD602" i="3"/>
  <c r="BC602" i="3"/>
  <c r="BC611" i="3"/>
  <c r="BD611" i="3"/>
  <c r="BB611" i="3"/>
  <c r="BB619" i="3"/>
  <c r="BD619" i="3"/>
  <c r="BC619" i="3"/>
  <c r="BD628" i="3"/>
  <c r="BB628" i="3"/>
  <c r="BC628" i="3"/>
  <c r="BC636" i="3"/>
  <c r="BD636" i="3"/>
  <c r="BB636" i="3"/>
  <c r="BC654" i="3"/>
  <c r="BB654" i="3"/>
  <c r="BD654" i="3"/>
  <c r="BB662" i="3"/>
  <c r="BD662" i="3"/>
  <c r="BC662" i="3"/>
  <c r="BC830" i="3"/>
  <c r="BD830" i="3"/>
  <c r="BB830" i="3"/>
  <c r="BB838" i="3"/>
  <c r="BD838" i="3"/>
  <c r="BC838" i="3"/>
  <c r="BD973" i="3"/>
  <c r="BC973" i="3"/>
  <c r="BB973" i="3"/>
  <c r="BC981" i="3"/>
  <c r="BB981" i="3"/>
  <c r="BD981" i="3"/>
  <c r="BC997" i="3"/>
  <c r="BB997" i="3"/>
  <c r="BD997" i="3"/>
  <c r="BD1005" i="3"/>
  <c r="BC1005" i="3"/>
  <c r="BB1005" i="3"/>
  <c r="BD1029" i="3"/>
  <c r="BC1029" i="3"/>
  <c r="BB1029" i="3"/>
  <c r="X1037" i="3"/>
  <c r="W1037" i="3"/>
  <c r="V1037" i="3"/>
  <c r="BC1092" i="3"/>
  <c r="BB1092" i="3"/>
  <c r="BD1092" i="3"/>
  <c r="BC1098" i="3"/>
  <c r="BD1098" i="3"/>
  <c r="BB1098" i="3"/>
  <c r="BB1310" i="3"/>
  <c r="BD1310" i="3"/>
  <c r="BC1310" i="3"/>
  <c r="BB1220" i="3"/>
  <c r="BC1220" i="3"/>
  <c r="BD1220" i="3"/>
  <c r="X1227" i="3"/>
  <c r="W1227" i="3"/>
  <c r="V1227" i="3"/>
  <c r="BC1232" i="3"/>
  <c r="BB1232" i="3"/>
  <c r="BD1232" i="3"/>
  <c r="V1243" i="3"/>
  <c r="W1243" i="3"/>
  <c r="X1243" i="3"/>
  <c r="BC1248" i="3"/>
  <c r="BB1248" i="3"/>
  <c r="BD1248" i="3"/>
  <c r="X1259" i="3"/>
  <c r="V1259" i="3"/>
  <c r="W1259" i="3"/>
  <c r="V1276" i="3"/>
  <c r="X1276" i="3"/>
  <c r="W1276" i="3"/>
  <c r="BB1281" i="3"/>
  <c r="BC1281" i="3"/>
  <c r="BD1281" i="3"/>
  <c r="V1292" i="3"/>
  <c r="W1292" i="3"/>
  <c r="X1292" i="3"/>
  <c r="BC1297" i="3"/>
  <c r="BB1297" i="3"/>
  <c r="BD1297" i="3"/>
  <c r="BB1303" i="3"/>
  <c r="BD1303" i="3"/>
  <c r="BC1303" i="3"/>
  <c r="V1315" i="3"/>
  <c r="W1315" i="3"/>
  <c r="X1315" i="3"/>
  <c r="V1336" i="3"/>
  <c r="W1336" i="3"/>
  <c r="X1336" i="3"/>
  <c r="BC1343" i="3"/>
  <c r="BB1343" i="3"/>
  <c r="BD1343" i="3"/>
  <c r="X1366" i="3"/>
  <c r="W1366" i="3"/>
  <c r="V1366" i="3"/>
  <c r="BC1379" i="3"/>
  <c r="BD1379" i="3"/>
  <c r="BB1379" i="3"/>
  <c r="BB1408" i="3"/>
  <c r="BC1408" i="3"/>
  <c r="BD1408" i="3"/>
  <c r="BB188" i="3"/>
  <c r="BC188" i="3"/>
  <c r="BD188" i="3"/>
  <c r="BD900" i="3"/>
  <c r="BB900" i="3"/>
  <c r="BC900" i="3"/>
  <c r="BD245" i="3"/>
  <c r="BC245" i="3"/>
  <c r="BB245" i="3"/>
  <c r="BD253" i="3"/>
  <c r="BC253" i="3"/>
  <c r="BB253" i="3"/>
  <c r="BC261" i="3"/>
  <c r="BB261" i="3"/>
  <c r="BD261" i="3"/>
  <c r="BD269" i="3"/>
  <c r="BC269" i="3"/>
  <c r="BB269" i="3"/>
  <c r="BB277" i="3"/>
  <c r="BD277" i="3"/>
  <c r="BC277" i="3"/>
  <c r="BB285" i="3"/>
  <c r="BD285" i="3"/>
  <c r="BC285" i="3"/>
  <c r="BA293" i="3"/>
  <c r="BC364" i="3"/>
  <c r="BD364" i="3"/>
  <c r="BB364" i="3"/>
  <c r="BB372" i="3"/>
  <c r="BD372" i="3"/>
  <c r="BC372" i="3"/>
  <c r="BC380" i="3"/>
  <c r="BB380" i="3"/>
  <c r="BD380" i="3"/>
  <c r="BC388" i="3"/>
  <c r="BD388" i="3"/>
  <c r="BB388" i="3"/>
  <c r="BB396" i="3"/>
  <c r="BD396" i="3"/>
  <c r="BC396" i="3"/>
  <c r="BC404" i="3"/>
  <c r="BD404" i="3"/>
  <c r="BB404" i="3"/>
  <c r="BD412" i="3"/>
  <c r="BB412" i="3"/>
  <c r="BC412" i="3"/>
  <c r="BD420" i="3"/>
  <c r="BB420" i="3"/>
  <c r="BC420" i="3"/>
  <c r="BD475" i="3"/>
  <c r="BB475" i="3"/>
  <c r="BC475" i="3"/>
  <c r="BD483" i="3"/>
  <c r="BC483" i="3"/>
  <c r="BB483" i="3"/>
  <c r="BD603" i="3"/>
  <c r="BB603" i="3"/>
  <c r="BC603" i="3"/>
  <c r="BD646" i="3"/>
  <c r="BC646" i="3"/>
  <c r="BB646" i="3"/>
  <c r="BD671" i="3"/>
  <c r="BB671" i="3"/>
  <c r="BC671" i="3"/>
  <c r="BB679" i="3"/>
  <c r="BC679" i="3"/>
  <c r="BD679" i="3"/>
  <c r="BC687" i="3"/>
  <c r="BD687" i="3"/>
  <c r="BB687" i="3"/>
  <c r="BD695" i="3"/>
  <c r="BB695" i="3"/>
  <c r="BC695" i="3"/>
  <c r="BD703" i="3"/>
  <c r="BB703" i="3"/>
  <c r="BC703" i="3"/>
  <c r="BC711" i="3"/>
  <c r="BB711" i="3"/>
  <c r="BD711" i="3"/>
  <c r="BD719" i="3"/>
  <c r="BC719" i="3"/>
  <c r="BB719" i="3"/>
  <c r="BC727" i="3"/>
  <c r="BB727" i="3"/>
  <c r="BD727" i="3"/>
  <c r="BD735" i="3"/>
  <c r="BC735" i="3"/>
  <c r="BB735" i="3"/>
  <c r="BC743" i="3"/>
  <c r="BB743" i="3"/>
  <c r="BD743" i="3"/>
  <c r="BC751" i="3"/>
  <c r="BD751" i="3"/>
  <c r="BB751" i="3"/>
  <c r="BB759" i="3"/>
  <c r="BD759" i="3"/>
  <c r="BC759" i="3"/>
  <c r="BD767" i="3"/>
  <c r="BB767" i="3"/>
  <c r="BC767" i="3"/>
  <c r="BC775" i="3"/>
  <c r="BD775" i="3"/>
  <c r="BB775" i="3"/>
  <c r="BD783" i="3"/>
  <c r="BB783" i="3"/>
  <c r="BC783" i="3"/>
  <c r="BD791" i="3"/>
  <c r="BC791" i="3"/>
  <c r="BB791" i="3"/>
  <c r="BD799" i="3"/>
  <c r="BC799" i="3"/>
  <c r="BB799" i="3"/>
  <c r="BC807" i="3"/>
  <c r="BB807" i="3"/>
  <c r="BD807" i="3"/>
  <c r="BD815" i="3"/>
  <c r="BB815" i="3"/>
  <c r="BC815" i="3"/>
  <c r="BD823" i="3"/>
  <c r="BB823" i="3"/>
  <c r="BC823" i="3"/>
  <c r="BB846" i="3"/>
  <c r="BC846" i="3"/>
  <c r="BD846" i="3"/>
  <c r="BB854" i="3"/>
  <c r="BC854" i="3"/>
  <c r="BD854" i="3"/>
  <c r="BD862" i="3"/>
  <c r="BC862" i="3"/>
  <c r="BB862" i="3"/>
  <c r="BD870" i="3"/>
  <c r="BC870" i="3"/>
  <c r="BB870" i="3"/>
  <c r="BB878" i="3"/>
  <c r="BC878" i="3"/>
  <c r="BD878" i="3"/>
  <c r="BB886" i="3"/>
  <c r="BD886" i="3"/>
  <c r="BC886" i="3"/>
  <c r="BB894" i="3"/>
  <c r="BD894" i="3"/>
  <c r="BC894" i="3"/>
  <c r="BC902" i="3"/>
  <c r="BB902" i="3"/>
  <c r="BD902" i="3"/>
  <c r="BC910" i="3"/>
  <c r="BB910" i="3"/>
  <c r="BD910" i="3"/>
  <c r="BB918" i="3"/>
  <c r="BD918" i="3"/>
  <c r="BC918" i="3"/>
  <c r="BB926" i="3"/>
  <c r="BC926" i="3"/>
  <c r="BD926" i="3"/>
  <c r="BD934" i="3"/>
  <c r="BB934" i="3"/>
  <c r="BC934" i="3"/>
  <c r="BB942" i="3"/>
  <c r="BC942" i="3"/>
  <c r="BD942" i="3"/>
  <c r="BD950" i="3"/>
  <c r="BC950" i="3"/>
  <c r="BB950" i="3"/>
  <c r="BD958" i="3"/>
  <c r="BB958" i="3"/>
  <c r="BC958" i="3"/>
  <c r="BD966" i="3"/>
  <c r="BB966" i="3"/>
  <c r="BC966" i="3"/>
  <c r="BB1037" i="3"/>
  <c r="BC1037" i="3"/>
  <c r="BD1037" i="3"/>
  <c r="BA1124" i="3"/>
  <c r="BD1124" i="3" s="1"/>
  <c r="BA1115" i="3" s="1"/>
  <c r="BD1115" i="3" s="1"/>
  <c r="BA1109" i="3" s="1"/>
  <c r="BD1109" i="3" s="1"/>
  <c r="BA1108" i="3" s="1"/>
  <c r="BD1108" i="3" s="1"/>
  <c r="BA1099" i="3" s="1"/>
  <c r="BD1099" i="3" s="1"/>
  <c r="BA1095" i="3" s="1"/>
  <c r="BC1148" i="3"/>
  <c r="BB1148" i="3"/>
  <c r="BD1148" i="3"/>
  <c r="BB1156" i="3"/>
  <c r="BC1156" i="3"/>
  <c r="BD1156" i="3"/>
  <c r="BB1164" i="3"/>
  <c r="BD1164" i="3"/>
  <c r="BC1164" i="3"/>
  <c r="BD1180" i="3"/>
  <c r="BB1180" i="3"/>
  <c r="BC1180" i="3"/>
  <c r="BB1196" i="3"/>
  <c r="BD1196" i="3"/>
  <c r="BC1196" i="3"/>
  <c r="BB1227" i="3"/>
  <c r="BC1227" i="3"/>
  <c r="BD1227" i="3"/>
  <c r="X1238" i="3"/>
  <c r="V1238" i="3"/>
  <c r="W1238" i="3"/>
  <c r="BC1243" i="3"/>
  <c r="BB1243" i="3"/>
  <c r="BD1243" i="3"/>
  <c r="W1254" i="3"/>
  <c r="V1254" i="3"/>
  <c r="X1254" i="3"/>
  <c r="BC1259" i="3"/>
  <c r="BD1259" i="3"/>
  <c r="BB1259" i="3"/>
  <c r="V1270" i="3"/>
  <c r="W1270" i="3"/>
  <c r="X1270" i="3"/>
  <c r="BD1276" i="3"/>
  <c r="BB1276" i="3"/>
  <c r="BC1276" i="3"/>
  <c r="X1287" i="3"/>
  <c r="W1287" i="3"/>
  <c r="V1287" i="3"/>
  <c r="BB1336" i="3"/>
  <c r="BC1336" i="3"/>
  <c r="BD1336" i="3"/>
  <c r="BB1351" i="3"/>
  <c r="BC1351" i="3"/>
  <c r="BD1351" i="3"/>
  <c r="BB1366" i="3"/>
  <c r="BC1366" i="3"/>
  <c r="BD1366" i="3"/>
  <c r="BB1373" i="3"/>
  <c r="BD1373" i="3"/>
  <c r="BC1373" i="3"/>
  <c r="BD1401" i="3"/>
  <c r="BC1401" i="3"/>
  <c r="BB1401" i="3"/>
  <c r="BC908" i="3"/>
  <c r="BB908" i="3"/>
  <c r="BD908" i="3"/>
  <c r="BC183" i="3"/>
  <c r="BB183" i="3"/>
  <c r="BD183" i="3"/>
  <c r="BB198" i="3"/>
  <c r="BC198" i="3"/>
  <c r="BD198" i="3"/>
  <c r="BB206" i="3"/>
  <c r="BC206" i="3"/>
  <c r="BD206" i="3"/>
  <c r="V214" i="3"/>
  <c r="W214" i="3"/>
  <c r="X214" i="3"/>
  <c r="BC301" i="3"/>
  <c r="BD301" i="3"/>
  <c r="BB301" i="3"/>
  <c r="BC309" i="3"/>
  <c r="BB309" i="3"/>
  <c r="BD309" i="3"/>
  <c r="BD317" i="3"/>
  <c r="BB317" i="3"/>
  <c r="BC317" i="3"/>
  <c r="BC325" i="3"/>
  <c r="BB325" i="3"/>
  <c r="BD325" i="3"/>
  <c r="BD333" i="3"/>
  <c r="BC333" i="3"/>
  <c r="BB333" i="3"/>
  <c r="BD341" i="3"/>
  <c r="BB341" i="3"/>
  <c r="BC341" i="3"/>
  <c r="BB349" i="3"/>
  <c r="BD349" i="3"/>
  <c r="BC349" i="3"/>
  <c r="X357" i="3"/>
  <c r="V357" i="3"/>
  <c r="W357" i="3"/>
  <c r="BC428" i="3"/>
  <c r="BB428" i="3"/>
  <c r="BD428" i="3"/>
  <c r="BB436" i="3"/>
  <c r="BC436" i="3"/>
  <c r="BD436" i="3"/>
  <c r="BB444" i="3"/>
  <c r="BC444" i="3"/>
  <c r="BD444" i="3"/>
  <c r="BB452" i="3"/>
  <c r="BD452" i="3"/>
  <c r="BC452" i="3"/>
  <c r="BC460" i="3"/>
  <c r="BD460" i="3"/>
  <c r="BB460" i="3"/>
  <c r="BC468" i="3"/>
  <c r="BB468" i="3"/>
  <c r="BD468" i="3"/>
  <c r="BC491" i="3"/>
  <c r="BB491" i="3"/>
  <c r="BD491" i="3"/>
  <c r="BB499" i="3"/>
  <c r="BD499" i="3"/>
  <c r="BC499" i="3"/>
  <c r="BD507" i="3"/>
  <c r="BB507" i="3"/>
  <c r="BC507" i="3"/>
  <c r="BC515" i="3"/>
  <c r="BB515" i="3"/>
  <c r="BD515" i="3"/>
  <c r="BD523" i="3"/>
  <c r="BC523" i="3"/>
  <c r="BB523" i="3"/>
  <c r="BD531" i="3"/>
  <c r="BC531" i="3"/>
  <c r="BB531" i="3"/>
  <c r="BC539" i="3"/>
  <c r="BB539" i="3"/>
  <c r="BD539" i="3"/>
  <c r="BB547" i="3"/>
  <c r="BC547" i="3"/>
  <c r="BD547" i="3"/>
  <c r="BD555" i="3"/>
  <c r="BC555" i="3"/>
  <c r="BB555" i="3"/>
  <c r="BC563" i="3"/>
  <c r="BB563" i="3"/>
  <c r="BD563" i="3"/>
  <c r="BD571" i="3"/>
  <c r="BC571" i="3"/>
  <c r="BB571" i="3"/>
  <c r="BD579" i="3"/>
  <c r="BB579" i="3"/>
  <c r="BC579" i="3"/>
  <c r="BC587" i="3"/>
  <c r="BD587" i="3"/>
  <c r="BB587" i="3"/>
  <c r="BC595" i="3"/>
  <c r="BD595" i="3"/>
  <c r="BB595" i="3"/>
  <c r="BD612" i="3"/>
  <c r="BB612" i="3"/>
  <c r="BC612" i="3"/>
  <c r="BB620" i="3"/>
  <c r="BD620" i="3"/>
  <c r="BC620" i="3"/>
  <c r="BD629" i="3"/>
  <c r="BB629" i="3"/>
  <c r="BC629" i="3"/>
  <c r="BB637" i="3"/>
  <c r="BD637" i="3"/>
  <c r="BC637" i="3"/>
  <c r="BC655" i="3"/>
  <c r="BD655" i="3"/>
  <c r="BB655" i="3"/>
  <c r="BB663" i="3"/>
  <c r="BC663" i="3"/>
  <c r="BD663" i="3"/>
  <c r="BD831" i="3"/>
  <c r="BB831" i="3"/>
  <c r="BC831" i="3"/>
  <c r="BB839" i="3"/>
  <c r="BC839" i="3"/>
  <c r="BD839" i="3"/>
  <c r="BC974" i="3"/>
  <c r="BD974" i="3"/>
  <c r="BB974" i="3"/>
  <c r="BD982" i="3"/>
  <c r="BC982" i="3"/>
  <c r="BB982" i="3"/>
  <c r="BD998" i="3"/>
  <c r="BB998" i="3"/>
  <c r="BC998" i="3"/>
  <c r="BD1006" i="3"/>
  <c r="BC1006" i="3"/>
  <c r="BB1006" i="3"/>
  <c r="BC1069" i="3"/>
  <c r="BB1069" i="3"/>
  <c r="BD1069" i="3"/>
  <c r="BC1093" i="3"/>
  <c r="BB1093" i="3"/>
  <c r="BD1093" i="3"/>
  <c r="BD1213" i="3"/>
  <c r="BB1213" i="3"/>
  <c r="BC1213" i="3"/>
  <c r="BC1221" i="3"/>
  <c r="BB1221" i="3"/>
  <c r="BD1221" i="3"/>
  <c r="V1233" i="3"/>
  <c r="X1233" i="3"/>
  <c r="W1233" i="3"/>
  <c r="BB1238" i="3"/>
  <c r="BC1238" i="3"/>
  <c r="BD1238" i="3"/>
  <c r="X1249" i="3"/>
  <c r="W1249" i="3"/>
  <c r="V1249" i="3"/>
  <c r="BD1254" i="3"/>
  <c r="BB1254" i="3"/>
  <c r="BC1254" i="3"/>
  <c r="X1265" i="3"/>
  <c r="V1265" i="3"/>
  <c r="W1265" i="3"/>
  <c r="BC1262" i="3"/>
  <c r="BD1262" i="3"/>
  <c r="BB1262" i="3"/>
  <c r="W1282" i="3"/>
  <c r="X1282" i="3"/>
  <c r="V1282" i="3"/>
  <c r="BB1287" i="3"/>
  <c r="BC1287" i="3"/>
  <c r="BD1287" i="3"/>
  <c r="W1298" i="3"/>
  <c r="X1298" i="3"/>
  <c r="V1298" i="3"/>
  <c r="X1304" i="3"/>
  <c r="V1304" i="3"/>
  <c r="W1304" i="3"/>
  <c r="BB1329" i="3"/>
  <c r="BD1329" i="3"/>
  <c r="BC1329" i="3"/>
  <c r="BC1344" i="3"/>
  <c r="BD1344" i="3"/>
  <c r="BB1344" i="3"/>
  <c r="V1380" i="3"/>
  <c r="X1380" i="3"/>
  <c r="W1380" i="3"/>
  <c r="BC1387" i="3"/>
  <c r="BB1387" i="3"/>
  <c r="BD1387" i="3"/>
  <c r="W1409" i="3"/>
  <c r="V1409" i="3"/>
  <c r="X1409" i="3"/>
  <c r="BC932" i="3"/>
  <c r="BB932" i="3"/>
  <c r="BD932" i="3"/>
  <c r="BB238" i="3"/>
  <c r="BD238" i="3"/>
  <c r="BC238" i="3"/>
  <c r="BD262" i="3"/>
  <c r="BB262" i="3"/>
  <c r="BC262" i="3"/>
  <c r="BD270" i="3"/>
  <c r="BB270" i="3"/>
  <c r="BC270" i="3"/>
  <c r="BC278" i="3"/>
  <c r="BB278" i="3"/>
  <c r="BD278" i="3"/>
  <c r="BD286" i="3"/>
  <c r="BC286" i="3"/>
  <c r="BB286" i="3"/>
  <c r="BB357" i="3"/>
  <c r="BC357" i="3"/>
  <c r="BD357" i="3"/>
  <c r="BD365" i="3"/>
  <c r="BC365" i="3"/>
  <c r="BB365" i="3"/>
  <c r="BD373" i="3"/>
  <c r="BC373" i="3"/>
  <c r="BB373" i="3"/>
  <c r="BB381" i="3"/>
  <c r="BD381" i="3"/>
  <c r="BC381" i="3"/>
  <c r="BB389" i="3"/>
  <c r="BC389" i="3"/>
  <c r="BD389" i="3"/>
  <c r="BD397" i="3"/>
  <c r="BC397" i="3"/>
  <c r="BB397" i="3"/>
  <c r="BD405" i="3"/>
  <c r="BB405" i="3"/>
  <c r="BC405" i="3"/>
  <c r="BC413" i="3"/>
  <c r="BD413" i="3"/>
  <c r="BB413" i="3"/>
  <c r="X421" i="3"/>
  <c r="V421" i="3"/>
  <c r="W421" i="3"/>
  <c r="BD476" i="3"/>
  <c r="BC476" i="3"/>
  <c r="BB476" i="3"/>
  <c r="BD484" i="3"/>
  <c r="BC484" i="3"/>
  <c r="BB484" i="3"/>
  <c r="BC604" i="3"/>
  <c r="BB604" i="3"/>
  <c r="BD604" i="3"/>
  <c r="BD647" i="3"/>
  <c r="BC647" i="3"/>
  <c r="BB647" i="3"/>
  <c r="BB664" i="3"/>
  <c r="BD664" i="3"/>
  <c r="BC664" i="3"/>
  <c r="BD672" i="3"/>
  <c r="BB672" i="3"/>
  <c r="BC672" i="3"/>
  <c r="BB680" i="3"/>
  <c r="BC680" i="3"/>
  <c r="BD680" i="3"/>
  <c r="BD688" i="3"/>
  <c r="BB688" i="3"/>
  <c r="BC688" i="3"/>
  <c r="BD696" i="3"/>
  <c r="BC696" i="3"/>
  <c r="BB696" i="3"/>
  <c r="BC704" i="3"/>
  <c r="BB704" i="3"/>
  <c r="BD704" i="3"/>
  <c r="BC712" i="3"/>
  <c r="BB712" i="3"/>
  <c r="BD712" i="3"/>
  <c r="BB720" i="3"/>
  <c r="BC720" i="3"/>
  <c r="BD720" i="3"/>
  <c r="BD728" i="3"/>
  <c r="BC728" i="3"/>
  <c r="BB728" i="3"/>
  <c r="BB736" i="3"/>
  <c r="BC736" i="3"/>
  <c r="BD736" i="3"/>
  <c r="BC744" i="3"/>
  <c r="BB744" i="3"/>
  <c r="BD744" i="3"/>
  <c r="BD752" i="3"/>
  <c r="BC752" i="3"/>
  <c r="BB752" i="3"/>
  <c r="BB760" i="3"/>
  <c r="BD760" i="3"/>
  <c r="BC760" i="3"/>
  <c r="BC768" i="3"/>
  <c r="BD768" i="3"/>
  <c r="BB768" i="3"/>
  <c r="BB776" i="3"/>
  <c r="BD776" i="3"/>
  <c r="BC776" i="3"/>
  <c r="BB784" i="3"/>
  <c r="BC784" i="3"/>
  <c r="BD784" i="3"/>
  <c r="BB792" i="3"/>
  <c r="BD792" i="3"/>
  <c r="BC792" i="3"/>
  <c r="BD800" i="3"/>
  <c r="BC800" i="3"/>
  <c r="BB800" i="3"/>
  <c r="BB808" i="3"/>
  <c r="BC808" i="3"/>
  <c r="BD808" i="3"/>
  <c r="BC816" i="3"/>
  <c r="BD816" i="3"/>
  <c r="BB816" i="3"/>
  <c r="BC824" i="3"/>
  <c r="BB824" i="3"/>
  <c r="BD824" i="3"/>
  <c r="BB847" i="3"/>
  <c r="BD847" i="3"/>
  <c r="BC847" i="3"/>
  <c r="BB855" i="3"/>
  <c r="BC855" i="3"/>
  <c r="BD855" i="3"/>
  <c r="BC863" i="3"/>
  <c r="BB863" i="3"/>
  <c r="BD863" i="3"/>
  <c r="BD871" i="3"/>
  <c r="BC871" i="3"/>
  <c r="BB871" i="3"/>
  <c r="BC879" i="3"/>
  <c r="BB879" i="3"/>
  <c r="BD879" i="3"/>
  <c r="BD887" i="3"/>
  <c r="BB887" i="3"/>
  <c r="BC887" i="3"/>
  <c r="BC895" i="3"/>
  <c r="BD895" i="3"/>
  <c r="BB895" i="3"/>
  <c r="BC903" i="3"/>
  <c r="BB903" i="3"/>
  <c r="BD903" i="3"/>
  <c r="X911" i="3"/>
  <c r="W911" i="3"/>
  <c r="V911" i="3"/>
  <c r="BD919" i="3"/>
  <c r="BB919" i="3"/>
  <c r="BC919" i="3"/>
  <c r="BD927" i="3"/>
  <c r="BB927" i="3"/>
  <c r="BC927" i="3"/>
  <c r="BD935" i="3"/>
  <c r="BC935" i="3"/>
  <c r="BB935" i="3"/>
  <c r="BC943" i="3"/>
  <c r="BB943" i="3"/>
  <c r="BD943" i="3"/>
  <c r="BD951" i="3"/>
  <c r="BC951" i="3"/>
  <c r="BB951" i="3"/>
  <c r="BD959" i="3"/>
  <c r="BB959" i="3"/>
  <c r="BC959" i="3"/>
  <c r="BB967" i="3"/>
  <c r="BD967" i="3"/>
  <c r="BC967" i="3"/>
  <c r="BB1038" i="3"/>
  <c r="BD1038" i="3"/>
  <c r="BC1038" i="3"/>
  <c r="BB1062" i="3"/>
  <c r="BD1062" i="3"/>
  <c r="BC1062" i="3"/>
  <c r="BD1133" i="3"/>
  <c r="BC1133" i="3"/>
  <c r="BB1133" i="3"/>
  <c r="BB1157" i="3"/>
  <c r="BC1157" i="3"/>
  <c r="BD1157" i="3"/>
  <c r="BD1165" i="3"/>
  <c r="BC1165" i="3"/>
  <c r="BB1165" i="3"/>
  <c r="BB1181" i="3"/>
  <c r="BC1181" i="3"/>
  <c r="BD1181" i="3"/>
  <c r="BB1293" i="3"/>
  <c r="BD1293" i="3"/>
  <c r="BC1293" i="3"/>
  <c r="BC1205" i="3"/>
  <c r="BB1205" i="3"/>
  <c r="BD1205" i="3"/>
  <c r="W1228" i="3"/>
  <c r="V1228" i="3"/>
  <c r="X1228" i="3"/>
  <c r="BC1233" i="3"/>
  <c r="BB1233" i="3"/>
  <c r="BD1233" i="3"/>
  <c r="X1244" i="3"/>
  <c r="W1244" i="3"/>
  <c r="V1244" i="3"/>
  <c r="BD1249" i="3"/>
  <c r="BC1249" i="3"/>
  <c r="BB1249" i="3"/>
  <c r="V1260" i="3"/>
  <c r="W1260" i="3"/>
  <c r="X1260" i="3"/>
  <c r="X1277" i="3"/>
  <c r="V1277" i="3"/>
  <c r="W1277" i="3"/>
  <c r="BC1282" i="3"/>
  <c r="BB1282" i="3"/>
  <c r="BD1282" i="3"/>
  <c r="V1293" i="3"/>
  <c r="X1293" i="3"/>
  <c r="W1293" i="3"/>
  <c r="W1316" i="3"/>
  <c r="V1316" i="3"/>
  <c r="X1316" i="3"/>
  <c r="BB1323" i="3"/>
  <c r="BD1323" i="3"/>
  <c r="BC1323" i="3"/>
  <c r="BB1337" i="3"/>
  <c r="BD1337" i="3"/>
  <c r="BC1337" i="3"/>
  <c r="X1352" i="3"/>
  <c r="W1352" i="3"/>
  <c r="V1352" i="3"/>
  <c r="BD1374" i="3"/>
  <c r="BB1374" i="3"/>
  <c r="BC1374" i="3"/>
  <c r="BD1380" i="3"/>
  <c r="BC1380" i="3"/>
  <c r="BB1380" i="3"/>
  <c r="V1395" i="3"/>
  <c r="X1395" i="3"/>
  <c r="W1395" i="3"/>
  <c r="BD1402" i="3"/>
  <c r="BC1402" i="3"/>
  <c r="BB1402" i="3"/>
  <c r="BC924" i="3"/>
  <c r="BD924" i="3"/>
  <c r="BB924" i="3"/>
  <c r="BD199" i="3"/>
  <c r="BB199" i="3"/>
  <c r="BC199" i="3"/>
  <c r="BC302" i="3"/>
  <c r="BB302" i="3"/>
  <c r="BD302" i="3"/>
  <c r="BB318" i="3"/>
  <c r="BC318" i="3"/>
  <c r="BD318" i="3"/>
  <c r="BC326" i="3"/>
  <c r="BD326" i="3"/>
  <c r="BB326" i="3"/>
  <c r="BD334" i="3"/>
  <c r="BB334" i="3"/>
  <c r="BC334" i="3"/>
  <c r="BC342" i="3"/>
  <c r="BD342" i="3"/>
  <c r="BB342" i="3"/>
  <c r="BC350" i="3"/>
  <c r="BB350" i="3"/>
  <c r="BD350" i="3"/>
  <c r="BD421" i="3"/>
  <c r="BB421" i="3"/>
  <c r="BC421" i="3"/>
  <c r="BB429" i="3"/>
  <c r="BC429" i="3"/>
  <c r="BD429" i="3"/>
  <c r="BC437" i="3"/>
  <c r="BD437" i="3"/>
  <c r="BB437" i="3"/>
  <c r="BD445" i="3"/>
  <c r="BC445" i="3"/>
  <c r="BB445" i="3"/>
  <c r="BB453" i="3"/>
  <c r="BD453" i="3"/>
  <c r="BC453" i="3"/>
  <c r="BD461" i="3"/>
  <c r="BB461" i="3"/>
  <c r="BC461" i="3"/>
  <c r="BD469" i="3"/>
  <c r="BB469" i="3"/>
  <c r="BC469" i="3"/>
  <c r="BB492" i="3"/>
  <c r="BC492" i="3"/>
  <c r="BD492" i="3"/>
  <c r="BD500" i="3"/>
  <c r="BB500" i="3"/>
  <c r="BC500" i="3"/>
  <c r="BD508" i="3"/>
  <c r="BC508" i="3"/>
  <c r="BB508" i="3"/>
  <c r="BD516" i="3"/>
  <c r="BB516" i="3"/>
  <c r="BC516" i="3"/>
  <c r="BB524" i="3"/>
  <c r="BC524" i="3"/>
  <c r="BD524" i="3"/>
  <c r="BC532" i="3"/>
  <c r="BB532" i="3"/>
  <c r="BD532" i="3"/>
  <c r="BD540" i="3"/>
  <c r="BC540" i="3"/>
  <c r="BB540" i="3"/>
  <c r="BD548" i="3"/>
  <c r="BB548" i="3"/>
  <c r="BC548" i="3"/>
  <c r="BD556" i="3"/>
  <c r="BB556" i="3"/>
  <c r="BC556" i="3"/>
  <c r="BC564" i="3"/>
  <c r="BB564" i="3"/>
  <c r="BD564" i="3"/>
  <c r="BC572" i="3"/>
  <c r="BD572" i="3"/>
  <c r="BB572" i="3"/>
  <c r="BC580" i="3"/>
  <c r="BB580" i="3"/>
  <c r="BD580" i="3"/>
  <c r="BB588" i="3"/>
  <c r="BC588" i="3"/>
  <c r="BD588" i="3"/>
  <c r="BB596" i="3"/>
  <c r="BC596" i="3"/>
  <c r="BD596" i="3"/>
  <c r="BD613" i="3"/>
  <c r="BB613" i="3"/>
  <c r="BC613" i="3"/>
  <c r="BC621" i="3"/>
  <c r="BB621" i="3"/>
  <c r="BD621" i="3"/>
  <c r="BD630" i="3"/>
  <c r="BC630" i="3"/>
  <c r="BB630" i="3"/>
  <c r="BB638" i="3"/>
  <c r="BD638" i="3"/>
  <c r="BC638" i="3"/>
  <c r="BD656" i="3"/>
  <c r="BC656" i="3"/>
  <c r="BB656" i="3"/>
  <c r="BB832" i="3"/>
  <c r="BD832" i="3"/>
  <c r="BC832" i="3"/>
  <c r="BC840" i="3"/>
  <c r="BD840" i="3"/>
  <c r="BB840" i="3"/>
  <c r="BC911" i="3"/>
  <c r="BB911" i="3"/>
  <c r="BD911" i="3"/>
  <c r="BB975" i="3"/>
  <c r="BD975" i="3"/>
  <c r="BC975" i="3"/>
  <c r="BD983" i="3"/>
  <c r="BC983" i="3"/>
  <c r="BB983" i="3"/>
  <c r="BB999" i="3"/>
  <c r="BC999" i="3"/>
  <c r="BD999" i="3"/>
  <c r="BD1007" i="3"/>
  <c r="BC1007" i="3"/>
  <c r="BB1007" i="3"/>
  <c r="BB1070" i="3"/>
  <c r="BD1070" i="3"/>
  <c r="BC1070" i="3"/>
  <c r="BC1094" i="3"/>
  <c r="BB1094" i="3"/>
  <c r="BD1094" i="3"/>
  <c r="BD1214" i="3"/>
  <c r="BC1214" i="3"/>
  <c r="BB1214" i="3"/>
  <c r="BC1228" i="3"/>
  <c r="BB1228" i="3"/>
  <c r="BD1228" i="3"/>
  <c r="X1239" i="3"/>
  <c r="W1239" i="3"/>
  <c r="V1239" i="3"/>
  <c r="BB1244" i="3"/>
  <c r="BD1244" i="3"/>
  <c r="BC1244" i="3"/>
  <c r="X1255" i="3"/>
  <c r="V1255" i="3"/>
  <c r="W1255" i="3"/>
  <c r="BC1260" i="3"/>
  <c r="BD1260" i="3"/>
  <c r="BB1260" i="3"/>
  <c r="BB1271" i="3"/>
  <c r="BC1271" i="3"/>
  <c r="BD1271" i="3"/>
  <c r="BB1277" i="3"/>
  <c r="BC1277" i="3"/>
  <c r="BD1277" i="3"/>
  <c r="X1288" i="3"/>
  <c r="V1288" i="3"/>
  <c r="W1288" i="3"/>
  <c r="BC1345" i="3"/>
  <c r="BD1345" i="3"/>
  <c r="BB1345" i="3"/>
  <c r="BB1352" i="3"/>
  <c r="BC1352" i="3"/>
  <c r="BD1352" i="3"/>
  <c r="BD1388" i="3"/>
  <c r="BC1388" i="3"/>
  <c r="BB1388" i="3"/>
  <c r="BC1395" i="3"/>
  <c r="BB1395" i="3"/>
  <c r="BD1395" i="3"/>
  <c r="BD227" i="3"/>
  <c r="BB227" i="3"/>
  <c r="BC227" i="3"/>
  <c r="BD386" i="3"/>
  <c r="BB386" i="3"/>
  <c r="BC386" i="3"/>
  <c r="BD669" i="3"/>
  <c r="BC669" i="3"/>
  <c r="BB669" i="3"/>
  <c r="BC725" i="3"/>
  <c r="BD725" i="3"/>
  <c r="BB725" i="3"/>
  <c r="BB797" i="3"/>
  <c r="BD797" i="3"/>
  <c r="BC797" i="3"/>
  <c r="BC948" i="3"/>
  <c r="BD948" i="3"/>
  <c r="BB948" i="3"/>
  <c r="BD237" i="3"/>
  <c r="BB237" i="3"/>
  <c r="BC237" i="3"/>
  <c r="BC214" i="3"/>
  <c r="BD214" i="3"/>
  <c r="BB214" i="3"/>
  <c r="BB222" i="3"/>
  <c r="BC222" i="3"/>
  <c r="BD222" i="3"/>
  <c r="BC191" i="3"/>
  <c r="BD191" i="3"/>
  <c r="BB191" i="3"/>
  <c r="BC207" i="3"/>
  <c r="BD207" i="3"/>
  <c r="BB207" i="3"/>
  <c r="BD310" i="3"/>
  <c r="BC310" i="3"/>
  <c r="BB310" i="3"/>
  <c r="BD215" i="3"/>
  <c r="BC215" i="3"/>
  <c r="BB215" i="3"/>
  <c r="BC223" i="3"/>
  <c r="BD223" i="3"/>
  <c r="BB223" i="3"/>
  <c r="BB231" i="3"/>
  <c r="BD231" i="3"/>
  <c r="BC231" i="3"/>
  <c r="BD239" i="3"/>
  <c r="BB239" i="3"/>
  <c r="BC239" i="3"/>
  <c r="BD247" i="3"/>
  <c r="BB247" i="3"/>
  <c r="BC247" i="3"/>
  <c r="BB255" i="3"/>
  <c r="BC255" i="3"/>
  <c r="BD255" i="3"/>
  <c r="BC263" i="3"/>
  <c r="BB263" i="3"/>
  <c r="BD263" i="3"/>
  <c r="BB271" i="3"/>
  <c r="BD271" i="3"/>
  <c r="BC271" i="3"/>
  <c r="BB279" i="3"/>
  <c r="BC279" i="3"/>
  <c r="BD279" i="3"/>
  <c r="BC287" i="3"/>
  <c r="BB287" i="3"/>
  <c r="BD287" i="3"/>
  <c r="BC358" i="3"/>
  <c r="BB358" i="3"/>
  <c r="BD358" i="3"/>
  <c r="BD366" i="3"/>
  <c r="BC366" i="3"/>
  <c r="BB366" i="3"/>
  <c r="BB374" i="3"/>
  <c r="BD374" i="3"/>
  <c r="BC374" i="3"/>
  <c r="BD382" i="3"/>
  <c r="BC382" i="3"/>
  <c r="BB382" i="3"/>
  <c r="BD390" i="3"/>
  <c r="BB390" i="3"/>
  <c r="BC390" i="3"/>
  <c r="BC398" i="3"/>
  <c r="BD398" i="3"/>
  <c r="BB398" i="3"/>
  <c r="BB406" i="3"/>
  <c r="BC406" i="3"/>
  <c r="BD406" i="3"/>
  <c r="BC414" i="3"/>
  <c r="BB414" i="3"/>
  <c r="BD414" i="3"/>
  <c r="BB477" i="3"/>
  <c r="BC477" i="3"/>
  <c r="BD477" i="3"/>
  <c r="BB485" i="3"/>
  <c r="BC485" i="3"/>
  <c r="BD485" i="3"/>
  <c r="BB605" i="3"/>
  <c r="BD605" i="3"/>
  <c r="BC605" i="3"/>
  <c r="BB631" i="3"/>
  <c r="BC631" i="3"/>
  <c r="BD631" i="3"/>
  <c r="BC648" i="3"/>
  <c r="BD648" i="3"/>
  <c r="BB648" i="3"/>
  <c r="BD665" i="3"/>
  <c r="BC665" i="3"/>
  <c r="BB665" i="3"/>
  <c r="BB673" i="3"/>
  <c r="BD673" i="3"/>
  <c r="BC673" i="3"/>
  <c r="BB681" i="3"/>
  <c r="BD681" i="3"/>
  <c r="BC681" i="3"/>
  <c r="BC689" i="3"/>
  <c r="BB689" i="3"/>
  <c r="BD689" i="3"/>
  <c r="BB697" i="3"/>
  <c r="BD697" i="3"/>
  <c r="BC697" i="3"/>
  <c r="BC705" i="3"/>
  <c r="BD705" i="3"/>
  <c r="BB705" i="3"/>
  <c r="BC713" i="3"/>
  <c r="BD713" i="3"/>
  <c r="BB713" i="3"/>
  <c r="BD721" i="3"/>
  <c r="BC721" i="3"/>
  <c r="BB721" i="3"/>
  <c r="BD729" i="3"/>
  <c r="BB729" i="3"/>
  <c r="BC729" i="3"/>
  <c r="BB737" i="3"/>
  <c r="BD737" i="3"/>
  <c r="BC737" i="3"/>
  <c r="BB745" i="3"/>
  <c r="BD745" i="3"/>
  <c r="BC745" i="3"/>
  <c r="BC753" i="3"/>
  <c r="BB753" i="3"/>
  <c r="BD753" i="3"/>
  <c r="BC761" i="3"/>
  <c r="BD761" i="3"/>
  <c r="BB761" i="3"/>
  <c r="BD769" i="3"/>
  <c r="BC769" i="3"/>
  <c r="BB769" i="3"/>
  <c r="BB777" i="3"/>
  <c r="BD777" i="3"/>
  <c r="BC777" i="3"/>
  <c r="BC785" i="3"/>
  <c r="BB785" i="3"/>
  <c r="BD785" i="3"/>
  <c r="BC793" i="3"/>
  <c r="BB793" i="3"/>
  <c r="BD793" i="3"/>
  <c r="BD801" i="3"/>
  <c r="BB801" i="3"/>
  <c r="BC801" i="3"/>
  <c r="BC809" i="3"/>
  <c r="BB809" i="3"/>
  <c r="BD809" i="3"/>
  <c r="BD817" i="3"/>
  <c r="BC817" i="3"/>
  <c r="BB817" i="3"/>
  <c r="BB825" i="3"/>
  <c r="BD825" i="3"/>
  <c r="BC825" i="3"/>
  <c r="BB848" i="3"/>
  <c r="BC848" i="3"/>
  <c r="BD848" i="3"/>
  <c r="BB856" i="3"/>
  <c r="BD856" i="3"/>
  <c r="BC856" i="3"/>
  <c r="BD864" i="3"/>
  <c r="BB864" i="3"/>
  <c r="BC864" i="3"/>
  <c r="BB872" i="3"/>
  <c r="BD872" i="3"/>
  <c r="BC872" i="3"/>
  <c r="BD880" i="3"/>
  <c r="BB880" i="3"/>
  <c r="BC880" i="3"/>
  <c r="BB888" i="3"/>
  <c r="BC888" i="3"/>
  <c r="BD888" i="3"/>
  <c r="BD896" i="3"/>
  <c r="BC896" i="3"/>
  <c r="BB896" i="3"/>
  <c r="BD904" i="3"/>
  <c r="BB904" i="3"/>
  <c r="BC904" i="3"/>
  <c r="BB920" i="3"/>
  <c r="BC920" i="3"/>
  <c r="BD920" i="3"/>
  <c r="BB928" i="3"/>
  <c r="BC928" i="3"/>
  <c r="BD928" i="3"/>
  <c r="BC936" i="3"/>
  <c r="BD936" i="3"/>
  <c r="BB936" i="3"/>
  <c r="BC944" i="3"/>
  <c r="BB944" i="3"/>
  <c r="BD944" i="3"/>
  <c r="BB952" i="3"/>
  <c r="BC952" i="3"/>
  <c r="BD952" i="3"/>
  <c r="BC960" i="3"/>
  <c r="BD960" i="3"/>
  <c r="BB960" i="3"/>
  <c r="W968" i="3"/>
  <c r="V968" i="3"/>
  <c r="X968" i="3"/>
  <c r="BD1039" i="3"/>
  <c r="BC1039" i="3"/>
  <c r="BB1039" i="3"/>
  <c r="BD1063" i="3"/>
  <c r="BB1063" i="3"/>
  <c r="BC1063" i="3"/>
  <c r="BA1112" i="3"/>
  <c r="BB1134" i="3"/>
  <c r="BD1134" i="3"/>
  <c r="BC1134" i="3"/>
  <c r="BB1158" i="3"/>
  <c r="BD1158" i="3"/>
  <c r="BC1158" i="3"/>
  <c r="BC1166" i="3"/>
  <c r="BB1166" i="3"/>
  <c r="BD1166" i="3"/>
  <c r="BC1174" i="3"/>
  <c r="BD1174" i="3"/>
  <c r="BB1174" i="3"/>
  <c r="BD1182" i="3"/>
  <c r="BB1182" i="3"/>
  <c r="BC1182" i="3"/>
  <c r="BC1302" i="3"/>
  <c r="BB1302" i="3"/>
  <c r="BD1302" i="3"/>
  <c r="BC1206" i="3"/>
  <c r="BB1206" i="3"/>
  <c r="BD1206" i="3"/>
  <c r="V1234" i="3"/>
  <c r="X1234" i="3"/>
  <c r="W1234" i="3"/>
  <c r="BD1239" i="3"/>
  <c r="BB1239" i="3"/>
  <c r="BC1239" i="3"/>
  <c r="X1250" i="3"/>
  <c r="W1250" i="3"/>
  <c r="V1250" i="3"/>
  <c r="BB1255" i="3"/>
  <c r="BC1255" i="3"/>
  <c r="BD1255" i="3"/>
  <c r="W1266" i="3"/>
  <c r="V1266" i="3"/>
  <c r="X1266" i="3"/>
  <c r="V1283" i="3"/>
  <c r="W1283" i="3"/>
  <c r="X1283" i="3"/>
  <c r="BD1288" i="3"/>
  <c r="BB1288" i="3"/>
  <c r="BC1288" i="3"/>
  <c r="X1299" i="3"/>
  <c r="V1299" i="3"/>
  <c r="W1299" i="3"/>
  <c r="W1305" i="3"/>
  <c r="V1305" i="3"/>
  <c r="X1305" i="3"/>
  <c r="X1311" i="3"/>
  <c r="V1311" i="3"/>
  <c r="W1311" i="3"/>
  <c r="BC1324" i="3"/>
  <c r="BD1324" i="3"/>
  <c r="BB1324" i="3"/>
  <c r="V1368" i="3"/>
  <c r="X1368" i="3"/>
  <c r="W1368" i="3"/>
  <c r="X1375" i="3"/>
  <c r="V1375" i="3"/>
  <c r="W1375" i="3"/>
  <c r="W1381" i="3"/>
  <c r="V1381" i="3"/>
  <c r="X1381" i="3"/>
  <c r="V1403" i="3"/>
  <c r="X1403" i="3"/>
  <c r="W1403" i="3"/>
  <c r="BA1425" i="3"/>
  <c r="BB1426" i="3"/>
  <c r="BC1426" i="3"/>
  <c r="BD1426" i="3"/>
  <c r="BB182" i="3"/>
  <c r="BB275" i="3"/>
  <c r="BD275" i="3"/>
  <c r="BC275" i="3"/>
  <c r="BD410" i="3"/>
  <c r="BB410" i="3"/>
  <c r="BC410" i="3"/>
  <c r="BC693" i="3"/>
  <c r="BD693" i="3"/>
  <c r="BB693" i="3"/>
  <c r="BC749" i="3"/>
  <c r="BB749" i="3"/>
  <c r="BD749" i="3"/>
  <c r="BD773" i="3"/>
  <c r="BB773" i="3"/>
  <c r="BC773" i="3"/>
  <c r="BC813" i="3"/>
  <c r="BB813" i="3"/>
  <c r="BD813" i="3"/>
  <c r="BB860" i="3"/>
  <c r="BD860" i="3"/>
  <c r="BC860" i="3"/>
  <c r="BB868" i="3"/>
  <c r="BD868" i="3"/>
  <c r="BC868" i="3"/>
  <c r="BD956" i="3"/>
  <c r="BB956" i="3"/>
  <c r="BC956" i="3"/>
  <c r="BC221" i="3"/>
  <c r="BD221" i="3"/>
  <c r="BB221" i="3"/>
  <c r="BC190" i="3"/>
  <c r="BD190" i="3"/>
  <c r="BB190" i="3"/>
  <c r="BB230" i="3"/>
  <c r="BC230" i="3"/>
  <c r="BD230" i="3"/>
  <c r="BC184" i="3"/>
  <c r="BB184" i="3"/>
  <c r="BD184" i="3"/>
  <c r="BD192" i="3"/>
  <c r="BC192" i="3"/>
  <c r="BB192" i="3"/>
  <c r="BD200" i="3"/>
  <c r="BB200" i="3"/>
  <c r="BC200" i="3"/>
  <c r="BD208" i="3"/>
  <c r="BC208" i="3"/>
  <c r="BB208" i="3"/>
  <c r="BD303" i="3"/>
  <c r="BC303" i="3"/>
  <c r="BB303" i="3"/>
  <c r="BD311" i="3"/>
  <c r="BC311" i="3"/>
  <c r="BB311" i="3"/>
  <c r="BB319" i="3"/>
  <c r="BD319" i="3"/>
  <c r="BC319" i="3"/>
  <c r="BB327" i="3"/>
  <c r="BD327" i="3"/>
  <c r="BC327" i="3"/>
  <c r="BB335" i="3"/>
  <c r="BD335" i="3"/>
  <c r="BC335" i="3"/>
  <c r="BD343" i="3"/>
  <c r="BB343" i="3"/>
  <c r="BC343" i="3"/>
  <c r="BC351" i="3"/>
  <c r="BB351" i="3"/>
  <c r="BD351" i="3"/>
  <c r="BC422" i="3"/>
  <c r="BB422" i="3"/>
  <c r="BD422" i="3"/>
  <c r="BD430" i="3"/>
  <c r="BC430" i="3"/>
  <c r="BB430" i="3"/>
  <c r="BD438" i="3"/>
  <c r="BC438" i="3"/>
  <c r="BB438" i="3"/>
  <c r="BD446" i="3"/>
  <c r="BB446" i="3"/>
  <c r="BC446" i="3"/>
  <c r="BC454" i="3"/>
  <c r="BD454" i="3"/>
  <c r="BB454" i="3"/>
  <c r="BD462" i="3"/>
  <c r="BB462" i="3"/>
  <c r="BC462" i="3"/>
  <c r="BB470" i="3"/>
  <c r="BC470" i="3"/>
  <c r="BD470" i="3"/>
  <c r="BD493" i="3"/>
  <c r="BB493" i="3"/>
  <c r="BC493" i="3"/>
  <c r="BB501" i="3"/>
  <c r="BD501" i="3"/>
  <c r="BC501" i="3"/>
  <c r="BB509" i="3"/>
  <c r="BD509" i="3"/>
  <c r="BC509" i="3"/>
  <c r="BD517" i="3"/>
  <c r="BC517" i="3"/>
  <c r="BB517" i="3"/>
  <c r="BC525" i="3"/>
  <c r="BB525" i="3"/>
  <c r="BD525" i="3"/>
  <c r="BD533" i="3"/>
  <c r="BB533" i="3"/>
  <c r="BC533" i="3"/>
  <c r="BD541" i="3"/>
  <c r="BC541" i="3"/>
  <c r="BB541" i="3"/>
  <c r="BB549" i="3"/>
  <c r="BC549" i="3"/>
  <c r="BD549" i="3"/>
  <c r="BC557" i="3"/>
  <c r="BD557" i="3"/>
  <c r="BB557" i="3"/>
  <c r="BB565" i="3"/>
  <c r="BC565" i="3"/>
  <c r="BD565" i="3"/>
  <c r="BD573" i="3"/>
  <c r="BB573" i="3"/>
  <c r="BC573" i="3"/>
  <c r="BB581" i="3"/>
  <c r="BC581" i="3"/>
  <c r="BD581" i="3"/>
  <c r="BB589" i="3"/>
  <c r="BC589" i="3"/>
  <c r="BD589" i="3"/>
  <c r="BB597" i="3"/>
  <c r="BC597" i="3"/>
  <c r="BD597" i="3"/>
  <c r="BD606" i="3"/>
  <c r="BC606" i="3"/>
  <c r="BB606" i="3"/>
  <c r="BD614" i="3"/>
  <c r="BC614" i="3"/>
  <c r="BB614" i="3"/>
  <c r="BC622" i="3"/>
  <c r="BB622" i="3"/>
  <c r="BD622" i="3"/>
  <c r="BC639" i="3"/>
  <c r="BB639" i="3"/>
  <c r="BD639" i="3"/>
  <c r="BC657" i="3"/>
  <c r="BD657" i="3"/>
  <c r="BB657" i="3"/>
  <c r="BD833" i="3"/>
  <c r="BB833" i="3"/>
  <c r="BC833" i="3"/>
  <c r="X841" i="3"/>
  <c r="W841" i="3"/>
  <c r="V841" i="3"/>
  <c r="BC912" i="3"/>
  <c r="BB912" i="3"/>
  <c r="BD912" i="3"/>
  <c r="BB968" i="3"/>
  <c r="BC968" i="3"/>
  <c r="BD968" i="3"/>
  <c r="BB976" i="3"/>
  <c r="BC976" i="3"/>
  <c r="BD976" i="3"/>
  <c r="BB984" i="3"/>
  <c r="BD984" i="3"/>
  <c r="BC984" i="3"/>
  <c r="BC985" i="3"/>
  <c r="BD985" i="3"/>
  <c r="BB985" i="3"/>
  <c r="BD1000" i="3"/>
  <c r="BC1000" i="3"/>
  <c r="BB1000" i="3"/>
  <c r="BA1008" i="3"/>
  <c r="BD1207" i="3"/>
  <c r="BC1207" i="3"/>
  <c r="BB1207" i="3"/>
  <c r="BB1215" i="3"/>
  <c r="BD1215" i="3"/>
  <c r="BC1215" i="3"/>
  <c r="BB1223" i="3"/>
  <c r="BC1223" i="3"/>
  <c r="BD1223" i="3"/>
  <c r="X1229" i="3"/>
  <c r="W1229" i="3"/>
  <c r="V1229" i="3"/>
  <c r="BB1234" i="3"/>
  <c r="BD1234" i="3"/>
  <c r="BC1234" i="3"/>
  <c r="W1245" i="3"/>
  <c r="V1245" i="3"/>
  <c r="X1245" i="3"/>
  <c r="BB1250" i="3"/>
  <c r="BC1250" i="3"/>
  <c r="BD1250" i="3"/>
  <c r="W1261" i="3"/>
  <c r="V1261" i="3"/>
  <c r="X1261" i="3"/>
  <c r="BD1272" i="3"/>
  <c r="BB1272" i="3"/>
  <c r="BC1272" i="3"/>
  <c r="V1278" i="3"/>
  <c r="W1278" i="3"/>
  <c r="X1278" i="3"/>
  <c r="BD1283" i="3"/>
  <c r="BC1283" i="3"/>
  <c r="BB1283" i="3"/>
  <c r="X1294" i="3"/>
  <c r="W1294" i="3"/>
  <c r="V1294" i="3"/>
  <c r="BD1311" i="3"/>
  <c r="BB1311" i="3"/>
  <c r="BC1311" i="3"/>
  <c r="BB1331" i="3"/>
  <c r="BC1331" i="3"/>
  <c r="BD1331" i="3"/>
  <c r="BC1346" i="3"/>
  <c r="BB1346" i="3"/>
  <c r="BD1346" i="3"/>
  <c r="BB1368" i="3"/>
  <c r="BC1368" i="3"/>
  <c r="BD1368" i="3"/>
  <c r="BC1375" i="3"/>
  <c r="BD1375" i="3"/>
  <c r="BB1375" i="3"/>
  <c r="BD1381" i="3"/>
  <c r="BB1381" i="3"/>
  <c r="BC1381" i="3"/>
  <c r="W1389" i="3"/>
  <c r="X1389" i="3"/>
  <c r="V1389" i="3"/>
  <c r="BB1403" i="3"/>
  <c r="BC1403" i="3"/>
  <c r="BD1403" i="3"/>
  <c r="BC182" i="3"/>
  <c r="BC235" i="3"/>
  <c r="BB235" i="3"/>
  <c r="BD235" i="3"/>
  <c r="BD283" i="3"/>
  <c r="BC283" i="3"/>
  <c r="BB283" i="3"/>
  <c r="BC378" i="3"/>
  <c r="BB378" i="3"/>
  <c r="BD378" i="3"/>
  <c r="BD418" i="3"/>
  <c r="BC418" i="3"/>
  <c r="BB418" i="3"/>
  <c r="BD685" i="3"/>
  <c r="BB685" i="3"/>
  <c r="BC685" i="3"/>
  <c r="BB733" i="3"/>
  <c r="BC733" i="3"/>
  <c r="BD733" i="3"/>
  <c r="BB765" i="3"/>
  <c r="BC765" i="3"/>
  <c r="BD765" i="3"/>
  <c r="BD789" i="3"/>
  <c r="BB789" i="3"/>
  <c r="BC789" i="3"/>
  <c r="W829" i="3"/>
  <c r="V829" i="3"/>
  <c r="X829" i="3"/>
  <c r="BC940" i="3"/>
  <c r="BB940" i="3"/>
  <c r="BD940" i="3"/>
  <c r="W190" i="3"/>
  <c r="V190" i="3"/>
  <c r="X190" i="3"/>
  <c r="BB254" i="3"/>
  <c r="BD254" i="3"/>
  <c r="BC254" i="3"/>
  <c r="BD185" i="3"/>
  <c r="BB185" i="3"/>
  <c r="BC185" i="3"/>
  <c r="BB216" i="3"/>
  <c r="BC216" i="3"/>
  <c r="BD216" i="3"/>
  <c r="BC224" i="3"/>
  <c r="BD224" i="3"/>
  <c r="BB224" i="3"/>
  <c r="BB232" i="3"/>
  <c r="BC232" i="3"/>
  <c r="BD232" i="3"/>
  <c r="BB240" i="3"/>
  <c r="BC240" i="3"/>
  <c r="BD240" i="3"/>
  <c r="BB248" i="3"/>
  <c r="BC248" i="3"/>
  <c r="BD248" i="3"/>
  <c r="BC256" i="3"/>
  <c r="BD256" i="3"/>
  <c r="BB256" i="3"/>
  <c r="BB264" i="3"/>
  <c r="BD264" i="3"/>
  <c r="BC264" i="3"/>
  <c r="BC272" i="3"/>
  <c r="BD272" i="3"/>
  <c r="BB272" i="3"/>
  <c r="BB280" i="3"/>
  <c r="BD280" i="3"/>
  <c r="BC280" i="3"/>
  <c r="BC288" i="3"/>
  <c r="BD288" i="3"/>
  <c r="BB288" i="3"/>
  <c r="BB359" i="3"/>
  <c r="BC359" i="3"/>
  <c r="BD359" i="3"/>
  <c r="BB367" i="3"/>
  <c r="BD367" i="3"/>
  <c r="BC367" i="3"/>
  <c r="BB375" i="3"/>
  <c r="BD375" i="3"/>
  <c r="BC375" i="3"/>
  <c r="BB383" i="3"/>
  <c r="BD383" i="3"/>
  <c r="BC383" i="3"/>
  <c r="BC391" i="3"/>
  <c r="BB391" i="3"/>
  <c r="BD391" i="3"/>
  <c r="BD399" i="3"/>
  <c r="BB399" i="3"/>
  <c r="BC399" i="3"/>
  <c r="BC407" i="3"/>
  <c r="BD407" i="3"/>
  <c r="BB407" i="3"/>
  <c r="BC415" i="3"/>
  <c r="BD415" i="3"/>
  <c r="BB415" i="3"/>
  <c r="BC478" i="3"/>
  <c r="BD478" i="3"/>
  <c r="BB478" i="3"/>
  <c r="BD486" i="3"/>
  <c r="BB486" i="3"/>
  <c r="BC486" i="3"/>
  <c r="BD632" i="3"/>
  <c r="BB632" i="3"/>
  <c r="BC632" i="3"/>
  <c r="BD640" i="3"/>
  <c r="BC640" i="3"/>
  <c r="BB640" i="3"/>
  <c r="BD649" i="3"/>
  <c r="BC649" i="3"/>
  <c r="BB649" i="3"/>
  <c r="BB666" i="3"/>
  <c r="BC666" i="3"/>
  <c r="BD666" i="3"/>
  <c r="BC674" i="3"/>
  <c r="BD674" i="3"/>
  <c r="BB674" i="3"/>
  <c r="BB682" i="3"/>
  <c r="BC682" i="3"/>
  <c r="BD682" i="3"/>
  <c r="BB690" i="3"/>
  <c r="BD690" i="3"/>
  <c r="BC690" i="3"/>
  <c r="BC698" i="3"/>
  <c r="BB698" i="3"/>
  <c r="BD698" i="3"/>
  <c r="BD706" i="3"/>
  <c r="BC706" i="3"/>
  <c r="BB706" i="3"/>
  <c r="BB714" i="3"/>
  <c r="BC714" i="3"/>
  <c r="BD714" i="3"/>
  <c r="BC722" i="3"/>
  <c r="BD722" i="3"/>
  <c r="BB722" i="3"/>
  <c r="BD730" i="3"/>
  <c r="BC730" i="3"/>
  <c r="BB730" i="3"/>
  <c r="BD738" i="3"/>
  <c r="BB738" i="3"/>
  <c r="BC738" i="3"/>
  <c r="BC746" i="3"/>
  <c r="BB746" i="3"/>
  <c r="BD746" i="3"/>
  <c r="BD754" i="3"/>
  <c r="BC754" i="3"/>
  <c r="BB754" i="3"/>
  <c r="BB762" i="3"/>
  <c r="BC762" i="3"/>
  <c r="BD762" i="3"/>
  <c r="BD770" i="3"/>
  <c r="BC770" i="3"/>
  <c r="BB770" i="3"/>
  <c r="BC778" i="3"/>
  <c r="BD778" i="3"/>
  <c r="BB778" i="3"/>
  <c r="BB786" i="3"/>
  <c r="BC786" i="3"/>
  <c r="BD786" i="3"/>
  <c r="BB794" i="3"/>
  <c r="BD794" i="3"/>
  <c r="BC794" i="3"/>
  <c r="BD802" i="3"/>
  <c r="BC802" i="3"/>
  <c r="BB802" i="3"/>
  <c r="BD810" i="3"/>
  <c r="BB810" i="3"/>
  <c r="BC810" i="3"/>
  <c r="BC818" i="3"/>
  <c r="BD818" i="3"/>
  <c r="BB818" i="3"/>
  <c r="BD826" i="3"/>
  <c r="BB826" i="3"/>
  <c r="BC826" i="3"/>
  <c r="BD841" i="3"/>
  <c r="BB841" i="3"/>
  <c r="BC841" i="3"/>
  <c r="BD849" i="3"/>
  <c r="BC849" i="3"/>
  <c r="BB849" i="3"/>
  <c r="BD857" i="3"/>
  <c r="BB857" i="3"/>
  <c r="BC857" i="3"/>
  <c r="BD865" i="3"/>
  <c r="BB865" i="3"/>
  <c r="BC865" i="3"/>
  <c r="BB873" i="3"/>
  <c r="BC873" i="3"/>
  <c r="BD873" i="3"/>
  <c r="BB881" i="3"/>
  <c r="BD881" i="3"/>
  <c r="BC881" i="3"/>
  <c r="BD889" i="3"/>
  <c r="BB889" i="3"/>
  <c r="BC889" i="3"/>
  <c r="BC897" i="3"/>
  <c r="BB897" i="3"/>
  <c r="BD897" i="3"/>
  <c r="BC905" i="3"/>
  <c r="BD905" i="3"/>
  <c r="BB905" i="3"/>
  <c r="BC913" i="3"/>
  <c r="BD913" i="3"/>
  <c r="BB913" i="3"/>
  <c r="BB921" i="3"/>
  <c r="BD921" i="3"/>
  <c r="BC921" i="3"/>
  <c r="BB929" i="3"/>
  <c r="BC929" i="3"/>
  <c r="BD929" i="3"/>
  <c r="BC937" i="3"/>
  <c r="BB937" i="3"/>
  <c r="BD937" i="3"/>
  <c r="BC945" i="3"/>
  <c r="BB945" i="3"/>
  <c r="BD945" i="3"/>
  <c r="BB953" i="3"/>
  <c r="BD953" i="3"/>
  <c r="BC953" i="3"/>
  <c r="BC961" i="3"/>
  <c r="BB961" i="3"/>
  <c r="BD961" i="3"/>
  <c r="BB1040" i="3"/>
  <c r="BC1040" i="3"/>
  <c r="BD1040" i="3"/>
  <c r="BC1119" i="3"/>
  <c r="BB1119" i="3"/>
  <c r="BD1119" i="3"/>
  <c r="BB1135" i="3"/>
  <c r="BC1135" i="3"/>
  <c r="BD1135" i="3"/>
  <c r="BD1159" i="3"/>
  <c r="BC1159" i="3"/>
  <c r="BB1159" i="3"/>
  <c r="BB1167" i="3"/>
  <c r="BC1167" i="3"/>
  <c r="BD1167" i="3"/>
  <c r="BB1183" i="3"/>
  <c r="BC1183" i="3"/>
  <c r="BD1183" i="3"/>
  <c r="BD1229" i="3"/>
  <c r="BC1229" i="3"/>
  <c r="BB1229" i="3"/>
  <c r="X1240" i="3"/>
  <c r="V1240" i="3"/>
  <c r="W1240" i="3"/>
  <c r="BD1245" i="3"/>
  <c r="BB1245" i="3"/>
  <c r="BC1245" i="3"/>
  <c r="X1256" i="3"/>
  <c r="V1256" i="3"/>
  <c r="W1256" i="3"/>
  <c r="BC1261" i="3"/>
  <c r="BD1261" i="3"/>
  <c r="BB1261" i="3"/>
  <c r="BD1278" i="3"/>
  <c r="BC1278" i="3"/>
  <c r="BB1278" i="3"/>
  <c r="V1289" i="3"/>
  <c r="X1289" i="3"/>
  <c r="W1289" i="3"/>
  <c r="BD1389" i="3"/>
  <c r="BC1389" i="3"/>
  <c r="BB1389" i="3"/>
  <c r="O64" i="122" l="1"/>
  <c r="O67" i="122"/>
  <c r="O75" i="122" s="1"/>
  <c r="W1325" i="3"/>
  <c r="V1325" i="3"/>
  <c r="X1325" i="3"/>
  <c r="BC1084" i="3"/>
  <c r="BD1084" i="3"/>
  <c r="BB1084" i="3"/>
  <c r="AD22" i="122"/>
  <c r="AD8" i="122"/>
  <c r="BB1095" i="3"/>
  <c r="BD1095" i="3"/>
  <c r="BC1095" i="3"/>
  <c r="BC1008" i="3"/>
  <c r="BB1008" i="3"/>
  <c r="BD1008" i="3"/>
  <c r="BA1424" i="3"/>
  <c r="BB1425" i="3"/>
  <c r="BC1425" i="3"/>
  <c r="BD1425" i="3"/>
  <c r="BB293" i="3"/>
  <c r="BD293" i="3"/>
  <c r="BC293" i="3"/>
  <c r="AC9" i="122"/>
  <c r="AC25" i="122" s="1"/>
  <c r="AC6" i="122"/>
  <c r="BB1112" i="3"/>
  <c r="BC1112" i="3"/>
  <c r="BD1112" i="3"/>
  <c r="BD1309" i="3"/>
  <c r="BB1309" i="3"/>
  <c r="BC1309" i="3"/>
  <c r="P6" i="122"/>
  <c r="P9" i="122"/>
  <c r="P25" i="122" s="1"/>
  <c r="N67" i="122"/>
  <c r="N64" i="122"/>
  <c r="N9" i="122"/>
  <c r="N6" i="122"/>
  <c r="T79" i="122"/>
  <c r="T76" i="122"/>
  <c r="BB1066" i="3"/>
  <c r="BC1066" i="3"/>
  <c r="BD1066" i="3"/>
  <c r="BD1097" i="3"/>
  <c r="BB1097" i="3"/>
  <c r="BC1097" i="3"/>
  <c r="BC1032" i="3"/>
  <c r="BD1032" i="3"/>
  <c r="BB1032" i="3"/>
  <c r="P22" i="122" l="1"/>
  <c r="P8" i="122"/>
  <c r="P24" i="122" s="1"/>
  <c r="BA1423" i="3"/>
  <c r="BB1424" i="3"/>
  <c r="BC1424" i="3"/>
  <c r="BD1424" i="3"/>
  <c r="AC8" i="122"/>
  <c r="AC22" i="122"/>
  <c r="AM76" i="122"/>
  <c r="T78" i="122"/>
  <c r="T92" i="122"/>
  <c r="T95" i="122"/>
  <c r="AM79" i="122"/>
  <c r="N22" i="122"/>
  <c r="AM22" i="122" s="1"/>
  <c r="AM6" i="122"/>
  <c r="N8" i="122"/>
  <c r="AM9" i="122"/>
  <c r="N25" i="122"/>
  <c r="AM25" i="122" s="1"/>
  <c r="N66" i="122"/>
  <c r="N72" i="122"/>
  <c r="AM64" i="122"/>
  <c r="AM67" i="122"/>
  <c r="N75" i="122"/>
  <c r="AM75" i="122" s="1"/>
  <c r="O66" i="122"/>
  <c r="O74" i="122" s="1"/>
  <c r="O72" i="122"/>
  <c r="AK8" i="122" l="1"/>
  <c r="N24" i="122"/>
  <c r="AL8" i="122"/>
  <c r="AM92" i="122"/>
  <c r="AO92" i="122"/>
  <c r="AM95" i="122"/>
  <c r="AO95" i="122"/>
  <c r="AM72" i="122"/>
  <c r="N74" i="122"/>
  <c r="AL66" i="122"/>
  <c r="AK66" i="122"/>
  <c r="BA1422" i="3"/>
  <c r="BB1423" i="3"/>
  <c r="BC1423" i="3"/>
  <c r="BD1423" i="3"/>
  <c r="AL78" i="122"/>
  <c r="T94" i="122"/>
  <c r="AK78" i="122"/>
  <c r="BA1421" i="3" l="1"/>
  <c r="BB1422" i="3"/>
  <c r="BC1422" i="3"/>
  <c r="BD1422" i="3"/>
  <c r="AK24" i="122"/>
  <c r="AL24" i="122"/>
  <c r="AL74" i="122"/>
  <c r="AK74" i="122"/>
  <c r="AK94" i="122"/>
  <c r="AL94" i="122"/>
  <c r="BA1420" i="3" l="1"/>
  <c r="BB1421" i="3"/>
  <c r="BC1421" i="3"/>
  <c r="BD1421" i="3"/>
  <c r="BA1419" i="3" l="1"/>
  <c r="BB1420" i="3"/>
  <c r="BC1420" i="3"/>
  <c r="BD1420" i="3"/>
  <c r="BA1418" i="3" l="1"/>
  <c r="BD1419" i="3"/>
  <c r="BB1419" i="3"/>
  <c r="BC1419" i="3"/>
  <c r="BA1417" i="3" l="1"/>
  <c r="BD1418" i="3"/>
  <c r="BB1418" i="3"/>
  <c r="BC1418" i="3"/>
  <c r="BA1416" i="3" l="1"/>
  <c r="BC1417" i="3"/>
  <c r="BD1417" i="3"/>
  <c r="BB1417" i="3"/>
  <c r="BA1415" i="3" l="1"/>
  <c r="BC1416" i="3"/>
  <c r="BD1416" i="3"/>
  <c r="BB1416" i="3"/>
  <c r="BA1414" i="3" l="1"/>
  <c r="BC1415" i="3"/>
  <c r="BB1415" i="3"/>
  <c r="BD1415" i="3"/>
  <c r="BA1413" i="3" l="1"/>
  <c r="BD1414" i="3"/>
  <c r="BB1414" i="3"/>
  <c r="BC1414" i="3"/>
  <c r="BA1412" i="3" l="1"/>
  <c r="BB1413" i="3"/>
  <c r="BC1413" i="3"/>
  <c r="BD1413" i="3"/>
  <c r="BA1411" i="3" l="1"/>
  <c r="BC1412" i="3"/>
  <c r="BB1412" i="3"/>
  <c r="BD1412" i="3"/>
  <c r="BA1410" i="3" l="1"/>
  <c r="BD1411" i="3"/>
  <c r="BC1411" i="3"/>
  <c r="BB1411" i="3"/>
  <c r="BA1409" i="3" l="1"/>
  <c r="BC1410" i="3"/>
  <c r="BD1410" i="3"/>
  <c r="BB1410" i="3"/>
  <c r="BA1397" i="3" l="1"/>
  <c r="BD1409" i="3"/>
  <c r="BC1409" i="3"/>
  <c r="BB1409" i="3"/>
  <c r="BA1396" i="3" l="1"/>
  <c r="BB1397" i="3"/>
  <c r="BC1397" i="3"/>
  <c r="BD1397" i="3"/>
  <c r="BA1394" i="3" l="1"/>
  <c r="BC1396" i="3"/>
  <c r="BD1396" i="3"/>
  <c r="BB1396" i="3"/>
  <c r="BA1393" i="3" l="1"/>
  <c r="BB1394" i="3"/>
  <c r="BC1394" i="3"/>
  <c r="BD1394" i="3"/>
  <c r="BA1392" i="3" l="1"/>
  <c r="BD1393" i="3"/>
  <c r="BC1393" i="3"/>
  <c r="BB1393" i="3"/>
  <c r="BA1391" i="3" l="1"/>
  <c r="BB1392" i="3"/>
  <c r="BD1392" i="3"/>
  <c r="BC1392" i="3"/>
  <c r="BA1390" i="3" l="1"/>
  <c r="BB1391" i="3"/>
  <c r="BC1391" i="3"/>
  <c r="BD1391" i="3"/>
  <c r="BA1386" i="3" l="1"/>
  <c r="BB1390" i="3"/>
  <c r="BC1390" i="3"/>
  <c r="BD1390" i="3"/>
  <c r="BA1385" i="3" l="1"/>
  <c r="BB1386" i="3"/>
  <c r="BD1386" i="3"/>
  <c r="BC1386" i="3"/>
  <c r="BA1384" i="3" l="1"/>
  <c r="BC1385" i="3"/>
  <c r="BD1385" i="3"/>
  <c r="BB1385" i="3"/>
  <c r="BA1383" i="3" l="1"/>
  <c r="BD1384" i="3"/>
  <c r="BC1384" i="3"/>
  <c r="BB1384" i="3"/>
  <c r="BA1382" i="3" l="1"/>
  <c r="BB1383" i="3"/>
  <c r="BD1383" i="3"/>
  <c r="BC1383" i="3"/>
  <c r="BA1367" i="3" l="1"/>
  <c r="BC1382" i="3"/>
  <c r="BD1382" i="3"/>
  <c r="BB1382" i="3"/>
  <c r="BA1361" i="3" l="1"/>
  <c r="BB1367" i="3"/>
  <c r="BC1367" i="3"/>
  <c r="BD1367" i="3"/>
  <c r="BA1360" i="3" l="1"/>
  <c r="BB1361" i="3"/>
  <c r="BC1361" i="3"/>
  <c r="BD1361" i="3"/>
  <c r="BA1359" i="3" l="1"/>
  <c r="BB1360" i="3"/>
  <c r="BC1360" i="3"/>
  <c r="BD1360" i="3"/>
  <c r="BA1358" i="3" l="1"/>
  <c r="BB1359" i="3"/>
  <c r="BC1359" i="3"/>
  <c r="BD1359" i="3"/>
  <c r="BA1357" i="3" l="1"/>
  <c r="BB1358" i="3"/>
  <c r="BC1358" i="3"/>
  <c r="BD1358" i="3"/>
  <c r="BA1356" i="3" l="1"/>
  <c r="BB1357" i="3"/>
  <c r="BC1357" i="3"/>
  <c r="BD1357" i="3"/>
  <c r="BA1355" i="3" l="1"/>
  <c r="BB1356" i="3"/>
  <c r="BC1356" i="3"/>
  <c r="BD1356" i="3"/>
  <c r="BA1353" i="3" l="1"/>
  <c r="BB1355" i="3"/>
  <c r="BC1355" i="3"/>
  <c r="BD1355" i="3"/>
  <c r="BA1349" i="3" l="1"/>
  <c r="BB1353" i="3"/>
  <c r="BC1353" i="3"/>
  <c r="BD1353" i="3"/>
  <c r="BA1342" i="3" l="1"/>
  <c r="BC1349" i="3"/>
  <c r="BD1349" i="3"/>
  <c r="BB1349" i="3"/>
  <c r="BA1339" i="3" l="1"/>
  <c r="BD1342" i="3"/>
  <c r="BB1342" i="3"/>
  <c r="BC1342" i="3"/>
  <c r="BA1338" i="3" l="1"/>
  <c r="BB1339" i="3"/>
  <c r="BC1339" i="3"/>
  <c r="BD1339" i="3"/>
  <c r="BA1335" i="3" l="1"/>
  <c r="BB1338" i="3"/>
  <c r="BC1338" i="3"/>
  <c r="BD1338" i="3"/>
  <c r="BA1330" i="3" l="1"/>
  <c r="BB1335" i="3"/>
  <c r="BC1335" i="3"/>
  <c r="BD1335" i="3"/>
  <c r="BA1328" i="3" l="1"/>
  <c r="BB1330" i="3"/>
  <c r="BC1330" i="3"/>
  <c r="BD1330" i="3"/>
  <c r="BA1322" i="3" l="1"/>
  <c r="BB1328" i="3"/>
  <c r="BC1328" i="3"/>
  <c r="BD1328" i="3"/>
  <c r="BA1319" i="3" l="1"/>
  <c r="BD1319" i="3" s="1"/>
  <c r="BA1317" i="3" s="1"/>
  <c r="BD1317" i="3" s="1"/>
  <c r="BA1316" i="3" s="1"/>
  <c r="BD1316" i="3" s="1"/>
  <c r="BA1312" i="3" s="1"/>
  <c r="BB1322" i="3"/>
  <c r="BC1322" i="3"/>
  <c r="BD1322" i="3"/>
  <c r="BA1299" i="3" l="1"/>
  <c r="BB1312" i="3"/>
  <c r="BC1312" i="3"/>
  <c r="BD1312" i="3"/>
  <c r="BA1295" i="3" l="1"/>
  <c r="BD1295" i="3" s="1"/>
  <c r="BA1268" i="3" s="1"/>
  <c r="BD1299" i="3"/>
  <c r="BB1299" i="3"/>
  <c r="BC1299" i="3"/>
  <c r="BA1267" i="3" l="1"/>
  <c r="BB1268" i="3"/>
  <c r="BD1268" i="3"/>
  <c r="BC1268" i="3"/>
  <c r="BA1266" i="3" l="1"/>
  <c r="BB1267" i="3"/>
  <c r="BD1267" i="3"/>
  <c r="BC1267" i="3"/>
  <c r="BA1265" i="3" l="1"/>
  <c r="BB1266" i="3"/>
  <c r="BC1266" i="3"/>
  <c r="BD1266" i="3"/>
  <c r="BA1264" i="3" l="1"/>
  <c r="BC1265" i="3"/>
  <c r="BB1265" i="3"/>
  <c r="BD1265" i="3"/>
  <c r="BA1263" i="3" l="1"/>
  <c r="BD1264" i="3"/>
  <c r="BC1264" i="3"/>
  <c r="BB1264" i="3"/>
  <c r="BA1222" i="3" l="1"/>
  <c r="BC1263" i="3"/>
  <c r="BB1263" i="3"/>
  <c r="BD1263" i="3"/>
  <c r="BA1219" i="3" l="1"/>
  <c r="BB1222" i="3"/>
  <c r="BC1222" i="3"/>
  <c r="BD1222" i="3"/>
  <c r="BA1218" i="3" l="1"/>
  <c r="BB1219" i="3"/>
  <c r="BC1219" i="3"/>
  <c r="BD1219" i="3"/>
  <c r="BA1203" i="3" l="1"/>
  <c r="BB1218" i="3"/>
  <c r="BC1218" i="3"/>
  <c r="BD1218" i="3"/>
  <c r="BA1199" i="3" l="1"/>
  <c r="BB1203" i="3"/>
  <c r="BD1203" i="3"/>
  <c r="BC1203" i="3"/>
  <c r="BA1197" i="3" l="1"/>
  <c r="BD1199" i="3"/>
  <c r="BC1199" i="3"/>
  <c r="BB1199" i="3"/>
  <c r="BA1195" i="3" l="1"/>
  <c r="BB1197" i="3"/>
  <c r="BD1197" i="3"/>
  <c r="BC1197" i="3"/>
  <c r="BA1193" i="3" l="1"/>
  <c r="BC1195" i="3"/>
  <c r="BD1195" i="3"/>
  <c r="BB1195" i="3"/>
  <c r="BA1190" i="3" l="1"/>
  <c r="BD1190" i="3" s="1"/>
  <c r="BA1175" i="3" s="1"/>
  <c r="BD1175" i="3" s="1"/>
  <c r="BA1172" i="3" s="1"/>
  <c r="BC1193" i="3"/>
  <c r="BB1193" i="3"/>
  <c r="BD1193" i="3"/>
  <c r="BA1154" i="3" l="1"/>
  <c r="BB1172" i="3"/>
  <c r="BC1172" i="3"/>
  <c r="BD1172" i="3"/>
  <c r="BA1152" i="3" l="1"/>
  <c r="BD1152" i="3" s="1"/>
  <c r="BA1151" i="3" s="1"/>
  <c r="BD1154" i="3"/>
  <c r="BB1154" i="3"/>
  <c r="BC1154" i="3"/>
  <c r="BA1144" i="3" l="1"/>
  <c r="BC1151" i="3"/>
  <c r="BD1151" i="3"/>
  <c r="BB1151" i="3"/>
  <c r="BA1143" i="3" l="1"/>
  <c r="BD1144" i="3"/>
  <c r="BB1144" i="3"/>
  <c r="BC1144" i="3"/>
  <c r="BA1142" i="3" l="1"/>
  <c r="BC1143" i="3"/>
  <c r="BB1143" i="3"/>
  <c r="BD1143" i="3"/>
  <c r="BA1140" i="3" l="1"/>
  <c r="BC1142" i="3"/>
  <c r="BD1142" i="3"/>
  <c r="BB1142" i="3"/>
  <c r="BA1139" i="3" l="1"/>
  <c r="BB1140" i="3"/>
  <c r="BD1140" i="3"/>
  <c r="BC1140" i="3"/>
  <c r="BA1138" i="3" l="1"/>
  <c r="BC1139" i="3"/>
  <c r="BB1139" i="3"/>
  <c r="BD1139" i="3"/>
  <c r="BA1137" i="3" l="1"/>
  <c r="BD1138" i="3"/>
  <c r="BC1138" i="3"/>
  <c r="BB1138" i="3"/>
  <c r="BA1131" i="3" l="1"/>
  <c r="BD1131" i="3" s="1"/>
  <c r="BA1129" i="3" s="1"/>
  <c r="BD1129" i="3" s="1"/>
  <c r="BA1126" i="3" s="1"/>
  <c r="BD1126" i="3" s="1"/>
  <c r="BA1128" i="3" s="1"/>
  <c r="BD1128" i="3" s="1"/>
  <c r="BA1123" i="3" s="1"/>
  <c r="BD1123" i="3" s="1"/>
  <c r="BA1121" i="3" s="1"/>
  <c r="BD1121" i="3" s="1"/>
  <c r="BA1117" i="3" s="1"/>
  <c r="BD1137" i="3"/>
  <c r="BB1137" i="3"/>
  <c r="BC1137" i="3"/>
  <c r="BA1127" i="3" l="1"/>
  <c r="BD1127" i="3" s="1"/>
  <c r="BA1122" i="3" s="1"/>
  <c r="BD1122" i="3" s="1"/>
  <c r="BA1120" i="3" s="1"/>
  <c r="BD1117" i="3"/>
  <c r="BB1117" i="3"/>
  <c r="BC1117" i="3"/>
  <c r="BA1116" i="3" l="1"/>
  <c r="BD1116" i="3" s="1"/>
  <c r="BA1114" i="3" s="1"/>
  <c r="BC1120" i="3"/>
  <c r="BD1120" i="3"/>
  <c r="BB1120" i="3"/>
  <c r="BA1113" i="3" l="1"/>
  <c r="BD1114" i="3"/>
  <c r="BC1114" i="3"/>
  <c r="BB1114" i="3"/>
  <c r="BA1111" i="3" l="1"/>
  <c r="BD1113" i="3"/>
  <c r="BC1113" i="3"/>
  <c r="BB1113" i="3"/>
  <c r="BA1110" i="3" l="1"/>
  <c r="BC1111" i="3"/>
  <c r="BD1111" i="3"/>
  <c r="BB1111" i="3"/>
  <c r="BA1107" i="3" l="1"/>
  <c r="BC1110" i="3"/>
  <c r="BD1110" i="3"/>
  <c r="BB1110" i="3"/>
  <c r="BA1106" i="3" l="1"/>
  <c r="BD1106" i="3" s="1"/>
  <c r="BA1102" i="3" s="1"/>
  <c r="BD1102" i="3" s="1"/>
  <c r="BA1103" i="3" s="1"/>
  <c r="BD1103" i="3" s="1"/>
  <c r="BA1088" i="3" s="1"/>
  <c r="BC1107" i="3"/>
  <c r="BD1107" i="3"/>
  <c r="BB1107" i="3"/>
  <c r="BA1087" i="3" l="1"/>
  <c r="BC1088" i="3"/>
  <c r="BD1088" i="3"/>
  <c r="BB1088" i="3"/>
  <c r="BA1085" i="3" l="1"/>
  <c r="BD1085" i="3" s="1"/>
  <c r="BA1083" i="3" s="1"/>
  <c r="BD1083" i="3" s="1"/>
  <c r="BA1081" i="3" s="1"/>
  <c r="BD1087" i="3"/>
  <c r="BC1087" i="3"/>
  <c r="BB1087" i="3"/>
  <c r="BA1082" i="3" l="1"/>
  <c r="BC1081" i="3"/>
  <c r="BD1081" i="3"/>
  <c r="BB1081" i="3"/>
  <c r="BA1078" i="3" l="1"/>
  <c r="BD1078" i="3" s="1"/>
  <c r="BA1077" i="3" s="1"/>
  <c r="BD1077" i="3" s="1"/>
  <c r="BA1076" i="3" s="1"/>
  <c r="BD1076" i="3" s="1"/>
  <c r="BA1074" i="3" s="1"/>
  <c r="BD1074" i="3" s="1"/>
  <c r="BA1068" i="3" s="1"/>
  <c r="BC1082" i="3"/>
  <c r="BD1082" i="3"/>
  <c r="BB1082" i="3"/>
  <c r="BA1065" i="3" l="1"/>
  <c r="BD1065" i="3" s="1"/>
  <c r="BA1086" i="3" s="1"/>
  <c r="BD1086" i="3" s="1"/>
  <c r="BA1057" i="3" s="1"/>
  <c r="BC1068" i="3"/>
  <c r="BB1068" i="3"/>
  <c r="BD1068" i="3"/>
  <c r="BA1055" i="3" l="1"/>
  <c r="BB1057" i="3"/>
  <c r="BC1057" i="3"/>
  <c r="BD1057" i="3"/>
  <c r="BA1054" i="3" l="1"/>
  <c r="BC1055" i="3"/>
  <c r="BB1055" i="3"/>
  <c r="BD1055" i="3"/>
  <c r="BA1053" i="3" l="1"/>
  <c r="BC1054" i="3"/>
  <c r="BD1054" i="3"/>
  <c r="BB1054" i="3"/>
  <c r="BA1052" i="3" l="1"/>
  <c r="BD1053" i="3"/>
  <c r="BB1053" i="3"/>
  <c r="BC1053" i="3"/>
  <c r="BA1049" i="3" l="1"/>
  <c r="BC1052" i="3"/>
  <c r="BD1052" i="3"/>
  <c r="BB1052" i="3"/>
  <c r="BA1048" i="3" l="1"/>
  <c r="BB1049" i="3"/>
  <c r="BD1049" i="3"/>
  <c r="BC1049" i="3"/>
  <c r="BA1047" i="3" l="1"/>
  <c r="BC1048" i="3"/>
  <c r="BB1048" i="3"/>
  <c r="BD1048" i="3"/>
  <c r="BA1046" i="3" l="1"/>
  <c r="BD1047" i="3"/>
  <c r="BB1047" i="3"/>
  <c r="BC1047" i="3"/>
  <c r="BA1045" i="3" l="1"/>
  <c r="BC1046" i="3"/>
  <c r="BD1046" i="3"/>
  <c r="BB1046" i="3"/>
  <c r="BA1044" i="3" l="1"/>
  <c r="BD1045" i="3"/>
  <c r="BB1045" i="3"/>
  <c r="BC1045" i="3"/>
  <c r="BA1042" i="3" l="1"/>
  <c r="BD1042" i="3" s="1"/>
  <c r="BA1031" i="3" s="1"/>
  <c r="BD1044" i="3"/>
  <c r="BC1044" i="3"/>
  <c r="BB1044" i="3"/>
  <c r="BA1030" i="3" l="1"/>
  <c r="BC1031" i="3"/>
  <c r="BB1031" i="3"/>
  <c r="BD1031" i="3"/>
  <c r="BA1025" i="3" l="1"/>
  <c r="BB1030" i="3"/>
  <c r="BD1030" i="3"/>
  <c r="BC1030" i="3"/>
  <c r="BA1024" i="3" l="1"/>
  <c r="BD1024" i="3" s="1"/>
  <c r="BA1022" i="3" s="1"/>
  <c r="BC1025" i="3"/>
  <c r="BD1025" i="3"/>
  <c r="BB1025" i="3"/>
  <c r="BA1023" i="3" l="1"/>
  <c r="BD1023" i="3" s="1"/>
  <c r="BA1019" i="3" s="1"/>
  <c r="BB1022" i="3"/>
  <c r="BC1022" i="3"/>
  <c r="BD1022" i="3"/>
  <c r="BA1020" i="3" l="1"/>
  <c r="BC1019" i="3"/>
  <c r="BB1019" i="3"/>
  <c r="BD1019" i="3"/>
  <c r="BA1015" i="3" l="1"/>
  <c r="BC1020" i="3"/>
  <c r="BD1020" i="3"/>
  <c r="BB1020" i="3"/>
  <c r="BA1014" i="3" l="1"/>
  <c r="BD1015" i="3"/>
  <c r="BB1015" i="3"/>
  <c r="BC1015" i="3"/>
  <c r="BA1013" i="3" l="1"/>
  <c r="BB1014" i="3"/>
  <c r="BD1014" i="3"/>
  <c r="BC1014" i="3"/>
  <c r="BA1012" i="3" l="1"/>
  <c r="BD1013" i="3"/>
  <c r="BC1013" i="3"/>
  <c r="BB1013" i="3"/>
  <c r="BA1011" i="3" l="1"/>
  <c r="BD1012" i="3"/>
  <c r="BB1012" i="3"/>
  <c r="BC1012" i="3"/>
  <c r="BA1010" i="3" l="1"/>
  <c r="BC1011" i="3"/>
  <c r="BB1011" i="3"/>
  <c r="BD1011" i="3"/>
  <c r="BA1009" i="3" l="1"/>
  <c r="BB1010" i="3"/>
  <c r="BD1010" i="3"/>
  <c r="BC1010" i="3"/>
  <c r="BA991" i="3" l="1"/>
  <c r="BD1009" i="3"/>
  <c r="BC1009" i="3"/>
  <c r="BB1009" i="3"/>
  <c r="BA990" i="3" l="1"/>
  <c r="BD991" i="3"/>
  <c r="BC991" i="3"/>
  <c r="BB991" i="3"/>
  <c r="BA989" i="3" l="1"/>
  <c r="BD990" i="3"/>
  <c r="BB990" i="3"/>
  <c r="BC990" i="3"/>
  <c r="BA988" i="3" l="1"/>
  <c r="BD989" i="3"/>
  <c r="BC989" i="3"/>
  <c r="BB989" i="3"/>
  <c r="BA987" i="3" l="1"/>
  <c r="BB988" i="3"/>
  <c r="BC988" i="3"/>
  <c r="BD988" i="3"/>
  <c r="BA986" i="3" l="1"/>
  <c r="BD987" i="3"/>
  <c r="BB987" i="3"/>
  <c r="BC987" i="3"/>
  <c r="BA658" i="3" l="1"/>
  <c r="BB986" i="3"/>
  <c r="BC986" i="3"/>
  <c r="BD986" i="3"/>
  <c r="BA300" i="3" l="1"/>
  <c r="BC658" i="3"/>
  <c r="BB658" i="3"/>
  <c r="BD658" i="3"/>
  <c r="BA299" i="3" l="1"/>
  <c r="BB300" i="3"/>
  <c r="BD300" i="3"/>
  <c r="BC300" i="3"/>
  <c r="BA298" i="3" l="1"/>
  <c r="BC299" i="3"/>
  <c r="BB299" i="3"/>
  <c r="BD299" i="3"/>
  <c r="BA296" i="3" l="1"/>
  <c r="BD298" i="3"/>
  <c r="BB298" i="3"/>
  <c r="BA297" i="3" s="1"/>
  <c r="BC298" i="3"/>
  <c r="BC297" i="3" l="1"/>
  <c r="BD297" i="3"/>
  <c r="BB297" i="3"/>
  <c r="BA295" i="3"/>
  <c r="BD296" i="3"/>
  <c r="BB296" i="3"/>
  <c r="BC296" i="3"/>
  <c r="BB295" i="3" l="1"/>
  <c r="BA294" i="3" s="1"/>
  <c r="BC295" i="3"/>
  <c r="BD295" i="3"/>
  <c r="BB294" i="3" l="1"/>
  <c r="BD294" i="3"/>
  <c r="BC29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tc={A8C05381-08E6-4646-BB56-C2A04B168DAE}</author>
    <author>tc={8B83B415-7832-49E1-A2D5-99ECCE3F2C9F}</author>
    <author>tc={5B4EAEF7-1E8B-4776-9915-8841E4D07EA0}</author>
    <author>tc={0A170809-58AF-4337-A58E-74BE65D34F44}</author>
    <author>tc={7A5D7130-9963-4382-A7D4-EF6242C0D61D}</author>
    <author>tc={296A3352-F37F-452D-BA27-BA43C88EA8A4}</author>
  </authors>
  <commentList>
    <comment ref="A1" authorId="0" shapeId="0" xr:uid="{A8C05381-08E6-4646-BB56-C2A04B168DAE}">
      <text>
        <t>[线程批注]
你的Excel版本可读取此线程批注; 但如果在更新版本的Excel中打开文件，则对批注所作的任何改动都将被删除。了解详细信息: https://go.microsoft.com/fwlink/?linkid=870924
注释:
    Make sure to follow syntax of main ref then “.” then iterate allocation</t>
      </text>
    </comment>
    <comment ref="G1" authorId="1" shapeId="0" xr:uid="{8B83B415-7832-49E1-A2D5-99ECCE3F2C9F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DDP = Specific salesorder with DDP incoterm. DAP shipment inbetween
DAP = salesorder or shipment to local WH
Other incoterms for specific salesorders
</t>
      </text>
    </comment>
    <comment ref="J1" authorId="2" shapeId="0" xr:uid="{5B4EAEF7-1E8B-4776-9915-8841E4D07EA0}">
      <text>
        <t>[线程批注]
你的Excel版本可读取此线程批注; 但如果在更新版本的Excel中打开文件，则对批注所作的任何改动都将被删除。了解详细信息: https://go.microsoft.com/fwlink/?linkid=870924
注释:
    Local WH = for all shipments to replenish local W-org
SPxx / yy = for DDP shipments to xx entity and yy customer
Customer = when allocated to a specific customer</t>
      </text>
    </comment>
    <comment ref="AK1" authorId="3" shapeId="0" xr:uid="{0A170809-58AF-4337-A58E-74BE65D34F44}">
      <text>
        <t>[线程批注]
你的Excel版本可读取此线程批注; 但如果在更新版本的Excel中打开文件，则对批注所作的任何改动都将被删除。了解详细信息: https://go.microsoft.com/fwlink/?linkid=870924
注释:
    Actual Date of Port Departure</t>
      </text>
    </comment>
    <comment ref="AL1" authorId="4" shapeId="0" xr:uid="{7A5D7130-9963-4382-A7D4-EF6242C0D61D}">
      <text>
        <t>[线程批注]
你的Excel版本可读取此线程批注; 但如果在更新版本的Excel中打开文件，则对批注所作的任何改动都将被删除。了解详细信息: https://go.microsoft.com/fwlink/?linkid=870924
注释:
    Estimated  Date of Port Discharge</t>
      </text>
    </comment>
    <comment ref="AN1" authorId="5" shapeId="0" xr:uid="{296A3352-F37F-452D-BA27-BA43C88EA8A4}">
      <text>
        <t>[线程批注]
你的Excel版本可读取此线程批注; 但如果在更新版本的Excel中打开文件，则对批注所作的任何改动都将被删除。了解详细信息: https://go.microsoft.com/fwlink/?linkid=870924
注释:
    Actual Date of Port Discharge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tc={CFE67A02-D4B7-41D3-BF51-E1A1350B0276}</author>
    <author>tc={D6858AE0-5C2A-46EB-B96C-454C73CD40AA}</author>
    <author>tc={B7D344BA-3506-44AB-82D8-AAB5CF4A3A08}</author>
    <author>tc={4A29FE6D-DE2F-4678-A42D-7F4DBA7627BA}</author>
    <author>Mye Villapando</author>
    <author>tc={793C7D8F-02CE-4089-8C32-0960A13FCAAE}</author>
    <author>tc={4E6DA831-8DF0-4E2E-82B5-26991E801D36}</author>
    <author>tc={FC5CE862-834D-4682-8534-1AE66F3DC60B}</author>
    <author>tc={573D354C-059D-4C62-A131-6367FCF8BBC0}</author>
    <author>tc={E49F21AB-F692-4359-9A6C-3649E1F90C40}</author>
    <author>tc={CA41D2DE-5323-4809-B249-10A30A66F0AB}</author>
    <author>tc={0EFCAD00-BBCD-4016-881F-8F72896B88C1}</author>
    <author>tc={D4D77E0D-2E95-4997-9721-CE91AF296014}</author>
    <author>tc={E2CF3810-D926-4F2D-846A-C411F3B13CB6}</author>
    <author>tc={3D3322AA-7559-401C-8CC6-D151424EC6EA}</author>
    <author>tc={1F0758DB-9D0A-40F7-A977-D04324F7050D}</author>
    <author>tc={AC336615-5E37-4E3A-951D-2D46A77E1C83}</author>
    <author>tc={DBD4A243-7FA7-40B1-B03C-97273C2014A7}</author>
    <author>tc={BCFBCCF4-8D3A-4F1A-8FDD-A22C94543D3D}</author>
    <author>tc={C2B110F6-1F10-483C-8271-45F0C0276D5C}</author>
    <author>tc={1540B65E-B31D-47E7-8116-1BFE20042E59}</author>
    <author>tc={2745A837-899F-4E21-8CA2-C50CC4721E67}</author>
    <author>tc={3602CAAE-6397-4E13-854B-37A8050A27F6}</author>
    <author>tc={77DC8EC6-9921-4FCE-852B-437CA0150749}</author>
    <author>tc={A8291F7E-D254-4BE5-B98D-018F547F7830}</author>
    <author>tc={E2066E1C-0883-451C-A719-BC6133F0BD4C}</author>
    <author>tc={2AF7DFFA-75AA-4447-B92B-4554B1A4EBC6}</author>
    <author>tc={2DF10406-0A8E-4BFC-B85F-421A05E123CC}</author>
    <author>tc={769EDEDA-2134-489B-8EEC-4BC83143F46E}</author>
    <author>tc={34798B45-43DE-4122-964E-76C33E3C9101}</author>
    <author>tc={D2B6900F-1594-4159-8651-B7B86FB2F80B}</author>
    <author>tc={BC85192E-8229-4F85-99BD-32C46059C646}</author>
    <author>tc={B2FF9BE6-4FF0-43C7-B43D-5419B2EFF92D}</author>
    <author>tc={50745955-8A68-4131-A1F0-DA1D03281288}</author>
    <author>tc={950955A2-EBBC-4985-8436-BE89C2348AD1}</author>
    <author>tc={52A511FC-ACFE-4FDD-A087-26659994079E}</author>
    <author>tc={5FDF3B5B-70EA-4EA2-9B3C-15530910F05E}</author>
    <author>tc={0302324B-F009-4B8D-B162-D29967FD07E4}</author>
    <author>tc={02DFE04B-2D25-4B0B-8DE7-79F49894E84E}</author>
    <author>tc={A84ED22E-A1FD-4CF1-BF6A-B6BCC847FD72}</author>
    <author>tc={9BA605B4-43CD-4DFE-900E-AFDFC92D024A}</author>
    <author>tc={A8D98CDA-7C21-4397-865B-BE718B32D4AE}</author>
    <author>tc={D03310B4-A2C1-4D5F-9B4A-AD486375F42E}</author>
    <author>tc={066EC98A-47EC-4ED7-B88D-F86E34D24B8F}</author>
    <author>tc={8ECE8D24-F5CC-4CFA-91DD-9BFFDB7D5030}</author>
    <author>tc={02C55FA5-517E-4322-80E8-9641B42E3769}</author>
    <author>tc={E6243DF0-4B82-445D-9980-4D69D55E689F}</author>
    <author>tc={FC6CE3DB-DC07-44F0-BE77-82B5567F35AC}</author>
    <author>tc={66B4EE00-D276-48A6-9C94-B542CB6CED87}</author>
    <author>tc={7F4D368D-5445-43C6-8891-149F09F56DA6}</author>
    <author>tc={A08642AB-F081-4BB6-95B9-8F455B6F8856}</author>
    <author>tc={7689C21A-6BA7-432D-82D0-67A5C7653277}</author>
    <author>tc={C16142D9-5751-4972-9DE0-7C3C56D88CC3}</author>
    <author>tc={C2C1A7BC-5275-4324-9693-5B7DE056A267}</author>
    <author>tc={E24379C4-4766-4799-8E01-881D5DC3AF81}</author>
    <author>tc={11FBEFEA-AF05-4BB8-AAB3-0E0D02001662}</author>
    <author>tc={ABFCF0AB-ADF5-47B1-A4DA-233D4B43FD22}</author>
    <author>tc={F9198D12-E41E-4B2D-8090-D9921690768D}</author>
    <author>tc={8E62AB29-2992-4B17-8B25-5D609F25E5ED}</author>
    <author>tc={4B6AB0F5-6933-4E6A-81FC-E69776C734B9}</author>
    <author>tc={361180B3-D5C3-490B-8676-3374B53C71A5}</author>
    <author>tc={5B68D134-C6B5-4825-A477-1D42204FE0F8}</author>
    <author>tc={451507BA-C3EC-4E72-A2CC-938F8B7D272B}</author>
    <author>tc={18C5929D-CBCF-495B-8A81-2D5573776649}</author>
    <author>tc={E7811326-AB3E-473F-85CC-4312432C375F}</author>
    <author>tc={71A357B9-3C39-48CF-9A76-4B4034300479}</author>
    <author>tc={33B37F0D-0413-4933-8F55-0A5FBEC4A02F}</author>
    <author>tc={8FF8460B-ED1A-4C3D-9E86-1052D381F375}</author>
    <author>tc={8E83CF7B-097A-4D5E-9934-7A4303235CEE}</author>
    <author>tc={918DC9FC-E6AF-42F1-9F97-F398C626D2F8}</author>
    <author>tc={A1147F37-7A58-4D81-83A9-6BDBE0352B54}</author>
    <author>tc={1F207B51-A48D-4C3B-BA71-891CEC875270}</author>
    <author>tc={FB75DB2E-618E-4282-9DB8-D3D9A9026493}</author>
    <author>tc={DCD33BDB-F419-4A40-B294-4134394A8E1C}</author>
    <author>tc={50106A29-759D-4273-BF8D-F4FFDE77940D}</author>
    <author>tc={AEAE4ED2-711B-4570-B8A5-7E48539AEB93}</author>
    <author>tc={36A6D644-AD63-4B72-B5E5-B23CDAA3ED70}</author>
    <author>tc={ACE59814-DBA8-4756-B08A-8CA797567696}</author>
    <author>tc={4700D4E4-803D-49AB-BE44-8AF16BC09423}</author>
    <author>tc={7EC8F730-DB34-400F-930F-35F10EE570D8}</author>
    <author>tc={DD7104C7-40F8-45B5-A12B-BDA289C219BD}</author>
    <author>tc={4B595A5C-F5FD-4855-95F0-ECC7051BEF5F}</author>
    <author>tc={AA1520F0-F68B-4641-9103-2FA0D5371645}</author>
    <author>tc={61847EED-82F1-4E7C-83EE-FC9C328B9693}</author>
    <author>tc={106277A5-E695-48C2-AC83-9F8F539FF33A}</author>
    <author>tc={A5AFA6FB-239E-4310-B3FA-C0ACD2A951BB}</author>
    <author>tc={369B0957-C579-4B3A-8A3D-7D5E6965672A}</author>
    <author>tc={380FDBB2-C998-4AFC-A502-9D0DA862F71A}</author>
    <author>tc={331D4A30-6E75-4CF2-B850-8B869C3DBE51}</author>
    <author>tc={E8863480-A6A4-46A9-9405-F0D349E14F3D}</author>
    <author>tc={D3CB92D2-051A-451D-AF5D-92B755D8ED71}</author>
    <author>tc={F7F31702-191C-48B7-8DB6-BE574F520688}</author>
    <author>tc={3B046105-D6E1-4B1E-8196-FF2D3C20FBAB}</author>
    <author>tc={8E610842-6DA6-40D1-8012-E8DCE8C9746D}</author>
    <author>tc={93A617FD-F870-4FA8-9E3E-66C8746B7DD4}</author>
    <author>tc={66CF68AF-39F9-4E1B-9BAE-24FD9B7E28C0}</author>
    <author>tc={C4BAF489-E6E4-4494-BBB9-F5A65C400126}</author>
    <author>tc={76AB8CE6-9BE9-4E2A-959E-7B6652781491}</author>
    <author>tc={A82C4277-088A-45AA-96A7-5F92AEEA15B7}</author>
    <author>tc={0B26ECBB-8DB1-45B0-896C-E4D38DDC4B6E}</author>
    <author>tc={3991C19A-E416-4C83-A7A8-DB1C416D3B24}</author>
    <author>tc={1121EC88-410C-432E-9CFE-05BFA571C7E9}</author>
    <author>tc={32743C20-0C7F-4ECF-BE41-BAD08DD8A219}</author>
    <author>tc={0BF9AB57-F2C0-48E4-AF34-6E7BF0C5EB50}</author>
    <author>tc={B48703E5-7AB3-483D-8183-B3AA854FFA03}</author>
    <author>tc={7F8A97C5-40AA-461E-80C8-E45652894C5F}</author>
    <author>tc={CA9BA473-7B77-4B4D-BD19-25B94A347288}</author>
    <author>tc={DEEF4AB6-D7A9-4B7C-9AE7-C9991910C357}</author>
    <author>tc={E5BE6C1F-882A-4646-8F0C-ED469CB137C2}</author>
    <author>tc={398899DD-9D5B-4663-8FE9-D08EC52FF0D3}</author>
    <author>tc={EA295D4F-5592-47D1-8666-A8EC808860E2}</author>
    <author>tc={5AC69672-8D90-414E-888A-E5F0BF304807}</author>
    <author>tc={90A7B30F-78CE-4B10-A5C3-0B8E5EB4F324}</author>
    <author>tc={E262F19C-ABB8-4401-8069-7B8A45C45D16}</author>
    <author>tc={F1E69732-D655-4923-BADA-A74C94EB1313}</author>
    <author>tc={60C79FD6-09A3-4F5A-A101-5FA19C3D22A7}</author>
    <author>Zélia.Zou邹雨欣</author>
  </authors>
  <commentList>
    <comment ref="A1" authorId="0" shapeId="0" xr:uid="{CFE67A02-D4B7-41D3-BF51-E1A1350B0276}">
      <text>
        <t>[线程批注]
你的Excel版本可读取此线程批注; 但如果在更新版本的Excel中打开文件，则对批注所作的任何改动都将被删除。了解详细信息: https://go.microsoft.com/fwlink/?linkid=870924
注释:
    Make sure to follow syntax of main ref then “.” then iterate allocation</t>
      </text>
    </comment>
    <comment ref="H1" authorId="1" shapeId="0" xr:uid="{D6858AE0-5C2A-46EB-B96C-454C73CD40AA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DDP = Specific salesorder with DDP incoterm. DAP shipment inbetween
DAP = salesorder or shipment to local WH
Other incoterms for specific salesorders
</t>
      </text>
    </comment>
    <comment ref="I1" authorId="2" shapeId="0" xr:uid="{B7D344BA-3506-44AB-82D8-AAB5CF4A3A08}">
      <text>
        <t>[线程批注]
你的Excel版本可读取此线程批注; 但如果在更新版本的Excel中打开文件，则对批注所作的任何改动都将被删除。了解详细信息: https://go.microsoft.com/fwlink/?linkid=870924
注释:
    Local WH = for all shipments to replenish local W-org
SPxx / yy = for DDP shipments to xx entity and yy customer
Customer = when allocated to a specific customer</t>
      </text>
    </comment>
    <comment ref="O1" authorId="3" shapeId="0" xr:uid="{4A29FE6D-DE2F-4678-A42D-7F4DBA7627BA}">
      <text>
        <t>[线程批注]
你的Excel版本可读取此线程批注; 但如果在更新版本的Excel中打开文件，则对批注所作的任何改动都将被删除。了解详细信息: https://go.microsoft.com/fwlink/?linkid=870924
注释:
    Stauts list :
Excluded = shipped to local warehouse
Locked = allocated to specific customer with salesorder/commit
Pipeline = pre-allocation to secure availability for specific customer/country/project
Available = for new allocation
Future Prod = when availability at factory not yet established</t>
      </text>
    </comment>
    <comment ref="Y1" authorId="4" shapeId="0" xr:uid="{6B1DC9A1-FE44-47F0-8901-C2804B565079}">
      <text>
        <r>
          <rPr>
            <sz val="10"/>
            <color theme="1"/>
            <rFont val="Lexend Deca"/>
            <charset val="134"/>
          </rPr>
          <t xml:space="preserve">STATUS
COMPLETED: Landed in Region Warehouse/Customer and Transacted in the System
IN-TRANSIT:  Picked-up Pending Landing/Transaction
PENDING G2G: FG Available; Pending to Ship/Pending Good to Go Ship
PO FIRM: committed by PV Supplier; order placed to HSPV
PO FORECAST: pending to confirmed by PV Supplier; order pending to be placed to HSPV
Wxx PICK-UP : to anticipate future execution </t>
        </r>
      </text>
    </comment>
    <comment ref="AA1" authorId="4" shapeId="0" xr:uid="{1FA7BEFE-BECB-4BA2-B53E-28A14EB36850}">
      <text>
        <r>
          <rPr>
            <b/>
            <sz val="9"/>
            <rFont val="Tahoma"/>
            <family val="2"/>
          </rPr>
          <t>Mye Villapando:</t>
        </r>
        <r>
          <rPr>
            <sz val="9"/>
            <rFont val="Tahoma"/>
            <family val="2"/>
          </rPr>
          <t xml:space="preserve">
Leg 1 + Leg 2 + Leg 3</t>
        </r>
      </text>
    </comment>
    <comment ref="AB1" authorId="4" shapeId="0" xr:uid="{40C932A9-101B-47C0-8C63-2DDD27F87174}">
      <text>
        <r>
          <rPr>
            <b/>
            <sz val="9"/>
            <rFont val="Tahoma"/>
            <family val="2"/>
          </rPr>
          <t>Calculated Landed Date in the Regional Warehouses Workweek format</t>
        </r>
      </text>
    </comment>
    <comment ref="AC1" authorId="4" shapeId="0" xr:uid="{674FEE52-CDE5-4E56-8F00-7B9E5E66BEAF}">
      <text>
        <r>
          <rPr>
            <sz val="9"/>
            <rFont val="Tahoma"/>
            <family val="2"/>
          </rPr>
          <t>Actual Pick-up Date from HSPV</t>
        </r>
      </text>
    </comment>
    <comment ref="AI1" authorId="4" shapeId="0" xr:uid="{33B73129-947B-434D-A4F3-620CC7154519}">
      <text>
        <r>
          <rPr>
            <sz val="10"/>
            <color theme="1"/>
            <rFont val="Lexend Deca"/>
            <charset val="134"/>
          </rPr>
          <t xml:space="preserve">Estimated Date of Port Departure
</t>
        </r>
      </text>
    </comment>
    <comment ref="AK1" authorId="5" shapeId="0" xr:uid="{793C7D8F-02CE-4089-8C32-0960A13FCAAE}">
      <text>
        <t>[线程批注]
你的Excel版本可读取此线程批注; 但如果在更新版本的Excel中打开文件，则对批注所作的任何改动都将被删除。了解详细信息: https://go.microsoft.com/fwlink/?linkid=870924
注释:
    Actual Date of Port Departure</t>
      </text>
    </comment>
    <comment ref="AL1" authorId="6" shapeId="0" xr:uid="{4E6DA831-8DF0-4E2E-82B5-26991E801D36}">
      <text>
        <t>[线程批注]
你的Excel版本可读取此线程批注; 但如果在更新版本的Excel中打开文件，则对批注所作的任何改动都将被删除。了解详细信息: https://go.microsoft.com/fwlink/?linkid=870924
注释:
    Estimated  Date of Port Discharge</t>
      </text>
    </comment>
    <comment ref="AN1" authorId="7" shapeId="0" xr:uid="{FC5CE862-834D-4682-8534-1AE66F3DC60B}">
      <text>
        <t>[线程批注]
你的Excel版本可读取此线程批注; 但如果在更新版本的Excel中打开文件，则对批注所作的任何改动都将被删除。了解详细信息: https://go.microsoft.com/fwlink/?linkid=870924
注释:
    Actual Date of Port Discharge</t>
      </text>
    </comment>
    <comment ref="AO4" authorId="8" shapeId="0" xr:uid="{573D354C-059D-4C62-A131-6367FCF8BBC0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Reenpro big order, Second 3CTs </t>
      </text>
    </comment>
    <comment ref="AO9" authorId="9" shapeId="0" xr:uid="{E49F21AB-F692-4359-9A6C-3649E1F90C40}">
      <text>
        <t>[线程批注]
你的Excel版本可读取此线程批注; 但如果在更新版本的Excel中打开文件，则对批注所作的任何改动都将被删除。了解详细信息: https://go.microsoft.com/fwlink/?linkid=870924
注释:
    Reenpro big order, Third Batch 2CTs</t>
      </text>
    </comment>
    <comment ref="AO11" authorId="10" shapeId="0" xr:uid="{CA41D2DE-5323-4809-B249-10A30A66F0AB}">
      <text>
        <t>[线程批注]
你的Excel版本可读取此线程批注; 但如果在更新版本的Excel中打开文件，则对批注所作的任何改动都将被删除。了解详细信息: https://go.microsoft.com/fwlink/?linkid=870924
注释:
    06-05 Newly added ENERGIA ITALIA's order</t>
      </text>
    </comment>
    <comment ref="AO13" authorId="11" shapeId="0" xr:uid="{0EFCAD00-BBCD-4016-881F-8F72896B88C1}">
      <text>
        <t>[线程批注]
你的Excel版本可读取此线程批注; 但如果在更新版本的Excel中打开文件，则对批注所作的任何改动都将被删除。了解详细信息: https://go.microsoft.com/fwlink/?linkid=870924
注释:
    Reenpro's first TCL Module Order</t>
      </text>
    </comment>
    <comment ref="S14" authorId="12" shapeId="0" xr:uid="{D4D77E0D-2E95-4997-9721-CE91AF296014}">
      <text>
        <t>[线程批注]
你的Excel版本可读取此线程批注; 但如果在更新版本的Excel中打开文件，则对批注所作的任何改动都将被删除。了解详细信息: https://go.microsoft.com/fwlink/?linkid=870924
注释:
    Model and bin rate changed per real production</t>
      </text>
    </comment>
    <comment ref="S15" authorId="13" shapeId="0" xr:uid="{E2CF3810-D926-4F2D-846A-C411F3B13CB6}">
      <text>
        <t>[线程批注]
你的Excel版本可读取此线程批注; 但如果在更新版本的Excel中打开文件，则对批注所作的任何改动都将被删除。了解详细信息: https://go.microsoft.com/fwlink/?linkid=870924
注释:
    Model and bin rate changed per real production</t>
      </text>
    </comment>
    <comment ref="AO15" authorId="14" shapeId="0" xr:uid="{3D3322AA-7559-401C-8CC6-D151424EC6EA}">
      <text>
        <t>[线程批注]
你的Excel版本可读取此线程批注; 但如果在更新版本的Excel中打开文件，则对批注所作的任何改动都将被删除。了解详细信息: https://go.microsoft.com/fwlink/?linkid=870924
注释:
    LM's order</t>
      </text>
    </comment>
    <comment ref="S16" authorId="15" shapeId="0" xr:uid="{1F0758DB-9D0A-40F7-A977-D04324F7050D}">
      <text>
        <t>[线程批注]
你的Excel版本可读取此线程批注; 但如果在更新版本的Excel中打开文件，则对批注所作的任何改动都将被删除。了解详细信息: https://go.microsoft.com/fwlink/?linkid=870924
注释:
    Model and bin rate changed per real production</t>
      </text>
    </comment>
    <comment ref="AO16" authorId="16" shapeId="0" xr:uid="{AC336615-5E37-4E3A-951D-2D46A77E1C83}">
      <text>
        <t>[线程批注]
你的Excel版本可读取此线程批注; 但如果在更新版本的Excel中打开文件，则对批注所作的任何改动都将被删除。了解详细信息: https://go.microsoft.com/fwlink/?linkid=870924
注释:
    06-05 Newly added ENERGIA ITALIA's order</t>
      </text>
    </comment>
    <comment ref="S17" authorId="17" shapeId="0" xr:uid="{DBD4A243-7FA7-40B1-B03C-97273C2014A7}">
      <text>
        <t>[线程批注]
你的Excel版本可读取此线程批注; 但如果在更新版本的Excel中打开文件，则对批注所作的任何改动都将被删除。了解详细信息: https://go.microsoft.com/fwlink/?linkid=870924
注释:
    Model and bin rate changed per real production</t>
      </text>
    </comment>
    <comment ref="AO17" authorId="18" shapeId="0" xr:uid="{BCFBCCF4-8D3A-4F1A-8FDD-A22C94543D3D}">
      <text>
        <t>[线程批注]
你的Excel版本可读取此线程批注; 但如果在更新版本的Excel中打开文件，则对批注所作的任何改动都将被删除。了解详细信息: https://go.microsoft.com/fwlink/?linkid=870924
注释:
    LM's order</t>
      </text>
    </comment>
    <comment ref="AO18" authorId="19" shapeId="0" xr:uid="{C2B110F6-1F10-483C-8271-45F0C0276D5C}">
      <text>
        <t>[线程批注]
你的Excel版本可读取此线程批注; 但如果在更新版本的Excel中打开文件，则对批注所作的任何改动都将被删除。了解详细信息: https://go.microsoft.com/fwlink/?linkid=870924
注释:
    Order for Eurologic Sp.Z o.o.</t>
      </text>
    </comment>
    <comment ref="X20" authorId="20" shapeId="0" xr:uid="{1540B65E-B31D-47E7-8116-1BFE20042E59}">
      <text>
        <t>[线程批注]
你的Excel版本可读取此线程批注; 但如果在更新版本的Excel中打开文件，则对批注所作的任何改动都将被删除。了解详细信息: https://go.microsoft.com/fwlink/?linkid=870924
注释:
    2 CTs pick up on Jun.22nd,  3CTs pick up on Jun.23rd</t>
      </text>
    </comment>
    <comment ref="AO26" authorId="21" shapeId="0" xr:uid="{2745A837-899F-4E21-8CA2-C50CC4721E67}">
      <text>
        <t>[线程批注]
你的Excel版本可读取此线程批注; 但如果在更新版本的Excel中打开文件，则对批注所作的任何改动都将被删除。了解详细信息: https://go.microsoft.com/fwlink/?linkid=870924
注释:
    2nd shipment for VP SOLAR</t>
      </text>
    </comment>
    <comment ref="S27" authorId="22" shapeId="0" xr:uid="{3602CAAE-6397-4E13-854B-37A8050A27F6}">
      <text>
        <t>[线程批注]
你的Excel版本可读取此线程批注; 但如果在更新版本的Excel中打开文件，则对批注所作的任何改动都将被删除。了解详细信息: https://go.microsoft.com/fwlink/?linkid=870924
注释:
    Model and bin rate changed per real production</t>
      </text>
    </comment>
    <comment ref="AO27" authorId="23" shapeId="0" xr:uid="{77DC8EC6-9921-4FCE-852B-437CA0150749}">
      <text>
        <t>[线程批注]
你的Excel版本可读取此线程批注; 但如果在更新版本的Excel中打开文件，则对批注所作的任何改动都将被删除。了解详细信息: https://go.microsoft.com/fwlink/?linkid=870924
注释:
    UAB Elmitra's order</t>
      </text>
    </comment>
    <comment ref="S28" authorId="24" shapeId="0" xr:uid="{A8291F7E-D254-4BE5-B98D-018F547F7830}">
      <text>
        <t>[线程批注]
你的Excel版本可读取此线程批注; 但如果在更新版本的Excel中打开文件，则对批注所作的任何改动都将被删除。了解详细信息: https://go.microsoft.com/fwlink/?linkid=870924
注释:
    Model and bin rate changed per real production</t>
      </text>
    </comment>
    <comment ref="AO28" authorId="25" shapeId="0" xr:uid="{E2066E1C-0883-451C-A719-BC6133F0BD4C}">
      <text>
        <t>[线程批注]
你的Excel版本可读取此线程批注; 但如果在更新版本的Excel中打开文件，则对批注所作的任何改动都将被删除。了解详细信息: https://go.microsoft.com/fwlink/?linkid=870924
注释:
    Second shipment for REMA TARLAZZI 1CT</t>
      </text>
    </comment>
    <comment ref="AO29" authorId="26" shapeId="0" xr:uid="{2AF7DFFA-75AA-4447-B92B-4554B1A4EBC6}">
      <text>
        <t>[线程批注]
你的Excel版本可读取此线程批注; 但如果在更新版本的Excel中打开文件，则对批注所作的任何改动都将被删除。了解详细信息: https://go.microsoft.com/fwlink/?linkid=870924
注释:
    Second shipment for Test Energia 1CT / Voltaneo 1CT / COMET 2CT / SOLARIT 1CT / TECNOLARIO 1CT  </t>
      </text>
    </comment>
    <comment ref="I42" authorId="27" shapeId="0" xr:uid="{2DF10406-0A8E-4BFC-B85F-421A05E123CC}">
      <text>
        <t>[线程批注]
你的Excel版本可读取此线程批注; 但如果在更新版本的Excel中打开文件，则对批注所作的任何改动都将被删除。了解详细信息: https://go.microsoft.com/fwlink/?linkid=870924
注释:
    SO#46010603</t>
      </text>
    </comment>
    <comment ref="U45" authorId="28" shapeId="0" xr:uid="{769EDEDA-2134-489B-8EEC-4BC83143F46E}">
      <text>
        <t>[线程批注]
你的Excel版本可读取此线程批注; 但如果在更新版本的Excel中打开文件，则对批注所作的任何改动都将被删除。了解详细信息: https://go.microsoft.com/fwlink/?linkid=870924
注释:
    FOB with HSPV</t>
      </text>
    </comment>
    <comment ref="U48" authorId="29" shapeId="0" xr:uid="{34798B45-43DE-4122-964E-76C33E3C9101}">
      <text>
        <t>[线程批注]
你的Excel版本可读取此线程批注; 但如果在更新版本的Excel中打开文件，则对批注所作的任何改动都将被删除。了解详细信息: https://go.microsoft.com/fwlink/?linkid=870924
注释:
    FOB with HSPV</t>
      </text>
    </comment>
    <comment ref="U49" authorId="30" shapeId="0" xr:uid="{D2B6900F-1594-4159-8651-B7B86FB2F80B}">
      <text>
        <t>[线程批注]
你的Excel版本可读取此线程批注; 但如果在更新版本的Excel中打开文件，则对批注所作的任何改动都将被删除。了解详细信息: https://go.microsoft.com/fwlink/?linkid=870924
注释:
    FOB with HSPV</t>
      </text>
    </comment>
    <comment ref="I53" authorId="31" shapeId="0" xr:uid="{BC85192E-8229-4F85-99BD-32C46059C646}">
      <text>
        <t>[线程批注]
你的Excel版本可读取此线程批注; 但如果在更新版本的Excel中打开文件，则对批注所作的任何改动都将被删除。了解详细信息: https://go.microsoft.com/fwlink/?linkid=870924
注释:
    SO#46010175</t>
      </text>
    </comment>
    <comment ref="U54" authorId="32" shapeId="0" xr:uid="{B2FF9BE6-4FF0-43C7-B43D-5419B2EFF92D}">
      <text>
        <t>[线程批注]
你的Excel版本可读取此线程批注; 但如果在更新版本的Excel中打开文件，则对批注所作的任何改动都将被删除。了解详细信息: https://go.microsoft.com/fwlink/?linkid=870924
注释:
    FOB with HSPV</t>
      </text>
    </comment>
    <comment ref="U56" authorId="33" shapeId="0" xr:uid="{50745955-8A68-4131-A1F0-DA1D03281288}">
      <text>
        <t>[线程批注]
你的Excel版本可读取此线程批注; 但如果在更新版本的Excel中打开文件，则对批注所作的任何改动都将被删除。了解详细信息: https://go.microsoft.com/fwlink/?linkid=870924
注释:
    FOB with HSPV</t>
      </text>
    </comment>
    <comment ref="S57" authorId="34" shapeId="0" xr:uid="{950955A2-EBBC-4985-8436-BE89C2348AD1}">
      <text>
        <t>[线程批注]
你的Excel版本可读取此线程批注; 但如果在更新版本的Excel中打开文件，则对批注所作的任何改动都将被删除。了解详细信息: https://go.microsoft.com/fwlink/?linkid=870924
注释:
    wrong nameplate
答复:
    use DR sku for Ecostal order</t>
      </text>
    </comment>
    <comment ref="U76" authorId="35" shapeId="0" xr:uid="{52A511FC-ACFE-4FDD-A087-26659994079E}">
      <text>
        <t>[线程批注]
你的Excel版本可读取此线程批注; 但如果在更新版本的Excel中打开文件，则对批注所作的任何改动都将被删除。了解详细信息: https://go.microsoft.com/fwlink/?linkid=870924
注释:
    FOB with HSPV</t>
      </text>
    </comment>
    <comment ref="S77" authorId="36" shapeId="0" xr:uid="{5FDF3B5B-70EA-4EA2-9B3C-15530910F05E}">
      <text>
        <t>[线程批注]
你的Excel版本可读取此线程批注; 但如果在更新版本的Excel中打开文件，则对批注所作的任何改动都将被删除。了解详细信息: https://go.microsoft.com/fwlink/?linkid=870924
注释:
    wrong nameplate</t>
      </text>
    </comment>
    <comment ref="S112" authorId="37" shapeId="0" xr:uid="{0302324B-F009-4B8D-B162-D29967FD07E4}">
      <text>
        <t>[线程批注]
你的Excel版本可读取此线程批注; 但如果在更新版本的Excel中打开文件，则对批注所作的任何改动都将被删除。了解详细信息: https://go.microsoft.com/fwlink/?linkid=870924
注释:
    wrong nameplate
答复:
    use DR sku for NATEC - aligned with sales</t>
      </text>
    </comment>
    <comment ref="S113" authorId="38" shapeId="0" xr:uid="{02DFE04B-2D25-4B0B-8DE7-79F49894E84E}">
      <text>
        <t>[线程批注]
你的Excel版本可读取此线程批注; 但如果在更新版本的Excel中打开文件，则对批注所作的任何改动都将被删除。了解详细信息: https://go.microsoft.com/fwlink/?linkid=870924
注释:
    Model and bin rate changed per real production</t>
      </text>
    </comment>
    <comment ref="U142" authorId="39" shapeId="0" xr:uid="{A84ED22E-A1FD-4CF1-BF6A-B6BCC847FD72}">
      <text>
        <t>[线程批注]
你的Excel版本可读取此线程批注; 但如果在更新版本的Excel中打开文件，则对批注所作的任何改动都将被删除。了解详细信息: https://go.microsoft.com/fwlink/?linkid=870924
注释:
    FOB with HSPV</t>
      </text>
    </comment>
    <comment ref="S144" authorId="40" shapeId="0" xr:uid="{9BA605B4-43CD-4DFE-900E-AFDFC92D024A}">
      <text>
        <t>[线程批注]
你的Excel版本可读取此线程批注; 但如果在更新版本的Excel中打开文件，则对批注所作的任何改动都将被删除。了解详细信息: https://go.microsoft.com/fwlink/?linkid=870924
注释:
    Model and bin rate changed per real production</t>
      </text>
    </comment>
    <comment ref="S173" authorId="41" shapeId="0" xr:uid="{A8D98CDA-7C21-4397-865B-BE718B32D4AE}">
      <text>
        <t>[线程批注]
你的Excel版本可读取此线程批注; 但如果在更新版本的Excel中打开文件，则对批注所作的任何改动都将被删除。了解详细信息: https://go.microsoft.com/fwlink/?linkid=870924
注释:
    wrong nameplate
答复:
    use DR sku for NATEC - aligned with sales</t>
      </text>
    </comment>
    <comment ref="AH217" authorId="42" shapeId="0" xr:uid="{D03310B4-A2C1-4D5F-9B4A-AD486375F42E}">
      <text>
        <t>[线程批注]
你的Excel版本可读取此线程批注; 但如果在更新版本的Excel中打开文件，则对批注所作的任何改动都将被删除。了解详细信息: https://go.microsoft.com/fwlink/?linkid=870924
注释:
    was FOS SUR MER previously</t>
      </text>
    </comment>
    <comment ref="AI217" authorId="43" shapeId="0" xr:uid="{066EC98A-47EC-4ED7-B88D-F86E34D24B8F}">
      <text>
        <t>[线程批注]
你的Excel版本可读取此线程批注; 但如果在更新版本的Excel中打开文件，则对批注所作的任何改动都将被删除。了解详细信息: https://go.microsoft.com/fwlink/?linkid=870924
注释:
    was 10/6/2025 previously</t>
      </text>
    </comment>
    <comment ref="AK217" authorId="44" shapeId="0" xr:uid="{8ECE8D24-F5CC-4CFA-91DD-9BFFDB7D5030}">
      <text>
        <t>[线程批注]
你的Excel版本可读取此线程批注; 但如果在更新版本的Excel中打开文件，则对批注所作的任何改动都将被删除。了解详细信息: https://go.microsoft.com/fwlink/?linkid=870924
注释:
    was 10/6/2025 previously</t>
      </text>
    </comment>
    <comment ref="AL217" authorId="45" shapeId="0" xr:uid="{02C55FA5-517E-4322-80E8-9641B42E3769}">
      <text>
        <t>[线程批注]
你的Excel版本可读取此线程批注; 但如果在更新版本的Excel中打开文件，则对批注所作的任何改动都将被删除。了解详细信息: https://go.microsoft.com/fwlink/?linkid=870924
注释:
    was 11/7/2025 previously</t>
      </text>
    </comment>
    <comment ref="AN217" authorId="46" shapeId="0" xr:uid="{E6243DF0-4B82-445D-9980-4D69D55E689F}">
      <text>
        <t>[线程批注]
你的Excel版本可读取此线程批注; 但如果在更新版本的Excel中打开文件，则对批注所作的任何改动都将被删除。了解详细信息: https://go.microsoft.com/fwlink/?linkid=870924
注释:
    was 11/7/2025 previously</t>
      </text>
    </comment>
    <comment ref="AP217" authorId="47" shapeId="0" xr:uid="{FC6CE3DB-DC07-44F0-BE77-82B5567F35AC}">
      <text>
        <t>[线程批注]
你的Excel版本可读取此线程批注; 但如果在更新版本的Excel中打开文件，则对批注所作的任何改动都将被删除。了解详细信息: https://go.microsoft.com/fwlink/?linkid=870924
注释:
    was CMA CGM BRAZIL/0MELXW1MA</t>
      </text>
    </comment>
    <comment ref="AS217" authorId="48" shapeId="0" xr:uid="{66B4EE00-D276-48A6-9C94-B542CB6CED87}">
      <text>
        <t>[线程批注]
你的Excel版本可读取此线程批注; 但如果在更新版本的Excel中打开文件，则对批注所作的任何改动都将被删除。了解详细信息: https://go.microsoft.com/fwlink/?linkid=870924
注释:
    was COSU6430169030</t>
      </text>
    </comment>
    <comment ref="AT217" authorId="49" shapeId="0" xr:uid="{7F4D368D-5445-43C6-8891-149F09F56DA6}">
      <text>
        <t>[线程批注]
你的Excel版本可读取此线程批注; 但如果在更新版本的Excel中打开文件，则对批注所作的任何改动都将被删除。了解详细信息: https://go.microsoft.com/fwlink/?linkid=870924
注释:
    was COSU6430169030</t>
      </text>
    </comment>
    <comment ref="AL248" authorId="50" shapeId="0" xr:uid="{A08642AB-F081-4BB6-95B9-8F455B6F8856}">
      <text>
        <t>[线程批注]
你的Excel版本可读取此线程批注; 但如果在更新版本的Excel中打开文件，则对批注所作的任何改动都将被删除。了解详细信息: https://go.microsoft.com/fwlink/?linkid=870924
注释:
    need ETA WW49, ok</t>
      </text>
    </comment>
    <comment ref="AN248" authorId="51" shapeId="0" xr:uid="{7689C21A-6BA7-432D-82D0-67A5C7653277}">
      <text>
        <t>[线程批注]
你的Excel版本可读取此线程批注; 但如果在更新版本的Excel中打开文件，则对批注所作的任何改动都将被删除。了解详细信息: https://go.microsoft.com/fwlink/?linkid=870924
注释:
    need ETA WW49, ok</t>
      </text>
    </comment>
    <comment ref="AL249" authorId="52" shapeId="0" xr:uid="{C16142D9-5751-4972-9DE0-7C3C56D88CC3}">
      <text>
        <t>[线程批注]
你的Excel版本可读取此线程批注; 但如果在更新版本的Excel中打开文件，则对批注所作的任何改动都将被删除。了解详细信息: https://go.microsoft.com/fwlink/?linkid=870924
注释:
    need ETA WW49, ok</t>
      </text>
    </comment>
    <comment ref="AL250" authorId="53" shapeId="0" xr:uid="{C2C1A7BC-5275-4324-9693-5B7DE056A267}">
      <text>
        <t>[线程批注]
你的Excel版本可读取此线程批注; 但如果在更新版本的Excel中打开文件，则对批注所作的任何改动都将被删除。了解详细信息: https://go.microsoft.com/fwlink/?linkid=870924
注释:
    need ETA WW49, ok</t>
      </text>
    </comment>
    <comment ref="AN250" authorId="54" shapeId="0" xr:uid="{E24379C4-4766-4799-8E01-881D5DC3AF81}">
      <text>
        <t>[线程批注]
你的Excel版本可读取此线程批注; 但如果在更新版本的Excel中打开文件，则对批注所作的任何改动都将被删除。了解详细信息: https://go.microsoft.com/fwlink/?linkid=870924
注释:
    need ETA WW49, ok</t>
      </text>
    </comment>
    <comment ref="AL251" authorId="55" shapeId="0" xr:uid="{11FBEFEA-AF05-4BB8-AAB3-0E0D02001662}">
      <text>
        <t>[线程批注]
你的Excel版本可读取此线程批注; 但如果在更新版本的Excel中打开文件，则对批注所作的任何改动都将被删除。了解详细信息: https://go.microsoft.com/fwlink/?linkid=870924
注释:
    need ETA WW49, ok</t>
      </text>
    </comment>
    <comment ref="AN251" authorId="56" shapeId="0" xr:uid="{ABFCF0AB-ADF5-47B1-A4DA-233D4B43FD22}">
      <text>
        <t>[线程批注]
你的Excel版本可读取此线程批注; 但如果在更新版本的Excel中打开文件，则对批注所作的任何改动都将被删除。了解详细信息: https://go.microsoft.com/fwlink/?linkid=870924
注释:
    need ETA WW49, ok</t>
      </text>
    </comment>
    <comment ref="U262" authorId="57" shapeId="0" xr:uid="{F9198D12-E41E-4B2D-8090-D9921690768D}">
      <text>
        <t>[线程批注]
你的Excel版本可读取此线程批注; 但如果在更新版本的Excel中打开文件，则对批注所作的任何改动都将被删除。了解详细信息: https://go.microsoft.com/fwlink/?linkid=870924
注释:
    Rework from May PO TCL-MI550DT182-70NS</t>
      </text>
    </comment>
    <comment ref="I270" authorId="58" shapeId="0" xr:uid="{8E62AB29-2992-4B17-8B25-5D609F25E5ED}">
      <text>
        <t>[线程批注]
你的Excel版本可读取此线程批注; 但如果在更新版本的Excel中打开文件，则对批注所作的任何改动都将被删除。了解详细信息: https://go.microsoft.com/fwlink/?linkid=870924
注释:
    Energia Italia</t>
      </text>
    </comment>
    <comment ref="U280" authorId="59" shapeId="0" xr:uid="{4B6AB0F5-6933-4E6A-81FC-E69776C734B9}">
      <text>
        <t>[线程批注]
你的Excel版本可读取此线程批注; 但如果在更新版本的Excel中打开文件，则对批注所作的任何改动都将被删除。了解详细信息: https://go.microsoft.com/fwlink/?linkid=870924
注释:
    Rework from May PO TCL-MI550DT182-70NS</t>
      </text>
    </comment>
    <comment ref="U281" authorId="60" shapeId="0" xr:uid="{361180B3-D5C3-490B-8676-3374B53C71A5}">
      <text>
        <t>[线程批注]
你的Excel版本可读取此线程批注; 但如果在更新版本的Excel中打开文件，则对批注所作的任何改动都将被删除。了解详细信息: https://go.microsoft.com/fwlink/?linkid=870924
注释:
    Rework from May PO TCL-MI555DT182-70NS</t>
      </text>
    </comment>
    <comment ref="U283" authorId="61" shapeId="0" xr:uid="{5B68D134-C6B5-4825-A477-1D42204FE0F8}">
      <text>
        <t>[线程批注]
你的Excel版本可读取此线程批注; 但如果在更新版本的Excel中打开文件，则对批注所作的任何改动都将被删除。了解详细信息: https://go.microsoft.com/fwlink/?linkid=870924
注释:
    Rework from May PO TCL-MI555DT182-70NS</t>
      </text>
    </comment>
    <comment ref="U285" authorId="62" shapeId="0" xr:uid="{451507BA-C3EC-4E72-A2CC-938F8B7D272B}">
      <text>
        <t>[线程批注]
你的Excel版本可读取此线程批注; 但如果在更新版本的Excel中打开文件，则对批注所作的任何改动都将被删除。了解详细信息: https://go.microsoft.com/fwlink/?linkid=870924
注释:
    Rework from May PO TCL-MI555DT182-70NS</t>
      </text>
    </comment>
    <comment ref="U286" authorId="63" shapeId="0" xr:uid="{18C5929D-CBCF-495B-8A81-2D5573776649}">
      <text>
        <t>[线程批注]
你的Excel版本可读取此线程批注; 但如果在更新版本的Excel中打开文件，则对批注所作的任何改动都将被删除。了解详细信息: https://go.microsoft.com/fwlink/?linkid=870924
注释:
    Rework from May PO TCL-MI555DT182-70NS</t>
      </text>
    </comment>
    <comment ref="U287" authorId="64" shapeId="0" xr:uid="{E7811326-AB3E-473F-85CC-4312432C375F}">
      <text>
        <t>[线程批注]
你的Excel版本可读取此线程批注; 但如果在更新版本的Excel中打开文件，则对批注所作的任何改动都将被删除。了解详细信息: https://go.microsoft.com/fwlink/?linkid=870924
注释:
    HSPV stock, transparent glass</t>
      </text>
    </comment>
    <comment ref="X288" authorId="65" shapeId="0" xr:uid="{71A357B9-3C39-48CF-9A76-4B4034300479}">
      <text>
        <t>[线程批注]
你的Excel版本可读取此线程批注; 但如果在更新版本的Excel中打开文件，则对批注所作的任何改动都将被删除。了解详细信息: https://go.microsoft.com/fwlink/?linkid=870924
注释:
    fortune</t>
      </text>
    </comment>
    <comment ref="X289" authorId="66" shapeId="0" xr:uid="{33B37F0D-0413-4933-8F55-0A5FBEC4A02F}">
      <text>
        <t>[线程批注]
你的Excel版本可读取此线程批注; 但如果在更新版本的Excel中打开文件，则对批注所作的任何改动都将被删除。了解详细信息: https://go.microsoft.com/fwlink/?linkid=870924
注释:
    fortune</t>
      </text>
    </comment>
    <comment ref="X290" authorId="67" shapeId="0" xr:uid="{8FF8460B-ED1A-4C3D-9E86-1052D381F375}">
      <text>
        <t>[线程批注]
你的Excel版本可读取此线程批注; 但如果在更新版本的Excel中打开文件，则对批注所作的任何改动都将被删除。了解详细信息: https://go.microsoft.com/fwlink/?linkid=870924
注释:
    tongwei</t>
      </text>
    </comment>
    <comment ref="AL290" authorId="68" shapeId="0" xr:uid="{8E83CF7B-097A-4D5E-9934-7A4303235CEE}">
      <text>
        <t>[线程批注]
你的Excel版本可读取此线程批注; 但如果在更新版本的Excel中打开文件，则对批注所作的任何改动都将被删除。了解详细信息: https://go.microsoft.com/fwlink/?linkid=870924
注释:
    need ETA early WW52</t>
      </text>
    </comment>
    <comment ref="X291" authorId="69" shapeId="0" xr:uid="{918DC9FC-E6AF-42F1-9F97-F398C626D2F8}">
      <text>
        <t>[线程批注]
你的Excel版本可读取此线程批注; 但如果在更新版本的Excel中打开文件，则对批注所作的任何改动都将被删除。了解详细信息: https://go.microsoft.com/fwlink/?linkid=870924
注释:
    tongwei*1 ; fortune*5</t>
      </text>
    </comment>
    <comment ref="AL291" authorId="70" shapeId="0" xr:uid="{A1147F37-7A58-4D81-83A9-6BDBE0352B54}">
      <text>
        <t>[线程批注]
你的Excel版本可读取此线程批注; 但如果在更新版本的Excel中打开文件，则对批注所作的任何改动都将被删除。了解详细信息: https://go.microsoft.com/fwlink/?linkid=870924
注释:
    need ETA early WW52</t>
      </text>
    </comment>
    <comment ref="X292" authorId="71" shapeId="0" xr:uid="{1F207B51-A48D-4C3B-BA71-891CEC875270}">
      <text>
        <t>[线程批注]
你的Excel版本可读取此线程批注; 但如果在更新版本的Excel中打开文件，则对批注所作的任何改动都将被删除。了解详细信息: https://go.microsoft.com/fwlink/?linkid=870924
注释:
    tongwei</t>
      </text>
    </comment>
    <comment ref="U293" authorId="72" shapeId="0" xr:uid="{FB75DB2E-618E-4282-9DB8-D3D9A9026493}">
      <text>
        <t>[线程批注]
你的Excel版本可读取此线程批注; 但如果在更新版本的Excel中打开文件，则对批注所作的任何改动都将被删除。了解详细信息: https://go.microsoft.com/fwlink/?linkid=870924
注释:
    Rework from May PO TCL-MI555DT182-70NS</t>
      </text>
    </comment>
    <comment ref="X294" authorId="73" shapeId="0" xr:uid="{DCD33BDB-F419-4A40-B294-4134394A8E1C}">
      <text>
        <t>[线程批注]
你的Excel版本可读取此线程批注; 但如果在更新版本的Excel中打开文件，则对批注所作的任何改动都将被删除。了解详细信息: https://go.microsoft.com/fwlink/?linkid=870924
注释:
    tongwei*2 ; fortune*2</t>
      </text>
    </comment>
    <comment ref="AL294" authorId="74" shapeId="0" xr:uid="{50106A29-759D-4273-BF8D-F4FFDE77940D}">
      <text>
        <t>[线程批注]
你的Excel版本可读取此线程批注; 但如果在更新版本的Excel中打开文件，则对批注所作的任何改动都将被删除。了解详细信息: https://go.microsoft.com/fwlink/?linkid=870924
注释:
    need ETA early WW52</t>
      </text>
    </comment>
    <comment ref="U300" authorId="75" shapeId="0" xr:uid="{AEAE4ED2-711B-4570-B8A5-7E48539AEB93}">
      <text>
        <t>[线程批注]
你的Excel版本可读取此线程批注; 但如果在更新版本的Excel中打开文件，则对批注所作的任何改动都将被删除。了解详细信息: https://go.microsoft.com/fwlink/?linkid=870924
注释:
    Rework from May PO TCL-MI550DT182-70NS
nov.</t>
      </text>
    </comment>
    <comment ref="X312" authorId="76" shapeId="0" xr:uid="{36A6D644-AD63-4B72-B5E5-B23CDAA3ED70}">
      <text>
        <t>[线程批注]
你的Excel版本可读取此线程批注; 但如果在更新版本的Excel中打开文件，则对批注所作的任何改动都将被删除。了解详细信息: https://go.microsoft.com/fwlink/?linkid=870924
注释:
    changed from 3 to 5 based on Zelia request 04/11</t>
      </text>
    </comment>
    <comment ref="AH318" authorId="77" shapeId="0" xr:uid="{ACE59814-DBA8-4756-B08A-8CA797567696}">
      <text>
        <t>[线程批注]
你的Excel版本可读取此线程批注; 但如果在更新版本的Excel中打开文件，则对批注所作的任何改动都将被删除。了解详细信息: https://go.microsoft.com/fwlink/?linkid=870924
注释:
    changed from Genova to Naples on 31/10</t>
      </text>
    </comment>
    <comment ref="AL326" authorId="78" shapeId="0" xr:uid="{4700D4E4-803D-49AB-BE44-8AF16BC09423}">
      <text>
        <t>[线程批注]
你的Excel版本可读取此线程批注; 但如果在更新版本的Excel中打开文件，则对批注所作的任何改动都将被删除。了解详细信息: https://go.microsoft.com/fwlink/?linkid=870924
注释:
    ETA needed 08-01-2026</t>
      </text>
    </comment>
    <comment ref="U327" authorId="79" shapeId="0" xr:uid="{7EC8F730-DB34-400F-930F-35F10EE570D8}">
      <text>
        <t>[线程批注]
你的Excel版本可读取此线程批注; 但如果在更新版本的Excel中打开文件，则对批注所作的任何改动都将被删除。了解详细信息: https://go.microsoft.com/fwlink/?linkid=870924
注释:
    Rework from May PO TCL-MI555DT182-70NS
NOV.</t>
      </text>
    </comment>
    <comment ref="X334" authorId="80" shapeId="0" xr:uid="{DD7104C7-40F8-45B5-A12B-BDA289C219BD}">
      <text>
        <t>[线程批注]
你的Excel版本可读取此线程批注; 但如果在更新版本的Excel中打开文件，则对批注所作的任何改动都将被删除。了解详细信息: https://go.microsoft.com/fwlink/?linkid=870924
注释:
    Reduced from 4 to 2 on 17/11</t>
      </text>
    </comment>
    <comment ref="U345" authorId="81" shapeId="0" xr:uid="{4B595A5C-F5FD-4855-95F0-ECC7051BEF5F}">
      <text>
        <t>[线程批注]
你的Excel版本可读取此线程批注; 但如果在更新版本的Excel中打开文件，则对批注所作的任何改动都将被删除。了解详细信息: https://go.microsoft.com/fwlink/?linkid=870924
注释:
    Rework from May PO TCL-MI550DT182-70NS</t>
      </text>
    </comment>
    <comment ref="U347" authorId="82" shapeId="0" xr:uid="{AA1520F0-F68B-4641-9103-2FA0D5371645}">
      <text>
        <t>[线程批注]
你的Excel版本可读取此线程批注; 但如果在更新版本的Excel中打开文件，则对批注所作的任何改动都将被删除。了解详细信息: https://go.microsoft.com/fwlink/?linkid=870924
注释:
    Rework from May PO TCL-MI555DT182-70NS</t>
      </text>
    </comment>
    <comment ref="R348" authorId="83" shapeId="0" xr:uid="{61847EED-82F1-4E7C-83EE-FC9C328B9693}">
      <text>
        <t>[线程批注]
你的Excel版本可读取此线程批注; 但如果在更新版本的Excel中打开文件，则对批注所作的任何改动都将被删除。了解详细信息: https://go.microsoft.com/fwlink/?linkid=870924
注释:
    mail Karin 17/11</t>
      </text>
    </comment>
    <comment ref="U350" authorId="84" shapeId="0" xr:uid="{106277A5-E695-48C2-AC83-9F8F539FF33A}">
      <text>
        <t>[线程批注]
你的Excel版本可读取此线程批注; 但如果在更新版本的Excel中打开文件，则对批注所作的任何改动都将被删除。了解详细信息: https://go.microsoft.com/fwlink/?linkid=870924
注释:
    qty rounding accepted 12-NOV</t>
      </text>
    </comment>
    <comment ref="U351" authorId="85" shapeId="0" xr:uid="{A5AFA6FB-239E-4310-B3FA-C0ACD2A951BB}">
      <text>
        <t>[线程批注]
你的Excel版本可读取此线程批注; 但如果在更新版本的Excel中打开文件，则对批注所作的任何改动都将被删除。了解详细信息: https://go.microsoft.com/fwlink/?linkid=870924
注释:
    qty rounding accepted 12-NOV</t>
      </text>
    </comment>
    <comment ref="U352" authorId="86" shapeId="0" xr:uid="{369B0957-C579-4B3A-8A3D-7D5E6965672A}">
      <text>
        <t>[线程批注]
你的Excel版本可读取此线程批注; 但如果在更新版本的Excel中打开文件，则对批注所作的任何改动都将被删除。了解详细信息: https://go.microsoft.com/fwlink/?linkid=870924
注释:
    Rework from May PO TCL-MI555DT182-70NS</t>
      </text>
    </comment>
    <comment ref="U353" authorId="87" shapeId="0" xr:uid="{380FDBB2-C998-4AFC-A502-9D0DA862F71A}">
      <text>
        <t>[线程批注]
你的Excel版本可读取此线程批注; 但如果在更新版本的Excel中打开文件，则对批注所作的任何改动都将被删除。了解详细信息: https://go.microsoft.com/fwlink/?linkid=870924
注释:
    Rework from May PO TCL-MI550DT182-70NS</t>
      </text>
    </comment>
    <comment ref="U359" authorId="88" shapeId="0" xr:uid="{331D4A30-6E75-4CF2-B850-8B869C3DBE51}">
      <text>
        <t>[线程批注]
你的Excel版本可读取此线程批注; 但如果在更新版本的Excel中打开文件，则对批注所作的任何改动都将被删除。了解详细信息: https://go.microsoft.com/fwlink/?linkid=870924
注释:
    Rework from May PO TCL-MI555DT182-70NS</t>
      </text>
    </comment>
    <comment ref="AL360" authorId="89" shapeId="0" xr:uid="{E8863480-A6A4-46A9-9405-F0D349E14F3D}">
      <text>
        <t>[线程批注]
你的Excel版本可读取此线程批注; 但如果在更新版本的Excel中打开文件，则对批注所作的任何改动都将被删除。了解详细信息: https://go.microsoft.com/fwlink/?linkid=870924
注释:
    CRD 31/01, risk of delay due to lack of payment</t>
      </text>
    </comment>
    <comment ref="AL361" authorId="90" shapeId="0" xr:uid="{D3CB92D2-051A-451D-AF5D-92B755D8ED71}">
      <text>
        <t>[线程批注]
你的Excel版本可读取此线程批注; 但如果在更新版本的Excel中打开文件，则对批注所作的任何改动都将被删除。了解详细信息: https://go.microsoft.com/fwlink/?linkid=870924
注释:
    CRD 31/01, risk of delay due to lack of payment</t>
      </text>
    </comment>
    <comment ref="AL385" authorId="91" shapeId="0" xr:uid="{F7F31702-191C-48B7-8DB6-BE574F520688}">
      <text>
        <t>[线程批注]
你的Excel版本可读取此线程批注; 但如果在更新版本的Excel中打开文件，则对批注所作的任何改动都将被删除。了解详细信息: https://go.microsoft.com/fwlink/?linkid=870924
注释:
    CRD 31/01</t>
      </text>
    </comment>
    <comment ref="U395" authorId="92" shapeId="0" xr:uid="{3B046105-D6E1-4B1E-8196-FF2D3C20FBAB}">
      <text>
        <t>[线程批注]
你的Excel版本可读取此线程批注; 但如果在更新版本的Excel中打开文件，则对批注所作的任何改动都将被删除。了解详细信息: https://go.microsoft.com/fwlink/?linkid=870924
注释:
    Rework from May PO TCL-MI550DT182-70NS</t>
      </text>
    </comment>
    <comment ref="U397" authorId="93" shapeId="0" xr:uid="{8E610842-6DA6-40D1-8012-E8DCE8C9746D}">
      <text>
        <t>[线程批注]
你的Excel版本可读取此线程批注; 但如果在更新版本的Excel中打开文件，则对批注所作的任何改动都将被删除。了解详细信息: https://go.microsoft.com/fwlink/?linkid=870924
注释:
    Rework from May PO TCL-MI550DT182-70NS</t>
      </text>
    </comment>
    <comment ref="AH399" authorId="94" shapeId="0" xr:uid="{93A617FD-F870-4FA8-9E3E-66C8746B7DD4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Redirected from Genoa
</t>
      </text>
    </comment>
    <comment ref="AL406" authorId="95" shapeId="0" xr:uid="{66CF68AF-39F9-4E1B-9BAE-24FD9B7E28C0}">
      <text>
        <t>[线程批注]
你的Excel版本可读取此线程批注; 但如果在更新版本的Excel中打开文件，则对批注所作的任何改动都将被删除。了解详细信息: https://go.microsoft.com/fwlink/?linkid=870924
注释:
    ETA needed 30-01-2026</t>
      </text>
    </comment>
    <comment ref="U407" authorId="96" shapeId="0" xr:uid="{C4BAF489-E6E4-4494-BBB9-F5A65C400126}">
      <text>
        <t>[线程批注]
你的Excel版本可读取此线程批注; 但如果在更新版本的Excel中打开文件，则对批注所作的任何改动都将被删除。了解详细信息: https://go.microsoft.com/fwlink/?linkid=870924
注释:
    HSPV stock, transparent glass</t>
      </text>
    </comment>
    <comment ref="Y409" authorId="97" shapeId="0" xr:uid="{76AB8CE6-9BE9-4E2A-959E-7B6652781491}">
      <text>
        <t>[线程批注]
你的Excel版本可读取此线程批注; 但如果在更新版本的Excel中打开文件，则对批注所作的任何改动都将被删除。了解详细信息: https://go.microsoft.com/fwlink/?linkid=870924
注释:
    no G2G as of 27/11
答复:
    G2G 01/12</t>
      </text>
    </comment>
    <comment ref="AL409" authorId="98" shapeId="0" xr:uid="{A82C4277-088A-45AA-96A7-5F92AEEA15B7}">
      <text>
        <t>[线程批注]
你的Excel版本可读取此线程批注; 但如果在更新版本的Excel中打开文件，则对批注所作的任何改动都将被删除。了解详细信息: https://go.microsoft.com/fwlink/?linkid=870924
注释:
     CRD 28/11 but risk of delay due to lack of payment</t>
      </text>
    </comment>
    <comment ref="W413" authorId="99" shapeId="0" xr:uid="{0B26ECBB-8DB1-45B0-896C-E4D38DDC4B6E}">
      <text>
        <t>[线程批注]
你的Excel版本可读取此线程批注; 但如果在更新版本的Excel中打开文件，则对批注所作的任何改动都将被删除。了解详细信息: https://go.microsoft.com/fwlink/?linkid=870924
注释:
    Tongwei</t>
      </text>
    </comment>
    <comment ref="W414" authorId="100" shapeId="0" xr:uid="{3991C19A-E416-4C83-A7A8-DB1C416D3B24}">
      <text>
        <t>[线程批注]
你的Excel版本可读取此线程批注; 但如果在更新版本的Excel中打开文件，则对批注所作的任何改动都将被删除。了解详细信息: https://go.microsoft.com/fwlink/?linkid=870924
注释:
    tongwei*20+fortune*5</t>
      </text>
    </comment>
    <comment ref="W415" authorId="101" shapeId="0" xr:uid="{1121EC88-410C-432E-9CFE-05BFA571C7E9}">
      <text>
        <t>[线程批注]
你的Excel版本可读取此线程批注; 但如果在更新版本的Excel中打开文件，则对批注所作的任何改动都将被删除。了解详细信息: https://go.microsoft.com/fwlink/?linkid=870924
注释:
    Tongwei</t>
      </text>
    </comment>
    <comment ref="AJ416" authorId="102" shapeId="0" xr:uid="{32743C20-0C7F-4ECF-BE41-BAD08DD8A219}">
      <text>
        <t>[线程批注]
你的Excel版本可读取此线程批注; 但如果在更新版本的Excel中打开文件，则对批注所作的任何改动都将被删除。了解详细信息: https://go.microsoft.com/fwlink/?linkid=870924
注释:
    Rolled to next vessel with new ETD 2026-01-01 ETA 2026-02-12</t>
      </text>
    </comment>
    <comment ref="U417" authorId="103" shapeId="0" xr:uid="{0BF9AB57-F2C0-48E4-AF34-6E7BF0C5EB50}">
      <text>
        <t>[线程批注]
你的Excel版本可读取此线程批注; 但如果在更新版本的Excel中打开文件，则对批注所作的任何改动都将被删除。了解详细信息: https://go.microsoft.com/fwlink/?linkid=870924
注释:
    18247</t>
      </text>
    </comment>
    <comment ref="AJ417" authorId="104" shapeId="0" xr:uid="{B48703E5-7AB3-483D-8183-B3AA854FFA03}">
      <text>
        <t>[线程批注]
你的Excel版本可读取此线程批注; 但如果在更新版本的Excel中打开文件，则对批注所作的任何改动都将被删除。了解详细信息: https://go.microsoft.com/fwlink/?linkid=870924
注释:
    Rolled to next vessel with new ETD 2026-01-01 ETA 2026-02-12</t>
      </text>
    </comment>
    <comment ref="Y422" authorId="105" shapeId="0" xr:uid="{7F8A97C5-40AA-461E-80C8-E45652894C5F}">
      <text>
        <t>[线程批注]
你的Excel版本可读取此线程批注; 但如果在更新版本的Excel中打开文件，则对批注所作的任何改动都将被删除。了解详细信息: https://go.microsoft.com/fwlink/?linkid=870924
注释:
    no G2G as of 27/11
答复:
    G2G 01/12</t>
      </text>
    </comment>
    <comment ref="Y423" authorId="106" shapeId="0" xr:uid="{CA9BA473-7B77-4B4D-BD19-25B94A347288}">
      <text>
        <t>[线程批注]
你的Excel版本可读取此线程批注; 但如果在更新版本的Excel中打开文件，则对批注所作的任何改动都将被删除。了解详细信息: https://go.microsoft.com/fwlink/?linkid=870924
注释:
    no G2G as of 27/11
答复:
    G2G 01/12</t>
      </text>
    </comment>
    <comment ref="AL424" authorId="107" shapeId="0" xr:uid="{DEEF4AB6-D7A9-4B7C-9AE7-C9991910C357}">
      <text>
        <t>[线程批注]
你的Excel版本可读取此线程批注; 但如果在更新版本的Excel中打开文件，则对批注所作的任何改动都将被删除。了解详细信息: https://go.microsoft.com/fwlink/?linkid=870924
注释:
    CRD 28/02</t>
      </text>
    </comment>
    <comment ref="AL430" authorId="108" shapeId="0" xr:uid="{E5BE6C1F-882A-4646-8F0C-ED469CB137C2}">
      <text>
        <t>[线程批注]
你的Excel版本可读取此线程批注; 但如果在更新版本的Excel中打开文件，则对批注所作的任何改动都将被删除。了解详细信息: https://go.microsoft.com/fwlink/?linkid=870924
注释:
    CRD w7</t>
      </text>
    </comment>
    <comment ref="AJ431" authorId="109" shapeId="0" xr:uid="{398899DD-9D5B-4663-8FE9-D08EC52FF0D3}">
      <text>
        <t>[线程批注]
你的Excel版本可读取此线程批注; 但如果在更新版本的Excel中打开文件，则对批注所作的任何改动都将被删除。了解详细信息: https://go.microsoft.com/fwlink/?linkid=870924
注释:
    Rolled to next vessel with new ETD 2026-01-02 ETA 2026-02-12</t>
      </text>
    </comment>
    <comment ref="AJ436" authorId="110" shapeId="0" xr:uid="{EA295D4F-5592-47D1-8666-A8EC808860E2}">
      <text>
        <t>[线程批注]
你的Excel版本可读取此线程批注; 但如果在更新版本的Excel中打开文件，则对批注所作的任何改动都将被删除。了解详细信息: https://go.microsoft.com/fwlink/?linkid=870924
注释:
    Due to overbooking , Cntrs rolled to next vessel with ETD 1-03</t>
      </text>
    </comment>
    <comment ref="AJ437" authorId="111" shapeId="0" xr:uid="{5AC69672-8D90-414E-888A-E5F0BF304807}">
      <text>
        <t>[线程批注]
你的Excel版本可读取此线程批注; 但如果在更新版本的Excel中打开文件，则对批注所作的任何改动都将被删除。了解详细信息: https://go.microsoft.com/fwlink/?linkid=870924
注释:
    Due to overbooking , Cntrs rolled to next vessel with ETD 1-03</t>
      </text>
    </comment>
    <comment ref="U441" authorId="112" shapeId="0" xr:uid="{90A7B30F-78CE-4B10-A5C3-0B8E5EB4F324}">
      <text>
        <t>[线程批注]
你的Excel版本可读取此线程批注; 但如果在更新版本的Excel中打开文件，则对批注所作的任何改动都将被删除。了解详细信息: https://go.microsoft.com/fwlink/?linkid=870924
注释:
    Rework from May PO TCL-MI555DT182-70NS
NOV.</t>
      </text>
    </comment>
    <comment ref="AL443" authorId="113" shapeId="0" xr:uid="{E262F19C-ABB8-4401-8069-7B8A45C45D16}">
      <text>
        <t>[线程批注]
你的Excel版本可读取此线程批注; 但如果在更新版本的Excel中打开文件，则对批注所作的任何改动都将被删除。了解详细信息: https://go.microsoft.com/fwlink/?linkid=870924
注释:
    CRD 16-FEB</t>
      </text>
    </comment>
    <comment ref="X444" authorId="114" shapeId="0" xr:uid="{F1E69732-D655-4923-BADA-A74C94EB1313}">
      <text>
        <t>[线程批注]
你的Excel版本可读取此线程批注; 但如果在更新版本的Excel中打开文件，则对批注所作的任何改动都将被删除。了解详细信息: https://go.microsoft.com/fwlink/?linkid=870924
注释:
    nov. output : 11 ctns</t>
      </text>
    </comment>
    <comment ref="U451" authorId="115" shapeId="0" xr:uid="{60C79FD6-09A3-4F5A-A101-5FA19C3D22A7}">
      <text>
        <t>[线程批注]
你的Excel版本可读取此线程批注; 但如果在更新版本的Excel中打开文件，则对批注所作的任何改动都将被删除。了解详细信息: https://go.microsoft.com/fwlink/?linkid=870924
注释:
    Rework from May PO TCL-MI555DT182-70NS
NOV.</t>
      </text>
    </comment>
    <comment ref="AG468" authorId="116" shapeId="0" xr:uid="{84953B9B-EEFD-4A14-BB5D-38E3F38443BC}">
      <text>
        <r>
          <rPr>
            <sz val="10"/>
            <color theme="1"/>
            <rFont val="Lexend Deca"/>
            <charset val="134"/>
          </rPr>
          <t xml:space="preserve">Zélia.Zou邹雨欣: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tc={5CA97146-699A-4692-805C-D56FDE5EE3C9}</author>
    <author>tc={AD33CB87-5001-40CA-BBA9-EFA92872D277}</author>
    <author>tc={E022C63C-D109-478A-8A83-EF0795C0CCC3}</author>
    <author>tc={ACDAC3FC-1C4E-4180-909F-DCDF6BAC6CE4}</author>
    <author>tc={4536E6CF-7AF2-468A-AF30-40AD86D1AEBE}</author>
    <author>tc={A9E9A0D3-D521-4EED-AD4C-820E18720675}</author>
    <author>tc={A1CCE72F-DB3B-4E96-A834-DD2342C565CC}</author>
    <author>tc={E5D1FDE3-0D67-40EE-ADF3-D8F8BEED1E3F}</author>
    <author>tc={6C13B93A-B7AD-4307-BFC8-0EDB957288C1}</author>
    <author>tc={46B38257-2D17-4C57-9A59-6F22390944C2}</author>
    <author>tc={7D4752DE-A2E2-4A6E-83F8-A03E5C07EE22}</author>
    <author>tc={E1080EE9-85FF-4B32-9FF9-C0E22B82EB7E}</author>
    <author>tc={32CC2AD9-4A9D-4558-AC46-78E5EB6385C2}</author>
    <author>tc={4FD07580-3CE1-4478-954E-35430B325C5E}</author>
    <author>tc={DAFC344A-E572-449F-B49F-074640A1A5BD}</author>
    <author>tc={E2E5D26A-3356-4A94-B402-23F18499A0A9}</author>
    <author>tc={2E2E8962-CEBF-4CF3-B2F0-B479197D3898}</author>
    <author>tc={F770A326-9275-4FC8-B4CC-7EB346080643}</author>
    <author>tc={078A5A1D-9B7E-4BCC-8B4B-331C6B028C1F}</author>
    <author>tc={0B8DAA0F-FDB5-41EE-99EC-4A4B88BFC59A}</author>
    <author>tc={1D9688EB-563D-4C0B-B485-69F8E1F68760}</author>
    <author>tc={3830B3EF-D067-4B72-A8E3-2D67139411E0}</author>
    <author>tc={2A109C5C-CCED-424E-A3F7-DD8B6D611C15}</author>
    <author>tc={7A8345D1-0572-4C71-8FB7-CAEEA32071F8}</author>
    <author>tc={DAB10051-34C7-4E6E-97D2-23ACA34A4D78}</author>
    <author>tc={6A37EBA8-6244-4B02-8FEA-D1B7BEA467FE}</author>
    <author>tc={DDE985C2-DDA3-4BF5-AF15-7C48F7D5A940}</author>
    <author>tc={120C12AA-60B0-4211-9F23-FF07E6AFAEE9}</author>
    <author>tc={D6473CA1-0479-4F6B-85D5-0EE0BC5FB679}</author>
    <author>tc={5224EFEA-BD5E-459B-9DF7-348F2FDE2750}</author>
    <author>tc={F81843B6-B9B4-44F9-A3DE-342518B588D3}</author>
    <author>tc={F43A3276-A18F-4BB7-AB6E-D5C9DB4BAA17}</author>
    <author>tc={BC2E4E7B-59C0-4547-BCD3-58CAF06DD122}</author>
    <author>tc={D7EA986A-156E-4F94-971C-799D8A45F214}</author>
    <author>tc={F7A08F39-AFC0-406D-9F58-7AB94DC9E884}</author>
    <author>tc={2BC94DEA-64D9-4F63-9A34-2EC8C783BE2D}</author>
    <author>tc={8CA8356F-6EF6-4F2C-BAEE-76C18DAF90A4}</author>
    <author>tc={D2911FD1-D0E8-4799-B007-BAE3DAA199A2}</author>
    <author>tc={43440A95-1916-4D88-9D45-0958CD8EB9E8}</author>
    <author>tc={A54C440D-73B4-47CA-98DD-F27CC8BA11DD}</author>
    <author>tc={E47EEE80-D5EA-4DE2-BB80-2AF3E98CA471}</author>
    <author>tc={A20A5208-09DD-4B26-8E60-C9D3289C67E2}</author>
    <author>tc={89593B00-243B-459E-BB9E-C4FF62AC086D}</author>
    <author>tc={CAA0AC94-3E5B-441A-A108-935F389616C2}</author>
    <author>tc={12A22050-2943-4061-A685-3F0F62F871B7}</author>
    <author>tc={5CA8F55F-22E9-4F38-A490-30389244D299}</author>
    <author>tc={FFF8CC83-E395-41DD-B671-7595EB26C368}</author>
    <author>tc={A7888DC2-F086-4CC9-BF5D-CD8D95A30172}</author>
    <author>tc={E3EE0201-700A-459A-9CCF-37773CBE79C0}</author>
    <author>tc={DE7C5BBD-5E61-4A5D-92D0-F9EA74DD6014}</author>
    <author>tc={083EA981-3112-402B-80F8-B20ADDAAE890}</author>
    <author>tc={A0C65344-F084-427C-BCF1-4C87FFA6876D}</author>
    <author>tc={4F94BEBC-852C-4A77-8E14-1BC0FEED1B11}</author>
    <author>tc={2CF0FF92-2504-4BB5-A585-48CD731F37F9}</author>
    <author>tc={8CF7B553-4818-425D-956F-19E4D676BAD6}</author>
    <author>tc={078D72E3-1961-4391-B218-2F795DA202FC}</author>
    <author>tc={3068F710-3BB0-44DA-9F0F-5117A1D1906D}</author>
    <author>tc={7DDD8871-1A96-4595-BB85-8A3AC7DA6ECB}</author>
    <author>tc={DC4D7903-D60F-45C8-94A5-0A0C0772D298}</author>
    <author>tc={7A49A645-7AA8-4183-B1E1-0A35A0A5EA2B}</author>
    <author>tc={A3303FBF-E7F5-472C-B35F-5AD63308AF11}</author>
    <author>tc={4BF00CFA-1ACF-4015-A1A0-E79C68400029}</author>
    <author>tc={115C5FF5-FEC4-4AB6-9D73-82322841A1B6}</author>
    <author>tc={B6110AC7-1A51-4357-8DBE-56BB14FC901B}</author>
    <author>tc={323ED7BD-35DA-4C11-856F-CB1290B0CD3A}</author>
    <author>tc={DA90BF6B-9B6C-492A-8744-ACFBEB9BFDEB}</author>
    <author>tc={F69B77C1-B0FA-41E5-A133-0CCA84983AC7}</author>
    <author>tc={64543C54-94F1-499D-A574-6B1FEFCA5985}</author>
    <author>tc={1A3129A1-4214-4FDA-8907-92DD1154B236}</author>
    <author>tc={3CB34E3C-7836-403B-8B6D-482A67CACF40}</author>
    <author>tc={B8FF5108-9672-4716-8C5C-682CAAA28FD0}</author>
    <author>tc={75DCE28B-28CA-444F-AFB3-D9040AFC2D1E}</author>
    <author>tc={01462573-6834-4307-B995-0F42529E29F0}</author>
    <author>tc={9A8B6D26-700C-4995-A44B-17195B4D3803}</author>
    <author>tc={C68E912E-0F47-4262-8B72-9C0CB640099B}</author>
    <author>tc={181787A5-C957-4369-B916-9EF2B10B0B29}</author>
    <author>tc={2FECA532-8647-4DB4-AF2D-CEBCDE71EAC6}</author>
    <author>tc={4FAEE069-0242-487A-BD21-19B5CFB3F5D2}</author>
    <author>tc={3BC74ED4-80DE-4D44-B1D7-3A9E8E3856AE}</author>
    <author>tc={AE905FF9-1A24-48AF-ADC0-7B7DDB22D380}</author>
    <author>tc={027703A0-DB47-42DB-A294-04B4051077BC}</author>
    <author>tc={751E858E-EEFF-4E27-AE5C-E89C1F177E3D}</author>
    <author>tc={16581922-0037-4F8C-A8F3-D6C49F80254F}</author>
    <author>tc={8D802EE3-84B6-4911-8832-69784B425642}</author>
    <author>tc={3CD71756-D6E6-4455-9752-3EF98BD253E8}</author>
    <author>tc={120B9E1F-CE25-47CA-81EF-44C8B0551B4A}</author>
    <author>tc={EFAB1BF1-AEB8-46C9-8ECE-E5C9611246E7}</author>
    <author>tc={0D19C198-DC15-41B2-B664-B67ED22F0E66}</author>
    <author>tc={B2F9B5D4-37D6-4AB1-896E-E80FB09DC12B}</author>
    <author>tc={A7ABA424-4834-4DE5-B726-721EBFDBC408}</author>
  </authors>
  <commentList>
    <comment ref="X3" authorId="0" shapeId="0" xr:uid="{5CA97146-699A-4692-805C-D56FDE5EE3C9}">
      <text>
        <t>[线程批注]
你的Excel版本可读取此线程批注; 但如果在更新版本的Excel中打开文件，则对批注所作的任何改动都将被删除。了解详细信息: https://go.microsoft.com/fwlink/?linkid=870924
注释:
    AEU 空班 - 5F</t>
      </text>
    </comment>
    <comment ref="G7" authorId="1" shapeId="0" xr:uid="{AD33CB87-5001-40CA-BBA9-EFA92872D277}">
      <text>
        <t>[线程批注]
你的Excel版本可读取此线程批注; 但如果在更新版本的Excel中打开文件，则对批注所作的任何改动都将被删除。了解详细信息: https://go.microsoft.com/fwlink/?linkid=870924
注释:
    MSK危险品1F(271135486)</t>
      </text>
    </comment>
    <comment ref="I7" authorId="2" shapeId="0" xr:uid="{E022C63C-D109-478A-8A83-EF0795C0CCC3}">
      <text>
        <t>[线程批注]
你的Excel版本可读取此线程批注; 但如果在更新版本的Excel中打开文件，则对批注所作的任何改动都将被删除。了解详细信息: https://go.microsoft.com/fwlink/?linkid=870924
注释:
    MSK 危险品3F(271300507+272092787)</t>
      </text>
    </comment>
    <comment ref="J7" authorId="3" shapeId="0" xr:uid="{ACDAC3FC-1C4E-4180-909F-DCDF6BAC6CE4}">
      <text>
        <t>[线程批注]
你的Excel版本可读取此线程批注; 但如果在更新版本的Excel中打开文件，则对批注所作的任何改动都将被删除。了解详细信息: https://go.microsoft.com/fwlink/?linkid=870924
注释:
    MSK危险品 1F (272092787)</t>
      </text>
    </comment>
    <comment ref="L7" authorId="4" shapeId="0" xr:uid="{4536E6CF-7AF2-468A-AF30-40AD86D1AEBE}">
      <text>
        <t>[线程批注]
你的Excel版本可读取此线程批注; 但如果在更新版本的Excel中打开文件，则对批注所作的任何改动都将被删除。了解详细信息: https://go.microsoft.com/fwlink/?linkid=870924
注释:
    USD 4600新新运14F
答复:
    COSCO AEU3 超AMC 批9F</t>
      </text>
    </comment>
    <comment ref="N7" authorId="5" shapeId="0" xr:uid="{A9E9A0D3-D521-4EED-AD4C-820E18720675}">
      <text>
        <t>[线程批注]
你的Excel版本可读取此线程批注; 但如果在更新版本的Excel中打开文件，则对批注所作的任何改动都将被删除。了解详细信息: https://go.microsoft.com/fwlink/?linkid=870924
注释:
    USD1950世桦家电合约7F
答复:
    COSCO AMC 13F+FAK(3900) 38F+世桦7F</t>
      </text>
    </comment>
    <comment ref="O7" authorId="6" shapeId="0" xr:uid="{A1CCE72F-DB3B-4E96-A834-DD2342C565CC}">
      <text>
        <t>[线程批注]
你的Excel版本可读取此线程批注; 但如果在更新版本的Excel中打开文件，则对批注所作的任何改动都将被删除。了解详细信息: https://go.microsoft.com/fwlink/?linkid=870924
注释:
    COSCO AMC 16F</t>
      </text>
    </comment>
    <comment ref="P7" authorId="7" shapeId="0" xr:uid="{E5D1FDE3-0D67-40EE-ADF3-D8F8BEED1E3F}">
      <text>
        <t>[线程批注]
你的Excel版本可读取此线程批注; 但如果在更新版本的Excel中打开文件，则对批注所作的任何改动都将被删除。了解详细信息: https://go.microsoft.com/fwlink/?linkid=870924
注释:
    COSCO AMC 45F+FAK (3500)15F</t>
      </text>
    </comment>
    <comment ref="Q7" authorId="8" shapeId="0" xr:uid="{6C13B93A-B7AD-4307-BFC8-0EDB957288C1}">
      <text>
        <t>[线程批注]
你的Excel版本可读取此线程批注; 但如果在更新版本的Excel中打开文件，则对批注所作的任何改动都将被删除。了解详细信息: https://go.microsoft.com/fwlink/?linkid=870924
注释:
    COSCO AMC 24F+家电约7F+FAK(3400)19F</t>
      </text>
    </comment>
    <comment ref="R7" authorId="9" shapeId="0" xr:uid="{46B38257-2D17-4C57-9A59-6F22390944C2}">
      <text>
        <t>[线程批注]
你的Excel版本可读取此线程批注; 但如果在更新版本的Excel中打开文件，则对批注所作的任何改动都将被删除。了解详细信息: https://go.microsoft.com/fwlink/?linkid=870924
注释:
    COSCO AMC 19F+ 深外代20F+世桦8F+FAK 2F(USD2800)</t>
      </text>
    </comment>
    <comment ref="S7" authorId="10" shapeId="0" xr:uid="{7D4752DE-A2E2-4A6E-83F8-A03E5C07EE22}">
      <text>
        <t>[线程批注]
你的Excel版本可读取此线程批注; 但如果在更新版本的Excel中打开文件，则对批注所作的任何改动都将被删除。了解详细信息: https://go.microsoft.com/fwlink/?linkid=870924
注释:
    COSCO AMC 11F+深外代20F+世桦8F</t>
      </text>
    </comment>
    <comment ref="T7" authorId="11" shapeId="0" xr:uid="{E1080EE9-85FF-4B32-9FF9-C0E22B82EB7E}">
      <text>
        <t>[线程批注]
你的Excel版本可读取此线程批注; 但如果在更新版本的Excel中打开文件，则对批注所作的任何改动都将被删除。了解详细信息: https://go.microsoft.com/fwlink/?linkid=870924
注释:
    COSCO AMC 24F +家电约5F+世桦FAK 7F</t>
      </text>
    </comment>
    <comment ref="U7" authorId="12" shapeId="0" xr:uid="{32CC2AD9-4A9D-4558-AC46-78E5EB6385C2}">
      <text>
        <t>[线程批注]
你的Excel版本可读取此线程批注; 但如果在更新版本的Excel中打开文件，则对批注所作的任何改动都将被删除。了解详细信息: https://go.microsoft.com/fwlink/?linkid=870924
注释:
    COSCO AMC 24F+家电约20F</t>
      </text>
    </comment>
    <comment ref="V7" authorId="13" shapeId="0" xr:uid="{4FD07580-3CE1-4478-954E-35430B325C5E}">
      <text>
        <t>[线程批注]
你的Excel版本可读取此线程批注; 但如果在更新版本的Excel中打开文件，则对批注所作的任何改动都将被删除。了解详细信息: https://go.microsoft.com/fwlink/?linkid=870924
注释:
    危险品MSK 2F(276584236)
答复:
    COSCO AMC 24F+家电约(EMC)10F</t>
      </text>
    </comment>
    <comment ref="W7" authorId="14" shapeId="0" xr:uid="{DAFC344A-E572-449F-B49F-074640A1A5BD}">
      <text>
        <t>[线程批注]
你的Excel版本可读取此线程批注; 但如果在更新版本的Excel中打开文件，则对批注所作的任何改动都将被删除。了解详细信息: https://go.microsoft.com/fwlink/?linkid=870924
注释:
    COSCO AMC 44F+ 家电12F</t>
      </text>
    </comment>
    <comment ref="G11" authorId="15" shapeId="0" xr:uid="{E2E5D26A-3356-4A94-B402-23F18499A0A9}">
      <text>
        <t>[线程批注]
你的Excel版本可读取此线程批注; 但如果在更新版本的Excel中打开文件，则对批注所作的任何改动都将被删除。了解详细信息: https://go.microsoft.com/fwlink/?linkid=870924
注释:
    MSK危险品1F (271140592)</t>
      </text>
    </comment>
    <comment ref="K27" authorId="16" shapeId="0" xr:uid="{2E2E8962-CEBF-4CF3-B2F0-B479197D3898}">
      <text>
        <t>[线程批注]
你的Excel版本可读取此线程批注; 但如果在更新版本的Excel中打开文件，则对批注所作的任何改动都将被删除。了解详细信息: https://go.microsoft.com/fwlink/?linkid=870924
注释:
    MSK危险品1F (272270746)
答复:
    舱保23F(20个PV+ 3个BTP)</t>
      </text>
    </comment>
    <comment ref="L27" authorId="17" shapeId="0" xr:uid="{F770A326-9275-4FC8-B4CC-7EB346080643}">
      <text>
        <t>[线程批注]
你的Excel版本可读取此线程批注; 但如果在更新版本的Excel中打开文件，则对批注所作的任何改动都将被删除。了解详细信息: https://go.microsoft.com/fwlink/?linkid=870924
注释:
    MSK危险品2F (272638715)
答复:
    舱保29F(26个PV+3个BTP)</t>
      </text>
    </comment>
    <comment ref="M27" authorId="18" shapeId="0" xr:uid="{078A5A1D-9B7E-4BCC-8B4B-331C6B028C1F}">
      <text>
        <t>[线程批注]
你的Excel版本可读取此线程批注; 但如果在更新版本的Excel中打开文件，则对批注所作的任何改动都将被删除。了解详细信息: https://go.microsoft.com/fwlink/?linkid=870924
注释:
    W29&amp;W30共用AEM1舱保15F （FOS 14 PV+1 BTP）
答复:
    MSK 1F危险品(272910011)</t>
      </text>
    </comment>
    <comment ref="N27" authorId="19" shapeId="0" xr:uid="{0B8DAA0F-FDB5-41EE-99EC-4A4B88BFC59A}">
      <text>
        <t>[线程批注]
你的Excel版本可读取此线程批注; 但如果在更新版本的Excel中打开文件，则对批注所作的任何改动都将被删除。了解详细信息: https://go.microsoft.com/fwlink/?linkid=870924
注释:
    W29 &amp;W30 共用AEM1 舱保 , COSCO AMC 5F + 危险品2F
答复:
    MSK 危险品2F(274118289)</t>
      </text>
    </comment>
    <comment ref="O27" authorId="20" shapeId="0" xr:uid="{1D9688EB-563D-4C0B-B485-69F8E1F68760}">
      <text>
        <t>[线程批注]
你的Excel版本可读取此线程批注; 但如果在更新版本的Excel中打开文件，则对批注所作的任何改动都将被删除。了解详细信息: https://go.microsoft.com/fwlink/?linkid=870924
注释:
    MSK危险品2F(274424044)
答复:
    COSCO 12F(BTP 3F +PV 9F)+ 危险品2F</t>
      </text>
    </comment>
    <comment ref="P27" authorId="21" shapeId="0" xr:uid="{3830B3EF-D067-4B72-A8E3-2D67139411E0}">
      <text>
        <t>[线程批注]
你的Excel版本可读取此线程批注; 但如果在更新版本的Excel中打开文件，则对批注所作的任何改动都将被删除。了解详细信息: https://go.microsoft.com/fwlink/?linkid=870924
注释:
    MSK危险品4F(274797840)
答复:
    COSCO AMC 2F +危险品4F+MSK 14F</t>
      </text>
    </comment>
    <comment ref="Q27" authorId="22" shapeId="0" xr:uid="{2A109C5C-CCED-424E-A3F7-DD8B6D611C15}">
      <text>
        <t>[线程批注]
你的Excel版本可读取此线程批注; 但如果在更新版本的Excel中打开文件，则对批注所作的任何改动都将被删除。了解详细信息: https://go.microsoft.com/fwlink/?linkid=870924
注释:
    COSCO AMC 10F+ 危险 4F+MSK 24F
答复:
    MSK危险品4F(274958025)</t>
      </text>
    </comment>
    <comment ref="R27" authorId="23" shapeId="0" xr:uid="{7A8345D1-0572-4C71-8FB7-CAEEA32071F8}">
      <text>
        <t>[线程批注]
你的Excel版本可读取此线程批注; 但如果在更新版本的Excel中打开文件，则对批注所作的任何改动都将被删除。了解详细信息: https://go.microsoft.com/fwlink/?linkid=870924
注释:
    MSK危险品2F(275028649)
答复:
    COSCO AMC 5F+危险品2F+MSK 24F</t>
      </text>
    </comment>
    <comment ref="S27" authorId="24" shapeId="0" xr:uid="{DAB10051-34C7-4E6E-97D2-23ACA34A4D78}">
      <text>
        <t>[线程批注]
你的Excel版本可读取此线程批注; 但如果在更新版本的Excel中打开文件，则对批注所作的任何改动都将被删除。了解详细信息: https://go.microsoft.com/fwlink/?linkid=870924
注释:
    COSCO AMC 7F+MSK 6F +危险品2F
答复:
    MSK危险品2F(275550212 )</t>
      </text>
    </comment>
    <comment ref="T27" authorId="25" shapeId="0" xr:uid="{6A37EBA8-6244-4B02-8FEA-D1B7BEA467FE}">
      <text>
        <t>[线程批注]
你的Excel版本可读取此线程批注; 但如果在更新版本的Excel中打开文件，则对批注所作的任何改动都将被删除。了解详细信息: https://go.microsoft.com/fwlink/?linkid=870924
注释:
    COSCM AMC 14F+ 危险品2F
答复:
    MSK危险品2F(276027831 )</t>
      </text>
    </comment>
    <comment ref="U27" authorId="26" shapeId="0" xr:uid="{DDE985C2-DDA3-4BF5-AF15-7C48F7D5A940}">
      <text>
        <t>[线程批注]
你的Excel版本可读取此线程批注; 但如果在更新版本的Excel中打开文件，则对批注所作的任何改动都将被删除。了解详细信息: https://go.microsoft.com/fwlink/?linkid=870924
注释:
    MSK危险品舱位2F(276339822)
答复:
    COSCO AMC 5F +MSK 3F</t>
      </text>
    </comment>
    <comment ref="M39" authorId="27" shapeId="0" xr:uid="{120C12AA-60B0-4211-9F23-FF07E6AFAEE9}">
      <text>
        <t>[线程批注]
你的Excel版本可读取此线程批注; 但如果在更新版本的Excel中打开文件，则对批注所作的任何改动都将被删除。了解详细信息: https://go.microsoft.com/fwlink/?linkid=870924
注释:
    1.W29&amp;W30共用AEM3 , VLC舱保6F(AEM3 5F+AEM1 1F ) 组成</t>
      </text>
    </comment>
    <comment ref="N39" authorId="28" shapeId="0" xr:uid="{D6473CA1-0479-4F6B-85D5-0EE0BC5FB679}">
      <text>
        <t>[线程批注]
你的Excel版本可读取此线程批注; 但如果在更新版本的Excel中打开文件，则对批注所作的任何改动都将被删除。了解详细信息: https://go.microsoft.com/fwlink/?linkid=870924
注释:
    W29&amp;W30共用AEM3舱保4F</t>
      </text>
    </comment>
    <comment ref="T39" authorId="29" shapeId="0" xr:uid="{5224EFEA-BD5E-459B-9DF7-348F2FDE2750}">
      <text>
        <t>[线程批注]
你的Excel版本可读取此线程批注; 但如果在更新版本的Excel中打开文件，则对批注所作的任何改动都将被删除。了解详细信息: https://go.microsoft.com/fwlink/?linkid=870924
注释:
    MSK危险品1F(275749171)</t>
      </text>
    </comment>
    <comment ref="X39" authorId="30" shapeId="0" xr:uid="{F81843B6-B9B4-44F9-A3DE-342518B588D3}">
      <text>
        <t>[线程批注]
你的Excel版本可读取此线程批注; 但如果在更新版本的Excel中打开文件，则对批注所作的任何改动都将被删除。了解详细信息: https://go.microsoft.com/fwlink/?linkid=870924
注释:
    AEM3 空班 -2F</t>
      </text>
    </comment>
    <comment ref="M43" authorId="31" shapeId="0" xr:uid="{F43A3276-A18F-4BB7-AB6E-D5C9DB4BAA17}">
      <text>
        <t>[线程批注]
你的Excel版本可读取此线程批注; 但如果在更新版本的Excel中打开文件，则对批注所作的任何改动都将被删除。了解详细信息: https://go.microsoft.com/fwlink/?linkid=870924
注释:
    1.W29&amp;W30共用AEM3 , VLC舱保6F(AEM3 5F+AEM1 1F ) 组成</t>
      </text>
    </comment>
    <comment ref="N43" authorId="32" shapeId="0" xr:uid="{BC2E4E7B-59C0-4547-BCD3-58CAF06DD122}">
      <text>
        <t>[线程批注]
你的Excel版本可读取此线程批注; 但如果在更新版本的Excel中打开文件，则对批注所作的任何改动都将被删除。了解详细信息: https://go.microsoft.com/fwlink/?linkid=870924
注释:
    W29&amp;W30共用AEM3舱保4F</t>
      </text>
    </comment>
    <comment ref="O53" authorId="33" shapeId="0" xr:uid="{D7EA986A-156E-4F94-971C-799D8A45F214}">
      <text>
        <t>[线程批注]
你的Excel版本可读取此线程批注; 但如果在更新版本的Excel中打开文件，则对批注所作的任何改动都将被删除。了解详细信息: https://go.microsoft.com/fwlink/?linkid=870924
注释:
    FAK价订舱</t>
      </text>
    </comment>
    <comment ref="S57" authorId="34" shapeId="0" xr:uid="{F7A08F39-AFC0-406D-9F58-7AB94DC9E884}">
      <text>
        <t>[线程批注]
你的Excel版本可读取此线程批注; 但如果在更新版本的Excel中打开文件，则对批注所作的任何改动都将被删除。了解详细信息: https://go.microsoft.com/fwlink/?linkid=870924
注释:
    缺货，未订舱</t>
      </text>
    </comment>
    <comment ref="T57" authorId="35" shapeId="0" xr:uid="{2BC94DEA-64D9-4F63-9A34-2EC8C783BE2D}">
      <text>
        <t>[线程批注]
你的Excel版本可读取此线程批注; 但如果在更新版本的Excel中打开文件，则对批注所作的任何改动都将被删除。了解详细信息: https://go.microsoft.com/fwlink/?linkid=870924
注释:
    缺货，未订舱</t>
      </text>
    </comment>
    <comment ref="U57" authorId="36" shapeId="0" xr:uid="{8CA8356F-6EF6-4F2C-BAEE-76C18DAF90A4}">
      <text>
        <t>[线程批注]
你的Excel版本可读取此线程批注; 但如果在更新版本的Excel中打开文件，则对批注所作的任何改动都将被删除。了解详细信息: https://go.microsoft.com/fwlink/?linkid=870924
注释:
    缺货，未订舱</t>
      </text>
    </comment>
    <comment ref="V57" authorId="37" shapeId="0" xr:uid="{D2911FD1-D0E8-4799-B007-BAE3DAA199A2}">
      <text>
        <t>[线程批注]
你的Excel版本可读取此线程批注; 但如果在更新版本的Excel中打开文件，则对批注所作的任何改动都将被删除。了解详细信息: https://go.microsoft.com/fwlink/?linkid=870924
注释:
    AEU1-1F空班</t>
      </text>
    </comment>
    <comment ref="Z57" authorId="38" shapeId="0" xr:uid="{43440A95-1916-4D88-9D45-0958CD8EB9E8}">
      <text>
        <t>[线程批注]
你的Excel版本可读取此线程批注; 但如果在更新版本的Excel中打开文件，则对批注所作的任何改动都将被删除。了解详细信息: https://go.microsoft.com/fwlink/?linkid=870924
注释:
    AEU1-1F空班</t>
      </text>
    </comment>
    <comment ref="AB57" authorId="39" shapeId="0" xr:uid="{A54C440D-73B4-47CA-98DD-F27CC8BA11DD}">
      <text>
        <t>[线程批注]
你的Excel版本可读取此线程批注; 但如果在更新版本的Excel中打开文件，则对批注所作的任何改动都将被删除。了解详细信息: https://go.microsoft.com/fwlink/?linkid=870924
注释:
    AEU1-1F空班</t>
      </text>
    </comment>
    <comment ref="AC57" authorId="40" shapeId="0" xr:uid="{E47EEE80-D5EA-4DE2-BB80-2AF3E98CA471}">
      <text>
        <t>[线程批注]
你的Excel版本可读取此线程批注; 但如果在更新版本的Excel中打开文件，则对批注所作的任何改动都将被删除。了解详细信息: https://go.microsoft.com/fwlink/?linkid=870924
注释:
    FAK-深外代-6F</t>
      </text>
    </comment>
    <comment ref="AC61" authorId="41" shapeId="0" xr:uid="{A20A5208-09DD-4B26-8E60-C9D3289C67E2}">
      <text>
        <t>[线程批注]
你的Excel版本可读取此线程批注; 但如果在更新版本的Excel中打开文件，则对批注所作的任何改动都将被删除。了解详细信息: https://go.microsoft.com/fwlink/?linkid=870924
注释:
    FAK-SIGMA-2F，COSCO-1F</t>
      </text>
    </comment>
    <comment ref="N65" authorId="42" shapeId="0" xr:uid="{89593B00-243B-459E-BB9E-C4FF62AC086D}">
      <text>
        <t>[线程批注]
你的Excel版本可读取此线程批注; 但如果在更新版本的Excel中打开文件，则对批注所作的任何改动都将被删除。了解详细信息: https://go.microsoft.com/fwlink/?linkid=870924
注释:
    FAK-11F</t>
      </text>
    </comment>
    <comment ref="P65" authorId="43" shapeId="0" xr:uid="{CAA0AC94-3E5B-441A-A108-935F389616C2}">
      <text>
        <t>[线程批注]
你的Excel版本可读取此线程批注; 但如果在更新版本的Excel中打开文件，则对批注所作的任何改动都将被删除。了解详细信息: https://go.microsoft.com/fwlink/?linkid=870924
注释:
    舱保8F+LX-16F</t>
      </text>
    </comment>
    <comment ref="Q65" authorId="44" shapeId="0" xr:uid="{12A22050-2943-4061-A685-3F0F62F871B7}">
      <text>
        <t>[线程批注]
你的Excel版本可读取此线程批注; 但如果在更新版本的Excel中打开文件，则对批注所作的任何改动都将被删除。了解详细信息: https://go.microsoft.com/fwlink/?linkid=870924
注释:
    舱保8F+LX-17F+ONE-14F</t>
      </text>
    </comment>
    <comment ref="R65" authorId="45" shapeId="0" xr:uid="{5CA8F55F-22E9-4F38-A490-30389244D299}">
      <text>
        <t>[线程批注]
你的Excel版本可读取此线程批注; 但如果在更新版本的Excel中打开文件，则对批注所作的任何改动都将被删除。了解详细信息: https://go.microsoft.com/fwlink/?linkid=870924
注释:
    舱保8F+LX-3F</t>
      </text>
    </comment>
    <comment ref="S65" authorId="46" shapeId="0" xr:uid="{FFF8CC83-E395-41DD-B671-7595EB26C368}">
      <text>
        <t>[线程批注]
你的Excel版本可读取此线程批注; 但如果在更新版本的Excel中打开文件，则对批注所作的任何改动都将被删除。了解详细信息: https://go.microsoft.com/fwlink/?linkid=870924
注释:
    舱保8F+LX-3F</t>
      </text>
    </comment>
    <comment ref="AA65" authorId="47" shapeId="0" xr:uid="{A7888DC2-F086-4CC9-BF5D-CD8D95A30172}">
      <text>
        <t>[线程批注]
你的Excel版本可读取此线程批注; 但如果在更新版本的Excel中打开文件，则对批注所作的任何改动都将被删除。了解详细信息: https://go.microsoft.com/fwlink/?linkid=870924
注释:
    AEU3-缩舱6F</t>
      </text>
    </comment>
    <comment ref="AB65" authorId="48" shapeId="0" xr:uid="{E3EE0201-700A-459A-9CCF-37773CBE79C0}">
      <text>
        <t>[线程批注]
你的Excel版本可读取此线程批注; 但如果在更新版本的Excel中打开文件，则对批注所作的任何改动都将被删除。了解详细信息: https://go.microsoft.com/fwlink/?linkid=870924
注释:
    AEU3-8F空班</t>
      </text>
    </comment>
    <comment ref="M69" authorId="49" shapeId="0" xr:uid="{DE7C5BBD-5E61-4A5D-92D0-F9EA74DD6014}">
      <text>
        <t>[线程批注]
你的Excel版本可读取此线程批注; 但如果在更新版本的Excel中打开文件，则对批注所作的任何改动都将被删除。了解详细信息: https://go.microsoft.com/fwlink/?linkid=870924
注释:
    wont ship to Le Havre unless there is FCA order picked up by customer at port, reallocate slots to RTM</t>
      </text>
    </comment>
    <comment ref="N69" authorId="50" shapeId="0" xr:uid="{083EA981-3112-402B-80F8-B20ADDAAE890}">
      <text>
        <t>[线程批注]
你的Excel版本可读取此线程批注; 但如果在更新版本的Excel中打开文件，则对批注所作的任何改动都将被删除。了解详细信息: https://go.microsoft.com/fwlink/?linkid=870924
注释:
    wont ship to Le Havre unless there is FCA order picked up by customer at port, reallocate slots to RTM</t>
      </text>
    </comment>
    <comment ref="O69" authorId="51" shapeId="0" xr:uid="{A0C65344-F084-427C-BCF1-4C87FFA6876D}">
      <text>
        <t>[线程批注]
你的Excel版本可读取此线程批注; 但如果在更新版本的Excel中打开文件，则对批注所作的任何改动都将被删除。了解详细信息: https://go.microsoft.com/fwlink/?linkid=870924
注释:
    wont ship to Le Havre unless there is FCA order picked up by customer at port, reallocate slots to RTM</t>
      </text>
    </comment>
    <comment ref="P69" authorId="52" shapeId="0" xr:uid="{4F94BEBC-852C-4A77-8E14-1BC0FEED1B11}">
      <text>
        <t>[线程批注]
你的Excel版本可读取此线程批注; 但如果在更新版本的Excel中打开文件，则对批注所作的任何改动都将被删除。了解详细信息: https://go.microsoft.com/fwlink/?linkid=870924
注释:
    wont ship to Le Havre unless there is FCA order picked up by customer at port, reallocate slots to RTM</t>
      </text>
    </comment>
    <comment ref="J77" authorId="53" shapeId="0" xr:uid="{2CF0FF92-2504-4BB5-A585-48CD731F37F9}">
      <text>
        <t>[线程批注]
你的Excel版本可读取此线程批注; 但如果在更新版本的Excel中打开文件，则对批注所作的任何改动都将被删除。了解详细信息: https://go.microsoft.com/fwlink/?linkid=870924
注释:
    W26地线空班,使用27周仓保</t>
      </text>
    </comment>
    <comment ref="K77" authorId="54" shapeId="0" xr:uid="{8CF7B553-4818-425D-956F-19E4D676BAD6}">
      <text>
        <t>[线程批注]
你的Excel版本可读取此线程批注; 但如果在更新版本的Excel中打开文件，则对批注所作的任何改动都将被删除。了解详细信息: https://go.microsoft.com/fwlink/?linkid=870924
注释:
    发W26的货</t>
      </text>
    </comment>
    <comment ref="L77" authorId="55" shapeId="0" xr:uid="{078D72E3-1961-4391-B218-2F795DA202FC}">
      <text>
        <t>[线程批注]
你的Excel版本可读取此线程批注; 但如果在更新版本的Excel中打开文件，则对批注所作的任何改动都将被删除。了解详细信息: https://go.microsoft.com/fwlink/?linkid=870924
注释:
    空班，28周所有空班。
出了一水船，接地线</t>
      </text>
    </comment>
    <comment ref="N77" authorId="56" shapeId="0" xr:uid="{3068F710-3BB0-44DA-9F0F-5117A1D1906D}">
      <text>
        <t>[线程批注]
你的Excel版本可读取此线程批注; 但如果在更新版本的Excel中打开文件，则对批注所作的任何改动都将被删除。了解详细信息: https://go.microsoft.com/fwlink/?linkid=870924
注释:
    30周地线仓保已被28周占用</t>
      </text>
    </comment>
    <comment ref="P77" authorId="57" shapeId="0" xr:uid="{7DDD8871-1A96-4595-BB85-8A3AC7DA6ECB}">
      <text>
        <t>[线程批注]
你的Excel版本可读取此线程批注; 但如果在更新版本的Excel中打开文件，则对批注所作的任何改动都将被删除。了解详细信息: https://go.microsoft.com/fwlink/?linkid=870924
注释:
    AEM2空班</t>
      </text>
    </comment>
    <comment ref="V77" authorId="58" shapeId="0" xr:uid="{DC4D7903-D60F-45C8-94A5-0A0C0772D298}">
      <text>
        <t>[线程批注]
你的Excel版本可读取此线程批注; 但如果在更新版本的Excel中打开文件，则对批注所作的任何改动都将被删除。了解详细信息: https://go.microsoft.com/fwlink/?linkid=870924
注释:
    AEM1-4F空班</t>
      </text>
    </comment>
    <comment ref="Y77" authorId="59" shapeId="0" xr:uid="{7A49A645-7AA8-4183-B1E1-0A35A0A5EA2B}">
      <text>
        <t>[线程批注]
你的Excel版本可读取此线程批注; 但如果在更新版本的Excel中打开文件，则对批注所作的任何改动都将被删除。了解详细信息: https://go.microsoft.com/fwlink/?linkid=870924
注释:
    AEM2-2F空班</t>
      </text>
    </comment>
    <comment ref="AB77" authorId="60" shapeId="0" xr:uid="{A3303FBF-E7F5-472C-B35F-5AD63308AF11}">
      <text>
        <t>[线程批注]
你的Excel版本可读取此线程批注; 但如果在更新版本的Excel中打开文件，则对批注所作的任何改动都将被删除。了解详细信息: https://go.microsoft.com/fwlink/?linkid=870924
注释:
    AEM1-4F，AEM2-2F空班</t>
      </text>
    </comment>
    <comment ref="L89" authorId="61" shapeId="0" xr:uid="{4BF00CFA-1ACF-4015-A1A0-E79C68400029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发了29周的货
</t>
      </text>
    </comment>
    <comment ref="N89" authorId="62" shapeId="0" xr:uid="{115C5FF5-FEC4-4AB6-9D73-82322841A1B6}">
      <text>
        <t>[线程批注]
你的Excel版本可读取此线程批注; 但如果在更新版本的Excel中打开文件，则对批注所作的任何改动都将被删除。了解详细信息: https://go.microsoft.com/fwlink/?linkid=870924
注释:
    30周地线仓保已被28周占用</t>
      </text>
    </comment>
    <comment ref="R89" authorId="63" shapeId="0" xr:uid="{B6110AC7-1A51-4357-8DBE-56BB14FC901B}">
      <text>
        <t>[线程批注]
你的Excel版本可读取此线程批注; 但如果在更新版本的Excel中打开文件，则对批注所作的任何改动都将被删除。了解详细信息: https://go.microsoft.com/fwlink/?linkid=870924
注释:
    AEM3空班</t>
      </text>
    </comment>
    <comment ref="T89" authorId="64" shapeId="0" xr:uid="{323ED7BD-35DA-4C11-856F-CB1290B0CD3A}">
      <text>
        <t>[线程批注]
你的Excel版本可读取此线程批注; 但如果在更新版本的Excel中打开文件，则对批注所作的任何改动都将被删除。了解详细信息: https://go.microsoft.com/fwlink/?linkid=870924
注释:
    缺货，未订舱</t>
      </text>
    </comment>
    <comment ref="U89" authorId="65" shapeId="0" xr:uid="{DA90BF6B-9B6C-492A-8744-ACFBEB9BFDEB}">
      <text>
        <t>[线程批注]
你的Excel版本可读取此线程批注; 但如果在更新版本的Excel中打开文件，则对批注所作的任何改动都将被删除。了解详细信息: https://go.microsoft.com/fwlink/?linkid=870924
注释:
    缺货，未订舱</t>
      </text>
    </comment>
    <comment ref="V89" authorId="66" shapeId="0" xr:uid="{F69B77C1-B0FA-41E5-A133-0CCA84983AC7}">
      <text>
        <t>[线程批注]
你的Excel版本可读取此线程批注; 但如果在更新版本的Excel中打开文件，则对批注所作的任何改动都将被删除。了解详细信息: https://go.microsoft.com/fwlink/?linkid=870924
注释:
    AEM3-1F缺货</t>
      </text>
    </comment>
    <comment ref="N99" authorId="67" shapeId="0" xr:uid="{64543C54-94F1-499D-A574-6B1FEFCA5985}">
      <text>
        <t>[线程批注]
你的Excel版本可读取此线程批注; 但如果在更新版本的Excel中打开文件，则对批注所作的任何改动都将被删除。了解详细信息: https://go.microsoft.com/fwlink/?linkid=870924
注释:
    AEU1-4T AEU5 -6T 空班</t>
      </text>
    </comment>
    <comment ref="P99" authorId="68" shapeId="0" xr:uid="{1A3129A1-4214-4FDA-8907-92DD1154B236}">
      <text>
        <t>[线程批注]
你的Excel版本可读取此线程批注; 但如果在更新版本的Excel中打开文件，则对批注所作的任何改动都将被删除。了解详细信息: https://go.microsoft.com/fwlink/?linkid=870924
注释:
    空班-4T</t>
      </text>
    </comment>
    <comment ref="S99" authorId="69" shapeId="0" xr:uid="{3CB34E3C-7836-403B-8B6D-482A67CACF40}">
      <text>
        <t>[线程批注]
你的Excel版本可读取此线程批注; 但如果在更新版本的Excel中打开文件，则对批注所作的任何改动都将被删除。了解详细信息: https://go.microsoft.com/fwlink/?linkid=870924
注释:
    新新运 one 2F</t>
      </text>
    </comment>
    <comment ref="X99" authorId="70" shapeId="0" xr:uid="{B8FF5108-9672-4716-8C5C-682CAAA28FD0}">
      <text>
        <t>[线程批注]
你的Excel版本可读取此线程批注; 但如果在更新版本的Excel中打开文件，则对批注所作的任何改动都将被删除。了解详细信息: https://go.microsoft.com/fwlink/?linkid=870924
注释:
    AEU1-4T空班</t>
      </text>
    </comment>
    <comment ref="AE99" authorId="71" shapeId="0" xr:uid="{75DCE28B-28CA-444F-AFB3-D9040AFC2D1E}">
      <text>
        <t>[线程批注]
你的Excel版本可读取此线程批注; 但如果在更新版本的Excel中打开文件，则对批注所作的任何改动都将被删除。了解详细信息: https://go.microsoft.com/fwlink/?linkid=870924
注释:
    AEU1-4T 空班</t>
      </text>
    </comment>
    <comment ref="M103" authorId="72" shapeId="0" xr:uid="{01462573-6834-4307-B995-0F42529E29F0}">
      <text>
        <t>[线程批注]
你的Excel版本可读取此线程批注; 但如果在更新版本的Excel中打开文件，则对批注所作的任何改动都将被删除。了解详细信息: https://go.microsoft.com/fwlink/?linkid=870924
注释:
    AEU3-10T空班</t>
      </text>
    </comment>
    <comment ref="N103" authorId="73" shapeId="0" xr:uid="{9A8B6D26-700C-4995-A44B-17195B4D3803}">
      <text>
        <t>[线程批注]
你的Excel版本可读取此线程批注; 但如果在更新版本的Excel中打开文件，则对批注所作的任何改动都将被删除。了解详细信息: https://go.microsoft.com/fwlink/?linkid=870924
注释:
    AEU5-6T空班</t>
      </text>
    </comment>
    <comment ref="W103" authorId="74" shapeId="0" xr:uid="{C68E912E-0F47-4262-8B72-9C0CB640099B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AEU5-2T没货，AEU3-10T待定
</t>
      </text>
    </comment>
    <comment ref="X103" authorId="75" shapeId="0" xr:uid="{181787A5-C957-4369-B916-9EF2B10B0B29}">
      <text>
        <t>[线程批注]
你的Excel版本可读取此线程批注; 但如果在更新版本的Excel中打开文件，则对批注所作的任何改动都将被删除。了解详细信息: https://go.microsoft.com/fwlink/?linkid=870924
注释:
    AEU5-6T空班</t>
      </text>
    </comment>
    <comment ref="Y103" authorId="76" shapeId="0" xr:uid="{2FECA532-8647-4DB4-AF2D-CEBCDE71EAC6}">
      <text>
        <t>[线程批注]
你的Excel版本可读取此线程批注; 但如果在更新版本的Excel中打开文件，则对批注所作的任何改动都将被删除。了解详细信息: https://go.microsoft.com/fwlink/?linkid=870924
注释:
    AEU4-6T空班</t>
      </text>
    </comment>
    <comment ref="AB103" authorId="77" shapeId="0" xr:uid="{4FAEE069-0242-487A-BD21-19B5CFB3F5D2}">
      <text>
        <t>[线程批注]
你的Excel版本可读取此线程批注; 但如果在更新版本的Excel中打开文件，则对批注所作的任何改动都将被删除。了解详细信息: https://go.microsoft.com/fwlink/?linkid=870924
注释:
    AEU3-10T空班</t>
      </text>
    </comment>
    <comment ref="M123" authorId="78" shapeId="0" xr:uid="{3BC74ED4-80DE-4D44-B1D7-3A9E8E3856AE}">
      <text>
        <t>[线程批注]
你的Excel版本可读取此线程批注; 但如果在更新版本的Excel中打开文件，则对批注所作的任何改动都将被删除。了解详细信息: https://go.microsoft.com/fwlink/?linkid=870924
注释:
    AEM2-2T 空班</t>
      </text>
    </comment>
    <comment ref="P123" authorId="79" shapeId="0" xr:uid="{AE905FF9-1A24-48AF-ADC0-7B7DDB22D380}">
      <text>
        <t>[线程批注]
你的Excel版本可读取此线程批注; 但如果在更新版本的Excel中打开文件，则对批注所作的任何改动都将被删除。了解详细信息: https://go.microsoft.com/fwlink/?linkid=870924
注释:
    AEM1-2T 空班</t>
      </text>
    </comment>
    <comment ref="R123" authorId="80" shapeId="0" xr:uid="{027703A0-DB47-42DB-A294-04B4051077BC}">
      <text>
        <t>[线程批注]
你的Excel版本可读取此线程批注; 但如果在更新版本的Excel中打开文件，则对批注所作的任何改动都将被删除。了解详细信息: https://go.microsoft.com/fwlink/?linkid=870924
注释:
    AEM2 -2T 空班</t>
      </text>
    </comment>
    <comment ref="X123" authorId="81" shapeId="0" xr:uid="{751E858E-EEFF-4E27-AE5C-E89C1F177E3D}">
      <text>
        <t>[线程批注]
你的Excel版本可读取此线程批注; 但如果在更新版本的Excel中打开文件，则对批注所作的任何改动都将被删除。了解详细信息: https://go.microsoft.com/fwlink/?linkid=870924
注释:
    AEM1-4T空班</t>
      </text>
    </comment>
    <comment ref="AC127" authorId="82" shapeId="0" xr:uid="{16581922-0037-4F8C-A8F3-D6C49F80254F}">
      <text>
        <t>[线程批注]
你的Excel版本可读取此线程批注; 但如果在更新版本的Excel中打开文件，则对批注所作的任何改动都将被删除。了解详细信息: https://go.microsoft.com/fwlink/?linkid=870924
注释:
    AEM1-4T 空班</t>
      </text>
    </comment>
    <comment ref="AE127" authorId="83" shapeId="0" xr:uid="{8D802EE3-84B6-4911-8832-69784B425642}">
      <text>
        <t>[线程批注]
你的Excel版本可读取此线程批注; 但如果在更新版本的Excel中打开文件，则对批注所作的任何改动都将被删除。了解详细信息: https://go.microsoft.com/fwlink/?linkid=870924
注释:
    AEM1-4T 空班</t>
      </text>
    </comment>
    <comment ref="Y131" authorId="84" shapeId="0" xr:uid="{3CD71756-D6E6-4455-9752-3EF98BD253E8}">
      <text>
        <t>[线程批注]
你的Excel版本可读取此线程批注; 但如果在更新版本的Excel中打开文件，则对批注所作的任何改动都将被删除。了解详细信息: https://go.microsoft.com/fwlink/?linkid=870924
注释:
    AEM2-2T空班</t>
      </text>
    </comment>
    <comment ref="N135" authorId="85" shapeId="0" xr:uid="{120B9E1F-CE25-47CA-81EF-44C8B0551B4A}">
      <text>
        <t>[线程批注]
你的Excel版本可读取此线程批注; 但如果在更新版本的Excel中打开文件，则对批注所作的任何改动都将被删除。了解详细信息: https://go.microsoft.com/fwlink/?linkid=870924
注释:
    AEM3-2T空班</t>
      </text>
    </comment>
    <comment ref="AB135" authorId="86" shapeId="0" xr:uid="{EFAB1BF1-AEB8-46C9-8ECE-E5C9611246E7}">
      <text>
        <t>[线程批注]
你的Excel版本可读取此线程批注; 但如果在更新版本的Excel中打开文件，则对批注所作的任何改动都将被删除。了解详细信息: https://go.microsoft.com/fwlink/?linkid=870924
注释:
    AEM2-2T 空班</t>
      </text>
    </comment>
    <comment ref="AD135" authorId="87" shapeId="0" xr:uid="{0D19C198-DC15-41B2-B664-B67ED22F0E66}">
      <text>
        <t>[线程批注]
你的Excel版本可读取此线程批注; 但如果在更新版本的Excel中打开文件，则对批注所作的任何改动都将被删除。了解详细信息: https://go.microsoft.com/fwlink/?linkid=870924
注释:
    AEM2-2T 空班</t>
      </text>
    </comment>
    <comment ref="S139" authorId="88" shapeId="0" xr:uid="{B2F9B5D4-37D6-4AB1-896E-E80FB09DC12B}">
      <text>
        <t>[线程批注]
你的Excel版本可读取此线程批注; 但如果在更新版本的Excel中打开文件，则对批注所作的任何改动都将被删除。了解详细信息: https://go.microsoft.com/fwlink/?linkid=870924
注释:
    AEM3-2T空班</t>
      </text>
    </comment>
    <comment ref="T139" authorId="89" shapeId="0" xr:uid="{A7ABA424-4834-4DE5-B726-721EBFDBC408}">
      <text>
        <t>[线程批注]
你的Excel版本可读取此线程批注; 但如果在更新版本的Excel中打开文件，则对批注所作的任何改动都将被删除。了解详细信息: https://go.microsoft.com/fwlink/?linkid=870924
注释:
    AEM3-2T 没货 AEM2 -2T空班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tc={9B50F715-2828-452E-8A37-51203AF7FF8A}</author>
    <author>tc={B6106BB5-9AC4-4EBF-866F-78F8C25BC9F3}</author>
    <author>tc={37CF7360-8B51-44B0-83D7-43ABF775DA01}</author>
    <author>tc={AD06982A-D32D-4B26-B4F1-F95628530DCC}</author>
    <author>tc={D547FD25-4034-40D0-9943-35CF6347827C}</author>
    <author>tc={BC89197C-6B7B-44AA-87B1-3060096D11AB}</author>
    <author>tc={DA825B82-6DAE-4AE3-9ECB-DB10052251EB}</author>
    <author>tc={19ECF48F-61D9-4933-864D-6227E6655787}</author>
    <author>tc={26D1F683-AB9B-4D2D-964B-BF96495323AF}</author>
    <author>tc={5D215B48-757D-4533-9AA6-B7A625CE3408}</author>
    <author>tc={E254529F-24C5-4F68-AAD1-2BA770D4D626}</author>
    <author>tc={51356301-D527-4094-8AD4-05EA99046B9C}</author>
    <author>tc={0495563C-8927-4280-966F-29C4C953905A}</author>
    <author>tc={7AB8923A-63BA-47FA-BD49-7D11EA071F2D}</author>
    <author>tc={1ED05791-E771-40B7-AFB6-8B71D8CC2880}</author>
    <author>tc={34FBE0AA-23BE-4A32-9FC1-186C9F1AA1FA}</author>
    <author>tc={E2CABEEE-3168-4EE8-95EF-303A23B689C0}</author>
    <author>tc={A2D05D0E-228F-4FED-960F-3ECABD2CA495}</author>
    <author>tc={ECFF1C58-07D1-42B8-A1A7-7AFF448C8AEB}</author>
    <author>tc={2742623E-A6DD-43B8-ACCC-78B6150EA53F}</author>
    <author>tc={1F8E1B31-8D89-4928-B097-FEC0563A74D2}</author>
    <author>tc={18B88200-9600-48BB-A257-0C41548AC5D1}</author>
    <author>tc={F0D1C012-59D3-46BE-9E1C-486176E0F8D9}</author>
    <author>tc={09B8ACA3-10F2-450F-9496-EADE550843F6}</author>
    <author>tc={AE61DED5-3BE8-42F7-91E3-92CD8F36D287}</author>
    <author>tc={C40A4718-429B-42A2-92A5-C2A9DE6C72D5}</author>
    <author>tc={F605B461-2557-45F5-B267-8CF329DD9BCE}</author>
    <author>tc={9C1A0DCB-64B9-4542-A674-AFDDF0B44679}</author>
    <author>tc={6DC5ABDF-7943-4802-A96B-B6E0E0D907BF}</author>
    <author>tc={2D2D1523-982B-4777-97CB-E11BB6329153}</author>
    <author>tc={0E99003E-6EA0-4196-B95E-39FCC079F51F}</author>
    <author>tc={1F605B60-9E06-4F36-B911-4FB77B944FE3}</author>
    <author>tc={FFFA59FF-EA9B-4659-A08F-694EB5E36AA9}</author>
    <author>tc={08E6DDD2-AF09-42F3-AC28-D8D9C8BE6A71}</author>
    <author>tc={2311DEA5-EDF0-4B02-8C77-1E5110AA144D}</author>
    <author>tc={CCF52BA6-1005-4D99-A697-ACF114F5DD8A}</author>
    <author>tc={A9F9A8A2-A8F2-4060-8F56-F9961AF22851}</author>
    <author>tc={339113B6-0145-47CF-8261-005B7EAD1BFD}</author>
    <author>tc={CB26A16A-D34A-48EF-8291-2A156F7EB6BA}</author>
    <author>tc={2D38D64A-440C-44C4-B3B7-8D6B88138BDC}</author>
    <author>tc={36BDEA87-B5BC-4233-88BE-195E28ABC317}</author>
    <author>tc={9FE55FAE-1F14-4F42-9042-144EAF135EAE}</author>
    <author>tc={76B624FA-BE5B-44F0-93AC-D4A3A4E1AA40}</author>
    <author>tc={C4064AC5-84A9-42D6-9F9C-F3E40A4C1BE3}</author>
    <author>tc={1C5476AC-BBA3-40FF-AF70-FDFFFFBAA231}</author>
    <author>tc={606D9738-214F-460D-BB0A-96B369D25DE0}</author>
    <author>tc={17B2F996-5846-4ECB-B16C-C4D9D6C8A05A}</author>
    <author>tc={F8C4FE3C-8095-43F9-96F0-17645BE9595E}</author>
    <author>tc={6A2C7FA6-A834-4062-A9E8-DDBC89B20BCD}</author>
    <author>tc={C341D4B5-93EB-4468-9761-618DE08C32F4}</author>
    <author>tc={B622161D-16DE-4679-97A8-97C229BBCF52}</author>
    <author>tc={505B8337-1CE7-4E61-9AD3-5F802013A0BC}</author>
    <author>tc={74EA3D65-5D55-4FA1-AC1D-08E1BC425D59}</author>
    <author>tc={AA55B4DC-A9F9-4173-877A-25B01C286D50}</author>
    <author>tc={BBCC9F08-2DD2-42E0-9FDD-E150234E1CC2}</author>
    <author>tc={96388A79-F70C-43A2-B284-A62A8E7AFC38}</author>
    <author>tc={1059B448-55CB-493A-9255-503498E28DBB}</author>
    <author>tc={C28DA1D2-C6F9-49F6-BE32-6A975FA4BEC0}</author>
    <author>tc={C76A4774-8014-49D7-B943-BA564E1C54F1}</author>
    <author>tc={0051B6B1-B802-47B5-91B3-A77BE0CCE0E3}</author>
    <author>tc={DB6D2EC7-D95D-45E7-8BD4-F641D040C92F}</author>
    <author>tc={46BCF3DE-B7D8-48A4-82FC-2C9F02D60B7A}</author>
    <author>tc={889898BA-F847-4880-8636-DD593CBE3871}</author>
    <author>tc={171F79B9-953E-4392-B638-2458074A9C60}</author>
    <author>tc={EC53AB2B-142B-462F-BC33-E9EFAD264D13}</author>
    <author>tc={A3B37FBF-055B-492A-82EA-4F720E784173}</author>
    <author>tc={B96E07FE-EB60-4818-982D-C893CAFC06EF}</author>
    <author>tc={F771A0A2-D88D-436F-A52C-4AE3356EB87D}</author>
    <author>tc={863AEC85-199A-4FB8-86B3-57F8429E853C}</author>
    <author>tc={659E3D89-E310-4DC0-884E-D11E56CE157A}</author>
    <author>tc={2CAA1D20-B42F-447F-9F4C-CED538056454}</author>
    <author>tc={21EBBD43-4705-47B6-9636-CC6E2D67D6F8}</author>
    <author>tc={8A1602C0-51F7-4E18-85EF-B90941E8F970}</author>
    <author>tc={50DF9AC4-8117-41FE-8408-5EB079B51CC0}</author>
    <author>tc={F6D121AC-EE55-4B67-8F00-469D7075886F}</author>
    <author>tc={FEA86681-8BAB-4BF4-9F46-E422ACA3C857}</author>
    <author>tc={07AA1C83-5EDE-4E14-82A5-33D70E2CAD7E}</author>
    <author>tc={E93014E9-7DE3-417F-A52F-FBE67AEFE7C8}</author>
    <author>tc={83163990-857D-4776-99C4-3C7ED8A6CCFF}</author>
    <author>tc={937D1C41-B5B3-4E32-A06B-EE9368016990}</author>
    <author>tc={A19D4757-77A3-4C36-A374-E6545CBA692D}</author>
    <author>tc={A74A5758-F570-4EFD-88C4-6CBA73811746}</author>
    <author>tc={E2242874-087A-44AC-9DD7-1021F7511B06}</author>
    <author>tc={0AC3C84A-165C-534E-A661-A75BF2601F21}</author>
    <author>tc={D6559725-E9EE-42A7-91FD-A9D311AD69E1}</author>
    <author>tc={0C636850-FA01-4F7B-9170-60DEFF3E8B80}</author>
    <author>tc={9DB9442D-DD53-4D81-8F4A-B0D9553EB1EC}</author>
    <author>tc={6419A159-1885-4DB0-9EEE-2CC55CE57982}</author>
    <author>tc={EBB22098-47AA-4693-B626-9C0B6B0BF4C1}</author>
    <author>tc={DB9B4149-2DC4-4FF6-8D47-D62FC521EFA2}</author>
    <author>tc={0E2980E3-6D10-448A-92B1-E9B8336BE67F}</author>
    <author>tc={6279F979-5461-4CFB-B7A3-FAFBA833D371}</author>
    <author>tc={0475AB4D-020E-4ACD-85D1-BBA74801A009}</author>
    <author>tc={6A94D5E9-E153-4E8E-A49C-3FAA5EE83D33}</author>
    <author>tc={A86CB640-3DCB-4663-82B5-037BB756BBB8}</author>
    <author>tc={D110106F-23ED-4A19-ABF2-64A0A48A57B7}</author>
    <author>tc={07BE5705-43A4-4252-B5FD-2FE9E98568E5}</author>
    <author>tc={5F9153D9-9A37-4FBE-BEDC-58DBAD59FF99}</author>
    <author>tc={BD9F1C97-D047-43CA-ADEB-5F043B063EAA}</author>
    <author>tc={7F591306-DE66-424D-AA28-6BD5B59006F5}</author>
    <author>tc={799F4BA4-2475-49D7-BAC1-3A90C451AA65}</author>
    <author>tc={C23D567F-0FAD-4103-AFFB-3F87600C6A50}</author>
    <author>tc={6EAD6EE4-763E-470B-92BC-BDE2F4002660}</author>
    <author>tc={6F57AE03-3103-443E-90FF-BD1FFE6F191B}</author>
    <author>tc={289F240D-C461-4406-881B-F72857780383}</author>
    <author>tc={58607493-DC63-4601-9663-AB065D7B24C2}</author>
    <author>tc={566D2561-A905-4472-8561-9D0AAF238781}</author>
    <author>tc={56675E2E-9AE1-4CED-8633-90F89E5A36B0}</author>
    <author>tc={5EF6F9AA-66C0-4AB0-A898-45868B435BD0}</author>
    <author>tc={CC2B3F60-2496-45C4-B011-8D3E70709B9A}</author>
    <author>tc={BE9103B2-9DAC-4815-A433-E4B1881B9832}</author>
    <author>tc={2A8D7610-4EE4-4D40-8159-EE028E83033D}</author>
    <author>tc={7B31F6BE-599F-4689-9134-A1A23520B5C4}</author>
    <author>tc={B3F11523-90C2-41F3-BF88-C65360D4A6EB}</author>
    <author>tc={347AF52B-4ED6-4A2D-9C4D-E71CCB19583C}</author>
    <author>tc={15C0B293-B598-44A2-AC3E-C11114319652}</author>
    <author>tc={A7E7FA9A-8F90-4AC8-96AC-67063450E675}</author>
    <author>tc={0C99872C-B238-4B89-9DEC-8F135D69BFC7}</author>
    <author>tc={52B3A2CF-4FCB-49DE-842E-7F7D17A3241E}</author>
    <author>tc={2D15824A-D61F-4D9E-A095-BD134F553AAA}</author>
    <author>tc={5E7646A3-6F00-446C-A576-6D43898EDA27}</author>
    <author>tc={62F786C8-BF8D-43D5-9249-92CE1AF6C286}</author>
    <author>tc={EA1535E2-26DA-4B0D-873E-50A7924DBDAF}</author>
    <author>tc={22C6F478-0C9E-424E-BEC5-EAE9A11FC2C9}</author>
    <author>tc={70B1567C-D9EB-4084-AD9F-684D0C5D0394}</author>
    <author>tc={D87202A2-F1CE-4884-8466-EDE50C826C8E}</author>
    <author>tc={45469BB9-0058-46BD-9361-669C35B5009D}</author>
    <author>tc={7E9DF945-73EA-41E5-95E2-1E78A00EEED0}</author>
    <author>tc={CD871797-A54B-4753-BBF7-E48DE6CC5E39}</author>
    <author>tc={01287C6F-7156-42BA-92EA-92C35B4579B3}</author>
    <author>tc={B6C80006-0C22-46D0-9D78-8FA445D71C88}</author>
    <author>tc={7CC6AAD8-6867-4798-AEC9-8D8D858CB452}</author>
    <author>tc={E967FF0A-A12F-4EBA-B47A-86B1CF5C4D9F}</author>
    <author>tc={886F67DF-729E-465C-B500-579092563DDD}</author>
    <author>tc={B7366518-121F-4E75-82B1-FB7A5A6496B1}</author>
    <author>tc={EC40EDD0-BCFD-40D8-97B9-B5FBB0CB8936}</author>
    <author>tc={E8BDE6BE-B002-4C48-8D19-72656AE678CE}</author>
    <author>tc={252652EE-5A7E-40A9-8D5E-A1E60DDDF4A8}</author>
    <author>tc={F243B541-2381-401E-8A37-E90B37A27A3D}</author>
    <author>tc={F3140EDD-E2A6-4D2E-9F09-98B189E5F2B5}</author>
    <author>tc={B0D4D9CE-36D8-4238-8439-BA9491D08F3B}</author>
    <author>tc={CA5E77A7-5093-4D8C-BB1F-BD6503E24984}</author>
    <author>tc={4246E040-7DDA-4050-A36C-A8D0357D1693}</author>
    <author>tc={10CBF3FE-DA33-4823-8FF8-C9E55A6B9C33}</author>
    <author>tc={F475AD29-46CC-4C18-A780-C2FC1633F3C9}</author>
    <author>tc={BD9C1B54-9D38-4F00-8DCA-99C60474387D}</author>
    <author>tc={39940D1C-618A-49A9-BC6F-1494E069DDC9}</author>
    <author>tc={D954A9F7-36C1-4B23-B881-BF011394C24F}</author>
    <author>Nan 邵楠</author>
    <author>tc={180E1354-F745-4043-85B8-18D4740E36D3}</author>
    <author>tc={6F75C3DC-5861-485D-AD19-1F7C84AEB425}</author>
    <author>tc={E8733EC3-FE82-4C71-B7DB-A67B1B58F5B8}</author>
    <author>tc={4370543C-1636-4BFC-A4B9-2AA7A1A13A4A}</author>
    <author>tc={C04CB671-B2EC-4BE8-93DF-DEF586C59428}</author>
    <author>tc={D0276A96-0C50-4462-B415-A547F0286FD5}</author>
    <author>tc={10BE8DBE-A3E6-42C5-AC97-3D0A510AB816}</author>
    <author>tc={900DA888-13B5-492C-8522-16FFDFE21E7E}</author>
    <author>tc={E2656D34-27DE-4636-A4D2-A7852C19D0EE}</author>
    <author>tc={4E9F1405-C511-4485-A74D-F2E4635A18D0}</author>
    <author>tc={BDF8E3BA-00AA-4596-A68B-EAC8DAD8271B}</author>
    <author>tc={B405EFCB-773D-447E-BD7E-9A5876F081F4}</author>
    <author>tc={0E29E79C-3231-4E2C-A8BC-974275C5E309}</author>
    <author>tc={FA143B87-DAA5-487A-8706-A80183F36A88}</author>
    <author>tc={76C24F9E-BF87-4FDC-BE36-E1097A35BF08}</author>
    <author>tc={A3C55F6A-8A63-4712-9033-6E2967192A82}</author>
    <author>tc={DACCB773-2C58-4622-B291-8234BA82EE93}</author>
    <author>tc={77C7B8E9-C75A-45C1-BB0E-B201A25949A0}</author>
    <author>tc={7042D4BC-10EE-400E-9F1A-6FB707EF2FFA}</author>
    <author>tc={44A198BF-1B98-44DA-B57C-8D8A06167679}</author>
    <author>tc={C41D3E8C-5130-4381-A186-7CD17C2A0417}</author>
    <author>tc={5A70A78D-3FD1-4737-BA34-B514E93D2AAC}</author>
    <author>tc={F3089D3D-055A-4EA1-83B3-66D92502BBFF}</author>
    <author>tc={6F024E22-7BB9-43D0-8B5F-268A7945292E}</author>
    <author>tc={10A5766D-2DB9-44A2-A881-DE42F23E209D}</author>
    <author>tc={280BA453-E990-4FB9-8272-6491E9A314C6}</author>
    <author>tc={A54BB2EE-EC15-4CDE-AF1A-4786FEEC45FE}</author>
    <author>tc={8B0B66F5-9FF6-48F7-B717-C31160F3A052}</author>
    <author>tc={44EDB937-B3D6-49C4-8323-5A4C2C65BCE8}</author>
    <author>tc={D040380E-565C-4558-A506-06F7B1C075FC}</author>
    <author>tc={E9273281-B330-419B-B025-4722B381B609}</author>
    <author>tc={CA018118-69EA-4452-91A5-E80A613E1FE9}</author>
    <author>tc={67E6AD8C-A223-4383-AD79-FF61B368C0F3}</author>
    <author>tc={A78568BF-2161-468B-B6A6-F7D334A7C1CB}</author>
    <author>tc={993CB3C4-0853-4DCB-BF7E-A25B2978FFA5}</author>
    <author>tc={5A5064FD-E9F8-4A2E-9CF2-1ACBFAFE38D1}</author>
    <author>tc={DD8424C8-32FB-464A-AF67-D8FDB2113716}</author>
    <author>tc={D38C2D89-4E55-458B-B648-334FB349A79F}</author>
    <author>tc={EC149913-37E2-4CD9-9D3B-7ACE7CEF6A84}</author>
    <author>tc={D912977F-3449-4566-A38D-96C731AADB53}</author>
    <author>tc={D008342A-DE5A-4560-93E5-7C6003CB9E26}</author>
    <author>tc={534F48C1-6DE8-462A-9F79-A8124770F3B3}</author>
    <author>tc={112A1DFB-B9D9-41D3-9BDA-DD1C34B1CF71}</author>
    <author>tc={3D5A2B30-3EA1-4629-909F-7EB3C7EAD33C}</author>
    <author>tc={1306FD79-4E12-4A79-9AC3-9D2888E4DB60}</author>
    <author>tc={292D18C9-617A-45B0-A956-AE1497E5CB08}</author>
    <author>tc={2E6EE6F9-A215-46EC-9A12-69F8678443EF}</author>
    <author>tc={A236938D-9BFC-4B16-955B-1B0D016381A6}</author>
    <author>tc={B9FFCAA4-9821-40D4-AFCA-D3D6803F59B1}</author>
    <author>tc={9192ADF5-7544-4DE3-9BFD-764EE308F242}</author>
    <author>tc={2BED387B-E666-45F1-8CA4-DB9E1D8C02D6}</author>
    <author>tc={B6103755-A2D9-4237-BE0F-73E2D421A355}</author>
    <author>tc={AF0A9FE6-52F0-440D-8035-DE2E08435734}</author>
    <author>tc={A1BABE05-7AA0-431C-BFFC-BE0A81EFE303}</author>
    <author>tc={38E437D1-207A-4BE9-BEB2-6D0DB1077B29}</author>
    <author>tc={1E18460E-BA00-4402-92AB-B6184681E44F}</author>
    <author>tc={F63A8834-4B73-4021-9705-442E9EF3581B}</author>
    <author>tc={91264A7B-58E8-48C9-85C2-0CD98FBE73D2}</author>
    <author>tc={4DD6BC17-B30D-4998-9423-8197D10336B8}</author>
    <author>tc={2CB1CCF2-C3F8-4D21-9AB1-5AD07A7185F9}</author>
    <author>tc={0BB13111-F872-409A-A12E-3E21DE2DD01A}</author>
    <author>tc={80A5E73E-B107-4AE2-A0F3-C4440CE4160D}</author>
    <author>tc={49D76FF7-6CBA-4D62-8184-58735AB41A1C}</author>
    <author>tc={245F032C-1B07-4C1E-9663-477EB1228C06}</author>
    <author>tc={629020F1-A3EA-46B1-AC58-6CA04442137D}</author>
    <author>tc={154A06E7-4C0E-4285-AE41-29DCA5D250B5}</author>
    <author>tc={A9DFCB20-B7D3-4B8F-8217-36379078B7ED}</author>
    <author>tc={79560F1F-A330-405F-9ABC-B6839C0A019C}</author>
    <author>tc={E7FC9C0F-E277-4564-914F-23857B3B0B82}</author>
    <author>tc={088C2D5C-EA34-4EDE-B343-80C80FCE748A}</author>
    <author>tc={B50E3E0F-3301-4C3C-90BB-57F1A6B2C9ED}</author>
    <author>tc={ED201946-84E6-42A3-A881-44996C726AB5}</author>
    <author>tc={0322FBD2-9597-4027-8929-89D6EDAD980E}</author>
    <author>tc={F55A1DDD-081F-4D5D-8DEF-79B496731F99}</author>
    <author>tc={2F3CFDBE-D55E-4245-88F9-179DD808A4E2}</author>
    <author>TCL</author>
    <author>tc={ADACFBB9-178D-46C7-AA59-77077C0F3A9F}</author>
    <author>tc={07F1A622-02D3-41F8-A34E-E4467A9B8D60}</author>
    <author>tc={3D8C2884-F411-4A74-B750-D5C52A3B0DB7}</author>
    <author>tc={A4BC1F17-891D-4A4D-85B6-16E12F840F87}</author>
    <author>tc={30EFEC93-7E92-4F17-8F39-DCD31CE8A920}</author>
    <author>tc={40E7E0AC-D547-4D57-9767-8C313674ABAB}</author>
    <author>tc={9810B57E-93CC-4901-BA65-E039C3A7A50F}</author>
    <author>tc={74A5619B-C8BF-4065-BE94-1390574F29DA}</author>
    <author>tc={184D869F-BD63-4D33-9708-93DF5F81D135}</author>
    <author>tc={EF10FF3B-6073-4E94-BEB1-A1B1836180AA}</author>
    <author>tc={7F8BA534-37D5-48CE-91EC-6B007BF8121A}</author>
    <author>tc={5F4380DC-B7C9-4EF7-AAF4-E9C89B5CCF1F}</author>
    <author>tc={C5CCCA30-3EEF-47AC-A0CA-BCAFF130E058}</author>
    <author>tc={F394D7EC-AF52-46DA-9D49-A1497B49F4B8}</author>
    <author>tc={507CC584-DE12-49F2-BD73-4FADB3F03A95}</author>
    <author>tc={EC9B1E43-D22A-4734-AA29-65BA28D7AAC4}</author>
    <author>tc={87C68EEC-2CDB-461B-ABA3-649871D6402B}</author>
    <author>tc={F56419AE-CFA8-44CF-B67F-6105757CE739}</author>
    <author>tc={26346838-ABA2-4BA3-AA2C-FC42C49227F0}</author>
    <author>tc={EE80C541-28B8-47A1-B8F3-207C0B2E1068}</author>
    <author>tc={108D8866-E605-4DE5-9F81-A8F0D87DB5C6}</author>
    <author>tc={E0A69871-1B1B-4155-BC45-7EED2A7E75D0}</author>
    <author>tc={0979DD86-91C8-4F68-97ED-D199B27E32D4}</author>
    <author>tc={D67F99D3-65CA-4A4E-8098-1E42DAF220E2}</author>
    <author>tc={526B05C7-B91E-4B6F-99AB-11CC6861CC35}</author>
  </authors>
  <commentList>
    <comment ref="A1" authorId="0" shapeId="0" xr:uid="{9B50F715-2828-452E-8A37-51203AF7FF8A}">
      <text>
        <t>[线程批注]
你的Excel版本可读取此线程批注; 但如果在更新版本的Excel中打开文件，则对批注所作的任何改动都将被删除。了解详细信息: https://go.microsoft.com/fwlink/?linkid=870924
注释:
    Make sure to follow syntax of main ref then “.” then iterate allocation</t>
      </text>
    </comment>
    <comment ref="G1" authorId="1" shapeId="0" xr:uid="{B6106BB5-9AC4-4EBF-866F-78F8C25BC9F3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DDP = Specific salesorder with DDP incoterm. DAP shipment inbetween
DAP = salesorder or shipment to local WH
Other incoterms for specific salesorders
</t>
      </text>
    </comment>
    <comment ref="J1" authorId="2" shapeId="0" xr:uid="{37CF7360-8B51-44B0-83D7-43ABF775DA01}">
      <text>
        <t>[线程批注]
你的Excel版本可读取此线程批注; 但如果在更新版本的Excel中打开文件，则对批注所作的任何改动都将被删除。了解详细信息: https://go.microsoft.com/fwlink/?linkid=870924
注释:
    Local WH = for all shipments to replenish local W-org
SPxx / yy = for DDP shipments to xx entity and yy customer
Customer = when allocated to a specific customer</t>
      </text>
    </comment>
    <comment ref="AK1" authorId="3" shapeId="0" xr:uid="{AD06982A-D32D-4B26-B4F1-F95628530DCC}">
      <text>
        <t>[线程批注]
你的Excel版本可读取此线程批注; 但如果在更新版本的Excel中打开文件，则对批注所作的任何改动都将被删除。了解详细信息: https://go.microsoft.com/fwlink/?linkid=870924
注释:
    Actual Date of Port Departure</t>
      </text>
    </comment>
    <comment ref="AL1" authorId="4" shapeId="0" xr:uid="{D547FD25-4034-40D0-9943-35CF6347827C}">
      <text>
        <t>[线程批注]
你的Excel版本可读取此线程批注; 但如果在更新版本的Excel中打开文件，则对批注所作的任何改动都将被删除。了解详细信息: https://go.microsoft.com/fwlink/?linkid=870924
注释:
    Estimated  Date of Port Discharge</t>
      </text>
    </comment>
    <comment ref="AN1" authorId="5" shapeId="0" xr:uid="{BC89197C-6B7B-44AA-87B1-3060096D11AB}">
      <text>
        <t>[线程批注]
你的Excel版本可读取此线程批注; 但如果在更新版本的Excel中打开文件，则对批注所作的任何改动都将被删除。了解详细信息: https://go.microsoft.com/fwlink/?linkid=870924
注释:
    Actual Date of Port Discharge</t>
      </text>
    </comment>
    <comment ref="AL182" authorId="6" shapeId="0" xr:uid="{DA825B82-6DAE-4AE3-9ECB-DB10052251EB}">
      <text>
        <t>[线程批注]
你的Excel版本可读取此线程批注; 但如果在更新版本的Excel中打开文件，则对批注所作的任何改动都将被删除。了解详细信息: https://go.microsoft.com/fwlink/?linkid=870924
注释:
    CRD 31/03</t>
      </text>
    </comment>
    <comment ref="Q183" authorId="7" shapeId="0" xr:uid="{19ECF48F-61D9-4933-864D-6227E6655787}">
      <text>
        <t>[线程批注]
你的Excel版本可读取此线程批注; 但如果在更新版本的Excel中打开文件，则对批注所作的任何改动都将被删除。了解详细信息: https://go.microsoft.com/fwlink/?linkid=870924
注释:
    change to 455w</t>
      </text>
    </comment>
    <comment ref="U183" authorId="8" shapeId="0" xr:uid="{26D1F683-AB9B-4D2D-964B-BF96495323AF}">
      <text>
        <t>[线程批注]
你的Excel版本可读取此线程批注; 但如果在更新版本的Excel中打开文件，则对批注所作的任何改动都将被删除。了解详细信息: https://go.microsoft.com/fwlink/?linkid=870924
注释:
    not fixed now due to the bin rate change, will update qty according to the actual output. 10MW in total for JAN PO (450W+455W)
答复:
    OK TO SWAP WITH 455w</t>
      </text>
    </comment>
    <comment ref="J185" authorId="9" shapeId="0" xr:uid="{5D215B48-757D-4533-9AA6-B7A625CE3408}">
      <text>
        <t>[线程批注]
你的Excel版本可读取此线程批注; 但如果在更新版本的Excel中打开文件，则对批注所作的任何改动都将被删除。了解详细信息: https://go.microsoft.com/fwlink/?linkid=870924
注释:
    EnergyNat opp cancelled</t>
      </text>
    </comment>
    <comment ref="Q185" authorId="10" shapeId="0" xr:uid="{E254529F-24C5-4F68-AAD1-2BA770D4D626}">
      <text>
        <t>[线程批注]
你的Excel版本可读取此线程批注; 但如果在更新版本的Excel中打开文件，则对批注所作的任何改动都将被删除。了解详细信息: https://go.microsoft.com/fwlink/?linkid=870924
注释:
    NEED 450w -&gt; MANDATORY</t>
      </text>
    </comment>
    <comment ref="Q189" authorId="11" shapeId="0" xr:uid="{51356301-D527-4094-8AD4-05EA99046B9C}">
      <text>
        <t>[线程批注]
你的Excel版本可读取此线程批注; 但如果在更新版本的Excel中打开文件，则对批注所作的任何改动都将被删除。了解详细信息: https://go.microsoft.com/fwlink/?linkid=870924
注释:
    
陈俊萍
W603
As per JB request, Swap  2ctnrs of SPR-P7-555-COM-S in W06 with HSM-ND66-GR620 in W07</t>
      </text>
    </comment>
    <comment ref="AB189" authorId="12" shapeId="0" xr:uid="{0495563C-8927-4280-966F-29C4C953905A}">
      <text>
        <t>[线程批注]
你的Excel版本可读取此线程批注; 但如果在更新版本的Excel中打开文件，则对批注所作的任何改动都将被删除。了解详细信息: https://go.microsoft.com/fwlink/?linkid=870924
注释:
    5 CTNS picked up on 1-31, 5 CTNS picked up on 2-01</t>
      </text>
    </comment>
    <comment ref="AH189" authorId="13" shapeId="0" xr:uid="{7AB8923A-63BA-47FA-BD49-7D11EA071F2D}">
      <text>
        <t>[线程批注]
你的Excel版本可读取此线程批注; 但如果在更新版本的Excel中打开文件，则对批注所作的任何改动都将被删除。了解详细信息: https://go.microsoft.com/fwlink/?linkid=870924
注释:
    As per JB &amp; Arleen advice, POD have to be changed from Genoa to Fos for customs clearance purpose</t>
      </text>
    </comment>
    <comment ref="U190" authorId="14" shapeId="0" xr:uid="{1ED05791-E771-40B7-AFB6-8B71D8CC2880}">
      <text>
        <t>[线程批注]
你的Excel版本可读取此线程批注; 但如果在更新版本的Excel中打开文件，则对批注所作的任何改动都将被删除。了解详细信息: https://go.microsoft.com/fwlink/?linkid=870924
注释:
    not fixed now due to the bin rate change, will update qty according to the actual output. 10MW in total for JAN PO (450W+455W)</t>
      </text>
    </comment>
    <comment ref="AS202" authorId="15" shapeId="0" xr:uid="{34FBE0AA-23BE-4A32-9FC1-186C9F1AA1FA}">
      <text>
        <t>[线程批注]
你的Excel版本可读取此线程批注; 但如果在更新版本的Excel中打开文件，则对批注所作的任何改动都将被删除。了解详细信息: https://go.microsoft.com/fwlink/?linkid=870924
注释:
    Subject to roll due to overbooking</t>
      </text>
    </comment>
    <comment ref="AB203" authorId="16" shapeId="0" xr:uid="{E2CABEEE-3168-4EE8-95EF-303A23B689C0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Pick-up date on Feb 08 and 09 due to vehicles limited </t>
      </text>
    </comment>
    <comment ref="AB204" authorId="17" shapeId="0" xr:uid="{A2D05D0E-228F-4FED-960F-3ECABD2CA495}">
      <text>
        <t>[线程批注]
你的Excel版本可读取此线程批注; 但如果在更新版本的Excel中打开文件，则对批注所作的任何改动都将被删除。了解详细信息: https://go.microsoft.com/fwlink/?linkid=870924
注释:
    Pick-up date on Feb 08 and 09 due to vehicles limited</t>
      </text>
    </comment>
    <comment ref="J222" authorId="18" shapeId="0" xr:uid="{ECFF1C58-07D1-42B8-A1A7-7AFF448C8AEB}">
      <text>
        <t>[线程批注]
你的Excel版本可读取此线程批注; 但如果在更新版本的Excel中打开文件，则对批注所作的任何改动都将被删除。了解详细信息: https://go.microsoft.com/fwlink/?linkid=870924
注释:
    preallocated to Ecostal BE on top on BE018 order</t>
      </text>
    </comment>
    <comment ref="U224" authorId="19" shapeId="0" xr:uid="{2742623E-A6DD-43B8-ACCC-78B6150EA53F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revised to 19872pcs on JAN 27 </t>
      </text>
    </comment>
    <comment ref="AD224" authorId="20" shapeId="0" xr:uid="{1F8E1B31-8D89-4928-B097-FEC0563A74D2}">
      <text>
        <t>[线程批注]
你的Excel版本可读取此线程批注; 但如果在更新版本的Excel中打开文件，则对批注所作的任何改动都将被删除。了解详细信息: https://go.microsoft.com/fwlink/?linkid=870924
注释:
    Former PO =&gt; POPV260303018</t>
      </text>
    </comment>
    <comment ref="U225" authorId="21" shapeId="0" xr:uid="{18B88200-9600-48BB-A257-0C41548AC5D1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revised to 19872pcs on JAN 27 </t>
      </text>
    </comment>
    <comment ref="AD225" authorId="22" shapeId="0" xr:uid="{F0D1C012-59D3-46BE-9E1C-486176E0F8D9}">
      <text>
        <t>[线程批注]
你的Excel版本可读取此线程批注; 但如果在更新版本的Excel中打开文件，则对批注所作的任何改动都将被删除。了解详细信息: https://go.microsoft.com/fwlink/?linkid=870924
注释:
    Former PO =&gt; POPV260303018</t>
      </text>
    </comment>
    <comment ref="X232" authorId="23" shapeId="0" xr:uid="{09B8ACA3-10F2-450F-9496-EADE550843F6}">
      <text>
        <t>[线程批注]
你的Excel版本可读取此线程批注; 但如果在更新版本的Excel中打开文件，则对批注所作的任何改动都将被删除。了解详细信息: https://go.microsoft.com/fwlink/?linkid=870924
注释:
    24/02/26: change from 7ctns to 6ctns due to insufficient output, the rest 1ct can be picked up in W12</t>
      </text>
    </comment>
    <comment ref="U235" authorId="24" shapeId="0" xr:uid="{AE61DED5-3BE8-42F7-91E3-92CD8F36D287}">
      <text>
        <t>[线程批注]
你的Excel版本可读取此线程批注; 但如果在更新版本的Excel中打开文件，则对批注所作的任何改动都将被删除。了解详细信息: https://go.microsoft.com/fwlink/?linkid=870924
注释:
    Reduce from 792 (full truck) to 720 (full CT)</t>
      </text>
    </comment>
    <comment ref="U244" authorId="25" shapeId="0" xr:uid="{C40A4718-429B-42A2-92A5-C2A9DE6C72D5}">
      <text>
        <t>[线程批注]
你的Excel版本可读取此线程批注; 但如果在更新版本的Excel中打开文件，则对批注所作的任何改动都将被删除。了解详细信息: https://go.microsoft.com/fwlink/?linkid=870924
注释:
    260228: short of 360pcs*1.4m tranparent, using 26mar029 360pcs*1.4m blk to replenish</t>
      </text>
    </comment>
    <comment ref="AD249" authorId="26" shapeId="0" xr:uid="{F605B461-2557-45F5-B267-8CF329DD9BCE}">
      <text>
        <t>[线程批注]
你的Excel版本可读取此线程批注; 但如果在更新版本的Excel中打开文件，则对批注所作的任何改动都将被删除。了解详细信息: https://go.microsoft.com/fwlink/?linkid=870924
注释:
    Old PO =&gt; POPV260309028
答复:
    Former Ecostal PO : POPV260417055</t>
      </text>
    </comment>
    <comment ref="AD250" authorId="27" shapeId="0" xr:uid="{9C1A0DCB-64B9-4542-A674-AFDDF0B44679}">
      <text>
        <t>[线程批注]
你的Excel版本可读取此线程批注; 但如果在更新版本的Excel中打开文件，则对批注所作的任何改动都将被删除。了解详细信息: https://go.microsoft.com/fwlink/?linkid=870924
注释:
    Old PO =&gt; POPV260309028
答复:
    Former Ecostal PO : POPV260417055</t>
      </text>
    </comment>
    <comment ref="AD251" authorId="28" shapeId="0" xr:uid="{6DC5ABDF-7943-4802-A96B-B6E0E0D907BF}">
      <text>
        <t>[线程批注]
你的Excel版本可读取此线程批注; 但如果在更新版本的Excel中打开文件，则对批注所作的任何改动都将被删除。了解详细信息: https://go.microsoft.com/fwlink/?linkid=870924
注释:
    Old PO =&gt; POPV260309028
答复:
    Former Ecostal PO : POPV260417055
答复:
    POPV260417059</t>
      </text>
    </comment>
    <comment ref="AD252" authorId="29" shapeId="0" xr:uid="{2D2D1523-982B-4777-97CB-E11BB6329153}">
      <text>
        <t>[线程批注]
你的Excel版本可读取此线程批注; 但如果在更新版本的Excel中打开文件，则对批注所作的任何改动都将被删除。了解详细信息: https://go.microsoft.com/fwlink/?linkid=870924
注释:
    Old PO =&gt; POPV260309028</t>
      </text>
    </comment>
    <comment ref="AD253" authorId="30" shapeId="0" xr:uid="{0E99003E-6EA0-4196-B95E-39FCC079F51F}">
      <text>
        <t>[线程批注]
你的Excel版本可读取此线程批注; 但如果在更新版本的Excel中打开文件，则对批注所作的任何改动都将被删除。了解详细信息: https://go.microsoft.com/fwlink/?linkid=870924
注释:
    Old PO =&gt; POPV260309055
答复:
    To replace POPV260417057 for UK Green tech Glasgow
答复:
    POPV260417059</t>
      </text>
    </comment>
    <comment ref="U256" authorId="31" shapeId="0" xr:uid="{1F605B60-9E06-4F36-B911-4FB77B944FE3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revised to 19872pcs on JAN 27 </t>
      </text>
    </comment>
    <comment ref="X259" authorId="32" shapeId="0" xr:uid="{FFFA59FF-EA9B-4659-A08F-694EB5E36AA9}">
      <text>
        <t>[线程批注]
你的Excel版本可读取此线程批注; 但如果在更新版本的Excel中打开文件，则对批注所作的任何改动都将被删除。了解详细信息: https://go.microsoft.com/fwlink/?linkid=870924
注释:
    260228: push 2ctns to W11 due to product mix</t>
      </text>
    </comment>
    <comment ref="X261" authorId="33" shapeId="0" xr:uid="{08E6DDD2-AF09-42F3-AC28-D8D9C8BE6A71}">
      <text>
        <t>[线程批注]
你的Excel版本可读取此线程批注; 但如果在更新版本的Excel中打开文件，则对批注所作的任何改动都将被删除。了解详细信息: https://go.microsoft.com/fwlink/?linkid=870924
注释:
    260228: pull 2ctns to w10 due to product mix</t>
      </text>
    </comment>
    <comment ref="AH269" authorId="34" shapeId="0" xr:uid="{2311DEA5-EDF0-4B02-8C77-1E5110AA144D}">
      <text>
        <t>[线程批注]
你的Excel版本可读取此线程批注; 但如果在更新版本的Excel中打开文件，则对批注所作的任何改动都将被删除。了解详细信息: https://go.microsoft.com/fwlink/?linkid=870924
注释:
    Revised from Arrhus</t>
      </text>
    </comment>
    <comment ref="U273" authorId="35" shapeId="0" xr:uid="{CCF52BA6-1005-4D99-A697-ACF114F5DD8A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revised to 19872pcs on JAN 27 </t>
      </text>
    </comment>
    <comment ref="U274" authorId="36" shapeId="0" xr:uid="{A9F9A8A2-A8F2-4060-8F56-F9961AF22851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revised to 19872pcs on JAN 27 </t>
      </text>
    </comment>
    <comment ref="AD275" authorId="37" shapeId="0" xr:uid="{339113B6-0145-47CF-8261-005B7EAD1BFD}">
      <text>
        <t>[线程批注]
你的Excel版本可读取此线程批注; 但如果在更新版本的Excel中打开文件，则对批注所作的任何改动都将被删除。了解详细信息: https://go.microsoft.com/fwlink/?linkid=870924
注释:
    Old PO =&gt; POPV260309055</t>
      </text>
    </comment>
    <comment ref="AD276" authorId="38" shapeId="0" xr:uid="{CB26A16A-D34A-48EF-8291-2A156F7EB6BA}">
      <text>
        <t>[线程批注]
你的Excel版本可读取此线程批注; 但如果在更新版本的Excel中打开文件，则对批注所作的任何改动都将被删除。了解详细信息: https://go.microsoft.com/fwlink/?linkid=870924
注释:
    Old PO =&gt; POPV260309028
答复:
    Former Ecostal PO : POPV260417055
答复:
    Change of PO back to internal after change B/L rejected (former offshore POPV260427048   )</t>
      </text>
    </comment>
    <comment ref="AD277" authorId="39" shapeId="0" xr:uid="{2D38D64A-440C-44C4-B3B7-8D6B88138BDC}">
      <text>
        <t>[线程批注]
你的Excel版本可读取此线程批注; 但如果在更新版本的Excel中打开文件，则对批注所作的任何改动都将被删除。了解详细信息: https://go.microsoft.com/fwlink/?linkid=870924
注释:
    Old PO =&gt; POPV260309055</t>
      </text>
    </comment>
    <comment ref="U279" authorId="40" shapeId="0" xr:uid="{36BDEA87-B5BC-4233-88BE-195E28ABC317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revised to 19872pcs on JAN 27 </t>
      </text>
    </comment>
    <comment ref="AB281" authorId="41" shapeId="0" xr:uid="{9FE55FAE-1F14-4F42-9042-144EAF135EAE}">
      <text>
        <t>[线程批注]
你的Excel版本可读取此线程批注; 但如果在更新版本的Excel中打开文件，则对批注所作的任何改动都将被删除。了解详细信息: https://go.microsoft.com/fwlink/?linkid=870924
注释:
    Pick-up date on Mar 06 and 07 due to vehicles limited</t>
      </text>
    </comment>
    <comment ref="AB282" authorId="42" shapeId="0" xr:uid="{76B624FA-BE5B-44F0-93AC-D4A3A4E1AA40}">
      <text>
        <t>[线程批注]
你的Excel版本可读取此线程批注; 但如果在更新版本的Excel中打开文件，则对批注所作的任何改动都将被删除。了解详细信息: https://go.microsoft.com/fwlink/?linkid=870924
注释:
    Pick-up date on Mar-13th(14Cts)and Mar-14th(3Cts) due to vehicles limited</t>
      </text>
    </comment>
    <comment ref="AB283" authorId="43" shapeId="0" xr:uid="{C4064AC5-84A9-42D6-9F9C-F3E40A4C1BE3}">
      <text>
        <t>[线程批注]
你的Excel版本可读取此线程批注; 但如果在更新版本的Excel中打开文件，则对批注所作的任何改动都将被删除。了解详细信息: https://go.microsoft.com/fwlink/?linkid=870924
注释:
    Pick-up date on Mar-13th(3Cts)and Mar-14th(14Cts) due to vehicles limited</t>
      </text>
    </comment>
    <comment ref="AD289" authorId="44" shapeId="0" xr:uid="{1C5476AC-BBA3-40FF-AF70-FDFFFFBAA231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Former internal POPV260313032 </t>
      </text>
    </comment>
    <comment ref="AS289" authorId="45" shapeId="0" xr:uid="{606D9738-214F-460D-BB0A-96B369D25DE0}">
      <text>
        <t>[线程批注]
你的Excel版本可读取此线程批注; 但如果在更新版本的Excel中打开文件，则对批注所作的任何改动都将被删除。了解详细信息: https://go.microsoft.com/fwlink/?linkid=870924
注释:
    Split from COSU6446064200</t>
      </text>
    </comment>
    <comment ref="AD290" authorId="46" shapeId="0" xr:uid="{17B2F996-5846-4ECB-B16C-C4D9D6C8A05A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Former internal POPV260313030 </t>
      </text>
    </comment>
    <comment ref="AS290" authorId="47" shapeId="0" xr:uid="{F8C4FE3C-8095-43F9-96F0-17645BE9595E}">
      <text>
        <t>[线程批注]
你的Excel版本可读取此线程批注; 但如果在更新版本的Excel中打开文件，则对批注所作的任何改动都将被删除。了解详细信息: https://go.microsoft.com/fwlink/?linkid=870924
注释:
    Split from COSU6446064200</t>
      </text>
    </comment>
    <comment ref="AB291" authorId="48" shapeId="0" xr:uid="{6A2C7FA6-A834-4062-A9E8-DDBC89B20BCD}">
      <text>
        <t>[线程批注]
你的Excel版本可读取此线程批注; 但如果在更新版本的Excel中打开文件，则对批注所作的任何改动都将被删除。了解详细信息: https://go.microsoft.com/fwlink/?linkid=870924
注释:
    10CTNS PICKED UP ON 3-09 ,1 CTNS PICKED UP ON 3-10</t>
      </text>
    </comment>
    <comment ref="U297" authorId="49" shapeId="0" xr:uid="{C341D4B5-93EB-4468-9761-618DE08C32F4}">
      <text>
        <t>[线程批注]
你的Excel版本可读取此线程批注; 但如果在更新版本的Excel中打开文件，则对批注所作的任何改动都将被删除。了解详细信息: https://go.microsoft.com/fwlink/?linkid=870924
注释:
    not fix yet, will update ASAP, 725+730 total =  20MW
答复:
    26/02/04: fixed, 19008pcs</t>
      </text>
    </comment>
    <comment ref="J298" authorId="50" shapeId="0" xr:uid="{B622161D-16DE-4679-97A8-97C229BBCF52}">
      <text>
        <t>[线程批注]
你的Excel版本可读取此线程批注; 但如果在更新版本的Excel中打开文件，则对批注所作的任何改动都将被删除。了解详细信息: https://go.microsoft.com/fwlink/?linkid=870924
注释:
    to be converted to ROTTERDAM / SPTN if customer not ready</t>
      </text>
    </comment>
    <comment ref="AH298" authorId="51" shapeId="0" xr:uid="{505B8337-1CE7-4E61-9AD3-5F802013A0BC}">
      <text>
        <t>[线程批注]
你的Excel版本可读取此线程批注; 但如果在更新版本的Excel中打开文件，则对批注所作的任何改动都将被删除。了解详细信息: https://go.microsoft.com/fwlink/?linkid=870924
注释:
    Revised from Arrhus</t>
      </text>
    </comment>
    <comment ref="U301" authorId="52" shapeId="0" xr:uid="{74EA3D65-5D55-4FA1-AC1D-08E1BC425D59}">
      <text>
        <t>[线程批注]
你的Excel版本可读取此线程批注; 但如果在更新版本的Excel中打开文件，则对批注所作的任何改动都将被删除。了解详细信息: https://go.microsoft.com/fwlink/?linkid=870924
注释:
    not fix yet, will update ASAP, 725+730 total =  20MW
答复:
    26/02/04: fixed, 19008pcs</t>
      </text>
    </comment>
    <comment ref="AD318" authorId="53" shapeId="0" xr:uid="{AA55B4DC-A9F9-4173-877A-25B01C286D50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Former PO = POPV260313049 </t>
      </text>
    </comment>
    <comment ref="AD319" authorId="54" shapeId="0" xr:uid="{BBCC9F08-2DD2-42E0-9FDD-E150234E1CC2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Former PO = POPV260313049 </t>
      </text>
    </comment>
    <comment ref="AH324" authorId="55" shapeId="0" xr:uid="{96388A79-F70C-43A2-B284-A62A8E7AFC38}">
      <text>
        <t>[线程批注]
你的Excel版本可读取此线程批注; 但如果在更新版本的Excel中打开文件，则对批注所作的任何改动都将被删除。了解详细信息: https://go.microsoft.com/fwlink/?linkid=870924
注释:
    260302: switch from FOS to RTM, same for 26Mar022.03&amp;01</t>
      </text>
    </comment>
    <comment ref="AH325" authorId="56" shapeId="0" xr:uid="{1059B448-55CB-493A-9255-503498E28DBB}">
      <text>
        <t>[线程批注]
你的Excel版本可读取此线程批注; 但如果在更新版本的Excel中打开文件，则对批注所作的任何改动都将被删除。了解详细信息: https://go.microsoft.com/fwlink/?linkid=870924
注释:
    260302: switch from FOS to RTM, same for 26Mar022.03&amp;01</t>
      </text>
    </comment>
    <comment ref="AH326" authorId="57" shapeId="0" xr:uid="{C28DA1D2-C6F9-49F6-BE32-6A975FA4BEC0}">
      <text>
        <t>[线程批注]
你的Excel版本可读取此线程批注; 但如果在更新版本的Excel中打开文件，则对批注所作的任何改动都将被删除。了解详细信息: https://go.microsoft.com/fwlink/?linkid=870924
注释:
    260302: switch from FOS to RTM, same for 26Mar022.03&amp;01</t>
      </text>
    </comment>
    <comment ref="U333" authorId="58" shapeId="0" xr:uid="{C76A4774-8014-49D7-B943-BA564E1C54F1}">
      <text>
        <t>[线程批注]
你的Excel版本可读取此线程批注; 但如果在更新版本的Excel中打开文件，则对批注所作的任何改动都将被删除。了解详细信息: https://go.microsoft.com/fwlink/?linkid=870924
注释:
    not fix yet, will update ASAP, 725+730 total =  20MW
答复:
    26/02/04: fixed, 19008pcs</t>
      </text>
    </comment>
    <comment ref="U334" authorId="59" shapeId="0" xr:uid="{0051B6B1-B802-47B5-91B3-A77BE0CCE0E3}">
      <text>
        <t>[线程批注]
你的Excel版本可读取此线程批注; 但如果在更新版本的Excel中打开文件，则对批注所作的任何改动都将被删除。了解详细信息: https://go.microsoft.com/fwlink/?linkid=870924
注释:
    not fix yet, will update ASAP, 725+730 total =  20MW
答复:
    26/02/04: fixed, 19008pcs</t>
      </text>
    </comment>
    <comment ref="U340" authorId="60" shapeId="0" xr:uid="{DB6D2EC7-D95D-45E7-8BD4-F641D040C92F}">
      <text>
        <t>[线程批注]
你的Excel版本可读取此线程批注; 但如果在更新版本的Excel中打开文件，则对批注所作的任何改动都将被删除。了解详细信息: https://go.microsoft.com/fwlink/?linkid=870924
注释:
    not fix yet, will update ASAP, 725+730 total =  20MW
答复:
    260204: fixed, 8316pcs</t>
      </text>
    </comment>
    <comment ref="AB340" authorId="61" shapeId="0" xr:uid="{46BCF3DE-B7D8-48A4-82FC-2C9F02D60B7A}">
      <text>
        <t>[线程批注]
你的Excel版本可读取此线程批注; 但如果在更新版本的Excel中打开文件，则对批注所作的任何改动都将被删除。了解详细信息: https://go.microsoft.com/fwlink/?linkid=870924
注释:
    5 CTNS PICKED UP ON 3-16 ，6 CTNS PICKED UP ON 3-17</t>
      </text>
    </comment>
    <comment ref="AD347" authorId="62" shapeId="0" xr:uid="{889898BA-F847-4880-8636-DD593CBE3871}">
      <text>
        <t>[线程批注]
你的Excel版本可读取此线程批注; 但如果在更新版本的Excel中打开文件，则对批注所作的任何改动都将被删除。了解详细信息: https://go.microsoft.com/fwlink/?linkid=870924
注释:
    One same new Ark PO for 26 Feb007.04&amp; 26Feb007.06</t>
      </text>
    </comment>
    <comment ref="X349" authorId="63" shapeId="0" xr:uid="{171F79B9-953E-4392-B638-2458074A9C60}">
      <text>
        <t>[线程批注]
你的Excel版本可读取此线程批注; 但如果在更新版本的Excel中打开文件，则对批注所作的任何改动都将被删除。了解详细信息: https://go.microsoft.com/fwlink/?linkid=870924
注释:
    Due to the Customs Inspection , 5 CTNS can't catch the Vessel with ETD 3-22 and have to change to next vessel with ETD 3-29</t>
      </text>
    </comment>
    <comment ref="AD349" authorId="64" shapeId="0" xr:uid="{EC53AB2B-142B-462F-BC33-E9EFAD264D13}">
      <text>
        <t>[线程批注]
你的Excel版本可读取此线程批注; 但如果在更新版本的Excel中打开文件，则对批注所作的任何改动都将被删除。了解详细信息: https://go.microsoft.com/fwlink/?linkid=870924
注释:
    One same new Ark PO for 26 Feb007.04&amp; 26Feb007.06</t>
      </text>
    </comment>
    <comment ref="X357" authorId="65" shapeId="0" xr:uid="{A3B37FBF-055B-492A-82EA-4F720E784173}">
      <text>
        <t>[线程批注]
你的Excel版本可读取此线程批注; 但如果在更新版本的Excel中打开文件，则对批注所作的任何改动都将被删除。了解详细信息: https://go.microsoft.com/fwlink/?linkid=870924
注释:
    per  JB: for 26Mar020/26Mar021, let's do 10 cts. and let 2 pallets in factory for now.
if we group with Soregies, it means we need a full truck to move 2 pallets to Atrin warehouse from port. very expensive.</t>
      </text>
    </comment>
    <comment ref="AB370" authorId="66" shapeId="0" xr:uid="{B96E07FE-EB60-4818-982D-C893CAFC06EF}">
      <text>
        <t>[线程批注]
你的Excel版本可读取此线程批注; 但如果在更新版本的Excel中打开文件，则对批注所作的任何改动都将被删除。了解详细信息: https://go.microsoft.com/fwlink/?linkid=870924
注释:
    4Cts pick up on Mar.17th and 6Cts pick up on Mar.20th</t>
      </text>
    </comment>
    <comment ref="AD375" authorId="67" shapeId="0" xr:uid="{F771A0A2-D88D-436F-A52C-4AE3356EB87D}">
      <text>
        <t>[线程批注]
你的Excel版本可读取此线程批注; 但如果在更新版本的Excel中打开文件，则对批注所作的任何改动都将被删除。了解详细信息: https://go.microsoft.com/fwlink/?linkid=870924
注释:
    cancelled PO POPV260320056</t>
      </text>
    </comment>
    <comment ref="AD376" authorId="68" shapeId="0" xr:uid="{863AEC85-199A-4FB8-86B3-57F8429E853C}">
      <text>
        <t>[线程批注]
你的Excel版本可读取此线程批注; 但如果在更新版本的Excel中打开文件，则对批注所作的任何改动都将被删除。了解详细信息: https://go.microsoft.com/fwlink/?linkid=870924
注释:
    cancelled PO POPV260320056</t>
      </text>
    </comment>
    <comment ref="AD381" authorId="69" shapeId="0" xr:uid="{659E3D89-E310-4DC0-884E-D11E56CE157A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Former internal POPV260330003 </t>
      </text>
    </comment>
    <comment ref="AD382" authorId="70" shapeId="0" xr:uid="{2CAA1D20-B42F-447F-9F4C-CED538056454}">
      <text>
        <t>[线程批注]
你的Excel版本可读取此线程批注; 但如果在更新版本的Excel中打开文件，则对批注所作的任何改动都将被删除。了解详细信息: https://go.microsoft.com/fwlink/?linkid=870924
注释:
    Former internal POPV260330005</t>
      </text>
    </comment>
    <comment ref="AD383" authorId="71" shapeId="0" xr:uid="{21EBBD43-4705-47B6-9636-CC6E2D67D6F8}">
      <text>
        <t>[线程批注]
你的Excel版本可读取此线程批注; 但如果在更新版本的Excel中打开文件，则对批注所作的任何改动都将被删除。了解详细信息: https://go.microsoft.com/fwlink/?linkid=870924
注释:
    Former internal POPV260330005</t>
      </text>
    </comment>
    <comment ref="J386" authorId="72" shapeId="0" xr:uid="{8A1602C0-51F7-4E18-85EF-B90941E8F970}">
      <text>
        <t>[线程批注]
你的Excel版本可读取此线程批注; 但如果在更新版本的Excel中打开文件，则对批注所作的任何改动都将被删除。了解详细信息: https://go.microsoft.com/fwlink/?linkid=870924
注释:
    to be converted to ROTTERDAM / SPTN if customer not ready</t>
      </text>
    </comment>
    <comment ref="AD405" authorId="73" shapeId="0" xr:uid="{50DF9AC4-8117-41FE-8408-5EB079B51CC0}">
      <text>
        <t>[线程批注]
你的Excel版本可读取此线程批注; 但如果在更新版本的Excel中打开文件，则对批注所作的任何改动都将被删除。了解详细信息: https://go.microsoft.com/fwlink/?linkid=870924
注释:
    One plt(33pcs) removed due to damage, PO pending to return one plt to inventory.
答复:
    prev PO# POPV260403007 is cancelled due to incorrect qty</t>
      </text>
    </comment>
    <comment ref="AD417" authorId="74" shapeId="0" xr:uid="{F6D121AC-EE55-4B67-8F00-469D7075886F}">
      <text>
        <t>[线程批注]
你的Excel版本可读取此线程批注; 但如果在更新版本的Excel中打开文件，则对批注所作的任何改动都将被删除。了解详细信息: https://go.microsoft.com/fwlink/?linkid=870924
注释:
    Formal internal POPV260413027</t>
      </text>
    </comment>
    <comment ref="AD418" authorId="75" shapeId="0" xr:uid="{FEA86681-8BAB-4BF4-9F46-E422ACA3C857}">
      <text>
        <t>[线程批注]
你的Excel版本可读取此线程批注; 但如果在更新版本的Excel中打开文件，则对批注所作的任何改动都将被删除。了解详细信息: https://go.microsoft.com/fwlink/?linkid=870924
注释:
    Former internal POPV260413026</t>
      </text>
    </comment>
    <comment ref="J421" authorId="76" shapeId="0" xr:uid="{07AA1C83-5EDE-4E14-82A5-33D70E2CAD7E}">
      <text>
        <t>[线程批注]
你的Excel版本可读取此线程批注; 但如果在更新版本的Excel中打开文件，则对批注所作的任何改动都将被删除。了解详细信息: https://go.microsoft.com/fwlink/?linkid=870924
注释:
    to be shipped to SPES if customer not ready yet</t>
      </text>
    </comment>
    <comment ref="J431" authorId="77" shapeId="0" xr:uid="{E93014E9-7DE3-417F-A52F-FBE67AEFE7C8}">
      <text>
        <t>[线程批注]
你的Excel版本可读取此线程批注; 但如果在更新版本的Excel中打开文件，则对批注所作的任何改动都将被删除。了解详细信息: https://go.microsoft.com/fwlink/?linkid=870924
注释:
    to be converted to ROTTERDAM / SPTN if customer not ready</t>
      </text>
    </comment>
    <comment ref="E432" authorId="78" shapeId="0" xr:uid="{83163990-857D-4776-99C4-3C7ED8A6CCFF}">
      <text>
        <t>[线程批注]
你的Excel版本可读取此线程批注; 但如果在更新版本的Excel中打开文件，则对批注所作的任何改动都将被删除。了解详细信息: https://go.microsoft.com/fwlink/?linkid=870924
注释:
    Pending CT sched update by Ras. Eveyrthing else is clean</t>
      </text>
    </comment>
    <comment ref="AD432" authorId="79" shapeId="0" xr:uid="{937D1C41-B5B3-4E32-A06B-EE9368016990}">
      <text>
        <t>[线程批注]
你的Excel版本可读取此线程批注; 但如果在更新版本的Excel中打开文件，则对批注所作的任何改动都将被删除。了解详细信息: https://go.microsoft.com/fwlink/?linkid=870924
注释:
    old PO# POPV260417009</t>
      </text>
    </comment>
    <comment ref="E433" authorId="80" shapeId="0" xr:uid="{A19D4757-77A3-4C36-A374-E6545CBA692D}">
      <text>
        <t>[线程批注]
你的Excel版本可读取此线程批注; 但如果在更新版本的Excel中打开文件，则对批注所作的任何改动都将被删除。了解详细信息: https://go.microsoft.com/fwlink/?linkid=870924
注释:
    Pending CT sched update by Ras. Eveyrthing else is clean</t>
      </text>
    </comment>
    <comment ref="AD433" authorId="81" shapeId="0" xr:uid="{A74A5758-F570-4EFD-88C4-6CBA73811746}">
      <text>
        <t>[线程批注]
你的Excel版本可读取此线程批注; 但如果在更新版本的Excel中打开文件，则对批注所作的任何改动都将被删除。了解详细信息: https://go.microsoft.com/fwlink/?linkid=870924
注释:
    old PO# POPV260417009</t>
      </text>
    </comment>
    <comment ref="AD434" authorId="82" shapeId="0" xr:uid="{E2242874-087A-44AC-9DD7-1021F7511B06}">
      <text>
        <t>[线程批注]
你的Excel版本可读取此线程批注; 但如果在更新版本的Excel中打开文件，则对批注所作的任何改动都将被删除。了解详细信息: https://go.microsoft.com/fwlink/?linkid=870924
注释:
    old PO# POPV260417010</t>
      </text>
    </comment>
    <comment ref="Y468" authorId="83" shapeId="0" xr:uid="{0AC3C84A-165C-534E-A661-A75BF2601F21}">
      <text>
        <t>[线程批注]
你的Excel版本可读取此线程批注; 但如果在更新版本的Excel中打开文件，则对批注所作的任何改动都将被删除。了解详细信息: https://go.microsoft.com/fwlink/?linkid=870924
注释:
    W18 to RTM, per Arleen</t>
      </text>
    </comment>
    <comment ref="AD468" authorId="84" shapeId="0" xr:uid="{D6559725-E9EE-42A7-91FD-A9D311AD69E1}">
      <text>
        <t>[线程批注]
你的Excel版本可读取此线程批注; 但如果在更新版本的Excel中打开文件，则对批注所作的任何改动都将被删除。了解详细信息: https://go.microsoft.com/fwlink/?linkid=870924
注释:
    prev ref PO POPV260423023</t>
      </text>
    </comment>
    <comment ref="AS468" authorId="85" shapeId="0" xr:uid="{0C636850-FA01-4F7B-9170-60DEFF3E8B80}">
      <text>
        <t>[线程批注]
你的Excel版本可读取此线程批注; 但如果在更新版本的Excel中打开文件，则对批注所作的任何改动都将被删除。了解详细信息: https://go.microsoft.com/fwlink/?linkid=870924
注释:
    the new ml for ecostal</t>
      </text>
    </comment>
    <comment ref="Y469" authorId="86" shapeId="0" xr:uid="{9DB9442D-DD53-4D81-8F4A-B0D9553EB1EC}">
      <text>
        <t>[线程批注]
你的Excel版本可读取此线程批注; 但如果在更新版本的Excel中打开文件，则对批注所作的任何改动都将被删除。了解详细信息: https://go.microsoft.com/fwlink/?linkid=870924
注释:
    W18 to RTM, per Arleen</t>
      </text>
    </comment>
    <comment ref="AD469" authorId="87" shapeId="0" xr:uid="{6419A159-1885-4DB0-9EEE-2CC55CE57982}">
      <text>
        <t>[线程批注]
你的Excel版本可读取此线程批注; 但如果在更新版本的Excel中打开文件，则对批注所作的任何改动都将被删除。了解详细信息: https://go.microsoft.com/fwlink/?linkid=870924
注释:
    prev ref PO POPV260423023</t>
      </text>
    </comment>
    <comment ref="AD488" authorId="88" shapeId="0" xr:uid="{EBB22098-47AA-4693-B626-9C0B6B0BF4C1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Prev PO reference POPV260506018
</t>
      </text>
    </comment>
    <comment ref="AD489" authorId="89" shapeId="0" xr:uid="{DB9B4149-2DC4-4FF6-8D47-D62FC521EFA2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Prev PO reference POPV260506018
</t>
      </text>
    </comment>
    <comment ref="X513" authorId="90" shapeId="0" xr:uid="{0E2980E3-6D10-448A-92B1-E9B8336BE67F}">
      <text>
        <t>[线程批注]
你的Excel版本可读取此线程批注; 但如果在更新版本的Excel中打开文件，则对批注所作的任何改动都将被删除。了解详细信息: https://go.microsoft.com/fwlink/?linkid=870924
注释:
    260514: due to quality problem of 26apr008.04, urgently advance 5ctns from 26may006.13</t>
      </text>
    </comment>
    <comment ref="AB516" authorId="91" shapeId="0" xr:uid="{6279F979-5461-4CFB-B7A3-FAFBA833D371}">
      <text>
        <t>[线程批注]
你的Excel版本可读取此线程批注; 但如果在更新版本的Excel中打开文件，则对批注所作的任何改动都将被删除。了解详细信息: https://go.microsoft.com/fwlink/?linkid=870924
注释:
    4CTS picked on 5-15, 2CTS picked up on 5-16</t>
      </text>
    </comment>
    <comment ref="AB518" authorId="92" shapeId="0" xr:uid="{0475AB4D-020E-4ACD-85D1-BBA74801A009}">
      <text>
        <t>[线程批注]
你的Excel版本可读取此线程批注; 但如果在更新版本的Excel中打开文件，则对批注所作的任何改动都将被删除。了解详细信息: https://go.microsoft.com/fwlink/?linkid=870924
注释:
    3 CTS picked up on 5-14 ,rest 3 CTS picked up on 5-15</t>
      </text>
    </comment>
    <comment ref="AD528" authorId="93" shapeId="0" xr:uid="{6A94D5E9-E153-4E8E-A49C-3FAA5EE83D33}">
      <text>
        <t>[线程批注]
你的Excel版本可读取此线程批注; 但如果在更新版本的Excel中打开文件，则对批注所作的任何改动都将被删除。了解详细信息: https://go.microsoft.com/fwlink/?linkid=870924
注释:
    Prev PO ref POPV260515033</t>
      </text>
    </comment>
    <comment ref="AD529" authorId="94" shapeId="0" xr:uid="{A86CB640-3DCB-4663-82B5-037BB756BBB8}">
      <text>
        <t>[线程批注]
你的Excel版本可读取此线程批注; 但如果在更新版本的Excel中打开文件，则对批注所作的任何改动都将被删除。了解详细信息: https://go.microsoft.com/fwlink/?linkid=870924
注释:
    Prev PO ref POPV260515042</t>
      </text>
    </comment>
    <comment ref="Y538" authorId="95" shapeId="0" xr:uid="{D110106F-23ED-4A19-ABF2-64A0A48A57B7}">
      <text>
        <t>[线程批注]
你的Excel版本可读取此线程批注; 但如果在更新版本的Excel中打开文件，则对批注所作的任何改动都将被删除。了解详细信息: https://go.microsoft.com/fwlink/?linkid=870924
注释:
    It's too late to send the GTG ,only can catch the vessel in W21 I/O W20</t>
      </text>
    </comment>
    <comment ref="AB544" authorId="96" shapeId="0" xr:uid="{07BE5705-43A4-4252-B5FD-2FE9E98568E5}">
      <text>
        <t>[线程批注]
你的Excel版本可读取此线程批注; 但如果在更新版本的Excel中打开文件，则对批注所作的任何改动都将被删除。了解详细信息: https://go.microsoft.com/fwlink/?linkid=870924
注释:
    6 CTS picked on 5-26 ,rest 9 CTS picked up on 5-27</t>
      </text>
    </comment>
    <comment ref="AB545" authorId="97" shapeId="0" xr:uid="{5F9153D9-9A37-4FBE-BEDC-58DBAD59FF99}">
      <text>
        <t>[线程批注]
你的Excel版本可读取此线程批注; 但如果在更新版本的Excel中打开文件，则对批注所作的任何改动都将被删除。了解详细信息: https://go.microsoft.com/fwlink/?linkid=870924
注释:
    5 CTS picked on 5-22 ,rest 1 CTS picked on 5-23</t>
      </text>
    </comment>
    <comment ref="AD551" authorId="98" shapeId="0" xr:uid="{BD9F1C97-D047-43CA-ADEB-5F043B063EAA}">
      <text>
        <t>[线程批注]
你的Excel版本可读取此线程批注; 但如果在更新版本的Excel中打开文件，则对批注所作的任何改动都将被删除。了解详细信息: https://go.microsoft.com/fwlink/?linkid=870924
注释:
    Former ref POPV260522034</t>
      </text>
    </comment>
    <comment ref="AD552" authorId="99" shapeId="0" xr:uid="{7F591306-DE66-424D-AA28-6BD5B59006F5}">
      <text>
        <t>[线程批注]
你的Excel版本可读取此线程批注; 但如果在更新版本的Excel中打开文件，则对批注所作的任何改动都将被删除。了解详细信息: https://go.microsoft.com/fwlink/?linkid=870924
注释:
    former ref POPV260522024</t>
      </text>
    </comment>
    <comment ref="AD553" authorId="100" shapeId="0" xr:uid="{799F4BA4-2475-49D7-BAC1-3A90C451AA65}">
      <text>
        <t>[线程批注]
你的Excel版本可读取此线程批注; 但如果在更新版本的Excel中打开文件，则对批注所作的任何改动都将被删除。了解详细信息: https://go.microsoft.com/fwlink/?linkid=870924
注释:
    former ref POPV260522020</t>
      </text>
    </comment>
    <comment ref="AB564" authorId="101" shapeId="0" xr:uid="{C23D567F-0FAD-4103-AFFB-3F87600C6A50}">
      <text>
        <t>[线程批注]
你的Excel版本可读取此线程批注; 但如果在更新版本的Excel中打开文件，则对批注所作的任何改动都将被删除。了解详细信息: https://go.microsoft.com/fwlink/?linkid=870924
注释:
    5 CTS picked up on 5-30 ,rest 1 picked up on 6-01</t>
      </text>
    </comment>
    <comment ref="AB565" authorId="102" shapeId="0" xr:uid="{6EAD6EE4-763E-470B-92BC-BDE2F4002660}">
      <text>
        <t>[线程批注]
你的Excel版本可读取此线程批注; 但如果在更新版本的Excel中打开文件，则对批注所作的任何改动都将被删除。了解详细信息: https://go.microsoft.com/fwlink/?linkid=870924
注释:
    2 CTS picked up on 5-30 ,rest 1 CTS picked up on 6-01</t>
      </text>
    </comment>
    <comment ref="AB569" authorId="103" shapeId="0" xr:uid="{6F57AE03-3103-443E-90FF-BD1FFE6F191B}">
      <text>
        <t>[线程批注]
你的Excel版本可读取此线程批注; 但如果在更新版本的Excel中打开文件，则对批注所作的任何改动都将被删除。了解详细信息: https://go.microsoft.com/fwlink/?linkid=870924
注释:
    7 CTS picked up on 5-29 , 1 CTS picked up on 5-30, rest 1 CTS picked up on 6-01</t>
      </text>
    </comment>
    <comment ref="AB571" authorId="104" shapeId="0" xr:uid="{289F240D-C461-4406-881B-F72857780383}">
      <text>
        <t>[线程批注]
你的Excel版本可读取此线程批注; 但如果在更新版本的Excel中打开文件，则对批注所作的任何改动都将被删除。了解详细信息: https://go.microsoft.com/fwlink/?linkid=870924
注释:
    2 CTS picked up on 5-29 ,rest 1 CTS picked on 6-01</t>
      </text>
    </comment>
    <comment ref="Y588" authorId="105" shapeId="0" xr:uid="{58607493-DC63-4601-9663-AB065D7B24C2}">
      <text>
        <t>[线程批注]
你的Excel版本可读取此线程批注; 但如果在更新版本的Excel中打开文件，则对批注所作的任何改动都将被删除。了解详细信息: https://go.microsoft.com/fwlink/?linkid=870924
注释:
    Due to space limited,cargoes have to be delayed to pick up from W22 to W23</t>
      </text>
    </comment>
    <comment ref="AD591" authorId="106" shapeId="0" xr:uid="{566D2561-A905-4472-8561-9D0AAF238781}">
      <text>
        <t>[线程批注]
你的Excel版本可读取此线程批注; 但如果在更新版本的Excel中打开文件，则对批注所作的任何改动都将被删除。了解详细信息: https://go.microsoft.com/fwlink/?linkid=870924
注释:
    former PO# POPV260608035</t>
      </text>
    </comment>
    <comment ref="Y592" authorId="107" shapeId="0" xr:uid="{56675E2E-9AE1-4CED-8633-90F89E5A36B0}">
      <text>
        <t>[线程批注]
你的Excel版本可读取此线程批注; 但如果在更新版本的Excel中打开文件，则对批注所作的任何改动都将被删除。了解详细信息: https://go.microsoft.com/fwlink/?linkid=870924
注释:
    Due to space limited,cargoes have to be delayed to pick up from W22 to W23</t>
      </text>
    </comment>
    <comment ref="Y593" authorId="108" shapeId="0" xr:uid="{5EF6F9AA-66C0-4AB0-A898-45868B435BD0}">
      <text>
        <t>[线程批注]
你的Excel版本可读取此线程批注; 但如果在更新版本的Excel中打开文件，则对批注所作的任何改动都将被删除。了解详细信息: https://go.microsoft.com/fwlink/?linkid=870924
注释:
    per Arleen, advance to W23 PICKUP
答复:
    Initial pick-up = w25</t>
      </text>
    </comment>
    <comment ref="Y594" authorId="109" shapeId="0" xr:uid="{CC2B3F60-2496-45C4-B011-8D3E70709B9A}">
      <text>
        <t>[线程批注]
你的Excel版本可读取此线程批注; 但如果在更新版本的Excel中打开文件，则对批注所作的任何改动都将被删除。了解详细信息: https://go.microsoft.com/fwlink/?linkid=870924
注释:
    per Arleen, advance to W23 PICKUP
答复:
    Initial pick-up = w25</t>
      </text>
    </comment>
    <comment ref="Y595" authorId="110" shapeId="0" xr:uid="{BE9103B2-9DAC-4815-A433-E4B1881B9832}">
      <text>
        <t>[线程批注]
你的Excel版本可读取此线程批注; 但如果在更新版本的Excel中打开文件，则对批注所作的任何改动都将被删除。了解详细信息: https://go.microsoft.com/fwlink/?linkid=870924
注释:
    Per Arleen, advance to W23 pickup 
答复:
    Initial pick-up = w25</t>
      </text>
    </comment>
    <comment ref="AD595" authorId="111" shapeId="0" xr:uid="{2A8D7610-4EE4-4D40-8159-EE028E83033D}">
      <text>
        <t>[线程批注]
你的Excel版本可读取此线程批注; 但如果在更新版本的Excel中打开文件，则对批注所作的任何改动都将被删除。了解详细信息: https://go.microsoft.com/fwlink/?linkid=870924
注释:
    Former ref POPV260608056
答复:
    Former ref POPV260624018</t>
      </text>
    </comment>
    <comment ref="Y612" authorId="112" shapeId="0" xr:uid="{7B31F6BE-599F-4689-9134-A1A23520B5C4}">
      <text>
        <t>[线程批注]
你的Excel版本可读取此线程批注; 但如果在更新版本的Excel中打开文件，则对批注所作的任何改动都将被删除。了解详细信息: https://go.microsoft.com/fwlink/?linkid=870924
注释:
    Due to space limited,cargoes have to be delayed to pick up from W22 to W24</t>
      </text>
    </comment>
    <comment ref="Y619" authorId="113" shapeId="0" xr:uid="{B3F11523-90C2-41F3-BF88-C65360D4A6EB}">
      <text>
        <t>[线程批注]
你的Excel版本可读取此线程批注; 但如果在更新版本的Excel中打开文件，则对批注所作的任何改动都将被删除。了解详细信息: https://go.microsoft.com/fwlink/?linkid=870924
注释:
    original W21 from TJ; Now: W24</t>
      </text>
    </comment>
    <comment ref="AD619" authorId="114" shapeId="0" xr:uid="{347AF52B-4ED6-4A2D-9C4D-E71CCB19583C}">
      <text>
        <t>[线程批注]
你的Excel版本可读取此线程批注; 但如果在更新版本的Excel中打开文件，则对批注所作的任何改动都将被删除。了解详细信息: https://go.microsoft.com/fwlink/?linkid=870924
注释:
    former PO# POPV260615008</t>
      </text>
    </comment>
    <comment ref="Y620" authorId="115" shapeId="0" xr:uid="{15C0B293-B598-44A2-AC3E-C11114319652}">
      <text>
        <t>[线程批注]
你的Excel版本可读取此线程批注; 但如果在更新版本的Excel中打开文件，则对批注所作的任何改动都将被删除。了解详细信息: https://go.microsoft.com/fwlink/?linkid=870924
注释:
    original W21 from TJ; Now: W24</t>
      </text>
    </comment>
    <comment ref="AD620" authorId="116" shapeId="0" xr:uid="{A7E7FA9A-8F90-4AC8-96AC-67063450E675}">
      <text>
        <t>[线程批注]
你的Excel版本可读取此线程批注; 但如果在更新版本的Excel中打开文件，则对批注所作的任何改动都将被删除。了解详细信息: https://go.microsoft.com/fwlink/?linkid=870924
注释:
    former PO# POPV260615008</t>
      </text>
    </comment>
    <comment ref="Y621" authorId="117" shapeId="0" xr:uid="{0C99872C-B238-4B89-9DEC-8F135D69BFC7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original W22 from TJ; Now: W24 </t>
      </text>
    </comment>
    <comment ref="AB621" authorId="118" shapeId="0" xr:uid="{52B3A2CF-4FCB-49DE-842E-7F7D17A3241E}">
      <text>
        <t>[线程批注]
你的Excel版本可读取此线程批注; 但如果在更新版本的Excel中打开文件，则对批注所作的任何改动都将被删除。了解详细信息: https://go.microsoft.com/fwlink/?linkid=870924
注释:
    3 CTS picked up on 6-12 ,rest 1 CTS picked up on 6-13</t>
      </text>
    </comment>
    <comment ref="Y627" authorId="119" shapeId="0" xr:uid="{2D15824A-D61F-4D9E-A095-BD134F553AAA}">
      <text>
        <t>[线程批注]
你的Excel版本可读取此线程批注; 但如果在更新版本的Excel中打开文件，则对批注所作的任何改动都将被删除。了解详细信息: https://go.microsoft.com/fwlink/?linkid=870924
注释:
    original W21 from TJ; Now: W24</t>
      </text>
    </comment>
    <comment ref="AQ628" authorId="120" shapeId="0" xr:uid="{5E7646A3-6F00-446C-A576-6D43898EDA27}">
      <text>
        <t>[线程批注]
你的Excel版本可读取此线程批注; 但如果在更新版本的Excel中打开文件，则对批注所作的任何改动都将被删除。了解详细信息: https://go.microsoft.com/fwlink/?linkid=870924
注释:
    FAK</t>
      </text>
    </comment>
    <comment ref="AD632" authorId="121" shapeId="0" xr:uid="{62F786C8-BF8D-43D5-9249-92CE1AF6C286}">
      <text>
        <t>[线程批注]
你的Excel版本可读取此线程批注; 但如果在更新版本的Excel中打开文件，则对批注所作的任何改动都将被删除。了解详细信息: https://go.microsoft.com/fwlink/?linkid=870924
注释:
    former PO# POPV260618036</t>
      </text>
    </comment>
    <comment ref="AD633" authorId="122" shapeId="0" xr:uid="{EA1535E2-26DA-4B0D-873E-50A7924DBDAF}">
      <text>
        <t>[线程批注]
你的Excel版本可读取此线程批注; 但如果在更新版本的Excel中打开文件，则对批注所作的任何改动都将被删除。了解详细信息: https://go.microsoft.com/fwlink/?linkid=870924
注释:
    former PO# POPV260615021</t>
      </text>
    </comment>
    <comment ref="AD634" authorId="123" shapeId="0" xr:uid="{22C6F478-0C9E-424E-BEC5-EAE9A11FC2C9}">
      <text>
        <t>[线程批注]
你的Excel版本可读取此线程批注; 但如果在更新版本的Excel中打开文件，则对批注所作的任何改动都将被删除。了解详细信息: https://go.microsoft.com/fwlink/?linkid=870924
注释:
    PO# bewteen PVHK and OM2</t>
      </text>
    </comment>
    <comment ref="Y651" authorId="124" shapeId="0" xr:uid="{70B1567C-D9EB-4084-AD9F-684D0C5D0394}">
      <text>
        <t>[线程批注]
你的Excel版本可读取此线程批注; 但如果在更新版本的Excel中打开文件，则对批注所作的任何改动都将被删除。了解详细信息: https://go.microsoft.com/fwlink/?linkid=870924
注释:
    original W26</t>
      </text>
    </comment>
    <comment ref="AB665" authorId="125" shapeId="0" xr:uid="{D87202A2-F1CE-4884-8466-EDE50C826C8E}">
      <text>
        <t>[线程批注]
你的Excel版本可读取此线程批注; 但如果在更新版本的Excel中打开文件，则对批注所作的任何改动都将被删除。了解详细信息: https://go.microsoft.com/fwlink/?linkid=870924
注释:
    6 CTS picked up on 6-26 ,rest 4 CTS picked up on 6-27</t>
      </text>
    </comment>
    <comment ref="Y675" authorId="126" shapeId="0" xr:uid="{45469BB9-0058-46BD-9361-669C35B5009D}">
      <text>
        <t>[线程批注]
你的Excel版本可读取此线程批注; 但如果在更新版本的Excel中打开文件，则对批注所作的任何改动都将被删除。了解详细信息: https://go.microsoft.com/fwlink/?linkid=870924
注释:
    original W27</t>
      </text>
    </comment>
    <comment ref="Y697" authorId="127" shapeId="0" xr:uid="{7E9DF945-73EA-41E5-95E2-1E78A00EEED0}">
      <text>
        <t>[线程批注]
你的Excel版本可读取此线程批注; 但如果在更新版本的Excel中打开文件，则对批注所作的任何改动都将被删除。了解详细信息: https://go.microsoft.com/fwlink/?linkid=870924
注释:
    original w25 pickup</t>
      </text>
    </comment>
    <comment ref="AB699" authorId="128" shapeId="0" xr:uid="{CD871797-A54B-4753-BBF7-E48DE6CC5E39}">
      <text>
        <t>[线程批注]
你的Excel版本可读取此线程批注; 但如果在更新版本的Excel中打开文件，则对批注所作的任何改动都将被删除。了解详细信息: https://go.microsoft.com/fwlink/?linkid=870924
注释:
    2 CTS picked up on 7-07 and the rest of 2CTS picked up on 7-08</t>
      </text>
    </comment>
    <comment ref="Y702" authorId="129" shapeId="0" xr:uid="{01287C6F-7156-42BA-92EA-92C35B4579B3}">
      <text>
        <t>[线程批注]
你的Excel版本可读取此线程批注; 但如果在更新版本的Excel中打开文件，则对批注所作的任何改动都将被删除。了解详细信息: https://go.microsoft.com/fwlink/?linkid=870924
注释:
    W26 ORIGNALLY</t>
      </text>
    </comment>
    <comment ref="AD705" authorId="130" shapeId="0" xr:uid="{B6C80006-0C22-46D0-9D78-8FA445D71C88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old PO ref POPV260710043 </t>
      </text>
    </comment>
    <comment ref="P706" authorId="131" shapeId="0" xr:uid="{7CC6AAD8-6867-4798-AEC9-8D8D858CB452}">
      <text>
        <t>[线程批注]
你的Excel版本可读取此线程批注; 但如果在更新版本的Excel中打开文件，则对批注所作的任何改动都将被删除。了解详细信息: https://go.microsoft.com/fwlink/?linkid=870924
注释:
    EVO2</t>
      </text>
    </comment>
    <comment ref="U712" authorId="132" shapeId="0" xr:uid="{E967FF0A-A12F-4EBA-B47A-86B1CF5C4D9F}">
      <text>
        <t>[线程批注]
你的Excel版本可读取此线程批注; 但如果在更新版本的Excel中打开文件，则对批注所作的任何改动都将被删除。了解详细信息: https://go.microsoft.com/fwlink/?linkid=870924
注释:
    Real pickup belong to July PO, and cost should be JULY cost.</t>
      </text>
    </comment>
    <comment ref="Y713" authorId="133" shapeId="0" xr:uid="{886F67DF-729E-465C-B500-579092563DDD}">
      <text>
        <t>[线程批注]
你的Excel版本可读取此线程批注; 但如果在更新版本的Excel中打开文件，则对批注所作的任何改动都将被删除。了解详细信息: https://go.microsoft.com/fwlink/?linkid=870924
注释:
    W27</t>
      </text>
    </comment>
    <comment ref="AB713" authorId="134" shapeId="0" xr:uid="{B7366518-121F-4E75-82B1-FB7A5A6496B1}">
      <text>
        <t>[线程批注]
你的Excel版本可读取此线程批注; 但如果在更新版本的Excel中打开文件，则对批注所作的任何改动都将被删除。了解详细信息: https://go.microsoft.com/fwlink/?linkid=870924
注释:
    3 CTS picked up on 7-14, 4 CTS picked up on 7-15 , 4 CTS picked up on 7-18</t>
      </text>
    </comment>
    <comment ref="Y720" authorId="135" shapeId="0" xr:uid="{EC40EDD0-BCFD-40D8-97B9-B5FBB0CB8936}">
      <text>
        <t>[线程批注]
你的Excel版本可读取此线程批注; 但如果在更新版本的Excel中打开文件，则对批注所作的任何改动都将被删除。了解详细信息: https://go.microsoft.com/fwlink/?linkid=870924
注释:
    W27</t>
      </text>
    </comment>
    <comment ref="Y724" authorId="136" shapeId="0" xr:uid="{E8BDE6BE-B002-4C48-8D19-72656AE678CE}">
      <text>
        <t>[线程批注]
你的Excel版本可读取此线程批注; 但如果在更新版本的Excel中打开文件，则对批注所作的任何改动都将被删除。了解详细信息: https://go.microsoft.com/fwlink/?linkid=870924
注释:
    W27</t>
      </text>
    </comment>
    <comment ref="Y725" authorId="137" shapeId="0" xr:uid="{252652EE-5A7E-40A9-8D5E-A1E60DDDF4A8}">
      <text>
        <t>[线程批注]
你的Excel版本可读取此线程批注; 但如果在更新版本的Excel中打开文件，则对批注所作的任何改动都将被删除。了解详细信息: https://go.microsoft.com/fwlink/?linkid=870924
注释:
    W27</t>
      </text>
    </comment>
    <comment ref="Y729" authorId="138" shapeId="0" xr:uid="{F243B541-2381-401E-8A37-E90B37A27A3D}">
      <text>
        <t>[线程批注]
你的Excel版本可读取此线程批注; 但如果在更新版本的Excel中打开文件，则对批注所作的任何改动都将被删除。了解详细信息: https://go.microsoft.com/fwlink/?linkid=870924
注释:
    W26 ORIGNALLY</t>
      </text>
    </comment>
    <comment ref="Y731" authorId="139" shapeId="0" xr:uid="{F3140EDD-E2A6-4D2E-9F09-98B189E5F2B5}">
      <text>
        <t>[线程批注]
你的Excel版本可读取此线程批注; 但如果在更新版本的Excel中打开文件，则对批注所作的任何改动都将被删除。了解详细信息: https://go.microsoft.com/fwlink/?linkid=870924
注释:
    W26 ORIGNALLY</t>
      </text>
    </comment>
    <comment ref="Y732" authorId="140" shapeId="0" xr:uid="{B0D4D9CE-36D8-4238-8439-BA9491D08F3B}">
      <text>
        <t>[线程批注]
你的Excel版本可读取此线程批注; 但如果在更新版本的Excel中打开文件，则对批注所作的任何改动都将被删除。了解详细信息: https://go.microsoft.com/fwlink/?linkid=870924
注释:
    W26 ORIGNALLY</t>
      </text>
    </comment>
    <comment ref="Y733" authorId="141" shapeId="0" xr:uid="{CA5E77A7-5093-4D8C-BB1F-BD6503E24984}">
      <text>
        <t>[线程批注]
你的Excel版本可读取此线程批注; 但如果在更新版本的Excel中打开文件，则对批注所作的任何改动都将被删除。了解详细信息: https://go.microsoft.com/fwlink/?linkid=870924
注释:
    W26 ORIGNALLY</t>
      </text>
    </comment>
    <comment ref="Y734" authorId="142" shapeId="0" xr:uid="{4246E040-7DDA-4050-A36C-A8D0357D1693}">
      <text>
        <t>[线程批注]
你的Excel版本可读取此线程批注; 但如果在更新版本的Excel中打开文件，则对批注所作的任何改动都将被删除。了解详细信息: https://go.microsoft.com/fwlink/?linkid=870924
注释:
    W26 ORIGNALLY</t>
      </text>
    </comment>
    <comment ref="Y735" authorId="143" shapeId="0" xr:uid="{10CBF3FE-DA33-4823-8FF8-C9E55A6B9C33}">
      <text>
        <t>[线程批注]
你的Excel版本可读取此线程批注; 但如果在更新版本的Excel中打开文件，则对批注所作的任何改动都将被删除。了解详细信息: https://go.microsoft.com/fwlink/?linkid=870924
注释:
    W26 ORIGNALLY</t>
      </text>
    </comment>
    <comment ref="P739" authorId="144" shapeId="0" xr:uid="{F475AD29-46CC-4C18-A780-C2FC1633F3C9}">
      <text>
        <t>[线程批注]
你的Excel版本可读取此线程批注; 但如果在更新版本的Excel中打开文件，则对批注所作的任何改动都将被删除。了解详细信息: https://go.microsoft.com/fwlink/?linkid=870924
注释:
    H4</t>
      </text>
    </comment>
    <comment ref="Y740" authorId="145" shapeId="0" xr:uid="{BD9C1B54-9D38-4F00-8DCA-99C60474387D}">
      <text>
        <t>[线程批注]
你的Excel版本可读取此线程批注; 但如果在更新版本的Excel中打开文件，则对批注所作的任何改动都将被删除。了解详细信息: https://go.microsoft.com/fwlink/?linkid=870924
注释:
    W28</t>
      </text>
    </comment>
    <comment ref="Y743" authorId="146" shapeId="0" xr:uid="{39940D1C-618A-49A9-BC6F-1494E069DDC9}">
      <text>
        <t>[线程批注]
你的Excel版本可读取此线程批注; 但如果在更新版本的Excel中打开文件，则对批注所作的任何改动都将被删除。了解详细信息: https://go.microsoft.com/fwlink/?linkid=870924
注释:
    W27</t>
      </text>
    </comment>
    <comment ref="Y748" authorId="147" shapeId="0" xr:uid="{D954A9F7-36C1-4B23-B881-BF011394C24F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W26
</t>
      </text>
    </comment>
    <comment ref="Y752" authorId="148" shapeId="0" xr:uid="{DA3082FA-7C0F-49D3-B958-4FF78049B868}">
      <text>
        <r>
          <rPr>
            <sz val="10"/>
            <color theme="1"/>
            <rFont val="Lexend Deca"/>
            <charset val="134"/>
          </rPr>
          <t xml:space="preserve">Nan 邵楠:
W26
</t>
        </r>
      </text>
    </comment>
    <comment ref="Y756" authorId="149" shapeId="0" xr:uid="{180E1354-F745-4043-85B8-18D4740E36D3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W28
</t>
      </text>
    </comment>
    <comment ref="Y757" authorId="150" shapeId="0" xr:uid="{6F75C3DC-5861-485D-AD19-1F7C84AEB425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W28
</t>
      </text>
    </comment>
    <comment ref="Y758" authorId="151" shapeId="0" xr:uid="{E8733EC3-FE82-4C71-B7DB-A67B1B58F5B8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W26 </t>
      </text>
    </comment>
    <comment ref="P761" authorId="152" shapeId="0" xr:uid="{4370543C-1636-4BFC-A4B9-2AA7A1A13A4A}">
      <text>
        <t>[线程批注]
你的Excel版本可读取此线程批注; 但如果在更新版本的Excel中打开文件，则对批注所作的任何改动都将被删除。了解详细信息: https://go.microsoft.com/fwlink/?linkid=870924
注释:
    H4</t>
      </text>
    </comment>
    <comment ref="Y761" authorId="153" shapeId="0" xr:uid="{C04CB671-B2EC-4BE8-93DF-DEF586C59428}">
      <text>
        <t>[线程批注]
你的Excel版本可读取此线程批注; 但如果在更新版本的Excel中打开文件，则对批注所作的任何改动都将被删除。了解详细信息: https://go.microsoft.com/fwlink/?linkid=870924
注释:
    W29</t>
      </text>
    </comment>
    <comment ref="Q777" authorId="154" shapeId="0" xr:uid="{D0276A96-0C50-4462-B415-A547F0286FD5}">
      <text>
        <t>[线程批注]
你的Excel版本可读取此线程批注; 但如果在更新版本的Excel中打开文件，则对批注所作的任何改动都将被删除。了解详细信息: https://go.microsoft.com/fwlink/?linkid=870924
注释:
    8月开</t>
      </text>
    </comment>
    <comment ref="Y777" authorId="155" shapeId="0" xr:uid="{10BE8DBE-A3E6-42C5-AC97-3D0A510AB816}">
      <text>
        <t>[线程批注]
你的Excel版本可读取此线程批注; 但如果在更新版本的Excel中打开文件，则对批注所作的任何改动都将被删除。了解详细信息: https://go.microsoft.com/fwlink/?linkid=870924
注释:
    W29</t>
      </text>
    </comment>
    <comment ref="P779" authorId="156" shapeId="0" xr:uid="{900DA888-13B5-492C-8522-16FFDFE21E7E}">
      <text>
        <t>[线程批注]
你的Excel版本可读取此线程批注; 但如果在更新版本的Excel中打开文件，则对批注所作的任何改动都将被删除。了解详细信息: https://go.microsoft.com/fwlink/?linkid=870924
注释:
    H4</t>
      </text>
    </comment>
    <comment ref="Y785" authorId="157" shapeId="0" xr:uid="{E2656D34-27DE-4636-A4D2-A7852C19D0EE}">
      <text>
        <t>[线程批注]
你的Excel版本可读取此线程批注; 但如果在更新版本的Excel中打开文件，则对批注所作的任何改动都将被删除。了解详细信息: https://go.microsoft.com/fwlink/?linkid=870924
注释:
    W27</t>
      </text>
    </comment>
    <comment ref="Y786" authorId="158" shapeId="0" xr:uid="{4E9F1405-C511-4485-A74D-F2E4635A18D0}">
      <text>
        <t>[线程批注]
你的Excel版本可读取此线程批注; 但如果在更新版本的Excel中打开文件，则对批注所作的任何改动都将被删除。了解详细信息: https://go.microsoft.com/fwlink/?linkid=870924
注释:
    W27</t>
      </text>
    </comment>
    <comment ref="Y787" authorId="159" shapeId="0" xr:uid="{BDF8E3BA-00AA-4596-A68B-EAC8DAD8271B}">
      <text>
        <t>[线程批注]
你的Excel版本可读取此线程批注; 但如果在更新版本的Excel中打开文件，则对批注所作的任何改动都将被删除。了解详细信息: https://go.microsoft.com/fwlink/?linkid=870924
注释:
    W27</t>
      </text>
    </comment>
    <comment ref="AB789" authorId="160" shapeId="0" xr:uid="{B405EFCB-773D-447E-BD7E-9A5876F081F4}">
      <text>
        <t>[线程批注]
你的Excel版本可读取此线程批注; 但如果在更新版本的Excel中打开文件，则对批注所作的任何改动都将被删除。了解详细信息: https://go.microsoft.com/fwlink/?linkid=870924
注释:
    1 CTS picked up on 7-29 ,rest 2 CTS picked up on 7-30</t>
      </text>
    </comment>
    <comment ref="Y794" authorId="161" shapeId="0" xr:uid="{0E29E79C-3231-4E2C-A8BC-974275C5E309}">
      <text>
        <t>[线程批注]
你的Excel版本可读取此线程批注; 但如果在更新版本的Excel中打开文件，则对批注所作的任何改动都将被删除。了解详细信息: https://go.microsoft.com/fwlink/?linkid=870924
注释:
    W27</t>
      </text>
    </comment>
    <comment ref="Y795" authorId="162" shapeId="0" xr:uid="{FA143B87-DAA5-487A-8706-A80183F36A88}">
      <text>
        <t>[线程批注]
你的Excel版本可读取此线程批注; 但如果在更新版本的Excel中打开文件，则对批注所作的任何改动都将被删除。了解详细信息: https://go.microsoft.com/fwlink/?linkid=870924
注释:
    W27</t>
      </text>
    </comment>
    <comment ref="Y797" authorId="163" shapeId="0" xr:uid="{76C24F9E-BF87-4FDC-BE36-E1097A35BF08}">
      <text>
        <t>[线程批注]
你的Excel版本可读取此线程批注; 但如果在更新版本的Excel中打开文件，则对批注所作的任何改动都将被删除。了解详细信息: https://go.microsoft.com/fwlink/?linkid=870924
注释:
    W27</t>
      </text>
    </comment>
    <comment ref="Y799" authorId="164" shapeId="0" xr:uid="{A3C55F6A-8A63-4712-9033-6E2967192A82}">
      <text>
        <t>[线程批注]
你的Excel版本可读取此线程批注; 但如果在更新版本的Excel中打开文件，则对批注所作的任何改动都将被删除。了解详细信息: https://go.microsoft.com/fwlink/?linkid=870924
注释:
    W28</t>
      </text>
    </comment>
    <comment ref="Y803" authorId="165" shapeId="0" xr:uid="{DACCB773-2C58-4622-B291-8234BA82EE93}">
      <text>
        <t>[线程批注]
你的Excel版本可读取此线程批注; 但如果在更新版本的Excel中打开文件，则对批注所作的任何改动都将被删除。了解详细信息: https://go.microsoft.com/fwlink/?linkid=870924
注释:
    W29</t>
      </text>
    </comment>
    <comment ref="Y809" authorId="166" shapeId="0" xr:uid="{77C7B8E9-C75A-45C1-BB0E-B201A25949A0}">
      <text>
        <t>[线程批注]
你的Excel版本可读取此线程批注; 但如果在更新版本的Excel中打开文件，则对批注所作的任何改动都将被删除。了解详细信息: https://go.microsoft.com/fwlink/?linkid=870924
注释:
    W29</t>
      </text>
    </comment>
    <comment ref="P816" authorId="167" shapeId="0" xr:uid="{7042D4BC-10EE-400E-9F1A-6FB707EF2FFA}">
      <text>
        <t>[线程批注]
你的Excel版本可读取此线程批注; 但如果在更新版本的Excel中打开文件，则对批注所作的任何改动都将被删除。了解详细信息: https://go.microsoft.com/fwlink/?linkid=870924
注释:
    H4</t>
      </text>
    </comment>
    <comment ref="P818" authorId="168" shapeId="0" xr:uid="{44A198BF-1B98-44DA-B57C-8D8A06167679}">
      <text>
        <t>[线程批注]
你的Excel版本可读取此线程批注; 但如果在更新版本的Excel中打开文件，则对批注所作的任何改动都将被删除。了解详细信息: https://go.microsoft.com/fwlink/?linkid=870924
注释:
    H4</t>
      </text>
    </comment>
    <comment ref="Y820" authorId="169" shapeId="0" xr:uid="{C41D3E8C-5130-4381-A186-7CD17C2A0417}">
      <text>
        <t>[线程批注]
你的Excel版本可读取此线程批注; 但如果在更新版本的Excel中打开文件，则对批注所作的任何改动都将被删除。了解详细信息: https://go.microsoft.com/fwlink/?linkid=870924
注释:
    W27</t>
      </text>
    </comment>
    <comment ref="P821" authorId="170" shapeId="0" xr:uid="{5A70A78D-3FD1-4737-BA34-B514E93D2AAC}">
      <text>
        <t>[线程批注]
你的Excel版本可读取此线程批注; 但如果在更新版本的Excel中打开文件，则对批注所作的任何改动都将被删除。了解详细信息: https://go.microsoft.com/fwlink/?linkid=870924
注释:
    H4</t>
      </text>
    </comment>
    <comment ref="P822" authorId="171" shapeId="0" xr:uid="{F3089D3D-055A-4EA1-83B3-66D92502BBFF}">
      <text>
        <t>[线程批注]
你的Excel版本可读取此线程批注; 但如果在更新版本的Excel中打开文件，则对批注所作的任何改动都将被删除。了解详细信息: https://go.microsoft.com/fwlink/?linkid=870924
注释:
    H4</t>
      </text>
    </comment>
    <comment ref="Y822" authorId="172" shapeId="0" xr:uid="{6F024E22-7BB9-43D0-8B5F-268A7945292E}">
      <text>
        <t>[线程批注]
你的Excel版本可读取此线程批注; 但如果在更新版本的Excel中打开文件，则对批注所作的任何改动都将被删除。了解详细信息: https://go.microsoft.com/fwlink/?linkid=870924
注释:
    W29</t>
      </text>
    </comment>
    <comment ref="Y826" authorId="173" shapeId="0" xr:uid="{10A5766D-2DB9-44A2-A881-DE42F23E209D}">
      <text>
        <t>[线程批注]
你的Excel版本可读取此线程批注; 但如果在更新版本的Excel中打开文件，则对批注所作的任何改动都将被删除。了解详细信息: https://go.microsoft.com/fwlink/?linkid=870924
注释:
    W27</t>
      </text>
    </comment>
    <comment ref="Y833" authorId="174" shapeId="0" xr:uid="{280BA453-E990-4FB9-8272-6491E9A314C6}">
      <text>
        <t>[线程批注]
你的Excel版本可读取此线程批注; 但如果在更新版本的Excel中打开文件，则对批注所作的任何改动都将被删除。了解详细信息: https://go.microsoft.com/fwlink/?linkid=870924
注释:
    W27</t>
      </text>
    </comment>
    <comment ref="AD835" authorId="175" shapeId="0" xr:uid="{A54BB2EE-EC15-4CDE-AF1A-4786FEEC45FE}">
      <text>
        <t>[线程批注]
你的Excel版本可读取此线程批注; 但如果在更新版本的Excel中打开文件，则对批注所作的任何改动都将被删除。了解详细信息: https://go.microsoft.com/fwlink/?linkid=870924
注释:
    former PO POPV260807038</t>
      </text>
    </comment>
    <comment ref="AS835" authorId="176" shapeId="0" xr:uid="{8B0B66F5-9FF6-48F7-B717-C31160F3A052}">
      <text>
        <t>[线程批注]
你的Excel版本可读取此线程批注; 但如果在更新版本的Excel中打开文件，则对批注所作的任何改动都将被删除。了解详细信息: https://go.microsoft.com/fwlink/?linkid=870924
注释:
    Previous MBL EGLV149606435972</t>
      </text>
    </comment>
    <comment ref="AD837" authorId="177" shapeId="0" xr:uid="{44EDB937-B3D6-49C4-8323-5A4C2C65BCE8}">
      <text>
        <t>[线程批注]
你的Excel版本可读取此线程批注; 但如果在更新版本的Excel中打开文件，则对批注所作的任何改动都将被删除。了解详细信息: https://go.microsoft.com/fwlink/?linkid=870924
注释:
    former PO POPV260807039</t>
      </text>
    </comment>
    <comment ref="AS837" authorId="178" shapeId="0" xr:uid="{D040380E-565C-4558-A506-06F7B1C075FC}">
      <text>
        <t>[线程批注]
你的Excel版本可读取此线程批注; 但如果在更新版本的Excel中打开文件，则对批注所作的任何改动都将被删除。了解详细信息: https://go.microsoft.com/fwlink/?linkid=870924
注释:
    Previous BL NO.EGLV149606435972</t>
      </text>
    </comment>
    <comment ref="AD838" authorId="179" shapeId="0" xr:uid="{E9273281-B330-419B-B025-4722B381B609}">
      <text>
        <t>[线程批注]
你的Excel版本可读取此线程批注; 但如果在更新版本的Excel中打开文件，则对批注所作的任何改动都将被删除。了解详细信息: https://go.microsoft.com/fwlink/?linkid=870924
注释:
    former PO POPV260807039</t>
      </text>
    </comment>
    <comment ref="Y845" authorId="148" shapeId="0" xr:uid="{4F7960CC-E5D7-4EB5-9EF7-C12E2B62E569}">
      <text>
        <r>
          <rPr>
            <sz val="10"/>
            <color theme="1"/>
            <rFont val="Lexend Deca"/>
            <charset val="134"/>
          </rPr>
          <t xml:space="preserve">Nan 邵楠:
W26
</t>
        </r>
      </text>
    </comment>
    <comment ref="P850" authorId="180" shapeId="0" xr:uid="{CA018118-69EA-4452-91A5-E80A613E1FE9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H4
</t>
      </text>
    </comment>
    <comment ref="P851" authorId="181" shapeId="0" xr:uid="{67E6AD8C-A223-4383-AD79-FF61B368C0F3}">
      <text>
        <t>[线程批注]
你的Excel版本可读取此线程批注; 但如果在更新版本的Excel中打开文件，则对批注所作的任何改动都将被删除。了解详细信息: https://go.microsoft.com/fwlink/?linkid=870924
注释:
    H4</t>
      </text>
    </comment>
    <comment ref="P852" authorId="182" shapeId="0" xr:uid="{A78568BF-2161-468B-B6A6-F7D334A7C1CB}">
      <text>
        <t>[线程批注]
你的Excel版本可读取此线程批注; 但如果在更新版本的Excel中打开文件，则对批注所作的任何改动都将被删除。了解详细信息: https://go.microsoft.com/fwlink/?linkid=870924
注释:
    H4</t>
      </text>
    </comment>
    <comment ref="P853" authorId="183" shapeId="0" xr:uid="{993CB3C4-0853-4DCB-BF7E-A25B2978FFA5}">
      <text>
        <t>[线程批注]
你的Excel版本可读取此线程批注; 但如果在更新版本的Excel中打开文件，则对批注所作的任何改动都将被删除。了解详细信息: https://go.microsoft.com/fwlink/?linkid=870924
注释:
    H4</t>
      </text>
    </comment>
    <comment ref="P854" authorId="184" shapeId="0" xr:uid="{5A5064FD-E9F8-4A2E-9CF2-1ACBFAFE38D1}">
      <text>
        <t>[线程批注]
你的Excel版本可读取此线程批注; 但如果在更新版本的Excel中打开文件，则对批注所作的任何改动都将被删除。了解详细信息: https://go.microsoft.com/fwlink/?linkid=870924
注释:
    H4</t>
      </text>
    </comment>
    <comment ref="A862" authorId="185" shapeId="0" xr:uid="{DD8424C8-32FB-464A-AF67-D8FDB2113716}">
      <text>
        <t>[线程批注]
你的Excel版本可读取此线程批注; 但如果在更新版本的Excel中打开文件，则对批注所作的任何改动都将被删除。了解详细信息: https://go.microsoft.com/fwlink/?linkid=870924
注释:
    货物翻车</t>
      </text>
    </comment>
    <comment ref="A863" authorId="186" shapeId="0" xr:uid="{D38C2D89-4E55-458B-B648-334FB349A79F}">
      <text>
        <t>[线程批注]
你的Excel版本可读取此线程批注; 但如果在更新版本的Excel中打开文件，则对批注所作的任何改动都将被删除。了解详细信息: https://go.microsoft.com/fwlink/?linkid=870924
注释:
    0819已开单</t>
      </text>
    </comment>
    <comment ref="AD878" authorId="187" shapeId="0" xr:uid="{EC149913-37E2-4CD9-9D3B-7ACE7CEF6A84}">
      <text>
        <t>[线程批注]
你的Excel版本可读取此线程批注; 但如果在更新版本的Excel中打开文件，则对批注所作的任何改动都将被删除。了解详细信息: https://go.microsoft.com/fwlink/?linkid=870924
注释:
    old PO ref POPV260814047</t>
      </text>
    </comment>
    <comment ref="A906" authorId="188" shapeId="0" xr:uid="{D912977F-3449-4566-A38D-96C731AADB53}">
      <text>
        <t>[线程批注]
你的Excel版本可读取此线程批注; 但如果在更新版本的Excel中打开文件，则对批注所作的任何改动都将被删除。了解详细信息: https://go.microsoft.com/fwlink/?linkid=870924
注释:
    注意，这一行扣六月份订单</t>
      </text>
    </comment>
    <comment ref="P908" authorId="189" shapeId="0" xr:uid="{D008342A-DE5A-4560-93E5-7C6003CB9E26}">
      <text>
        <t>[线程批注]
你的Excel版本可读取此线程批注; 但如果在更新版本的Excel中打开文件，则对批注所作的任何改动都将被删除。了解详细信息: https://go.microsoft.com/fwlink/?linkid=870924
注释:
    EVO2</t>
      </text>
    </comment>
    <comment ref="A911" authorId="190" shapeId="0" xr:uid="{534F48C1-6DE8-462A-9F79-A8124770F3B3}">
      <text>
        <t>[线程批注]
你的Excel版本可读取此线程批注; 但如果在更新版本的Excel中打开文件，则对批注所作的任何改动都将被删除。了解详细信息: https://go.microsoft.com/fwlink/?linkid=870924
注释:
    8/21采购开单</t>
      </text>
    </comment>
    <comment ref="P913" authorId="191" shapeId="0" xr:uid="{112A1DFB-B9D9-41D3-9BDA-DD1C34B1CF71}">
      <text>
        <t>[线程批注]
你的Excel版本可读取此线程批注; 但如果在更新版本的Excel中打开文件，则对批注所作的任何改动都将被删除。了解详细信息: https://go.microsoft.com/fwlink/?linkid=870924
注释:
    H4</t>
      </text>
    </comment>
    <comment ref="P915" authorId="192" shapeId="0" xr:uid="{3D5A2B30-3EA1-4629-909F-7EB3C7EAD33C}">
      <text>
        <t>[线程批注]
你的Excel版本可读取此线程批注; 但如果在更新版本的Excel中打开文件，则对批注所作的任何改动都将被删除。了解详细信息: https://go.microsoft.com/fwlink/?linkid=870924
注释:
    EVO2</t>
      </text>
    </comment>
    <comment ref="P916" authorId="193" shapeId="0" xr:uid="{1306FD79-4E12-4A79-9AC3-9D2888E4DB60}">
      <text>
        <t>[线程批注]
你的Excel版本可读取此线程批注; 但如果在更新版本的Excel中打开文件，则对批注所作的任何改动都将被删除。了解详细信息: https://go.microsoft.com/fwlink/?linkid=870924
注释:
    H4</t>
      </text>
    </comment>
    <comment ref="P917" authorId="194" shapeId="0" xr:uid="{292D18C9-617A-45B0-A956-AE1497E5CB08}">
      <text>
        <t>[线程批注]
你的Excel版本可读取此线程批注; 但如果在更新版本的Excel中打开文件，则对批注所作的任何改动都将被删除。了解详细信息: https://go.microsoft.com/fwlink/?linkid=870924
注释:
    H4</t>
      </text>
    </comment>
    <comment ref="P918" authorId="195" shapeId="0" xr:uid="{2E6EE6F9-A215-46EC-9A12-69F8678443EF}">
      <text>
        <t>[线程批注]
你的Excel版本可读取此线程批注; 但如果在更新版本的Excel中打开文件，则对批注所作的任何改动都将被删除。了解详细信息: https://go.microsoft.com/fwlink/?linkid=870924
注释:
    EVO2</t>
      </text>
    </comment>
    <comment ref="Y918" authorId="196" shapeId="0" xr:uid="{A236938D-9BFC-4B16-955B-1B0D016381A6}">
      <text>
        <t>[线程批注]
你的Excel版本可读取此线程批注; 但如果在更新版本的Excel中打开文件，则对批注所作的任何改动都将被删除。了解详细信息: https://go.microsoft.com/fwlink/?linkid=870924
注释:
    W29</t>
      </text>
    </comment>
    <comment ref="AB920" authorId="197" shapeId="0" xr:uid="{B9FFCAA4-9821-40D4-AFCA-D3D6803F59B1}">
      <text>
        <t>[线程批注]
你的Excel版本可读取此线程批注; 但如果在更新版本的Excel中打开文件，则对批注所作的任何改动都将被删除。了解详细信息: https://go.microsoft.com/fwlink/?linkid=870924
注释:
    6 CTS picked up on 8-22 , 5 CTS picked up on 8-23</t>
      </text>
    </comment>
    <comment ref="A942" authorId="198" shapeId="0" xr:uid="{9192ADF5-7544-4DE3-9BFD-764EE308F242}">
      <text>
        <t>[线程批注]
你的Excel版本可读取此线程批注; 但如果在更新版本的Excel中打开文件，则对批注所作的任何改动都将被删除。了解详细信息: https://go.microsoft.com/fwlink/?linkid=870924
注释:
    按8月份价格</t>
      </text>
    </comment>
    <comment ref="A946" authorId="199" shapeId="0" xr:uid="{2BED387B-E666-45F1-8CA4-DB9E1D8C02D6}">
      <text>
        <t>[线程批注]
你的Excel版本可读取此线程批注; 但如果在更新版本的Excel中打开文件，则对批注所作的任何改动都将被删除。了解详细信息: https://go.microsoft.com/fwlink/?linkid=870924
注释:
    ETD九月，按八月汇率</t>
      </text>
    </comment>
    <comment ref="A950" authorId="200" shapeId="0" xr:uid="{B6103755-A2D9-4237-BE0F-73E2D421A355}">
      <text>
        <t>[线程批注]
你的Excel版本可读取此线程批注; 但如果在更新版本的Excel中打开文件，则对批注所作的任何改动都将被删除。了解详细信息: https://go.microsoft.com/fwlink/?linkid=870924
注释:
    ETD九月，按八月汇率</t>
      </text>
    </comment>
    <comment ref="A952" authorId="201" shapeId="0" xr:uid="{AF0A9FE6-52F0-440D-8035-DE2E08435734}">
      <text>
        <t>[线程批注]
你的Excel版本可读取此线程批注; 但如果在更新版本的Excel中打开文件，则对批注所作的任何改动都将被删除。了解详细信息: https://go.microsoft.com/fwlink/?linkid=870924
注释:
    按7月份价格</t>
      </text>
    </comment>
    <comment ref="AD953" authorId="202" shapeId="0" xr:uid="{A1BABE05-7AA0-431C-BFFC-BE0A81EFE303}">
      <text>
        <t>[线程批注]
你的Excel版本可读取此线程批注; 但如果在更新版本的Excel中打开文件，则对批注所作的任何改动都将被删除。了解详细信息: https://go.microsoft.com/fwlink/?linkid=870924
注释:
    old PO# POPV260902026</t>
      </text>
    </comment>
    <comment ref="P962" authorId="203" shapeId="0" xr:uid="{38E437D1-207A-4BE9-BEB2-6D0DB1077B29}">
      <text>
        <t>[线程批注]
你的Excel版本可读取此线程批注; 但如果在更新版本的Excel中打开文件，则对批注所作的任何改动都将被删除。了解详细信息: https://go.microsoft.com/fwlink/?linkid=870924
注释:
    EVO2</t>
      </text>
    </comment>
    <comment ref="P970" authorId="204" shapeId="0" xr:uid="{1E18460E-BA00-4402-92AB-B6184681E44F}">
      <text>
        <t>[线程批注]
你的Excel版本可读取此线程批注; 但如果在更新版本的Excel中打开文件，则对批注所作的任何改动都将被删除。了解详细信息: https://go.microsoft.com/fwlink/?linkid=870924
注释:
    EVO2</t>
      </text>
    </comment>
    <comment ref="Y970" authorId="205" shapeId="0" xr:uid="{F63A8834-4B73-4021-9705-442E9EF3581B}">
      <text>
        <t>[线程批注]
你的Excel版本可读取此线程批注; 但如果在更新版本的Excel中打开文件，则对批注所作的任何改动都将被删除。了解详细信息: https://go.microsoft.com/fwlink/?linkid=870924
注释:
    W29</t>
      </text>
    </comment>
    <comment ref="P973" authorId="206" shapeId="0" xr:uid="{91264A7B-58E8-48C9-85C2-0CD98FBE73D2}">
      <text>
        <t>[线程批注]
你的Excel版本可读取此线程批注; 但如果在更新版本的Excel中打开文件，则对批注所作的任何改动都将被删除。了解详细信息: https://go.microsoft.com/fwlink/?linkid=870924
注释:
    EVO2</t>
      </text>
    </comment>
    <comment ref="A976" authorId="207" shapeId="0" xr:uid="{4DD6BC17-B30D-4998-9423-8197D10336B8}">
      <text>
        <t>[线程批注]
你的Excel版本可读取此线程批注; 但如果在更新版本的Excel中打开文件，则对批注所作的任何改动都将被删除。了解详细信息: https://go.microsoft.com/fwlink/?linkid=870924
注释:
    ETD九月，按八月汇率</t>
      </text>
    </comment>
    <comment ref="A979" authorId="208" shapeId="0" xr:uid="{2CB1CCF2-C3F8-4D21-9AB1-5AD07A7185F9}">
      <text>
        <t>[线程批注]
你的Excel版本可读取此线程批注; 但如果在更新版本的Excel中打开文件，则对批注所作的任何改动都将被删除。了解详细信息: https://go.microsoft.com/fwlink/?linkid=870924
注释:
    ETD九月，按八月汇率</t>
      </text>
    </comment>
    <comment ref="A980" authorId="209" shapeId="0" xr:uid="{0BB13111-F872-409A-A12E-3E21DE2DD01A}">
      <text>
        <t>[线程批注]
你的Excel版本可读取此线程批注; 但如果在更新版本的Excel中打开文件，则对批注所作的任何改动都将被删除。了解详细信息: https://go.microsoft.com/fwlink/?linkid=870924
注释:
    ETD九月，按八月汇率</t>
      </text>
    </comment>
    <comment ref="AB981" authorId="210" shapeId="0" xr:uid="{80A5E73E-B107-4AE2-A0F3-C4440CE4160D}">
      <text>
        <t>[线程批注]
你的Excel版本可读取此线程批注; 但如果在更新版本的Excel中打开文件，则对批注所作的任何改动都将被删除。了解详细信息: https://go.microsoft.com/fwlink/?linkid=870924
注释:
    7 CTS picked up on 8-29, 1 CTS picked  up on 8-30</t>
      </text>
    </comment>
    <comment ref="A986" authorId="211" shapeId="0" xr:uid="{49D76FF7-6CBA-4D62-8184-58735AB41A1C}">
      <text>
        <t>[线程批注]
你的Excel版本可读取此线程批注; 但如果在更新版本的Excel中打开文件，则对批注所作的任何改动都将被删除。了解详细信息: https://go.microsoft.com/fwlink/?linkid=870924
注释:
    1柜塞6000pcs连接器
答复:
    GF0700002079</t>
      </text>
    </comment>
    <comment ref="A990" authorId="212" shapeId="0" xr:uid="{245F032C-1B07-4C1E-9663-477EB1228C06}">
      <text>
        <t>[线程批注]
你的Excel版本可读取此线程批注; 但如果在更新版本的Excel中打开文件，则对批注所作的任何改动都将被删除。了解详细信息: https://go.microsoft.com/fwlink/?linkid=870924
注释:
    一个柜6月价格一个柜7月价格</t>
      </text>
    </comment>
    <comment ref="AB992" authorId="213" shapeId="0" xr:uid="{629020F1-A3EA-46B1-AC58-6CA04442137D}">
      <text>
        <t>[线程批注]
你的Excel版本可读取此线程批注; 但如果在更新版本的Excel中打开文件，则对批注所作的任何改动都将被删除。了解详细信息: https://go.microsoft.com/fwlink/?linkid=870924
注释:
    10 CTS picked up 8-30 ,1 CTS picked up 8-31</t>
      </text>
    </comment>
    <comment ref="AB1003" authorId="214" shapeId="0" xr:uid="{154A06E7-4C0E-4285-AE41-29DCA5D250B5}">
      <text>
        <t>[线程批注]
你的Excel版本可读取此线程批注; 但如果在更新版本的Excel中打开文件，则对批注所作的任何改动都将被删除。了解详细信息: https://go.microsoft.com/fwlink/?linkid=870924
注释:
    3 containers pickup on 3rd SEP,2 containers pickup on 4th SEP.</t>
      </text>
    </comment>
    <comment ref="A1004" authorId="215" shapeId="0" xr:uid="{A9DFCB20-B7D3-4B8F-8217-36379078B7ED}">
      <text>
        <t>[线程批注]
你的Excel版本可读取此线程批注; 但如果在更新版本的Excel中打开文件，则对批注所作的任何改动都将被删除。了解详细信息: https://go.microsoft.com/fwlink/?linkid=870924
注释:
    ETD九月，按八月汇率</t>
      </text>
    </comment>
    <comment ref="A1009" authorId="216" shapeId="0" xr:uid="{79560F1F-A330-405F-9ABC-B6839C0A019C}">
      <text>
        <t>[线程批注]
你的Excel版本可读取此线程批注; 但如果在更新版本的Excel中打开文件，则对批注所作的任何改动都将被删除。了解详细信息: https://go.microsoft.com/fwlink/?linkid=870924
注释:
    ETD九月，按八月汇率</t>
      </text>
    </comment>
    <comment ref="P1011" authorId="217" shapeId="0" xr:uid="{E7FC9C0F-E277-4564-914F-23857B3B0B82}">
      <text>
        <t>[线程批注]
你的Excel版本可读取此线程批注; 但如果在更新版本的Excel中打开文件，则对批注所作的任何改动都将被删除。了解详细信息: https://go.microsoft.com/fwlink/?linkid=870924
注释:
    EVO2</t>
      </text>
    </comment>
    <comment ref="Y1011" authorId="218" shapeId="0" xr:uid="{088C2D5C-EA34-4EDE-B343-80C80FCE748A}">
      <text>
        <t>[线程批注]
你的Excel版本可读取此线程批注; 但如果在更新版本的Excel中打开文件，则对批注所作的任何改动都将被删除。了解详细信息: https://go.microsoft.com/fwlink/?linkid=870924
注释:
    W29</t>
      </text>
    </comment>
    <comment ref="P1012" authorId="219" shapeId="0" xr:uid="{B50E3E0F-3301-4C3C-90BB-57F1A6B2C9ED}">
      <text>
        <t>[线程批注]
你的Excel版本可读取此线程批注; 但如果在更新版本的Excel中打开文件，则对批注所作的任何改动都将被删除。了解详细信息: https://go.microsoft.com/fwlink/?linkid=870924
注释:
    EVO2</t>
      </text>
    </comment>
    <comment ref="A1018" authorId="220" shapeId="0" xr:uid="{ED201946-84E6-42A3-A881-44996C726AB5}">
      <text>
        <t>[线程批注]
你的Excel版本可读取此线程批注; 但如果在更新版本的Excel中打开文件，则对批注所作的任何改动都将被删除。了解详细信息: https://go.microsoft.com/fwlink/?linkid=870924
注释:
    3 CTS picked up on 9-03 ,2 CTS picked up on 9-04</t>
      </text>
    </comment>
    <comment ref="AB1018" authorId="221" shapeId="0" xr:uid="{0322FBD2-9597-4027-8929-89D6EDAD980E}">
      <text>
        <t>[线程批注]
你的Excel版本可读取此线程批注; 但如果在更新版本的Excel中打开文件，则对批注所作的任何改动都将被删除。了解详细信息: https://go.microsoft.com/fwlink/?linkid=870924
注释:
    3 CTS picked up on 9-03 ,2 CTS picked up on 9-04</t>
      </text>
    </comment>
    <comment ref="P1039" authorId="222" shapeId="0" xr:uid="{F55A1DDD-081F-4D5D-8DEF-79B496731F99}">
      <text>
        <t>[线程批注]
你的Excel版本可读取此线程批注; 但如果在更新版本的Excel中打开文件，则对批注所作的任何改动都将被删除。了解详细信息: https://go.microsoft.com/fwlink/?linkid=870924
注释:
    EVO2</t>
      </text>
    </comment>
    <comment ref="P1040" authorId="223" shapeId="0" xr:uid="{2F3CFDBE-D55E-4245-88F9-179DD808A4E2}">
      <text>
        <t>[线程批注]
你的Excel版本可读取此线程批注; 但如果在更新版本的Excel中打开文件，则对批注所作的任何改动都将被删除。了解详细信息: https://go.microsoft.com/fwlink/?linkid=870924
注释:
    EVO2</t>
      </text>
    </comment>
    <comment ref="Y1047" authorId="224" shapeId="0" xr:uid="{4D33407D-B9A7-4DAD-B519-BB1F2A85D5AC}">
      <text>
        <r>
          <rPr>
            <b/>
            <sz val="9"/>
            <color indexed="81"/>
            <rFont val="宋体"/>
            <family val="3"/>
            <charset val="134"/>
          </rPr>
          <t>TCL:</t>
        </r>
        <r>
          <rPr>
            <sz val="9"/>
            <color indexed="81"/>
            <rFont val="宋体"/>
            <family val="3"/>
            <charset val="134"/>
          </rPr>
          <t xml:space="preserve">
W35</t>
        </r>
      </text>
    </comment>
    <comment ref="Y1051" authorId="224" shapeId="0" xr:uid="{0D90C63C-0ACD-4755-8D82-8700C20D81EE}">
      <text>
        <r>
          <rPr>
            <b/>
            <sz val="9"/>
            <color indexed="81"/>
            <rFont val="宋体"/>
            <family val="3"/>
            <charset val="134"/>
          </rPr>
          <t>TCL:</t>
        </r>
        <r>
          <rPr>
            <sz val="9"/>
            <color indexed="81"/>
            <rFont val="宋体"/>
            <family val="3"/>
            <charset val="134"/>
          </rPr>
          <t xml:space="preserve">
W35</t>
        </r>
      </text>
    </comment>
    <comment ref="AB1054" authorId="225" shapeId="0" xr:uid="{ADACFBB9-178D-46C7-AA59-77077C0F3A9F}">
      <text>
        <t>[线程批注]
你的Excel版本可读取此线程批注; 但如果在更新版本的Excel中打开文件，则对批注所作的任何改动都将被删除。了解详细信息: https://go.microsoft.com/fwlink/?linkid=870924
注释:
    7 CTS picked up on 9-12 , 4 CTS picked up on 9-13</t>
      </text>
    </comment>
    <comment ref="Y1059" authorId="224" shapeId="0" xr:uid="{352A1D7F-872A-4E16-BB34-8BE14C387025}">
      <text>
        <r>
          <rPr>
            <b/>
            <sz val="9"/>
            <color indexed="81"/>
            <rFont val="宋体"/>
            <family val="3"/>
            <charset val="134"/>
          </rPr>
          <t>TCL:</t>
        </r>
        <r>
          <rPr>
            <sz val="9"/>
            <color indexed="81"/>
            <rFont val="宋体"/>
            <family val="3"/>
            <charset val="134"/>
          </rPr>
          <t xml:space="preserve">
W32
</t>
        </r>
      </text>
    </comment>
    <comment ref="A1074" authorId="226" shapeId="0" xr:uid="{07F1A622-02D3-41F8-A34E-E4467A9B8D60}">
      <text>
        <t>[线程批注]
你的Excel版本可读取此线程批注; 但如果在更新版本的Excel中打开文件，则对批注所作的任何改动都将被删除。了解详细信息: https://go.microsoft.com/fwlink/?linkid=870924
注释:
    GF0700002079</t>
      </text>
    </comment>
    <comment ref="P1081" authorId="227" shapeId="0" xr:uid="{3D8C2884-F411-4A74-B750-D5C52A3B0DB7}">
      <text>
        <t>[线程批注]
你的Excel版本可读取此线程批注; 但如果在更新版本的Excel中打开文件，则对批注所作的任何改动都将被删除。了解详细信息: https://go.microsoft.com/fwlink/?linkid=870924
注释:
    EVO2</t>
      </text>
    </comment>
    <comment ref="AB1088" authorId="228" shapeId="0" xr:uid="{A4BC1F17-891D-4A4D-85B6-16E12F840F87}">
      <text>
        <t>[线程批注]
你的Excel版本可读取此线程批注; 但如果在更新版本的Excel中打开文件，则对批注所作的任何改动都将被删除。了解详细信息: https://go.microsoft.com/fwlink/?linkid=870924
注释:
    8 CTS picked up on 9-19 ,3 CTS picked up on 9-20</t>
      </text>
    </comment>
    <comment ref="P1113" authorId="229" shapeId="0" xr:uid="{30EFEC93-7E92-4F17-8F39-DCD31CE8A920}">
      <text>
        <t>[线程批注]
你的Excel版本可读取此线程批注; 但如果在更新版本的Excel中打开文件，则对批注所作的任何改动都将被删除。了解详细信息: https://go.microsoft.com/fwlink/?linkid=870924
注释:
    EVO2</t>
      </text>
    </comment>
    <comment ref="P1114" authorId="230" shapeId="0" xr:uid="{40E7E0AC-D547-4D57-9767-8C313674ABAB}">
      <text>
        <t>[线程批注]
你的Excel版本可读取此线程批注; 但如果在更新版本的Excel中打开文件，则对批注所作的任何改动都将被删除。了解详细信息: https://go.microsoft.com/fwlink/?linkid=870924
注释:
    EVO2</t>
      </text>
    </comment>
    <comment ref="AB1116" authorId="231" shapeId="0" xr:uid="{9810B57E-93CC-4901-BA65-E039C3A7A50F}">
      <text>
        <t>[线程批注]
你的Excel版本可读取此线程批注; 但如果在更新版本的Excel中打开文件，则对批注所作的任何改动都将被删除。了解详细信息: https://go.microsoft.com/fwlink/?linkid=870924
注释:
    9-21-4F,9-22-1F</t>
      </text>
    </comment>
    <comment ref="AB1117" authorId="232" shapeId="0" xr:uid="{74A5619B-C8BF-4065-BE94-1390574F29DA}">
      <text>
        <t>[线程批注]
你的Excel版本可读取此线程批注; 但如果在更新版本的Excel中打开文件，则对批注所作的任何改动都将被删除。了解详细信息: https://go.microsoft.com/fwlink/?linkid=870924
注释:
    8 Cts picked up on 10-01 ,1 Cts picked up on 10-02</t>
      </text>
    </comment>
    <comment ref="J1122" authorId="233" shapeId="0" xr:uid="{184D869F-BD63-4D33-9708-93DF5F81D135}">
      <text>
        <t>[线程批注]
你的Excel版本可读取此线程批注; 但如果在更新版本的Excel中打开文件，则对批注所作的任何改动都将被删除。了解详细信息: https://go.microsoft.com/fwlink/?linkid=870924
注释:
    菲律宾APBG</t>
      </text>
    </comment>
    <comment ref="AB1156" authorId="234" shapeId="0" xr:uid="{EF10FF3B-6073-4E94-BEB1-A1B1836180AA}">
      <text>
        <t>[线程批注]
你的Excel版本可读取此线程批注; 但如果在更新版本的Excel中打开文件，则对批注所作的任何改动都将被删除。了解详细信息: https://go.microsoft.com/fwlink/?linkid=870924
注释:
    14th-5ctns,15th-6ctns.</t>
      </text>
    </comment>
    <comment ref="AB1157" authorId="235" shapeId="0" xr:uid="{7F8BA534-37D5-48CE-91EC-6B007BF8121A}">
      <text>
        <t>[线程批注]
你的Excel版本可读取此线程批注; 但如果在更新版本的Excel中打开文件，则对批注所作的任何改动都将被删除。了解详细信息: https://go.microsoft.com/fwlink/?linkid=870924
注释:
    14th-3ctns,15th-2ctns</t>
      </text>
    </comment>
    <comment ref="AB1164" authorId="236" shapeId="0" xr:uid="{5F4380DC-B7C9-4EF7-AAF4-E9C89B5CCF1F}">
      <text>
        <t>[线程批注]
你的Excel版本可读取此线程批注; 但如果在更新版本的Excel中打开文件，则对批注所作的任何改动都将被删除。了解详细信息: https://go.microsoft.com/fwlink/?linkid=870924
注释:
    5 CTS picked up on 10-19,1 CTS picked up on 10-23</t>
      </text>
    </comment>
    <comment ref="AB1170" authorId="237" shapeId="0" xr:uid="{C5CCCA30-3EEF-47AC-A0CA-BCAFF130E058}">
      <text>
        <t>[线程批注]
你的Excel版本可读取此线程批注; 但如果在更新版本的Excel中打开文件，则对批注所作的任何改动都将被删除。了解详细信息: https://go.microsoft.com/fwlink/?linkid=870924
注释:
    5 CTS picked up on 10-18 , 5 CTS picked up on 10-19</t>
      </text>
    </comment>
    <comment ref="A1185" authorId="238" shapeId="0" xr:uid="{F394D7EC-AF52-46DA-9D49-A1497B49F4B8}">
      <text>
        <t>[线程批注]
你的Excel版本可读取此线程批注; 但如果在更新版本的Excel中打开文件，则对批注所作的任何改动都将被删除。了解详细信息: https://go.microsoft.com/fwlink/?linkid=870924
注释:
    塞支架 AEM2 10/22</t>
      </text>
    </comment>
    <comment ref="AD1185" authorId="239" shapeId="0" xr:uid="{507CC584-DE12-49F2-BD73-4FADB3F03A95}">
      <text>
        <t>[线程批注]
你的Excel版本可读取此线程批注; 但如果在更新版本的Excel中打开文件，则对批注所作的任何改动都将被删除。了解详细信息: https://go.microsoft.com/fwlink/?linkid=870924
注释:
    POPV261028021拆包支架</t>
      </text>
    </comment>
    <comment ref="U1231" authorId="240" shapeId="0" xr:uid="{EC9B1E43-D22A-4734-AA29-65BA28D7AAC4}">
      <text>
        <t>[线程批注]
你的Excel版本可读取此线程批注; 但如果在更新版本的Excel中打开文件，则对批注所作的任何改动都将被删除。了解详细信息: https://go.microsoft.com/fwlink/?linkid=870924
注释:
    260429: cancel 1plt-33pcs</t>
      </text>
    </comment>
    <comment ref="P1266" authorId="241" shapeId="0" xr:uid="{87C68EEC-2CDB-461B-ABA3-649871D6402B}">
      <text>
        <t>[线程批注]
你的Excel版本可读取此线程批注; 但如果在更新版本的Excel中打开文件，则对批注所作的任何改动都将被删除。了解详细信息: https://go.microsoft.com/fwlink/?linkid=870924
注释:
    EVO2</t>
      </text>
    </comment>
    <comment ref="P1267" authorId="242" shapeId="0" xr:uid="{F56419AE-CFA8-44CF-B67F-6105757CE739}">
      <text>
        <t>[线程批注]
你的Excel版本可读取此线程批注; 但如果在更新版本的Excel中打开文件，则对批注所作的任何改动都将被删除。了解详细信息: https://go.microsoft.com/fwlink/?linkid=870924
注释:
    EVO2</t>
      </text>
    </comment>
    <comment ref="A1271" authorId="243" shapeId="0" xr:uid="{26346838-ABA2-4BA3-AA2C-FC42C49227F0}">
      <text>
        <t>[线程批注]
你的Excel版本可读取此线程批注; 但如果在更新版本的Excel中打开文件，则对批注所作的任何改动都将被删除。了解详细信息: https://go.microsoft.com/fwlink/?linkid=870924
注释:
    非欧，已开单</t>
      </text>
    </comment>
    <comment ref="A1272" authorId="244" shapeId="0" xr:uid="{EE80C541-28B8-47A1-B8F3-207C0B2E1068}">
      <text>
        <t>[线程批注]
你的Excel版本可读取此线程批注; 但如果在更新版本的Excel中打开文件，则对批注所作的任何改动都将被删除。了解详细信息: https://go.microsoft.com/fwlink/?linkid=870924
注释:
    非欧，已开单</t>
      </text>
    </comment>
    <comment ref="A1273" authorId="245" shapeId="0" xr:uid="{108D8866-E605-4DE5-9F81-A8F0D87DB5C6}">
      <text>
        <t>[线程批注]
你的Excel版本可读取此线程批注; 但如果在更新版本的Excel中打开文件，则对批注所作的任何改动都将被删除。了解详细信息: https://go.microsoft.com/fwlink/?linkid=870924
注释:
    非欧，已开单</t>
      </text>
    </comment>
    <comment ref="A1274" authorId="246" shapeId="0" xr:uid="{E0A69871-1B1B-4155-BC45-7EED2A7E75D0}">
      <text>
        <t>[线程批注]
你的Excel版本可读取此线程批注; 但如果在更新版本的Excel中打开文件，则对批注所作的任何改动都将被删除。了解详细信息: https://go.microsoft.com/fwlink/?linkid=870924
注释:
    非欧订单</t>
      </text>
    </comment>
    <comment ref="P1288" authorId="247" shapeId="0" xr:uid="{0979DD86-91C8-4F68-97ED-D199B27E32D4}">
      <text>
        <t>[线程批注]
你的Excel版本可读取此线程批注; 但如果在更新版本的Excel中打开文件，则对批注所作的任何改动都将被删除。了解详细信息: https://go.microsoft.com/fwlink/?linkid=870924
注释:
    H4</t>
      </text>
    </comment>
    <comment ref="P1289" authorId="248" shapeId="0" xr:uid="{D67F99D3-65CA-4A4E-8098-1E42DAF220E2}">
      <text>
        <t>[线程批注]
你的Excel版本可读取此线程批注; 但如果在更新版本的Excel中打开文件，则对批注所作的任何改动都将被删除。了解详细信息: https://go.microsoft.com/fwlink/?linkid=870924
注释:
    H4</t>
      </text>
    </comment>
    <comment ref="A1303" authorId="249" shapeId="0" xr:uid="{526B05C7-B91E-4B6F-99AB-11CC6861CC35}">
      <text>
        <t>[线程批注]
你的Excel版本可读取此线程批注; 但如果在更新版本的Excel中打开文件，则对批注所作的任何改动都将被删除。了解详细信息: https://go.microsoft.com/fwlink/?linkid=870924
注释:
    跟倩晴说不在新方舟开，在EUCT记录好价格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tc={5DFA78B0-70F1-4549-BB4A-96932F323AF4}</author>
    <author>tc={AE0F5254-C1A5-4E11-A6A2-87E57EA81979}</author>
    <author>tc={9E0A09CD-6909-4CA4-94F3-89809AF17363}</author>
    <author>Mye Villapando</author>
    <author>tc={772CEF9C-F687-4D65-9B5B-967E3EA4701D}</author>
    <author>tc={E150412D-084F-4846-9C8F-1632AE672DA5}</author>
    <author>tc={70F14BE2-9331-4AD0-A0B2-975EED0A3598}</author>
    <author>tc={2C846013-1B59-4DC4-A40C-277CAD89F697}</author>
    <author>tc={587BEF4E-4319-455E-B8BE-BC14C1CA850B}</author>
    <author>tc={F9CD9AB7-E2A8-46FE-958F-CE2C105BB261}</author>
    <author>tc={E1A60641-09F4-422D-B28E-E8475DAA2D23}</author>
    <author>tc={B8D9BB95-4C8E-4C74-B9F3-76CA887AAEE8}</author>
    <author>tc={E726441C-B718-4BDE-8A3A-1EE12E80E44D}</author>
    <author>tc={3C84037A-FDFD-43B0-974C-58D2F5A07C27}</author>
    <author>tc={0ABD6111-5765-4744-BC33-D9F20EBAF1E4}</author>
    <author>tc={DE781106-528A-4F19-BACE-002DDFE57B55}</author>
    <author>tc={6C176552-8B04-4624-BD35-9E45B6266966}</author>
    <author>tc={3E29B457-31E8-4A5D-8B9A-6E81EB463557}</author>
    <author>tc={6D7C0965-09CA-4483-8BCE-8E14D52858D0}</author>
    <author>tc={A9F34427-61B8-4F7B-A335-29DF00F4DB15}</author>
    <author>tc={B02BC9ED-1D7C-488C-BED4-E7F2AB52805E}</author>
    <author>tc={0A88831B-E1B3-4A14-9C04-ED2BD1EE051A}</author>
    <author>tc={8019FE6D-D8D6-41BC-8387-884C6BA3A6AC}</author>
    <author>tc={DF99F182-006A-411A-A244-B717D3DEBA11}</author>
    <author>tc={B4A9199B-8F2E-4DEF-8102-07152D39AF67}</author>
    <author>tc={A525DA9E-9A3F-49EB-9036-BE77015A576E}</author>
    <author>tc={561A628C-DF6D-4045-9B3C-EFDCFB6A1C62}</author>
    <author>tc={E304B92E-EAB4-424D-89AB-FB7233A298A1}</author>
    <author>tc={BD1D55E8-EBB0-432E-91C3-B481E95668A7}</author>
    <author>tc={DB4DE3DB-0110-4CDE-B161-5B7FA03DA15D}</author>
    <author>tc={895C8D4D-422D-4BFD-A0D7-9B7D9E0E929D}</author>
    <author>tc={4A3F7044-8F87-4FA0-A5C8-76417A8DD093}</author>
    <author>tc={6D01176D-DA38-440A-A421-DC635CBB793C}</author>
    <author>tc={2AF7B907-838D-4689-83C6-40B8841E1352}</author>
    <author>tc={03B1C07E-C04F-4D6D-A298-177987EC30B6}</author>
    <author>tc={6A10312E-4A54-45ED-991C-165D7DF0562E}</author>
    <author>tc={BBF3172F-8F42-49DC-88F8-3E0B55B37D9C}</author>
    <author>tc={CA5D9ED9-8611-430B-9E72-88C1CD228A26}</author>
    <author>tc={5A1CFAF6-E5C8-4C05-846F-D7F07B41BA20}</author>
    <author>tc={09B344CB-D292-4EE8-BFAF-05E4EA93D0CB}</author>
    <author>tc={C3089D40-9BA0-48CE-BB02-41CB0BA734C2}</author>
    <author>tc={AEE0B30E-6430-4AB8-A832-448F62705777}</author>
    <author>tc={21E2C0B7-986B-4C2E-B2D7-5AC3DDDFF7B9}</author>
    <author>tc={71CB9096-7085-4895-8471-76E8A60AA7E7}</author>
    <author>tc={659E31F1-702F-4AC4-9B36-57E3FFBE70E0}</author>
    <author>tc={554CC7C6-F460-47AB-B2FD-BE08B8699170}</author>
    <author>tc={820756E1-F8E2-49CF-84EC-425551438E76}</author>
    <author>tc={E05D1E01-F6CB-47DB-BA15-F0370B84E761}</author>
    <author>tc={F7D4DF12-32BA-4564-80C4-74BFFD40BF44}</author>
    <author>tc={E922EDB7-02EF-4E3F-BBBD-7BB554A0CA31}</author>
    <author>tc={E94F06C9-127D-498D-8320-2ADE5B539479}</author>
    <author>tc={0CC76633-F66C-4CD8-9F24-0B8A4BF04C1A}</author>
    <author>tc={1257243C-1D07-415E-BA9C-D0C4B3126534}</author>
    <author>tc={505B5D71-B0F1-4B87-8EDA-B04D13B0F5AE}</author>
    <author>tc={2E00BE70-28F0-426D-8DB5-8B7A1849C17F}</author>
  </authors>
  <commentList>
    <comment ref="A1" authorId="0" shapeId="0" xr:uid="{5DFA78B0-70F1-4549-BB4A-96932F323AF4}">
      <text>
        <t>[线程批注]
你的Excel版本可读取此线程批注; 但如果在更新版本的Excel中打开文件，则对批注所作的任何改动都将被删除。了解详细信息: https://go.microsoft.com/fwlink/?linkid=870924
注释:
    Make sure to follow syntax of main ref then “.” then iterate allocation</t>
      </text>
    </comment>
    <comment ref="G1" authorId="1" shapeId="0" xr:uid="{AE0F5254-C1A5-4E11-A6A2-87E57EA81979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DDP = Specific salesorder with DDP incoterm. DAP shipment inbetween
DAP = salesorder or shipment to local WH
Other incoterms for specific salesorders
</t>
      </text>
    </comment>
    <comment ref="J1" authorId="2" shapeId="0" xr:uid="{9E0A09CD-6909-4CA4-94F3-89809AF17363}">
      <text>
        <t>[线程批注]
你的Excel版本可读取此线程批注; 但如果在更新版本的Excel中打开文件，则对批注所作的任何改动都将被删除。了解详细信息: https://go.microsoft.com/fwlink/?linkid=870924
注释:
    Local WH = for all shipments to replenish local W-org
SPxx / yy = for DDP shipments to xx entity and yy customer
Customer = when allocated to a specific customer</t>
      </text>
    </comment>
    <comment ref="W1" authorId="3" shapeId="0" xr:uid="{83349CB7-0DCF-4327-8AEB-83F378683A07}">
      <text>
        <r>
          <rPr>
            <sz val="10"/>
            <color theme="1"/>
            <rFont val="Lexend Deca"/>
            <charset val="134"/>
          </rPr>
          <t xml:space="preserve">STATUS
COMPLETED: Landed in Region Warehouse/Customer and Transacted in the System
IN-TRANSIT:  Picked-up Pending Landing/Transaction
PENDING G2G: FG Available; Pending to Ship/Pending Good to Go Ship
PO FIRM: committed by PV Supplier; order placed to HSPV
PO FORECAST: pending to confirmed by PV Supplier; order pending to be placed to HSPV
Wxx PICK-UP : to anticipate future execution </t>
        </r>
      </text>
    </comment>
    <comment ref="Y1" authorId="3" shapeId="0" xr:uid="{A28A5E3F-E98A-4938-BD5D-61A1746B94CB}">
      <text>
        <r>
          <rPr>
            <b/>
            <sz val="9"/>
            <rFont val="Tahoma"/>
            <family val="2"/>
          </rPr>
          <t>Mye Villapando:</t>
        </r>
        <r>
          <rPr>
            <sz val="9"/>
            <rFont val="Tahoma"/>
            <family val="2"/>
          </rPr>
          <t xml:space="preserve">
Leg 1 + Leg 2 + Leg 3</t>
        </r>
      </text>
    </comment>
    <comment ref="Z1" authorId="3" shapeId="0" xr:uid="{F5E8FB70-2481-48E7-92C8-C2E68BBA7076}">
      <text>
        <r>
          <rPr>
            <sz val="9"/>
            <rFont val="Tahoma"/>
            <family val="2"/>
          </rPr>
          <t>Actual Pick-up Date from HSPV</t>
        </r>
      </text>
    </comment>
    <comment ref="AG1" authorId="3" shapeId="0" xr:uid="{A486AD27-4D42-4509-9430-C5B00635CA91}">
      <text>
        <r>
          <rPr>
            <sz val="9"/>
            <rFont val="Tahoma"/>
            <family val="2"/>
          </rPr>
          <t xml:space="preserve">Estimated and Actual Date of Port Departure
</t>
        </r>
      </text>
    </comment>
    <comment ref="N2" authorId="4" shapeId="0" xr:uid="{772CEF9C-F687-4D65-9B5B-967E3EA4701D}">
      <text>
        <t>[线程批注]
你的Excel版本可读取此线程批注; 但如果在更新版本的Excel中打开文件，则对批注所作的任何改动都将被删除。了解详细信息: https://go.microsoft.com/fwlink/?linkid=870924
注释:
    GF0700000253  old SKU no.</t>
      </text>
    </comment>
    <comment ref="N3" authorId="5" shapeId="0" xr:uid="{E150412D-084F-4846-9C8F-1632AE672DA5}">
      <text>
        <t>[线程批注]
你的Excel版本可读取此线程批注; 但如果在更新版本的Excel中打开文件，则对批注所作的任何改动都将被删除。了解详细信息: https://go.microsoft.com/fwlink/?linkid=870924
注释:
    GF0700000254  Old SKU NO.</t>
      </text>
    </comment>
    <comment ref="N4" authorId="6" shapeId="0" xr:uid="{70F14BE2-9331-4AD0-A0B2-975EED0A3598}">
      <text>
        <t>[线程批注]
你的Excel版本可读取此线程批注; 但如果在更新版本的Excel中打开文件，则对批注所作的任何改动都将被删除。了解详细信息: https://go.microsoft.com/fwlink/?linkid=870924
注释:
    GF0700000086 OLD SKU No.</t>
      </text>
    </comment>
    <comment ref="N5" authorId="7" shapeId="0" xr:uid="{2C846013-1B59-4DC4-A40C-277CAD89F697}">
      <text>
        <t>[线程批注]
你的Excel版本可读取此线程批注; 但如果在更新版本的Excel中打开文件，则对批注所作的任何改动都将被删除。了解详细信息: https://go.microsoft.com/fwlink/?linkid=870924
注释:
    GF0700000086 OLD SKU No.</t>
      </text>
    </comment>
    <comment ref="N6" authorId="8" shapeId="0" xr:uid="{587BEF4E-4319-455E-B8BE-BC14C1CA850B}">
      <text>
        <t>[线程批注]
你的Excel版本可读取此线程批注; 但如果在更新版本的Excel中打开文件，则对批注所作的任何改动都将被删除。了解详细信息: https://go.microsoft.com/fwlink/?linkid=870924
注释:
    GF0700000087  Old SKU No.</t>
      </text>
    </comment>
    <comment ref="N7" authorId="9" shapeId="0" xr:uid="{F9CD9AB7-E2A8-46FE-958F-CE2C105BB261}">
      <text>
        <t>[线程批注]
你的Excel版本可读取此线程批注; 但如果在更新版本的Excel中打开文件，则对批注所作的任何改动都将被删除。了解详细信息: https://go.microsoft.com/fwlink/?linkid=870924
注释:
    GF0700000088 OLD SKU NO.</t>
      </text>
    </comment>
    <comment ref="N8" authorId="10" shapeId="0" xr:uid="{E1A60641-09F4-422D-B28E-E8475DAA2D23}">
      <text>
        <t>[线程批注]
你的Excel版本可读取此线程批注; 但如果在更新版本的Excel中打开文件，则对批注所作的任何改动都将被删除。了解详细信息: https://go.microsoft.com/fwlink/?linkid=870924
注释:
    GF0700000089 OLD SKU No.</t>
      </text>
    </comment>
    <comment ref="N9" authorId="11" shapeId="0" xr:uid="{B8D9BB95-4C8E-4C74-B9F3-76CA887AAEE8}">
      <text>
        <t>[线程批注]
你的Excel版本可读取此线程批注; 但如果在更新版本的Excel中打开文件，则对批注所作的任何改动都将被删除。了解详细信息: https://go.microsoft.com/fwlink/?linkid=870924
注释:
    GF0700000089 OLD SKU No.</t>
      </text>
    </comment>
    <comment ref="N10" authorId="12" shapeId="0" xr:uid="{E726441C-B718-4BDE-8A3A-1EE12E80E44D}">
      <text>
        <t>[线程批注]
你的Excel版本可读取此线程批注; 但如果在更新版本的Excel中打开文件，则对批注所作的任何改动都将被删除。了解详细信息: https://go.microsoft.com/fwlink/?linkid=870924
注释:
    GF0700000086 OLD SKU No.</t>
      </text>
    </comment>
    <comment ref="N11" authorId="13" shapeId="0" xr:uid="{3C84037A-FDFD-43B0-974C-58D2F5A07C27}">
      <text>
        <t>[线程批注]
你的Excel版本可读取此线程批注; 但如果在更新版本的Excel中打开文件，则对批注所作的任何改动都将被删除。了解详细信息: https://go.microsoft.com/fwlink/?linkid=870924
注释:
    GF0700000087  Old SKU No.</t>
      </text>
    </comment>
    <comment ref="N12" authorId="14" shapeId="0" xr:uid="{0ABD6111-5765-4744-BC33-D9F20EBAF1E4}">
      <text>
        <t>[线程批注]
你的Excel版本可读取此线程批注; 但如果在更新版本的Excel中打开文件，则对批注所作的任何改动都将被删除。了解详细信息: https://go.microsoft.com/fwlink/?linkid=870924
注释:
    GF0700000088 OLD SKU NO.</t>
      </text>
    </comment>
    <comment ref="N13" authorId="15" shapeId="0" xr:uid="{DE781106-528A-4F19-BACE-002DDFE57B55}">
      <text>
        <t>[线程批注]
你的Excel版本可读取此线程批注; 但如果在更新版本的Excel中打开文件，则对批注所作的任何改动都将被删除。了解详细信息: https://go.microsoft.com/fwlink/?linkid=870924
注释:
    GF0700000089 OLD SKU No.</t>
      </text>
    </comment>
    <comment ref="N14" authorId="16" shapeId="0" xr:uid="{6C176552-8B04-4624-BD35-9E45B6266966}">
      <text>
        <t>[线程批注]
你的Excel版本可读取此线程批注; 但如果在更新版本的Excel中打开文件，则对批注所作的任何改动都将被删除。了解详细信息: https://go.microsoft.com/fwlink/?linkid=870924
注释:
    GF0700000040 OLD SKU No.</t>
      </text>
    </comment>
    <comment ref="N15" authorId="17" shapeId="0" xr:uid="{3E29B457-31E8-4A5D-8B9A-6E81EB463557}">
      <text>
        <t>[线程批注]
你的Excel版本可读取此线程批注; 但如果在更新版本的Excel中打开文件，则对批注所作的任何改动都将被删除。了解详细信息: https://go.microsoft.com/fwlink/?linkid=870924
注释:
    GF0700000040 OLD SKU No.</t>
      </text>
    </comment>
    <comment ref="N18" authorId="18" shapeId="0" xr:uid="{6D7C0965-09CA-4483-8BCE-8E14D52858D0}">
      <text>
        <t>[线程批注]
你的Excel版本可读取此线程批注; 但如果在更新版本的Excel中打开文件，则对批注所作的任何改动都将被删除。了解详细信息: https://go.microsoft.com/fwlink/?linkid=870924
注释:
    GF0700000086 OLD SKU No.</t>
      </text>
    </comment>
    <comment ref="N19" authorId="19" shapeId="0" xr:uid="{A9F34427-61B8-4F7B-A335-29DF00F4DB15}">
      <text>
        <t>[线程批注]
你的Excel版本可读取此线程批注; 但如果在更新版本的Excel中打开文件，则对批注所作的任何改动都将被删除。了解详细信息: https://go.microsoft.com/fwlink/?linkid=870924
注释:
    GF0700000086 OLD SKU No.</t>
      </text>
    </comment>
    <comment ref="N20" authorId="20" shapeId="0" xr:uid="{B02BC9ED-1D7C-488C-BED4-E7F2AB52805E}">
      <text>
        <t>[线程批注]
你的Excel版本可读取此线程批注; 但如果在更新版本的Excel中打开文件，则对批注所作的任何改动都将被删除。了解详细信息: https://go.microsoft.com/fwlink/?linkid=870924
注释:
    GF0700000089 OLD SKU No.</t>
      </text>
    </comment>
    <comment ref="R22" authorId="21" shapeId="0" xr:uid="{0A88831B-E1B3-4A14-9C04-ED2BD1EE051A}">
      <text>
        <t>[线程批注]
你的Excel版本可读取此线程批注; 但如果在更新版本的Excel中打开文件，则对批注所作的任何改动都将被删除。了解详细信息: https://go.microsoft.com/fwlink/?linkid=870924
注释:
    12pcs afersales in this container</t>
      </text>
    </comment>
    <comment ref="N23" authorId="22" shapeId="0" xr:uid="{8019FE6D-D8D6-41BC-8387-884C6BA3A6AC}">
      <text>
        <t>[线程批注]
你的Excel版本可读取此线程批注; 但如果在更新版本的Excel中打开文件，则对批注所作的任何改动都将被删除。了解详细信息: https://go.microsoft.com/fwlink/?linkid=870924
注释:
    GF0700000089 OLD SKU No.</t>
      </text>
    </comment>
    <comment ref="AB23" authorId="23" shapeId="0" xr:uid="{DF99F182-006A-411A-A244-B717D3DEBA11}">
      <text>
        <t>[线程批注]
你的Excel版本可读取此线程批注; 但如果在更新版本的Excel中打开文件，则对批注所作的任何改动都将被删除。了解详细信息: https://go.microsoft.com/fwlink/?linkid=870924
注释:
    As per Jerry’s guidance 12-FEB</t>
      </text>
    </comment>
    <comment ref="N24" authorId="24" shapeId="0" xr:uid="{B4A9199B-8F2E-4DEF-8102-07152D39AF67}">
      <text>
        <t>[线程批注]
你的Excel版本可读取此线程批注; 但如果在更新版本的Excel中打开文件，则对批注所作的任何改动都将被删除。了解详细信息: https://go.microsoft.com/fwlink/?linkid=870924
注释:
    PVHK-SPTN开单用的是GF0700000087</t>
      </text>
    </comment>
    <comment ref="U24" authorId="25" shapeId="0" xr:uid="{A525DA9E-9A3F-49EB-9036-BE77015A576E}">
      <text>
        <t>[线程批注]
你的Excel版本可读取此线程批注; 但如果在更新版本的Excel中打开文件，则对批注所作的任何改动都将被删除。了解详细信息: https://go.microsoft.com/fwlink/?linkid=870924
注释:
    20GP</t>
      </text>
    </comment>
    <comment ref="N27" authorId="26" shapeId="0" xr:uid="{561A628C-DF6D-4045-9B3C-EFDCFB6A1C62}">
      <text>
        <t>[线程批注]
你的Excel版本可读取此线程批注; 但如果在更新版本的Excel中打开文件，则对批注所作的任何改动都将被删除。了解详细信息: https://go.microsoft.com/fwlink/?linkid=870924
注释:
    GF0700000040 OLD SKU No.</t>
      </text>
    </comment>
    <comment ref="N28" authorId="27" shapeId="0" xr:uid="{E304B92E-EAB4-424D-89AB-FB7233A298A1}">
      <text>
        <t>[线程批注]
你的Excel版本可读取此线程批注; 但如果在更新版本的Excel中打开文件，则对批注所作的任何改动都将被删除。了解详细信息: https://go.microsoft.com/fwlink/?linkid=870924
注释:
    GF0700000040 OLD SKU No.</t>
      </text>
    </comment>
    <comment ref="AB28" authorId="28" shapeId="0" xr:uid="{BD1D55E8-EBB0-432E-91C3-B481E95668A7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N29" authorId="29" shapeId="0" xr:uid="{DB4DE3DB-0110-4CDE-B161-5B7FA03DA15D}">
      <text>
        <t>[线程批注]
你的Excel版本可读取此线程批注; 但如果在更新版本的Excel中打开文件，则对批注所作的任何改动都将被删除。了解详细信息: https://go.microsoft.com/fwlink/?linkid=870924
注释:
    GF0700000040 OLD SKU No.</t>
      </text>
    </comment>
    <comment ref="AB29" authorId="30" shapeId="0" xr:uid="{895C8D4D-422D-4BFD-A0D7-9B7D9E0E929D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B30" authorId="31" shapeId="0" xr:uid="{4A3F7044-8F87-4FA0-A5C8-76417A8DD093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B31" authorId="32" shapeId="0" xr:uid="{6D01176D-DA38-440A-A421-DC635CBB793C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B32" authorId="33" shapeId="0" xr:uid="{2AF7B907-838D-4689-83C6-40B8841E1352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B33" authorId="34" shapeId="0" xr:uid="{03B1C07E-C04F-4D6D-A298-177987EC30B6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B34" authorId="35" shapeId="0" xr:uid="{6A10312E-4A54-45ED-991C-165D7DF0562E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B35" authorId="36" shapeId="0" xr:uid="{BBF3172F-8F42-49DC-88F8-3E0B55B37D9C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B36" authorId="37" shapeId="0" xr:uid="{CA5D9ED9-8611-430B-9E72-88C1CD228A26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B37" authorId="38" shapeId="0" xr:uid="{5A1CFAF6-E5C8-4C05-846F-D7F07B41BA20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B38" authorId="39" shapeId="0" xr:uid="{09B344CB-D292-4EE8-BFAF-05E4EA93D0CB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B39" authorId="40" shapeId="0" xr:uid="{C3089D40-9BA0-48CE-BB02-41CB0BA734C2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B40" authorId="41" shapeId="0" xr:uid="{AEE0B30E-6430-4AB8-A832-448F62705777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B41" authorId="42" shapeId="0" xr:uid="{21E2C0B7-986B-4C2E-B2D7-5AC3DDDFF7B9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B42" authorId="43" shapeId="0" xr:uid="{71CB9096-7085-4895-8471-76E8A60AA7E7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B43" authorId="44" shapeId="0" xr:uid="{659E31F1-702F-4AC4-9B36-57E3FFBE70E0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B44" authorId="45" shapeId="0" xr:uid="{554CC7C6-F460-47AB-B2FD-BE08B8699170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B45" authorId="46" shapeId="0" xr:uid="{820756E1-F8E2-49CF-84EC-425551438E76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B46" authorId="47" shapeId="0" xr:uid="{E05D1E01-F6CB-47DB-BA15-F0370B84E761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B47" authorId="48" shapeId="0" xr:uid="{F7D4DF12-32BA-4564-80C4-74BFFD40BF44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B48" authorId="49" shapeId="0" xr:uid="{E922EDB7-02EF-4E3F-BBBD-7BB554A0CA31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B49" authorId="50" shapeId="0" xr:uid="{E94F06C9-127D-498D-8320-2ADE5B539479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  <comment ref="A50" authorId="51" shapeId="0" xr:uid="{0CC76633-F66C-4CD8-9F24-0B8A4BF04C1A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C&amp;I Energy storage </t>
      </text>
    </comment>
    <comment ref="N60" authorId="52" shapeId="0" xr:uid="{1257243C-1D07-415E-BA9C-D0C4B3126534}">
      <text>
        <t>[线程批注]
你的Excel版本可读取此线程批注; 但如果在更新版本的Excel中打开文件，则对批注所作的任何改动都将被删除。了解详细信息: https://go.microsoft.com/fwlink/?linkid=870924
注释:
    SKU changed to be GF0700001011 when EU team receive in stock.
PVHK-SPTN开单用的是GF0700000087</t>
      </text>
    </comment>
    <comment ref="N64" authorId="53" shapeId="0" xr:uid="{505B5D71-B0F1-4B87-8EDA-B04D13B0F5AE}">
      <text>
        <t>[线程批注]
你的Excel版本可读取此线程批注; 但如果在更新版本的Excel中打开文件，则对批注所作的任何改动都将被删除。了解详细信息: https://go.microsoft.com/fwlink/?linkid=870924
注释:
    SKU c hanged to be GF0700000973 when EU team receive in stock.</t>
      </text>
    </comment>
    <comment ref="Z173" authorId="54" shapeId="0" xr:uid="{2E00BE70-28F0-426D-8DB5-8B7A1849C17F}">
      <text>
        <t>[线程批注]
你的Excel版本可读取此线程批注; 但如果在更新版本的Excel中打开文件，则对批注所作的任何改动都将被删除。了解详细信息: https://go.microsoft.com/fwlink/?linkid=870924
注释:
    1 pick-up on 09-18, another pick-up on 09-19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tc={A9D62FC9-9191-469D-9130-A004A969233A}</author>
    <author>tc={B8D4743A-4341-44F4-94F3-6AB31AF7061C}</author>
  </authors>
  <commentList>
    <comment ref="C1" authorId="0" shapeId="0" xr:uid="{A9D62FC9-9191-469D-9130-A004A969233A}">
      <text>
        <t>[线程批注]
你的Excel版本可读取此线程批注; 但如果在更新版本的Excel中打开文件，则对批注所作的任何改动都将被删除。了解详细信息: https://go.microsoft.com/fwlink/?linkid=870924
注释:
    Local WH = for all shipments to replenish local W-org
SPxx / yy = for DDP shipments to xx entity and yy customer
Customer = when allocated to a specific customer</t>
      </text>
    </comment>
    <comment ref="S36" authorId="1" shapeId="0" xr:uid="{B8D4743A-4341-44F4-94F3-6AB31AF7061C}">
      <text>
        <t>[线程批注]
你的Excel版本可读取此线程批注; 但如果在更新版本的Excel中打开文件，则对批注所作的任何改动都将被删除。了解详细信息: https://go.microsoft.com/fwlink/?linkid=870924
注释:
    pushed out from w51 to w01
答复:
    PRICE TO BE REDISCUSSED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tc={3FE43AEF-0DB8-4C3A-A200-5D99966D4207}</author>
  </authors>
  <commentList>
    <comment ref="B311" authorId="0" shapeId="0" xr:uid="{3FE43AEF-0DB8-4C3A-A200-5D99966D4207}">
      <text>
        <t>[线程批注]
你的Excel版本可读取此线程批注; 但如果在更新版本的Excel中打开文件，则对批注所作的任何改动都将被删除。了解详细信息: https://go.microsoft.com/fwlink/?linkid=870924
注释:
    Former POPV260224003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tc={38B81232-DDF6-4F2F-A747-F9D334ADC710}</author>
    <author>tc={8ADA3520-58AC-42E3-9780-75D37AA23AB5}</author>
    <author>tc={E5EBCE3E-1E5E-420F-8EE6-733DAC2B0D2C}</author>
    <author>Mye Villapando</author>
    <author>tc={D4B7A9FD-DB8B-4D14-B773-546BED9C7BCB}</author>
    <author>tc={B98F10F5-AB33-48B3-A2A9-A44982F018E3}</author>
    <author>tc={0559CC66-9958-4C2C-B4AC-AFC37204F892}</author>
    <author>tc={3EE3A581-81A8-45EC-8FB3-8BB55DEB46C5}</author>
    <author>tc={537CC29C-5850-4517-8B7A-993BEC31FB5F}</author>
    <author>tc={369B2475-0F30-457C-B37D-86C3FDC9DDF8}</author>
    <author>tc={436D4632-6936-4488-AB91-AC700D922812}</author>
    <author>tc={3CBA3E4F-4DDF-4167-8CE8-1D7BA72AC87C}</author>
    <author>tc={7F3AC369-C3F6-4589-9DA8-8CC1077CEC10}</author>
    <author>tc={E96E570E-9CF8-4246-A426-77F0F5D9AE91}</author>
    <author>tc={8431630C-0F86-40C5-A917-7710EB8E2288}</author>
    <author>tc={B7EAD9F8-BA8C-49C4-B09F-B2101A4DE7E6}</author>
    <author>tc={D2E6B301-5421-408B-A504-FEC9E60D6E06}</author>
    <author>tc={02857888-7E65-475C-A60D-F7FD445CF524}</author>
    <author>tc={49C53AED-9D01-4359-83D6-E27AC1C83E5B}</author>
    <author>tc={9495F142-899C-4EED-AA76-69A10948B680}</author>
    <author>tc={8824AA22-142F-4BB6-BD7C-D29C0939217A}</author>
    <author>tc={69BEBA49-891C-4BFB-A341-C4EB8DFF5EE2}</author>
    <author>tc={20708EDA-B7E5-4DE2-9901-96BC69F53B16}</author>
    <author>tc={6E65B673-8B4C-48A4-BF00-D2AAEEC76DCF}</author>
  </authors>
  <commentList>
    <comment ref="D3" authorId="0" shapeId="0" xr:uid="{38B81232-DDF6-4F2F-A747-F9D334ADC710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DDP = Specific salesorder with DDP incoterm. DAP shipment inbetween
DAP = salesorder or shipment to local WH
Other incoterms for specific salesorders
</t>
      </text>
    </comment>
    <comment ref="F3" authorId="1" shapeId="0" xr:uid="{8ADA3520-58AC-42E3-9780-75D37AA23AB5}">
      <text>
        <t>[线程批注]
你的Excel版本可读取此线程批注; 但如果在更新版本的Excel中打开文件，则对批注所作的任何改动都将被删除。了解详细信息: https://go.microsoft.com/fwlink/?linkid=870924
注释:
    Local WH = for all shipments to replenish local W-org
SPxx / yy = for DDP shipments to xx entity and yy customer
Customer = when allocated to a specific customer</t>
      </text>
    </comment>
    <comment ref="I3" authorId="2" shapeId="0" xr:uid="{E5EBCE3E-1E5E-420F-8EE6-733DAC2B0D2C}">
      <text>
        <t>[线程批注]
你的Excel版本可读取此线程批注; 但如果在更新版本的Excel中打开文件，则对批注所作的任何改动都将被删除。了解详细信息: https://go.microsoft.com/fwlink/?linkid=870924
注释:
    Stauts list :
Excluded = shipped to local warehouse
Locked = allocated to specific customer with salesorder/commit
Pipeline = pre-allocation to secure availability for specific customer/country/project
Available = for new allocation
Future Prod = when availability at factory not yet established</t>
      </text>
    </comment>
    <comment ref="R3" authorId="3" shapeId="0" xr:uid="{421B465D-F41E-431E-947A-E86E32078331}">
      <text>
        <r>
          <rPr>
            <b/>
            <sz val="9"/>
            <rFont val="Tahoma"/>
            <family val="2"/>
          </rPr>
          <t>STATUS</t>
        </r>
        <r>
          <rPr>
            <sz val="9"/>
            <rFont val="Tahoma"/>
            <family val="2"/>
          </rPr>
          <t xml:space="preserve">
</t>
        </r>
        <r>
          <rPr>
            <b/>
            <sz val="9"/>
            <color indexed="17"/>
            <rFont val="Tahoma"/>
            <family val="2"/>
          </rPr>
          <t xml:space="preserve">COMPLETED: </t>
        </r>
        <r>
          <rPr>
            <sz val="9"/>
            <color indexed="17"/>
            <rFont val="Tahoma"/>
            <family val="2"/>
          </rPr>
          <t xml:space="preserve">Landed in Region Warehouse/Customer and Transacted in the System
</t>
        </r>
        <r>
          <rPr>
            <b/>
            <sz val="9"/>
            <color indexed="17"/>
            <rFont val="Tahoma"/>
            <family val="2"/>
          </rPr>
          <t xml:space="preserve">IN-TRANSIT: </t>
        </r>
        <r>
          <rPr>
            <sz val="9"/>
            <color indexed="17"/>
            <rFont val="Tahoma"/>
            <family val="2"/>
          </rPr>
          <t xml:space="preserve"> Picked-up Pending Landing/Transaction
</t>
        </r>
        <r>
          <rPr>
            <b/>
            <sz val="9"/>
            <color indexed="17"/>
            <rFont val="Tahoma"/>
            <family val="2"/>
          </rPr>
          <t>PENDING TO SHIP:</t>
        </r>
        <r>
          <rPr>
            <sz val="9"/>
            <color indexed="17"/>
            <rFont val="Tahoma"/>
            <family val="2"/>
          </rPr>
          <t xml:space="preserve"> FG Available; Pending to Ship/Pending Good to Go Ship
</t>
        </r>
        <r>
          <rPr>
            <b/>
            <sz val="9"/>
            <color indexed="17"/>
            <rFont val="Tahoma"/>
            <family val="2"/>
          </rPr>
          <t>PO FIRM:</t>
        </r>
        <r>
          <rPr>
            <sz val="9"/>
            <color indexed="17"/>
            <rFont val="Tahoma"/>
            <family val="2"/>
          </rPr>
          <t xml:space="preserve"> committed by PV Supplier; order placed to HSPV
</t>
        </r>
        <r>
          <rPr>
            <b/>
            <sz val="9"/>
            <color indexed="17"/>
            <rFont val="Tahoma"/>
            <family val="2"/>
          </rPr>
          <t>PO FORECAST:</t>
        </r>
        <r>
          <rPr>
            <sz val="9"/>
            <color indexed="17"/>
            <rFont val="Tahoma"/>
            <family val="2"/>
          </rPr>
          <t xml:space="preserve"> pending to confirmed by PV Supplier; order pending to be placed to HSPV</t>
        </r>
      </text>
    </comment>
    <comment ref="T3" authorId="3" shapeId="0" xr:uid="{05C77EDE-B840-4046-9B8D-27A89E875385}">
      <text>
        <r>
          <rPr>
            <b/>
            <sz val="9"/>
            <rFont val="Tahoma"/>
            <family val="2"/>
          </rPr>
          <t>Mye Villapando:</t>
        </r>
        <r>
          <rPr>
            <sz val="9"/>
            <rFont val="Tahoma"/>
            <family val="2"/>
          </rPr>
          <t xml:space="preserve">
Leg 1 + Leg 2 + Leg 3</t>
        </r>
      </text>
    </comment>
    <comment ref="U3" authorId="3" shapeId="0" xr:uid="{CC6A0F8B-D07B-4E1E-87EC-BC269FD4075C}">
      <text>
        <r>
          <rPr>
            <b/>
            <sz val="9"/>
            <rFont val="Tahoma"/>
            <family val="2"/>
          </rPr>
          <t>Calculated Landed Date in the Regional Warehouses Workweek format</t>
        </r>
      </text>
    </comment>
    <comment ref="X3" authorId="3" shapeId="0" xr:uid="{A509FD57-9BBC-47CB-A917-EB7591BA00CB}">
      <text>
        <r>
          <rPr>
            <sz val="9"/>
            <rFont val="Tahoma"/>
            <family val="2"/>
          </rPr>
          <t>Actual Pick-up Date from HSPV</t>
        </r>
      </text>
    </comment>
    <comment ref="AD3" authorId="3" shapeId="0" xr:uid="{A9122D0C-4C33-45C0-B477-2BAC5F0CB102}">
      <text>
        <r>
          <rPr>
            <sz val="9"/>
            <rFont val="Tahoma"/>
            <family val="2"/>
          </rPr>
          <t xml:space="preserve">Estimated and Actual Date of Port Departure
</t>
        </r>
      </text>
    </comment>
    <comment ref="AA48" authorId="4" shapeId="0" xr:uid="{D4B7A9FD-DB8B-4D14-B773-546BED9C7BCB}">
      <text>
        <t>[线程批注]
你的Excel版本可读取此线程批注; 但如果在更新版本的Excel中打开文件，则对批注所作的任何改动都将被删除。了解详细信息: https://go.microsoft.com/fwlink/?linkid=870924
注释:
    Voltaneo 3rd CT</t>
      </text>
    </comment>
    <comment ref="AA53" authorId="5" shapeId="0" xr:uid="{B98F10F5-AB33-48B3-A2A9-A44982F018E3}">
      <text>
        <t>[线程批注]
你的Excel版本可读取此线程批注; 但如果在更新版本的Excel中打开文件，则对批注所作的任何改动都将被删除。了解详细信息: https://go.microsoft.com/fwlink/?linkid=870924
注释:
    2nd order for Approused</t>
      </text>
    </comment>
    <comment ref="AC69" authorId="6" shapeId="0" xr:uid="{0559CC66-9958-4C2C-B4AC-AFC37204F892}">
      <text>
        <t>[线程批注]
你的Excel版本可读取此线程批注; 但如果在更新版本的Excel中打开文件，则对批注所作的任何改动都将被删除。了解详细信息: https://go.microsoft.com/fwlink/?linkid=870924
注释:
    Change Of Destination</t>
      </text>
    </comment>
    <comment ref="AC79" authorId="7" shapeId="0" xr:uid="{3EE3A581-81A8-45EC-8FB3-8BB55DEB46C5}">
      <text>
        <t>[线程批注]
你的Excel版本可读取此线程批注; 但如果在更新版本的Excel中打开文件，则对批注所作的任何改动都将被删除。了解详细信息: https://go.microsoft.com/fwlink/?linkid=870924
注释:
    Change Of Destination
答复:
    Change Of Destination</t>
      </text>
    </comment>
    <comment ref="Q83" authorId="8" shapeId="0" xr:uid="{537CC29C-5850-4517-8B7A-993BEC31FB5F}">
      <text>
        <t>[线程批注]
你的Excel版本可读取此线程批注; 但如果在更新版本的Excel中打开文件，则对批注所作的任何改动都将被删除。了解详细信息: https://go.microsoft.com/fwlink/?linkid=870924
注释:
    CIP Port of Klaipeda, Lithuania</t>
      </text>
    </comment>
    <comment ref="AA83" authorId="9" shapeId="0" xr:uid="{369B2475-0F30-457C-B37D-86C3FDC9DDF8}">
      <text>
        <t>[线程批注]
你的Excel版本可读取此线程批注; 但如果在更新版本的Excel中打开文件，则对批注所作的任何改动都将被删除。了解详细信息: https://go.microsoft.com/fwlink/?linkid=870924
注释:
    Reenpro batch 2</t>
      </text>
    </comment>
    <comment ref="AJ83" authorId="10" shapeId="0" xr:uid="{436D4632-6936-4488-AB91-AC700D922812}">
      <text>
        <t>[线程批注]
你的Excel版本可读取此线程批注; 但如果在更新版本的Excel中打开文件，则对批注所作的任何改动都将被删除。了解详细信息: https://go.microsoft.com/fwlink/?linkid=870924
注释:
    CIP Port of Klaipeda, Lithuania</t>
      </text>
    </comment>
    <comment ref="Q100" authorId="11" shapeId="0" xr:uid="{3CBA3E4F-4DDF-4167-8CE8-1D7BA72AC87C}">
      <text>
        <t>[线程批注]
你的Excel版本可读取此线程批注; 但如果在更新版本的Excel中打开文件，则对批注所作的任何改动都将被删除。了解详细信息: https://go.microsoft.com/fwlink/?linkid=870924
注释:
    Ready stock and can be picked up any time needed before end of March</t>
      </text>
    </comment>
    <comment ref="AA110" authorId="12" shapeId="0" xr:uid="{7F3AC369-C3F6-4589-9DA8-8CC1077CEC10}">
      <text>
        <t>[线程批注]
你的Excel版本可读取此线程批注; 但如果在更新版本的Excel中打开文件，则对批注所作的任何改动都将被删除。了解详细信息: https://go.microsoft.com/fwlink/?linkid=870924
注释:
    Mayisolia order</t>
      </text>
    </comment>
    <comment ref="AJ110" authorId="13" shapeId="0" xr:uid="{E96E570E-9CF8-4246-A426-77F0F5D9AE91}">
      <text>
        <t>[线程批注]
你的Excel版本可读取此线程批注; 但如果在更新版本的Excel中打开文件，则对批注所作的任何改动都将被删除。了解详细信息: https://go.microsoft.com/fwlink/?linkid=870924
注释:
    Maisolia CIP  Change to DDP</t>
      </text>
    </comment>
    <comment ref="AC118" authorId="14" shapeId="0" xr:uid="{8431630C-0F86-40C5-A917-7710EB8E2288}">
      <text>
        <t>[线程批注]
你的Excel版本可读取此线程批注; 但如果在更新版本的Excel中打开文件，则对批注所作的任何改动都将被删除。了解详细信息: https://go.microsoft.com/fwlink/?linkid=870924
注释:
    Change Of Destination
答复:
    Change Of Destination</t>
      </text>
    </comment>
    <comment ref="AJ131" authorId="15" shapeId="0" xr:uid="{B7EAD9F8-BA8C-49C4-B09F-B2101A4DE7E6}">
      <text>
        <t>[线程批注]
你的Excel版本可读取此线程批注; 但如果在更新版本的Excel中打开文件，则对批注所作的任何改动都将被删除。了解详细信息: https://go.microsoft.com/fwlink/?linkid=870924
注释:
    2 CTs for Voltaneo</t>
      </text>
    </comment>
    <comment ref="AJ141" authorId="16" shapeId="0" xr:uid="{D2E6B301-5421-408B-A504-FEC9E60D6E06}">
      <text>
        <t>[线程批注]
你的Excel版本可读取此线程批注; 但如果在更新版本的Excel中打开文件，则对批注所作的任何改动都将被删除。了解详细信息: https://go.microsoft.com/fwlink/?linkid=870924
注释:
    1 CT for APPROSUD</t>
      </text>
    </comment>
    <comment ref="AJ142" authorId="17" shapeId="0" xr:uid="{02857888-7E65-475C-A60D-F7FD445CF524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Reenpro big order, first 3CTs </t>
      </text>
    </comment>
    <comment ref="AJ143" authorId="18" shapeId="0" xr:uid="{49C53AED-9D01-4359-83D6-E27AC1C83E5B}">
      <text>
        <t>[线程批注]
你的Excel版本可读取此线程批注; 但如果在更新版本的Excel中打开文件，则对批注所作的任何改动都将被删除。了解详细信息: https://go.microsoft.com/fwlink/?linkid=870924
注释:
    Another 1 CT for APPROSUD, GTG received on May.06th</t>
      </text>
    </comment>
    <comment ref="A148" authorId="19" shapeId="0" xr:uid="{9495F142-899C-4EED-AA76-69A10948B680}">
      <text>
        <t>[线程批注]
你的Excel版本可读取此线程批注; 但如果在更新版本的Excel中打开文件，则对批注所作的任何改动都将被删除。了解详细信息: https://go.microsoft.com/fwlink/?linkid=870924
注释:
    Italy VP SOLAR order</t>
      </text>
    </comment>
    <comment ref="M148" authorId="20" shapeId="0" xr:uid="{8824AA22-142F-4BB6-BD7C-D29C0939217A}">
      <text>
        <t>[线程批注]
你的Excel版本可读取此线程批注; 但如果在更新版本的Excel中打开文件，则对批注所作的任何改动都将被删除。了解详细信息: https://go.microsoft.com/fwlink/?linkid=870924
注释:
    Brand: TCL</t>
      </text>
    </comment>
    <comment ref="AJ148" authorId="21" shapeId="0" xr:uid="{69BEBA49-891C-4BFB-A341-C4EB8DFF5EE2}">
      <text>
        <t>[线程批注]
你的Excel版本可读取此线程批注; 但如果在更新版本的Excel中打开文件，则对批注所作的任何改动都将被删除。了解详细信息: https://go.microsoft.com/fwlink/?linkid=870924
注释:
    VP SOLAR's order</t>
      </text>
    </comment>
    <comment ref="A153" authorId="22" shapeId="0" xr:uid="{20708EDA-B7E5-4DE2-9901-96BC69F53B16}">
      <text>
        <t>[线程批注]
你的Excel版本可读取此线程批注; 但如果在更新版本的Excel中打开文件，则对批注所作的任何改动都将被删除。了解详细信息: https://go.microsoft.com/fwlink/?linkid=870924
注释:
    Italy VP SOLAR order</t>
      </text>
    </comment>
    <comment ref="M153" authorId="23" shapeId="0" xr:uid="{6E65B673-8B4C-48A4-BF00-D2AAEEC76DCF}">
      <text>
        <t>[线程批注]
你的Excel版本可读取此线程批注; 但如果在更新版本的Excel中打开文件，则对批注所作的任何改动都将被删除。了解详细信息: https://go.microsoft.com/fwlink/?linkid=870924
注释:
    Brand: TCL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tc={72F1FEA3-8A39-4850-815F-1073040A8D65}</author>
    <author>tc={630DD3F9-7C54-467F-A68E-1F3B93B395BF}</author>
    <author>tc={C5CB7954-2785-4A3E-8AB6-DF19FCC9073F}</author>
    <author>tc={6331CE35-77BA-465E-9FDF-4EC8DCA7A46E}</author>
    <author>tc={15D36F01-12F2-4E04-A896-0CD0D7E9072C}</author>
    <author>tc={012FD375-1C62-47F8-8DA9-7BDF3AC4EA4A}</author>
    <author>tc={F5AD5E93-AD5E-4477-9909-645221112D6B}</author>
    <author>tc={86FFF946-B233-4469-BE3E-3A68F79015B8}</author>
    <author>tc={CA5E9E5A-EDFD-4D77-88BF-E9BBF11E2C3C}</author>
    <author>tc={0DF4761A-5909-4063-8472-1DC0C905BEE8}</author>
    <author>tc={94001541-E4A2-4439-B422-67E9E95FBB34}</author>
    <author>tc={FC8FAC09-49D3-45F4-B31D-1E474DFD1756}</author>
  </authors>
  <commentList>
    <comment ref="G43" authorId="0" shapeId="0" xr:uid="{72F1FEA3-8A39-4850-815F-1073040A8D65}">
      <text>
        <t>[线程批注]
你的Excel版本可读取此线程批注; 但如果在更新版本的Excel中打开文件，则对批注所作的任何改动都将被删除。了解详细信息: https://go.microsoft.com/fwlink/?linkid=870924
注释:
    5月25日收到邮件，此1pcs配件被海关查验后退回，已在新方舟做了SPTN-PVHK退库操作。</t>
      </text>
    </comment>
    <comment ref="L57" authorId="1" shapeId="0" xr:uid="{630DD3F9-7C54-467F-A68E-1F3B93B395BF}">
      <text>
        <t>[线程批注]
你的Excel版本可读取此线程批注; 但如果在更新版本的Excel中打开文件，则对批注所作的任何改动都将被删除。了解详细信息: https://go.microsoft.com/fwlink/?linkid=870924
注释:
    not through OM2</t>
      </text>
    </comment>
    <comment ref="L58" authorId="2" shapeId="0" xr:uid="{C5CB7954-2785-4A3E-8AB6-DF19FCC9073F}">
      <text>
        <t>[线程批注]
你的Excel版本可读取此线程批注; 但如果在更新版本的Excel中打开文件，则对批注所作的任何改动都将被删除。了解详细信息: https://go.microsoft.com/fwlink/?linkid=870924
注释:
    not through OM2</t>
      </text>
    </comment>
    <comment ref="L59" authorId="3" shapeId="0" xr:uid="{6331CE35-77BA-465E-9FDF-4EC8DCA7A46E}">
      <text>
        <t>[线程批注]
你的Excel版本可读取此线程批注; 但如果在更新版本的Excel中打开文件，则对批注所作的任何改动都将被删除。了解详细信息: https://go.microsoft.com/fwlink/?linkid=870924
注释:
    not through OM2</t>
      </text>
    </comment>
    <comment ref="G60" authorId="4" shapeId="0" xr:uid="{15D36F01-12F2-4E04-A896-0CD0D7E9072C}">
      <text>
        <t>[线程批注]
你的Excel版本可读取此线程批注; 但如果在更新版本的Excel中打开文件，则对批注所作的任何改动都将被删除。了解详细信息: https://go.microsoft.com/fwlink/?linkid=870924
注释:
    X5从米兰交货而不是从国内发，新方舟系统更新PO价格</t>
      </text>
    </comment>
    <comment ref="L65" authorId="5" shapeId="0" xr:uid="{012FD375-1C62-47F8-8DA9-7BDF3AC4EA4A}">
      <text>
        <t>[线程批注]
你的Excel版本可读取此线程批注; 但如果在更新版本的Excel中打开文件，则对批注所作的任何改动都将被删除。了解详细信息: https://go.microsoft.com/fwlink/?linkid=870924
注释:
    not through OM2</t>
      </text>
    </comment>
    <comment ref="L66" authorId="6" shapeId="0" xr:uid="{F5AD5E93-AD5E-4477-9909-645221112D6B}">
      <text>
        <t>[线程批注]
你的Excel版本可读取此线程批注; 但如果在更新版本的Excel中打开文件，则对批注所作的任何改动都将被删除。了解详细信息: https://go.microsoft.com/fwlink/?linkid=870924
注释:
    not through OM2</t>
      </text>
    </comment>
    <comment ref="L67" authorId="7" shapeId="0" xr:uid="{86FFF946-B233-4469-BE3E-3A68F79015B8}">
      <text>
        <t>[线程批注]
你的Excel版本可读取此线程批注; 但如果在更新版本的Excel中打开文件，则对批注所作的任何改动都将被删除。了解详细信息: https://go.microsoft.com/fwlink/?linkid=870924
注释:
    not through OM2</t>
      </text>
    </comment>
    <comment ref="D74" authorId="8" shapeId="0" xr:uid="{CA5E9E5A-EDFD-4D77-88BF-E9BBF11E2C3C}">
      <text>
        <t>[线程批注]
你的Excel版本可读取此线程批注; 但如果在更新版本的Excel中打开文件，则对批注所作的任何改动都将被删除。了解详细信息: https://go.microsoft.com/fwlink/?linkid=870924
注释:
    这个SKU在系统中对应法碳型号，因实物已经用了普货的型号，所以线下文件保持一致，用法碳的SKU，对普货的型号。</t>
      </text>
    </comment>
    <comment ref="L76" authorId="9" shapeId="0" xr:uid="{0DF4761A-5909-4063-8472-1DC0C905BEE8}">
      <text>
        <t>[线程批注]
你的Excel版本可读取此线程批注; 但如果在更新版本的Excel中打开文件，则对批注所作的任何改动都将被删除。了解详细信息: https://go.microsoft.com/fwlink/?linkid=870924
注释:
    Transfer order PVAE260903000044</t>
      </text>
    </comment>
    <comment ref="L77" authorId="10" shapeId="0" xr:uid="{94001541-E4A2-4439-B422-67E9E95FBB34}">
      <text>
        <t>[线程批注]
你的Excel版本可读取此线程批注; 但如果在更新版本的Excel中打开文件，则对批注所作的任何改动都将被删除。了解详细信息: https://go.microsoft.com/fwlink/?linkid=870924
注释:
    PVAE260923000039</t>
      </text>
    </comment>
    <comment ref="B78" authorId="11" shapeId="0" xr:uid="{FC8FAC09-49D3-45F4-B31D-1E474DFD1756}">
      <text>
        <t>[线程批注]
你的Excel版本可读取此线程批注; 但如果在更新版本的Excel中打开文件，则对批注所作的任何改动都将被删除。了解详细信息: https://go.microsoft.com/fwlink/?linkid=870924
注释:
    CH0126091100003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tc={1A834372-6371-4CC0-97B6-E40455DC5FE6}</author>
  </authors>
  <commentList>
    <comment ref="A134" authorId="0" shapeId="0" xr:uid="{1A834372-6371-4CC0-97B6-E40455DC5FE6}">
      <text>
        <t>[线程批注]
你的Excel版本可读取此线程批注; 但如果在更新版本的Excel中打开文件，则对批注所作的任何改动都将被删除。了解详细信息: https://go.microsoft.com/fwlink/?linkid=870924
注释:
    EVO2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1426A5-C8B0-4302-92DC-BEE7A350A2DC}" keepAlive="1" name="查询 - ESS PV" description="与工作簿中“ESS PV”查询的连接。" type="5" refreshedVersion="0" background="1">
    <dbPr connection="Provider=Microsoft.Mashup.OleDb.1;Data Source=$Workbook$;Location=&quot;ESS PV&quot;;Extended Properties=&quot;&quot;" command="SELECT * FROM [ESS PV]"/>
  </connection>
  <connection id="2" xr16:uid="{6DA028B0-068D-4A73-93A1-C256C2AA066B}" keepAlive="1" name="查询 - ESS_DATA" description="与工作簿中“ESS_DATA”查询的连接。" type="5" refreshedVersion="0" background="1">
    <dbPr connection="Provider=Microsoft.Mashup.OleDb.1;Data Source=$Workbook$;Location=ESS_DATA;Extended Properties=&quot;&quot;" command="SELECT * FROM [ESS_DATA]"/>
  </connection>
  <connection id="3" xr16:uid="{A402FC95-53F4-4E4F-B05A-B8563312AF93}" keepAlive="1" name="查询 - PO Check" description="与工作簿中“PO Check”查询的连接。" type="5" refreshedVersion="8" background="1" saveData="1">
    <dbPr connection="Provider=Microsoft.Mashup.OleDb.1;Data Source=$Workbook$;Location=&quot;PO Check&quot;;Extended Properties=&quot;&quot;" command="SELECT * FROM [PO Check]"/>
  </connection>
  <connection id="4" xr16:uid="{0B540965-D1A2-43B6-9ECB-699A1BA15218}" keepAlive="1" name="查询 - PO PV" description="与工作簿中“PO PV”查询的连接。" type="5" refreshedVersion="0" background="1">
    <dbPr connection="Provider=Microsoft.Mashup.OleDb.1;Data Source=$Workbook$;Location=&quot;PO PV&quot;;Extended Properties=&quot;&quot;" command="SELECT * FROM [PO PV]"/>
  </connection>
  <connection id="5" xr16:uid="{BD2F6656-AF14-40C3-ABF0-94511D5BA48A}" keepAlive="1" name="查询 - PV_DATA" description="与工作簿中“PV_DATA”查询的连接。" type="5" refreshedVersion="0" background="1" saveData="1">
    <dbPr connection="Provider=Microsoft.Mashup.OleDb.1;Data Source=$Workbook$;Location=PV_DATA;Extended Properties=&quot;&quot;" command="SELECT * FROM [PV_DATA]"/>
  </connection>
  <connection id="6" xr16:uid="{7BE7C407-C1BC-48C1-958E-ECB09587A7AE}" keepAlive="1" name="查询 - Total Stock" description="与工作簿中“Total Stock”查询的连接。" type="5" refreshedVersion="0" background="1" saveData="1">
    <dbPr connection="Provider=Microsoft.Mashup.OleDb.1;Data Source=$Workbook$;Location=&quot;Total Stock&quot;;Extended Properties=&quot;&quot;" command="SELECT * FROM [Total Stock]"/>
  </connection>
  <connection id="7" xr16:uid="{058786AA-9EB7-4134-8C20-59052400440E}" keepAlive="1" name="查询 - Total Stock1" description="与工作簿中“Total Stock”查询的连接。" type="5" refreshedVersion="8" background="1" saveData="1">
    <dbPr connection="Provider=Microsoft.Mashup.OleDb.1;Data Source=$Workbook$;Location=&quot;Total Stock&quot;;Extended Properties=&quot;&quot;" command="SELECT * FROM [Total Stock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<sst xmlns="http://schemas.openxmlformats.org/spreadsheetml/2006/main" count="107359" uniqueCount="11176">
  <si>
    <t>TCL REFERENCE</t>
  </si>
  <si>
    <t>Factory Location</t>
  </si>
  <si>
    <t>FX_QTY criteria</t>
  </si>
  <si>
    <t>CHANNEL</t>
  </si>
  <si>
    <t>New Ark PO Type</t>
  </si>
  <si>
    <t>New Ark WH</t>
  </si>
  <si>
    <t>TCL-HK PO INCOTERM Requested</t>
  </si>
  <si>
    <t>B/L Consignee</t>
  </si>
  <si>
    <t>Priority Level</t>
  </si>
  <si>
    <t>ALLOCATION Planning</t>
  </si>
  <si>
    <t>SPWR SO Number</t>
  </si>
  <si>
    <t>SPWR SO Line</t>
  </si>
  <si>
    <t>G2G / Planning</t>
  </si>
  <si>
    <t>Factory Available Date</t>
  </si>
  <si>
    <t>PRODUCT TYPE</t>
  </si>
  <si>
    <t>New Ark SKU</t>
  </si>
  <si>
    <t>Model</t>
  </si>
  <si>
    <t>Connector</t>
  </si>
  <si>
    <t>Cable Length</t>
  </si>
  <si>
    <t>WATT</t>
  </si>
  <si>
    <t>QUANTITY</t>
  </si>
  <si>
    <t>MW</t>
  </si>
  <si>
    <t>PALLETS</t>
  </si>
  <si>
    <t>CONTAINERS</t>
  </si>
  <si>
    <t>STATUS</t>
  </si>
  <si>
    <t>COMPLETED or IN-TRANSIT</t>
    <phoneticPr fontId="0" type="noConversion"/>
  </si>
  <si>
    <t>ETR</t>
  </si>
  <si>
    <t>Pick-Up Date</t>
  </si>
  <si>
    <t>Pick-Up Week</t>
  </si>
  <si>
    <t>SPTN-PVHK New Ark PO#</t>
  </si>
  <si>
    <t>SPTN-HKPV ORacle PO#</t>
  </si>
  <si>
    <t>PORT OF LOADING</t>
  </si>
  <si>
    <t>POL</t>
  </si>
  <si>
    <t>PORT DESTINATION</t>
  </si>
  <si>
    <t xml:space="preserve">ETD On S/O
</t>
    <phoneticPr fontId="0" type="noConversion"/>
  </si>
  <si>
    <t>ETD Update</t>
  </si>
  <si>
    <t>ATD PORT</t>
  </si>
  <si>
    <t>ETA On S/O</t>
  </si>
  <si>
    <t>ETA Update</t>
  </si>
  <si>
    <t>ATA PORT</t>
  </si>
  <si>
    <t>Incoterm</t>
    <phoneticPr fontId="0" type="noConversion"/>
  </si>
  <si>
    <t xml:space="preserve">REFERENCE
V.V   </t>
  </si>
  <si>
    <t>Carrier</t>
  </si>
  <si>
    <t>TCL Invoice#
or PO#</t>
  </si>
  <si>
    <t>MBL/HBL#</t>
  </si>
  <si>
    <t>BOOKING#</t>
    <phoneticPr fontId="0" type="noConversion"/>
  </si>
  <si>
    <t>Leg2 leadtime On S/O</t>
  </si>
  <si>
    <t xml:space="preserve">Telex released </t>
  </si>
  <si>
    <t>ODP ETA Port</t>
  </si>
  <si>
    <t>New Ark PO status</t>
    <phoneticPr fontId="0" type="noConversion"/>
  </si>
  <si>
    <t>NewArk ETA PO</t>
  </si>
  <si>
    <t>Customs/Leg3 Assumption</t>
  </si>
  <si>
    <t>ETA for New Ark update</t>
  </si>
  <si>
    <t>ETA Year</t>
  </si>
  <si>
    <t>ETA Month</t>
  </si>
  <si>
    <t>ETA Week</t>
  </si>
  <si>
    <t>Qty/Pallet</t>
  </si>
  <si>
    <t>Qty/CT</t>
  </si>
  <si>
    <t>Back Glass</t>
  </si>
  <si>
    <t>Shipping Line</t>
  </si>
  <si>
    <t>OCT009.05</t>
  </si>
  <si>
    <t>Tianjin</t>
  </si>
  <si>
    <t>OCT009</t>
  </si>
  <si>
    <t>CORE DG</t>
  </si>
  <si>
    <t>Internal</t>
  </si>
  <si>
    <t>Arrival Plan-SPTN</t>
  </si>
  <si>
    <t>DAP</t>
  </si>
  <si>
    <t>SunPower Energy Solutions France SAS</t>
  </si>
  <si>
    <t>n/a</t>
  </si>
  <si>
    <t xml:space="preserve">Local WH </t>
  </si>
  <si>
    <t>Half Cut</t>
  </si>
  <si>
    <t>GF0700000071</t>
  </si>
  <si>
    <t>HSM-ND54-DR500</t>
  </si>
  <si>
    <t>EVO2A</t>
  </si>
  <si>
    <t xml:space="preserve">±1200mm </t>
  </si>
  <si>
    <t>COMPLETED</t>
  </si>
  <si>
    <t>POPV260114015</t>
  </si>
  <si>
    <t>TIANJIN</t>
  </si>
  <si>
    <t>FOS SUR MER</t>
  </si>
  <si>
    <t>COSCO SHIPPING CAPRICORN/039W</t>
  </si>
  <si>
    <t>COSCO</t>
  </si>
  <si>
    <t>TPVB20251205009</t>
  </si>
  <si>
    <t>COSU6437850520</t>
  </si>
  <si>
    <t>SWB</t>
  </si>
  <si>
    <t xml:space="preserve">In Stock-Approved </t>
  </si>
  <si>
    <t>Black glazing</t>
  </si>
  <si>
    <t>AEM</t>
  </si>
  <si>
    <t>NOV008.04</t>
  </si>
  <si>
    <t>NOV008</t>
  </si>
  <si>
    <t>SPTN / NED</t>
  </si>
  <si>
    <t>46010796 / FR0125122900758</t>
  </si>
  <si>
    <t>GF0700000080</t>
  </si>
  <si>
    <t>HSM-ND48-DR450_CFP</t>
  </si>
  <si>
    <t>POPV260114013</t>
  </si>
  <si>
    <t>Transparent</t>
  </si>
  <si>
    <t>NOV008.07</t>
  </si>
  <si>
    <t>Local WH</t>
  </si>
  <si>
    <t>POPV260114014</t>
  </si>
  <si>
    <t>OCT012.02</t>
  </si>
  <si>
    <t>OCT012</t>
  </si>
  <si>
    <t>Arrival Plan-SPNL</t>
  </si>
  <si>
    <t>Distributors Italy - W72</t>
  </si>
  <si>
    <t>GF0101010095</t>
  </si>
  <si>
    <t>HSM-ND66-GR620</t>
  </si>
  <si>
    <t>POPV260224025</t>
  </si>
  <si>
    <t>ROTTERDAM</t>
  </si>
  <si>
    <t>TPVB20251205010</t>
  </si>
  <si>
    <t>COSU6437850970</t>
  </si>
  <si>
    <t>White glazing</t>
  </si>
  <si>
    <t>AEU</t>
  </si>
  <si>
    <t>DEC003.09</t>
  </si>
  <si>
    <t>Yixing</t>
  </si>
  <si>
    <t>DEC003</t>
  </si>
  <si>
    <t>UPP</t>
  </si>
  <si>
    <t>Arrival Plan-SPES</t>
  </si>
  <si>
    <t>Sunpower Energy Systems Spain, S.L.U.</t>
  </si>
  <si>
    <t>SPES / Total Portugal</t>
  </si>
  <si>
    <t>PT0125122900789</t>
  </si>
  <si>
    <t>GF0700001575</t>
  </si>
  <si>
    <t>HSM-ND78-GF640</t>
  </si>
  <si>
    <t xml:space="preserve">±1400mm </t>
  </si>
  <si>
    <t>POPV260115029</t>
  </si>
  <si>
    <t>SHANGHAI</t>
  </si>
  <si>
    <t>Shanghai</t>
  </si>
  <si>
    <t>VALENCIA</t>
  </si>
  <si>
    <t>COSCO SHIPPING PISCES 031W</t>
  </si>
  <si>
    <t>TPVB20251212006</t>
  </si>
  <si>
    <t>COSU6438488340</t>
  </si>
  <si>
    <t>Redirection Film</t>
  </si>
  <si>
    <t>DEC012.04</t>
  </si>
  <si>
    <t>DEC012</t>
  </si>
  <si>
    <t>Local WH - SPTN W74 (Italy)</t>
  </si>
  <si>
    <t>Shingle</t>
  </si>
  <si>
    <t>GF0700000811</t>
  </si>
  <si>
    <t>TCL-MG720DT210-68NS</t>
  </si>
  <si>
    <t>POPV260224037</t>
  </si>
  <si>
    <t>TPVB20251212007</t>
  </si>
  <si>
    <t>COSU6438902550</t>
  </si>
  <si>
    <t>DEC012.01</t>
  </si>
  <si>
    <t>POPV260217050</t>
  </si>
  <si>
    <t>COSCO SHIPPING KILIMANJARO 043W</t>
  </si>
  <si>
    <t>TPVB20251212008</t>
  </si>
  <si>
    <t>COSU6438512470</t>
  </si>
  <si>
    <t>NOV008.01</t>
  </si>
  <si>
    <t>Offshore</t>
  </si>
  <si>
    <t>SPTN Offstore in Transit WH</t>
  </si>
  <si>
    <t>CIP</t>
  </si>
  <si>
    <t>Ecostal France</t>
  </si>
  <si>
    <t>POPV260104138</t>
  </si>
  <si>
    <t>COSCO SHIPPING VIRGO 034W</t>
  </si>
  <si>
    <t>46010731&amp;817</t>
  </si>
  <si>
    <t>COSU9505137680</t>
  </si>
  <si>
    <t xml:space="preserve">- </t>
  </si>
  <si>
    <t>NOV008.02</t>
  </si>
  <si>
    <t>POPV260104116</t>
  </si>
  <si>
    <t>OCT009.06</t>
  </si>
  <si>
    <t>FOB</t>
  </si>
  <si>
    <t>UAB Elmitra</t>
  </si>
  <si>
    <t>POPV260104081</t>
  </si>
  <si>
    <t>KLAIPEDA</t>
  </si>
  <si>
    <t>MSC CARMELA/GA552W</t>
  </si>
  <si>
    <t>OTHER</t>
  </si>
  <si>
    <t>177KKNPPXTNN5247</t>
  </si>
  <si>
    <t>OCT012.03</t>
  </si>
  <si>
    <t>POPV260224026</t>
  </si>
  <si>
    <t>TPVB20251212011</t>
  </si>
  <si>
    <t>COSU6438568500</t>
  </si>
  <si>
    <t>DEC009.02</t>
  </si>
  <si>
    <t>DEC009</t>
  </si>
  <si>
    <t>Local WH - W72 (Italy)</t>
  </si>
  <si>
    <t>P7 COM S BF IT</t>
  </si>
  <si>
    <t>GF0700000769</t>
  </si>
  <si>
    <t>PVM, SPR-P7-555-COM-S, I BF-G M4.3D EVO2Z6NL 1.5KV IT</t>
  </si>
  <si>
    <t>POPV260217038</t>
  </si>
  <si>
    <t>CSCL URANUS 107W</t>
  </si>
  <si>
    <t>TPVB20251219006</t>
  </si>
  <si>
    <t>COSU6439187330</t>
  </si>
  <si>
    <t>DEC003.04</t>
  </si>
  <si>
    <t>POPV260115034</t>
  </si>
  <si>
    <t>TPVB20251219004</t>
  </si>
  <si>
    <t>COSU6439185140</t>
  </si>
  <si>
    <t>DEC012.05</t>
  </si>
  <si>
    <t>POPV260224033</t>
  </si>
  <si>
    <t>EVER GOLDEN 0733-031W</t>
  </si>
  <si>
    <t>TPVB20251219005</t>
  </si>
  <si>
    <t>COSU6440016030</t>
  </si>
  <si>
    <t>NOV005.02</t>
  </si>
  <si>
    <t>NOV005</t>
  </si>
  <si>
    <t>Distributors Italy - SPTN W74</t>
  </si>
  <si>
    <t>GF0700001578</t>
  </si>
  <si>
    <t>TCL-MR465DT182-58NS</t>
  </si>
  <si>
    <t>POPV260224034</t>
  </si>
  <si>
    <t>OCT007.08</t>
  </si>
  <si>
    <t>OCT007</t>
  </si>
  <si>
    <t>SPTN // Baltsolar</t>
  </si>
  <si>
    <t>GF0700000078</t>
  </si>
  <si>
    <t>HSM-ND48-DR450</t>
  </si>
  <si>
    <t>　</t>
  </si>
  <si>
    <t>POPV260115023</t>
  </si>
  <si>
    <t>COSCO SHIPPING GALAXY 028W</t>
  </si>
  <si>
    <t>TPVB20251219008</t>
  </si>
  <si>
    <t>COSU9505242760</t>
  </si>
  <si>
    <t>NOV009</t>
  </si>
  <si>
    <t>Main Line</t>
  </si>
  <si>
    <t>GF0700001603</t>
  </si>
  <si>
    <t>HSM-ND48-DR455_CFP</t>
  </si>
  <si>
    <t>POPV260204032</t>
  </si>
  <si>
    <t>TPVB20251219009</t>
  </si>
  <si>
    <t>COSU6439291780</t>
  </si>
  <si>
    <t>DEC009.10</t>
  </si>
  <si>
    <t>POPV260126026</t>
  </si>
  <si>
    <t>COSCO NETHERLANDS 075W</t>
  </si>
  <si>
    <t>TPVB20260102009</t>
  </si>
  <si>
    <t>COSU6440379730</t>
  </si>
  <si>
    <t>NOV017.11</t>
  </si>
  <si>
    <t>NOV017</t>
  </si>
  <si>
    <t>SPTN / Elements Montredon</t>
  </si>
  <si>
    <t>FR0125122900699</t>
  </si>
  <si>
    <t>GF0700000313</t>
  </si>
  <si>
    <t>HSM-ND66-GR625 CFP</t>
  </si>
  <si>
    <t>POPV260126028</t>
  </si>
  <si>
    <t>CMA CGM SAINT GERMAIN 0FMLKW1MA</t>
  </si>
  <si>
    <t>TPVB20260102001</t>
  </si>
  <si>
    <t>CHN2962495</t>
  </si>
  <si>
    <t>NOV017.09</t>
  </si>
  <si>
    <t>POPV260126029</t>
  </si>
  <si>
    <t>DEC009.01</t>
  </si>
  <si>
    <t>POPV260126033</t>
  </si>
  <si>
    <t>CMA CGM BIG SUR 0MEMRW1MA</t>
  </si>
  <si>
    <t>TPVB20260102003</t>
  </si>
  <si>
    <t>COSU6440380050</t>
  </si>
  <si>
    <t>DEC009.06</t>
  </si>
  <si>
    <t>Local WH - SPTN W74</t>
  </si>
  <si>
    <t>POPV260127044</t>
  </si>
  <si>
    <t>CMA CGM BIG SUR</t>
  </si>
  <si>
    <t>DEC003.11</t>
  </si>
  <si>
    <t>POPV260126030</t>
  </si>
  <si>
    <t>TPVB20260102004</t>
  </si>
  <si>
    <t>COSU6440380240</t>
  </si>
  <si>
    <t>DEC003.12.01</t>
  </si>
  <si>
    <t>POPV260126032</t>
  </si>
  <si>
    <t>CSCL MERCURY 098W</t>
  </si>
  <si>
    <t>TPVB20260102005</t>
  </si>
  <si>
    <t>COSU6440381610</t>
  </si>
  <si>
    <t>DEC003.12</t>
  </si>
  <si>
    <t>DEC003.13</t>
  </si>
  <si>
    <t>POPV260206008</t>
  </si>
  <si>
    <t>COSCO SHIPPING SCORPIO 033W</t>
  </si>
  <si>
    <t>TPVB20260102006</t>
  </si>
  <si>
    <t>COSU6440381320</t>
  </si>
  <si>
    <t>NOV005.03</t>
  </si>
  <si>
    <t>POPV260224032</t>
  </si>
  <si>
    <t>TPVB20260102007</t>
  </si>
  <si>
    <t>COSU6440242670</t>
  </si>
  <si>
    <t>NOV005.04</t>
  </si>
  <si>
    <t>POPV260417059</t>
  </si>
  <si>
    <t>TPVB20260102008</t>
  </si>
  <si>
    <t>COSU6440242960</t>
  </si>
  <si>
    <t>DEC009.04</t>
  </si>
  <si>
    <t>POPV260217039</t>
  </si>
  <si>
    <t>DEC009.11</t>
  </si>
  <si>
    <t>POPV260126031</t>
  </si>
  <si>
    <t>EVER APEX 1383-013W</t>
  </si>
  <si>
    <t>TPVB20260109002</t>
  </si>
  <si>
    <t>COSU6441128810</t>
  </si>
  <si>
    <t>DEC003.06</t>
  </si>
  <si>
    <t>PT0125122900795</t>
  </si>
  <si>
    <t>POPV260206007</t>
  </si>
  <si>
    <t>CSCL SATURN 087W</t>
  </si>
  <si>
    <t>TPVB20260109003</t>
  </si>
  <si>
    <t>COSU6441114300</t>
  </si>
  <si>
    <t>DEC003.05</t>
  </si>
  <si>
    <t>POPV260129005</t>
  </si>
  <si>
    <t>CMA CGM CEDRUS 0MEMTW1MA</t>
  </si>
  <si>
    <t>TPVB20260109004</t>
  </si>
  <si>
    <t>COSU6440662920</t>
  </si>
  <si>
    <t>DEC003.10</t>
  </si>
  <si>
    <t>POPV260129004</t>
  </si>
  <si>
    <t>DEC003.15</t>
  </si>
  <si>
    <t>POPV260129012</t>
  </si>
  <si>
    <t>JUNE001.09</t>
  </si>
  <si>
    <t>zhuhai -&gt; Shenzhen</t>
  </si>
  <si>
    <t>JUNE001</t>
  </si>
  <si>
    <t>SPTN / Grosshandelsunion</t>
  </si>
  <si>
    <t>BC</t>
  </si>
  <si>
    <t>GF0700000075</t>
  </si>
  <si>
    <t>HSM-BD54-DA460</t>
  </si>
  <si>
    <t>POPV260126025</t>
  </si>
  <si>
    <t>SHENZHEN</t>
  </si>
  <si>
    <t>Shenzhen</t>
  </si>
  <si>
    <t>TPVB20260109005</t>
  </si>
  <si>
    <t>COSU6440518510</t>
  </si>
  <si>
    <t>JUNE001.11</t>
  </si>
  <si>
    <t>SPTN / Energy3000</t>
  </si>
  <si>
    <t>POPV260126022</t>
  </si>
  <si>
    <t>DEC001.01</t>
  </si>
  <si>
    <t>Zhuhai</t>
  </si>
  <si>
    <t>DEC001</t>
  </si>
  <si>
    <t>M Class</t>
  </si>
  <si>
    <t>GF0700000804</t>
  </si>
  <si>
    <t>SPR-BE54-DC480</t>
  </si>
  <si>
    <t>POPV260126023</t>
  </si>
  <si>
    <t>TPVB20260109006</t>
  </si>
  <si>
    <t>COSU6440518511</t>
  </si>
  <si>
    <t>DEC002.01</t>
  </si>
  <si>
    <t>DEC002</t>
  </si>
  <si>
    <t>GF0700000805</t>
  </si>
  <si>
    <t>SPR-BE54-DC485</t>
  </si>
  <si>
    <t>POPV260126027</t>
  </si>
  <si>
    <t>DEC001.02</t>
  </si>
  <si>
    <t>Arrival Plan-SPIT</t>
  </si>
  <si>
    <t>Sunpower Italia S.R.L.</t>
  </si>
  <si>
    <t>Local WH - POD to be updated vs. W81</t>
  </si>
  <si>
    <t>POPV260129008</t>
  </si>
  <si>
    <t>GENOA</t>
  </si>
  <si>
    <t>TPVB20260109007</t>
  </si>
  <si>
    <t>COSU6440775660</t>
  </si>
  <si>
    <t>DEC002.02</t>
  </si>
  <si>
    <t>POPV260129021</t>
  </si>
  <si>
    <t>DEC002.03</t>
  </si>
  <si>
    <t>POPV260211003</t>
  </si>
  <si>
    <t>TPVB20260109008</t>
  </si>
  <si>
    <t>COSU6440772870</t>
  </si>
  <si>
    <t>DEC001.03</t>
  </si>
  <si>
    <t>POPV260211019</t>
  </si>
  <si>
    <t>DEC018.03</t>
  </si>
  <si>
    <t>DEC018</t>
  </si>
  <si>
    <t>SPTN / Qair SP Uebigau-Wahrenbrück GmbH &amp; Co. KG</t>
  </si>
  <si>
    <t>tbc</t>
  </si>
  <si>
    <t>GF0700000346</t>
  </si>
  <si>
    <t>HSM-ND66-GR625</t>
  </si>
  <si>
    <t>H4(Com)</t>
  </si>
  <si>
    <t>POPV260126034</t>
  </si>
  <si>
    <t>COSCO SHIPPING SOLAR / 0FAM7W1MA/035W</t>
  </si>
  <si>
    <t>TPVB20260109009</t>
  </si>
  <si>
    <t>TJN0838410</t>
  </si>
  <si>
    <t>OCT007.06</t>
  </si>
  <si>
    <t>POPV260126021</t>
  </si>
  <si>
    <t>COSCO SHIPPING SOLAR 035W</t>
  </si>
  <si>
    <t>TPVB20260109010</t>
  </si>
  <si>
    <t>COSU6441103270</t>
  </si>
  <si>
    <t>DEC018.02</t>
  </si>
  <si>
    <t>POPV260126020</t>
  </si>
  <si>
    <t>TPVB20260109001</t>
  </si>
  <si>
    <t>TJN0838400</t>
  </si>
  <si>
    <t>OCT009.03</t>
  </si>
  <si>
    <t>FR0125122900715</t>
  </si>
  <si>
    <t>POPV260129006</t>
  </si>
  <si>
    <t>COSCO SHIPPING LIBRA 034W</t>
  </si>
  <si>
    <t>46010942-4.1</t>
  </si>
  <si>
    <t>COSU6440567860</t>
  </si>
  <si>
    <t>DEC021.02</t>
  </si>
  <si>
    <t>DEC021</t>
  </si>
  <si>
    <t>SPTN / Unite Chauvigny</t>
  </si>
  <si>
    <t>46011022 -&gt; FR0125122900833</t>
  </si>
  <si>
    <t>POPV260129013</t>
  </si>
  <si>
    <t>LE HAVRE</t>
  </si>
  <si>
    <t>CMA CGM ZHENG HE / 0FMLMW1MA</t>
  </si>
  <si>
    <t>TPVB20260116002</t>
  </si>
  <si>
    <t>CHN2966579</t>
  </si>
  <si>
    <t>NOV017.06</t>
  </si>
  <si>
    <t>POPV260129014</t>
  </si>
  <si>
    <t>NOV017.07</t>
  </si>
  <si>
    <t>SPTN / Unite Beauchêne</t>
  </si>
  <si>
    <t>46011021 -&gt; FR0125122900835</t>
  </si>
  <si>
    <t>POPV260129016</t>
  </si>
  <si>
    <t>NOV017.12</t>
  </si>
  <si>
    <t>POPV260129015</t>
  </si>
  <si>
    <t>NOV017.08</t>
  </si>
  <si>
    <t>POPV260129017</t>
  </si>
  <si>
    <t>CMA CGM ZHENG HE 0FMLMW1MA</t>
  </si>
  <si>
    <t>TPVB20260116004</t>
  </si>
  <si>
    <t>COSU6441393600</t>
  </si>
  <si>
    <t>NOV017.13</t>
  </si>
  <si>
    <t>POPV260129018</t>
  </si>
  <si>
    <t>NOV016.01</t>
  </si>
  <si>
    <t>NOV016</t>
  </si>
  <si>
    <t>SPTN / Soregies Dange II</t>
  </si>
  <si>
    <t>GF0700000885</t>
  </si>
  <si>
    <t>HSM-ND66-GR620 CFP</t>
  </si>
  <si>
    <t>POPV260129019</t>
  </si>
  <si>
    <t>NOV005.08</t>
  </si>
  <si>
    <t>POPV260225024</t>
  </si>
  <si>
    <t>OOCL HONG KONG 038W</t>
  </si>
  <si>
    <t>TPVB20260116005</t>
  </si>
  <si>
    <t>COSU6441367620</t>
  </si>
  <si>
    <t>DEC011.08</t>
  </si>
  <si>
    <t>DEC011</t>
  </si>
  <si>
    <t>POPV260225023</t>
  </si>
  <si>
    <t>DEC011.02</t>
  </si>
  <si>
    <t>POPV260225022</t>
  </si>
  <si>
    <t>NOV005.05</t>
  </si>
  <si>
    <t>POPV260211018</t>
  </si>
  <si>
    <t>EVER LIFTING 062W</t>
  </si>
  <si>
    <t>TPVB20260116006</t>
  </si>
  <si>
    <t>COSU6441367700</t>
  </si>
  <si>
    <t>DEC003.16</t>
  </si>
  <si>
    <t>POPV260129007</t>
  </si>
  <si>
    <t>ANE MAERSK 604W</t>
  </si>
  <si>
    <t>TPVB20260116003</t>
  </si>
  <si>
    <t>MAY010.03</t>
  </si>
  <si>
    <t>MAY010</t>
  </si>
  <si>
    <t>CIF</t>
  </si>
  <si>
    <t>SUMINISTROS ORDUÑA</t>
  </si>
  <si>
    <t>SUMINISTROS ORDUÑA // ES0125122900527</t>
  </si>
  <si>
    <t>GF0700000024</t>
  </si>
  <si>
    <t>TCL-MR510DT182-64NS</t>
  </si>
  <si>
    <t>POPV260123004</t>
  </si>
  <si>
    <t>CMA CGM JULES VERNE 0MEMVW1MA</t>
  </si>
  <si>
    <t>TPVB20260116007</t>
  </si>
  <si>
    <t>COSU6441765780</t>
  </si>
  <si>
    <t>DEC009.07</t>
  </si>
  <si>
    <t>POPV260205017</t>
  </si>
  <si>
    <t>TPVB20260116008</t>
  </si>
  <si>
    <t>COSU6441963530</t>
  </si>
  <si>
    <t>DEC009.08</t>
  </si>
  <si>
    <t>POPV260205015</t>
  </si>
  <si>
    <t>OCT010.01</t>
  </si>
  <si>
    <t>OCT010</t>
  </si>
  <si>
    <t>SPTN / Rexel Sweden</t>
  </si>
  <si>
    <t>GF0700000842</t>
  </si>
  <si>
    <t>HSM-ND54-DR505</t>
  </si>
  <si>
    <t>POPV260129020</t>
  </si>
  <si>
    <t>TPVB20260109011</t>
  </si>
  <si>
    <t>COSU6441563290</t>
  </si>
  <si>
    <t>DEC018.04</t>
  </si>
  <si>
    <t>POPV260202005</t>
  </si>
  <si>
    <t>COSCO SHIPPING UNIVERSE/0FAM9W1MA/034W</t>
  </si>
  <si>
    <t>TPVB20260116001</t>
  </si>
  <si>
    <t>TJN0838416</t>
  </si>
  <si>
    <t>DEC021.01</t>
  </si>
  <si>
    <t>POPV260202006</t>
  </si>
  <si>
    <t>CMA CGM JACQUES SAADE/0FMLOW1MA</t>
  </si>
  <si>
    <t>TPVB20260123005</t>
  </si>
  <si>
    <t>CHN3007423</t>
  </si>
  <si>
    <t>DEC021.03</t>
  </si>
  <si>
    <t>POPV260202008</t>
  </si>
  <si>
    <t>NOV017.10</t>
  </si>
  <si>
    <t>FR0125122900833</t>
  </si>
  <si>
    <t>POPV260202007</t>
  </si>
  <si>
    <t>DEC021.04</t>
  </si>
  <si>
    <t>POPV260202009</t>
  </si>
  <si>
    <t>CMA CGM JACQUES SAADE</t>
  </si>
  <si>
    <t>NOV016.04</t>
  </si>
  <si>
    <t>POPV260202010</t>
  </si>
  <si>
    <t>POPV260202004</t>
  </si>
  <si>
    <t>TPVB20260123022</t>
  </si>
  <si>
    <t>COSU6442049520</t>
  </si>
  <si>
    <t>DEC010.01</t>
  </si>
  <si>
    <t>DEC010</t>
  </si>
  <si>
    <t>Arrival Plan-SPUK</t>
  </si>
  <si>
    <t>Sunpower Corporation UK Limited</t>
  </si>
  <si>
    <t>SPGB / Solarsense UK ltd</t>
  </si>
  <si>
    <t>GF0700000025</t>
  </si>
  <si>
    <t>TCL-MR460DT182-58NS</t>
  </si>
  <si>
    <t>POPV260205018</t>
  </si>
  <si>
    <t>FELIXSTOWE</t>
  </si>
  <si>
    <t>EVER AIM 1385-016W</t>
  </si>
  <si>
    <t>TPVB20260123008</t>
  </si>
  <si>
    <t>COSU6441764750</t>
  </si>
  <si>
    <t>DEC008.02</t>
  </si>
  <si>
    <t>DEC008</t>
  </si>
  <si>
    <t>GF0700000766</t>
  </si>
  <si>
    <t>PVM, SPR-P7-550-COM-S, I BF-G M4.3D EVO2Z6NL 1.5KV IT</t>
  </si>
  <si>
    <t xml:space="preserve">±1500mm </t>
  </si>
  <si>
    <t>POPV260205033</t>
  </si>
  <si>
    <t>CMA CGM APOLLON 0MEMXW1MA</t>
  </si>
  <si>
    <t>TPVB20260123009</t>
  </si>
  <si>
    <t>COSU6442048090</t>
  </si>
  <si>
    <t>DEC008.03</t>
  </si>
  <si>
    <t>POPV260205032</t>
  </si>
  <si>
    <t>DEC007.01</t>
  </si>
  <si>
    <t>DEC007</t>
  </si>
  <si>
    <t>P7 RES BLK 2.0</t>
  </si>
  <si>
    <t>GF0700000797</t>
  </si>
  <si>
    <t>PVM, SPR-P7-460-BLK-1500, I BF-G AR-SA M4.4F EVO2Z1NL IT P39</t>
  </si>
  <si>
    <t>POPV260205030</t>
  </si>
  <si>
    <t>DEC008.07</t>
  </si>
  <si>
    <t>POPV260205034</t>
  </si>
  <si>
    <t>EVER GIFTED 0736-028W</t>
  </si>
  <si>
    <t>TPVB20260123010</t>
  </si>
  <si>
    <t>COSU6442107220</t>
  </si>
  <si>
    <t>DEC011.09</t>
  </si>
  <si>
    <t>Local WH - W72</t>
  </si>
  <si>
    <t>POPV260211017</t>
  </si>
  <si>
    <t>COSCO SHIPPING SAKURA 034W</t>
  </si>
  <si>
    <t>TPVB20260123011</t>
  </si>
  <si>
    <t>COSU6441766300</t>
  </si>
  <si>
    <t>NOV005.06</t>
  </si>
  <si>
    <t>POPV260211014</t>
  </si>
  <si>
    <t>DEC011.05</t>
  </si>
  <si>
    <t>POPV260211016</t>
  </si>
  <si>
    <t>TPVB20260123012</t>
  </si>
  <si>
    <t>COSU6442108070</t>
  </si>
  <si>
    <t>DEC011.06</t>
  </si>
  <si>
    <t>POPV260211015</t>
  </si>
  <si>
    <t>DEC008.01</t>
  </si>
  <si>
    <t>POPV260211013</t>
  </si>
  <si>
    <t>DEC008.05</t>
  </si>
  <si>
    <t>POPV260211012</t>
  </si>
  <si>
    <t>DEC011.03</t>
  </si>
  <si>
    <t>POPV260225020</t>
  </si>
  <si>
    <t>TPVB20260123013</t>
  </si>
  <si>
    <t>COSU6442054300</t>
  </si>
  <si>
    <t>DEC012.06</t>
  </si>
  <si>
    <t>POPV260225016</t>
  </si>
  <si>
    <t>DEC011.04</t>
  </si>
  <si>
    <t>POPV260225019</t>
  </si>
  <si>
    <t>DEC012.08</t>
  </si>
  <si>
    <t>POPV260226008</t>
  </si>
  <si>
    <t>TPVB20260123014</t>
  </si>
  <si>
    <t>COSU6442107610</t>
  </si>
  <si>
    <t>DEC012.03</t>
  </si>
  <si>
    <t>POPV260226006</t>
  </si>
  <si>
    <t>DEC003.19</t>
  </si>
  <si>
    <t xml:space="preserve"> - </t>
  </si>
  <si>
    <t xml:space="preserve"> -  </t>
  </si>
  <si>
    <t>POPV260206005</t>
  </si>
  <si>
    <t>TPVB20260123015</t>
  </si>
  <si>
    <t>COSU6442105900</t>
  </si>
  <si>
    <t>DEC003.14</t>
  </si>
  <si>
    <t>POPV260206006</t>
  </si>
  <si>
    <t>TPVB20260123031</t>
  </si>
  <si>
    <t>COSU6441765320</t>
  </si>
  <si>
    <t>DEC006.01</t>
  </si>
  <si>
    <t>DEC006</t>
  </si>
  <si>
    <t>Nordic Sun Danmark A/S</t>
  </si>
  <si>
    <t>NordicSun</t>
  </si>
  <si>
    <t>46010947 -&gt; DK0125122900520</t>
  </si>
  <si>
    <t>GF0700000798</t>
  </si>
  <si>
    <t>PVM, SPR-P7-455-BLK-1500, I BF-G AR-SA M4.4F EVO2Z1NL IT P39</t>
  </si>
  <si>
    <t>POPV260130034</t>
  </si>
  <si>
    <t>AARHUS</t>
  </si>
  <si>
    <t>MSC CRISTINA/FW604W</t>
  </si>
  <si>
    <t>TPVB20260123001</t>
  </si>
  <si>
    <t>MEDUWK500504</t>
  </si>
  <si>
    <t>177FCLCLS0689421</t>
  </si>
  <si>
    <t>OCT002</t>
  </si>
  <si>
    <t>Failte Solar</t>
  </si>
  <si>
    <t>46010980 -&gt; IE0125122900800</t>
  </si>
  <si>
    <t>POPV260123005</t>
  </si>
  <si>
    <t>CORK</t>
  </si>
  <si>
    <t>CMA CGM JACQUES SAADE / 0FMLOW1MA/0FMLOW</t>
  </si>
  <si>
    <t>TPVB20260123002</t>
  </si>
  <si>
    <t>CHN2988980</t>
  </si>
  <si>
    <t>NOV002</t>
  </si>
  <si>
    <t>POPV260123007</t>
  </si>
  <si>
    <t>AUG004.11</t>
  </si>
  <si>
    <t>AUG004</t>
  </si>
  <si>
    <t>46010979 -&gt; IE0125122900792</t>
  </si>
  <si>
    <t>P7 RES BLK P</t>
  </si>
  <si>
    <t>GF0700000795</t>
  </si>
  <si>
    <t>PVM, SPR-P7-510-BLK-P, I BF-G AR-SA M4.4F EVO2Z7NL</t>
  </si>
  <si>
    <t xml:space="preserve">±1350mm </t>
  </si>
  <si>
    <t>POPV260123003</t>
  </si>
  <si>
    <t>DEC006.02</t>
  </si>
  <si>
    <t>POPV260123006</t>
  </si>
  <si>
    <t>SEPT013.01</t>
  </si>
  <si>
    <t>SEPT013</t>
  </si>
  <si>
    <t>46010978 -&gt; IE0126011200030</t>
  </si>
  <si>
    <t>GF0700001591</t>
  </si>
  <si>
    <t>POPV260123016</t>
  </si>
  <si>
    <t>CMA CGM MONTE CRISTO / 0BEMXW1MA</t>
  </si>
  <si>
    <t>TPVB20260123003</t>
  </si>
  <si>
    <t>TJN0856710</t>
  </si>
  <si>
    <t>SEPT013.02</t>
  </si>
  <si>
    <t>46010978 -&gt;  IE0126011200030</t>
  </si>
  <si>
    <t>POPV260123017</t>
  </si>
  <si>
    <t>MAY016.06</t>
  </si>
  <si>
    <t>MAY016</t>
  </si>
  <si>
    <t>GF0700001592</t>
  </si>
  <si>
    <t>HSM-ND48-DR445</t>
  </si>
  <si>
    <t>POPV260123018</t>
  </si>
  <si>
    <t>MAY016.07</t>
  </si>
  <si>
    <t>46011008 -&gt; IE0125122900502</t>
  </si>
  <si>
    <t>POPV260123015</t>
  </si>
  <si>
    <t>NOV010.01</t>
  </si>
  <si>
    <t>NOV010</t>
  </si>
  <si>
    <t>SPTN / Yuma</t>
  </si>
  <si>
    <t>POPV260205040</t>
  </si>
  <si>
    <t>COSCO SHIPPING ARIES 036W</t>
  </si>
  <si>
    <t>TPVB20260123021</t>
  </si>
  <si>
    <t>COSU6442391530</t>
  </si>
  <si>
    <t>DEC022.01</t>
  </si>
  <si>
    <t>DEC022</t>
  </si>
  <si>
    <t>GF0700000348</t>
  </si>
  <si>
    <t>POPV260331025</t>
  </si>
  <si>
    <t>OOCL VALENCIA 008W</t>
  </si>
  <si>
    <t>TPVB20260123006</t>
  </si>
  <si>
    <t>COSU6442058120</t>
  </si>
  <si>
    <t>OCT010.02</t>
  </si>
  <si>
    <t>POPV260331024</t>
  </si>
  <si>
    <t>OCT007.07</t>
  </si>
  <si>
    <t>LM Eight Solar Renewables Energies S.L.</t>
  </si>
  <si>
    <t>LM Eight</t>
  </si>
  <si>
    <t>ES0126011200034</t>
  </si>
  <si>
    <t>POPV260126008</t>
  </si>
  <si>
    <t>OOCL VALENCIA 008W</t>
  </si>
  <si>
    <t>TPVB20260123007</t>
  </si>
  <si>
    <t>COSU6442057020</t>
  </si>
  <si>
    <t>JUNE003.06</t>
  </si>
  <si>
    <t>JUNE003</t>
  </si>
  <si>
    <t>GF0700000838</t>
  </si>
  <si>
    <t>HSM-BD54-GA465</t>
  </si>
  <si>
    <t>POPV260205020</t>
  </si>
  <si>
    <t>MSC AZRA / QB604W</t>
  </si>
  <si>
    <t>TPVB20260123023</t>
  </si>
  <si>
    <t>PLISZ4H01365</t>
  </si>
  <si>
    <t>181AY0263403359S1</t>
  </si>
  <si>
    <t>JUNE003.09</t>
  </si>
  <si>
    <t>POPV260205021</t>
  </si>
  <si>
    <t>MSC GIUSY GL601W</t>
  </si>
  <si>
    <t>TPVB20260123025</t>
  </si>
  <si>
    <t>PLISZ4H00971</t>
  </si>
  <si>
    <t>181AY0263404845S1</t>
  </si>
  <si>
    <t>JUNE003.11</t>
  </si>
  <si>
    <t>POPV260205016</t>
  </si>
  <si>
    <t>MSC KALINA/GL602W</t>
  </si>
  <si>
    <t>TPVB20260123026</t>
  </si>
  <si>
    <t>PLISZ4H01238</t>
  </si>
  <si>
    <t>181AY0263404841S1</t>
  </si>
  <si>
    <t>JUNE003.12</t>
  </si>
  <si>
    <t>POPV260205031</t>
  </si>
  <si>
    <t>CMA CGM LOUIS BLERIOT 0FMLSW1MA</t>
  </si>
  <si>
    <t>TPVB20260123017</t>
  </si>
  <si>
    <t>SWA0447107</t>
  </si>
  <si>
    <t>JUNE003.10</t>
  </si>
  <si>
    <t>POPV260205039</t>
  </si>
  <si>
    <t>TPVB20260123018</t>
  </si>
  <si>
    <t>SWA0447405</t>
  </si>
  <si>
    <t>DEC009.12</t>
  </si>
  <si>
    <t>POPV260205043</t>
  </si>
  <si>
    <t>CMA CGM ANTOINE DE SAINT</t>
  </si>
  <si>
    <t>TPVB20260130001</t>
  </si>
  <si>
    <t>CHN2978425</t>
  </si>
  <si>
    <t>DEC008.06</t>
  </si>
  <si>
    <t>POPV260205044</t>
  </si>
  <si>
    <t>NOV003.07</t>
  </si>
  <si>
    <t>NOV003</t>
  </si>
  <si>
    <t>POPV260205041</t>
  </si>
  <si>
    <t>DEC007.03</t>
  </si>
  <si>
    <t>POPV260205038</t>
  </si>
  <si>
    <t>EVER ALLY 1386-002W</t>
  </si>
  <si>
    <t>TPVB20260130002</t>
  </si>
  <si>
    <t>COSU6442664490</t>
  </si>
  <si>
    <t>DEC006.03</t>
  </si>
  <si>
    <t>Local WH - SPES W79</t>
  </si>
  <si>
    <t>POPV260205036</t>
  </si>
  <si>
    <t>CMA CGM APOLLON  0MEMXW1MA</t>
  </si>
  <si>
    <t>TPVB20260130003</t>
  </si>
  <si>
    <t>COSU6442953180</t>
  </si>
  <si>
    <t>DEC007.02</t>
  </si>
  <si>
    <t>POPV260205029</t>
  </si>
  <si>
    <t>CMA CGM APOLLON</t>
  </si>
  <si>
    <t>TPVB20260130004</t>
  </si>
  <si>
    <t>COSU6442953730</t>
  </si>
  <si>
    <t>POPV260226005</t>
  </si>
  <si>
    <t>OOCL INDONESIA 035W</t>
  </si>
  <si>
    <t>TPVB20260130005</t>
  </si>
  <si>
    <t>COSU6442664460</t>
  </si>
  <si>
    <t>DEC008.04</t>
  </si>
  <si>
    <t>POPV260211011</t>
  </si>
  <si>
    <t>TPVB20260130006</t>
  </si>
  <si>
    <t>COSU6442664420</t>
  </si>
  <si>
    <t>DEC009.18</t>
  </si>
  <si>
    <t>POPV260211010</t>
  </si>
  <si>
    <t>POPV260205019</t>
  </si>
  <si>
    <t>TPVB20260123030</t>
  </si>
  <si>
    <t>EGLV149600468534</t>
  </si>
  <si>
    <t>JUNE003.07</t>
  </si>
  <si>
    <t>Solar Fabrik GmbH</t>
  </si>
  <si>
    <t xml:space="preserve">Solar Fabrik </t>
  </si>
  <si>
    <t>DE0126011400070</t>
  </si>
  <si>
    <t>POPV260128009</t>
  </si>
  <si>
    <t>TPVB20260123027</t>
  </si>
  <si>
    <t>EGLV149600418545</t>
  </si>
  <si>
    <t>JUNE003.13</t>
  </si>
  <si>
    <t>Solar Fabrik</t>
  </si>
  <si>
    <t>POPV260129061</t>
  </si>
  <si>
    <t>MAERSK MC-KINNEYMOLLER/605W</t>
  </si>
  <si>
    <t>TPVB20260123028</t>
  </si>
  <si>
    <t>JUNE003.08</t>
  </si>
  <si>
    <t>POPV260129060</t>
  </si>
  <si>
    <t>CSCL MARS 083W</t>
  </si>
  <si>
    <t>TPVB20260123029</t>
  </si>
  <si>
    <t>SZX26SE00774</t>
  </si>
  <si>
    <t>COSU9505762901</t>
  </si>
  <si>
    <t>DEC020.04</t>
  </si>
  <si>
    <t>DEC020</t>
  </si>
  <si>
    <t>U1</t>
  </si>
  <si>
    <t>Distributors France - SPTN W74</t>
  </si>
  <si>
    <t>GF0700000881</t>
  </si>
  <si>
    <t>HSM-ND54-DR505 CFP</t>
  </si>
  <si>
    <t>POPV260205028</t>
  </si>
  <si>
    <t>COSCO SHIPPING STAR 028W</t>
  </si>
  <si>
    <t>TPVB20260123032</t>
  </si>
  <si>
    <t>COSU6443086300</t>
  </si>
  <si>
    <t>DEC020.01</t>
  </si>
  <si>
    <t>POPV260205027</t>
  </si>
  <si>
    <t>DEC018.05</t>
  </si>
  <si>
    <t>POPV260205035</t>
  </si>
  <si>
    <t>COSCO SHIPPING ARIES / 0FAMBW1MA/036W</t>
  </si>
  <si>
    <t>TPVB20260123024</t>
  </si>
  <si>
    <t>TJN0840641</t>
  </si>
  <si>
    <t>DEC014.01</t>
  </si>
  <si>
    <t>DEC014</t>
  </si>
  <si>
    <t>GF0700000880</t>
  </si>
  <si>
    <t>HSM-ND54-DR500 CFP</t>
  </si>
  <si>
    <t>POPV260206003</t>
  </si>
  <si>
    <t>TPVB20260123034</t>
  </si>
  <si>
    <t>COSU9505858250</t>
  </si>
  <si>
    <t>NOV015</t>
  </si>
  <si>
    <t>SPTN / Enercoop Claix du Soleil</t>
  </si>
  <si>
    <t>Shingle HSPV Stock</t>
  </si>
  <si>
    <t>GF0700000318</t>
  </si>
  <si>
    <t>HSM-GRA-NM-G12R-68P CFP</t>
  </si>
  <si>
    <t xml:space="preserve">±1600mm </t>
  </si>
  <si>
    <t>POPV260206004</t>
  </si>
  <si>
    <t>TPVB20260123033</t>
  </si>
  <si>
    <t>COSU9505858400</t>
  </si>
  <si>
    <t>DEC020.03</t>
  </si>
  <si>
    <t>POPV260206002</t>
  </si>
  <si>
    <t>POPV260206001</t>
  </si>
  <si>
    <t>DEC009.15</t>
  </si>
  <si>
    <t>POPV260209052</t>
  </si>
  <si>
    <t>TPVB20260206001</t>
  </si>
  <si>
    <t>CHN3006464</t>
  </si>
  <si>
    <t>DEC009.14</t>
  </si>
  <si>
    <t>POPV260209051</t>
  </si>
  <si>
    <t>POPV260209049</t>
  </si>
  <si>
    <t>POPV260209050</t>
  </si>
  <si>
    <t>EVER GLOBE 1387-025W</t>
  </si>
  <si>
    <t>TPVB20260206002</t>
  </si>
  <si>
    <t>COSU6443994070</t>
  </si>
  <si>
    <t>DEC011.07</t>
  </si>
  <si>
    <t>POPV260209048</t>
  </si>
  <si>
    <t>DEC009.16</t>
  </si>
  <si>
    <t>Local WH - W74 (Italy)</t>
  </si>
  <si>
    <t>POPV260209044</t>
  </si>
  <si>
    <t>EVER GRADE 0738-027W</t>
  </si>
  <si>
    <t>TPVB20260206005</t>
  </si>
  <si>
    <t>COSU6443749570</t>
  </si>
  <si>
    <t>DEC009.19</t>
  </si>
  <si>
    <t>POPV260209043</t>
  </si>
  <si>
    <t>DEC009.17</t>
  </si>
  <si>
    <t>POPV260209041</t>
  </si>
  <si>
    <t>DEC003.17</t>
  </si>
  <si>
    <t>POPV260209040</t>
  </si>
  <si>
    <t>CMA CGM ALEXANDER VON</t>
  </si>
  <si>
    <t>TPVB20260206007</t>
  </si>
  <si>
    <t>COSU6443750670</t>
  </si>
  <si>
    <t>DEC003.18</t>
  </si>
  <si>
    <t>POPV260209039</t>
  </si>
  <si>
    <t>TPVB20260206008</t>
  </si>
  <si>
    <t>COSU6443746260</t>
  </si>
  <si>
    <t>DEC003.07</t>
  </si>
  <si>
    <t>POPV260209038</t>
  </si>
  <si>
    <t>DEC003.08</t>
  </si>
  <si>
    <t>POPV260209037</t>
  </si>
  <si>
    <t>TPVB20260206009</t>
  </si>
  <si>
    <t>COSU6443747770</t>
  </si>
  <si>
    <t>POPV260209036</t>
  </si>
  <si>
    <t>DEC005</t>
  </si>
  <si>
    <t>GF0700000799</t>
  </si>
  <si>
    <t>PVM, SPR-P7-450-BLK-1500, I BF-G AR-SA M4.4F EVO2Z1NL IT P39</t>
  </si>
  <si>
    <t>POPV260209035</t>
  </si>
  <si>
    <t>TPVB20260206010</t>
  </si>
  <si>
    <t>COSU6443888900</t>
  </si>
  <si>
    <t>AUG011.02</t>
  </si>
  <si>
    <t>AUG011</t>
  </si>
  <si>
    <t>POPV260209032</t>
  </si>
  <si>
    <t>COSCO THAILAND 113E</t>
  </si>
  <si>
    <t>TPVB20260206011</t>
  </si>
  <si>
    <t>COSU6443899580</t>
  </si>
  <si>
    <t>DEC013.001</t>
  </si>
  <si>
    <t>DEC013</t>
  </si>
  <si>
    <t>POPV260209030</t>
  </si>
  <si>
    <t>TPVB20260206012</t>
  </si>
  <si>
    <t>COSU6443922160</t>
  </si>
  <si>
    <t>DEC019.01</t>
  </si>
  <si>
    <t>DEC019</t>
  </si>
  <si>
    <t>POPV260209029</t>
  </si>
  <si>
    <t>DEC020.02</t>
  </si>
  <si>
    <t>POPV260209028</t>
  </si>
  <si>
    <t>DEC020.05</t>
  </si>
  <si>
    <t>POPV260209027</t>
  </si>
  <si>
    <t>DEC020.06</t>
  </si>
  <si>
    <t>POPV260209026</t>
  </si>
  <si>
    <t>TPVB20260206018</t>
  </si>
  <si>
    <t>COSU6444277710</t>
  </si>
  <si>
    <t>SEPT007</t>
  </si>
  <si>
    <t>GF0700001599</t>
  </si>
  <si>
    <t>POPV260209025</t>
  </si>
  <si>
    <t>TPVB20260206013</t>
  </si>
  <si>
    <t>COSU6443926610</t>
  </si>
  <si>
    <t>AUG010.01</t>
  </si>
  <si>
    <t>AUG010</t>
  </si>
  <si>
    <t>POPV260209024</t>
  </si>
  <si>
    <t>POPV260209022</t>
  </si>
  <si>
    <t>NOV011.02</t>
  </si>
  <si>
    <t>TianJin</t>
  </si>
  <si>
    <t>NOV011</t>
  </si>
  <si>
    <t>POPV260209020</t>
  </si>
  <si>
    <t>TPVB20260206014</t>
  </si>
  <si>
    <t>COSU6443926060</t>
  </si>
  <si>
    <t>OCT010.03</t>
  </si>
  <si>
    <t>POPV260209018</t>
  </si>
  <si>
    <t>Local WH - W72 - preallocated to NED</t>
  </si>
  <si>
    <t>POPV260209014</t>
  </si>
  <si>
    <t>TPVB20260206016</t>
  </si>
  <si>
    <t>COSU6444155210</t>
  </si>
  <si>
    <t>NOV011.01</t>
  </si>
  <si>
    <t>SPGB / Bimble Solar</t>
  </si>
  <si>
    <t>POPV260209013</t>
  </si>
  <si>
    <t>COSCO SHIPPING LEO 035W</t>
  </si>
  <si>
    <t>TPVB20260206017</t>
  </si>
  <si>
    <t>COSU6444212370</t>
  </si>
  <si>
    <t>AUG010.02</t>
  </si>
  <si>
    <t>POPV260209023</t>
  </si>
  <si>
    <t>TPVB20260207003</t>
  </si>
  <si>
    <t>COSU6444371800</t>
  </si>
  <si>
    <t>NOV016.02</t>
  </si>
  <si>
    <t>U3</t>
  </si>
  <si>
    <t>POPV260225017</t>
  </si>
  <si>
    <t>CMA CGM CHAMPS ELYSEES / 0FMLUW1MA</t>
  </si>
  <si>
    <t>TPVB20260207001</t>
  </si>
  <si>
    <t>CHN3021623</t>
  </si>
  <si>
    <t>DEC009.13</t>
  </si>
  <si>
    <t>POPV260225021</t>
  </si>
  <si>
    <t>COSCO SHIPPING LEO 034E</t>
  </si>
  <si>
    <t>TPVB20260207008</t>
  </si>
  <si>
    <t>COSU6444093650</t>
  </si>
  <si>
    <t>NOV016.05</t>
  </si>
  <si>
    <t>POPV260225032</t>
  </si>
  <si>
    <t>CMA CGM GRACE BAY 0MEN3W1MA</t>
  </si>
  <si>
    <t>TPVB20260207011</t>
  </si>
  <si>
    <t>COSU6444958200</t>
  </si>
  <si>
    <t>MAY011.06</t>
  </si>
  <si>
    <t>MAY011</t>
  </si>
  <si>
    <t>ES0126010800019</t>
  </si>
  <si>
    <t>Yes</t>
  </si>
  <si>
    <t>GF0700000023</t>
  </si>
  <si>
    <t>TCL-MR515DT182-64NS</t>
  </si>
  <si>
    <t>POPV260225030</t>
  </si>
  <si>
    <t>CSCL WINTER 060W</t>
  </si>
  <si>
    <t>TPVB20260207012</t>
  </si>
  <si>
    <t>COSU6444097600</t>
  </si>
  <si>
    <t>DEC014.02</t>
  </si>
  <si>
    <t>Distributors France - W72 - Full CT with DEC020 + DEC022.02</t>
  </si>
  <si>
    <t>POPV260225028</t>
  </si>
  <si>
    <t>COSCO SHIPPING GEMINI 035W</t>
  </si>
  <si>
    <t>TPVB20260207013</t>
  </si>
  <si>
    <t>COSU6444702840</t>
  </si>
  <si>
    <t>Distributors France - W72 - Full CT with DEC014.02 + DEC022.02</t>
  </si>
  <si>
    <t>POPV260225027</t>
  </si>
  <si>
    <t>DEC022.02</t>
  </si>
  <si>
    <t>Local WH - W72 - 3 pallets for FIMA</t>
  </si>
  <si>
    <t>POPV260225026</t>
  </si>
  <si>
    <t>NOV022</t>
  </si>
  <si>
    <t>Distributors France - SPTN W74 - full CT with DEC019</t>
  </si>
  <si>
    <t>GF0700000081</t>
  </si>
  <si>
    <t>HSM-ND48-DR445_CFP</t>
  </si>
  <si>
    <t>POPV260225044</t>
  </si>
  <si>
    <t>TPVB20260207002</t>
  </si>
  <si>
    <t>COSU6444475510</t>
  </si>
  <si>
    <t>Distributors France - SPTN W74 - full CT with NOV022</t>
  </si>
  <si>
    <t>POPV260225043</t>
  </si>
  <si>
    <t>NOV010_2</t>
  </si>
  <si>
    <t>Ecostal France (former SunPower Energy Solutions France SAS)</t>
  </si>
  <si>
    <t>U6</t>
  </si>
  <si>
    <t>FR0126030900009</t>
  </si>
  <si>
    <t>POPV260331035</t>
  </si>
  <si>
    <t>COSCO SHIPPING SAGITTARIUS 033W</t>
  </si>
  <si>
    <t>TPVB20260209004-1</t>
  </si>
  <si>
    <t>COSU6445218339</t>
  </si>
  <si>
    <t>COSU6445218330</t>
  </si>
  <si>
    <t>NOV010_1</t>
  </si>
  <si>
    <t>POPV260331034</t>
  </si>
  <si>
    <t>TPVB20260209004</t>
  </si>
  <si>
    <t>POPV260303011</t>
  </si>
  <si>
    <t>OCT011</t>
  </si>
  <si>
    <t>EnergyNAT Sp. z.o.o</t>
  </si>
  <si>
    <t>U2</t>
  </si>
  <si>
    <t>EnergyNat</t>
  </si>
  <si>
    <t>PL0125122900761</t>
  </si>
  <si>
    <t>GF0700001772</t>
  </si>
  <si>
    <t>HSM-ND66-GR615</t>
  </si>
  <si>
    <t>POPV260309012</t>
  </si>
  <si>
    <t>GDANSK</t>
  </si>
  <si>
    <t>OOCL PORTUGAL 006W</t>
  </si>
  <si>
    <t>TPVB20260209005</t>
  </si>
  <si>
    <t>COSU9506203580</t>
  </si>
  <si>
    <t>NOV016.03</t>
  </si>
  <si>
    <t>POPV260305012</t>
  </si>
  <si>
    <t>CMA CGM RIVOLI / 0FMM0W1MA</t>
  </si>
  <si>
    <t>TPVB20260310001</t>
  </si>
  <si>
    <t>CHN3074290</t>
  </si>
  <si>
    <t>NOV016.06</t>
  </si>
  <si>
    <t>POPV260305011</t>
  </si>
  <si>
    <t>CMA CGM RIVOLI 0FMM0W1MA</t>
  </si>
  <si>
    <t>TPVB20260310011</t>
  </si>
  <si>
    <t>COSU6445391520</t>
  </si>
  <si>
    <t>DEC022.05</t>
  </si>
  <si>
    <t>Local WH - W72 (PUSH)</t>
  </si>
  <si>
    <t>POPV260309004</t>
  </si>
  <si>
    <t>TPVB20260310015</t>
  </si>
  <si>
    <t>COSU6445811510</t>
  </si>
  <si>
    <t>DEC022.04</t>
  </si>
  <si>
    <t>POPV260309003</t>
  </si>
  <si>
    <t>TPVB20260310017</t>
  </si>
  <si>
    <t>COSU6445811650</t>
  </si>
  <si>
    <t>DEC022.03</t>
  </si>
  <si>
    <t>Local WH - W72 (PUSH) - FIMA taking 13 out of 15</t>
  </si>
  <si>
    <t>POPV260313031</t>
  </si>
  <si>
    <t>TPVB20260311007</t>
  </si>
  <si>
    <t>COSU6446042230</t>
  </si>
  <si>
    <t>DEC022.06</t>
  </si>
  <si>
    <t>Local WH - W72 (PUSH) - EnergyNat Pipeline / Tax Credit</t>
  </si>
  <si>
    <t>POPV260313028</t>
  </si>
  <si>
    <t>TPVB20260311009</t>
  </si>
  <si>
    <t>COSU6446161190</t>
  </si>
  <si>
    <t>SEPT011.02</t>
  </si>
  <si>
    <t>SEPT011</t>
  </si>
  <si>
    <t>Local WH - W72 (former non-eu)</t>
  </si>
  <si>
    <t>POPV260313062</t>
  </si>
  <si>
    <t>CSCL ATLANTIC OCEAN 065W</t>
  </si>
  <si>
    <t>TPVB20260311021</t>
  </si>
  <si>
    <t>COSU9506315950</t>
  </si>
  <si>
    <t>Local WH - W74 - Full CT with 26Feb036.03 + 26Mar021 + MAY010</t>
  </si>
  <si>
    <t>POPV260324008</t>
  </si>
  <si>
    <t>CMA CGM MARCO POLO 0MENDW1MA</t>
  </si>
  <si>
    <t>TPVB20260312027</t>
  </si>
  <si>
    <t>COSU6447108050</t>
  </si>
  <si>
    <t>Local WH - W74 - Full CT with 26Feb036.03 + 26Mar021 + DEC022</t>
  </si>
  <si>
    <t>POPV260324007</t>
  </si>
  <si>
    <t>SEPT011.01</t>
  </si>
  <si>
    <t>POPV260320049</t>
  </si>
  <si>
    <t>OOCL DENMARK 007W</t>
  </si>
  <si>
    <t>TPVB20260312010</t>
  </si>
  <si>
    <t>COSU6447019100</t>
  </si>
  <si>
    <t>MAY014</t>
  </si>
  <si>
    <t>n/a - Non-EU</t>
  </si>
  <si>
    <t>reallocated to Pakistan / non-EU</t>
  </si>
  <si>
    <t>GF0101010094</t>
  </si>
  <si>
    <t>TPVO2026032301</t>
  </si>
  <si>
    <t>SHANGHAI BW</t>
  </si>
  <si>
    <t>MANILA NORTH</t>
  </si>
  <si>
    <t>HMM MASTER 0016S</t>
  </si>
  <si>
    <t>HDMUSHAA69518500</t>
  </si>
  <si>
    <t>Non-EU</t>
  </si>
  <si>
    <t>20-JAN-26 guidance</t>
  </si>
  <si>
    <t>IN-TRANSIT</t>
  </si>
  <si>
    <t>TPVO2026020201</t>
  </si>
  <si>
    <t>KARACHI</t>
  </si>
  <si>
    <t>ZHONG GU XIA MEN/26002S</t>
  </si>
  <si>
    <t>NBWK26010135</t>
  </si>
  <si>
    <t>TSLXMNB004S2901</t>
  </si>
  <si>
    <t>DEC012.07</t>
  </si>
  <si>
    <t>TPVO2026020202</t>
  </si>
  <si>
    <t>TS MUMBAI 26002W</t>
  </si>
  <si>
    <t>NBWK26020004</t>
  </si>
  <si>
    <t>EGLV142600285467</t>
  </si>
  <si>
    <t>26JAN003.05</t>
  </si>
  <si>
    <t>26JAN003</t>
  </si>
  <si>
    <t>46010945 -&gt; DK0126011200024</t>
  </si>
  <si>
    <t>GF0700000077</t>
  </si>
  <si>
    <t>HSM-ND48-DR455</t>
  </si>
  <si>
    <t>±1200mm</t>
  </si>
  <si>
    <t>POPV260130023</t>
  </si>
  <si>
    <t>MSC CLAIRE/GA605W</t>
  </si>
  <si>
    <t>TPVB20260123004</t>
  </si>
  <si>
    <t>LK26010077</t>
  </si>
  <si>
    <t>177KFAFAXVNN0501</t>
  </si>
  <si>
    <t>In Stock-Approved</t>
  </si>
  <si>
    <t>26JAN003.01</t>
  </si>
  <si>
    <t>POPV260205045</t>
  </si>
  <si>
    <t>TPVB20260123016</t>
  </si>
  <si>
    <t>COSU6442338460</t>
  </si>
  <si>
    <t>26JAN003.02</t>
  </si>
  <si>
    <t>SPTN / Baltsolar</t>
  </si>
  <si>
    <t>LT0126011500043</t>
  </si>
  <si>
    <t>POPV260205046</t>
  </si>
  <si>
    <t>TPVB20260123019</t>
  </si>
  <si>
    <t>COSU6442390740</t>
  </si>
  <si>
    <t>26JAN002.04</t>
  </si>
  <si>
    <t>26JAN002</t>
  </si>
  <si>
    <t>TPVB20260311002</t>
  </si>
  <si>
    <t>POPV260205042</t>
  </si>
  <si>
    <t>TPVB20260123020</t>
  </si>
  <si>
    <t>COSU6442390910</t>
  </si>
  <si>
    <t>26Feb015.02</t>
  </si>
  <si>
    <t>26Feb015</t>
  </si>
  <si>
    <t>±1400mm</t>
  </si>
  <si>
    <t>POPV260209047</t>
  </si>
  <si>
    <t>26Feb015.06</t>
  </si>
  <si>
    <t>Distributors Italy - W72  (Milliot Green cancelled)</t>
  </si>
  <si>
    <t>POPV260209046</t>
  </si>
  <si>
    <t>COSCO SHIPPING ROSE 044W</t>
  </si>
  <si>
    <t>TPVB20260206003</t>
  </si>
  <si>
    <t>COSU6443960390</t>
  </si>
  <si>
    <t>26JAN007</t>
  </si>
  <si>
    <t>Local WH - W72 pre allocated to IT</t>
  </si>
  <si>
    <t>GF0101010096</t>
  </si>
  <si>
    <t>POPV260209045</t>
  </si>
  <si>
    <t>TPVB20260206004</t>
  </si>
  <si>
    <t>COSU6443811150</t>
  </si>
  <si>
    <t>26JAN006.02</t>
  </si>
  <si>
    <t>26JAN006</t>
  </si>
  <si>
    <t>Distributors Italy - W74</t>
  </si>
  <si>
    <t>POPV260209042</t>
  </si>
  <si>
    <t>POPV260209034</t>
  </si>
  <si>
    <t>26JAN003.04</t>
  </si>
  <si>
    <t>POPV260209031</t>
  </si>
  <si>
    <t>26JAN003.03</t>
  </si>
  <si>
    <t>POPV260209021</t>
  </si>
  <si>
    <t>26Feb017.01</t>
  </si>
  <si>
    <t>26Feb017</t>
  </si>
  <si>
    <t>POPV260209019</t>
  </si>
  <si>
    <t>TPVB20260206015</t>
  </si>
  <si>
    <t>COSU6444157800</t>
  </si>
  <si>
    <t>26Feb018.06</t>
  </si>
  <si>
    <t>26Feb018</t>
  </si>
  <si>
    <t>POPV260209017</t>
  </si>
  <si>
    <t>26Feb018.03</t>
  </si>
  <si>
    <t>SPTN / Reno</t>
  </si>
  <si>
    <t>POPV260209016</t>
  </si>
  <si>
    <t>26Feb018.01</t>
  </si>
  <si>
    <t>POPV260209015</t>
  </si>
  <si>
    <t>26Mar010</t>
  </si>
  <si>
    <t>PROCARTE PV SPÓŁKA Z OGRANICZONĄ ODPOWIEDZIALNOŚCIĄ</t>
  </si>
  <si>
    <t>ProCarte</t>
  </si>
  <si>
    <t>PL0126012900013</t>
  </si>
  <si>
    <t>HC HSPV Stock</t>
  </si>
  <si>
    <t>GF0700001768</t>
  </si>
  <si>
    <t>POPV260225015</t>
  </si>
  <si>
    <t>OOCL TURKIYE 010W</t>
  </si>
  <si>
    <t>TPVB20260207006</t>
  </si>
  <si>
    <t>COSU6444555610</t>
  </si>
  <si>
    <t>26Mar011</t>
  </si>
  <si>
    <t>POPV260225012</t>
  </si>
  <si>
    <t>26Mar012</t>
  </si>
  <si>
    <t>POPV260225010</t>
  </si>
  <si>
    <t>26Mar013</t>
  </si>
  <si>
    <t>GF0700001767</t>
  </si>
  <si>
    <t>POPV260225011</t>
  </si>
  <si>
    <t>26Feb026.02</t>
  </si>
  <si>
    <t>26Feb026</t>
  </si>
  <si>
    <t>SPTN / FIMA</t>
  </si>
  <si>
    <t>POPV260225014</t>
  </si>
  <si>
    <t>COSCO FORTUNE 082W</t>
  </si>
  <si>
    <t>TPVB20260207007</t>
  </si>
  <si>
    <t>COSU6444078900</t>
  </si>
  <si>
    <t>26Feb026.04</t>
  </si>
  <si>
    <t>POPV260225013</t>
  </si>
  <si>
    <t>TPVB20260207005</t>
  </si>
  <si>
    <t>COSU6445099250</t>
  </si>
  <si>
    <t>26JAN006.03</t>
  </si>
  <si>
    <t>POPV260225018</t>
  </si>
  <si>
    <t>26Feb015.07</t>
  </si>
  <si>
    <t>POPV260225035</t>
  </si>
  <si>
    <t>26Feb010.06</t>
  </si>
  <si>
    <t>26Feb010</t>
  </si>
  <si>
    <t>GF0700001601</t>
  </si>
  <si>
    <t>TCL-MR470DT182-58NS</t>
  </si>
  <si>
    <t>POPV260225034</t>
  </si>
  <si>
    <t>EVER AEON 1388-007W</t>
  </si>
  <si>
    <t>TPVB20260207009</t>
  </si>
  <si>
    <t>COSU6444095330</t>
  </si>
  <si>
    <t>26Feb010.04</t>
  </si>
  <si>
    <t>POPV260225033</t>
  </si>
  <si>
    <t>TPVB20260207010</t>
  </si>
  <si>
    <t>COSU6444094880</t>
  </si>
  <si>
    <t>26Mar008</t>
  </si>
  <si>
    <t>POPV260225029</t>
  </si>
  <si>
    <t>TPVB20260207004</t>
  </si>
  <si>
    <t>COSU9506096720</t>
  </si>
  <si>
    <t>26Mar009</t>
  </si>
  <si>
    <t>GF0700001771</t>
  </si>
  <si>
    <t>POPV260225031</t>
  </si>
  <si>
    <t>26Feb018.04</t>
  </si>
  <si>
    <t>ECOSTAL SPRL</t>
  </si>
  <si>
    <t>Ecostal Belgium</t>
  </si>
  <si>
    <t>BE0126022600025</t>
  </si>
  <si>
    <t>POPV260225042</t>
  </si>
  <si>
    <t>ANTWERP</t>
  </si>
  <si>
    <t>CMA CGM AMBER/0BYOBS1MA</t>
  </si>
  <si>
    <t>TPVB20260207014</t>
  </si>
  <si>
    <t>TJN0879793</t>
  </si>
  <si>
    <t>26Feb018.02</t>
  </si>
  <si>
    <t>POPV260225041</t>
  </si>
  <si>
    <t>26Feb009.02</t>
  </si>
  <si>
    <t>26Feb009</t>
  </si>
  <si>
    <t>POPV260226015</t>
  </si>
  <si>
    <t>TPVB20260208001</t>
  </si>
  <si>
    <t>COSU6444860880</t>
  </si>
  <si>
    <t>26Feb010.08</t>
  </si>
  <si>
    <t>Local WH - W72 - pre allocated 3 CT UK Altenergy tbc (Originally SPTN / Energy3000, not materialized)  rest IT</t>
  </si>
  <si>
    <t>POPV260226014</t>
  </si>
  <si>
    <t>26Feb010.01</t>
  </si>
  <si>
    <t>POPV260226012</t>
  </si>
  <si>
    <t>TPVB20260208002</t>
  </si>
  <si>
    <t>COSU6444860090</t>
  </si>
  <si>
    <t>26Mar001</t>
  </si>
  <si>
    <t>Local WH - W72 - full CT with 26Mar002</t>
  </si>
  <si>
    <t>GF0700001780</t>
  </si>
  <si>
    <t>TCL-MR455DT182-58NS</t>
  </si>
  <si>
    <t>POPV260226013</t>
  </si>
  <si>
    <t>26Mar002</t>
  </si>
  <si>
    <t>Local WH - W72 - full CT with 26Mar001</t>
  </si>
  <si>
    <t>GF0700001593</t>
  </si>
  <si>
    <t>POPV260226011</t>
  </si>
  <si>
    <t>26Feb009.07</t>
  </si>
  <si>
    <t>SPGB / Solarsense</t>
  </si>
  <si>
    <t>GB0126030600012</t>
  </si>
  <si>
    <t>POPV260226010</t>
  </si>
  <si>
    <t>TPVB20260208003</t>
  </si>
  <si>
    <t>COSU6444956820</t>
  </si>
  <si>
    <t>26Feb010.07</t>
  </si>
  <si>
    <t>POPV260226009</t>
  </si>
  <si>
    <t>26Feb010.09</t>
  </si>
  <si>
    <t>POPV260226007</t>
  </si>
  <si>
    <t>TPVB20260208004</t>
  </si>
  <si>
    <t>COSU6444861300</t>
  </si>
  <si>
    <t>26JAN006.01</t>
  </si>
  <si>
    <t>ES0126012800033</t>
  </si>
  <si>
    <t>POPV260226017</t>
  </si>
  <si>
    <t>CSCL PACIFIC OCEAN 065W</t>
  </si>
  <si>
    <t>TPVB20260208005</t>
  </si>
  <si>
    <t>COSU6444958730</t>
  </si>
  <si>
    <t>26Feb015.03</t>
  </si>
  <si>
    <t>POPV260226016</t>
  </si>
  <si>
    <t>26Feb017.02</t>
  </si>
  <si>
    <t>Energy 3000 or Lcoal WH</t>
  </si>
  <si>
    <t>POPV260303020</t>
  </si>
  <si>
    <t>TPVB20260209001</t>
  </si>
  <si>
    <t>COSU9506179630</t>
  </si>
  <si>
    <t>26Feb018.10</t>
  </si>
  <si>
    <t>ECOSTAL SPRL (former = SunPower Energy Solutions France SAS)</t>
  </si>
  <si>
    <t>Ecostal Belgium (former Local WH - W72 Safety stock)</t>
  </si>
  <si>
    <t>BE0126030400009</t>
  </si>
  <si>
    <t>POPV260303019</t>
  </si>
  <si>
    <t>TPVB20260209001-1</t>
  </si>
  <si>
    <t>COSU9506179631</t>
  </si>
  <si>
    <t>26Feb017.03</t>
  </si>
  <si>
    <t>Local WH - W72 (revised from Solexis)</t>
  </si>
  <si>
    <t>POPV260303017</t>
  </si>
  <si>
    <t>TPVB20260209002</t>
  </si>
  <si>
    <t>COSU9506179610</t>
  </si>
  <si>
    <t>26JAN005.02.01</t>
  </si>
  <si>
    <t>26JAN005</t>
  </si>
  <si>
    <t>Local WH - W72 - preallocated to Alliantz</t>
  </si>
  <si>
    <t>GF0700000076</t>
  </si>
  <si>
    <t>POPV260417049</t>
  </si>
  <si>
    <t>TPVB20260209003</t>
  </si>
  <si>
    <t>COSU9506164090</t>
  </si>
  <si>
    <t>26JAN005.02.02</t>
  </si>
  <si>
    <t>Solexis SA</t>
  </si>
  <si>
    <t>SOLEXIS</t>
  </si>
  <si>
    <t>CH0126040800025</t>
  </si>
  <si>
    <t>POPV260421029</t>
  </si>
  <si>
    <t>COSU9506164091</t>
  </si>
  <si>
    <t>26Mar022.02</t>
  </si>
  <si>
    <t>26Mar022</t>
  </si>
  <si>
    <t>Local WH - W74 - full CT with 26Mar023 + 26Mar025</t>
  </si>
  <si>
    <t>GF0700001775</t>
  </si>
  <si>
    <t>HSM-GRA-NM620-CFP</t>
  </si>
  <si>
    <t>±1600mm</t>
  </si>
  <si>
    <t>POPV260303016</t>
  </si>
  <si>
    <t>CMA CGM CAIMEP / 0BYOFS1MA</t>
  </si>
  <si>
    <t>TPVB20260209007</t>
  </si>
  <si>
    <t>TJN0886761</t>
  </si>
  <si>
    <t>26Mar023</t>
  </si>
  <si>
    <t>Local WH - W74 - full CT with 26Mar022.02 + 26 Mar025</t>
  </si>
  <si>
    <t>HSM-GRA-NM625-CFP</t>
  </si>
  <si>
    <t>POPV260303015</t>
  </si>
  <si>
    <t>26Mar025.02</t>
  </si>
  <si>
    <t>26Mar025</t>
  </si>
  <si>
    <t>SPTN / Soregies Vivonne les Plantis</t>
  </si>
  <si>
    <t>POPV260303013</t>
  </si>
  <si>
    <t>POPV260303012</t>
  </si>
  <si>
    <t>TPVB20260209008</t>
  </si>
  <si>
    <t>TJN0886296</t>
  </si>
  <si>
    <t>26Mar026.01</t>
  </si>
  <si>
    <t>26Mar026</t>
  </si>
  <si>
    <t>SPTN / Soregies Valence en Poitou</t>
  </si>
  <si>
    <t>GF0700000317</t>
  </si>
  <si>
    <t>HSM-GHF-NM615-CFP</t>
  </si>
  <si>
    <t>±1500mm</t>
  </si>
  <si>
    <t>POPV260305017</t>
  </si>
  <si>
    <t>CMA CGM LA SCALA 901W</t>
  </si>
  <si>
    <t>TPVB20260209006</t>
  </si>
  <si>
    <t>COSU6445336810</t>
  </si>
  <si>
    <t>26Feb009.03</t>
  </si>
  <si>
    <t>POPV260305016</t>
  </si>
  <si>
    <t>TPVB20260209009</t>
  </si>
  <si>
    <t>COSU6445390870</t>
  </si>
  <si>
    <t>26Feb009.01</t>
  </si>
  <si>
    <t>SPTN / Energy3000  (partial)</t>
  </si>
  <si>
    <t>POPV260305015</t>
  </si>
  <si>
    <t>COSCO SHIPPING GEMINI 
035W</t>
  </si>
  <si>
    <t>26Feb010.15</t>
  </si>
  <si>
    <t>POPV260305014</t>
  </si>
  <si>
    <t>26Feb009.06</t>
  </si>
  <si>
    <t>Local WH - W80 Safety stock</t>
  </si>
  <si>
    <t>POPV260305013</t>
  </si>
  <si>
    <t>TAMPA TRIUMPH 1390-042W</t>
  </si>
  <si>
    <t>TPVB20260209010</t>
  </si>
  <si>
    <t>COSU6445391090</t>
  </si>
  <si>
    <t>26Mar026.02</t>
  </si>
  <si>
    <t>POPV260305010</t>
  </si>
  <si>
    <t>26Feb015.09</t>
  </si>
  <si>
    <t>POPV260309057</t>
  </si>
  <si>
    <t>EVER ART 1391-014W</t>
  </si>
  <si>
    <t>TPVB20260310013</t>
  </si>
  <si>
    <t>COSU6445452890</t>
  </si>
  <si>
    <t>26Feb010.10</t>
  </si>
  <si>
    <t>POPV260309056</t>
  </si>
  <si>
    <t>26Feb015.10</t>
  </si>
  <si>
    <t>POPV260309054</t>
  </si>
  <si>
    <t>26Mar003</t>
  </si>
  <si>
    <t>Local WH - SPTN W74 - Full CT with 26Mar004</t>
  </si>
  <si>
    <t>GF0700000767</t>
  </si>
  <si>
    <t>SPR-P7-545-COM-S</t>
  </si>
  <si>
    <t>POPV260310011</t>
  </si>
  <si>
    <t>OOCL SCANDINAVIA 036W</t>
  </si>
  <si>
    <t>TPVB20260310018</t>
  </si>
  <si>
    <t>COSU6445392050</t>
  </si>
  <si>
    <t>26Mar004</t>
  </si>
  <si>
    <t>Local WH - SPTN W74 - Full CT with 26Mar003</t>
  </si>
  <si>
    <t>SPR-P7-550-COM-S</t>
  </si>
  <si>
    <t>POPV260310010</t>
  </si>
  <si>
    <t>26Mar014</t>
  </si>
  <si>
    <t>Failte Solar Depletion</t>
  </si>
  <si>
    <t>IE0126020500033</t>
  </si>
  <si>
    <t>GF0700001765</t>
  </si>
  <si>
    <t>HSM-ND48-DR440</t>
  </si>
  <si>
    <t>POPV260305008</t>
  </si>
  <si>
    <t>MSC OLIVIA  GA610W M5LKD7</t>
  </si>
  <si>
    <t>TPVB20260310021</t>
  </si>
  <si>
    <t>177KFAFAXVNN1026</t>
  </si>
  <si>
    <t>26Mar015</t>
  </si>
  <si>
    <t>POPV260305009</t>
  </si>
  <si>
    <t>26Mar027</t>
  </si>
  <si>
    <t>POPV260305006</t>
  </si>
  <si>
    <t>26Mar016</t>
  </si>
  <si>
    <t>POPV260305007</t>
  </si>
  <si>
    <t>26Mar029</t>
  </si>
  <si>
    <t>GF0700001598</t>
  </si>
  <si>
    <t>POPV260305005</t>
  </si>
  <si>
    <t>26Mar017</t>
  </si>
  <si>
    <t>GF0700001764</t>
  </si>
  <si>
    <t>HSM-ND48-DR440-CFP</t>
  </si>
  <si>
    <t>POPV260305003</t>
  </si>
  <si>
    <t>26Mar018</t>
  </si>
  <si>
    <t>Failte Solar Depletion - full CT with 26Mar019</t>
  </si>
  <si>
    <t>GF0700001763</t>
  </si>
  <si>
    <t>POPV260305004</t>
  </si>
  <si>
    <t>26Mar019</t>
  </si>
  <si>
    <t>Failte Solar Depletion - full CT with 26Mar018</t>
  </si>
  <si>
    <t>GF0700001762</t>
  </si>
  <si>
    <t>POPV260305002</t>
  </si>
  <si>
    <t>26Feb017.13.06</t>
  </si>
  <si>
    <t>Ecostal sprl</t>
  </si>
  <si>
    <t>Ecostal - intransit reallocation</t>
  </si>
  <si>
    <t>BE0126041500017</t>
  </si>
  <si>
    <t>POPV260427048</t>
  </si>
  <si>
    <t>TPVB20260310009</t>
  </si>
  <si>
    <t>COSU9506234760</t>
  </si>
  <si>
    <t>26Feb017.13.05</t>
  </si>
  <si>
    <t>UK Greentech Rugby 663</t>
  </si>
  <si>
    <t>UK Greentech - intransit reallocation</t>
  </si>
  <si>
    <t>GB0126041600001</t>
  </si>
  <si>
    <t>POPV260417058</t>
  </si>
  <si>
    <t>COSU9506234762</t>
  </si>
  <si>
    <t>26Feb017.13.04</t>
  </si>
  <si>
    <t>UK Greentech Middlesborough 668</t>
  </si>
  <si>
    <t>GB0126041600007 =&gt; new SO GB0126042700019</t>
  </si>
  <si>
    <t>POPV260427049</t>
  </si>
  <si>
    <t>COSU9506234763</t>
  </si>
  <si>
    <t>26Feb017.13.02</t>
  </si>
  <si>
    <t>UK Greentech Lincoln 674</t>
  </si>
  <si>
    <t>GB0126041500022</t>
  </si>
  <si>
    <t>POPV260417056</t>
  </si>
  <si>
    <t>COSU9506234761</t>
  </si>
  <si>
    <t>26Feb017.13.01</t>
  </si>
  <si>
    <t>26Feb020.07</t>
  </si>
  <si>
    <t>26Feb020</t>
  </si>
  <si>
    <t>SPGB / Altenergy</t>
  </si>
  <si>
    <t>POPV260309052</t>
  </si>
  <si>
    <t>TPVB20260310007</t>
  </si>
  <si>
    <t>COSU6445806650</t>
  </si>
  <si>
    <t>26Feb020.08</t>
  </si>
  <si>
    <t>Local WH - SPGB W80</t>
  </si>
  <si>
    <t>POPV260309053</t>
  </si>
  <si>
    <t>26JAN005.06</t>
  </si>
  <si>
    <t>POPV260309051</t>
  </si>
  <si>
    <t>OOCL ZEEBRUGGE 009W</t>
  </si>
  <si>
    <t>26Mar005</t>
  </si>
  <si>
    <t>PL0126020300026</t>
  </si>
  <si>
    <t>GF0700001776</t>
  </si>
  <si>
    <t>HSM-GKA-NM720</t>
  </si>
  <si>
    <t>POPV260310009</t>
  </si>
  <si>
    <t>OOCL SWEDEN 007W</t>
  </si>
  <si>
    <t>TPVB20260310012</t>
  </si>
  <si>
    <t>COSU6445391320</t>
  </si>
  <si>
    <t>26Feb026.01</t>
  </si>
  <si>
    <t>POPV260310008</t>
  </si>
  <si>
    <t>TPVB20260310014</t>
  </si>
  <si>
    <t>COSU6445391920</t>
  </si>
  <si>
    <t>26Feb007.02</t>
  </si>
  <si>
    <t>26Feb007</t>
  </si>
  <si>
    <t>SPR-P7-455-BLK-1500</t>
  </si>
  <si>
    <t>POPV260309050</t>
  </si>
  <si>
    <t>TPVB20260310016</t>
  </si>
  <si>
    <t>COSU6445811260</t>
  </si>
  <si>
    <t>26Feb009.08</t>
  </si>
  <si>
    <t>POPV260309048</t>
  </si>
  <si>
    <t>26Feb008.07</t>
  </si>
  <si>
    <t>26Feb008</t>
  </si>
  <si>
    <t>SPR-P7-460-BLK-1500</t>
  </si>
  <si>
    <t>POPV260309047</t>
  </si>
  <si>
    <t>26Feb010.14</t>
  </si>
  <si>
    <t>POPV260309046</t>
  </si>
  <si>
    <t>TPVB20260310022</t>
  </si>
  <si>
    <t>COSU9506199070</t>
  </si>
  <si>
    <t>26Feb037.01</t>
  </si>
  <si>
    <t>26Feb037</t>
  </si>
  <si>
    <t>SPTN / GazelEnergie</t>
  </si>
  <si>
    <t>POPV260310007</t>
  </si>
  <si>
    <t>CMA CGM IGUACU 0MEN9W1MA</t>
  </si>
  <si>
    <t>TPVB20260310023</t>
  </si>
  <si>
    <t>COSU6446056750</t>
  </si>
  <si>
    <t>26Feb038.01</t>
  </si>
  <si>
    <t>26Feb038</t>
  </si>
  <si>
    <t>GF0700001861</t>
  </si>
  <si>
    <t>HSM-ND66-GR630 CFP</t>
  </si>
  <si>
    <t>POPV260310012</t>
  </si>
  <si>
    <t>26Feb038.04</t>
  </si>
  <si>
    <t>POPV260310006</t>
  </si>
  <si>
    <t>TPVB20260310024</t>
  </si>
  <si>
    <t>COSU6446056560</t>
  </si>
  <si>
    <t>26Feb008.02</t>
  </si>
  <si>
    <t>Local WH - SPIT W81</t>
  </si>
  <si>
    <t>POPV260310005</t>
  </si>
  <si>
    <t>TPVB20260310019</t>
  </si>
  <si>
    <t>COSU6445452680</t>
  </si>
  <si>
    <t>26Mar006</t>
  </si>
  <si>
    <t>GF0700000014</t>
  </si>
  <si>
    <t>HSM-ND66-GK710</t>
  </si>
  <si>
    <t>POPV260310004</t>
  </si>
  <si>
    <t>MSC MAURA GL609W</t>
  </si>
  <si>
    <t>TPVB20260310020</t>
  </si>
  <si>
    <t>MEDUWQ394563</t>
  </si>
  <si>
    <t>177FCLCLS0693594</t>
  </si>
  <si>
    <t>26Mar007</t>
  </si>
  <si>
    <t>GF0101010118</t>
  </si>
  <si>
    <t>HSM-ND66-GK715</t>
  </si>
  <si>
    <t>POPV260310003</t>
  </si>
  <si>
    <t>26Feb017.08</t>
  </si>
  <si>
    <t>POPV260309045</t>
  </si>
  <si>
    <t>TPVB20260310002</t>
  </si>
  <si>
    <t>COSU9506225920</t>
  </si>
  <si>
    <t>26Feb017.06</t>
  </si>
  <si>
    <t>Local WH - W72 -  preallocated Greentech (former Germany forecast)</t>
  </si>
  <si>
    <t>POPV260309044</t>
  </si>
  <si>
    <t>TPVB20260310003</t>
  </si>
  <si>
    <t>COSU9506226460</t>
  </si>
  <si>
    <t>26Feb017.07</t>
  </si>
  <si>
    <t>Local WH - W72 - preallocated Greentech (former Belgium forecast)</t>
  </si>
  <si>
    <t>POPV260309043</t>
  </si>
  <si>
    <t>26Feb017.10</t>
  </si>
  <si>
    <t>Local WH - W72 preallocated Greentech (former SPTN / Reno)</t>
  </si>
  <si>
    <t>POPV260309042</t>
  </si>
  <si>
    <t>26JAN005.05</t>
  </si>
  <si>
    <t>POPV260309040</t>
  </si>
  <si>
    <t>26JAN005.04</t>
  </si>
  <si>
    <t>Distributors Italy - W72 - 2 CT emergency Project Solar, rest for IT (former Germany/EM Forecast)</t>
  </si>
  <si>
    <t>POPV260309029</t>
  </si>
  <si>
    <t>TPVB20260310004</t>
  </si>
  <si>
    <t>COSU9506226470</t>
  </si>
  <si>
    <t>26Feb017.11.01</t>
  </si>
  <si>
    <t>UK Greentech Glasgow 669</t>
  </si>
  <si>
    <t>GB0126041600006</t>
  </si>
  <si>
    <t>POPV260417057</t>
  </si>
  <si>
    <t>TPVB20260310008</t>
  </si>
  <si>
    <t>COSU9506234631</t>
  </si>
  <si>
    <t>COSU9506234630</t>
  </si>
  <si>
    <t>26Feb017.11.02</t>
  </si>
  <si>
    <t>POPV260512047</t>
  </si>
  <si>
    <t>26Feb017.11.03</t>
  </si>
  <si>
    <t>26Mar025.01</t>
  </si>
  <si>
    <t>POPV260310002</t>
  </si>
  <si>
    <t>SYNERGY BUSAN / 611S</t>
  </si>
  <si>
    <t>TPVB20260310010</t>
  </si>
  <si>
    <t>26JAN005.01</t>
  </si>
  <si>
    <t>U4</t>
  </si>
  <si>
    <t>POPV260309027</t>
  </si>
  <si>
    <t>TPVB20260310006</t>
  </si>
  <si>
    <t>COSU9506227090</t>
  </si>
  <si>
    <t>26Feb004.01</t>
  </si>
  <si>
    <t>26Feb004</t>
  </si>
  <si>
    <t>Qair Gassi-Lamadji</t>
  </si>
  <si>
    <t>FR0126021300041</t>
  </si>
  <si>
    <t>POPV260313043</t>
  </si>
  <si>
    <t>Douala</t>
  </si>
  <si>
    <t>MSC GAIA/FY609A</t>
  </si>
  <si>
    <t>TPVB20260310026</t>
  </si>
  <si>
    <t>AGSHA552582</t>
  </si>
  <si>
    <t>177YATATS84123</t>
  </si>
  <si>
    <t>26Feb003.01</t>
  </si>
  <si>
    <t>26Feb003</t>
  </si>
  <si>
    <t>POPV260313041</t>
  </si>
  <si>
    <t>TPVB20260310027</t>
  </si>
  <si>
    <t>AGSHA552583</t>
  </si>
  <si>
    <t>177YATATS84124</t>
  </si>
  <si>
    <t>26Feb004.02</t>
  </si>
  <si>
    <t>POPV260316022</t>
  </si>
  <si>
    <t>MSC MINA / FY610A</t>
  </si>
  <si>
    <t>TPVB20260310028</t>
  </si>
  <si>
    <t>AGSHA552584</t>
  </si>
  <si>
    <t>177YATATS84132</t>
  </si>
  <si>
    <t>26Feb003.02</t>
  </si>
  <si>
    <t>POPV260316021</t>
  </si>
  <si>
    <t>TPVB20260310029</t>
  </si>
  <si>
    <t>AGSHA552585</t>
  </si>
  <si>
    <t>177YATATS84133</t>
  </si>
  <si>
    <t>26JAN001.02</t>
  </si>
  <si>
    <t>26JAN001</t>
  </si>
  <si>
    <t>SPTN / Soregies Vivonne Vaubourdeau</t>
  </si>
  <si>
    <t>GF0700000801</t>
  </si>
  <si>
    <t>HSM-GHF-NM620-CFP</t>
  </si>
  <si>
    <t>POPV260313037</t>
  </si>
  <si>
    <t>CMA CGM PALAIS ROYAL / 0FMM2W1MA</t>
  </si>
  <si>
    <t>TPVB20260311001</t>
  </si>
  <si>
    <t>CHN3099432</t>
  </si>
  <si>
    <t>26JAN001.01</t>
  </si>
  <si>
    <t>POPV260313036</t>
  </si>
  <si>
    <t>26Mar026.03</t>
  </si>
  <si>
    <t>POPV260313035</t>
  </si>
  <si>
    <t>26Mar020</t>
  </si>
  <si>
    <t>Local WH - W74 - full CT with 26Mar021</t>
  </si>
  <si>
    <t>POPV260313034</t>
  </si>
  <si>
    <t>TPVB20260311006</t>
  </si>
  <si>
    <t>COSU6446064200</t>
  </si>
  <si>
    <t>26Mar021.01</t>
  </si>
  <si>
    <t>26Mar021</t>
  </si>
  <si>
    <t>Local WH - W74 - full CT with 26Mar020 (pre allocation 1656 pcs Adiwatt via Voltaneo)</t>
  </si>
  <si>
    <t>POPV260313033</t>
  </si>
  <si>
    <t>26Feb010.11</t>
  </si>
  <si>
    <t>Energy3000 solar GmbH</t>
  </si>
  <si>
    <t>energy3000 =&gt; intransit reallocation from Distributors Italy - W72</t>
  </si>
  <si>
    <t>AT0126042100006</t>
  </si>
  <si>
    <t>POPV260427028</t>
  </si>
  <si>
    <t>TPVB20260311006-1</t>
  </si>
  <si>
    <t>COSU6446064201</t>
  </si>
  <si>
    <t>26Feb010.13</t>
  </si>
  <si>
    <t>W11</t>
  </si>
  <si>
    <t>POPV260427029</t>
  </si>
  <si>
    <t>26Feb025.02</t>
  </si>
  <si>
    <t>26Feb025</t>
  </si>
  <si>
    <t>Local WH - W72 (PUSH) -  10 pre allocated to Nordicsun</t>
  </si>
  <si>
    <t>GF0700001817</t>
  </si>
  <si>
    <t>POPV260313029</t>
  </si>
  <si>
    <t>TPVB20260311008</t>
  </si>
  <si>
    <t>COSU6446042590</t>
  </si>
  <si>
    <t>26Feb010.12</t>
  </si>
  <si>
    <t>POPV260313027</t>
  </si>
  <si>
    <t>26Feb025.03</t>
  </si>
  <si>
    <t>POPV260313025</t>
  </si>
  <si>
    <t>26Feb025.05</t>
  </si>
  <si>
    <t>POPV260313026</t>
  </si>
  <si>
    <t>26Feb026.06</t>
  </si>
  <si>
    <t>W11 (3.4起)</t>
  </si>
  <si>
    <t>POPV260313023</t>
  </si>
  <si>
    <t>TPVB20260311010</t>
  </si>
  <si>
    <t>COSU6446572620</t>
  </si>
  <si>
    <t>26Feb008.04</t>
  </si>
  <si>
    <t>W11 (3.9/10起)</t>
  </si>
  <si>
    <t>POPV260313024</t>
  </si>
  <si>
    <t>TPVB20260311011</t>
  </si>
  <si>
    <t>COSU6446064440</t>
  </si>
  <si>
    <t>26Feb032.02</t>
  </si>
  <si>
    <t>26Feb032</t>
  </si>
  <si>
    <t>GF0700001818</t>
  </si>
  <si>
    <t>HSM-ND66-GK725</t>
  </si>
  <si>
    <t>POPV260316020</t>
  </si>
  <si>
    <t>EVER ACME 1392-012W</t>
  </si>
  <si>
    <t>TPVB20260311012</t>
  </si>
  <si>
    <t>COSU6446417610</t>
  </si>
  <si>
    <t>26Feb007.01</t>
  </si>
  <si>
    <t>Local WH - W72  (former NordicSun forecast)</t>
  </si>
  <si>
    <t>W11 (3.13起)</t>
  </si>
  <si>
    <t>POPV260313015</t>
  </si>
  <si>
    <t>TPVB20260311013</t>
  </si>
  <si>
    <t>COSU6446418070</t>
  </si>
  <si>
    <t>26Feb026.07</t>
  </si>
  <si>
    <t>POPV260313022</t>
  </si>
  <si>
    <t>TPVB20260311014</t>
  </si>
  <si>
    <t>COSU6446418590</t>
  </si>
  <si>
    <t>26Feb008.08</t>
  </si>
  <si>
    <t>W11 (3.7起)</t>
  </si>
  <si>
    <t>POPV260313021</t>
  </si>
  <si>
    <t>POPV260313020</t>
  </si>
  <si>
    <t>26Feb007.03</t>
  </si>
  <si>
    <t>W11 (3.10起)</t>
  </si>
  <si>
    <t>POPV260313019</t>
  </si>
  <si>
    <t>26Feb037.02</t>
  </si>
  <si>
    <t>POPV260313018</t>
  </si>
  <si>
    <t>EVER GIVEN 0743-027W</t>
  </si>
  <si>
    <t>TPVB20260311017</t>
  </si>
  <si>
    <t>COSU6446495320</t>
  </si>
  <si>
    <t>26Feb038.02</t>
  </si>
  <si>
    <t>POPV260313017</t>
  </si>
  <si>
    <t>26Feb008.01</t>
  </si>
  <si>
    <t>W11 (3.6起)</t>
  </si>
  <si>
    <t>POPV260313016</t>
  </si>
  <si>
    <t>TPVB20260311020</t>
  </si>
  <si>
    <t>COSU6446043580</t>
  </si>
  <si>
    <t>26Feb027.02</t>
  </si>
  <si>
    <t>chuzhou</t>
  </si>
  <si>
    <t>26Feb027</t>
  </si>
  <si>
    <t>GF0700001813</t>
  </si>
  <si>
    <t>SPR-BD54-DC490</t>
  </si>
  <si>
    <t>(3.5起)</t>
  </si>
  <si>
    <t>POPV260313059</t>
  </si>
  <si>
    <t>NINGBO</t>
  </si>
  <si>
    <t>HMM HOPE/0059W</t>
  </si>
  <si>
    <t>TPVB20260311015</t>
  </si>
  <si>
    <t>SYNSHA26SE030948</t>
  </si>
  <si>
    <t>N232603803</t>
  </si>
  <si>
    <t>26Feb028.02</t>
  </si>
  <si>
    <t>26Feb028</t>
  </si>
  <si>
    <t>GF0700001814</t>
  </si>
  <si>
    <t>SPR-BD54-DC495</t>
  </si>
  <si>
    <t>3.7起</t>
  </si>
  <si>
    <t>POPV260313058</t>
  </si>
  <si>
    <t>26Feb028.03</t>
  </si>
  <si>
    <t>Failte Solar - Prelim Allocation</t>
  </si>
  <si>
    <t>IE0126030500026</t>
  </si>
  <si>
    <t>POPV260313042</t>
  </si>
  <si>
    <t>MSC DOLETTE/GL611W</t>
  </si>
  <si>
    <t>TPVB20260311022</t>
  </si>
  <si>
    <t>177SNPNPN73365A</t>
  </si>
  <si>
    <t>26Feb027.04</t>
  </si>
  <si>
    <t>3.10起</t>
  </si>
  <si>
    <t>POPV260313040</t>
  </si>
  <si>
    <t>SYNSHA26SE031288A</t>
  </si>
  <si>
    <t>26Feb008.09</t>
  </si>
  <si>
    <t>W12</t>
  </si>
  <si>
    <t>POPV260313039</t>
  </si>
  <si>
    <t>MSC Adya FW611W</t>
  </si>
  <si>
    <t>TPVB20260311023</t>
  </si>
  <si>
    <t>SYNSHA26SE031408A</t>
  </si>
  <si>
    <t>177FBOBOS85957</t>
  </si>
  <si>
    <t>26Feb028.01</t>
  </si>
  <si>
    <t>POPV260313054</t>
  </si>
  <si>
    <t>TPVB20260311018</t>
  </si>
  <si>
    <t>COSU6446057490</t>
  </si>
  <si>
    <t>26Feb027.01</t>
  </si>
  <si>
    <t>Local WH - SPIT W82</t>
  </si>
  <si>
    <t>POPV260313051</t>
  </si>
  <si>
    <t>NAPLES</t>
  </si>
  <si>
    <t>CSCL JUPITER 093W</t>
  </si>
  <si>
    <t>TPVB20260311019</t>
  </si>
  <si>
    <t>COSU6446229300</t>
  </si>
  <si>
    <t>26Feb030.01</t>
  </si>
  <si>
    <t>jiaxing</t>
  </si>
  <si>
    <t>26Feb030</t>
  </si>
  <si>
    <t>Local WH - W74 (PUSH) - can be delayed, tax credit</t>
  </si>
  <si>
    <t>GF0700001816</t>
  </si>
  <si>
    <t>HSM-BD66-GR650</t>
  </si>
  <si>
    <t>(3.11起)</t>
  </si>
  <si>
    <t>POPV260313052</t>
  </si>
  <si>
    <t>TPVB20260311016</t>
  </si>
  <si>
    <t>SYNSHA26SE030947</t>
  </si>
  <si>
    <t>N232603781</t>
  </si>
  <si>
    <t>26Feb030.02</t>
  </si>
  <si>
    <t>3.13起</t>
  </si>
  <si>
    <t>POPV260316019</t>
  </si>
  <si>
    <t>TPVB20260312002</t>
  </si>
  <si>
    <t>SYNSHA26SE030949</t>
  </si>
  <si>
    <t>N232603787</t>
  </si>
  <si>
    <t>26Feb029.05</t>
  </si>
  <si>
    <t>26Feb029</t>
  </si>
  <si>
    <t>GF0700001815</t>
  </si>
  <si>
    <t>HSM-BD66-GR645</t>
  </si>
  <si>
    <t>POPV260316018</t>
  </si>
  <si>
    <t>26Feb015.01</t>
  </si>
  <si>
    <t>Non-EU - pending formal reallocation to EU</t>
  </si>
  <si>
    <t>POPV260318027</t>
  </si>
  <si>
    <t>MILAN MAERSK/611W</t>
  </si>
  <si>
    <t>TPVB20260311025</t>
  </si>
  <si>
    <t>26Feb019.06</t>
  </si>
  <si>
    <t>26Feb019</t>
  </si>
  <si>
    <t>(3.8/9货好)</t>
  </si>
  <si>
    <t>POPV260313050</t>
  </si>
  <si>
    <t>UTE / 612S</t>
  </si>
  <si>
    <t xml:space="preserve">SYNSHA26SE030978A </t>
  </si>
  <si>
    <t>26Feb019.03.2</t>
  </si>
  <si>
    <t>(3.5货好)</t>
  </si>
  <si>
    <t>POPV260331033</t>
  </si>
  <si>
    <t>TPVB20260311003</t>
  </si>
  <si>
    <t>SYNSHA26SE030979B</t>
  </si>
  <si>
    <t>26Feb019.03.1</t>
  </si>
  <si>
    <t>Distributors France - SPTN W74 (PUSH)</t>
  </si>
  <si>
    <t>POPV260331032</t>
  </si>
  <si>
    <t>SYNSHA26SE030979A</t>
  </si>
  <si>
    <t>26Feb019.01</t>
  </si>
  <si>
    <t>(3.7/8货好)</t>
  </si>
  <si>
    <t>POPV260313047</t>
  </si>
  <si>
    <t>26Feb020.01</t>
  </si>
  <si>
    <t>POPV260313048</t>
  </si>
  <si>
    <t>TPVB20260311004</t>
  </si>
  <si>
    <t>COSU9506396230</t>
  </si>
  <si>
    <t>26Feb017.14</t>
  </si>
  <si>
    <t>Failte Solar - (initital shipment to SPTN / W72)</t>
  </si>
  <si>
    <t>POPV260313038</t>
  </si>
  <si>
    <t>ROTTERDAM-CORK</t>
  </si>
  <si>
    <t>CMA CGM EIFFEL / 0BYOJS1MA/0BYOJS</t>
  </si>
  <si>
    <t>TPVB20260311024</t>
  </si>
  <si>
    <t>TJN0899994</t>
  </si>
  <si>
    <t>26Feb020.02</t>
  </si>
  <si>
    <t>Local WH - W72 - mix Italy and BENELUX</t>
  </si>
  <si>
    <t>POPV260313053</t>
  </si>
  <si>
    <t>TPVB20260311005</t>
  </si>
  <si>
    <t>COSU9506316140</t>
  </si>
  <si>
    <t>26Mar024</t>
  </si>
  <si>
    <t>Local WH - W74 - full CT with 26Mar022.01</t>
  </si>
  <si>
    <t>GF0700001774</t>
  </si>
  <si>
    <t>HSM-GRA-NM630-CFP</t>
  </si>
  <si>
    <t>POPV260313055</t>
  </si>
  <si>
    <t>GOOD PROSPECT / 611S</t>
  </si>
  <si>
    <t>TPVB20260310025</t>
  </si>
  <si>
    <t>SYNSHA26SE030850</t>
  </si>
  <si>
    <t>26Mar022.03</t>
  </si>
  <si>
    <t>Local WH - W74 - full CT with 26Mar024</t>
  </si>
  <si>
    <t>POPV260313057</t>
  </si>
  <si>
    <t>26Mar022.01</t>
  </si>
  <si>
    <t>POPV260313056</t>
  </si>
  <si>
    <t>26Feb020.03</t>
  </si>
  <si>
    <t>POPV260313063</t>
  </si>
  <si>
    <t>26Feb010.03</t>
  </si>
  <si>
    <t>POPV260320045</t>
  </si>
  <si>
    <t>TBW SHANGHAI</t>
  </si>
  <si>
    <t>COSCO SHIPPING PLANET 047W</t>
  </si>
  <si>
    <t>TPVB20260312018</t>
  </si>
  <si>
    <t>COSU6446423340</t>
  </si>
  <si>
    <t>26Feb010.02</t>
  </si>
  <si>
    <t>POPV260320043</t>
  </si>
  <si>
    <t>TPVB20260312019</t>
  </si>
  <si>
    <t>COSU6446422020</t>
  </si>
  <si>
    <t>26Feb015.05</t>
  </si>
  <si>
    <t>POPV260320042</t>
  </si>
  <si>
    <t>26Feb015.11</t>
  </si>
  <si>
    <t>Distributors Italy - W72 - Replace HSM-ND66-GR615 / COSU6446422020</t>
  </si>
  <si>
    <t>POPV260320040</t>
  </si>
  <si>
    <t>26Feb026.05</t>
  </si>
  <si>
    <t>POPV260320038</t>
  </si>
  <si>
    <t>TPVB20260312020</t>
  </si>
  <si>
    <t>COSU6447103190</t>
  </si>
  <si>
    <t>26Feb032.01</t>
  </si>
  <si>
    <t>POPV260320037</t>
  </si>
  <si>
    <t>TPVB20260312021</t>
  </si>
  <si>
    <t>COSU6446419340</t>
  </si>
  <si>
    <t>26Feb032.03</t>
  </si>
  <si>
    <t>POPV260320035</t>
  </si>
  <si>
    <t>ONE TRIBUTE V.030W</t>
  </si>
  <si>
    <t>TPVB20260312016</t>
  </si>
  <si>
    <t>SYNSHA26SE031949A</t>
  </si>
  <si>
    <t>N237069285</t>
  </si>
  <si>
    <t>26Feb015.04</t>
  </si>
  <si>
    <t>POPV260320036</t>
  </si>
  <si>
    <t>26Feb008.06</t>
  </si>
  <si>
    <t>POPV260320033</t>
  </si>
  <si>
    <t>ONE TRIBUTE 030W</t>
  </si>
  <si>
    <t>TPVB20260312015</t>
  </si>
  <si>
    <t>SYNSHA26SE031933A</t>
  </si>
  <si>
    <t>HDMUSHAZXSL21600</t>
  </si>
  <si>
    <t>26Feb033.01</t>
  </si>
  <si>
    <t>26Feb033</t>
  </si>
  <si>
    <t>Local WH - W72 (PUSH) - can be delayed, tax credit</t>
  </si>
  <si>
    <t>GF0700001819</t>
  </si>
  <si>
    <t>HSM-ND66-GK730</t>
  </si>
  <si>
    <t>POPV260319015</t>
  </si>
  <si>
    <t>ONE TRUTH V.029W</t>
  </si>
  <si>
    <t>TPVB20260312017</t>
  </si>
  <si>
    <t>SYNSHA26SE031942A</t>
  </si>
  <si>
    <t>N237070083</t>
  </si>
  <si>
    <t>26Feb025.06</t>
  </si>
  <si>
    <t>POPV260319016</t>
  </si>
  <si>
    <t>26Feb025.01</t>
  </si>
  <si>
    <t>POPV260320032</t>
  </si>
  <si>
    <t>TPVB20260312022</t>
  </si>
  <si>
    <t>COSU6446422350</t>
  </si>
  <si>
    <t>POPV260320030</t>
  </si>
  <si>
    <t>TPVB20260312023</t>
  </si>
  <si>
    <t>COSU6446691020</t>
  </si>
  <si>
    <t>26Feb025.07</t>
  </si>
  <si>
    <t>POPV260320029</t>
  </si>
  <si>
    <t>TPVB20260312024</t>
  </si>
  <si>
    <t>COSU6447102840</t>
  </si>
  <si>
    <t>26Feb010.05</t>
  </si>
  <si>
    <t>Distributors / EOL transition</t>
  </si>
  <si>
    <t>POPV260320028</t>
  </si>
  <si>
    <t>26Feb008.05</t>
  </si>
  <si>
    <t>POPV260320027</t>
  </si>
  <si>
    <t>26Feb026.03</t>
  </si>
  <si>
    <t>Local WH - W72 (PUSH) -  (4 CT UK incl. 1 CT Altenergy + rest for IT)</t>
  </si>
  <si>
    <t>POPV260320026</t>
  </si>
  <si>
    <t>26Feb007.05</t>
  </si>
  <si>
    <t>POPV260320024</t>
  </si>
  <si>
    <t>TPVB20260312025</t>
  </si>
  <si>
    <t>COSU6447103060</t>
  </si>
  <si>
    <t>26Feb008.10</t>
  </si>
  <si>
    <t>POPV260320022</t>
  </si>
  <si>
    <t>26Feb007.04</t>
  </si>
  <si>
    <t>POPV260320021</t>
  </si>
  <si>
    <t>26Feb009.11</t>
  </si>
  <si>
    <t>POPV260320019</t>
  </si>
  <si>
    <t>26Feb007.06</t>
  </si>
  <si>
    <t>COSCO FRANCE 074W</t>
  </si>
  <si>
    <t>TPVB20260312029</t>
  </si>
  <si>
    <t>COSU6448400120</t>
  </si>
  <si>
    <t>26Feb008.03</t>
  </si>
  <si>
    <t>POPV260402005</t>
  </si>
  <si>
    <t>COSCO SHIPPING TAURUS 036W</t>
  </si>
  <si>
    <t>TPVB20260312026</t>
  </si>
  <si>
    <t>COSU6448129810</t>
  </si>
  <si>
    <t>26Feb005.05</t>
  </si>
  <si>
    <t>26Feb005</t>
  </si>
  <si>
    <t>Local WH - W81</t>
  </si>
  <si>
    <t>SPR-P7-555-COM-S</t>
  </si>
  <si>
    <t>POPV260402003</t>
  </si>
  <si>
    <t>26Feb036.01</t>
  </si>
  <si>
    <t>26Feb036</t>
  </si>
  <si>
    <t>W12 produce around 3.16</t>
  </si>
  <si>
    <t>POPV260324005</t>
  </si>
  <si>
    <t>26Feb036.02</t>
  </si>
  <si>
    <t>POPV260324004</t>
  </si>
  <si>
    <t>CMA CGM MARCO POLO 
0MENDW1MA</t>
  </si>
  <si>
    <t>26Feb037.03</t>
  </si>
  <si>
    <t>POPV260324011</t>
  </si>
  <si>
    <t>26Feb038.03</t>
  </si>
  <si>
    <t>POPV260324012</t>
  </si>
  <si>
    <t>26Feb036.03</t>
  </si>
  <si>
    <t>SPTN / GazelEnergie - full CT with 26Mar021 + DEC022 + MAY010</t>
  </si>
  <si>
    <t>POPV260324010</t>
  </si>
  <si>
    <t>Local WH - W74 - Full CT with 26Feb036.03 + DEC014 + MAY010</t>
  </si>
  <si>
    <t>POPV260324009</t>
  </si>
  <si>
    <t>26Feb015.08</t>
  </si>
  <si>
    <t>ES0126031000021</t>
  </si>
  <si>
    <t>POPV260324006</t>
  </si>
  <si>
    <t>TPVO2026013001</t>
  </si>
  <si>
    <t>COSCO SPAIN 078W</t>
  </si>
  <si>
    <t>TPVB20260312028</t>
  </si>
  <si>
    <t>COSU6447521940</t>
  </si>
  <si>
    <t>26Feb019.05</t>
  </si>
  <si>
    <t>Quzhou</t>
  </si>
  <si>
    <t>EnergyNat / France - former (France Distrib)</t>
  </si>
  <si>
    <t>PL0126031000017</t>
  </si>
  <si>
    <t>W12(3.19/20起)</t>
  </si>
  <si>
    <t>POPV260330012</t>
  </si>
  <si>
    <t>Quzhou BW</t>
  </si>
  <si>
    <t>OOCL JAPAN 038W</t>
  </si>
  <si>
    <t>TPVB20260313010</t>
  </si>
  <si>
    <t>COSU6447995030</t>
  </si>
  <si>
    <t>26Feb019.12</t>
  </si>
  <si>
    <t>Local WH - W72 - preallocated to Ecostal BE (3)</t>
  </si>
  <si>
    <t>W12 (3.17起)</t>
  </si>
  <si>
    <t>POPV260320018</t>
  </si>
  <si>
    <t>TPVB20260312006</t>
  </si>
  <si>
    <t>COSU6446861450</t>
  </si>
  <si>
    <t>26Feb020.10</t>
  </si>
  <si>
    <t>W12 (3.16/17)</t>
  </si>
  <si>
    <t>POPV260320016</t>
  </si>
  <si>
    <t>26Feb027.03</t>
  </si>
  <si>
    <t>POPV260402004</t>
  </si>
  <si>
    <t>TPVB20260312030</t>
  </si>
  <si>
    <t>COSU6447192730</t>
  </si>
  <si>
    <t>26Feb029.01</t>
  </si>
  <si>
    <t>3.14/15</t>
  </si>
  <si>
    <t>POPV260320015</t>
  </si>
  <si>
    <t>ONE TRUTH/029W</t>
  </si>
  <si>
    <t>TPVB20260312005</t>
  </si>
  <si>
    <t>N232603711A</t>
  </si>
  <si>
    <t>26Feb030.03</t>
  </si>
  <si>
    <t>POPV260320017</t>
  </si>
  <si>
    <t>26Feb029.03</t>
  </si>
  <si>
    <t>3.16/17</t>
  </si>
  <si>
    <t>POPV260320020</t>
  </si>
  <si>
    <t>TPVB20260312003</t>
  </si>
  <si>
    <t>SYNSHA26SE030905C</t>
  </si>
  <si>
    <t>N232603711C</t>
  </si>
  <si>
    <t>26Feb030.04</t>
  </si>
  <si>
    <t>3.12起</t>
  </si>
  <si>
    <t>POPV260320023</t>
  </si>
  <si>
    <t>TPVB20260312004</t>
  </si>
  <si>
    <t>SYNSHA26SE030905B</t>
  </si>
  <si>
    <t>N232603711B</t>
  </si>
  <si>
    <t>26Feb029.04</t>
  </si>
  <si>
    <t>POPV260320025</t>
  </si>
  <si>
    <t>26Feb034.03</t>
  </si>
  <si>
    <t>Guangde广德市</t>
  </si>
  <si>
    <t>26Feb034</t>
  </si>
  <si>
    <t>Energy 3000 - batch 1.1</t>
  </si>
  <si>
    <t>AT0126030200004</t>
  </si>
  <si>
    <t>GF0700001865</t>
  </si>
  <si>
    <t>HSM-ND66-GK720</t>
  </si>
  <si>
    <t>+400mm/-200mm</t>
  </si>
  <si>
    <t>W12 (3.19/20)</t>
  </si>
  <si>
    <t>POPV260320031</t>
  </si>
  <si>
    <t>MATHILDE MAERSK/ 612W</t>
  </si>
  <si>
    <t>TPVB20260312007</t>
  </si>
  <si>
    <t>26Feb034.04</t>
  </si>
  <si>
    <t>Energy 3000 - batch 1.2</t>
  </si>
  <si>
    <t>POPV260320039</t>
  </si>
  <si>
    <t>26Feb034.01</t>
  </si>
  <si>
    <t>Energy 3000 - batch 4.1</t>
  </si>
  <si>
    <t>POPV260326015</t>
  </si>
  <si>
    <t>HMM HAMBURG/0018W</t>
  </si>
  <si>
    <t>TPVB20260312008</t>
  </si>
  <si>
    <t>HDMUSHAZKML62800</t>
  </si>
  <si>
    <t>26Feb034.06</t>
  </si>
  <si>
    <t>Energy 3000 - batch 2.2</t>
  </si>
  <si>
    <t>POPV260326014</t>
  </si>
  <si>
    <t>26Feb034.07</t>
  </si>
  <si>
    <t>Energy 3000 - batch 3</t>
  </si>
  <si>
    <t>POPV260326016</t>
  </si>
  <si>
    <t>TPVB20260312009</t>
  </si>
  <si>
    <t xml:space="preserve">N232603711D </t>
  </si>
  <si>
    <t>N232603711D</t>
  </si>
  <si>
    <t>26Feb020.09</t>
  </si>
  <si>
    <t>SPGB / Project Solar White Label</t>
  </si>
  <si>
    <t>POPV260320041</t>
  </si>
  <si>
    <t>MSC CAPELLA/GA612W</t>
  </si>
  <si>
    <t>TPVB20260312011</t>
  </si>
  <si>
    <t>177KVBXYXVNN1283</t>
  </si>
  <si>
    <t>26Feb022.01</t>
  </si>
  <si>
    <t>26Feb022</t>
  </si>
  <si>
    <t>W13-BW (3.17货好)</t>
  </si>
  <si>
    <t>POPV260320044</t>
  </si>
  <si>
    <t>TPVB20260312012</t>
  </si>
  <si>
    <t>COSU6447158640</t>
  </si>
  <si>
    <t>26Feb022.02.2</t>
  </si>
  <si>
    <t>POPV260323053</t>
  </si>
  <si>
    <t>TPVB20260312013</t>
  </si>
  <si>
    <t>COSU9506490230</t>
  </si>
  <si>
    <t>26Feb022.02.1</t>
  </si>
  <si>
    <t>POPV260423054</t>
  </si>
  <si>
    <t>26Feb022.03</t>
  </si>
  <si>
    <t>POPV260320050</t>
  </si>
  <si>
    <t>TPVB20260312014</t>
  </si>
  <si>
    <t>COSU9506490200</t>
  </si>
  <si>
    <t>26Feb034.05</t>
  </si>
  <si>
    <t>Energy 3000 - batch 2.1</t>
  </si>
  <si>
    <t>POPV260330014</t>
  </si>
  <si>
    <t>TPVB20260313009</t>
  </si>
  <si>
    <t>COSU6447995860</t>
  </si>
  <si>
    <t>26Feb034.09</t>
  </si>
  <si>
    <t>POPV260330011</t>
  </si>
  <si>
    <t>TPVB20260313011</t>
  </si>
  <si>
    <t>COSU6448253240</t>
  </si>
  <si>
    <t>26Feb009.12</t>
  </si>
  <si>
    <t>POPV260330004</t>
  </si>
  <si>
    <t>TPVB20260313002-1</t>
  </si>
  <si>
    <t>COSU6447635631</t>
  </si>
  <si>
    <t>COSU6447635630</t>
  </si>
  <si>
    <t>26Feb009.09</t>
  </si>
  <si>
    <t>W12 (3.18起)</t>
  </si>
  <si>
    <t>POPV260427053</t>
  </si>
  <si>
    <t>TPVB20260313002</t>
  </si>
  <si>
    <t>26Feb009.10.02</t>
  </si>
  <si>
    <t>POPV260427055</t>
  </si>
  <si>
    <t>26Feb009.10.01</t>
  </si>
  <si>
    <t>POPV260427056</t>
  </si>
  <si>
    <t>26Feb007.07</t>
  </si>
  <si>
    <t>/././.</t>
  </si>
  <si>
    <t>POPV260330006</t>
  </si>
  <si>
    <t>EVER ARIA 1394-014W</t>
  </si>
  <si>
    <t>TPVB20260313003</t>
  </si>
  <si>
    <t>COSU9506502990</t>
  </si>
  <si>
    <t>26Feb020.13</t>
  </si>
  <si>
    <t>LT0126030900043</t>
  </si>
  <si>
    <t>? W12 (3.16/17)</t>
  </si>
  <si>
    <t>POPV260330044</t>
  </si>
  <si>
    <t>MUMBAI MAERSK/613W</t>
  </si>
  <si>
    <t>TPVB20260313001</t>
  </si>
  <si>
    <t>26Feb017.16</t>
  </si>
  <si>
    <t>Lianyungang</t>
  </si>
  <si>
    <t>W13-BW (3.21货好)</t>
  </si>
  <si>
    <t>POPV260330043</t>
  </si>
  <si>
    <t>Lianyungang BW</t>
  </si>
  <si>
    <t>26Feb014.01</t>
  </si>
  <si>
    <t>26Feb014</t>
  </si>
  <si>
    <t>GF0700001859</t>
  </si>
  <si>
    <t>TCL-MI560DT182-70NS</t>
  </si>
  <si>
    <t>W13-BW (3.22货好)</t>
  </si>
  <si>
    <t>POPV260330041</t>
  </si>
  <si>
    <t>COSCO SHIPPING KILIMANJARO 044W</t>
  </si>
  <si>
    <t>TPVB20260313004</t>
  </si>
  <si>
    <t>COSU6447789170</t>
  </si>
  <si>
    <t>26Feb013.01</t>
  </si>
  <si>
    <t>26Feb013</t>
  </si>
  <si>
    <t>SANIBRAVA 96 SL (originally Suministros)</t>
  </si>
  <si>
    <t>ES0126032600021</t>
  </si>
  <si>
    <t>GF0700000021</t>
  </si>
  <si>
    <t>TCL-MI555DT182-70NS</t>
  </si>
  <si>
    <t>W13-BW (3.24货好)</t>
  </si>
  <si>
    <t>POPV260330039</t>
  </si>
  <si>
    <t>TPVB20260313005-1</t>
  </si>
  <si>
    <t>COSU6447792021</t>
  </si>
  <si>
    <t>26Feb013.02</t>
  </si>
  <si>
    <t>Suministros Orduña S.L.</t>
  </si>
  <si>
    <t>Suministros</t>
  </si>
  <si>
    <t>ES0126012800035</t>
  </si>
  <si>
    <t>POPV260330040</t>
  </si>
  <si>
    <t>TPVB20260313005</t>
  </si>
  <si>
    <t>COSU6447792020</t>
  </si>
  <si>
    <t>26Feb013.03</t>
  </si>
  <si>
    <t>POPV260330042</t>
  </si>
  <si>
    <t>CMA CGM GRAND PALAIS 
0MENFW1MA</t>
  </si>
  <si>
    <t>TPVB20260313006</t>
  </si>
  <si>
    <t>COSU6447793110</t>
  </si>
  <si>
    <t>26Feb019.02</t>
  </si>
  <si>
    <t>Procarte (former Distributors France - SPTN W74)</t>
  </si>
  <si>
    <t>PL0126031000016</t>
  </si>
  <si>
    <t>W13-BW (3,21货好)</t>
  </si>
  <si>
    <t>POPV260330010</t>
  </si>
  <si>
    <t>HANOI EXPRESS 613W</t>
  </si>
  <si>
    <t>TPVB20260313008</t>
  </si>
  <si>
    <t>267777421</t>
  </si>
  <si>
    <t>26Feb019.04</t>
  </si>
  <si>
    <t>POPV260330009</t>
  </si>
  <si>
    <t>26Feb022.04</t>
  </si>
  <si>
    <t>POPV260330008</t>
  </si>
  <si>
    <t>TIANJIN BW</t>
  </si>
  <si>
    <t>COSCO SHIPPING CAPRICORN 040W</t>
  </si>
  <si>
    <t>TPVB20260313007</t>
  </si>
  <si>
    <t>COSU9506569240</t>
  </si>
  <si>
    <t>26Feb021.06</t>
  </si>
  <si>
    <t>26Feb021</t>
  </si>
  <si>
    <t>POPV260330007</t>
  </si>
  <si>
    <t>26Feb019.14</t>
  </si>
  <si>
    <t>POPV260403017</t>
  </si>
  <si>
    <t>OOCL PIRAEUS 011W</t>
  </si>
  <si>
    <t>TPVB20260314004</t>
  </si>
  <si>
    <t>COSU6448848280</t>
  </si>
  <si>
    <t>26Feb020.14</t>
  </si>
  <si>
    <t>POPV260403014</t>
  </si>
  <si>
    <t>EVER ARM 1395-015W</t>
  </si>
  <si>
    <t>TPVB20260314005</t>
  </si>
  <si>
    <t>COSU6448849620</t>
  </si>
  <si>
    <t>26Feb034.10</t>
  </si>
  <si>
    <t>POPV260403006</t>
  </si>
  <si>
    <t>TPVB20260314006</t>
  </si>
  <si>
    <t>COSU6448849380</t>
  </si>
  <si>
    <t>26Feb034.11</t>
  </si>
  <si>
    <t>Energy 3000 - batch 4.2</t>
  </si>
  <si>
    <t>W13-BW (3.21/22)</t>
  </si>
  <si>
    <t>POPV260403015</t>
  </si>
  <si>
    <t>COSCO SHIPPING CAPRICORN  040W</t>
  </si>
  <si>
    <t>TPVB20260314007</t>
  </si>
  <si>
    <t>COSU6448848980</t>
  </si>
  <si>
    <t>26Feb034.13</t>
  </si>
  <si>
    <t>Energy 3000 - batch 4.3</t>
  </si>
  <si>
    <t>POPV260403016</t>
  </si>
  <si>
    <t>TPVB20260314009</t>
  </si>
  <si>
    <t>COSU6448848660</t>
  </si>
  <si>
    <t>26Feb034.08</t>
  </si>
  <si>
    <t>POPV260403018</t>
  </si>
  <si>
    <t>26Feb034.12</t>
  </si>
  <si>
    <t>POPV260403019</t>
  </si>
  <si>
    <t>CMA CGM VENDOME 0FMGHW1MA</t>
  </si>
  <si>
    <t>TPVB20260314008</t>
  </si>
  <si>
    <t>COSU6448849830</t>
  </si>
  <si>
    <t>26Feb006.04</t>
  </si>
  <si>
    <t>26Feb006</t>
  </si>
  <si>
    <t>GF0700000338</t>
  </si>
  <si>
    <t>SPR-P7-560-COM-S</t>
  </si>
  <si>
    <t>POPV260403005</t>
  </si>
  <si>
    <t>COSCO SHIPPING NEBULA 032W</t>
  </si>
  <si>
    <t>TPVB20260314010</t>
  </si>
  <si>
    <t>COSU6448850610</t>
  </si>
  <si>
    <t>26Feb005.06</t>
  </si>
  <si>
    <t>POPV260403003</t>
  </si>
  <si>
    <t>26Feb006.01</t>
  </si>
  <si>
    <t>W14-BW (3.29货好)</t>
  </si>
  <si>
    <t>POPV260403004</t>
  </si>
  <si>
    <t>TPVB20260314011</t>
  </si>
  <si>
    <t>COSU6448850290</t>
  </si>
  <si>
    <t>26Feb006.03</t>
  </si>
  <si>
    <t>W14-BW (3.27货好)</t>
  </si>
  <si>
    <t>POPV260414035</t>
  </si>
  <si>
    <t>CMA CGM GREENLAND 0MENHW1MA</t>
  </si>
  <si>
    <t>TPVB20260314012</t>
  </si>
  <si>
    <t>COSU6448851110</t>
  </si>
  <si>
    <t>26Feb005.03</t>
  </si>
  <si>
    <t>W14- (4.3货好)</t>
  </si>
  <si>
    <t>POPV260413025</t>
  </si>
  <si>
    <t>SHANGHAI NTR</t>
  </si>
  <si>
    <t>CSCL URANUS 108W</t>
  </si>
  <si>
    <t>TPVB20260314013</t>
  </si>
  <si>
    <t>COSU6449453200</t>
  </si>
  <si>
    <t>26Feb022.06</t>
  </si>
  <si>
    <t>U5</t>
  </si>
  <si>
    <t>POPV260403013</t>
  </si>
  <si>
    <t>COSCO SHIPPING VIRGO 035W</t>
  </si>
  <si>
    <t>TPVB20260314001</t>
  </si>
  <si>
    <t>COSU9506626340</t>
  </si>
  <si>
    <t>26Feb022.07</t>
  </si>
  <si>
    <t>POPV260403012</t>
  </si>
  <si>
    <t>TPVB20260314002</t>
  </si>
  <si>
    <t>COSU9506626360</t>
  </si>
  <si>
    <t>26Feb021.03</t>
  </si>
  <si>
    <t>POPV260403011</t>
  </si>
  <si>
    <t>TPVB20260314003</t>
  </si>
  <si>
    <t>COSU6448648040</t>
  </si>
  <si>
    <t>26Feb019.13</t>
  </si>
  <si>
    <t>POPV260410008</t>
  </si>
  <si>
    <t>ONE INTEGRITY 009W</t>
  </si>
  <si>
    <t>TPVB20260415003</t>
  </si>
  <si>
    <t>SYNSHA26SE041085D</t>
  </si>
  <si>
    <t>ONEYSH6FV6597400</t>
  </si>
  <si>
    <t>26Feb019.09</t>
  </si>
  <si>
    <t>PL0126031100011</t>
  </si>
  <si>
    <t>POPV260410014</t>
  </si>
  <si>
    <t>SYNSHA26SE041085A</t>
  </si>
  <si>
    <t>26Feb019.08</t>
  </si>
  <si>
    <t>PL0126031600019</t>
  </si>
  <si>
    <t>W12(3.18/19起)</t>
  </si>
  <si>
    <t>POPV260410013</t>
  </si>
  <si>
    <t>26Feb020.12</t>
  </si>
  <si>
    <t>POPV260413029</t>
  </si>
  <si>
    <t>HMM PROMISE / 0047W</t>
  </si>
  <si>
    <t>TPVB20260415005</t>
  </si>
  <si>
    <t>SYNSHA26SE041207A</t>
  </si>
  <si>
    <t>HDMUSHAZU8M06200</t>
  </si>
  <si>
    <t>26Feb017.17</t>
  </si>
  <si>
    <t>W14-BW (已入)</t>
  </si>
  <si>
    <t>POPV260413030</t>
  </si>
  <si>
    <t>TPVB20260415006</t>
  </si>
  <si>
    <t>SYNSHA26SE041261A</t>
  </si>
  <si>
    <t>HDMUSHAZSA910000</t>
  </si>
  <si>
    <t>26Feb020.11</t>
  </si>
  <si>
    <t>POPV260413032</t>
  </si>
  <si>
    <t>CSCL GLOBE 075W</t>
  </si>
  <si>
    <t>TPVB20260415004</t>
  </si>
  <si>
    <t>COSU6449726380</t>
  </si>
  <si>
    <t>26Feb034.02</t>
  </si>
  <si>
    <t>POPV260413028</t>
  </si>
  <si>
    <t>TPVB20260415010</t>
  </si>
  <si>
    <t>COSU6449724180</t>
  </si>
  <si>
    <t>26Feb017.04</t>
  </si>
  <si>
    <t>energy3000 =&gt; intransit reallocation from Local WH - W72</t>
  </si>
  <si>
    <t>W13-BW (3.23货好)</t>
  </si>
  <si>
    <t>POPV260427057</t>
  </si>
  <si>
    <t>TPVB20260415011</t>
  </si>
  <si>
    <t xml:space="preserve">COSU6449724960 </t>
  </si>
  <si>
    <t>COSU6449724960</t>
  </si>
  <si>
    <t>26Feb017.05</t>
  </si>
  <si>
    <t>POPV260427058</t>
  </si>
  <si>
    <t>TPVB20260415012</t>
  </si>
  <si>
    <t>COSU6449723690</t>
  </si>
  <si>
    <t>26Feb017.25</t>
  </si>
  <si>
    <t>POPV260413023</t>
  </si>
  <si>
    <t>CMA CGM CONCORDE 
0FMGDW1MA</t>
  </si>
  <si>
    <t>TPVB20260415013</t>
  </si>
  <si>
    <t>COSU6449725540</t>
  </si>
  <si>
    <t>26Feb017.24</t>
  </si>
  <si>
    <t>POPV260413022</t>
  </si>
  <si>
    <t>LM Eight - Forecast</t>
  </si>
  <si>
    <t>ES0126032700026</t>
  </si>
  <si>
    <t>POPV260410004</t>
  </si>
  <si>
    <t>EVER GOODS 0747-034W</t>
  </si>
  <si>
    <t>TPVB20260415009</t>
  </si>
  <si>
    <t>COSU6449762550</t>
  </si>
  <si>
    <t>26Feb005.02</t>
  </si>
  <si>
    <t>W14- (4.4货好)</t>
  </si>
  <si>
    <t>POPV260413031</t>
  </si>
  <si>
    <t>TPVB20260415007</t>
  </si>
  <si>
    <t>COSU6449758260</t>
  </si>
  <si>
    <t>26Feb005.07</t>
  </si>
  <si>
    <t>W14- (4.5货好)</t>
  </si>
  <si>
    <t>POPV260413042</t>
  </si>
  <si>
    <t>TPVB20260415008</t>
  </si>
  <si>
    <t>COSU6449758960</t>
  </si>
  <si>
    <t>26Feb023.01</t>
  </si>
  <si>
    <t>26Feb023</t>
  </si>
  <si>
    <t>W14-BW (3.30货好)</t>
  </si>
  <si>
    <t>POPV260413040</t>
  </si>
  <si>
    <t>COSCO EUROPE 112E</t>
  </si>
  <si>
    <t>TPVB20260415001</t>
  </si>
  <si>
    <t>COSU9506746670</t>
  </si>
  <si>
    <t>26Feb021.12</t>
  </si>
  <si>
    <t>POPV260413038</t>
  </si>
  <si>
    <t>TPVB20260415002</t>
  </si>
  <si>
    <t>COSU6449619540</t>
  </si>
  <si>
    <t>26Feb023.02</t>
  </si>
  <si>
    <t>POPV260421025</t>
  </si>
  <si>
    <t>CNC PEARL  0BYORS1MA</t>
  </si>
  <si>
    <t>TPVB20260416002</t>
  </si>
  <si>
    <t>TJN0925265</t>
  </si>
  <si>
    <t>26Feb021.01</t>
  </si>
  <si>
    <t>POPV260421026</t>
  </si>
  <si>
    <t>26Feb022.08</t>
  </si>
  <si>
    <t>POPV260417014</t>
  </si>
  <si>
    <t>MAERSK SHIVLING / 616W</t>
  </si>
  <si>
    <t>TPVB20260417001</t>
  </si>
  <si>
    <t>SYNSHA26SE041685</t>
  </si>
  <si>
    <t>26Feb022.05</t>
  </si>
  <si>
    <t>POPV260417013</t>
  </si>
  <si>
    <t>26Feb017.15</t>
  </si>
  <si>
    <t>POPV260417012</t>
  </si>
  <si>
    <t>COSCO EXCELLENCE 076W</t>
  </si>
  <si>
    <t>TPVB20260416007</t>
  </si>
  <si>
    <t>COSU6450390090</t>
  </si>
  <si>
    <t>26Feb017.12</t>
  </si>
  <si>
    <t>POPV260417011</t>
  </si>
  <si>
    <t>26Feb017.19.01</t>
  </si>
  <si>
    <t>POPV260512042</t>
  </si>
  <si>
    <t>ONE TRUST 031W</t>
  </si>
  <si>
    <t>TPVB20260415014-1</t>
  </si>
  <si>
    <t>SYNSHA26SE041603B</t>
  </si>
  <si>
    <t>HDMUSHAZZZ529800</t>
  </si>
  <si>
    <t>26Feb017.19.02</t>
  </si>
  <si>
    <t>Energy3000 (intransit realloc)</t>
  </si>
  <si>
    <t>POPV260512043</t>
  </si>
  <si>
    <t>TPVB20260415014</t>
  </si>
  <si>
    <t>SYNSHA26SE041603A</t>
  </si>
  <si>
    <t>26Feb017.20</t>
  </si>
  <si>
    <t>POPV260512044</t>
  </si>
  <si>
    <t>26Apr006.01</t>
  </si>
  <si>
    <t>Tianjin(Transport to Yixing for shipment)</t>
  </si>
  <si>
    <t>26Apr006</t>
  </si>
  <si>
    <t>GF0700001907</t>
  </si>
  <si>
    <t>SPR-P7-515-BLK-P</t>
  </si>
  <si>
    <t>±1350mm</t>
  </si>
  <si>
    <t>POPV260417008</t>
  </si>
  <si>
    <t>CMA CGM TROCADERO  0FMGRW1MA</t>
  </si>
  <si>
    <t>TPVB20260416006</t>
  </si>
  <si>
    <t>COSU6450392670</t>
  </si>
  <si>
    <t>26Feb005.04</t>
  </si>
  <si>
    <t>POPV260417007</t>
  </si>
  <si>
    <t>COSCO SHIPPING PISCES 032W</t>
  </si>
  <si>
    <t>TPVB20260416005</t>
  </si>
  <si>
    <t>COSU6450114670</t>
  </si>
  <si>
    <t>26Feb006.02</t>
  </si>
  <si>
    <t>W14-BW (4.3货好)</t>
  </si>
  <si>
    <t>POPV260417006</t>
  </si>
  <si>
    <t>26Apr005.01</t>
  </si>
  <si>
    <t>26Apr005</t>
  </si>
  <si>
    <t>SPR-P7-510-BLK-P</t>
  </si>
  <si>
    <t>w16 PICK-UP</t>
  </si>
  <si>
    <t>POPV260422003</t>
  </si>
  <si>
    <t>CMA CGM BIG SUR 0MENLW1MA</t>
  </si>
  <si>
    <t>TPVB20260416008</t>
  </si>
  <si>
    <t>COSU6450390480</t>
  </si>
  <si>
    <t>26Apr006.02</t>
  </si>
  <si>
    <t>POPV260422002</t>
  </si>
  <si>
    <t>ra</t>
  </si>
  <si>
    <t>26Feb021.02</t>
  </si>
  <si>
    <t>POPV260417005</t>
  </si>
  <si>
    <t>TPVB20260417002</t>
  </si>
  <si>
    <t>SYNSHA26SE041684</t>
  </si>
  <si>
    <t>26Feb021.13</t>
  </si>
  <si>
    <t>POPV260417004</t>
  </si>
  <si>
    <t>26Feb023.03</t>
  </si>
  <si>
    <t>POPV260417002</t>
  </si>
  <si>
    <t>COSCO AFRICA 101E</t>
  </si>
  <si>
    <t>TPVB20260416001</t>
  </si>
  <si>
    <t>COSU6449793280</t>
  </si>
  <si>
    <t>26Feb024.01</t>
  </si>
  <si>
    <t>26Feb024</t>
  </si>
  <si>
    <t>POPV260421027</t>
  </si>
  <si>
    <t>COSCO SHIPPING GALAXY 029W</t>
  </si>
  <si>
    <t>TPVB20260416004</t>
  </si>
  <si>
    <t>COSU9506800640</t>
  </si>
  <si>
    <t>26Feb024.02</t>
  </si>
  <si>
    <t>POPV260417003</t>
  </si>
  <si>
    <t>CMA CGM JULES VERNE 0MENNW1MA</t>
  </si>
  <si>
    <t>TPVB20260416003</t>
  </si>
  <si>
    <t>COSU6449882020</t>
  </si>
  <si>
    <t>26Apr005.03</t>
  </si>
  <si>
    <t>四月22日</t>
  </si>
  <si>
    <t>POPV260423031</t>
  </si>
  <si>
    <t>TPVB20260417009</t>
  </si>
  <si>
    <t>COSU6450707610</t>
  </si>
  <si>
    <t>26Apr006.04</t>
  </si>
  <si>
    <t>POPV260423030</t>
  </si>
  <si>
    <t>26Apr004.06</t>
  </si>
  <si>
    <t>26Apr004</t>
  </si>
  <si>
    <t>四月22日 w17 PICK-UP</t>
  </si>
  <si>
    <t>POPV260423014</t>
  </si>
  <si>
    <t>TPVB20260417015</t>
  </si>
  <si>
    <t>COSU6451575620</t>
  </si>
  <si>
    <t>26Apr006.09</t>
  </si>
  <si>
    <t>POPV260423013</t>
  </si>
  <si>
    <t>EVER ATOP 1398-013W</t>
  </si>
  <si>
    <t>TPVB20260417010</t>
  </si>
  <si>
    <t>COSU6451231180</t>
  </si>
  <si>
    <t>26Apr005.02</t>
  </si>
  <si>
    <t>四月18日w17 PICK-UP</t>
  </si>
  <si>
    <t>POPV260423012</t>
  </si>
  <si>
    <t>COSCO SHIPPING SCORPIO 034W</t>
  </si>
  <si>
    <t>TPVB20260417011</t>
  </si>
  <si>
    <t>COSU6450703930</t>
  </si>
  <si>
    <t>26Apr006.03</t>
  </si>
  <si>
    <t>POPV260423010</t>
  </si>
  <si>
    <t>26Apr006.06</t>
  </si>
  <si>
    <t>四月19日w17 PICK-UP</t>
  </si>
  <si>
    <t>POPV260423011</t>
  </si>
  <si>
    <t>26Apr006.05</t>
  </si>
  <si>
    <t>四月23日</t>
  </si>
  <si>
    <t>POPV260427005</t>
  </si>
  <si>
    <t>TPVB20260417012</t>
  </si>
  <si>
    <t>COSU6450706480</t>
  </si>
  <si>
    <t>26Apr006.07</t>
  </si>
  <si>
    <t>POPV260427004</t>
  </si>
  <si>
    <t>CSCL MERCURY 099W</t>
  </si>
  <si>
    <t>TPVB20260417013</t>
  </si>
  <si>
    <t>COSU6451090390</t>
  </si>
  <si>
    <t>26Apr006.08</t>
  </si>
  <si>
    <t>POPV260427003</t>
  </si>
  <si>
    <t>TPVB20260417014</t>
  </si>
  <si>
    <t>COSU6451089790</t>
  </si>
  <si>
    <t>26Feb021.07</t>
  </si>
  <si>
    <t>POPV260423015</t>
  </si>
  <si>
    <t>COSCO SHIPPING LIBRA 035W</t>
  </si>
  <si>
    <t>TPVB20260417005</t>
  </si>
  <si>
    <t>COSU9506918160</t>
  </si>
  <si>
    <t>26Feb021.04</t>
  </si>
  <si>
    <t>POPV260423029</t>
  </si>
  <si>
    <t>MSC LENI GT616W</t>
  </si>
  <si>
    <t>TPVB20260417003</t>
  </si>
  <si>
    <t>TSNE78647800</t>
  </si>
  <si>
    <t>26Feb021.08</t>
  </si>
  <si>
    <t>POPV260423028</t>
  </si>
  <si>
    <t>26Feb021.09</t>
  </si>
  <si>
    <t>POPV260423026</t>
  </si>
  <si>
    <t>26Feb021.10</t>
  </si>
  <si>
    <t>POPV260423027</t>
  </si>
  <si>
    <t>26Feb021.11</t>
  </si>
  <si>
    <t>POPV260423025</t>
  </si>
  <si>
    <t>26Feb021.05</t>
  </si>
  <si>
    <t>POPV260423024</t>
  </si>
  <si>
    <t>26Feb017.18</t>
  </si>
  <si>
    <t>POPV260423019</t>
  </si>
  <si>
    <t>SEASPAN BREEZE 0063W</t>
  </si>
  <si>
    <t>TPVB20260415015</t>
  </si>
  <si>
    <t>SYNSHA26SE041528</t>
  </si>
  <si>
    <t>HDMUSHAZL4413800</t>
  </si>
  <si>
    <t>26Feb017.23</t>
  </si>
  <si>
    <t>Ecostal Belgium CRD 01/06</t>
  </si>
  <si>
    <t>BE0126031900007</t>
  </si>
  <si>
    <t>POPV260423018</t>
  </si>
  <si>
    <t>ONE INFINITY/009W</t>
  </si>
  <si>
    <t>TPVB20260417004</t>
  </si>
  <si>
    <t>YMJAN237079554</t>
  </si>
  <si>
    <t>N237079554</t>
  </si>
  <si>
    <t>26Apr014.02</t>
  </si>
  <si>
    <t>26Apr014</t>
  </si>
  <si>
    <t>四月19日</t>
  </si>
  <si>
    <t>POPV260423017</t>
  </si>
  <si>
    <t>MSC LIVORNO GA617W</t>
  </si>
  <si>
    <t>TPVB20260417007</t>
  </si>
  <si>
    <t>SYNSHA26SE042025</t>
  </si>
  <si>
    <t>177KVBXYXVNN1753</t>
  </si>
  <si>
    <t>26Apr013.04</t>
  </si>
  <si>
    <t>26Apr013</t>
  </si>
  <si>
    <t>四月21日</t>
  </si>
  <si>
    <t>POPV260423021</t>
  </si>
  <si>
    <t>HMM DREAM 0061W</t>
  </si>
  <si>
    <t>TPVB20260417008</t>
  </si>
  <si>
    <t>TSNE60118800</t>
  </si>
  <si>
    <t>26Apr014.01</t>
  </si>
  <si>
    <t>四月18日</t>
  </si>
  <si>
    <t>POPV260423020</t>
  </si>
  <si>
    <t>TPVB20260417006</t>
  </si>
  <si>
    <t>COSU9506929530</t>
  </si>
  <si>
    <t>26Apr014.08</t>
  </si>
  <si>
    <t>POPV260423022</t>
  </si>
  <si>
    <t>ONE TRADITION-029W</t>
  </si>
  <si>
    <t>TPVB20260418007</t>
  </si>
  <si>
    <t xml:space="preserve">YMJAN235183753 </t>
  </si>
  <si>
    <t xml:space="preserve">N235183753 </t>
  </si>
  <si>
    <t>26Apr011.03.02</t>
  </si>
  <si>
    <t>26Apr011</t>
  </si>
  <si>
    <t>Local WH =&gt; Ecostal SPRL</t>
  </si>
  <si>
    <t>BE0126050400008</t>
  </si>
  <si>
    <t>POPV260626094</t>
  </si>
  <si>
    <t>TPVB20260418006</t>
  </si>
  <si>
    <t>YMJAN235185353</t>
  </si>
  <si>
    <t>N235183752</t>
  </si>
  <si>
    <t>26Apr011.03.01</t>
  </si>
  <si>
    <t>POPV260626095</t>
  </si>
  <si>
    <t>YMJAN235183752</t>
  </si>
  <si>
    <t>26Apr002.01</t>
  </si>
  <si>
    <t>26Apr002</t>
  </si>
  <si>
    <t>SPGB / HGPV Ltd - Greenspan</t>
  </si>
  <si>
    <t>GF0700001983</t>
  </si>
  <si>
    <t>POPV260506016</t>
  </si>
  <si>
    <t>GRANGEMOUTH</t>
  </si>
  <si>
    <t>ONE INNOVATION V.010W</t>
  </si>
  <si>
    <t>TPVB20260418008</t>
  </si>
  <si>
    <t>SYNSHA26SE050406</t>
  </si>
  <si>
    <t>N237081978</t>
  </si>
  <si>
    <t>26Apr001.01</t>
  </si>
  <si>
    <t>26Apr001</t>
  </si>
  <si>
    <t>GF0700001984</t>
  </si>
  <si>
    <t>POPV260506015</t>
  </si>
  <si>
    <t>26Apr001.02</t>
  </si>
  <si>
    <t>POPV260506029</t>
  </si>
  <si>
    <t>MSC CATANIA/QB618W</t>
  </si>
  <si>
    <t>TPVB20260519001</t>
  </si>
  <si>
    <t>SYNSHA26SE050783A</t>
  </si>
  <si>
    <t>177FBOBOS86688</t>
  </si>
  <si>
    <t>26Apr002.02</t>
  </si>
  <si>
    <t>POPV260506028</t>
  </si>
  <si>
    <t>26Apr005.10</t>
  </si>
  <si>
    <t>四月26日</t>
  </si>
  <si>
    <t>POPV260506027</t>
  </si>
  <si>
    <t>CMA CGM ZHENG HE 0FMGJW1MA</t>
  </si>
  <si>
    <t>TPVB20260418009</t>
  </si>
  <si>
    <t>CHN3323507</t>
  </si>
  <si>
    <t>POPV260506026</t>
  </si>
  <si>
    <t>TPVB20260418010</t>
  </si>
  <si>
    <t>ONEYSHAGC9297600</t>
  </si>
  <si>
    <t>26Apr005.09</t>
  </si>
  <si>
    <t>四月27日</t>
  </si>
  <si>
    <t>POPV260506025</t>
  </si>
  <si>
    <t>TPVB20260418011</t>
  </si>
  <si>
    <t>ONEYSHAGD7113600</t>
  </si>
  <si>
    <t>26Apr006.10</t>
  </si>
  <si>
    <t>POPV260506023</t>
  </si>
  <si>
    <t>26Apr004.02</t>
  </si>
  <si>
    <t>POPV260506014</t>
  </si>
  <si>
    <t>TPVB20260418012</t>
  </si>
  <si>
    <t>ONEYSH6FV9392700</t>
  </si>
  <si>
    <t>26Apr004.05</t>
  </si>
  <si>
    <t>POPV260506012</t>
  </si>
  <si>
    <t>26Apr004.01</t>
  </si>
  <si>
    <t>POPV260506013</t>
  </si>
  <si>
    <t>26Apr005.04</t>
  </si>
  <si>
    <t>四月28日</t>
  </si>
  <si>
    <t>POPV260506024</t>
  </si>
  <si>
    <t>CMA CGM GEORG FORSTER 
0MENPW1MA</t>
  </si>
  <si>
    <t>TPVB20260418016</t>
  </si>
  <si>
    <t>COSU6451369150</t>
  </si>
  <si>
    <t>26Apr006.12</t>
  </si>
  <si>
    <t>四月25日</t>
  </si>
  <si>
    <t>POPV260506011</t>
  </si>
  <si>
    <t>EVER GOLDEN 0750-032W</t>
  </si>
  <si>
    <t>TPVB20260418017</t>
  </si>
  <si>
    <t>COSU6451366460</t>
  </si>
  <si>
    <t>26Apr005.11</t>
  </si>
  <si>
    <t>POPV260506010</t>
  </si>
  <si>
    <t>26Apr005.06</t>
  </si>
  <si>
    <t>四月29日</t>
  </si>
  <si>
    <t>POPV260506022</t>
  </si>
  <si>
    <t>TITAN 043W</t>
  </si>
  <si>
    <t>TPVB20260418018</t>
  </si>
  <si>
    <t>COSU6451880280</t>
  </si>
  <si>
    <t>26Apr005.07</t>
  </si>
  <si>
    <t>POPV260506021</t>
  </si>
  <si>
    <t>TPVB20260418019</t>
  </si>
  <si>
    <t>COSU6451371990</t>
  </si>
  <si>
    <t>26Apr014.03</t>
  </si>
  <si>
    <t>POPV260506019</t>
  </si>
  <si>
    <t>COSCO SHIPPING SOLAR 036W</t>
  </si>
  <si>
    <t>TPVB20260418003</t>
  </si>
  <si>
    <t>COSU9507036360</t>
  </si>
  <si>
    <t>26Apr012</t>
  </si>
  <si>
    <t>SPTN / REXEL</t>
  </si>
  <si>
    <t>四月15日</t>
  </si>
  <si>
    <t>POPV260506017</t>
  </si>
  <si>
    <t>TPVB20260418005</t>
  </si>
  <si>
    <t>COSU9507037880</t>
  </si>
  <si>
    <t>26Apr014.04.01</t>
  </si>
  <si>
    <t>POPV260629098</t>
  </si>
  <si>
    <t>TPVB20260418002</t>
  </si>
  <si>
    <t>COSU9507017710</t>
  </si>
  <si>
    <t>26Apr014.04.02</t>
  </si>
  <si>
    <t>Yomatec</t>
  </si>
  <si>
    <t>FR0126062200027</t>
  </si>
  <si>
    <t>1,2</t>
  </si>
  <si>
    <t>POPV260629099</t>
  </si>
  <si>
    <t>COSU9507017711</t>
  </si>
  <si>
    <t>26Apr013.06</t>
  </si>
  <si>
    <t>ProCarte batch 1</t>
  </si>
  <si>
    <t>PL0126041700017</t>
  </si>
  <si>
    <t>POPV260506020</t>
  </si>
  <si>
    <t>TPVB20260418004</t>
  </si>
  <si>
    <t>COSU9507036320</t>
  </si>
  <si>
    <t>26Apr013.01</t>
  </si>
  <si>
    <t>Energynat Solutions Sp.z o.o.</t>
  </si>
  <si>
    <t>Energynat Solutions Sp.z o.o</t>
  </si>
  <si>
    <t>PL0126041000007</t>
  </si>
  <si>
    <t>POPV260506009</t>
  </si>
  <si>
    <t>MSC KALINA GA618W</t>
  </si>
  <si>
    <t>TPVB20260418014</t>
  </si>
  <si>
    <t>SYNSHA26SE050472</t>
  </si>
  <si>
    <t>177KVBXYXVNN1856</t>
  </si>
  <si>
    <t>26Apr013.05</t>
  </si>
  <si>
    <t>POPV260506008</t>
  </si>
  <si>
    <t>TPVB20260418015</t>
  </si>
  <si>
    <t>SYNSHA26SE050463</t>
  </si>
  <si>
    <t>177KVBXYXVNN1855</t>
  </si>
  <si>
    <t>26Feb017.22</t>
  </si>
  <si>
    <t>Ecostal Belgium CRD 01/07</t>
  </si>
  <si>
    <t>POPV260508019</t>
  </si>
  <si>
    <t>EVER GREET 0811-026W</t>
  </si>
  <si>
    <t>TPVB20260418001</t>
  </si>
  <si>
    <t>SYNSHA26SE050920A</t>
  </si>
  <si>
    <t>EGLV145699556667</t>
  </si>
  <si>
    <t>26May001.03</t>
  </si>
  <si>
    <t>26May001</t>
  </si>
  <si>
    <t>五月6日</t>
  </si>
  <si>
    <t>POPV260515045</t>
  </si>
  <si>
    <t>ONE TRADITION 0029W</t>
  </si>
  <si>
    <t>TPVB20260519009</t>
  </si>
  <si>
    <t>HDMUSHAZ9TA99500</t>
  </si>
  <si>
    <t>26Apr010.02</t>
  </si>
  <si>
    <t>26Apr010</t>
  </si>
  <si>
    <t>五月5日</t>
  </si>
  <si>
    <t>POPV260508018</t>
  </si>
  <si>
    <t>TPVB20260519012</t>
  </si>
  <si>
    <t>COSU6452080850</t>
  </si>
  <si>
    <t>26Apr010.07</t>
  </si>
  <si>
    <t>五月7日</t>
  </si>
  <si>
    <t>POPV260515047</t>
  </si>
  <si>
    <t>MSC MARIE/QB619W</t>
  </si>
  <si>
    <t>TPVB20260519011</t>
  </si>
  <si>
    <t>SYNSHA26SE051589A</t>
  </si>
  <si>
    <t>177FBOBOS86898</t>
  </si>
  <si>
    <t>In Transit-Approved</t>
  </si>
  <si>
    <t>26Apr004.04</t>
  </si>
  <si>
    <t>POPV260515046</t>
  </si>
  <si>
    <t>26Apr008.01</t>
  </si>
  <si>
    <t>26Apr008</t>
  </si>
  <si>
    <t>五月8日</t>
  </si>
  <si>
    <t>POPV260509008</t>
  </si>
  <si>
    <t>OOCL HONG KONG 039W</t>
  </si>
  <si>
    <t>TPVB20260519013</t>
  </si>
  <si>
    <t>COSU6452081790</t>
  </si>
  <si>
    <t>26May002.02</t>
  </si>
  <si>
    <t>26May002</t>
  </si>
  <si>
    <t>POPV260509009</t>
  </si>
  <si>
    <t>26May001.01</t>
  </si>
  <si>
    <t>POPV260509007</t>
  </si>
  <si>
    <t>COSCO SHIPPING UNIVERSE 035W</t>
  </si>
  <si>
    <t>TPVB20260519002</t>
  </si>
  <si>
    <t>COSU6452282800</t>
  </si>
  <si>
    <t>TCL REFERENCE NO.</t>
  </si>
  <si>
    <t>Region</t>
  </si>
  <si>
    <t>G2G ?</t>
  </si>
  <si>
    <t>ATP Status</t>
  </si>
  <si>
    <t>Oracle SKU</t>
  </si>
  <si>
    <t>DESCRIPTION</t>
  </si>
  <si>
    <t>ship before 4.1?</t>
  </si>
  <si>
    <t>ETD On S/O</t>
  </si>
  <si>
    <t>incoterm</t>
  </si>
  <si>
    <t>Booking #</t>
  </si>
  <si>
    <t>TBA - 1</t>
  </si>
  <si>
    <t>LT (pick-up to ETA)</t>
  </si>
  <si>
    <t>ETD Conso</t>
  </si>
  <si>
    <t>ODP Available Port</t>
  </si>
  <si>
    <t>New Ark PO status</t>
  </si>
  <si>
    <t>New Ark ETA</t>
  </si>
  <si>
    <t>ETA WH / Port for New Ark</t>
  </si>
  <si>
    <t>ETA WH Year</t>
  </si>
  <si>
    <t>ETA WH Month</t>
  </si>
  <si>
    <t>ETA WH Week</t>
  </si>
  <si>
    <t>MAY006.17</t>
  </si>
  <si>
    <t>MAY006</t>
  </si>
  <si>
    <t>All</t>
  </si>
  <si>
    <t>Check Availability in New Ark</t>
  </si>
  <si>
    <t>POPV251231059</t>
  </si>
  <si>
    <t>CMA CGM KIMBERLEY/0MEL3W1MA</t>
  </si>
  <si>
    <t>TPVB20250529001</t>
  </si>
  <si>
    <t>COSU6419461300</t>
  </si>
  <si>
    <t/>
  </si>
  <si>
    <t>MAY006.18</t>
  </si>
  <si>
    <t>lberia Region</t>
  </si>
  <si>
    <t>POPV251231053</t>
  </si>
  <si>
    <t>CSCL MERCURY/096W</t>
  </si>
  <si>
    <t>TPVB20250529008</t>
  </si>
  <si>
    <t>COSU6419474470</t>
  </si>
  <si>
    <t>MAY006.19</t>
  </si>
  <si>
    <t>Reenpro</t>
  </si>
  <si>
    <t>Emerging Market</t>
  </si>
  <si>
    <t>POPV251231056</t>
  </si>
  <si>
    <t>WILHELMSHAVEN EXPR524W</t>
  </si>
  <si>
    <t>46010580-1</t>
  </si>
  <si>
    <t>Y</t>
  </si>
  <si>
    <t>MAY009.01</t>
  </si>
  <si>
    <t>MAY009</t>
  </si>
  <si>
    <t>Italy Distrib.</t>
  </si>
  <si>
    <t>Italy &amp; Adriatics Region</t>
  </si>
  <si>
    <t>POPV251231062</t>
  </si>
  <si>
    <t>EVER GENTLE/0704-025W</t>
  </si>
  <si>
    <t>TPVB20250529002</t>
  </si>
  <si>
    <t>COSU6419461600</t>
  </si>
  <si>
    <t>MAY008.01</t>
  </si>
  <si>
    <t>MAY008</t>
  </si>
  <si>
    <t>SPIT / MARINI-PANDOLFI</t>
  </si>
  <si>
    <t>POPV251231067</t>
  </si>
  <si>
    <t>TPVB20250529007</t>
  </si>
  <si>
    <t>COSU6420662030</t>
  </si>
  <si>
    <t>JULY004.08</t>
  </si>
  <si>
    <t>JULY004</t>
  </si>
  <si>
    <t>MAY006.20</t>
  </si>
  <si>
    <t>POPV251231058</t>
  </si>
  <si>
    <t>COSCO SHIPPING SOLAR/033W</t>
  </si>
  <si>
    <t>TPVB20250605001</t>
  </si>
  <si>
    <t>COSU6420263970</t>
  </si>
  <si>
    <t>MAY006.21</t>
  </si>
  <si>
    <t>POPV251231072</t>
  </si>
  <si>
    <t>TIHAMA 525W</t>
  </si>
  <si>
    <t>46010580-2</t>
  </si>
  <si>
    <t>MAY009.05</t>
  </si>
  <si>
    <t>POPV251231075</t>
  </si>
  <si>
    <t>TPVB20250529006</t>
  </si>
  <si>
    <t>COSU6420591050</t>
  </si>
  <si>
    <t>MAY009.07</t>
  </si>
  <si>
    <t>POPV251231095</t>
  </si>
  <si>
    <t>TPVB20250605002</t>
  </si>
  <si>
    <t>COSU6420264270</t>
  </si>
  <si>
    <t>MAY011.01</t>
  </si>
  <si>
    <t>Iberia Region</t>
  </si>
  <si>
    <t>Not Available</t>
  </si>
  <si>
    <t>n/a - 2025 legacy</t>
  </si>
  <si>
    <t>TPVO2025061617</t>
  </si>
  <si>
    <t>COSCO SHIPPING HIMALAYAS/044W</t>
  </si>
  <si>
    <t>TPVB20250605003</t>
  </si>
  <si>
    <t>COSU6420290820</t>
  </si>
  <si>
    <t>MAY011.02</t>
  </si>
  <si>
    <t>POPV260104067</t>
  </si>
  <si>
    <t>MAY014.01</t>
  </si>
  <si>
    <t>SPIT/ TEST SRL</t>
  </si>
  <si>
    <t>POPV251231064</t>
  </si>
  <si>
    <t>MAY014.02</t>
  </si>
  <si>
    <t>TPVO2025053014</t>
  </si>
  <si>
    <t>MAY015.01</t>
  </si>
  <si>
    <t>MAY015</t>
  </si>
  <si>
    <t>POPV251231073</t>
  </si>
  <si>
    <t>MAY015.02</t>
  </si>
  <si>
    <t>MAY010.02</t>
  </si>
  <si>
    <t>Eurologic Sp. Z o.o.</t>
  </si>
  <si>
    <t>POPV251231087</t>
  </si>
  <si>
    <t>MANILA EXPRESS/526W</t>
  </si>
  <si>
    <t>MAEU254941683</t>
  </si>
  <si>
    <t>MAY006.22</t>
  </si>
  <si>
    <t>POPV251231082</t>
  </si>
  <si>
    <t>OOCL HONG KONG 036W</t>
  </si>
  <si>
    <t>TPVB20250612001</t>
  </si>
  <si>
    <t>COSU6421224540</t>
  </si>
  <si>
    <t>COSU6421224540_x000D_</t>
  </si>
  <si>
    <t>MAY006.23</t>
  </si>
  <si>
    <t>POPV251231007</t>
  </si>
  <si>
    <t>TPVB20250612002</t>
  </si>
  <si>
    <t>COSU6421224760</t>
  </si>
  <si>
    <t>MAY006.24</t>
  </si>
  <si>
    <t>POPV251231077</t>
  </si>
  <si>
    <t>TPVB20250612003</t>
  </si>
  <si>
    <t>COSU6421224890</t>
  </si>
  <si>
    <t>COSU6421224890_x000D_</t>
  </si>
  <si>
    <t>MAY006.25</t>
  </si>
  <si>
    <t>POPV251231006</t>
  </si>
  <si>
    <t>CSCL SATURN/085W</t>
  </si>
  <si>
    <t>TPVB20250612004</t>
  </si>
  <si>
    <t>COSU6421712120</t>
  </si>
  <si>
    <t>MAY005.10</t>
  </si>
  <si>
    <t>MAY005</t>
  </si>
  <si>
    <t>POPV251231094</t>
  </si>
  <si>
    <t>MAY005.11</t>
  </si>
  <si>
    <t>POPV251231092</t>
  </si>
  <si>
    <t>MAY005.12</t>
  </si>
  <si>
    <t>POPV251231093</t>
  </si>
  <si>
    <t>POPV251231005</t>
  </si>
  <si>
    <t>EVER GRADE 0707-025W</t>
  </si>
  <si>
    <t>TPVB20250619002</t>
  </si>
  <si>
    <t>COSU6422739630</t>
  </si>
  <si>
    <t>MAY015.03</t>
  </si>
  <si>
    <t>POPV260104111</t>
  </si>
  <si>
    <t>MSC ALESSIA   QB526W</t>
  </si>
  <si>
    <t>177FVKVKS234167</t>
  </si>
  <si>
    <t>MAY015.04</t>
  </si>
  <si>
    <t>POPV251231088</t>
  </si>
  <si>
    <t>TPVB20250619001</t>
  </si>
  <si>
    <t>COSU6421953700</t>
  </si>
  <si>
    <t>MAY009.08</t>
  </si>
  <si>
    <t>POPV251231090</t>
  </si>
  <si>
    <t>MAY006.26</t>
  </si>
  <si>
    <t>POPV251231071</t>
  </si>
  <si>
    <t>EVER LIFTING 060W</t>
  </si>
  <si>
    <t>TPVB20250619004</t>
  </si>
  <si>
    <t>COSU6422019550</t>
  </si>
  <si>
    <t>JULY004.01</t>
  </si>
  <si>
    <t>POPV251231081</t>
  </si>
  <si>
    <t>JULY004.02</t>
  </si>
  <si>
    <t>POPV251231084</t>
  </si>
  <si>
    <t>TPVB20250619003</t>
  </si>
  <si>
    <t>COSU6422019170</t>
  </si>
  <si>
    <t>JULY004.03</t>
  </si>
  <si>
    <t>POPV251231098</t>
  </si>
  <si>
    <t>OOCL INDONESIA/033W</t>
  </si>
  <si>
    <t>TPVB20250626002-2</t>
  </si>
  <si>
    <t>COSU6422843430</t>
  </si>
  <si>
    <t>APR003.01</t>
  </si>
  <si>
    <t>APR003</t>
  </si>
  <si>
    <t>P7 COM S CFP</t>
  </si>
  <si>
    <t>GF0700000001</t>
  </si>
  <si>
    <t>PVM, SPR-P7-550-COM-S, I BF-G M4.3D EVO2Z6NL 1.5KV IT P36</t>
  </si>
  <si>
    <t>POPV251231085</t>
  </si>
  <si>
    <t>MAY006.27</t>
  </si>
  <si>
    <t>POPV251231091</t>
  </si>
  <si>
    <t>APR004.01</t>
  </si>
  <si>
    <t>APR004</t>
  </si>
  <si>
    <t>GF0700000002</t>
  </si>
  <si>
    <t>PVM, SPR-P7-555-COM-S, I BF-G M4.3D EVO2Z6NL 1.5KV IT P36</t>
  </si>
  <si>
    <t>POPV251231089</t>
  </si>
  <si>
    <t>CMA CGM CEDRUS 0MELBW1MA</t>
  </si>
  <si>
    <t>TPVB20250626002-1</t>
  </si>
  <si>
    <t>COSU6422843290</t>
  </si>
  <si>
    <t>JULY004.04</t>
  </si>
  <si>
    <t>POPV251231101</t>
  </si>
  <si>
    <t>TPVB20250626003</t>
  </si>
  <si>
    <t>COSU6422843570</t>
  </si>
  <si>
    <t>JULY004.05</t>
  </si>
  <si>
    <t>POPV251231097</t>
  </si>
  <si>
    <t>TPVB20250626004</t>
  </si>
  <si>
    <t>COSU6422843610</t>
  </si>
  <si>
    <t>JULY001.01</t>
  </si>
  <si>
    <t>JULY001</t>
  </si>
  <si>
    <t>POPV251231096</t>
  </si>
  <si>
    <t>COSCO SHIPPING STAR/025W</t>
  </si>
  <si>
    <t>TPVB20250626001</t>
  </si>
  <si>
    <t>COSU6422868460</t>
  </si>
  <si>
    <t>JULY001.02</t>
  </si>
  <si>
    <t>POPV251231008</t>
  </si>
  <si>
    <t>APR004.02</t>
  </si>
  <si>
    <t>POPV251231155</t>
  </si>
  <si>
    <t>EVER GIVEN/0709-025W</t>
  </si>
  <si>
    <t>TPVB20250703003</t>
  </si>
  <si>
    <t>COSU6424115110</t>
  </si>
  <si>
    <t>APR003.02</t>
  </si>
  <si>
    <t>POPV251231152</t>
  </si>
  <si>
    <t>MAY009.03</t>
  </si>
  <si>
    <t>POPV251231066</t>
  </si>
  <si>
    <t>TPVB20250529004</t>
  </si>
  <si>
    <t>COSU6419462160</t>
  </si>
  <si>
    <t>MAY009.04</t>
  </si>
  <si>
    <t>POPV251231083</t>
  </si>
  <si>
    <t>TPVB20250529005</t>
  </si>
  <si>
    <t>COSU6420615230</t>
  </si>
  <si>
    <t>MAY016.01</t>
  </si>
  <si>
    <t>VP SOLAR</t>
  </si>
  <si>
    <t>GF0700000017</t>
  </si>
  <si>
    <t>TRANSPARENT</t>
  </si>
  <si>
    <t>POPV251231166</t>
  </si>
  <si>
    <t>COSCO SHIPPING ARIES 034W</t>
  </si>
  <si>
    <t>TPVB20250703005</t>
  </si>
  <si>
    <t>COSU6423839390</t>
  </si>
  <si>
    <t>MAY019.01</t>
  </si>
  <si>
    <t>MAY019</t>
  </si>
  <si>
    <t>Voltaneo</t>
  </si>
  <si>
    <t>France and Switzerland Region</t>
  </si>
  <si>
    <t>POPV251231175</t>
  </si>
  <si>
    <t>CMA CGM JULES VERNE 0MELDW1MA</t>
  </si>
  <si>
    <t>COSU6423991700</t>
  </si>
  <si>
    <t>MAY019.02</t>
  </si>
  <si>
    <t>APPROSUD ENVIRONNEMENT</t>
  </si>
  <si>
    <t>POPV260104107 &amp; POPV260104078</t>
  </si>
  <si>
    <t>371008675 &amp;371008676</t>
  </si>
  <si>
    <t>46010684&amp;46010693</t>
  </si>
  <si>
    <t>COSU6423992580</t>
  </si>
  <si>
    <t>May020.01</t>
  </si>
  <si>
    <t>May020</t>
  </si>
  <si>
    <t>POPV251231165</t>
  </si>
  <si>
    <t>TPVB20250703004</t>
  </si>
  <si>
    <t>COSU6423899400</t>
  </si>
  <si>
    <t>MAY019.03</t>
  </si>
  <si>
    <t>POPV251231164</t>
  </si>
  <si>
    <t>APR004.03</t>
  </si>
  <si>
    <t>POPV251231161</t>
  </si>
  <si>
    <t xml:space="preserve">CMA CGM UNITY 0MELFW1MA </t>
  </si>
  <si>
    <t>TPVB20250710001</t>
  </si>
  <si>
    <t>COSU6424205840</t>
  </si>
  <si>
    <t>JULY004.07</t>
  </si>
  <si>
    <t>POPV251231174</t>
  </si>
  <si>
    <t>TPVB20250710004</t>
  </si>
  <si>
    <t>COSU6424515730</t>
  </si>
  <si>
    <t>APR004.04</t>
  </si>
  <si>
    <t>POPV251231177</t>
  </si>
  <si>
    <t>TPVB20250710002</t>
  </si>
  <si>
    <t>COSU6424515230</t>
  </si>
  <si>
    <t>JULY003.02</t>
  </si>
  <si>
    <t>JULY003</t>
  </si>
  <si>
    <t>Local WH - Maisolia</t>
  </si>
  <si>
    <t>GF0700000796</t>
  </si>
  <si>
    <t>PVM, SPR-P7-500-BLK-P, I BF-G AR-SA M4.4F EVO2Z7NL</t>
  </si>
  <si>
    <t>POPV251231160</t>
  </si>
  <si>
    <t>MAY016.02</t>
  </si>
  <si>
    <t>POPV251231154</t>
  </si>
  <si>
    <t>COSCO SHIPPING LEO 033W</t>
  </si>
  <si>
    <t>TPVB20250717003</t>
  </si>
  <si>
    <t>COSU6424836960</t>
  </si>
  <si>
    <t>MAY016.03</t>
  </si>
  <si>
    <t>VP Solar</t>
  </si>
  <si>
    <t>former VP Solar order</t>
  </si>
  <si>
    <t>POPV251231153</t>
  </si>
  <si>
    <t>TPVB20250717004</t>
  </si>
  <si>
    <t>COSU6424835050</t>
  </si>
  <si>
    <t>MAY017.01</t>
  </si>
  <si>
    <t>MAY017</t>
  </si>
  <si>
    <t>POPV251231172</t>
  </si>
  <si>
    <t>COSU6424836960_x000D_</t>
  </si>
  <si>
    <t>MAY025.02</t>
  </si>
  <si>
    <t>MAY025</t>
  </si>
  <si>
    <t>Benelux Region</t>
  </si>
  <si>
    <t>GF0101010101</t>
  </si>
  <si>
    <t>HSM-ND48-GR450</t>
  </si>
  <si>
    <t>POPV260104115</t>
  </si>
  <si>
    <t>COSU6424885190</t>
  </si>
  <si>
    <t>MAY017.02</t>
  </si>
  <si>
    <t>Forte Solar doo</t>
  </si>
  <si>
    <t>POPV251231176</t>
  </si>
  <si>
    <t>RIJEKA</t>
  </si>
  <si>
    <t>COSCO SHIPPING LEO 033W/CMA CGM OSIRIS 015W</t>
  </si>
  <si>
    <t>COSU6424908540</t>
  </si>
  <si>
    <t>MAY017.03</t>
  </si>
  <si>
    <t xml:space="preserve">SPTN / SEN Solare Energiesysteme GmbH </t>
  </si>
  <si>
    <t>Germany &amp; Austria Region</t>
  </si>
  <si>
    <t>POPV251231171</t>
  </si>
  <si>
    <t>TPVB20250717001</t>
  </si>
  <si>
    <t>COSU6424819590</t>
  </si>
  <si>
    <t>MAY019.04</t>
  </si>
  <si>
    <t>POPV251231163</t>
  </si>
  <si>
    <t>CSCL PACIFIC OCEAN 063W</t>
  </si>
  <si>
    <t>TPVB20250710003</t>
  </si>
  <si>
    <t>COSU6424518830</t>
  </si>
  <si>
    <t>JULY004.06</t>
  </si>
  <si>
    <t>POPV251231170</t>
  </si>
  <si>
    <t>JULY002.03</t>
  </si>
  <si>
    <t>JULY002</t>
  </si>
  <si>
    <t>POPV251231179</t>
  </si>
  <si>
    <t>CMA CGM GRACE BAY 0MELHW1MA</t>
  </si>
  <si>
    <t>TPVB20250717006</t>
  </si>
  <si>
    <t>COSU6424625040</t>
  </si>
  <si>
    <t>JULY005.03</t>
  </si>
  <si>
    <t>JULY005</t>
  </si>
  <si>
    <t>POPV251231182</t>
  </si>
  <si>
    <t>TPVB20250717005</t>
  </si>
  <si>
    <t>COSU6424848790</t>
  </si>
  <si>
    <t>MAY021.01</t>
  </si>
  <si>
    <t>MAY021</t>
  </si>
  <si>
    <t>POPV251231159</t>
  </si>
  <si>
    <t>TPVB20250717002</t>
  </si>
  <si>
    <t>COSU6424848650</t>
  </si>
  <si>
    <t>MAY021.02</t>
  </si>
  <si>
    <t>POPV251231169</t>
  </si>
  <si>
    <t>COSU6424848650_x000D_</t>
  </si>
  <si>
    <t>MAY019.08</t>
  </si>
  <si>
    <t>SPIT / ENERGIA ITALIA</t>
  </si>
  <si>
    <t>POPV251231188</t>
  </si>
  <si>
    <t>EVER GOODS 0712-032W</t>
  </si>
  <si>
    <t>TPVB20250724007</t>
  </si>
  <si>
    <t>COSU6425756250</t>
  </si>
  <si>
    <t>JULY002.02</t>
  </si>
  <si>
    <t>Nordics Region</t>
  </si>
  <si>
    <t>POPV251231193</t>
  </si>
  <si>
    <t>TPVB20250724008-1</t>
  </si>
  <si>
    <t>COSU6425517330</t>
  </si>
  <si>
    <t>JUNE002.02</t>
  </si>
  <si>
    <t>zhuhai</t>
  </si>
  <si>
    <t>JUNE002</t>
  </si>
  <si>
    <t>SPTN / NATEC Consignment</t>
  </si>
  <si>
    <t>GF0700000101</t>
  </si>
  <si>
    <t>HSM-BD54-DA465</t>
  </si>
  <si>
    <t>POPV251231203</t>
  </si>
  <si>
    <t xml:space="preserve">ZHUHAI </t>
  </si>
  <si>
    <t>COSCO FORTUNE 080W</t>
  </si>
  <si>
    <t>TPVB20250801002</t>
  </si>
  <si>
    <t>COSU6425576700</t>
  </si>
  <si>
    <t>MAY019.11</t>
  </si>
  <si>
    <t>SPIT / TEST SRL</t>
  </si>
  <si>
    <t>POPV251231187</t>
  </si>
  <si>
    <t>TPVB20250724006</t>
  </si>
  <si>
    <t>COSU6425754360</t>
  </si>
  <si>
    <t>JUNE002.04</t>
  </si>
  <si>
    <t>SPTN / VDH Consignment</t>
  </si>
  <si>
    <t>POPV251231202</t>
  </si>
  <si>
    <t>JULY005.04</t>
  </si>
  <si>
    <t>POPV251231196</t>
  </si>
  <si>
    <t>TPVB20250724001-2</t>
  </si>
  <si>
    <t>COSU6426275420</t>
  </si>
  <si>
    <t>JULY005.05</t>
  </si>
  <si>
    <t>POPV251231191</t>
  </si>
  <si>
    <t>CMA CGM IGUACU 0MELJW1MA</t>
  </si>
  <si>
    <t>TPVB20250724002</t>
  </si>
  <si>
    <t>COSU6425546030</t>
  </si>
  <si>
    <t>JULY005.06</t>
  </si>
  <si>
    <t>POPV251231195</t>
  </si>
  <si>
    <t>EVER ARIA1360-012W</t>
  </si>
  <si>
    <t>TPVB20250724001-1</t>
  </si>
  <si>
    <t>COSU6426300390</t>
  </si>
  <si>
    <t>POPV251231180</t>
  </si>
  <si>
    <t>TPVB20250724003</t>
  </si>
  <si>
    <t>COSU6425762990</t>
  </si>
  <si>
    <t>POPV251231183</t>
  </si>
  <si>
    <t>MAY020.02</t>
  </si>
  <si>
    <t>MAY020</t>
  </si>
  <si>
    <t>POPV251231189</t>
  </si>
  <si>
    <t>TPVB20250724005</t>
  </si>
  <si>
    <t>COSU6425553050</t>
  </si>
  <si>
    <t>MAY025.01</t>
  </si>
  <si>
    <t>POPV251231186</t>
  </si>
  <si>
    <t>EVER MEGA/0773-006W</t>
  </si>
  <si>
    <t>TPVB20250724008-2</t>
  </si>
  <si>
    <t>COSU6425781620</t>
  </si>
  <si>
    <t>MAY020.03</t>
  </si>
  <si>
    <t>POPV251231190</t>
  </si>
  <si>
    <t>COSU6425756250_x000D_</t>
  </si>
  <si>
    <t>MAY008.02</t>
  </si>
  <si>
    <t>POPV251231184</t>
  </si>
  <si>
    <t>TPVB20250724004</t>
  </si>
  <si>
    <t>COSU6425637820</t>
  </si>
  <si>
    <t>COSU6425637820_x000D_</t>
  </si>
  <si>
    <t>SPIT / ALEMPOWER SRL</t>
  </si>
  <si>
    <t>POPV251231185</t>
  </si>
  <si>
    <t>JUNE001.01</t>
  </si>
  <si>
    <t>UK Region</t>
  </si>
  <si>
    <t>POPV251231201</t>
  </si>
  <si>
    <t>ZHUHAI</t>
  </si>
  <si>
    <t xml:space="preserve">EVER ARIA 1360-012W </t>
  </si>
  <si>
    <t>TPVB20250801001</t>
  </si>
  <si>
    <t>COSU6425832690</t>
  </si>
  <si>
    <t>AUG002.01</t>
  </si>
  <si>
    <t>AUG002</t>
  </si>
  <si>
    <t>POPV251231210</t>
  </si>
  <si>
    <t>OOCL SCANDINAVIA 034W</t>
  </si>
  <si>
    <t>TPVB20250801009</t>
  </si>
  <si>
    <t>COSU6426810780</t>
  </si>
  <si>
    <t>AUG002.02</t>
  </si>
  <si>
    <t>POPV251231207</t>
  </si>
  <si>
    <t>CSCL STAR 088W</t>
  </si>
  <si>
    <t>TPVB20250801003</t>
  </si>
  <si>
    <t>COSU6426686290</t>
  </si>
  <si>
    <t>AUG002.03</t>
  </si>
  <si>
    <t>POPV251231208</t>
  </si>
  <si>
    <t>OOCL SCANDINAVIA / 02MLFW1MA</t>
  </si>
  <si>
    <t>TPVB20250801004</t>
  </si>
  <si>
    <t>CMDUCHN2603544</t>
  </si>
  <si>
    <t>CHN2603544</t>
  </si>
  <si>
    <t>AUG002.06</t>
  </si>
  <si>
    <t>POPV251231209</t>
  </si>
  <si>
    <t>COSCO SHIPPING SAGITTARIUS /031W</t>
  </si>
  <si>
    <t>TPVB20250801012-2</t>
  </si>
  <si>
    <t>COSU6426075020</t>
  </si>
  <si>
    <t>AUG006.01</t>
  </si>
  <si>
    <t>AUG006</t>
  </si>
  <si>
    <t>POPV251231229</t>
  </si>
  <si>
    <t>AUG007.01</t>
  </si>
  <si>
    <t>AUG007</t>
  </si>
  <si>
    <t>POPV251231231</t>
  </si>
  <si>
    <t xml:space="preserve">TIANJIN </t>
  </si>
  <si>
    <t>TPVB20250801012-1</t>
  </si>
  <si>
    <t>COSU6426074980</t>
  </si>
  <si>
    <t>MAY008.03</t>
  </si>
  <si>
    <t>POPV251231197</t>
  </si>
  <si>
    <t>TPVB20250801008</t>
  </si>
  <si>
    <t>COSU6426810560</t>
  </si>
  <si>
    <t>COSU6426810560_x000D_</t>
  </si>
  <si>
    <t>JULY005.09</t>
  </si>
  <si>
    <t>POPV251231218</t>
  </si>
  <si>
    <t>COSCO SHIPPING TAURUS 034W</t>
  </si>
  <si>
    <t>TPVB20250801013</t>
  </si>
  <si>
    <t>COSU6426635150</t>
  </si>
  <si>
    <t>MAY019.05</t>
  </si>
  <si>
    <t>POPV251231200</t>
  </si>
  <si>
    <t>MARCHEN MAERSK 533W</t>
  </si>
  <si>
    <t>HLCUSHA2507HAMP9</t>
  </si>
  <si>
    <t>MAY007.01</t>
  </si>
  <si>
    <t>MAY007</t>
  </si>
  <si>
    <t>GF0700000877</t>
  </si>
  <si>
    <t>TPVO2025072719</t>
  </si>
  <si>
    <t xml:space="preserve">EVER LENIENT 063W </t>
  </si>
  <si>
    <t>TPVB20250801010-3</t>
  </si>
  <si>
    <t>COSU6426639770</t>
  </si>
  <si>
    <t>MAY015.06</t>
  </si>
  <si>
    <t>TPVB20250801010-2</t>
  </si>
  <si>
    <t>CHN2603645</t>
  </si>
  <si>
    <t>MAY014.03</t>
  </si>
  <si>
    <t>POPV251231198</t>
  </si>
  <si>
    <t>MAY017.04</t>
  </si>
  <si>
    <t>wrong product</t>
  </si>
  <si>
    <t>POPV260104108</t>
  </si>
  <si>
    <t>empty</t>
  </si>
  <si>
    <t>TPVB20250801007</t>
  </si>
  <si>
    <t>COSU6426075230</t>
  </si>
  <si>
    <t>JULY003.03</t>
  </si>
  <si>
    <t>POPV251231217</t>
  </si>
  <si>
    <t>CHN2603566</t>
  </si>
  <si>
    <t>JULY011.01</t>
  </si>
  <si>
    <t>JULY011</t>
  </si>
  <si>
    <t>±300mm</t>
  </si>
  <si>
    <t>POPV251231205</t>
  </si>
  <si>
    <t>TPVB20250801011</t>
  </si>
  <si>
    <t>COSU6426576030</t>
  </si>
  <si>
    <t>JULY012.01</t>
  </si>
  <si>
    <t>JULY012</t>
  </si>
  <si>
    <t>POPV251231206</t>
  </si>
  <si>
    <t>JULY005.01</t>
  </si>
  <si>
    <t>POPV251231204</t>
  </si>
  <si>
    <t>MAY023.02</t>
  </si>
  <si>
    <t>MAY023</t>
  </si>
  <si>
    <t>46010796 -&gt; 46010785</t>
  </si>
  <si>
    <t>POPV251231199</t>
  </si>
  <si>
    <t>TPVB20250801006</t>
  </si>
  <si>
    <t>COSU6426075090</t>
  </si>
  <si>
    <t>MAY023.04</t>
  </si>
  <si>
    <t>POPV260104084</t>
  </si>
  <si>
    <t>46010731-1</t>
  </si>
  <si>
    <t>COSU9503359210</t>
  </si>
  <si>
    <t>MAY023.08</t>
  </si>
  <si>
    <t xml:space="preserve">COSU9503359211 </t>
  </si>
  <si>
    <t>MAY019.07</t>
  </si>
  <si>
    <t>POPV251231214</t>
  </si>
  <si>
    <t>CMA CGM HOPE/0MELNW1MA</t>
  </si>
  <si>
    <t>CHN2603610</t>
  </si>
  <si>
    <t>JUNE002.07</t>
  </si>
  <si>
    <t>POPV251231215</t>
  </si>
  <si>
    <t xml:space="preserve">EVER ARM 1361-013W </t>
  </si>
  <si>
    <t>TPVB20250808001</t>
  </si>
  <si>
    <t>COSU6426583200</t>
  </si>
  <si>
    <t>JULY005.02</t>
  </si>
  <si>
    <t>POPV251231220</t>
  </si>
  <si>
    <t>TPVB20250808011</t>
  </si>
  <si>
    <t>CMDUCHN2616099</t>
  </si>
  <si>
    <t>CHN2616099</t>
  </si>
  <si>
    <t>JULY005.07</t>
  </si>
  <si>
    <t>POPV251231219</t>
  </si>
  <si>
    <t>COSCO SHIPPING TAURUS/02MLHW1MA</t>
  </si>
  <si>
    <t>TPVB20250808010</t>
  </si>
  <si>
    <t>CMDUCHN2616214</t>
  </si>
  <si>
    <t>CHN2616214</t>
  </si>
  <si>
    <t>JULY005.08</t>
  </si>
  <si>
    <t>POPV251231221</t>
  </si>
  <si>
    <t>TPVB20250808012</t>
  </si>
  <si>
    <t>CMDUCHN2616169</t>
  </si>
  <si>
    <t>CHN2616169</t>
  </si>
  <si>
    <t>JUNE002.08</t>
  </si>
  <si>
    <t>POPV251231216</t>
  </si>
  <si>
    <t xml:space="preserve">CSCL STAR 088W </t>
  </si>
  <si>
    <t>TPVB20250808002</t>
  </si>
  <si>
    <t>COSU6426610040</t>
  </si>
  <si>
    <t>MAY020.06</t>
  </si>
  <si>
    <t xml:space="preserve">CMA CGM OSIRIS 0BELLW1MA </t>
  </si>
  <si>
    <t>TPVB20250801010-1</t>
  </si>
  <si>
    <t>COSU6426369350</t>
  </si>
  <si>
    <t>MAY019.10</t>
  </si>
  <si>
    <t>POPV251231213</t>
  </si>
  <si>
    <t>TPVB20250801005</t>
  </si>
  <si>
    <t>COSU6426370310</t>
  </si>
  <si>
    <t>MAY019.12</t>
  </si>
  <si>
    <t>POPV251231274</t>
  </si>
  <si>
    <t>46010786&amp;46010787</t>
  </si>
  <si>
    <t>CHN2603621</t>
  </si>
  <si>
    <t>MAY019.13</t>
  </si>
  <si>
    <t>POPV251231239</t>
  </si>
  <si>
    <t>MAY017.05</t>
  </si>
  <si>
    <t>POPV251231212</t>
  </si>
  <si>
    <t>CSCL JUPITER 090W</t>
  </si>
  <si>
    <t>TPVB20250808003</t>
  </si>
  <si>
    <t>COSU6426527550</t>
  </si>
  <si>
    <t>MAY015.07</t>
  </si>
  <si>
    <t>SPTN / Hauser Solartechnik</t>
  </si>
  <si>
    <t>to reallocate</t>
  </si>
  <si>
    <t>POPV251231260</t>
  </si>
  <si>
    <t>CSCL JUPITER/090W</t>
  </si>
  <si>
    <t>COSU6427474510</t>
  </si>
  <si>
    <t>POPV251231235</t>
  </si>
  <si>
    <t>TPVB20250815006</t>
  </si>
  <si>
    <t>COSU6427351830</t>
  </si>
  <si>
    <t>JULY011.02</t>
  </si>
  <si>
    <t>POPV251231223</t>
  </si>
  <si>
    <t>COSCO SHIPPING ANDES 045W</t>
  </si>
  <si>
    <t>TPVB20250808006-02</t>
  </si>
  <si>
    <t>COSU6426823900</t>
  </si>
  <si>
    <t>JULY011.03</t>
  </si>
  <si>
    <t>POPV251231222</t>
  </si>
  <si>
    <t>TPVB20250808006-01</t>
  </si>
  <si>
    <t>COSU6426824040</t>
  </si>
  <si>
    <t>JULY011.04</t>
  </si>
  <si>
    <t>o</t>
  </si>
  <si>
    <t>POPV251231241</t>
  </si>
  <si>
    <t>TPVB20250815005-2</t>
  </si>
  <si>
    <t>COSU6427475030</t>
  </si>
  <si>
    <t>JULY012.02</t>
  </si>
  <si>
    <t>POPV251231224</t>
  </si>
  <si>
    <t>AUG001</t>
  </si>
  <si>
    <t>POPV251231225</t>
  </si>
  <si>
    <t>TPVB20250808008</t>
  </si>
  <si>
    <t>COSU6427226700</t>
  </si>
  <si>
    <t>AUG009.01</t>
  </si>
  <si>
    <t>AUG009</t>
  </si>
  <si>
    <t>SPIT / CIEB</t>
  </si>
  <si>
    <t>POPV251231232</t>
  </si>
  <si>
    <t>COSCO SHIPPING TAURUS/034W</t>
  </si>
  <si>
    <t>TPVB20250808009</t>
  </si>
  <si>
    <t>COSU6426917860</t>
  </si>
  <si>
    <t>AUG009.02</t>
  </si>
  <si>
    <t>SPIT / Techno-Lario</t>
  </si>
  <si>
    <t>POPV251231181</t>
  </si>
  <si>
    <t>AUG009.03</t>
  </si>
  <si>
    <t>SPIT / Voltaneo Italia</t>
  </si>
  <si>
    <t>POPV251231242</t>
  </si>
  <si>
    <t>POPV251231226</t>
  </si>
  <si>
    <t>TPVB20250808004</t>
  </si>
  <si>
    <t>COSU6426823250</t>
  </si>
  <si>
    <t>AUG002.04</t>
  </si>
  <si>
    <t>POPV251231227</t>
  </si>
  <si>
    <t>EVER ALP /1362-014W</t>
  </si>
  <si>
    <t>TPVB20250808005</t>
  </si>
  <si>
    <t>COSU6426650200</t>
  </si>
  <si>
    <t>AUG002.05</t>
  </si>
  <si>
    <t>POPV251231228</t>
  </si>
  <si>
    <t>POPV251231230</t>
  </si>
  <si>
    <t>TPVB20250808007</t>
  </si>
  <si>
    <t>COSU6426916740</t>
  </si>
  <si>
    <t>AUG011.04</t>
  </si>
  <si>
    <t>POPV251231261</t>
  </si>
  <si>
    <t>COSU9503423480</t>
  </si>
  <si>
    <t>AUG011.03</t>
  </si>
  <si>
    <t>POPV251231244</t>
  </si>
  <si>
    <t xml:space="preserve">OOCL DENMARK 005W </t>
  </si>
  <si>
    <t>TPVB20250815001</t>
  </si>
  <si>
    <t>COSU9503521780</t>
  </si>
  <si>
    <t>JULY012.03</t>
  </si>
  <si>
    <t>POPV251231248</t>
  </si>
  <si>
    <t>TPVB20250815005-1</t>
  </si>
  <si>
    <t xml:space="preserve">COSU6427475080 </t>
  </si>
  <si>
    <t>JULY012.04</t>
  </si>
  <si>
    <t>14130691 (6containers), 14130692 (2containers)</t>
  </si>
  <si>
    <t>POPV251231259</t>
  </si>
  <si>
    <t>OOCL MALAYSIA/067W</t>
  </si>
  <si>
    <t>TPVB20250822005-1</t>
  </si>
  <si>
    <t>COSU6427943180</t>
  </si>
  <si>
    <t>JULY011.05</t>
  </si>
  <si>
    <t>POPV251231250</t>
  </si>
  <si>
    <t>TPVB20250822005-2</t>
  </si>
  <si>
    <t>COSU6427942960</t>
  </si>
  <si>
    <t>JUNE002.01</t>
  </si>
  <si>
    <t>SPTN / NATEC</t>
  </si>
  <si>
    <t>POPV251231251</t>
  </si>
  <si>
    <t>EVER  ALP 1362-014W</t>
  </si>
  <si>
    <t>TPVB20250815004</t>
  </si>
  <si>
    <t>COSU6427132960</t>
  </si>
  <si>
    <t>JUNE002.03</t>
  </si>
  <si>
    <t>VDH</t>
  </si>
  <si>
    <t>POPV260104120</t>
  </si>
  <si>
    <t>MSC HAMBURG / FW532W</t>
  </si>
  <si>
    <t>39011438&amp;439</t>
  </si>
  <si>
    <t>TAOS25080634</t>
  </si>
  <si>
    <t xml:space="preserve">181AY0255988399S1 </t>
  </si>
  <si>
    <t>JUNE002.05</t>
  </si>
  <si>
    <t>POPV251231252</t>
  </si>
  <si>
    <t>JUNE002.06</t>
  </si>
  <si>
    <t>POPV260104089</t>
  </si>
  <si>
    <t>JULY005.10</t>
  </si>
  <si>
    <t>POPV251231263</t>
  </si>
  <si>
    <t>COSCO INDONESIA/522W</t>
  </si>
  <si>
    <t>TPVB20250822009</t>
  </si>
  <si>
    <t>COSU6428142360</t>
  </si>
  <si>
    <t>MAY019.14</t>
  </si>
  <si>
    <t>EnergyNAT</t>
  </si>
  <si>
    <t>POPV251231238</t>
  </si>
  <si>
    <t>MAERSK EMDEN/534W</t>
  </si>
  <si>
    <t>MAY022</t>
  </si>
  <si>
    <t>Ananda</t>
  </si>
  <si>
    <t>GF0700000018</t>
  </si>
  <si>
    <t>POPV251231246</t>
  </si>
  <si>
    <t>COSCO SHIPPING CAPRICORN 038W</t>
  </si>
  <si>
    <t>COSU6428262200</t>
  </si>
  <si>
    <t>original BL</t>
  </si>
  <si>
    <t>MAY023.05</t>
  </si>
  <si>
    <t>POPV251231245</t>
  </si>
  <si>
    <t>OOCL DENMARK 005W</t>
  </si>
  <si>
    <t>COSU9503539150</t>
  </si>
  <si>
    <t>POPV251231269</t>
  </si>
  <si>
    <t>COSCO SHIPPING NEBULA/030W</t>
  </si>
  <si>
    <t>TPVB20250815009-3</t>
  </si>
  <si>
    <t>COSU6428321370</t>
  </si>
  <si>
    <t>MAY020.05</t>
  </si>
  <si>
    <t>POPV251231234</t>
  </si>
  <si>
    <t>TPVB20250815008</t>
  </si>
  <si>
    <t>COSU6427532910</t>
  </si>
  <si>
    <t>MAY020.07</t>
  </si>
  <si>
    <t>POPV251231240</t>
  </si>
  <si>
    <t>TPVB20250815007</t>
  </si>
  <si>
    <t>COSU6427529720</t>
  </si>
  <si>
    <t>JULY003.04</t>
  </si>
  <si>
    <t>POPV251231249</t>
  </si>
  <si>
    <t>TPVB20250815010</t>
  </si>
  <si>
    <t>COSU6427553750</t>
  </si>
  <si>
    <t>MAY015.05</t>
  </si>
  <si>
    <t>POPV251231256</t>
  </si>
  <si>
    <t>TPVB20250815009-2</t>
  </si>
  <si>
    <t>COSU6428305740</t>
  </si>
  <si>
    <t>MAY011.03</t>
  </si>
  <si>
    <t>POPV251231243</t>
  </si>
  <si>
    <t>COSCO ENGLAND 071W</t>
  </si>
  <si>
    <t>TPVB20250815009-1</t>
  </si>
  <si>
    <t>COSU6427326650</t>
  </si>
  <si>
    <t>MAY018.01</t>
  </si>
  <si>
    <t>MAY018</t>
  </si>
  <si>
    <t>POPV251231258</t>
  </si>
  <si>
    <t>COSU9503539610</t>
  </si>
  <si>
    <t>MAY018.02</t>
  </si>
  <si>
    <t>POPV260104086</t>
  </si>
  <si>
    <t>TPVB20250815002</t>
  </si>
  <si>
    <t>COSU9503539830</t>
  </si>
  <si>
    <t>MAY020.08</t>
  </si>
  <si>
    <t>SPIT / SOLARIT</t>
  </si>
  <si>
    <t>POPV251231271</t>
  </si>
  <si>
    <t>EVER TOP 0716-015W</t>
  </si>
  <si>
    <t>TPVB20250822006</t>
  </si>
  <si>
    <t>COSU6428027880</t>
  </si>
  <si>
    <t>AUG009.04</t>
  </si>
  <si>
    <t>SPIT / Energia Italia</t>
  </si>
  <si>
    <t>POPV251231272</t>
  </si>
  <si>
    <t>TPVB20250822008</t>
  </si>
  <si>
    <t>COSU6428081090</t>
  </si>
  <si>
    <t>AUG011.01</t>
  </si>
  <si>
    <t>POPV251231276</t>
  </si>
  <si>
    <t>GOOD PROSPECT / 536S</t>
  </si>
  <si>
    <t>46010823&amp;847</t>
  </si>
  <si>
    <t>AUG011.05</t>
  </si>
  <si>
    <t>POPV251231290</t>
  </si>
  <si>
    <t>COSCO SHIPPING VIRGO / 033W</t>
  </si>
  <si>
    <t>TPVB20250829002</t>
  </si>
  <si>
    <t>COSU9503733600</t>
  </si>
  <si>
    <t>APR003.05</t>
  </si>
  <si>
    <t>MILLIOT GREEN</t>
  </si>
  <si>
    <t>POPV251231264</t>
  </si>
  <si>
    <t>COSU6427941380</t>
  </si>
  <si>
    <t>original</t>
  </si>
  <si>
    <t>AUG005.01</t>
  </si>
  <si>
    <t>AUG005</t>
  </si>
  <si>
    <t>POPV251231287</t>
  </si>
  <si>
    <t>COSCO SHIPPING LOTUS/029W</t>
  </si>
  <si>
    <t>TPVB20250829008</t>
  </si>
  <si>
    <t>COSU6428480540</t>
  </si>
  <si>
    <t>AUG011.08</t>
  </si>
  <si>
    <t>POPV251231291</t>
  </si>
  <si>
    <t>TPVB20250829004</t>
  </si>
  <si>
    <t>COSU9503732260</t>
  </si>
  <si>
    <t>AUG012.01</t>
  </si>
  <si>
    <t>AUG012</t>
  </si>
  <si>
    <t>POPV251231255</t>
  </si>
  <si>
    <t>46010813-1</t>
  </si>
  <si>
    <t>COSU6427855490</t>
  </si>
  <si>
    <t>AUG012.02</t>
  </si>
  <si>
    <t>46010838 / 46010839</t>
  </si>
  <si>
    <t>POPV260104087</t>
  </si>
  <si>
    <t>TPVB20250822002</t>
  </si>
  <si>
    <t>COSU9503631360</t>
  </si>
  <si>
    <t>AUG012.03</t>
  </si>
  <si>
    <t>POPV251231292</t>
  </si>
  <si>
    <t>COSU9503732210</t>
  </si>
  <si>
    <t>AUG012.06</t>
  </si>
  <si>
    <t>SPTN / ISOSSUN</t>
  </si>
  <si>
    <t>POPV251231293</t>
  </si>
  <si>
    <t>AUG014</t>
  </si>
  <si>
    <t>POPV251231277</t>
  </si>
  <si>
    <t>TPVB20250822003</t>
  </si>
  <si>
    <t>COSU9503631400</t>
  </si>
  <si>
    <t>AUG014.01</t>
  </si>
  <si>
    <t>POPV251231247</t>
  </si>
  <si>
    <t>TPVB20250815003</t>
  </si>
  <si>
    <t>COSU6428389190</t>
  </si>
  <si>
    <t>AUG015.01</t>
  </si>
  <si>
    <t>AUG015</t>
  </si>
  <si>
    <t>POPV251231253</t>
  </si>
  <si>
    <t>COSU6428389190_x000D_</t>
  </si>
  <si>
    <t>AUG012.09</t>
  </si>
  <si>
    <t>POPV251231237</t>
  </si>
  <si>
    <t>COSU9503707030</t>
  </si>
  <si>
    <t>MAY017.09</t>
  </si>
  <si>
    <t>POPV251231270</t>
  </si>
  <si>
    <t>TPVB20250822001</t>
  </si>
  <si>
    <t>COSU9503624010</t>
  </si>
  <si>
    <t>COSU9503624010_x000D_</t>
  </si>
  <si>
    <t>APR003.03</t>
  </si>
  <si>
    <t>POPV251231265</t>
  </si>
  <si>
    <t>EVER ATOP/1364-011W</t>
  </si>
  <si>
    <t>COSU6427937190</t>
  </si>
  <si>
    <t>JULY011.07</t>
  </si>
  <si>
    <t>14130691 (5containers), 14130692 (5containers)</t>
  </si>
  <si>
    <t>POPV251231284</t>
  </si>
  <si>
    <t>TPVB20250829007-1</t>
  </si>
  <si>
    <t>COSU6428480670</t>
  </si>
  <si>
    <t>JULY012.05</t>
  </si>
  <si>
    <t>POPV251231280</t>
  </si>
  <si>
    <t>TPVB20250829007-2</t>
  </si>
  <si>
    <t>COSU6428480490</t>
  </si>
  <si>
    <t>POPV251231275</t>
  </si>
  <si>
    <t>TPVB20250822007</t>
  </si>
  <si>
    <t>COSU6428105400</t>
  </si>
  <si>
    <t>JULY005.11</t>
  </si>
  <si>
    <t>POPV251231273</t>
  </si>
  <si>
    <t>COSU6428081090_x000D_</t>
  </si>
  <si>
    <t>MAY023.09</t>
  </si>
  <si>
    <t>POPV251231279</t>
  </si>
  <si>
    <t>MAY016.04</t>
  </si>
  <si>
    <t>POPV251231268</t>
  </si>
  <si>
    <t>MAY008.04</t>
  </si>
  <si>
    <t>Italy Distrib SS / Local WH</t>
  </si>
  <si>
    <t>POPV251231267</t>
  </si>
  <si>
    <t>COSU6428105400_x000D_</t>
  </si>
  <si>
    <t>MAY015.09</t>
  </si>
  <si>
    <t>SPGB / Project Better Energy Ltd</t>
  </si>
  <si>
    <t>POPV251231266</t>
  </si>
  <si>
    <t>TPVB20250822004</t>
  </si>
  <si>
    <t>COSU6427942440</t>
  </si>
  <si>
    <t>MAY017.06</t>
  </si>
  <si>
    <t>POPV251231254</t>
  </si>
  <si>
    <t>MAY017.07</t>
  </si>
  <si>
    <t>POPV251231278</t>
  </si>
  <si>
    <t>TPVB20250829001</t>
  </si>
  <si>
    <t>COSU6428531390</t>
  </si>
  <si>
    <t>COSU6428531390_x000D_</t>
  </si>
  <si>
    <t>MAY018.03</t>
  </si>
  <si>
    <t>POPV251231262</t>
  </si>
  <si>
    <t>46010831-1</t>
  </si>
  <si>
    <t>COSU9503631310</t>
  </si>
  <si>
    <t>JULY003.01</t>
  </si>
  <si>
    <t>POPV251231302</t>
  </si>
  <si>
    <t>COSCO SHIPPING VIRGO 033W</t>
  </si>
  <si>
    <t>TPVB20250905003</t>
  </si>
  <si>
    <t>COSU6429485040</t>
  </si>
  <si>
    <t>AUG013.01</t>
  </si>
  <si>
    <t>AUG013</t>
  </si>
  <si>
    <t>POPV251231296</t>
  </si>
  <si>
    <t>TPVB20250829005</t>
  </si>
  <si>
    <t>COSU9503732150</t>
  </si>
  <si>
    <t>AUG013.02</t>
  </si>
  <si>
    <t>POPV251231297</t>
  </si>
  <si>
    <t>TPVB20250829006</t>
  </si>
  <si>
    <t>COSU6428525740</t>
  </si>
  <si>
    <t>AUG015.02</t>
  </si>
  <si>
    <t>POPV251231311</t>
  </si>
  <si>
    <t>COSCO SHIPPING GALAXY 027W</t>
  </si>
  <si>
    <t>TPVB20250905001</t>
  </si>
  <si>
    <t>COSU6429180620</t>
  </si>
  <si>
    <t>AUG012.07</t>
  </si>
  <si>
    <t>POPV251231295</t>
  </si>
  <si>
    <t>AUG012.08</t>
  </si>
  <si>
    <t>POPV251231299</t>
  </si>
  <si>
    <t>CMA CGM TENERE/0WURPE2MA</t>
  </si>
  <si>
    <t>TPVB20250829003-1</t>
  </si>
  <si>
    <t>TJN0753515</t>
  </si>
  <si>
    <t>AUG012.04</t>
  </si>
  <si>
    <t>POPV251231294</t>
  </si>
  <si>
    <t>AUG012.05</t>
  </si>
  <si>
    <t>POPV251231300</t>
  </si>
  <si>
    <t>TPVB20250829003-2</t>
  </si>
  <si>
    <t>TJN0753517</t>
  </si>
  <si>
    <t>AUG005.02</t>
  </si>
  <si>
    <t>POPV251231281</t>
  </si>
  <si>
    <t>CMA CGM BALI/0MELTW1MA</t>
  </si>
  <si>
    <t>TPVB20250829009-1</t>
  </si>
  <si>
    <t>COSU6428545310</t>
  </si>
  <si>
    <t>AUG005.03</t>
  </si>
  <si>
    <t>POPV251231286</t>
  </si>
  <si>
    <t>CSCL URANUS 106W</t>
  </si>
  <si>
    <t>TPVB20250829012</t>
  </si>
  <si>
    <t>COSU6428479480</t>
  </si>
  <si>
    <t>APR003.04</t>
  </si>
  <si>
    <t>POPV251231298</t>
  </si>
  <si>
    <t>EVER GREET/1365-024W</t>
  </si>
  <si>
    <t>COSU6428481200</t>
  </si>
  <si>
    <t>JUNE001.03</t>
  </si>
  <si>
    <t>EVER ATOP 1364-011W</t>
  </si>
  <si>
    <t>TPVB20250829013</t>
  </si>
  <si>
    <t>COSU6428993470</t>
  </si>
  <si>
    <t>POPV251231309</t>
  </si>
  <si>
    <t>CMA CGM BIG SUR/0MELVW1MA</t>
  </si>
  <si>
    <t>TPVB20250905005</t>
  </si>
  <si>
    <t>COSU6429383880</t>
  </si>
  <si>
    <t>AUG007.02</t>
  </si>
  <si>
    <t>POPV251231288</t>
  </si>
  <si>
    <t>COSCO SHIPPING PISCES/030W</t>
  </si>
  <si>
    <t>TPVB20250829009-2</t>
  </si>
  <si>
    <t>COSU6428544790</t>
  </si>
  <si>
    <t>POPV251231282</t>
  </si>
  <si>
    <t>TPVB20250829011</t>
  </si>
  <si>
    <t>COSU6428545100</t>
  </si>
  <si>
    <t>AUG015.03</t>
  </si>
  <si>
    <t>POPV251231330</t>
  </si>
  <si>
    <t>OOCL BRUSSELS 065E</t>
  </si>
  <si>
    <t>TPVB20250912001</t>
  </si>
  <si>
    <t>COSU6429938980</t>
  </si>
  <si>
    <t>AUG009.05</t>
  </si>
  <si>
    <t>POPV251231285</t>
  </si>
  <si>
    <t>TPVB20250829010</t>
  </si>
  <si>
    <t>COSU6428544960</t>
  </si>
  <si>
    <t>AUG005.10</t>
  </si>
  <si>
    <t>POPV251231310</t>
  </si>
  <si>
    <t>EVER GOLDEN/0718-030W</t>
  </si>
  <si>
    <t>TPVB20250905006</t>
  </si>
  <si>
    <t>COSU6429370230</t>
  </si>
  <si>
    <t>AUG011.07</t>
  </si>
  <si>
    <t>POPV251231367</t>
  </si>
  <si>
    <t>AUG004.01</t>
  </si>
  <si>
    <t>POPV251231308</t>
  </si>
  <si>
    <t>COSCO SHIPPING KILIMANJARO/042W</t>
  </si>
  <si>
    <t>TPVB20250905009</t>
  </si>
  <si>
    <t>COSU6429367970</t>
  </si>
  <si>
    <t>AUG004.02</t>
  </si>
  <si>
    <t>POPV251231305</t>
  </si>
  <si>
    <t>EVER ACT/1366-015W</t>
  </si>
  <si>
    <t>TPVB20250905004</t>
  </si>
  <si>
    <t>COSU6429367240</t>
  </si>
  <si>
    <t>AUG004.03</t>
  </si>
  <si>
    <t>POPV251231306</t>
  </si>
  <si>
    <t>TPVB20250905007</t>
  </si>
  <si>
    <t>COSU6429370570</t>
  </si>
  <si>
    <t>SEPT004.06</t>
  </si>
  <si>
    <t>SEPT004</t>
  </si>
  <si>
    <t>POPV251231312</t>
  </si>
  <si>
    <t>TPVB20250912004</t>
  </si>
  <si>
    <t>COSU6430064940</t>
  </si>
  <si>
    <t>SEPT004.02</t>
  </si>
  <si>
    <t>POPV251231357</t>
  </si>
  <si>
    <t>CMA CGM BIG SUR 0MELVW1MA</t>
  </si>
  <si>
    <t>TPVB20250912006</t>
  </si>
  <si>
    <t>COSU6430036020</t>
  </si>
  <si>
    <t>AUG004.04</t>
  </si>
  <si>
    <t>POPV251231307</t>
  </si>
  <si>
    <t>TPVB20250905008</t>
  </si>
  <si>
    <t>COSU6429371200</t>
  </si>
  <si>
    <t>SEPT008.01</t>
  </si>
  <si>
    <t>SEPT008</t>
  </si>
  <si>
    <t>POPV251231361</t>
  </si>
  <si>
    <t>COSCO SHIPPING UNIVERSE 033W</t>
  </si>
  <si>
    <t>TPVB20250912002</t>
  </si>
  <si>
    <t>COSU9503947200</t>
  </si>
  <si>
    <t>MAY020.09</t>
  </si>
  <si>
    <t>POPV260106017 or POPV260104129</t>
  </si>
  <si>
    <t>CSCL MERCURY 097W</t>
  </si>
  <si>
    <t>TPVB20250926008</t>
  </si>
  <si>
    <t>COSU6430640040</t>
  </si>
  <si>
    <t>SEPT004.03</t>
  </si>
  <si>
    <t>POPV251231335</t>
  </si>
  <si>
    <t>EVER APEX 1367-012W</t>
  </si>
  <si>
    <t>TPVB20250912007</t>
  </si>
  <si>
    <t>COSU6430036660</t>
  </si>
  <si>
    <t>POPV251231257</t>
  </si>
  <si>
    <t>TPVB20250912009</t>
  </si>
  <si>
    <t>COSU6430064730</t>
  </si>
  <si>
    <t>POPV260104123</t>
  </si>
  <si>
    <t>TPVB20250919005</t>
  </si>
  <si>
    <t>COSU6430367390</t>
  </si>
  <si>
    <t>AUG011.06</t>
  </si>
  <si>
    <t>POPV251231363</t>
  </si>
  <si>
    <t>TPVB20250919004</t>
  </si>
  <si>
    <t>COSU6430365940</t>
  </si>
  <si>
    <t>SEPT004.04</t>
  </si>
  <si>
    <t>POPV251231316</t>
  </si>
  <si>
    <t>CMA CGM BRAZIL</t>
  </si>
  <si>
    <t>TPVB20250919007</t>
  </si>
  <si>
    <t>COSU6430311220</t>
  </si>
  <si>
    <t>SEPT004.05</t>
  </si>
  <si>
    <t>POPV251231323</t>
  </si>
  <si>
    <t>EVER ACE 1368-016W</t>
  </si>
  <si>
    <t>TPVB20250919006</t>
  </si>
  <si>
    <t>COSU6430309990</t>
  </si>
  <si>
    <t>JUNE001.02</t>
  </si>
  <si>
    <t>SOLAR DEPOT SARL</t>
  </si>
  <si>
    <t>POPV251231334</t>
  </si>
  <si>
    <t>MSC IERANTO / QB538W</t>
  </si>
  <si>
    <t>181AY0253327568S1</t>
  </si>
  <si>
    <t>AUG008.01</t>
  </si>
  <si>
    <t>AUG008</t>
  </si>
  <si>
    <t>POPV260104135</t>
  </si>
  <si>
    <t xml:space="preserve">OOCL HONG KONG 037W </t>
  </si>
  <si>
    <t>TPVB20250926012</t>
  </si>
  <si>
    <t>COSU6431450830</t>
  </si>
  <si>
    <t>JULY003.05</t>
  </si>
  <si>
    <t>POPV251231327</t>
  </si>
  <si>
    <t>TPVB20250926004</t>
  </si>
  <si>
    <t>COSU6430846090</t>
  </si>
  <si>
    <t>SEPT006</t>
  </si>
  <si>
    <t>POPV260104105</t>
  </si>
  <si>
    <t>AUG005.08</t>
  </si>
  <si>
    <t>POPV260104134</t>
  </si>
  <si>
    <t>SEPT006.01</t>
  </si>
  <si>
    <t>POPV260104092</t>
  </si>
  <si>
    <t>COSCO SHIPPING SOLAR 034W</t>
  </si>
  <si>
    <t>TPVB20250912005</t>
  </si>
  <si>
    <t>COSU6430036610</t>
  </si>
  <si>
    <t>SEPT006.02</t>
  </si>
  <si>
    <t>POPV251231350</t>
  </si>
  <si>
    <t>TPVB20250912008</t>
  </si>
  <si>
    <t>COSU6430036120</t>
  </si>
  <si>
    <t>SEPT002</t>
  </si>
  <si>
    <t>GF0700000122</t>
  </si>
  <si>
    <t>SPR-BE54-DC475</t>
  </si>
  <si>
    <t>POPV251231319</t>
  </si>
  <si>
    <t xml:space="preserve">EVER ACE 1368-016W </t>
  </si>
  <si>
    <t>TPVB20250919001</t>
  </si>
  <si>
    <t>COSU6430162180</t>
  </si>
  <si>
    <t>SEPT002.01</t>
  </si>
  <si>
    <t>POPV251231359</t>
  </si>
  <si>
    <t xml:space="preserve">OOCL ABU DHABI 006W </t>
  </si>
  <si>
    <t>TPVB20250919002</t>
  </si>
  <si>
    <t>COSU6430314620</t>
  </si>
  <si>
    <t>SEPT003</t>
  </si>
  <si>
    <t>POPV260104131</t>
  </si>
  <si>
    <t>CMA CGM MEXICO 0MELZW1MA</t>
  </si>
  <si>
    <t>TPVB20250926005</t>
  </si>
  <si>
    <t>COSU6430910590</t>
  </si>
  <si>
    <t>POPV251231364</t>
  </si>
  <si>
    <t>OOCL ABU DHABI 006W</t>
  </si>
  <si>
    <t>TPVB20250926009</t>
  </si>
  <si>
    <t>COSU6431153700</t>
  </si>
  <si>
    <t>SEPT004.01</t>
  </si>
  <si>
    <t>POPV260104122</t>
  </si>
  <si>
    <t>MAY007.03</t>
  </si>
  <si>
    <t>POPV260104019</t>
  </si>
  <si>
    <t>TPVB20250926006</t>
  </si>
  <si>
    <t>COSU6430846470</t>
  </si>
  <si>
    <t>MAY007.04</t>
  </si>
  <si>
    <t>POPV260104023</t>
  </si>
  <si>
    <t>POPV260104125</t>
  </si>
  <si>
    <t>TPVB20250919009</t>
  </si>
  <si>
    <t>COSU6430310850</t>
  </si>
  <si>
    <t>POPV260104124</t>
  </si>
  <si>
    <t>TPVB20250919008</t>
  </si>
  <si>
    <t>COSU6430310370</t>
  </si>
  <si>
    <t>SEPT001.03</t>
  </si>
  <si>
    <t>SEPT001</t>
  </si>
  <si>
    <t>GF0700000121</t>
  </si>
  <si>
    <t>SPR-BE54-DC470</t>
  </si>
  <si>
    <t>POPV251231343</t>
  </si>
  <si>
    <t>EVER APEX/1367-012W</t>
  </si>
  <si>
    <t>TPVB20250926001</t>
  </si>
  <si>
    <t>COSU6430852120</t>
  </si>
  <si>
    <t>POPV260104133</t>
  </si>
  <si>
    <t>TPVB20250926010</t>
  </si>
  <si>
    <t>COSU6431348440</t>
  </si>
  <si>
    <t>AUG005.07</t>
  </si>
  <si>
    <t>POPV260104144</t>
  </si>
  <si>
    <t>EVER GLOBE 0722-024W</t>
  </si>
  <si>
    <t>TPVB20250926011</t>
  </si>
  <si>
    <t>COSU6431445540</t>
  </si>
  <si>
    <t>AUG004.05</t>
  </si>
  <si>
    <t>POPV260104143</t>
  </si>
  <si>
    <t>SEPT006.03</t>
  </si>
  <si>
    <t>POPV260104004</t>
  </si>
  <si>
    <t>TPVB20250926013</t>
  </si>
  <si>
    <t>COSU6431446140</t>
  </si>
  <si>
    <t>AUG005.05</t>
  </si>
  <si>
    <t>POPV260104128</t>
  </si>
  <si>
    <t>TPVB20250926007</t>
  </si>
  <si>
    <t>COSU6430846920</t>
  </si>
  <si>
    <t>AUG005.06</t>
  </si>
  <si>
    <t>POPV260104099</t>
  </si>
  <si>
    <t>SEPT001.01</t>
  </si>
  <si>
    <t>POPV260104127</t>
  </si>
  <si>
    <t>COSCO SHIPPING SOLAR/034W</t>
  </si>
  <si>
    <t>TPVB20250919003</t>
  </si>
  <si>
    <t>COSU6430169230</t>
  </si>
  <si>
    <t>SEPT001.02</t>
  </si>
  <si>
    <t>POPV260104095</t>
  </si>
  <si>
    <t>TPVB20250926002</t>
  </si>
  <si>
    <t>COSU6430852820</t>
  </si>
  <si>
    <t>MAY021.04</t>
  </si>
  <si>
    <t>POPV260104145</t>
  </si>
  <si>
    <t>OOCL UNITED KINGDOM/034W</t>
  </si>
  <si>
    <t>TPVB20251003004</t>
  </si>
  <si>
    <t>COSU6432020440</t>
  </si>
  <si>
    <t>OCT014</t>
  </si>
  <si>
    <t>POPV260104149</t>
  </si>
  <si>
    <t>POPV260104146</t>
  </si>
  <si>
    <t>AUG005.09</t>
  </si>
  <si>
    <t>POPV260104047</t>
  </si>
  <si>
    <t xml:space="preserve">OOCL INDONESIA 034W </t>
  </si>
  <si>
    <t>TPVB20251003002</t>
  </si>
  <si>
    <t>COSU6431974280</t>
  </si>
  <si>
    <t>POPV260104008</t>
  </si>
  <si>
    <t>EVER GLOBE/0722-024W</t>
  </si>
  <si>
    <t>TPVB20251003003</t>
  </si>
  <si>
    <t>COSU6431974440</t>
  </si>
  <si>
    <t>AUG004.06</t>
  </si>
  <si>
    <t>POPV260104044</t>
  </si>
  <si>
    <t>CMA CGM JULES VERNE/0MEM3W1MA</t>
  </si>
  <si>
    <t>TPVB20251003001</t>
  </si>
  <si>
    <t>COSU6431973950</t>
  </si>
  <si>
    <t>AUG003</t>
  </si>
  <si>
    <t>POPV260104119</t>
  </si>
  <si>
    <t>AUG008.02</t>
  </si>
  <si>
    <t>POPV260104147</t>
  </si>
  <si>
    <t>COSU6432020440_x000D_</t>
  </si>
  <si>
    <t>MAY007.06</t>
  </si>
  <si>
    <t>SPES / Avintia Santa Maria</t>
  </si>
  <si>
    <t>POPV260104030</t>
  </si>
  <si>
    <t>COSCO SHIPPING SAKURA/033W</t>
  </si>
  <si>
    <t>TPVB20251010012</t>
  </si>
  <si>
    <t>COSU6433126460</t>
  </si>
  <si>
    <t>ORIGINAL BL (FROM LC REQUIREMENT)</t>
  </si>
  <si>
    <t>MAY011.04</t>
  </si>
  <si>
    <t>POPV251231344</t>
  </si>
  <si>
    <t>TPVB20251010009</t>
  </si>
  <si>
    <t>COSU6432833560</t>
  </si>
  <si>
    <t>AUG003.01</t>
  </si>
  <si>
    <t>POPV260104006</t>
  </si>
  <si>
    <t>OOCL VALENCIA/007W</t>
  </si>
  <si>
    <t>TPVB20251010003</t>
  </si>
  <si>
    <t>COSU6431973270</t>
  </si>
  <si>
    <t>APR003.06</t>
  </si>
  <si>
    <t>POPV251231355</t>
  </si>
  <si>
    <t>COSU6431973250</t>
  </si>
  <si>
    <t>Original</t>
  </si>
  <si>
    <t>SEPT001.04</t>
  </si>
  <si>
    <t>POPV251231365</t>
  </si>
  <si>
    <t xml:space="preserve">EVER AIM 1370-015W </t>
  </si>
  <si>
    <t>TPVB20251010007</t>
  </si>
  <si>
    <t>COSU6432730330</t>
  </si>
  <si>
    <t>SEPT008.02</t>
  </si>
  <si>
    <t>Mobis-electronic d.o.o.</t>
  </si>
  <si>
    <t>POPV251231336</t>
  </si>
  <si>
    <t>EVER GENIUS 0784-029W</t>
  </si>
  <si>
    <t>EGLV141500972219</t>
  </si>
  <si>
    <t>JULY010</t>
  </si>
  <si>
    <t>SPES / Atlantica Helios</t>
  </si>
  <si>
    <t>±950mm</t>
  </si>
  <si>
    <t>POPV260104028</t>
  </si>
  <si>
    <t>TPVB20251010010</t>
  </si>
  <si>
    <t>COSU6432832780</t>
  </si>
  <si>
    <t>JULY009</t>
  </si>
  <si>
    <t>POPV260104118</t>
  </si>
  <si>
    <t>APL CHANGI/0MEM5W1MA</t>
  </si>
  <si>
    <t>TPVB20251010011</t>
  </si>
  <si>
    <t>COSU6432833740</t>
  </si>
  <si>
    <t>JULY008.01</t>
  </si>
  <si>
    <t>JULY008</t>
  </si>
  <si>
    <t>GF0700000098</t>
  </si>
  <si>
    <t>HSM-ND66-GK705</t>
  </si>
  <si>
    <t>POPV260104036</t>
  </si>
  <si>
    <t>JULY009.01</t>
  </si>
  <si>
    <t>POPV260104007</t>
  </si>
  <si>
    <t>OCT002.01</t>
  </si>
  <si>
    <t>POPV260104033</t>
  </si>
  <si>
    <t>TPVB20251010005</t>
  </si>
  <si>
    <t>COSU6432814730</t>
  </si>
  <si>
    <t>OCT002.02</t>
  </si>
  <si>
    <t>POPV260104154</t>
  </si>
  <si>
    <t>TPVB20251010006</t>
  </si>
  <si>
    <t>COSU6432814840</t>
  </si>
  <si>
    <t>OCT002.03</t>
  </si>
  <si>
    <t>POPV260104032</t>
  </si>
  <si>
    <t>OCT002.04</t>
  </si>
  <si>
    <t>POPV260104034</t>
  </si>
  <si>
    <t>CMA CGM GALAPAGOS/0MEM7W1MA</t>
  </si>
  <si>
    <t>TPVB20251017004</t>
  </si>
  <si>
    <t>COSU6432955060</t>
  </si>
  <si>
    <t>OCT003</t>
  </si>
  <si>
    <t>PVM, SPR-P7-460-BLK-1500, I BF-G AR-AL2 M4.4F EVO2Z1NL IT P39</t>
  </si>
  <si>
    <t>POPV260104009</t>
  </si>
  <si>
    <t>EVER ALLY/1371-001W</t>
  </si>
  <si>
    <t>TPVB20251010004</t>
  </si>
  <si>
    <t>COSU6432807810</t>
  </si>
  <si>
    <t>SEPT009.02</t>
  </si>
  <si>
    <t>SEPT009</t>
  </si>
  <si>
    <t>POPV260104148</t>
  </si>
  <si>
    <t>COSCO SHIPPING ARIES / 035W</t>
  </si>
  <si>
    <t>TPVB20251010002</t>
  </si>
  <si>
    <t>COSU6431983760</t>
  </si>
  <si>
    <t>OCT001</t>
  </si>
  <si>
    <t>POPV260104031</t>
  </si>
  <si>
    <t>COSCO SHIPPING ARIES/035W</t>
  </si>
  <si>
    <t>TPVB20251017003</t>
  </si>
  <si>
    <t>COSU6432877880</t>
  </si>
  <si>
    <t>OCT001.01</t>
  </si>
  <si>
    <t>POPV260104021</t>
  </si>
  <si>
    <t>MAY018.05</t>
  </si>
  <si>
    <t>POPV260104005</t>
  </si>
  <si>
    <t>TPVB20251010001</t>
  </si>
  <si>
    <t>COSU9504192400</t>
  </si>
  <si>
    <t>MAY018.06</t>
  </si>
  <si>
    <t xml:space="preserve">Voltaneo </t>
  </si>
  <si>
    <t>MAY026.01</t>
  </si>
  <si>
    <t>MAY026</t>
  </si>
  <si>
    <t>POPV260104020</t>
  </si>
  <si>
    <t>SEPT005</t>
  </si>
  <si>
    <t>POPV260116036</t>
  </si>
  <si>
    <t>OOCL INDONESIA/034W</t>
  </si>
  <si>
    <t>TPVB20251017005</t>
  </si>
  <si>
    <t>COSU6432765390</t>
  </si>
  <si>
    <t>JUNE003.01</t>
  </si>
  <si>
    <t>POPV251231360</t>
  </si>
  <si>
    <t>ONE INTELLIGENCE 006W</t>
  </si>
  <si>
    <t>TPVB20251017007</t>
  </si>
  <si>
    <t>ONEYSZPFT9945300</t>
  </si>
  <si>
    <t>OCT002.05</t>
  </si>
  <si>
    <t>POPV251231332</t>
  </si>
  <si>
    <t>EVER GENIUS/0784-029W</t>
  </si>
  <si>
    <t>TPVB20251017009</t>
  </si>
  <si>
    <t>EGLV142503348697</t>
  </si>
  <si>
    <t>SEPT001.05</t>
  </si>
  <si>
    <t>POPV260104029</t>
  </si>
  <si>
    <t>TPVB20251010008</t>
  </si>
  <si>
    <t>COSU6432731480</t>
  </si>
  <si>
    <t>AUG016.01</t>
  </si>
  <si>
    <t>AUG016</t>
  </si>
  <si>
    <t>POPV260104152</t>
  </si>
  <si>
    <t>TPVB20251017006</t>
  </si>
  <si>
    <t>COSU6432765540</t>
  </si>
  <si>
    <t>COSU6432765540_x000D_</t>
  </si>
  <si>
    <t>AUG004.08</t>
  </si>
  <si>
    <t>POPV260104165</t>
  </si>
  <si>
    <t xml:space="preserve">EVER GRADE 0724-026W </t>
  </si>
  <si>
    <t>TPVB20251024007</t>
  </si>
  <si>
    <t>LK25100071</t>
  </si>
  <si>
    <t>COSU6434134630</t>
  </si>
  <si>
    <t>JUNE001.04</t>
  </si>
  <si>
    <t>POPV251231313</t>
  </si>
  <si>
    <t>MAY007.08</t>
  </si>
  <si>
    <t>POPV260104155</t>
  </si>
  <si>
    <t>SEPT009.03</t>
  </si>
  <si>
    <t>POPV260104153</t>
  </si>
  <si>
    <t>COSCO SHIPPING LEO 034W</t>
  </si>
  <si>
    <t>TPVB20251017001</t>
  </si>
  <si>
    <t>COSU6432879630</t>
  </si>
  <si>
    <t>AUG015.04</t>
  </si>
  <si>
    <t>POPV251231317</t>
  </si>
  <si>
    <t>CMA CGM CEDRUS / 1WU04E2MA</t>
  </si>
  <si>
    <t>TPVB20251017008</t>
  </si>
  <si>
    <t>TJN0787617</t>
  </si>
  <si>
    <t>SEPT008.04</t>
  </si>
  <si>
    <t>POPV251231347</t>
  </si>
  <si>
    <t>MAY007.09</t>
  </si>
  <si>
    <t>POPV260104037</t>
  </si>
  <si>
    <t>ONE FUTURE/.006W</t>
  </si>
  <si>
    <t>TPVB20251024008</t>
  </si>
  <si>
    <t>YMLUM237046717</t>
  </si>
  <si>
    <t>M237046717</t>
  </si>
  <si>
    <t>AUG013.04</t>
  </si>
  <si>
    <t>POPV251231339</t>
  </si>
  <si>
    <t>MAY018.09</t>
  </si>
  <si>
    <t>POPV251231341</t>
  </si>
  <si>
    <t>COSU9504312300</t>
  </si>
  <si>
    <t>MAY016.05</t>
  </si>
  <si>
    <t>POPV251231325</t>
  </si>
  <si>
    <t>POPV260104151</t>
  </si>
  <si>
    <t>AUG004.09</t>
  </si>
  <si>
    <t>POPV251231368</t>
  </si>
  <si>
    <t>POPV260104150</t>
  </si>
  <si>
    <t>MAY027.01</t>
  </si>
  <si>
    <t>MAY027</t>
  </si>
  <si>
    <t>POPV260104159</t>
  </si>
  <si>
    <t>EVER GRADE 0724026W</t>
  </si>
  <si>
    <t>TPVB20251024006</t>
  </si>
  <si>
    <t>OOLU8899907740</t>
  </si>
  <si>
    <t>MAY018.07</t>
  </si>
  <si>
    <t>POPV260104160</t>
  </si>
  <si>
    <t>TPVB20251024001</t>
  </si>
  <si>
    <t>COSU6434039390</t>
  </si>
  <si>
    <t>MAY027.02</t>
  </si>
  <si>
    <t>POPV260104158</t>
  </si>
  <si>
    <t>CMA CGM UNITY/0MEM9W1MA</t>
  </si>
  <si>
    <t>TPVB20251024005</t>
  </si>
  <si>
    <t>COSU6434292990</t>
  </si>
  <si>
    <t>AUG004.07</t>
  </si>
  <si>
    <t>POPV260104164</t>
  </si>
  <si>
    <t>EVER GLORY/1373-027W</t>
  </si>
  <si>
    <t>TPVB20251024003</t>
  </si>
  <si>
    <t>COSU6433772140</t>
  </si>
  <si>
    <t>MAY027.03</t>
  </si>
  <si>
    <t>POPV260104156</t>
  </si>
  <si>
    <t>MAY027.04</t>
  </si>
  <si>
    <t>POPV260104157</t>
  </si>
  <si>
    <t>SEPT014.01</t>
  </si>
  <si>
    <t>SEPT014</t>
  </si>
  <si>
    <t>Local WH / Voltaneo tbc</t>
  </si>
  <si>
    <t>POPV260104166</t>
  </si>
  <si>
    <t>JULY009.04</t>
  </si>
  <si>
    <t>POPV260104162</t>
  </si>
  <si>
    <t>COSCO DENMARK 066W</t>
  </si>
  <si>
    <t>TPVB20251024009</t>
  </si>
  <si>
    <t>COSU6433594940</t>
  </si>
  <si>
    <t>JULY010.03</t>
  </si>
  <si>
    <t>POPV260104163</t>
  </si>
  <si>
    <t>JULY008.02</t>
  </si>
  <si>
    <t>POPV260104161</t>
  </si>
  <si>
    <t>JULY009.02</t>
  </si>
  <si>
    <t>JULY009.03</t>
  </si>
  <si>
    <t>MAY027.05</t>
  </si>
  <si>
    <t>POPV260104041</t>
  </si>
  <si>
    <t>COSCO SHIPPING STAR 027W</t>
  </si>
  <si>
    <t>TPVB20251024004</t>
  </si>
  <si>
    <t>COSU6433680920</t>
  </si>
  <si>
    <t>JULY010.02</t>
  </si>
  <si>
    <t>MAY018.08</t>
  </si>
  <si>
    <t>POPV260105009</t>
  </si>
  <si>
    <t>TPVB20251024002</t>
  </si>
  <si>
    <t>COSU6433764320</t>
  </si>
  <si>
    <t>SEPT009.04</t>
  </si>
  <si>
    <t>APPROSUD</t>
  </si>
  <si>
    <t>46010991&amp;992&amp;993</t>
  </si>
  <si>
    <t>SEPT009.05</t>
  </si>
  <si>
    <t>SEPT009.06</t>
  </si>
  <si>
    <t>POPV260105013</t>
  </si>
  <si>
    <t>MAY012.01</t>
  </si>
  <si>
    <t>MAY012</t>
  </si>
  <si>
    <t>POPV260113045</t>
  </si>
  <si>
    <t>CMA CGM GRACE BAY 0MEMBW1MA</t>
  </si>
  <si>
    <t>TPVB20251031010</t>
  </si>
  <si>
    <t>COSU6434737280</t>
  </si>
  <si>
    <t>OCT005.01</t>
  </si>
  <si>
    <t>OCT005</t>
  </si>
  <si>
    <t>POPV260108004</t>
  </si>
  <si>
    <t>CSCL PACIFIC OCEAN 064W</t>
  </si>
  <si>
    <t>TPVB20251031008</t>
  </si>
  <si>
    <t>COSU6435208730</t>
  </si>
  <si>
    <t>AUG004.14</t>
  </si>
  <si>
    <t>POPV260114061</t>
  </si>
  <si>
    <t>TPVB20251031009</t>
  </si>
  <si>
    <t>COSU6435191860</t>
  </si>
  <si>
    <t>OCT015.05</t>
  </si>
  <si>
    <t>OCT015</t>
  </si>
  <si>
    <t>+300/-200mm</t>
  </si>
  <si>
    <t>POPV260104051</t>
  </si>
  <si>
    <t>EVER ART 1374-013W</t>
  </si>
  <si>
    <t>TPVB20251107006</t>
  </si>
  <si>
    <t>COSU6435483060</t>
  </si>
  <si>
    <t>MAY028.01</t>
  </si>
  <si>
    <t>MAY028</t>
  </si>
  <si>
    <t>POPV251231321</t>
  </si>
  <si>
    <t>TPVB20251031011</t>
  </si>
  <si>
    <t>COSU6434738660</t>
  </si>
  <si>
    <t>AUG013.05</t>
  </si>
  <si>
    <t>POPV260114081</t>
  </si>
  <si>
    <t>COSCO SHIPPING SCORPIO 032W</t>
  </si>
  <si>
    <t>TPVB20251031005</t>
  </si>
  <si>
    <t>COSU6434583350</t>
  </si>
  <si>
    <t>SEPT010.02</t>
  </si>
  <si>
    <t>SEPT010</t>
  </si>
  <si>
    <t>POPV260114080</t>
  </si>
  <si>
    <t>TPVB20251031004</t>
  </si>
  <si>
    <t>COSU6434551620</t>
  </si>
  <si>
    <t>SEPT010.03</t>
  </si>
  <si>
    <t>POPV260114079</t>
  </si>
  <si>
    <t>CSCL VENUS 086W</t>
  </si>
  <si>
    <t>TPVB20251107002</t>
  </si>
  <si>
    <t>COSU6435269640</t>
  </si>
  <si>
    <t>SEPT012.01</t>
  </si>
  <si>
    <t>SEPT012</t>
  </si>
  <si>
    <t>POPV260114084</t>
  </si>
  <si>
    <t>OCT009.01</t>
  </si>
  <si>
    <t>POPV251231322</t>
  </si>
  <si>
    <t>TPVB20251107001</t>
  </si>
  <si>
    <t>COSU6435270900</t>
  </si>
  <si>
    <t>SEPT012.02</t>
  </si>
  <si>
    <t>POPV260114083</t>
  </si>
  <si>
    <t>AUG015.05</t>
  </si>
  <si>
    <t>POPV260113019</t>
  </si>
  <si>
    <t>OCT005.02</t>
  </si>
  <si>
    <t>POPV260108011</t>
  </si>
  <si>
    <t>EVER GIVEN 0727-026W</t>
  </si>
  <si>
    <t>TPVB20251107004</t>
  </si>
  <si>
    <t>COSU6435345500</t>
  </si>
  <si>
    <t>OCT005.03</t>
  </si>
  <si>
    <t>POPV260108022</t>
  </si>
  <si>
    <t>TPVB20251107005</t>
  </si>
  <si>
    <t>COSU6435283170</t>
  </si>
  <si>
    <t>OCT016.05</t>
  </si>
  <si>
    <t>OCT016</t>
  </si>
  <si>
    <t>Redirection
Film</t>
  </si>
  <si>
    <t>POPV260104011</t>
  </si>
  <si>
    <t>CMA CGM SEINE 0FML4W1MA</t>
  </si>
  <si>
    <t>TPVB20251107007</t>
  </si>
  <si>
    <t>COSU6435403990</t>
  </si>
  <si>
    <t>MAY007.02</t>
  </si>
  <si>
    <t>POPV260108002</t>
  </si>
  <si>
    <t>EVER LAWFUL 068W</t>
  </si>
  <si>
    <t>TPVB20251031007</t>
  </si>
  <si>
    <t>COSU6435599540</t>
  </si>
  <si>
    <t>MAY007.07</t>
  </si>
  <si>
    <t>POPV260108003</t>
  </si>
  <si>
    <t>OCT016.02</t>
  </si>
  <si>
    <t>POPV251231331</t>
  </si>
  <si>
    <t>COSCO SHIPPING SAGITTARIUS 032W</t>
  </si>
  <si>
    <t>TPVB20251114004</t>
  </si>
  <si>
    <t>COSU6435530290</t>
  </si>
  <si>
    <t>SEPT012.04</t>
  </si>
  <si>
    <t>POPV260114082</t>
  </si>
  <si>
    <t>TPVB20251107003</t>
  </si>
  <si>
    <t>COSU6435270210</t>
  </si>
  <si>
    <t>OCT015.01</t>
  </si>
  <si>
    <t>POPV251231342</t>
  </si>
  <si>
    <t>TPVB20251114002</t>
  </si>
  <si>
    <t>COSU6435394720</t>
  </si>
  <si>
    <t>SEPT010.01</t>
  </si>
  <si>
    <t>POPV260114078</t>
  </si>
  <si>
    <t>OCT007.03</t>
  </si>
  <si>
    <t>POPV260115055</t>
  </si>
  <si>
    <t>TPVB20251031003</t>
  </si>
  <si>
    <t>COSU6434599050</t>
  </si>
  <si>
    <t>OCT015.03</t>
  </si>
  <si>
    <t>POPV251231315</t>
  </si>
  <si>
    <t>TPVB20251121004</t>
  </si>
  <si>
    <t>COSU6436135420</t>
  </si>
  <si>
    <t>OCT015.02</t>
  </si>
  <si>
    <t>POPV251231351</t>
  </si>
  <si>
    <t>CSCL VENUS 087W</t>
  </si>
  <si>
    <t>TPVB20251114005</t>
  </si>
  <si>
    <t>COSU6435530790</t>
  </si>
  <si>
    <t>SEPT012.05</t>
  </si>
  <si>
    <t>POPV260112023</t>
  </si>
  <si>
    <t>TPVB20251114010</t>
  </si>
  <si>
    <t>COSU6435851830</t>
  </si>
  <si>
    <t>OCT016.03</t>
  </si>
  <si>
    <t>POPV251231326</t>
  </si>
  <si>
    <t>TPVB20251121005</t>
  </si>
  <si>
    <t>COSU6436136840</t>
  </si>
  <si>
    <t>MAY011.05</t>
  </si>
  <si>
    <t>POPV251231356</t>
  </si>
  <si>
    <t>CMA CGM IGUACU 0MEMFW1MA</t>
  </si>
  <si>
    <t>TPVB20251114008</t>
  </si>
  <si>
    <t>COSU6436029970</t>
  </si>
  <si>
    <t>MAY013.04</t>
  </si>
  <si>
    <t>MAY013</t>
  </si>
  <si>
    <t>POPV260114063</t>
  </si>
  <si>
    <t>TPVB20251114009</t>
  </si>
  <si>
    <t>COSU6436030750</t>
  </si>
  <si>
    <t>NOV002.08</t>
  </si>
  <si>
    <t>POPV260114064</t>
  </si>
  <si>
    <t>OCT005.05</t>
  </si>
  <si>
    <t>POPV260113021</t>
  </si>
  <si>
    <t>OOCL SCANDINAVIA 035W</t>
  </si>
  <si>
    <t>TPVB20251114006</t>
  </si>
  <si>
    <t>COSU6436174630</t>
  </si>
  <si>
    <t>OCT005.06</t>
  </si>
  <si>
    <t>POPV260108021</t>
  </si>
  <si>
    <t>EVER ARIA 1376-013W</t>
  </si>
  <si>
    <t>TPVB20251114011</t>
  </si>
  <si>
    <t>COSU6436740330</t>
  </si>
  <si>
    <t>AUG004.10</t>
  </si>
  <si>
    <t>POPV260115003</t>
  </si>
  <si>
    <t>TPVB20251114001</t>
  </si>
  <si>
    <t>COSU6436138980</t>
  </si>
  <si>
    <t>AUG017.01</t>
  </si>
  <si>
    <t>AUG017</t>
  </si>
  <si>
    <t>POPV260114059</t>
  </si>
  <si>
    <t>TPVB20251114007</t>
  </si>
  <si>
    <t>COSU6436247150</t>
  </si>
  <si>
    <t>AUG004.12</t>
  </si>
  <si>
    <t>POPV260114060</t>
  </si>
  <si>
    <t>OCT005.04</t>
  </si>
  <si>
    <t>POPV260113020</t>
  </si>
  <si>
    <t>AUG004.13</t>
  </si>
  <si>
    <t>POPV260114062</t>
  </si>
  <si>
    <t>EVER ALP 1377-015W</t>
  </si>
  <si>
    <t>TPVB20251121006</t>
  </si>
  <si>
    <t>COSU6436628390</t>
  </si>
  <si>
    <t>NOV002.05</t>
  </si>
  <si>
    <t>POPV260114047</t>
  </si>
  <si>
    <t>EVER GOODS 0729-033W</t>
  </si>
  <si>
    <t>TPVB20251121013</t>
  </si>
  <si>
    <t>COSU6437005840</t>
  </si>
  <si>
    <t>SOLAR FABRIK long cable</t>
  </si>
  <si>
    <t>POPV260104042</t>
  </si>
  <si>
    <t>MSC DITTE/GT548W</t>
  </si>
  <si>
    <t>TPVB20251117004</t>
  </si>
  <si>
    <t>SDBLBS576447</t>
  </si>
  <si>
    <t>ONEYTS5NDH347400</t>
  </si>
  <si>
    <t>OCT012.01</t>
  </si>
  <si>
    <t>POPV260104082</t>
  </si>
  <si>
    <t>OCT013</t>
  </si>
  <si>
    <t>POPV260104017</t>
  </si>
  <si>
    <t>TPVB20251117005</t>
  </si>
  <si>
    <t>SDBLBS576450</t>
  </si>
  <si>
    <t>ONEYTS5NDH349600</t>
  </si>
  <si>
    <t>NOV012.01</t>
  </si>
  <si>
    <t>NOV012</t>
  </si>
  <si>
    <t>POPV260114085</t>
  </si>
  <si>
    <t>TPVB20251121001</t>
  </si>
  <si>
    <t>COSU6436145650</t>
  </si>
  <si>
    <t>NOV013.02</t>
  </si>
  <si>
    <t>NOV013</t>
  </si>
  <si>
    <t>POPV260112026</t>
  </si>
  <si>
    <t>NOV012.02</t>
  </si>
  <si>
    <t>POPV260112025</t>
  </si>
  <si>
    <t>TPVB20251121002</t>
  </si>
  <si>
    <t>COSU6436146030</t>
  </si>
  <si>
    <t>NOV013.01</t>
  </si>
  <si>
    <t>POPV260112027</t>
  </si>
  <si>
    <t>NOV012.03</t>
  </si>
  <si>
    <t>POPV260112028</t>
  </si>
  <si>
    <t>TPVB20251121003</t>
  </si>
  <si>
    <t>COSU6436146060</t>
  </si>
  <si>
    <t>MAY012.02</t>
  </si>
  <si>
    <t>POPV260114043</t>
  </si>
  <si>
    <t>OOCL DENMARK 006W</t>
  </si>
  <si>
    <t>TPVB20251121007</t>
  </si>
  <si>
    <t>COSU6437251690</t>
  </si>
  <si>
    <t>NOV002.03</t>
  </si>
  <si>
    <t>POPV260114056</t>
  </si>
  <si>
    <t>MAY013.01</t>
  </si>
  <si>
    <t>POPV260114058</t>
  </si>
  <si>
    <t>NOV005.01</t>
  </si>
  <si>
    <t>POPV260114087</t>
  </si>
  <si>
    <t>COSCO ENGLAND 072W</t>
  </si>
  <si>
    <t>TPVB20251121008</t>
  </si>
  <si>
    <t>COSU6437487060</t>
  </si>
  <si>
    <t>NOV001</t>
  </si>
  <si>
    <t>POPV260114012</t>
  </si>
  <si>
    <t>TPVB20251121009</t>
  </si>
  <si>
    <t>COSU6437005450</t>
  </si>
  <si>
    <t>NOV014.01</t>
  </si>
  <si>
    <t>NOV014</t>
  </si>
  <si>
    <t>SPTN / Solarhona Porcieu</t>
  </si>
  <si>
    <t>46011012 - FR0125122900853</t>
  </si>
  <si>
    <t>HSM-GHF-NM-G12R+-66P CFP</t>
  </si>
  <si>
    <t>POPV260112021</t>
  </si>
  <si>
    <t>CMA CGM SCANDOLA 0MEMHW1MA</t>
  </si>
  <si>
    <t>TPVB20251121010</t>
  </si>
  <si>
    <t>COSU6436629690</t>
  </si>
  <si>
    <t>NOV014.02</t>
  </si>
  <si>
    <t>SPTN / Solarhona Vertrieu</t>
  </si>
  <si>
    <t>46011013 -&gt; FR0125122900852</t>
  </si>
  <si>
    <t>POPV260112034</t>
  </si>
  <si>
    <t>TPVB20251121011</t>
  </si>
  <si>
    <t>COSU6436881490</t>
  </si>
  <si>
    <t>MAY013.02</t>
  </si>
  <si>
    <t>POPV260114052</t>
  </si>
  <si>
    <t>TPVB20251121012</t>
  </si>
  <si>
    <t>COSU6436881890</t>
  </si>
  <si>
    <t>MAY012.03</t>
  </si>
  <si>
    <t>POPV260114050</t>
  </si>
  <si>
    <t>NOV004.02</t>
  </si>
  <si>
    <t>NOV004</t>
  </si>
  <si>
    <t>POPV260112011</t>
  </si>
  <si>
    <t>NOV004.03</t>
  </si>
  <si>
    <t>POPV260112033</t>
  </si>
  <si>
    <t>TPVB20251121014</t>
  </si>
  <si>
    <t>COSU6436965620</t>
  </si>
  <si>
    <t>OCT004.05</t>
  </si>
  <si>
    <t>OCT004</t>
  </si>
  <si>
    <t>GF0700000026</t>
  </si>
  <si>
    <t>POPV260112032</t>
  </si>
  <si>
    <t>NOV006.02</t>
  </si>
  <si>
    <t>NOV006</t>
  </si>
  <si>
    <t>POPV260112029</t>
  </si>
  <si>
    <t>NOV002.06</t>
  </si>
  <si>
    <t>POPV260114046</t>
  </si>
  <si>
    <t>MAY013.03</t>
  </si>
  <si>
    <t>POPV260114039</t>
  </si>
  <si>
    <t>OCT007.01</t>
  </si>
  <si>
    <t>POPV260104055</t>
  </si>
  <si>
    <t>MSC ELEONORE/GA549W</t>
  </si>
  <si>
    <t>TPVB20251121015</t>
  </si>
  <si>
    <t>LK25120003</t>
  </si>
  <si>
    <t>177KFJFJXTNN4910</t>
  </si>
  <si>
    <t>SEPT008.06</t>
  </si>
  <si>
    <t>POPV260104012</t>
  </si>
  <si>
    <t>SEPT012.06</t>
  </si>
  <si>
    <t>POPV260116010</t>
  </si>
  <si>
    <t>OOCL PORTUGAL 005W</t>
  </si>
  <si>
    <t>TPVB20251121016</t>
  </si>
  <si>
    <t>COSU6436505490</t>
  </si>
  <si>
    <t>NOV017.01</t>
  </si>
  <si>
    <t>POPV260108014</t>
  </si>
  <si>
    <t>TPVB20251121017</t>
  </si>
  <si>
    <t>SYNSHA25SE110333</t>
  </si>
  <si>
    <t>EGLV142503796402</t>
  </si>
  <si>
    <t>NOV019.01</t>
  </si>
  <si>
    <t>NOV019</t>
  </si>
  <si>
    <t>POPV260104058</t>
  </si>
  <si>
    <t>REN JIAN 20 / 016W</t>
  </si>
  <si>
    <t>TPVB20251117001</t>
  </si>
  <si>
    <t>SONEYSHAFBM943400</t>
  </si>
  <si>
    <t>ONEYSHAFBM943400</t>
  </si>
  <si>
    <t>NOV019.02</t>
  </si>
  <si>
    <t>POPV260104018</t>
  </si>
  <si>
    <t>NOV019.06</t>
  </si>
  <si>
    <t>POPV260104077</t>
  </si>
  <si>
    <t>ONE INNOVATION/009W</t>
  </si>
  <si>
    <t>TPVB20251117006</t>
  </si>
  <si>
    <t>SONEYSHAFBM923900</t>
  </si>
  <si>
    <t>ONEYSHAFBM923900</t>
  </si>
  <si>
    <t>NOV018.01</t>
  </si>
  <si>
    <t>NOV018</t>
  </si>
  <si>
    <t>POPV260104071</t>
  </si>
  <si>
    <t>NOV018.04</t>
  </si>
  <si>
    <t>POPV260104061</t>
  </si>
  <si>
    <t>EVER GOVERN 0790-026W</t>
  </si>
  <si>
    <t>TPVB20251118001</t>
  </si>
  <si>
    <t>SYNSHA25SE110273</t>
  </si>
  <si>
    <t>EGLV145599551566</t>
  </si>
  <si>
    <t>NOV018.05</t>
  </si>
  <si>
    <t>POPV260104016</t>
  </si>
  <si>
    <t>TPVB20251118002</t>
  </si>
  <si>
    <t>SYNSHA25SE110322</t>
  </si>
  <si>
    <t>EGLV145599551558</t>
  </si>
  <si>
    <t>NOV019.03</t>
  </si>
  <si>
    <t>POPV260104097</t>
  </si>
  <si>
    <t>TPVB20251118003</t>
  </si>
  <si>
    <t>SYNSHA25SE110323</t>
  </si>
  <si>
    <t>EGLV145599551540</t>
  </si>
  <si>
    <t>NOV018.02</t>
  </si>
  <si>
    <t>POPV260104073</t>
  </si>
  <si>
    <t>TRITON 0791-045W</t>
  </si>
  <si>
    <t>TPVB20251118004</t>
  </si>
  <si>
    <t>SYNSHA25SE110330</t>
  </si>
  <si>
    <t>EGLV145599551663</t>
  </si>
  <si>
    <t>NOV018.03</t>
  </si>
  <si>
    <t>POPV260104069</t>
  </si>
  <si>
    <t>TPVB20251118005</t>
  </si>
  <si>
    <t>SYNSHA25SE110331</t>
  </si>
  <si>
    <t>EGLV145599551655</t>
  </si>
  <si>
    <t>NOV019.05</t>
  </si>
  <si>
    <t>POPV260104074</t>
  </si>
  <si>
    <t>NOV021.01</t>
  </si>
  <si>
    <t>Yiwu</t>
  </si>
  <si>
    <t>NOV021</t>
  </si>
  <si>
    <t>GF0700000820</t>
  </si>
  <si>
    <t>HSM-BD72-GC650</t>
  </si>
  <si>
    <t>POPV260104063</t>
  </si>
  <si>
    <t>CMA CGM SORBONNE 0FMLAW1MA</t>
  </si>
  <si>
    <t>TPVB20251117003</t>
  </si>
  <si>
    <t>SYNSHA25SE110267</t>
  </si>
  <si>
    <t>EGLV145599551612</t>
  </si>
  <si>
    <t>NOV020.01</t>
  </si>
  <si>
    <t>NOV020</t>
  </si>
  <si>
    <t>GF0700000819</t>
  </si>
  <si>
    <t>HSM-BD72-GC645</t>
  </si>
  <si>
    <t>POPV260104022</t>
  </si>
  <si>
    <t>TPVB20251118006</t>
  </si>
  <si>
    <t>SYNSHA25SE110270</t>
  </si>
  <si>
    <t>EGLV145599551621</t>
  </si>
  <si>
    <t>NOV021.02</t>
  </si>
  <si>
    <t>POPV260104136</t>
  </si>
  <si>
    <t>TPVB20251118007</t>
  </si>
  <si>
    <t>SYNSHA25SE110269</t>
  </si>
  <si>
    <t>EGLV145599551523</t>
  </si>
  <si>
    <t>NOV020.02</t>
  </si>
  <si>
    <t>POPV260104059</t>
  </si>
  <si>
    <t>TPVB20251118008</t>
  </si>
  <si>
    <t>SYNSHA25SE110268</t>
  </si>
  <si>
    <t>EGLV145599551515</t>
  </si>
  <si>
    <t>NOV020.03</t>
  </si>
  <si>
    <t>POPV260104075</t>
  </si>
  <si>
    <t>EVER ATOP 1380-012W</t>
  </si>
  <si>
    <t>TPVB20251118009</t>
  </si>
  <si>
    <t>SYNSHA25SE110272</t>
  </si>
  <si>
    <t>EGLV145599551710</t>
  </si>
  <si>
    <t>NOV021.03</t>
  </si>
  <si>
    <t>POPV260104080</t>
  </si>
  <si>
    <t>POPV260104072</t>
  </si>
  <si>
    <t>EVER ALOT 1379-013W</t>
  </si>
  <si>
    <t>TPVB20251118010</t>
  </si>
  <si>
    <t>SYNSHA25SE110271</t>
  </si>
  <si>
    <t>EGLV145599551728</t>
  </si>
  <si>
    <t>JUNE001.07</t>
  </si>
  <si>
    <t>POPV260109002</t>
  </si>
  <si>
    <t>OOCL ZEEBRUGGE 008W</t>
  </si>
  <si>
    <t>TPVB20251128001</t>
  </si>
  <si>
    <t>COSU6436736360</t>
  </si>
  <si>
    <t>NOV019.04</t>
  </si>
  <si>
    <t>POPV260104062</t>
  </si>
  <si>
    <t>JUNE003.02</t>
  </si>
  <si>
    <t>POPV260114086</t>
  </si>
  <si>
    <t>TPVB20251128002</t>
  </si>
  <si>
    <t>COSU6436734570</t>
  </si>
  <si>
    <t>JUNE001.05</t>
  </si>
  <si>
    <t>POPV260112015</t>
  </si>
  <si>
    <t>NOV002.02</t>
  </si>
  <si>
    <t>POPV260104014</t>
  </si>
  <si>
    <t>COSCO SHIPPING ANDES 046W</t>
  </si>
  <si>
    <t>TPVB20251128003</t>
  </si>
  <si>
    <t>LK25120006</t>
  </si>
  <si>
    <t>EGLV142503798412</t>
  </si>
  <si>
    <t>NOV004.04</t>
  </si>
  <si>
    <t>POPV260112020</t>
  </si>
  <si>
    <t>EVER ARM 1378-014W</t>
  </si>
  <si>
    <t>TPVB20251128004</t>
  </si>
  <si>
    <t>COSU6437253580</t>
  </si>
  <si>
    <t>OCT015.06</t>
  </si>
  <si>
    <t>POPV260104060</t>
  </si>
  <si>
    <t>TPVB20251128005</t>
  </si>
  <si>
    <t>COSU6436952240</t>
  </si>
  <si>
    <t>OCT016.04</t>
  </si>
  <si>
    <t>POPV260104013</t>
  </si>
  <si>
    <t>TPVB20251128006</t>
  </si>
  <si>
    <t>COSU6436952450</t>
  </si>
  <si>
    <t>NOV003.01</t>
  </si>
  <si>
    <t>POPV260114053</t>
  </si>
  <si>
    <t>TPVB20251128007</t>
  </si>
  <si>
    <t>COSU6436995810</t>
  </si>
  <si>
    <t>NOV002.07</t>
  </si>
  <si>
    <t>POPV260114038</t>
  </si>
  <si>
    <t>AUG004.17</t>
  </si>
  <si>
    <t>POPV260114055</t>
  </si>
  <si>
    <t>NOV003.05</t>
  </si>
  <si>
    <t>POPV260114057</t>
  </si>
  <si>
    <t>TPVB20251128008</t>
  </si>
  <si>
    <t>COSU6437141100</t>
  </si>
  <si>
    <t>NOV017.04</t>
  </si>
  <si>
    <t>POPV260112016</t>
  </si>
  <si>
    <t>OOCL DENMARK 006W,</t>
  </si>
  <si>
    <t>TPVB20251128009</t>
  </si>
  <si>
    <t>COSU6436879420</t>
  </si>
  <si>
    <t>AUG004.18</t>
  </si>
  <si>
    <t>POPV260114044</t>
  </si>
  <si>
    <t>CMA CGM KIMBERLEY 0MEMJW1MA</t>
  </si>
  <si>
    <t>TPVB20251128010</t>
  </si>
  <si>
    <t>COSU6437141890</t>
  </si>
  <si>
    <t>MAY012.05</t>
  </si>
  <si>
    <t>POPV260114042</t>
  </si>
  <si>
    <t>NOV002.04</t>
  </si>
  <si>
    <t>POPV260114032</t>
  </si>
  <si>
    <t>COSCO SHIPPING TAURUS 035W</t>
  </si>
  <si>
    <t>TPVB20251128011</t>
  </si>
  <si>
    <t>COSU6437143130</t>
  </si>
  <si>
    <t>2026-03-05</t>
  </si>
  <si>
    <t>MAY012.04</t>
  </si>
  <si>
    <t>POPV260114031</t>
  </si>
  <si>
    <t>AUG004.16</t>
  </si>
  <si>
    <t>POPV260114017</t>
  </si>
  <si>
    <t>JULY013.01</t>
  </si>
  <si>
    <t>JULY013</t>
  </si>
  <si>
    <t>POPV260224038</t>
  </si>
  <si>
    <t>TPVB20251128012</t>
  </si>
  <si>
    <t>COSU6437143920</t>
  </si>
  <si>
    <t>2026-03-09</t>
  </si>
  <si>
    <t>AUG016.02</t>
  </si>
  <si>
    <t>POPV260224039</t>
  </si>
  <si>
    <t>OCT004.01</t>
  </si>
  <si>
    <t>POPV260224040</t>
  </si>
  <si>
    <t>OCT004.03</t>
  </si>
  <si>
    <t>POPV260224041</t>
  </si>
  <si>
    <t>OCT004.04</t>
  </si>
  <si>
    <t>POPV260114026</t>
  </si>
  <si>
    <t>CSCL JUPITER 092W</t>
  </si>
  <si>
    <t>TPVB20251128013</t>
  </si>
  <si>
    <t>COSU6437253020</t>
  </si>
  <si>
    <t>2026-03-02</t>
  </si>
  <si>
    <t>NOV002.09</t>
  </si>
  <si>
    <t>POPV260114025</t>
  </si>
  <si>
    <t>NOV006.03</t>
  </si>
  <si>
    <t>POPV260114021</t>
  </si>
  <si>
    <t>MAY028.02</t>
  </si>
  <si>
    <t>POPV260104052</t>
  </si>
  <si>
    <t>TPVB20251128014</t>
  </si>
  <si>
    <t>COSU6436631160</t>
  </si>
  <si>
    <t>SEPT014.02</t>
  </si>
  <si>
    <t>POPV260114016</t>
  </si>
  <si>
    <t>CSCL JUPITER 091W</t>
  </si>
  <si>
    <t>TPVB20251128015</t>
  </si>
  <si>
    <t>COSU6437302520</t>
  </si>
  <si>
    <t>AUG012.10</t>
  </si>
  <si>
    <t>POPV260114018</t>
  </si>
  <si>
    <t>SEPT008.03</t>
  </si>
  <si>
    <t>POPV260104068</t>
  </si>
  <si>
    <t>COSU9504953070</t>
  </si>
  <si>
    <t>NOV017.02</t>
  </si>
  <si>
    <t>POPV260112012</t>
  </si>
  <si>
    <t>CMA CGM LOUVRE  0FMLCW</t>
  </si>
  <si>
    <t>TPVB20251205001</t>
  </si>
  <si>
    <t>SYNSHA25SE121022</t>
  </si>
  <si>
    <t>CHN2888754</t>
  </si>
  <si>
    <t>AUG004.19</t>
  </si>
  <si>
    <t>POPV260114045</t>
  </si>
  <si>
    <t>TPVB20251205002</t>
  </si>
  <si>
    <t>COSU6437537400</t>
  </si>
  <si>
    <t>NOV006.01</t>
  </si>
  <si>
    <t>POPV260114019</t>
  </si>
  <si>
    <t>COSCO SHIPPING NEBULA 031W</t>
  </si>
  <si>
    <t>TPVB20251205003</t>
  </si>
  <si>
    <t>COSU6437768180</t>
  </si>
  <si>
    <t>JULY008.03</t>
  </si>
  <si>
    <t>POPV260114024</t>
  </si>
  <si>
    <t>COSCO SHIPPING LOTUS 030W</t>
  </si>
  <si>
    <t>TPVB20251205004</t>
  </si>
  <si>
    <t>COSU6437774660</t>
  </si>
  <si>
    <t>JULY010.04</t>
  </si>
  <si>
    <t>POPV260114022</t>
  </si>
  <si>
    <t>JULY009.05</t>
  </si>
  <si>
    <t>POPV260114023</t>
  </si>
  <si>
    <t>DEC003.01</t>
  </si>
  <si>
    <t>POPV260114035</t>
  </si>
  <si>
    <t>TPVB20251205005</t>
  </si>
  <si>
    <t>COSU6438874070</t>
  </si>
  <si>
    <t>DEC003.02</t>
  </si>
  <si>
    <t>POPV260114020</t>
  </si>
  <si>
    <t>AUG004.20</t>
  </si>
  <si>
    <t>POPV260114033</t>
  </si>
  <si>
    <t>TPVB20251205006</t>
  </si>
  <si>
    <t>COSU6438003570</t>
  </si>
  <si>
    <t>JUNE001.06</t>
  </si>
  <si>
    <t>POPV260114037</t>
  </si>
  <si>
    <t>TPVB20251205007</t>
  </si>
  <si>
    <t>COSU6437404020</t>
  </si>
  <si>
    <t>JUNE003.03</t>
  </si>
  <si>
    <t>POPV260114034</t>
  </si>
  <si>
    <t>JUNE001.08</t>
  </si>
  <si>
    <t>POPV260104137</t>
  </si>
  <si>
    <t>COSCO FRANCE 073W</t>
  </si>
  <si>
    <t>COSU6438161290</t>
  </si>
  <si>
    <t>NOV008.06</t>
  </si>
  <si>
    <t>transparent</t>
  </si>
  <si>
    <t>POPV260114011</t>
  </si>
  <si>
    <t>TPVB20251205008</t>
  </si>
  <si>
    <t>COSU6437684370</t>
  </si>
  <si>
    <t>OCT009.04</t>
  </si>
  <si>
    <t>POPV260114027</t>
  </si>
  <si>
    <t>OCT007.02</t>
  </si>
  <si>
    <t>POPV260104076</t>
  </si>
  <si>
    <t>MSC BARI/GA551W</t>
  </si>
  <si>
    <t>LK25120055</t>
  </si>
  <si>
    <t>177KFJFJXTNN5116</t>
  </si>
  <si>
    <t>NOV008.05</t>
  </si>
  <si>
    <t>POPV260104106</t>
  </si>
  <si>
    <t>COSU9504997160</t>
  </si>
  <si>
    <t>NOV003.02</t>
  </si>
  <si>
    <t>POPV260114029</t>
  </si>
  <si>
    <t>CMA CGM JEAN MERMOZ 1FL9SW1MA</t>
  </si>
  <si>
    <t>TPVB20251205011</t>
  </si>
  <si>
    <t>COSU6438240630</t>
  </si>
  <si>
    <t>NOV002.12</t>
  </si>
  <si>
    <t>POPV260114030</t>
  </si>
  <si>
    <t>NOV017.03</t>
  </si>
  <si>
    <t>POPV260112035</t>
  </si>
  <si>
    <t>CMA CGM VENDOME 0FMLGW</t>
  </si>
  <si>
    <t>TPVB20251205012</t>
  </si>
  <si>
    <t>SYNSHA25SE121146</t>
  </si>
  <si>
    <t>CHN2876892</t>
  </si>
  <si>
    <t>NOV017.05</t>
  </si>
  <si>
    <t>POPV260112036</t>
  </si>
  <si>
    <t>MAY007.10</t>
  </si>
  <si>
    <t>POPV260104079</t>
  </si>
  <si>
    <t>16102622-2</t>
  </si>
  <si>
    <t>COSU6438723580</t>
  </si>
  <si>
    <t>LM Eight x4 / x1 Suministros</t>
  </si>
  <si>
    <t>POPV260104024</t>
  </si>
  <si>
    <t>COSU6438068750</t>
  </si>
  <si>
    <t>MAY028.03</t>
  </si>
  <si>
    <t>16102620-1</t>
  </si>
  <si>
    <t>COSU6438068751</t>
  </si>
  <si>
    <t>NOV003.06</t>
  </si>
  <si>
    <t>POPV260115048</t>
  </si>
  <si>
    <t>TPVB20251212002</t>
  </si>
  <si>
    <t>COSU9505151240</t>
  </si>
  <si>
    <t>NOV004.01</t>
  </si>
  <si>
    <t>POPV260115016</t>
  </si>
  <si>
    <t>NOV002.10</t>
  </si>
  <si>
    <t>POPV260115042</t>
  </si>
  <si>
    <t>OOCL MALAYSIA 068W</t>
  </si>
  <si>
    <t>TPVB20251212003</t>
  </si>
  <si>
    <t>COSU9505130210</t>
  </si>
  <si>
    <t>DEC009.05</t>
  </si>
  <si>
    <t>POPV260115040</t>
  </si>
  <si>
    <t>TPVB20251212004</t>
  </si>
  <si>
    <t>COSU9505124280</t>
  </si>
  <si>
    <t>NOV003.03</t>
  </si>
  <si>
    <t>POPV260115041</t>
  </si>
  <si>
    <t>DEC003.03</t>
  </si>
  <si>
    <t>POPV260115037</t>
  </si>
  <si>
    <t>CMA CGM GREENLAND 0MEMNW1MA</t>
  </si>
  <si>
    <t>TPVB20251212005</t>
  </si>
  <si>
    <t>COSU6438512040</t>
  </si>
  <si>
    <t>JULY013.02</t>
  </si>
  <si>
    <t>POPV260115046</t>
  </si>
  <si>
    <t>TPVB20251212012</t>
  </si>
  <si>
    <t>COSU6438848400</t>
  </si>
  <si>
    <t>2026-03-10</t>
  </si>
  <si>
    <t>NOV003.04</t>
  </si>
  <si>
    <t>POPV260115047</t>
  </si>
  <si>
    <t>MAY013.05</t>
  </si>
  <si>
    <t>POPV260115044</t>
  </si>
  <si>
    <t>MUMBAI MAERSK 552W</t>
  </si>
  <si>
    <t>TPVB20251212013</t>
  </si>
  <si>
    <t>MRSU263209297</t>
  </si>
  <si>
    <t>NOV008.03</t>
  </si>
  <si>
    <t>POPV260104085</t>
  </si>
  <si>
    <t>COSU6438567981</t>
  </si>
  <si>
    <t>OCT009.02</t>
  </si>
  <si>
    <t>POPV260104046</t>
  </si>
  <si>
    <t>NOV008.08</t>
  </si>
  <si>
    <t>POPV260115022</t>
  </si>
  <si>
    <t>TPVB20251212010</t>
  </si>
  <si>
    <t>COSU6438567980</t>
  </si>
  <si>
    <t>2026-03-16</t>
  </si>
  <si>
    <t>NOV008.09</t>
  </si>
  <si>
    <t>POPV260115019</t>
  </si>
  <si>
    <t>NOV010.02</t>
  </si>
  <si>
    <t>POPV260115020</t>
  </si>
  <si>
    <t>NOV010.03</t>
  </si>
  <si>
    <t>POPV260115018</t>
  </si>
  <si>
    <t>OCT002.06</t>
  </si>
  <si>
    <t>POPV260115045</t>
  </si>
  <si>
    <t>JUNE001.10</t>
  </si>
  <si>
    <t>Baltsolar UAB</t>
  </si>
  <si>
    <t>POPV260104090</t>
  </si>
  <si>
    <t>TPVB20251219010</t>
  </si>
  <si>
    <t>SYNSHA25SE122034</t>
  </si>
  <si>
    <t>EGLV149509350518</t>
  </si>
  <si>
    <t>DEC011.01</t>
  </si>
  <si>
    <t>POPV260115028</t>
  </si>
  <si>
    <t>CMA CGM CONCORDE</t>
  </si>
  <si>
    <t>TPVB20251226001</t>
  </si>
  <si>
    <t>CHN2927657</t>
  </si>
  <si>
    <t>MAY013.06</t>
  </si>
  <si>
    <t>POPV260115035</t>
  </si>
  <si>
    <t>OCT002.08</t>
  </si>
  <si>
    <t>POPV260115036</t>
  </si>
  <si>
    <t>NOV002.15</t>
  </si>
  <si>
    <t>POPV260115039</t>
  </si>
  <si>
    <t>EVER GREET 1381-025W</t>
  </si>
  <si>
    <t>TPVB20251219002</t>
  </si>
  <si>
    <t>COSU9505167610</t>
  </si>
  <si>
    <t>NOV002.16</t>
  </si>
  <si>
    <t>POPV260115038</t>
  </si>
  <si>
    <t>TPVB20251219003</t>
  </si>
  <si>
    <t>COSU6439408930</t>
  </si>
  <si>
    <t>JUNE003.04</t>
  </si>
  <si>
    <t>POPV260115043</t>
  </si>
  <si>
    <t>TPVB20251212001</t>
  </si>
  <si>
    <t>COSU6438160740</t>
  </si>
  <si>
    <t>JUNE003.05</t>
  </si>
  <si>
    <t>POPV260115032</t>
  </si>
  <si>
    <t>TPVB20251219007</t>
  </si>
  <si>
    <t>COSU6438890940</t>
  </si>
  <si>
    <t>2026-03-04</t>
  </si>
  <si>
    <t>OCT007.04</t>
  </si>
  <si>
    <t>POPV260104140</t>
  </si>
  <si>
    <t>COSU9505221660</t>
  </si>
  <si>
    <t>SEPT008.05</t>
  </si>
  <si>
    <t>POPV260113040</t>
  </si>
  <si>
    <t>16102622-1</t>
  </si>
  <si>
    <t>COSU6439292020</t>
  </si>
  <si>
    <t>SEPT008.07</t>
  </si>
  <si>
    <t>POPV260113037</t>
  </si>
  <si>
    <t>COSU6439703210</t>
  </si>
  <si>
    <t>OCT007.05</t>
  </si>
  <si>
    <t>POPV260113033</t>
  </si>
  <si>
    <t>NOV002.01</t>
  </si>
  <si>
    <t>POPV260115031</t>
  </si>
  <si>
    <t>EVER ACT 1382-016W</t>
  </si>
  <si>
    <t>TPVB20251219001</t>
  </si>
  <si>
    <t>COSU6440379400</t>
  </si>
  <si>
    <t>OCT002.07</t>
  </si>
  <si>
    <t>POPV260115033</t>
  </si>
  <si>
    <t>DEC018.01</t>
  </si>
  <si>
    <t>POPV260115021</t>
  </si>
  <si>
    <t>COSCO SHIPPING GALAXY/0FAM3W1MA</t>
  </si>
  <si>
    <t>TPVB20260102002</t>
  </si>
  <si>
    <t>TJN0840711</t>
  </si>
  <si>
    <t xml:space="preserve"> </t>
  </si>
  <si>
    <t>w21 PICK-UP</t>
  </si>
  <si>
    <t>w22 PICK-UP</t>
  </si>
  <si>
    <t>w23 PICK-UP</t>
  </si>
  <si>
    <t>w24 PICK-UP</t>
  </si>
  <si>
    <t>w25 PICK-UP</t>
  </si>
  <si>
    <t>w26 PICK-UP</t>
  </si>
  <si>
    <t>w27 PICK-UP</t>
  </si>
  <si>
    <t>w28 PICK-UP</t>
  </si>
  <si>
    <t>w29 PICK-UP</t>
  </si>
  <si>
    <t>w30 PICK-UP</t>
  </si>
  <si>
    <t>w31 PICK-UP</t>
  </si>
  <si>
    <t>w32 PICK-UP</t>
  </si>
  <si>
    <t>w33 PICK-UP</t>
  </si>
  <si>
    <t>w34 PICK-UP</t>
  </si>
  <si>
    <t>w35 PICK-UP</t>
  </si>
  <si>
    <t>w36 PICK-UP</t>
  </si>
  <si>
    <t>w37 PICK-UP</t>
  </si>
  <si>
    <t>w38 PICK-UP</t>
  </si>
  <si>
    <t>w39 PICK-UP</t>
  </si>
  <si>
    <t>w40 PICK-UP</t>
  </si>
  <si>
    <t>w41 PICK-UP</t>
  </si>
  <si>
    <t>w42 PICK-UP</t>
  </si>
  <si>
    <t>w43 PICK-UP</t>
  </si>
  <si>
    <t>w44 PICK-UP</t>
  </si>
  <si>
    <t>w45 PICK-UP</t>
  </si>
  <si>
    <t>w46 PICK-UP</t>
  </si>
  <si>
    <t>w47 PICK-UP</t>
  </si>
  <si>
    <t>w48 PICK-UP</t>
  </si>
  <si>
    <t>w49 PICK-UP</t>
  </si>
  <si>
    <t>w50 PICK-UP</t>
  </si>
  <si>
    <t>w51 PICK-UP</t>
  </si>
  <si>
    <t>w52 PICK-UP</t>
  </si>
  <si>
    <t>缺货（no cargo）</t>
  </si>
  <si>
    <t>缺柜(no CTs)</t>
  </si>
  <si>
    <t>PLAN SUM VS ACTUAL SUM</t>
  </si>
  <si>
    <t>NOTE</t>
  </si>
  <si>
    <t>end wk 26</t>
  </si>
  <si>
    <t>plans in ODP</t>
  </si>
  <si>
    <t>available slots</t>
  </si>
  <si>
    <t>GAP</t>
  </si>
  <si>
    <t>Actual Shipment</t>
  </si>
  <si>
    <t>SH AEU SUM</t>
  </si>
  <si>
    <t>THESSALONIKI</t>
  </si>
  <si>
    <t>SH AEM SUM</t>
  </si>
  <si>
    <t>TJ AEU SUM</t>
  </si>
  <si>
    <t>TJ AEM SUM</t>
  </si>
  <si>
    <t>也可以走gdansk lehavre</t>
  </si>
  <si>
    <t>NB AEU SUM</t>
  </si>
  <si>
    <t>NB AEM SUM</t>
  </si>
  <si>
    <t>Energy 3k plan</t>
  </si>
  <si>
    <t>TIANJIN -&gt; RTM</t>
  </si>
  <si>
    <t>Addtl need</t>
  </si>
  <si>
    <t>SHG -&gt; RTM</t>
  </si>
  <si>
    <t xml:space="preserve">ETD On S/O
</t>
  </si>
  <si>
    <t>Remark</t>
  </si>
  <si>
    <t>149600468534</t>
  </si>
  <si>
    <t>149600418545</t>
  </si>
  <si>
    <r>
      <t xml:space="preserve">SHANGHAI </t>
    </r>
    <r>
      <rPr>
        <b/>
        <sz val="10"/>
        <color rgb="FFFF0000"/>
        <rFont val="Calibri"/>
        <family val="2"/>
      </rPr>
      <t>BW</t>
    </r>
  </si>
  <si>
    <r>
      <rPr>
        <b/>
        <sz val="10"/>
        <color rgb="FFFF0000"/>
        <rFont val="Calibri"/>
        <family val="2"/>
      </rPr>
      <t>TBW</t>
    </r>
    <r>
      <rPr>
        <sz val="10"/>
        <color theme="1"/>
        <rFont val="Calibri"/>
        <family val="2"/>
      </rPr>
      <t xml:space="preserve"> SHANGHAI</t>
    </r>
  </si>
  <si>
    <r>
      <rPr>
        <sz val="10"/>
        <color rgb="FFFF0000"/>
        <rFont val="Calibri"/>
        <family val="2"/>
      </rPr>
      <t xml:space="preserve">TBW </t>
    </r>
    <r>
      <rPr>
        <sz val="10"/>
        <color theme="1"/>
        <rFont val="Calibri"/>
        <family val="2"/>
      </rPr>
      <t>SHANGHAI</t>
    </r>
  </si>
  <si>
    <r>
      <rPr>
        <sz val="10"/>
        <color rgb="FFFF0000"/>
        <rFont val="Calibri"/>
        <family val="2"/>
      </rPr>
      <t>TBW</t>
    </r>
    <r>
      <rPr>
        <sz val="10"/>
        <color theme="1"/>
        <rFont val="Calibri"/>
        <family val="2"/>
      </rPr>
      <t xml:space="preserve"> SHANGHAI</t>
    </r>
  </si>
  <si>
    <r>
      <rPr>
        <sz val="10"/>
        <color theme="1"/>
        <rFont val="Calibri"/>
        <family val="2"/>
      </rPr>
      <t xml:space="preserve">TBW </t>
    </r>
    <r>
      <rPr>
        <sz val="10"/>
        <color rgb="FF000000"/>
        <rFont val="Calibri"/>
        <family val="2"/>
      </rPr>
      <t>SHANGHAI</t>
    </r>
  </si>
  <si>
    <r>
      <rPr>
        <sz val="10"/>
        <color rgb="FFFF0000"/>
        <rFont val="Calibri"/>
        <family val="2"/>
      </rPr>
      <t>TBW</t>
    </r>
    <r>
      <rPr>
        <sz val="10"/>
        <color rgb="FF000000"/>
        <rFont val="Calibri"/>
        <family val="2"/>
      </rPr>
      <t xml:space="preserve"> SHANGHAI</t>
    </r>
  </si>
  <si>
    <r>
      <rPr>
        <b/>
        <sz val="10"/>
        <color rgb="FFFF0000"/>
        <rFont val="Calibri"/>
        <family val="2"/>
      </rPr>
      <t>TBW</t>
    </r>
    <r>
      <rPr>
        <sz val="10"/>
        <color rgb="FF000000"/>
        <rFont val="Calibri"/>
        <family val="2"/>
      </rPr>
      <t xml:space="preserve"> SHANGHAI</t>
    </r>
  </si>
  <si>
    <r>
      <rPr>
        <sz val="10"/>
        <color rgb="FF000000"/>
        <rFont val="Calibri"/>
        <family val="2"/>
      </rPr>
      <t xml:space="preserve">SHANGHAI </t>
    </r>
    <r>
      <rPr>
        <b/>
        <sz val="10"/>
        <color rgb="FFFF0000"/>
        <rFont val="Calibri"/>
        <family val="2"/>
      </rPr>
      <t>BW</t>
    </r>
  </si>
  <si>
    <r>
      <t xml:space="preserve">SHANGHAI </t>
    </r>
    <r>
      <rPr>
        <b/>
        <sz val="10"/>
        <color theme="1"/>
        <rFont val="Calibri"/>
        <family val="2"/>
      </rPr>
      <t>BW</t>
    </r>
  </si>
  <si>
    <r>
      <rPr>
        <sz val="10"/>
        <color rgb="FF000000"/>
        <rFont val="Calibri"/>
        <family val="2"/>
      </rPr>
      <t xml:space="preserve">Lianyungang </t>
    </r>
    <r>
      <rPr>
        <b/>
        <sz val="10"/>
        <color rgb="FFFF0000"/>
        <rFont val="Calibri"/>
        <family val="2"/>
      </rPr>
      <t>BW</t>
    </r>
  </si>
  <si>
    <r>
      <rPr>
        <sz val="10"/>
        <color rgb="FF000000"/>
        <rFont val="Calibri"/>
        <family val="2"/>
      </rPr>
      <t xml:space="preserve">TIANJIN </t>
    </r>
    <r>
      <rPr>
        <b/>
        <sz val="10"/>
        <color rgb="FFFF0000"/>
        <rFont val="Calibri"/>
        <family val="2"/>
      </rPr>
      <t>BW</t>
    </r>
  </si>
  <si>
    <r>
      <rPr>
        <sz val="8"/>
        <color rgb="FF000000"/>
        <rFont val="Calibri"/>
        <family val="2"/>
      </rPr>
      <t xml:space="preserve">SHANGHAI </t>
    </r>
    <r>
      <rPr>
        <b/>
        <sz val="10"/>
        <color rgb="FF000000"/>
        <rFont val="Calibri"/>
        <family val="2"/>
      </rPr>
      <t>BW</t>
    </r>
  </si>
  <si>
    <r>
      <rPr>
        <sz val="10"/>
        <color rgb="FF000000"/>
        <rFont val="Calibri"/>
        <family val="2"/>
      </rPr>
      <t xml:space="preserve">SHANGHAI </t>
    </r>
    <r>
      <rPr>
        <b/>
        <sz val="10"/>
        <color rgb="FFFF0000"/>
        <rFont val="Calibri"/>
        <family val="2"/>
      </rPr>
      <t>NTR</t>
    </r>
  </si>
  <si>
    <t>26May002.01</t>
  </si>
  <si>
    <t>POPV260508017</t>
  </si>
  <si>
    <t>XIN CANG ZHOU 306S</t>
  </si>
  <si>
    <t>TPVB20260519003</t>
  </si>
  <si>
    <t>COSU6452259000</t>
  </si>
  <si>
    <t>26May002.04</t>
  </si>
  <si>
    <t>POPV260509005</t>
  </si>
  <si>
    <t>TPVB20260519004</t>
  </si>
  <si>
    <t>COSU9507118140</t>
  </si>
  <si>
    <t>26May001.02</t>
  </si>
  <si>
    <t>POPV260509004</t>
  </si>
  <si>
    <t>TPVB20260519005</t>
  </si>
  <si>
    <t>COSU9507123270</t>
  </si>
  <si>
    <t>26May001.04</t>
  </si>
  <si>
    <t>POPV260509006</t>
  </si>
  <si>
    <t>TPVB20260519006</t>
  </si>
  <si>
    <t>COSU9507123300</t>
  </si>
  <si>
    <t>26May002.03</t>
  </si>
  <si>
    <t>POPV260509003</t>
  </si>
  <si>
    <t>TPVB20260519007</t>
  </si>
  <si>
    <t>COSU9507124020</t>
  </si>
  <si>
    <t>26May002.06</t>
  </si>
  <si>
    <t>POPV260508016</t>
  </si>
  <si>
    <t>TPVB20260519008</t>
  </si>
  <si>
    <t>COSU9507124040</t>
  </si>
  <si>
    <t>26Apr001.03</t>
  </si>
  <si>
    <t>SZ BW</t>
  </si>
  <si>
    <t>POPV260515023</t>
  </si>
  <si>
    <t>EVER EDIT / 0812-001W</t>
  </si>
  <si>
    <t>TPVB20260520001</t>
  </si>
  <si>
    <t>SYNSHA26SE051482</t>
  </si>
  <si>
    <t>EGLV142650276020</t>
  </si>
  <si>
    <t>26Apr002.03</t>
  </si>
  <si>
    <t>POPV260515024</t>
  </si>
  <si>
    <t>26Apr002.05</t>
  </si>
  <si>
    <t>POPV260515025</t>
  </si>
  <si>
    <t>TPVB20260520002</t>
  </si>
  <si>
    <t>SYNSHA26SE051485A</t>
  </si>
  <si>
    <t>EGLV142650276038</t>
  </si>
  <si>
    <t>26Apr010.01</t>
  </si>
  <si>
    <t>POPV260515026</t>
  </si>
  <si>
    <t>OOCL SPAIN 012W</t>
  </si>
  <si>
    <t>TPVB20260520003</t>
  </si>
  <si>
    <t>COSU6500579050</t>
  </si>
  <si>
    <t>26May002.05</t>
  </si>
  <si>
    <t>POPV260515028</t>
  </si>
  <si>
    <t>OOCL UNITED KINGDOM</t>
  </si>
  <si>
    <t>TPVB20260520010</t>
  </si>
  <si>
    <t>COSU6500580760</t>
  </si>
  <si>
    <t>26Apr008.11</t>
  </si>
  <si>
    <t>五月11日</t>
  </si>
  <si>
    <t>POPV260515029</t>
  </si>
  <si>
    <t>TPVB20260520004</t>
  </si>
  <si>
    <t>COSU6452554090</t>
  </si>
  <si>
    <t>26May006.07</t>
  </si>
  <si>
    <t>POPV260515030</t>
  </si>
  <si>
    <t>26Apr010.04</t>
  </si>
  <si>
    <t>POPV260515031</t>
  </si>
  <si>
    <t>OOCL UNITED KINGDOM 037W</t>
  </si>
  <si>
    <t>TPVB20260520005</t>
  </si>
  <si>
    <t>COSU6452556510</t>
  </si>
  <si>
    <t>26May015.03</t>
  </si>
  <si>
    <t>T5_Pro_L</t>
  </si>
  <si>
    <t>GF0700001548</t>
  </si>
  <si>
    <t>HSM-NT66-GH640</t>
  </si>
  <si>
    <t>POPV260515032</t>
  </si>
  <si>
    <t>TPVB20260520020</t>
  </si>
  <si>
    <t>COSU6500776920</t>
  </si>
  <si>
    <t>26Apr009.01</t>
  </si>
  <si>
    <t>五月15日</t>
  </si>
  <si>
    <t>POPV260522017</t>
  </si>
  <si>
    <t>EVER GIFTED 0753-029W</t>
  </si>
  <si>
    <t>TPVB20260520006</t>
  </si>
  <si>
    <t>COSU6452564640</t>
  </si>
  <si>
    <t>26Apr010.06</t>
  </si>
  <si>
    <t>POPV260522018</t>
  </si>
  <si>
    <t>26Apr010.03</t>
  </si>
  <si>
    <t>五月10日</t>
  </si>
  <si>
    <t>POPV260515034</t>
  </si>
  <si>
    <t>CMA CGM VASCO DE GAMA 
0MENTW1MA</t>
  </si>
  <si>
    <t>TPVB20260520007</t>
  </si>
  <si>
    <t>COSU6452565360</t>
  </si>
  <si>
    <t>26Apr010.05</t>
  </si>
  <si>
    <t>五月12日</t>
  </si>
  <si>
    <t>POPV260515049</t>
  </si>
  <si>
    <t>26Apr003.01</t>
  </si>
  <si>
    <t>POPV260515035</t>
  </si>
  <si>
    <t>TPVB20260520008</t>
  </si>
  <si>
    <t>COSU6452560540</t>
  </si>
  <si>
    <t>26Apr008.07</t>
  </si>
  <si>
    <t>POPV260522022</t>
  </si>
  <si>
    <t>TPVB20260520009</t>
  </si>
  <si>
    <t>COSU6452561470</t>
  </si>
  <si>
    <t>26May016.01</t>
  </si>
  <si>
    <t>LM8</t>
  </si>
  <si>
    <t>ES0126050700030</t>
  </si>
  <si>
    <t>GF0700001549</t>
  </si>
  <si>
    <t>HSM-NT66-GH645</t>
  </si>
  <si>
    <t>POPV260515036</t>
  </si>
  <si>
    <t>COSCO SHIPPING SAKURA 035W</t>
  </si>
  <si>
    <t>TPVB20260520021</t>
  </si>
  <si>
    <t>COSU6500305100</t>
  </si>
  <si>
    <t>26Apr004.03</t>
  </si>
  <si>
    <t>POPV260515037</t>
  </si>
  <si>
    <t>TPVB20260520011</t>
  </si>
  <si>
    <t>COSU6500301740</t>
  </si>
  <si>
    <t>26May010.05</t>
  </si>
  <si>
    <t>Half cut</t>
  </si>
  <si>
    <t>五月9日</t>
  </si>
  <si>
    <t>POPV260515038</t>
  </si>
  <si>
    <t>COSCO SHIPPING STAR 029W</t>
  </si>
  <si>
    <t>TPVB20260520012</t>
  </si>
  <si>
    <t>COSU6500419700</t>
  </si>
  <si>
    <t>26May010.04</t>
  </si>
  <si>
    <t>POPV260515039</t>
  </si>
  <si>
    <t>TPVB20260520013</t>
  </si>
  <si>
    <t>COSU6500506790</t>
  </si>
  <si>
    <t>26Apr011.23</t>
  </si>
  <si>
    <t>五月1日</t>
  </si>
  <si>
    <t>POPV260515041</t>
  </si>
  <si>
    <t>26May009.08</t>
  </si>
  <si>
    <t>ProCarte batch 2</t>
  </si>
  <si>
    <t>五月14日</t>
  </si>
  <si>
    <t>POPV260515040</t>
  </si>
  <si>
    <t>TPVB20260520014</t>
  </si>
  <si>
    <t>COSU9507226040</t>
  </si>
  <si>
    <t>26Apr014.07</t>
  </si>
  <si>
    <t>FR0126062300010</t>
  </si>
  <si>
    <t>TJ BW</t>
  </si>
  <si>
    <t>POPV260629100</t>
  </si>
  <si>
    <t>TPVB20260520015</t>
  </si>
  <si>
    <t>COSU9507244150</t>
  </si>
  <si>
    <t>26Apr014.06</t>
  </si>
  <si>
    <t>FR0126062300009</t>
  </si>
  <si>
    <t>1,2,3</t>
  </si>
  <si>
    <t>POPV260629101</t>
  </si>
  <si>
    <t>26Apr008.03</t>
  </si>
  <si>
    <t>五月13日</t>
  </si>
  <si>
    <t>POPV260515043</t>
  </si>
  <si>
    <t>TPVB20260520016</t>
  </si>
  <si>
    <t>COSU9507244520</t>
  </si>
  <si>
    <t>26Apr008.10</t>
  </si>
  <si>
    <t>POPV260515044</t>
  </si>
  <si>
    <t>TPVB20260520017</t>
  </si>
  <si>
    <t>COSU6500591410</t>
  </si>
  <si>
    <t>26Apr002.04</t>
  </si>
  <si>
    <t>POPV260522025</t>
  </si>
  <si>
    <t>MSC VENICE/QB620W</t>
  </si>
  <si>
    <t>TPVB20260521001</t>
  </si>
  <si>
    <t>SYNSHA26SE051897A</t>
  </si>
  <si>
    <t>177FBOBOS86984</t>
  </si>
  <si>
    <t>26Apr001.04</t>
  </si>
  <si>
    <t>POPV260522026</t>
  </si>
  <si>
    <t>26May006.01</t>
  </si>
  <si>
    <t>SPGB / Solarsense July</t>
  </si>
  <si>
    <t>五月16日</t>
  </si>
  <si>
    <t>POPV260522028</t>
  </si>
  <si>
    <t>OOCL VALENCIA 010W</t>
  </si>
  <si>
    <t>TPVB20260521002</t>
  </si>
  <si>
    <t>COSU6500936270</t>
  </si>
  <si>
    <t>26May006.05</t>
  </si>
  <si>
    <t>POPV260522027</t>
  </si>
  <si>
    <t>TPVB20260521003</t>
  </si>
  <si>
    <t>COSU6500933440</t>
  </si>
  <si>
    <t>26May015.04</t>
  </si>
  <si>
    <t>POPV260522029</t>
  </si>
  <si>
    <t>26May011.01</t>
  </si>
  <si>
    <t>Energy 3000</t>
  </si>
  <si>
    <t>GF0700002001</t>
  </si>
  <si>
    <t>POPV260522030</t>
  </si>
  <si>
    <t>TPVB20260521004</t>
  </si>
  <si>
    <t>COSU6500933990</t>
  </si>
  <si>
    <t>26May012.08</t>
  </si>
  <si>
    <t>GF0700002002</t>
  </si>
  <si>
    <t>HSM-ND66-GR630</t>
  </si>
  <si>
    <t>POPV260522031</t>
  </si>
  <si>
    <t>26May011.02</t>
  </si>
  <si>
    <t>POPV260522032</t>
  </si>
  <si>
    <t>EVER AIM 1402-017W</t>
  </si>
  <si>
    <t>TPVB20260521005</t>
  </si>
  <si>
    <t>COSU6500935690</t>
  </si>
  <si>
    <t>26May012.09</t>
  </si>
  <si>
    <t>POPV260522033</t>
  </si>
  <si>
    <t>26May012.01</t>
  </si>
  <si>
    <t>POPV260528017</t>
  </si>
  <si>
    <t>COSCO SHIPPING ALPS 048W</t>
  </si>
  <si>
    <t>TPVB20260521006</t>
  </si>
  <si>
    <t>COSU6500934940</t>
  </si>
  <si>
    <t>26May012.06</t>
  </si>
  <si>
    <t>POPV260528016</t>
  </si>
  <si>
    <t>TPVB20260521007</t>
  </si>
  <si>
    <t>COSU6501272360</t>
  </si>
  <si>
    <t>26May012.02</t>
  </si>
  <si>
    <t>POPV260528015</t>
  </si>
  <si>
    <t>26May005.02</t>
  </si>
  <si>
    <t>Energy3000</t>
  </si>
  <si>
    <t>AT0126042700018</t>
  </si>
  <si>
    <t>五月27日</t>
  </si>
  <si>
    <t>POPV260528014</t>
  </si>
  <si>
    <t>TPVB20260521008</t>
  </si>
  <si>
    <t>COSU6501271780</t>
  </si>
  <si>
    <t>26Apr007.01</t>
  </si>
  <si>
    <t>五月22日</t>
  </si>
  <si>
    <t>POPV260528013</t>
  </si>
  <si>
    <t>OOCL INDONESIA 036W</t>
  </si>
  <si>
    <t>TPVB20260521009</t>
  </si>
  <si>
    <t>COSU6500939350</t>
  </si>
  <si>
    <t>26Apr008.09</t>
  </si>
  <si>
    <t>POPV260528012</t>
  </si>
  <si>
    <t>26Apr008.08</t>
  </si>
  <si>
    <t>POPV260528011</t>
  </si>
  <si>
    <t>TPVB20260521010</t>
  </si>
  <si>
    <t>COSU6500939570</t>
  </si>
  <si>
    <t>26Apr008.02</t>
  </si>
  <si>
    <t>POPV260528010</t>
  </si>
  <si>
    <t>26Apr007.03</t>
  </si>
  <si>
    <t>POPV260528009</t>
  </si>
  <si>
    <t>26May016.04</t>
  </si>
  <si>
    <t>LM Eight =&gt; no change</t>
  </si>
  <si>
    <t>POPV260522035</t>
  </si>
  <si>
    <t>CMA CGM ALEXANDER VON HUMBOLDT 0MENVW1MA</t>
  </si>
  <si>
    <t>TPVB20260521011</t>
  </si>
  <si>
    <t>COSU6500952590</t>
  </si>
  <si>
    <t>26May006.09</t>
  </si>
  <si>
    <t>LM Eight =&gt; Sunpower Spain</t>
  </si>
  <si>
    <t>POPV260701005</t>
  </si>
  <si>
    <t>TPVB20260521011-1</t>
  </si>
  <si>
    <t>COSU6500952590=&gt; COSU6500952591</t>
  </si>
  <si>
    <t>26Apr009.02</t>
  </si>
  <si>
    <t>五月18日</t>
  </si>
  <si>
    <t>POPV260701006</t>
  </si>
  <si>
    <t>26May005.01</t>
  </si>
  <si>
    <t>POPV260701007</t>
  </si>
  <si>
    <t>26May009.01</t>
  </si>
  <si>
    <t>POPV260522021</t>
  </si>
  <si>
    <t>TPVB20260520019</t>
  </si>
  <si>
    <t>COSU6500853600</t>
  </si>
  <si>
    <t>26May009.13</t>
  </si>
  <si>
    <t>POPV260522023</t>
  </si>
  <si>
    <t>TPVB20260520022</t>
  </si>
  <si>
    <t>COSU6500844150</t>
  </si>
  <si>
    <t>26May010.01</t>
  </si>
  <si>
    <t>POPV260522036</t>
  </si>
  <si>
    <t>26May009.06.01</t>
  </si>
  <si>
    <t>五月19日</t>
  </si>
  <si>
    <t>POPV260522037</t>
  </si>
  <si>
    <t>COSCO SHIPPING ARIES 037W</t>
  </si>
  <si>
    <t>TPVB20260521016</t>
  </si>
  <si>
    <t>COSU6501834110</t>
  </si>
  <si>
    <t>26Apr014.05</t>
  </si>
  <si>
    <t>LT0126041300027</t>
  </si>
  <si>
    <t>POPV260522038</t>
  </si>
  <si>
    <t>MSC JOSEFINA/GA621W</t>
  </si>
  <si>
    <t>TPVB20260520018</t>
  </si>
  <si>
    <t>SYNSHA26SE051548A</t>
  </si>
  <si>
    <t>177KACACXVNN2110</t>
  </si>
  <si>
    <t>26Apr008.05</t>
  </si>
  <si>
    <t>POPV260522039</t>
  </si>
  <si>
    <t>TPVB20260521012</t>
  </si>
  <si>
    <t>COSU9507394940</t>
  </si>
  <si>
    <t>26May009.07.01</t>
  </si>
  <si>
    <t>五月20日</t>
  </si>
  <si>
    <t>POPV260522040</t>
  </si>
  <si>
    <t>TPVB20260521013</t>
  </si>
  <si>
    <t>COSU9507394750</t>
  </si>
  <si>
    <t>26May010.11</t>
  </si>
  <si>
    <t>POPV260522041</t>
  </si>
  <si>
    <t>TPVB20260521014</t>
  </si>
  <si>
    <t>COSU6501671340</t>
  </si>
  <si>
    <t>26May010.09</t>
  </si>
  <si>
    <t>Orduna</t>
  </si>
  <si>
    <t>ES0126051100016</t>
  </si>
  <si>
    <t>POPV260522042</t>
  </si>
  <si>
    <t>TPVB20260521015</t>
  </si>
  <si>
    <t>COSU9507395030</t>
  </si>
  <si>
    <t>26May015.01</t>
  </si>
  <si>
    <t>五月23日</t>
  </si>
  <si>
    <t>POPV260602013</t>
  </si>
  <si>
    <t>TPVB20260522008</t>
  </si>
  <si>
    <t>COSU6501611330</t>
  </si>
  <si>
    <t>26May016.03</t>
  </si>
  <si>
    <t>POPV260608053</t>
  </si>
  <si>
    <t>26May006.14</t>
  </si>
  <si>
    <t>POPV260608051</t>
  </si>
  <si>
    <t>TPVB20260522009</t>
  </si>
  <si>
    <t>COSU6501612640</t>
  </si>
  <si>
    <t>26Apr008.04</t>
  </si>
  <si>
    <t>五月28日</t>
  </si>
  <si>
    <t>POPV260602005</t>
  </si>
  <si>
    <t>EVER ALLY 1403-003W</t>
  </si>
  <si>
    <t>TPVB20260522010</t>
  </si>
  <si>
    <t>COSU6501606860</t>
  </si>
  <si>
    <t>26May006.13</t>
  </si>
  <si>
    <t>POPV260608050</t>
  </si>
  <si>
    <t>COSCO FORTUNE 083W</t>
  </si>
  <si>
    <t>TPVB20260522011</t>
  </si>
  <si>
    <t>COSU6501614610</t>
  </si>
  <si>
    <t>26May003.02</t>
  </si>
  <si>
    <t>POPV260608049</t>
  </si>
  <si>
    <t>26May006.08</t>
  </si>
  <si>
    <t>POPV260608047</t>
  </si>
  <si>
    <t>CSCL PACIFIC OCEAN 066W</t>
  </si>
  <si>
    <t>TPVB20260522012</t>
  </si>
  <si>
    <t>COSU6501935710</t>
  </si>
  <si>
    <t>26Apr007.02</t>
  </si>
  <si>
    <t>五月29日</t>
  </si>
  <si>
    <t>POPV260602004</t>
  </si>
  <si>
    <t>TPVB20260522013</t>
  </si>
  <si>
    <t>COSU6501936780</t>
  </si>
  <si>
    <t>26May003.01.01</t>
  </si>
  <si>
    <t>26May003</t>
  </si>
  <si>
    <t>POPV260608046</t>
  </si>
  <si>
    <t>26May006.10</t>
  </si>
  <si>
    <t>POPV260602012</t>
  </si>
  <si>
    <t>COSCO SHIPPING ROSE 046W</t>
  </si>
  <si>
    <t>TPVB20260522014</t>
  </si>
  <si>
    <t>COSU6502257250</t>
  </si>
  <si>
    <t>26May015.02</t>
  </si>
  <si>
    <t>POPV260602011</t>
  </si>
  <si>
    <t>TPVB20260522015</t>
  </si>
  <si>
    <t>COSU6501615690</t>
  </si>
  <si>
    <t>26May010.03</t>
  </si>
  <si>
    <t>POPV260615016</t>
  </si>
  <si>
    <t>CMA CGM EIFFEL/0BYP8S1MA/0BYP8S</t>
  </si>
  <si>
    <t>TPVB20260522002</t>
  </si>
  <si>
    <t>TJN0963377</t>
  </si>
  <si>
    <t>26May009.06</t>
  </si>
  <si>
    <t>POPV260602010</t>
  </si>
  <si>
    <t>COSCO SHIPPING LEO 036W</t>
  </si>
  <si>
    <t>TPVB20260522003</t>
  </si>
  <si>
    <t>COSU9507498230</t>
  </si>
  <si>
    <t>26May008.01</t>
  </si>
  <si>
    <t>POPV260602008</t>
  </si>
  <si>
    <t>26Apr008.06.01</t>
  </si>
  <si>
    <t>POPV260602009</t>
  </si>
  <si>
    <t>TPVB20260522004</t>
  </si>
  <si>
    <t>COSU9507497710</t>
  </si>
  <si>
    <t>26Apr008.06</t>
  </si>
  <si>
    <t>POPV260602007</t>
  </si>
  <si>
    <t>TPVB20260522005</t>
  </si>
  <si>
    <t>COSU9507509280</t>
  </si>
  <si>
    <t>26May010.07</t>
  </si>
  <si>
    <t>ES0126050600033</t>
  </si>
  <si>
    <t>POPV260602006</t>
  </si>
  <si>
    <t>TPVB20260522006</t>
  </si>
  <si>
    <t>COSU6502492780</t>
  </si>
  <si>
    <t>26May009.12</t>
  </si>
  <si>
    <t>ProCarte batch 3</t>
  </si>
  <si>
    <t>五月24日</t>
  </si>
  <si>
    <t>POPV260608048</t>
  </si>
  <si>
    <t>CMA CGM CORAL/0BYP6S1MA/0BYP6S</t>
  </si>
  <si>
    <t>TPVB20260522001</t>
  </si>
  <si>
    <t>TJN0953002</t>
  </si>
  <si>
    <t>26May011.09</t>
  </si>
  <si>
    <t>Non-EU Thailand</t>
  </si>
  <si>
    <t>五月17日</t>
  </si>
  <si>
    <t>TPVO2026050901</t>
  </si>
  <si>
    <t>LAEM CHABANG</t>
  </si>
  <si>
    <t>YM CAPACITY 070S</t>
  </si>
  <si>
    <t>TPVO2026050902</t>
  </si>
  <si>
    <t>I237112512</t>
  </si>
  <si>
    <t>26May006.02</t>
  </si>
  <si>
    <t>SPGB / Solarsense August</t>
  </si>
  <si>
    <t>POPV260608043</t>
  </si>
  <si>
    <t>OOCL TURKIYE 011W</t>
  </si>
  <si>
    <t>TPVB20260523014</t>
  </si>
  <si>
    <t>COSU6502493430</t>
  </si>
  <si>
    <t>26May011.03</t>
  </si>
  <si>
    <t>POPV260608041</t>
  </si>
  <si>
    <t>TPVB20260523015</t>
  </si>
  <si>
    <t>COSU6503351170</t>
  </si>
  <si>
    <t>26May011.11</t>
  </si>
  <si>
    <t>POPV260608040</t>
  </si>
  <si>
    <t>TPVB20260523007</t>
  </si>
  <si>
    <t>149604293721</t>
  </si>
  <si>
    <t>26May012.03</t>
  </si>
  <si>
    <t>POPV260608042</t>
  </si>
  <si>
    <t>EVER ECO 0816-003W</t>
  </si>
  <si>
    <t>TPVB20260523004</t>
  </si>
  <si>
    <t>149604089333</t>
  </si>
  <si>
    <t>26May004.04</t>
  </si>
  <si>
    <t>六月2日</t>
  </si>
  <si>
    <t>POPV260608032</t>
  </si>
  <si>
    <t>EVER GRADE 0756-028W</t>
  </si>
  <si>
    <t>TPVB20260523016</t>
  </si>
  <si>
    <t>COSU6502941500</t>
  </si>
  <si>
    <t>26May012.11</t>
  </si>
  <si>
    <t>POPV260608030</t>
  </si>
  <si>
    <t>CMA CGM PATAGONIA 0MENZW1MA</t>
  </si>
  <si>
    <t>TPVB20260523017</t>
  </si>
  <si>
    <t>COSU6503034790</t>
  </si>
  <si>
    <t>26May003.01</t>
  </si>
  <si>
    <t>POPV260608031</t>
  </si>
  <si>
    <t>TPVB20260523018</t>
  </si>
  <si>
    <t>COSU6502940030</t>
  </si>
  <si>
    <t>26May004.03</t>
  </si>
  <si>
    <t>六月4日</t>
  </si>
  <si>
    <t>POPV260608033</t>
  </si>
  <si>
    <t>26May004.02</t>
  </si>
  <si>
    <t>POPV260608062</t>
  </si>
  <si>
    <t>TEXAS TRIUMPH 038W</t>
  </si>
  <si>
    <t>TPVB20260523019</t>
  </si>
  <si>
    <t>COSU6502586240</t>
  </si>
  <si>
    <t>26May016.02</t>
  </si>
  <si>
    <t>LM8 =&gt; SPES</t>
  </si>
  <si>
    <t>ES0126050700031</t>
  </si>
  <si>
    <t>POPV260720038</t>
  </si>
  <si>
    <t>TPVB20260523020</t>
  </si>
  <si>
    <t>COSU6502958530</t>
  </si>
  <si>
    <t>26May015.05</t>
  </si>
  <si>
    <t>26May015</t>
  </si>
  <si>
    <t>POPV260608034</t>
  </si>
  <si>
    <t>TPVB20260523021</t>
  </si>
  <si>
    <t>COSU6502959080</t>
  </si>
  <si>
    <t>26May006.12.01</t>
  </si>
  <si>
    <t>POPV260608054</t>
  </si>
  <si>
    <t>TPVB20260523022</t>
  </si>
  <si>
    <t>COSU6502940840</t>
  </si>
  <si>
    <t>26May006.12.02</t>
  </si>
  <si>
    <t>POPV260608055</t>
  </si>
  <si>
    <t>26May006.11</t>
  </si>
  <si>
    <t>POPV260727038</t>
  </si>
  <si>
    <t>TPVB20260523023</t>
  </si>
  <si>
    <t>COSU6502627700</t>
  </si>
  <si>
    <t>26May009.03</t>
  </si>
  <si>
    <t>PL0126041000006</t>
  </si>
  <si>
    <t>POPV260608060</t>
  </si>
  <si>
    <t>SEASPAN PRIDE/624W</t>
  </si>
  <si>
    <t>TPVB20260523006</t>
  </si>
  <si>
    <t>SYNSHA26SE061457A</t>
  </si>
  <si>
    <t>26May009.14</t>
  </si>
  <si>
    <t>PL0126041700033</t>
  </si>
  <si>
    <t>POPV260608061</t>
  </si>
  <si>
    <t>Santa Viola /624S</t>
  </si>
  <si>
    <t>TPVB20260522007</t>
  </si>
  <si>
    <t>SYNSHA26SE061049B</t>
  </si>
  <si>
    <t>26May008.04</t>
  </si>
  <si>
    <t>Ecostal Belgium CRD 03/08 =&gt; order change to 455w</t>
  </si>
  <si>
    <t>五月31日</t>
  </si>
  <si>
    <t>POPV260624007</t>
  </si>
  <si>
    <t>TPVB20260523001</t>
  </si>
  <si>
    <t>TJN0958275</t>
  </si>
  <si>
    <t>26May007.06</t>
  </si>
  <si>
    <t>POPV260624006</t>
  </si>
  <si>
    <t>EVER ECHO/0SCKRW1MA/002W</t>
  </si>
  <si>
    <t>TPVB20260523003</t>
  </si>
  <si>
    <t>TJN0963177</t>
  </si>
  <si>
    <t>26May009.02</t>
  </si>
  <si>
    <t>ProCarte batch 4</t>
  </si>
  <si>
    <t>五月26日</t>
  </si>
  <si>
    <t>POPV260608027</t>
  </si>
  <si>
    <t>TPVB20260523005</t>
  </si>
  <si>
    <t>SYNSHA26SE061049A</t>
  </si>
  <si>
    <t>26May009.15</t>
  </si>
  <si>
    <t>ProCarte batch 6</t>
  </si>
  <si>
    <t>PL0126052000013</t>
  </si>
  <si>
    <t>POPV260608029</t>
  </si>
  <si>
    <t>26May007.01.01</t>
  </si>
  <si>
    <t>六月6日</t>
  </si>
  <si>
    <t>POPV260608058</t>
  </si>
  <si>
    <t>OSCO SHIPPING GEMINI 036W</t>
  </si>
  <si>
    <t>TPVB20260523008</t>
  </si>
  <si>
    <t>COSU9507638470</t>
  </si>
  <si>
    <t>26May007.01.02</t>
  </si>
  <si>
    <t>26May007</t>
  </si>
  <si>
    <t>六月8日</t>
  </si>
  <si>
    <t>POPV260608039</t>
  </si>
  <si>
    <t>TPVB20260523009</t>
  </si>
  <si>
    <t>COSU9507649120</t>
  </si>
  <si>
    <t>26May007.03</t>
  </si>
  <si>
    <t>Local WH (revised to match with Ecostal order change 450-&gt;455)</t>
  </si>
  <si>
    <t>POPV260624005</t>
  </si>
  <si>
    <t>COSCO SHIPPING GEMINI/0FAN9W1MA/036W</t>
  </si>
  <si>
    <t>TPVB20260523002</t>
  </si>
  <si>
    <t>TJN0963380</t>
  </si>
  <si>
    <t>26May008.03</t>
  </si>
  <si>
    <t>POPV260624004</t>
  </si>
  <si>
    <t>26May009.11,01</t>
  </si>
  <si>
    <t>26May009</t>
  </si>
  <si>
    <t>POPV260608036</t>
  </si>
  <si>
    <t>TPVB20260523010</t>
  </si>
  <si>
    <t>COSU9507636070</t>
  </si>
  <si>
    <t>26May009.11</t>
  </si>
  <si>
    <t>POPV260608037</t>
  </si>
  <si>
    <t>TPVB20260523011</t>
  </si>
  <si>
    <t>COSU9507639060</t>
  </si>
  <si>
    <t>26May010.12.01</t>
  </si>
  <si>
    <t>ES0126052500537</t>
  </si>
  <si>
    <t>POPV260608038</t>
  </si>
  <si>
    <t>2026-08-13</t>
  </si>
  <si>
    <t>TPVB20260523012</t>
  </si>
  <si>
    <t>COSU9507639000</t>
  </si>
  <si>
    <t>26May010.12</t>
  </si>
  <si>
    <t>POPV260608059</t>
  </si>
  <si>
    <t>TPVB20260523013</t>
  </si>
  <si>
    <t>COSU9507638950</t>
  </si>
  <si>
    <t>26May010.06.01</t>
  </si>
  <si>
    <t>Tianjin (transport to YIXING for shipment)</t>
  </si>
  <si>
    <t>POPV260618043</t>
  </si>
  <si>
    <t>OOCL GDYNIA 010W</t>
  </si>
  <si>
    <t>TPVB20260624009</t>
  </si>
  <si>
    <t>COSU6503989170</t>
  </si>
  <si>
    <t>26May011.13</t>
  </si>
  <si>
    <t>POPV260615014</t>
  </si>
  <si>
    <t>TPVB20260624002</t>
  </si>
  <si>
    <t>COSU6503863610</t>
  </si>
  <si>
    <t>26May006.06</t>
  </si>
  <si>
    <t>POPV260615012</t>
  </si>
  <si>
    <t>COSCO SHIPPING GEMINI 036W</t>
  </si>
  <si>
    <t>TPVB20260624003</t>
  </si>
  <si>
    <t>COSU6503246610</t>
  </si>
  <si>
    <t>26May011.04</t>
  </si>
  <si>
    <t>POPV260615013</t>
  </si>
  <si>
    <t>COSCO DENMARK 069W</t>
  </si>
  <si>
    <t>TPVB20260624004</t>
  </si>
  <si>
    <t>COSU6503114070</t>
  </si>
  <si>
    <t>26May011.14</t>
  </si>
  <si>
    <t>POPV260615011</t>
  </si>
  <si>
    <t>EVER AEON 1405-008W</t>
  </si>
  <si>
    <t>TPVB20260624005</t>
  </si>
  <si>
    <t>COSU6503119910</t>
  </si>
  <si>
    <t>26May012.04</t>
  </si>
  <si>
    <t>POPV260616013</t>
  </si>
  <si>
    <t>TPVB20260624010</t>
  </si>
  <si>
    <t>COSU6503991880</t>
  </si>
  <si>
    <t>26May012.12</t>
  </si>
  <si>
    <t>POPV260616012</t>
  </si>
  <si>
    <t>TPVB20260624001</t>
  </si>
  <si>
    <t>EGLV149604457902</t>
  </si>
  <si>
    <t>26May012.14</t>
  </si>
  <si>
    <t>POPV260616011</t>
  </si>
  <si>
    <t>26May004.01</t>
  </si>
  <si>
    <t>POPV260615010</t>
  </si>
  <si>
    <t>CMA CGM KERGUELEN 0MEO1W1MA</t>
  </si>
  <si>
    <t>TPVB20260624006</t>
  </si>
  <si>
    <t>COSU6503364860</t>
  </si>
  <si>
    <t>26May009.07.02</t>
  </si>
  <si>
    <t>五月21日</t>
  </si>
  <si>
    <t>POPV260724039</t>
  </si>
  <si>
    <t>26May009.07.04</t>
  </si>
  <si>
    <t>Ecostal Yomatec</t>
  </si>
  <si>
    <t>SPTN =&gt; Ecostal Yomatec</t>
  </si>
  <si>
    <t>FR0126071600020</t>
  </si>
  <si>
    <t>YES</t>
  </si>
  <si>
    <t>POPV260724040</t>
  </si>
  <si>
    <t>TPVB20260624006-1</t>
  </si>
  <si>
    <t>COSU6503364860 =&gt;COSU6503364861</t>
  </si>
  <si>
    <t>26May010.02</t>
  </si>
  <si>
    <t>POPV260618041</t>
  </si>
  <si>
    <t>OOCL SCANDINAVIA 037W</t>
  </si>
  <si>
    <t>TPVB20260624007</t>
  </si>
  <si>
    <t>COSU6503741610</t>
  </si>
  <si>
    <t>26May012.13</t>
  </si>
  <si>
    <t>六月10日</t>
  </si>
  <si>
    <t>POPV260618039</t>
  </si>
  <si>
    <t>26May011.12</t>
  </si>
  <si>
    <t>ITALY LABEL</t>
  </si>
  <si>
    <t>POPV260615005</t>
  </si>
  <si>
    <t>CSCL VENUS 089W</t>
  </si>
  <si>
    <t>TPVB20260624008</t>
  </si>
  <si>
    <t>COSU6503527860</t>
  </si>
  <si>
    <t>26May011.15</t>
  </si>
  <si>
    <t xml:space="preserve">
POPV260615007</t>
  </si>
  <si>
    <t>TPVB20260624018</t>
  </si>
  <si>
    <t>COSU6503527861</t>
  </si>
  <si>
    <t>26Jun024</t>
  </si>
  <si>
    <t>old stock</t>
  </si>
  <si>
    <t>POPV260615022</t>
  </si>
  <si>
    <t>26May009.11.02</t>
  </si>
  <si>
    <t>POPV260618040</t>
  </si>
  <si>
    <t>COSCO SHIPPING SAGITTARIUS  034W</t>
  </si>
  <si>
    <t>TPVB20260624011</t>
  </si>
  <si>
    <t>COSU9507807450</t>
  </si>
  <si>
    <t>26May009.07.03</t>
  </si>
  <si>
    <t>POPV260618037</t>
  </si>
  <si>
    <t>TPVB20260624012</t>
  </si>
  <si>
    <t>COSU9507807520</t>
  </si>
  <si>
    <t>26May007.01.03</t>
  </si>
  <si>
    <t>POPV260624003</t>
  </si>
  <si>
    <t>TPVB20260523024</t>
  </si>
  <si>
    <t>COSU6503809510</t>
  </si>
  <si>
    <t>26May007.11</t>
  </si>
  <si>
    <t>POPV260615017</t>
  </si>
  <si>
    <t>TPVB20260624013</t>
  </si>
  <si>
    <t>COSU6504041890</t>
  </si>
  <si>
    <t>26May007.01</t>
  </si>
  <si>
    <t>POPV260615018</t>
  </si>
  <si>
    <t>TPVB20260624014</t>
  </si>
  <si>
    <t>COSU6504191030</t>
  </si>
  <si>
    <t>26May007.05.01</t>
  </si>
  <si>
    <t>POPV260615020</t>
  </si>
  <si>
    <t>TPVB20260624015</t>
  </si>
  <si>
    <t>COSU6504047380</t>
  </si>
  <si>
    <t>26May010.08.01</t>
  </si>
  <si>
    <t>LM8=&gt;SPES</t>
  </si>
  <si>
    <t>POPV260720039</t>
  </si>
  <si>
    <t>TPVB20260624016</t>
  </si>
  <si>
    <t>COSU9507807610</t>
  </si>
  <si>
    <t>26May010.08</t>
  </si>
  <si>
    <t>POPV260720040</t>
  </si>
  <si>
    <t>TPVB20260624017</t>
  </si>
  <si>
    <t>COSU9507770280</t>
  </si>
  <si>
    <t>26Apr015</t>
  </si>
  <si>
    <t>GF0700000070</t>
  </si>
  <si>
    <t>TPVO2026032501</t>
  </si>
  <si>
    <t>DAR ES SALAAM</t>
  </si>
  <si>
    <t>WILHELMSHAVEN EXPRESS/616W</t>
  </si>
  <si>
    <t>26Jun011.08</t>
  </si>
  <si>
    <t>六月20日505换</t>
  </si>
  <si>
    <t>POPV260626052</t>
  </si>
  <si>
    <t>SHANGHAI / QUZHOU</t>
  </si>
  <si>
    <t>MILAN MAERSK 625W</t>
  </si>
  <si>
    <t xml:space="preserve">TPVB20260626001 </t>
  </si>
  <si>
    <t>26Jun012.05</t>
  </si>
  <si>
    <t>六月20日</t>
  </si>
  <si>
    <t>POPV260626051</t>
  </si>
  <si>
    <t>26May013.07</t>
  </si>
  <si>
    <t>GF0700002016</t>
  </si>
  <si>
    <t>六月19日</t>
  </si>
  <si>
    <t>POPV260623008</t>
  </si>
  <si>
    <t xml:space="preserve">TPVB20260625001 </t>
  </si>
  <si>
    <t>EGLV149604804547</t>
  </si>
  <si>
    <t>26May013.01</t>
  </si>
  <si>
    <t>六月12日</t>
  </si>
  <si>
    <t>POPV260618034</t>
  </si>
  <si>
    <t>26May013.08</t>
  </si>
  <si>
    <t>六月11日</t>
  </si>
  <si>
    <t>POPV260618035</t>
  </si>
  <si>
    <t>COSCO SHIPPING ANDES 048W</t>
  </si>
  <si>
    <t>TPVB20260625002</t>
  </si>
  <si>
    <t>COSU6504473320</t>
  </si>
  <si>
    <t>26May014.02.01</t>
  </si>
  <si>
    <t>26May014</t>
  </si>
  <si>
    <t>GF0700002015</t>
  </si>
  <si>
    <t>六月13日</t>
  </si>
  <si>
    <t>POPV260618032</t>
  </si>
  <si>
    <t>COSCO SHIPPING 
SAGITTARIUS 034W</t>
  </si>
  <si>
    <t>TPVB20260625013</t>
  </si>
  <si>
    <t>COSU6504129580</t>
  </si>
  <si>
    <t>26May014.02</t>
  </si>
  <si>
    <t>POPV260618031</t>
  </si>
  <si>
    <t>26May011.07.02</t>
  </si>
  <si>
    <t>26May011</t>
  </si>
  <si>
    <t>POPV260618030</t>
  </si>
  <si>
    <t>EVER ACE 1406-019W</t>
  </si>
  <si>
    <t>TPVB20260625010</t>
  </si>
  <si>
    <t>COSU6503985850</t>
  </si>
  <si>
    <t>26May011.07</t>
  </si>
  <si>
    <t>POPV260618029</t>
  </si>
  <si>
    <t>COSCO SHIPPING ANDES 
048W</t>
  </si>
  <si>
    <t>TPVB20260625009</t>
  </si>
  <si>
    <t>COSU6503980090</t>
  </si>
  <si>
    <t>26May012.10</t>
  </si>
  <si>
    <t>POPV260618028</t>
  </si>
  <si>
    <t>CMA CGM MARCO POLO
0MEO3W1MA</t>
  </si>
  <si>
    <t>TPVB20260625011</t>
  </si>
  <si>
    <t>COSU6504140950</t>
  </si>
  <si>
    <t>26May012.05.01</t>
  </si>
  <si>
    <t>6月10日</t>
  </si>
  <si>
    <t>POPV260618027</t>
  </si>
  <si>
    <t>26May012.05</t>
  </si>
  <si>
    <t>POPV260618026</t>
  </si>
  <si>
    <t>EVER GLORY 0758-029W</t>
  </si>
  <si>
    <t>TPVB20260625012</t>
  </si>
  <si>
    <t>COSU6504372270</t>
  </si>
  <si>
    <t>26Jun008.05</t>
  </si>
  <si>
    <t>GF0700002020</t>
  </si>
  <si>
    <t>to fill 1/3 gap sh-fos w25-6月20日</t>
  </si>
  <si>
    <t>POPV260626061</t>
  </si>
  <si>
    <t>TPVB20260625014</t>
  </si>
  <si>
    <t>COSU6504374270</t>
  </si>
  <si>
    <t>26Jun008.01</t>
  </si>
  <si>
    <t>Tianjin(transport to YIXING for shipment)</t>
  </si>
  <si>
    <t>to fill 2/3 gap sh-fos w25-6月20日</t>
  </si>
  <si>
    <t>POPV260626050</t>
    <phoneticPr fontId="0" type="noConversion"/>
  </si>
  <si>
    <t>26Jun003.02</t>
  </si>
  <si>
    <t>POPV260626049</t>
    <phoneticPr fontId="0" type="noConversion"/>
  </si>
  <si>
    <t>26Jun007.01</t>
  </si>
  <si>
    <t>GF0700002032</t>
  </si>
  <si>
    <t>POPV260626047</t>
  </si>
  <si>
    <t>TPVB20260625017</t>
  </si>
  <si>
    <t>COSU6505411160</t>
  </si>
  <si>
    <t>26Jun004.04</t>
  </si>
  <si>
    <t>替26Jun001.01 六月12日</t>
  </si>
  <si>
    <t>POPV260618025</t>
  </si>
  <si>
    <t>TPVB20260625015</t>
  </si>
  <si>
    <t>COSU6504378210</t>
  </si>
  <si>
    <t>26May011.08</t>
  </si>
  <si>
    <t>POPV260626046</t>
    <phoneticPr fontId="0" type="noConversion"/>
  </si>
  <si>
    <t>CSCL JUPITER 094W</t>
  </si>
  <si>
    <t>TPVB20260625016</t>
  </si>
  <si>
    <t>COSU6504138100</t>
  </si>
  <si>
    <t>26Jun028.02</t>
  </si>
  <si>
    <t>old stock-IT importer label</t>
  </si>
  <si>
    <t>POPV260626045</t>
    <phoneticPr fontId="0" type="noConversion"/>
  </si>
  <si>
    <t>26May007.05.02</t>
  </si>
  <si>
    <t>POPV260618024</t>
  </si>
  <si>
    <t>OOCL SWEDEN 008W</t>
  </si>
  <si>
    <t>TPVB20260625008</t>
  </si>
  <si>
    <t>COSU9507886950</t>
  </si>
  <si>
    <t>26May007.09</t>
  </si>
  <si>
    <t>六月14日</t>
  </si>
  <si>
    <t>POPV260618042</t>
  </si>
  <si>
    <t>TPVB20260625003</t>
  </si>
  <si>
    <t>COSU9507829660</t>
  </si>
  <si>
    <t>26Jun023</t>
  </si>
  <si>
    <t>POPV260618044</t>
  </si>
  <si>
    <t>TPVB20260625004</t>
  </si>
  <si>
    <t>COSU9507886600</t>
  </si>
  <si>
    <t>26Jun030</t>
  </si>
  <si>
    <t>POPV260618045</t>
  </si>
  <si>
    <t>TPVB20260625005</t>
  </si>
  <si>
    <t>COSU9507886780</t>
  </si>
  <si>
    <t>26May010.06.02</t>
  </si>
  <si>
    <t>26May010</t>
  </si>
  <si>
    <t>POPV260618046</t>
  </si>
  <si>
    <t>TPVB20260625007</t>
  </si>
  <si>
    <t>COSU6504801500</t>
  </si>
  <si>
    <t>26Jun007.03.01</t>
  </si>
  <si>
    <t>POPV260618047</t>
  </si>
  <si>
    <t>TPVB20260625006</t>
  </si>
  <si>
    <t>COSU9507886860</t>
  </si>
  <si>
    <t>26Jun011.03</t>
  </si>
  <si>
    <t>ProCarte batch 5</t>
  </si>
  <si>
    <t>六月23日</t>
  </si>
  <si>
    <t>POPV260626043</t>
  </si>
  <si>
    <t>NINGBO / QUZHOU</t>
  </si>
  <si>
    <t>AL NEFUD / 626W</t>
  </si>
  <si>
    <t>TPVB20260626002</t>
  </si>
  <si>
    <t>SYNSHA26SE062853</t>
  </si>
  <si>
    <t>264892542B</t>
  </si>
  <si>
    <t>26Jun011.04</t>
  </si>
  <si>
    <t>ProCarte batch 7</t>
  </si>
  <si>
    <t>POPV260626044</t>
  </si>
  <si>
    <t>SANTA CRUZ/ 627W</t>
  </si>
  <si>
    <t>TPVB20260626004</t>
  </si>
  <si>
    <t>SYNSHA26SE062856</t>
  </si>
  <si>
    <t>802344475B</t>
  </si>
  <si>
    <t>26Jun012.12</t>
  </si>
  <si>
    <t>POPV260626042</t>
  </si>
  <si>
    <t>COSCO SPAIN 079W</t>
  </si>
  <si>
    <t>TPVB20260626010</t>
  </si>
  <si>
    <t>COSU6505324630</t>
  </si>
  <si>
    <t>26Jun002.01</t>
  </si>
  <si>
    <t>六月26日</t>
  </si>
  <si>
    <t>POPV260626041</t>
  </si>
  <si>
    <t>TPVB20260626014</t>
  </si>
  <si>
    <t>COSU6503833660</t>
  </si>
  <si>
    <t>26May013.01.01</t>
  </si>
  <si>
    <t>26May013</t>
  </si>
  <si>
    <t>POPV260626040</t>
  </si>
  <si>
    <t>TPVB20260626020</t>
  </si>
  <si>
    <t>COSU6505377920</t>
  </si>
  <si>
    <t>26May013.02</t>
  </si>
  <si>
    <t>POPV260629040</t>
  </si>
  <si>
    <t>26May014.07</t>
  </si>
  <si>
    <t>POPV260626039</t>
  </si>
  <si>
    <t>EVER ART 1407-015W</t>
  </si>
  <si>
    <t>TPVB20260626009</t>
  </si>
  <si>
    <t>COSU6505017200</t>
  </si>
  <si>
    <t>26May014.03.01</t>
  </si>
  <si>
    <t>POPV260626037</t>
  </si>
  <si>
    <t>TPVB20260626008</t>
  </si>
  <si>
    <t>COSU6504983950</t>
  </si>
  <si>
    <t>26May014.01</t>
  </si>
  <si>
    <t>POPV260626036</t>
  </si>
  <si>
    <t>26May013.03.01</t>
  </si>
  <si>
    <t>POPV260626035</t>
  </si>
  <si>
    <t>TPVB20260626015</t>
  </si>
  <si>
    <t>COSU6505404590</t>
  </si>
  <si>
    <t>26Jun004.04.01</t>
  </si>
  <si>
    <t>替26Jun015.03(六月14日)</t>
  </si>
  <si>
    <t>POPV260626053</t>
  </si>
  <si>
    <t>CMA CGM SORBONNE</t>
  </si>
  <si>
    <t>TPVB20260626013</t>
  </si>
  <si>
    <t>COSU6504989080</t>
  </si>
  <si>
    <t>26Jun004.03</t>
  </si>
  <si>
    <t>POPV260626034</t>
  </si>
  <si>
    <t>26Jun008.02</t>
  </si>
  <si>
    <t>Tianjin (Transport to Yixing for shipment)</t>
  </si>
  <si>
    <t>六月27日</t>
  </si>
  <si>
    <t>POPV260629026</t>
  </si>
  <si>
    <t>COSCO SHIPPING TAURUS 037W</t>
  </si>
  <si>
    <t>TPVB20260626021</t>
  </si>
  <si>
    <t>COSU6505067030</t>
  </si>
  <si>
    <t>26Jun001.02</t>
  </si>
  <si>
    <t>POPV260629025</t>
  </si>
  <si>
    <t>COSCO SHIPPING TAURUS
037W</t>
  </si>
  <si>
    <t>26Jun011.09</t>
  </si>
  <si>
    <t>POPV260629024</t>
  </si>
  <si>
    <t>TPVB20260626011</t>
  </si>
  <si>
    <t>COSU6505066450</t>
  </si>
  <si>
    <t>26Jun012.08</t>
  </si>
  <si>
    <t>POPV260629062</t>
  </si>
  <si>
    <t>26Jun011.09.01</t>
  </si>
  <si>
    <t>POPV260629027</t>
  </si>
  <si>
    <t>TPVB20260626012</t>
  </si>
  <si>
    <t>COSU6505066890</t>
  </si>
  <si>
    <t>26Jun012.07.01</t>
  </si>
  <si>
    <t>六月25日</t>
  </si>
  <si>
    <t>POPV260629063</t>
  </si>
  <si>
    <t>26Jun012.07.02</t>
  </si>
  <si>
    <t>POPV260629065</t>
  </si>
  <si>
    <t>26Jun002.03</t>
  </si>
  <si>
    <t>POPV260626032</t>
  </si>
  <si>
    <t>CSCL ATLANTIC OCEAN 066W</t>
  </si>
  <si>
    <t>TPVB20260626017</t>
  </si>
  <si>
    <t>COSU6504142070</t>
  </si>
  <si>
    <t>26Jun002.03.01</t>
  </si>
  <si>
    <t>POPV260626033</t>
  </si>
  <si>
    <t>26Jun037</t>
  </si>
  <si>
    <t>POPV260626031</t>
  </si>
  <si>
    <t>26Jun002.05</t>
  </si>
  <si>
    <t>POPV260626030</t>
  </si>
  <si>
    <t>TPVB20260626016</t>
  </si>
  <si>
    <t>COSU6504385010</t>
  </si>
  <si>
    <t>26Jun028.03</t>
  </si>
  <si>
    <t>POPV260626055</t>
  </si>
  <si>
    <t>26May007.08</t>
  </si>
  <si>
    <t>POPV260629028</t>
  </si>
  <si>
    <t>TPVB20260626018</t>
  </si>
  <si>
    <t>COSU6505756530</t>
  </si>
  <si>
    <t>26Jun014.01.01</t>
  </si>
  <si>
    <t>POPV260629030</t>
  </si>
  <si>
    <t>TPVB20260626019</t>
  </si>
  <si>
    <t>COSU6505906290</t>
  </si>
  <si>
    <t>26May007.05</t>
  </si>
  <si>
    <t>POPV260626054</t>
    <phoneticPr fontId="0" type="noConversion"/>
  </si>
  <si>
    <t>OOCL PORTUGAL 007W</t>
  </si>
  <si>
    <t>TPVB20260626005</t>
  </si>
  <si>
    <t>COSU9507951690</t>
  </si>
  <si>
    <t>26May007.07.01</t>
  </si>
  <si>
    <t>POPV260626056</t>
  </si>
  <si>
    <t>26May007.10.01</t>
  </si>
  <si>
    <t>Ecostal Belgium =&gt; order no GTG / change to internal PO to RTM</t>
  </si>
  <si>
    <t>POPV260626057</t>
  </si>
  <si>
    <t>TPVB20260626006</t>
  </si>
  <si>
    <t>COSU9507977520</t>
  </si>
  <si>
    <t>26May010.06</t>
  </si>
  <si>
    <t>POPV260626058</t>
  </si>
  <si>
    <t>TPVB20260626007</t>
  </si>
  <si>
    <t>COSU6505349280</t>
  </si>
  <si>
    <t>26May011.16</t>
  </si>
  <si>
    <t>Solar2 Group L.L.C</t>
  </si>
  <si>
    <t>Energy 3000 -&gt;Solar2 Group L.L.C</t>
  </si>
  <si>
    <t>KV0126062300007</t>
  </si>
  <si>
    <t>with 1250 H4 Connector</t>
  </si>
  <si>
    <t>POPV260629029
/POPV260629088</t>
  </si>
  <si>
    <t>Durres</t>
  </si>
  <si>
    <t>ADRIAN MAERSK 626W</t>
  </si>
  <si>
    <t>TPVB20260627001</t>
  </si>
  <si>
    <t>26Jun011.04.01</t>
  </si>
  <si>
    <t>六月24日</t>
  </si>
  <si>
    <t>POPV260629064</t>
  </si>
  <si>
    <t>OOCL WISDOM 001W</t>
  </si>
  <si>
    <t>TPVB20260627002</t>
  </si>
  <si>
    <t>COSU6505925840</t>
  </si>
  <si>
    <t>26May013.04</t>
  </si>
  <si>
    <t>POPV260629032</t>
  </si>
  <si>
    <t>TPVB20260627003</t>
  </si>
  <si>
    <t>COSU6505587010</t>
  </si>
  <si>
    <t>26May014.03</t>
  </si>
  <si>
    <t>POPV260629041</t>
  </si>
  <si>
    <t>26May013.03</t>
  </si>
  <si>
    <t>POPV260629038</t>
  </si>
  <si>
    <t>COSCO SHIPPING PLANET 048W</t>
  </si>
  <si>
    <t>TPVB20260627004</t>
  </si>
  <si>
    <t>COSU6505608500</t>
  </si>
  <si>
    <t>26May013.04.01</t>
  </si>
  <si>
    <t>POPV260629039</t>
  </si>
  <si>
    <t>EVER ACME 1408-013W</t>
  </si>
  <si>
    <t>TPVB20260627005</t>
  </si>
  <si>
    <t>COSU6505588390</t>
  </si>
  <si>
    <t>26Jun002.07</t>
  </si>
  <si>
    <t>六月28日</t>
  </si>
  <si>
    <t>POPV260710039</t>
  </si>
  <si>
    <t>COSCO SHIPPING NEBULA 033W</t>
  </si>
  <si>
    <t>TPVB20260627006</t>
  </si>
  <si>
    <t>COSU6505914680</t>
  </si>
  <si>
    <t>26Jun002.06</t>
  </si>
  <si>
    <t>六月29日</t>
  </si>
  <si>
    <t>POPV260710037</t>
  </si>
  <si>
    <t>26Jun007.02</t>
  </si>
  <si>
    <t>七月8日</t>
  </si>
  <si>
    <t>POPV260710038</t>
  </si>
  <si>
    <t>TPVB20260627007</t>
  </si>
  <si>
    <t>COSU6505913620</t>
  </si>
  <si>
    <t>26Jun007.03</t>
  </si>
  <si>
    <t>POPV260710034</t>
  </si>
  <si>
    <t>26Jul001.01.01</t>
  </si>
  <si>
    <t>POPV260710041</t>
  </si>
  <si>
    <t>26Jun001.02.01</t>
  </si>
  <si>
    <t>POPV260710040</t>
  </si>
  <si>
    <t>26Jun013.10</t>
  </si>
  <si>
    <t>Tianjin(Transport to Yixing for shipment TBC)</t>
  </si>
  <si>
    <t>Approsud order</t>
  </si>
  <si>
    <t>FR0126052100039</t>
  </si>
  <si>
    <t>1</t>
  </si>
  <si>
    <t>POPV260710031</t>
  </si>
  <si>
    <t>TPVB20260627015</t>
  </si>
  <si>
    <t>COSU6507195960</t>
  </si>
  <si>
    <t>26Jun001.03</t>
  </si>
  <si>
    <t>七月1日</t>
  </si>
  <si>
    <t>POPV260703008</t>
  </si>
  <si>
    <t>CMA CGM BERENICE 0MEO7W1MA</t>
  </si>
  <si>
    <t>TPVB20260627008</t>
  </si>
  <si>
    <t>COSU6505912480</t>
  </si>
  <si>
    <t>26Jun001.01</t>
  </si>
  <si>
    <t>POPV260703007</t>
  </si>
  <si>
    <t xml:space="preserve">26Jul013.01 </t>
  </si>
  <si>
    <t>LM 8 =&gt; SPES</t>
  </si>
  <si>
    <t>ES0126060900043</t>
  </si>
  <si>
    <t>T5_Pro_M</t>
  </si>
  <si>
    <t>GF0700001545</t>
  </si>
  <si>
    <t>HSM-NT60-GH580</t>
  </si>
  <si>
    <t>六月30日</t>
  </si>
  <si>
    <t>POPV260818037</t>
  </si>
  <si>
    <t>COSCO SHIPPING KILIMANJARO 045W</t>
  </si>
  <si>
    <t>TPVB20260627009</t>
  </si>
  <si>
    <t>COSU6505915770</t>
  </si>
  <si>
    <t>26Jun022.01</t>
  </si>
  <si>
    <t>GF0700002066</t>
  </si>
  <si>
    <t>HSM-BD66-GR655</t>
  </si>
  <si>
    <t>forgot Italy importer label</t>
  </si>
  <si>
    <t>POPV260703010</t>
  </si>
  <si>
    <t>COSCO SHIPPING AZALEA 036E</t>
  </si>
  <si>
    <t>TPVB20260627010</t>
  </si>
  <si>
    <t>COSU9508140760</t>
  </si>
  <si>
    <t>26Jun013.02</t>
  </si>
  <si>
    <t>FR0126062200030</t>
  </si>
  <si>
    <t>POPV260703009</t>
  </si>
  <si>
    <t>TPVB20260627011</t>
  </si>
  <si>
    <t>COSU9508147070</t>
  </si>
  <si>
    <t>26Jun013.01</t>
  </si>
  <si>
    <t>FR0126052000015</t>
  </si>
  <si>
    <t>POPV260703006</t>
  </si>
  <si>
    <t>TPVB20260627012</t>
  </si>
  <si>
    <t>COSU9508147071</t>
  </si>
  <si>
    <t>26Jun013.03</t>
  </si>
  <si>
    <t>FR0126052100037</t>
  </si>
  <si>
    <t>POPV260703004</t>
  </si>
  <si>
    <t>TPVB20260627013</t>
  </si>
  <si>
    <t>COSU9508147081</t>
  </si>
  <si>
    <t>26Jun013.05</t>
  </si>
  <si>
    <t>FR0126052100033</t>
  </si>
  <si>
    <t>POPV260703005</t>
  </si>
  <si>
    <t>TPVB20260627014</t>
  </si>
  <si>
    <t>COSU9508147080</t>
  </si>
  <si>
    <t>26Jun011.05</t>
  </si>
  <si>
    <t>ProCarte batch 8</t>
  </si>
  <si>
    <t>POPV260710033</t>
  </si>
  <si>
    <t>OOCL DENMARK 009W</t>
  </si>
  <si>
    <t>TPVB20260628001</t>
  </si>
  <si>
    <t>COSU6506450380</t>
  </si>
  <si>
    <t>26Jun016.01.01</t>
  </si>
  <si>
    <t>T5_Pro_S</t>
  </si>
  <si>
    <t>GF0700001540</t>
  </si>
  <si>
    <t>HSM-NT48-HH470</t>
  </si>
  <si>
    <t>POPV260710023</t>
  </si>
  <si>
    <t>TPVB20260628002</t>
  </si>
  <si>
    <t>COSU6507018050</t>
  </si>
  <si>
    <t>26Jun008.03</t>
  </si>
  <si>
    <t>七月15日</t>
  </si>
  <si>
    <t>POPV260729022</t>
  </si>
  <si>
    <t>COSCO SHIPPING CAPRICORN 041W</t>
  </si>
  <si>
    <t>TPVB20260628003</t>
  </si>
  <si>
    <t>COSU6507790480</t>
  </si>
  <si>
    <t>26May011.05.01</t>
  </si>
  <si>
    <t>solarfabrik</t>
  </si>
  <si>
    <t>DE0126070200004</t>
  </si>
  <si>
    <t>BW JUN</t>
  </si>
  <si>
    <t>POPV260724031</t>
  </si>
  <si>
    <t>TPVB20260628016</t>
  </si>
  <si>
    <t>COSU6507666250</t>
  </si>
  <si>
    <t>26Jun015.06.01</t>
  </si>
  <si>
    <t>BE0126061200010</t>
  </si>
  <si>
    <t>GF0700001539</t>
  </si>
  <si>
    <t>HSM-NT48-HH465</t>
  </si>
  <si>
    <t>七月12日</t>
  </si>
  <si>
    <t>POPV260724034</t>
  </si>
  <si>
    <t>TPVB20260628017</t>
  </si>
  <si>
    <t>COSU6508738520</t>
  </si>
  <si>
    <t>26May013.09</t>
  </si>
  <si>
    <t>BW JUN √</t>
  </si>
  <si>
    <t>POPV260710044</t>
  </si>
  <si>
    <t>EVER ALP 1409-017W</t>
  </si>
  <si>
    <t>TPVB20260628004</t>
  </si>
  <si>
    <t>COSU6506729920</t>
  </si>
  <si>
    <t>26May013.10</t>
  </si>
  <si>
    <t>POPV260713004</t>
  </si>
  <si>
    <t>26Jun003.01</t>
  </si>
  <si>
    <t>POPV260710035</t>
  </si>
  <si>
    <t>COSCO SHIPPING PLANET 
048W</t>
  </si>
  <si>
    <t>TPVB20260628005</t>
  </si>
  <si>
    <t>COSU6506730240</t>
  </si>
  <si>
    <t>26Jun002.04</t>
  </si>
  <si>
    <t>POPV260710036</t>
  </si>
  <si>
    <t>26Jun016.02</t>
  </si>
  <si>
    <t>七月5日</t>
  </si>
  <si>
    <t>POPV260710042</t>
  </si>
  <si>
    <t>26Jun012.09</t>
  </si>
  <si>
    <t>POPV260717021</t>
  </si>
  <si>
    <t xml:space="preserve">ONE TRIUMPH/0031W </t>
  </si>
  <si>
    <t>TPVB20260628014</t>
  </si>
  <si>
    <t>SYNSHA26SE072092</t>
  </si>
  <si>
    <t>HDMUSHAZF7T21600</t>
  </si>
  <si>
    <t>26Jun012.09.01</t>
  </si>
  <si>
    <t>POPV260717020</t>
  </si>
  <si>
    <t>ONE TRIUMPH V.031W</t>
  </si>
  <si>
    <t>TPVB20260628015</t>
  </si>
  <si>
    <t>SYNSHA26SE072067</t>
  </si>
  <si>
    <t>N237102092</t>
  </si>
  <si>
    <t>26Jun012.04</t>
  </si>
  <si>
    <t>POPV260717019</t>
  </si>
  <si>
    <t>26Jun015.03</t>
  </si>
  <si>
    <t>√</t>
  </si>
  <si>
    <t>POPV260717027</t>
  </si>
  <si>
    <t>EVER GOODS 0761-035W</t>
  </si>
  <si>
    <t>TPVB20260628006</t>
  </si>
  <si>
    <t>COSU6506929700</t>
  </si>
  <si>
    <t>26Jun015.03.01</t>
  </si>
  <si>
    <t>POPV260717026</t>
  </si>
  <si>
    <t>26Jun014.05</t>
  </si>
  <si>
    <t>POPV260717013</t>
  </si>
  <si>
    <t>TPVB20260628007</t>
  </si>
  <si>
    <t>COSU6506899540</t>
  </si>
  <si>
    <t>26Jun013.12</t>
  </si>
  <si>
    <t>POPV260717018</t>
  </si>
  <si>
    <t>26Jun014.06</t>
  </si>
  <si>
    <t>POPV260717012</t>
  </si>
  <si>
    <t>26Jun013.11</t>
  </si>
  <si>
    <t>FR0126062200029</t>
  </si>
  <si>
    <t>POPV260717016</t>
  </si>
  <si>
    <t>TPVB20260628008</t>
  </si>
  <si>
    <t>COSU6506928990</t>
  </si>
  <si>
    <t>26Jun013.13</t>
  </si>
  <si>
    <t>FR0126062200031</t>
  </si>
  <si>
    <t>POPV260717014</t>
  </si>
  <si>
    <t>26Jun013.04</t>
  </si>
  <si>
    <t>POPV260710030</t>
  </si>
  <si>
    <t>CMA CGM ZEPHYR 0MEO9W1MA</t>
  </si>
  <si>
    <t>TPVB20260628009</t>
  </si>
  <si>
    <t>COSU6506932230</t>
  </si>
  <si>
    <t>26Jun013.06</t>
  </si>
  <si>
    <t>FR0126052100034</t>
  </si>
  <si>
    <t>POPV260710029</t>
  </si>
  <si>
    <t>CMA CGM ZEPHYR 
0MEO9W1MA</t>
  </si>
  <si>
    <t>TPVB20260628010</t>
  </si>
  <si>
    <t>COSU6506596440</t>
  </si>
  <si>
    <t>26Jun013.07</t>
  </si>
  <si>
    <t>FR0126052100035</t>
  </si>
  <si>
    <t>POPV260710028</t>
  </si>
  <si>
    <t>26Jun013.08</t>
  </si>
  <si>
    <t>FR0126052100036</t>
  </si>
  <si>
    <t>POPV260710027</t>
  </si>
  <si>
    <t>26Jun013.09</t>
  </si>
  <si>
    <t>FR0126052100038</t>
  </si>
  <si>
    <t>POPV260710026</t>
  </si>
  <si>
    <t>26Jun014.04</t>
  </si>
  <si>
    <t>POPV260710025</t>
  </si>
  <si>
    <t>COSCO SHIPPING CAPRICORN 041W
041W</t>
  </si>
  <si>
    <t>TPVB20260628011</t>
  </si>
  <si>
    <t>COSU9508260330</t>
  </si>
  <si>
    <t>26Jun014.04.01</t>
  </si>
  <si>
    <t>POPV260710024</t>
  </si>
  <si>
    <t>TPVB20260628012</t>
  </si>
  <si>
    <t>COSU9508260600</t>
  </si>
  <si>
    <t>26Jun009.01.01</t>
  </si>
  <si>
    <t>POPV260710032</t>
  </si>
  <si>
    <t>TPVB20260628013</t>
  </si>
  <si>
    <t>COSU9508255560</t>
  </si>
  <si>
    <t>26Jul012.02</t>
  </si>
  <si>
    <t>GF0700002065</t>
  </si>
  <si>
    <t>七月3日,Italy importer label</t>
  </si>
  <si>
    <t>POPV260717030</t>
  </si>
  <si>
    <t>COSU9508259840</t>
  </si>
  <si>
    <t>26Jun016.01</t>
  </si>
  <si>
    <t>POPV260717028</t>
  </si>
  <si>
    <t>OOCL PIRAEUS 012W</t>
  </si>
  <si>
    <t>TPVB20260729005</t>
  </si>
  <si>
    <t>COSU6507754600</t>
  </si>
  <si>
    <t>26Jun012.02</t>
  </si>
  <si>
    <t>POPV260729016</t>
  </si>
  <si>
    <t>TPVB20260729006</t>
  </si>
  <si>
    <t>COSU6507727180</t>
  </si>
  <si>
    <t>26Jun008.04.01</t>
  </si>
  <si>
    <t>七月14日</t>
  </si>
  <si>
    <t>POPV260717025</t>
  </si>
  <si>
    <t>EVER ARIA 1410-015W</t>
  </si>
  <si>
    <t>TPVB20260729007</t>
  </si>
  <si>
    <t>COSU6507885650</t>
  </si>
  <si>
    <t>26Jun008.03.01</t>
  </si>
  <si>
    <t>POPV260717024</t>
  </si>
  <si>
    <t>26Jul002.01</t>
  </si>
  <si>
    <t>POPV260806017</t>
  </si>
  <si>
    <t>COSCO SHIPPING PISCES 033W</t>
  </si>
  <si>
    <t>TPVB20260729008</t>
  </si>
  <si>
    <t>COSU6507266890</t>
  </si>
  <si>
    <t>26Jul008.02</t>
  </si>
  <si>
    <t>七月10日</t>
  </si>
  <si>
    <t>POPV260729008</t>
  </si>
  <si>
    <t>SHANGHAI/Quzhou</t>
  </si>
  <si>
    <t>TPVB20260729009</t>
  </si>
  <si>
    <t>COSU6507883400</t>
  </si>
  <si>
    <t>26Jun011.12.01</t>
  </si>
  <si>
    <t>POPV260729021</t>
  </si>
  <si>
    <t>26Jun012.07</t>
  </si>
  <si>
    <t>POPV260729015</t>
  </si>
  <si>
    <t>26Jun007.03.02</t>
  </si>
  <si>
    <t>七月16日</t>
  </si>
  <si>
    <t>POPV260729023</t>
  </si>
  <si>
    <t>TPVB20260729010</t>
  </si>
  <si>
    <t>COSU6508803190</t>
  </si>
  <si>
    <t>26Jun005.03</t>
  </si>
  <si>
    <t>POPV260729024</t>
  </si>
  <si>
    <t>26Jun014.07</t>
  </si>
  <si>
    <t>七月9日</t>
  </si>
  <si>
    <t>POPV260729007</t>
  </si>
  <si>
    <t>26Jun025</t>
  </si>
  <si>
    <t>GF0700000022</t>
  </si>
  <si>
    <t>TCL-MI550DT182-70NS</t>
  </si>
  <si>
    <t>POPV260806044</t>
  </si>
  <si>
    <t>TPVB20260729011</t>
  </si>
  <si>
    <t>COSU6507751580</t>
  </si>
  <si>
    <t>26Jul013.05</t>
  </si>
  <si>
    <t>ES0126060900044</t>
  </si>
  <si>
    <t>POPV260724032</t>
  </si>
  <si>
    <t>CSCL URANUS 109W</t>
  </si>
  <si>
    <t>TPVB20260729012</t>
  </si>
  <si>
    <t>COSU6507752990</t>
  </si>
  <si>
    <t>26Jul014.01</t>
  </si>
  <si>
    <t>GF0700001546</t>
  </si>
  <si>
    <t>HSM-NT60-GH585</t>
  </si>
  <si>
    <t>POPV260724033</t>
  </si>
  <si>
    <t>26Jun002.03.02</t>
  </si>
  <si>
    <t>W29</t>
  </si>
  <si>
    <t>POPV260729027</t>
  </si>
  <si>
    <t>TPVB20260729013</t>
  </si>
  <si>
    <t>COSU6507753540</t>
  </si>
  <si>
    <t>26Jul002.03</t>
  </si>
  <si>
    <t>POPV260729028</t>
  </si>
  <si>
    <t>26Jun014.03</t>
  </si>
  <si>
    <t>POPV260717011</t>
  </si>
  <si>
    <t>COSCO FRANCE 075W</t>
  </si>
  <si>
    <t>TPVB20260729003</t>
  </si>
  <si>
    <t>COSU9508345820</t>
  </si>
  <si>
    <t>26Jun014.03.01</t>
  </si>
  <si>
    <t>POPV260717010</t>
  </si>
  <si>
    <t>TPVB20260729002</t>
  </si>
  <si>
    <t>COSU9508345960</t>
  </si>
  <si>
    <t>26Jun014.01</t>
  </si>
  <si>
    <t>POPV260717009</t>
  </si>
  <si>
    <t>26Jun009.01</t>
  </si>
  <si>
    <t>POPV260717023</t>
  </si>
  <si>
    <t>TPVB20260729001</t>
  </si>
  <si>
    <t>COSU9508353580</t>
  </si>
  <si>
    <t>26Jun009.02.01</t>
  </si>
  <si>
    <t>POPV260717022</t>
  </si>
  <si>
    <t>26Jul011.05</t>
  </si>
  <si>
    <t>GF0700002042</t>
  </si>
  <si>
    <t>POPV260717029</t>
  </si>
  <si>
    <t>TPVB20260729004</t>
  </si>
  <si>
    <t>COSU9508346010</t>
  </si>
  <si>
    <t>26Jun012.10.11</t>
  </si>
  <si>
    <t>POPV260729014</t>
  </si>
  <si>
    <t>CSCL GLOBE 076W</t>
  </si>
  <si>
    <t>TPVB20260730012</t>
  </si>
  <si>
    <t>COSU6507915250</t>
  </si>
  <si>
    <t>26Jun012.06.01</t>
  </si>
  <si>
    <t>POPV260729013</t>
  </si>
  <si>
    <t>26Jun012.06</t>
  </si>
  <si>
    <t>POPV260729011</t>
  </si>
  <si>
    <t>26Jun008.04</t>
  </si>
  <si>
    <t>七月26日</t>
  </si>
  <si>
    <t>POPV260806034</t>
  </si>
  <si>
    <t>COSCO SHIPPING VIRGO 036W</t>
  </si>
  <si>
    <t>TPVB20260730001</t>
  </si>
  <si>
    <t>EGLV149605819327</t>
  </si>
  <si>
    <t>26Jun015.01.01</t>
  </si>
  <si>
    <t>POPV260806039</t>
  </si>
  <si>
    <t>26May011.05</t>
  </si>
  <si>
    <t>POPV260729034</t>
  </si>
  <si>
    <t>TPVB20260730013</t>
  </si>
  <si>
    <t>COSU6508479150</t>
  </si>
  <si>
    <t>26Jul001.01.02</t>
  </si>
  <si>
    <t>POPV260729025</t>
  </si>
  <si>
    <t>CMA CGM JULES VERNE 0MEODW1MA</t>
  </si>
  <si>
    <t>TPVB20260730014</t>
  </si>
  <si>
    <t>COSU6508016810</t>
  </si>
  <si>
    <t>26Jun012.03</t>
  </si>
  <si>
    <t>W30</t>
  </si>
  <si>
    <t>POPV260729010</t>
  </si>
  <si>
    <t>TPVB20260730003</t>
  </si>
  <si>
    <t>COSU9508462360</t>
  </si>
  <si>
    <t>26Jul007.03</t>
  </si>
  <si>
    <t>POPV260729018</t>
  </si>
  <si>
    <t>TPVB20260730006</t>
  </si>
  <si>
    <t>COSU9508463160</t>
  </si>
  <si>
    <t>26Jun012.10</t>
  </si>
  <si>
    <t>POPV260729009</t>
  </si>
  <si>
    <t>EVER ARIA 1410W</t>
  </si>
  <si>
    <t>TPVB20260730002</t>
  </si>
  <si>
    <t>COSU9508462510</t>
  </si>
  <si>
    <t>26Jul007.03.01</t>
  </si>
  <si>
    <t>POPV260729017</t>
  </si>
  <si>
    <t>26Jun011.12.02</t>
  </si>
  <si>
    <t>w30-32</t>
  </si>
  <si>
    <t>POPV260729035</t>
  </si>
  <si>
    <t>CMA CGM JULES VERNE 0MEODW</t>
  </si>
  <si>
    <t>TPVB20260730004</t>
  </si>
  <si>
    <t>COSU9508444890</t>
  </si>
  <si>
    <t>26Jun011.12.03</t>
  </si>
  <si>
    <t>POPV260806035</t>
  </si>
  <si>
    <t>TPVB20260730005</t>
  </si>
  <si>
    <t>COSU9508457230</t>
  </si>
  <si>
    <t>26Jun011.12.04</t>
  </si>
  <si>
    <t>POPV260806036</t>
  </si>
  <si>
    <t>COSCO SHIPPING SCORPIO 035W换EVER GOLDEN 033W</t>
  </si>
  <si>
    <t>TPVB20260730007</t>
  </si>
  <si>
    <t>COSU9508475300</t>
  </si>
  <si>
    <t>26Jun011.12.05</t>
  </si>
  <si>
    <t>POPV260729020</t>
  </si>
  <si>
    <t>EVER GOODS 035W</t>
  </si>
  <si>
    <t>TPVB20260730008</t>
  </si>
  <si>
    <t>COSU6508263600</t>
  </si>
  <si>
    <t>26Jul013.04</t>
  </si>
  <si>
    <t>七月3日</t>
  </si>
  <si>
    <t>POPV260806050</t>
  </si>
  <si>
    <t>TPVB20260730011</t>
  </si>
  <si>
    <t>COSU9508539600</t>
  </si>
  <si>
    <t>26May007.12</t>
  </si>
  <si>
    <t>W29+W30 slot</t>
  </si>
  <si>
    <t>POPV260729005</t>
  </si>
  <si>
    <t>TPVB20260730009</t>
  </si>
  <si>
    <t>COSU6507918470</t>
  </si>
  <si>
    <t>26Jul011.01</t>
  </si>
  <si>
    <t>POPV260729026</t>
  </si>
  <si>
    <t>TPVB20260730010</t>
  </si>
  <si>
    <t>COSU9508471420</t>
  </si>
  <si>
    <t>26May007.10.02</t>
  </si>
  <si>
    <t>POPV260729019</t>
  </si>
  <si>
    <t>26Jul008.01</t>
  </si>
  <si>
    <t>SPGB / Project Solar White Label (forecast)</t>
  </si>
  <si>
    <t>W31</t>
  </si>
  <si>
    <t>POPV260806031</t>
  </si>
  <si>
    <t>OOCL FELIXSTOWE 011W</t>
  </si>
  <si>
    <t>TPVB20260731013</t>
  </si>
  <si>
    <t>COSU6508644310</t>
  </si>
  <si>
    <t>26Jun002.02</t>
  </si>
  <si>
    <t>POPV260806022</t>
  </si>
  <si>
    <t>TPVB20260731014</t>
  </si>
  <si>
    <t>COSU6508646060</t>
  </si>
  <si>
    <t>26Jun002.08</t>
  </si>
  <si>
    <t>POPV260806019</t>
  </si>
  <si>
    <t>26Jun004.01</t>
  </si>
  <si>
    <t>POPV260806018</t>
  </si>
  <si>
    <t>ONE TRUST 032W</t>
  </si>
  <si>
    <t>TPVB20260731011</t>
  </si>
  <si>
    <t>SEAE26070202</t>
  </si>
  <si>
    <t>ONEYSH6YSH016600</t>
  </si>
  <si>
    <t>26Jun016.03</t>
  </si>
  <si>
    <t>POPV260806038</t>
  </si>
  <si>
    <t>26Jun004.02</t>
  </si>
  <si>
    <t>POPV260806045</t>
  </si>
  <si>
    <t>26Jun016.04</t>
  </si>
  <si>
    <t>POPV260806041</t>
  </si>
  <si>
    <t>26Jul002.09</t>
  </si>
  <si>
    <t>POPV260806016</t>
  </si>
  <si>
    <t>26Jun004.07</t>
  </si>
  <si>
    <t>POPV260806020</t>
  </si>
  <si>
    <t>26May014.04</t>
  </si>
  <si>
    <t>POPV260729048</t>
  </si>
  <si>
    <t>TPVB20260731012</t>
  </si>
  <si>
    <t>SEAE26070203</t>
  </si>
  <si>
    <t>ONEYSH6YSH016601</t>
  </si>
  <si>
    <t>26May014.04.01</t>
  </si>
  <si>
    <t>POPV260729049</t>
  </si>
  <si>
    <t>26May013.05.01</t>
  </si>
  <si>
    <t>POPV260729047</t>
  </si>
  <si>
    <t>26May011.06</t>
  </si>
  <si>
    <t>POPV260806030</t>
  </si>
  <si>
    <t>TPVB20260731027</t>
  </si>
  <si>
    <t>COSU6508616170</t>
  </si>
  <si>
    <t>26Jun015.06</t>
  </si>
  <si>
    <t>POPV260730008</t>
  </si>
  <si>
    <t>TPVB20260731016</t>
  </si>
  <si>
    <t>COSU6508644840</t>
  </si>
  <si>
    <t>26Jun016.03.01</t>
  </si>
  <si>
    <t>POPV260806042</t>
  </si>
  <si>
    <t>TPVB20260731017</t>
  </si>
  <si>
    <t>COSU6508644841</t>
  </si>
  <si>
    <t>26Jun015.01</t>
  </si>
  <si>
    <t>七月13日</t>
  </si>
  <si>
    <t>POPV260806040</t>
  </si>
  <si>
    <t>EVER ARM 1412-016W</t>
  </si>
  <si>
    <t>TPVB20260731018</t>
  </si>
  <si>
    <t>COSU6508515860</t>
  </si>
  <si>
    <t>26Jun004.02.01</t>
  </si>
  <si>
    <t>POPV260806021</t>
  </si>
  <si>
    <t>26Jul002.02</t>
  </si>
  <si>
    <t>POPV260821040</t>
  </si>
  <si>
    <t>EVER GOLDEN 0765-033W</t>
  </si>
  <si>
    <t>TPVB20260731019</t>
  </si>
  <si>
    <t>COSU6509178440</t>
  </si>
  <si>
    <t>26Jun015.05</t>
  </si>
  <si>
    <t>POPV260821053</t>
  </si>
  <si>
    <t>TPVB20260731020</t>
  </si>
  <si>
    <t>COSU6509176590</t>
  </si>
  <si>
    <t>26Jul001.01.03</t>
  </si>
  <si>
    <t>POPV260821037</t>
  </si>
  <si>
    <t>26Jul016.09.01</t>
  </si>
  <si>
    <t>GF0700001536</t>
  </si>
  <si>
    <t>HSM-NT48-JH475 CFP</t>
  </si>
  <si>
    <t>POPV260821047</t>
  </si>
  <si>
    <t>26Jul001.01.04</t>
  </si>
  <si>
    <t>POPV260806046</t>
  </si>
  <si>
    <t>CMA CGM GEORG FORSTER 0MEOFW1MA</t>
  </si>
  <si>
    <t>TPVB20260731021</t>
  </si>
  <si>
    <t>COSU6508944020</t>
  </si>
  <si>
    <t>26Jul013.02</t>
  </si>
  <si>
    <t>POPV260807042</t>
  </si>
  <si>
    <t>COSCO NETHERLANDS 077W</t>
  </si>
  <si>
    <t>TPVB20260731022</t>
  </si>
  <si>
    <t>COSU6508516880</t>
  </si>
  <si>
    <t>26Jun033.02.01</t>
  </si>
  <si>
    <t>GF0700001867</t>
  </si>
  <si>
    <t>七月28日</t>
  </si>
  <si>
    <t>POPV260807022</t>
  </si>
  <si>
    <t>ONE INFINITY/010W</t>
  </si>
  <si>
    <t>TPVB20260731026</t>
  </si>
  <si>
    <t>SYNSHA26SE080704</t>
  </si>
  <si>
    <t>N237106207</t>
  </si>
  <si>
    <t>26Jun034.01</t>
  </si>
  <si>
    <t>POPV260807017</t>
  </si>
  <si>
    <t>26Jul004.04</t>
  </si>
  <si>
    <t>POPV260806033</t>
  </si>
  <si>
    <t>26Jun012.11</t>
  </si>
  <si>
    <t>POPV260806024</t>
  </si>
  <si>
    <t>TPVB20260731002</t>
  </si>
  <si>
    <t>COSU9508541790</t>
  </si>
  <si>
    <t>26Jul008.04.01</t>
  </si>
  <si>
    <t>POPV260806032</t>
  </si>
  <si>
    <t xml:space="preserve">CMA CGM GEORG FORSTER </t>
  </si>
  <si>
    <t>TPVB20260731023</t>
  </si>
  <si>
    <t>COSU6509574920</t>
  </si>
  <si>
    <t>26Jul014.02</t>
  </si>
  <si>
    <t>POPV260807043</t>
  </si>
  <si>
    <t>TPVB20260731001</t>
  </si>
  <si>
    <t>COSU9508762540</t>
  </si>
  <si>
    <t>26Jul006.01</t>
  </si>
  <si>
    <t>Bengbu</t>
  </si>
  <si>
    <t>FR0126072100016</t>
  </si>
  <si>
    <t>POPV260807044</t>
  </si>
  <si>
    <t>Pointe des Galets</t>
  </si>
  <si>
    <t>CMA CGM PETRA/0K13NW</t>
  </si>
  <si>
    <t>TPVB20260731010</t>
  </si>
  <si>
    <t>NGP4050971</t>
  </si>
  <si>
    <t>CN107433226</t>
  </si>
  <si>
    <t>26Jun010.02</t>
  </si>
  <si>
    <t>DRACOUDIS ALUMINIUM</t>
  </si>
  <si>
    <t>CY0126071000001</t>
  </si>
  <si>
    <t>六月3日</t>
  </si>
  <si>
    <t>POPV260730010</t>
  </si>
  <si>
    <t>LIMASSOL</t>
  </si>
  <si>
    <t>MSC LONDON V.GT631W</t>
  </si>
  <si>
    <t>TPVB20260731004</t>
  </si>
  <si>
    <t>M235130273</t>
  </si>
  <si>
    <t>26May008.05</t>
  </si>
  <si>
    <t>Ecostal Belgium CRD 01/09 =&gt; order change to 455w</t>
  </si>
  <si>
    <t>POPV260730009</t>
  </si>
  <si>
    <t>MSC LORETO / QS632A</t>
  </si>
  <si>
    <t>TPVB20260731003</t>
  </si>
  <si>
    <t>SYNSHA26SE080383</t>
  </si>
  <si>
    <t>177KVBXYXVNN3251</t>
  </si>
  <si>
    <t>26May007.12.01</t>
  </si>
  <si>
    <t>POPV260806026</t>
  </si>
  <si>
    <t>COSCO SHIPPING GALAXY 030W</t>
  </si>
  <si>
    <t>TPVB20260731006</t>
  </si>
  <si>
    <t>COSU6508495770</t>
  </si>
  <si>
    <t>26May010.10</t>
  </si>
  <si>
    <t>POPV260806023</t>
  </si>
  <si>
    <t>TPVB20260731007</t>
  </si>
  <si>
    <t>COSU6508664430</t>
  </si>
  <si>
    <t>26Jun009.02.02</t>
  </si>
  <si>
    <t>POPV260729066</t>
  </si>
  <si>
    <t>ONE INFINITY 010W</t>
  </si>
  <si>
    <t>TPVB20260731005</t>
  </si>
  <si>
    <t>TS6NC4254400</t>
  </si>
  <si>
    <t>26Jul011.08</t>
  </si>
  <si>
    <t>POPV260729065</t>
  </si>
  <si>
    <t>26May007.10</t>
  </si>
  <si>
    <t>POPV260806025</t>
  </si>
  <si>
    <t>TPVB20260730015</t>
  </si>
  <si>
    <t>COSU9508614640</t>
  </si>
  <si>
    <t>26Jul011.02</t>
  </si>
  <si>
    <t>POPV260806047</t>
  </si>
  <si>
    <t>26Jun014.02.01</t>
  </si>
  <si>
    <t>POPV260806037</t>
  </si>
  <si>
    <t>TPVB20260730016</t>
  </si>
  <si>
    <t>COSU9508583080</t>
  </si>
  <si>
    <t>26Jun014.02</t>
  </si>
  <si>
    <t>POPV260806043</t>
  </si>
  <si>
    <t>TPVB20260730017</t>
  </si>
  <si>
    <t>COSU9508583110</t>
  </si>
  <si>
    <t>26Jul011.03</t>
  </si>
  <si>
    <t>POPV260806048</t>
  </si>
  <si>
    <t>TPVB20260730018</t>
  </si>
  <si>
    <t>COSU6508687400</t>
  </si>
  <si>
    <t>26Jul011.07</t>
  </si>
  <si>
    <t>POPV260806049</t>
  </si>
  <si>
    <t>TPVB20260730019</t>
  </si>
  <si>
    <t>COSU9508582980</t>
  </si>
  <si>
    <t>26May012.19</t>
  </si>
  <si>
    <t>POPV260814048</t>
  </si>
  <si>
    <t>YM WILLPOWER 002W</t>
  </si>
  <si>
    <t>TPVB20260731015</t>
  </si>
  <si>
    <t>SEAE26080094</t>
  </si>
  <si>
    <t>177TLHLHS204857</t>
  </si>
  <si>
    <t>26Jul007.07.01</t>
  </si>
  <si>
    <t>PL0126080300008</t>
  </si>
  <si>
    <t>POPV260814021</t>
  </si>
  <si>
    <t>shanghai</t>
  </si>
  <si>
    <t>OOCL GERMANY 039W</t>
  </si>
  <si>
    <t>TPVB20260832020</t>
  </si>
  <si>
    <t>COSU6509534810</t>
  </si>
  <si>
    <t>26Jul017.03.01</t>
  </si>
  <si>
    <t>SPUK/Bimble+Solar Renewable</t>
  </si>
  <si>
    <t>GF0700002074</t>
  </si>
  <si>
    <t>HSM-BE54-DD485</t>
  </si>
  <si>
    <t>ready</t>
  </si>
  <si>
    <t>POPV260814052</t>
  </si>
  <si>
    <t>SHANGHAI/QUZHOU</t>
  </si>
  <si>
    <t>TPVB20260832021</t>
  </si>
  <si>
    <t>COSU6462068440</t>
  </si>
  <si>
    <t>26Jun015.02.02</t>
  </si>
  <si>
    <t>POPV260807033</t>
  </si>
  <si>
    <t>TPVB20260832022</t>
  </si>
  <si>
    <t>COSU6462001750</t>
  </si>
  <si>
    <t>26Jul002.06</t>
  </si>
  <si>
    <t>POPV260807018</t>
  </si>
  <si>
    <t>TPVB20260832014</t>
  </si>
  <si>
    <t>COSU6509599960</t>
  </si>
  <si>
    <t>26Jun004.05</t>
  </si>
  <si>
    <t>POPV260807036</t>
  </si>
  <si>
    <t>26Jun028</t>
  </si>
  <si>
    <t>Local WH for depletion (sotck already sitting in RTM)</t>
  </si>
  <si>
    <t>POPV260807027</t>
  </si>
  <si>
    <t>26Jun026</t>
  </si>
  <si>
    <t>26J丶1</t>
  </si>
  <si>
    <t>GF0101010047</t>
  </si>
  <si>
    <t>TCL-MG715DT210-68NS</t>
  </si>
  <si>
    <t>POPV260807028</t>
  </si>
  <si>
    <t>26Jul002.05</t>
  </si>
  <si>
    <t>POPV260807019</t>
  </si>
  <si>
    <t>COSCO EXCELLENCE 077W</t>
  </si>
  <si>
    <t>TPVB20260832015</t>
  </si>
  <si>
    <t>COSU6509605690</t>
  </si>
  <si>
    <t>26Jun015.02.01</t>
  </si>
  <si>
    <t>POPV260807031</t>
  </si>
  <si>
    <t>26Jun015.02</t>
  </si>
  <si>
    <t>POPV260807029</t>
  </si>
  <si>
    <t>EVER ALOT 1413-015W</t>
  </si>
  <si>
    <t>TPVB20260832016</t>
  </si>
  <si>
    <t>COSU6509601100</t>
  </si>
  <si>
    <t xml:space="preserve">26Jul002.09.01 </t>
  </si>
  <si>
    <t>POPV260807020</t>
  </si>
  <si>
    <t>26May012.07.01</t>
  </si>
  <si>
    <t>SPTN-&gt; solar fabrk</t>
  </si>
  <si>
    <t>DE0126080400009</t>
  </si>
  <si>
    <t>POPV260903007</t>
  </si>
  <si>
    <t>TPVB20260731025-1</t>
  </si>
  <si>
    <t>EGLV149607977931</t>
  </si>
  <si>
    <t>EGLV149606435972</t>
  </si>
  <si>
    <t>26May011.18</t>
  </si>
  <si>
    <t>Energy 3000 -&gt; hold</t>
  </si>
  <si>
    <t>POPV260806028</t>
  </si>
  <si>
    <t>TPVB20260731025</t>
  </si>
  <si>
    <t>26May012.18</t>
  </si>
  <si>
    <t xml:space="preserve">
POPV260903008</t>
  </si>
  <si>
    <t>26May012.18.01</t>
  </si>
  <si>
    <t xml:space="preserve">
POPV260903009</t>
  </si>
  <si>
    <t>COSCO SHIPPING HIMALAYAS 048W</t>
  </si>
  <si>
    <t>TPVB20260731028</t>
  </si>
  <si>
    <t>EGLV149607068982</t>
  </si>
  <si>
    <t>26May011.07.01</t>
  </si>
  <si>
    <t>POPV260806029</t>
  </si>
  <si>
    <t>TPVB20260731024</t>
  </si>
  <si>
    <t>EGLV149606773932</t>
  </si>
  <si>
    <t>26May011.05.02</t>
  </si>
  <si>
    <t>POPV260806027</t>
  </si>
  <si>
    <t>26Jun029</t>
  </si>
  <si>
    <t>GF0700001582</t>
  </si>
  <si>
    <t>POPV260807025</t>
  </si>
  <si>
    <t>TPVB20260832007</t>
  </si>
  <si>
    <t>EGLV149606436090</t>
  </si>
  <si>
    <t>26Jul004.07</t>
  </si>
  <si>
    <t>POPV260807034</t>
  </si>
  <si>
    <t>26Jun033.01</t>
  </si>
  <si>
    <t>POPV260807024</t>
  </si>
  <si>
    <t>26Jul001.01</t>
  </si>
  <si>
    <t>POPV260814017</t>
  </si>
  <si>
    <t>CMA CGM OSIRIS 0MEOHW1MA</t>
  </si>
  <si>
    <t>TPVB20260832017</t>
  </si>
  <si>
    <t>COSU6509607500</t>
  </si>
  <si>
    <t>26Jul013.03</t>
  </si>
  <si>
    <t>POPV260814051</t>
  </si>
  <si>
    <t>TPVB20260832018</t>
  </si>
  <si>
    <t>COSU6509607090</t>
  </si>
  <si>
    <t>26Jul002.04</t>
  </si>
  <si>
    <t>ready，from genova to naples</t>
  </si>
  <si>
    <t>POPV260807021</t>
  </si>
  <si>
    <t>TITAN 044W</t>
  </si>
  <si>
    <t>TPVB20260832019</t>
  </si>
  <si>
    <t>COSU6509607950</t>
  </si>
  <si>
    <t>26Jul004.06</t>
  </si>
  <si>
    <t>POPV260821019</t>
  </si>
  <si>
    <t>MOSCOW MAERSK  632W</t>
  </si>
  <si>
    <t>TPVB20260832001</t>
  </si>
  <si>
    <t>26Jul015.04</t>
  </si>
  <si>
    <t>GF0700001535</t>
  </si>
  <si>
    <t>HSM-NT48-JH470 CFP</t>
  </si>
  <si>
    <t>POPV260821028</t>
  </si>
  <si>
    <t>26Jul007.01</t>
  </si>
  <si>
    <t>POPV260821022</t>
  </si>
  <si>
    <t>MOSCOW MAERSK 632W</t>
  </si>
  <si>
    <t>TPVB20260832002</t>
  </si>
  <si>
    <t>26Jul011.11</t>
  </si>
  <si>
    <t>POPV260807030</t>
  </si>
  <si>
    <t>COSCO SHIPPING LIBRA 036W</t>
  </si>
  <si>
    <t>TPVB20260832008</t>
  </si>
  <si>
    <t>COSU9508771470</t>
  </si>
  <si>
    <t>26Jul011.04.01</t>
  </si>
  <si>
    <t>POPV260807032</t>
  </si>
  <si>
    <t>TPVB20260832009</t>
  </si>
  <si>
    <t>COSU9508769100</t>
  </si>
  <si>
    <t>26Jul011.04</t>
  </si>
  <si>
    <t>POPV260807037</t>
  </si>
  <si>
    <t>TPVB20260832010</t>
  </si>
  <si>
    <t>COSU9508771330</t>
  </si>
  <si>
    <t>26Jul011.09.01</t>
  </si>
  <si>
    <t>POPV260807040</t>
  </si>
  <si>
    <t>TPVB20260832011</t>
  </si>
  <si>
    <t>COSU9508803730</t>
  </si>
  <si>
    <t>26Jul011.09</t>
  </si>
  <si>
    <t>POPV260807041</t>
  </si>
  <si>
    <t>TPVB20260832012</t>
  </si>
  <si>
    <t>COSU9508876530</t>
  </si>
  <si>
    <t>26May007.02</t>
  </si>
  <si>
    <t>POPV260807035</t>
  </si>
  <si>
    <t>TPVB20260832013</t>
  </si>
  <si>
    <t>COSU6461689400</t>
  </si>
  <si>
    <t>26Jul008.01.01</t>
  </si>
  <si>
    <t>W32</t>
  </si>
  <si>
    <t>POPV260807026</t>
  </si>
  <si>
    <t>TPVB20260832003</t>
  </si>
  <si>
    <t>COSU9508762190</t>
  </si>
  <si>
    <t>26Jul007.04</t>
  </si>
  <si>
    <t>POPV260807023</t>
  </si>
  <si>
    <t>EVER ARM 1412W</t>
  </si>
  <si>
    <t>TPVB20260832004</t>
  </si>
  <si>
    <t>COSU9508766060</t>
  </si>
  <si>
    <t>26Jun012.10.01</t>
  </si>
  <si>
    <t>POPV260814042</t>
  </si>
  <si>
    <t>EVER ALOT 1413W</t>
  </si>
  <si>
    <t>TPVB20260832005</t>
  </si>
  <si>
    <t>COSU9508766070</t>
  </si>
  <si>
    <t>26Jun012.11.01</t>
  </si>
  <si>
    <t>POPV260814041</t>
  </si>
  <si>
    <t>26Jul017.01.01</t>
  </si>
  <si>
    <t>POPV260814053</t>
  </si>
  <si>
    <t>Ningbo</t>
  </si>
  <si>
    <t>26Jul008.04.02</t>
  </si>
  <si>
    <t>POPV260814039</t>
  </si>
  <si>
    <t>CMA CGM OSIRIS 0MEOHW</t>
  </si>
  <si>
    <t>COSU9508804610</t>
  </si>
  <si>
    <t>26Jun015.07.01</t>
  </si>
  <si>
    <t>Cargo damage</t>
  </si>
  <si>
    <t>TPVB20260833024-1</t>
  </si>
  <si>
    <t>COSU6463190631</t>
  </si>
  <si>
    <t>COSU6463190630</t>
  </si>
  <si>
    <t>26Jun015.07.02</t>
  </si>
  <si>
    <t>POPV260819018</t>
  </si>
  <si>
    <t>TPVB20260833029</t>
  </si>
  <si>
    <t>26May013.06</t>
  </si>
  <si>
    <t>POPV260821045</t>
  </si>
  <si>
    <t>TPVB20260833014</t>
  </si>
  <si>
    <t>COSU6461909030</t>
  </si>
  <si>
    <t>26Jul002.08</t>
  </si>
  <si>
    <t>POPV260821041</t>
  </si>
  <si>
    <t>EVER GOVERN 1414-029W</t>
  </si>
  <si>
    <t>TPVB20260833015</t>
  </si>
  <si>
    <t>COSU6461896790</t>
  </si>
  <si>
    <t>26Jul002.11</t>
  </si>
  <si>
    <t>POPV260814013</t>
  </si>
  <si>
    <t>COSCO SHIPPING GALAXY 
030W</t>
  </si>
  <si>
    <t>TPVB20260833016</t>
  </si>
  <si>
    <t>COSU6461897910</t>
  </si>
  <si>
    <t>26Jul004.05</t>
  </si>
  <si>
    <t>八月1日</t>
  </si>
  <si>
    <t>POPV260814050</t>
  </si>
  <si>
    <t>26Jul002.14.01</t>
  </si>
  <si>
    <t>POPV260814015</t>
  </si>
  <si>
    <t>26May014.08</t>
  </si>
  <si>
    <t>POPV260814044</t>
  </si>
  <si>
    <t>TPVB20260833017</t>
  </si>
  <si>
    <t>COSU6461909570</t>
  </si>
  <si>
    <t>26May014.06.01</t>
  </si>
  <si>
    <t>POPV260814045</t>
  </si>
  <si>
    <t>26May011.10.02</t>
  </si>
  <si>
    <t>POPV260814049</t>
  </si>
  <si>
    <t>26May014.05.01</t>
  </si>
  <si>
    <t>POPV260825017</t>
  </si>
  <si>
    <t xml:space="preserve">EVER EON 0826-003W </t>
  </si>
  <si>
    <t>TPVB20260834010</t>
  </si>
  <si>
    <t>EGLV149606936262</t>
  </si>
  <si>
    <t>26May014.05.02</t>
  </si>
  <si>
    <t>POPV260825016</t>
  </si>
  <si>
    <t>EGLV149607114339</t>
  </si>
  <si>
    <t>26May011.10.01</t>
  </si>
  <si>
    <t>POPV260825020</t>
  </si>
  <si>
    <t>EVER ATOP 1415-014W</t>
  </si>
  <si>
    <t>26May014.06</t>
  </si>
  <si>
    <t>POPV260824017</t>
  </si>
  <si>
    <t>TPVB20260833018</t>
  </si>
  <si>
    <t>COSU6462349090</t>
  </si>
  <si>
    <t>26May014.05</t>
  </si>
  <si>
    <t>POPV260824018</t>
  </si>
  <si>
    <t>26May013.05</t>
  </si>
  <si>
    <t>POPV260814046</t>
  </si>
  <si>
    <t>TPVB20260833019</t>
  </si>
  <si>
    <t>COSU6462350050</t>
  </si>
  <si>
    <t>26May012.07</t>
  </si>
  <si>
    <t>POPV260901007</t>
  </si>
  <si>
    <t>TPVB20260833019-1</t>
  </si>
  <si>
    <t>COSU6462350050-&gt;COSU6462350051</t>
  </si>
  <si>
    <t>26Jul003.02.02</t>
  </si>
  <si>
    <t>POPV260814018</t>
  </si>
  <si>
    <t>CMA CGM VASCO DE GAMA 0MEOJW1MA</t>
  </si>
  <si>
    <t>TPVB20260833020</t>
  </si>
  <si>
    <t>COSU6461814320</t>
  </si>
  <si>
    <t>26Jul003.01</t>
  </si>
  <si>
    <t>POPV260814020</t>
  </si>
  <si>
    <t>26Jul004.02</t>
  </si>
  <si>
    <t>POPV260821020</t>
  </si>
  <si>
    <t>OOCL HONG KONG 040W</t>
  </si>
  <si>
    <t>TPVB20260833021</t>
  </si>
  <si>
    <t>COSU6461816750</t>
  </si>
  <si>
    <t>26Jul001.02</t>
  </si>
  <si>
    <t>POPV260821038</t>
  </si>
  <si>
    <t>26Jun011.11</t>
  </si>
  <si>
    <t>POPV260825013</t>
  </si>
  <si>
    <t>ANGELICA MAERSK 632W</t>
  </si>
  <si>
    <t>TPVB20260833002</t>
  </si>
  <si>
    <t>26Jul007.02</t>
  </si>
  <si>
    <t>POPV260825014</t>
  </si>
  <si>
    <t>26Jul016.01</t>
  </si>
  <si>
    <t>POPV260825025</t>
  </si>
  <si>
    <t>TPVB20260833003</t>
  </si>
  <si>
    <t>26Jul004.06.01</t>
  </si>
  <si>
    <t>POPV260828030</t>
  </si>
  <si>
    <t>MERETE MAERSK 633W</t>
  </si>
  <si>
    <t>TPVB20260833001</t>
  </si>
  <si>
    <t>26Jul001.02.01</t>
  </si>
  <si>
    <t>POPV260828025</t>
  </si>
  <si>
    <t>26Jul013.06</t>
  </si>
  <si>
    <t>POPV260821027</t>
  </si>
  <si>
    <t>TPVB20260833022</t>
  </si>
  <si>
    <t>COSU6461817600</t>
  </si>
  <si>
    <t>26Jul013.06.01</t>
  </si>
  <si>
    <t>POPV260821025</t>
  </si>
  <si>
    <t>26Jul014.03</t>
  </si>
  <si>
    <t>POPV260821026</t>
  </si>
  <si>
    <t>26Jul002.12</t>
  </si>
  <si>
    <t>POPV260821036</t>
  </si>
  <si>
    <t>26Jul002.07</t>
  </si>
  <si>
    <t>POPV260814014</t>
  </si>
  <si>
    <t>CSCL MERCURY 100W</t>
  </si>
  <si>
    <t>TPVB20260833023</t>
  </si>
  <si>
    <t>COSU6461905820</t>
  </si>
  <si>
    <t>26Jul002.10</t>
  </si>
  <si>
    <t>POPV260814016</t>
  </si>
  <si>
    <t>26Jul005.04</t>
  </si>
  <si>
    <t>八月4日</t>
  </si>
  <si>
    <t>POPV260814034</t>
  </si>
  <si>
    <t>Shanghai/Bengbu</t>
  </si>
  <si>
    <t>ONE INNOVATION 011W</t>
  </si>
  <si>
    <t>TPVB20260833008</t>
  </si>
  <si>
    <t>ONEYSH6ACAA72300</t>
  </si>
  <si>
    <t>26Jul005.01</t>
  </si>
  <si>
    <t>七月30日</t>
  </si>
  <si>
    <t>POPV260814033</t>
  </si>
  <si>
    <t>26Jul005.01.01</t>
  </si>
  <si>
    <t>POPV260814032</t>
  </si>
  <si>
    <t>26Jul005.02</t>
  </si>
  <si>
    <t>POPV260814031</t>
  </si>
  <si>
    <t>TPVB20260833009</t>
  </si>
  <si>
    <t>ONEYSH6ACAA71900</t>
  </si>
  <si>
    <t>26Jul005.02.01</t>
  </si>
  <si>
    <t>POPV260814030</t>
  </si>
  <si>
    <t>26Jul005.03</t>
  </si>
  <si>
    <t>八月3日</t>
  </si>
  <si>
    <t>POPV260814029</t>
  </si>
  <si>
    <t>26Jun011.12.06</t>
  </si>
  <si>
    <t>POPV260814022</t>
  </si>
  <si>
    <t>EVER GOLDEN 033W</t>
  </si>
  <si>
    <t>TPVB20260833007</t>
  </si>
  <si>
    <t>COSU9508902260</t>
  </si>
  <si>
    <t>26Jul002.07.01</t>
  </si>
  <si>
    <t>POPV260821035</t>
  </si>
  <si>
    <t>TPVB20260833005</t>
  </si>
  <si>
    <t>COSU9508904380</t>
  </si>
  <si>
    <t>26Jul017.02</t>
  </si>
  <si>
    <t>POPV260814054</t>
  </si>
  <si>
    <t>COSCO SHIPPING GALAXY 030W转 COSCO SHIPPING LIBRA 036W</t>
  </si>
  <si>
    <t>TPVB20260833006</t>
  </si>
  <si>
    <t>COSU9508762590</t>
  </si>
  <si>
    <t>26Jun006.02</t>
  </si>
  <si>
    <t>POPV260814025</t>
  </si>
  <si>
    <t>ZHONG GU JI NAN ( 0BYPQS1MA)</t>
  </si>
  <si>
    <t>TPVB20260833013</t>
  </si>
  <si>
    <t>TJN0504226</t>
  </si>
  <si>
    <t>26May007.07</t>
  </si>
  <si>
    <t>POPV260814040</t>
  </si>
  <si>
    <t>MSC GULSUN VQS633A</t>
  </si>
  <si>
    <t>TPVB20260833010</t>
  </si>
  <si>
    <t>177KVBTTXVNN3314</t>
  </si>
  <si>
    <t>26May007.07.02</t>
  </si>
  <si>
    <t>POPV260814038</t>
  </si>
  <si>
    <t>MSC GENOVA GT632W</t>
  </si>
  <si>
    <t>TPVB20260833011</t>
  </si>
  <si>
    <t>TSNE38532300</t>
  </si>
  <si>
    <t>26May007.13</t>
  </si>
  <si>
    <t>POPV260814037</t>
  </si>
  <si>
    <t>26Jun009.02</t>
  </si>
  <si>
    <t>POPV260814036</t>
  </si>
  <si>
    <t>26Jun021.09</t>
  </si>
  <si>
    <t>GF0700002080</t>
  </si>
  <si>
    <t>POPV260814019</t>
  </si>
  <si>
    <t>26Jun010.01</t>
  </si>
  <si>
    <t>POPV260814027</t>
  </si>
  <si>
    <t>ONE EAGLE 039E</t>
  </si>
  <si>
    <t>TPVB20260833012</t>
  </si>
  <si>
    <t>SYNSHA26SE081942</t>
  </si>
  <si>
    <t>TS6NDD803500</t>
  </si>
  <si>
    <t>26Jun009.03</t>
  </si>
  <si>
    <t>POPV260814035</t>
  </si>
  <si>
    <t>26Jun032</t>
  </si>
  <si>
    <t>POPV260824010</t>
  </si>
  <si>
    <t>26Jun006.01</t>
  </si>
  <si>
    <t>POPV260814024</t>
  </si>
  <si>
    <t>26Jul011.12</t>
  </si>
  <si>
    <t>POPV260821030</t>
  </si>
  <si>
    <t>COSCO SHIPPING SOLAR 037W</t>
  </si>
  <si>
    <t>TPVB20260833028</t>
  </si>
  <si>
    <t>COSU9508944650</t>
  </si>
  <si>
    <t>26Jun006.01.01</t>
  </si>
  <si>
    <t>POPV260821056</t>
  </si>
  <si>
    <t>26Jun021.07.01</t>
  </si>
  <si>
    <t>POPV260821048</t>
  </si>
  <si>
    <t>TPVB20260833025</t>
  </si>
  <si>
    <t>COSU9508943650</t>
  </si>
  <si>
    <t>26Jul012.03.01</t>
  </si>
  <si>
    <t>POPV260821029</t>
  </si>
  <si>
    <t>26Jul012.03</t>
  </si>
  <si>
    <t>POPV260821023</t>
  </si>
  <si>
    <t>TPVB20260833026</t>
  </si>
  <si>
    <t>COSU9508943400</t>
  </si>
  <si>
    <t>26Jun021.07.02</t>
  </si>
  <si>
    <t>POPV260821043</t>
  </si>
  <si>
    <t>TPVB20260833027</t>
  </si>
  <si>
    <t>COSU9508944110</t>
  </si>
  <si>
    <t>26Aug004.01</t>
  </si>
  <si>
    <t>八月14日</t>
  </si>
  <si>
    <t>POPV260821069</t>
  </si>
  <si>
    <t>TPVB20260833024</t>
  </si>
  <si>
    <t>COSU6462455040</t>
  </si>
  <si>
    <t>26Aug007.01</t>
  </si>
  <si>
    <t>Failte solar</t>
  </si>
  <si>
    <t>IE0126051800020</t>
  </si>
  <si>
    <t>Aug</t>
  </si>
  <si>
    <t>POPV260825027</t>
  </si>
  <si>
    <t>COSCO SHIPPING SOLAR 
037W</t>
  </si>
  <si>
    <t>TPVB20260834022</t>
  </si>
  <si>
    <t>COSU6463115620</t>
  </si>
  <si>
    <t>26Aug008.03</t>
    <phoneticPr fontId="0" type="noConversion"/>
  </si>
  <si>
    <t>Local WH/Edmundson Electrical Redruth 064</t>
    <phoneticPr fontId="0" type="noConversion"/>
  </si>
  <si>
    <t>GF0700002073</t>
  </si>
  <si>
    <t>HSM-BE54-DD490</t>
  </si>
  <si>
    <t>POPV260821065</t>
  </si>
  <si>
    <t>OOCL ABU DHABI 009W</t>
  </si>
  <si>
    <t>TPVB20260834037</t>
  </si>
  <si>
    <t>COSU6463847410</t>
  </si>
  <si>
    <t>26Jul018.01</t>
  </si>
  <si>
    <t>SPUK/UK Greentech Dundee 667</t>
  </si>
  <si>
    <t>POPV260821064</t>
  </si>
  <si>
    <t>26Jul017.01.03</t>
  </si>
  <si>
    <t>SPUK/PowerXpress Ltd</t>
  </si>
  <si>
    <t>POPV260821054</t>
  </si>
  <si>
    <t>26Jul017.03</t>
  </si>
  <si>
    <t>POPV260821055</t>
  </si>
  <si>
    <t>26Aug007.02.01</t>
  </si>
  <si>
    <t>IE0126051800021</t>
  </si>
  <si>
    <t>POPV260821059</t>
  </si>
  <si>
    <t>TPVB20260834024</t>
  </si>
  <si>
    <t>COSU6463255210</t>
  </si>
  <si>
    <t>26Jun015.07</t>
  </si>
  <si>
    <t>POPV260821052</t>
  </si>
  <si>
    <t>COSCO SHIPPING HIMALAYAS 
048W</t>
  </si>
  <si>
    <t>TPVB20260834025</t>
  </si>
  <si>
    <t>COSU6462717070</t>
  </si>
  <si>
    <t>26Aug010.02.01</t>
  </si>
  <si>
    <t>u2</t>
  </si>
  <si>
    <t>GF0700002118</t>
  </si>
  <si>
    <t>w35 PICK-UP</t>
    <phoneticPr fontId="6" type="noConversion"/>
  </si>
  <si>
    <t>POPV260821017</t>
  </si>
  <si>
    <t>TPVB20260834026</t>
  </si>
  <si>
    <t>COSU6462717071</t>
  </si>
  <si>
    <t>26May011.10.03</t>
  </si>
  <si>
    <t>POPV260825019</t>
  </si>
  <si>
    <t>TPVB20260834027</t>
  </si>
  <si>
    <t>PLISH7H42464</t>
  </si>
  <si>
    <t>CHN3862363</t>
  </si>
  <si>
    <t>26Jul002.14</t>
  </si>
  <si>
    <t>POPV260825012</t>
  </si>
  <si>
    <t>CHN3907969</t>
  </si>
  <si>
    <t>26Jul017.04</t>
  </si>
  <si>
    <t>POPV260821050</t>
  </si>
  <si>
    <t>CMA CGM ANTOINE DE SAINT
EXUPERY / 0FMMSW1MA</t>
  </si>
  <si>
    <t>TPVB20260834008</t>
  </si>
  <si>
    <t>CHN3801647</t>
  </si>
  <si>
    <t>26Aug007.04.01</t>
  </si>
  <si>
    <t>POPV260821058</t>
  </si>
  <si>
    <t>26Aug007.03</t>
  </si>
  <si>
    <t>POPV260821062</t>
  </si>
  <si>
    <t>CHN3801659</t>
  </si>
  <si>
    <t>26Aug007.04</t>
  </si>
  <si>
    <t>POPV260821063</t>
  </si>
  <si>
    <t>26Aug010.01</t>
  </si>
  <si>
    <t>w34 PICK-UP</t>
    <phoneticPr fontId="6" type="noConversion"/>
  </si>
  <si>
    <t>POPV260821032</t>
  </si>
  <si>
    <t>TPVB20260834007</t>
  </si>
  <si>
    <t>CHN3801256</t>
  </si>
  <si>
    <t>26Aug010.05</t>
  </si>
  <si>
    <t>DE0126080400009</t>
    <phoneticPr fontId="2" type="noConversion"/>
  </si>
  <si>
    <t>POPV260821021</t>
  </si>
  <si>
    <t>CHN3801266</t>
  </si>
  <si>
    <t>26Jul003.02</t>
  </si>
  <si>
    <t>POPV260825015</t>
  </si>
  <si>
    <t>EVER GIFTED 0767-030W</t>
  </si>
  <si>
    <t>TPVB20260834028</t>
  </si>
  <si>
    <t>COSU6463259170</t>
  </si>
  <si>
    <t>26Aug007.08.01</t>
  </si>
  <si>
    <t>YES</t>
    <phoneticPr fontId="0" type="noConversion"/>
  </si>
  <si>
    <t>POPV260830019</t>
  </si>
  <si>
    <t>EVER GOVERN 1414W</t>
  </si>
  <si>
    <t>TPVB20260834005</t>
  </si>
  <si>
    <t>COSU9508974980</t>
  </si>
  <si>
    <t>26Jul019.01</t>
  </si>
  <si>
    <t>GF0700002159</t>
  </si>
  <si>
    <t>HSM-NT48-JH480 CFP</t>
  </si>
  <si>
    <t>POPV260828031</t>
  </si>
  <si>
    <t>TPVB20260834012</t>
  </si>
  <si>
    <t>26Jul016.06</t>
  </si>
  <si>
    <t>POPV260828026</t>
  </si>
  <si>
    <t>26Jul014.04</t>
  </si>
  <si>
    <t>POPV260825023</t>
  </si>
  <si>
    <t>TPVB20260834029</t>
  </si>
  <si>
    <t>COSU6463257360</t>
  </si>
  <si>
    <t>26Jul013.07</t>
  </si>
  <si>
    <t>POPV260825022</t>
  </si>
  <si>
    <t>26Jul002.13</t>
  </si>
  <si>
    <t>POPV260825011</t>
  </si>
  <si>
    <t>26Aug002.02</t>
  </si>
  <si>
    <t>POPV260821034</t>
  </si>
  <si>
    <t>COSCO SHIPPING SAKURA 
036W</t>
  </si>
  <si>
    <t>TPVB20260834030</t>
  </si>
  <si>
    <t>COSU6462720700</t>
  </si>
  <si>
    <t>26Jul004.03</t>
  </si>
  <si>
    <t>POPV260911046</t>
  </si>
  <si>
    <t>MAERSK EL PALOMAR 633W</t>
  </si>
  <si>
    <t>TPVB20260834011</t>
  </si>
  <si>
    <t>26Jul016.07</t>
  </si>
  <si>
    <t>POPV260911050</t>
  </si>
  <si>
    <t>26Jul016.10</t>
  </si>
  <si>
    <t>七月31日</t>
  </si>
  <si>
    <t>POPV260911053</t>
  </si>
  <si>
    <t>TPVB20260834031</t>
  </si>
  <si>
    <t>26Aug001.01</t>
  </si>
  <si>
    <t>POPV260911061</t>
  </si>
  <si>
    <t>26Jul019.02</t>
  </si>
  <si>
    <t>POPV260911054</t>
  </si>
  <si>
    <t>26Aug002.01</t>
  </si>
  <si>
    <t>n/a</t>
    <phoneticPr fontId="0" type="noConversion"/>
  </si>
  <si>
    <t>POPV260904017</t>
  </si>
  <si>
    <t>COSCO SHIPPING SAKURA 036W</t>
  </si>
  <si>
    <t>TPVB20260834036</t>
  </si>
  <si>
    <t>COSU9509275040</t>
  </si>
  <si>
    <t>26Aug008.01</t>
  </si>
  <si>
    <t>Edmundson Electrical</t>
  </si>
  <si>
    <t>Edmundson Electrical Peterborough 240</t>
    <phoneticPr fontId="0" type="noConversion"/>
  </si>
  <si>
    <t>GB0126071600014</t>
  </si>
  <si>
    <t>POPV260902032</t>
  </si>
  <si>
    <t>EVER ATOP 1415W</t>
  </si>
  <si>
    <t>TPVB20260834039</t>
  </si>
  <si>
    <t>COSU9509346010</t>
  </si>
  <si>
    <t>26Aug008.02.01</t>
  </si>
  <si>
    <t>SPUK/Greentech Glasgow 669</t>
  </si>
  <si>
    <t>POPV260902033</t>
  </si>
  <si>
    <t>TPVB20260834032</t>
  </si>
  <si>
    <t>COSU9509265660</t>
  </si>
  <si>
    <t>26Aug002.01.01</t>
  </si>
  <si>
    <t>POPV260821033</t>
  </si>
  <si>
    <t>TPVB20260834009</t>
  </si>
  <si>
    <t>COSU9509015500</t>
  </si>
  <si>
    <t>26Jul008.04</t>
  </si>
  <si>
    <t>Ecostal Yomatec--&gt;SPTN</t>
  </si>
  <si>
    <t>FR0126072800016</t>
  </si>
  <si>
    <t>POPV261012034</t>
  </si>
  <si>
    <t>TPVB20260834002</t>
  </si>
  <si>
    <t>COSU9508973640</t>
  </si>
  <si>
    <t>26Jul008.04.03</t>
  </si>
  <si>
    <t>POPV260814043</t>
  </si>
  <si>
    <t>CMA CGM VASCO DE GAMA 0MEOJW</t>
  </si>
  <si>
    <t>TPVB20260834001</t>
  </si>
  <si>
    <t>COSU9508973860</t>
  </si>
  <si>
    <t>26Jun011.12</t>
  </si>
  <si>
    <t>POPV260911040</t>
  </si>
  <si>
    <t>EVER GIFTED 030W</t>
  </si>
  <si>
    <t>TPVB20260834035</t>
  </si>
  <si>
    <t>COSU9509256390</t>
  </si>
  <si>
    <t>26Aug007.02.02.01</t>
  </si>
  <si>
    <t>POPV260825031</t>
  </si>
  <si>
    <t xml:space="preserve">COSCO SHIPPING AQUARIUS </t>
  </si>
  <si>
    <t>TPVB20260834033</t>
  </si>
  <si>
    <t>COSU9509256030</t>
  </si>
  <si>
    <t>26Aug007.08</t>
  </si>
  <si>
    <t>POPV260825028</t>
  </si>
  <si>
    <t>TPVB20260834006</t>
  </si>
  <si>
    <t>COSU9508982210</t>
  </si>
  <si>
    <t>26Aug007.05</t>
  </si>
  <si>
    <t>POPV260825030</t>
  </si>
  <si>
    <t>COSCO SHIPPING AQUARIUS 050W</t>
  </si>
  <si>
    <t>TPVB20260834003</t>
  </si>
  <si>
    <t>COSU9508974810</t>
  </si>
  <si>
    <t>26Aug007.05.01</t>
  </si>
  <si>
    <t>POPV260825029</t>
  </si>
  <si>
    <t>TPVB20260834004</t>
  </si>
  <si>
    <t>COSU9508974740</t>
  </si>
  <si>
    <t>26Aug007.06</t>
  </si>
  <si>
    <t>POPV260902019</t>
  </si>
  <si>
    <t>TPVB20260834034</t>
  </si>
  <si>
    <t>COSU9509255460</t>
  </si>
  <si>
    <t>26Jun005.01.02</t>
  </si>
  <si>
    <t>POPV260821046</t>
  </si>
  <si>
    <t>COSCO SHIPPING UNIVERSE 036W</t>
  </si>
  <si>
    <t>TPVB20260834019</t>
  </si>
  <si>
    <t>COSU9509127610</t>
  </si>
  <si>
    <t>26Jun021.09.01.01</t>
  </si>
  <si>
    <t>POPV260821051</t>
  </si>
  <si>
    <t>26Aug003.01</t>
  </si>
  <si>
    <t>POPV260821031</t>
  </si>
  <si>
    <t>26Jun005.01</t>
  </si>
  <si>
    <t>POPV260821061</t>
  </si>
  <si>
    <t>BIG GEORGE  26034E</t>
  </si>
  <si>
    <t>TPVB20260834015</t>
  </si>
  <si>
    <t>TS6NDD969400</t>
  </si>
  <si>
    <t>26Aug004.02</t>
  </si>
  <si>
    <t>八月13日</t>
  </si>
  <si>
    <t>POPV260821066</t>
  </si>
  <si>
    <t>26Aug004.03</t>
  </si>
  <si>
    <t>八月15日</t>
  </si>
  <si>
    <t>POPV260821068</t>
  </si>
  <si>
    <t>26Jun005.01.01</t>
  </si>
  <si>
    <t>POPV260814026</t>
  </si>
  <si>
    <t>ONE ORPHEUS 078E</t>
  </si>
  <si>
    <t>TPVB20260834014</t>
  </si>
  <si>
    <t xml:space="preserve"> TSNE54420600</t>
  </si>
  <si>
    <t>26Jun006</t>
  </si>
  <si>
    <t>POPV260814023</t>
  </si>
  <si>
    <t>26Jun005.02</t>
  </si>
  <si>
    <t>POPV260821057</t>
  </si>
  <si>
    <t>TPVB20260834017</t>
  </si>
  <si>
    <t>COSU9509124230</t>
  </si>
  <si>
    <t>26Jun021.07.03</t>
  </si>
  <si>
    <t>POPV260821049</t>
  </si>
  <si>
    <t>26Aug004.05</t>
  </si>
  <si>
    <t>八月11日</t>
  </si>
  <si>
    <t>POPV260821018</t>
  </si>
  <si>
    <t>TPVB20260834018</t>
  </si>
  <si>
    <t>COSU9509124140</t>
  </si>
  <si>
    <t>26Aug004.04</t>
  </si>
  <si>
    <t>U4</t>
    <phoneticPr fontId="6" type="noConversion"/>
  </si>
  <si>
    <t>八月16日</t>
  </si>
  <si>
    <t>POPV260825026</t>
  </si>
  <si>
    <t>MSC DILETTA QS635A</t>
  </si>
  <si>
    <t>TPVB20260834038</t>
  </si>
  <si>
    <t>177KVBTTXVNN3512</t>
  </si>
  <si>
    <t>26Jun021.01.01</t>
  </si>
  <si>
    <t>优先500半片</t>
    <phoneticPr fontId="0" type="noConversion"/>
  </si>
  <si>
    <t>POPV260821042</t>
  </si>
  <si>
    <t>CMA CGM PERTH / 0BYPOS1MA / 0BYPOS</t>
  </si>
  <si>
    <t>TPVB20260834020</t>
  </si>
  <si>
    <t>TJN0672301</t>
  </si>
  <si>
    <t>26May008.02</t>
  </si>
  <si>
    <t>POPV260814028</t>
  </si>
  <si>
    <t>MSC AMELIA QS634A</t>
  </si>
  <si>
    <t>TPVB20260834013</t>
  </si>
  <si>
    <t>177KVBTTXVNN3407</t>
  </si>
  <si>
    <t>26Aug004.01.01</t>
  </si>
  <si>
    <t>POPV260821070</t>
  </si>
  <si>
    <t>TPVB20260834016</t>
  </si>
  <si>
    <t>COSU6462929130</t>
  </si>
  <si>
    <t>26Jul019.03</t>
  </si>
  <si>
    <t>VOLTANEO </t>
  </si>
  <si>
    <t>FR0126080400008</t>
  </si>
  <si>
    <t>POPV260828032</t>
  </si>
  <si>
    <t>OOCL SPAIN 013W</t>
  </si>
  <si>
    <t>TPVB20260835016</t>
  </si>
  <si>
    <t>COSU6464353550</t>
  </si>
  <si>
    <t>26Jul017.01.02</t>
  </si>
  <si>
    <t>POPV260902020</t>
  </si>
  <si>
    <t>TPVB20260835014</t>
  </si>
  <si>
    <t>COSU6463656670</t>
  </si>
  <si>
    <t>26Aug002.05</t>
  </si>
  <si>
    <t>POPV260902017</t>
  </si>
  <si>
    <t>EVER GREET 1416-027W</t>
  </si>
  <si>
    <t>TPVB20260835018</t>
  </si>
  <si>
    <t>COSU6463840480</t>
  </si>
  <si>
    <t>26Aug010.01.01</t>
  </si>
  <si>
    <t>POPV260828033</t>
  </si>
  <si>
    <t>TPVB20260835022</t>
  </si>
  <si>
    <t>COSU6463840481</t>
  </si>
  <si>
    <t>26Aug010.02.02</t>
  </si>
  <si>
    <t>POPV260828034</t>
  </si>
  <si>
    <t>TPVB20260835017</t>
  </si>
  <si>
    <t>COSU6463656150</t>
  </si>
  <si>
    <t>26Aug025.01</t>
  </si>
  <si>
    <t>GF0700002175</t>
  </si>
  <si>
    <t>POPV260830018</t>
  </si>
  <si>
    <t>TPVB20260835001</t>
  </si>
  <si>
    <t>EGLV149607263083</t>
  </si>
  <si>
    <t>26Aug010.07</t>
  </si>
  <si>
    <t>POPV260828035</t>
  </si>
  <si>
    <t>CMA CGM NOTRE DAME / 0FMNAW1MA</t>
  </si>
  <si>
    <t>TPVB20260835003</t>
  </si>
  <si>
    <t>CHN3830817</t>
  </si>
  <si>
    <t>26Aug010.01.02</t>
  </si>
  <si>
    <t>POPV260828036</t>
  </si>
  <si>
    <t>CHN3830829</t>
  </si>
  <si>
    <t>26Aug010.02.03</t>
  </si>
  <si>
    <t>POPV260828037</t>
  </si>
  <si>
    <t>TPVB20260835010</t>
  </si>
  <si>
    <t>CHN3830802</t>
  </si>
  <si>
    <t>26Aug025.06</t>
  </si>
  <si>
    <t>POPV260828038</t>
  </si>
  <si>
    <t>TPVB20260835002</t>
  </si>
  <si>
    <t>CHN3830701A</t>
  </si>
  <si>
    <t>CHN3830701</t>
  </si>
  <si>
    <t>26Aug009.05</t>
  </si>
  <si>
    <t>GF0700002117</t>
  </si>
  <si>
    <t>2柜各塞3000pcs连接器，共3000</t>
  </si>
  <si>
    <t>POPV260828039</t>
  </si>
  <si>
    <t>26Jul010.01</t>
  </si>
  <si>
    <t>POPV260828027</t>
  </si>
  <si>
    <t>TPVB20260835030</t>
  </si>
  <si>
    <t>CHN3830701B</t>
  </si>
  <si>
    <t>26Aug009.01</t>
  </si>
  <si>
    <t>POPV260904009</t>
  </si>
  <si>
    <t>TPVB20260835025</t>
  </si>
  <si>
    <t>EGLV149606777784</t>
  </si>
  <si>
    <t>26Aug025.07</t>
  </si>
  <si>
    <t>POPV260904015</t>
  </si>
  <si>
    <t>26Jul010.02</t>
  </si>
  <si>
    <t>POPV260904012</t>
  </si>
  <si>
    <t>TPVB20260835026</t>
  </si>
  <si>
    <t>EGLV149608002216</t>
  </si>
  <si>
    <t>26Jun015.07.03</t>
  </si>
  <si>
    <t>w35 PICK-UP</t>
    <phoneticPr fontId="0" type="noConversion"/>
  </si>
  <si>
    <t>replacemnet</t>
  </si>
  <si>
    <t>POPV260904014</t>
  </si>
  <si>
    <t>TPVB20260835027</t>
  </si>
  <si>
    <t>EGLV149608002437</t>
  </si>
  <si>
    <t>26Aug010.10</t>
  </si>
  <si>
    <t>FAST FORWARD THINKING</t>
  </si>
  <si>
    <t>GR0126081900006</t>
  </si>
  <si>
    <t>POPV260902027</t>
  </si>
  <si>
    <t>Thessaloniki</t>
  </si>
  <si>
    <t>OOCL INDONESIA 037W</t>
  </si>
  <si>
    <t>TPVB20260835028</t>
  </si>
  <si>
    <t>COSU6464798030</t>
  </si>
  <si>
    <t>26Aug002.03</t>
  </si>
  <si>
    <t>POPV260902016</t>
  </si>
  <si>
    <t>TPVB20260835019</t>
  </si>
  <si>
    <t>COSU6464354100</t>
  </si>
  <si>
    <t>26Jul016.09</t>
  </si>
  <si>
    <t>POPV260902021</t>
  </si>
  <si>
    <t>CMA CGM ALEXANDER VON HUMBOLDT 0MEONW1MA</t>
  </si>
  <si>
    <t>TPVB20260835020</t>
  </si>
  <si>
    <t>COSU6463662040</t>
  </si>
  <si>
    <t>26Aug001.02</t>
  </si>
  <si>
    <t>POPV260911060</t>
  </si>
  <si>
    <t>MARY MAERSK 635W</t>
  </si>
  <si>
    <t>TPVB20260835004</t>
  </si>
  <si>
    <t>26Jul016.05</t>
  </si>
  <si>
    <t>POPV260911049</t>
  </si>
  <si>
    <t>26Aug019.03</t>
  </si>
  <si>
    <t>POPV260911057</t>
  </si>
  <si>
    <t>26Jul004.03.01</t>
  </si>
  <si>
    <t>POPV260902028</t>
  </si>
  <si>
    <t>TPVB20260835029</t>
  </si>
  <si>
    <t>COSU6464243200</t>
  </si>
  <si>
    <t>26Aug019.02</t>
  </si>
  <si>
    <t>n/a</t>
    <phoneticPr fontId="6" type="noConversion"/>
  </si>
  <si>
    <t>POPV260902036</t>
  </si>
  <si>
    <t>26Jul014.05</t>
  </si>
  <si>
    <t>POPV260902022</t>
  </si>
  <si>
    <t>CMA CGM ALEXANDER VON 
HUMBOLDT 0MEONW1MA</t>
  </si>
  <si>
    <t>TPVB20260835021</t>
  </si>
  <si>
    <t>COSU6463660760</t>
  </si>
  <si>
    <t>26Jul017.01</t>
  </si>
  <si>
    <t>POPV260904011</t>
  </si>
  <si>
    <t>TPVB20260835005</t>
  </si>
  <si>
    <t>COSU9509312590</t>
  </si>
  <si>
    <t>26Aug007.02.02</t>
  </si>
  <si>
    <t>POPV260904007</t>
  </si>
  <si>
    <t>TPVB20260835007</t>
  </si>
  <si>
    <t>COSU9509256240</t>
  </si>
  <si>
    <t>26Aug007.07</t>
  </si>
  <si>
    <t>POPV260904008</t>
  </si>
  <si>
    <t>TPVB20260835009</t>
  </si>
  <si>
    <t>COSU9509255750</t>
  </si>
  <si>
    <t>26Aug007.02.02.02</t>
  </si>
  <si>
    <t>POPV260902018</t>
  </si>
  <si>
    <t>ONE FOREVER/010W</t>
  </si>
  <si>
    <t>other</t>
  </si>
  <si>
    <t>TPVB20260835006</t>
  </si>
  <si>
    <t>N232636432</t>
  </si>
  <si>
    <t>26Aug008.02</t>
  </si>
  <si>
    <t>POPV260902034</t>
  </si>
  <si>
    <t>EVER GREET 1416W</t>
  </si>
  <si>
    <t>TPVB20260835011</t>
  </si>
  <si>
    <t>COSU9509265340</t>
  </si>
  <si>
    <t>26Jul007.06.01</t>
  </si>
  <si>
    <t>POPV260902024</t>
  </si>
  <si>
    <t xml:space="preserve">CMA CGM ALEXANDER VON </t>
  </si>
  <si>
    <t>TPVB20260835008</t>
  </si>
  <si>
    <t>COSU9509256340</t>
  </si>
  <si>
    <t>26Aug003.03</t>
  </si>
  <si>
    <t>POPV260902023</t>
  </si>
  <si>
    <t>COSCO SHIPPING STAR 030W</t>
  </si>
  <si>
    <t>TPVB20260835012</t>
  </si>
  <si>
    <t>COSU9509275330</t>
  </si>
  <si>
    <t>26Aug004.04.01</t>
  </si>
  <si>
    <t>POPV260902025</t>
  </si>
  <si>
    <t>26Aug004.06</t>
  </si>
  <si>
    <t>POPV260828028</t>
  </si>
  <si>
    <t>TPVB20260835023</t>
  </si>
  <si>
    <t>COSU9509296080</t>
  </si>
  <si>
    <t>26Aug006.01</t>
  </si>
  <si>
    <t>八月20日</t>
  </si>
  <si>
    <t>POPV260902030</t>
  </si>
  <si>
    <t>TPVB20260835024</t>
  </si>
  <si>
    <t>COSU9509296500</t>
  </si>
  <si>
    <t>26Jun021.07.04</t>
  </si>
  <si>
    <t>POPV260902029</t>
  </si>
  <si>
    <t>TPVB20260835013</t>
  </si>
  <si>
    <t>COSU9509296870</t>
  </si>
  <si>
    <t>26Jun021.10</t>
  </si>
  <si>
    <t>POPV260902031</t>
  </si>
  <si>
    <t>MSC AMBRA QS636A</t>
  </si>
  <si>
    <t>TPVB20260835015</t>
  </si>
  <si>
    <t>177KVBTTXVNN3613</t>
  </si>
  <si>
    <t>26Aug004.04.02</t>
  </si>
  <si>
    <t>POPV260902035</t>
  </si>
  <si>
    <t>26Aug009.01.01</t>
  </si>
  <si>
    <t>POPV260911032</t>
  </si>
  <si>
    <t>CMA CGM CHAMPS ELYSEES / 0FMN4W1MA</t>
  </si>
  <si>
    <t>TPVB20260936001</t>
  </si>
  <si>
    <t>CHN3880669</t>
  </si>
  <si>
    <t>26Aug025.02</t>
  </si>
  <si>
    <t>POPV260911045</t>
  </si>
  <si>
    <t>26Aug002.06</t>
  </si>
  <si>
    <t>POPV260904016</t>
  </si>
  <si>
    <t>OOCL VALENCIA 011W</t>
  </si>
  <si>
    <t>TPVB20260936008</t>
  </si>
  <si>
    <t>COSU6464780390</t>
  </si>
  <si>
    <t>26Aug009.02</t>
  </si>
  <si>
    <t>POPV260911038</t>
  </si>
  <si>
    <t>TPVB20260936009</t>
  </si>
  <si>
    <t>COSU6464774420</t>
  </si>
  <si>
    <t>26Aug009.04</t>
  </si>
  <si>
    <t>POPV260911042</t>
  </si>
  <si>
    <t>EVER APEX 1417-015W</t>
  </si>
  <si>
    <t>TPVB20260936011</t>
  </si>
  <si>
    <t>COSU6464775680</t>
  </si>
  <si>
    <t>26Aug009.06</t>
  </si>
  <si>
    <t>POPV260911043</t>
  </si>
  <si>
    <t>OOCL UNITED KINGDOM 038W</t>
  </si>
  <si>
    <t>TPVB20260936012</t>
  </si>
  <si>
    <t>COSU6464778420</t>
  </si>
  <si>
    <t>26Aug019.01</t>
  </si>
  <si>
    <t>POPV260911058</t>
  </si>
  <si>
    <t>CMA CGM PATAGONIA 0MEOPW1MA</t>
  </si>
  <si>
    <t>TPVB20260936013</t>
  </si>
  <si>
    <t>COSU6464781690</t>
  </si>
  <si>
    <t>26Aug005.03</t>
  </si>
  <si>
    <t>Tianjin(transport to yixing for  shipment)</t>
  </si>
  <si>
    <t>Keep for FR</t>
  </si>
  <si>
    <t>POPV260911062</t>
  </si>
  <si>
    <t>CSCL PACIFIC OCEAN 067W</t>
  </si>
  <si>
    <t>TPVB20260936014</t>
  </si>
  <si>
    <t>COSU6464783150</t>
  </si>
  <si>
    <t>26Aug006.03</t>
  </si>
  <si>
    <t>Tianjin (transport to yixing for shipment)</t>
  </si>
  <si>
    <t>POPV260911065</t>
  </si>
  <si>
    <t>26Aug010.13</t>
  </si>
  <si>
    <t>POPV260904010</t>
  </si>
  <si>
    <t>COSCO SHIPPING ROSE 047W</t>
  </si>
  <si>
    <t>TPVB20260936015</t>
  </si>
  <si>
    <t>COSU6464784160</t>
  </si>
  <si>
    <t>26Aug010.15</t>
  </si>
  <si>
    <t>POPV260911044</t>
  </si>
  <si>
    <t>TPVB20260936016</t>
  </si>
  <si>
    <t>COSU6465498240</t>
  </si>
  <si>
    <t>26Aug020.01</t>
  </si>
  <si>
    <t>POPV260911051</t>
  </si>
  <si>
    <t>EUGEN MAERSK</t>
  </si>
  <si>
    <t>TPVB20260936002</t>
  </si>
  <si>
    <t>26Aug010.06</t>
  </si>
  <si>
    <t>AVJ CONSTRUCTIONS </t>
  </si>
  <si>
    <t>U2</t>
    <phoneticPr fontId="0" type="noConversion"/>
  </si>
  <si>
    <t>RS0126081900007</t>
  </si>
  <si>
    <t>Yes</t>
    <phoneticPr fontId="6" type="noConversion"/>
  </si>
  <si>
    <t>POPV260918060</t>
  </si>
  <si>
    <t>TPVB20260836004</t>
  </si>
  <si>
    <t>EGLV149607783982</t>
  </si>
  <si>
    <t>26Aug006.01.01</t>
  </si>
  <si>
    <t>Tianjin to Yixing</t>
  </si>
  <si>
    <t>POPV260918037</t>
  </si>
  <si>
    <t>CMA CGM KERGUELEN 0MEORW</t>
  </si>
  <si>
    <t>TPVB20260936017</t>
  </si>
  <si>
    <t>COSU9509736950</t>
  </si>
  <si>
    <t>26Aug006.05</t>
  </si>
  <si>
    <t>POPV260924025</t>
  </si>
  <si>
    <t>TPVB20260936018</t>
  </si>
  <si>
    <t>COSU9509736980</t>
  </si>
  <si>
    <t>26Aug005.07</t>
  </si>
  <si>
    <t>POPV260924018</t>
  </si>
  <si>
    <t>26Aug006.06</t>
  </si>
  <si>
    <t>POPV261010011</t>
  </si>
  <si>
    <t>EVER GRADE 029W</t>
  </si>
  <si>
    <t>TPVB20260936019</t>
  </si>
  <si>
    <t>COSU9509739210</t>
  </si>
  <si>
    <t>26Jul009.02</t>
  </si>
  <si>
    <t>GF0700001541</t>
  </si>
  <si>
    <t>HSM-NT48-HH475</t>
  </si>
  <si>
    <t>POPV260918046</t>
  </si>
  <si>
    <t>TPVB20260936003</t>
  </si>
  <si>
    <t>COSU9509606910</t>
  </si>
  <si>
    <t>26Jul009.04</t>
  </si>
  <si>
    <t>POPV260918045</t>
  </si>
  <si>
    <t>EVER APEX 1417W</t>
  </si>
  <si>
    <t>TPVB20260936007</t>
  </si>
  <si>
    <t>COSU9509606920</t>
  </si>
  <si>
    <t>26Aug010.16</t>
  </si>
  <si>
    <t>POPV260918063</t>
  </si>
  <si>
    <t>26Aug020.07</t>
  </si>
  <si>
    <t>POPV260918053</t>
  </si>
  <si>
    <t>26Jul007.05</t>
  </si>
  <si>
    <t>七月18日</t>
  </si>
  <si>
    <t>POPV260911035</t>
  </si>
  <si>
    <t>TPVB20260936005</t>
  </si>
  <si>
    <t>COSU9509650560</t>
  </si>
  <si>
    <t>26Jul007.06</t>
  </si>
  <si>
    <t>POPV260911039</t>
  </si>
  <si>
    <t>TPVB20260936006</t>
  </si>
  <si>
    <t>COSU9509488350</t>
  </si>
  <si>
    <t>26Aug005</t>
  </si>
  <si>
    <t>POPV260904018</t>
  </si>
  <si>
    <t>COSCO SHIPPING ARIES 038W</t>
  </si>
  <si>
    <t>TPVB20260836005</t>
  </si>
  <si>
    <t>COSU9509531260</t>
  </si>
  <si>
    <t>26Aug005.04</t>
  </si>
  <si>
    <t>POPV260904019</t>
  </si>
  <si>
    <t>TPVB20260836006</t>
  </si>
  <si>
    <t>COSU9509531180</t>
  </si>
  <si>
    <t>26Jun021.01</t>
  </si>
  <si>
    <t>HC500改FOS 补舱</t>
  </si>
  <si>
    <t>POPV260904013</t>
  </si>
  <si>
    <t>TPVB20260836002</t>
  </si>
  <si>
    <t>COSU6464983000</t>
  </si>
  <si>
    <t>26Jun021.02</t>
  </si>
  <si>
    <t>POPV260911066</t>
  </si>
  <si>
    <t>TPVB20260836003</t>
  </si>
  <si>
    <t>COSU9509511700</t>
  </si>
  <si>
    <t>26Aug011.01</t>
  </si>
  <si>
    <t>DE0126080600001</t>
  </si>
  <si>
    <t>GF0700002174</t>
  </si>
  <si>
    <t>POPV260911029</t>
  </si>
  <si>
    <t>MSC OLIVER V.GT636W</t>
  </si>
  <si>
    <t>TPVB20260836001</t>
  </si>
  <si>
    <t>SYNSHA26SE090924</t>
  </si>
  <si>
    <t>N235186781</t>
  </si>
  <si>
    <t>26Aug012.01</t>
  </si>
  <si>
    <t>GF0700002178</t>
  </si>
  <si>
    <t>POPV260911033</t>
  </si>
  <si>
    <t>26Aug003.02</t>
  </si>
  <si>
    <t>Tianjin(transport to Yixing for shipment)</t>
  </si>
  <si>
    <t>PL0126090800021</t>
  </si>
  <si>
    <t>Gdasnk</t>
  </si>
  <si>
    <t>POPV260915017</t>
  </si>
  <si>
    <t>OOCL FINLAND 009W</t>
  </si>
  <si>
    <t>TPVB20260937012</t>
  </si>
  <si>
    <t>COSU6465715640</t>
  </si>
  <si>
    <t>26Aug020.05</t>
  </si>
  <si>
    <t>POPV260918032</t>
  </si>
  <si>
    <t>EVER ALLY 0LAO1W1MA/1419004W</t>
  </si>
  <si>
    <t xml:space="preserve">TPVB20260937001 </t>
  </si>
  <si>
    <t>CHN3908478</t>
  </si>
  <si>
    <t>26Jul009.01</t>
  </si>
  <si>
    <t>POPV260918044</t>
  </si>
  <si>
    <t>CHN3908494</t>
  </si>
  <si>
    <t>26Aug020.04</t>
  </si>
  <si>
    <t>POPV260918033</t>
  </si>
  <si>
    <t>26Jun033.03</t>
  </si>
  <si>
    <t>w37 PICK-UP</t>
    <phoneticPr fontId="6" type="noConversion"/>
  </si>
  <si>
    <t>POPV260918049</t>
  </si>
  <si>
    <t>CMA CGM SEINE / 0FMMWW1MA</t>
  </si>
  <si>
    <t>TPVB20260937002</t>
  </si>
  <si>
    <t>CHN3908524</t>
  </si>
  <si>
    <t>26Jul009.05</t>
  </si>
  <si>
    <t>POPV260918043</t>
  </si>
  <si>
    <t>CHN3908534</t>
  </si>
  <si>
    <t>26Aug020.02</t>
  </si>
  <si>
    <t>POPV260918041</t>
  </si>
  <si>
    <t>26Aug002.08</t>
  </si>
  <si>
    <t>POPV260911059</t>
  </si>
  <si>
    <t>EVER GLOBE 1418-027W</t>
  </si>
  <si>
    <t>TPVB20260937007</t>
  </si>
  <si>
    <t>COSU6465717250</t>
  </si>
  <si>
    <t>26Jun033.02</t>
  </si>
  <si>
    <t>POPV260911034</t>
  </si>
  <si>
    <t>26Jul009.03</t>
  </si>
  <si>
    <t>POPV260911052</t>
  </si>
  <si>
    <t>COSCO FORTUNE 084W</t>
  </si>
  <si>
    <t>TPVB20260937006</t>
  </si>
  <si>
    <t>COSU6466066070</t>
  </si>
  <si>
    <t>26Jul020.01</t>
  </si>
  <si>
    <t>GF0700002179</t>
  </si>
  <si>
    <t>HSM-NT48-HH480</t>
  </si>
  <si>
    <t>POPV260911056</t>
  </si>
  <si>
    <t>26Aug009.08</t>
  </si>
  <si>
    <t>POPV260918035</t>
  </si>
  <si>
    <t>TPVB20260937008</t>
  </si>
  <si>
    <t>COSU6466067620</t>
  </si>
  <si>
    <t>26Aug009.07</t>
  </si>
  <si>
    <t>POPV260918034</t>
  </si>
  <si>
    <t>TPVB20260937003</t>
  </si>
  <si>
    <t>EGLV149607770881</t>
  </si>
  <si>
    <t>26Aug025.03</t>
  </si>
  <si>
    <t>POPV260918030</t>
  </si>
  <si>
    <t>26Aug006.02</t>
  </si>
  <si>
    <t>POPV260918039</t>
  </si>
  <si>
    <t>CMA CGM KERGUELEN 
0MEORW1MA</t>
  </si>
  <si>
    <t>TPVB20260937009</t>
  </si>
  <si>
    <t>COSU6465719640</t>
  </si>
  <si>
    <t>26Aug010.08</t>
  </si>
  <si>
    <t>w37 PICK-UP</t>
    <phoneticPr fontId="0" type="noConversion"/>
  </si>
  <si>
    <t>POPV260918061</t>
  </si>
  <si>
    <t>TEXAS TRIUMPH 039W</t>
  </si>
  <si>
    <t>TPVB20260837002</t>
  </si>
  <si>
    <t>EGLV149608078905</t>
  </si>
  <si>
    <t>26Jul006.02</t>
  </si>
  <si>
    <t>POPV260918047</t>
  </si>
  <si>
    <t>TPVB20260937011</t>
  </si>
  <si>
    <t>COSU9509811770</t>
  </si>
  <si>
    <t>26Aug020.03</t>
  </si>
  <si>
    <t>POPV260924032</t>
  </si>
  <si>
    <t>EVER GLOBE 1418W</t>
  </si>
  <si>
    <t>TPVB20260937010</t>
  </si>
  <si>
    <t>COSU9509811250</t>
  </si>
  <si>
    <t>26Aug020.06</t>
  </si>
  <si>
    <t>POPV260918048</t>
  </si>
  <si>
    <t>TPVB20260937013</t>
  </si>
  <si>
    <t>COSU9509912990</t>
  </si>
  <si>
    <t>26Aug005.01</t>
  </si>
  <si>
    <t>八月25日</t>
  </si>
  <si>
    <t>POPV260911063</t>
  </si>
  <si>
    <t>COSCO SHIPPING LEO 037W</t>
  </si>
  <si>
    <t>TPVB20260937004</t>
  </si>
  <si>
    <t>COSU9509601430</t>
  </si>
  <si>
    <t>26Aug005.06</t>
  </si>
  <si>
    <t>POPV260911064</t>
  </si>
  <si>
    <t>TPVB20260937005</t>
  </si>
  <si>
    <t>COSU9509601740</t>
  </si>
  <si>
    <t>26Aug011.05</t>
  </si>
  <si>
    <t>POPV260911030</t>
  </si>
  <si>
    <t>BIG GEORGE  26038E</t>
  </si>
  <si>
    <t>TPVB20260837001</t>
  </si>
  <si>
    <t>ONEYTSNG80406501</t>
  </si>
  <si>
    <t>ONEYTSNG80406500</t>
  </si>
  <si>
    <t>26Aug012</t>
  </si>
  <si>
    <t>POPV260911031</t>
  </si>
  <si>
    <t>26Jul007.08</t>
  </si>
  <si>
    <t>PL0126090800018</t>
  </si>
  <si>
    <t>POPV260921025</t>
  </si>
  <si>
    <t>OOCL TURKIYE 012W</t>
  </si>
  <si>
    <t>TPVB20260938001</t>
  </si>
  <si>
    <t>COSU6466858750</t>
  </si>
  <si>
    <t>26Aug010.11</t>
  </si>
  <si>
    <t>POPV260918062</t>
  </si>
  <si>
    <t>EVER ALLY 1419-004W</t>
  </si>
  <si>
    <t>TPVB20260938004</t>
  </si>
  <si>
    <t>COSU6467013360</t>
  </si>
  <si>
    <t>26Aug013.03</t>
  </si>
  <si>
    <t>DE0126080300006</t>
    <phoneticPr fontId="2" type="noConversion"/>
  </si>
  <si>
    <t>GF0700002173</t>
  </si>
  <si>
    <t>S4-DG490-108BC-FB</t>
  </si>
  <si>
    <t>Batch 1-11</t>
  </si>
  <si>
    <t>POPV260918029</t>
  </si>
  <si>
    <t>TPVB20260838005</t>
  </si>
  <si>
    <t>COSU6466678170</t>
  </si>
  <si>
    <t>26Aug014.07</t>
  </si>
  <si>
    <t>GF0700002172</t>
  </si>
  <si>
    <t>S4-DG485-108BC-FB</t>
  </si>
  <si>
    <t>POPV260918028</t>
  </si>
  <si>
    <t>26Aug014.01</t>
  </si>
  <si>
    <t>Batch 1-8</t>
  </si>
  <si>
    <t>POPV260921029</t>
  </si>
  <si>
    <t>COSCO SHIPPING ALPS 049W</t>
  </si>
  <si>
    <t>TPVB20260838006</t>
  </si>
  <si>
    <t>COSU6466631520</t>
  </si>
  <si>
    <t>26Aug016.01</t>
  </si>
  <si>
    <t>POPV260921030</t>
  </si>
  <si>
    <t>OOCL SCANDINAVIA 038W</t>
  </si>
  <si>
    <t>TPVB20260938005</t>
  </si>
  <si>
    <t>COSU6467015120</t>
  </si>
  <si>
    <t>26Aug005.05</t>
  </si>
  <si>
    <t>POPV260918040</t>
  </si>
  <si>
    <t>CMA CGM MARCO POLO 
0MEOTW1MA</t>
  </si>
  <si>
    <t>TPVB20260938006</t>
  </si>
  <si>
    <t>COSU6467017560</t>
  </si>
  <si>
    <t>26Aug015.01</t>
  </si>
  <si>
    <t>POPV260918027</t>
  </si>
  <si>
    <t>TPVB20260938007</t>
  </si>
  <si>
    <t>COSU6467016280</t>
  </si>
  <si>
    <t>26Aug010.14</t>
  </si>
  <si>
    <t>U2</t>
    <phoneticPr fontId="6" type="noConversion"/>
  </si>
  <si>
    <t>w38 PICK-UP</t>
    <phoneticPr fontId="6" type="noConversion"/>
  </si>
  <si>
    <t>ready-10.23快船，300pcs连接器一起出</t>
  </si>
  <si>
    <t>POPV260918059</t>
  </si>
  <si>
    <t>TPVB20260938008</t>
  </si>
  <si>
    <t>COSU6467090510</t>
  </si>
  <si>
    <t>26Aug016.03</t>
  </si>
  <si>
    <t>POPV260918026</t>
  </si>
  <si>
    <t>26Aug010.09</t>
  </si>
  <si>
    <t>w38 PICK-UP</t>
    <phoneticPr fontId="0" type="noConversion"/>
  </si>
  <si>
    <t>POPV261010010</t>
  </si>
  <si>
    <t>BRUSSELS MAERSK 639W</t>
  </si>
  <si>
    <t>TPVB20260938002</t>
  </si>
  <si>
    <t>26Aug010.17</t>
  </si>
  <si>
    <t>POPV261010009</t>
  </si>
  <si>
    <t>TPVB20260938003</t>
  </si>
  <si>
    <t>26Aug016.10</t>
  </si>
  <si>
    <t>POPV260924027</t>
  </si>
  <si>
    <t>TPVB20260838011</t>
  </si>
  <si>
    <t>COSU9510012530</t>
  </si>
  <si>
    <t>26Aug015.02</t>
  </si>
  <si>
    <t>POPV260929036</t>
  </si>
  <si>
    <t>EVER ALLY 1419W</t>
  </si>
  <si>
    <t>TPVB20260838009</t>
  </si>
  <si>
    <t>COSU6467892390</t>
  </si>
  <si>
    <t>26Aug016.05</t>
  </si>
  <si>
    <t>POPV260929032</t>
  </si>
  <si>
    <t>TPVB20260838010</t>
  </si>
  <si>
    <t>COSU9510035910</t>
  </si>
  <si>
    <t>26Jun021.03</t>
  </si>
  <si>
    <t>POPV260918042</t>
  </si>
  <si>
    <t>COSCO SHIPPING GEMINI 037W</t>
  </si>
  <si>
    <t>TPVB20260838004</t>
  </si>
  <si>
    <t>COSU9509786940</t>
  </si>
  <si>
    <t>26Aug006.07</t>
  </si>
  <si>
    <t>POPV260918036</t>
  </si>
  <si>
    <t>TPVB20260838007</t>
  </si>
  <si>
    <t>COSU9509787370</t>
  </si>
  <si>
    <t>26Aug011.02</t>
  </si>
  <si>
    <t>POPV260918052</t>
  </si>
  <si>
    <t>MSC METTE / GT637W</t>
  </si>
  <si>
    <t>TPVB20260838001</t>
  </si>
  <si>
    <t>SYNSHA26SE090890</t>
  </si>
  <si>
    <t>N235186779A</t>
  </si>
  <si>
    <t>26Aug011.03</t>
  </si>
  <si>
    <t>POPV260918051</t>
  </si>
  <si>
    <t>N235186779B</t>
  </si>
  <si>
    <t>26Aug011.06</t>
  </si>
  <si>
    <t>POPV260918050</t>
  </si>
  <si>
    <t>26Aug011.04</t>
  </si>
  <si>
    <t>POPV260921022</t>
  </si>
  <si>
    <t>MSC METTE  GT638W</t>
  </si>
  <si>
    <t>TPVB20260838008</t>
  </si>
  <si>
    <t>SKDFS2609166</t>
  </si>
  <si>
    <t>N235187239</t>
  </si>
  <si>
    <t>26Aug012.02</t>
  </si>
  <si>
    <t>POPV260921026</t>
  </si>
  <si>
    <t>26Aug025.04</t>
  </si>
  <si>
    <t>POPV260921023</t>
  </si>
  <si>
    <t>TPVB20260939001</t>
  </si>
  <si>
    <t>EGLV149608289604</t>
  </si>
  <si>
    <t xml:space="preserve">EGLV149608289604   </t>
  </si>
  <si>
    <t>26Aug015.10</t>
  </si>
  <si>
    <t>POPV260921024</t>
  </si>
  <si>
    <t>TPVB20260939004</t>
  </si>
  <si>
    <t>EGLV149608748919</t>
  </si>
  <si>
    <t>26Aug013.02</t>
  </si>
  <si>
    <t>Batch 1-11，9/20</t>
  </si>
  <si>
    <t>POPV260921027</t>
  </si>
  <si>
    <t>COSCO SHIPPING GEMINI
037W</t>
  </si>
  <si>
    <t>TPVB20260939005</t>
  </si>
  <si>
    <t>COSU6467917120</t>
  </si>
  <si>
    <t>26Aug014.03</t>
  </si>
  <si>
    <t>DE0126080300006</t>
  </si>
  <si>
    <t>Batch 2-8，9/20</t>
  </si>
  <si>
    <t>POPV260924026</t>
  </si>
  <si>
    <t>26Aug013.06</t>
  </si>
  <si>
    <t>Batch 3-5，9/26</t>
  </si>
  <si>
    <t>POPV260929034</t>
  </si>
  <si>
    <t>EVER ACT 1420-019W</t>
  </si>
  <si>
    <t>TPVB20260939006</t>
  </si>
  <si>
    <t>COSU6467917960</t>
  </si>
  <si>
    <t>26Aug013.05</t>
  </si>
  <si>
    <t>Batch 3-8，9/20</t>
  </si>
  <si>
    <t>POPV260924036</t>
  </si>
  <si>
    <t>COSCO SHIPPING ANDES 049W</t>
  </si>
  <si>
    <t>TPVB20260939007</t>
  </si>
  <si>
    <t>COSU6467919240</t>
  </si>
  <si>
    <t>26Aug013.01</t>
  </si>
  <si>
    <t>Batch 1-11，9/23</t>
  </si>
  <si>
    <t>POPV260924037</t>
  </si>
  <si>
    <t>TPVB20260939008</t>
  </si>
  <si>
    <t>COSU6467919750</t>
  </si>
  <si>
    <t>26Aug013.07</t>
  </si>
  <si>
    <t>POPV260924038</t>
  </si>
  <si>
    <t>26Aug014.05</t>
  </si>
  <si>
    <t>Batch 3-5，9/23</t>
  </si>
  <si>
    <t>POPV260924040</t>
  </si>
  <si>
    <t>26Aug014.04</t>
  </si>
  <si>
    <t>Batch 3-11，9/24</t>
  </si>
  <si>
    <t>POPV260924041</t>
  </si>
  <si>
    <t>TPVB20260939009</t>
  </si>
  <si>
    <t>COSU6467920310</t>
  </si>
  <si>
    <t>26Aug013.04</t>
  </si>
  <si>
    <t>Batch 2-5，9/24</t>
  </si>
  <si>
    <t>POPV260924039</t>
  </si>
  <si>
    <t>26Aug002.07</t>
  </si>
  <si>
    <t>POPV261010030</t>
  </si>
  <si>
    <t>EVER AEON 1420-009W</t>
  </si>
  <si>
    <t>TPVB20260939012</t>
  </si>
  <si>
    <t>EGLV149608598577</t>
  </si>
  <si>
    <t>26Aug016.04</t>
  </si>
  <si>
    <t>POPV261010028</t>
  </si>
  <si>
    <t>26Aug015.04</t>
  </si>
  <si>
    <t>POPV261010007</t>
  </si>
  <si>
    <t>26Aug016.06</t>
  </si>
  <si>
    <t>POPV261010027</t>
  </si>
  <si>
    <t>EVER GLORY 0772-030W</t>
  </si>
  <si>
    <t>TPVB20260939013</t>
  </si>
  <si>
    <t>COSU6468132880</t>
  </si>
  <si>
    <t>26Aug016.02</t>
  </si>
  <si>
    <t>POPV261010026</t>
  </si>
  <si>
    <t>TPVB20260939016</t>
  </si>
  <si>
    <t>COSU6467810590</t>
  </si>
  <si>
    <t>26Aug015.03</t>
  </si>
  <si>
    <t>POPV261010006</t>
  </si>
  <si>
    <t>TPVB20260939014</t>
  </si>
  <si>
    <t>COSU6468136360</t>
  </si>
  <si>
    <t>26Aug016.11</t>
  </si>
  <si>
    <t>POPV261010023</t>
  </si>
  <si>
    <t>CMA CGM BERENICE MEOVW1MA</t>
  </si>
  <si>
    <t>TPVB20260939017</t>
  </si>
  <si>
    <t>COSU6468139070</t>
  </si>
  <si>
    <t>26Aug015.12</t>
  </si>
  <si>
    <t>POPV261010005</t>
  </si>
  <si>
    <t>CMA CGM BERENICE 0MEOVW1MA</t>
  </si>
  <si>
    <t>TPVB20260939015</t>
  </si>
  <si>
    <t>COSU6468138550</t>
  </si>
  <si>
    <t>26Aug003.09</t>
  </si>
  <si>
    <t>Local WH</t>
    <phoneticPr fontId="6" type="noConversion"/>
  </si>
  <si>
    <t>POPV260924022</t>
  </si>
  <si>
    <t>CSCL AUTUMN 075E</t>
  </si>
  <si>
    <t>TPVB20260939018</t>
  </si>
  <si>
    <t>COSU9510101310</t>
  </si>
  <si>
    <t>26Aug022.02</t>
  </si>
  <si>
    <t>POPV261016032</t>
  </si>
  <si>
    <t>COSCO SHIPPING CAPRICORN
042W</t>
  </si>
  <si>
    <t>TPVB20261042002HL</t>
  </si>
  <si>
    <t>COSU9510260410</t>
  </si>
  <si>
    <t>26Aug022.05</t>
  </si>
  <si>
    <t>POPV261016033</t>
  </si>
  <si>
    <t>TPVB20261042003HL</t>
  </si>
  <si>
    <t>COSU9510260340</t>
  </si>
  <si>
    <t>26Aug003.10</t>
  </si>
  <si>
    <t>POPV261016041</t>
  </si>
  <si>
    <t>26Aug003.05</t>
  </si>
  <si>
    <t>POPV260924020</t>
  </si>
  <si>
    <t>TPVB20260939011</t>
  </si>
  <si>
    <t>COSU9510100890</t>
  </si>
  <si>
    <t>PO FIRM</t>
  </si>
  <si>
    <t>26Jun021.05</t>
  </si>
  <si>
    <t>POPV260924023</t>
  </si>
  <si>
    <t>COSCO SHIPPING SAGITTARIUS
035W</t>
  </si>
  <si>
    <t>TPVB20260939003</t>
  </si>
  <si>
    <t>COSU9509997120</t>
  </si>
  <si>
    <t>26Jun022.02</t>
  </si>
  <si>
    <t>POPV260924024</t>
  </si>
  <si>
    <t>26Aug024.1</t>
  </si>
  <si>
    <t>Local WH/Project Solar Lable</t>
  </si>
  <si>
    <t>GF0700001868</t>
  </si>
  <si>
    <t>EVO-P-HSM-ND54-DR505</t>
  </si>
  <si>
    <t>Dec--to be assured</t>
  </si>
  <si>
    <t>POPV260924029</t>
  </si>
  <si>
    <t>TPVB20260939002</t>
  </si>
  <si>
    <t>COSU6467723460</t>
  </si>
  <si>
    <t>26Aug003.07</t>
  </si>
  <si>
    <t>PL0126090800022</t>
  </si>
  <si>
    <t>Gdasnk，9/22</t>
  </si>
  <si>
    <t>POPV260924019</t>
  </si>
  <si>
    <t>OOCL GDYNIA 011W</t>
  </si>
  <si>
    <t>TPVB20260939010</t>
  </si>
  <si>
    <t>COSU6467808410</t>
  </si>
  <si>
    <t>26Aug014.06</t>
  </si>
  <si>
    <t>Batch 4-8，9/28</t>
  </si>
  <si>
    <t>POPV261010008</t>
  </si>
  <si>
    <t>COSCO SHIPPING SAGITTARIUS 035W</t>
  </si>
  <si>
    <t>TPVB20260940008</t>
  </si>
  <si>
    <t>COSU6468384010</t>
  </si>
  <si>
    <t>26Aug016.08</t>
  </si>
  <si>
    <t>POPV261010025</t>
  </si>
  <si>
    <t>TPVB20260940009</t>
  </si>
  <si>
    <t>EGLV149608894273</t>
  </si>
  <si>
    <t>26Aug014.08</t>
  </si>
  <si>
    <t>Batch 3-11，9/27</t>
  </si>
  <si>
    <t>POPV260929033</t>
  </si>
  <si>
    <t>COSCO DENMARK 070W</t>
  </si>
  <si>
    <t>TPVB20260940010</t>
  </si>
  <si>
    <t>COSU6468580080</t>
  </si>
  <si>
    <t>26Aug005.08</t>
  </si>
  <si>
    <t>POPV261010013</t>
  </si>
  <si>
    <t>APL VANDA 0MEOXW1MA</t>
  </si>
  <si>
    <t>TPVB20260940011</t>
  </si>
  <si>
    <t>COSU6468731340</t>
  </si>
  <si>
    <t>26Aug015.06</t>
  </si>
  <si>
    <t>POPV261010004</t>
  </si>
  <si>
    <t>26Aug010.18</t>
  </si>
  <si>
    <t>TCL SUN INC</t>
  </si>
  <si>
    <t>TPVO2026090401</t>
  </si>
  <si>
    <t>DAVAO</t>
  </si>
  <si>
    <t>CMA CGM CAIMEP / 0BYPSS</t>
  </si>
  <si>
    <t>PLISH7H48052</t>
  </si>
  <si>
    <t>CPL0514940</t>
  </si>
  <si>
    <t>26Aug015.13</t>
  </si>
  <si>
    <t>POPV261010003</t>
  </si>
  <si>
    <t>EVER AEON 1420W</t>
  </si>
  <si>
    <t>TPVB20260940004</t>
  </si>
  <si>
    <t>COSU9510012710</t>
  </si>
  <si>
    <t>26Aug015.05</t>
  </si>
  <si>
    <t>POPV261016037</t>
  </si>
  <si>
    <t>EVER GLORY 030W</t>
  </si>
  <si>
    <t>TPVB20260940006</t>
  </si>
  <si>
    <t>COSU9510036320</t>
  </si>
  <si>
    <t>26Aug015.07</t>
  </si>
  <si>
    <t>POPV261010002</t>
  </si>
  <si>
    <t>APL VANDA 0MEOXW</t>
  </si>
  <si>
    <t>TPVB20261040001XT</t>
  </si>
  <si>
    <t>COSU9510251200</t>
  </si>
  <si>
    <t>26Aug016.12</t>
  </si>
  <si>
    <t>POPV261010029</t>
  </si>
  <si>
    <t>26Aug016.09</t>
  </si>
  <si>
    <t>POPV261010024</t>
  </si>
  <si>
    <t>TPVB20260940007</t>
  </si>
  <si>
    <t>COSU9510030740</t>
  </si>
  <si>
    <t>26Aug022.03</t>
  </si>
  <si>
    <t>POPV261010016</t>
  </si>
  <si>
    <t>OOCL SWEDEN 009W</t>
  </si>
  <si>
    <t>TPVB20260940012</t>
  </si>
  <si>
    <t>COSU9510092930</t>
  </si>
  <si>
    <t>26Aug024.05</t>
  </si>
  <si>
    <t>POPV261010033</t>
  </si>
  <si>
    <t>TPVB20260940015</t>
  </si>
  <si>
    <t>COSU6468723370</t>
  </si>
  <si>
    <t>26Aug004.07</t>
  </si>
  <si>
    <t>POPV261010017</t>
  </si>
  <si>
    <t>TPVB20260940013</t>
  </si>
  <si>
    <t>COSU9510092840</t>
  </si>
  <si>
    <t>26Aug015.09</t>
  </si>
  <si>
    <t>POPV261016031</t>
  </si>
  <si>
    <t>TPVB20260940002</t>
  </si>
  <si>
    <t>COSU9510036150</t>
  </si>
  <si>
    <t>26Aug015.11</t>
  </si>
  <si>
    <t>POPV261010001</t>
  </si>
  <si>
    <t>CMA CGM BERENICE 0MEOVW</t>
  </si>
  <si>
    <t>TPVB20260940003</t>
  </si>
  <si>
    <t>COSU9510036540</t>
  </si>
  <si>
    <t>26Aug003.04</t>
  </si>
  <si>
    <t>POPV261010021</t>
  </si>
  <si>
    <t>TPVB20260940014</t>
  </si>
  <si>
    <t>COSU9510170300</t>
  </si>
  <si>
    <t>26Aug003.06</t>
  </si>
  <si>
    <t>Local WH</t>
    <phoneticPr fontId="0" type="noConversion"/>
  </si>
  <si>
    <t>POPV261010020</t>
  </si>
  <si>
    <t>26Aug022.01</t>
  </si>
  <si>
    <t>POPV261010015</t>
  </si>
  <si>
    <t>26Oct010.1</t>
  </si>
  <si>
    <t>10月9日（TBD）</t>
  </si>
  <si>
    <t>POPV261016045</t>
  </si>
  <si>
    <t>OOCL ZEEBRUGGE 011W</t>
  </si>
  <si>
    <t>TPVB20260941001JP</t>
  </si>
  <si>
    <t>COSU6469843890</t>
  </si>
  <si>
    <t>26Oct009.08</t>
  </si>
  <si>
    <t>POPV261016036</t>
  </si>
  <si>
    <t>26Oct010.2</t>
  </si>
  <si>
    <t>POPV261016047</t>
  </si>
  <si>
    <t>TPVB20260941002JP</t>
  </si>
  <si>
    <t>COSU6469843490</t>
  </si>
  <si>
    <t>26Oct009.07</t>
  </si>
  <si>
    <t>POPV261016038</t>
  </si>
  <si>
    <t>26Aug018.05</t>
  </si>
  <si>
    <t>不急优先BC</t>
  </si>
  <si>
    <t>POPV261016035</t>
  </si>
  <si>
    <t>TPVB20260941003JP</t>
  </si>
  <si>
    <t>COSU6469220480</t>
  </si>
  <si>
    <t>26Aug016.07</t>
  </si>
  <si>
    <t>10月4日</t>
  </si>
  <si>
    <t>POPV261010022</t>
  </si>
  <si>
    <t>COSCO SHIPPING TAURUS 038W</t>
  </si>
  <si>
    <t>TPVB20260941004JP</t>
  </si>
  <si>
    <t>COSU6469326980</t>
  </si>
  <si>
    <t>26Aug017.04</t>
  </si>
  <si>
    <t>10月8日</t>
  </si>
  <si>
    <t>POPV261010032</t>
  </si>
  <si>
    <t>TPVB20260941005JP</t>
  </si>
  <si>
    <t>COSU6469320380</t>
  </si>
  <si>
    <t>26Aug017.01</t>
  </si>
  <si>
    <t>POPV261010034</t>
  </si>
  <si>
    <t>TPVB20260941006JP</t>
  </si>
  <si>
    <t>COSU6469326430</t>
  </si>
  <si>
    <t>26Aug015.15</t>
  </si>
  <si>
    <t>10月6日</t>
  </si>
  <si>
    <t>POPV261010031</t>
  </si>
  <si>
    <t>TPVB20260941007JP</t>
  </si>
  <si>
    <t>COSU6469323740</t>
  </si>
  <si>
    <t>26Oct009.15</t>
  </si>
  <si>
    <t>POPV261016044</t>
  </si>
  <si>
    <t>TPVB20261041003XT</t>
  </si>
  <si>
    <t>COSU9510425590</t>
  </si>
  <si>
    <t>26Aug001.03</t>
  </si>
  <si>
    <t>POPV261027030</t>
  </si>
  <si>
    <t>TPVB20261041001XT</t>
  </si>
  <si>
    <t>COSU9510418660</t>
  </si>
  <si>
    <t>26Aug015.14</t>
  </si>
  <si>
    <t>POPV261023054</t>
  </si>
  <si>
    <t>TPVB20261041002XT</t>
  </si>
  <si>
    <t>COSU9510418590</t>
  </si>
  <si>
    <t>26Aug022.04</t>
  </si>
  <si>
    <t>POPV261010014</t>
  </si>
  <si>
    <t>OOCL PORTUGAL 008W</t>
  </si>
  <si>
    <t>TPVB20261041002HL</t>
  </si>
  <si>
    <t>COSU9510309650</t>
  </si>
  <si>
    <t>26Aug003.11</t>
  </si>
  <si>
    <t>POPV261010019</t>
  </si>
  <si>
    <t>26Aug021.1</t>
  </si>
  <si>
    <t>POPV261010018</t>
  </si>
  <si>
    <t>26Aug005.02</t>
  </si>
  <si>
    <t>POPV261010012</t>
  </si>
  <si>
    <t>TPVB20261041001HL</t>
  </si>
  <si>
    <t>COSU9510182110</t>
  </si>
  <si>
    <t>26Aug024.1.01</t>
  </si>
  <si>
    <t>POPV261010035</t>
  </si>
  <si>
    <t>TPVB20261041003HL</t>
  </si>
  <si>
    <t>COSU6469165090</t>
  </si>
  <si>
    <t>26Aug021.02</t>
  </si>
  <si>
    <t>POPV261016040</t>
  </si>
  <si>
    <t>COSCO SHIPPING CAPRICORN 042W</t>
  </si>
  <si>
    <t>TPVB20261042001HL</t>
  </si>
  <si>
    <t>COSU9510309930</t>
  </si>
  <si>
    <t>26Aug025.05</t>
  </si>
  <si>
    <t>缅甸</t>
    <phoneticPr fontId="0" type="noConversion"/>
  </si>
  <si>
    <t>Yangon</t>
  </si>
  <si>
    <t>AS SERENA/636W</t>
  </si>
  <si>
    <t>TPVO2026041101</t>
  </si>
  <si>
    <t>26Oct007.06</t>
  </si>
  <si>
    <t>GF0700002314</t>
  </si>
  <si>
    <t>SPR-BE54-DD490</t>
  </si>
  <si>
    <t>POPV261023039</t>
  </si>
  <si>
    <t>OOCL GRACE 001W</t>
  </si>
  <si>
    <t>TPVB20261042003XT</t>
  </si>
  <si>
    <t>COSU6471689660</t>
  </si>
  <si>
    <t>26Oct009.01</t>
  </si>
  <si>
    <t>POPV261016039</t>
  </si>
  <si>
    <t>TPVB20261042002XT</t>
  </si>
  <si>
    <t>COSU6469938750</t>
  </si>
  <si>
    <t>26Oct007.01</t>
  </si>
  <si>
    <t>POPV261016034</t>
  </si>
  <si>
    <t>EVER ACE 1423-020W</t>
  </si>
  <si>
    <t>TPVB20261042004XT</t>
  </si>
  <si>
    <t>COSU6469939280</t>
  </si>
  <si>
    <t>26Oct009.02</t>
  </si>
  <si>
    <t>POPV261016042</t>
  </si>
  <si>
    <t>COSCO SHIPPING PANAMA 007W</t>
  </si>
  <si>
    <t>TPVB20261042001XT</t>
  </si>
  <si>
    <t>COSU6469939670</t>
  </si>
  <si>
    <t>26Oct016.01</t>
  </si>
  <si>
    <t>GF0700002193</t>
  </si>
  <si>
    <t>HSM-NT66-GH650 CFP</t>
  </si>
  <si>
    <t>POPV261016046</t>
  </si>
  <si>
    <t xml:space="preserve"> TPVB20261042001JP</t>
  </si>
  <si>
    <t>COSU6471068810</t>
  </si>
  <si>
    <t>26Oct009.04</t>
  </si>
  <si>
    <t>POPV261023052</t>
  </si>
  <si>
    <t>EVER GENIUS 1422-032W</t>
  </si>
  <si>
    <t xml:space="preserve"> TPVB20261042005JP</t>
  </si>
  <si>
    <t>COSU6471745060</t>
  </si>
  <si>
    <t>26Aug018.02</t>
  </si>
  <si>
    <t>POPV261023034</t>
  </si>
  <si>
    <t>COSCO SHIPPING NEBULA 034W</t>
  </si>
  <si>
    <t xml:space="preserve"> TPVB20261042002JP</t>
  </si>
  <si>
    <t>COSU6469942450</t>
  </si>
  <si>
    <t>26Oct007.05</t>
  </si>
  <si>
    <t>AEM2 10/17</t>
  </si>
  <si>
    <t>POPV261023041</t>
  </si>
  <si>
    <t>CMA CGM BOUGAINVILLE MEX020W19</t>
  </si>
  <si>
    <t xml:space="preserve"> TPVB20261042003JP</t>
  </si>
  <si>
    <t>COSU6471104190</t>
  </si>
  <si>
    <t>26Oct014.02</t>
  </si>
  <si>
    <t>GF0700002185</t>
  </si>
  <si>
    <t>HSM-NT48-GH480 CFP</t>
  </si>
  <si>
    <t>POPV261023046</t>
  </si>
  <si>
    <t xml:space="preserve"> TPVB20261042004JP</t>
  </si>
  <si>
    <t>COSU6469945290</t>
  </si>
  <si>
    <t>26Oct009.17</t>
  </si>
  <si>
    <t>Yes - GTG</t>
  </si>
  <si>
    <t>POPV261027027</t>
  </si>
  <si>
    <t>OOCL WISDOM 002W</t>
  </si>
  <si>
    <t>COSU6471467130</t>
  </si>
  <si>
    <t>26Oct009.09</t>
  </si>
  <si>
    <t>IT进口商标签，10/20</t>
  </si>
  <si>
    <t>POPV261023053</t>
  </si>
  <si>
    <t>TPVB20261042005XT</t>
  </si>
  <si>
    <t>COSU9510624350</t>
  </si>
  <si>
    <t>26Oct009.16</t>
  </si>
  <si>
    <t>26Oct009</t>
  </si>
  <si>
    <t>POPV261023050</t>
  </si>
  <si>
    <t>TPVB20261042006XT</t>
  </si>
  <si>
    <t>COSU9510603740</t>
  </si>
  <si>
    <t>26Oct009.13</t>
  </si>
  <si>
    <t>POPV261023048</t>
  </si>
  <si>
    <t>TPVB20261042007XT</t>
  </si>
  <si>
    <t>COSU9510603630</t>
  </si>
  <si>
    <t>26Oct009.14</t>
  </si>
  <si>
    <t>POPV261023047</t>
  </si>
  <si>
    <t>EVER ACE 1423W</t>
  </si>
  <si>
    <t>TPVB20261042008XT</t>
  </si>
  <si>
    <t>COSU6471360750</t>
  </si>
  <si>
    <t>26Oct014.03</t>
  </si>
  <si>
    <t>POPV261023045</t>
  </si>
  <si>
    <t>CMA CGM BOUGAINVILLE MEX020W</t>
  </si>
  <si>
    <t>TPVB20261042009XT</t>
  </si>
  <si>
    <t>COSU6471722100</t>
  </si>
  <si>
    <t>26Oct007.07</t>
  </si>
  <si>
    <t>IE0126082700021</t>
  </si>
  <si>
    <t>POPV261023044</t>
  </si>
  <si>
    <t xml:space="preserve"> TPVB20261043001JP</t>
  </si>
  <si>
    <t>COSU6471468090</t>
  </si>
  <si>
    <t>26Aug017.07</t>
  </si>
  <si>
    <t>POPV261023040</t>
  </si>
  <si>
    <t xml:space="preserve"> TPVB20261043002JP</t>
  </si>
  <si>
    <t>COSU6471748750</t>
  </si>
  <si>
    <t>26Aug017.06</t>
  </si>
  <si>
    <t>POPV261023038</t>
  </si>
  <si>
    <t xml:space="preserve"> TPVB20261043003JP</t>
  </si>
  <si>
    <t>COSU6471453340</t>
  </si>
  <si>
    <t>26Aug017.05</t>
  </si>
  <si>
    <t>POPV261023036</t>
  </si>
  <si>
    <t>EVER ACT 1424-019W</t>
  </si>
  <si>
    <t xml:space="preserve"> TPVB20261043004JP</t>
  </si>
  <si>
    <t>COSU6471482080</t>
  </si>
  <si>
    <t>26Oct015.02</t>
  </si>
  <si>
    <t>GF0700002311</t>
  </si>
  <si>
    <t>HSM-NT48-GH485 CFP</t>
  </si>
  <si>
    <t>EVER GOODS 0776-036W</t>
  </si>
  <si>
    <t xml:space="preserve"> TPVB20261043005JP</t>
  </si>
  <si>
    <t>COSU6471464390</t>
  </si>
  <si>
    <t>26Aug015.08</t>
  </si>
  <si>
    <t>26Aug015.16</t>
  </si>
  <si>
    <t>26Aug017.03</t>
  </si>
  <si>
    <t xml:space="preserve"> TPVB20261043006JP</t>
  </si>
  <si>
    <t>COSU6471462660</t>
  </si>
  <si>
    <t>26Oct003.02</t>
  </si>
  <si>
    <t>GF0700002119</t>
  </si>
  <si>
    <t>AEM2 10/21</t>
  </si>
  <si>
    <t>POPV261023035</t>
  </si>
  <si>
    <t xml:space="preserve"> TPVB20261043007JP</t>
  </si>
  <si>
    <t>COSU6471317230</t>
  </si>
  <si>
    <t>26Oct004.02</t>
  </si>
  <si>
    <t>GF0700002268</t>
  </si>
  <si>
    <t>POPV261023037</t>
  </si>
  <si>
    <t>26Oct007.03</t>
  </si>
  <si>
    <t>EVER AIM 1425W</t>
  </si>
  <si>
    <t>TPVB20261043001XT</t>
  </si>
  <si>
    <t>COSU9510687380</t>
  </si>
  <si>
    <t>26Oct007.04</t>
  </si>
  <si>
    <t>POPV261027028</t>
  </si>
  <si>
    <t>TPVB20261043006XT</t>
  </si>
  <si>
    <t>COSU6471721900</t>
  </si>
  <si>
    <t>26Oct006.02</t>
  </si>
  <si>
    <t>local WH</t>
  </si>
  <si>
    <t>IT importer label,10/23</t>
  </si>
  <si>
    <t>POPV261027026</t>
  </si>
  <si>
    <t>COSCO SHIPPING PEONY 040E</t>
  </si>
  <si>
    <t>TPVB20261043006HL</t>
  </si>
  <si>
    <t>COSU9510879120</t>
  </si>
  <si>
    <t>26Oct006.04</t>
  </si>
  <si>
    <t>POPV261023031</t>
  </si>
  <si>
    <t>COSCO FRANCE 076W</t>
  </si>
  <si>
    <t>TPVB20261043003HL</t>
  </si>
  <si>
    <t>COSU9510535260</t>
  </si>
  <si>
    <t>26Oct009.20</t>
  </si>
  <si>
    <t>IT进口商标签，10/22</t>
  </si>
  <si>
    <t>EVER GOODS 036W</t>
  </si>
  <si>
    <t>TPVB20261043002XT</t>
  </si>
  <si>
    <t>COSU9510691300</t>
  </si>
  <si>
    <t>26Oct003.03</t>
  </si>
  <si>
    <t>塞支架 AEM2 10/22</t>
  </si>
  <si>
    <t>POPV261028021，POPV261027025</t>
  </si>
  <si>
    <t xml:space="preserve">CMA CGM JULES VERNE MEX040W </t>
  </si>
  <si>
    <t>TPVB20261043004XT</t>
  </si>
  <si>
    <t>COSU9510691550</t>
  </si>
  <si>
    <t>26Oct009.18</t>
  </si>
  <si>
    <t>POPV261023049</t>
  </si>
  <si>
    <t>TPVB20261043005XT</t>
  </si>
  <si>
    <t>COSU9510687860</t>
  </si>
  <si>
    <t>26Oct010.3</t>
  </si>
  <si>
    <t>POPV261027029</t>
  </si>
  <si>
    <t>26Aug004.1</t>
  </si>
  <si>
    <t>POPV261023042</t>
  </si>
  <si>
    <t>TPVB20261043002HL</t>
  </si>
  <si>
    <t>COSU9510581810</t>
  </si>
  <si>
    <t>26Aug021.05</t>
  </si>
  <si>
    <t>POPV261023033</t>
  </si>
  <si>
    <t>n/a</t>
    <phoneticPr fontId="87" type="noConversion"/>
  </si>
  <si>
    <t>26Aug022.06</t>
  </si>
  <si>
    <t>IT importer label</t>
  </si>
  <si>
    <t>POPV261023056</t>
  </si>
  <si>
    <t>TPVB20261043005HL</t>
  </si>
  <si>
    <t>COSU9510536230</t>
  </si>
  <si>
    <t>26Aug022.07</t>
  </si>
  <si>
    <t>POPV261023055</t>
  </si>
  <si>
    <t>TPVB20261043004HL</t>
  </si>
  <si>
    <t>COSU9510705970</t>
  </si>
  <si>
    <t>26Aug024.1.02</t>
  </si>
  <si>
    <t>POPV261023032</t>
  </si>
  <si>
    <t>TPVB20261043001HL</t>
  </si>
  <si>
    <t>COSU6471146490</t>
  </si>
  <si>
    <t>26Oct007.10</t>
  </si>
  <si>
    <t>EVER AIM 1425-019W</t>
  </si>
  <si>
    <t>TPVB20261144002XT</t>
  </si>
  <si>
    <t>COSU6472442130</t>
  </si>
  <si>
    <t>26Oct007.09</t>
  </si>
  <si>
    <t>COSCO SHIPPING PLANET 049W</t>
  </si>
  <si>
    <t>TPVB20261144003XT</t>
  </si>
  <si>
    <t>COSU6472653120</t>
  </si>
  <si>
    <t>26Oct009.21</t>
  </si>
  <si>
    <t>TPVB20261144004XT</t>
  </si>
  <si>
    <t>COSU6472442640</t>
  </si>
  <si>
    <t>26Aug017.02</t>
  </si>
  <si>
    <t>TPVB20261144001JP</t>
  </si>
  <si>
    <t>COSU6472581740</t>
  </si>
  <si>
    <t>26Aug018.06</t>
  </si>
  <si>
    <t>26Aug016.13</t>
  </si>
  <si>
    <t>COSCO SHIPPING PISCES 034W</t>
  </si>
  <si>
    <t>TPVB20261144002JP</t>
  </si>
  <si>
    <t>COSU6472366380</t>
  </si>
  <si>
    <t>26Aug018.07</t>
  </si>
  <si>
    <t>26Oct009.10</t>
  </si>
  <si>
    <t>COSCO SHIPPING PISCES 
034W</t>
  </si>
  <si>
    <t>TPVB20261144001XT</t>
  </si>
  <si>
    <t>COSU6472364000</t>
  </si>
  <si>
    <t>26Oct007.02</t>
  </si>
  <si>
    <t>多余产出，10/21</t>
  </si>
  <si>
    <t>CMA CGM GEORG FORSTER MEX080W</t>
  </si>
  <si>
    <t>TPVB20261144006XT</t>
  </si>
  <si>
    <t>COSU6472819950</t>
  </si>
  <si>
    <t>26Oct009.12</t>
  </si>
  <si>
    <t>TPVB20261144005XT</t>
  </si>
  <si>
    <t>COSU6472656830</t>
  </si>
  <si>
    <t>26Oct007.12</t>
  </si>
  <si>
    <t>多余产出，10/24</t>
  </si>
  <si>
    <t>TPVB20261144007XT</t>
  </si>
  <si>
    <t>COSU9510883610</t>
  </si>
  <si>
    <t>26Aug024.02</t>
  </si>
  <si>
    <t>Jan</t>
  </si>
  <si>
    <t>CMA CGM EIFFEL / KC20A0S19/KC20A0S</t>
  </si>
  <si>
    <t>TPVB20261044001HL</t>
  </si>
  <si>
    <t>TJN1046105</t>
  </si>
  <si>
    <t>26Oct005.05</t>
  </si>
  <si>
    <t>TPVB20261044003HL</t>
  </si>
  <si>
    <t>空班</t>
  </si>
  <si>
    <t>26Oct005.06</t>
  </si>
  <si>
    <t>PL0126102000010</t>
  </si>
  <si>
    <t>TPVB20261044002HL</t>
  </si>
  <si>
    <t>26Oct009.22</t>
  </si>
  <si>
    <t>OOCL DENMARK 010W</t>
  </si>
  <si>
    <t>TPVB20261145001JP</t>
  </si>
  <si>
    <t>COSU6472933500</t>
  </si>
  <si>
    <t>26Aug009.09</t>
  </si>
  <si>
    <t>EVER ART 1426-016W</t>
  </si>
  <si>
    <t>TPVB20261145002JP</t>
  </si>
  <si>
    <t>COSU6472924100</t>
  </si>
  <si>
    <t>26Oct012.2</t>
  </si>
  <si>
    <t>OOCL JAPAN 041W</t>
  </si>
  <si>
    <t>TPVB20261145003JP</t>
  </si>
  <si>
    <t>COSU6472926790</t>
  </si>
  <si>
    <t>没产出</t>
  </si>
  <si>
    <t>26Oct004.05</t>
  </si>
  <si>
    <t>Feb，10/22</t>
  </si>
  <si>
    <t>COSCO SHIPPING SCORPIO 036W</t>
  </si>
  <si>
    <t>TPVB20261145004JP</t>
  </si>
  <si>
    <t>COSU6473400420</t>
  </si>
  <si>
    <t>26Aug018.01</t>
  </si>
  <si>
    <t>TPVB20261145005JP</t>
  </si>
  <si>
    <t>COSU6473398530</t>
  </si>
  <si>
    <t>26Aug021.03</t>
  </si>
  <si>
    <t>COSCO SHIPPING VIRGO 037W</t>
  </si>
  <si>
    <t>TPVB20261045001HL</t>
  </si>
  <si>
    <t>COSU9510952270</t>
  </si>
  <si>
    <t>26Oct012.1</t>
  </si>
  <si>
    <t>TPVB20261145002XT</t>
  </si>
  <si>
    <t>COSU9510905140</t>
  </si>
  <si>
    <t>26Oct009.11</t>
  </si>
  <si>
    <t>EVER ART 1426W</t>
  </si>
  <si>
    <t>TPVB20261145003XT</t>
  </si>
  <si>
    <t>COSU9510905200</t>
  </si>
  <si>
    <t>26Oct007.08</t>
  </si>
  <si>
    <t>TPVB20261145001XT</t>
  </si>
  <si>
    <t>COSU9510905360</t>
  </si>
  <si>
    <t>26Oct004.03</t>
  </si>
  <si>
    <t>Jan，10/23</t>
  </si>
  <si>
    <t>21号才能开始提货，之前有合约舱没货提</t>
  </si>
  <si>
    <t>26Oct004.04</t>
  </si>
  <si>
    <t>26Oct009.31</t>
  </si>
  <si>
    <t>TPVB20261146001XT</t>
  </si>
  <si>
    <t>COSU9510974430</t>
  </si>
  <si>
    <t>26Oct009.32</t>
  </si>
  <si>
    <t>EVER ACME 1427W</t>
  </si>
  <si>
    <t>TPVB20261146002XT</t>
  </si>
  <si>
    <t>COSU9510976910</t>
  </si>
  <si>
    <t>26Oct004.01</t>
  </si>
  <si>
    <t>Jan，10/24</t>
  </si>
  <si>
    <t>CMA CGM VASCO DE GAMA 
MEX0C0W</t>
  </si>
  <si>
    <t>TPVB20261146003XT</t>
  </si>
  <si>
    <t>COSU9510977010</t>
  </si>
  <si>
    <t>26Oct006.05</t>
  </si>
  <si>
    <t>No - GTG</t>
  </si>
  <si>
    <t>Payment iuuse,10/26</t>
  </si>
  <si>
    <t>26Oct006.06</t>
  </si>
  <si>
    <t>IT importer label/10/23</t>
  </si>
  <si>
    <t>TPVB20261045002HL</t>
  </si>
  <si>
    <t>COSU9510940990</t>
  </si>
  <si>
    <t>26Oct009.03</t>
  </si>
  <si>
    <t>EGLV149610205022</t>
  </si>
  <si>
    <t>26Oct015.01</t>
  </si>
  <si>
    <t>26Aug013</t>
  </si>
  <si>
    <t>26Aug009</t>
  </si>
  <si>
    <t>26Aug014</t>
  </si>
  <si>
    <t>26May012</t>
  </si>
  <si>
    <t>26Apr007</t>
  </si>
  <si>
    <t>26Apr009</t>
  </si>
  <si>
    <t>26May004</t>
  </si>
  <si>
    <t>26May005</t>
  </si>
  <si>
    <t>26May006</t>
  </si>
  <si>
    <t>To add into July plan</t>
  </si>
  <si>
    <t>26May008</t>
  </si>
  <si>
    <t>26May016</t>
  </si>
  <si>
    <t>26Jun001</t>
  </si>
  <si>
    <t>26Jun002</t>
  </si>
  <si>
    <t>26Jun003</t>
  </si>
  <si>
    <t>26Jun004</t>
  </si>
  <si>
    <t>26Jun005</t>
  </si>
  <si>
    <t>26Jun007</t>
  </si>
  <si>
    <t>26Jun008</t>
  </si>
  <si>
    <t>26Jun009</t>
  </si>
  <si>
    <t>26Jun010</t>
  </si>
  <si>
    <t>26Jun011</t>
  </si>
  <si>
    <t>26Jun012</t>
  </si>
  <si>
    <t>26Jun013</t>
  </si>
  <si>
    <t>26Jun014</t>
  </si>
  <si>
    <t>26Jun015</t>
  </si>
  <si>
    <t>X</t>
  </si>
  <si>
    <t>26Jun016</t>
  </si>
  <si>
    <t>26Jul013</t>
  </si>
  <si>
    <t>26Jul014</t>
  </si>
  <si>
    <t>26Jun021</t>
  </si>
  <si>
    <t>26Jun022</t>
  </si>
  <si>
    <t>26Jun033</t>
  </si>
  <si>
    <t>26Jun034</t>
  </si>
  <si>
    <t>26Jun027</t>
  </si>
  <si>
    <t>GF0700001777</t>
  </si>
  <si>
    <t>看东南亚能不能消化</t>
  </si>
  <si>
    <t>26Jun028.04</t>
  </si>
  <si>
    <t>ship to Congo africa-MATADI</t>
  </si>
  <si>
    <t>COSCO KOREA 094W</t>
  </si>
  <si>
    <t>TPVO2026062602</t>
  </si>
  <si>
    <t>CHN3654856</t>
  </si>
  <si>
    <t>26Jun028.01</t>
  </si>
  <si>
    <t>TPVO2026062603</t>
  </si>
  <si>
    <t>CHN3654806</t>
  </si>
  <si>
    <t>26Jun031</t>
  </si>
  <si>
    <t>GF0700002067</t>
  </si>
  <si>
    <t>26Aug010.04</t>
  </si>
  <si>
    <t>Philippines</t>
  </si>
  <si>
    <t>Yes</t>
    <phoneticPr fontId="0" type="noConversion"/>
  </si>
  <si>
    <t>TPVO2026080701</t>
  </si>
  <si>
    <t>PHOENIX D/633S</t>
  </si>
  <si>
    <t>TPVO2026080701-1</t>
  </si>
  <si>
    <t>26Jul015</t>
  </si>
  <si>
    <t>26Jul016</t>
  </si>
  <si>
    <t>26Jul001</t>
  </si>
  <si>
    <t>26Jul002</t>
  </si>
  <si>
    <t>26Jul003</t>
  </si>
  <si>
    <t>26Jul004</t>
  </si>
  <si>
    <t>26Jul005</t>
  </si>
  <si>
    <t>26Jul006</t>
  </si>
  <si>
    <t>26Jul007</t>
  </si>
  <si>
    <t>26Jul008</t>
  </si>
  <si>
    <t>26Jul009</t>
  </si>
  <si>
    <t>凑一柜,ready</t>
  </si>
  <si>
    <t>EGLV149610205048</t>
  </si>
  <si>
    <t>26Jul010</t>
  </si>
  <si>
    <t>26Jul020</t>
  </si>
  <si>
    <t>26Jul011</t>
  </si>
  <si>
    <t>26Jul012</t>
  </si>
  <si>
    <t>26Jul019</t>
  </si>
  <si>
    <t>26Jul017</t>
  </si>
  <si>
    <t>26Jul018</t>
  </si>
  <si>
    <t>26Aug001</t>
  </si>
  <si>
    <t>26Aug002</t>
  </si>
  <si>
    <t>26Aug003</t>
  </si>
  <si>
    <t>26Aug004</t>
  </si>
  <si>
    <t>26Aug006</t>
  </si>
  <si>
    <t>26Aug007</t>
  </si>
  <si>
    <t>26Aug008</t>
    <phoneticPr fontId="0" type="noConversion"/>
  </si>
  <si>
    <t>26Aug010</t>
  </si>
  <si>
    <t>26Aug010.12</t>
  </si>
  <si>
    <t>26Aug025</t>
  </si>
  <si>
    <t>26Aug025.08</t>
  </si>
  <si>
    <t>缅甸，ready</t>
  </si>
  <si>
    <t>合同问题</t>
  </si>
  <si>
    <t>26Aug011</t>
  </si>
  <si>
    <t>26Aug015</t>
  </si>
  <si>
    <t>26Aug016</t>
  </si>
  <si>
    <t>26Aug017</t>
  </si>
  <si>
    <t>26Aug018</t>
  </si>
  <si>
    <t>26Aug018.04</t>
  </si>
  <si>
    <t>26Aug018.03</t>
  </si>
  <si>
    <t>26Aug019</t>
  </si>
  <si>
    <t>26Aug020</t>
  </si>
  <si>
    <t>26Aug021</t>
  </si>
  <si>
    <t>26Aug021.01</t>
  </si>
  <si>
    <t>26Aug022</t>
  </si>
  <si>
    <t>26Aug024</t>
  </si>
  <si>
    <t>26Aug024.3</t>
  </si>
  <si>
    <t>Feb,ready</t>
  </si>
  <si>
    <t>AEU1 天津一周1柜，没有这么多合约舱</t>
  </si>
  <si>
    <t>26Aug024.4</t>
  </si>
  <si>
    <t>March,ready</t>
  </si>
  <si>
    <t>26Aug024.5</t>
  </si>
  <si>
    <t>April,ready</t>
  </si>
  <si>
    <t>26Oct001</t>
  </si>
  <si>
    <t>GF0700002273</t>
  </si>
  <si>
    <t>26Oct001.01</t>
  </si>
  <si>
    <t>26Oct001.04</t>
  </si>
  <si>
    <t>26Oct001.02</t>
  </si>
  <si>
    <t>26Oct001.03</t>
  </si>
  <si>
    <t>26Oct002</t>
  </si>
  <si>
    <t>GF0700002322</t>
  </si>
  <si>
    <t>HSM-ND66-GR635</t>
  </si>
  <si>
    <t>26Oct002.01</t>
  </si>
  <si>
    <t>26Oct003</t>
  </si>
  <si>
    <t>26Oct003.07</t>
  </si>
  <si>
    <t>26Oct003.09</t>
  </si>
  <si>
    <t>26Oct003.10</t>
  </si>
  <si>
    <t>26Oct003.01</t>
  </si>
  <si>
    <t>Jan&amp;Feb，10/27</t>
  </si>
  <si>
    <t>26Oct003.04</t>
  </si>
  <si>
    <t>March，10/28</t>
  </si>
  <si>
    <t>26Oct003.05</t>
  </si>
  <si>
    <t>w02 PICK-UP</t>
  </si>
  <si>
    <t>Aril，11/8</t>
  </si>
  <si>
    <t>26Oct003.06</t>
  </si>
  <si>
    <t>w10 PICK-UP</t>
  </si>
  <si>
    <t>June，11/8</t>
  </si>
  <si>
    <t>26Oct003.08</t>
  </si>
  <si>
    <t>Aug，11/8</t>
  </si>
  <si>
    <t>26Oct004</t>
  </si>
  <si>
    <t>26Oct004.08</t>
  </si>
  <si>
    <t>26Oct004.10</t>
  </si>
  <si>
    <t>26Oct004.11</t>
  </si>
  <si>
    <t>7个柜10/28</t>
  </si>
  <si>
    <t>26Oct004.06</t>
  </si>
  <si>
    <t>March,11/8</t>
  </si>
  <si>
    <t>26Oct004.07</t>
  </si>
  <si>
    <t>w04 PICK-UP</t>
  </si>
  <si>
    <t>May,11/8</t>
  </si>
  <si>
    <t>26Oct004.09</t>
  </si>
  <si>
    <t>July,11/8</t>
  </si>
  <si>
    <t>26Oct005</t>
  </si>
  <si>
    <t>26Oct005.04</t>
  </si>
  <si>
    <t>PL0126090800023</t>
  </si>
  <si>
    <t>26Oct005.01</t>
  </si>
  <si>
    <t>26Oct005.02</t>
  </si>
  <si>
    <t>26Oct005.03</t>
  </si>
  <si>
    <t>26Oct006</t>
  </si>
  <si>
    <t>26Oct006.07</t>
  </si>
  <si>
    <t>COSU9510940900</t>
  </si>
  <si>
    <t>26Oct006.01</t>
  </si>
  <si>
    <t>26Oct006.03</t>
  </si>
  <si>
    <t>26Oct007</t>
  </si>
  <si>
    <t>26Oct007.13</t>
  </si>
  <si>
    <t>11/4产完，部分要换成TCL 490</t>
  </si>
  <si>
    <t>26Oct009.24</t>
  </si>
  <si>
    <t>26Oct009.25</t>
  </si>
  <si>
    <t>11/4产完</t>
  </si>
  <si>
    <t>26Oct009.26</t>
  </si>
  <si>
    <t>26Oct009.27</t>
  </si>
  <si>
    <t>26Oct009.28</t>
  </si>
  <si>
    <t>IT进口商标签,11/1</t>
  </si>
  <si>
    <t>26Oct009.29</t>
  </si>
  <si>
    <t>IT进口商标签,11/4产完</t>
  </si>
  <si>
    <t>26Oct009.30</t>
  </si>
  <si>
    <t>26Oct009.23</t>
  </si>
  <si>
    <t>26Oct009.19</t>
  </si>
  <si>
    <t>BE0126100800031</t>
  </si>
  <si>
    <t>26Oct009.05</t>
  </si>
  <si>
    <t>26Oct009.06</t>
  </si>
  <si>
    <t>26Oct010</t>
  </si>
  <si>
    <t>26Oct010.4</t>
  </si>
  <si>
    <t>26Oct012</t>
  </si>
  <si>
    <t>26Oct012.3</t>
  </si>
  <si>
    <t>26Oct013</t>
  </si>
  <si>
    <t>GF0700002340</t>
  </si>
  <si>
    <t>HSM-NT48-HH485</t>
  </si>
  <si>
    <t>26Oct013.1</t>
  </si>
  <si>
    <t>26Oct013.2</t>
  </si>
  <si>
    <t>26Oct013.3</t>
  </si>
  <si>
    <t>26Oct013.4</t>
  </si>
  <si>
    <t>26Oct014</t>
  </si>
  <si>
    <t>26Oct014.01</t>
  </si>
  <si>
    <t>26Oct015</t>
  </si>
  <si>
    <t>26Oct016</t>
  </si>
  <si>
    <t>26Oct016.02</t>
  </si>
  <si>
    <t>SDESM</t>
  </si>
  <si>
    <t>AEU3, ETA 12/29, ready</t>
  </si>
  <si>
    <t>26Oct017</t>
  </si>
  <si>
    <t>GF0700001556</t>
  </si>
  <si>
    <t>未排产</t>
  </si>
  <si>
    <t>26Oct018</t>
  </si>
  <si>
    <t>GF0700000845</t>
  </si>
  <si>
    <t>HSM-ND66-GK715 CFP</t>
  </si>
  <si>
    <t>26Oct018.01</t>
  </si>
  <si>
    <t>Chevenon Tier 1</t>
  </si>
  <si>
    <t>ETA Week4,11/27</t>
  </si>
  <si>
    <t>26Oct018.02</t>
  </si>
  <si>
    <t>ETA Week5,11/27</t>
  </si>
  <si>
    <t>26Oct018.03</t>
  </si>
  <si>
    <t>ETA Week7,11/27</t>
  </si>
  <si>
    <t>26Oct018.04</t>
  </si>
  <si>
    <t>w03 PICK-UP</t>
  </si>
  <si>
    <t>ETA Week12,11/27</t>
  </si>
  <si>
    <t>26Oct018.05</t>
  </si>
  <si>
    <t>ETA Week13,11/27</t>
  </si>
  <si>
    <t>26Oct018.06</t>
  </si>
  <si>
    <t>w06 PICK-UP</t>
  </si>
  <si>
    <t>ETA Week15,11/27</t>
  </si>
  <si>
    <t>26Oct018.07</t>
  </si>
  <si>
    <t>w07 PICK-UP</t>
  </si>
  <si>
    <t>ETA Week16,11/27</t>
  </si>
  <si>
    <t>26Oct019</t>
  </si>
  <si>
    <t>GF0700001994</t>
  </si>
  <si>
    <t>HSM-ND66-GK720 CFP</t>
  </si>
  <si>
    <t>26Oct019.01</t>
  </si>
  <si>
    <t>ETA Week6,11/27</t>
  </si>
  <si>
    <t>26Oct019.02</t>
  </si>
  <si>
    <t>w01 PICK-UP</t>
  </si>
  <si>
    <t>ETA Week10,11/27</t>
  </si>
  <si>
    <t>26Oct019.03</t>
  </si>
  <si>
    <t>ETA Week11,11/27</t>
  </si>
  <si>
    <t>26Oct019.04</t>
  </si>
  <si>
    <t>w08 PICK-UP</t>
  </si>
  <si>
    <t>ETA Week17,11/27</t>
  </si>
  <si>
    <t>26Oct019.05</t>
  </si>
  <si>
    <t>w09 PICK-UP</t>
  </si>
  <si>
    <t>ETA Week18,11/27</t>
  </si>
  <si>
    <t>26Oct020</t>
  </si>
  <si>
    <t>GF0700002187</t>
  </si>
  <si>
    <t>HSM-BD66-GR655 CFP</t>
  </si>
  <si>
    <t xml:space="preserve"> ±1000mm </t>
  </si>
  <si>
    <t>26Oct020.01</t>
  </si>
  <si>
    <t>CORSICASOLE</t>
  </si>
  <si>
    <t>ETA Week5,11/21</t>
  </si>
  <si>
    <t>26Oct020.02</t>
  </si>
  <si>
    <t>ETA Week6,11/21</t>
  </si>
  <si>
    <t>26Oct021</t>
  </si>
  <si>
    <t>GF0700002101</t>
  </si>
  <si>
    <t>HSM-BD66-GR650 CFP</t>
  </si>
  <si>
    <t>26Oct021.01</t>
  </si>
  <si>
    <t>LINX01 - Linxe</t>
  </si>
  <si>
    <t>ETA W04,12/5</t>
  </si>
  <si>
    <t>26Oct021.02</t>
  </si>
  <si>
    <t>ETA W05,12/5</t>
  </si>
  <si>
    <t>26Oct021.03</t>
  </si>
  <si>
    <t>ETA W06,12/5</t>
  </si>
  <si>
    <t>26Oct021.04</t>
  </si>
  <si>
    <t>ETA W07,12/5</t>
  </si>
  <si>
    <t>26Oct022</t>
  </si>
  <si>
    <t>GF0700002102</t>
  </si>
  <si>
    <t>26Oct022.01</t>
  </si>
  <si>
    <t>CHAN01 - Chantenay</t>
  </si>
  <si>
    <t>w05 PICK-UP</t>
  </si>
  <si>
    <t>ETA W16,12/5</t>
  </si>
  <si>
    <t>26Oct022.02</t>
  </si>
  <si>
    <t>ETA W17,12/5</t>
  </si>
  <si>
    <t>26Oct022.03</t>
  </si>
  <si>
    <t>ETA W18,12/5</t>
  </si>
  <si>
    <t>26Oct022.04</t>
  </si>
  <si>
    <t>ETA W19,12/5</t>
  </si>
  <si>
    <t>26Oct022.05</t>
  </si>
  <si>
    <t>ETA W20,12/5</t>
  </si>
  <si>
    <t>26Oct023</t>
  </si>
  <si>
    <t>GF0700002188</t>
  </si>
  <si>
    <t>26Oct023.01</t>
  </si>
  <si>
    <t>SOREGIES</t>
  </si>
  <si>
    <t>ETA Week2,11/21</t>
  </si>
  <si>
    <t>26Oct023.02</t>
  </si>
  <si>
    <t>ETA Week3,11/21</t>
  </si>
  <si>
    <t>26Oct024</t>
  </si>
  <si>
    <t>GF0700002373</t>
  </si>
  <si>
    <t>S4-DG480- 48TFB+</t>
  </si>
  <si>
    <t>单面黑77柜 11/21</t>
  </si>
  <si>
    <t>26Oct025</t>
  </si>
  <si>
    <t>GF0700002370</t>
  </si>
  <si>
    <t>S4-DG485- 48TFB+</t>
  </si>
  <si>
    <t>26Oct026</t>
  </si>
  <si>
    <t>GF0700002371</t>
  </si>
  <si>
    <t>S4-DG485- 48TW+</t>
  </si>
  <si>
    <t>单面白49柜 12/2</t>
  </si>
  <si>
    <t>26Oct027</t>
  </si>
  <si>
    <t>GF0700002372</t>
  </si>
  <si>
    <t>S4-DG490- 48TW+</t>
  </si>
  <si>
    <t>26Oct028</t>
  </si>
  <si>
    <t>Dec</t>
  </si>
  <si>
    <t>26Oct029</t>
  </si>
  <si>
    <t>26Nov001</t>
  </si>
  <si>
    <t>11/7-11/20每天2.5MW</t>
  </si>
  <si>
    <t>26Nov002</t>
  </si>
  <si>
    <t>26Nov003</t>
  </si>
  <si>
    <t>Quzhou/Yixing</t>
  </si>
  <si>
    <t>11/4-11/15每天3.5MW，11/16-11/24每天5MW</t>
  </si>
  <si>
    <t>26Nov004</t>
  </si>
  <si>
    <t>26Nov005</t>
  </si>
  <si>
    <t>26Nov006</t>
  </si>
  <si>
    <t>26Nov007</t>
  </si>
  <si>
    <t>GF0700002158</t>
  </si>
  <si>
    <t>HSM-NT48-JH485 CFP</t>
  </si>
  <si>
    <t>26Nov008</t>
  </si>
  <si>
    <t>26Nov009</t>
  </si>
  <si>
    <t>G2G / Planning</t>
    <phoneticPr fontId="0" type="noConversion"/>
  </si>
  <si>
    <t>Product Type</t>
  </si>
  <si>
    <t>CT Mark</t>
  </si>
  <si>
    <t>COMPLETED or IN-TRANSIT</t>
  </si>
  <si>
    <t>Incoterm</t>
  </si>
  <si>
    <t>Column1</t>
  </si>
  <si>
    <t>25NOV001.02</t>
  </si>
  <si>
    <t>WUXI</t>
  </si>
  <si>
    <t xml:space="preserve">DAP </t>
  </si>
  <si>
    <t>GF0700001437</t>
  </si>
  <si>
    <t>1P-CT meter G1</t>
  </si>
  <si>
    <t>SP-ARSH-MC-G1</t>
  </si>
  <si>
    <t>POPV260126050</t>
  </si>
  <si>
    <t>EVER GOODS</t>
  </si>
  <si>
    <t>TPVB20251106002</t>
  </si>
  <si>
    <t>COSU6436251160</t>
  </si>
  <si>
    <t>25NOV002.02</t>
  </si>
  <si>
    <t>GF0700001436</t>
  </si>
  <si>
    <t>3P-CT meter G1</t>
  </si>
  <si>
    <t>SP-SRTH-MC-G1</t>
  </si>
  <si>
    <t>25OCT001.01</t>
  </si>
  <si>
    <t>GF0700001010</t>
  </si>
  <si>
    <t>Hybrid Inverter</t>
  </si>
  <si>
    <t>SP-ARSH-6kW-G1</t>
  </si>
  <si>
    <t>POPV260126046</t>
  </si>
  <si>
    <t>25OCT001.02</t>
  </si>
  <si>
    <t>25OCT002</t>
  </si>
  <si>
    <t>GF0700001011</t>
  </si>
  <si>
    <t>SP-ARSH-8kW-G1</t>
  </si>
  <si>
    <t>25OCT003</t>
  </si>
  <si>
    <t>GF0700001012</t>
  </si>
  <si>
    <t>SP-ARSH-10kW-G1</t>
  </si>
  <si>
    <t>25OCT004.01</t>
  </si>
  <si>
    <t>GF0700000973</t>
  </si>
  <si>
    <t>High voltage distribution box</t>
  </si>
  <si>
    <t>SP-RAH-HVB571-G1</t>
  </si>
  <si>
    <t>POPV260126047</t>
  </si>
  <si>
    <t>25OCT004.02</t>
  </si>
  <si>
    <t>25OCT006.FREE</t>
  </si>
  <si>
    <t>Aftersales</t>
  </si>
  <si>
    <t>25OCT007.FREE</t>
  </si>
  <si>
    <t>25OCT008.FREE</t>
  </si>
  <si>
    <t>25OCT009.FREE</t>
  </si>
  <si>
    <t>25DEC001.02</t>
  </si>
  <si>
    <t>GF0700000940</t>
  </si>
  <si>
    <t>Rechargeable Li-ion Battery</t>
  </si>
  <si>
    <t>SP-RH-B5K-G1</t>
  </si>
  <si>
    <t>CT01</t>
  </si>
  <si>
    <t>INTRANSIT</t>
  </si>
  <si>
    <t>POPV260210009</t>
  </si>
  <si>
    <t>BRISBANE MAERSK/606W</t>
  </si>
  <si>
    <t>TPVB20260122002</t>
  </si>
  <si>
    <t>25DEC001.03</t>
  </si>
  <si>
    <t>CT02</t>
  </si>
  <si>
    <t>25DEC002</t>
  </si>
  <si>
    <t>GF0700000085</t>
  </si>
  <si>
    <t>SP-ARSH-5kW-G1</t>
  </si>
  <si>
    <t>CT03</t>
  </si>
  <si>
    <t>POPV260210007</t>
  </si>
  <si>
    <t>TPVB20260122001</t>
  </si>
  <si>
    <t>COSU9505917900</t>
  </si>
  <si>
    <t>25DEC002.FREE</t>
  </si>
  <si>
    <t>25DEC003</t>
  </si>
  <si>
    <t>25DEC003.FREE</t>
  </si>
  <si>
    <t>25DEC004</t>
  </si>
  <si>
    <t>25DEC003.01</t>
  </si>
  <si>
    <t>CT04</t>
  </si>
  <si>
    <t>POPV260210010</t>
  </si>
  <si>
    <t>25DEC004.01</t>
  </si>
  <si>
    <t>Local WH+After sales</t>
  </si>
  <si>
    <t>CT05</t>
  </si>
  <si>
    <t>POPV260210008</t>
  </si>
  <si>
    <t>25DEC004.FREE</t>
  </si>
  <si>
    <t>25JULY002-02</t>
  </si>
  <si>
    <t>n/a TCL HK direct sale</t>
  </si>
  <si>
    <t>SAS Gerasol</t>
  </si>
  <si>
    <t>Gerasol La Réunion</t>
  </si>
  <si>
    <t>CT01-20GP</t>
  </si>
  <si>
    <t>TPVO2025101718</t>
  </si>
  <si>
    <t>25JULY004-04</t>
  </si>
  <si>
    <t>GF0700000089</t>
  </si>
  <si>
    <t>25JULY005-04</t>
  </si>
  <si>
    <t>GF0700000040</t>
  </si>
  <si>
    <t>25DEC001.01</t>
  </si>
  <si>
    <t>25DEC001</t>
  </si>
  <si>
    <t>POPV260304016</t>
  </si>
  <si>
    <t>ROTTERDAM EXPRESS/607W</t>
  </si>
  <si>
    <t>TPVB20260205001</t>
  </si>
  <si>
    <t>25DEC001.FREE</t>
  </si>
  <si>
    <t>Local WH - Aftersales - SPTN W74</t>
  </si>
  <si>
    <t>25JULY005-05</t>
  </si>
  <si>
    <t>GF0700000040-&gt;GF0700000940</t>
  </si>
  <si>
    <t>25JULY002-03</t>
  </si>
  <si>
    <t>25JULY004-05</t>
  </si>
  <si>
    <t>Local WH - Aftersales - SPTN W74 - 1*BAT MC4+ connector
 1*BAT MC4- connector
 1*BAT MC4+ Metal terminal
 1*BAT MC4- Metal terminal</t>
  </si>
  <si>
    <t>GF0700001855</t>
  </si>
  <si>
    <t>3P INV BAT Connector</t>
  </si>
  <si>
    <t>SP-SRTH-AIBC-G1</t>
  </si>
  <si>
    <t>Local WH - Aftersales - SPTN W74 - 1*PV MC4+ connector
 1*PV MC4- connector
 1*PV MC4+ Metal terminal
 1*PV MC4- Metal terminal</t>
  </si>
  <si>
    <t>GF0700001856</t>
  </si>
  <si>
    <t>3P INV PV Connector</t>
  </si>
  <si>
    <t>SP-SRTH-AIPC-G1</t>
  </si>
  <si>
    <t>Local WH - Aftersales - SPTN W74 - Rj45 Connector</t>
  </si>
  <si>
    <t>GF0700001847</t>
  </si>
  <si>
    <t>3P H-Box RJ45 Plug</t>
  </si>
  <si>
    <t>SP-SRTH-AHRJP-G1</t>
  </si>
  <si>
    <t>26JAN004</t>
  </si>
  <si>
    <t>Local WH - Aftersales - SPTN W74 - Energy meter, ACREL ACR10RH-D16T,3P CT meter matches up with SP-SRTH-xkW-G1, 5 years warranty, three phase meter, IEC, 3*CTs, 1*RS485, 3*Analog inputs, indoor IP 20</t>
  </si>
  <si>
    <t>3P CT meter G1</t>
  </si>
  <si>
    <t>Local WH - Aftersales - SPTN W74 - COM Accessories</t>
  </si>
  <si>
    <t>GF0700001837</t>
  </si>
  <si>
    <t>3P INV COM Accessories</t>
  </si>
  <si>
    <t>SP-SRTH-AIACOM-G1</t>
  </si>
  <si>
    <t>Local WH - Aftersales - SPTN W74 - Backplane</t>
  </si>
  <si>
    <t>GF0700001836</t>
  </si>
  <si>
    <t>3P INV Sheet Metal Parts</t>
  </si>
  <si>
    <t>SP-SRTH-AISMP-G1</t>
  </si>
  <si>
    <t>Local WH - Aftersales - SPTN W74 - Φ10*60 Expansion Bolt</t>
  </si>
  <si>
    <t>GF0700001838</t>
  </si>
  <si>
    <t>3P INV 10*60 Expansion Bolt</t>
  </si>
  <si>
    <t>SP-ARSH-AI10EB60-G1</t>
  </si>
  <si>
    <t>26JAN008</t>
  </si>
  <si>
    <t>Local WH - Aftersales - SPTN W74 - M4*14 Screws</t>
  </si>
  <si>
    <t>GF0700001839</t>
  </si>
  <si>
    <t>3P INV M4x14 screw</t>
  </si>
  <si>
    <t>SP-ARSH-AI4S14-G1</t>
  </si>
  <si>
    <t>26JAN009</t>
  </si>
  <si>
    <t>Local WH - Aftersales - SPTN W74 - GRID Accessories</t>
  </si>
  <si>
    <t>GF0700001854</t>
  </si>
  <si>
    <t>3P INV GRID Accessories</t>
  </si>
  <si>
    <t>SP-SRTH-AIAGRID-G1</t>
  </si>
  <si>
    <t>26JAN010</t>
  </si>
  <si>
    <t>Local WH - Aftersales - SPTN W74 - EPS Accessories</t>
  </si>
  <si>
    <t>GF0700001853</t>
  </si>
  <si>
    <t>3P INV EPS Accessories</t>
  </si>
  <si>
    <t>SP-SRTH-AIAEPS-G1</t>
  </si>
  <si>
    <t>26JAN011</t>
  </si>
  <si>
    <t>GF0700001823</t>
  </si>
  <si>
    <t>1P INV PV Connector</t>
  </si>
  <si>
    <t>SP-ARSH-AIPC-G1</t>
  </si>
  <si>
    <t>26JAN012</t>
  </si>
  <si>
    <t>GF0700001824</t>
  </si>
  <si>
    <t>1P INV RJ45 Plug</t>
  </si>
  <si>
    <t>SP-ARSH-AIRJP-G1</t>
  </si>
  <si>
    <t>26JAN013</t>
  </si>
  <si>
    <t>Local WH - Aftersales - SPTN W74 - Energy meter, ACREL ACR10R-D16TE,1P CT meter matches up with SP-ARSH-xkW-G1, 5 years warranty, single phase meter, IEC, 1*CT, 1*RS485, 1*Analog input, indoor IP 20</t>
  </si>
  <si>
    <t>1P CT meter G1</t>
  </si>
  <si>
    <t>26JAN014</t>
  </si>
  <si>
    <t>Local WH - Aftersales - SPTN W74 - Wall Mounting Plate</t>
  </si>
  <si>
    <t>GF0700001857</t>
  </si>
  <si>
    <t>1P INV Wall Mounting Plate</t>
  </si>
  <si>
    <t>SP-ARSH-AIWMP-G1</t>
  </si>
  <si>
    <t>26JAN015</t>
  </si>
  <si>
    <t>Local WH - Aftersales - SPTN W74 -  Φ10*60Expansion Bolt</t>
  </si>
  <si>
    <t>GF0700001845</t>
  </si>
  <si>
    <t>1P INV 10*60 Expansion Bolt</t>
  </si>
  <si>
    <t>SP-ARSH-AIE10B60-G1</t>
  </si>
  <si>
    <t>26JAN016</t>
  </si>
  <si>
    <t>Local WH - Aftersales - SPTN W74 - Sheet Metal Bracket</t>
  </si>
  <si>
    <t>GF0700001843</t>
  </si>
  <si>
    <t>1P INV Sheet Metal Bracket</t>
  </si>
  <si>
    <t>SP-ARSH-AISMB-G1</t>
  </si>
  <si>
    <t>26JAN017</t>
  </si>
  <si>
    <t>Local WH - Aftersales - SPTN W74 - M4*10 Nut</t>
  </si>
  <si>
    <t>GF0700001826</t>
  </si>
  <si>
    <t>1P INV M4x10 Nut</t>
  </si>
  <si>
    <t>SP-ARSH-AI4N10-G1</t>
  </si>
  <si>
    <t>26FEB001</t>
  </si>
  <si>
    <t>Huizhou</t>
  </si>
  <si>
    <t>Local WH - SPTN W72</t>
  </si>
  <si>
    <t>GF0700001862</t>
  </si>
  <si>
    <t>C&amp;I ESS cabinet</t>
  </si>
  <si>
    <t>BlueArk X5-50K-100</t>
  </si>
  <si>
    <t>POPV260312007</t>
  </si>
  <si>
    <t>YANTIAN</t>
  </si>
  <si>
    <t>HAMBURG EXPRESS / 610W</t>
  </si>
  <si>
    <t>TPVB20260210001</t>
  </si>
  <si>
    <t>26APR005.01</t>
  </si>
  <si>
    <t>Wuxi</t>
  </si>
  <si>
    <t>1P meter</t>
  </si>
  <si>
    <t>N/A</t>
  </si>
  <si>
    <t>Airfreight</t>
  </si>
  <si>
    <t>POPV260422001</t>
  </si>
  <si>
    <t>VILLEFRANCHE SUR SAONE</t>
  </si>
  <si>
    <t>TPVB20260421001</t>
  </si>
  <si>
    <t>DHL#2909011206</t>
  </si>
  <si>
    <t>26APR011</t>
  </si>
  <si>
    <t>w18 PICK-UP</t>
  </si>
  <si>
    <t>POPV260508004</t>
  </si>
  <si>
    <t>TIHAMA / 618W</t>
  </si>
  <si>
    <t>TPVB20260421002</t>
  </si>
  <si>
    <t>SYNSHA26SE050757</t>
  </si>
  <si>
    <t>26APR016</t>
  </si>
  <si>
    <t>w19 PICK-UP</t>
  </si>
  <si>
    <t xml:space="preserve">
POPV260508003</t>
  </si>
  <si>
    <t>CMA CGM YUKON / 0R108W1MA</t>
  </si>
  <si>
    <t>TPVB20260424001</t>
  </si>
  <si>
    <t>SHZ8076557</t>
  </si>
  <si>
    <t>26FEB002</t>
  </si>
  <si>
    <t>Xuancheng</t>
  </si>
  <si>
    <t>Non-EU Goodwe</t>
  </si>
  <si>
    <t>GF0700001793</t>
  </si>
  <si>
    <t>TCL-SRSL6G1-AS</t>
  </si>
  <si>
    <t>PB0626061100001</t>
  </si>
  <si>
    <t>MAERSK BERMUDA/622E</t>
  </si>
  <si>
    <t>TPVO2026051501</t>
  </si>
  <si>
    <t>26FEB002. FREE</t>
  </si>
  <si>
    <t>26FEB003</t>
  </si>
  <si>
    <t>GF0700001801</t>
  </si>
  <si>
    <t xml:space="preserve">TCL-RLB14.3G1-AS	</t>
  </si>
  <si>
    <t>26FEB003. FREE</t>
  </si>
  <si>
    <t>26MAR001</t>
  </si>
  <si>
    <t>TCL Energy Solution Co.,Ltd</t>
  </si>
  <si>
    <t>GF0700001887</t>
  </si>
  <si>
    <t>w13 PICK-UP</t>
  </si>
  <si>
    <t>SHEKOU</t>
  </si>
  <si>
    <t>CNC SERVAL / 0XWB6S1NC</t>
  </si>
  <si>
    <t>TPVO2026033001</t>
  </si>
  <si>
    <t>CMZ1843548</t>
  </si>
  <si>
    <t>26APR001.01</t>
  </si>
  <si>
    <t>Local WH - SPTN W75</t>
  </si>
  <si>
    <t>POPV260515062</t>
  </si>
  <si>
    <t>ONE TRADITION / 0029W</t>
  </si>
  <si>
    <t>TPVB20260429002</t>
  </si>
  <si>
    <t>SYNSHA26SE051064</t>
  </si>
  <si>
    <t>HDMUSHAZPSL96400</t>
  </si>
  <si>
    <t>25JULY002-04</t>
  </si>
  <si>
    <t>26APR002</t>
  </si>
  <si>
    <t>26APR002.FREE</t>
  </si>
  <si>
    <t>26APR003.01</t>
  </si>
  <si>
    <t>High Voltage Distribution Box</t>
  </si>
  <si>
    <t>25JULY004-06</t>
  </si>
  <si>
    <t>26APR005</t>
  </si>
  <si>
    <t>26APR001</t>
  </si>
  <si>
    <t>w20 PICK-UP</t>
  </si>
  <si>
    <t>POPV260515058</t>
  </si>
  <si>
    <t>TPVB20260429003</t>
  </si>
  <si>
    <t>COSU6500301120</t>
  </si>
  <si>
    <t>26APR001.FREE</t>
  </si>
  <si>
    <t>26APR003.02</t>
  </si>
  <si>
    <t>26APR003.FREE</t>
  </si>
  <si>
    <t>26APR004.01</t>
  </si>
  <si>
    <t xml:space="preserve">Rechargeable Li-ion Battery </t>
  </si>
  <si>
    <t>CT04&amp;CT05</t>
  </si>
  <si>
    <t>POPV260515056</t>
  </si>
  <si>
    <t>BERLIN EXPRESS / 621W</t>
  </si>
  <si>
    <t>TPVB20260429004</t>
  </si>
  <si>
    <t>SYNSHA26SE051696A</t>
  </si>
  <si>
    <t>CHN3395521</t>
  </si>
  <si>
    <t>26APR004.02</t>
  </si>
  <si>
    <t>CT06</t>
  </si>
  <si>
    <t>TPVB20260429001</t>
  </si>
  <si>
    <t>SYNSHA26SE051320A</t>
  </si>
  <si>
    <t>26APR004.FREE</t>
  </si>
  <si>
    <t>26APR006.01</t>
  </si>
  <si>
    <t>POPV260617050</t>
  </si>
  <si>
    <t>TPVB20260524004</t>
  </si>
  <si>
    <t>COSU6503357340</t>
  </si>
  <si>
    <t>26APR006.FREE</t>
  </si>
  <si>
    <t>26APR007</t>
  </si>
  <si>
    <t>26APR007.FREE</t>
  </si>
  <si>
    <t>26APR008.01</t>
  </si>
  <si>
    <t>26APR008.FREE</t>
  </si>
  <si>
    <t>26APR009.01</t>
  </si>
  <si>
    <t xml:space="preserve">CT03 </t>
  </si>
  <si>
    <t>POPV260617049</t>
  </si>
  <si>
    <t>HAMBURG EXPRESS/624W</t>
  </si>
  <si>
    <t>TPVB20260524001</t>
  </si>
  <si>
    <t>26APR009.02</t>
  </si>
  <si>
    <t>POPV260617048</t>
  </si>
  <si>
    <t>BEIJING MAERSK/625W</t>
  </si>
  <si>
    <t>TPVB20260524002</t>
  </si>
  <si>
    <t>26APR009.03</t>
  </si>
  <si>
    <t>POPV260617046</t>
  </si>
  <si>
    <t>GENOVA EXPRESS/625W</t>
  </si>
  <si>
    <t>TPVB20260524003</t>
  </si>
  <si>
    <t>26APR009.04</t>
  </si>
  <si>
    <t>26APR009.FREE</t>
  </si>
  <si>
    <t>26APR006.02</t>
  </si>
  <si>
    <t>CT07</t>
  </si>
  <si>
    <t>POPV260617027</t>
  </si>
  <si>
    <t>TPVB20260524005</t>
  </si>
  <si>
    <t>COSU6503345880</t>
  </si>
  <si>
    <t>26APR008.02</t>
  </si>
  <si>
    <t>26APR010</t>
  </si>
  <si>
    <t>26JUNE008</t>
  </si>
  <si>
    <t>3P meter</t>
  </si>
  <si>
    <t>26MAY001</t>
  </si>
  <si>
    <t>GF0700002031</t>
  </si>
  <si>
    <t xml:space="preserve">1P Current Transformer </t>
  </si>
  <si>
    <t>SP-ARSH-16CTM2-G1</t>
  </si>
  <si>
    <t>26APR006.03</t>
  </si>
  <si>
    <t>CT08</t>
  </si>
  <si>
    <t>26APR013-001</t>
  </si>
  <si>
    <t>GF0700001008</t>
  </si>
  <si>
    <t>SP-SRTH-13kW-G1</t>
  </si>
  <si>
    <t>POPV260702017</t>
  </si>
  <si>
    <t>COSCO SHIPPING SAGITTARIUS 034W</t>
  </si>
  <si>
    <t>TPVB20260524007</t>
  </si>
  <si>
    <t>COSU6504808750</t>
  </si>
  <si>
    <t>26APR014</t>
  </si>
  <si>
    <t>GF0700000971</t>
  </si>
  <si>
    <t>SP-RH-HVB571-G1</t>
  </si>
  <si>
    <t>26APR014-FREE</t>
  </si>
  <si>
    <t>26APR015-001</t>
  </si>
  <si>
    <t>POPV260702016</t>
  </si>
  <si>
    <t>HANOI EXPRESS/627W</t>
  </si>
  <si>
    <t>TPVB20260524006</t>
  </si>
  <si>
    <t>26APR012</t>
  </si>
  <si>
    <t>GF0700001006</t>
  </si>
  <si>
    <t>SP-SRTH-10kW-G1</t>
  </si>
  <si>
    <t>26APR012-FREE</t>
  </si>
  <si>
    <t>26APR013-002</t>
  </si>
  <si>
    <t>26APR013-FREE</t>
  </si>
  <si>
    <t>26APR015-002</t>
  </si>
  <si>
    <t>26APR015-FREE</t>
  </si>
  <si>
    <t>26JUNE002-02</t>
  </si>
  <si>
    <t>CT11-20GP</t>
  </si>
  <si>
    <t>W27 PICK-UP</t>
  </si>
  <si>
    <t>TPVO2026062401</t>
  </si>
  <si>
    <t>POINTE DES GALETS</t>
  </si>
  <si>
    <t>HYUNDAI BUSAN/0K13VW</t>
  </si>
  <si>
    <t>CHN3911896</t>
  </si>
  <si>
    <t>26JUNE003-02</t>
  </si>
  <si>
    <t>26JUNE004-02</t>
  </si>
  <si>
    <t>26JUNE005-02</t>
  </si>
  <si>
    <t>26JUNE005-01</t>
  </si>
  <si>
    <t>Local WH - SPTN W76</t>
  </si>
  <si>
    <t>POPV260720028</t>
  </si>
  <si>
    <t>ADRIAN MAERSK/626W</t>
  </si>
  <si>
    <t>TPVB20260524008</t>
  </si>
  <si>
    <t>26JUNE005-FREE+26JUNE007-FREE</t>
  </si>
  <si>
    <t>26JUNE001</t>
  </si>
  <si>
    <t>POPV260720021</t>
  </si>
  <si>
    <t>CMA CGM ZEPHYR/0MEO9W1MA</t>
  </si>
  <si>
    <t>TPVB20260623001</t>
  </si>
  <si>
    <t>COSU6505830930</t>
  </si>
  <si>
    <t>26JUNE001-FREE</t>
  </si>
  <si>
    <t>26JUNE003-01</t>
  </si>
  <si>
    <t>26JUNE003-FREE</t>
  </si>
  <si>
    <t>26JUNE004-01</t>
  </si>
  <si>
    <t>26JUNE004-FREE</t>
  </si>
  <si>
    <t>26JUNE006</t>
  </si>
  <si>
    <t>26JUNE002-01+26JUL008</t>
  </si>
  <si>
    <t>TPVB20260623002</t>
  </si>
  <si>
    <t>COSU6506636510</t>
  </si>
  <si>
    <r>
      <rPr>
        <sz val="8"/>
        <color rgb="FF000000"/>
        <rFont val="Arial"/>
        <family val="2"/>
      </rPr>
      <t>26JUNE002-FREE+26</t>
    </r>
    <r>
      <rPr>
        <sz val="8"/>
        <color rgb="FFFF0000"/>
        <rFont val="Arial"/>
        <family val="2"/>
      </rPr>
      <t>JUL008-FREE</t>
    </r>
  </si>
  <si>
    <t>26JUNE003</t>
  </si>
  <si>
    <t>26JUNE005-03</t>
  </si>
  <si>
    <t>CT04 &amp; CT05</t>
  </si>
  <si>
    <t>POPV260720026</t>
  </si>
  <si>
    <t>MAERSK HORSBURGH/630W</t>
  </si>
  <si>
    <t>TPVB20260623003</t>
  </si>
  <si>
    <t>26JUL010</t>
  </si>
  <si>
    <t>26JUL010-FREE</t>
  </si>
  <si>
    <t>26JUNE004+26JUL009</t>
  </si>
  <si>
    <t>POPV260720023</t>
  </si>
  <si>
    <t>TPVB20260623004</t>
  </si>
  <si>
    <t>COSU6505851820</t>
  </si>
  <si>
    <t>26JUL009-FREE</t>
  </si>
  <si>
    <t>26JUNE002</t>
  </si>
  <si>
    <t>POPV260729029</t>
  </si>
  <si>
    <t>TPVB20260702001</t>
  </si>
  <si>
    <t>COSU9508314020</t>
  </si>
  <si>
    <t>26JUNE005</t>
  </si>
  <si>
    <t>POPV260729030</t>
  </si>
  <si>
    <t>MANCHESTER MAERSK/629W</t>
  </si>
  <si>
    <t>TPVB20260702002</t>
  </si>
  <si>
    <t>26JUNE007-01</t>
  </si>
  <si>
    <t>CT09</t>
  </si>
  <si>
    <t>POPV260729031</t>
  </si>
  <si>
    <t>AL JMELIYAH/631W</t>
  </si>
  <si>
    <t>TPVB20260702003</t>
  </si>
  <si>
    <t>26JUNE007-02</t>
  </si>
  <si>
    <t>Local WH - SPTN W77</t>
  </si>
  <si>
    <t>CT10</t>
  </si>
  <si>
    <t>26JUL001</t>
  </si>
  <si>
    <t>Local WH / July CT 1</t>
  </si>
  <si>
    <t>POPV260729032</t>
  </si>
  <si>
    <t>TPVB20260702004</t>
  </si>
  <si>
    <t>COSU6508021170</t>
  </si>
  <si>
    <t>26JUL001-FREE</t>
  </si>
  <si>
    <t>26JUL002.01</t>
  </si>
  <si>
    <t>26JUL002-FREE</t>
  </si>
  <si>
    <t>Local WH / July CT 7</t>
  </si>
  <si>
    <t>26JUL003</t>
  </si>
  <si>
    <t>26JUL003-FREE</t>
  </si>
  <si>
    <t>26JUL004.01</t>
  </si>
  <si>
    <t>Local WH / July CT 2</t>
  </si>
  <si>
    <t>26JUL004-FREE</t>
  </si>
  <si>
    <t>Local WH / July CT 5</t>
  </si>
  <si>
    <t>26JUL002.02</t>
  </si>
  <si>
    <t>Local WH / July CT 3</t>
  </si>
  <si>
    <t>POPV260810007</t>
  </si>
  <si>
    <t>COSCO SHIPPING SCORPIO/035W</t>
  </si>
  <si>
    <t>TPVB20260716001</t>
  </si>
  <si>
    <t>COSU6508739820</t>
  </si>
  <si>
    <t>26JUL004.02</t>
  </si>
  <si>
    <t>26JUL006</t>
  </si>
  <si>
    <t>26JUL002.03</t>
  </si>
  <si>
    <t>26JUL005.01</t>
  </si>
  <si>
    <t>Local WH / July CT 4</t>
  </si>
  <si>
    <t>CT05 &amp; CT06</t>
  </si>
  <si>
    <t>POPV260810008</t>
  </si>
  <si>
    <t>ALVA MAERSK/632W</t>
  </si>
  <si>
    <t>TPVB20260716002</t>
  </si>
  <si>
    <t>26JUL005-FREE</t>
  </si>
  <si>
    <t>Local WH / July CT 13</t>
  </si>
  <si>
    <t>26JUL005.02</t>
  </si>
  <si>
    <t>Local WH / July CT 6</t>
  </si>
  <si>
    <t>26JUL005.03</t>
  </si>
  <si>
    <t>Local WH / July CT 8</t>
  </si>
  <si>
    <t>CT08 &amp; CT09</t>
  </si>
  <si>
    <t>POPV260810006</t>
  </si>
  <si>
    <t>TPVB20260716003</t>
  </si>
  <si>
    <t>26JUL005.04</t>
  </si>
  <si>
    <t>Local WH / July CT 10</t>
  </si>
  <si>
    <t>CT10 &amp;CT11</t>
  </si>
  <si>
    <t>26JUL005.05</t>
  </si>
  <si>
    <t>Local WH / July CT 12</t>
  </si>
  <si>
    <t>CT12 &amp;CT13</t>
  </si>
  <si>
    <t>POPV260828015</t>
  </si>
  <si>
    <t>MERETE MAERSK/633W</t>
  </si>
  <si>
    <t>TPVB20260727001</t>
  </si>
  <si>
    <t>26AUG005.01</t>
  </si>
  <si>
    <t>POPV260828023</t>
  </si>
  <si>
    <t>26AUG005-FREE</t>
  </si>
  <si>
    <t>26AUG005.02</t>
  </si>
  <si>
    <t>26AUG002.01</t>
  </si>
  <si>
    <t>POPV260821071</t>
  </si>
  <si>
    <t>CMA CGM OSIRIS/0MEOHW1MA</t>
  </si>
  <si>
    <t>TPVB20260727004</t>
  </si>
  <si>
    <t>COSU6463058470</t>
  </si>
  <si>
    <t>26AUG003.02</t>
  </si>
  <si>
    <t>26AUG004.02</t>
  </si>
  <si>
    <t>26AUG001</t>
  </si>
  <si>
    <t>POPV260828021</t>
  </si>
  <si>
    <t>ANGELICA MAERSK/632W</t>
  </si>
  <si>
    <t>TPVB20260727003</t>
  </si>
  <si>
    <t>26AUG001-FREE</t>
  </si>
  <si>
    <t>26AUG002-FREE</t>
  </si>
  <si>
    <t>26AUG003.01</t>
  </si>
  <si>
    <t>26AUG003-FREE</t>
  </si>
  <si>
    <t>26AUG004.01</t>
  </si>
  <si>
    <t>26AUG004-FREE</t>
  </si>
  <si>
    <t>26AUG006</t>
  </si>
  <si>
    <t>26AUG002.02</t>
  </si>
  <si>
    <t>26AUG004.03</t>
  </si>
  <si>
    <t>26AUG007</t>
  </si>
  <si>
    <t>26AUG002.03</t>
  </si>
  <si>
    <t>POPV260828016</t>
  </si>
  <si>
    <t>TPVB20260811004</t>
  </si>
  <si>
    <t>COSU9509161900</t>
  </si>
  <si>
    <t>26AUG004.04</t>
  </si>
  <si>
    <t>26AUG002.04</t>
  </si>
  <si>
    <t>26AUG004.05</t>
  </si>
  <si>
    <t>26AUG005.03</t>
  </si>
  <si>
    <t>CT09&amp;CT10</t>
  </si>
  <si>
    <t>POPV260911025</t>
  </si>
  <si>
    <t>AL DAHNA EXPRESS/637W</t>
  </si>
  <si>
    <t>TPVB20260828001</t>
  </si>
  <si>
    <t>26AUG002.05</t>
  </si>
  <si>
    <t>CT11</t>
  </si>
  <si>
    <t>POPV260904025</t>
  </si>
  <si>
    <t>TPVB20260811006</t>
  </si>
  <si>
    <t>COSU9509365680</t>
  </si>
  <si>
    <t>26AUG004.06</t>
  </si>
  <si>
    <t>26AUG002.06</t>
  </si>
  <si>
    <t>CT12</t>
  </si>
  <si>
    <t>26AUG004.07</t>
  </si>
  <si>
    <t>26AUG005.04</t>
  </si>
  <si>
    <t>CT13&amp;CT14</t>
  </si>
  <si>
    <t>POPV260911026</t>
  </si>
  <si>
    <t>EUGEN MAERSK / 637W</t>
  </si>
  <si>
    <t>TPVB20260811002</t>
  </si>
  <si>
    <t>26AUG005.05</t>
  </si>
  <si>
    <t>CT15&amp;CT16</t>
  </si>
  <si>
    <t>POPV260918058</t>
  </si>
  <si>
    <t>ALETTE MAERSK / 638W</t>
  </si>
  <si>
    <t>TPVB20260811003</t>
  </si>
  <si>
    <t>26AUG005.06</t>
  </si>
  <si>
    <t>CT17&amp;CT18</t>
  </si>
  <si>
    <t>POPV260918056</t>
  </si>
  <si>
    <t>MANILA MAERSK / 638W</t>
  </si>
  <si>
    <t>TPVB20260811001</t>
  </si>
  <si>
    <t>26AUG008</t>
  </si>
  <si>
    <t xml:space="preserve">Huizhou </t>
  </si>
  <si>
    <t>GF0700002010</t>
  </si>
  <si>
    <t>BlueArk W10 C&amp;I system cabinet 125kW/261</t>
  </si>
  <si>
    <t>BlueArk W10 125kW/261</t>
  </si>
  <si>
    <t>CT19 &amp;CT20&amp;CT21</t>
  </si>
  <si>
    <t>w31  PICK-UP</t>
  </si>
  <si>
    <t>POPV260828024</t>
  </si>
  <si>
    <t>TPVB20260727002</t>
  </si>
  <si>
    <t>EGLV149606753567</t>
  </si>
  <si>
    <t>149606753567</t>
  </si>
  <si>
    <t>26AUG010.01</t>
  </si>
  <si>
    <t>HUIZHOU</t>
  </si>
  <si>
    <t>GF0700001956</t>
  </si>
  <si>
    <t>TCL BlueArk X1 8kw inverter</t>
  </si>
  <si>
    <t>BlueArk X1 8kw 1P hybrid Inverter</t>
  </si>
  <si>
    <t>CT22-20GP</t>
  </si>
  <si>
    <t>W34 PICK-UP</t>
  </si>
  <si>
    <t>BANGKOK</t>
  </si>
  <si>
    <t>MTT BANGKOK/24S</t>
  </si>
  <si>
    <t>GOSUSHH32293311</t>
  </si>
  <si>
    <t>26AUG011.01</t>
  </si>
  <si>
    <t>GF0700001959</t>
  </si>
  <si>
    <t>TCL BlueArk X1 8kwh master pack</t>
  </si>
  <si>
    <t>BlueArk X1 8kwh master pack</t>
  </si>
  <si>
    <t>26AUG012</t>
  </si>
  <si>
    <t>GF0700001958</t>
  </si>
  <si>
    <t>TCL BlueArk X1 8kwh slaver pack</t>
  </si>
  <si>
    <t>BlueArk X1 8kwh slave pack</t>
  </si>
  <si>
    <t>26AUG010.02</t>
  </si>
  <si>
    <t>26AUG011.02</t>
  </si>
  <si>
    <t>26SEP002.05</t>
  </si>
  <si>
    <t>W36 PICK-UP</t>
  </si>
  <si>
    <t>POPV260911027</t>
  </si>
  <si>
    <t>EVELYN MAERSK/636W</t>
  </si>
  <si>
    <t>TPVB20260811005</t>
  </si>
  <si>
    <t>26SEP003.02</t>
  </si>
  <si>
    <t>26SEP004.05</t>
  </si>
  <si>
    <t>26SEP008.06</t>
  </si>
  <si>
    <t>26SEP002.02</t>
  </si>
  <si>
    <t>W37 PICK-UP</t>
  </si>
  <si>
    <t>POPV260911024</t>
  </si>
  <si>
    <t>TPVB20260828003</t>
  </si>
  <si>
    <t>COSU9509675570</t>
  </si>
  <si>
    <t>26SEP004.02</t>
  </si>
  <si>
    <t>26SEP001.02</t>
  </si>
  <si>
    <t>CT17</t>
  </si>
  <si>
    <t>W37 PICK UP</t>
  </si>
  <si>
    <t>POPV260923007</t>
  </si>
  <si>
    <t>London Gateway</t>
  </si>
  <si>
    <t>TPVB20260828002</t>
  </si>
  <si>
    <t>26SEP002.06</t>
  </si>
  <si>
    <t>26SEP004.06</t>
  </si>
  <si>
    <t>26SEP008.07</t>
  </si>
  <si>
    <t>26SEP002.01</t>
  </si>
  <si>
    <t>W38 PICK-UP</t>
  </si>
  <si>
    <t xml:space="preserve">
POPV260918057</t>
  </si>
  <si>
    <t>CMA CGM MARCO POLO/0MEOTW1MA</t>
  </si>
  <si>
    <t>TPVB20260903002</t>
  </si>
  <si>
    <t>COSU9509801490</t>
  </si>
  <si>
    <t>26SEP003.01</t>
  </si>
  <si>
    <t>26SEP003-FREE</t>
  </si>
  <si>
    <t>26SEP004.01</t>
  </si>
  <si>
    <t>26SEP001.01</t>
  </si>
  <si>
    <t xml:space="preserve">
POPV260929035</t>
  </si>
  <si>
    <t>OOCL SCANDINAVIA/038W</t>
  </si>
  <si>
    <t>TPVB20260903003</t>
  </si>
  <si>
    <t>COSU9509760720</t>
  </si>
  <si>
    <t>26SEP001-FREE</t>
  </si>
  <si>
    <t>26SEP002.03</t>
  </si>
  <si>
    <t>26SEP002-FREE</t>
  </si>
  <si>
    <t>26SEP004.03</t>
  </si>
  <si>
    <t>26SEP004-FREE</t>
  </si>
  <si>
    <t>26SEP009</t>
  </si>
  <si>
    <t>26SEP002.04</t>
  </si>
  <si>
    <t>W39 PICK-UP</t>
  </si>
  <si>
    <t>26SEP004.04</t>
  </si>
  <si>
    <t>26SEP005.01</t>
  </si>
  <si>
    <t>POPV260929039</t>
  </si>
  <si>
    <t>TPVB20260903006</t>
  </si>
  <si>
    <t>COSU9510016200</t>
  </si>
  <si>
    <t>26SEP005-FREE</t>
  </si>
  <si>
    <t>26SEP006</t>
  </si>
  <si>
    <t>26SEP006-FREE</t>
  </si>
  <si>
    <t>26SEP007.01</t>
  </si>
  <si>
    <t>26SEP007-FREE</t>
  </si>
  <si>
    <t>26SEP005.02</t>
  </si>
  <si>
    <t>W40 PICK-UP</t>
  </si>
  <si>
    <t>POPV261009003</t>
  </si>
  <si>
    <t>TPVB20260903008</t>
  </si>
  <si>
    <t>COSU9510115320</t>
  </si>
  <si>
    <t>26SEP007.02</t>
  </si>
  <si>
    <t>26SEP008.01</t>
  </si>
  <si>
    <t>CT08&amp;CT09</t>
  </si>
  <si>
    <t>W38 PICK-UP</t>
    <phoneticPr fontId="0" type="noConversion"/>
  </si>
  <si>
    <t>POPV261009004</t>
  </si>
  <si>
    <t>GENOVA EXPRESS/639W</t>
  </si>
  <si>
    <t>TPVB20260903001</t>
  </si>
  <si>
    <t>26SEP008-FREE</t>
  </si>
  <si>
    <t>26SEP008.02</t>
  </si>
  <si>
    <t>POPV261009005</t>
  </si>
  <si>
    <t>BANGKOK MAERSK/638W</t>
  </si>
  <si>
    <t>TPVB20260903004</t>
  </si>
  <si>
    <t xml:space="preserve">	
POPV261009006</t>
  </si>
  <si>
    <t>UMM QARN / 642W</t>
  </si>
  <si>
    <t>TPVB20260903005</t>
  </si>
  <si>
    <t>26SEP008.03</t>
  </si>
  <si>
    <t>CT12&amp;CT13</t>
  </si>
  <si>
    <t>POPV261009002</t>
  </si>
  <si>
    <t>AL NEFUD / 640W</t>
  </si>
  <si>
    <t>TPVB20260903007</t>
  </si>
  <si>
    <t>26SEP008.04</t>
  </si>
  <si>
    <t>CT14&amp;CT15</t>
  </si>
  <si>
    <t>W41 PICK-UP</t>
  </si>
  <si>
    <t>POPV261019021</t>
  </si>
  <si>
    <t>TPVB20260921002</t>
  </si>
  <si>
    <t>26SEP008.05</t>
  </si>
  <si>
    <t>CT16</t>
  </si>
  <si>
    <t>W42 PICK-UP</t>
  </si>
  <si>
    <t>POPV261019023</t>
  </si>
  <si>
    <t>MAERSK HALIFAX / 643W</t>
  </si>
  <si>
    <t>TPVB20260921003</t>
  </si>
  <si>
    <t>GF0700002256</t>
  </si>
  <si>
    <t>BLUEARK X1 5K-SP</t>
  </si>
  <si>
    <t>CT18-20GP</t>
  </si>
  <si>
    <t>26SEP010</t>
  </si>
  <si>
    <t>GF0700002254</t>
  </si>
  <si>
    <t>BLUEARK X1 6K-SP</t>
  </si>
  <si>
    <t>26SEP011</t>
  </si>
  <si>
    <t>GF0700002251</t>
  </si>
  <si>
    <t>BLUEARK X1 8K-SP</t>
  </si>
  <si>
    <t>26SEP012</t>
  </si>
  <si>
    <t>GF0700002262</t>
  </si>
  <si>
    <t>BLUEARK X1 8.0 BMH</t>
  </si>
  <si>
    <t>26SEP013</t>
  </si>
  <si>
    <t>GF0700002264</t>
  </si>
  <si>
    <t>TCL BlueArk X1 8kwh slave pack</t>
  </si>
  <si>
    <t>BLUEARK X1 8.0 BSH</t>
  </si>
  <si>
    <t>26SEP014</t>
  </si>
  <si>
    <t xml:space="preserve">HUIZHOU </t>
  </si>
  <si>
    <t>GF0700002295</t>
  </si>
  <si>
    <t>Energy Storage Accessories</t>
  </si>
  <si>
    <t>YDS70-C16</t>
  </si>
  <si>
    <t>26SEP015</t>
  </si>
  <si>
    <t>CT19-20GP</t>
  </si>
  <si>
    <t>W35 PICKUP</t>
  </si>
  <si>
    <t>ARIONAS/0CP71S1NC</t>
  </si>
  <si>
    <t>TPVO2026080701-2</t>
  </si>
  <si>
    <t>AOU0260978</t>
  </si>
  <si>
    <t>26SEP016</t>
  </si>
  <si>
    <t>26SEP017</t>
  </si>
  <si>
    <t>26SEP018</t>
  </si>
  <si>
    <t>XUANCHENG</t>
  </si>
  <si>
    <t>GF0700002191</t>
  </si>
  <si>
    <t>TCL-SRSL8G1-AS</t>
  </si>
  <si>
    <t>CT20</t>
  </si>
  <si>
    <t>W44 PICK-UP</t>
  </si>
  <si>
    <t>TPVO2026101201</t>
  </si>
  <si>
    <t>MANILA SOUTH</t>
  </si>
  <si>
    <t>26SEP019</t>
  </si>
  <si>
    <t>GF0700002189</t>
  </si>
  <si>
    <t>TCL-SRSL12G1-AS</t>
  </si>
  <si>
    <t>26SEP020</t>
  </si>
  <si>
    <t>GF0700002040</t>
  </si>
  <si>
    <t>TCL-RLB16.1G1-AS</t>
  </si>
  <si>
    <t>26SEP020-FREE</t>
  </si>
  <si>
    <t>26SEP021</t>
  </si>
  <si>
    <t>GF0700002261</t>
  </si>
  <si>
    <t>C&amp;I ESS</t>
  </si>
  <si>
    <t>BLUEARK X5</t>
  </si>
  <si>
    <t>CT21-20GP</t>
  </si>
  <si>
    <t>TPVO2026091101</t>
  </si>
  <si>
    <t>NANSHA</t>
  </si>
  <si>
    <t>MERATUS TOMINI / 638S</t>
  </si>
  <si>
    <t>26SEP022</t>
  </si>
  <si>
    <t>TPVO2026092502</t>
  </si>
  <si>
    <t>Laem Chabang</t>
  </si>
  <si>
    <t>G. Dragon/644S</t>
  </si>
  <si>
    <t>26SEP023</t>
  </si>
  <si>
    <t>GF0700002363</t>
  </si>
  <si>
    <t>CT23-20GP</t>
  </si>
  <si>
    <t>TPVO2026092501</t>
  </si>
  <si>
    <t>26SEP024</t>
  </si>
  <si>
    <t>26SEP026</t>
  </si>
  <si>
    <t>CT24-20GP</t>
  </si>
  <si>
    <t>TPVO2026091801</t>
  </si>
  <si>
    <t>Manila</t>
  </si>
  <si>
    <t>ERASMUS EFFORT / 645S</t>
  </si>
  <si>
    <t>26SEP027</t>
  </si>
  <si>
    <t>26SEP028</t>
  </si>
  <si>
    <t>26SEP031</t>
  </si>
  <si>
    <t>GF0700001997</t>
  </si>
  <si>
    <t>Inverter Dummy</t>
  </si>
  <si>
    <t>BlueArk X1 8K-SP Dummy</t>
  </si>
  <si>
    <t>26SEP032</t>
  </si>
  <si>
    <t>GF0700001992</t>
  </si>
  <si>
    <t>Battery pack Dummy</t>
  </si>
  <si>
    <t>BlueArk X1 8.0 BMH Dummy</t>
  </si>
  <si>
    <t>26SEP033</t>
  </si>
  <si>
    <t>GF0700001991</t>
  </si>
  <si>
    <t>BlueArk X1 8.0 BSH Dummy</t>
  </si>
  <si>
    <t>26SEP034</t>
  </si>
  <si>
    <t>Energy meter</t>
  </si>
  <si>
    <t>26SEP029</t>
  </si>
  <si>
    <t>CT25</t>
  </si>
  <si>
    <t>POPV261016048</t>
  </si>
  <si>
    <t>DAMIETTA EXPRESS / 640W</t>
  </si>
  <si>
    <t>TPVB20260921004</t>
  </si>
  <si>
    <t>26SEP030</t>
  </si>
  <si>
    <t>GF0700002222</t>
  </si>
  <si>
    <t>X5-BC100</t>
  </si>
  <si>
    <t>26OCT001</t>
  </si>
  <si>
    <t>POPV260929040</t>
  </si>
  <si>
    <t>TPVB20260921001</t>
  </si>
  <si>
    <t>COSU6468636810</t>
  </si>
  <si>
    <t>26OCT001-FREE</t>
  </si>
  <si>
    <t>26OCT002.01</t>
  </si>
  <si>
    <t>26OCT002-FREE</t>
  </si>
  <si>
    <t>26OCT003</t>
  </si>
  <si>
    <t>26OCT003-FREE</t>
  </si>
  <si>
    <t>26OCT004.01</t>
  </si>
  <si>
    <t>26OCT004-FREE</t>
  </si>
  <si>
    <t>26OCT006</t>
  </si>
  <si>
    <t>POPV261019020</t>
  </si>
  <si>
    <t>COSCO SHIPPING NEBULA/034W</t>
  </si>
  <si>
    <t>TPVB20260921006</t>
  </si>
  <si>
    <t>COSU6469962990</t>
  </si>
  <si>
    <t>26OCT002.02</t>
  </si>
  <si>
    <t>26OCT004.02</t>
  </si>
  <si>
    <t>26OCT002.03</t>
  </si>
  <si>
    <t>26OCT004.03</t>
  </si>
  <si>
    <t>26OCT005.01</t>
  </si>
  <si>
    <t>POPV261026017</t>
  </si>
  <si>
    <t>MAERSK HALIFAX 643W</t>
  </si>
  <si>
    <t>TPVB20260921005</t>
  </si>
  <si>
    <t>26OCT005-FREE</t>
  </si>
  <si>
    <t>26OCT005.02</t>
  </si>
  <si>
    <t>W43 PICK-UP</t>
  </si>
  <si>
    <t>AL JASRAH/644W</t>
  </si>
  <si>
    <t>TPVB20261011001</t>
  </si>
  <si>
    <t>26OCT005.03</t>
  </si>
  <si>
    <t>26OCT007</t>
  </si>
  <si>
    <t>BlueArk X5</t>
  </si>
  <si>
    <t>Chenai</t>
  </si>
  <si>
    <t>26OCT008</t>
  </si>
  <si>
    <t>GF0700001951</t>
  </si>
  <si>
    <t>High Voltage Battery Pack</t>
  </si>
  <si>
    <t>TCL-PACK-1P20S-314Ah</t>
  </si>
  <si>
    <t>26OCT009</t>
  </si>
  <si>
    <t>26OCT010</t>
  </si>
  <si>
    <t>GF0700002266</t>
  </si>
  <si>
    <t>BlueArk W10</t>
  </si>
  <si>
    <t>26OCT011</t>
  </si>
  <si>
    <t>GF0700002249</t>
  </si>
  <si>
    <t>BlueArk X1 8K-SP</t>
  </si>
  <si>
    <t>26OCT012</t>
  </si>
  <si>
    <t>GF0700002263</t>
  </si>
  <si>
    <t>BlueArk X1 8.0 BMH</t>
  </si>
  <si>
    <t>26OCT013</t>
  </si>
  <si>
    <t>GF0700002265</t>
  </si>
  <si>
    <t>BlueArk X1 8.0 BSH</t>
  </si>
  <si>
    <t>26NOV002.01</t>
  </si>
  <si>
    <t>COSU6472704590</t>
  </si>
  <si>
    <t>26NOV002-FREE</t>
  </si>
  <si>
    <t>26NOV003</t>
  </si>
  <si>
    <t>26NOV003-FREE</t>
  </si>
  <si>
    <t>26NOV004.01</t>
  </si>
  <si>
    <t>26NOV004-FREE</t>
  </si>
  <si>
    <t>26NOV002.05</t>
  </si>
  <si>
    <t>26NOV004.06</t>
  </si>
  <si>
    <t>26NOV001</t>
  </si>
  <si>
    <t>26NOV001-FREE</t>
  </si>
  <si>
    <t>26NOV004.02</t>
  </si>
  <si>
    <t>26NOV002.02</t>
  </si>
  <si>
    <t>TPVB20261011002</t>
  </si>
  <si>
    <t>COSU6471350550</t>
  </si>
  <si>
    <t>26NOV004.03</t>
  </si>
  <si>
    <t>26NOV002.03</t>
  </si>
  <si>
    <t>COSCO SHIPPING SCORPIO 
036W</t>
  </si>
  <si>
    <t>COSU6473321390</t>
  </si>
  <si>
    <t>26NOV004.04</t>
  </si>
  <si>
    <t>26NOV002.04</t>
  </si>
  <si>
    <t>26NOV004.05</t>
  </si>
  <si>
    <t>26NOV002.06</t>
  </si>
  <si>
    <t>W45 PICK-UP</t>
  </si>
  <si>
    <t>COSU6473320440</t>
  </si>
  <si>
    <t>26NOV004.07</t>
  </si>
  <si>
    <t>26NOV002.07</t>
  </si>
  <si>
    <t>26NOV004.08</t>
  </si>
  <si>
    <t>26NOV002.08</t>
  </si>
  <si>
    <t>W46 PICK-UP</t>
  </si>
  <si>
    <t>26NOV004.09</t>
  </si>
  <si>
    <t>26NOV005.01</t>
  </si>
  <si>
    <t>CT10&amp;CT11</t>
  </si>
  <si>
    <t>BRISBANE MAERSK / 646W</t>
  </si>
  <si>
    <t>TPVB20261022001</t>
  </si>
  <si>
    <t>26NOV005-FREE</t>
  </si>
  <si>
    <t>26NOV005.02</t>
  </si>
  <si>
    <t>TPVB20261022002</t>
  </si>
  <si>
    <t>GF0700000032</t>
  </si>
  <si>
    <t>On gird inverter</t>
  </si>
  <si>
    <t>TCL-GS5K-G1</t>
  </si>
  <si>
    <t>GF0700000030</t>
  </si>
  <si>
    <t>TCL-GT12K-G1</t>
  </si>
  <si>
    <t>202505+06</t>
  </si>
  <si>
    <t>GF0700000049</t>
  </si>
  <si>
    <t>Electrical Box</t>
  </si>
  <si>
    <t>TCL BS40-G1</t>
  </si>
  <si>
    <t>GF0700000050</t>
  </si>
  <si>
    <t>TCL BT50-G1</t>
  </si>
  <si>
    <t>MBL/Booking Format</t>
  </si>
  <si>
    <t>Tracking portal</t>
  </si>
  <si>
    <t>https://elines.coscoshipping.com/ebusiness/cargoTracking/</t>
  </si>
  <si>
    <t>MAERSK</t>
  </si>
  <si>
    <t>https://www.maersk.com/tracking/</t>
  </si>
  <si>
    <t>MSC</t>
  </si>
  <si>
    <t>https://www.msc.com/en/track-a-shipment</t>
  </si>
  <si>
    <t>EGLV</t>
  </si>
  <si>
    <t>EGLV149606436090;149600418545</t>
  </si>
  <si>
    <t>https://www.evergreen-shipping.cn/servlet/TDB1_CargoTracking.do</t>
  </si>
  <si>
    <t>Yangming</t>
  </si>
  <si>
    <t>https://www.yangming.com/en/esolution/cargo_tracking</t>
  </si>
  <si>
    <t>CMA</t>
  </si>
  <si>
    <t>TJN0504226;CHN3908494</t>
  </si>
  <si>
    <t>https://www.cma-cgm.com/ebusiness/tracking</t>
  </si>
  <si>
    <t>ONEY</t>
  </si>
  <si>
    <t>ONEYSH6YSH016600(search without the prefix "ONEY");TS6NC4254400</t>
  </si>
  <si>
    <t>https://www.one-line.com/one-ecom/manage-shipment/cargo-tracking</t>
  </si>
  <si>
    <t>HMM</t>
  </si>
  <si>
    <t>HDMUSHAZ9TA99500;TSNE54420600;HDMUTSNE54420600(search without the prefix "HDMU")</t>
  </si>
  <si>
    <t>https://www.hmm21.com/e-service/general/trackNTrace/TrackNTrace.do</t>
  </si>
  <si>
    <t>OOCL</t>
  </si>
  <si>
    <t>https://www.oocl.com/eng/ourservices/eservices/cargotracking/pages/cargotracking.aspx</t>
  </si>
  <si>
    <t>DATE OF REQUEST BY CAROLE</t>
  </si>
  <si>
    <t>DONE Y/N - JB FEED-BACK</t>
  </si>
  <si>
    <t>ALLOCATION REQUEST</t>
  </si>
  <si>
    <t>Customer order (if any)</t>
  </si>
  <si>
    <t>Customer Order Incoterm</t>
  </si>
  <si>
    <t xml:space="preserve">Request Date / Shipment </t>
  </si>
  <si>
    <t>Origination ?</t>
  </si>
  <si>
    <t>PORT OF DESTINATION (tentative)</t>
  </si>
  <si>
    <t>PICK-UP (Tentative)</t>
  </si>
  <si>
    <t>`PRODUCT TYPE</t>
  </si>
  <si>
    <t>PROCARTE POLAND</t>
  </si>
  <si>
    <t>as per Cindy T, qties and specs approved by Arleen as this is a clean up of inventories</t>
  </si>
  <si>
    <t>PSR request</t>
  </si>
  <si>
    <t>black frame + 1400 mm cable</t>
  </si>
  <si>
    <t>0,8928</t>
  </si>
  <si>
    <t>HSM-ND66-620W Black Frame, monocristalino TOPCon Bifacial, conectores EVO2A, cable 1400mm</t>
  </si>
  <si>
    <t>720W TOPCon SHINGLED Bifacial. Conectores EVO2A, cable 1400mm.(HSM-GKA-NM720)</t>
  </si>
  <si>
    <t>N -&gt; check 560w product and LM Eight forecast alloc</t>
  </si>
  <si>
    <t>555W TOPCon SHINGLED . Conectores MC4-EVO2A, cable 1400mm.(TCL-MI555DT182-70NS)</t>
  </si>
  <si>
    <t>Solarsense UK</t>
  </si>
  <si>
    <t>DDP</t>
  </si>
  <si>
    <t>5 CT CRD April, both to be shipped before Mid March to avoid the 9% VAT increase.</t>
  </si>
  <si>
    <t>Sales/PSR</t>
  </si>
  <si>
    <t>N -&gt; already done in ODP bef February</t>
  </si>
  <si>
    <t>4 CT CRD May,  both to be shipped before Mid March to avoid the 9% VAT increase.</t>
  </si>
  <si>
    <t>Not needed in ODP</t>
  </si>
  <si>
    <t>YUMA, here are SO numbers for your reference - DE0626012600048, DE0626012600047</t>
  </si>
  <si>
    <t>Please allocate OCT010 line to Rexel instead of  NOV011.02, and keep only 1 seul CT Rexel on NOV011.02 line</t>
  </si>
  <si>
    <t>add 3 CT of 720W to orirginal request, separate G2G w06 (need to wait for PPA to be signed)</t>
  </si>
  <si>
    <t>FOB -&gt; to align with customer vessels</t>
  </si>
  <si>
    <t>Customer requests 5 different batches ETD before 31st March</t>
  </si>
  <si>
    <t>N -&gt; total March pick-up is 22mw for 500/505w</t>
  </si>
  <si>
    <t>France 500W non CFP</t>
  </si>
  <si>
    <t xml:space="preserve">CIF </t>
  </si>
  <si>
    <t>Plan 7 MW to FOS - pick up March asap</t>
  </si>
  <si>
    <t>Sales request</t>
  </si>
  <si>
    <t>FOS</t>
  </si>
  <si>
    <t>done / aligned to final order</t>
  </si>
  <si>
    <t>CIF Cork</t>
  </si>
  <si>
    <t>Arleen said CRD asap, once customer paid 10%, GTG to be sent asap</t>
  </si>
  <si>
    <t>need to unallocate MAY016 Failte as not in table received from Cindy T</t>
  </si>
  <si>
    <t>Carole request</t>
  </si>
  <si>
    <t>missing 720W 1782 pcs (1st line of the table), already allocated to Procarte</t>
  </si>
  <si>
    <t>N -&gt; no supply available in ODP</t>
  </si>
  <si>
    <t>Enercoop La Claix du Soleil</t>
  </si>
  <si>
    <t>ask for reservation</t>
  </si>
  <si>
    <t>N</t>
  </si>
  <si>
    <t>Enercoop Le Soleil de Chanenc</t>
  </si>
  <si>
    <t>N -&gt; pick-up 3rd of March (see ODP update)</t>
  </si>
  <si>
    <t>Can we pull in pick up from w10 to w09, CRD is early May, Carole to send Heads Up via ODP forum</t>
  </si>
  <si>
    <t>N -&gt; done; ODP is fixed allocation only for Offshore sales. Other are only for "ATP China" visibility until New Ark PO created</t>
  </si>
  <si>
    <t>Reno</t>
  </si>
  <si>
    <t>Please unallocate 26Feb017.10 line from Reno (not in SO) we can keep the shipment to RTM as is</t>
  </si>
  <si>
    <t>RTM</t>
  </si>
  <si>
    <t>N -&gt; done with p mix and full ct</t>
  </si>
  <si>
    <t>UPP Gazel</t>
  </si>
  <si>
    <t>Please schedule line 863/864 as per draft belwo except red volume to be pushed out  to w14 pick up</t>
  </si>
  <si>
    <r>
      <rPr>
        <sz val="10"/>
        <color rgb="FF000000"/>
        <rFont val="Lexend Deca"/>
        <charset val="134"/>
      </rPr>
      <t xml:space="preserve">N -&gt; not needed; allocation to be managed in New Ark (it is not in ATP China as PO does exist) </t>
    </r>
    <r>
      <rPr>
        <b/>
        <sz val="10"/>
        <color rgb="FFFF0000"/>
        <rFont val="Lexend Deca"/>
        <charset val="134"/>
      </rPr>
      <t>CANCELLED</t>
    </r>
  </si>
  <si>
    <r>
      <rPr>
        <sz val="8"/>
        <color rgb="FF000000"/>
        <rFont val="Arial"/>
        <family val="2"/>
      </rPr>
      <t xml:space="preserve">Milliot Green - Reno.energy </t>
    </r>
    <r>
      <rPr>
        <b/>
        <sz val="8"/>
        <color rgb="FFFF0000"/>
        <rFont val="Arial"/>
        <family val="2"/>
      </rPr>
      <t>CANCELLED</t>
    </r>
  </si>
  <si>
    <r>
      <rPr>
        <sz val="8"/>
        <color rgb="FF000000"/>
        <rFont val="Arial"/>
        <family val="2"/>
      </rPr>
      <t>FR0626021900003</t>
    </r>
    <r>
      <rPr>
        <b/>
        <sz val="8"/>
        <color rgb="FFFF0000"/>
        <rFont val="Arial"/>
        <family val="2"/>
      </rPr>
      <t xml:space="preserve"> CANCELLED</t>
    </r>
  </si>
  <si>
    <t xml:space="preserve">Please allocate 4158 pcs out of existing line 26Feb015.06
</t>
  </si>
  <si>
    <t>N -&gt; not needed; allocation to be managed in New Ark (it is not in ATP China as PO does exist)</t>
  </si>
  <si>
    <t>NED</t>
  </si>
  <si>
    <t>Please allocate NOV011 and 26JAN005.02 lines to NED (order tbc). Why 2 different New Ark skus for same product?</t>
  </si>
  <si>
    <t>N -&gt; done</t>
  </si>
  <si>
    <t>Ecostal</t>
  </si>
  <si>
    <t>BE0626012200018 / BE0626022600023 to be cancelled, and BE0126022600025 new one created</t>
  </si>
  <si>
    <t>done, adjusted with 500w</t>
  </si>
  <si>
    <t>Procarte</t>
  </si>
  <si>
    <t>CIF Gdańsk</t>
  </si>
  <si>
    <t>5 CT of HSM-ND54-DR505, can we still convert 26Feb020.10 from CIF to RTM to CIF Gdańsk w12 pick up</t>
  </si>
  <si>
    <t> </t>
  </si>
  <si>
    <t>Energynat</t>
  </si>
  <si>
    <t xml:space="preserve">allocate 10 CT to Energynat Solutions Sp.z o.o. (mother entity) and 10 CT to EnergyNAT Sp. z.o.o (child entity) </t>
  </si>
  <si>
    <t>No</t>
  </si>
  <si>
    <t>w12 PICK-UP</t>
  </si>
  <si>
    <t>Revert back 5 CT from FOS to GOA (was not redirected to Fos due to cost)</t>
  </si>
  <si>
    <t>EnergyNat Offshore</t>
  </si>
  <si>
    <t>Hi Carole, I just confirmed the details with the sales.</t>
  </si>
  <si>
    <t>CIF Gdansk, TCL Solar 500W FulBlack, Total 42cts, every 6cts need one BL</t>
  </si>
  <si>
    <t>April, 6cts(Energynat Solutions Sp.z o.o.), after 10 days another 6cts (EnergyNAT Sp. z.o.o)</t>
  </si>
  <si>
    <t>May,  6cts, after 10 days another 6cts</t>
  </si>
  <si>
    <t>June , 6cts, after 10 days 6cts, after 10 days another 6 days. </t>
  </si>
  <si>
    <t>May and June all cts with entity EnergyNAT Sp. z.o.o </t>
  </si>
  <si>
    <t>completed end April</t>
  </si>
  <si>
    <t>Cindy Tian request</t>
  </si>
  <si>
    <t>Rugby 663 2cts COSU9506234760</t>
  </si>
  <si>
    <t>to split ODP</t>
  </si>
  <si>
    <t>Glasgow 669 7cts COSU9506234630</t>
  </si>
  <si>
    <t>Middlesbrough 668 5cts COSU9506234760</t>
  </si>
  <si>
    <t>Lincoln 674 2cts COSU9506234760</t>
  </si>
  <si>
    <t>already done / T5_Pro 575 is pending</t>
  </si>
  <si>
    <t>LM8 new Offshore orders</t>
  </si>
  <si>
    <t>TCL T Class 505 2cts ASAP</t>
  </si>
  <si>
    <t>TCL T5 Pro 575 5cts ASAP</t>
  </si>
  <si>
    <t>TCL T5 Pro 645 4cts ASAP</t>
  </si>
  <si>
    <t>TCL T Class 505 2cts  ETA end of August</t>
  </si>
  <si>
    <t>TCL T5 Pro 575 3cts ETA end of August</t>
  </si>
  <si>
    <t>TCL T5 Pro 645 3cts ETA end of August</t>
  </si>
  <si>
    <t>6cts 465W S class, Incoterm CIF, need to ship ASAP</t>
  </si>
  <si>
    <t>closed -&gt; check if further update needed</t>
  </si>
  <si>
    <t>Can we reallocate from RTM to FOS/LEH totally or partially?</t>
  </si>
  <si>
    <t>26May009.09</t>
  </si>
  <si>
    <t>26May009.10</t>
  </si>
  <si>
    <t>pending T5-Pro</t>
  </si>
  <si>
    <t>10MWS 485wp TCL (BC) CIF Cork (Ireland)</t>
  </si>
  <si>
    <t>10MWS 485wp TCL (BC) CIF Felixstowe (UK)</t>
  </si>
  <si>
    <t>done with Andrea and Arleen</t>
  </si>
  <si>
    <t>Orduña</t>
  </si>
  <si>
    <t>2cts TCL-MR465-58NS need to ship ASAP</t>
  </si>
  <si>
    <t>1ct TCL HSM-ND54-DR505, need to ship ASAP</t>
  </si>
  <si>
    <t>5cts HSM-NT60-GH575 T5 PRO, ship from china in June</t>
  </si>
  <si>
    <t>New Approsud CIP Orders</t>
  </si>
  <si>
    <t>CUSTOMER</t>
  </si>
  <si>
    <t>PO No.</t>
  </si>
  <si>
    <t>SO Number</t>
  </si>
  <si>
    <t>SKU</t>
  </si>
  <si>
    <t>CT</t>
  </si>
  <si>
    <t>CRD</t>
  </si>
  <si>
    <t>INCOTERMS</t>
  </si>
  <si>
    <t>Customer PO =&gt; CIP FOS</t>
  </si>
  <si>
    <t>CF_018630</t>
  </si>
  <si>
    <t>HSM-ND54-DR500_CFP</t>
  </si>
  <si>
    <t>CF_018631</t>
  </si>
  <si>
    <t>CF_018632</t>
  </si>
  <si>
    <t>CF_018633</t>
  </si>
  <si>
    <t>CF_018634</t>
  </si>
  <si>
    <t>CF_018635</t>
  </si>
  <si>
    <t>CF_018636</t>
  </si>
  <si>
    <t>CF_018637</t>
  </si>
  <si>
    <t>ok</t>
  </si>
  <si>
    <t>New LM8 order</t>
  </si>
  <si>
    <t>Convert 26May010.12 line SPES to Osffshore LM8 ES0126052500537</t>
  </si>
  <si>
    <t>AIB Electrical UK</t>
  </si>
  <si>
    <t>Ship 3 CT of 450W to FXT asap</t>
  </si>
  <si>
    <t>see feedback µJerry =&gt; no delay for shipment. To organize with PSR to retain B/L until payment</t>
  </si>
  <si>
    <t>Push out PL0126041700033 to w26 PICK UP</t>
  </si>
  <si>
    <t>T5 PRO requests for SP</t>
  </si>
  <si>
    <t>LM8 need 8cts 575w T5 pro</t>
  </si>
  <si>
    <t>Suministro orduña need 5cts 575w T5 pro</t>
  </si>
  <si>
    <t>Ecostal BE / BE0126050400008</t>
  </si>
  <si>
    <t>26May007.10 : convert from Offshore to Internal and rerserve 1 line of June PO to Ecostal</t>
  </si>
  <si>
    <t>Carole to recheck with Cindy T about Ananda missing order</t>
  </si>
  <si>
    <t>REFRESH DATE =&gt;</t>
  </si>
  <si>
    <t>Purchase order Number</t>
  </si>
  <si>
    <t>Purchase Type</t>
  </si>
  <si>
    <t>TMS bill Number / voucher bill Number</t>
  </si>
  <si>
    <t>Customer Po</t>
  </si>
  <si>
    <t>Category</t>
  </si>
  <si>
    <t>Estimated time of arrival</t>
  </si>
  <si>
    <t>Status</t>
  </si>
  <si>
    <t>Approval Status</t>
  </si>
  <si>
    <t>Note</t>
  </si>
  <si>
    <t>POPV260903009</t>
  </si>
  <si>
    <t>Offshore purchase</t>
  </si>
  <si>
    <t>FR0626080700002</t>
  </si>
  <si>
    <t>PV</t>
  </si>
  <si>
    <t>In Stock</t>
  </si>
  <si>
    <t>Approved</t>
  </si>
  <si>
    <t>POPV260903008</t>
  </si>
  <si>
    <t>FR0626080700001</t>
  </si>
  <si>
    <t>FR0626090200022</t>
  </si>
  <si>
    <t>In Transit</t>
  </si>
  <si>
    <t>FR0626090200007</t>
  </si>
  <si>
    <t>FR0626090200021</t>
  </si>
  <si>
    <t>FR0626090200020</t>
  </si>
  <si>
    <t>FR0626090200019</t>
  </si>
  <si>
    <t>FR0626090200003</t>
  </si>
  <si>
    <t>FR0626090200018</t>
  </si>
  <si>
    <t>FR0626090200002</t>
  </si>
  <si>
    <t>FR0626090200004</t>
  </si>
  <si>
    <t>FR0626090200005</t>
  </si>
  <si>
    <t>POPV260902026</t>
  </si>
  <si>
    <t>FR0626090200006</t>
  </si>
  <si>
    <t>FR0626090200008</t>
  </si>
  <si>
    <t>FR0626090200009</t>
  </si>
  <si>
    <t>FR0626090200010</t>
  </si>
  <si>
    <t>FR0626090200011</t>
  </si>
  <si>
    <t>FR0626090200012</t>
  </si>
  <si>
    <t>FR0626090200013</t>
  </si>
  <si>
    <t>FR0626090200014</t>
  </si>
  <si>
    <t>FR0626090200015</t>
  </si>
  <si>
    <t>FR0626090200016</t>
  </si>
  <si>
    <t>FR0626090200017</t>
  </si>
  <si>
    <t>FR0626081400005</t>
  </si>
  <si>
    <t>Replacement PO for PO#POPV260814047 | 26May012.07 | BL Correction</t>
  </si>
  <si>
    <t>FR0626083000001</t>
  </si>
  <si>
    <t>FR0626083000002</t>
  </si>
  <si>
    <t>FR0626082800019</t>
  </si>
  <si>
    <t>FR0626082800018</t>
  </si>
  <si>
    <t>FR0626082800017</t>
  </si>
  <si>
    <t>FR0626082800016</t>
  </si>
  <si>
    <t>FR0626082800015</t>
  </si>
  <si>
    <t>FR0626082800014</t>
  </si>
  <si>
    <t>FR0626082800013</t>
  </si>
  <si>
    <t>FR0626082800012</t>
  </si>
  <si>
    <t>FR0626082800011</t>
  </si>
  <si>
    <t>FR0626082800007</t>
  </si>
  <si>
    <t>FR0626082800008</t>
  </si>
  <si>
    <t>FR0626082800009</t>
  </si>
  <si>
    <t>FR0626082800010</t>
  </si>
  <si>
    <t>FR0626082800006</t>
  </si>
  <si>
    <t>FR0626082800005</t>
  </si>
  <si>
    <t>ESS-AUGPO-CT19&amp;CT20&amp;CT21</t>
  </si>
  <si>
    <t>ESS</t>
  </si>
  <si>
    <t>FR0626082800004</t>
  </si>
  <si>
    <t>ESS-AUGPO-1104SETS-CT05&amp;CT06</t>
  </si>
  <si>
    <t>26AUG005.01
26AUG005-FREE
26AUG005.02</t>
  </si>
  <si>
    <t>POPV260828022</t>
  </si>
  <si>
    <t>FR0626082800003</t>
  </si>
  <si>
    <t>Connectors to SolarFabrik by Air</t>
  </si>
  <si>
    <t>SO DE0626080600026,DHL#1788864486</t>
  </si>
  <si>
    <t>FR0626082800002</t>
  </si>
  <si>
    <t>ESS-WH AUG PO 1040SETS-CT01 &amp; CT03</t>
  </si>
  <si>
    <t>26AUG001
26AUG001-FREE
26AUG002-FREE
26AUG003.01
26AUG003-FREE
26AUG004.01
26AUG004-FREE
26AUG006
26AUG002.02
26AUG004.03
26AUG007</t>
  </si>
  <si>
    <t>FR0626082800001</t>
  </si>
  <si>
    <t>ESS-WH AUG PO 1040SETS-CT04&amp;CT07&amp;CT08</t>
  </si>
  <si>
    <t>26AUG002.03
26AUG004.04
26AUG002.03
26AUG004.04
26AUG002.04
26AUG004.05</t>
  </si>
  <si>
    <t>FR0626082700006</t>
  </si>
  <si>
    <t>ESS-WH650SETS-CT12 &amp;CT13</t>
  </si>
  <si>
    <t>FR0626082500019</t>
  </si>
  <si>
    <t>FR0626082500017</t>
  </si>
  <si>
    <t>FR0626082500018</t>
  </si>
  <si>
    <t>FR0626082500016</t>
  </si>
  <si>
    <t>FR0626082500015</t>
  </si>
  <si>
    <t>FR0626082500014</t>
  </si>
  <si>
    <t>FR0626082500013</t>
  </si>
  <si>
    <t>FR0626082500012</t>
  </si>
  <si>
    <t>FR0626082500011</t>
  </si>
  <si>
    <t>FR0626082500002</t>
  </si>
  <si>
    <t>FR0626082500003</t>
  </si>
  <si>
    <t>FR0626082500004</t>
  </si>
  <si>
    <t>FR0626082500005</t>
  </si>
  <si>
    <t>FR0626082500010</t>
  </si>
  <si>
    <t>FR0626082500007</t>
  </si>
  <si>
    <t>FR0626082500006</t>
  </si>
  <si>
    <t>FR0626082500008</t>
  </si>
  <si>
    <t>FR0626082500009</t>
  </si>
  <si>
    <t>FR0626082400006</t>
  </si>
  <si>
    <t>FR0626082400005</t>
  </si>
  <si>
    <t>FR0626082400003</t>
  </si>
  <si>
    <t>FR0626082100039</t>
  </si>
  <si>
    <t>ESS-WH AUG PO 1040SETS-CT02</t>
  </si>
  <si>
    <t>26AUG002.01,26AUG003.02,26AUG004.02</t>
  </si>
  <si>
    <t>FR0626082100055</t>
  </si>
  <si>
    <t>FR0626082100054</t>
  </si>
  <si>
    <t>FR0626082100053</t>
  </si>
  <si>
    <t>FR0626082100052</t>
  </si>
  <si>
    <t>FR0626082100051</t>
  </si>
  <si>
    <t>26Aug008.03</t>
  </si>
  <si>
    <t>FR0626082100050</t>
  </si>
  <si>
    <t>FR0626082100049</t>
  </si>
  <si>
    <t>FR0626082100048</t>
  </si>
  <si>
    <t>FR0626082100006</t>
  </si>
  <si>
    <t>FR0626082100046</t>
  </si>
  <si>
    <t>FR0626082100047</t>
  </si>
  <si>
    <t>FR0626082100007</t>
  </si>
  <si>
    <t>FR0626082100008</t>
  </si>
  <si>
    <t>FR0626082100044</t>
  </si>
  <si>
    <t>FR0626082100043</t>
  </si>
  <si>
    <t>FR0626082100009</t>
  </si>
  <si>
    <t>FR0626082100010</t>
  </si>
  <si>
    <t>FR0626082100011</t>
  </si>
  <si>
    <t>FR0626082100042</t>
  </si>
  <si>
    <t>FR0626082100012</t>
  </si>
  <si>
    <t>FR0626082100013</t>
  </si>
  <si>
    <t>FR0626082100041</t>
  </si>
  <si>
    <t>FR0626082100005</t>
  </si>
  <si>
    <t>FR0626082100003</t>
  </si>
  <si>
    <t>FR0626082100014</t>
  </si>
  <si>
    <t>FR0626082100015</t>
  </si>
  <si>
    <t>FR0626082100019</t>
  </si>
  <si>
    <t>FR0626082100018</t>
  </si>
  <si>
    <t>FR0626082100017</t>
  </si>
  <si>
    <t>FR0626082100016</t>
  </si>
  <si>
    <t>FR0626082100020</t>
  </si>
  <si>
    <t>FR0626082100021</t>
  </si>
  <si>
    <t>FR0626082100022</t>
  </si>
  <si>
    <t>FR0626082100023</t>
  </si>
  <si>
    <t>FR0626082100025</t>
  </si>
  <si>
    <t>FR0626082100032</t>
  </si>
  <si>
    <t>FR0626082100033</t>
  </si>
  <si>
    <t>FR0626082100034</t>
  </si>
  <si>
    <t>FR0626082100040</t>
  </si>
  <si>
    <t>FR0626082100036</t>
  </si>
  <si>
    <t>FR0626082100038</t>
  </si>
  <si>
    <t>FR0626082100037</t>
  </si>
  <si>
    <t>FR0626082100035</t>
  </si>
  <si>
    <t>FR0626082100031</t>
  </si>
  <si>
    <t>FR0626082100026</t>
  </si>
  <si>
    <t>FR0626082100030</t>
  </si>
  <si>
    <t>FR0626082100029</t>
  </si>
  <si>
    <t>FR0626082100027</t>
  </si>
  <si>
    <t>FR0626082100024</t>
  </si>
  <si>
    <t>FR0626081900004</t>
  </si>
  <si>
    <t>FR0626071000024</t>
  </si>
  <si>
    <t>Replacement PO for PO#POPV260710043 | 26Jul013.01 | BL Correction</t>
  </si>
  <si>
    <t>FR0626081400047</t>
  </si>
  <si>
    <t>FR0626081400046</t>
  </si>
  <si>
    <t>FR0626081400045</t>
  </si>
  <si>
    <t>FR0626081400044</t>
  </si>
  <si>
    <t>FR0626081400043</t>
  </si>
  <si>
    <t>FR0626081400002</t>
  </si>
  <si>
    <t>FR0626081400003</t>
  </si>
  <si>
    <t>POPV260814047</t>
  </si>
  <si>
    <t>Reversed</t>
  </si>
  <si>
    <t>FR0626081400006</t>
  </si>
  <si>
    <t>FR0626081400008</t>
  </si>
  <si>
    <t>FR0626081400007</t>
  </si>
  <si>
    <t>FR0626081400009</t>
  </si>
  <si>
    <t>FR0626081400010</t>
  </si>
  <si>
    <t>FR0626081400011</t>
  </si>
  <si>
    <t>FR0626081400013</t>
  </si>
  <si>
    <t>FR0626081400012</t>
  </si>
  <si>
    <t>FR0626081400014</t>
  </si>
  <si>
    <t>FR0626081400015</t>
  </si>
  <si>
    <t>FR0626081400016</t>
  </si>
  <si>
    <t>FR0626081400017</t>
  </si>
  <si>
    <t>FR0626081400019</t>
  </si>
  <si>
    <t>FR0626081400020</t>
  </si>
  <si>
    <t>FR0626081400021</t>
  </si>
  <si>
    <t>FR0626081400022</t>
  </si>
  <si>
    <t>FR0626081400023</t>
  </si>
  <si>
    <t>FR0626081400024</t>
  </si>
  <si>
    <t>FR0626081400025</t>
  </si>
  <si>
    <t>FR0626081400026</t>
  </si>
  <si>
    <t>FR0626081400027</t>
  </si>
  <si>
    <t>FR0626081400028</t>
  </si>
  <si>
    <t>FR0626081400029</t>
  </si>
  <si>
    <t>FR0626081400030</t>
  </si>
  <si>
    <t>FR0626081400032</t>
  </si>
  <si>
    <t>FR0626081400033</t>
  </si>
  <si>
    <t>FR0626081400042</t>
  </si>
  <si>
    <t>FR0626081400034</t>
  </si>
  <si>
    <t>FR0626081400041</t>
  </si>
  <si>
    <t>FR0626081400035</t>
  </si>
  <si>
    <t>FR0626081400040</t>
  </si>
  <si>
    <t>FR0626081400038</t>
  </si>
  <si>
    <t>FR0626081400039</t>
  </si>
  <si>
    <t>FR0626081400037</t>
  </si>
  <si>
    <t>FR0626081000002</t>
  </si>
  <si>
    <t>ESS-WH650SETS CT05 &amp; CT06</t>
  </si>
  <si>
    <t>26JUL005-FREE | 26JUL005.02</t>
  </si>
  <si>
    <t>FR0626081000001</t>
  </si>
  <si>
    <t>ESS-WH650SETS-CT03 &amp; CT04 &amp;CT07</t>
  </si>
  <si>
    <t>26JUL002.02
26JUL004.02
26JUL006
26JUL002.03</t>
  </si>
  <si>
    <t>FR0626081000003</t>
  </si>
  <si>
    <t>ESS-WH650SETS-CT08&amp;CT09&amp;CT10&amp;CT11</t>
  </si>
  <si>
    <t>26JUL005.03
26JUL005.04</t>
  </si>
  <si>
    <t>FR0626080700032</t>
  </si>
  <si>
    <t>26Jul006.01， FOB Pointe des Galets</t>
  </si>
  <si>
    <t>FR0626080700030</t>
  </si>
  <si>
    <t>FR0626080700029</t>
  </si>
  <si>
    <t>FR0626080700027</t>
  </si>
  <si>
    <t>FR0626080700026</t>
  </si>
  <si>
    <t>POPV260807039</t>
  </si>
  <si>
    <t>POPV260807038</t>
  </si>
  <si>
    <t>FR0626080700025</t>
  </si>
  <si>
    <t>FR0626080700004</t>
  </si>
  <si>
    <t>FR0626080700003</t>
  </si>
  <si>
    <t>FR0626080700005</t>
  </si>
  <si>
    <t>FR0626080700006</t>
  </si>
  <si>
    <t>FR0626080700024</t>
  </si>
  <si>
    <t>FR0626080700007</t>
  </si>
  <si>
    <t>FR0626080700023</t>
  </si>
  <si>
    <t>FR0626080700008</t>
  </si>
  <si>
    <t>FR0626080700009</t>
  </si>
  <si>
    <t>FR0626080700010</t>
  </si>
  <si>
    <t>FR0626080700022</t>
  </si>
  <si>
    <t>FR0626080700012</t>
  </si>
  <si>
    <t>FR0626080700015</t>
  </si>
  <si>
    <t>FR0626080700021</t>
  </si>
  <si>
    <t>FR0626080700014</t>
  </si>
  <si>
    <t>FR0626080700020</t>
  </si>
  <si>
    <t>FR0626080700019</t>
  </si>
  <si>
    <t>26Jul002.09.01</t>
  </si>
  <si>
    <t>FR0626080700018</t>
  </si>
  <si>
    <t>FR0626080700017</t>
  </si>
  <si>
    <t>FR0626080700016</t>
  </si>
  <si>
    <t>FR0626080600042</t>
  </si>
  <si>
    <t>FR0626080600041</t>
  </si>
  <si>
    <t>FR0626080600039</t>
  </si>
  <si>
    <t>FR0626080600038</t>
  </si>
  <si>
    <t>FR0626080600037</t>
  </si>
  <si>
    <t>FR0626080600019</t>
  </si>
  <si>
    <t>FR0626080600036</t>
  </si>
  <si>
    <t>FR0626080600029</t>
  </si>
  <si>
    <t>FR0626080600035</t>
  </si>
  <si>
    <t>FR0626080600034</t>
  </si>
  <si>
    <t>FR0626080600032</t>
  </si>
  <si>
    <t>FR0626080600031</t>
  </si>
  <si>
    <t>FR0626080600033</t>
  </si>
  <si>
    <t>FR0626080600028</t>
  </si>
  <si>
    <t>FR0626080600027</t>
  </si>
  <si>
    <t>FR0626080600025</t>
  </si>
  <si>
    <t>FR0626080600023</t>
  </si>
  <si>
    <t>FR0626080600022</t>
  </si>
  <si>
    <t>FR0626080600013</t>
  </si>
  <si>
    <t>FR0626080600012</t>
  </si>
  <si>
    <t>FR0626080600004</t>
  </si>
  <si>
    <t>FR0626080600006</t>
  </si>
  <si>
    <t>FR0626080600005</t>
  </si>
  <si>
    <t>FR0626080600007</t>
  </si>
  <si>
    <t>FR0626080600008</t>
  </si>
  <si>
    <t>FR0626080600009</t>
  </si>
  <si>
    <t>FR0626080600011</t>
  </si>
  <si>
    <t>FR0626080600010</t>
  </si>
  <si>
    <t>FR0626080600014</t>
  </si>
  <si>
    <t>FR0626080600021</t>
  </si>
  <si>
    <t>FR0626080600020</t>
  </si>
  <si>
    <t>FR0626080600015</t>
  </si>
  <si>
    <t>FR0626080600018</t>
  </si>
  <si>
    <t>FR0626080600016</t>
  </si>
  <si>
    <t>FR0626080600017</t>
  </si>
  <si>
    <t>FR0626073000012</t>
  </si>
  <si>
    <t>FR0626073000011</t>
  </si>
  <si>
    <t>FR0626073000014</t>
  </si>
  <si>
    <t>FR0626072900015</t>
  </si>
  <si>
    <t>FR0626072900016</t>
  </si>
  <si>
    <t>FR0626072900010</t>
  </si>
  <si>
    <t>FR0626072900009</t>
  </si>
  <si>
    <t>FR0626072900008</t>
  </si>
  <si>
    <t>FR0626072900002</t>
  </si>
  <si>
    <t>FR0626072900001</t>
  </si>
  <si>
    <t>FR0626072800004</t>
  </si>
  <si>
    <t>ESS-WH650sets-CT01&amp;CT02</t>
  </si>
  <si>
    <t>26JUL001
26JUL001-FREE
26JUL002.01
26JUL002-FREE
26JUL003
26JUL003-FREE
26JUL004.01
26JUL004-FREE</t>
  </si>
  <si>
    <t>FR0626072800003</t>
  </si>
  <si>
    <t>ESS-WH520sets-CT09 &amp; CT10</t>
  </si>
  <si>
    <t>26JUNE007-01
26JUNE007-02</t>
  </si>
  <si>
    <t>FR0626072800002</t>
  </si>
  <si>
    <t>ESS-WH520sets-CT08</t>
  </si>
  <si>
    <t>FR0626072800001</t>
  </si>
  <si>
    <t>ESS-WH520sets-CT07</t>
  </si>
  <si>
    <t>FR0626072700022</t>
  </si>
  <si>
    <t>FR0626072700021</t>
  </si>
  <si>
    <t>FR0626072700020</t>
  </si>
  <si>
    <t>FR0626072700019</t>
  </si>
  <si>
    <t>FR0626072700003</t>
  </si>
  <si>
    <t>FR0626072700004</t>
  </si>
  <si>
    <t>FR0626072700005</t>
  </si>
  <si>
    <t>FR0626072700006</t>
  </si>
  <si>
    <t>FR0626072700007</t>
  </si>
  <si>
    <t>FR0626072700002</t>
  </si>
  <si>
    <t>FR0626072700008</t>
  </si>
  <si>
    <t>FR0626072700009</t>
  </si>
  <si>
    <t>FR0626072700010</t>
  </si>
  <si>
    <t>FR0626072700011</t>
  </si>
  <si>
    <t>FR0626072700012</t>
  </si>
  <si>
    <t>FR0626072700013</t>
  </si>
  <si>
    <t>FR0626072700014</t>
  </si>
  <si>
    <t>FR0626072700015</t>
  </si>
  <si>
    <t>FR0626072700016</t>
  </si>
  <si>
    <t>FR0626072700017</t>
  </si>
  <si>
    <t>FR0626072700018</t>
  </si>
  <si>
    <t>FR0626072700001</t>
  </si>
  <si>
    <t>FR0626060800025</t>
  </si>
  <si>
    <t>Replacement PO for PO#POPV260624018 | 26May006.11 | Incorrect Storage Space</t>
  </si>
  <si>
    <t>FR0626061500007</t>
  </si>
  <si>
    <t>Replacement PO for PO#POPV260615008 | 26May009.07.04 | 1 CT HSM-ND54-DR500 to Ecostal Yomatec</t>
  </si>
  <si>
    <t>Replacement PO for PO#POPV260615008 | 26May009.07.02 | 4 CT HSM-ND54-DR500 to SPTN</t>
  </si>
  <si>
    <t>FR0626072400002</t>
  </si>
  <si>
    <t>FR0626072400006</t>
  </si>
  <si>
    <t>FR0626072400004</t>
  </si>
  <si>
    <t>FR0626072400007</t>
  </si>
  <si>
    <t>FR0626061500013</t>
  </si>
  <si>
    <t>Replacement PO for PO#POPV260615021 | 26May010.08</t>
  </si>
  <si>
    <t>FR0626061800008</t>
  </si>
  <si>
    <t>Replacement PO for PO#POPV260618036 | 26May010.08.01</t>
  </si>
  <si>
    <t>FR0626060800020</t>
  </si>
  <si>
    <t>Replacement PO for PO#POPV260608035 | 26May016.02</t>
  </si>
  <si>
    <t>FR0626072000001</t>
  </si>
  <si>
    <t>ESS-WH520sets-CT01</t>
  </si>
  <si>
    <t>26JUNE005-01,26JUNE005-FREE+26JUNE007-FREE</t>
  </si>
  <si>
    <t>FR0626072000003</t>
  </si>
  <si>
    <t>ESS-WH520sets-CT04&amp;05</t>
  </si>
  <si>
    <t>26JUNE005-03,26JULY010,26JULY010-FREE</t>
  </si>
  <si>
    <t>FR0626072000004</t>
  </si>
  <si>
    <t>ESS-WH520sets-CT06</t>
  </si>
  <si>
    <t>26JUNE004+26JULY009,26JULY009-FREE</t>
  </si>
  <si>
    <t>FR0626072000002</t>
  </si>
  <si>
    <t>ESS-WH520sets-CT02&amp;03</t>
  </si>
  <si>
    <t>26JUNE001,26JUNE001-FREE,26JUNE003-01,26JUNE003-FREE,26JUNE004-01,26JUNE004-FREE,26JUNE006,26JUNE002-01+26JULY008,26JUNE002-FREE+26JULY008-FREE,26JUNE003</t>
  </si>
  <si>
    <t>FR0626071700023</t>
  </si>
  <si>
    <t>FR0626071700022</t>
  </si>
  <si>
    <t>FR0626071700021</t>
  </si>
  <si>
    <t>FR0626071700019</t>
  </si>
  <si>
    <t>FR0626071700020</t>
  </si>
  <si>
    <t>FR0626071700004</t>
  </si>
  <si>
    <t>FR0626071700005</t>
  </si>
  <si>
    <t>FR0626071700006</t>
  </si>
  <si>
    <t>FR0626071700007</t>
  </si>
  <si>
    <t>FR0626071700008</t>
  </si>
  <si>
    <t>FR0626071700009</t>
  </si>
  <si>
    <t>FR0626071700010</t>
  </si>
  <si>
    <t>FR0626071700011</t>
  </si>
  <si>
    <t>FR0626071700012</t>
  </si>
  <si>
    <t>FR0626071700013</t>
  </si>
  <si>
    <t>FR0626071700014</t>
  </si>
  <si>
    <t>FR0626071700015</t>
  </si>
  <si>
    <t>FR0626071700016</t>
  </si>
  <si>
    <t>FR0626071700017</t>
  </si>
  <si>
    <t>FR0626071700018</t>
  </si>
  <si>
    <t>FR0626071000029</t>
  </si>
  <si>
    <t>FR0626071000025</t>
  </si>
  <si>
    <t>POPV260710043</t>
  </si>
  <si>
    <t>26Jul013.01</t>
  </si>
  <si>
    <t>FR0626071000022</t>
  </si>
  <si>
    <t>FR0626071000023</t>
  </si>
  <si>
    <t>FR0626071000002</t>
  </si>
  <si>
    <t>FR0626071000003</t>
  </si>
  <si>
    <t>FR0626071000008</t>
  </si>
  <si>
    <t>FR0626071000005</t>
  </si>
  <si>
    <t>FR0626071000006</t>
  </si>
  <si>
    <t>FR0626071000007</t>
  </si>
  <si>
    <t>FR0626071000010</t>
  </si>
  <si>
    <t>FR0626071000012</t>
  </si>
  <si>
    <t>FR0626071000011</t>
  </si>
  <si>
    <t>FR0626071000013</t>
  </si>
  <si>
    <t>FR0626071000014</t>
  </si>
  <si>
    <t>FR0626071000015</t>
  </si>
  <si>
    <t>FR0626071000016</t>
  </si>
  <si>
    <t>FR0626071000017</t>
  </si>
  <si>
    <t>FR0626071000018</t>
  </si>
  <si>
    <t>FR0626071000019</t>
  </si>
  <si>
    <t>FR0626071000020</t>
  </si>
  <si>
    <t>FR0626071000021</t>
  </si>
  <si>
    <t>FR0626070300007</t>
  </si>
  <si>
    <t>FR0626070300003</t>
  </si>
  <si>
    <t>FR0626070300001</t>
  </si>
  <si>
    <t>FR0626070300002</t>
  </si>
  <si>
    <t>FR0626070300004</t>
  </si>
  <si>
    <t>FR0626070300006</t>
  </si>
  <si>
    <t>FR0626070300005</t>
  </si>
  <si>
    <t>FR0626070200001</t>
  </si>
  <si>
    <t>ESS-WH 198sets 3PH-CT01</t>
  </si>
  <si>
    <t>26APR013-001,26APR014,26APR014-FREE</t>
  </si>
  <si>
    <t>FR0626070200002</t>
  </si>
  <si>
    <t>ESS-WH198sets 3PH-CT02&amp;CT03</t>
  </si>
  <si>
    <t>26APR015-001,26APR012,26APR012-FREE,26APR013-002,26APR013-FREE,26APR015-002,26APR015-FREE</t>
  </si>
  <si>
    <t>FR0626052200017</t>
  </si>
  <si>
    <t>Replacement PO for PO#POPV260623029 | 26May005.01 | Arrival Plan Correction</t>
  </si>
  <si>
    <t>FR0626052200016</t>
  </si>
  <si>
    <t>Replacement PO for PO#POPV260623027 | 26Apr009.02 | Arrival Plan Correction</t>
  </si>
  <si>
    <t>FR0626052200015</t>
  </si>
  <si>
    <t>Replacement PO for PO#POPV260623025 | 26May006.09 | Arrival Plan Correction</t>
  </si>
  <si>
    <t>FR0626051500021</t>
  </si>
  <si>
    <t>Replacement PO for PO#POPV260515042 | 26Apr014.06</t>
  </si>
  <si>
    <t>FR0626051500020</t>
  </si>
  <si>
    <t>Replacement PO for PO#POPV260515033 | 26Apr014.07</t>
  </si>
  <si>
    <t>FR0626050600025</t>
  </si>
  <si>
    <t>Replacement PO for PO#POPV260506018 | 26Apr014.04</t>
  </si>
  <si>
    <t>POPV260629088</t>
  </si>
  <si>
    <t>FR0626062900023</t>
  </si>
  <si>
    <t>FR0626062900015</t>
  </si>
  <si>
    <t>FR0626062900016</t>
  </si>
  <si>
    <t>FR0626062900014</t>
  </si>
  <si>
    <t>FR0626062900013</t>
  </si>
  <si>
    <t>FR0626062900009</t>
  </si>
  <si>
    <t>FR0626062900012</t>
  </si>
  <si>
    <t>FR0626062900011</t>
  </si>
  <si>
    <t>FR0626062900010</t>
  </si>
  <si>
    <t>FR0626062900008</t>
  </si>
  <si>
    <t>FR0626062900006</t>
  </si>
  <si>
    <t>POPV260629029</t>
  </si>
  <si>
    <t>FR0626062900007</t>
  </si>
  <si>
    <t>FR0626062900005</t>
  </si>
  <si>
    <t>FR0626062900004</t>
  </si>
  <si>
    <t>FR0626062900001</t>
  </si>
  <si>
    <t>FR0626062900002</t>
  </si>
  <si>
    <t>FR0626062900003</t>
  </si>
  <si>
    <t>FR0626042300025</t>
  </si>
  <si>
    <t>Replacement PO for PO#POPV260423023 | 26Apr011.03.01 | BL CHANGE: 3 CT to ECOSTAL and 12 CT for SPTN</t>
  </si>
  <si>
    <t>Replacement PO for PO#POPV260423023 | 26Apr011.03.02 | BL CHANGE: 3 CT to ECOSTAL and 12 CT for SPTN</t>
  </si>
  <si>
    <t>FR0626062600003</t>
  </si>
  <si>
    <t>FR0626062600028</t>
  </si>
  <si>
    <t>FR0626062600027</t>
  </si>
  <si>
    <t>FR0626062600026</t>
  </si>
  <si>
    <t>FR0626062600024</t>
  </si>
  <si>
    <t>POPV260626054</t>
  </si>
  <si>
    <t>FR0626062600025</t>
  </si>
  <si>
    <t>FR0626062600018</t>
  </si>
  <si>
    <t>FR0626062600001</t>
  </si>
  <si>
    <t>FR0626062600002</t>
  </si>
  <si>
    <t>POPV260626050</t>
  </si>
  <si>
    <t>FR0626062600004</t>
  </si>
  <si>
    <t>POPV260626049</t>
  </si>
  <si>
    <t>FR0626062600005</t>
  </si>
  <si>
    <t>FR0626062600006</t>
  </si>
  <si>
    <t>POPV260626046</t>
  </si>
  <si>
    <t>FR0626062600007</t>
  </si>
  <si>
    <t>POPV260626045</t>
  </si>
  <si>
    <t>FR0626062600008</t>
  </si>
  <si>
    <t>FR0626062600010</t>
  </si>
  <si>
    <t>FR0626062600009</t>
  </si>
  <si>
    <t>FR0626062600011</t>
  </si>
  <si>
    <t>FR0626062600012</t>
  </si>
  <si>
    <t>FR0626062600013</t>
  </si>
  <si>
    <t>FR0626062600014</t>
  </si>
  <si>
    <t>FR0626062600015</t>
  </si>
  <si>
    <t>FR0626062600016</t>
  </si>
  <si>
    <t>FR0626062600017</t>
  </si>
  <si>
    <t>FR0626062600019</t>
  </si>
  <si>
    <t>FR0626062600021</t>
  </si>
  <si>
    <t>FR0626062600020</t>
  </si>
  <si>
    <t>FR0626062600022</t>
  </si>
  <si>
    <t>FR0626062600023</t>
  </si>
  <si>
    <t>POPV260624018</t>
  </si>
  <si>
    <t>Replacement PO for PO#POPV260608056 | 26May006.11</t>
  </si>
  <si>
    <t>FR0626062400001</t>
  </si>
  <si>
    <t>FR0626062400002</t>
  </si>
  <si>
    <t>FR0626062400003</t>
  </si>
  <si>
    <t>FR0626062400004</t>
  </si>
  <si>
    <t>FR0626062400005</t>
  </si>
  <si>
    <t>POPV260623029</t>
  </si>
  <si>
    <t>Replacement PO for PO#POPV260522020 | 26May005.01</t>
  </si>
  <si>
    <t>POPV260623027</t>
  </si>
  <si>
    <t>Replacement PO for PO#POPV260522024 | 26Apr009.02</t>
  </si>
  <si>
    <t>POPV260623025</t>
  </si>
  <si>
    <t>Replacement PO for PO#POPV260522034 | 26May006.09</t>
  </si>
  <si>
    <t>FR0626062200028</t>
  </si>
  <si>
    <t>FR0626061800027</t>
  </si>
  <si>
    <t>FR0626061800026</t>
  </si>
  <si>
    <t>FR0626061800025</t>
  </si>
  <si>
    <t>FR0626061800023</t>
  </si>
  <si>
    <t>FR0626061800003</t>
  </si>
  <si>
    <t>FR0626061800022</t>
  </si>
  <si>
    <t>FR0626061800004</t>
  </si>
  <si>
    <t>FR0626061800006</t>
  </si>
  <si>
    <t>FR0626061800005</t>
  </si>
  <si>
    <t>FR0626061800007</t>
  </si>
  <si>
    <t>POPV260618036</t>
  </si>
  <si>
    <t>FR0626061800011</t>
  </si>
  <si>
    <t>FR0626061800010</t>
  </si>
  <si>
    <t>FR0626061800013</t>
  </si>
  <si>
    <t>FR0626061800014</t>
  </si>
  <si>
    <t>FR0626061800015</t>
  </si>
  <si>
    <t>FR0626061800016</t>
  </si>
  <si>
    <t>FR0626061800017</t>
  </si>
  <si>
    <t>FR0626061800018</t>
  </si>
  <si>
    <t>FR0626061800019</t>
  </si>
  <si>
    <t>FR0626061800020</t>
  </si>
  <si>
    <t>FR0626061800021</t>
  </si>
  <si>
    <t>FR0626061700004</t>
  </si>
  <si>
    <t>ESS-WH544sets-1st batch</t>
  </si>
  <si>
    <t>26APR006.01,26APR006.FREE,26APR007,26APR007.FREE,26APR008.01,26APR008.FREE</t>
  </si>
  <si>
    <t>FR0626061700005</t>
  </si>
  <si>
    <t>ESS-WH544sets-2nd batch</t>
  </si>
  <si>
    <t>FR0626061700006</t>
  </si>
  <si>
    <t>ESS-WH544sets-3rd batch</t>
  </si>
  <si>
    <t>FR0626061700007</t>
  </si>
  <si>
    <t>ESS-WH544sets-4th batch</t>
  </si>
  <si>
    <t>26APR009.03,26APR009.04,26APR009.FREE</t>
  </si>
  <si>
    <t>FR0626061700008</t>
  </si>
  <si>
    <t>ESS-WH544sets-5th Batch</t>
  </si>
  <si>
    <t>26APR006.02,26APR008.02,26APR010,26JUNE008,26MAY001,26APR006.03</t>
  </si>
  <si>
    <t>FR0626061600001</t>
  </si>
  <si>
    <t>FR0626061600002</t>
  </si>
  <si>
    <t>FR0626061600003</t>
  </si>
  <si>
    <t>FR0626061500014</t>
  </si>
  <si>
    <t>POPV260615021</t>
  </si>
  <si>
    <t>FR0626061500012</t>
  </si>
  <si>
    <t>FR0626061500011</t>
  </si>
  <si>
    <t>FR0626061500010</t>
  </si>
  <si>
    <t>FR0626061500001</t>
  </si>
  <si>
    <t>FR0626061500002</t>
  </si>
  <si>
    <t>FR0626061500004</t>
  </si>
  <si>
    <t>FR0626061500003</t>
  </si>
  <si>
    <t>FR0626061500005</t>
  </si>
  <si>
    <t>FR0626061500006</t>
  </si>
  <si>
    <t>POPV260615008</t>
  </si>
  <si>
    <t>POPV260615007</t>
  </si>
  <si>
    <t>FR0626061500009</t>
  </si>
  <si>
    <t>FR0626061500008</t>
  </si>
  <si>
    <t>FR0626060800019</t>
  </si>
  <si>
    <t>FR0626060800042</t>
  </si>
  <si>
    <t>FR0626060800041</t>
  </si>
  <si>
    <t>FR0626060800040</t>
  </si>
  <si>
    <t>FR0626060800035</t>
  </si>
  <si>
    <t>POPV260608056</t>
  </si>
  <si>
    <t>FR0626060800024</t>
  </si>
  <si>
    <t>FR0626060800022</t>
  </si>
  <si>
    <t>FR0626060800001</t>
  </si>
  <si>
    <t>FR0626060800002</t>
  </si>
  <si>
    <t>FR0626060800004</t>
  </si>
  <si>
    <t>FR0626060800005</t>
  </si>
  <si>
    <t>FR0626060800008</t>
  </si>
  <si>
    <t>FR0626060800006</t>
  </si>
  <si>
    <t>FR0626060800007</t>
  </si>
  <si>
    <t>FR0626060800009</t>
  </si>
  <si>
    <t>FR0626060800012</t>
  </si>
  <si>
    <t>FR0626060800010</t>
  </si>
  <si>
    <t>FR0626060800011</t>
  </si>
  <si>
    <t>FR0626060800036</t>
  </si>
  <si>
    <t>FR0626060800039</t>
  </si>
  <si>
    <t>FR0626060800038</t>
  </si>
  <si>
    <t>FR0626060800037</t>
  </si>
  <si>
    <t>POPV260608035</t>
  </si>
  <si>
    <t>FR0626060800021</t>
  </si>
  <si>
    <t>FR0626060800018</t>
  </si>
  <si>
    <t>FR0626060800013</t>
  </si>
  <si>
    <t>FR0626060800016</t>
  </si>
  <si>
    <t>FR0626060800014</t>
  </si>
  <si>
    <t>FR0626060800034</t>
  </si>
  <si>
    <t>FR0626060800032</t>
  </si>
  <si>
    <t>POPV260604014</t>
  </si>
  <si>
    <t>EARLY_PO_NOV_EU_Planning_wk23</t>
  </si>
  <si>
    <t>Returned</t>
  </si>
  <si>
    <t>Temporary PO to enable visibility of future supply shipment in New Ark system.</t>
  </si>
  <si>
    <t>POPV260604013</t>
  </si>
  <si>
    <t>EARLY_PO_OCT_EU_Planning_wk23</t>
  </si>
  <si>
    <t>POPV260604012</t>
  </si>
  <si>
    <t>EARLY_PO_SEP_EU_Planning_wk23</t>
  </si>
  <si>
    <t>POPV260604011</t>
  </si>
  <si>
    <t>EARLY_PO_AUG2_EU_Planning_wk23</t>
  </si>
  <si>
    <t>POPV260604010</t>
  </si>
  <si>
    <t>EARLY_PO_AUG1_EU_Planning_wk23</t>
  </si>
  <si>
    <t>POPV260604009</t>
  </si>
  <si>
    <t>EARLY_PO_JUL_EU_Planning_wk23</t>
  </si>
  <si>
    <t>FR0626060200001</t>
  </si>
  <si>
    <t>FR0626060200002</t>
  </si>
  <si>
    <t>FR0626060200003</t>
  </si>
  <si>
    <t>FR0626060200004</t>
  </si>
  <si>
    <t>FR0626060200006</t>
  </si>
  <si>
    <t>FR0626060200005</t>
  </si>
  <si>
    <t>FR0626060200007</t>
  </si>
  <si>
    <t>FR0626060200009</t>
  </si>
  <si>
    <t>FR0626060200008</t>
  </si>
  <si>
    <t>FR0626060200010</t>
  </si>
  <si>
    <t>POPV260529038</t>
  </si>
  <si>
    <t>TEMP_OCT_Planning_EU_wk22</t>
  </si>
  <si>
    <t>Future supply for visibility in New Ark =&gt; to be revised and cancelled as real PO are pushed by TCL HK</t>
  </si>
  <si>
    <t>POPV260529037</t>
  </si>
  <si>
    <t>TEMP_SEP_Planning_EU_wk22</t>
  </si>
  <si>
    <t>POPV260529036</t>
  </si>
  <si>
    <t>TEMP_AUG_Planning_EU_wk22</t>
  </si>
  <si>
    <t>POPV260529034</t>
  </si>
  <si>
    <t>TEMP_PO_SupplyPlanning_EU</t>
  </si>
  <si>
    <t>Future supply for visibility in New Ark =&gt; to be revised and cancelled as real PO are pushed by TCL HQ.</t>
  </si>
  <si>
    <t>FR0626052800001</t>
  </si>
  <si>
    <t>FR0626052800002</t>
  </si>
  <si>
    <t>FR0626052800003</t>
  </si>
  <si>
    <t>FR0626052800004</t>
  </si>
  <si>
    <t>FR0626052800005</t>
  </si>
  <si>
    <t>FR0626052800006</t>
  </si>
  <si>
    <t>FR0626052800007</t>
  </si>
  <si>
    <t>FR0626052800008</t>
  </si>
  <si>
    <t>FR0626052800009</t>
  </si>
  <si>
    <t>POPV260526036</t>
  </si>
  <si>
    <t>FR0626052600379</t>
  </si>
  <si>
    <t>Blue Ark Sample Dummy</t>
  </si>
  <si>
    <t>POPV260522046</t>
  </si>
  <si>
    <t>FR0626052200030</t>
  </si>
  <si>
    <t>Samples for product team</t>
  </si>
  <si>
    <t>Product team sample</t>
  </si>
  <si>
    <t>FR0626052200026</t>
  </si>
  <si>
    <t>FR0626052200025</t>
  </si>
  <si>
    <t>FR0626052200024</t>
  </si>
  <si>
    <t>FR0626052200023</t>
  </si>
  <si>
    <t>FR0626052200022</t>
  </si>
  <si>
    <t>FR0626052200021</t>
  </si>
  <si>
    <t>FR0626052200020</t>
  </si>
  <si>
    <t>FR0626052200014</t>
  </si>
  <si>
    <t>POPV260522034</t>
  </si>
  <si>
    <t>FR0626052200013</t>
  </si>
  <si>
    <t>FR0626052200012</t>
  </si>
  <si>
    <t>FR0626052200011</t>
  </si>
  <si>
    <t>FR0626052200009</t>
  </si>
  <si>
    <t>FR0626052200008</t>
  </si>
  <si>
    <t>FR0626052200006</t>
  </si>
  <si>
    <t>FR0626052200007</t>
  </si>
  <si>
    <t>FR0626052200005</t>
  </si>
  <si>
    <t>FR0626052200004</t>
  </si>
  <si>
    <t>POPV260522024</t>
  </si>
  <si>
    <t>FR0626052200019</t>
  </si>
  <si>
    <t>FR0626052200003</t>
  </si>
  <si>
    <t>FR0626052200018</t>
  </si>
  <si>
    <t>POPV260522020</t>
  </si>
  <si>
    <t>FR0626052200002</t>
  </si>
  <si>
    <t>FR0626052200001</t>
  </si>
  <si>
    <t>FR0626051500027</t>
  </si>
  <si>
    <t>ESS-26APR001~005-Batch 1+JULY002-004</t>
  </si>
  <si>
    <t>26APR001.01,JULY002-04,26APR002,26APR002.FREE,26APR003.01,JULY004-06,26APR005</t>
  </si>
  <si>
    <t>FR0626051500028</t>
  </si>
  <si>
    <t>ESS-26APR001~005 Batch 2-CT02 &amp; CT03</t>
  </si>
  <si>
    <t>26APR001,26APR001.FREE,26APR003.02,26APR003.FREE</t>
  </si>
  <si>
    <t>FR0626051500030</t>
  </si>
  <si>
    <t>ESS-26 APR001~005 Batch03 CT04&amp;CT05&amp;CT06</t>
  </si>
  <si>
    <t>26APR004.01,26APR004.02,26APR004.FREE</t>
  </si>
  <si>
    <t>FR0626051500011</t>
  </si>
  <si>
    <t>FR0626051500025</t>
  </si>
  <si>
    <t>FR0626051500026</t>
  </si>
  <si>
    <t>FR0626051500024</t>
  </si>
  <si>
    <t>FR0626051500023</t>
  </si>
  <si>
    <t>FR0626051500022</t>
  </si>
  <si>
    <t>POPV260515042</t>
  </si>
  <si>
    <t>FR0626051500018</t>
  </si>
  <si>
    <t>FR0626051500019</t>
  </si>
  <si>
    <t>FR0626051500017</t>
  </si>
  <si>
    <t>FR0626051500016</t>
  </si>
  <si>
    <t>FR0626051500014</t>
  </si>
  <si>
    <t>FR0626051500013</t>
  </si>
  <si>
    <t>FR0626051500012</t>
  </si>
  <si>
    <t>FR0626051500010</t>
  </si>
  <si>
    <t>POPV260515033</t>
  </si>
  <si>
    <t>FR0626051500009</t>
  </si>
  <si>
    <t>FR0626051500008</t>
  </si>
  <si>
    <t>FR0626051500007</t>
  </si>
  <si>
    <t>FR0626051500006</t>
  </si>
  <si>
    <t>FR0626051500005</t>
  </si>
  <si>
    <t>FR0626051500004</t>
  </si>
  <si>
    <t>FR0626051500003</t>
  </si>
  <si>
    <t>FR0626051500002</t>
  </si>
  <si>
    <t>FR0626051500001</t>
  </si>
  <si>
    <t>FR0626030900022</t>
  </si>
  <si>
    <t>new internal PO to replace former Offshore POPV260427048 (3x CTs change B/L rejected) - 26Feb017.11.02</t>
  </si>
  <si>
    <t>FR0626041700007</t>
  </si>
  <si>
    <t>Customer PO:26Feb017.20 | SAP-PO NO:5100179382 | old PO POPV260417010</t>
  </si>
  <si>
    <t>FR0626041700006</t>
  </si>
  <si>
    <t>Customer PO:26Feb017.19 | SAP-PO NO:5100179388 | old PO POPV260417009</t>
  </si>
  <si>
    <t>FR0626050900002</t>
  </si>
  <si>
    <t>FR0626050900001</t>
  </si>
  <si>
    <t>FR0626050900003</t>
  </si>
  <si>
    <t>FR0626050900006</t>
  </si>
  <si>
    <t>FR0626050900004</t>
  </si>
  <si>
    <t>FR0626050900005</t>
  </si>
  <si>
    <t>FR0626050900007</t>
  </si>
  <si>
    <t>FR0626050800003</t>
  </si>
  <si>
    <t>FR0626050800004</t>
  </si>
  <si>
    <t>FR0626050800005</t>
  </si>
  <si>
    <t>FR0626050800006</t>
  </si>
  <si>
    <t>FR0626050800001</t>
  </si>
  <si>
    <t>ESS-26APR011</t>
  </si>
  <si>
    <t>POPV260508003</t>
  </si>
  <si>
    <t>FR0626050800002</t>
  </si>
  <si>
    <t>ESS-26APR016</t>
  </si>
  <si>
    <t>FR0626050600013</t>
  </si>
  <si>
    <t>FR0626050600014</t>
  </si>
  <si>
    <t>FR0626050600015</t>
  </si>
  <si>
    <t>FR0626050600016</t>
  </si>
  <si>
    <t>FR0626050600017</t>
  </si>
  <si>
    <t>FR0626050600019</t>
  </si>
  <si>
    <t>FR0626050600018</t>
  </si>
  <si>
    <t>FR0626050600020</t>
  </si>
  <si>
    <t>FR0626050600021</t>
  </si>
  <si>
    <t>FR0626050600026</t>
  </si>
  <si>
    <t>FR0626050600022</t>
  </si>
  <si>
    <t>26Apr014a.03</t>
  </si>
  <si>
    <t>POPV260506018</t>
  </si>
  <si>
    <t>26Apr014.04</t>
  </si>
  <si>
    <t>FR0626050600024</t>
  </si>
  <si>
    <t>FR0626050600001</t>
  </si>
  <si>
    <t>FR0626050600002</t>
  </si>
  <si>
    <t>FR0626050600003</t>
  </si>
  <si>
    <t>FR0626050600005</t>
  </si>
  <si>
    <t>FR0626050600004</t>
  </si>
  <si>
    <t>FR0626050600006</t>
  </si>
  <si>
    <t>FR0626050600007</t>
  </si>
  <si>
    <t>FR0626050600008</t>
  </si>
  <si>
    <t>FR0626050600009</t>
  </si>
  <si>
    <t>POPV260429007</t>
  </si>
  <si>
    <t>FR0626042800011</t>
  </si>
  <si>
    <t>Blue Ark Accessory</t>
  </si>
  <si>
    <t>FR0626041300006</t>
  </si>
  <si>
    <t>26Feb017.05 | Replacement PO for PO#POPV260413026</t>
  </si>
  <si>
    <t>FR0626041300005</t>
  </si>
  <si>
    <t>26Feb017.04 | Replacement PO for PO#POPV260413027</t>
  </si>
  <si>
    <t>FR0626033000009</t>
  </si>
  <si>
    <t>26Feb009.10.01 | Replacement PO for PO#POPV260330005</t>
  </si>
  <si>
    <t>26Feb009.10.02 | Replacement PO for PO#POPV260330005</t>
  </si>
  <si>
    <t>FR0626033000010</t>
  </si>
  <si>
    <t>26Feb009.09 | Replacement PO for PO#POPV260330003</t>
  </si>
  <si>
    <t>to replace POPV26041755 for UK Greentech order</t>
  </si>
  <si>
    <t>FR0626030900022/FR0626030900006</t>
  </si>
  <si>
    <t>26Feb017.13.06 &amp; 26Feb017.11.02 | POPV260417055 &amp; POPV260417057</t>
  </si>
  <si>
    <t>FR0626031300013</t>
  </si>
  <si>
    <t>26Feb010.13 | Replacement PO for PO#POPV260313030</t>
  </si>
  <si>
    <t>FR0626031300012</t>
  </si>
  <si>
    <t>26Feb010.11 | Replacement PO for PO#POPV260313032</t>
  </si>
  <si>
    <t>FR0626042700001</t>
  </si>
  <si>
    <t>FR0626042700002</t>
  </si>
  <si>
    <t>FR0626042700003</t>
  </si>
  <si>
    <t>FR0626032000032</t>
  </si>
  <si>
    <t>Replacement of POPV260320056, 26Feb022.02.1</t>
  </si>
  <si>
    <t>FR0626042300003</t>
  </si>
  <si>
    <t>FR0626042300004</t>
  </si>
  <si>
    <t>FR0626042300013</t>
  </si>
  <si>
    <t>FR0626042300014</t>
  </si>
  <si>
    <t>FR0626042300016</t>
  </si>
  <si>
    <t>FR0626042300015</t>
  </si>
  <si>
    <t>FR0626042300017</t>
  </si>
  <si>
    <t>FR0626042300018</t>
  </si>
  <si>
    <t>POPV260423023</t>
  </si>
  <si>
    <t>26Apr011.03</t>
  </si>
  <si>
    <t>FR0626042300024</t>
  </si>
  <si>
    <t>FR0626042300022</t>
  </si>
  <si>
    <t>FR0626042300023</t>
  </si>
  <si>
    <t>FR0626042300019</t>
  </si>
  <si>
    <t>FR0626042300020</t>
  </si>
  <si>
    <t>FR0626042300021</t>
  </si>
  <si>
    <t>FR0626042300012</t>
  </si>
  <si>
    <t>FR0626042300005</t>
  </si>
  <si>
    <t>FR0626042300007</t>
  </si>
  <si>
    <t>FR0626042300008</t>
  </si>
  <si>
    <t>FR0626042300011</t>
  </si>
  <si>
    <t>FR0626042300009</t>
  </si>
  <si>
    <t>POPV260423002</t>
  </si>
  <si>
    <t>FR0626042200004</t>
  </si>
  <si>
    <t>Blue Ark ESS Accessory-1st batch by Sea</t>
  </si>
  <si>
    <t>POPV260422016</t>
  </si>
  <si>
    <t>FR0626042200005</t>
  </si>
  <si>
    <t>Product team test module</t>
  </si>
  <si>
    <t>FR0626042200002</t>
  </si>
  <si>
    <t>FR0626042200003</t>
  </si>
  <si>
    <t>FR0626042200001</t>
  </si>
  <si>
    <t>ESS-APR005-01</t>
  </si>
  <si>
    <t>FR0626030300004</t>
  </si>
  <si>
    <t>Replacement PO for PO#POPV260303018 | 26JAN005.02</t>
  </si>
  <si>
    <t>FR0626042100011</t>
  </si>
  <si>
    <t>FR0626042100010</t>
  </si>
  <si>
    <t>FR0626042100009</t>
  </si>
  <si>
    <t>FR0626030900006</t>
  </si>
  <si>
    <t>Replacement PO for PO#POPV260309055</t>
  </si>
  <si>
    <t>Replacement PO for PO#POPV260309055 &amp; POPV260309028</t>
  </si>
  <si>
    <t>Replacement PO for PO#POPV260309028</t>
  </si>
  <si>
    <t>POPV260417055</t>
  </si>
  <si>
    <t>FR0626041700002</t>
  </si>
  <si>
    <t>FR0626041700003</t>
  </si>
  <si>
    <t>FR0626041700004</t>
  </si>
  <si>
    <t>FR0626041700005</t>
  </si>
  <si>
    <t>POPV260417010</t>
  </si>
  <si>
    <t>POPV260417009</t>
  </si>
  <si>
    <t>26Feb017.19</t>
  </si>
  <si>
    <t>FR0626041700008</t>
  </si>
  <si>
    <t>FR0626041700009</t>
  </si>
  <si>
    <t>FR0626041700010</t>
  </si>
  <si>
    <t>FR0626041700011</t>
  </si>
  <si>
    <t>FR0626041700012</t>
  </si>
  <si>
    <t>FR0626041700014</t>
  </si>
  <si>
    <t>FR0626041700013</t>
  </si>
  <si>
    <t>FR0626040300007</t>
  </si>
  <si>
    <t>26Feb006.03
Replacement of PO# POPV260403007</t>
  </si>
  <si>
    <t>FR0626041300011</t>
  </si>
  <si>
    <t>FR0626041300012</t>
  </si>
  <si>
    <t>FR0626041300013</t>
  </si>
  <si>
    <t>FR0626041300003</t>
  </si>
  <si>
    <t>FR0626041300010</t>
  </si>
  <si>
    <t>FR0626041300002</t>
  </si>
  <si>
    <t>FR0626041300001</t>
  </si>
  <si>
    <t>FR0626041300004</t>
  </si>
  <si>
    <t>POPV260413027</t>
  </si>
  <si>
    <t>POPV260413026</t>
  </si>
  <si>
    <t>FR0626041300009</t>
  </si>
  <si>
    <t>FR0626041300007</t>
  </si>
  <si>
    <t>FR0626041300008</t>
  </si>
  <si>
    <t>FR0626041000002</t>
  </si>
  <si>
    <t>FR0626041000003</t>
  </si>
  <si>
    <t>FR0626041000001</t>
  </si>
  <si>
    <t>FR0626040900001</t>
  </si>
  <si>
    <t>FR0626040300015</t>
  </si>
  <si>
    <t>FR0626040300014</t>
  </si>
  <si>
    <t>FR0626040300001</t>
  </si>
  <si>
    <t>FR0626040300013</t>
  </si>
  <si>
    <t>FR0626040300012</t>
  </si>
  <si>
    <t>FR0626040300002</t>
  </si>
  <si>
    <t>FR0626040300008</t>
  </si>
  <si>
    <t>FR0626040300009</t>
  </si>
  <si>
    <t>FR0626040300010</t>
  </si>
  <si>
    <t>FR0626040300003</t>
  </si>
  <si>
    <t>FR0626040300004</t>
  </si>
  <si>
    <t>FR0626040300006</t>
  </si>
  <si>
    <t>FR0626040300005</t>
  </si>
  <si>
    <t>FR0626040100001</t>
  </si>
  <si>
    <t>FR0626040100003</t>
  </si>
  <si>
    <t>FR0626040100002</t>
  </si>
  <si>
    <t>FR0626030300009</t>
  </si>
  <si>
    <t>Replacement of POPV260303010, NOV010_2</t>
  </si>
  <si>
    <t>Replacement of POPV260303010, NOV010_1</t>
  </si>
  <si>
    <t>FR0626031300038</t>
  </si>
  <si>
    <t>Replacement of POPV260313049, 26Feb019.03.2</t>
  </si>
  <si>
    <t>Replacement of POPV260313049, 26Feb019.03.1</t>
  </si>
  <si>
    <t>FR0626022600014</t>
  </si>
  <si>
    <t>Replacement of POPV260226004, DEC022.01</t>
  </si>
  <si>
    <t>FR0626022600015</t>
  </si>
  <si>
    <t>Replacement of POPV260226002, OCT010.02</t>
  </si>
  <si>
    <t>FR0626033000018</t>
  </si>
  <si>
    <t>FR0626033000019</t>
  </si>
  <si>
    <t>FR0626033000023</t>
  </si>
  <si>
    <t>FR0626033000020</t>
  </si>
  <si>
    <t>FR0626033000022</t>
  </si>
  <si>
    <t>FR0626033000021</t>
  </si>
  <si>
    <t>FR0626033000002</t>
  </si>
  <si>
    <t>FR0626033000001</t>
  </si>
  <si>
    <t>FR0626033000003</t>
  </si>
  <si>
    <t>FR0626033000004</t>
  </si>
  <si>
    <t>FR0626033000005</t>
  </si>
  <si>
    <t>FR0626033000006</t>
  </si>
  <si>
    <t>FR0626033000007</t>
  </si>
  <si>
    <t>FR0626033000008</t>
  </si>
  <si>
    <t>POPV260330005</t>
  </si>
  <si>
    <t>26Feb009.10</t>
  </si>
  <si>
    <t>FR0626033000011</t>
  </si>
  <si>
    <t>POPV260330003</t>
  </si>
  <si>
    <t>FR0626032600001</t>
  </si>
  <si>
    <t>FR0626032600002</t>
  </si>
  <si>
    <t>FR0626032600003</t>
  </si>
  <si>
    <t>FR0626032400005</t>
  </si>
  <si>
    <t>FR0626032400004</t>
  </si>
  <si>
    <t>FR0626032400006</t>
  </si>
  <si>
    <t>FR0626032400007</t>
  </si>
  <si>
    <t>FR0626032400008</t>
  </si>
  <si>
    <t>FR0626032400009</t>
  </si>
  <si>
    <t>FR0626032400001</t>
  </si>
  <si>
    <t>FR0626032400002</t>
  </si>
  <si>
    <t>FR0626032400003</t>
  </si>
  <si>
    <t>26Feb022.02</t>
  </si>
  <si>
    <t>POPV260323034</t>
  </si>
  <si>
    <t>FR0626032000033</t>
  </si>
  <si>
    <t>FR0626032000034</t>
  </si>
  <si>
    <t>FR0626032000001</t>
  </si>
  <si>
    <t>FR0626032000030</t>
  </si>
  <si>
    <t>FR0626032000002</t>
  </si>
  <si>
    <t>FR0626032000003</t>
  </si>
  <si>
    <t>FR0626032000029</t>
  </si>
  <si>
    <t>FR0626032000004</t>
  </si>
  <si>
    <t>FR0626032000028</t>
  </si>
  <si>
    <t>FR0626032000005</t>
  </si>
  <si>
    <t>FR0626032000006</t>
  </si>
  <si>
    <t>FR0626032000008</t>
  </si>
  <si>
    <t>FR0626032000007</t>
  </si>
  <si>
    <t>FR0626032000009</t>
  </si>
  <si>
    <t>FR0626032000010</t>
  </si>
  <si>
    <t>FR0626032000027</t>
  </si>
  <si>
    <t>FR0626032000011</t>
  </si>
  <si>
    <t>FR0626032000012</t>
  </si>
  <si>
    <t>FR0626032000013</t>
  </si>
  <si>
    <t>FR0626032000014</t>
  </si>
  <si>
    <t>FR0626032000015</t>
  </si>
  <si>
    <t>FR0626032000026</t>
  </si>
  <si>
    <t>FR0626032000016</t>
  </si>
  <si>
    <t>FR0626032000025</t>
  </si>
  <si>
    <t>FR0626032000017</t>
  </si>
  <si>
    <t>FR0626032000018</t>
  </si>
  <si>
    <t>FR0626032000024</t>
  </si>
  <si>
    <t>FR0626032000019</t>
  </si>
  <si>
    <t>FR0626032000020</t>
  </si>
  <si>
    <t>FR0626032000023</t>
  </si>
  <si>
    <t>FR0626032000021</t>
  </si>
  <si>
    <t>FR0626032000022</t>
  </si>
  <si>
    <t>FR0626031900005</t>
  </si>
  <si>
    <t>FR0626031900006</t>
  </si>
  <si>
    <t>FR0626031800007</t>
  </si>
  <si>
    <t>FR0626031600003</t>
  </si>
  <si>
    <t>FR0626031600004</t>
  </si>
  <si>
    <t>FR0626031600005</t>
  </si>
  <si>
    <t>FR0626031600009</t>
  </si>
  <si>
    <t>FR0626031600010</t>
  </si>
  <si>
    <t>FR0626031300046</t>
  </si>
  <si>
    <t>FR0626031300047</t>
  </si>
  <si>
    <t>FR0626031300031</t>
  </si>
  <si>
    <t>FR0626031300032</t>
  </si>
  <si>
    <t>FR0626031300044</t>
  </si>
  <si>
    <t>FR0626031300045</t>
  </si>
  <si>
    <t>FR0626031300042</t>
  </si>
  <si>
    <t>FR0626031300033</t>
  </si>
  <si>
    <t>FR0626031300041</t>
  </si>
  <si>
    <t>FR0626031300036</t>
  </si>
  <si>
    <t>FR0626031300034</t>
  </si>
  <si>
    <t>FR0626031300037</t>
  </si>
  <si>
    <t>POPV260313049</t>
  </si>
  <si>
    <t>26Feb019.03</t>
  </si>
  <si>
    <t>FR0626031300040</t>
  </si>
  <si>
    <t>FR0626031300039</t>
  </si>
  <si>
    <t>FR0626031300001</t>
  </si>
  <si>
    <t>FR0626031300003</t>
  </si>
  <si>
    <t>FR0626031300002</t>
  </si>
  <si>
    <t>FR0626031300004</t>
  </si>
  <si>
    <t>FR0626031300005</t>
  </si>
  <si>
    <t>FR0626031300006</t>
  </si>
  <si>
    <t>FR0626031300007</t>
  </si>
  <si>
    <t>FR0626031300008</t>
  </si>
  <si>
    <t>FR0626031300009</t>
  </si>
  <si>
    <t>FR0626031300010</t>
  </si>
  <si>
    <t>FR0626031300011</t>
  </si>
  <si>
    <t>POPV260313032</t>
  </si>
  <si>
    <t>FR0626031300014</t>
  </si>
  <si>
    <t>POPV260313030</t>
  </si>
  <si>
    <t>FR0626031300015</t>
  </si>
  <si>
    <t>FR0626031300017</t>
  </si>
  <si>
    <t>FR0626031300016</t>
  </si>
  <si>
    <t>FR0626031300019</t>
  </si>
  <si>
    <t>FR0626031300018</t>
  </si>
  <si>
    <t>FR0626031300021</t>
  </si>
  <si>
    <t>FR0626031300020</t>
  </si>
  <si>
    <t>FR0626031300022</t>
  </si>
  <si>
    <t>FR0626031300023</t>
  </si>
  <si>
    <t>FR0626031300025</t>
  </si>
  <si>
    <t>FR0626031300026</t>
  </si>
  <si>
    <t>FR0626031300027</t>
  </si>
  <si>
    <t>FR0626031300028</t>
  </si>
  <si>
    <t>FR0626031300029</t>
  </si>
  <si>
    <t>FR0626031300030</t>
  </si>
  <si>
    <t>FR0626031200001</t>
  </si>
  <si>
    <t>ESS-26FEB001</t>
  </si>
  <si>
    <t>FR0626031000006</t>
  </si>
  <si>
    <t>FR0626031000001</t>
  </si>
  <si>
    <t>FR0626031000002</t>
  </si>
  <si>
    <t>FR0626031000003</t>
  </si>
  <si>
    <t>FR0626031000004</t>
  </si>
  <si>
    <t>FR0626031000005</t>
  </si>
  <si>
    <t>FR0626031000007</t>
  </si>
  <si>
    <t>FR0626031000008</t>
  </si>
  <si>
    <t>FR0626031000009</t>
  </si>
  <si>
    <t>FR0626031000010</t>
  </si>
  <si>
    <t>FR0626031000011</t>
  </si>
  <si>
    <t>FR0626030900002</t>
  </si>
  <si>
    <t>FR0626030900003</t>
  </si>
  <si>
    <t>POPV260309055</t>
  </si>
  <si>
    <t>26Feb017.11</t>
  </si>
  <si>
    <t>FR0626030900004</t>
  </si>
  <si>
    <t>FR0626030900008</t>
  </si>
  <si>
    <t>FR0626030900007</t>
  </si>
  <si>
    <t>FR0626030900010</t>
  </si>
  <si>
    <t>FR0626030900011</t>
  </si>
  <si>
    <t>FR0626030900012</t>
  </si>
  <si>
    <t>FR0626030900014</t>
  </si>
  <si>
    <t>FR0626030900015</t>
  </si>
  <si>
    <t>FR0626030900016</t>
  </si>
  <si>
    <t>FR0626030900017</t>
  </si>
  <si>
    <t>FR0626030900018</t>
  </si>
  <si>
    <t>FR0626030900019</t>
  </si>
  <si>
    <t>FR0626030900020</t>
  </si>
  <si>
    <t>FR0626030900021</t>
  </si>
  <si>
    <t>POPV260309028</t>
  </si>
  <si>
    <t>26Feb017.13</t>
  </si>
  <si>
    <t>FR0626030900023</t>
  </si>
  <si>
    <t>FR0626030600007</t>
  </si>
  <si>
    <t>FR0626030600008</t>
  </si>
  <si>
    <t>FR0626030600009</t>
  </si>
  <si>
    <t>FR0626030500001</t>
  </si>
  <si>
    <t>FR0626030500002</t>
  </si>
  <si>
    <t>FR0626030500003</t>
  </si>
  <si>
    <t>FR0626030500004</t>
  </si>
  <si>
    <t>FR0626030500005</t>
  </si>
  <si>
    <t>FR0626030500006</t>
  </si>
  <si>
    <t>FR0626030500007</t>
  </si>
  <si>
    <t>FR0626030500008</t>
  </si>
  <si>
    <t>FR0626030500010</t>
  </si>
  <si>
    <t>FR0626030500009</t>
  </si>
  <si>
    <t>FR0626030500012</t>
  </si>
  <si>
    <t>FR0626030500011</t>
  </si>
  <si>
    <t>FR0626030500013</t>
  </si>
  <si>
    <t>FR0626030500015</t>
  </si>
  <si>
    <t>FR0626030500014</t>
  </si>
  <si>
    <t>FR0626030500016</t>
  </si>
  <si>
    <t>Replacement of POPV260224003</t>
  </si>
  <si>
    <t>FR0626030300001</t>
  </si>
  <si>
    <t>FR0626030300002</t>
  </si>
  <si>
    <t>POPV260303018</t>
  </si>
  <si>
    <t>26JAN005.02</t>
  </si>
  <si>
    <t>FR0626030300003</t>
  </si>
  <si>
    <t>FR0626030300005</t>
  </si>
  <si>
    <t>FR0626030300006</t>
  </si>
  <si>
    <t>FR0626030300007</t>
  </si>
  <si>
    <t>FR0626030300008</t>
  </si>
  <si>
    <t>FR0626030300010</t>
  </si>
  <si>
    <t>POPV260303010</t>
  </si>
  <si>
    <t>FR0626022600001</t>
  </si>
  <si>
    <t>FR0626022600002</t>
  </si>
  <si>
    <t>FR0626022600003</t>
  </si>
  <si>
    <t>FR0626022600004</t>
  </si>
  <si>
    <t>FR0626022600006</t>
  </si>
  <si>
    <t>FR0626022600005</t>
  </si>
  <si>
    <t>FR0626022600007</t>
  </si>
  <si>
    <t>FR0626022600008</t>
  </si>
  <si>
    <t>FR0626022600009</t>
  </si>
  <si>
    <t>FR0626022600011</t>
  </si>
  <si>
    <t>FR0626022600010</t>
  </si>
  <si>
    <t>FR0626022600012</t>
  </si>
  <si>
    <t>FR0626022600013</t>
  </si>
  <si>
    <t>POPV260226004</t>
  </si>
  <si>
    <t>POPV260226002</t>
  </si>
  <si>
    <t>FR0626022500021</t>
  </si>
  <si>
    <t>FR0626022500022</t>
  </si>
  <si>
    <t>FR0626022500028</t>
  </si>
  <si>
    <t>FR0626022500029</t>
  </si>
  <si>
    <t>FR0626022500010</t>
  </si>
  <si>
    <t>FR0626022500011</t>
  </si>
  <si>
    <t>FR0626022500012</t>
  </si>
  <si>
    <t>FR0626022500013</t>
  </si>
  <si>
    <t>FR0626022500020</t>
  </si>
  <si>
    <t>FR0626022500014</t>
  </si>
  <si>
    <t>FR0626022500019</t>
  </si>
  <si>
    <t>FR0626022500016</t>
  </si>
  <si>
    <t>FR0626022500017</t>
  </si>
  <si>
    <t>FR0626022500018</t>
  </si>
  <si>
    <t>FR0626022400003</t>
  </si>
  <si>
    <t>FR0626022400004</t>
  </si>
  <si>
    <t>FR0626022400005</t>
  </si>
  <si>
    <t>FR0626022500009</t>
  </si>
  <si>
    <t>FR0626022400006</t>
  </si>
  <si>
    <t>FR0626022400007</t>
  </si>
  <si>
    <t>FR0626022500008</t>
  </si>
  <si>
    <t>FR0626022500001</t>
  </si>
  <si>
    <t>FR0626022400009</t>
  </si>
  <si>
    <t>FR0626022500002</t>
  </si>
  <si>
    <t>FR0626022500006</t>
  </si>
  <si>
    <t>FR0626022500007</t>
  </si>
  <si>
    <t>FR0626022500003</t>
  </si>
  <si>
    <t>FR0626022500005</t>
  </si>
  <si>
    <t>FR0626022500004</t>
  </si>
  <si>
    <t>Replacement of POPV260114036</t>
  </si>
  <si>
    <t>Replacement of POPV260114040</t>
  </si>
  <si>
    <t>Replacement of POPV260114028</t>
  </si>
  <si>
    <t>Replacement of POPV260114041</t>
  </si>
  <si>
    <t>Replacement of POPV260115030</t>
  </si>
  <si>
    <t>Replacement of POPV260115025</t>
  </si>
  <si>
    <t>Replacement of POPV260115027</t>
  </si>
  <si>
    <t>Replacement of POPV260129003</t>
  </si>
  <si>
    <t>Replacement of POPV260116004</t>
  </si>
  <si>
    <t>Replacement of POPV260116005</t>
  </si>
  <si>
    <t>POPV260224003</t>
  </si>
  <si>
    <t>FR0626021000006</t>
  </si>
  <si>
    <t>DEC001,DEC001.FREE,JULY005-05,JULY002-03,JULY004-05,26JAN001,26JAN002,26JAN003,26JAN004,26JAN005,26JAN006,26JAN007,26JAN008,26JAN009,26JAN010,26JAN011,26JAN012,26JAN013,26JAN014,26JAN015,26JAN016,26JAN017</t>
  </si>
  <si>
    <t>POPV260115026</t>
  </si>
  <si>
    <t>Replacement of POPV260115026</t>
  </si>
  <si>
    <t>POPV260217049</t>
  </si>
  <si>
    <t>POPV260129011</t>
  </si>
  <si>
    <t>Replacement of POPV260129011</t>
  </si>
  <si>
    <t>POPV260129009</t>
  </si>
  <si>
    <t>Replacement of POPV260129009</t>
  </si>
  <si>
    <t>POPV260115024</t>
  </si>
  <si>
    <t>Replacement of  POPV260115024</t>
  </si>
  <si>
    <t>FR0626021100002</t>
  </si>
  <si>
    <t>FR0626021100003</t>
  </si>
  <si>
    <t>FR0626021100004</t>
  </si>
  <si>
    <t>FR0626021100005</t>
  </si>
  <si>
    <t>FR0626021100006</t>
  </si>
  <si>
    <t>FR0626021100007</t>
  </si>
  <si>
    <t>FR0626021100008</t>
  </si>
  <si>
    <t>FR0626021100009</t>
  </si>
  <si>
    <t>FR0626021100010</t>
  </si>
  <si>
    <t>FR0626021100011</t>
  </si>
  <si>
    <t>FR0626021100001</t>
  </si>
  <si>
    <t>FR0626021000002</t>
  </si>
  <si>
    <t>FR0626021000001</t>
  </si>
  <si>
    <t>DEC001.02, DEC001.03</t>
  </si>
  <si>
    <t>FR0626021000003</t>
  </si>
  <si>
    <t>DEC004.01</t>
  </si>
  <si>
    <t>FR0626021000004</t>
  </si>
  <si>
    <t>DEC002, DEC002.FREE, DEC003, DEC003.FREE, DEC004, DEC004.FREE</t>
  </si>
  <si>
    <t>FR0626020900004</t>
  </si>
  <si>
    <t>FR0626020900005</t>
  </si>
  <si>
    <t>FR0626020900007</t>
  </si>
  <si>
    <t>FR0626020900006</t>
  </si>
  <si>
    <t>FR0626020900008</t>
  </si>
  <si>
    <t>FR0626020900009</t>
  </si>
  <si>
    <t>FR0626020900010</t>
  </si>
  <si>
    <t>FR0626020900011</t>
  </si>
  <si>
    <t>FR0626020900012</t>
  </si>
  <si>
    <t>FR0626020900013</t>
  </si>
  <si>
    <t>FR0626020900014</t>
  </si>
  <si>
    <t>FR0626020900015</t>
  </si>
  <si>
    <t>FR0626020900016</t>
  </si>
  <si>
    <t>FR0626020900017</t>
  </si>
  <si>
    <t>FR0626020900018</t>
  </si>
  <si>
    <t>FR0626020900019</t>
  </si>
  <si>
    <t>FR0626020900020</t>
  </si>
  <si>
    <t>FR0626020900021</t>
  </si>
  <si>
    <t>FR0626020900022</t>
  </si>
  <si>
    <t>FR0626020900025</t>
  </si>
  <si>
    <t>FR0626020900023</t>
  </si>
  <si>
    <t>FR0626020900026</t>
  </si>
  <si>
    <t>FR0626020900028</t>
  </si>
  <si>
    <t>FR0626020900029</t>
  </si>
  <si>
    <t>FR0626020900030</t>
  </si>
  <si>
    <t>FR0626020900032</t>
  </si>
  <si>
    <t>FR0626020900033</t>
  </si>
  <si>
    <t>FR0626020900034</t>
  </si>
  <si>
    <t>FR0626020900035</t>
  </si>
  <si>
    <t>FR0626020900036</t>
  </si>
  <si>
    <t>FR0626020900037</t>
  </si>
  <si>
    <t>FR0626020900038</t>
  </si>
  <si>
    <t>FR0626020900040</t>
  </si>
  <si>
    <t>FR0626020900039</t>
  </si>
  <si>
    <t>FR0626020900041</t>
  </si>
  <si>
    <t>FR0626020900042</t>
  </si>
  <si>
    <t>FR0626020900043</t>
  </si>
  <si>
    <t>FR0626020900044</t>
  </si>
  <si>
    <t>FR0626020900045</t>
  </si>
  <si>
    <t>FR0626020500035</t>
  </si>
  <si>
    <t>FR0626020500034</t>
  </si>
  <si>
    <t>FR0626020500036</t>
  </si>
  <si>
    <t>FR0626020500037</t>
  </si>
  <si>
    <t>FR0626020500039</t>
  </si>
  <si>
    <t>FR0626020500038</t>
  </si>
  <si>
    <t>FR0626020600001</t>
  </si>
  <si>
    <t>FR0626020600002</t>
  </si>
  <si>
    <t>FR0626020500018</t>
  </si>
  <si>
    <t>FR0626020500017</t>
  </si>
  <si>
    <t>FR0626020500012</t>
  </si>
  <si>
    <t>FR0626020500011</t>
  </si>
  <si>
    <t>FR0626020500019</t>
  </si>
  <si>
    <t>FR0626020500013</t>
  </si>
  <si>
    <t>FR0626020500020</t>
  </si>
  <si>
    <t>FR0626020500022</t>
  </si>
  <si>
    <t>FR0626020500015</t>
  </si>
  <si>
    <t>FR0626020500016</t>
  </si>
  <si>
    <t>FR0626020500023</t>
  </si>
  <si>
    <t>FR0626020500024</t>
  </si>
  <si>
    <t>FR0626020500025</t>
  </si>
  <si>
    <t>FR0626020500026</t>
  </si>
  <si>
    <t>FR0626020500021</t>
  </si>
  <si>
    <t>FR0626020500027</t>
  </si>
  <si>
    <t>FR0626020500028</t>
  </si>
  <si>
    <t>FR0626020500029</t>
  </si>
  <si>
    <t>FR0626020500030</t>
  </si>
  <si>
    <t>FR0626020500002</t>
  </si>
  <si>
    <t>FR0626020500001</t>
  </si>
  <si>
    <t>FR0626020500003</t>
  </si>
  <si>
    <t>FR0626020500004</t>
  </si>
  <si>
    <t>FR0626020500006</t>
  </si>
  <si>
    <t>FR0626020500005</t>
  </si>
  <si>
    <t>FR0626020500007</t>
  </si>
  <si>
    <t>NOV009, Replacement of POPV260115017</t>
  </si>
  <si>
    <t>FR0626020200011</t>
  </si>
  <si>
    <t>FR0626020200010</t>
  </si>
  <si>
    <t>FR0626020200008</t>
  </si>
  <si>
    <t>FR0626020200009</t>
  </si>
  <si>
    <t>FR0626020200007</t>
  </si>
  <si>
    <t>FR0626020200006</t>
  </si>
  <si>
    <t>FR0626020200012</t>
  </si>
  <si>
    <t>FR0626013000003</t>
  </si>
  <si>
    <t>FR0626013000001</t>
  </si>
  <si>
    <t>FR0626012900010</t>
  </si>
  <si>
    <t>FR0626012900009</t>
  </si>
  <si>
    <t>FR0626012800017</t>
  </si>
  <si>
    <t>FR0626012800014</t>
  </si>
  <si>
    <t>FR0626012800013</t>
  </si>
  <si>
    <t>FR0626012800012</t>
  </si>
  <si>
    <t>FR0626012800011</t>
  </si>
  <si>
    <t>FR0626012800009</t>
  </si>
  <si>
    <t>FR0626012800010</t>
  </si>
  <si>
    <t>FR0626012800008</t>
  </si>
  <si>
    <t>FR0626012800007</t>
  </si>
  <si>
    <t>FR0626012800020</t>
  </si>
  <si>
    <t>FR0626012800021</t>
  </si>
  <si>
    <t>FR0626012800022</t>
  </si>
  <si>
    <t>FR0626012800016</t>
  </si>
  <si>
    <t>FR0626012800023</t>
  </si>
  <si>
    <t>FR0626012900001</t>
  </si>
  <si>
    <t>FR0626012800018</t>
  </si>
  <si>
    <t>FR0626012800019</t>
  </si>
  <si>
    <t>POPV260129003</t>
  </si>
  <si>
    <t>FR0626012800015</t>
  </si>
  <si>
    <t>FR0626012800002</t>
  </si>
  <si>
    <t>POPV260127052</t>
  </si>
  <si>
    <t>Replacement of POPV260108026 to correct SKU</t>
  </si>
  <si>
    <t>FR0626012600013</t>
  </si>
  <si>
    <t>POPV260127015</t>
  </si>
  <si>
    <t>FR0626012700001</t>
  </si>
  <si>
    <t>Marketing material</t>
  </si>
  <si>
    <t>Demo modules for Shingle 4.0</t>
  </si>
  <si>
    <t>FR0626012600021</t>
  </si>
  <si>
    <t>OCT001-02,OCT006-FREE,OCT002,OCT007-FREE,OCT003,OCT008-FREE,OCT004-02,OCT009-FREE,NOV001-02,NOV002-02</t>
  </si>
  <si>
    <t>FR0626012600020</t>
  </si>
  <si>
    <t>OCT004-01</t>
  </si>
  <si>
    <t>FR0626012600019</t>
  </si>
  <si>
    <t>OCT001-01</t>
  </si>
  <si>
    <t>FR0626012600014</t>
  </si>
  <si>
    <t>FR0626012600012</t>
  </si>
  <si>
    <t>FR0626012600011</t>
  </si>
  <si>
    <t>DEC003.12.01, DEC003.12</t>
  </si>
  <si>
    <t>FR0626012600009</t>
  </si>
  <si>
    <t>FR0626012600010</t>
  </si>
  <si>
    <t>FR0626012600008</t>
  </si>
  <si>
    <t>FR0626012600007</t>
  </si>
  <si>
    <t>FR0626012600006</t>
  </si>
  <si>
    <t>FR0626012600002</t>
  </si>
  <si>
    <t>FR0626012600003</t>
  </si>
  <si>
    <t>FR0626012600005</t>
  </si>
  <si>
    <t>FR0626012600004</t>
  </si>
  <si>
    <t>FR0626012600015</t>
  </si>
  <si>
    <t>FR0626012600016</t>
  </si>
  <si>
    <t>FR0626012600001</t>
  </si>
  <si>
    <t>FR0626012300008</t>
  </si>
  <si>
    <t>FR0626012300007</t>
  </si>
  <si>
    <t>FR0626012300006</t>
  </si>
  <si>
    <t>FR0626012300009</t>
  </si>
  <si>
    <t>FR0626012300003</t>
  </si>
  <si>
    <t>FR0626012300005</t>
  </si>
  <si>
    <t>FR0626012300002</t>
  </si>
  <si>
    <t>FR0626012300001</t>
  </si>
  <si>
    <t>FR0626012300004</t>
  </si>
  <si>
    <t>Replacement of POPV251231362</t>
  </si>
  <si>
    <t>FR0626011600006</t>
  </si>
  <si>
    <t>POPV260116005</t>
  </si>
  <si>
    <t>FR0626011600001</t>
  </si>
  <si>
    <t>POPV260116004</t>
  </si>
  <si>
    <t>FR0626011600002</t>
  </si>
  <si>
    <t>Replacement of POPV260104169 (cancelled due to wrong SKU)
OCT007.03</t>
  </si>
  <si>
    <t>POPV260115052</t>
  </si>
  <si>
    <t>OCT007.03
Replacement of PO POPV260104169</t>
  </si>
  <si>
    <t>FR0626011500001</t>
  </si>
  <si>
    <t>FR0626011500003</t>
  </si>
  <si>
    <t>FR0626011500004</t>
  </si>
  <si>
    <t>FR0626011500005</t>
  </si>
  <si>
    <t>FR0626011500006</t>
  </si>
  <si>
    <t>FR0626011500007</t>
  </si>
  <si>
    <t>FR0626011500008</t>
  </si>
  <si>
    <t>FR0626011500009</t>
  </si>
  <si>
    <t>FR0626011500010</t>
  </si>
  <si>
    <t>FR0626011500011</t>
  </si>
  <si>
    <t>FR0626011500012</t>
  </si>
  <si>
    <t>FR0626011500013</t>
  </si>
  <si>
    <t>FR0626011500020</t>
  </si>
  <si>
    <t>FR0626011500019</t>
  </si>
  <si>
    <t>FR0626011500018</t>
  </si>
  <si>
    <t>FR0626011500017</t>
  </si>
  <si>
    <t>FR0626011500015</t>
  </si>
  <si>
    <t>FR0626011500016</t>
  </si>
  <si>
    <t>POPV260115030</t>
  </si>
  <si>
    <t>FR0626011500014</t>
  </si>
  <si>
    <t>FR0626011500023</t>
  </si>
  <si>
    <t>FR0626011500022</t>
  </si>
  <si>
    <t>POPV260115027</t>
  </si>
  <si>
    <t>FR0626011500025</t>
  </si>
  <si>
    <t>FR0626011500024</t>
  </si>
  <si>
    <t>POPV260115025</t>
  </si>
  <si>
    <t>FR0626011500026</t>
  </si>
  <si>
    <t>FR0626011500027</t>
  </si>
  <si>
    <t>FR0626011500028</t>
  </si>
  <si>
    <t>FR0626011500029</t>
  </si>
  <si>
    <t>FR0626011500030</t>
  </si>
  <si>
    <t>FR0626011500031</t>
  </si>
  <si>
    <t>FR0626011500032</t>
  </si>
  <si>
    <t>FR0626011500033</t>
  </si>
  <si>
    <t>POPV260115017</t>
  </si>
  <si>
    <t>FR0626011500034</t>
  </si>
  <si>
    <t>FR0626011500002</t>
  </si>
  <si>
    <t>FR0626011400005</t>
  </si>
  <si>
    <t>FR0626011200035</t>
  </si>
  <si>
    <t>POPV260112014</t>
  </si>
  <si>
    <t>FR0626011200037</t>
  </si>
  <si>
    <t>POPV260112013</t>
  </si>
  <si>
    <t>FR0626011200043</t>
  </si>
  <si>
    <t>POPV260112024</t>
  </si>
  <si>
    <t>FR0626010800004</t>
  </si>
  <si>
    <t>POPV260108013</t>
  </si>
  <si>
    <t>FR0626011200004</t>
  </si>
  <si>
    <t>POPV260112018</t>
  </si>
  <si>
    <t>FR0626011200040</t>
  </si>
  <si>
    <t>POPV260112017</t>
  </si>
  <si>
    <t>FR0626010800007</t>
  </si>
  <si>
    <t>POPV260108023</t>
  </si>
  <si>
    <t>FR0626010800003</t>
  </si>
  <si>
    <t>POPV260108012</t>
  </si>
  <si>
    <t>FR0626011200005</t>
  </si>
  <si>
    <t>POPV260112019</t>
  </si>
  <si>
    <t>FR0626011200041</t>
  </si>
  <si>
    <t>POPV260112022</t>
  </si>
  <si>
    <t>FR0626011400002</t>
  </si>
  <si>
    <t>FR0626011400001</t>
  </si>
  <si>
    <t>FR0626011400004</t>
  </si>
  <si>
    <t>FR0626011400003</t>
  </si>
  <si>
    <t>FR0626011400006</t>
  </si>
  <si>
    <t>FR0626011400007</t>
  </si>
  <si>
    <t>FR0626011400009</t>
  </si>
  <si>
    <t>FR0626011400008</t>
  </si>
  <si>
    <t>FR0626011400011</t>
  </si>
  <si>
    <t>FR0626011400012</t>
  </si>
  <si>
    <t>FR0626011400013</t>
  </si>
  <si>
    <t>FR0626011400016</t>
  </si>
  <si>
    <t>FR0626011400017</t>
  </si>
  <si>
    <t>FR0626011400018</t>
  </si>
  <si>
    <t>FR0626011400019</t>
  </si>
  <si>
    <t>FR0626011400020</t>
  </si>
  <si>
    <t>FR0626011400022</t>
  </si>
  <si>
    <t>FR0626011400010</t>
  </si>
  <si>
    <t>FR0626011400023</t>
  </si>
  <si>
    <t>POPV260114041</t>
  </si>
  <si>
    <t>FR0626011400025</t>
  </si>
  <si>
    <t>POPV260114040</t>
  </si>
  <si>
    <t>FR0626011400024</t>
  </si>
  <si>
    <t>FR0626011400015</t>
  </si>
  <si>
    <t>FR0626011400014</t>
  </si>
  <si>
    <t>FR0626011400028</t>
  </si>
  <si>
    <t>POPV260114036</t>
  </si>
  <si>
    <t>FR0626011400027</t>
  </si>
  <si>
    <t>FR0626011400033</t>
  </si>
  <si>
    <t>FR0626011400029</t>
  </si>
  <si>
    <t>FR0626011400035</t>
  </si>
  <si>
    <t>FR0626011400036</t>
  </si>
  <si>
    <t>FR0626011400038</t>
  </si>
  <si>
    <t>FR0626011400039</t>
  </si>
  <si>
    <t>FR0626011400040</t>
  </si>
  <si>
    <t>POPV260114028</t>
  </si>
  <si>
    <t>FR0626011400026</t>
  </si>
  <si>
    <t>FR0626011400041</t>
  </si>
  <si>
    <t>FR0626011400043</t>
  </si>
  <si>
    <t>FR0626011400044</t>
  </si>
  <si>
    <t>FR0626011400030</t>
  </si>
  <si>
    <t>FR0626011400031</t>
  </si>
  <si>
    <t>FR0626011400032</t>
  </si>
  <si>
    <t>FR0626011400045</t>
  </si>
  <si>
    <t>FR0626011400034</t>
  </si>
  <si>
    <t>FR0626011400046</t>
  </si>
  <si>
    <t>FR0626011400047</t>
  </si>
  <si>
    <t>FR0626011400037</t>
  </si>
  <si>
    <t>FR0626011400048</t>
  </si>
  <si>
    <t>FR0626011400049</t>
  </si>
  <si>
    <t>FR0626011400051</t>
  </si>
  <si>
    <t>FR0626011400050</t>
  </si>
  <si>
    <t>FR0626011400054</t>
  </si>
  <si>
    <t>FR0626011400042</t>
  </si>
  <si>
    <t>FR0626010700001</t>
  </si>
  <si>
    <t>FR0626010700002</t>
  </si>
  <si>
    <t>FR0626010700003</t>
  </si>
  <si>
    <t>FR0626011200002</t>
  </si>
  <si>
    <t>FR0626011200003</t>
  </si>
  <si>
    <t>FR0626011200001</t>
  </si>
  <si>
    <t>FR0626011200053</t>
  </si>
  <si>
    <t>FR0626011200052</t>
  </si>
  <si>
    <t>FR0626011200051</t>
  </si>
  <si>
    <t>FR0626011200050</t>
  </si>
  <si>
    <t>FR0626011200049</t>
  </si>
  <si>
    <t>FR0626011200048</t>
  </si>
  <si>
    <t>FR0626011200047</t>
  </si>
  <si>
    <t>FR0626011200046</t>
  </si>
  <si>
    <t>FR0626011200044</t>
  </si>
  <si>
    <t>FR0626011200045</t>
  </si>
  <si>
    <t>FR0626011200042</t>
  </si>
  <si>
    <t>FR0626011200007</t>
  </si>
  <si>
    <t>FR0626011200006</t>
  </si>
  <si>
    <t>FR0626011200021</t>
  </si>
  <si>
    <t>FR0626011200036</t>
  </si>
  <si>
    <t>FR0626011200038</t>
  </si>
  <si>
    <t>FR0626011200039</t>
  </si>
  <si>
    <t>POPV260112003</t>
  </si>
  <si>
    <t>POPV260112002</t>
  </si>
  <si>
    <t>POPV260112001</t>
  </si>
  <si>
    <t>FR0626010800014</t>
  </si>
  <si>
    <t>POPV260108026</t>
  </si>
  <si>
    <t>FR0626010800010</t>
  </si>
  <si>
    <t>FR0626010800008</t>
  </si>
  <si>
    <t>FR0626010800009</t>
  </si>
  <si>
    <t>FR0626010800006</t>
  </si>
  <si>
    <t>FR0626010800005</t>
  </si>
  <si>
    <t>FR0626010700010</t>
  </si>
  <si>
    <t>FR0626010800002</t>
  </si>
  <si>
    <t>FR0626010800001</t>
  </si>
  <si>
    <t>POPV260107011</t>
  </si>
  <si>
    <t>POPV260107010</t>
  </si>
  <si>
    <t>POPV260107009</t>
  </si>
  <si>
    <t>POPV260106017</t>
  </si>
  <si>
    <t>FR0626010500003</t>
  </si>
  <si>
    <t>FR0626010500001</t>
  </si>
  <si>
    <t>POPV260104169</t>
  </si>
  <si>
    <t>POPV260104168</t>
  </si>
  <si>
    <t>POPV260104167</t>
  </si>
  <si>
    <t>POPV260104142</t>
  </si>
  <si>
    <t>(全部)</t>
  </si>
  <si>
    <t>Sum of CONTAINERS</t>
  </si>
  <si>
    <t>列标签</t>
  </si>
  <si>
    <t>行标签</t>
  </si>
  <si>
    <t>总计</t>
  </si>
  <si>
    <t>BOOKING#</t>
  </si>
  <si>
    <t>订舱号</t>
  </si>
  <si>
    <t>始发港</t>
  </si>
  <si>
    <t>预计离港(ETD)</t>
  </si>
  <si>
    <t>实际离港(ATD)</t>
  </si>
  <si>
    <t>中转港</t>
  </si>
  <si>
    <t>目的港</t>
  </si>
  <si>
    <t>预计到港(ETA)</t>
  </si>
  <si>
    <t>实际到港(ATA)</t>
  </si>
  <si>
    <t>Xingang</t>
  </si>
  <si>
    <t>Qingdao / Valencia</t>
  </si>
  <si>
    <t>Qingdao</t>
  </si>
  <si>
    <t>Piraeus</t>
  </si>
  <si>
    <t>Naples</t>
  </si>
  <si>
    <t>Valencia</t>
  </si>
  <si>
    <t>Rotterdam</t>
  </si>
  <si>
    <t>Cork</t>
  </si>
  <si>
    <t>Genoa</t>
  </si>
  <si>
    <t>Le Havre</t>
  </si>
  <si>
    <t>Felixstowe</t>
  </si>
  <si>
    <t>Gdansk</t>
  </si>
  <si>
    <t>Singapore</t>
  </si>
  <si>
    <t>Qingdao / FOS</t>
  </si>
  <si>
    <t>Ningbo / Zeebrugge</t>
  </si>
  <si>
    <t>Shanghai / Piraeus</t>
  </si>
  <si>
    <t>Zeebrugge</t>
  </si>
  <si>
    <t>Ningbo / Piraeus</t>
  </si>
  <si>
    <t>Qingdao / Piraeus</t>
  </si>
  <si>
    <t>COSU6473014610</t>
  </si>
  <si>
    <t>refresh to exclude zero lines</t>
  </si>
  <si>
    <t>(多项)</t>
  </si>
  <si>
    <t>Editing / Approving / #N/A</t>
  </si>
  <si>
    <t>(空白)</t>
  </si>
  <si>
    <t>remove old POs already received at port</t>
  </si>
  <si>
    <t>Sum of QUANTITY</t>
  </si>
  <si>
    <t>below Pivot keep for Julia</t>
  </si>
  <si>
    <t>求和项:QUANTITY</t>
  </si>
  <si>
    <t>HSPV EMEA ODP</t>
  </si>
  <si>
    <t>w</t>
  </si>
  <si>
    <t>INCOTERM (Planning)</t>
  </si>
  <si>
    <t>WH DESTINATION (planning)</t>
  </si>
  <si>
    <t>Customer Payment Terms</t>
  </si>
  <si>
    <t>PN</t>
  </si>
  <si>
    <t>p</t>
  </si>
  <si>
    <t>Glaze</t>
  </si>
  <si>
    <t>REWORK</t>
  </si>
  <si>
    <t>PO
OBC-SC</t>
  </si>
  <si>
    <t>PICK-UP DATE</t>
  </si>
  <si>
    <t>PRIORITY / CRD</t>
  </si>
  <si>
    <t>SPTN-HKPV PO#</t>
  </si>
  <si>
    <t>HBL#</t>
  </si>
  <si>
    <t xml:space="preserve">SO ISSUED </t>
  </si>
  <si>
    <t>224-0072</t>
  </si>
  <si>
    <t>excluded</t>
  </si>
  <si>
    <t>PVM, SPR-P7-545-COM-S, I BF-G M4.3D EVO2Z6NL 1.5KV IT</t>
  </si>
  <si>
    <t>CN103750741
HSPV241122-01</t>
  </si>
  <si>
    <t>224-0075.01</t>
  </si>
  <si>
    <t>HSPV241122-01</t>
  </si>
  <si>
    <t>324-0020</t>
  </si>
  <si>
    <t>S-EMEA</t>
  </si>
  <si>
    <t>324-0020.01</t>
  </si>
  <si>
    <t>N-EMEA</t>
  </si>
  <si>
    <t>424-0014.01</t>
  </si>
  <si>
    <t>424-0015</t>
  </si>
  <si>
    <t>324-0032.05</t>
  </si>
  <si>
    <t>GF-WZTBSQ20241204001</t>
  </si>
  <si>
    <t>APL MERLION/ 0FLR5W1MA</t>
  </si>
  <si>
    <t>TPVB2024120914</t>
  </si>
  <si>
    <t>CN103757269</t>
  </si>
  <si>
    <t>CHN1819900</t>
  </si>
  <si>
    <t>324-0032.06</t>
  </si>
  <si>
    <t>324-0032.07</t>
  </si>
  <si>
    <t>324-0032.11</t>
  </si>
  <si>
    <t>324-0033.05</t>
  </si>
  <si>
    <t>424-0051</t>
  </si>
  <si>
    <t>P6 RES BLK</t>
  </si>
  <si>
    <t>PVM, SPR-P6-410-BLK, I AR-AV M4.4 B2 MC4Z5NL 1KV MP P21 PSL P29</t>
  </si>
  <si>
    <t>GF-WZTBSQ20241212001</t>
  </si>
  <si>
    <t>APL TEMASEK/0FLR7W1MA</t>
  </si>
  <si>
    <t>TPVO2024121310</t>
  </si>
  <si>
    <t>CN103910043</t>
  </si>
  <si>
    <t>CHN1916277</t>
  </si>
  <si>
    <t>424-0050.01</t>
  </si>
  <si>
    <t>GF-WZTBSQ20241209001</t>
  </si>
  <si>
    <t xml:space="preserve"> Durres</t>
  </si>
  <si>
    <t xml:space="preserve">CMA CGM ANDROMEDA 0BEJXW </t>
  </si>
  <si>
    <t>TPVO2024120917-2</t>
  </si>
  <si>
    <t>CHN1910603</t>
  </si>
  <si>
    <t>424-0050</t>
  </si>
  <si>
    <t>Augusta</t>
  </si>
  <si>
    <t>CMA CGM SCANDOLA 0MEJXW1MA</t>
  </si>
  <si>
    <t>TPVO2024120917-1</t>
  </si>
  <si>
    <t>CHN1946262</t>
  </si>
  <si>
    <t>125-0004</t>
  </si>
  <si>
    <t>GF-WZTBSQ20241217001</t>
  </si>
  <si>
    <t>CMA CGM JACQUES SAADE / 0FMIQW1MA</t>
  </si>
  <si>
    <t>TPVB2024123119-4</t>
  </si>
  <si>
    <t>CN103897438</t>
  </si>
  <si>
    <t>CHN1909170</t>
  </si>
  <si>
    <t>125-0006</t>
  </si>
  <si>
    <t>GF-WZTBSQ20241217002</t>
  </si>
  <si>
    <t>125-0002</t>
  </si>
  <si>
    <t>TPVB2024123119-3</t>
  </si>
  <si>
    <t>CN103896521</t>
  </si>
  <si>
    <t>CHN1908871</t>
  </si>
  <si>
    <t>125-0008</t>
  </si>
  <si>
    <t>PVM, SPR-P7-540-COM-S, I BF-G M4.3D EVO2Z6NL 1.5KV IT</t>
  </si>
  <si>
    <t>GF-WZTBSQ20241231001</t>
  </si>
  <si>
    <t>125-0010</t>
  </si>
  <si>
    <t>GF-WZTBSQ20241220002</t>
  </si>
  <si>
    <t>125-0011</t>
  </si>
  <si>
    <t>125-0003</t>
  </si>
  <si>
    <t>MSC MICOL 503W</t>
  </si>
  <si>
    <t>TPVB2024123119-2</t>
  </si>
  <si>
    <t>ZJHS25010505</t>
  </si>
  <si>
    <t>125-0012</t>
  </si>
  <si>
    <t>125-0013</t>
  </si>
  <si>
    <t>MSC AMBRA 502W</t>
  </si>
  <si>
    <t>TPVB2024123119-1</t>
  </si>
  <si>
    <t>125-0001</t>
  </si>
  <si>
    <t>CMA CGM EVERGLADE / 0MEJZW1MA</t>
  </si>
  <si>
    <t>TPVB2024121720-2</t>
  </si>
  <si>
    <t>CN104023401</t>
  </si>
  <si>
    <t>CHN2016491</t>
  </si>
  <si>
    <t>125-0005.02</t>
  </si>
  <si>
    <t>TPVB2024121720-1</t>
  </si>
  <si>
    <t>CN104016640</t>
  </si>
  <si>
    <t>CHN1999733</t>
  </si>
  <si>
    <t>125-0009</t>
  </si>
  <si>
    <t>125-0014</t>
  </si>
  <si>
    <t>HMM STOCKHOLM 015W</t>
  </si>
  <si>
    <t>TPVO2025011016</t>
  </si>
  <si>
    <t>ONEYSH4ACMU48900</t>
  </si>
  <si>
    <t>125-0007</t>
  </si>
  <si>
    <t>CMA CGM JEAN MERMOZ / 0FMISW1MA</t>
  </si>
  <si>
    <t>TPVB2024121709-2</t>
  </si>
  <si>
    <t>CN103922934</t>
  </si>
  <si>
    <t>CHN1952636</t>
  </si>
  <si>
    <t>125-0005.01</t>
  </si>
  <si>
    <t>HMM RAON 0019W</t>
  </si>
  <si>
    <t>TPVB2024121709-1</t>
  </si>
  <si>
    <t>ONEYSH4ACMS57900</t>
  </si>
  <si>
    <t>PVM, SPR-P7-455-BLK-1500, I BF-G AR-AL2 M4.4F EVO2Z1NL IT P39</t>
  </si>
  <si>
    <t>GF-WZTBSQ20241219002</t>
  </si>
  <si>
    <t>125-0001.01</t>
  </si>
  <si>
    <t>CMA CGM BALI/0MEK5W1MA</t>
  </si>
  <si>
    <t>TPVB2024121720-3</t>
  </si>
  <si>
    <t>LK25010103</t>
  </si>
  <si>
    <t>CHN1999379</t>
  </si>
  <si>
    <t>125-0005</t>
  </si>
  <si>
    <t>APL LION CITY 0FMIYW1MA</t>
  </si>
  <si>
    <t>TPVB2024121918-1</t>
  </si>
  <si>
    <t>COSU6409553060</t>
  </si>
  <si>
    <t>125-0005.03</t>
  </si>
  <si>
    <t>COSCO SHIPPING PISCES 028W</t>
  </si>
  <si>
    <t>P05789&amp;5790</t>
  </si>
  <si>
    <t>COSU6409857390</t>
  </si>
  <si>
    <t>No/Original BL</t>
  </si>
  <si>
    <t>125-0005.05</t>
  </si>
  <si>
    <t>CF/2025/00124</t>
  </si>
  <si>
    <t>COSU6409961270</t>
  </si>
  <si>
    <t>125-0005.06</t>
  </si>
  <si>
    <t>CF_017154</t>
  </si>
  <si>
    <t>COSU6409962710</t>
  </si>
  <si>
    <t>125-0005.07</t>
  </si>
  <si>
    <t>TPVB2024121918-2</t>
  </si>
  <si>
    <t>COSU6409675880</t>
  </si>
  <si>
    <t>MSC DARLENE GS509W</t>
  </si>
  <si>
    <t>TPVB2024121918-3</t>
  </si>
  <si>
    <t>ZJHS25020551</t>
  </si>
  <si>
    <t>HDMUSHAZ5P157200</t>
  </si>
  <si>
    <t>EVER GRADE 0689-024W</t>
  </si>
  <si>
    <t>TPVB2024121918-4</t>
  </si>
  <si>
    <t>COSU6410162960</t>
  </si>
  <si>
    <t>CMA CGM MONTMARTRE/0FMJ2W</t>
  </si>
  <si>
    <t>TPVB2024121918-5</t>
  </si>
  <si>
    <t>CN104217399</t>
  </si>
  <si>
    <t>CHN2086510</t>
  </si>
  <si>
    <t>CMA CGM MAUI/0MEKBW</t>
  </si>
  <si>
    <t>TPVB2024121918-6</t>
  </si>
  <si>
    <t>CN104225784</t>
  </si>
  <si>
    <t>CHN2089876</t>
  </si>
  <si>
    <t>MSC ROSA M / GS511W</t>
  </si>
  <si>
    <t>TPVB2024121918-7</t>
  </si>
  <si>
    <t>LK25030033</t>
  </si>
  <si>
    <t>177FZJZJS87712</t>
  </si>
  <si>
    <t>125-0005.04</t>
  </si>
  <si>
    <t>MSC FREYA FD511W</t>
  </si>
  <si>
    <t>P05791</t>
  </si>
  <si>
    <t>LK25030045</t>
  </si>
  <si>
    <t>177MZJZJS88004</t>
  </si>
  <si>
    <t>TPVB2024121918-10</t>
  </si>
  <si>
    <t>LK25030044</t>
  </si>
  <si>
    <t>177MZJZJS88003</t>
  </si>
  <si>
    <t>MSC TAYLOR/GS512W</t>
  </si>
  <si>
    <t>TPVB2024121918-9A</t>
  </si>
  <si>
    <t>LK25030062</t>
  </si>
  <si>
    <t>177FZJZJS91214</t>
  </si>
  <si>
    <t>CMA CGM ARCTIC / 0MEKFW1MA</t>
  </si>
  <si>
    <t>TPVB2024121918-8</t>
  </si>
  <si>
    <t>CN104272794</t>
  </si>
  <si>
    <t>CHN2114242</t>
  </si>
  <si>
    <t>FEB001-001</t>
  </si>
  <si>
    <t>GF-WZTBSQ20250121002</t>
  </si>
  <si>
    <t>CF_017155</t>
  </si>
  <si>
    <t>CN104272798</t>
  </si>
  <si>
    <t>CHN2114255</t>
  </si>
  <si>
    <t>MAR005-001</t>
  </si>
  <si>
    <t>GF-WZTBSQ20250220001</t>
  </si>
  <si>
    <t>MUMBAI MAERSK / 512W</t>
  </si>
  <si>
    <t>TPVB20250313001</t>
  </si>
  <si>
    <t>LK25030072</t>
  </si>
  <si>
    <t>MAR006-001</t>
  </si>
  <si>
    <t>MAR004-001</t>
  </si>
  <si>
    <t>CMA CGM ANTOINE DE SAINT EXUPERY/0FMJ8W1MA</t>
  </si>
  <si>
    <t>TPVB2024121918-9B</t>
  </si>
  <si>
    <t>CN104154558</t>
  </si>
  <si>
    <t>CHN2058590</t>
  </si>
  <si>
    <t>FEB001-002</t>
  </si>
  <si>
    <t>MSC MONICA CRISTINA GS513W</t>
  </si>
  <si>
    <t>TPVB20250313004</t>
  </si>
  <si>
    <t>LK25030085</t>
  </si>
  <si>
    <t>SH4SE1420800</t>
  </si>
  <si>
    <t>MAR003-001</t>
  </si>
  <si>
    <t>FEB002-001</t>
  </si>
  <si>
    <t>HMM ROTTERDAM 016W</t>
  </si>
  <si>
    <t>TPVB20250313002</t>
  </si>
  <si>
    <t>LK25030108</t>
  </si>
  <si>
    <t>SH4SE2604600</t>
  </si>
  <si>
    <t>FEB001-003</t>
  </si>
  <si>
    <t>MAR003-002</t>
  </si>
  <si>
    <t>MAR004-002</t>
  </si>
  <si>
    <t>MAR006-002</t>
  </si>
  <si>
    <t>FEB001-004</t>
  </si>
  <si>
    <t>CMA CGM LOUIS BLERIOT 
0FMJAW1MA</t>
  </si>
  <si>
    <t>TPVB20250313003</t>
  </si>
  <si>
    <t>COSU6412460270</t>
  </si>
  <si>
    <t>MAR004-003</t>
  </si>
  <si>
    <t>CMA CGM LOUIS BLERIOT 
0FMJAW1MA_x000D_</t>
  </si>
  <si>
    <t>MAR003-003</t>
  </si>
  <si>
    <t xml:space="preserve">CMA CGM BIG SUR/0MEKHW1MA
</t>
  </si>
  <si>
    <t>TPVB20250313005</t>
  </si>
  <si>
    <t>CN104301504</t>
  </si>
  <si>
    <t>OOLU2157417420</t>
  </si>
  <si>
    <t>MAR005-003</t>
  </si>
  <si>
    <t>OOCL SWEDEN 004W</t>
  </si>
  <si>
    <t>TPVB20250410001</t>
  </si>
  <si>
    <t>COSU6414805660</t>
  </si>
  <si>
    <t>APR002.01</t>
  </si>
  <si>
    <t>GF-WZTBSQ20250328001</t>
  </si>
  <si>
    <t xml:space="preserve">CMA CGM SEINE 0FMJGW1MA </t>
  </si>
  <si>
    <t>TPVB20250410002</t>
  </si>
  <si>
    <t>COSU6414806600</t>
  </si>
  <si>
    <t>FEB001-008</t>
  </si>
  <si>
    <t xml:space="preserve">COSCO DENMARK 064W </t>
  </si>
  <si>
    <t>TPVB20250321008</t>
  </si>
  <si>
    <t>COSU6413370870</t>
  </si>
  <si>
    <t>MAR003-006</t>
  </si>
  <si>
    <t xml:space="preserve">OOCL TURKIYE 007W </t>
  </si>
  <si>
    <t>TPVB20250321001</t>
  </si>
  <si>
    <t>COSU6413694230</t>
  </si>
  <si>
    <t>FEB001-006</t>
  </si>
  <si>
    <t>CMA CGM LOUVRE 0FMJCW1MA 
0FMJAW1MA</t>
  </si>
  <si>
    <t>TPVB20250321002</t>
  </si>
  <si>
    <t>COSU6413204190</t>
  </si>
  <si>
    <t>MAR003-004</t>
  </si>
  <si>
    <t>COSCO SHIPPING STAR 024W</t>
  </si>
  <si>
    <t>TPVB20250321003</t>
  </si>
  <si>
    <t>COSU6413205140</t>
  </si>
  <si>
    <t>MAR004-004</t>
  </si>
  <si>
    <t>MAR003-007.01</t>
  </si>
  <si>
    <t>CMA CGM URAL 0BEKNW1MA Transfer CMA CGM GRACE BAY/AEM2/0MEKLW1MA</t>
  </si>
  <si>
    <t>TPVB20250328004-1</t>
  </si>
  <si>
    <t>COSU6413695820</t>
  </si>
  <si>
    <t>FEB001-009.03</t>
  </si>
  <si>
    <t>TPVB20250328004-2</t>
  </si>
  <si>
    <t>CN104365676</t>
  </si>
  <si>
    <t>OOLU2157775410</t>
  </si>
  <si>
    <t>MAR006-004</t>
  </si>
  <si>
    <t>CMA CGM UNITY/ 0MEKJW1WA</t>
  </si>
  <si>
    <t>TPVB20250321005</t>
  </si>
  <si>
    <t>CN104336281</t>
  </si>
  <si>
    <t>OOLU2157604820</t>
  </si>
  <si>
    <t>MAR003-005</t>
  </si>
  <si>
    <t>MAR004-005</t>
  </si>
  <si>
    <t>MAR004-008.03</t>
  </si>
  <si>
    <t>TPVB20250328007</t>
  </si>
  <si>
    <t>COSU6413697320</t>
  </si>
  <si>
    <t>FEB001-005</t>
  </si>
  <si>
    <t>OOCL INDONESIA 032W</t>
  </si>
  <si>
    <t>TPVB20250313006</t>
  </si>
  <si>
    <t>COSU6412584840</t>
  </si>
  <si>
    <t>MAR005-002</t>
  </si>
  <si>
    <t>MAR006-003</t>
  </si>
  <si>
    <t>MAR002</t>
  </si>
  <si>
    <t>BERLIN EXPRESS 516W</t>
  </si>
  <si>
    <t>0000261158</t>
  </si>
  <si>
    <t>LK25040043</t>
  </si>
  <si>
    <t>APR001.06</t>
  </si>
  <si>
    <t>CMA CGM RIVOLI 0FMJIW1MA</t>
  </si>
  <si>
    <t>TPVB20250417002</t>
  </si>
  <si>
    <t>COSU6415391780</t>
  </si>
  <si>
    <t>MAR008.01</t>
  </si>
  <si>
    <t>MSC KANOKO / QB514W</t>
  </si>
  <si>
    <t>TPVB20250328001</t>
  </si>
  <si>
    <t>ALKSE25047648</t>
  </si>
  <si>
    <t>177FSNSNS94361</t>
  </si>
  <si>
    <t>MAR005-003.01</t>
  </si>
  <si>
    <t>FEB001-009.01</t>
  </si>
  <si>
    <t>TPVB20250328002-1</t>
  </si>
  <si>
    <t>COSU6413702140</t>
  </si>
  <si>
    <t>FEB002-004.01</t>
  </si>
  <si>
    <t>CMA CGM TROCADERO/AEU6/0FMJEW1MA</t>
  </si>
  <si>
    <t>TPVB20250328002-2</t>
  </si>
  <si>
    <t>COSU6414458410</t>
  </si>
  <si>
    <t>FEB001-009.02</t>
  </si>
  <si>
    <t>COSCO SHIPPING ALPS 044W</t>
  </si>
  <si>
    <t>TPVB20250328003-1</t>
  </si>
  <si>
    <t>COSU6413695050</t>
  </si>
  <si>
    <t>FEB002-004</t>
  </si>
  <si>
    <t>MURCIA MAERSK  515W</t>
  </si>
  <si>
    <t>TPVB20250328003-2</t>
  </si>
  <si>
    <t>ALKSE25047697</t>
  </si>
  <si>
    <t>HLCUSHA250419410</t>
  </si>
  <si>
    <t>MAR004-007</t>
  </si>
  <si>
    <t>EVER GOODS 0694-031W</t>
  </si>
  <si>
    <t>TPVB20250321007</t>
  </si>
  <si>
    <t>COSU6413407860</t>
  </si>
  <si>
    <t>FEB002-003</t>
  </si>
  <si>
    <t>MAR003-007</t>
  </si>
  <si>
    <t>CSCL PACIFIC OCEAN 062W</t>
  </si>
  <si>
    <t>TPVB20250328004-3</t>
  </si>
  <si>
    <t>COSU6413696300</t>
  </si>
  <si>
    <t>APR001.1</t>
  </si>
  <si>
    <t>MAR004-006</t>
  </si>
  <si>
    <t>TPVB20250321006</t>
  </si>
  <si>
    <t>COSU6413407430</t>
  </si>
  <si>
    <t>FEB002-002</t>
  </si>
  <si>
    <t>MAR006-005</t>
  </si>
  <si>
    <t>APR002.04</t>
  </si>
  <si>
    <t xml:space="preserve">OOCL PORTUGAL 003W </t>
  </si>
  <si>
    <t>TPVB20250417001</t>
  </si>
  <si>
    <t>COSU6415390970</t>
  </si>
  <si>
    <t>FEB001-009</t>
  </si>
  <si>
    <t>CMA CGM JULES VERNE 0MEKNW1MA</t>
  </si>
  <si>
    <t>TPVB20250403004-1</t>
  </si>
  <si>
    <t>COSU6414381430</t>
  </si>
  <si>
    <t>MAR001</t>
  </si>
  <si>
    <t>TPVB20250321004</t>
  </si>
  <si>
    <t>COSU6413258520</t>
  </si>
  <si>
    <t>FEB001-007</t>
  </si>
  <si>
    <t>MAR005-003.02</t>
  </si>
  <si>
    <t>OOCL GDYNIA 006W</t>
  </si>
  <si>
    <t>TPVB20250403001</t>
  </si>
  <si>
    <t>COSU6414322710</t>
  </si>
  <si>
    <t>FEB001-009.04</t>
  </si>
  <si>
    <t>TPVB20250403002</t>
  </si>
  <si>
    <t>COSU6414458290</t>
  </si>
  <si>
    <t>APR001.02</t>
  </si>
  <si>
    <t>MAR004-008.04</t>
  </si>
  <si>
    <t>MAR008.04</t>
  </si>
  <si>
    <t xml:space="preserve">COSCO SHIPPING ARIES 033W </t>
  </si>
  <si>
    <t>TPVB20250403003</t>
  </si>
  <si>
    <t>COSU6414325100</t>
  </si>
  <si>
    <t>MAR004-008.01</t>
  </si>
  <si>
    <t>TPVB20250328005</t>
  </si>
  <si>
    <t>COSU6413696630</t>
  </si>
  <si>
    <t>MAR008.02</t>
  </si>
  <si>
    <t>COSU6413696630_x000D_</t>
  </si>
  <si>
    <t>MAR006-006.01</t>
  </si>
  <si>
    <t>MAR007.01</t>
  </si>
  <si>
    <t xml:space="preserve">CMA CGM IGUACU 0MEKPW1MA </t>
  </si>
  <si>
    <t>COSU6414870740</t>
  </si>
  <si>
    <t>APR001.4</t>
  </si>
  <si>
    <t>TPVB20250410004</t>
  </si>
  <si>
    <t>COSU6414870540</t>
  </si>
  <si>
    <t>MAR004-008.10</t>
  </si>
  <si>
    <t>COSU6414870540_x000D_</t>
  </si>
  <si>
    <t>APR002.06</t>
  </si>
  <si>
    <t>EVER LENIENT 062W</t>
  </si>
  <si>
    <t>TPVB20250417007</t>
  </si>
  <si>
    <t>COSU6415495780</t>
  </si>
  <si>
    <t>MAR004-008.02</t>
  </si>
  <si>
    <t>TPVB20250328006</t>
  </si>
  <si>
    <t>COSU6413696940_x000D_</t>
  </si>
  <si>
    <t>COSU6413696940</t>
  </si>
  <si>
    <t>MAR006-006.02</t>
  </si>
  <si>
    <t>MAR004-008.07</t>
  </si>
  <si>
    <t>OOCL EGYPT/068W</t>
  </si>
  <si>
    <t>TPVB20250403006</t>
  </si>
  <si>
    <t>COSU6414619760</t>
  </si>
  <si>
    <t>MAR004-008.09</t>
  </si>
  <si>
    <t>COSCO SHIPPING GEMINI 032W</t>
  </si>
  <si>
    <t>TPVB20250410003</t>
  </si>
  <si>
    <t>COSU6414806870</t>
  </si>
  <si>
    <t>MAR004-008.06</t>
  </si>
  <si>
    <t xml:space="preserve">CSCL MARS 081W </t>
  </si>
  <si>
    <t>TPVB20250403007</t>
  </si>
  <si>
    <t>COSU6414327730</t>
  </si>
  <si>
    <t>MAR004-008.05</t>
  </si>
  <si>
    <t>TPVB20250403005</t>
  </si>
  <si>
    <t>COSU6414620700_x000D_</t>
  </si>
  <si>
    <t>COSU6414620700</t>
  </si>
  <si>
    <t>MAR008.03</t>
  </si>
  <si>
    <t>MAR006-006.03</t>
  </si>
  <si>
    <t>APR002</t>
  </si>
  <si>
    <t xml:space="preserve">CMA CGM SCANDOLA 0MEKRW1MA </t>
  </si>
  <si>
    <t>TPVB20250417004-1</t>
  </si>
  <si>
    <t>COSU6415392210</t>
  </si>
  <si>
    <t>MAR004-008</t>
  </si>
  <si>
    <t>EVER GOVERN 0697-024W</t>
  </si>
  <si>
    <t>TPVB20250410005</t>
  </si>
  <si>
    <t>COSU6414861860</t>
  </si>
  <si>
    <t>MAR004-008.12</t>
  </si>
  <si>
    <t>ANE MAERSK517W</t>
  </si>
  <si>
    <t>TPVB20250410007</t>
  </si>
  <si>
    <t>MAEU252585338</t>
  </si>
  <si>
    <t>NO</t>
  </si>
  <si>
    <t>MAR006-006</t>
  </si>
  <si>
    <t>COSU6414861860_x000D_</t>
  </si>
  <si>
    <t>APR001.03</t>
  </si>
  <si>
    <t>TPVB20250403004-2</t>
  </si>
  <si>
    <t>COSU6414612050</t>
  </si>
  <si>
    <t>APR001</t>
  </si>
  <si>
    <t>HMM HELSINKI 0016W</t>
  </si>
  <si>
    <t>TPVB20250417003</t>
  </si>
  <si>
    <t>LK25040099</t>
  </si>
  <si>
    <t>HDMUSHAE13760200</t>
  </si>
  <si>
    <t>APR002.02</t>
  </si>
  <si>
    <t>MAR004-008.08</t>
  </si>
  <si>
    <t>APR002.05</t>
  </si>
  <si>
    <t>COSCO SHIPPING TAURUS 033W</t>
  </si>
  <si>
    <t>TPVB20250417006</t>
  </si>
  <si>
    <t>COSU6415395160</t>
  </si>
  <si>
    <t>MAR007.02</t>
  </si>
  <si>
    <t>CMA CGM HOPE/0MEKTW1MA</t>
  </si>
  <si>
    <t>46010429&amp;46010430</t>
  </si>
  <si>
    <t>COSU6416150070</t>
  </si>
  <si>
    <t>No，Original BL</t>
  </si>
  <si>
    <t>MAR004-008.11</t>
  </si>
  <si>
    <t>TPVB20250410006</t>
  </si>
  <si>
    <t>COSU6414862180_x000D_</t>
  </si>
  <si>
    <t>COSU6414862180</t>
  </si>
  <si>
    <t>APR002.03</t>
  </si>
  <si>
    <t>TPVB20250417005</t>
  </si>
  <si>
    <t>COSU6415395030</t>
  </si>
  <si>
    <t>MAR008.05</t>
  </si>
  <si>
    <t>COSCO SHIPPING  LOTUS /CJM 028 W</t>
  </si>
  <si>
    <t>TPVB20250424001</t>
  </si>
  <si>
    <t>COSU6416148640</t>
  </si>
  <si>
    <t>MAY006.03</t>
  </si>
  <si>
    <t>GF-WZTBSQ20250425001</t>
  </si>
  <si>
    <t>COSCO ENGLAND 070W</t>
  </si>
  <si>
    <t>TPVB20250501004</t>
  </si>
  <si>
    <t>COSU6416811360</t>
  </si>
  <si>
    <t>APR001.05</t>
  </si>
  <si>
    <t>TPVB20250417004-2</t>
  </si>
  <si>
    <t>COSU6415394960</t>
  </si>
  <si>
    <t>MAY006.01</t>
  </si>
  <si>
    <t>COSCO SHIPPING NEBULA 029W</t>
  </si>
  <si>
    <t>TPVB20250501002</t>
  </si>
  <si>
    <t>COSU6416713060</t>
  </si>
  <si>
    <t>MAY006.07</t>
  </si>
  <si>
    <t>CSCL URANUS /105W</t>
  </si>
  <si>
    <t>TPVB20250508005</t>
  </si>
  <si>
    <t>COSU6417421270</t>
  </si>
  <si>
    <t>MAY005.01</t>
  </si>
  <si>
    <t>CMA CGM GREENLAND/0MEKXW1MA</t>
  </si>
  <si>
    <t>TPVB20250508001-1</t>
  </si>
  <si>
    <t>COSU6417411020</t>
  </si>
  <si>
    <t>MAY006.02</t>
  </si>
  <si>
    <t>TPVB20250501003</t>
  </si>
  <si>
    <t>COSU6416713220</t>
  </si>
  <si>
    <t>MAR007.03</t>
  </si>
  <si>
    <t>COSU6416151080</t>
  </si>
  <si>
    <t>MAY006.08</t>
  </si>
  <si>
    <t>COSCO FRANCE/070W</t>
  </si>
  <si>
    <t>LK25050042</t>
  </si>
  <si>
    <t>COSU9502290270</t>
  </si>
  <si>
    <t>MAR007</t>
  </si>
  <si>
    <t>COSU6417222560</t>
  </si>
  <si>
    <t>MAR008.06</t>
  </si>
  <si>
    <t>TPVB20250501001</t>
  </si>
  <si>
    <t>COSU6416712640</t>
  </si>
  <si>
    <t>MAY005.02</t>
  </si>
  <si>
    <t>ANTONIA MAERSK/521W</t>
  </si>
  <si>
    <t>TPVB20250508002</t>
  </si>
  <si>
    <t>MAY006.05</t>
  </si>
  <si>
    <t>MAY006.12</t>
  </si>
  <si>
    <t>CMA CGM BALI/0MEKZW1MA</t>
  </si>
  <si>
    <t>TPVB20250515005</t>
  </si>
  <si>
    <t>COSU6417959560</t>
  </si>
  <si>
    <t>MAY001.01</t>
  </si>
  <si>
    <t>Locked</t>
  </si>
  <si>
    <t>HALF CUT</t>
  </si>
  <si>
    <t>±1.4m</t>
  </si>
  <si>
    <t>GF-WZTBSQ20250416005</t>
  </si>
  <si>
    <t>MSC JOSEFINA FD521W</t>
  </si>
  <si>
    <t>TPVB20250508003</t>
  </si>
  <si>
    <t>LK25050033</t>
  </si>
  <si>
    <t>177MCLCLS0553511</t>
  </si>
  <si>
    <t>MAY005.06</t>
  </si>
  <si>
    <t>EVER GOLDEN 0702-029W</t>
  </si>
  <si>
    <t>TPVB20250515004</t>
  </si>
  <si>
    <t>COSU6418036120</t>
  </si>
  <si>
    <t>MAY006.11</t>
  </si>
  <si>
    <t>MAY005.05</t>
  </si>
  <si>
    <t>TPVB20250515002</t>
  </si>
  <si>
    <t>COSU6418035310</t>
  </si>
  <si>
    <t>MAY006.10</t>
  </si>
  <si>
    <t>MAY001</t>
  </si>
  <si>
    <t>TPVB20250515003</t>
  </si>
  <si>
    <t>COSU6418249430</t>
  </si>
  <si>
    <t>MAY006.04</t>
  </si>
  <si>
    <t>YM WELLHEAD/047W</t>
  </si>
  <si>
    <t>TPVB20250508001-2</t>
  </si>
  <si>
    <t>LK25050032</t>
  </si>
  <si>
    <t>177MCLCLS0553508</t>
  </si>
  <si>
    <t>MAY005.04</t>
  </si>
  <si>
    <t>TPVB20250515001-1</t>
  </si>
  <si>
    <t>COSU6417959300</t>
  </si>
  <si>
    <t>MAY005.07</t>
  </si>
  <si>
    <t>CMA CGM CAPE COD/0MEL1W1MA</t>
  </si>
  <si>
    <t>TPVB20250522001-2</t>
  </si>
  <si>
    <t>COSU6418945110</t>
  </si>
  <si>
    <t>MAY005.03</t>
  </si>
  <si>
    <t>MSC AMBRA / GJ519W</t>
  </si>
  <si>
    <t>TPVB20250508004</t>
  </si>
  <si>
    <t>LK25050035</t>
  </si>
  <si>
    <t>177MCLCLS0553852</t>
  </si>
  <si>
    <t>MAY006.06</t>
  </si>
  <si>
    <t>MAY006.16</t>
  </si>
  <si>
    <t>COSCO SHIPPING KILIMANJARO</t>
  </si>
  <si>
    <t>TPVB20250522004</t>
  </si>
  <si>
    <t>COSU6419000580</t>
  </si>
  <si>
    <t>MAY006.09</t>
  </si>
  <si>
    <t>TPVB20250515001-2</t>
  </si>
  <si>
    <t>COSU6418034770</t>
  </si>
  <si>
    <t>MAR008</t>
  </si>
  <si>
    <t>COSCO SHIPPING PISCES/029W</t>
  </si>
  <si>
    <t>TPVB20250522002</t>
  </si>
  <si>
    <t>COSU6418946020</t>
  </si>
  <si>
    <t>MAY005.08</t>
  </si>
  <si>
    <t>MAY006.14</t>
  </si>
  <si>
    <t>MAY005.09</t>
  </si>
  <si>
    <t>TPVB20250522003</t>
  </si>
  <si>
    <t>COSU6419053880</t>
  </si>
  <si>
    <t>MAY006.15</t>
  </si>
  <si>
    <t>MAR008.07</t>
  </si>
  <si>
    <t>TPVB20250522001-1</t>
  </si>
  <si>
    <t>COSU6418945600</t>
  </si>
  <si>
    <t>MAY006.13</t>
  </si>
  <si>
    <t>GF-WZTBSQ20250623001</t>
  </si>
  <si>
    <t>Order Type/
Customer PO</t>
  </si>
  <si>
    <t>Purchasing 
Month</t>
  </si>
  <si>
    <t>P/N</t>
  </si>
  <si>
    <t>Description</t>
  </si>
  <si>
    <t>PO qty</t>
  </si>
  <si>
    <t>HK 对SPTN incoterm</t>
  </si>
  <si>
    <t>Shipment Mode</t>
  </si>
  <si>
    <t>POD</t>
  </si>
  <si>
    <t>New Ark PO#(EU) OR
Sales PO#(NON-EU)</t>
  </si>
  <si>
    <t>Invoice no.</t>
  </si>
  <si>
    <t>BL</t>
  </si>
  <si>
    <t>Pickup Date</t>
  </si>
  <si>
    <t>ETD/ATD</t>
  </si>
  <si>
    <t>ETA/ATA</t>
  </si>
  <si>
    <t>EU</t>
  </si>
  <si>
    <t>GF0700001552</t>
  </si>
  <si>
    <t>PVM,HSM-NT66-GH660</t>
  </si>
  <si>
    <t xml:space="preserve">HSM-NT66-GH660 </t>
  </si>
  <si>
    <t>By Sea</t>
  </si>
  <si>
    <t>TPVO20260415001</t>
  </si>
  <si>
    <t>GF0700001521</t>
  </si>
  <si>
    <t>PVM,SPR-NT60-GH585</t>
  </si>
  <si>
    <t>SPR-NT60-GH585</t>
  </si>
  <si>
    <t xml:space="preserve">
POPV260422016</t>
  </si>
  <si>
    <t>PVM,HSM-NT60-GH585</t>
  </si>
  <si>
    <t>GF0700001531</t>
  </si>
  <si>
    <t>PVM,HSM-NT48-JH480</t>
  </si>
  <si>
    <t>HSM-NT48-JH480</t>
  </si>
  <si>
    <t>GF0700001516</t>
  </si>
  <si>
    <t>PVM,SPR-NT48-HH475</t>
  </si>
  <si>
    <t>SPR-NT48-HH475</t>
  </si>
  <si>
    <t>PVM, HSM-NT48-HH475</t>
  </si>
  <si>
    <t xml:space="preserve"> Blue Ark Spare parts</t>
  </si>
  <si>
    <t>Hongkong</t>
  </si>
  <si>
    <t>TPVO20260430001</t>
  </si>
  <si>
    <t>FGSZ2604001844</t>
  </si>
  <si>
    <t>GF0700001952</t>
  </si>
  <si>
    <t>High Voltage Box</t>
  </si>
  <si>
    <t>TCL-HVB-200A</t>
  </si>
  <si>
    <t>GF0700001930</t>
  </si>
  <si>
    <t>Power Distribution Unit</t>
  </si>
  <si>
    <t>TCL-PDU-20A</t>
  </si>
  <si>
    <t>GF0700001910</t>
  </si>
  <si>
    <t>BlueArkX5 50k-100</t>
  </si>
  <si>
    <t>GF0700001911</t>
  </si>
  <si>
    <t>Air-Cooled Air Conditioner</t>
  </si>
  <si>
    <t>TJG-20ACHN</t>
  </si>
  <si>
    <t>GF0700001912</t>
  </si>
  <si>
    <t>Compressor</t>
  </si>
  <si>
    <t>BSG173SX-H5FX5</t>
  </si>
  <si>
    <t>GF0700001946</t>
  </si>
  <si>
    <t>Axial Fan</t>
  </si>
  <si>
    <t>MGT12024UB-R25</t>
  </si>
  <si>
    <t>By Air</t>
  </si>
  <si>
    <t>UPS#1Z144AW70427222156</t>
  </si>
  <si>
    <t>GF0700001949</t>
  </si>
  <si>
    <t>MGT8024UB-R25 G</t>
  </si>
  <si>
    <t>GF0700001945</t>
  </si>
  <si>
    <t>DC Contactor</t>
  </si>
  <si>
    <t>EVHC50-24S</t>
  </si>
  <si>
    <t>GF0700001944</t>
  </si>
  <si>
    <t>Shunt</t>
  </si>
  <si>
    <t>Shunt 300A 75mV 0.2%</t>
  </si>
  <si>
    <t>GF0700001948</t>
  </si>
  <si>
    <t>Fuse</t>
  </si>
  <si>
    <t>NH2XLaBatS250U15B</t>
  </si>
  <si>
    <t>GF0700001925</t>
  </si>
  <si>
    <t>MCB</t>
  </si>
  <si>
    <t>NDB1-63 C6</t>
  </si>
  <si>
    <t>GF0700001927</t>
  </si>
  <si>
    <t>MCCB</t>
  </si>
  <si>
    <t>CM3DC-250HUZ</t>
  </si>
  <si>
    <t>GF0700001943</t>
  </si>
  <si>
    <t>Hall Sensor</t>
  </si>
  <si>
    <t>STB-CAB500N-22F</t>
  </si>
  <si>
    <t>GF0700001939</t>
  </si>
  <si>
    <t>NDB1-63 C32</t>
  </si>
  <si>
    <t>GF0700001933</t>
  </si>
  <si>
    <t>NDB1-63 D10</t>
  </si>
  <si>
    <t>GF0700001942</t>
  </si>
  <si>
    <t>Humidity Sensor Board</t>
  </si>
  <si>
    <t>RHT HS1101LF</t>
  </si>
  <si>
    <t>GF0700001929</t>
  </si>
  <si>
    <t>Fan Motor Capacitor</t>
  </si>
  <si>
    <t>CBB61 3uf 450V</t>
  </si>
  <si>
    <t>GF0700001937</t>
  </si>
  <si>
    <t>Energy Management System</t>
  </si>
  <si>
    <t xml:space="preserve">EMS VES-6020-WB </t>
  </si>
  <si>
    <t>GF0700001953</t>
  </si>
  <si>
    <t>JEV250A-24S</t>
  </si>
  <si>
    <t>GF0700001923</t>
  </si>
  <si>
    <t>Electronic Sounder Beacon</t>
  </si>
  <si>
    <t>TDS-235010</t>
  </si>
  <si>
    <t>GF0700001947</t>
  </si>
  <si>
    <t>Battery Management Unit</t>
  </si>
  <si>
    <t xml:space="preserve">BMU-B30-26-507 </t>
  </si>
  <si>
    <t>TPVO20260519002</t>
  </si>
  <si>
    <t>UPS#1Z144AW70430172874</t>
  </si>
  <si>
    <t>GF0700001950</t>
  </si>
  <si>
    <t>Switching Mode Power Supply</t>
  </si>
  <si>
    <t>PMT-24V350W2BR</t>
  </si>
  <si>
    <t>GF0700001926</t>
  </si>
  <si>
    <t>Battery Control Unit</t>
  </si>
  <si>
    <t xml:space="preserve">BCU-B30-208 </t>
  </si>
  <si>
    <t>GF0700001917</t>
  </si>
  <si>
    <t>DRL-480W1EN</t>
  </si>
  <si>
    <t>GF0700001918</t>
  </si>
  <si>
    <t>Surge Protective Device</t>
  </si>
  <si>
    <t>JLSP-GA385</t>
  </si>
  <si>
    <t>GF0700001919</t>
  </si>
  <si>
    <t>Uninterruptible Power Supply</t>
  </si>
  <si>
    <t>UPS 480W\21.6~28.6Vdc</t>
  </si>
  <si>
    <t>GF0700001920</t>
  </si>
  <si>
    <t>Residual Current Device</t>
  </si>
  <si>
    <t>NDB1LE-63-C10</t>
  </si>
  <si>
    <t>GF0700001934</t>
  </si>
  <si>
    <t>Miniature Circuit Breaker</t>
  </si>
  <si>
    <t>NDB1-63 C4</t>
  </si>
  <si>
    <t>GF0700001908</t>
  </si>
  <si>
    <t>NDB1-63 C20</t>
  </si>
  <si>
    <t>GF0700001909</t>
  </si>
  <si>
    <t>HC10aR4U6</t>
  </si>
  <si>
    <t>GF0700001913</t>
  </si>
  <si>
    <t>Internal Fan</t>
  </si>
  <si>
    <t>B220P.A036</t>
  </si>
  <si>
    <t>GF0700001914</t>
  </si>
  <si>
    <t>External Fan</t>
  </si>
  <si>
    <t>B220P.A020</t>
  </si>
  <si>
    <t>GF0700001915</t>
  </si>
  <si>
    <t>Main Control Board</t>
  </si>
  <si>
    <t>AC_MAIN-C</t>
  </si>
  <si>
    <t>GF0700001916</t>
  </si>
  <si>
    <t>Display Panel</t>
  </si>
  <si>
    <t>AC DISPLAY</t>
  </si>
  <si>
    <t>GF0700001935</t>
  </si>
  <si>
    <t>Compressor Motor Capacitor</t>
  </si>
  <si>
    <t>CBB65 35uf 450V</t>
  </si>
  <si>
    <t>GF0700001941</t>
  </si>
  <si>
    <t>Air Inlet Valve</t>
  </si>
  <si>
    <t>BM04DAIM42-FL-AT150-T4b</t>
  </si>
  <si>
    <t>GF0700001940</t>
  </si>
  <si>
    <t>Air Release Valve</t>
  </si>
  <si>
    <t>BM04DAIM42-FL-AT150-T4a</t>
  </si>
  <si>
    <t>GF0700001921</t>
  </si>
  <si>
    <t>Water Leak Sensor​</t>
  </si>
  <si>
    <t>BC-7002</t>
  </si>
  <si>
    <t>GF0700001928</t>
  </si>
  <si>
    <t>Emergency Stop Button</t>
  </si>
  <si>
    <t>PHT22-ET-RD</t>
  </si>
  <si>
    <t>GF0700001922</t>
  </si>
  <si>
    <t>Gas Sensor</t>
  </si>
  <si>
    <t xml:space="preserve">CPR-ES CO </t>
  </si>
  <si>
    <t>GF0700001938</t>
  </si>
  <si>
    <t>Meter</t>
  </si>
  <si>
    <t>ADL400N-CT with 300A</t>
  </si>
  <si>
    <t>GF0700001936</t>
  </si>
  <si>
    <t>Limit Switch</t>
  </si>
  <si>
    <t>LXJMH-8108</t>
  </si>
  <si>
    <t>GF0700001931</t>
  </si>
  <si>
    <t>EMS VEMG-EX-6R</t>
  </si>
  <si>
    <t>NON-EU</t>
  </si>
  <si>
    <t>Hybrid inverter dummy</t>
  </si>
  <si>
    <t>TPVO2026050701</t>
  </si>
  <si>
    <t>AIRI20260501</t>
  </si>
  <si>
    <t>battery dummy</t>
  </si>
  <si>
    <t xml:space="preserve"> Product team sample</t>
  </si>
  <si>
    <t>GF0700002027</t>
  </si>
  <si>
    <t>SPR-BE54-HD500</t>
  </si>
  <si>
    <t>TPVO20260519001</t>
  </si>
  <si>
    <t>LK26050063</t>
  </si>
  <si>
    <t>GF0700002026</t>
  </si>
  <si>
    <t>SOLAR CELLS</t>
  </si>
  <si>
    <t>TPVO2026051103</t>
  </si>
  <si>
    <t>AIRI20260502</t>
  </si>
  <si>
    <t>GF0700001995</t>
  </si>
  <si>
    <t>TCL BlueArk X5 C&amp;I system Dummy</t>
  </si>
  <si>
    <t>BlueArk X5-50K-100 Dummy</t>
  </si>
  <si>
    <t>Italy</t>
  </si>
  <si>
    <t>TPVO20260523001</t>
  </si>
  <si>
    <t>CTS26051692</t>
  </si>
  <si>
    <t>BlueArk X1 8kw Inverter Dummy</t>
  </si>
  <si>
    <t>BlueArk X1 8kwh BMH PACK Dummy</t>
  </si>
  <si>
    <t>BlueArk X1 8kwh BSH PACK Dummy</t>
  </si>
  <si>
    <t>GF0700001996</t>
  </si>
  <si>
    <t>BlueArk X1 15kw Inverter Dummy</t>
  </si>
  <si>
    <t>BlueArk X1 15K-TP Dummy</t>
  </si>
  <si>
    <t xml:space="preserve">Blue Ark Sample </t>
  </si>
  <si>
    <t>Manila North</t>
  </si>
  <si>
    <t>TPVO2026051103-1</t>
  </si>
  <si>
    <t>LK26070021</t>
  </si>
  <si>
    <t xml:space="preserve">FOB </t>
  </si>
  <si>
    <t>Nansha</t>
  </si>
  <si>
    <t>CONGO</t>
  </si>
  <si>
    <t>TPVO2026062601</t>
  </si>
  <si>
    <t>SWA0460960</t>
  </si>
  <si>
    <t>ZHONGSHAN</t>
  </si>
  <si>
    <t>TPVO2026070601</t>
  </si>
  <si>
    <t>Marketing team sample</t>
  </si>
  <si>
    <t>GF0700002099</t>
  </si>
  <si>
    <t>Solar panels</t>
  </si>
  <si>
    <t>HSM-BE54-HD490</t>
  </si>
  <si>
    <t>QUZHOU</t>
  </si>
  <si>
    <t>POPV260818017</t>
  </si>
  <si>
    <t>TPVO20260811001</t>
  </si>
  <si>
    <t xml:space="preserve"> 112-09654260</t>
  </si>
  <si>
    <t>GF0700002115</t>
  </si>
  <si>
    <t>SPR-BE54-HD495</t>
  </si>
  <si>
    <t>Customer Samples</t>
  </si>
  <si>
    <t>GF0700002079</t>
  </si>
  <si>
    <t>H4 Connector</t>
  </si>
  <si>
    <t>By DHL</t>
  </si>
  <si>
    <t xml:space="preserve">WUXI </t>
  </si>
  <si>
    <t>Germany</t>
  </si>
  <si>
    <t>TPVO20260824001</t>
  </si>
  <si>
    <t>DHL#1788864486</t>
  </si>
  <si>
    <t>Samples for Stocking</t>
  </si>
  <si>
    <t>France</t>
  </si>
  <si>
    <t>POPV260918004</t>
  </si>
  <si>
    <t>TPVO20260910001</t>
  </si>
  <si>
    <t>DHL#6042693683</t>
  </si>
  <si>
    <t>Swiss Customer Samples</t>
  </si>
  <si>
    <t>GF0700002224</t>
  </si>
  <si>
    <t>X5-TCL-PC BOX -Parallel</t>
  </si>
  <si>
    <t xml:space="preserve">Shenzhen </t>
  </si>
  <si>
    <t>Switzerland</t>
  </si>
  <si>
    <t>POPV261015010</t>
  </si>
  <si>
    <t>TPVO20261012001</t>
  </si>
  <si>
    <t>235-08002116</t>
  </si>
  <si>
    <t>GF0700002225</t>
  </si>
  <si>
    <t>X5-TCL-PC BOX -Confluence</t>
  </si>
  <si>
    <t>GF0700002223</t>
  </si>
  <si>
    <t>W10-ESTS500-EU</t>
  </si>
  <si>
    <t>GF0700002369</t>
  </si>
  <si>
    <t>Online UPS</t>
  </si>
  <si>
    <t>SPM3K</t>
  </si>
  <si>
    <t>Connectors for Customer</t>
  </si>
  <si>
    <t>GF0700002221</t>
  </si>
  <si>
    <t>Connection Cable</t>
  </si>
  <si>
    <t xml:space="preserve"> Italy</t>
  </si>
  <si>
    <t>POPV260924033</t>
  </si>
  <si>
    <t>TPVO20260924001</t>
  </si>
  <si>
    <t>DHL#7864990814</t>
  </si>
  <si>
    <t>Thail customer energy meter</t>
  </si>
  <si>
    <t>GF0700002294</t>
  </si>
  <si>
    <t>Three phase meter(without CT)</t>
  </si>
  <si>
    <t>ADL400</t>
  </si>
  <si>
    <t>Bangkok</t>
  </si>
  <si>
    <t>TPVO2026101601</t>
  </si>
  <si>
    <t>DHL#4642554011</t>
  </si>
  <si>
    <t>Connection cable for Italy customer</t>
  </si>
  <si>
    <t>Accessory Cable</t>
  </si>
  <si>
    <t>CONNECTION CABLE</t>
  </si>
  <si>
    <t>POPV261028003</t>
  </si>
  <si>
    <t>TPVO20261023001</t>
  </si>
  <si>
    <t>CTL2610271368</t>
  </si>
  <si>
    <t>GF0700002377</t>
  </si>
  <si>
    <t>Level</t>
  </si>
  <si>
    <t>Comments</t>
  </si>
  <si>
    <t>Freight booking ?</t>
  </si>
  <si>
    <t>Accept cost increase vs Guaranteed slots ?</t>
  </si>
  <si>
    <t>ETA / Delivery Date Commitments ?</t>
  </si>
  <si>
    <t>Accept delay to consolidation across multiple weeks ?</t>
  </si>
  <si>
    <t>Eligible for earler shipments ?</t>
  </si>
  <si>
    <t>Forecast / Pipeline</t>
  </si>
  <si>
    <t>pre-allocation / shall not trigger execution</t>
  </si>
  <si>
    <t>Normal</t>
  </si>
  <si>
    <t>Typical for regular replenishment of local WH</t>
  </si>
  <si>
    <t>High - Flexible</t>
  </si>
  <si>
    <t>Need to control costs;
sales or customers have flexibility with ETD/ETA</t>
  </si>
  <si>
    <t>High - Strict</t>
  </si>
  <si>
    <t>Need to control costs;
Tie directly with customer delivery plan or expectations (no change)</t>
  </si>
  <si>
    <t>Very High</t>
  </si>
  <si>
    <t>When shipments commitment is required but high flexibility with ETD/ETA;
typical for replenishment to distributors; provide more flexibility to Logistic teams</t>
  </si>
  <si>
    <t>Urgent - Flexible</t>
  </si>
  <si>
    <t>Extremely urgent with direct ties to customer delivery plan (no change)</t>
  </si>
  <si>
    <t>Urgent - Strict</t>
  </si>
  <si>
    <t>Extremely urgent; typical when late with LDs or signficant customer impact</t>
  </si>
  <si>
    <t>For everyone to update as per needs</t>
  </si>
  <si>
    <t>TCL China Supply team</t>
  </si>
  <si>
    <t>Formula</t>
  </si>
  <si>
    <t>EU Planning team</t>
  </si>
  <si>
    <t>Temporary field for specific usage</t>
  </si>
  <si>
    <t>EU planning for alignment to logistics</t>
  </si>
  <si>
    <t>Product Model</t>
  </si>
  <si>
    <t>Cable</t>
  </si>
  <si>
    <t>Frame</t>
  </si>
  <si>
    <t>Total PCS per Pallet</t>
  </si>
  <si>
    <t>Total PCS per 40HQ Container</t>
  </si>
  <si>
    <t>Material Description</t>
  </si>
  <si>
    <t>Black</t>
  </si>
  <si>
    <t>TOPCon+Half-Cuts,±1.2m,Black Frame,White glazing,Bi-facial</t>
  </si>
  <si>
    <t>Silver</t>
  </si>
  <si>
    <t>TOPCon+Half-Cuts,±1.4m,Silver Frame,Transparent+Redirection Film,Bi-facial</t>
  </si>
  <si>
    <t>TOPCon+Half-Cuts,±1.4m,White Frame,White glazing,Bi-facial</t>
  </si>
  <si>
    <t>SPR-P7-550-COM-S-CFP</t>
  </si>
  <si>
    <t>TOPCon+3-Cuts,±1.4m,Silver Frame,White glazing,Bi-facial</t>
  </si>
  <si>
    <t>SPR-P7-555-COM-S-CFP</t>
  </si>
  <si>
    <t>TOPCon+Half-Cuts,±1.2m,Black Frame,Black glazing,Bi-facial</t>
  </si>
  <si>
    <t>TOPCon+3-Cuts,±1.4m,Black Frame,White glazing,Bi-facial</t>
  </si>
  <si>
    <t>TOPCon+3-Cuts,±1.2m,Black Frame,White glazing,Bi-facial</t>
  </si>
  <si>
    <t>BC+Half-Cuts,±1.4m,Black Frame,Black glazing,Bi-facial</t>
  </si>
  <si>
    <t>HSM-ND48-DR450-CFP</t>
  </si>
  <si>
    <t>TOPCon+Half-Cuts,±1.2m,Black Frame,Transparent,Bi-facial</t>
  </si>
  <si>
    <t>HSM-ND48-DR445-CFP</t>
  </si>
  <si>
    <t>BC+Half-Cuts,±1.2m,Black Frame,Black glazing,Bi-facial</t>
  </si>
  <si>
    <t>HSM-ND66-GR625-CFP</t>
  </si>
  <si>
    <t>TOPCon+3-Cuts,±1.5m,Silver Frame,White glazing,Bi-facial</t>
  </si>
  <si>
    <t>TOPCon+3-Cuts,±1.6m,Silver Frame,White glazing,Bi-facial</t>
  </si>
  <si>
    <t>TOPCon+3-Cuts,±1.35m,Black Frame,Black glazing,Bi-facial</t>
  </si>
  <si>
    <t>SPR-P7-500-BLK-P</t>
  </si>
  <si>
    <t>SPR-P7-460-BLK -1500</t>
  </si>
  <si>
    <t>TOPCon+3-Cuts,±1.2m,Black Frame,Black glazing,Bi-facial</t>
  </si>
  <si>
    <t>SPR-P7-455-BLK -1500</t>
  </si>
  <si>
    <t>SPR-P7-450-BLK -1500</t>
  </si>
  <si>
    <t>BC+Half-Cuts,±1.4m,Silver Frame,White glazing,Bi-facial</t>
  </si>
  <si>
    <t>HSM-ND54-DR500-CFP</t>
  </si>
  <si>
    <t>HSM-ND54-DR505-CFP</t>
  </si>
  <si>
    <t>HSM-ND66-GR620-CFP</t>
  </si>
  <si>
    <t>Top con products, Bifacial with transparant/white glaze, 78P</t>
  </si>
  <si>
    <t>TOPCon+Half-Cuts,±1.4m,Black Frame,Transparent,Bi-facial</t>
  </si>
  <si>
    <t>HSM-ND48-DR455-CFP</t>
  </si>
  <si>
    <t>TOPCon+Half-Cuts,±1.4m,Black Frame,White glazing,Bi-facial</t>
  </si>
  <si>
    <t>TOPCon+Half-Cuts,±1.4m,Silver Frame,White glazing,Bi-facial</t>
  </si>
  <si>
    <t>TOPCon+3-Cuts,±1.2m,Silver Frame,White glazing,Bi-facial</t>
  </si>
  <si>
    <t>BC+Half-Cuts,±1.4m,Silver Frame(L30*30),White glazing,Bi-facial</t>
  </si>
  <si>
    <t>GF0700002034</t>
  </si>
  <si>
    <t>HSM-BE54-HD485</t>
  </si>
  <si>
    <t>BC+Half-Cuts,±1.2m,Black Frame,Transparent+Black Film,Mono-facial</t>
  </si>
  <si>
    <t>GF0700002033</t>
  </si>
  <si>
    <t>HSM-BE54-HD480</t>
  </si>
  <si>
    <t>TOPCon+Half-Cuts,±1.4m,Silver Frame,Transparent+Redirection Film,Bi-facial,E</t>
  </si>
  <si>
    <r>
      <rPr>
        <b/>
        <sz val="11"/>
        <color theme="1"/>
        <rFont val="Aptos Narrow"/>
        <family val="2"/>
      </rPr>
      <t>+400mm/-</t>
    </r>
    <r>
      <rPr>
        <b/>
        <sz val="11"/>
        <color theme="1"/>
        <rFont val="等线"/>
        <family val="2"/>
        <scheme val="minor"/>
      </rPr>
      <t>200mm</t>
    </r>
  </si>
  <si>
    <t>TOPCon+Half-Cuts,+0.4/-0.2m,Silver Frame,Transparent+Redirection Film,Bi-facial</t>
  </si>
  <si>
    <t>GF0700002011</t>
  </si>
  <si>
    <t>HSM-NT66-GH640-CFP</t>
  </si>
  <si>
    <t>TOPCon+3-Cuts,±1.6m,Silver Frame,Transparent+Redirection Film,Bi-facial</t>
  </si>
  <si>
    <t>GF0700000191</t>
  </si>
  <si>
    <t>HSM-BD54-DA470</t>
  </si>
  <si>
    <t>GF0700000100</t>
  </si>
  <si>
    <t>HSM-ND48-GR445</t>
  </si>
  <si>
    <t>HSM-ND66-GK720-CFP</t>
  </si>
  <si>
    <t>GF0700000199</t>
  </si>
  <si>
    <t>HSM-BD54-GA475</t>
  </si>
  <si>
    <t>BC+Half-Cuts,±1.4m,Black Frame,White glazing,Bi-facial</t>
  </si>
  <si>
    <t>TOCon+Half-Cuts,+0.4/-0.2m,Silver Frame,Transparent+Redirection Film,Bi-facial</t>
  </si>
  <si>
    <t>GF0700001904</t>
  </si>
  <si>
    <t>GF0700001903</t>
  </si>
  <si>
    <t>GF0700000319</t>
  </si>
  <si>
    <t>GF0700000347</t>
  </si>
  <si>
    <t>GF0700001866</t>
  </si>
  <si>
    <t>HSM-ND66-GR630-CFP</t>
  </si>
  <si>
    <t>GF0700001869</t>
  </si>
  <si>
    <t>EVO-P-HSM-ND54-DR500</t>
  </si>
  <si>
    <t>TOPCon+Half-Cuts,1.2m, Black Frame,Black glazing,Bi-facial,PSUK</t>
  </si>
  <si>
    <t>TOPCon+Half-Cuts,±1.4m,Black Frame,Black glazing,Bi-facial</t>
  </si>
  <si>
    <t>TOPCon+3-Cuts,±1.4m,Silver Frame,Transparent+Redirection Film,Bi-facial</t>
  </si>
  <si>
    <t>Staubli EVO2A/1200mm/Blkframe/Transparent+Black Film</t>
  </si>
  <si>
    <t>GF0700002064</t>
  </si>
  <si>
    <t>TOPCon+Half-Cuts,±1.4m,Silver Frame,White glazing,Bi-facial</t>
  </si>
  <si>
    <t>GF0700001561</t>
  </si>
  <si>
    <t>HSM-NT66-GL735</t>
  </si>
  <si>
    <t>to be cancelled</t>
  </si>
  <si>
    <t>GF0700001562</t>
  </si>
  <si>
    <t>HSM-NT66-GL740</t>
  </si>
  <si>
    <t>BC+Half-Cuts,±1.4m,Silver Frame(L30*28),White glazing,Bi-facial</t>
  </si>
  <si>
    <t>pending5</t>
  </si>
  <si>
    <t>GF0700001534</t>
  </si>
  <si>
    <t>HSM-NT48-JH465 CFP</t>
  </si>
  <si>
    <r>
      <rPr>
        <b/>
        <sz val="11"/>
        <color theme="1"/>
        <rFont val="Aptos Narrow"/>
        <family val="2"/>
      </rPr>
      <t>+350mm/-</t>
    </r>
    <r>
      <rPr>
        <b/>
        <sz val="11"/>
        <color theme="1"/>
        <rFont val="等线"/>
        <family val="2"/>
        <scheme val="minor"/>
      </rPr>
      <t>280mm</t>
    </r>
  </si>
  <si>
    <t>TOPCon+Half-Cuts,+0.4/-0.2m,Silver Frame,Transparent+Redirection Film,Bi-facial,LY2</t>
  </si>
  <si>
    <t>BC+Half-Cuts,±1.2m,Black Frame,Black glazing,Bi-facial,N10</t>
  </si>
  <si>
    <t>BC+Half-Cuts,+0.4/-0.2m,Silver Frame(L30*28),White glazing,Bi-facial,LY2</t>
  </si>
  <si>
    <t>BC+Half-Cuts,±1.2m,Black Frame,Black glazing,Bi-facial,LY7</t>
  </si>
  <si>
    <t>TOPCon+3-Cuts, +1.2m, Silver Frame, Transparent+ White Film, Bi- facial,LY7</t>
  </si>
  <si>
    <t>TOPCon+Half-Cuts,±1.4m,Silver Frame,White glazing,Bi-facial,LY2</t>
  </si>
  <si>
    <t>TOPCon+Half-Cuts,±1400mm,Silver Frame,Transparent+Redirection Film,Bi-facial,LY2</t>
  </si>
  <si>
    <t>TOPCon+3-Cuts,±1.2m,Black Frame,Transparent+Black Film,Mono-facial,LY7</t>
  </si>
  <si>
    <t>TOPCon+3-Cuts, +1.2m, Silver Frame, Transparent+ White Film, Bi-facial,LY7</t>
  </si>
  <si>
    <t>±1600mm</t>
    <phoneticPr fontId="64" type="noConversion"/>
  </si>
  <si>
    <t>TOPCon+3-Cuts,±1.6m,Silver Frame,Transparent+Redirection Film,Bi-facial,LY0</t>
  </si>
  <si>
    <r>
      <t>EVO2A</t>
    </r>
    <r>
      <rPr>
        <sz val="8"/>
        <rFont val="宋体"/>
        <family val="3"/>
        <charset val="134"/>
      </rPr>
      <t>，</t>
    </r>
    <r>
      <rPr>
        <sz val="8"/>
        <rFont val="Calibri"/>
        <family val="2"/>
      </rPr>
      <t>±1400mm</t>
    </r>
    <r>
      <rPr>
        <sz val="8"/>
        <rFont val="宋体"/>
        <family val="3"/>
        <charset val="134"/>
      </rPr>
      <t>，</t>
    </r>
    <r>
      <rPr>
        <sz val="8"/>
        <rFont val="Calibri"/>
        <family val="2"/>
      </rPr>
      <t>Silver Frame,Transparent+Redirection Film,Bi-facial</t>
    </r>
    <r>
      <rPr>
        <sz val="8"/>
        <rFont val="宋体"/>
        <family val="3"/>
        <charset val="134"/>
      </rPr>
      <t>，</t>
    </r>
    <r>
      <rPr>
        <sz val="8"/>
        <rFont val="Calibri"/>
        <family val="2"/>
      </rPr>
      <t>LY0</t>
    </r>
  </si>
  <si>
    <t>±1000mm</t>
  </si>
  <si>
    <r>
      <t>EVO2A, ±1000mm</t>
    </r>
    <r>
      <rPr>
        <sz val="8"/>
        <rFont val="Microsoft YaHei"/>
        <family val="2"/>
        <charset val="134"/>
      </rPr>
      <t>，Silver Frame(L30*28),White glazing,Double EPE,Bi-facial,LY0</t>
    </r>
  </si>
  <si>
    <r>
      <t>EVO2A</t>
    </r>
    <r>
      <rPr>
        <sz val="8"/>
        <rFont val="Microsoft YaHei"/>
        <family val="2"/>
        <charset val="134"/>
      </rPr>
      <t>，±1400mm，Silver Frame,White glazing,Bi-facial，LY0</t>
    </r>
  </si>
  <si>
    <t>EVO2A，±1.4m，Silver Frame,Transparent+Redirection Film,Bi-facial，LY0</t>
  </si>
  <si>
    <t>-</t>
  </si>
  <si>
    <t>26JUNE002-FREE+26JUL008-FREE</t>
  </si>
  <si>
    <t>Pick-up assumption</t>
  </si>
  <si>
    <t>Date</t>
  </si>
  <si>
    <t>Index</t>
  </si>
  <si>
    <t>in Days</t>
  </si>
  <si>
    <t>in Weeks</t>
  </si>
  <si>
    <t>Customs+Leg3</t>
  </si>
  <si>
    <t>Cosco Line</t>
  </si>
  <si>
    <t>Country</t>
  </si>
  <si>
    <t>G2G</t>
  </si>
  <si>
    <t>Priority</t>
  </si>
  <si>
    <t>Netherlands</t>
  </si>
  <si>
    <t>TIANJINFELIXSTOWE</t>
  </si>
  <si>
    <t>FCA</t>
  </si>
  <si>
    <t>Yes - Allocation</t>
  </si>
  <si>
    <t>Non-European Business Department</t>
  </si>
  <si>
    <t>EXW</t>
  </si>
  <si>
    <t>Closed - Invoiced</t>
  </si>
  <si>
    <t>Spain</t>
  </si>
  <si>
    <t>PIRAEUS</t>
    <phoneticPr fontId="0" type="noConversion"/>
  </si>
  <si>
    <t>Greece</t>
    <phoneticPr fontId="0" type="noConversion"/>
  </si>
  <si>
    <t>Poland</t>
  </si>
  <si>
    <t>UK</t>
  </si>
  <si>
    <t>w11 PICK-UP</t>
  </si>
  <si>
    <t>Lithuania</t>
  </si>
  <si>
    <t>EUROELEKTRA SHPK</t>
  </si>
  <si>
    <t>Sweden</t>
  </si>
  <si>
    <t>Belgium</t>
  </si>
  <si>
    <t>w14 PICK-UP</t>
  </si>
  <si>
    <t>Ireland</t>
  </si>
  <si>
    <t>w15 PICK-UP</t>
  </si>
  <si>
    <t>PIRAEUS-Thessaloniki</t>
  </si>
  <si>
    <t>w17 PICK-UP</t>
  </si>
  <si>
    <t>Cyprus</t>
  </si>
  <si>
    <t>SANIBRAVA 96 SL</t>
  </si>
  <si>
    <t>same as GDANSK</t>
  </si>
  <si>
    <t>same as Tianjin port assumption</t>
  </si>
  <si>
    <t>TBD</t>
  </si>
  <si>
    <t>Southern Europe</t>
    <phoneticPr fontId="0" type="noConversion"/>
  </si>
  <si>
    <t>max of RTM/CORK assumption</t>
  </si>
  <si>
    <t>w49PICK-UP</t>
  </si>
  <si>
    <t>PVLFR026</t>
  </si>
  <si>
    <t>PVLFR025</t>
  </si>
  <si>
    <t>PVLFR028</t>
  </si>
  <si>
    <t>PVLFR024</t>
  </si>
  <si>
    <t>PVLFR027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</si>
</sst>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5" formatCode="&quot;¥&quot;#,##0;&quot;¥&quot;\-#,##0"/>
    <numFmt numFmtId="6" formatCode="&quot;¥&quot;#,##0;[Red]&quot;¥&quot;\-#,##0"/>
    <numFmt numFmtId="8" formatCode="&quot;¥&quot;#,##0.00;[Red]&quot;¥&quot;\-#,##0.00"/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(* #,##0_);_(* \(#,##0\);_(* &quot;-&quot;_);_(@_)"/>
    <numFmt numFmtId="177" formatCode="_(* #,##0.00_);_(* \(#,##0.00\);_(* &quot;-&quot;??_);_(@_)"/>
    <numFmt numFmtId="178" formatCode="yyyy\-mm\-dd;@"/>
    <numFmt numFmtId="179" formatCode="_(* #,##0_);_(* \(#,##0\);_(* &quot;-&quot;??_);_(@_)"/>
    <numFmt numFmtId="180" formatCode="[$-409]d\-mmm\-yy;@"/>
    <numFmt numFmtId="181" formatCode="0.00_ "/>
    <numFmt numFmtId="182" formatCode="_(* #,##0.0_);_(* \(#,##0.0\);_(* &quot;-&quot;??_);_(@_)"/>
    <numFmt numFmtId="183" formatCode="_(* #,##0.000_);_(* \(#,##0.000\);_(* &quot;-&quot;??_);_(@_)"/>
    <numFmt numFmtId="184" formatCode="_(* #,##0.0_);_(* \(#,##0.0\);_(* &quot;-&quot;?_);_(@_)"/>
    <numFmt numFmtId="185" formatCode="ddd\-dd\-mmm\-yyyy"/>
    <numFmt numFmtId="186" formatCode="[$-409]d\-mmm;@"/>
    <numFmt numFmtId="187" formatCode="0.0"/>
    <numFmt numFmtId="188" formatCode="_(* #,##0.000_);_(* \(#,##0.000\);_(* &quot;-&quot;_);_(@_)"/>
    <numFmt numFmtId="189" formatCode="m/d/yy;@"/>
    <numFmt numFmtId="190" formatCode="mm/dd/yy;@"/>
    <numFmt numFmtId="191" formatCode="m/d/yyyy;@"/>
    <numFmt numFmtId="192" formatCode="m/d/yyyy"/>
  </numFmts>
  <fonts count="95">
    <font>
      <sz val="10"/>
      <color theme="1"/>
      <name val="Lexend Deca"/>
      <charset val="134"/>
    </font>
    <font>
      <sz val="11"/>
      <color theme="1"/>
      <name val="等线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b/>
      <sz val="9"/>
      <color indexed="17"/>
      <name val="Tahoma"/>
      <family val="2"/>
    </font>
    <font>
      <sz val="9"/>
      <color indexed="17"/>
      <name val="Tahoma"/>
      <family val="2"/>
    </font>
    <font>
      <sz val="10"/>
      <color theme="1"/>
      <name val="Lexend Deca"/>
      <charset val="134"/>
    </font>
    <font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9"/>
      <color rgb="FF000000"/>
      <name val="Calibri"/>
      <family val="2"/>
    </font>
    <font>
      <b/>
      <sz val="14"/>
      <name val="宋体"/>
      <family val="3"/>
      <charset val="134"/>
    </font>
    <font>
      <sz val="11"/>
      <name val="Calibri"/>
      <family val="2"/>
    </font>
    <font>
      <b/>
      <sz val="12"/>
      <color rgb="FF00B0F0"/>
      <name val="Arial"/>
      <family val="2"/>
    </font>
    <font>
      <b/>
      <sz val="12"/>
      <color rgb="FF3F464D"/>
      <name val="Microsoft YaHei UI"/>
      <family val="2"/>
    </font>
    <font>
      <b/>
      <sz val="9"/>
      <color rgb="FF000000"/>
      <name val="Arial"/>
      <family val="2"/>
    </font>
    <font>
      <sz val="10"/>
      <color rgb="FF9C5700"/>
      <name val="Lexend Deca"/>
      <charset val="134"/>
    </font>
    <font>
      <b/>
      <sz val="8"/>
      <color rgb="FF9C5700"/>
      <name val="Arial"/>
      <family val="2"/>
    </font>
    <font>
      <b/>
      <sz val="8"/>
      <name val="Arial"/>
      <family val="2"/>
    </font>
    <font>
      <b/>
      <sz val="8"/>
      <color theme="5" tint="-0.249977111117893"/>
      <name val="Arial"/>
      <family val="2"/>
    </font>
    <font>
      <sz val="9"/>
      <name val="等线"/>
      <family val="2"/>
      <scheme val="minor"/>
    </font>
    <font>
      <sz val="8"/>
      <color rgb="FF000000"/>
      <name val="微软雅黑"/>
      <family val="2"/>
      <charset val="134"/>
    </font>
    <font>
      <sz val="8"/>
      <color rgb="FF000000"/>
      <name val="微软雅黑"/>
      <family val="2"/>
    </font>
    <font>
      <b/>
      <sz val="10"/>
      <color theme="1"/>
      <name val="Lexend Deca"/>
      <charset val="134"/>
    </font>
    <font>
      <b/>
      <sz val="11"/>
      <color theme="1"/>
      <name val="等线"/>
      <family val="2"/>
      <scheme val="minor"/>
    </font>
    <font>
      <b/>
      <sz val="14"/>
      <color theme="1"/>
      <name val="Lexend Deca"/>
      <charset val="134"/>
    </font>
    <font>
      <sz val="11"/>
      <color rgb="FF9C0006"/>
      <name val="等线"/>
      <family val="2"/>
      <scheme val="minor"/>
    </font>
    <font>
      <sz val="10"/>
      <color rgb="FFFF0000"/>
      <name val="Lexend Deca"/>
      <charset val="134"/>
    </font>
    <font>
      <sz val="11"/>
      <color theme="1"/>
      <name val="-Apple-System"/>
      <family val="1"/>
    </font>
    <font>
      <sz val="10"/>
      <color rgb="FF000000"/>
      <name val="Lexend Deca"/>
      <charset val="134"/>
    </font>
    <font>
      <b/>
      <sz val="10"/>
      <color rgb="FFFF0000"/>
      <name val="Lexend Deca"/>
      <charset val="134"/>
    </font>
    <font>
      <sz val="11"/>
      <color indexed="8"/>
      <name val="等线"/>
      <family val="2"/>
      <scheme val="minor"/>
    </font>
    <font>
      <sz val="8"/>
      <name val="Lexend Deca"/>
      <charset val="134"/>
    </font>
    <font>
      <sz val="9"/>
      <color rgb="FF333333"/>
      <name val="Arial"/>
      <family val="2"/>
    </font>
    <font>
      <sz val="8"/>
      <color theme="1"/>
      <name val="PingFang SC"/>
      <family val="1"/>
    </font>
    <font>
      <b/>
      <sz val="8"/>
      <color theme="1"/>
      <name val="Arial"/>
      <family val="2"/>
      <charset val="1"/>
    </font>
    <font>
      <sz val="8"/>
      <color rgb="FF000000"/>
      <name val="Arial"/>
      <family val="2"/>
      <charset val="1"/>
    </font>
    <font>
      <sz val="8"/>
      <color theme="1"/>
      <name val="Arial"/>
      <family val="2"/>
      <charset val="1"/>
    </font>
    <font>
      <b/>
      <sz val="11"/>
      <color theme="1"/>
      <name val="Aptos Narrow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rgb="FFFF0000"/>
      <name val="Calibri"/>
      <family val="2"/>
    </font>
    <font>
      <b/>
      <sz val="8"/>
      <color rgb="FFFF0000"/>
      <name val="Calibri"/>
      <family val="2"/>
    </font>
    <font>
      <sz val="8"/>
      <color theme="9" tint="-0.249977111117893"/>
      <name val="Calibri"/>
      <family val="2"/>
    </font>
    <font>
      <strike/>
      <sz val="8"/>
      <color theme="1"/>
      <name val="Calibri"/>
      <family val="2"/>
    </font>
    <font>
      <sz val="8"/>
      <color rgb="FFC00000"/>
      <name val="Calibri"/>
      <family val="2"/>
    </font>
    <font>
      <sz val="8"/>
      <name val="Calibri"/>
      <family val="2"/>
    </font>
    <font>
      <sz val="9"/>
      <color rgb="FF3562FF"/>
      <name val="PingFang SC"/>
      <family val="2"/>
    </font>
    <font>
      <b/>
      <sz val="10"/>
      <name val="Calibri"/>
      <family val="2"/>
    </font>
    <font>
      <sz val="10"/>
      <name val="Calibri"/>
      <family val="2"/>
    </font>
    <font>
      <sz val="8"/>
      <color theme="1"/>
      <name val="Arial"/>
      <family val="2"/>
    </font>
    <font>
      <sz val="10"/>
      <color rgb="FF000000"/>
      <name val="Arial"/>
      <family val="2"/>
    </font>
    <font>
      <sz val="8"/>
      <color theme="1"/>
      <name val="Microsoft YaHei"/>
      <family val="2"/>
      <charset val="134"/>
    </font>
    <font>
      <i/>
      <sz val="8"/>
      <color rgb="FF000000"/>
      <name val="Calibri"/>
      <family val="2"/>
    </font>
    <font>
      <b/>
      <sz val="8"/>
      <color rgb="FF000000"/>
      <name val="Calibri"/>
      <family val="2"/>
    </font>
    <font>
      <sz val="9"/>
      <name val="Lexend Deca"/>
      <charset val="134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8"/>
      <color theme="1"/>
      <name val="宋体"/>
      <family val="2"/>
      <charset val="134"/>
    </font>
    <font>
      <sz val="8"/>
      <color rgb="FFFF0000"/>
      <name val="Microsoft YaHei"/>
      <family val="2"/>
      <charset val="134"/>
    </font>
    <font>
      <sz val="11"/>
      <color rgb="FF242424"/>
      <name val="DengXian"/>
      <family val="1"/>
    </font>
    <font>
      <strike/>
      <sz val="8"/>
      <color rgb="FF000000"/>
      <name val="Calibri"/>
      <family val="2"/>
    </font>
    <font>
      <sz val="8"/>
      <color rgb="FF000000"/>
      <name val="宋体"/>
      <family val="2"/>
      <charset val="134"/>
    </font>
    <font>
      <b/>
      <sz val="11"/>
      <color rgb="FFFFFFFF"/>
      <name val="宋体"/>
      <family val="3"/>
      <charset val="134"/>
    </font>
    <font>
      <sz val="8"/>
      <color rgb="FFFF0000"/>
      <name val="Microsoft YaHei"/>
      <family val="2"/>
    </font>
    <font>
      <sz val="8"/>
      <color theme="1"/>
      <name val="Microsoft YaHei"/>
      <family val="2"/>
    </font>
    <font>
      <sz val="9"/>
      <color theme="1"/>
      <name val="Arial"/>
      <family val="2"/>
    </font>
    <font>
      <sz val="11"/>
      <color theme="1"/>
      <name val="Aptos"/>
      <family val="2"/>
      <charset val="1"/>
    </font>
    <font>
      <sz val="8"/>
      <color rgb="FF000000"/>
      <name val="Lexend Deca"/>
      <charset val="134"/>
    </font>
    <font>
      <sz val="8"/>
      <color theme="1"/>
      <name val="Arial"/>
      <family val="2"/>
    </font>
    <font>
      <sz val="8"/>
      <color rgb="FF000000"/>
      <name val="Lexend Deca"/>
      <charset val="134"/>
    </font>
    <font>
      <sz val="8"/>
      <color rgb="FF000000"/>
      <name val="Calibri"/>
      <family val="2"/>
    </font>
    <font>
      <sz val="8"/>
      <color theme="1"/>
      <name val="Calibri"/>
      <family val="2"/>
    </font>
    <font>
      <sz val="10"/>
      <color theme="1"/>
      <name val="Lexend Deca"/>
      <charset val="134"/>
    </font>
    <font>
      <sz val="8"/>
      <name val="宋体"/>
      <family val="3"/>
      <charset val="134"/>
    </font>
    <font>
      <sz val="8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8"/>
      <color rgb="FF000000"/>
      <name val="Arial"/>
      <family val="2"/>
    </font>
    <font>
      <sz val="8"/>
      <color rgb="FF000000"/>
      <name val="微软雅黑"/>
      <family val="2"/>
      <charset val="134"/>
    </font>
    <font>
      <sz val="11"/>
      <color rgb="FF000000"/>
      <name val="宋体"/>
      <family val="3"/>
      <charset val="134"/>
    </font>
    <font>
      <sz val="11"/>
      <color rgb="FFC00000"/>
      <name val="宋体"/>
      <family val="3"/>
      <charset val="134"/>
    </font>
  </fonts>
  <fills count="5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0C3FC"/>
        <bgColor indexed="64"/>
      </patternFill>
    </fill>
    <fill>
      <patternFill patternType="solid">
        <fgColor rgb="FF9BD5FA"/>
        <bgColor indexed="64"/>
      </patternFill>
    </fill>
    <fill>
      <patternFill patternType="solid">
        <fgColor indexed="2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6B3E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7E4E4"/>
        <bgColor indexed="64"/>
      </patternFill>
    </fill>
    <fill>
      <patternFill patternType="solid">
        <fgColor rgb="FFF4EBF7"/>
        <bgColor indexed="64"/>
      </patternFill>
    </fill>
    <fill>
      <patternFill patternType="solid">
        <fgColor rgb="FFF7BAB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FFEEAD"/>
        <bgColor rgb="FF000000"/>
      </patternFill>
    </fill>
    <fill>
      <patternFill patternType="solid">
        <fgColor rgb="FFFFE9E8"/>
        <bgColor rgb="FF000000"/>
      </patternFill>
    </fill>
    <fill>
      <patternFill patternType="solid">
        <fgColor rgb="FFD8D8D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AFAF1"/>
        <bgColor rgb="FF000000"/>
      </patternFill>
    </fill>
    <fill>
      <patternFill patternType="solid">
        <fgColor rgb="FFF0E1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AFAE6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AFAC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EBCDF7"/>
        <bgColor indexed="64"/>
      </patternFill>
    </fill>
    <fill>
      <patternFill patternType="solid">
        <fgColor rgb="FFCCFFFF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/>
      <top/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F4F6FB"/>
      </right>
      <top/>
      <bottom style="thin">
        <color rgb="FFF4F6FB"/>
      </bottom>
      <diagonal/>
    </border>
    <border>
      <left/>
      <right style="thin">
        <color rgb="FF000000"/>
      </right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</borders>
  <cellStyleXfs count="2869">
    <xf numFmtId="0" fontId="0" fillId="0" borderId="0"/>
    <xf numFmtId="0" fontId="6" fillId="0" borderId="0"/>
    <xf numFmtId="0" fontId="6" fillId="0" borderId="0"/>
    <xf numFmtId="0" fontId="6" fillId="0" borderId="0" applyNumberFormat="0" applyBorder="0" applyAlignment="0" applyProtection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ill="0" applyBorder="0" applyAlignment="0" applyProtection="0">
      <alignment vertical="top"/>
      <protection locked="0"/>
    </xf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0" fontId="6" fillId="0" borderId="0"/>
    <xf numFmtId="0" fontId="6" fillId="0" borderId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>
      <alignment horizontal="center" wrapText="1"/>
      <protection locked="0"/>
    </xf>
    <xf numFmtId="0" fontId="6" fillId="0" borderId="0">
      <alignment horizontal="center" wrapText="1"/>
      <protection locked="0"/>
    </xf>
    <xf numFmtId="0" fontId="6" fillId="0" borderId="0">
      <alignment horizontal="center" wrapText="1"/>
      <protection locked="0"/>
    </xf>
    <xf numFmtId="0" fontId="6" fillId="0" borderId="0">
      <alignment horizontal="center" wrapText="1"/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Border="0"/>
    <xf numFmtId="0" fontId="6" fillId="0" borderId="0"/>
    <xf numFmtId="5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Border="0" applyAlignment="0" applyProtection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42" fontId="6" fillId="0" borderId="0" applyFill="0" applyBorder="0" applyAlignment="0"/>
    <xf numFmtId="42" fontId="6" fillId="0" borderId="0" applyFill="0" applyBorder="0" applyAlignment="0"/>
    <xf numFmtId="42" fontId="6" fillId="0" borderId="0" applyFill="0" applyBorder="0" applyAlignment="0"/>
    <xf numFmtId="42" fontId="6" fillId="0" borderId="0" applyFill="0" applyBorder="0" applyAlignment="0"/>
    <xf numFmtId="42" fontId="6" fillId="0" borderId="0" applyFill="0" applyBorder="0" applyAlignment="0"/>
    <xf numFmtId="42" fontId="6" fillId="0" borderId="0" applyFill="0" applyBorder="0" applyAlignment="0"/>
    <xf numFmtId="42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44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/>
    <xf numFmtId="0" fontId="6" fillId="0" borderId="0" applyNumberFormat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Alignment="0">
      <alignment horizontal="left"/>
    </xf>
    <xf numFmtId="0" fontId="6" fillId="0" borderId="0" applyNumberFormat="0" applyAlignment="0">
      <alignment horizontal="left"/>
    </xf>
    <xf numFmtId="0" fontId="6" fillId="0" borderId="0" applyNumberFormat="0" applyAlignment="0">
      <alignment horizontal="left"/>
    </xf>
    <xf numFmtId="0" fontId="6" fillId="0" borderId="0" applyNumberFormat="0" applyAlignment="0">
      <alignment horizontal="left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Border="0">
      <alignment horizont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 applyFont="0" applyFill="0" applyBorder="0" applyAlignment="0" applyProtection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4" fontId="6" fillId="0" borderId="0" applyFill="0" applyBorder="0" applyAlignment="0"/>
    <xf numFmtId="0" fontId="6" fillId="0" borderId="0">
      <protection locked="0"/>
    </xf>
    <xf numFmtId="38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14" fontId="6" fillId="0" borderId="0" applyNumberFormat="0" applyFont="0">
      <protection locked="0"/>
    </xf>
    <xf numFmtId="14" fontId="6" fillId="0" borderId="0" applyNumberFormat="0" applyFont="0">
      <protection locked="0"/>
    </xf>
    <xf numFmtId="14" fontId="6" fillId="0" borderId="0" applyNumberFormat="0" applyFont="0">
      <protection locked="0"/>
    </xf>
    <xf numFmtId="14" fontId="6" fillId="0" borderId="0" applyNumberFormat="0" applyFont="0">
      <protection locked="0"/>
    </xf>
    <xf numFmtId="14" fontId="6" fillId="0" borderId="0" applyNumberFormat="0" applyFont="0">
      <protection locked="0"/>
    </xf>
    <xf numFmtId="14" fontId="6" fillId="0" borderId="0" applyNumberFormat="0" applyFont="0">
      <protection locked="0"/>
    </xf>
    <xf numFmtId="0" fontId="6" fillId="0" borderId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44" fontId="6" fillId="0" borderId="0" applyFill="0" applyBorder="0" applyAlignment="0"/>
    <xf numFmtId="0" fontId="6" fillId="0" borderId="0" applyFill="0" applyBorder="0" applyAlignment="0"/>
    <xf numFmtId="44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NumberFormat="0" applyAlignment="0">
      <alignment horizontal="left"/>
    </xf>
    <xf numFmtId="0" fontId="6" fillId="0" borderId="0" applyNumberFormat="0" applyAlignment="0">
      <alignment horizontal="left"/>
    </xf>
    <xf numFmtId="0" fontId="6" fillId="0" borderId="0" applyNumberFormat="0" applyAlignment="0">
      <alignment horizontal="left"/>
    </xf>
    <xf numFmtId="0" fontId="6" fillId="0" borderId="0" applyNumberFormat="0" applyAlignment="0">
      <alignment horizontal="left"/>
    </xf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>
      <alignment vertical="top"/>
    </xf>
    <xf numFmtId="0" fontId="6" fillId="0" borderId="0" applyFont="0" applyFill="0" applyBorder="0" applyAlignment="0" applyProtection="0">
      <alignment vertical="top"/>
    </xf>
    <xf numFmtId="0" fontId="6" fillId="0" borderId="0" applyFont="0" applyFill="0" applyBorder="0" applyAlignment="0" applyProtection="0">
      <alignment vertical="top"/>
    </xf>
    <xf numFmtId="0" fontId="6" fillId="0" borderId="0" applyFont="0" applyFill="0" applyBorder="0" applyAlignment="0" applyProtection="0">
      <alignment vertical="top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>
      <alignment vertical="top"/>
    </xf>
    <xf numFmtId="0" fontId="6" fillId="0" borderId="0" applyFont="0" applyFill="0" applyBorder="0" applyAlignment="0" applyProtection="0">
      <alignment vertical="top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2" fontId="6" fillId="0" borderId="0" applyFont="0" applyFill="0" applyBorder="0" applyAlignment="0" applyProtection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Fill="0" applyBorder="0" applyProtection="0">
      <alignment horizontal="left"/>
    </xf>
    <xf numFmtId="0" fontId="6" fillId="0" borderId="0" applyFill="0" applyBorder="0" applyProtection="0">
      <alignment horizontal="left"/>
    </xf>
    <xf numFmtId="0" fontId="6" fillId="0" borderId="0">
      <alignment horizont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38" fontId="6" fillId="0" borderId="0" applyNumberFormat="0" applyBorder="0" applyAlignment="0" applyProtection="0"/>
    <xf numFmtId="38" fontId="6" fillId="0" borderId="0" applyNumberFormat="0" applyBorder="0" applyAlignment="0" applyProtection="0"/>
    <xf numFmtId="38" fontId="6" fillId="0" borderId="0" applyNumberFormat="0" applyBorder="0" applyAlignment="0" applyProtection="0"/>
    <xf numFmtId="38" fontId="6" fillId="0" borderId="0" applyNumberFormat="0" applyBorder="0" applyAlignment="0" applyProtection="0"/>
    <xf numFmtId="38" fontId="6" fillId="0" borderId="0" applyNumberFormat="0" applyBorder="0" applyAlignment="0" applyProtection="0"/>
    <xf numFmtId="38" fontId="6" fillId="0" borderId="0" applyNumberFormat="0" applyBorder="0" applyAlignment="0" applyProtection="0"/>
    <xf numFmtId="38" fontId="6" fillId="0" borderId="0" applyNumberFormat="0" applyBorder="0" applyAlignment="0" applyProtection="0"/>
    <xf numFmtId="0" fontId="6" fillId="0" borderId="0" applyFill="0" applyBorder="0" applyProtection="0"/>
    <xf numFmtId="0" fontId="6" fillId="0" borderId="0" applyFill="0" applyBorder="0" applyProtection="0"/>
    <xf numFmtId="0" fontId="6" fillId="0" borderId="0" applyFill="0" applyBorder="0" applyProtection="0"/>
    <xf numFmtId="0" fontId="6" fillId="0" borderId="0" applyFill="0" applyBorder="0" applyProtection="0"/>
    <xf numFmtId="0" fontId="6" fillId="0" borderId="0" applyFill="0" applyBorder="0" applyProtection="0"/>
    <xf numFmtId="0" fontId="6" fillId="0" borderId="0" applyFill="0" applyBorder="0" applyProtection="0"/>
    <xf numFmtId="0" fontId="6" fillId="0" borderId="0" applyFill="0" applyBorder="0" applyProtection="0"/>
    <xf numFmtId="0" fontId="6" fillId="0" borderId="0" applyFill="0" applyBorder="0" applyProtection="0"/>
    <xf numFmtId="0" fontId="6" fillId="0" borderId="0" applyFill="0" applyBorder="0" applyProtection="0"/>
    <xf numFmtId="0" fontId="6" fillId="0" borderId="0" applyFill="0" applyBorder="0" applyProtection="0"/>
    <xf numFmtId="0" fontId="6" fillId="0" borderId="0" applyFill="0" applyBorder="0" applyProtection="0"/>
    <xf numFmtId="0" fontId="6" fillId="0" borderId="0" applyFill="0" applyBorder="0" applyProtection="0"/>
    <xf numFmtId="0" fontId="6" fillId="0" borderId="0" applyFill="0" applyBorder="0" applyProtection="0"/>
    <xf numFmtId="0" fontId="6" fillId="0" borderId="0" applyFill="0" applyBorder="0" applyProtection="0"/>
    <xf numFmtId="0" fontId="6" fillId="0" borderId="0" applyFill="0" applyBorder="0" applyProtection="0"/>
    <xf numFmtId="0" fontId="6" fillId="0" borderId="0" applyNumberFormat="0" applyFill="0" applyBorder="0" applyAlignment="0" applyProtection="0"/>
    <xf numFmtId="0" fontId="6" fillId="0" borderId="0" applyNumberFormat="0" applyAlignment="0" applyProtection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 applyNumberFormat="0" applyFont="0" applyAlignment="0">
      <alignment horizontal="left" vertical="center"/>
    </xf>
    <xf numFmtId="0" fontId="6" fillId="0" borderId="0" applyNumberFormat="0" applyFill="0" applyBorder="0" applyAlignment="0" applyProtection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 applyNumberFormat="0" applyFill="0" applyAlignment="0" applyProtection="0"/>
    <xf numFmtId="0" fontId="6" fillId="0" borderId="0">
      <protection locked="0"/>
    </xf>
    <xf numFmtId="0" fontId="6" fillId="0" borderId="0">
      <protection locked="0"/>
    </xf>
    <xf numFmtId="0" fontId="6" fillId="0" borderId="0" applyNumberFormat="0" applyFill="0" applyBorder="0" applyAlignment="0" applyProtection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 applyNumberFormat="0" applyFill="0" applyAlignment="0" applyProtection="0"/>
    <xf numFmtId="0" fontId="6" fillId="0" borderId="0">
      <protection locked="0"/>
    </xf>
    <xf numFmtId="0" fontId="6" fillId="0" borderId="0">
      <protection locked="0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>
      <alignment wrapText="1"/>
    </xf>
    <xf numFmtId="0" fontId="6" fillId="0" borderId="0">
      <alignment horizontal="right" wrapText="1"/>
    </xf>
    <xf numFmtId="0" fontId="6" fillId="0" borderId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Alignment="0" applyProtection="0">
      <alignment vertical="center"/>
    </xf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Border="0" applyAlignment="0" applyProtection="0"/>
    <xf numFmtId="38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44" fontId="6" fillId="0" borderId="0" applyFill="0" applyBorder="0" applyAlignment="0"/>
    <xf numFmtId="0" fontId="6" fillId="0" borderId="0" applyFill="0" applyBorder="0" applyAlignment="0"/>
    <xf numFmtId="44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>
      <alignment vertical="center"/>
    </xf>
    <xf numFmtId="0" fontId="6" fillId="0" borderId="0" applyFont="0" applyFill="0" applyBorder="0" applyAlignment="0" applyProtection="0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6" fontId="6" fillId="0" borderId="0" applyFont="0" applyFill="0" applyBorder="0" applyAlignment="0" applyProtection="0"/>
    <xf numFmtId="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NumberFormat="0" applyFont="0" applyProtection="0">
      <protection locked="0"/>
    </xf>
    <xf numFmtId="0" fontId="6" fillId="0" borderId="0" applyNumberFormat="0" applyFont="0" applyProtection="0">
      <protection locked="0"/>
    </xf>
    <xf numFmtId="0" fontId="6" fillId="0" borderId="0" applyNumberFormat="0" applyFont="0" applyProtection="0">
      <protection locked="0"/>
    </xf>
    <xf numFmtId="0" fontId="6" fillId="0" borderId="0" applyNumberFormat="0" applyFont="0" applyProtection="0">
      <protection locked="0"/>
    </xf>
    <xf numFmtId="0" fontId="6" fillId="0" borderId="0" applyNumberFormat="0" applyFont="0" applyProtection="0">
      <protection locked="0"/>
    </xf>
    <xf numFmtId="0" fontId="6" fillId="0" borderId="0" applyNumberFormat="0" applyFont="0" applyProtection="0">
      <protection locked="0"/>
    </xf>
    <xf numFmtId="0" fontId="6" fillId="0" borderId="0" applyNumberFormat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ill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>
      <alignment vertical="center"/>
    </xf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14" fontId="6" fillId="0" borderId="0">
      <alignment horizontal="center" wrapText="1"/>
      <protection locked="0"/>
    </xf>
    <xf numFmtId="14" fontId="6" fillId="0" borderId="0">
      <alignment horizontal="center" wrapText="1"/>
      <protection locked="0"/>
    </xf>
    <xf numFmtId="14" fontId="6" fillId="0" borderId="0">
      <alignment horizontal="center" wrapText="1"/>
      <protection locked="0"/>
    </xf>
    <xf numFmtId="14" fontId="6" fillId="0" borderId="0">
      <alignment horizontal="center" wrapText="1"/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NumberFormat="0" applyBorder="0"/>
    <xf numFmtId="9" fontId="6" fillId="0" borderId="0" applyNumberFormat="0" applyBorder="0"/>
    <xf numFmtId="9" fontId="6" fillId="0" borderId="0" applyNumberFormat="0" applyBorder="0"/>
    <xf numFmtId="9" fontId="6" fillId="0" borderId="0" applyNumberFormat="0" applyBorder="0"/>
    <xf numFmtId="9" fontId="6" fillId="0" borderId="0" applyNumberFormat="0" applyBorder="0"/>
    <xf numFmtId="9" fontId="6" fillId="0" borderId="0" applyNumberFormat="0" applyBorder="0"/>
    <xf numFmtId="9" fontId="6" fillId="0" borderId="0" applyNumberFormat="0" applyBorder="0"/>
    <xf numFmtId="9" fontId="6" fillId="0" borderId="0" applyNumberFormat="0" applyBorder="0"/>
    <xf numFmtId="9" fontId="6" fillId="0" borderId="0" applyNumberFormat="0" applyBorder="0"/>
    <xf numFmtId="9" fontId="6" fillId="0" borderId="0" applyNumberFormat="0" applyBorder="0"/>
    <xf numFmtId="9" fontId="6" fillId="0" borderId="0" applyNumberFormat="0" applyBorder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ill="0" applyBorder="0" applyAlignment="0"/>
    <xf numFmtId="0" fontId="6" fillId="0" borderId="0" applyFill="0" applyBorder="0" applyAlignment="0"/>
    <xf numFmtId="44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/>
    <xf numFmtId="5" fontId="6" fillId="0" borderId="0"/>
    <xf numFmtId="0" fontId="6" fillId="0" borderId="0"/>
    <xf numFmtId="5" fontId="6" fillId="0" borderId="0"/>
    <xf numFmtId="0" fontId="6" fillId="0" borderId="0" applyNumberFormat="0" applyFont="0" applyFill="0" applyBorder="0" applyAlignment="0" applyProtection="0">
      <alignment horizontal="left"/>
    </xf>
    <xf numFmtId="0" fontId="6" fillId="0" borderId="0" applyNumberFormat="0" applyFont="0" applyFill="0" applyBorder="0" applyAlignment="0" applyProtection="0">
      <alignment horizontal="left"/>
    </xf>
    <xf numFmtId="0" fontId="6" fillId="0" borderId="0" applyNumberFormat="0" applyFont="0" applyFill="0" applyBorder="0" applyAlignment="0" applyProtection="0">
      <alignment horizontal="left"/>
    </xf>
    <xf numFmtId="0" fontId="6" fillId="0" borderId="0" applyNumberFormat="0" applyFont="0" applyFill="0" applyBorder="0" applyAlignment="0" applyProtection="0">
      <alignment horizontal="left"/>
    </xf>
    <xf numFmtId="0" fontId="6" fillId="0" borderId="0" applyNumberFormat="0" applyFont="0" applyFill="0" applyBorder="0" applyAlignment="0" applyProtection="0">
      <alignment horizontal="left"/>
    </xf>
    <xf numFmtId="0" fontId="6" fillId="0" borderId="0" applyNumberFormat="0" applyFont="0" applyFill="0" applyBorder="0" applyAlignment="0" applyProtection="0">
      <alignment horizontal="left"/>
    </xf>
    <xf numFmtId="14" fontId="6" fillId="0" borderId="0" applyNumberFormat="0" applyFill="0" applyBorder="0" applyAlignment="0" applyProtection="0">
      <alignment horizontal="left"/>
    </xf>
    <xf numFmtId="0" fontId="6" fillId="0" borderId="0" applyNumberFormat="0" applyFill="0" applyBorder="0" applyAlignment="0" applyProtection="0">
      <alignment horizontal="left"/>
    </xf>
    <xf numFmtId="0" fontId="6" fillId="0" borderId="0" applyNumberFormat="0" applyFill="0" applyBorder="0" applyAlignment="0" applyProtection="0">
      <alignment horizontal="left"/>
    </xf>
    <xf numFmtId="0" fontId="6" fillId="0" borderId="0" applyNumberFormat="0" applyFill="0" applyBorder="0" applyAlignment="0" applyProtection="0">
      <alignment horizontal="left"/>
    </xf>
    <xf numFmtId="0" fontId="6" fillId="0" borderId="0" applyNumberFormat="0" applyFill="0" applyBorder="0" applyAlignment="0" applyProtection="0">
      <alignment horizontal="left"/>
    </xf>
    <xf numFmtId="0" fontId="6" fillId="0" borderId="0" applyNumberFormat="0" applyFill="0" applyBorder="0" applyAlignment="0" applyProtection="0">
      <alignment horizontal="left"/>
    </xf>
    <xf numFmtId="0" fontId="6" fillId="0" borderId="0" applyNumberFormat="0" applyFill="0" applyBorder="0" applyAlignment="0" applyProtection="0">
      <alignment horizontal="left"/>
    </xf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Border="0" applyAlignment="0" applyProtection="0"/>
    <xf numFmtId="38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Border="0" applyAlignment="0" applyProtection="0"/>
    <xf numFmtId="0" fontId="6" fillId="0" borderId="0" applyNumberFormat="0" applyFont="0" applyBorder="0" applyAlignment="0" applyProtection="0"/>
    <xf numFmtId="0" fontId="6" fillId="0" borderId="0" applyNumberFormat="0" applyFont="0" applyBorder="0" applyAlignment="0" applyProtection="0"/>
    <xf numFmtId="0" fontId="6" fillId="0" borderId="0" applyNumberFormat="0" applyFont="0" applyBorder="0" applyAlignment="0" applyProtection="0"/>
    <xf numFmtId="0" fontId="6" fillId="0" borderId="0" applyNumberFormat="0" applyFont="0" applyBorder="0" applyAlignment="0" applyProtection="0"/>
    <xf numFmtId="0" fontId="6" fillId="0" borderId="0" applyNumberFormat="0" applyFont="0" applyBorder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37" fontId="6" fillId="0" borderId="0"/>
    <xf numFmtId="37" fontId="6" fillId="0" borderId="0"/>
    <xf numFmtId="37" fontId="6" fillId="0" borderId="0">
      <alignment horizontal="right"/>
    </xf>
    <xf numFmtId="37" fontId="6" fillId="0" borderId="0">
      <alignment horizontal="right"/>
    </xf>
    <xf numFmtId="37" fontId="6" fillId="0" borderId="0"/>
    <xf numFmtId="40" fontId="6" fillId="0" borderId="0" applyBorder="0">
      <alignment horizontal="right"/>
    </xf>
    <xf numFmtId="37" fontId="6" fillId="0" borderId="0"/>
    <xf numFmtId="40" fontId="6" fillId="0" borderId="0" applyBorder="0">
      <alignment horizontal="right"/>
    </xf>
    <xf numFmtId="40" fontId="6" fillId="0" borderId="0" applyBorder="0">
      <alignment horizontal="right"/>
    </xf>
    <xf numFmtId="37" fontId="6" fillId="0" borderId="0">
      <alignment horizontal="right"/>
    </xf>
    <xf numFmtId="37" fontId="6" fillId="0" borderId="0">
      <alignment horizontal="right"/>
    </xf>
    <xf numFmtId="37" fontId="6" fillId="0" borderId="0"/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>
      <alignment horizontal="center"/>
    </xf>
    <xf numFmtId="0" fontId="6" fillId="0" borderId="0" applyBorder="0" applyProtection="0">
      <alignment horizontal="left"/>
    </xf>
    <xf numFmtId="0" fontId="6" fillId="0" borderId="0" applyFill="0" applyBorder="0" applyProtection="0">
      <alignment horizontal="left"/>
    </xf>
    <xf numFmtId="0" fontId="6" fillId="0" borderId="0" applyFill="0" applyBorder="0" applyProtection="0">
      <alignment horizontal="left" vertical="top"/>
    </xf>
    <xf numFmtId="0" fontId="6" fillId="0" borderId="0" applyFill="0" applyBorder="0" applyProtection="0">
      <alignment horizontal="left" vertical="top"/>
    </xf>
    <xf numFmtId="0" fontId="6" fillId="0" borderId="0" applyFill="0" applyBorder="0" applyProtection="0">
      <alignment horizontal="left" vertical="top"/>
    </xf>
    <xf numFmtId="0" fontId="6" fillId="0" borderId="0" applyFill="0" applyBorder="0" applyProtection="0">
      <alignment horizontal="left" vertical="top"/>
    </xf>
    <xf numFmtId="0" fontId="6" fillId="0" borderId="0" applyFill="0" applyBorder="0" applyProtection="0">
      <alignment horizontal="left" vertical="top"/>
    </xf>
    <xf numFmtId="49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6" fillId="0" borderId="0">
      <alignment horizontal="left" vertical="top" indent="1"/>
    </xf>
    <xf numFmtId="0" fontId="6" fillId="0" borderId="0">
      <alignment horizontal="left" vertical="top" indent="1"/>
    </xf>
    <xf numFmtId="0" fontId="6" fillId="0" borderId="0" applyNumberFormat="0" applyFill="0" applyBorder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on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>
      <protection locked="0"/>
    </xf>
    <xf numFmtId="0" fontId="6" fillId="0" borderId="0">
      <protection locked="0"/>
    </xf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>
      <protection locked="0"/>
    </xf>
    <xf numFmtId="0" fontId="6" fillId="0" borderId="0">
      <protection locked="0"/>
    </xf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>
      <protection locked="0"/>
    </xf>
    <xf numFmtId="37" fontId="6" fillId="0" borderId="0">
      <alignment horizontal="right"/>
    </xf>
    <xf numFmtId="37" fontId="6" fillId="0" borderId="0">
      <alignment horizontal="right"/>
    </xf>
    <xf numFmtId="4" fontId="6" fillId="0" borderId="0" applyFont="0" applyFill="0" applyBorder="0" applyAlignment="0" applyProtection="0"/>
    <xf numFmtId="37" fontId="6" fillId="0" borderId="0" applyNumberFormat="0" applyBorder="0" applyAlignment="0" applyProtection="0"/>
    <xf numFmtId="37" fontId="6" fillId="0" borderId="0" applyNumberFormat="0" applyBorder="0" applyAlignment="0" applyProtection="0"/>
    <xf numFmtId="37" fontId="6" fillId="0" borderId="0" applyNumberFormat="0" applyBorder="0" applyAlignment="0" applyProtection="0"/>
    <xf numFmtId="37" fontId="6" fillId="0" borderId="0" applyNumberFormat="0" applyBorder="0" applyAlignment="0" applyProtection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 applyNumberFormat="0" applyBorder="0" applyAlignment="0" applyProtection="0"/>
    <xf numFmtId="3" fontId="6" fillId="0" borderId="0" applyProtection="0"/>
    <xf numFmtId="0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44" fontId="6" fillId="0" borderId="0" applyFont="0" applyFill="0" applyBorder="0" applyAlignment="0" applyProtection="0"/>
    <xf numFmtId="6" fontId="6" fillId="0" borderId="0" applyFont="0" applyFill="0" applyBorder="0" applyAlignment="0" applyProtection="0"/>
    <xf numFmtId="8" fontId="6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ont="0" applyAlignment="0" applyProtection="0"/>
    <xf numFmtId="0" fontId="6" fillId="0" borderId="0" applyNumberFormat="0" applyFill="0" applyAlignment="0" applyProtection="0"/>
    <xf numFmtId="0" fontId="6" fillId="0" borderId="0" applyNumberFormat="0" applyFill="0" applyBorder="0" applyAlignment="0" applyProtection="0"/>
    <xf numFmtId="0" fontId="6" fillId="0" borderId="0" applyNumberFormat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Font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Font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/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NumberFormat="0" applyFont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Font="0" applyAlignment="0" applyProtection="0">
      <alignment vertical="center"/>
    </xf>
    <xf numFmtId="0" fontId="6" fillId="0" borderId="0" applyNumberFormat="0" applyFont="0" applyAlignment="0" applyProtection="0">
      <alignment vertical="center"/>
    </xf>
    <xf numFmtId="0" fontId="6" fillId="0" borderId="0" applyNumberFormat="0" applyFont="0" applyAlignment="0" applyProtection="0">
      <alignment vertical="center"/>
    </xf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Font="0" applyFill="0" applyBorder="0" applyAlignment="0" applyProtection="0">
      <alignment vertical="center"/>
    </xf>
    <xf numFmtId="0" fontId="6" fillId="0" borderId="0" applyFont="0" applyFill="0" applyBorder="0" applyAlignment="0" applyProtection="0"/>
    <xf numFmtId="0" fontId="6" fillId="0" borderId="0"/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7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 applyFont="0" applyFill="0" applyBorder="0" applyAlignment="0" applyProtection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 applyNumberFormat="0" applyBorder="0" applyAlignment="0" applyProtection="0">
      <alignment vertical="center"/>
    </xf>
    <xf numFmtId="0" fontId="6" fillId="0" borderId="0"/>
    <xf numFmtId="0" fontId="6" fillId="0" borderId="0" applyNumberFormat="0" applyFont="0" applyFill="0" applyAlignment="0" applyProtection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5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Alignment="0" applyProtection="0"/>
    <xf numFmtId="0" fontId="6" fillId="0" borderId="0" applyNumberFormat="0" applyAlignment="0" applyProtection="0">
      <alignment vertical="center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Alignment="0">
      <alignment horizontal="left" vertical="center"/>
    </xf>
    <xf numFmtId="14" fontId="6" fillId="0" borderId="0" applyNumberFormat="0" applyFont="0">
      <protection locked="0"/>
    </xf>
    <xf numFmtId="14" fontId="6" fillId="0" borderId="0" applyNumberFormat="0" applyFont="0">
      <protection locked="0"/>
    </xf>
    <xf numFmtId="14" fontId="6" fillId="0" borderId="0" applyNumberFormat="0" applyFont="0">
      <protection locked="0"/>
    </xf>
    <xf numFmtId="14" fontId="6" fillId="0" borderId="0" applyNumberFormat="0" applyFont="0">
      <protection locked="0"/>
    </xf>
    <xf numFmtId="14" fontId="6" fillId="0" borderId="0" applyNumberFormat="0" applyFont="0">
      <protection locked="0"/>
    </xf>
    <xf numFmtId="14" fontId="6" fillId="0" borderId="0" applyNumberFormat="0" applyFont="0">
      <protection locked="0"/>
    </xf>
    <xf numFmtId="0" fontId="6" fillId="0" borderId="0" applyNumberFormat="0" applyFont="0" applyAlignment="0">
      <alignment horizontal="left" vertical="center"/>
    </xf>
    <xf numFmtId="0" fontId="6" fillId="0" borderId="0" applyNumberFormat="0" applyFill="0" applyBorder="0" applyAlignment="0" applyProtection="0"/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>
      <alignment horizontal="left" vertical="center"/>
    </xf>
    <xf numFmtId="0" fontId="6" fillId="0" borderId="0" applyNumberFormat="0" applyFont="0" applyAlignment="0">
      <alignment horizontal="left" vertical="center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Alignment="0" applyProtection="0">
      <alignment vertical="center"/>
    </xf>
    <xf numFmtId="0" fontId="6" fillId="0" borderId="0" applyNumberFormat="0" applyAlignment="0" applyProtection="0">
      <alignment vertical="center"/>
    </xf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10" fontId="6" fillId="0" borderId="0" applyNumberFormat="0" applyBorder="0" applyAlignment="0" applyProtection="0"/>
    <xf numFmtId="0" fontId="6" fillId="0" borderId="0" applyNumberFormat="0" applyFont="0" applyProtection="0">
      <protection locked="0"/>
    </xf>
    <xf numFmtId="0" fontId="6" fillId="0" borderId="0" applyNumberFormat="0" applyFont="0" applyProtection="0">
      <protection locked="0"/>
    </xf>
    <xf numFmtId="0" fontId="6" fillId="0" borderId="0" applyNumberFormat="0" applyFont="0" applyProtection="0">
      <protection locked="0"/>
    </xf>
    <xf numFmtId="0" fontId="6" fillId="0" borderId="0" applyNumberFormat="0" applyFont="0" applyProtection="0">
      <protection locked="0"/>
    </xf>
    <xf numFmtId="0" fontId="6" fillId="0" borderId="0" applyNumberFormat="0" applyFont="0" applyProtection="0">
      <protection locked="0"/>
    </xf>
    <xf numFmtId="0" fontId="6" fillId="0" borderId="0" applyNumberFormat="0" applyFont="0" applyProtection="0">
      <protection locked="0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Font="0" applyFill="0" applyAlignment="0" applyProtection="0"/>
    <xf numFmtId="0" fontId="6" fillId="0" borderId="0" applyNumberFormat="0" applyFont="0" applyFill="0" applyAlignment="0" applyProtection="0"/>
    <xf numFmtId="0" fontId="6" fillId="0" borderId="0"/>
    <xf numFmtId="0" fontId="6" fillId="0" borderId="0"/>
    <xf numFmtId="177" fontId="6" fillId="0" borderId="0" applyFont="0" applyFill="0" applyBorder="0" applyAlignment="0" applyProtection="0"/>
    <xf numFmtId="0" fontId="18" fillId="15" borderId="0" applyNumberFormat="0" applyBorder="0" applyAlignment="0" applyProtection="0"/>
    <xf numFmtId="0" fontId="28" fillId="22" borderId="0" applyNumberFormat="0" applyBorder="0" applyAlignment="0" applyProtection="0"/>
    <xf numFmtId="0" fontId="1" fillId="23" borderId="0" applyNumberFormat="0" applyBorder="0" applyAlignment="0" applyProtection="0"/>
    <xf numFmtId="0" fontId="33" fillId="0" borderId="0"/>
    <xf numFmtId="0" fontId="33" fillId="0" borderId="0"/>
  </cellStyleXfs>
  <cellXfs count="1521">
    <xf numFmtId="0" fontId="0" fillId="0" borderId="0" xfId="0"/>
    <xf numFmtId="0" fontId="11" fillId="2" borderId="0" xfId="0" applyFont="1" applyFill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vertical="center" wrapText="1"/>
    </xf>
    <xf numFmtId="178" fontId="11" fillId="2" borderId="3" xfId="0" applyNumberFormat="1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/>
    <xf numFmtId="178" fontId="7" fillId="3" borderId="0" xfId="0" applyNumberFormat="1" applyFont="1" applyFill="1" applyAlignment="1">
      <alignment horizontal="left" vertical="center"/>
    </xf>
    <xf numFmtId="179" fontId="7" fillId="3" borderId="0" xfId="2863" applyNumberFormat="1" applyFont="1" applyFill="1" applyBorder="1" applyAlignment="1">
      <alignment horizontal="left" vertical="center"/>
    </xf>
    <xf numFmtId="0" fontId="0" fillId="3" borderId="0" xfId="0" applyFill="1"/>
    <xf numFmtId="178" fontId="7" fillId="3" borderId="0" xfId="0" applyNumberFormat="1" applyFont="1" applyFill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/>
    <xf numFmtId="178" fontId="7" fillId="0" borderId="1" xfId="0" applyNumberFormat="1" applyFont="1" applyBorder="1" applyAlignment="1">
      <alignment horizontal="left"/>
    </xf>
    <xf numFmtId="179" fontId="7" fillId="0" borderId="1" xfId="2863" applyNumberFormat="1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0" fillId="0" borderId="1" xfId="0" applyBorder="1"/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wrapText="1"/>
    </xf>
    <xf numFmtId="0" fontId="11" fillId="7" borderId="3" xfId="0" applyFont="1" applyFill="1" applyBorder="1" applyAlignment="1">
      <alignment horizontal="left" vertical="center" wrapText="1"/>
    </xf>
    <xf numFmtId="178" fontId="11" fillId="8" borderId="3" xfId="0" applyNumberFormat="1" applyFont="1" applyFill="1" applyBorder="1" applyAlignment="1">
      <alignment horizontal="left" vertical="center" wrapText="1"/>
    </xf>
    <xf numFmtId="179" fontId="11" fillId="8" borderId="3" xfId="2863" applyNumberFormat="1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left" vertical="center" wrapText="1"/>
    </xf>
    <xf numFmtId="178" fontId="7" fillId="3" borderId="1" xfId="0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7" fillId="3" borderId="0" xfId="0" applyFont="1" applyFill="1" applyAlignment="1">
      <alignment horizontal="left"/>
    </xf>
    <xf numFmtId="0" fontId="7" fillId="3" borderId="2" xfId="0" applyFont="1" applyFill="1" applyBorder="1" applyAlignment="1">
      <alignment horizontal="left"/>
    </xf>
    <xf numFmtId="0" fontId="7" fillId="3" borderId="1" xfId="0" applyFont="1" applyFill="1" applyBorder="1"/>
    <xf numFmtId="179" fontId="7" fillId="3" borderId="1" xfId="2863" applyNumberFormat="1" applyFont="1" applyFill="1" applyBorder="1" applyAlignment="1">
      <alignment horizontal="left"/>
    </xf>
    <xf numFmtId="0" fontId="7" fillId="9" borderId="1" xfId="0" applyFont="1" applyFill="1" applyBorder="1" applyAlignment="1">
      <alignment horizontal="left" vertical="center"/>
    </xf>
    <xf numFmtId="178" fontId="7" fillId="9" borderId="1" xfId="0" applyNumberFormat="1" applyFont="1" applyFill="1" applyBorder="1" applyAlignment="1">
      <alignment horizontal="left"/>
    </xf>
    <xf numFmtId="0" fontId="7" fillId="3" borderId="2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79" fontId="7" fillId="0" borderId="1" xfId="2863" applyNumberFormat="1" applyFont="1" applyBorder="1" applyAlignment="1">
      <alignment horizontal="left"/>
    </xf>
    <xf numFmtId="0" fontId="7" fillId="9" borderId="1" xfId="0" applyFont="1" applyFill="1" applyBorder="1" applyAlignment="1">
      <alignment horizontal="left"/>
    </xf>
    <xf numFmtId="0" fontId="11" fillId="7" borderId="6" xfId="0" applyFont="1" applyFill="1" applyBorder="1" applyAlignment="1">
      <alignment horizontal="left" vertical="center" wrapText="1"/>
    </xf>
    <xf numFmtId="0" fontId="11" fillId="7" borderId="7" xfId="0" applyFont="1" applyFill="1" applyBorder="1" applyAlignment="1">
      <alignment horizontal="left" vertical="center" wrapText="1"/>
    </xf>
    <xf numFmtId="0" fontId="11" fillId="7" borderId="7" xfId="0" applyFont="1" applyFill="1" applyBorder="1" applyAlignment="1">
      <alignment vertical="center" wrapText="1"/>
    </xf>
    <xf numFmtId="0" fontId="11" fillId="2" borderId="7" xfId="0" applyFont="1" applyFill="1" applyBorder="1" applyAlignment="1">
      <alignment horizontal="left" vertical="center" wrapText="1"/>
    </xf>
    <xf numFmtId="180" fontId="0" fillId="0" borderId="0" xfId="0" applyNumberFormat="1"/>
    <xf numFmtId="0" fontId="14" fillId="0" borderId="0" xfId="0" applyFont="1" applyAlignment="1">
      <alignment horizontal="left"/>
    </xf>
    <xf numFmtId="0" fontId="13" fillId="12" borderId="8" xfId="0" applyFont="1" applyFill="1" applyBorder="1" applyAlignment="1">
      <alignment horizontal="center" vertical="center" wrapText="1"/>
    </xf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5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3" borderId="2" xfId="0" applyFont="1" applyFill="1" applyBorder="1"/>
    <xf numFmtId="15" fontId="10" fillId="3" borderId="4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left" wrapText="1"/>
    </xf>
    <xf numFmtId="15" fontId="10" fillId="10" borderId="4" xfId="0" applyNumberFormat="1" applyFont="1" applyFill="1" applyBorder="1" applyAlignment="1">
      <alignment horizontal="left"/>
    </xf>
    <xf numFmtId="0" fontId="1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181" fontId="7" fillId="0" borderId="0" xfId="0" applyNumberFormat="1" applyFont="1" applyAlignment="1">
      <alignment horizontal="right" vertical="center"/>
    </xf>
    <xf numFmtId="182" fontId="7" fillId="0" borderId="0" xfId="2863" applyNumberFormat="1" applyFont="1" applyAlignment="1">
      <alignment horizontal="center" vertical="center"/>
    </xf>
    <xf numFmtId="180" fontId="7" fillId="0" borderId="0" xfId="0" applyNumberFormat="1" applyFont="1" applyAlignment="1">
      <alignment horizontal="center" vertical="center"/>
    </xf>
    <xf numFmtId="180" fontId="7" fillId="0" borderId="0" xfId="0" applyNumberFormat="1" applyFont="1" applyAlignment="1">
      <alignment horizontal="lef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14" borderId="0" xfId="0" applyFont="1" applyFill="1" applyAlignment="1">
      <alignment horizontal="left" vertical="center"/>
    </xf>
    <xf numFmtId="0" fontId="19" fillId="15" borderId="1" xfId="2864" applyFont="1" applyBorder="1" applyAlignment="1">
      <alignment horizontal="center" vertical="center" wrapText="1"/>
    </xf>
    <xf numFmtId="0" fontId="19" fillId="15" borderId="1" xfId="2864" applyFont="1" applyBorder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3" borderId="10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right" vertical="center"/>
    </xf>
    <xf numFmtId="182" fontId="7" fillId="3" borderId="1" xfId="2863" applyNumberFormat="1" applyFont="1" applyFill="1" applyBorder="1" applyAlignment="1">
      <alignment horizontal="center" vertical="center"/>
    </xf>
    <xf numFmtId="180" fontId="7" fillId="3" borderId="1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2" fontId="7" fillId="9" borderId="1" xfId="0" applyNumberFormat="1" applyFont="1" applyFill="1" applyBorder="1" applyAlignment="1">
      <alignment horizontal="right" vertical="center"/>
    </xf>
    <xf numFmtId="182" fontId="7" fillId="9" borderId="1" xfId="2863" applyNumberFormat="1" applyFont="1" applyFill="1" applyBorder="1" applyAlignment="1">
      <alignment horizontal="center" vertical="center"/>
    </xf>
    <xf numFmtId="180" fontId="7" fillId="9" borderId="1" xfId="0" applyNumberFormat="1" applyFont="1" applyFill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right" vertical="center"/>
    </xf>
    <xf numFmtId="182" fontId="7" fillId="0" borderId="1" xfId="2863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13" borderId="10" xfId="0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0" fontId="7" fillId="13" borderId="1" xfId="0" applyFont="1" applyFill="1" applyBorder="1" applyAlignment="1">
      <alignment horizontal="center" vertical="center"/>
    </xf>
    <xf numFmtId="0" fontId="7" fillId="0" borderId="0" xfId="0" applyFont="1"/>
    <xf numFmtId="0" fontId="7" fillId="17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0" fontId="12" fillId="3" borderId="1" xfId="0" applyFont="1" applyFill="1" applyBorder="1" applyAlignment="1">
      <alignment horizontal="left" vertical="center"/>
    </xf>
    <xf numFmtId="0" fontId="22" fillId="9" borderId="1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22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3" borderId="1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22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vertical="center"/>
    </xf>
    <xf numFmtId="0" fontId="7" fillId="18" borderId="1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left" vertical="center"/>
    </xf>
    <xf numFmtId="180" fontId="7" fillId="0" borderId="1" xfId="0" applyNumberFormat="1" applyFont="1" applyBorder="1" applyAlignment="1">
      <alignment horizontal="left" vertical="center"/>
    </xf>
    <xf numFmtId="180" fontId="7" fillId="3" borderId="1" xfId="0" applyNumberFormat="1" applyFont="1" applyFill="1" applyBorder="1" applyAlignment="1">
      <alignment horizontal="left" vertical="center"/>
    </xf>
    <xf numFmtId="0" fontId="22" fillId="0" borderId="9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left" vertical="center"/>
    </xf>
    <xf numFmtId="180" fontId="7" fillId="3" borderId="4" xfId="0" applyNumberFormat="1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180" fontId="7" fillId="3" borderId="1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180" fontId="7" fillId="9" borderId="1" xfId="0" applyNumberFormat="1" applyFont="1" applyFill="1" applyBorder="1" applyAlignment="1">
      <alignment horizontal="left" vertical="center"/>
    </xf>
    <xf numFmtId="180" fontId="7" fillId="0" borderId="4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80" fontId="7" fillId="0" borderId="11" xfId="0" applyNumberFormat="1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180" fontId="7" fillId="0" borderId="3" xfId="0" applyNumberFormat="1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vertical="center"/>
    </xf>
    <xf numFmtId="0" fontId="23" fillId="3" borderId="4" xfId="0" applyFont="1" applyFill="1" applyBorder="1" applyAlignment="1">
      <alignment horizontal="center" vertical="center"/>
    </xf>
    <xf numFmtId="181" fontId="7" fillId="3" borderId="4" xfId="0" applyNumberFormat="1" applyFont="1" applyFill="1" applyBorder="1" applyAlignment="1">
      <alignment horizontal="right" vertical="center"/>
    </xf>
    <xf numFmtId="182" fontId="7" fillId="3" borderId="4" xfId="2863" applyNumberFormat="1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0" fontId="24" fillId="3" borderId="4" xfId="0" applyFont="1" applyFill="1" applyBorder="1" applyAlignment="1">
      <alignment horizontal="center"/>
    </xf>
    <xf numFmtId="2" fontId="10" fillId="3" borderId="4" xfId="0" applyNumberFormat="1" applyFont="1" applyFill="1" applyBorder="1" applyAlignment="1">
      <alignment horizontal="right" vertical="center"/>
    </xf>
    <xf numFmtId="182" fontId="10" fillId="3" borderId="9" xfId="2863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5" fillId="0" borderId="0" xfId="0" applyFont="1"/>
    <xf numFmtId="0" fontId="7" fillId="19" borderId="1" xfId="0" applyFont="1" applyFill="1" applyBorder="1" applyAlignment="1">
      <alignment horizontal="left" vertical="center"/>
    </xf>
    <xf numFmtId="0" fontId="7" fillId="19" borderId="1" xfId="0" applyFont="1" applyFill="1" applyBorder="1" applyAlignment="1">
      <alignment horizontal="left"/>
    </xf>
    <xf numFmtId="178" fontId="7" fillId="19" borderId="1" xfId="0" applyNumberFormat="1" applyFont="1" applyFill="1" applyBorder="1" applyAlignment="1">
      <alignment horizontal="left"/>
    </xf>
    <xf numFmtId="0" fontId="7" fillId="3" borderId="9" xfId="0" applyFont="1" applyFill="1" applyBorder="1" applyAlignment="1">
      <alignment horizontal="left"/>
    </xf>
    <xf numFmtId="0" fontId="7" fillId="3" borderId="4" xfId="0" applyFont="1" applyFill="1" applyBorder="1"/>
    <xf numFmtId="178" fontId="7" fillId="3" borderId="4" xfId="0" applyNumberFormat="1" applyFont="1" applyFill="1" applyBorder="1" applyAlignment="1">
      <alignment horizontal="left"/>
    </xf>
    <xf numFmtId="179" fontId="7" fillId="3" borderId="4" xfId="0" applyNumberFormat="1" applyFont="1" applyFill="1" applyBorder="1" applyAlignment="1">
      <alignment horizontal="left"/>
    </xf>
    <xf numFmtId="0" fontId="7" fillId="3" borderId="12" xfId="0" applyFont="1" applyFill="1" applyBorder="1" applyAlignment="1">
      <alignment horizontal="left"/>
    </xf>
    <xf numFmtId="0" fontId="7" fillId="3" borderId="13" xfId="0" applyFont="1" applyFill="1" applyBorder="1" applyAlignment="1">
      <alignment horizontal="left"/>
    </xf>
    <xf numFmtId="179" fontId="7" fillId="3" borderId="1" xfId="0" applyNumberFormat="1" applyFont="1" applyFill="1" applyBorder="1" applyAlignment="1">
      <alignment horizontal="left"/>
    </xf>
    <xf numFmtId="0" fontId="26" fillId="20" borderId="0" xfId="0" applyFont="1" applyFill="1"/>
    <xf numFmtId="0" fontId="26" fillId="21" borderId="14" xfId="0" applyFont="1" applyFill="1" applyBorder="1" applyAlignment="1">
      <alignment horizontal="center"/>
    </xf>
    <xf numFmtId="0" fontId="26" fillId="21" borderId="15" xfId="0" applyFont="1" applyFill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0" fillId="0" borderId="0" xfId="0" pivotButton="1"/>
    <xf numFmtId="0" fontId="7" fillId="9" borderId="2" xfId="0" applyFont="1" applyFill="1" applyBorder="1" applyAlignment="1">
      <alignment horizontal="left"/>
    </xf>
    <xf numFmtId="0" fontId="7" fillId="9" borderId="1" xfId="0" applyFont="1" applyFill="1" applyBorder="1"/>
    <xf numFmtId="179" fontId="7" fillId="9" borderId="1" xfId="2863" applyNumberFormat="1" applyFont="1" applyFill="1" applyBorder="1" applyAlignment="1">
      <alignment horizontal="left"/>
    </xf>
    <xf numFmtId="0" fontId="7" fillId="9" borderId="0" xfId="0" applyFont="1" applyFill="1" applyAlignment="1">
      <alignment horizontal="left"/>
    </xf>
    <xf numFmtId="0" fontId="7" fillId="3" borderId="1" xfId="0" applyFont="1" applyFill="1" applyBorder="1" applyAlignment="1">
      <alignment horizontal="left" wrapText="1"/>
    </xf>
    <xf numFmtId="0" fontId="10" fillId="3" borderId="4" xfId="0" applyFont="1" applyFill="1" applyBorder="1" applyAlignment="1">
      <alignment wrapText="1"/>
    </xf>
    <xf numFmtId="0" fontId="7" fillId="9" borderId="4" xfId="0" applyFont="1" applyFill="1" applyBorder="1" applyAlignment="1">
      <alignment horizontal="left"/>
    </xf>
    <xf numFmtId="0" fontId="0" fillId="0" borderId="4" xfId="0" applyBorder="1"/>
    <xf numFmtId="0" fontId="7" fillId="0" borderId="4" xfId="0" applyFont="1" applyBorder="1"/>
    <xf numFmtId="0" fontId="7" fillId="0" borderId="9" xfId="0" applyFont="1" applyBorder="1" applyAlignment="1">
      <alignment horizontal="left" vertical="center"/>
    </xf>
    <xf numFmtId="180" fontId="7" fillId="0" borderId="1" xfId="0" applyNumberFormat="1" applyFont="1" applyBorder="1" applyAlignment="1">
      <alignment horizontal="left"/>
    </xf>
    <xf numFmtId="180" fontId="7" fillId="3" borderId="1" xfId="0" applyNumberFormat="1" applyFont="1" applyFill="1" applyBorder="1" applyAlignment="1">
      <alignment horizontal="left"/>
    </xf>
    <xf numFmtId="180" fontId="7" fillId="9" borderId="1" xfId="0" applyNumberFormat="1" applyFont="1" applyFill="1" applyBorder="1" applyAlignment="1">
      <alignment horizontal="left"/>
    </xf>
    <xf numFmtId="180" fontId="7" fillId="19" borderId="1" xfId="0" applyNumberFormat="1" applyFont="1" applyFill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0" fillId="0" borderId="16" xfId="0" applyBorder="1"/>
    <xf numFmtId="0" fontId="7" fillId="0" borderId="2" xfId="0" applyFont="1" applyBorder="1"/>
    <xf numFmtId="0" fontId="7" fillId="0" borderId="12" xfId="0" applyFont="1" applyBorder="1"/>
    <xf numFmtId="0" fontId="7" fillId="0" borderId="9" xfId="0" applyFont="1" applyBorder="1"/>
    <xf numFmtId="0" fontId="7" fillId="3" borderId="3" xfId="0" applyFont="1" applyFill="1" applyBorder="1" applyAlignment="1">
      <alignment horizontal="left"/>
    </xf>
    <xf numFmtId="179" fontId="7" fillId="0" borderId="0" xfId="2863" applyNumberFormat="1" applyFont="1" applyFill="1" applyBorder="1" applyAlignment="1">
      <alignment horizontal="left" vertical="center"/>
    </xf>
    <xf numFmtId="178" fontId="7" fillId="0" borderId="0" xfId="0" applyNumberFormat="1" applyFont="1" applyAlignment="1">
      <alignment horizontal="left" vertical="center"/>
    </xf>
    <xf numFmtId="178" fontId="7" fillId="0" borderId="0" xfId="0" applyNumberFormat="1" applyFont="1" applyAlignment="1">
      <alignment horizontal="left"/>
    </xf>
    <xf numFmtId="180" fontId="14" fillId="0" borderId="0" xfId="0" applyNumberFormat="1" applyFont="1" applyAlignment="1">
      <alignment horizontal="left"/>
    </xf>
    <xf numFmtId="0" fontId="11" fillId="3" borderId="17" xfId="0" applyFont="1" applyFill="1" applyBorder="1" applyAlignment="1">
      <alignment horizontal="left" vertical="center" wrapText="1"/>
    </xf>
    <xf numFmtId="184" fontId="11" fillId="2" borderId="3" xfId="0" applyNumberFormat="1" applyFont="1" applyFill="1" applyBorder="1" applyAlignment="1">
      <alignment horizontal="center" vertical="center" wrapText="1"/>
    </xf>
    <xf numFmtId="184" fontId="7" fillId="0" borderId="1" xfId="0" applyNumberFormat="1" applyFont="1" applyBorder="1" applyAlignment="1">
      <alignment horizontal="center"/>
    </xf>
    <xf numFmtId="184" fontId="7" fillId="3" borderId="1" xfId="0" applyNumberFormat="1" applyFont="1" applyFill="1" applyBorder="1" applyAlignment="1">
      <alignment horizontal="center"/>
    </xf>
    <xf numFmtId="184" fontId="10" fillId="3" borderId="4" xfId="0" applyNumberFormat="1" applyFont="1" applyFill="1" applyBorder="1" applyAlignment="1">
      <alignment horizontal="center"/>
    </xf>
    <xf numFmtId="184" fontId="7" fillId="9" borderId="1" xfId="0" applyNumberFormat="1" applyFont="1" applyFill="1" applyBorder="1" applyAlignment="1">
      <alignment horizontal="center"/>
    </xf>
    <xf numFmtId="184" fontId="7" fillId="19" borderId="1" xfId="0" applyNumberFormat="1" applyFont="1" applyFill="1" applyBorder="1" applyAlignment="1">
      <alignment horizontal="center"/>
    </xf>
    <xf numFmtId="184" fontId="7" fillId="3" borderId="4" xfId="0" applyNumberFormat="1" applyFont="1" applyFill="1" applyBorder="1" applyAlignment="1">
      <alignment horizontal="center"/>
    </xf>
    <xf numFmtId="184" fontId="7" fillId="0" borderId="0" xfId="0" applyNumberFormat="1" applyFont="1" applyAlignment="1">
      <alignment horizontal="center" vertical="center"/>
    </xf>
    <xf numFmtId="176" fontId="11" fillId="2" borderId="3" xfId="0" applyNumberFormat="1" applyFont="1" applyFill="1" applyBorder="1" applyAlignment="1">
      <alignment horizontal="left" vertical="center" wrapText="1"/>
    </xf>
    <xf numFmtId="176" fontId="7" fillId="0" borderId="1" xfId="0" applyNumberFormat="1" applyFont="1" applyBorder="1" applyAlignment="1">
      <alignment horizontal="left"/>
    </xf>
    <xf numFmtId="176" fontId="10" fillId="3" borderId="4" xfId="0" applyNumberFormat="1" applyFont="1" applyFill="1" applyBorder="1" applyAlignment="1">
      <alignment horizontal="left"/>
    </xf>
    <xf numFmtId="176" fontId="7" fillId="9" borderId="1" xfId="0" applyNumberFormat="1" applyFont="1" applyFill="1" applyBorder="1" applyAlignment="1">
      <alignment horizontal="left"/>
    </xf>
    <xf numFmtId="176" fontId="7" fillId="3" borderId="1" xfId="0" applyNumberFormat="1" applyFont="1" applyFill="1" applyBorder="1" applyAlignment="1">
      <alignment horizontal="left"/>
    </xf>
    <xf numFmtId="176" fontId="7" fillId="19" borderId="1" xfId="0" applyNumberFormat="1" applyFont="1" applyFill="1" applyBorder="1" applyAlignment="1">
      <alignment horizontal="left"/>
    </xf>
    <xf numFmtId="176" fontId="7" fillId="0" borderId="0" xfId="0" applyNumberFormat="1" applyFont="1" applyAlignment="1">
      <alignment horizontal="left" vertical="center"/>
    </xf>
    <xf numFmtId="0" fontId="7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0" fillId="0" borderId="0" xfId="0" applyNumberFormat="1"/>
    <xf numFmtId="179" fontId="7" fillId="0" borderId="4" xfId="0" applyNumberFormat="1" applyFont="1" applyBorder="1" applyAlignment="1">
      <alignment horizontal="left"/>
    </xf>
    <xf numFmtId="0" fontId="7" fillId="3" borderId="16" xfId="0" applyFont="1" applyFill="1" applyBorder="1" applyAlignment="1">
      <alignment horizontal="left"/>
    </xf>
    <xf numFmtId="0" fontId="11" fillId="7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left"/>
    </xf>
    <xf numFmtId="0" fontId="27" fillId="9" borderId="0" xfId="0" applyFont="1" applyFill="1"/>
    <xf numFmtId="185" fontId="27" fillId="9" borderId="0" xfId="0" applyNumberFormat="1" applyFont="1" applyFill="1"/>
    <xf numFmtId="0" fontId="11" fillId="2" borderId="3" xfId="0" applyFont="1" applyFill="1" applyBorder="1" applyAlignment="1">
      <alignment horizontal="center" vertical="center" wrapText="1"/>
    </xf>
    <xf numFmtId="178" fontId="7" fillId="0" borderId="0" xfId="0" applyNumberFormat="1" applyFont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26" fillId="4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7" fillId="0" borderId="16" xfId="0" applyFont="1" applyBorder="1" applyAlignment="1">
      <alignment horizontal="left"/>
    </xf>
    <xf numFmtId="0" fontId="11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86" fontId="0" fillId="0" borderId="4" xfId="0" applyNumberFormat="1" applyBorder="1"/>
    <xf numFmtId="176" fontId="7" fillId="0" borderId="9" xfId="0" applyNumberFormat="1" applyFont="1" applyBorder="1" applyAlignment="1">
      <alignment horizontal="left" vertical="center"/>
    </xf>
    <xf numFmtId="178" fontId="8" fillId="3" borderId="4" xfId="0" applyNumberFormat="1" applyFont="1" applyFill="1" applyBorder="1" applyAlignment="1">
      <alignment horizontal="left"/>
    </xf>
    <xf numFmtId="180" fontId="7" fillId="0" borderId="1" xfId="0" applyNumberFormat="1" applyFont="1" applyBorder="1" applyAlignment="1">
      <alignment horizontal="center"/>
    </xf>
    <xf numFmtId="180" fontId="7" fillId="9" borderId="1" xfId="0" applyNumberFormat="1" applyFont="1" applyFill="1" applyBorder="1" applyAlignment="1">
      <alignment horizontal="center"/>
    </xf>
    <xf numFmtId="0" fontId="7" fillId="19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wrapText="1"/>
    </xf>
    <xf numFmtId="0" fontId="7" fillId="19" borderId="9" xfId="0" applyFont="1" applyFill="1" applyBorder="1" applyAlignment="1">
      <alignment horizontal="left"/>
    </xf>
    <xf numFmtId="176" fontId="7" fillId="19" borderId="9" xfId="0" applyNumberFormat="1" applyFont="1" applyFill="1" applyBorder="1" applyAlignment="1">
      <alignment horizontal="left"/>
    </xf>
    <xf numFmtId="178" fontId="7" fillId="19" borderId="9" xfId="0" applyNumberFormat="1" applyFont="1" applyFill="1" applyBorder="1" applyAlignment="1">
      <alignment horizontal="left"/>
    </xf>
    <xf numFmtId="0" fontId="7" fillId="8" borderId="1" xfId="0" applyFont="1" applyFill="1" applyBorder="1" applyAlignment="1">
      <alignment horizontal="left"/>
    </xf>
    <xf numFmtId="0" fontId="11" fillId="9" borderId="3" xfId="0" applyFont="1" applyFill="1" applyBorder="1" applyAlignment="1">
      <alignment horizontal="left" vertical="center" wrapText="1"/>
    </xf>
    <xf numFmtId="0" fontId="11" fillId="4" borderId="3" xfId="2863" applyNumberFormat="1" applyFont="1" applyFill="1" applyBorder="1" applyAlignment="1">
      <alignment horizontal="left" vertical="center" wrapText="1"/>
    </xf>
    <xf numFmtId="0" fontId="7" fillId="0" borderId="3" xfId="2863" applyNumberFormat="1" applyFont="1" applyBorder="1" applyAlignment="1">
      <alignment horizontal="left"/>
    </xf>
    <xf numFmtId="0" fontId="7" fillId="0" borderId="1" xfId="0" quotePrefix="1" applyFont="1" applyBorder="1"/>
    <xf numFmtId="0" fontId="11" fillId="2" borderId="3" xfId="0" applyFont="1" applyFill="1" applyBorder="1" applyAlignment="1">
      <alignment vertical="center"/>
    </xf>
    <xf numFmtId="0" fontId="7" fillId="5" borderId="1" xfId="0" applyFont="1" applyFill="1" applyBorder="1"/>
    <xf numFmtId="0" fontId="7" fillId="19" borderId="9" xfId="0" applyFont="1" applyFill="1" applyBorder="1" applyAlignment="1">
      <alignment horizontal="left" vertical="center"/>
    </xf>
    <xf numFmtId="179" fontId="7" fillId="19" borderId="9" xfId="0" applyNumberFormat="1" applyFont="1" applyFill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187" fontId="7" fillId="3" borderId="1" xfId="0" applyNumberFormat="1" applyFont="1" applyFill="1" applyBorder="1" applyAlignment="1">
      <alignment horizontal="center"/>
    </xf>
    <xf numFmtId="187" fontId="7" fillId="0" borderId="1" xfId="0" applyNumberFormat="1" applyFont="1" applyBorder="1" applyAlignment="1">
      <alignment horizontal="center"/>
    </xf>
    <xf numFmtId="187" fontId="7" fillId="9" borderId="1" xfId="0" applyNumberFormat="1" applyFont="1" applyFill="1" applyBorder="1" applyAlignment="1">
      <alignment horizontal="center"/>
    </xf>
    <xf numFmtId="187" fontId="10" fillId="3" borderId="4" xfId="0" applyNumberFormat="1" applyFont="1" applyFill="1" applyBorder="1" applyAlignment="1">
      <alignment horizontal="center"/>
    </xf>
    <xf numFmtId="187" fontId="7" fillId="19" borderId="1" xfId="0" applyNumberFormat="1" applyFont="1" applyFill="1" applyBorder="1" applyAlignment="1">
      <alignment horizontal="center"/>
    </xf>
    <xf numFmtId="187" fontId="11" fillId="2" borderId="3" xfId="0" applyNumberFormat="1" applyFont="1" applyFill="1" applyBorder="1" applyAlignment="1">
      <alignment horizontal="center" vertical="center" wrapText="1"/>
    </xf>
    <xf numFmtId="187" fontId="0" fillId="0" borderId="0" xfId="0" applyNumberFormat="1"/>
    <xf numFmtId="179" fontId="7" fillId="3" borderId="16" xfId="0" applyNumberFormat="1" applyFont="1" applyFill="1" applyBorder="1" applyAlignment="1">
      <alignment horizontal="left"/>
    </xf>
    <xf numFmtId="2" fontId="7" fillId="9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29" fillId="0" borderId="9" xfId="0" applyFont="1" applyBorder="1" applyAlignment="1">
      <alignment horizontal="center"/>
    </xf>
    <xf numFmtId="0" fontId="0" fillId="17" borderId="9" xfId="0" applyFill="1" applyBorder="1" applyAlignment="1">
      <alignment horizontal="center" wrapText="1"/>
    </xf>
    <xf numFmtId="0" fontId="7" fillId="3" borderId="13" xfId="0" applyFont="1" applyFill="1" applyBorder="1" applyAlignment="1">
      <alignment horizontal="left" vertical="center"/>
    </xf>
    <xf numFmtId="179" fontId="7" fillId="3" borderId="2" xfId="0" applyNumberFormat="1" applyFont="1" applyFill="1" applyBorder="1" applyAlignment="1">
      <alignment horizontal="left"/>
    </xf>
    <xf numFmtId="177" fontId="7" fillId="3" borderId="1" xfId="0" applyNumberFormat="1" applyFont="1" applyFill="1" applyBorder="1" applyAlignment="1">
      <alignment horizontal="left"/>
    </xf>
    <xf numFmtId="184" fontId="7" fillId="19" borderId="9" xfId="0" applyNumberFormat="1" applyFont="1" applyFill="1" applyBorder="1" applyAlignment="1">
      <alignment horizontal="center"/>
    </xf>
    <xf numFmtId="179" fontId="7" fillId="19" borderId="1" xfId="0" applyNumberFormat="1" applyFont="1" applyFill="1" applyBorder="1" applyAlignment="1">
      <alignment horizontal="left"/>
    </xf>
    <xf numFmtId="0" fontId="7" fillId="3" borderId="19" xfId="0" applyFont="1" applyFill="1" applyBorder="1" applyAlignment="1">
      <alignment horizontal="left"/>
    </xf>
    <xf numFmtId="0" fontId="7" fillId="0" borderId="4" xfId="0" applyFont="1" applyBorder="1" applyAlignment="1">
      <alignment wrapText="1"/>
    </xf>
    <xf numFmtId="0" fontId="9" fillId="19" borderId="1" xfId="0" applyFont="1" applyFill="1" applyBorder="1" applyAlignment="1">
      <alignment horizontal="left"/>
    </xf>
    <xf numFmtId="187" fontId="7" fillId="19" borderId="9" xfId="0" applyNumberFormat="1" applyFont="1" applyFill="1" applyBorder="1" applyAlignment="1">
      <alignment horizontal="center"/>
    </xf>
    <xf numFmtId="0" fontId="9" fillId="19" borderId="9" xfId="0" applyFont="1" applyFill="1" applyBorder="1" applyAlignment="1">
      <alignment horizontal="left"/>
    </xf>
    <xf numFmtId="178" fontId="7" fillId="0" borderId="4" xfId="0" applyNumberFormat="1" applyFont="1" applyBorder="1" applyAlignment="1">
      <alignment horizontal="left"/>
    </xf>
    <xf numFmtId="0" fontId="9" fillId="19" borderId="4" xfId="0" applyFont="1" applyFill="1" applyBorder="1" applyAlignment="1">
      <alignment horizontal="left"/>
    </xf>
    <xf numFmtId="0" fontId="30" fillId="0" borderId="0" xfId="0" applyFont="1"/>
    <xf numFmtId="176" fontId="7" fillId="0" borderId="9" xfId="0" applyNumberFormat="1" applyFont="1" applyBorder="1" applyAlignment="1">
      <alignment horizontal="left"/>
    </xf>
    <xf numFmtId="187" fontId="7" fillId="0" borderId="9" xfId="0" applyNumberFormat="1" applyFont="1" applyBorder="1" applyAlignment="1">
      <alignment horizontal="center"/>
    </xf>
    <xf numFmtId="0" fontId="7" fillId="19" borderId="9" xfId="0" applyFont="1" applyFill="1" applyBorder="1" applyAlignment="1">
      <alignment horizontal="center"/>
    </xf>
    <xf numFmtId="180" fontId="7" fillId="19" borderId="9" xfId="0" applyNumberFormat="1" applyFont="1" applyFill="1" applyBorder="1" applyAlignment="1">
      <alignment horizontal="left"/>
    </xf>
    <xf numFmtId="0" fontId="13" fillId="25" borderId="8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left" wrapText="1"/>
    </xf>
    <xf numFmtId="0" fontId="7" fillId="6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left" wrapText="1"/>
    </xf>
    <xf numFmtId="0" fontId="10" fillId="9" borderId="4" xfId="0" applyFont="1" applyFill="1" applyBorder="1" applyAlignment="1">
      <alignment wrapText="1"/>
    </xf>
    <xf numFmtId="0" fontId="10" fillId="3" borderId="1" xfId="0" applyFont="1" applyFill="1" applyBorder="1" applyAlignment="1">
      <alignment horizontal="left" wrapText="1"/>
    </xf>
    <xf numFmtId="184" fontId="7" fillId="0" borderId="0" xfId="0" applyNumberFormat="1" applyFont="1" applyAlignment="1">
      <alignment horizontal="center" vertical="center" wrapText="1"/>
    </xf>
    <xf numFmtId="0" fontId="7" fillId="3" borderId="20" xfId="0" applyFont="1" applyFill="1" applyBorder="1" applyAlignment="1">
      <alignment horizontal="left"/>
    </xf>
    <xf numFmtId="0" fontId="0" fillId="0" borderId="0" xfId="0" quotePrefix="1"/>
    <xf numFmtId="179" fontId="7" fillId="0" borderId="4" xfId="2863" applyNumberFormat="1" applyFont="1" applyBorder="1" applyAlignment="1">
      <alignment horizontal="left"/>
    </xf>
    <xf numFmtId="179" fontId="7" fillId="0" borderId="2" xfId="0" applyNumberFormat="1" applyFont="1" applyBorder="1" applyAlignment="1">
      <alignment horizontal="left"/>
    </xf>
    <xf numFmtId="183" fontId="7" fillId="0" borderId="2" xfId="2863" applyNumberFormat="1" applyFont="1" applyBorder="1" applyAlignment="1">
      <alignment horizontal="left"/>
    </xf>
    <xf numFmtId="179" fontId="7" fillId="0" borderId="16" xfId="0" applyNumberFormat="1" applyFont="1" applyBorder="1" applyAlignment="1">
      <alignment horizontal="left"/>
    </xf>
    <xf numFmtId="177" fontId="7" fillId="3" borderId="4" xfId="0" applyNumberFormat="1" applyFont="1" applyFill="1" applyBorder="1" applyAlignment="1">
      <alignment horizontal="left"/>
    </xf>
    <xf numFmtId="177" fontId="7" fillId="0" borderId="1" xfId="0" applyNumberFormat="1" applyFont="1" applyBorder="1" applyAlignment="1">
      <alignment horizontal="left"/>
    </xf>
    <xf numFmtId="177" fontId="7" fillId="3" borderId="0" xfId="0" applyNumberFormat="1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179" fontId="11" fillId="8" borderId="0" xfId="2863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26" fillId="21" borderId="0" xfId="0" applyFont="1" applyFill="1" applyAlignment="1">
      <alignment horizontal="center"/>
    </xf>
    <xf numFmtId="178" fontId="8" fillId="0" borderId="4" xfId="0" applyNumberFormat="1" applyFont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7" fillId="5" borderId="13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7" fillId="5" borderId="13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left"/>
    </xf>
    <xf numFmtId="179" fontId="7" fillId="5" borderId="4" xfId="0" applyNumberFormat="1" applyFont="1" applyFill="1" applyBorder="1" applyAlignment="1">
      <alignment horizontal="left"/>
    </xf>
    <xf numFmtId="179" fontId="7" fillId="5" borderId="2" xfId="0" applyNumberFormat="1" applyFont="1" applyFill="1" applyBorder="1" applyAlignment="1">
      <alignment horizontal="left"/>
    </xf>
    <xf numFmtId="177" fontId="7" fillId="5" borderId="4" xfId="0" applyNumberFormat="1" applyFont="1" applyFill="1" applyBorder="1" applyAlignment="1">
      <alignment horizontal="left"/>
    </xf>
    <xf numFmtId="178" fontId="7" fillId="5" borderId="1" xfId="0" applyNumberFormat="1" applyFont="1" applyFill="1" applyBorder="1" applyAlignment="1">
      <alignment horizontal="left"/>
    </xf>
    <xf numFmtId="179" fontId="7" fillId="5" borderId="1" xfId="0" applyNumberFormat="1" applyFont="1" applyFill="1" applyBorder="1" applyAlignment="1">
      <alignment horizontal="left"/>
    </xf>
    <xf numFmtId="178" fontId="7" fillId="5" borderId="4" xfId="0" applyNumberFormat="1" applyFont="1" applyFill="1" applyBorder="1" applyAlignment="1">
      <alignment horizontal="left"/>
    </xf>
    <xf numFmtId="0" fontId="7" fillId="5" borderId="0" xfId="0" applyFont="1" applyFill="1" applyAlignment="1">
      <alignment horizontal="left"/>
    </xf>
    <xf numFmtId="177" fontId="7" fillId="5" borderId="1" xfId="0" applyNumberFormat="1" applyFont="1" applyFill="1" applyBorder="1" applyAlignment="1">
      <alignment horizontal="left"/>
    </xf>
    <xf numFmtId="0" fontId="7" fillId="17" borderId="2" xfId="0" applyFont="1" applyFill="1" applyBorder="1" applyAlignment="1">
      <alignment horizontal="left"/>
    </xf>
    <xf numFmtId="0" fontId="7" fillId="17" borderId="4" xfId="0" applyFont="1" applyFill="1" applyBorder="1" applyAlignment="1">
      <alignment horizontal="left"/>
    </xf>
    <xf numFmtId="0" fontId="7" fillId="17" borderId="1" xfId="0" applyFont="1" applyFill="1" applyBorder="1" applyAlignment="1">
      <alignment horizontal="left"/>
    </xf>
    <xf numFmtId="0" fontId="7" fillId="17" borderId="13" xfId="0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center"/>
    </xf>
    <xf numFmtId="0" fontId="7" fillId="17" borderId="9" xfId="0" applyFont="1" applyFill="1" applyBorder="1" applyAlignment="1">
      <alignment horizontal="left"/>
    </xf>
    <xf numFmtId="179" fontId="7" fillId="17" borderId="4" xfId="0" applyNumberFormat="1" applyFont="1" applyFill="1" applyBorder="1" applyAlignment="1">
      <alignment horizontal="left"/>
    </xf>
    <xf numFmtId="179" fontId="7" fillId="17" borderId="2" xfId="0" applyNumberFormat="1" applyFont="1" applyFill="1" applyBorder="1" applyAlignment="1">
      <alignment horizontal="left"/>
    </xf>
    <xf numFmtId="178" fontId="7" fillId="17" borderId="1" xfId="0" applyNumberFormat="1" applyFont="1" applyFill="1" applyBorder="1" applyAlignment="1">
      <alignment horizontal="left"/>
    </xf>
    <xf numFmtId="179" fontId="7" fillId="17" borderId="1" xfId="0" applyNumberFormat="1" applyFont="1" applyFill="1" applyBorder="1" applyAlignment="1">
      <alignment horizontal="left"/>
    </xf>
    <xf numFmtId="178" fontId="7" fillId="17" borderId="4" xfId="0" applyNumberFormat="1" applyFont="1" applyFill="1" applyBorder="1" applyAlignment="1">
      <alignment horizontal="left"/>
    </xf>
    <xf numFmtId="0" fontId="7" fillId="17" borderId="0" xfId="0" applyFont="1" applyFill="1" applyAlignment="1">
      <alignment horizontal="left"/>
    </xf>
    <xf numFmtId="177" fontId="7" fillId="17" borderId="1" xfId="0" applyNumberFormat="1" applyFont="1" applyFill="1" applyBorder="1" applyAlignment="1">
      <alignment horizontal="left"/>
    </xf>
    <xf numFmtId="16" fontId="7" fillId="28" borderId="2" xfId="0" applyNumberFormat="1" applyFont="1" applyFill="1" applyBorder="1" applyAlignment="1">
      <alignment horizontal="left"/>
    </xf>
    <xf numFmtId="0" fontId="7" fillId="28" borderId="13" xfId="0" applyFont="1" applyFill="1" applyBorder="1" applyAlignment="1">
      <alignment horizontal="left"/>
    </xf>
    <xf numFmtId="0" fontId="7" fillId="28" borderId="1" xfId="0" applyFont="1" applyFill="1" applyBorder="1" applyAlignment="1">
      <alignment horizontal="left"/>
    </xf>
    <xf numFmtId="0" fontId="7" fillId="28" borderId="13" xfId="0" applyFont="1" applyFill="1" applyBorder="1" applyAlignment="1">
      <alignment horizontal="left" vertical="center"/>
    </xf>
    <xf numFmtId="0" fontId="7" fillId="28" borderId="1" xfId="0" applyFont="1" applyFill="1" applyBorder="1" applyAlignment="1">
      <alignment horizontal="center"/>
    </xf>
    <xf numFmtId="0" fontId="7" fillId="28" borderId="4" xfId="0" applyFont="1" applyFill="1" applyBorder="1" applyAlignment="1">
      <alignment horizontal="left"/>
    </xf>
    <xf numFmtId="179" fontId="7" fillId="28" borderId="4" xfId="0" applyNumberFormat="1" applyFont="1" applyFill="1" applyBorder="1" applyAlignment="1">
      <alignment horizontal="left"/>
    </xf>
    <xf numFmtId="179" fontId="7" fillId="28" borderId="2" xfId="0" applyNumberFormat="1" applyFont="1" applyFill="1" applyBorder="1" applyAlignment="1">
      <alignment horizontal="left"/>
    </xf>
    <xf numFmtId="177" fontId="7" fillId="28" borderId="1" xfId="0" applyNumberFormat="1" applyFont="1" applyFill="1" applyBorder="1" applyAlignment="1">
      <alignment horizontal="left"/>
    </xf>
    <xf numFmtId="178" fontId="7" fillId="28" borderId="1" xfId="0" applyNumberFormat="1" applyFont="1" applyFill="1" applyBorder="1" applyAlignment="1">
      <alignment horizontal="left"/>
    </xf>
    <xf numFmtId="179" fontId="7" fillId="28" borderId="1" xfId="0" applyNumberFormat="1" applyFont="1" applyFill="1" applyBorder="1" applyAlignment="1">
      <alignment horizontal="left"/>
    </xf>
    <xf numFmtId="178" fontId="7" fillId="28" borderId="4" xfId="0" applyNumberFormat="1" applyFont="1" applyFill="1" applyBorder="1" applyAlignment="1">
      <alignment horizontal="left"/>
    </xf>
    <xf numFmtId="0" fontId="7" fillId="28" borderId="0" xfId="0" applyFont="1" applyFill="1" applyAlignment="1">
      <alignment horizontal="left"/>
    </xf>
    <xf numFmtId="0" fontId="7" fillId="28" borderId="2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176" fontId="0" fillId="0" borderId="0" xfId="0" applyNumberFormat="1"/>
    <xf numFmtId="0" fontId="7" fillId="17" borderId="13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177" fontId="7" fillId="0" borderId="9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9" borderId="0" xfId="0" applyFill="1"/>
    <xf numFmtId="0" fontId="35" fillId="0" borderId="0" xfId="0" applyFont="1"/>
    <xf numFmtId="14" fontId="14" fillId="0" borderId="0" xfId="0" applyNumberFormat="1" applyFont="1" applyAlignment="1">
      <alignment horizontal="left"/>
    </xf>
    <xf numFmtId="0" fontId="0" fillId="17" borderId="9" xfId="0" applyFill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/>
    </xf>
    <xf numFmtId="177" fontId="7" fillId="0" borderId="4" xfId="0" applyNumberFormat="1" applyFont="1" applyBorder="1" applyAlignment="1">
      <alignment horizontal="center"/>
    </xf>
    <xf numFmtId="177" fontId="7" fillId="3" borderId="3" xfId="0" applyNumberFormat="1" applyFont="1" applyFill="1" applyBorder="1" applyAlignment="1">
      <alignment horizontal="center"/>
    </xf>
    <xf numFmtId="177" fontId="7" fillId="17" borderId="4" xfId="0" applyNumberFormat="1" applyFont="1" applyFill="1" applyBorder="1" applyAlignment="1">
      <alignment horizontal="center"/>
    </xf>
    <xf numFmtId="177" fontId="7" fillId="17" borderId="1" xfId="0" applyNumberFormat="1" applyFont="1" applyFill="1" applyBorder="1" applyAlignment="1">
      <alignment horizontal="center"/>
    </xf>
    <xf numFmtId="177" fontId="7" fillId="5" borderId="1" xfId="0" applyNumberFormat="1" applyFont="1" applyFill="1" applyBorder="1" applyAlignment="1">
      <alignment horizontal="center"/>
    </xf>
    <xf numFmtId="177" fontId="7" fillId="28" borderId="1" xfId="0" applyNumberFormat="1" applyFont="1" applyFill="1" applyBorder="1" applyAlignment="1">
      <alignment horizontal="center"/>
    </xf>
    <xf numFmtId="177" fontId="7" fillId="3" borderId="4" xfId="0" applyNumberFormat="1" applyFont="1" applyFill="1" applyBorder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left"/>
    </xf>
    <xf numFmtId="0" fontId="8" fillId="5" borderId="13" xfId="0" applyFont="1" applyFill="1" applyBorder="1" applyAlignment="1">
      <alignment horizontal="left"/>
    </xf>
    <xf numFmtId="179" fontId="8" fillId="5" borderId="4" xfId="0" applyNumberFormat="1" applyFont="1" applyFill="1" applyBorder="1" applyAlignment="1">
      <alignment horizontal="left"/>
    </xf>
    <xf numFmtId="179" fontId="8" fillId="5" borderId="2" xfId="0" applyNumberFormat="1" applyFont="1" applyFill="1" applyBorder="1" applyAlignment="1">
      <alignment horizontal="left"/>
    </xf>
    <xf numFmtId="177" fontId="8" fillId="5" borderId="1" xfId="0" applyNumberFormat="1" applyFont="1" applyFill="1" applyBorder="1" applyAlignment="1">
      <alignment horizontal="center"/>
    </xf>
    <xf numFmtId="16" fontId="7" fillId="5" borderId="2" xfId="0" applyNumberFormat="1" applyFont="1" applyFill="1" applyBorder="1" applyAlignment="1">
      <alignment horizontal="left"/>
    </xf>
    <xf numFmtId="177" fontId="8" fillId="5" borderId="1" xfId="0" applyNumberFormat="1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10" fillId="5" borderId="13" xfId="0" applyFont="1" applyFill="1" applyBorder="1" applyAlignment="1">
      <alignment horizontal="left"/>
    </xf>
    <xf numFmtId="179" fontId="10" fillId="5" borderId="4" xfId="0" applyNumberFormat="1" applyFont="1" applyFill="1" applyBorder="1" applyAlignment="1">
      <alignment horizontal="left"/>
    </xf>
    <xf numFmtId="179" fontId="10" fillId="5" borderId="2" xfId="0" applyNumberFormat="1" applyFont="1" applyFill="1" applyBorder="1" applyAlignment="1">
      <alignment horizontal="left"/>
    </xf>
    <xf numFmtId="177" fontId="10" fillId="5" borderId="4" xfId="0" applyNumberFormat="1" applyFont="1" applyFill="1" applyBorder="1" applyAlignment="1">
      <alignment horizontal="left"/>
    </xf>
    <xf numFmtId="177" fontId="10" fillId="5" borderId="1" xfId="0" applyNumberFormat="1" applyFont="1" applyFill="1" applyBorder="1" applyAlignment="1">
      <alignment horizontal="center"/>
    </xf>
    <xf numFmtId="177" fontId="10" fillId="5" borderId="1" xfId="0" applyNumberFormat="1" applyFont="1" applyFill="1" applyBorder="1" applyAlignment="1">
      <alignment horizontal="left"/>
    </xf>
    <xf numFmtId="0" fontId="8" fillId="5" borderId="4" xfId="0" applyFont="1" applyFill="1" applyBorder="1" applyAlignment="1">
      <alignment horizontal="left"/>
    </xf>
    <xf numFmtId="0" fontId="37" fillId="0" borderId="21" xfId="0" applyFont="1" applyBorder="1"/>
    <xf numFmtId="0" fontId="37" fillId="0" borderId="22" xfId="0" applyFont="1" applyBorder="1"/>
    <xf numFmtId="0" fontId="38" fillId="0" borderId="23" xfId="0" applyFont="1" applyBorder="1"/>
    <xf numFmtId="0" fontId="38" fillId="0" borderId="24" xfId="0" applyFont="1" applyBorder="1"/>
    <xf numFmtId="0" fontId="39" fillId="0" borderId="24" xfId="0" applyFont="1" applyBorder="1"/>
    <xf numFmtId="15" fontId="38" fillId="0" borderId="24" xfId="0" applyNumberFormat="1" applyFont="1" applyBorder="1"/>
    <xf numFmtId="0" fontId="7" fillId="3" borderId="5" xfId="0" applyFont="1" applyFill="1" applyBorder="1" applyAlignment="1">
      <alignment horizontal="left"/>
    </xf>
    <xf numFmtId="0" fontId="11" fillId="0" borderId="18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0" fillId="0" borderId="25" xfId="0" applyBorder="1"/>
    <xf numFmtId="0" fontId="26" fillId="20" borderId="6" xfId="0" applyFont="1" applyFill="1" applyBorder="1"/>
    <xf numFmtId="0" fontId="9" fillId="0" borderId="4" xfId="0" applyFont="1" applyBorder="1" applyAlignment="1">
      <alignment horizontal="left"/>
    </xf>
    <xf numFmtId="177" fontId="7" fillId="3" borderId="9" xfId="0" applyNumberFormat="1" applyFont="1" applyFill="1" applyBorder="1" applyAlignment="1">
      <alignment horizontal="left"/>
    </xf>
    <xf numFmtId="0" fontId="10" fillId="17" borderId="4" xfId="0" applyFont="1" applyFill="1" applyBorder="1"/>
    <xf numFmtId="0" fontId="7" fillId="17" borderId="19" xfId="0" applyFont="1" applyFill="1" applyBorder="1" applyAlignment="1">
      <alignment horizontal="left"/>
    </xf>
    <xf numFmtId="0" fontId="7" fillId="17" borderId="1" xfId="0" applyFont="1" applyFill="1" applyBorder="1" applyAlignment="1">
      <alignment horizontal="left" wrapText="1"/>
    </xf>
    <xf numFmtId="16" fontId="7" fillId="5" borderId="1" xfId="0" applyNumberFormat="1" applyFont="1" applyFill="1" applyBorder="1"/>
    <xf numFmtId="0" fontId="10" fillId="5" borderId="13" xfId="0" applyFont="1" applyFill="1" applyBorder="1"/>
    <xf numFmtId="0" fontId="7" fillId="5" borderId="19" xfId="0" applyFont="1" applyFill="1" applyBorder="1" applyAlignment="1">
      <alignment horizontal="left"/>
    </xf>
    <xf numFmtId="177" fontId="7" fillId="5" borderId="4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vertical="center" wrapText="1"/>
    </xf>
    <xf numFmtId="179" fontId="11" fillId="8" borderId="18" xfId="2863" applyNumberFormat="1" applyFont="1" applyFill="1" applyBorder="1" applyAlignment="1">
      <alignment horizontal="left" vertical="center" wrapText="1"/>
    </xf>
    <xf numFmtId="0" fontId="11" fillId="7" borderId="18" xfId="0" applyFont="1" applyFill="1" applyBorder="1" applyAlignment="1">
      <alignment horizontal="left" vertical="center" wrapText="1"/>
    </xf>
    <xf numFmtId="179" fontId="7" fillId="17" borderId="4" xfId="0" applyNumberFormat="1" applyFont="1" applyFill="1" applyBorder="1" applyAlignment="1">
      <alignment horizontal="right"/>
    </xf>
    <xf numFmtId="0" fontId="10" fillId="17" borderId="5" xfId="0" applyFont="1" applyFill="1" applyBorder="1"/>
    <xf numFmtId="179" fontId="7" fillId="5" borderId="4" xfId="0" applyNumberFormat="1" applyFont="1" applyFill="1" applyBorder="1" applyAlignment="1">
      <alignment horizontal="right"/>
    </xf>
    <xf numFmtId="178" fontId="8" fillId="17" borderId="1" xfId="0" applyNumberFormat="1" applyFont="1" applyFill="1" applyBorder="1" applyAlignment="1">
      <alignment horizontal="left"/>
    </xf>
    <xf numFmtId="179" fontId="11" fillId="8" borderId="1" xfId="2863" applyNumberFormat="1" applyFont="1" applyFill="1" applyBorder="1" applyAlignment="1">
      <alignment horizontal="left" vertical="center" wrapText="1"/>
    </xf>
    <xf numFmtId="0" fontId="48" fillId="2" borderId="4" xfId="0" applyFont="1" applyFill="1" applyBorder="1" applyAlignment="1">
      <alignment horizontal="left" vertical="center" wrapText="1"/>
    </xf>
    <xf numFmtId="0" fontId="48" fillId="0" borderId="4" xfId="0" applyFont="1" applyBorder="1" applyAlignment="1">
      <alignment horizontal="left" vertical="center" wrapText="1"/>
    </xf>
    <xf numFmtId="179" fontId="48" fillId="8" borderId="4" xfId="2863" applyNumberFormat="1" applyFont="1" applyFill="1" applyBorder="1" applyAlignment="1">
      <alignment horizontal="left" vertical="center" wrapText="1"/>
    </xf>
    <xf numFmtId="0" fontId="48" fillId="7" borderId="4" xfId="0" applyFont="1" applyFill="1" applyBorder="1" applyAlignment="1">
      <alignment horizontal="left" vertical="center" wrapText="1"/>
    </xf>
    <xf numFmtId="176" fontId="48" fillId="2" borderId="4" xfId="0" applyNumberFormat="1" applyFont="1" applyFill="1" applyBorder="1" applyAlignment="1">
      <alignment horizontal="left" vertical="center" wrapText="1"/>
    </xf>
    <xf numFmtId="0" fontId="48" fillId="9" borderId="4" xfId="0" applyFont="1" applyFill="1" applyBorder="1" applyAlignment="1">
      <alignment horizontal="left" vertical="center" wrapText="1"/>
    </xf>
    <xf numFmtId="178" fontId="48" fillId="8" borderId="4" xfId="0" applyNumberFormat="1" applyFont="1" applyFill="1" applyBorder="1" applyAlignment="1">
      <alignment horizontal="left" vertical="center" wrapText="1"/>
    </xf>
    <xf numFmtId="0" fontId="48" fillId="4" borderId="4" xfId="0" applyFont="1" applyFill="1" applyBorder="1" applyAlignment="1">
      <alignment horizontal="left" vertical="center" wrapText="1"/>
    </xf>
    <xf numFmtId="0" fontId="48" fillId="4" borderId="4" xfId="2863" applyNumberFormat="1" applyFont="1" applyFill="1" applyBorder="1" applyAlignment="1">
      <alignment horizontal="left" vertical="center" wrapText="1"/>
    </xf>
    <xf numFmtId="0" fontId="48" fillId="30" borderId="4" xfId="0" applyFont="1" applyFill="1" applyBorder="1" applyAlignment="1">
      <alignment horizontal="left" vertical="center" wrapText="1"/>
    </xf>
    <xf numFmtId="0" fontId="48" fillId="3" borderId="4" xfId="0" applyFont="1" applyFill="1" applyBorder="1" applyAlignment="1">
      <alignment horizontal="left" vertical="center" wrapText="1"/>
    </xf>
    <xf numFmtId="0" fontId="49" fillId="0" borderId="4" xfId="0" applyFont="1" applyBorder="1" applyAlignment="1">
      <alignment horizontal="left" vertical="center" wrapText="1"/>
    </xf>
    <xf numFmtId="0" fontId="49" fillId="0" borderId="4" xfId="0" applyFont="1" applyBorder="1" applyAlignment="1">
      <alignment horizontal="left" vertical="center"/>
    </xf>
    <xf numFmtId="0" fontId="49" fillId="3" borderId="4" xfId="0" applyFont="1" applyFill="1" applyBorder="1" applyAlignment="1">
      <alignment horizontal="left" vertical="center"/>
    </xf>
    <xf numFmtId="180" fontId="49" fillId="0" borderId="4" xfId="0" applyNumberFormat="1" applyFont="1" applyBorder="1" applyAlignment="1">
      <alignment horizontal="left" vertical="center"/>
    </xf>
    <xf numFmtId="176" fontId="49" fillId="0" borderId="4" xfId="0" applyNumberFormat="1" applyFont="1" applyBorder="1" applyAlignment="1">
      <alignment horizontal="left" vertical="center"/>
    </xf>
    <xf numFmtId="188" fontId="49" fillId="0" borderId="4" xfId="0" applyNumberFormat="1" applyFont="1" applyBorder="1" applyAlignment="1">
      <alignment horizontal="left" vertical="center"/>
    </xf>
    <xf numFmtId="184" fontId="49" fillId="0" borderId="4" xfId="0" applyNumberFormat="1" applyFont="1" applyBorder="1" applyAlignment="1">
      <alignment horizontal="left" vertical="center"/>
    </xf>
    <xf numFmtId="187" fontId="49" fillId="0" borderId="4" xfId="0" applyNumberFormat="1" applyFont="1" applyBorder="1" applyAlignment="1">
      <alignment horizontal="left" vertical="center"/>
    </xf>
    <xf numFmtId="178" fontId="49" fillId="0" borderId="4" xfId="0" applyNumberFormat="1" applyFont="1" applyBorder="1" applyAlignment="1">
      <alignment horizontal="left" vertical="center"/>
    </xf>
    <xf numFmtId="179" fontId="49" fillId="0" borderId="4" xfId="2863" applyNumberFormat="1" applyFont="1" applyFill="1" applyBorder="1" applyAlignment="1">
      <alignment horizontal="left" vertical="center"/>
    </xf>
    <xf numFmtId="0" fontId="46" fillId="3" borderId="4" xfId="0" applyFont="1" applyFill="1" applyBorder="1" applyAlignment="1">
      <alignment horizontal="left" vertical="center"/>
    </xf>
    <xf numFmtId="0" fontId="42" fillId="0" borderId="4" xfId="0" applyFont="1" applyBorder="1" applyAlignment="1">
      <alignment horizontal="left" vertical="center"/>
    </xf>
    <xf numFmtId="178" fontId="49" fillId="3" borderId="4" xfId="0" applyNumberFormat="1" applyFont="1" applyFill="1" applyBorder="1" applyAlignment="1">
      <alignment horizontal="left" vertical="center"/>
    </xf>
    <xf numFmtId="176" fontId="49" fillId="3" borderId="4" xfId="0" applyNumberFormat="1" applyFont="1" applyFill="1" applyBorder="1" applyAlignment="1">
      <alignment horizontal="left" vertical="center"/>
    </xf>
    <xf numFmtId="0" fontId="48" fillId="3" borderId="4" xfId="0" applyFont="1" applyFill="1" applyBorder="1" applyAlignment="1">
      <alignment horizontal="left" vertical="center"/>
    </xf>
    <xf numFmtId="188" fontId="49" fillId="3" borderId="4" xfId="2863" applyNumberFormat="1" applyFont="1" applyFill="1" applyBorder="1" applyAlignment="1">
      <alignment horizontal="left" vertical="center"/>
    </xf>
    <xf numFmtId="179" fontId="49" fillId="3" borderId="4" xfId="2863" applyNumberFormat="1" applyFont="1" applyFill="1" applyBorder="1" applyAlignment="1">
      <alignment horizontal="left" vertical="center"/>
    </xf>
    <xf numFmtId="0" fontId="46" fillId="9" borderId="4" xfId="0" applyFont="1" applyFill="1" applyBorder="1" applyAlignment="1">
      <alignment horizontal="left" vertical="center"/>
    </xf>
    <xf numFmtId="0" fontId="50" fillId="3" borderId="4" xfId="0" applyFont="1" applyFill="1" applyBorder="1" applyAlignment="1">
      <alignment horizontal="left" vertical="center"/>
    </xf>
    <xf numFmtId="188" fontId="49" fillId="3" borderId="4" xfId="0" applyNumberFormat="1" applyFont="1" applyFill="1" applyBorder="1" applyAlignment="1">
      <alignment horizontal="left" vertical="center"/>
    </xf>
    <xf numFmtId="0" fontId="46" fillId="2" borderId="4" xfId="0" applyFont="1" applyFill="1" applyBorder="1" applyAlignment="1">
      <alignment horizontal="left" vertical="center"/>
    </xf>
    <xf numFmtId="0" fontId="49" fillId="9" borderId="4" xfId="0" applyFont="1" applyFill="1" applyBorder="1" applyAlignment="1">
      <alignment horizontal="left" vertical="center"/>
    </xf>
    <xf numFmtId="180" fontId="49" fillId="9" borderId="4" xfId="0" applyNumberFormat="1" applyFont="1" applyFill="1" applyBorder="1" applyAlignment="1">
      <alignment horizontal="left" vertical="center"/>
    </xf>
    <xf numFmtId="176" fontId="49" fillId="9" borderId="4" xfId="0" applyNumberFormat="1" applyFont="1" applyFill="1" applyBorder="1" applyAlignment="1">
      <alignment horizontal="left" vertical="center"/>
    </xf>
    <xf numFmtId="188" fontId="49" fillId="9" borderId="4" xfId="0" applyNumberFormat="1" applyFont="1" applyFill="1" applyBorder="1" applyAlignment="1">
      <alignment horizontal="left" vertical="center"/>
    </xf>
    <xf numFmtId="184" fontId="49" fillId="9" borderId="4" xfId="0" applyNumberFormat="1" applyFont="1" applyFill="1" applyBorder="1" applyAlignment="1">
      <alignment horizontal="left" vertical="center"/>
    </xf>
    <xf numFmtId="178" fontId="49" fillId="9" borderId="4" xfId="0" applyNumberFormat="1" applyFont="1" applyFill="1" applyBorder="1" applyAlignment="1">
      <alignment horizontal="left" vertical="center"/>
    </xf>
    <xf numFmtId="179" fontId="49" fillId="9" borderId="4" xfId="2863" applyNumberFormat="1" applyFont="1" applyFill="1" applyBorder="1" applyAlignment="1">
      <alignment horizontal="left" vertical="center"/>
    </xf>
    <xf numFmtId="188" fontId="49" fillId="0" borderId="4" xfId="2863" applyNumberFormat="1" applyFont="1" applyBorder="1" applyAlignment="1">
      <alignment horizontal="left" vertical="center"/>
    </xf>
    <xf numFmtId="188" fontId="46" fillId="0" borderId="4" xfId="0" applyNumberFormat="1" applyFont="1" applyBorder="1" applyAlignment="1">
      <alignment horizontal="left" vertical="center"/>
    </xf>
    <xf numFmtId="0" fontId="50" fillId="0" borderId="4" xfId="0" applyFont="1" applyBorder="1" applyAlignment="1">
      <alignment horizontal="left" vertical="center"/>
    </xf>
    <xf numFmtId="0" fontId="49" fillId="24" borderId="4" xfId="0" applyFont="1" applyFill="1" applyBorder="1" applyAlignment="1">
      <alignment horizontal="left" vertical="center"/>
    </xf>
    <xf numFmtId="180" fontId="49" fillId="3" borderId="4" xfId="0" applyNumberFormat="1" applyFont="1" applyFill="1" applyBorder="1" applyAlignment="1">
      <alignment horizontal="left" vertical="center"/>
    </xf>
    <xf numFmtId="0" fontId="46" fillId="0" borderId="4" xfId="0" applyFont="1" applyBorder="1" applyAlignment="1">
      <alignment horizontal="left" vertical="center"/>
    </xf>
    <xf numFmtId="0" fontId="48" fillId="0" borderId="4" xfId="0" applyFont="1" applyBorder="1" applyAlignment="1">
      <alignment horizontal="left" vertical="center"/>
    </xf>
    <xf numFmtId="188" fontId="46" fillId="9" borderId="4" xfId="0" applyNumberFormat="1" applyFont="1" applyFill="1" applyBorder="1" applyAlignment="1">
      <alignment horizontal="left" vertical="center"/>
    </xf>
    <xf numFmtId="176" fontId="49" fillId="14" borderId="4" xfId="0" applyNumberFormat="1" applyFont="1" applyFill="1" applyBorder="1" applyAlignment="1">
      <alignment horizontal="left" vertical="center"/>
    </xf>
    <xf numFmtId="184" fontId="49" fillId="3" borderId="4" xfId="0" applyNumberFormat="1" applyFont="1" applyFill="1" applyBorder="1" applyAlignment="1">
      <alignment horizontal="left" vertical="center"/>
    </xf>
    <xf numFmtId="179" fontId="49" fillId="3" borderId="4" xfId="0" applyNumberFormat="1" applyFont="1" applyFill="1" applyBorder="1" applyAlignment="1">
      <alignment horizontal="left" vertical="center"/>
    </xf>
    <xf numFmtId="0" fontId="49" fillId="3" borderId="4" xfId="2866" applyNumberFormat="1" applyFont="1" applyFill="1" applyBorder="1" applyAlignment="1">
      <alignment horizontal="left" vertical="center"/>
    </xf>
    <xf numFmtId="178" fontId="50" fillId="3" borderId="4" xfId="0" applyNumberFormat="1" applyFont="1" applyFill="1" applyBorder="1" applyAlignment="1">
      <alignment horizontal="left" vertical="center"/>
    </xf>
    <xf numFmtId="0" fontId="50" fillId="9" borderId="4" xfId="0" applyFont="1" applyFill="1" applyBorder="1" applyAlignment="1">
      <alignment horizontal="left" vertical="center"/>
    </xf>
    <xf numFmtId="179" fontId="49" fillId="9" borderId="4" xfId="0" applyNumberFormat="1" applyFont="1" applyFill="1" applyBorder="1" applyAlignment="1">
      <alignment horizontal="left" vertical="center"/>
    </xf>
    <xf numFmtId="0" fontId="49" fillId="11" borderId="4" xfId="0" applyFont="1" applyFill="1" applyBorder="1" applyAlignment="1">
      <alignment horizontal="left" vertical="center"/>
    </xf>
    <xf numFmtId="180" fontId="49" fillId="11" borderId="4" xfId="0" applyNumberFormat="1" applyFont="1" applyFill="1" applyBorder="1" applyAlignment="1">
      <alignment horizontal="left" vertical="center"/>
    </xf>
    <xf numFmtId="0" fontId="51" fillId="3" borderId="4" xfId="0" applyFont="1" applyFill="1" applyBorder="1" applyAlignment="1">
      <alignment horizontal="left" vertical="center"/>
    </xf>
    <xf numFmtId="0" fontId="49" fillId="6" borderId="4" xfId="0" applyFont="1" applyFill="1" applyBorder="1" applyAlignment="1">
      <alignment horizontal="left" vertical="center"/>
    </xf>
    <xf numFmtId="180" fontId="49" fillId="6" borderId="4" xfId="0" applyNumberFormat="1" applyFont="1" applyFill="1" applyBorder="1" applyAlignment="1">
      <alignment horizontal="left" vertical="center"/>
    </xf>
    <xf numFmtId="0" fontId="49" fillId="19" borderId="4" xfId="0" applyFont="1" applyFill="1" applyBorder="1" applyAlignment="1">
      <alignment horizontal="left" vertical="center"/>
    </xf>
    <xf numFmtId="0" fontId="52" fillId="3" borderId="4" xfId="0" applyFont="1" applyFill="1" applyBorder="1" applyAlignment="1">
      <alignment horizontal="left" vertical="center"/>
    </xf>
    <xf numFmtId="0" fontId="53" fillId="3" borderId="4" xfId="0" applyFont="1" applyFill="1" applyBorder="1" applyAlignment="1">
      <alignment horizontal="left" vertical="center"/>
    </xf>
    <xf numFmtId="0" fontId="54" fillId="3" borderId="4" xfId="0" applyFont="1" applyFill="1" applyBorder="1" applyAlignment="1">
      <alignment horizontal="left" vertical="center"/>
    </xf>
    <xf numFmtId="0" fontId="44" fillId="3" borderId="4" xfId="0" applyFont="1" applyFill="1" applyBorder="1" applyAlignment="1">
      <alignment horizontal="left" vertical="center"/>
    </xf>
    <xf numFmtId="0" fontId="49" fillId="3" borderId="4" xfId="0" quotePrefix="1" applyFont="1" applyFill="1" applyBorder="1" applyAlignment="1">
      <alignment horizontal="left" vertical="center"/>
    </xf>
    <xf numFmtId="188" fontId="49" fillId="9" borderId="4" xfId="2863" applyNumberFormat="1" applyFont="1" applyFill="1" applyBorder="1" applyAlignment="1">
      <alignment horizontal="left" vertical="center"/>
    </xf>
    <xf numFmtId="0" fontId="51" fillId="0" borderId="4" xfId="0" applyFont="1" applyBorder="1" applyAlignment="1">
      <alignment horizontal="left" vertical="center"/>
    </xf>
    <xf numFmtId="179" fontId="49" fillId="0" borderId="4" xfId="0" applyNumberFormat="1" applyFont="1" applyBorder="1" applyAlignment="1">
      <alignment horizontal="left" vertical="center"/>
    </xf>
    <xf numFmtId="0" fontId="49" fillId="0" borderId="4" xfId="2863" applyNumberFormat="1" applyFont="1" applyBorder="1" applyAlignment="1">
      <alignment horizontal="left" vertical="center"/>
    </xf>
    <xf numFmtId="187" fontId="42" fillId="0" borderId="4" xfId="0" applyNumberFormat="1" applyFont="1" applyBorder="1" applyAlignment="1">
      <alignment horizontal="left" vertical="center"/>
    </xf>
    <xf numFmtId="0" fontId="0" fillId="0" borderId="0" xfId="0" applyAlignment="1">
      <alignment horizontal="left" indent="1"/>
    </xf>
    <xf numFmtId="0" fontId="49" fillId="39" borderId="4" xfId="0" applyFont="1" applyFill="1" applyBorder="1" applyAlignment="1">
      <alignment horizontal="left" vertical="center"/>
    </xf>
    <xf numFmtId="179" fontId="7" fillId="9" borderId="4" xfId="0" applyNumberFormat="1" applyFont="1" applyFill="1" applyBorder="1" applyAlignment="1">
      <alignment horizontal="left"/>
    </xf>
    <xf numFmtId="177" fontId="7" fillId="9" borderId="1" xfId="0" applyNumberFormat="1" applyFont="1" applyFill="1" applyBorder="1" applyAlignment="1">
      <alignment horizontal="left"/>
    </xf>
    <xf numFmtId="179" fontId="7" fillId="9" borderId="1" xfId="0" applyNumberFormat="1" applyFont="1" applyFill="1" applyBorder="1" applyAlignment="1">
      <alignment horizontal="left"/>
    </xf>
    <xf numFmtId="179" fontId="0" fillId="0" borderId="0" xfId="0" applyNumberFormat="1"/>
    <xf numFmtId="0" fontId="7" fillId="9" borderId="13" xfId="0" applyFont="1" applyFill="1" applyBorder="1" applyAlignment="1">
      <alignment horizontal="left"/>
    </xf>
    <xf numFmtId="179" fontId="7" fillId="9" borderId="2" xfId="0" applyNumberFormat="1" applyFont="1" applyFill="1" applyBorder="1" applyAlignment="1">
      <alignment horizontal="left"/>
    </xf>
    <xf numFmtId="0" fontId="47" fillId="31" borderId="4" xfId="0" applyFont="1" applyFill="1" applyBorder="1" applyAlignment="1">
      <alignment horizontal="left" vertical="center" wrapText="1"/>
    </xf>
    <xf numFmtId="0" fontId="47" fillId="35" borderId="4" xfId="0" applyFont="1" applyFill="1" applyBorder="1" applyAlignment="1">
      <alignment horizontal="left" vertical="center" wrapText="1"/>
    </xf>
    <xf numFmtId="0" fontId="41" fillId="32" borderId="4" xfId="0" applyFont="1" applyFill="1" applyBorder="1" applyAlignment="1">
      <alignment horizontal="left" vertical="center" wrapText="1"/>
    </xf>
    <xf numFmtId="0" fontId="41" fillId="33" borderId="4" xfId="0" applyFont="1" applyFill="1" applyBorder="1" applyAlignment="1">
      <alignment horizontal="left" vertical="center" wrapText="1"/>
    </xf>
    <xf numFmtId="0" fontId="57" fillId="34" borderId="4" xfId="0" applyFont="1" applyFill="1" applyBorder="1" applyAlignment="1">
      <alignment horizontal="left" vertical="center" wrapText="1"/>
    </xf>
    <xf numFmtId="0" fontId="47" fillId="0" borderId="0" xfId="0" applyFont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0" fontId="44" fillId="0" borderId="4" xfId="0" applyFont="1" applyBorder="1" applyAlignment="1">
      <alignment horizontal="left" vertical="center" wrapText="1"/>
    </xf>
    <xf numFmtId="1" fontId="44" fillId="0" borderId="4" xfId="2863" applyNumberFormat="1" applyFont="1" applyBorder="1" applyAlignment="1">
      <alignment horizontal="left" vertical="center" wrapText="1"/>
    </xf>
    <xf numFmtId="1" fontId="58" fillId="35" borderId="4" xfId="0" applyNumberFormat="1" applyFont="1" applyFill="1" applyBorder="1" applyAlignment="1">
      <alignment horizontal="left" vertical="center" wrapText="1"/>
    </xf>
    <xf numFmtId="0" fontId="44" fillId="0" borderId="0" xfId="0" applyFont="1" applyAlignment="1">
      <alignment horizontal="left" vertical="center" wrapText="1"/>
    </xf>
    <xf numFmtId="0" fontId="42" fillId="0" borderId="0" xfId="0" applyFont="1" applyAlignment="1">
      <alignment horizontal="left" vertical="center" wrapText="1"/>
    </xf>
    <xf numFmtId="1" fontId="44" fillId="0" borderId="4" xfId="0" applyNumberFormat="1" applyFont="1" applyBorder="1" applyAlignment="1">
      <alignment horizontal="left" vertical="center" wrapText="1"/>
    </xf>
    <xf numFmtId="0" fontId="44" fillId="36" borderId="4" xfId="0" applyFont="1" applyFill="1" applyBorder="1" applyAlignment="1">
      <alignment horizontal="left" vertical="center" wrapText="1"/>
    </xf>
    <xf numFmtId="1" fontId="44" fillId="36" borderId="4" xfId="0" applyNumberFormat="1" applyFont="1" applyFill="1" applyBorder="1" applyAlignment="1">
      <alignment horizontal="left" vertical="center" wrapText="1"/>
    </xf>
    <xf numFmtId="1" fontId="58" fillId="32" borderId="4" xfId="0" applyNumberFormat="1" applyFont="1" applyFill="1" applyBorder="1" applyAlignment="1">
      <alignment horizontal="left" vertical="center" wrapText="1"/>
    </xf>
    <xf numFmtId="1" fontId="43" fillId="36" borderId="4" xfId="0" applyNumberFormat="1" applyFont="1" applyFill="1" applyBorder="1" applyAlignment="1">
      <alignment horizontal="left" vertical="center" wrapText="1"/>
    </xf>
    <xf numFmtId="1" fontId="58" fillId="36" borderId="4" xfId="0" applyNumberFormat="1" applyFont="1" applyFill="1" applyBorder="1" applyAlignment="1">
      <alignment horizontal="left" vertical="center" wrapText="1"/>
    </xf>
    <xf numFmtId="0" fontId="44" fillId="34" borderId="4" xfId="0" applyFont="1" applyFill="1" applyBorder="1" applyAlignment="1">
      <alignment horizontal="left" vertical="center" wrapText="1"/>
    </xf>
    <xf numFmtId="1" fontId="44" fillId="34" borderId="4" xfId="0" applyNumberFormat="1" applyFont="1" applyFill="1" applyBorder="1" applyAlignment="1">
      <alignment horizontal="left" vertical="center" wrapText="1"/>
    </xf>
    <xf numFmtId="0" fontId="44" fillId="40" borderId="4" xfId="0" applyFont="1" applyFill="1" applyBorder="1" applyAlignment="1">
      <alignment horizontal="left" vertical="center" wrapText="1"/>
    </xf>
    <xf numFmtId="0" fontId="44" fillId="34" borderId="26" xfId="0" applyFont="1" applyFill="1" applyBorder="1" applyAlignment="1">
      <alignment horizontal="left" vertical="center" wrapText="1"/>
    </xf>
    <xf numFmtId="1" fontId="44" fillId="35" borderId="4" xfId="0" applyNumberFormat="1" applyFont="1" applyFill="1" applyBorder="1" applyAlignment="1">
      <alignment horizontal="left" vertical="center" wrapText="1"/>
    </xf>
    <xf numFmtId="1" fontId="47" fillId="31" borderId="4" xfId="0" applyNumberFormat="1" applyFont="1" applyFill="1" applyBorder="1" applyAlignment="1">
      <alignment horizontal="left" vertical="center" wrapText="1"/>
    </xf>
    <xf numFmtId="0" fontId="47" fillId="0" borderId="4" xfId="0" applyFont="1" applyBorder="1" applyAlignment="1">
      <alignment horizontal="left" vertical="center" wrapText="1"/>
    </xf>
    <xf numFmtId="0" fontId="47" fillId="34" borderId="4" xfId="0" applyFont="1" applyFill="1" applyBorder="1" applyAlignment="1">
      <alignment horizontal="left" vertical="center" wrapText="1"/>
    </xf>
    <xf numFmtId="1" fontId="47" fillId="0" borderId="4" xfId="2863" applyNumberFormat="1" applyFont="1" applyBorder="1" applyAlignment="1">
      <alignment horizontal="left" vertical="center" wrapText="1"/>
    </xf>
    <xf numFmtId="1" fontId="47" fillId="34" borderId="4" xfId="0" applyNumberFormat="1" applyFont="1" applyFill="1" applyBorder="1" applyAlignment="1">
      <alignment horizontal="left" vertical="center" wrapText="1"/>
    </xf>
    <xf numFmtId="1" fontId="44" fillId="9" borderId="4" xfId="2863" applyNumberFormat="1" applyFont="1" applyFill="1" applyBorder="1" applyAlignment="1">
      <alignment horizontal="left" vertical="center" wrapText="1"/>
    </xf>
    <xf numFmtId="0" fontId="49" fillId="41" borderId="4" xfId="0" applyFont="1" applyFill="1" applyBorder="1" applyAlignment="1">
      <alignment horizontal="left" vertical="center"/>
    </xf>
    <xf numFmtId="178" fontId="49" fillId="41" borderId="4" xfId="0" applyNumberFormat="1" applyFont="1" applyFill="1" applyBorder="1" applyAlignment="1">
      <alignment horizontal="left" vertical="center"/>
    </xf>
    <xf numFmtId="179" fontId="49" fillId="41" borderId="4" xfId="2863" applyNumberFormat="1" applyFont="1" applyFill="1" applyBorder="1" applyAlignment="1">
      <alignment horizontal="left" vertical="center"/>
    </xf>
    <xf numFmtId="0" fontId="46" fillId="41" borderId="4" xfId="0" applyFont="1" applyFill="1" applyBorder="1" applyAlignment="1">
      <alignment horizontal="left" vertical="center"/>
    </xf>
    <xf numFmtId="178" fontId="7" fillId="9" borderId="4" xfId="0" applyNumberFormat="1" applyFont="1" applyFill="1" applyBorder="1" applyAlignment="1">
      <alignment horizontal="left"/>
    </xf>
    <xf numFmtId="177" fontId="7" fillId="9" borderId="4" xfId="0" applyNumberFormat="1" applyFont="1" applyFill="1" applyBorder="1" applyAlignment="1">
      <alignment horizontal="center"/>
    </xf>
    <xf numFmtId="0" fontId="10" fillId="9" borderId="1" xfId="0" applyFont="1" applyFill="1" applyBorder="1" applyAlignment="1">
      <alignment horizontal="left"/>
    </xf>
    <xf numFmtId="0" fontId="8" fillId="17" borderId="4" xfId="0" applyFont="1" applyFill="1" applyBorder="1" applyAlignment="1">
      <alignment horizontal="left"/>
    </xf>
    <xf numFmtId="0" fontId="8" fillId="17" borderId="13" xfId="0" applyFont="1" applyFill="1" applyBorder="1" applyAlignment="1">
      <alignment horizontal="left"/>
    </xf>
    <xf numFmtId="1" fontId="44" fillId="0" borderId="0" xfId="0" applyNumberFormat="1" applyFont="1" applyAlignment="1">
      <alignment horizontal="left" vertical="center" wrapText="1"/>
    </xf>
    <xf numFmtId="0" fontId="7" fillId="9" borderId="13" xfId="0" applyFont="1" applyFill="1" applyBorder="1" applyAlignment="1">
      <alignment horizontal="left" vertical="center"/>
    </xf>
    <xf numFmtId="0" fontId="8" fillId="17" borderId="2" xfId="0" applyFont="1" applyFill="1" applyBorder="1" applyAlignment="1">
      <alignment horizontal="left"/>
    </xf>
    <xf numFmtId="0" fontId="53" fillId="9" borderId="4" xfId="0" applyFont="1" applyFill="1" applyBorder="1" applyAlignment="1">
      <alignment horizontal="left" vertical="center"/>
    </xf>
    <xf numFmtId="0" fontId="52" fillId="9" borderId="4" xfId="0" applyFont="1" applyFill="1" applyBorder="1" applyAlignment="1">
      <alignment horizontal="left" vertical="center"/>
    </xf>
    <xf numFmtId="179" fontId="8" fillId="17" borderId="4" xfId="0" applyNumberFormat="1" applyFont="1" applyFill="1" applyBorder="1" applyAlignment="1">
      <alignment horizontal="left"/>
    </xf>
    <xf numFmtId="0" fontId="59" fillId="37" borderId="0" xfId="0" applyFont="1" applyFill="1" applyAlignment="1">
      <alignment horizontal="left"/>
    </xf>
    <xf numFmtId="0" fontId="8" fillId="17" borderId="1" xfId="0" applyFont="1" applyFill="1" applyBorder="1" applyAlignment="1">
      <alignment horizontal="left"/>
    </xf>
    <xf numFmtId="0" fontId="48" fillId="8" borderId="4" xfId="2863" applyNumberFormat="1" applyFont="1" applyFill="1" applyBorder="1" applyAlignment="1">
      <alignment horizontal="left" vertical="center" wrapText="1"/>
    </xf>
    <xf numFmtId="178" fontId="50" fillId="0" borderId="4" xfId="0" applyNumberFormat="1" applyFont="1" applyBorder="1" applyAlignment="1">
      <alignment horizontal="left" vertical="center"/>
    </xf>
    <xf numFmtId="188" fontId="49" fillId="0" borderId="4" xfId="2863" applyNumberFormat="1" applyFont="1" applyFill="1" applyBorder="1" applyAlignment="1">
      <alignment horizontal="left" vertical="center"/>
    </xf>
    <xf numFmtId="16" fontId="49" fillId="0" borderId="4" xfId="0" applyNumberFormat="1" applyFont="1" applyBorder="1" applyAlignment="1">
      <alignment horizontal="left" vertical="center"/>
    </xf>
    <xf numFmtId="0" fontId="7" fillId="26" borderId="4" xfId="0" applyFont="1" applyFill="1" applyBorder="1" applyAlignment="1">
      <alignment horizontal="left"/>
    </xf>
    <xf numFmtId="0" fontId="7" fillId="26" borderId="19" xfId="0" applyFont="1" applyFill="1" applyBorder="1" applyAlignment="1">
      <alignment horizontal="left"/>
    </xf>
    <xf numFmtId="0" fontId="7" fillId="26" borderId="1" xfId="0" applyFont="1" applyFill="1" applyBorder="1" applyAlignment="1">
      <alignment horizontal="left"/>
    </xf>
    <xf numFmtId="0" fontId="7" fillId="26" borderId="9" xfId="0" applyFont="1" applyFill="1" applyBorder="1" applyAlignment="1">
      <alignment horizontal="left"/>
    </xf>
    <xf numFmtId="0" fontId="7" fillId="26" borderId="4" xfId="0" applyFont="1" applyFill="1" applyBorder="1" applyAlignment="1">
      <alignment horizontal="left" vertical="center"/>
    </xf>
    <xf numFmtId="0" fontId="7" fillId="26" borderId="1" xfId="0" applyFont="1" applyFill="1" applyBorder="1" applyAlignment="1">
      <alignment horizontal="center"/>
    </xf>
    <xf numFmtId="179" fontId="7" fillId="26" borderId="4" xfId="0" applyNumberFormat="1" applyFont="1" applyFill="1" applyBorder="1" applyAlignment="1">
      <alignment horizontal="left"/>
    </xf>
    <xf numFmtId="179" fontId="7" fillId="26" borderId="16" xfId="0" applyNumberFormat="1" applyFont="1" applyFill="1" applyBorder="1" applyAlignment="1">
      <alignment horizontal="left"/>
    </xf>
    <xf numFmtId="177" fontId="7" fillId="26" borderId="4" xfId="0" applyNumberFormat="1" applyFont="1" applyFill="1" applyBorder="1" applyAlignment="1">
      <alignment horizontal="left"/>
    </xf>
    <xf numFmtId="0" fontId="7" fillId="26" borderId="16" xfId="0" applyFont="1" applyFill="1" applyBorder="1" applyAlignment="1">
      <alignment horizontal="left"/>
    </xf>
    <xf numFmtId="178" fontId="7" fillId="26" borderId="4" xfId="0" applyNumberFormat="1" applyFont="1" applyFill="1" applyBorder="1" applyAlignment="1">
      <alignment horizontal="left"/>
    </xf>
    <xf numFmtId="0" fontId="7" fillId="26" borderId="13" xfId="0" applyFont="1" applyFill="1" applyBorder="1" applyAlignment="1">
      <alignment horizontal="left"/>
    </xf>
    <xf numFmtId="178" fontId="7" fillId="26" borderId="1" xfId="0" applyNumberFormat="1" applyFont="1" applyFill="1" applyBorder="1" applyAlignment="1">
      <alignment horizontal="left"/>
    </xf>
    <xf numFmtId="0" fontId="7" fillId="26" borderId="0" xfId="0" applyFont="1" applyFill="1" applyAlignment="1">
      <alignment horizontal="left"/>
    </xf>
    <xf numFmtId="0" fontId="7" fillId="26" borderId="2" xfId="0" applyFont="1" applyFill="1" applyBorder="1" applyAlignment="1">
      <alignment horizontal="left"/>
    </xf>
    <xf numFmtId="0" fontId="7" fillId="26" borderId="13" xfId="0" applyFont="1" applyFill="1" applyBorder="1" applyAlignment="1">
      <alignment horizontal="left" vertical="center"/>
    </xf>
    <xf numFmtId="179" fontId="7" fillId="26" borderId="2" xfId="0" applyNumberFormat="1" applyFont="1" applyFill="1" applyBorder="1" applyAlignment="1">
      <alignment horizontal="left"/>
    </xf>
    <xf numFmtId="177" fontId="7" fillId="26" borderId="9" xfId="0" applyNumberFormat="1" applyFont="1" applyFill="1" applyBorder="1" applyAlignment="1">
      <alignment horizontal="left"/>
    </xf>
    <xf numFmtId="177" fontId="7" fillId="26" borderId="4" xfId="0" applyNumberFormat="1" applyFont="1" applyFill="1" applyBorder="1" applyAlignment="1">
      <alignment horizontal="center"/>
    </xf>
    <xf numFmtId="0" fontId="7" fillId="26" borderId="5" xfId="0" applyFont="1" applyFill="1" applyBorder="1" applyAlignment="1">
      <alignment horizontal="left"/>
    </xf>
    <xf numFmtId="0" fontId="7" fillId="26" borderId="4" xfId="0" applyFont="1" applyFill="1" applyBorder="1"/>
    <xf numFmtId="178" fontId="7" fillId="26" borderId="2" xfId="0" applyNumberFormat="1" applyFont="1" applyFill="1" applyBorder="1" applyAlignment="1">
      <alignment horizontal="left"/>
    </xf>
    <xf numFmtId="179" fontId="7" fillId="26" borderId="1" xfId="0" applyNumberFormat="1" applyFont="1" applyFill="1" applyBorder="1" applyAlignment="1">
      <alignment horizontal="left"/>
    </xf>
    <xf numFmtId="0" fontId="36" fillId="26" borderId="4" xfId="0" applyFont="1" applyFill="1" applyBorder="1" applyAlignment="1">
      <alignment horizontal="left"/>
    </xf>
    <xf numFmtId="0" fontId="8" fillId="26" borderId="4" xfId="0" applyFont="1" applyFill="1" applyBorder="1" applyAlignment="1">
      <alignment horizontal="left"/>
    </xf>
    <xf numFmtId="0" fontId="7" fillId="26" borderId="28" xfId="0" applyFont="1" applyFill="1" applyBorder="1"/>
    <xf numFmtId="179" fontId="7" fillId="26" borderId="9" xfId="0" applyNumberFormat="1" applyFont="1" applyFill="1" applyBorder="1" applyAlignment="1">
      <alignment horizontal="left"/>
    </xf>
    <xf numFmtId="177" fontId="7" fillId="26" borderId="1" xfId="0" applyNumberFormat="1" applyFont="1" applyFill="1" applyBorder="1" applyAlignment="1">
      <alignment horizontal="left"/>
    </xf>
    <xf numFmtId="0" fontId="8" fillId="26" borderId="1" xfId="0" applyFont="1" applyFill="1" applyBorder="1" applyAlignment="1">
      <alignment horizontal="left"/>
    </xf>
    <xf numFmtId="177" fontId="7" fillId="26" borderId="0" xfId="0" applyNumberFormat="1" applyFont="1" applyFill="1" applyAlignment="1">
      <alignment horizontal="center"/>
    </xf>
    <xf numFmtId="177" fontId="7" fillId="26" borderId="1" xfId="0" applyNumberFormat="1" applyFont="1" applyFill="1" applyBorder="1" applyAlignment="1">
      <alignment horizontal="center"/>
    </xf>
    <xf numFmtId="0" fontId="7" fillId="26" borderId="3" xfId="0" applyFont="1" applyFill="1" applyBorder="1"/>
    <xf numFmtId="0" fontId="7" fillId="26" borderId="1" xfId="0" applyFont="1" applyFill="1" applyBorder="1"/>
    <xf numFmtId="0" fontId="7" fillId="26" borderId="2" xfId="0" applyFont="1" applyFill="1" applyBorder="1"/>
    <xf numFmtId="177" fontId="7" fillId="26" borderId="3" xfId="0" applyNumberFormat="1" applyFont="1" applyFill="1" applyBorder="1" applyAlignment="1">
      <alignment horizontal="left"/>
    </xf>
    <xf numFmtId="177" fontId="7" fillId="26" borderId="3" xfId="0" applyNumberFormat="1" applyFont="1" applyFill="1" applyBorder="1" applyAlignment="1">
      <alignment horizontal="center"/>
    </xf>
    <xf numFmtId="0" fontId="7" fillId="26" borderId="3" xfId="0" applyFont="1" applyFill="1" applyBorder="1" applyAlignment="1">
      <alignment horizontal="left"/>
    </xf>
    <xf numFmtId="178" fontId="48" fillId="8" borderId="4" xfId="2863" applyNumberFormat="1" applyFont="1" applyFill="1" applyBorder="1" applyAlignment="1">
      <alignment horizontal="left" vertical="center" wrapText="1"/>
    </xf>
    <xf numFmtId="178" fontId="48" fillId="3" borderId="4" xfId="2863" applyNumberFormat="1" applyFont="1" applyFill="1" applyBorder="1" applyAlignment="1">
      <alignment horizontal="left" vertical="center" wrapText="1"/>
    </xf>
    <xf numFmtId="178" fontId="49" fillId="39" borderId="4" xfId="0" applyNumberFormat="1" applyFont="1" applyFill="1" applyBorder="1" applyAlignment="1">
      <alignment horizontal="left" vertical="center"/>
    </xf>
    <xf numFmtId="178" fontId="49" fillId="3" borderId="4" xfId="2863" applyNumberFormat="1" applyFont="1" applyFill="1" applyBorder="1" applyAlignment="1">
      <alignment horizontal="left" vertical="center"/>
    </xf>
    <xf numFmtId="178" fontId="49" fillId="9" borderId="4" xfId="2863" applyNumberFormat="1" applyFont="1" applyFill="1" applyBorder="1" applyAlignment="1">
      <alignment horizontal="left" vertical="center"/>
    </xf>
    <xf numFmtId="178" fontId="49" fillId="0" borderId="4" xfId="2863" applyNumberFormat="1" applyFont="1" applyFill="1" applyBorder="1" applyAlignment="1">
      <alignment horizontal="left" vertical="center"/>
    </xf>
    <xf numFmtId="178" fontId="42" fillId="0" borderId="4" xfId="0" applyNumberFormat="1" applyFont="1" applyBorder="1" applyAlignment="1">
      <alignment horizontal="left" vertical="center"/>
    </xf>
    <xf numFmtId="178" fontId="8" fillId="26" borderId="1" xfId="0" applyNumberFormat="1" applyFont="1" applyFill="1" applyBorder="1" applyAlignment="1">
      <alignment horizontal="left"/>
    </xf>
    <xf numFmtId="0" fontId="10" fillId="17" borderId="4" xfId="0" applyFont="1" applyFill="1" applyBorder="1" applyAlignment="1">
      <alignment horizontal="left"/>
    </xf>
    <xf numFmtId="178" fontId="7" fillId="17" borderId="9" xfId="0" applyNumberFormat="1" applyFont="1" applyFill="1" applyBorder="1" applyAlignment="1">
      <alignment horizontal="left"/>
    </xf>
    <xf numFmtId="178" fontId="7" fillId="17" borderId="2" xfId="0" applyNumberFormat="1" applyFont="1" applyFill="1" applyBorder="1" applyAlignment="1">
      <alignment horizontal="left"/>
    </xf>
    <xf numFmtId="178" fontId="7" fillId="17" borderId="3" xfId="0" applyNumberFormat="1" applyFont="1" applyFill="1" applyBorder="1" applyAlignment="1">
      <alignment horizontal="left"/>
    </xf>
    <xf numFmtId="179" fontId="7" fillId="3" borderId="4" xfId="2863" applyNumberFormat="1" applyFont="1" applyFill="1" applyBorder="1" applyAlignment="1">
      <alignment horizontal="left"/>
    </xf>
    <xf numFmtId="177" fontId="7" fillId="3" borderId="2" xfId="0" applyNumberFormat="1" applyFont="1" applyFill="1" applyBorder="1" applyAlignment="1">
      <alignment horizontal="center"/>
    </xf>
    <xf numFmtId="179" fontId="7" fillId="3" borderId="19" xfId="0" applyNumberFormat="1" applyFont="1" applyFill="1" applyBorder="1" applyAlignment="1">
      <alignment horizontal="left"/>
    </xf>
    <xf numFmtId="177" fontId="7" fillId="3" borderId="13" xfId="0" applyNumberFormat="1" applyFont="1" applyFill="1" applyBorder="1" applyAlignment="1">
      <alignment horizontal="left"/>
    </xf>
    <xf numFmtId="179" fontId="7" fillId="3" borderId="20" xfId="0" applyNumberFormat="1" applyFont="1" applyFill="1" applyBorder="1" applyAlignment="1">
      <alignment horizontal="left"/>
    </xf>
    <xf numFmtId="0" fontId="9" fillId="3" borderId="2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 vertical="center"/>
    </xf>
    <xf numFmtId="179" fontId="9" fillId="3" borderId="4" xfId="0" applyNumberFormat="1" applyFont="1" applyFill="1" applyBorder="1" applyAlignment="1">
      <alignment horizontal="left"/>
    </xf>
    <xf numFmtId="179" fontId="9" fillId="3" borderId="2" xfId="0" applyNumberFormat="1" applyFont="1" applyFill="1" applyBorder="1" applyAlignment="1">
      <alignment horizontal="left"/>
    </xf>
    <xf numFmtId="179" fontId="9" fillId="3" borderId="1" xfId="0" applyNumberFormat="1" applyFont="1" applyFill="1" applyBorder="1" applyAlignment="1">
      <alignment horizontal="left"/>
    </xf>
    <xf numFmtId="179" fontId="7" fillId="3" borderId="16" xfId="0" applyNumberFormat="1" applyFont="1" applyFill="1" applyBorder="1" applyAlignment="1">
      <alignment horizontal="left" vertical="center"/>
    </xf>
    <xf numFmtId="179" fontId="7" fillId="3" borderId="20" xfId="0" applyNumberFormat="1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49" fillId="0" borderId="9" xfId="0" applyFont="1" applyBorder="1" applyAlignment="1">
      <alignment horizontal="left" vertical="center"/>
    </xf>
    <xf numFmtId="0" fontId="55" fillId="0" borderId="4" xfId="0" applyFont="1" applyBorder="1" applyAlignment="1">
      <alignment horizontal="left" vertical="center" wrapText="1"/>
    </xf>
    <xf numFmtId="177" fontId="7" fillId="28" borderId="4" xfId="0" applyNumberFormat="1" applyFont="1" applyFill="1" applyBorder="1" applyAlignment="1">
      <alignment horizontal="center"/>
    </xf>
    <xf numFmtId="0" fontId="59" fillId="28" borderId="0" xfId="0" applyFont="1" applyFill="1" applyAlignment="1">
      <alignment horizontal="left"/>
    </xf>
    <xf numFmtId="0" fontId="53" fillId="0" borderId="4" xfId="0" applyFont="1" applyBorder="1" applyAlignment="1">
      <alignment horizontal="left" vertical="center"/>
    </xf>
    <xf numFmtId="179" fontId="49" fillId="0" borderId="4" xfId="2863" applyNumberFormat="1" applyFont="1" applyFill="1" applyBorder="1" applyAlignment="1">
      <alignment vertical="center"/>
    </xf>
    <xf numFmtId="0" fontId="7" fillId="28" borderId="1" xfId="0" applyFont="1" applyFill="1" applyBorder="1" applyAlignment="1">
      <alignment horizontal="right"/>
    </xf>
    <xf numFmtId="179" fontId="49" fillId="0" borderId="4" xfId="2863" applyNumberFormat="1" applyFont="1" applyBorder="1" applyAlignment="1">
      <alignment horizontal="left" vertical="center"/>
    </xf>
    <xf numFmtId="178" fontId="49" fillId="0" borderId="4" xfId="2863" applyNumberFormat="1" applyFont="1" applyBorder="1" applyAlignment="1">
      <alignment horizontal="left" vertical="center"/>
    </xf>
    <xf numFmtId="0" fontId="49" fillId="3" borderId="13" xfId="0" applyFont="1" applyFill="1" applyBorder="1" applyAlignment="1">
      <alignment horizontal="left" vertical="center"/>
    </xf>
    <xf numFmtId="176" fontId="49" fillId="3" borderId="13" xfId="0" applyNumberFormat="1" applyFont="1" applyFill="1" applyBorder="1" applyAlignment="1">
      <alignment horizontal="left" vertical="center"/>
    </xf>
    <xf numFmtId="179" fontId="50" fillId="0" borderId="4" xfId="0" applyNumberFormat="1" applyFont="1" applyBorder="1" applyAlignment="1">
      <alignment horizontal="left" vertical="center"/>
    </xf>
    <xf numFmtId="0" fontId="49" fillId="3" borderId="9" xfId="0" applyFont="1" applyFill="1" applyBorder="1" applyAlignment="1">
      <alignment horizontal="left" vertical="center"/>
    </xf>
    <xf numFmtId="0" fontId="49" fillId="0" borderId="13" xfId="0" applyFont="1" applyBorder="1" applyAlignment="1">
      <alignment horizontal="left" vertical="center"/>
    </xf>
    <xf numFmtId="188" fontId="49" fillId="3" borderId="13" xfId="0" applyNumberFormat="1" applyFont="1" applyFill="1" applyBorder="1" applyAlignment="1">
      <alignment horizontal="left" vertical="center"/>
    </xf>
    <xf numFmtId="184" fontId="49" fillId="3" borderId="13" xfId="0" applyNumberFormat="1" applyFont="1" applyFill="1" applyBorder="1" applyAlignment="1">
      <alignment horizontal="left" vertical="center"/>
    </xf>
    <xf numFmtId="178" fontId="49" fillId="3" borderId="13" xfId="0" applyNumberFormat="1" applyFont="1" applyFill="1" applyBorder="1" applyAlignment="1">
      <alignment horizontal="left" vertical="center"/>
    </xf>
    <xf numFmtId="179" fontId="49" fillId="3" borderId="13" xfId="0" applyNumberFormat="1" applyFont="1" applyFill="1" applyBorder="1" applyAlignment="1">
      <alignment horizontal="left" vertical="center"/>
    </xf>
    <xf numFmtId="179" fontId="49" fillId="3" borderId="13" xfId="2863" applyNumberFormat="1" applyFont="1" applyFill="1" applyBorder="1" applyAlignment="1">
      <alignment horizontal="left" vertical="center"/>
    </xf>
    <xf numFmtId="0" fontId="49" fillId="3" borderId="1" xfId="0" applyFont="1" applyFill="1" applyBorder="1" applyAlignment="1">
      <alignment horizontal="left" vertical="center"/>
    </xf>
    <xf numFmtId="180" fontId="49" fillId="3" borderId="13" xfId="0" applyNumberFormat="1" applyFont="1" applyFill="1" applyBorder="1" applyAlignment="1">
      <alignment horizontal="left" vertical="center"/>
    </xf>
    <xf numFmtId="0" fontId="7" fillId="37" borderId="2" xfId="0" applyFont="1" applyFill="1" applyBorder="1" applyAlignment="1">
      <alignment horizontal="left"/>
    </xf>
    <xf numFmtId="0" fontId="7" fillId="37" borderId="1" xfId="0" applyFont="1" applyFill="1" applyBorder="1" applyAlignment="1">
      <alignment horizontal="left"/>
    </xf>
    <xf numFmtId="0" fontId="7" fillId="37" borderId="4" xfId="0" applyFont="1" applyFill="1" applyBorder="1" applyAlignment="1">
      <alignment horizontal="left"/>
    </xf>
    <xf numFmtId="0" fontId="7" fillId="37" borderId="13" xfId="0" applyFont="1" applyFill="1" applyBorder="1" applyAlignment="1">
      <alignment horizontal="left" vertical="center"/>
    </xf>
    <xf numFmtId="0" fontId="7" fillId="37" borderId="1" xfId="0" applyFont="1" applyFill="1" applyBorder="1" applyAlignment="1">
      <alignment horizontal="center"/>
    </xf>
    <xf numFmtId="0" fontId="7" fillId="37" borderId="4" xfId="0" applyFont="1" applyFill="1" applyBorder="1"/>
    <xf numFmtId="0" fontId="7" fillId="37" borderId="19" xfId="0" applyFont="1" applyFill="1" applyBorder="1" applyAlignment="1">
      <alignment horizontal="left"/>
    </xf>
    <xf numFmtId="179" fontId="7" fillId="37" borderId="4" xfId="0" applyNumberFormat="1" applyFont="1" applyFill="1" applyBorder="1" applyAlignment="1">
      <alignment horizontal="left"/>
    </xf>
    <xf numFmtId="179" fontId="7" fillId="37" borderId="2" xfId="0" applyNumberFormat="1" applyFont="1" applyFill="1" applyBorder="1" applyAlignment="1">
      <alignment horizontal="left"/>
    </xf>
    <xf numFmtId="177" fontId="7" fillId="37" borderId="1" xfId="0" applyNumberFormat="1" applyFont="1" applyFill="1" applyBorder="1" applyAlignment="1">
      <alignment horizontal="left"/>
    </xf>
    <xf numFmtId="177" fontId="7" fillId="37" borderId="4" xfId="0" applyNumberFormat="1" applyFont="1" applyFill="1" applyBorder="1" applyAlignment="1">
      <alignment horizontal="center"/>
    </xf>
    <xf numFmtId="178" fontId="10" fillId="37" borderId="1" xfId="0" applyNumberFormat="1" applyFont="1" applyFill="1" applyBorder="1" applyAlignment="1">
      <alignment horizontal="left"/>
    </xf>
    <xf numFmtId="178" fontId="7" fillId="37" borderId="1" xfId="0" applyNumberFormat="1" applyFont="1" applyFill="1" applyBorder="1" applyAlignment="1">
      <alignment horizontal="left"/>
    </xf>
    <xf numFmtId="179" fontId="7" fillId="37" borderId="1" xfId="0" applyNumberFormat="1" applyFont="1" applyFill="1" applyBorder="1" applyAlignment="1">
      <alignment horizontal="left"/>
    </xf>
    <xf numFmtId="178" fontId="7" fillId="37" borderId="4" xfId="0" applyNumberFormat="1" applyFont="1" applyFill="1" applyBorder="1" applyAlignment="1">
      <alignment horizontal="left"/>
    </xf>
    <xf numFmtId="177" fontId="8" fillId="37" borderId="4" xfId="0" applyNumberFormat="1" applyFont="1" applyFill="1" applyBorder="1" applyAlignment="1">
      <alignment horizontal="center"/>
    </xf>
    <xf numFmtId="0" fontId="7" fillId="37" borderId="13" xfId="0" applyFont="1" applyFill="1" applyBorder="1"/>
    <xf numFmtId="0" fontId="8" fillId="37" borderId="1" xfId="0" applyFont="1" applyFill="1" applyBorder="1" applyAlignment="1">
      <alignment horizontal="left"/>
    </xf>
    <xf numFmtId="178" fontId="8" fillId="37" borderId="1" xfId="0" applyNumberFormat="1" applyFont="1" applyFill="1" applyBorder="1" applyAlignment="1">
      <alignment horizontal="left"/>
    </xf>
    <xf numFmtId="0" fontId="10" fillId="28" borderId="4" xfId="0" applyFont="1" applyFill="1" applyBorder="1"/>
    <xf numFmtId="0" fontId="7" fillId="28" borderId="4" xfId="0" applyFont="1" applyFill="1" applyBorder="1"/>
    <xf numFmtId="178" fontId="7" fillId="28" borderId="9" xfId="0" applyNumberFormat="1" applyFont="1" applyFill="1" applyBorder="1" applyAlignment="1">
      <alignment horizontal="left"/>
    </xf>
    <xf numFmtId="179" fontId="8" fillId="28" borderId="4" xfId="0" applyNumberFormat="1" applyFont="1" applyFill="1" applyBorder="1" applyAlignment="1">
      <alignment horizontal="left"/>
    </xf>
    <xf numFmtId="0" fontId="7" fillId="28" borderId="13" xfId="0" applyFont="1" applyFill="1" applyBorder="1"/>
    <xf numFmtId="178" fontId="7" fillId="28" borderId="1" xfId="0" applyNumberFormat="1" applyFont="1" applyFill="1" applyBorder="1" applyAlignment="1">
      <alignment horizontal="center"/>
    </xf>
    <xf numFmtId="179" fontId="7" fillId="3" borderId="4" xfId="2863" applyNumberFormat="1" applyFont="1" applyFill="1" applyBorder="1" applyAlignment="1">
      <alignment horizontal="left" vertical="center"/>
    </xf>
    <xf numFmtId="177" fontId="7" fillId="3" borderId="4" xfId="0" applyNumberFormat="1" applyFont="1" applyFill="1" applyBorder="1" applyAlignment="1">
      <alignment horizontal="left" vertical="center"/>
    </xf>
    <xf numFmtId="177" fontId="7" fillId="3" borderId="5" xfId="0" applyNumberFormat="1" applyFont="1" applyFill="1" applyBorder="1" applyAlignment="1">
      <alignment horizontal="left" vertical="center"/>
    </xf>
    <xf numFmtId="178" fontId="7" fillId="3" borderId="1" xfId="0" applyNumberFormat="1" applyFont="1" applyFill="1" applyBorder="1" applyAlignment="1">
      <alignment horizontal="left" vertical="center"/>
    </xf>
    <xf numFmtId="179" fontId="7" fillId="3" borderId="1" xfId="2863" applyNumberFormat="1" applyFont="1" applyFill="1" applyBorder="1" applyAlignment="1">
      <alignment horizontal="left" vertical="center"/>
    </xf>
    <xf numFmtId="16" fontId="49" fillId="3" borderId="4" xfId="0" applyNumberFormat="1" applyFont="1" applyFill="1" applyBorder="1" applyAlignment="1">
      <alignment horizontal="left" vertical="center"/>
    </xf>
    <xf numFmtId="179" fontId="50" fillId="3" borderId="4" xfId="0" applyNumberFormat="1" applyFont="1" applyFill="1" applyBorder="1" applyAlignment="1">
      <alignment horizontal="left" vertical="center"/>
    </xf>
    <xf numFmtId="0" fontId="7" fillId="37" borderId="0" xfId="0" applyFont="1" applyFill="1" applyAlignment="1">
      <alignment horizontal="left"/>
    </xf>
    <xf numFmtId="178" fontId="8" fillId="28" borderId="9" xfId="0" applyNumberFormat="1" applyFont="1" applyFill="1" applyBorder="1" applyAlignment="1">
      <alignment horizontal="left"/>
    </xf>
    <xf numFmtId="0" fontId="8" fillId="28" borderId="1" xfId="0" applyFont="1" applyFill="1" applyBorder="1" applyAlignment="1">
      <alignment horizontal="left"/>
    </xf>
    <xf numFmtId="0" fontId="10" fillId="28" borderId="13" xfId="0" applyFont="1" applyFill="1" applyBorder="1"/>
    <xf numFmtId="0" fontId="7" fillId="17" borderId="2" xfId="0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left" vertical="center"/>
    </xf>
    <xf numFmtId="0" fontId="7" fillId="17" borderId="4" xfId="0" applyFont="1" applyFill="1" applyBorder="1" applyAlignment="1">
      <alignment horizontal="left" vertical="center"/>
    </xf>
    <xf numFmtId="0" fontId="7" fillId="17" borderId="9" xfId="0" applyFont="1" applyFill="1" applyBorder="1" applyAlignment="1">
      <alignment horizontal="left" vertical="center"/>
    </xf>
    <xf numFmtId="0" fontId="10" fillId="17" borderId="4" xfId="0" applyFont="1" applyFill="1" applyBorder="1" applyAlignment="1">
      <alignment vertical="center"/>
    </xf>
    <xf numFmtId="0" fontId="7" fillId="17" borderId="19" xfId="0" applyFont="1" applyFill="1" applyBorder="1" applyAlignment="1">
      <alignment horizontal="left" vertical="center"/>
    </xf>
    <xf numFmtId="179" fontId="7" fillId="17" borderId="4" xfId="0" applyNumberFormat="1" applyFont="1" applyFill="1" applyBorder="1" applyAlignment="1">
      <alignment horizontal="left" vertical="center"/>
    </xf>
    <xf numFmtId="179" fontId="7" fillId="17" borderId="2" xfId="0" applyNumberFormat="1" applyFont="1" applyFill="1" applyBorder="1" applyAlignment="1">
      <alignment horizontal="left" vertical="center"/>
    </xf>
    <xf numFmtId="177" fontId="7" fillId="17" borderId="1" xfId="0" applyNumberFormat="1" applyFont="1" applyFill="1" applyBorder="1" applyAlignment="1">
      <alignment horizontal="left" vertical="center"/>
    </xf>
    <xf numFmtId="177" fontId="7" fillId="17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left" vertical="center"/>
    </xf>
    <xf numFmtId="179" fontId="7" fillId="17" borderId="1" xfId="0" applyNumberFormat="1" applyFont="1" applyFill="1" applyBorder="1" applyAlignment="1">
      <alignment horizontal="left" vertical="center"/>
    </xf>
    <xf numFmtId="178" fontId="7" fillId="17" borderId="4" xfId="0" applyNumberFormat="1" applyFont="1" applyFill="1" applyBorder="1" applyAlignment="1">
      <alignment horizontal="left" vertical="center"/>
    </xf>
    <xf numFmtId="178" fontId="7" fillId="28" borderId="1" xfId="0" applyNumberFormat="1" applyFont="1" applyFill="1" applyBorder="1" applyAlignment="1">
      <alignment horizontal="left" vertical="center"/>
    </xf>
    <xf numFmtId="178" fontId="7" fillId="0" borderId="1" xfId="0" applyNumberFormat="1" applyFont="1" applyBorder="1" applyAlignment="1">
      <alignment horizontal="left" vertical="center"/>
    </xf>
    <xf numFmtId="0" fontId="7" fillId="17" borderId="0" xfId="0" applyFont="1" applyFill="1" applyAlignment="1">
      <alignment horizontal="left" vertical="center"/>
    </xf>
    <xf numFmtId="0" fontId="7" fillId="28" borderId="0" xfId="0" applyFont="1" applyFill="1" applyAlignment="1">
      <alignment horizontal="left" vertical="center"/>
    </xf>
    <xf numFmtId="0" fontId="7" fillId="37" borderId="1" xfId="0" applyFont="1" applyFill="1" applyBorder="1"/>
    <xf numFmtId="0" fontId="10" fillId="3" borderId="4" xfId="0" applyFont="1" applyFill="1" applyBorder="1" applyAlignment="1">
      <alignment horizontal="left" wrapText="1"/>
    </xf>
    <xf numFmtId="179" fontId="10" fillId="9" borderId="4" xfId="0" applyNumberFormat="1" applyFont="1" applyFill="1" applyBorder="1" applyAlignment="1">
      <alignment horizontal="left"/>
    </xf>
    <xf numFmtId="179" fontId="8" fillId="9" borderId="4" xfId="0" applyNumberFormat="1" applyFont="1" applyFill="1" applyBorder="1" applyAlignment="1">
      <alignment horizontal="left"/>
    </xf>
    <xf numFmtId="178" fontId="8" fillId="5" borderId="1" xfId="0" applyNumberFormat="1" applyFont="1" applyFill="1" applyBorder="1" applyAlignment="1">
      <alignment horizontal="left"/>
    </xf>
    <xf numFmtId="0" fontId="7" fillId="9" borderId="19" xfId="0" applyFont="1" applyFill="1" applyBorder="1" applyAlignment="1">
      <alignment horizontal="left"/>
    </xf>
    <xf numFmtId="0" fontId="61" fillId="9" borderId="4" xfId="0" applyFont="1" applyFill="1" applyBorder="1"/>
    <xf numFmtId="0" fontId="59" fillId="9" borderId="0" xfId="0" applyFont="1" applyFill="1" applyAlignment="1">
      <alignment horizontal="left"/>
    </xf>
    <xf numFmtId="0" fontId="7" fillId="9" borderId="4" xfId="0" applyFont="1" applyFill="1" applyBorder="1"/>
    <xf numFmtId="0" fontId="44" fillId="34" borderId="0" xfId="0" applyFont="1" applyFill="1" applyAlignment="1">
      <alignment horizontal="left" vertical="center" wrapText="1"/>
    </xf>
    <xf numFmtId="0" fontId="44" fillId="42" borderId="4" xfId="0" applyFont="1" applyFill="1" applyBorder="1" applyAlignment="1">
      <alignment horizontal="left" vertical="center" wrapText="1"/>
    </xf>
    <xf numFmtId="0" fontId="47" fillId="42" borderId="4" xfId="0" applyFont="1" applyFill="1" applyBorder="1" applyAlignment="1">
      <alignment horizontal="left" vertical="center" wrapText="1"/>
    </xf>
    <xf numFmtId="1" fontId="58" fillId="0" borderId="4" xfId="0" applyNumberFormat="1" applyFont="1" applyBorder="1" applyAlignment="1">
      <alignment horizontal="left" vertical="center" wrapText="1"/>
    </xf>
    <xf numFmtId="1" fontId="58" fillId="42" borderId="4" xfId="0" applyNumberFormat="1" applyFont="1" applyFill="1" applyBorder="1" applyAlignment="1">
      <alignment horizontal="left" vertical="center" wrapText="1"/>
    </xf>
    <xf numFmtId="177" fontId="7" fillId="3" borderId="30" xfId="0" applyNumberFormat="1" applyFont="1" applyFill="1" applyBorder="1" applyAlignment="1">
      <alignment horizontal="left"/>
    </xf>
    <xf numFmtId="0" fontId="7" fillId="5" borderId="1" xfId="0" applyFont="1" applyFill="1" applyBorder="1" applyAlignment="1">
      <alignment horizontal="right"/>
    </xf>
    <xf numFmtId="177" fontId="7" fillId="3" borderId="9" xfId="2863" applyFont="1" applyFill="1" applyBorder="1" applyAlignment="1">
      <alignment horizontal="left"/>
    </xf>
    <xf numFmtId="177" fontId="7" fillId="3" borderId="9" xfId="0" applyNumberFormat="1" applyFont="1" applyFill="1" applyBorder="1" applyAlignment="1">
      <alignment horizontal="center" vertical="center"/>
    </xf>
    <xf numFmtId="178" fontId="7" fillId="0" borderId="2" xfId="0" applyNumberFormat="1" applyFont="1" applyBorder="1" applyAlignment="1">
      <alignment horizontal="left"/>
    </xf>
    <xf numFmtId="178" fontId="7" fillId="3" borderId="2" xfId="0" applyNumberFormat="1" applyFont="1" applyFill="1" applyBorder="1" applyAlignment="1">
      <alignment horizontal="left"/>
    </xf>
    <xf numFmtId="178" fontId="7" fillId="3" borderId="2" xfId="0" applyNumberFormat="1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77" fontId="7" fillId="3" borderId="9" xfId="2863" applyFont="1" applyFill="1" applyBorder="1" applyAlignment="1">
      <alignment horizontal="center"/>
    </xf>
    <xf numFmtId="177" fontId="7" fillId="0" borderId="30" xfId="0" applyNumberFormat="1" applyFont="1" applyBorder="1" applyAlignment="1">
      <alignment horizontal="center"/>
    </xf>
    <xf numFmtId="0" fontId="7" fillId="3" borderId="2" xfId="0" applyFont="1" applyFill="1" applyBorder="1"/>
    <xf numFmtId="0" fontId="9" fillId="3" borderId="19" xfId="0" applyFont="1" applyFill="1" applyBorder="1"/>
    <xf numFmtId="0" fontId="7" fillId="3" borderId="16" xfId="0" applyFont="1" applyFill="1" applyBorder="1"/>
    <xf numFmtId="0" fontId="7" fillId="0" borderId="16" xfId="0" applyFont="1" applyBorder="1"/>
    <xf numFmtId="180" fontId="46" fillId="0" borderId="4" xfId="0" applyNumberFormat="1" applyFont="1" applyBorder="1" applyAlignment="1">
      <alignment horizontal="left" vertical="center"/>
    </xf>
    <xf numFmtId="178" fontId="46" fillId="0" borderId="4" xfId="0" applyNumberFormat="1" applyFont="1" applyBorder="1" applyAlignment="1">
      <alignment horizontal="left" vertical="center"/>
    </xf>
    <xf numFmtId="184" fontId="46" fillId="0" borderId="4" xfId="0" applyNumberFormat="1" applyFont="1" applyBorder="1" applyAlignment="1">
      <alignment horizontal="left" vertical="center"/>
    </xf>
    <xf numFmtId="180" fontId="46" fillId="3" borderId="4" xfId="0" applyNumberFormat="1" applyFont="1" applyFill="1" applyBorder="1" applyAlignment="1">
      <alignment horizontal="left" vertical="center"/>
    </xf>
    <xf numFmtId="176" fontId="46" fillId="9" borderId="4" xfId="0" applyNumberFormat="1" applyFont="1" applyFill="1" applyBorder="1" applyAlignment="1">
      <alignment horizontal="left" vertical="center"/>
    </xf>
    <xf numFmtId="184" fontId="46" fillId="9" borderId="4" xfId="0" applyNumberFormat="1" applyFont="1" applyFill="1" applyBorder="1" applyAlignment="1">
      <alignment horizontal="left" vertical="center"/>
    </xf>
    <xf numFmtId="178" fontId="46" fillId="9" borderId="4" xfId="0" applyNumberFormat="1" applyFont="1" applyFill="1" applyBorder="1" applyAlignment="1">
      <alignment horizontal="left" vertical="center"/>
    </xf>
    <xf numFmtId="178" fontId="46" fillId="3" borderId="4" xfId="0" applyNumberFormat="1" applyFont="1" applyFill="1" applyBorder="1" applyAlignment="1">
      <alignment horizontal="left" vertical="center"/>
    </xf>
    <xf numFmtId="0" fontId="46" fillId="11" borderId="4" xfId="0" applyFont="1" applyFill="1" applyBorder="1" applyAlignment="1">
      <alignment horizontal="left" vertical="center"/>
    </xf>
    <xf numFmtId="0" fontId="46" fillId="6" borderId="4" xfId="0" applyFont="1" applyFill="1" applyBorder="1" applyAlignment="1">
      <alignment horizontal="left" vertical="center"/>
    </xf>
    <xf numFmtId="176" fontId="46" fillId="3" borderId="4" xfId="0" applyNumberFormat="1" applyFont="1" applyFill="1" applyBorder="1" applyAlignment="1">
      <alignment horizontal="left" vertical="center"/>
    </xf>
    <xf numFmtId="0" fontId="62" fillId="3" borderId="4" xfId="0" applyFont="1" applyFill="1" applyBorder="1" applyAlignment="1">
      <alignment horizontal="left" vertical="center"/>
    </xf>
    <xf numFmtId="0" fontId="46" fillId="9" borderId="16" xfId="0" applyFont="1" applyFill="1" applyBorder="1" applyAlignment="1">
      <alignment horizontal="left" vertical="center"/>
    </xf>
    <xf numFmtId="0" fontId="63" fillId="3" borderId="4" xfId="0" applyFont="1" applyFill="1" applyBorder="1" applyAlignment="1">
      <alignment horizontal="left" vertical="center"/>
    </xf>
    <xf numFmtId="0" fontId="46" fillId="3" borderId="13" xfId="0" applyFont="1" applyFill="1" applyBorder="1" applyAlignment="1">
      <alignment horizontal="left" vertical="center"/>
    </xf>
    <xf numFmtId="0" fontId="46" fillId="3" borderId="19" xfId="0" applyFont="1" applyFill="1" applyBorder="1" applyAlignment="1">
      <alignment horizontal="left" vertical="center"/>
    </xf>
    <xf numFmtId="0" fontId="46" fillId="3" borderId="16" xfId="0" applyFont="1" applyFill="1" applyBorder="1" applyAlignment="1">
      <alignment horizontal="left" vertical="center"/>
    </xf>
    <xf numFmtId="0" fontId="46" fillId="0" borderId="16" xfId="0" applyFont="1" applyBorder="1" applyAlignment="1">
      <alignment horizontal="left" vertical="center"/>
    </xf>
    <xf numFmtId="0" fontId="63" fillId="0" borderId="4" xfId="0" applyFont="1" applyBorder="1" applyAlignment="1">
      <alignment horizontal="left" vertical="center"/>
    </xf>
    <xf numFmtId="0" fontId="49" fillId="9" borderId="9" xfId="0" applyFont="1" applyFill="1" applyBorder="1" applyAlignment="1">
      <alignment horizontal="left" vertical="center"/>
    </xf>
    <xf numFmtId="178" fontId="49" fillId="14" borderId="4" xfId="0" applyNumberFormat="1" applyFont="1" applyFill="1" applyBorder="1" applyAlignment="1">
      <alignment horizontal="left" vertical="center"/>
    </xf>
    <xf numFmtId="179" fontId="7" fillId="37" borderId="1" xfId="0" applyNumberFormat="1" applyFont="1" applyFill="1" applyBorder="1" applyAlignment="1">
      <alignment horizontal="right"/>
    </xf>
    <xf numFmtId="179" fontId="7" fillId="28" borderId="1" xfId="0" applyNumberFormat="1" applyFont="1" applyFill="1" applyBorder="1" applyAlignment="1">
      <alignment horizontal="right"/>
    </xf>
    <xf numFmtId="179" fontId="8" fillId="37" borderId="4" xfId="0" applyNumberFormat="1" applyFont="1" applyFill="1" applyBorder="1" applyAlignment="1">
      <alignment horizontal="left"/>
    </xf>
    <xf numFmtId="188" fontId="50" fillId="3" borderId="4" xfId="0" applyNumberFormat="1" applyFont="1" applyFill="1" applyBorder="1" applyAlignment="1">
      <alignment horizontal="left" vertical="center"/>
    </xf>
    <xf numFmtId="184" fontId="50" fillId="3" borderId="4" xfId="0" applyNumberFormat="1" applyFont="1" applyFill="1" applyBorder="1" applyAlignment="1">
      <alignment horizontal="left" vertical="center"/>
    </xf>
    <xf numFmtId="0" fontId="7" fillId="43" borderId="2" xfId="0" applyFont="1" applyFill="1" applyBorder="1" applyAlignment="1">
      <alignment horizontal="left"/>
    </xf>
    <xf numFmtId="0" fontId="7" fillId="43" borderId="1" xfId="0" applyFont="1" applyFill="1" applyBorder="1" applyAlignment="1">
      <alignment horizontal="left"/>
    </xf>
    <xf numFmtId="178" fontId="7" fillId="43" borderId="4" xfId="0" applyNumberFormat="1" applyFont="1" applyFill="1" applyBorder="1" applyAlignment="1">
      <alignment horizontal="left"/>
    </xf>
    <xf numFmtId="0" fontId="7" fillId="43" borderId="4" xfId="0" applyFont="1" applyFill="1" applyBorder="1" applyAlignment="1">
      <alignment horizontal="left"/>
    </xf>
    <xf numFmtId="179" fontId="7" fillId="43" borderId="4" xfId="0" applyNumberFormat="1" applyFont="1" applyFill="1" applyBorder="1" applyAlignment="1">
      <alignment horizontal="left"/>
    </xf>
    <xf numFmtId="0" fontId="7" fillId="43" borderId="13" xfId="0" applyFont="1" applyFill="1" applyBorder="1" applyAlignment="1">
      <alignment horizontal="left" vertical="center"/>
    </xf>
    <xf numFmtId="0" fontId="7" fillId="43" borderId="1" xfId="0" applyFont="1" applyFill="1" applyBorder="1" applyAlignment="1">
      <alignment horizontal="center"/>
    </xf>
    <xf numFmtId="0" fontId="7" fillId="43" borderId="4" xfId="0" applyFont="1" applyFill="1" applyBorder="1"/>
    <xf numFmtId="0" fontId="7" fillId="43" borderId="13" xfId="0" applyFont="1" applyFill="1" applyBorder="1" applyAlignment="1">
      <alignment horizontal="left"/>
    </xf>
    <xf numFmtId="0" fontId="7" fillId="43" borderId="13" xfId="0" applyFont="1" applyFill="1" applyBorder="1"/>
    <xf numFmtId="177" fontId="7" fillId="43" borderId="1" xfId="0" applyNumberFormat="1" applyFont="1" applyFill="1" applyBorder="1" applyAlignment="1">
      <alignment horizontal="left"/>
    </xf>
    <xf numFmtId="177" fontId="7" fillId="43" borderId="4" xfId="0" applyNumberFormat="1" applyFont="1" applyFill="1" applyBorder="1" applyAlignment="1">
      <alignment horizontal="center"/>
    </xf>
    <xf numFmtId="178" fontId="7" fillId="43" borderId="1" xfId="0" applyNumberFormat="1" applyFont="1" applyFill="1" applyBorder="1" applyAlignment="1">
      <alignment horizontal="left"/>
    </xf>
    <xf numFmtId="179" fontId="7" fillId="43" borderId="1" xfId="0" applyNumberFormat="1" applyFont="1" applyFill="1" applyBorder="1" applyAlignment="1">
      <alignment horizontal="left"/>
    </xf>
    <xf numFmtId="0" fontId="7" fillId="43" borderId="0" xfId="0" applyFont="1" applyFill="1" applyAlignment="1">
      <alignment horizontal="left"/>
    </xf>
    <xf numFmtId="0" fontId="59" fillId="43" borderId="0" xfId="0" applyFont="1" applyFill="1" applyAlignment="1">
      <alignment horizontal="left"/>
    </xf>
    <xf numFmtId="0" fontId="7" fillId="43" borderId="9" xfId="0" applyFont="1" applyFill="1" applyBorder="1" applyAlignment="1">
      <alignment horizontal="left"/>
    </xf>
    <xf numFmtId="177" fontId="7" fillId="43" borderId="4" xfId="0" applyNumberFormat="1" applyFont="1" applyFill="1" applyBorder="1" applyAlignment="1">
      <alignment horizontal="left"/>
    </xf>
    <xf numFmtId="177" fontId="7" fillId="43" borderId="2" xfId="0" applyNumberFormat="1" applyFont="1" applyFill="1" applyBorder="1" applyAlignment="1">
      <alignment horizontal="center"/>
    </xf>
    <xf numFmtId="0" fontId="7" fillId="43" borderId="19" xfId="0" applyFont="1" applyFill="1" applyBorder="1"/>
    <xf numFmtId="177" fontId="8" fillId="3" borderId="9" xfId="0" applyNumberFormat="1" applyFont="1" applyFill="1" applyBorder="1" applyAlignment="1">
      <alignment horizontal="center" vertical="center"/>
    </xf>
    <xf numFmtId="177" fontId="8" fillId="3" borderId="4" xfId="0" applyNumberFormat="1" applyFont="1" applyFill="1" applyBorder="1" applyAlignment="1">
      <alignment horizontal="center" vertical="center"/>
    </xf>
    <xf numFmtId="0" fontId="65" fillId="11" borderId="13" xfId="0" applyFont="1" applyFill="1" applyBorder="1" applyAlignment="1">
      <alignment horizontal="center" vertical="center"/>
    </xf>
    <xf numFmtId="0" fontId="65" fillId="11" borderId="4" xfId="0" applyFont="1" applyFill="1" applyBorder="1" applyAlignment="1">
      <alignment horizontal="center" wrapText="1"/>
    </xf>
    <xf numFmtId="0" fontId="66" fillId="0" borderId="0" xfId="0" applyFont="1"/>
    <xf numFmtId="0" fontId="66" fillId="26" borderId="4" xfId="0" applyFont="1" applyFill="1" applyBorder="1" applyAlignment="1">
      <alignment horizontal="center" vertical="center"/>
    </xf>
    <xf numFmtId="0" fontId="67" fillId="26" borderId="16" xfId="0" applyFont="1" applyFill="1" applyBorder="1" applyAlignment="1">
      <alignment horizontal="left" vertical="center"/>
    </xf>
    <xf numFmtId="0" fontId="67" fillId="26" borderId="4" xfId="0" applyFont="1" applyFill="1" applyBorder="1" applyAlignment="1">
      <alignment horizontal="center" vertical="center"/>
    </xf>
    <xf numFmtId="0" fontId="68" fillId="26" borderId="16" xfId="0" applyFont="1" applyFill="1" applyBorder="1" applyAlignment="1">
      <alignment horizontal="center" vertical="center"/>
    </xf>
    <xf numFmtId="0" fontId="68" fillId="26" borderId="4" xfId="0" applyFont="1" applyFill="1" applyBorder="1" applyAlignment="1">
      <alignment vertical="center"/>
    </xf>
    <xf numFmtId="0" fontId="68" fillId="26" borderId="4" xfId="0" applyFont="1" applyFill="1" applyBorder="1" applyAlignment="1">
      <alignment vertical="center" wrapText="1"/>
    </xf>
    <xf numFmtId="0" fontId="68" fillId="26" borderId="4" xfId="0" applyFont="1" applyFill="1" applyBorder="1" applyAlignment="1">
      <alignment horizontal="center" vertical="center"/>
    </xf>
    <xf numFmtId="0" fontId="68" fillId="26" borderId="4" xfId="0" applyFont="1" applyFill="1" applyBorder="1" applyAlignment="1">
      <alignment horizontal="center" vertical="center" wrapText="1"/>
    </xf>
    <xf numFmtId="14" fontId="68" fillId="26" borderId="4" xfId="0" applyNumberFormat="1" applyFont="1" applyFill="1" applyBorder="1" applyAlignment="1">
      <alignment horizontal="center" vertical="center"/>
    </xf>
    <xf numFmtId="0" fontId="66" fillId="26" borderId="0" xfId="0" applyFont="1" applyFill="1" applyAlignment="1">
      <alignment vertical="center"/>
    </xf>
    <xf numFmtId="0" fontId="67" fillId="26" borderId="19" xfId="0" applyFont="1" applyFill="1" applyBorder="1" applyAlignment="1">
      <alignment horizontal="left" vertical="center"/>
    </xf>
    <xf numFmtId="0" fontId="67" fillId="26" borderId="13" xfId="0" applyFont="1" applyFill="1" applyBorder="1" applyAlignment="1">
      <alignment horizontal="center" vertical="center"/>
    </xf>
    <xf numFmtId="0" fontId="68" fillId="26" borderId="19" xfId="0" applyFont="1" applyFill="1" applyBorder="1" applyAlignment="1">
      <alignment horizontal="center" vertical="center"/>
    </xf>
    <xf numFmtId="0" fontId="68" fillId="26" borderId="13" xfId="0" applyFont="1" applyFill="1" applyBorder="1" applyAlignment="1">
      <alignment vertical="center"/>
    </xf>
    <xf numFmtId="0" fontId="68" fillId="26" borderId="13" xfId="0" applyFont="1" applyFill="1" applyBorder="1" applyAlignment="1">
      <alignment vertical="center" wrapText="1"/>
    </xf>
    <xf numFmtId="0" fontId="68" fillId="26" borderId="13" xfId="0" applyFont="1" applyFill="1" applyBorder="1" applyAlignment="1">
      <alignment horizontal="center" vertical="center"/>
    </xf>
    <xf numFmtId="0" fontId="67" fillId="27" borderId="16" xfId="0" applyFont="1" applyFill="1" applyBorder="1" applyAlignment="1">
      <alignment horizontal="center" vertical="center"/>
    </xf>
    <xf numFmtId="0" fontId="67" fillId="27" borderId="16" xfId="0" applyFont="1" applyFill="1" applyBorder="1" applyAlignment="1">
      <alignment horizontal="left" vertical="center"/>
    </xf>
    <xf numFmtId="0" fontId="67" fillId="27" borderId="4" xfId="0" applyFont="1" applyFill="1" applyBorder="1" applyAlignment="1">
      <alignment horizontal="center" vertical="center"/>
    </xf>
    <xf numFmtId="0" fontId="68" fillId="27" borderId="4" xfId="0" applyFont="1" applyFill="1" applyBorder="1" applyAlignment="1">
      <alignment horizontal="center" vertical="center"/>
    </xf>
    <xf numFmtId="0" fontId="67" fillId="27" borderId="4" xfId="0" applyFont="1" applyFill="1" applyBorder="1" applyAlignment="1">
      <alignment horizontal="left" vertical="center"/>
    </xf>
    <xf numFmtId="0" fontId="68" fillId="27" borderId="4" xfId="0" applyFont="1" applyFill="1" applyBorder="1" applyAlignment="1">
      <alignment horizontal="left" vertical="center"/>
    </xf>
    <xf numFmtId="14" fontId="67" fillId="27" borderId="4" xfId="0" applyNumberFormat="1" applyFont="1" applyFill="1" applyBorder="1" applyAlignment="1">
      <alignment horizontal="center" vertical="center"/>
    </xf>
    <xf numFmtId="0" fontId="66" fillId="27" borderId="0" xfId="0" applyFont="1" applyFill="1" applyAlignment="1">
      <alignment vertical="center"/>
    </xf>
    <xf numFmtId="0" fontId="67" fillId="26" borderId="4" xfId="0" applyFont="1" applyFill="1" applyBorder="1" applyAlignment="1">
      <alignment vertical="center"/>
    </xf>
    <xf numFmtId="14" fontId="67" fillId="26" borderId="4" xfId="0" applyNumberFormat="1" applyFont="1" applyFill="1" applyBorder="1" applyAlignment="1">
      <alignment horizontal="center" vertical="center"/>
    </xf>
    <xf numFmtId="0" fontId="67" fillId="26" borderId="13" xfId="0" applyFont="1" applyFill="1" applyBorder="1" applyAlignment="1">
      <alignment vertical="center"/>
    </xf>
    <xf numFmtId="14" fontId="67" fillId="26" borderId="13" xfId="0" applyNumberFormat="1" applyFont="1" applyFill="1" applyBorder="1" applyAlignment="1">
      <alignment horizontal="center" vertical="center"/>
    </xf>
    <xf numFmtId="0" fontId="67" fillId="26" borderId="9" xfId="0" applyFont="1" applyFill="1" applyBorder="1" applyAlignment="1">
      <alignment horizontal="center" vertical="center"/>
    </xf>
    <xf numFmtId="0" fontId="66" fillId="29" borderId="4" xfId="0" applyFont="1" applyFill="1" applyBorder="1" applyAlignment="1">
      <alignment horizontal="center" vertical="center"/>
    </xf>
    <xf numFmtId="0" fontId="67" fillId="29" borderId="16" xfId="0" applyFont="1" applyFill="1" applyBorder="1" applyAlignment="1">
      <alignment horizontal="left" vertical="center"/>
    </xf>
    <xf numFmtId="0" fontId="67" fillId="29" borderId="4" xfId="0" applyFont="1" applyFill="1" applyBorder="1" applyAlignment="1">
      <alignment horizontal="center" vertical="center"/>
    </xf>
    <xf numFmtId="0" fontId="68" fillId="29" borderId="4" xfId="0" applyFont="1" applyFill="1" applyBorder="1" applyAlignment="1">
      <alignment horizontal="center" vertical="center" wrapText="1"/>
    </xf>
    <xf numFmtId="0" fontId="68" fillId="29" borderId="4" xfId="0" applyFont="1" applyFill="1" applyBorder="1" applyAlignment="1">
      <alignment vertical="center" wrapText="1"/>
    </xf>
    <xf numFmtId="0" fontId="68" fillId="29" borderId="4" xfId="0" applyFont="1" applyFill="1" applyBorder="1" applyAlignment="1">
      <alignment horizontal="center" vertical="center"/>
    </xf>
    <xf numFmtId="0" fontId="67" fillId="29" borderId="9" xfId="0" applyFont="1" applyFill="1" applyBorder="1" applyAlignment="1">
      <alignment horizontal="center" vertical="center"/>
    </xf>
    <xf numFmtId="0" fontId="67" fillId="29" borderId="4" xfId="0" applyFont="1" applyFill="1" applyBorder="1" applyAlignment="1">
      <alignment vertical="center"/>
    </xf>
    <xf numFmtId="14" fontId="67" fillId="29" borderId="4" xfId="0" applyNumberFormat="1" applyFont="1" applyFill="1" applyBorder="1" applyAlignment="1">
      <alignment horizontal="center" vertical="center"/>
    </xf>
    <xf numFmtId="14" fontId="67" fillId="29" borderId="13" xfId="0" applyNumberFormat="1" applyFont="1" applyFill="1" applyBorder="1" applyAlignment="1">
      <alignment horizontal="center" vertical="center"/>
    </xf>
    <xf numFmtId="0" fontId="69" fillId="26" borderId="4" xfId="0" applyFont="1" applyFill="1" applyBorder="1" applyAlignment="1">
      <alignment horizontal="center" vertical="center"/>
    </xf>
    <xf numFmtId="0" fontId="66" fillId="26" borderId="13" xfId="0" applyFont="1" applyFill="1" applyBorder="1" applyAlignment="1">
      <alignment horizontal="center" vertical="center"/>
    </xf>
    <xf numFmtId="0" fontId="68" fillId="26" borderId="13" xfId="0" applyFont="1" applyFill="1" applyBorder="1" applyAlignment="1">
      <alignment horizontal="center" vertical="center" wrapText="1"/>
    </xf>
    <xf numFmtId="0" fontId="67" fillId="26" borderId="1" xfId="0" applyFont="1" applyFill="1" applyBorder="1" applyAlignment="1">
      <alignment horizontal="center" vertical="center"/>
    </xf>
    <xf numFmtId="0" fontId="67" fillId="28" borderId="4" xfId="0" applyFont="1" applyFill="1" applyBorder="1" applyAlignment="1">
      <alignment horizontal="center" vertical="center"/>
    </xf>
    <xf numFmtId="0" fontId="67" fillId="28" borderId="4" xfId="0" applyFont="1" applyFill="1" applyBorder="1" applyAlignment="1">
      <alignment horizontal="left" vertical="center"/>
    </xf>
    <xf numFmtId="0" fontId="68" fillId="28" borderId="4" xfId="0" applyFont="1" applyFill="1" applyBorder="1" applyAlignment="1">
      <alignment vertical="center" wrapText="1"/>
    </xf>
    <xf numFmtId="0" fontId="68" fillId="28" borderId="4" xfId="0" applyFont="1" applyFill="1" applyBorder="1" applyAlignment="1">
      <alignment vertical="center"/>
    </xf>
    <xf numFmtId="0" fontId="67" fillId="28" borderId="4" xfId="0" applyFont="1" applyFill="1" applyBorder="1" applyAlignment="1">
      <alignment vertical="center"/>
    </xf>
    <xf numFmtId="14" fontId="67" fillId="28" borderId="4" xfId="0" applyNumberFormat="1" applyFont="1" applyFill="1" applyBorder="1" applyAlignment="1">
      <alignment horizontal="center" vertical="center"/>
    </xf>
    <xf numFmtId="0" fontId="66" fillId="0" borderId="0" xfId="0" applyFont="1" applyAlignment="1">
      <alignment vertical="center"/>
    </xf>
    <xf numFmtId="0" fontId="67" fillId="28" borderId="13" xfId="0" applyFont="1" applyFill="1" applyBorder="1" applyAlignment="1">
      <alignment horizontal="center" vertical="center"/>
    </xf>
    <xf numFmtId="0" fontId="67" fillId="28" borderId="13" xfId="0" applyFont="1" applyFill="1" applyBorder="1" applyAlignment="1">
      <alignment horizontal="left" vertical="center"/>
    </xf>
    <xf numFmtId="0" fontId="68" fillId="28" borderId="13" xfId="0" applyFont="1" applyFill="1" applyBorder="1" applyAlignment="1">
      <alignment vertical="center"/>
    </xf>
    <xf numFmtId="14" fontId="67" fillId="28" borderId="13" xfId="0" applyNumberFormat="1" applyFont="1" applyFill="1" applyBorder="1" applyAlignment="1">
      <alignment horizontal="center" vertical="center"/>
    </xf>
    <xf numFmtId="0" fontId="67" fillId="5" borderId="4" xfId="0" applyFont="1" applyFill="1" applyBorder="1" applyAlignment="1">
      <alignment horizontal="center" vertical="center"/>
    </xf>
    <xf numFmtId="0" fontId="67" fillId="5" borderId="4" xfId="0" applyFont="1" applyFill="1" applyBorder="1" applyAlignment="1">
      <alignment horizontal="left" vertical="center"/>
    </xf>
    <xf numFmtId="0" fontId="68" fillId="5" borderId="4" xfId="0" applyFont="1" applyFill="1" applyBorder="1" applyAlignment="1">
      <alignment horizontal="center" vertical="center"/>
    </xf>
    <xf numFmtId="0" fontId="68" fillId="5" borderId="4" xfId="0" applyFont="1" applyFill="1" applyBorder="1" applyAlignment="1">
      <alignment vertical="center"/>
    </xf>
    <xf numFmtId="0" fontId="67" fillId="5" borderId="4" xfId="0" applyFont="1" applyFill="1" applyBorder="1" applyAlignment="1">
      <alignment vertical="center"/>
    </xf>
    <xf numFmtId="14" fontId="67" fillId="5" borderId="4" xfId="0" applyNumberFormat="1" applyFont="1" applyFill="1" applyBorder="1" applyAlignment="1">
      <alignment horizontal="center" vertical="center"/>
    </xf>
    <xf numFmtId="0" fontId="67" fillId="0" borderId="0" xfId="0" applyFont="1" applyAlignment="1">
      <alignment vertical="center"/>
    </xf>
    <xf numFmtId="0" fontId="67" fillId="5" borderId="13" xfId="0" applyFont="1" applyFill="1" applyBorder="1" applyAlignment="1">
      <alignment horizontal="center" vertical="center"/>
    </xf>
    <xf numFmtId="0" fontId="67" fillId="5" borderId="13" xfId="0" applyFont="1" applyFill="1" applyBorder="1" applyAlignment="1">
      <alignment horizontal="left" vertical="center"/>
    </xf>
    <xf numFmtId="0" fontId="68" fillId="5" borderId="13" xfId="0" applyFont="1" applyFill="1" applyBorder="1" applyAlignment="1">
      <alignment horizontal="center" vertical="center"/>
    </xf>
    <xf numFmtId="0" fontId="68" fillId="5" borderId="13" xfId="0" applyFont="1" applyFill="1" applyBorder="1" applyAlignment="1">
      <alignment vertical="center"/>
    </xf>
    <xf numFmtId="0" fontId="67" fillId="5" borderId="13" xfId="0" applyFont="1" applyFill="1" applyBorder="1" applyAlignment="1">
      <alignment vertical="center"/>
    </xf>
    <xf numFmtId="189" fontId="67" fillId="28" borderId="4" xfId="0" applyNumberFormat="1" applyFont="1" applyFill="1" applyBorder="1" applyAlignment="1">
      <alignment horizontal="center" vertical="center"/>
    </xf>
    <xf numFmtId="0" fontId="67" fillId="28" borderId="1" xfId="0" applyFont="1" applyFill="1" applyBorder="1" applyAlignment="1">
      <alignment horizontal="center" vertical="center"/>
    </xf>
    <xf numFmtId="0" fontId="68" fillId="26" borderId="9" xfId="0" applyFont="1" applyFill="1" applyBorder="1" applyAlignment="1">
      <alignment vertical="center" wrapText="1"/>
    </xf>
    <xf numFmtId="189" fontId="67" fillId="26" borderId="4" xfId="0" applyNumberFormat="1" applyFont="1" applyFill="1" applyBorder="1" applyAlignment="1">
      <alignment horizontal="center" vertical="center"/>
    </xf>
    <xf numFmtId="0" fontId="68" fillId="26" borderId="1" xfId="0" applyFont="1" applyFill="1" applyBorder="1" applyAlignment="1">
      <alignment vertical="center" wrapText="1"/>
    </xf>
    <xf numFmtId="189" fontId="67" fillId="26" borderId="13" xfId="0" applyNumberFormat="1" applyFont="1" applyFill="1" applyBorder="1" applyAlignment="1">
      <alignment horizontal="center" vertical="center"/>
    </xf>
    <xf numFmtId="0" fontId="67" fillId="28" borderId="9" xfId="0" applyFont="1" applyFill="1" applyBorder="1" applyAlignment="1">
      <alignment horizontal="center" vertical="center"/>
    </xf>
    <xf numFmtId="0" fontId="68" fillId="28" borderId="4" xfId="0" applyFont="1" applyFill="1" applyBorder="1"/>
    <xf numFmtId="0" fontId="66" fillId="28" borderId="4" xfId="0" applyFont="1" applyFill="1" applyBorder="1" applyAlignment="1">
      <alignment horizontal="center"/>
    </xf>
    <xf numFmtId="0" fontId="67" fillId="28" borderId="4" xfId="0" applyFont="1" applyFill="1" applyBorder="1" applyAlignment="1">
      <alignment horizontal="center"/>
    </xf>
    <xf numFmtId="0" fontId="67" fillId="28" borderId="16" xfId="0" applyFont="1" applyFill="1" applyBorder="1" applyAlignment="1">
      <alignment horizontal="left" vertical="center"/>
    </xf>
    <xf numFmtId="0" fontId="66" fillId="28" borderId="13" xfId="0" applyFont="1" applyFill="1" applyBorder="1" applyAlignment="1">
      <alignment horizontal="center"/>
    </xf>
    <xf numFmtId="0" fontId="67" fillId="28" borderId="13" xfId="0" applyFont="1" applyFill="1" applyBorder="1" applyAlignment="1">
      <alignment horizontal="center"/>
    </xf>
    <xf numFmtId="0" fontId="68" fillId="28" borderId="9" xfId="0" applyFont="1" applyFill="1" applyBorder="1"/>
    <xf numFmtId="0" fontId="67" fillId="28" borderId="9" xfId="0" applyFont="1" applyFill="1" applyBorder="1" applyAlignment="1">
      <alignment horizontal="center"/>
    </xf>
    <xf numFmtId="0" fontId="67" fillId="28" borderId="1" xfId="0" applyFont="1" applyFill="1" applyBorder="1" applyAlignment="1">
      <alignment horizontal="center"/>
    </xf>
    <xf numFmtId="0" fontId="68" fillId="28" borderId="9" xfId="0" applyFont="1" applyFill="1" applyBorder="1" applyAlignment="1">
      <alignment vertical="center"/>
    </xf>
    <xf numFmtId="0" fontId="68" fillId="28" borderId="13" xfId="0" applyFont="1" applyFill="1" applyBorder="1" applyAlignment="1">
      <alignment vertical="center" wrapText="1"/>
    </xf>
    <xf numFmtId="0" fontId="68" fillId="28" borderId="1" xfId="0" applyFont="1" applyFill="1" applyBorder="1" applyAlignment="1">
      <alignment vertical="center"/>
    </xf>
    <xf numFmtId="0" fontId="66" fillId="0" borderId="0" xfId="0" applyFont="1" applyAlignment="1">
      <alignment horizontal="left"/>
    </xf>
    <xf numFmtId="0" fontId="66" fillId="0" borderId="0" xfId="0" applyFont="1" applyAlignment="1">
      <alignment horizontal="center"/>
    </xf>
    <xf numFmtId="0" fontId="66" fillId="0" borderId="0" xfId="0" applyFont="1" applyAlignment="1">
      <alignment horizontal="center" vertical="center"/>
    </xf>
    <xf numFmtId="0" fontId="67" fillId="26" borderId="4" xfId="0" applyFont="1" applyFill="1" applyBorder="1" applyAlignment="1">
      <alignment horizontal="left" vertical="center"/>
    </xf>
    <xf numFmtId="0" fontId="67" fillId="26" borderId="13" xfId="0" applyFont="1" applyFill="1" applyBorder="1" applyAlignment="1">
      <alignment horizontal="left" vertical="center"/>
    </xf>
    <xf numFmtId="0" fontId="67" fillId="28" borderId="9" xfId="0" applyFont="1" applyFill="1" applyBorder="1" applyAlignment="1">
      <alignment horizontal="left"/>
    </xf>
    <xf numFmtId="0" fontId="67" fillId="28" borderId="1" xfId="0" applyFont="1" applyFill="1" applyBorder="1" applyAlignment="1">
      <alignment horizontal="left"/>
    </xf>
    <xf numFmtId="16" fontId="49" fillId="3" borderId="13" xfId="0" applyNumberFormat="1" applyFont="1" applyFill="1" applyBorder="1" applyAlignment="1">
      <alignment horizontal="left" vertical="center"/>
    </xf>
    <xf numFmtId="177" fontId="11" fillId="2" borderId="3" xfId="0" applyNumberFormat="1" applyFont="1" applyFill="1" applyBorder="1" applyAlignment="1">
      <alignment horizontal="left" vertical="center" wrapText="1"/>
    </xf>
    <xf numFmtId="0" fontId="46" fillId="0" borderId="5" xfId="0" applyFont="1" applyBorder="1" applyAlignment="1">
      <alignment horizontal="left" vertical="center"/>
    </xf>
    <xf numFmtId="0" fontId="49" fillId="0" borderId="5" xfId="0" applyFont="1" applyBorder="1" applyAlignment="1">
      <alignment horizontal="left" vertical="center"/>
    </xf>
    <xf numFmtId="176" fontId="49" fillId="0" borderId="5" xfId="0" applyNumberFormat="1" applyFont="1" applyBorder="1" applyAlignment="1">
      <alignment horizontal="left" vertical="center"/>
    </xf>
    <xf numFmtId="188" fontId="49" fillId="0" borderId="5" xfId="2863" applyNumberFormat="1" applyFont="1" applyFill="1" applyBorder="1" applyAlignment="1">
      <alignment horizontal="left" vertical="center"/>
    </xf>
    <xf numFmtId="184" fontId="49" fillId="0" borderId="5" xfId="0" applyNumberFormat="1" applyFont="1" applyBorder="1" applyAlignment="1">
      <alignment horizontal="left" vertical="center"/>
    </xf>
    <xf numFmtId="178" fontId="49" fillId="0" borderId="5" xfId="0" applyNumberFormat="1" applyFont="1" applyBorder="1" applyAlignment="1">
      <alignment horizontal="left" vertical="center"/>
    </xf>
    <xf numFmtId="179" fontId="49" fillId="0" borderId="5" xfId="2863" applyNumberFormat="1" applyFont="1" applyFill="1" applyBorder="1" applyAlignment="1">
      <alignment horizontal="left" vertical="center"/>
    </xf>
    <xf numFmtId="178" fontId="49" fillId="0" borderId="5" xfId="2863" applyNumberFormat="1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/>
    </xf>
    <xf numFmtId="0" fontId="8" fillId="9" borderId="4" xfId="0" applyFont="1" applyFill="1" applyBorder="1" applyAlignment="1">
      <alignment horizontal="left"/>
    </xf>
    <xf numFmtId="178" fontId="8" fillId="9" borderId="1" xfId="0" applyNumberFormat="1" applyFont="1" applyFill="1" applyBorder="1" applyAlignment="1">
      <alignment horizontal="left"/>
    </xf>
    <xf numFmtId="0" fontId="10" fillId="6" borderId="4" xfId="0" applyFont="1" applyFill="1" applyBorder="1"/>
    <xf numFmtId="0" fontId="7" fillId="6" borderId="1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3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/>
    </xf>
    <xf numFmtId="0" fontId="10" fillId="6" borderId="16" xfId="0" applyFont="1" applyFill="1" applyBorder="1"/>
    <xf numFmtId="0" fontId="7" fillId="6" borderId="13" xfId="0" applyFont="1" applyFill="1" applyBorder="1" applyAlignment="1">
      <alignment horizontal="left"/>
    </xf>
    <xf numFmtId="0" fontId="10" fillId="6" borderId="19" xfId="0" applyFont="1" applyFill="1" applyBorder="1"/>
    <xf numFmtId="179" fontId="7" fillId="6" borderId="2" xfId="0" applyNumberFormat="1" applyFont="1" applyFill="1" applyBorder="1" applyAlignment="1">
      <alignment horizontal="left"/>
    </xf>
    <xf numFmtId="177" fontId="7" fillId="6" borderId="1" xfId="0" applyNumberFormat="1" applyFont="1" applyFill="1" applyBorder="1" applyAlignment="1">
      <alignment horizontal="left"/>
    </xf>
    <xf numFmtId="177" fontId="7" fillId="6" borderId="4" xfId="0" applyNumberFormat="1" applyFont="1" applyFill="1" applyBorder="1" applyAlignment="1">
      <alignment horizontal="center"/>
    </xf>
    <xf numFmtId="178" fontId="7" fillId="6" borderId="1" xfId="0" applyNumberFormat="1" applyFont="1" applyFill="1" applyBorder="1" applyAlignment="1">
      <alignment horizontal="left"/>
    </xf>
    <xf numFmtId="179" fontId="7" fillId="6" borderId="1" xfId="0" applyNumberFormat="1" applyFont="1" applyFill="1" applyBorder="1" applyAlignment="1">
      <alignment horizontal="left"/>
    </xf>
    <xf numFmtId="0" fontId="7" fillId="6" borderId="0" xfId="0" applyFont="1" applyFill="1" applyAlignment="1">
      <alignment horizontal="left"/>
    </xf>
    <xf numFmtId="0" fontId="59" fillId="6" borderId="0" xfId="0" applyFont="1" applyFill="1" applyAlignment="1">
      <alignment horizontal="left"/>
    </xf>
    <xf numFmtId="0" fontId="48" fillId="2" borderId="4" xfId="0" applyFont="1" applyFill="1" applyBorder="1" applyAlignment="1">
      <alignment horizontal="left" vertical="center"/>
    </xf>
    <xf numFmtId="0" fontId="56" fillId="38" borderId="27" xfId="0" applyFont="1" applyFill="1" applyBorder="1"/>
    <xf numFmtId="0" fontId="7" fillId="17" borderId="4" xfId="0" applyFont="1" applyFill="1" applyBorder="1"/>
    <xf numFmtId="0" fontId="59" fillId="17" borderId="0" xfId="0" applyFont="1" applyFill="1" applyAlignment="1">
      <alignment horizontal="left"/>
    </xf>
    <xf numFmtId="0" fontId="7" fillId="17" borderId="13" xfId="0" applyFont="1" applyFill="1" applyBorder="1"/>
    <xf numFmtId="178" fontId="8" fillId="43" borderId="1" xfId="0" applyNumberFormat="1" applyFont="1" applyFill="1" applyBorder="1" applyAlignment="1">
      <alignment horizontal="left"/>
    </xf>
    <xf numFmtId="0" fontId="8" fillId="43" borderId="1" xfId="0" applyFont="1" applyFill="1" applyBorder="1" applyAlignment="1">
      <alignment horizontal="left"/>
    </xf>
    <xf numFmtId="0" fontId="26" fillId="20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6" fillId="0" borderId="0" xfId="0" applyFont="1"/>
    <xf numFmtId="0" fontId="14" fillId="0" borderId="0" xfId="0" applyFont="1"/>
    <xf numFmtId="0" fontId="26" fillId="0" borderId="0" xfId="0" applyFont="1" applyAlignment="1">
      <alignment horizontal="left"/>
    </xf>
    <xf numFmtId="178" fontId="9" fillId="37" borderId="1" xfId="0" applyNumberFormat="1" applyFont="1" applyFill="1" applyBorder="1" applyAlignment="1">
      <alignment horizontal="left"/>
    </xf>
    <xf numFmtId="178" fontId="50" fillId="3" borderId="13" xfId="0" applyNumberFormat="1" applyFont="1" applyFill="1" applyBorder="1" applyAlignment="1">
      <alignment horizontal="left" vertical="center"/>
    </xf>
    <xf numFmtId="0" fontId="11" fillId="11" borderId="19" xfId="0" applyFont="1" applyFill="1" applyBorder="1" applyAlignment="1">
      <alignment horizontal="center" vertical="center" wrapText="1"/>
    </xf>
    <xf numFmtId="0" fontId="11" fillId="11" borderId="13" xfId="0" applyFont="1" applyFill="1" applyBorder="1" applyAlignment="1">
      <alignment horizontal="center" vertical="center" wrapText="1"/>
    </xf>
    <xf numFmtId="0" fontId="9" fillId="11" borderId="13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center" wrapText="1"/>
    </xf>
    <xf numFmtId="0" fontId="60" fillId="26" borderId="4" xfId="0" applyFont="1" applyFill="1" applyBorder="1" applyAlignment="1">
      <alignment horizontal="center" vertical="center"/>
    </xf>
    <xf numFmtId="0" fontId="10" fillId="26" borderId="4" xfId="0" applyFont="1" applyFill="1" applyBorder="1" applyAlignment="1">
      <alignment horizontal="left" vertical="center"/>
    </xf>
    <xf numFmtId="0" fontId="10" fillId="26" borderId="4" xfId="0" applyFont="1" applyFill="1" applyBorder="1" applyAlignment="1">
      <alignment horizontal="center" vertical="center"/>
    </xf>
    <xf numFmtId="0" fontId="7" fillId="26" borderId="4" xfId="0" applyFont="1" applyFill="1" applyBorder="1" applyAlignment="1">
      <alignment horizontal="center" vertical="center"/>
    </xf>
    <xf numFmtId="0" fontId="10" fillId="26" borderId="4" xfId="0" applyFont="1" applyFill="1" applyBorder="1" applyAlignment="1">
      <alignment horizontal="left" vertical="center" wrapText="1"/>
    </xf>
    <xf numFmtId="0" fontId="10" fillId="26" borderId="13" xfId="0" applyFont="1" applyFill="1" applyBorder="1" applyAlignment="1">
      <alignment horizontal="left" vertical="center"/>
    </xf>
    <xf numFmtId="0" fontId="10" fillId="26" borderId="13" xfId="0" applyFont="1" applyFill="1" applyBorder="1" applyAlignment="1">
      <alignment horizontal="center" vertical="center"/>
    </xf>
    <xf numFmtId="0" fontId="7" fillId="26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44" fillId="0" borderId="4" xfId="0" applyFont="1" applyBorder="1" applyAlignment="1">
      <alignment horizontal="left" vertical="center"/>
    </xf>
    <xf numFmtId="0" fontId="63" fillId="2" borderId="4" xfId="0" applyFont="1" applyFill="1" applyBorder="1" applyAlignment="1">
      <alignment horizontal="left" vertical="center" wrapText="1"/>
    </xf>
    <xf numFmtId="0" fontId="46" fillId="14" borderId="4" xfId="0" applyFont="1" applyFill="1" applyBorder="1" applyAlignment="1">
      <alignment horizontal="left" vertical="center"/>
    </xf>
    <xf numFmtId="0" fontId="49" fillId="14" borderId="4" xfId="0" applyFont="1" applyFill="1" applyBorder="1" applyAlignment="1">
      <alignment horizontal="left" vertical="center"/>
    </xf>
    <xf numFmtId="180" fontId="49" fillId="14" borderId="4" xfId="0" applyNumberFormat="1" applyFont="1" applyFill="1" applyBorder="1" applyAlignment="1">
      <alignment horizontal="left" vertical="center"/>
    </xf>
    <xf numFmtId="188" fontId="49" fillId="14" borderId="4" xfId="0" applyNumberFormat="1" applyFont="1" applyFill="1" applyBorder="1" applyAlignment="1">
      <alignment horizontal="left" vertical="center"/>
    </xf>
    <xf numFmtId="184" fontId="49" fillId="14" borderId="4" xfId="0" applyNumberFormat="1" applyFont="1" applyFill="1" applyBorder="1" applyAlignment="1">
      <alignment horizontal="left" vertical="center"/>
    </xf>
    <xf numFmtId="0" fontId="49" fillId="14" borderId="9" xfId="0" applyFont="1" applyFill="1" applyBorder="1" applyAlignment="1">
      <alignment horizontal="left" vertical="center"/>
    </xf>
    <xf numFmtId="178" fontId="0" fillId="0" borderId="0" xfId="0" applyNumberFormat="1"/>
    <xf numFmtId="178" fontId="10" fillId="6" borderId="9" xfId="0" applyNumberFormat="1" applyFont="1" applyFill="1" applyBorder="1" applyAlignment="1">
      <alignment horizontal="left"/>
    </xf>
    <xf numFmtId="179" fontId="8" fillId="43" borderId="4" xfId="0" applyNumberFormat="1" applyFont="1" applyFill="1" applyBorder="1" applyAlignment="1">
      <alignment horizontal="left"/>
    </xf>
    <xf numFmtId="0" fontId="73" fillId="43" borderId="4" xfId="0" applyFont="1" applyFill="1" applyBorder="1"/>
    <xf numFmtId="179" fontId="8" fillId="43" borderId="13" xfId="0" applyNumberFormat="1" applyFont="1" applyFill="1" applyBorder="1" applyAlignment="1">
      <alignment horizontal="left"/>
    </xf>
    <xf numFmtId="1" fontId="44" fillId="34" borderId="26" xfId="0" applyNumberFormat="1" applyFont="1" applyFill="1" applyBorder="1" applyAlignment="1">
      <alignment horizontal="left" vertical="center" wrapText="1"/>
    </xf>
    <xf numFmtId="0" fontId="68" fillId="28" borderId="19" xfId="0" applyFont="1" applyFill="1" applyBorder="1" applyAlignment="1">
      <alignment vertical="center"/>
    </xf>
    <xf numFmtId="0" fontId="67" fillId="28" borderId="19" xfId="0" applyFont="1" applyFill="1" applyBorder="1" applyAlignment="1">
      <alignment horizontal="center"/>
    </xf>
    <xf numFmtId="178" fontId="8" fillId="28" borderId="1" xfId="0" applyNumberFormat="1" applyFont="1" applyFill="1" applyBorder="1" applyAlignment="1">
      <alignment horizontal="left"/>
    </xf>
    <xf numFmtId="0" fontId="67" fillId="26" borderId="4" xfId="0" applyFont="1" applyFill="1" applyBorder="1" applyAlignment="1">
      <alignment horizontal="center"/>
    </xf>
    <xf numFmtId="0" fontId="67" fillId="26" borderId="13" xfId="0" applyFont="1" applyFill="1" applyBorder="1" applyAlignment="1">
      <alignment horizontal="center"/>
    </xf>
    <xf numFmtId="0" fontId="68" fillId="26" borderId="4" xfId="0" applyFont="1" applyFill="1" applyBorder="1"/>
    <xf numFmtId="0" fontId="68" fillId="26" borderId="13" xfId="0" applyFont="1" applyFill="1" applyBorder="1"/>
    <xf numFmtId="0" fontId="68" fillId="26" borderId="4" xfId="0" applyFont="1" applyFill="1" applyBorder="1" applyAlignment="1">
      <alignment horizontal="center"/>
    </xf>
    <xf numFmtId="0" fontId="68" fillId="26" borderId="13" xfId="0" applyFont="1" applyFill="1" applyBorder="1" applyAlignment="1">
      <alignment horizontal="center"/>
    </xf>
    <xf numFmtId="178" fontId="10" fillId="43" borderId="1" xfId="0" applyNumberFormat="1" applyFont="1" applyFill="1" applyBorder="1" applyAlignment="1">
      <alignment horizontal="left"/>
    </xf>
    <xf numFmtId="0" fontId="10" fillId="43" borderId="1" xfId="0" applyFont="1" applyFill="1" applyBorder="1" applyAlignment="1">
      <alignment horizontal="left"/>
    </xf>
    <xf numFmtId="0" fontId="46" fillId="0" borderId="13" xfId="0" applyFont="1" applyBorder="1" applyAlignment="1">
      <alignment horizontal="left" vertical="center"/>
    </xf>
    <xf numFmtId="176" fontId="46" fillId="0" borderId="4" xfId="0" applyNumberFormat="1" applyFont="1" applyBorder="1" applyAlignment="1">
      <alignment horizontal="left" vertical="center"/>
    </xf>
    <xf numFmtId="179" fontId="46" fillId="0" borderId="4" xfId="0" applyNumberFormat="1" applyFont="1" applyBorder="1" applyAlignment="1">
      <alignment horizontal="left" vertical="center"/>
    </xf>
    <xf numFmtId="0" fontId="46" fillId="0" borderId="9" xfId="0" applyFont="1" applyBorder="1" applyAlignment="1">
      <alignment horizontal="left" vertical="center"/>
    </xf>
    <xf numFmtId="178" fontId="46" fillId="0" borderId="4" xfId="2863" applyNumberFormat="1" applyFont="1" applyFill="1" applyBorder="1" applyAlignment="1">
      <alignment horizontal="left" vertical="center"/>
    </xf>
    <xf numFmtId="179" fontId="46" fillId="0" borderId="4" xfId="2863" applyNumberFormat="1" applyFont="1" applyFill="1" applyBorder="1" applyAlignment="1">
      <alignment horizontal="left" vertical="center"/>
    </xf>
    <xf numFmtId="0" fontId="46" fillId="0" borderId="19" xfId="0" applyFont="1" applyBorder="1" applyAlignment="1">
      <alignment horizontal="left" vertical="center"/>
    </xf>
    <xf numFmtId="176" fontId="46" fillId="0" borderId="13" xfId="0" applyNumberFormat="1" applyFont="1" applyBorder="1" applyAlignment="1">
      <alignment horizontal="left" vertical="center"/>
    </xf>
    <xf numFmtId="188" fontId="46" fillId="0" borderId="13" xfId="0" applyNumberFormat="1" applyFont="1" applyBorder="1" applyAlignment="1">
      <alignment horizontal="left" vertical="center"/>
    </xf>
    <xf numFmtId="184" fontId="46" fillId="0" borderId="13" xfId="0" applyNumberFormat="1" applyFont="1" applyBorder="1" applyAlignment="1">
      <alignment horizontal="left" vertical="center"/>
    </xf>
    <xf numFmtId="179" fontId="10" fillId="43" borderId="4" xfId="0" applyNumberFormat="1" applyFont="1" applyFill="1" applyBorder="1" applyAlignment="1">
      <alignment horizontal="left"/>
    </xf>
    <xf numFmtId="179" fontId="10" fillId="43" borderId="13" xfId="0" applyNumberFormat="1" applyFont="1" applyFill="1" applyBorder="1" applyAlignment="1">
      <alignment horizontal="left"/>
    </xf>
    <xf numFmtId="0" fontId="10" fillId="43" borderId="4" xfId="0" applyFont="1" applyFill="1" applyBorder="1" applyAlignment="1">
      <alignment horizontal="left"/>
    </xf>
    <xf numFmtId="179" fontId="50" fillId="14" borderId="4" xfId="0" applyNumberFormat="1" applyFont="1" applyFill="1" applyBorder="1" applyAlignment="1">
      <alignment horizontal="left" vertical="center"/>
    </xf>
    <xf numFmtId="0" fontId="59" fillId="3" borderId="0" xfId="0" applyFont="1" applyFill="1" applyAlignment="1">
      <alignment horizontal="left"/>
    </xf>
    <xf numFmtId="0" fontId="48" fillId="0" borderId="4" xfId="2863" applyNumberFormat="1" applyFont="1" applyBorder="1" applyAlignment="1">
      <alignment vertical="center" wrapText="1"/>
    </xf>
    <xf numFmtId="184" fontId="48" fillId="0" borderId="4" xfId="0" applyNumberFormat="1" applyFont="1" applyBorder="1" applyAlignment="1">
      <alignment vertical="center" wrapText="1"/>
    </xf>
    <xf numFmtId="0" fontId="49" fillId="0" borderId="4" xfId="0" applyFont="1" applyBorder="1" applyAlignment="1">
      <alignment vertical="center"/>
    </xf>
    <xf numFmtId="0" fontId="74" fillId="0" borderId="0" xfId="0" applyFont="1"/>
    <xf numFmtId="178" fontId="46" fillId="14" borderId="4" xfId="0" applyNumberFormat="1" applyFont="1" applyFill="1" applyBorder="1" applyAlignment="1">
      <alignment horizontal="left" vertical="center"/>
    </xf>
    <xf numFmtId="178" fontId="8" fillId="9" borderId="4" xfId="0" applyNumberFormat="1" applyFont="1" applyFill="1" applyBorder="1" applyAlignment="1">
      <alignment horizontal="left"/>
    </xf>
    <xf numFmtId="178" fontId="49" fillId="46" borderId="4" xfId="0" applyNumberFormat="1" applyFont="1" applyFill="1" applyBorder="1" applyAlignment="1">
      <alignment horizontal="left" vertical="center"/>
    </xf>
    <xf numFmtId="188" fontId="46" fillId="0" borderId="4" xfId="2863" applyNumberFormat="1" applyFont="1" applyFill="1" applyBorder="1" applyAlignment="1">
      <alignment horizontal="left" vertical="center"/>
    </xf>
    <xf numFmtId="179" fontId="46" fillId="0" borderId="13" xfId="2863" applyNumberFormat="1" applyFont="1" applyFill="1" applyBorder="1" applyAlignment="1">
      <alignment horizontal="left" vertical="center"/>
    </xf>
    <xf numFmtId="178" fontId="46" fillId="0" borderId="13" xfId="0" applyNumberFormat="1" applyFont="1" applyBorder="1" applyAlignment="1">
      <alignment horizontal="left" vertical="center"/>
    </xf>
    <xf numFmtId="0" fontId="46" fillId="0" borderId="4" xfId="0" applyFont="1" applyBorder="1" applyAlignment="1">
      <alignment horizontal="left" vertical="center" wrapText="1"/>
    </xf>
    <xf numFmtId="0" fontId="76" fillId="0" borderId="4" xfId="0" applyFont="1" applyBorder="1" applyAlignment="1">
      <alignment horizontal="left" vertical="center"/>
    </xf>
    <xf numFmtId="178" fontId="46" fillId="3" borderId="13" xfId="0" applyNumberFormat="1" applyFont="1" applyFill="1" applyBorder="1" applyAlignment="1">
      <alignment horizontal="left" vertical="center"/>
    </xf>
    <xf numFmtId="179" fontId="7" fillId="43" borderId="2" xfId="0" applyNumberFormat="1" applyFont="1" applyFill="1" applyBorder="1" applyAlignment="1">
      <alignment horizontal="left"/>
    </xf>
    <xf numFmtId="176" fontId="49" fillId="0" borderId="13" xfId="0" applyNumberFormat="1" applyFont="1" applyBorder="1" applyAlignment="1">
      <alignment horizontal="left" vertical="center"/>
    </xf>
    <xf numFmtId="188" fontId="49" fillId="0" borderId="13" xfId="0" applyNumberFormat="1" applyFont="1" applyBorder="1" applyAlignment="1">
      <alignment horizontal="left" vertical="center"/>
    </xf>
    <xf numFmtId="178" fontId="49" fillId="0" borderId="13" xfId="0" applyNumberFormat="1" applyFont="1" applyBorder="1" applyAlignment="1">
      <alignment horizontal="left" vertical="center"/>
    </xf>
    <xf numFmtId="0" fontId="49" fillId="0" borderId="1" xfId="0" applyFont="1" applyBorder="1" applyAlignment="1">
      <alignment horizontal="left" vertical="center"/>
    </xf>
    <xf numFmtId="0" fontId="7" fillId="6" borderId="1" xfId="0" quotePrefix="1" applyFont="1" applyFill="1" applyBorder="1" applyAlignment="1">
      <alignment horizontal="left"/>
    </xf>
    <xf numFmtId="184" fontId="49" fillId="0" borderId="13" xfId="0" applyNumberFormat="1" applyFont="1" applyBorder="1" applyAlignment="1">
      <alignment horizontal="left" vertical="center"/>
    </xf>
    <xf numFmtId="0" fontId="7" fillId="43" borderId="1" xfId="0" applyFont="1" applyFill="1" applyBorder="1"/>
    <xf numFmtId="0" fontId="63" fillId="3" borderId="19" xfId="0" applyFont="1" applyFill="1" applyBorder="1" applyAlignment="1">
      <alignment horizontal="left" vertical="center"/>
    </xf>
    <xf numFmtId="178" fontId="49" fillId="3" borderId="13" xfId="2863" applyNumberFormat="1" applyFont="1" applyFill="1" applyBorder="1" applyAlignment="1">
      <alignment horizontal="left" vertical="center"/>
    </xf>
    <xf numFmtId="0" fontId="7" fillId="9" borderId="12" xfId="0" applyFont="1" applyFill="1" applyBorder="1" applyAlignment="1">
      <alignment horizontal="left"/>
    </xf>
    <xf numFmtId="0" fontId="7" fillId="9" borderId="9" xfId="0" applyFont="1" applyFill="1" applyBorder="1" applyAlignment="1">
      <alignment horizontal="left"/>
    </xf>
    <xf numFmtId="179" fontId="7" fillId="9" borderId="12" xfId="0" applyNumberFormat="1" applyFont="1" applyFill="1" applyBorder="1" applyAlignment="1">
      <alignment horizontal="left"/>
    </xf>
    <xf numFmtId="177" fontId="7" fillId="9" borderId="9" xfId="0" applyNumberFormat="1" applyFont="1" applyFill="1" applyBorder="1" applyAlignment="1">
      <alignment horizontal="left"/>
    </xf>
    <xf numFmtId="177" fontId="7" fillId="9" borderId="9" xfId="0" applyNumberFormat="1" applyFont="1" applyFill="1" applyBorder="1" applyAlignment="1">
      <alignment horizontal="center"/>
    </xf>
    <xf numFmtId="0" fontId="7" fillId="9" borderId="9" xfId="0" applyFont="1" applyFill="1" applyBorder="1"/>
    <xf numFmtId="178" fontId="7" fillId="9" borderId="9" xfId="0" applyNumberFormat="1" applyFont="1" applyFill="1" applyBorder="1" applyAlignment="1">
      <alignment horizontal="left"/>
    </xf>
    <xf numFmtId="179" fontId="7" fillId="9" borderId="9" xfId="0" applyNumberFormat="1" applyFont="1" applyFill="1" applyBorder="1" applyAlignment="1">
      <alignment horizontal="left"/>
    </xf>
    <xf numFmtId="0" fontId="7" fillId="9" borderId="16" xfId="0" applyFont="1" applyFill="1" applyBorder="1" applyAlignment="1">
      <alignment horizontal="left"/>
    </xf>
    <xf numFmtId="179" fontId="7" fillId="9" borderId="16" xfId="0" applyNumberFormat="1" applyFont="1" applyFill="1" applyBorder="1" applyAlignment="1">
      <alignment horizontal="left"/>
    </xf>
    <xf numFmtId="178" fontId="7" fillId="9" borderId="13" xfId="0" applyNumberFormat="1" applyFont="1" applyFill="1" applyBorder="1" applyAlignment="1">
      <alignment horizontal="left"/>
    </xf>
    <xf numFmtId="0" fontId="46" fillId="45" borderId="4" xfId="0" applyFont="1" applyFill="1" applyBorder="1" applyAlignment="1">
      <alignment horizontal="left" vertical="center"/>
    </xf>
    <xf numFmtId="178" fontId="46" fillId="45" borderId="4" xfId="0" applyNumberFormat="1" applyFont="1" applyFill="1" applyBorder="1" applyAlignment="1">
      <alignment horizontal="left" vertical="center"/>
    </xf>
    <xf numFmtId="180" fontId="46" fillId="45" borderId="4" xfId="0" applyNumberFormat="1" applyFont="1" applyFill="1" applyBorder="1" applyAlignment="1">
      <alignment horizontal="left" vertical="center"/>
    </xf>
    <xf numFmtId="176" fontId="46" fillId="45" borderId="4" xfId="0" applyNumberFormat="1" applyFont="1" applyFill="1" applyBorder="1" applyAlignment="1">
      <alignment horizontal="left" vertical="center"/>
    </xf>
    <xf numFmtId="188" fontId="46" fillId="45" borderId="4" xfId="2863" applyNumberFormat="1" applyFont="1" applyFill="1" applyBorder="1" applyAlignment="1">
      <alignment horizontal="left" vertical="center"/>
    </xf>
    <xf numFmtId="184" fontId="46" fillId="45" borderId="4" xfId="0" applyNumberFormat="1" applyFont="1" applyFill="1" applyBorder="1" applyAlignment="1">
      <alignment horizontal="left" vertical="center"/>
    </xf>
    <xf numFmtId="179" fontId="46" fillId="45" borderId="4" xfId="0" applyNumberFormat="1" applyFont="1" applyFill="1" applyBorder="1" applyAlignment="1">
      <alignment horizontal="left" vertical="center"/>
    </xf>
    <xf numFmtId="0" fontId="51" fillId="47" borderId="4" xfId="0" applyFont="1" applyFill="1" applyBorder="1"/>
    <xf numFmtId="0" fontId="56" fillId="0" borderId="0" xfId="0" applyFont="1"/>
    <xf numFmtId="190" fontId="66" fillId="26" borderId="4" xfId="0" applyNumberFormat="1" applyFont="1" applyFill="1" applyBorder="1" applyAlignment="1">
      <alignment horizontal="center" vertical="center"/>
    </xf>
    <xf numFmtId="190" fontId="66" fillId="26" borderId="13" xfId="0" applyNumberFormat="1" applyFont="1" applyFill="1" applyBorder="1" applyAlignment="1">
      <alignment horizontal="center" vertical="center"/>
    </xf>
    <xf numFmtId="0" fontId="77" fillId="44" borderId="4" xfId="0" applyFont="1" applyFill="1" applyBorder="1"/>
    <xf numFmtId="178" fontId="77" fillId="44" borderId="4" xfId="0" applyNumberFormat="1" applyFont="1" applyFill="1" applyBorder="1"/>
    <xf numFmtId="178" fontId="46" fillId="9" borderId="13" xfId="0" applyNumberFormat="1" applyFont="1" applyFill="1" applyBorder="1" applyAlignment="1">
      <alignment horizontal="left" vertical="center"/>
    </xf>
    <xf numFmtId="177" fontId="11" fillId="2" borderId="3" xfId="0" applyNumberFormat="1" applyFont="1" applyFill="1" applyBorder="1" applyAlignment="1">
      <alignment horizontal="center" vertical="center" wrapText="1"/>
    </xf>
    <xf numFmtId="0" fontId="49" fillId="9" borderId="13" xfId="0" applyFont="1" applyFill="1" applyBorder="1" applyAlignment="1">
      <alignment horizontal="left" vertical="center"/>
    </xf>
    <xf numFmtId="179" fontId="7" fillId="43" borderId="4" xfId="0" applyNumberFormat="1" applyFont="1" applyFill="1" applyBorder="1" applyAlignment="1">
      <alignment horizontal="center"/>
    </xf>
    <xf numFmtId="0" fontId="9" fillId="43" borderId="1" xfId="0" applyFont="1" applyFill="1" applyBorder="1" applyAlignment="1">
      <alignment horizontal="left"/>
    </xf>
    <xf numFmtId="0" fontId="14" fillId="0" borderId="0" xfId="0" applyFont="1" applyAlignment="1">
      <alignment horizontal="left" vertical="center"/>
    </xf>
    <xf numFmtId="180" fontId="14" fillId="0" borderId="0" xfId="0" applyNumberFormat="1" applyFont="1" applyAlignment="1">
      <alignment horizontal="left" vertical="center"/>
    </xf>
    <xf numFmtId="0" fontId="7" fillId="28" borderId="1" xfId="0" applyFont="1" applyFill="1" applyBorder="1" applyAlignment="1">
      <alignment horizontal="left" wrapText="1"/>
    </xf>
    <xf numFmtId="0" fontId="48" fillId="0" borderId="4" xfId="2863" applyNumberFormat="1" applyFont="1" applyBorder="1" applyAlignment="1">
      <alignment horizontal="left" vertical="center" wrapText="1"/>
    </xf>
    <xf numFmtId="184" fontId="48" fillId="0" borderId="4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63" fillId="8" borderId="4" xfId="2863" quotePrefix="1" applyNumberFormat="1" applyFont="1" applyFill="1" applyBorder="1" applyAlignment="1">
      <alignment horizontal="left" vertical="center"/>
    </xf>
    <xf numFmtId="0" fontId="48" fillId="3" borderId="4" xfId="2863" applyNumberFormat="1" applyFont="1" applyFill="1" applyBorder="1" applyAlignment="1">
      <alignment horizontal="left" vertical="center" wrapText="1"/>
    </xf>
    <xf numFmtId="178" fontId="46" fillId="46" borderId="4" xfId="0" applyNumberFormat="1" applyFont="1" applyFill="1" applyBorder="1" applyAlignment="1">
      <alignment horizontal="left" vertical="center"/>
    </xf>
    <xf numFmtId="178" fontId="46" fillId="48" borderId="4" xfId="0" applyNumberFormat="1" applyFont="1" applyFill="1" applyBorder="1" applyAlignment="1">
      <alignment horizontal="left" vertical="center"/>
    </xf>
    <xf numFmtId="178" fontId="49" fillId="48" borderId="4" xfId="0" applyNumberFormat="1" applyFont="1" applyFill="1" applyBorder="1" applyAlignment="1">
      <alignment horizontal="left" vertical="center"/>
    </xf>
    <xf numFmtId="178" fontId="49" fillId="48" borderId="13" xfId="0" applyNumberFormat="1" applyFont="1" applyFill="1" applyBorder="1" applyAlignment="1">
      <alignment horizontal="left" vertical="center"/>
    </xf>
    <xf numFmtId="187" fontId="49" fillId="0" borderId="4" xfId="0" applyNumberFormat="1" applyFont="1" applyBorder="1" applyAlignment="1">
      <alignment horizontal="center" vertical="center"/>
    </xf>
    <xf numFmtId="187" fontId="49" fillId="0" borderId="5" xfId="0" applyNumberFormat="1" applyFont="1" applyBorder="1" applyAlignment="1">
      <alignment horizontal="center" vertical="center"/>
    </xf>
    <xf numFmtId="187" fontId="46" fillId="0" borderId="4" xfId="0" applyNumberFormat="1" applyFont="1" applyBorder="1" applyAlignment="1">
      <alignment horizontal="center" vertical="center"/>
    </xf>
    <xf numFmtId="187" fontId="46" fillId="45" borderId="4" xfId="0" applyNumberFormat="1" applyFont="1" applyFill="1" applyBorder="1" applyAlignment="1">
      <alignment horizontal="center" vertical="center"/>
    </xf>
    <xf numFmtId="187" fontId="49" fillId="3" borderId="4" xfId="0" applyNumberFormat="1" applyFont="1" applyFill="1" applyBorder="1" applyAlignment="1">
      <alignment horizontal="center" vertical="center"/>
    </xf>
    <xf numFmtId="187" fontId="49" fillId="9" borderId="4" xfId="0" applyNumberFormat="1" applyFont="1" applyFill="1" applyBorder="1" applyAlignment="1">
      <alignment horizontal="center" vertical="center"/>
    </xf>
    <xf numFmtId="187" fontId="49" fillId="14" borderId="4" xfId="0" applyNumberFormat="1" applyFont="1" applyFill="1" applyBorder="1" applyAlignment="1">
      <alignment horizontal="center" vertical="center"/>
    </xf>
    <xf numFmtId="187" fontId="49" fillId="3" borderId="13" xfId="0" applyNumberFormat="1" applyFont="1" applyFill="1" applyBorder="1" applyAlignment="1">
      <alignment horizontal="center" vertical="center"/>
    </xf>
    <xf numFmtId="0" fontId="49" fillId="3" borderId="4" xfId="0" applyFont="1" applyFill="1" applyBorder="1" applyAlignment="1">
      <alignment horizontal="center" vertical="center"/>
    </xf>
    <xf numFmtId="191" fontId="49" fillId="0" borderId="4" xfId="0" applyNumberFormat="1" applyFont="1" applyBorder="1" applyAlignment="1">
      <alignment horizontal="left" vertical="center"/>
    </xf>
    <xf numFmtId="0" fontId="78" fillId="43" borderId="29" xfId="0" applyFont="1" applyFill="1" applyBorder="1"/>
    <xf numFmtId="0" fontId="61" fillId="43" borderId="29" xfId="0" applyFont="1" applyFill="1" applyBorder="1"/>
    <xf numFmtId="0" fontId="69" fillId="26" borderId="4" xfId="0" applyFont="1" applyFill="1" applyBorder="1" applyAlignment="1">
      <alignment horizontal="center"/>
    </xf>
    <xf numFmtId="179" fontId="46" fillId="0" borderId="4" xfId="2863" applyNumberFormat="1" applyFont="1" applyBorder="1" applyAlignment="1">
      <alignment horizontal="left" vertical="center"/>
    </xf>
    <xf numFmtId="0" fontId="48" fillId="0" borderId="4" xfId="0" applyFont="1" applyBorder="1" applyAlignment="1">
      <alignment horizontal="center" vertical="center" wrapText="1"/>
    </xf>
    <xf numFmtId="0" fontId="49" fillId="0" borderId="4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left"/>
    </xf>
    <xf numFmtId="0" fontId="67" fillId="28" borderId="4" xfId="0" applyFont="1" applyFill="1" applyBorder="1" applyAlignment="1">
      <alignment horizontal="left"/>
    </xf>
    <xf numFmtId="14" fontId="67" fillId="28" borderId="4" xfId="0" applyNumberFormat="1" applyFont="1" applyFill="1" applyBorder="1" applyAlignment="1">
      <alignment horizontal="center"/>
    </xf>
    <xf numFmtId="14" fontId="67" fillId="28" borderId="13" xfId="0" applyNumberFormat="1" applyFont="1" applyFill="1" applyBorder="1" applyAlignment="1">
      <alignment horizontal="center"/>
    </xf>
    <xf numFmtId="0" fontId="67" fillId="28" borderId="13" xfId="0" applyFont="1" applyFill="1" applyBorder="1" applyAlignment="1">
      <alignment horizontal="left"/>
    </xf>
    <xf numFmtId="1" fontId="0" fillId="0" borderId="0" xfId="0" applyNumberFormat="1"/>
    <xf numFmtId="187" fontId="46" fillId="9" borderId="4" xfId="0" applyNumberFormat="1" applyFont="1" applyFill="1" applyBorder="1" applyAlignment="1">
      <alignment horizontal="center" vertical="center"/>
    </xf>
    <xf numFmtId="176" fontId="49" fillId="3" borderId="13" xfId="0" applyNumberFormat="1" applyFont="1" applyFill="1" applyBorder="1" applyAlignment="1">
      <alignment horizontal="center" vertical="center"/>
    </xf>
    <xf numFmtId="16" fontId="46" fillId="0" borderId="13" xfId="0" applyNumberFormat="1" applyFont="1" applyBorder="1" applyAlignment="1">
      <alignment horizontal="left" vertical="center"/>
    </xf>
    <xf numFmtId="179" fontId="46" fillId="0" borderId="13" xfId="0" applyNumberFormat="1" applyFont="1" applyBorder="1" applyAlignment="1">
      <alignment horizontal="left" vertical="center"/>
    </xf>
    <xf numFmtId="0" fontId="46" fillId="0" borderId="1" xfId="0" applyFont="1" applyBorder="1" applyAlignment="1">
      <alignment horizontal="left" vertical="center"/>
    </xf>
    <xf numFmtId="16" fontId="46" fillId="0" borderId="4" xfId="0" applyNumberFormat="1" applyFont="1" applyBorder="1" applyAlignment="1">
      <alignment horizontal="left" vertical="center"/>
    </xf>
    <xf numFmtId="180" fontId="46" fillId="0" borderId="13" xfId="0" applyNumberFormat="1" applyFont="1" applyBorder="1" applyAlignment="1">
      <alignment horizontal="left" vertical="center"/>
    </xf>
    <xf numFmtId="179" fontId="49" fillId="0" borderId="13" xfId="2863" applyNumberFormat="1" applyFont="1" applyFill="1" applyBorder="1" applyAlignment="1">
      <alignment horizontal="left" vertical="center"/>
    </xf>
    <xf numFmtId="188" fontId="46" fillId="0" borderId="13" xfId="0" applyNumberFormat="1" applyFont="1" applyBorder="1" applyAlignment="1">
      <alignment vertical="center"/>
    </xf>
    <xf numFmtId="184" fontId="46" fillId="0" borderId="13" xfId="0" applyNumberFormat="1" applyFont="1" applyBorder="1" applyAlignment="1">
      <alignment vertical="center"/>
    </xf>
    <xf numFmtId="188" fontId="46" fillId="0" borderId="4" xfId="0" applyNumberFormat="1" applyFont="1" applyBorder="1" applyAlignment="1">
      <alignment vertical="center"/>
    </xf>
    <xf numFmtId="184" fontId="46" fillId="0" borderId="4" xfId="0" applyNumberFormat="1" applyFont="1" applyBorder="1" applyAlignment="1">
      <alignment vertical="center"/>
    </xf>
    <xf numFmtId="0" fontId="75" fillId="0" borderId="4" xfId="0" applyFont="1" applyBorder="1" applyAlignment="1">
      <alignment horizontal="left" vertical="center"/>
    </xf>
    <xf numFmtId="178" fontId="50" fillId="0" borderId="13" xfId="0" applyNumberFormat="1" applyFont="1" applyBorder="1" applyAlignment="1">
      <alignment horizontal="left" vertical="center"/>
    </xf>
    <xf numFmtId="16" fontId="49" fillId="0" borderId="13" xfId="0" applyNumberFormat="1" applyFont="1" applyBorder="1" applyAlignment="1">
      <alignment horizontal="left" vertical="center"/>
    </xf>
    <xf numFmtId="0" fontId="50" fillId="0" borderId="13" xfId="0" applyFont="1" applyBorder="1" applyAlignment="1">
      <alignment horizontal="left" vertical="center"/>
    </xf>
    <xf numFmtId="180" fontId="49" fillId="0" borderId="13" xfId="0" applyNumberFormat="1" applyFont="1" applyBorder="1" applyAlignment="1">
      <alignment horizontal="left" vertical="center"/>
    </xf>
    <xf numFmtId="0" fontId="63" fillId="0" borderId="4" xfId="0" applyFont="1" applyBorder="1" applyAlignment="1">
      <alignment horizontal="left" vertical="center" wrapText="1"/>
    </xf>
    <xf numFmtId="179" fontId="63" fillId="8" borderId="4" xfId="2863" applyNumberFormat="1" applyFont="1" applyFill="1" applyBorder="1" applyAlignment="1">
      <alignment horizontal="left" vertical="center" wrapText="1"/>
    </xf>
    <xf numFmtId="0" fontId="63" fillId="7" borderId="4" xfId="0" applyFont="1" applyFill="1" applyBorder="1" applyAlignment="1">
      <alignment horizontal="left" vertical="center" wrapText="1"/>
    </xf>
    <xf numFmtId="187" fontId="49" fillId="41" borderId="4" xfId="0" applyNumberFormat="1" applyFont="1" applyFill="1" applyBorder="1" applyAlignment="1">
      <alignment horizontal="center" vertical="center"/>
    </xf>
    <xf numFmtId="2" fontId="49" fillId="0" borderId="4" xfId="0" applyNumberFormat="1" applyFont="1" applyBorder="1" applyAlignment="1">
      <alignment horizontal="center" vertical="center"/>
    </xf>
    <xf numFmtId="0" fontId="49" fillId="9" borderId="4" xfId="0" applyFont="1" applyFill="1" applyBorder="1" applyAlignment="1">
      <alignment horizontal="center" vertical="center"/>
    </xf>
    <xf numFmtId="187" fontId="50" fillId="3" borderId="4" xfId="0" applyNumberFormat="1" applyFont="1" applyFill="1" applyBorder="1" applyAlignment="1">
      <alignment horizontal="center" vertical="center"/>
    </xf>
    <xf numFmtId="176" fontId="48" fillId="2" borderId="4" xfId="0" applyNumberFormat="1" applyFont="1" applyFill="1" applyBorder="1" applyAlignment="1">
      <alignment horizontal="center" vertical="center" wrapText="1"/>
    </xf>
    <xf numFmtId="176" fontId="49" fillId="0" borderId="4" xfId="0" applyNumberFormat="1" applyFont="1" applyBorder="1" applyAlignment="1">
      <alignment horizontal="center" vertical="center"/>
    </xf>
    <xf numFmtId="176" fontId="49" fillId="9" borderId="4" xfId="0" applyNumberFormat="1" applyFont="1" applyFill="1" applyBorder="1" applyAlignment="1">
      <alignment horizontal="center" vertical="center"/>
    </xf>
    <xf numFmtId="179" fontId="49" fillId="0" borderId="4" xfId="2863" applyNumberFormat="1" applyFont="1" applyFill="1" applyBorder="1" applyAlignment="1">
      <alignment horizontal="center" vertical="center"/>
    </xf>
    <xf numFmtId="179" fontId="49" fillId="9" borderId="4" xfId="2863" applyNumberFormat="1" applyFont="1" applyFill="1" applyBorder="1" applyAlignment="1">
      <alignment horizontal="center" vertical="center"/>
    </xf>
    <xf numFmtId="176" fontId="49" fillId="14" borderId="4" xfId="0" applyNumberFormat="1" applyFont="1" applyFill="1" applyBorder="1" applyAlignment="1">
      <alignment horizontal="center" vertical="center"/>
    </xf>
    <xf numFmtId="176" fontId="49" fillId="3" borderId="4" xfId="0" applyNumberFormat="1" applyFont="1" applyFill="1" applyBorder="1" applyAlignment="1">
      <alignment horizontal="center" vertical="center"/>
    </xf>
    <xf numFmtId="176" fontId="49" fillId="6" borderId="4" xfId="0" applyNumberFormat="1" applyFont="1" applyFill="1" applyBorder="1" applyAlignment="1">
      <alignment horizontal="center" vertical="center"/>
    </xf>
    <xf numFmtId="176" fontId="46" fillId="0" borderId="4" xfId="0" applyNumberFormat="1" applyFont="1" applyBorder="1" applyAlignment="1">
      <alignment horizontal="center" vertical="center"/>
    </xf>
    <xf numFmtId="176" fontId="50" fillId="0" borderId="4" xfId="0" applyNumberFormat="1" applyFont="1" applyBorder="1" applyAlignment="1">
      <alignment horizontal="center" vertical="center"/>
    </xf>
    <xf numFmtId="176" fontId="49" fillId="0" borderId="5" xfId="0" applyNumberFormat="1" applyFont="1" applyBorder="1" applyAlignment="1">
      <alignment horizontal="center" vertical="center"/>
    </xf>
    <xf numFmtId="176" fontId="46" fillId="0" borderId="13" xfId="0" applyNumberFormat="1" applyFont="1" applyBorder="1" applyAlignment="1">
      <alignment horizontal="center" vertical="center"/>
    </xf>
    <xf numFmtId="176" fontId="46" fillId="45" borderId="4" xfId="0" applyNumberFormat="1" applyFont="1" applyFill="1" applyBorder="1" applyAlignment="1">
      <alignment horizontal="center" vertical="center"/>
    </xf>
    <xf numFmtId="176" fontId="49" fillId="0" borderId="13" xfId="0" applyNumberFormat="1" applyFont="1" applyBorder="1" applyAlignment="1">
      <alignment horizontal="center" vertical="center"/>
    </xf>
    <xf numFmtId="176" fontId="50" fillId="3" borderId="4" xfId="0" applyNumberFormat="1" applyFont="1" applyFill="1" applyBorder="1" applyAlignment="1">
      <alignment horizontal="center" vertical="center"/>
    </xf>
    <xf numFmtId="0" fontId="13" fillId="12" borderId="8" xfId="0" applyFont="1" applyFill="1" applyBorder="1" applyAlignment="1">
      <alignment horizontal="center" vertical="center"/>
    </xf>
    <xf numFmtId="179" fontId="49" fillId="0" borderId="9" xfId="2863" applyNumberFormat="1" applyFont="1" applyFill="1" applyBorder="1" applyAlignment="1">
      <alignment horizontal="left" vertical="center"/>
    </xf>
    <xf numFmtId="178" fontId="49" fillId="49" borderId="4" xfId="0" applyNumberFormat="1" applyFont="1" applyFill="1" applyBorder="1" applyAlignment="1">
      <alignment horizontal="left" vertical="center"/>
    </xf>
    <xf numFmtId="178" fontId="46" fillId="49" borderId="13" xfId="0" applyNumberFormat="1" applyFont="1" applyFill="1" applyBorder="1" applyAlignment="1">
      <alignment horizontal="left" vertical="center"/>
    </xf>
    <xf numFmtId="178" fontId="46" fillId="49" borderId="4" xfId="0" applyNumberFormat="1" applyFont="1" applyFill="1" applyBorder="1" applyAlignment="1">
      <alignment horizontal="left" vertical="center"/>
    </xf>
    <xf numFmtId="178" fontId="49" fillId="49" borderId="13" xfId="0" applyNumberFormat="1" applyFont="1" applyFill="1" applyBorder="1" applyAlignment="1">
      <alignment horizontal="left" vertical="center"/>
    </xf>
    <xf numFmtId="0" fontId="7" fillId="5" borderId="4" xfId="0" applyFont="1" applyFill="1" applyBorder="1"/>
    <xf numFmtId="0" fontId="59" fillId="5" borderId="0" xfId="0" applyFont="1" applyFill="1" applyAlignment="1">
      <alignment horizontal="left"/>
    </xf>
    <xf numFmtId="0" fontId="7" fillId="17" borderId="3" xfId="0" applyFont="1" applyFill="1" applyBorder="1" applyAlignment="1">
      <alignment horizontal="left"/>
    </xf>
    <xf numFmtId="0" fontId="7" fillId="49" borderId="2" xfId="0" applyFont="1" applyFill="1" applyBorder="1" applyAlignment="1">
      <alignment horizontal="left"/>
    </xf>
    <xf numFmtId="0" fontId="7" fillId="49" borderId="1" xfId="0" applyFont="1" applyFill="1" applyBorder="1" applyAlignment="1">
      <alignment horizontal="left"/>
    </xf>
    <xf numFmtId="178" fontId="7" fillId="49" borderId="4" xfId="0" applyNumberFormat="1" applyFont="1" applyFill="1" applyBorder="1" applyAlignment="1">
      <alignment horizontal="center"/>
    </xf>
    <xf numFmtId="179" fontId="7" fillId="49" borderId="4" xfId="0" applyNumberFormat="1" applyFont="1" applyFill="1" applyBorder="1" applyAlignment="1">
      <alignment horizontal="left"/>
    </xf>
    <xf numFmtId="0" fontId="7" fillId="49" borderId="13" xfId="0" applyFont="1" applyFill="1" applyBorder="1" applyAlignment="1">
      <alignment horizontal="left" vertical="center"/>
    </xf>
    <xf numFmtId="0" fontId="7" fillId="49" borderId="1" xfId="0" applyFont="1" applyFill="1" applyBorder="1" applyAlignment="1">
      <alignment horizontal="center"/>
    </xf>
    <xf numFmtId="0" fontId="7" fillId="49" borderId="9" xfId="0" applyFont="1" applyFill="1" applyBorder="1"/>
    <xf numFmtId="0" fontId="7" fillId="49" borderId="4" xfId="0" applyFont="1" applyFill="1" applyBorder="1"/>
    <xf numFmtId="0" fontId="10" fillId="49" borderId="4" xfId="0" applyFont="1" applyFill="1" applyBorder="1"/>
    <xf numFmtId="0" fontId="7" fillId="49" borderId="13" xfId="0" applyFont="1" applyFill="1" applyBorder="1" applyAlignment="1">
      <alignment horizontal="left"/>
    </xf>
    <xf numFmtId="177" fontId="7" fillId="49" borderId="1" xfId="0" applyNumberFormat="1" applyFont="1" applyFill="1" applyBorder="1" applyAlignment="1">
      <alignment horizontal="left"/>
    </xf>
    <xf numFmtId="177" fontId="7" fillId="49" borderId="4" xfId="0" applyNumberFormat="1" applyFont="1" applyFill="1" applyBorder="1" applyAlignment="1">
      <alignment horizontal="center"/>
    </xf>
    <xf numFmtId="0" fontId="7" fillId="49" borderId="4" xfId="0" applyFont="1" applyFill="1" applyBorder="1" applyAlignment="1">
      <alignment horizontal="left"/>
    </xf>
    <xf numFmtId="178" fontId="7" fillId="49" borderId="1" xfId="0" applyNumberFormat="1" applyFont="1" applyFill="1" applyBorder="1" applyAlignment="1">
      <alignment horizontal="left"/>
    </xf>
    <xf numFmtId="179" fontId="7" fillId="49" borderId="1" xfId="0" applyNumberFormat="1" applyFont="1" applyFill="1" applyBorder="1" applyAlignment="1">
      <alignment horizontal="left"/>
    </xf>
    <xf numFmtId="0" fontId="8" fillId="49" borderId="1" xfId="0" applyFont="1" applyFill="1" applyBorder="1" applyAlignment="1">
      <alignment horizontal="left"/>
    </xf>
    <xf numFmtId="178" fontId="7" fillId="49" borderId="4" xfId="0" applyNumberFormat="1" applyFont="1" applyFill="1" applyBorder="1" applyAlignment="1">
      <alignment horizontal="left"/>
    </xf>
    <xf numFmtId="0" fontId="7" fillId="49" borderId="0" xfId="0" applyFont="1" applyFill="1" applyAlignment="1">
      <alignment horizontal="left"/>
    </xf>
    <xf numFmtId="0" fontId="59" fillId="49" borderId="0" xfId="0" applyFont="1" applyFill="1" applyAlignment="1">
      <alignment horizontal="left"/>
    </xf>
    <xf numFmtId="179" fontId="7" fillId="5" borderId="16" xfId="0" applyNumberFormat="1" applyFont="1" applyFill="1" applyBorder="1" applyAlignment="1">
      <alignment horizontal="left"/>
    </xf>
    <xf numFmtId="0" fontId="79" fillId="5" borderId="4" xfId="0" applyFont="1" applyFill="1" applyBorder="1"/>
    <xf numFmtId="180" fontId="46" fillId="3" borderId="13" xfId="0" applyNumberFormat="1" applyFont="1" applyFill="1" applyBorder="1" applyAlignment="1">
      <alignment horizontal="left" vertical="center"/>
    </xf>
    <xf numFmtId="176" fontId="46" fillId="3" borderId="13" xfId="0" applyNumberFormat="1" applyFont="1" applyFill="1" applyBorder="1" applyAlignment="1">
      <alignment horizontal="left" vertical="center"/>
    </xf>
    <xf numFmtId="176" fontId="46" fillId="3" borderId="4" xfId="0" applyNumberFormat="1" applyFont="1" applyFill="1" applyBorder="1" applyAlignment="1">
      <alignment horizontal="center" vertical="center"/>
    </xf>
    <xf numFmtId="188" fontId="46" fillId="3" borderId="13" xfId="0" applyNumberFormat="1" applyFont="1" applyFill="1" applyBorder="1" applyAlignment="1">
      <alignment horizontal="left" vertical="center"/>
    </xf>
    <xf numFmtId="184" fontId="46" fillId="3" borderId="4" xfId="0" applyNumberFormat="1" applyFont="1" applyFill="1" applyBorder="1" applyAlignment="1">
      <alignment horizontal="left" vertical="center"/>
    </xf>
    <xf numFmtId="16" fontId="46" fillId="3" borderId="13" xfId="0" applyNumberFormat="1" applyFont="1" applyFill="1" applyBorder="1" applyAlignment="1">
      <alignment horizontal="left" vertical="center"/>
    </xf>
    <xf numFmtId="179" fontId="46" fillId="3" borderId="13" xfId="0" applyNumberFormat="1" applyFont="1" applyFill="1" applyBorder="1" applyAlignment="1">
      <alignment horizontal="left" vertical="center"/>
    </xf>
    <xf numFmtId="178" fontId="46" fillId="3" borderId="4" xfId="2863" applyNumberFormat="1" applyFont="1" applyFill="1" applyBorder="1" applyAlignment="1">
      <alignment horizontal="left" vertical="center"/>
    </xf>
    <xf numFmtId="0" fontId="46" fillId="3" borderId="1" xfId="0" applyFont="1" applyFill="1" applyBorder="1" applyAlignment="1">
      <alignment horizontal="left" vertical="center"/>
    </xf>
    <xf numFmtId="187" fontId="46" fillId="0" borderId="13" xfId="0" applyNumberFormat="1" applyFont="1" applyBorder="1" applyAlignment="1">
      <alignment horizontal="center" vertical="center"/>
    </xf>
    <xf numFmtId="187" fontId="46" fillId="3" borderId="13" xfId="0" applyNumberFormat="1" applyFont="1" applyFill="1" applyBorder="1" applyAlignment="1">
      <alignment horizontal="center" vertical="center"/>
    </xf>
    <xf numFmtId="188" fontId="46" fillId="3" borderId="4" xfId="2863" applyNumberFormat="1" applyFont="1" applyFill="1" applyBorder="1" applyAlignment="1">
      <alignment horizontal="left" vertical="center"/>
    </xf>
    <xf numFmtId="187" fontId="46" fillId="3" borderId="4" xfId="0" applyNumberFormat="1" applyFont="1" applyFill="1" applyBorder="1" applyAlignment="1">
      <alignment horizontal="center" vertical="center"/>
    </xf>
    <xf numFmtId="179" fontId="46" fillId="3" borderId="4" xfId="0" applyNumberFormat="1" applyFont="1" applyFill="1" applyBorder="1" applyAlignment="1">
      <alignment horizontal="left" vertical="center"/>
    </xf>
    <xf numFmtId="0" fontId="68" fillId="26" borderId="13" xfId="0" applyFont="1" applyFill="1" applyBorder="1" applyAlignment="1">
      <alignment horizontal="left"/>
    </xf>
    <xf numFmtId="0" fontId="80" fillId="0" borderId="0" xfId="0" applyFont="1"/>
    <xf numFmtId="0" fontId="0" fillId="0" borderId="8" xfId="0" applyBorder="1"/>
    <xf numFmtId="0" fontId="6" fillId="0" borderId="4" xfId="1536" applyBorder="1" applyAlignment="1" applyProtection="1">
      <alignment horizontal="left" vertical="center"/>
    </xf>
    <xf numFmtId="178" fontId="49" fillId="26" borderId="4" xfId="2863" applyNumberFormat="1" applyFont="1" applyFill="1" applyBorder="1" applyAlignment="1">
      <alignment horizontal="left" vertical="center"/>
    </xf>
    <xf numFmtId="178" fontId="46" fillId="26" borderId="4" xfId="2863" applyNumberFormat="1" applyFont="1" applyFill="1" applyBorder="1" applyAlignment="1">
      <alignment horizontal="left" vertical="center"/>
    </xf>
    <xf numFmtId="178" fontId="49" fillId="48" borderId="4" xfId="2863" applyNumberFormat="1" applyFont="1" applyFill="1" applyBorder="1" applyAlignment="1">
      <alignment horizontal="left" vertical="center"/>
    </xf>
    <xf numFmtId="178" fontId="46" fillId="48" borderId="4" xfId="2863" applyNumberFormat="1" applyFont="1" applyFill="1" applyBorder="1" applyAlignment="1">
      <alignment horizontal="left" vertical="center"/>
    </xf>
    <xf numFmtId="0" fontId="81" fillId="0" borderId="0" xfId="0" applyFont="1"/>
    <xf numFmtId="188" fontId="46" fillId="3" borderId="4" xfId="0" applyNumberFormat="1" applyFont="1" applyFill="1" applyBorder="1" applyAlignment="1">
      <alignment horizontal="left" vertical="center"/>
    </xf>
    <xf numFmtId="179" fontId="46" fillId="3" borderId="4" xfId="2863" applyNumberFormat="1" applyFont="1" applyFill="1" applyBorder="1" applyAlignment="1">
      <alignment horizontal="left" vertical="center"/>
    </xf>
    <xf numFmtId="180" fontId="46" fillId="9" borderId="4" xfId="0" applyNumberFormat="1" applyFont="1" applyFill="1" applyBorder="1" applyAlignment="1">
      <alignment horizontal="left" vertical="center"/>
    </xf>
    <xf numFmtId="176" fontId="46" fillId="9" borderId="4" xfId="0" applyNumberFormat="1" applyFont="1" applyFill="1" applyBorder="1" applyAlignment="1">
      <alignment horizontal="center" vertical="center"/>
    </xf>
    <xf numFmtId="188" fontId="46" fillId="9" borderId="4" xfId="2863" applyNumberFormat="1" applyFont="1" applyFill="1" applyBorder="1" applyAlignment="1">
      <alignment horizontal="left" vertical="center"/>
    </xf>
    <xf numFmtId="179" fontId="46" fillId="9" borderId="4" xfId="0" applyNumberFormat="1" applyFont="1" applyFill="1" applyBorder="1" applyAlignment="1">
      <alignment horizontal="left" vertical="center"/>
    </xf>
    <xf numFmtId="178" fontId="46" fillId="9" borderId="4" xfId="2863" applyNumberFormat="1" applyFont="1" applyFill="1" applyBorder="1" applyAlignment="1">
      <alignment horizontal="left" vertical="center"/>
    </xf>
    <xf numFmtId="0" fontId="46" fillId="8" borderId="4" xfId="0" applyFont="1" applyFill="1" applyBorder="1" applyAlignment="1">
      <alignment horizontal="left" vertical="center"/>
    </xf>
    <xf numFmtId="0" fontId="49" fillId="8" borderId="4" xfId="0" applyFont="1" applyFill="1" applyBorder="1" applyAlignment="1">
      <alignment horizontal="left" vertical="center"/>
    </xf>
    <xf numFmtId="180" fontId="49" fillId="8" borderId="4" xfId="0" applyNumberFormat="1" applyFont="1" applyFill="1" applyBorder="1" applyAlignment="1">
      <alignment horizontal="left" vertical="center"/>
    </xf>
    <xf numFmtId="176" fontId="49" fillId="8" borderId="4" xfId="0" applyNumberFormat="1" applyFont="1" applyFill="1" applyBorder="1" applyAlignment="1">
      <alignment horizontal="left" vertical="center"/>
    </xf>
    <xf numFmtId="176" fontId="49" fillId="8" borderId="4" xfId="0" applyNumberFormat="1" applyFont="1" applyFill="1" applyBorder="1" applyAlignment="1">
      <alignment horizontal="center" vertical="center"/>
    </xf>
    <xf numFmtId="188" fontId="49" fillId="8" borderId="4" xfId="0" applyNumberFormat="1" applyFont="1" applyFill="1" applyBorder="1" applyAlignment="1">
      <alignment horizontal="left" vertical="center"/>
    </xf>
    <xf numFmtId="184" fontId="49" fillId="8" borderId="4" xfId="0" applyNumberFormat="1" applyFont="1" applyFill="1" applyBorder="1" applyAlignment="1">
      <alignment horizontal="left" vertical="center"/>
    </xf>
    <xf numFmtId="187" fontId="49" fillId="8" borderId="4" xfId="0" applyNumberFormat="1" applyFont="1" applyFill="1" applyBorder="1" applyAlignment="1">
      <alignment horizontal="center" vertical="center"/>
    </xf>
    <xf numFmtId="178" fontId="49" fillId="8" borderId="4" xfId="0" applyNumberFormat="1" applyFont="1" applyFill="1" applyBorder="1" applyAlignment="1">
      <alignment horizontal="left" vertical="center"/>
    </xf>
    <xf numFmtId="179" fontId="49" fillId="8" borderId="4" xfId="2863" applyNumberFormat="1" applyFont="1" applyFill="1" applyBorder="1" applyAlignment="1">
      <alignment horizontal="left" vertical="center"/>
    </xf>
    <xf numFmtId="0" fontId="49" fillId="8" borderId="4" xfId="0" quotePrefix="1" applyFont="1" applyFill="1" applyBorder="1" applyAlignment="1">
      <alignment horizontal="left" vertical="center"/>
    </xf>
    <xf numFmtId="0" fontId="7" fillId="9" borderId="1" xfId="0" quotePrefix="1" applyFont="1" applyFill="1" applyBorder="1"/>
    <xf numFmtId="178" fontId="7" fillId="28" borderId="3" xfId="0" applyNumberFormat="1" applyFont="1" applyFill="1" applyBorder="1" applyAlignment="1">
      <alignment horizontal="left"/>
    </xf>
    <xf numFmtId="178" fontId="7" fillId="5" borderId="1" xfId="0" applyNumberFormat="1" applyFont="1" applyFill="1" applyBorder="1" applyAlignment="1">
      <alignment horizontal="center"/>
    </xf>
    <xf numFmtId="14" fontId="7" fillId="5" borderId="1" xfId="0" applyNumberFormat="1" applyFont="1" applyFill="1" applyBorder="1" applyAlignment="1">
      <alignment horizontal="left"/>
    </xf>
    <xf numFmtId="0" fontId="68" fillId="8" borderId="4" xfId="0" applyFont="1" applyFill="1" applyBorder="1" applyAlignment="1">
      <alignment horizontal="left"/>
    </xf>
    <xf numFmtId="0" fontId="82" fillId="51" borderId="4" xfId="0" applyFont="1" applyFill="1" applyBorder="1"/>
    <xf numFmtId="187" fontId="49" fillId="0" borderId="13" xfId="0" applyNumberFormat="1" applyFont="1" applyBorder="1" applyAlignment="1">
      <alignment horizontal="center" vertical="center"/>
    </xf>
    <xf numFmtId="179" fontId="49" fillId="0" borderId="13" xfId="0" applyNumberFormat="1" applyFont="1" applyBorder="1" applyAlignment="1">
      <alignment horizontal="left" vertical="center"/>
    </xf>
    <xf numFmtId="178" fontId="49" fillId="26" borderId="4" xfId="0" applyNumberFormat="1" applyFont="1" applyFill="1" applyBorder="1" applyAlignment="1">
      <alignment horizontal="left" vertical="center"/>
    </xf>
    <xf numFmtId="178" fontId="7" fillId="49" borderId="1" xfId="0" applyNumberFormat="1" applyFont="1" applyFill="1" applyBorder="1" applyAlignment="1">
      <alignment horizontal="center"/>
    </xf>
    <xf numFmtId="179" fontId="7" fillId="49" borderId="16" xfId="0" applyNumberFormat="1" applyFont="1" applyFill="1" applyBorder="1" applyAlignment="1">
      <alignment horizontal="left"/>
    </xf>
    <xf numFmtId="179" fontId="7" fillId="49" borderId="2" xfId="0" applyNumberFormat="1" applyFont="1" applyFill="1" applyBorder="1" applyAlignment="1">
      <alignment horizontal="left"/>
    </xf>
    <xf numFmtId="14" fontId="7" fillId="49" borderId="1" xfId="0" applyNumberFormat="1" applyFont="1" applyFill="1" applyBorder="1" applyAlignment="1">
      <alignment horizontal="left"/>
    </xf>
    <xf numFmtId="0" fontId="67" fillId="8" borderId="13" xfId="0" applyFont="1" applyFill="1" applyBorder="1" applyAlignment="1">
      <alignment horizontal="center"/>
    </xf>
    <xf numFmtId="0" fontId="67" fillId="8" borderId="13" xfId="0" applyFont="1" applyFill="1" applyBorder="1" applyAlignment="1">
      <alignment horizontal="left"/>
    </xf>
    <xf numFmtId="0" fontId="68" fillId="8" borderId="13" xfId="0" applyFont="1" applyFill="1" applyBorder="1" applyAlignment="1">
      <alignment horizontal="center"/>
    </xf>
    <xf numFmtId="0" fontId="68" fillId="8" borderId="13" xfId="0" applyFont="1" applyFill="1" applyBorder="1" applyAlignment="1">
      <alignment horizontal="left"/>
    </xf>
    <xf numFmtId="0" fontId="67" fillId="0" borderId="0" xfId="0" applyFont="1"/>
    <xf numFmtId="179" fontId="7" fillId="28" borderId="16" xfId="0" applyNumberFormat="1" applyFont="1" applyFill="1" applyBorder="1" applyAlignment="1">
      <alignment horizontal="left"/>
    </xf>
    <xf numFmtId="179" fontId="7" fillId="17" borderId="16" xfId="0" applyNumberFormat="1" applyFont="1" applyFill="1" applyBorder="1" applyAlignment="1">
      <alignment horizontal="left"/>
    </xf>
    <xf numFmtId="0" fontId="67" fillId="26" borderId="4" xfId="0" applyFont="1" applyFill="1" applyBorder="1" applyAlignment="1">
      <alignment horizontal="left"/>
    </xf>
    <xf numFmtId="0" fontId="12" fillId="26" borderId="4" xfId="0" applyFont="1" applyFill="1" applyBorder="1" applyAlignment="1">
      <alignment horizontal="center"/>
    </xf>
    <xf numFmtId="0" fontId="67" fillId="26" borderId="4" xfId="0" applyFont="1" applyFill="1" applyBorder="1"/>
    <xf numFmtId="0" fontId="67" fillId="26" borderId="13" xfId="0" applyFont="1" applyFill="1" applyBorder="1" applyAlignment="1">
      <alignment horizontal="left"/>
    </xf>
    <xf numFmtId="0" fontId="12" fillId="26" borderId="13" xfId="0" applyFont="1" applyFill="1" applyBorder="1" applyAlignment="1">
      <alignment horizontal="center"/>
    </xf>
    <xf numFmtId="0" fontId="67" fillId="26" borderId="13" xfId="0" applyFont="1" applyFill="1" applyBorder="1"/>
    <xf numFmtId="0" fontId="67" fillId="26" borderId="9" xfId="0" applyFont="1" applyFill="1" applyBorder="1"/>
    <xf numFmtId="0" fontId="7" fillId="43" borderId="1" xfId="0" applyFont="1" applyFill="1" applyBorder="1" applyAlignment="1">
      <alignment horizontal="left" wrapText="1"/>
    </xf>
    <xf numFmtId="14" fontId="7" fillId="28" borderId="1" xfId="0" applyNumberFormat="1" applyFont="1" applyFill="1" applyBorder="1" applyAlignment="1">
      <alignment horizontal="left"/>
    </xf>
    <xf numFmtId="14" fontId="7" fillId="17" borderId="1" xfId="0" applyNumberFormat="1" applyFont="1" applyFill="1" applyBorder="1" applyAlignment="1">
      <alignment horizontal="left"/>
    </xf>
    <xf numFmtId="15" fontId="46" fillId="3" borderId="19" xfId="0" applyNumberFormat="1" applyFont="1" applyFill="1" applyBorder="1" applyAlignment="1">
      <alignment horizontal="left" vertical="center"/>
    </xf>
    <xf numFmtId="0" fontId="49" fillId="3" borderId="13" xfId="2863" applyNumberFormat="1" applyFont="1" applyFill="1" applyBorder="1" applyAlignment="1">
      <alignment horizontal="left" vertical="center"/>
    </xf>
    <xf numFmtId="15" fontId="46" fillId="3" borderId="16" xfId="0" applyNumberFormat="1" applyFont="1" applyFill="1" applyBorder="1" applyAlignment="1">
      <alignment horizontal="left" vertical="center"/>
    </xf>
    <xf numFmtId="0" fontId="49" fillId="3" borderId="4" xfId="2863" applyNumberFormat="1" applyFont="1" applyFill="1" applyBorder="1" applyAlignment="1">
      <alignment horizontal="left" vertical="center"/>
    </xf>
    <xf numFmtId="0" fontId="68" fillId="26" borderId="12" xfId="0" applyFont="1" applyFill="1" applyBorder="1"/>
    <xf numFmtId="0" fontId="68" fillId="26" borderId="2" xfId="0" applyFont="1" applyFill="1" applyBorder="1"/>
    <xf numFmtId="15" fontId="46" fillId="9" borderId="16" xfId="0" applyNumberFormat="1" applyFont="1" applyFill="1" applyBorder="1" applyAlignment="1">
      <alignment horizontal="left" vertical="center"/>
    </xf>
    <xf numFmtId="0" fontId="46" fillId="9" borderId="13" xfId="0" applyFont="1" applyFill="1" applyBorder="1" applyAlignment="1">
      <alignment horizontal="left" vertical="center"/>
    </xf>
    <xf numFmtId="187" fontId="49" fillId="9" borderId="13" xfId="0" applyNumberFormat="1" applyFont="1" applyFill="1" applyBorder="1" applyAlignment="1">
      <alignment horizontal="center" vertical="center"/>
    </xf>
    <xf numFmtId="0" fontId="49" fillId="9" borderId="4" xfId="2863" applyNumberFormat="1" applyFont="1" applyFill="1" applyBorder="1" applyAlignment="1">
      <alignment horizontal="left" vertical="center"/>
    </xf>
    <xf numFmtId="0" fontId="42" fillId="9" borderId="4" xfId="0" applyFont="1" applyFill="1" applyBorder="1" applyAlignment="1">
      <alignment horizontal="left" vertical="center"/>
    </xf>
    <xf numFmtId="179" fontId="7" fillId="49" borderId="20" xfId="0" applyNumberFormat="1" applyFont="1" applyFill="1" applyBorder="1" applyAlignment="1">
      <alignment horizontal="center"/>
    </xf>
    <xf numFmtId="179" fontId="7" fillId="49" borderId="16" xfId="0" applyNumberFormat="1" applyFont="1" applyFill="1" applyBorder="1" applyAlignment="1">
      <alignment horizontal="center"/>
    </xf>
    <xf numFmtId="178" fontId="46" fillId="0" borderId="4" xfId="2863" applyNumberFormat="1" applyFont="1" applyBorder="1" applyAlignment="1">
      <alignment horizontal="left" vertical="center"/>
    </xf>
    <xf numFmtId="0" fontId="7" fillId="28" borderId="16" xfId="0" applyFont="1" applyFill="1" applyBorder="1" applyAlignment="1">
      <alignment horizontal="left"/>
    </xf>
    <xf numFmtId="0" fontId="7" fillId="49" borderId="16" xfId="0" applyFont="1" applyFill="1" applyBorder="1" applyAlignment="1">
      <alignment horizontal="left"/>
    </xf>
    <xf numFmtId="0" fontId="65" fillId="11" borderId="4" xfId="0" applyFont="1" applyFill="1" applyBorder="1" applyAlignment="1">
      <alignment horizontal="center" vertical="center" wrapText="1"/>
    </xf>
    <xf numFmtId="178" fontId="46" fillId="4" borderId="4" xfId="2863" applyNumberFormat="1" applyFont="1" applyFill="1" applyBorder="1" applyAlignment="1">
      <alignment horizontal="left" vertical="center"/>
    </xf>
    <xf numFmtId="178" fontId="46" fillId="4" borderId="4" xfId="0" applyNumberFormat="1" applyFont="1" applyFill="1" applyBorder="1" applyAlignment="1">
      <alignment horizontal="left" vertical="center"/>
    </xf>
    <xf numFmtId="178" fontId="49" fillId="4" borderId="4" xfId="0" applyNumberFormat="1" applyFont="1" applyFill="1" applyBorder="1" applyAlignment="1">
      <alignment horizontal="left" vertical="center"/>
    </xf>
    <xf numFmtId="178" fontId="49" fillId="52" borderId="4" xfId="0" applyNumberFormat="1" applyFont="1" applyFill="1" applyBorder="1" applyAlignment="1">
      <alignment horizontal="left" vertical="center"/>
    </xf>
    <xf numFmtId="178" fontId="46" fillId="52" borderId="4" xfId="2863" applyNumberFormat="1" applyFont="1" applyFill="1" applyBorder="1" applyAlignment="1">
      <alignment horizontal="left" vertical="center"/>
    </xf>
    <xf numFmtId="188" fontId="49" fillId="0" borderId="4" xfId="0" applyNumberFormat="1" applyFont="1" applyBorder="1" applyAlignment="1">
      <alignment vertical="center"/>
    </xf>
    <xf numFmtId="184" fontId="49" fillId="0" borderId="13" xfId="0" applyNumberFormat="1" applyFont="1" applyBorder="1" applyAlignment="1">
      <alignment vertical="center"/>
    </xf>
    <xf numFmtId="0" fontId="72" fillId="0" borderId="4" xfId="0" applyFont="1" applyBorder="1" applyAlignment="1">
      <alignment horizontal="left" vertical="center"/>
    </xf>
    <xf numFmtId="0" fontId="51" fillId="0" borderId="13" xfId="0" applyFont="1" applyBorder="1" applyAlignment="1">
      <alignment horizontal="left" vertical="center"/>
    </xf>
    <xf numFmtId="0" fontId="49" fillId="0" borderId="16" xfId="0" applyFont="1" applyBorder="1" applyAlignment="1">
      <alignment horizontal="left" vertical="center"/>
    </xf>
    <xf numFmtId="0" fontId="46" fillId="52" borderId="4" xfId="0" applyFont="1" applyFill="1" applyBorder="1" applyAlignment="1">
      <alignment horizontal="left" vertical="center"/>
    </xf>
    <xf numFmtId="0" fontId="49" fillId="52" borderId="4" xfId="0" applyFont="1" applyFill="1" applyBorder="1" applyAlignment="1">
      <alignment horizontal="left" vertical="center"/>
    </xf>
    <xf numFmtId="180" fontId="49" fillId="52" borderId="4" xfId="0" applyNumberFormat="1" applyFont="1" applyFill="1" applyBorder="1" applyAlignment="1">
      <alignment horizontal="left" vertical="center"/>
    </xf>
    <xf numFmtId="176" fontId="49" fillId="52" borderId="4" xfId="0" applyNumberFormat="1" applyFont="1" applyFill="1" applyBorder="1" applyAlignment="1">
      <alignment horizontal="left" vertical="center"/>
    </xf>
    <xf numFmtId="176" fontId="49" fillId="52" borderId="4" xfId="0" applyNumberFormat="1" applyFont="1" applyFill="1" applyBorder="1" applyAlignment="1">
      <alignment horizontal="center" vertical="center"/>
    </xf>
    <xf numFmtId="188" fontId="49" fillId="52" borderId="4" xfId="0" applyNumberFormat="1" applyFont="1" applyFill="1" applyBorder="1" applyAlignment="1">
      <alignment horizontal="left" vertical="center"/>
    </xf>
    <xf numFmtId="184" fontId="49" fillId="52" borderId="4" xfId="0" applyNumberFormat="1" applyFont="1" applyFill="1" applyBorder="1" applyAlignment="1">
      <alignment horizontal="left" vertical="center"/>
    </xf>
    <xf numFmtId="187" fontId="49" fillId="52" borderId="4" xfId="0" applyNumberFormat="1" applyFont="1" applyFill="1" applyBorder="1" applyAlignment="1">
      <alignment horizontal="center" vertical="center"/>
    </xf>
    <xf numFmtId="179" fontId="49" fillId="52" borderId="4" xfId="0" applyNumberFormat="1" applyFont="1" applyFill="1" applyBorder="1" applyAlignment="1">
      <alignment horizontal="left" vertical="center"/>
    </xf>
    <xf numFmtId="178" fontId="49" fillId="52" borderId="4" xfId="2863" applyNumberFormat="1" applyFont="1" applyFill="1" applyBorder="1" applyAlignment="1">
      <alignment horizontal="left" vertical="center"/>
    </xf>
    <xf numFmtId="176" fontId="46" fillId="52" borderId="4" xfId="0" applyNumberFormat="1" applyFont="1" applyFill="1" applyBorder="1" applyAlignment="1">
      <alignment horizontal="left" vertical="center"/>
    </xf>
    <xf numFmtId="0" fontId="83" fillId="3" borderId="1" xfId="0" applyFont="1" applyFill="1" applyBorder="1" applyAlignment="1">
      <alignment horizontal="left"/>
    </xf>
    <xf numFmtId="0" fontId="83" fillId="3" borderId="13" xfId="0" applyFont="1" applyFill="1" applyBorder="1" applyAlignment="1">
      <alignment horizontal="left" vertical="center"/>
    </xf>
    <xf numFmtId="0" fontId="83" fillId="3" borderId="1" xfId="0" applyFont="1" applyFill="1" applyBorder="1" applyAlignment="1">
      <alignment horizontal="center"/>
    </xf>
    <xf numFmtId="179" fontId="83" fillId="3" borderId="2" xfId="0" applyNumberFormat="1" applyFont="1" applyFill="1" applyBorder="1" applyAlignment="1">
      <alignment horizontal="left"/>
    </xf>
    <xf numFmtId="179" fontId="83" fillId="49" borderId="4" xfId="0" applyNumberFormat="1" applyFont="1" applyFill="1" applyBorder="1" applyAlignment="1">
      <alignment horizontal="left"/>
    </xf>
    <xf numFmtId="0" fontId="83" fillId="49" borderId="4" xfId="0" applyFont="1" applyFill="1" applyBorder="1" applyAlignment="1">
      <alignment horizontal="left"/>
    </xf>
    <xf numFmtId="178" fontId="83" fillId="49" borderId="4" xfId="0" applyNumberFormat="1" applyFont="1" applyFill="1" applyBorder="1" applyAlignment="1">
      <alignment horizontal="left"/>
    </xf>
    <xf numFmtId="14" fontId="83" fillId="49" borderId="4" xfId="0" applyNumberFormat="1" applyFont="1" applyFill="1" applyBorder="1" applyAlignment="1">
      <alignment horizontal="left"/>
    </xf>
    <xf numFmtId="0" fontId="59" fillId="49" borderId="4" xfId="0" applyFont="1" applyFill="1" applyBorder="1" applyAlignment="1">
      <alignment horizontal="left"/>
    </xf>
    <xf numFmtId="178" fontId="7" fillId="49" borderId="13" xfId="0" applyNumberFormat="1" applyFont="1" applyFill="1" applyBorder="1" applyAlignment="1">
      <alignment horizontal="center"/>
    </xf>
    <xf numFmtId="179" fontId="7" fillId="49" borderId="13" xfId="0" applyNumberFormat="1" applyFont="1" applyFill="1" applyBorder="1" applyAlignment="1">
      <alignment horizontal="left"/>
    </xf>
    <xf numFmtId="177" fontId="7" fillId="49" borderId="13" xfId="0" applyNumberFormat="1" applyFont="1" applyFill="1" applyBorder="1" applyAlignment="1">
      <alignment horizontal="center"/>
    </xf>
    <xf numFmtId="178" fontId="7" fillId="49" borderId="13" xfId="0" applyNumberFormat="1" applyFont="1" applyFill="1" applyBorder="1" applyAlignment="1">
      <alignment horizontal="left"/>
    </xf>
    <xf numFmtId="0" fontId="7" fillId="28" borderId="3" xfId="0" applyFont="1" applyFill="1" applyBorder="1" applyAlignment="1">
      <alignment horizontal="left"/>
    </xf>
    <xf numFmtId="178" fontId="7" fillId="28" borderId="5" xfId="0" applyNumberFormat="1" applyFont="1" applyFill="1" applyBorder="1" applyAlignment="1">
      <alignment horizontal="left"/>
    </xf>
    <xf numFmtId="0" fontId="7" fillId="28" borderId="5" xfId="0" applyFont="1" applyFill="1" applyBorder="1" applyAlignment="1">
      <alignment horizontal="left"/>
    </xf>
    <xf numFmtId="0" fontId="7" fillId="28" borderId="17" xfId="0" applyFont="1" applyFill="1" applyBorder="1" applyAlignment="1">
      <alignment horizontal="left"/>
    </xf>
    <xf numFmtId="14" fontId="7" fillId="28" borderId="3" xfId="0" applyNumberFormat="1" applyFont="1" applyFill="1" applyBorder="1" applyAlignment="1">
      <alignment horizontal="left"/>
    </xf>
    <xf numFmtId="0" fontId="84" fillId="49" borderId="4" xfId="0" applyFont="1" applyFill="1" applyBorder="1"/>
    <xf numFmtId="177" fontId="7" fillId="49" borderId="4" xfId="0" applyNumberFormat="1" applyFont="1" applyFill="1" applyBorder="1" applyAlignment="1">
      <alignment horizontal="left"/>
    </xf>
    <xf numFmtId="0" fontId="7" fillId="49" borderId="9" xfId="0" applyFont="1" applyFill="1" applyBorder="1" applyAlignment="1">
      <alignment horizontal="left"/>
    </xf>
    <xf numFmtId="0" fontId="68" fillId="26" borderId="9" xfId="0" applyFont="1" applyFill="1" applyBorder="1" applyAlignment="1">
      <alignment horizontal="center"/>
    </xf>
    <xf numFmtId="0" fontId="67" fillId="26" borderId="19" xfId="0" applyFont="1" applyFill="1" applyBorder="1" applyAlignment="1">
      <alignment horizontal="center"/>
    </xf>
    <xf numFmtId="0" fontId="85" fillId="3" borderId="4" xfId="0" applyFont="1" applyFill="1" applyBorder="1" applyAlignment="1">
      <alignment horizontal="left" vertical="center"/>
    </xf>
    <xf numFmtId="0" fontId="86" fillId="3" borderId="4" xfId="0" applyFont="1" applyFill="1" applyBorder="1" applyAlignment="1">
      <alignment horizontal="left" vertical="center"/>
    </xf>
    <xf numFmtId="180" fontId="86" fillId="3" borderId="4" xfId="0" applyNumberFormat="1" applyFont="1" applyFill="1" applyBorder="1" applyAlignment="1">
      <alignment horizontal="left" vertical="center"/>
    </xf>
    <xf numFmtId="0" fontId="86" fillId="0" borderId="4" xfId="0" applyFont="1" applyBorder="1" applyAlignment="1">
      <alignment horizontal="left" vertical="center"/>
    </xf>
    <xf numFmtId="176" fontId="86" fillId="3" borderId="4" xfId="0" applyNumberFormat="1" applyFont="1" applyFill="1" applyBorder="1" applyAlignment="1">
      <alignment horizontal="left" vertical="center"/>
    </xf>
    <xf numFmtId="176" fontId="86" fillId="3" borderId="4" xfId="0" applyNumberFormat="1" applyFont="1" applyFill="1" applyBorder="1" applyAlignment="1">
      <alignment horizontal="center" vertical="center"/>
    </xf>
    <xf numFmtId="188" fontId="86" fillId="3" borderId="4" xfId="0" applyNumberFormat="1" applyFont="1" applyFill="1" applyBorder="1" applyAlignment="1">
      <alignment horizontal="left" vertical="center"/>
    </xf>
    <xf numFmtId="0" fontId="86" fillId="3" borderId="4" xfId="2863" applyNumberFormat="1" applyFont="1" applyFill="1" applyBorder="1" applyAlignment="1">
      <alignment horizontal="left" vertical="center"/>
    </xf>
    <xf numFmtId="178" fontId="86" fillId="3" borderId="4" xfId="0" applyNumberFormat="1" applyFont="1" applyFill="1" applyBorder="1" applyAlignment="1">
      <alignment horizontal="left" vertical="center"/>
    </xf>
    <xf numFmtId="179" fontId="86" fillId="3" borderId="4" xfId="0" applyNumberFormat="1" applyFont="1" applyFill="1" applyBorder="1" applyAlignment="1">
      <alignment horizontal="left" vertical="center"/>
    </xf>
    <xf numFmtId="179" fontId="86" fillId="3" borderId="4" xfId="2863" applyNumberFormat="1" applyFont="1" applyFill="1" applyBorder="1" applyAlignment="1">
      <alignment horizontal="left" vertical="center"/>
    </xf>
    <xf numFmtId="0" fontId="86" fillId="3" borderId="9" xfId="0" applyFont="1" applyFill="1" applyBorder="1" applyAlignment="1">
      <alignment horizontal="left" vertical="center"/>
    </xf>
    <xf numFmtId="0" fontId="85" fillId="3" borderId="16" xfId="0" applyFont="1" applyFill="1" applyBorder="1" applyAlignment="1">
      <alignment horizontal="left" vertical="center"/>
    </xf>
    <xf numFmtId="178" fontId="86" fillId="3" borderId="4" xfId="2863" applyNumberFormat="1" applyFont="1" applyFill="1" applyBorder="1" applyAlignment="1">
      <alignment horizontal="left" vertical="center"/>
    </xf>
    <xf numFmtId="14" fontId="66" fillId="8" borderId="13" xfId="0" applyNumberFormat="1" applyFont="1" applyFill="1" applyBorder="1" applyAlignment="1">
      <alignment horizontal="center" vertical="center"/>
    </xf>
    <xf numFmtId="14" fontId="66" fillId="26" borderId="4" xfId="0" applyNumberFormat="1" applyFont="1" applyFill="1" applyBorder="1" applyAlignment="1">
      <alignment horizontal="center" vertical="center"/>
    </xf>
    <xf numFmtId="0" fontId="85" fillId="3" borderId="13" xfId="0" applyFont="1" applyFill="1" applyBorder="1" applyAlignment="1">
      <alignment horizontal="left" vertical="center"/>
    </xf>
    <xf numFmtId="0" fontId="86" fillId="3" borderId="13" xfId="0" applyFont="1" applyFill="1" applyBorder="1" applyAlignment="1">
      <alignment horizontal="left" vertical="center"/>
    </xf>
    <xf numFmtId="180" fontId="86" fillId="3" borderId="13" xfId="0" applyNumberFormat="1" applyFont="1" applyFill="1" applyBorder="1" applyAlignment="1">
      <alignment horizontal="left" vertical="center"/>
    </xf>
    <xf numFmtId="0" fontId="86" fillId="0" borderId="13" xfId="0" applyFont="1" applyBorder="1" applyAlignment="1">
      <alignment horizontal="left" vertical="center"/>
    </xf>
    <xf numFmtId="176" fontId="86" fillId="3" borderId="13" xfId="0" applyNumberFormat="1" applyFont="1" applyFill="1" applyBorder="1" applyAlignment="1">
      <alignment horizontal="left" vertical="center"/>
    </xf>
    <xf numFmtId="176" fontId="86" fillId="3" borderId="13" xfId="0" applyNumberFormat="1" applyFont="1" applyFill="1" applyBorder="1" applyAlignment="1">
      <alignment horizontal="center" vertical="center"/>
    </xf>
    <xf numFmtId="188" fontId="86" fillId="3" borderId="13" xfId="0" applyNumberFormat="1" applyFont="1" applyFill="1" applyBorder="1" applyAlignment="1">
      <alignment horizontal="left" vertical="center"/>
    </xf>
    <xf numFmtId="0" fontId="86" fillId="3" borderId="13" xfId="2863" applyNumberFormat="1" applyFont="1" applyFill="1" applyBorder="1" applyAlignment="1">
      <alignment horizontal="left" vertical="center"/>
    </xf>
    <xf numFmtId="178" fontId="86" fillId="3" borderId="13" xfId="0" applyNumberFormat="1" applyFont="1" applyFill="1" applyBorder="1" applyAlignment="1">
      <alignment horizontal="left" vertical="center"/>
    </xf>
    <xf numFmtId="179" fontId="86" fillId="3" borderId="13" xfId="0" applyNumberFormat="1" applyFont="1" applyFill="1" applyBorder="1" applyAlignment="1">
      <alignment horizontal="left" vertical="center"/>
    </xf>
    <xf numFmtId="178" fontId="86" fillId="3" borderId="13" xfId="2863" applyNumberFormat="1" applyFont="1" applyFill="1" applyBorder="1" applyAlignment="1">
      <alignment horizontal="left" vertical="center"/>
    </xf>
    <xf numFmtId="179" fontId="86" fillId="3" borderId="13" xfId="2863" applyNumberFormat="1" applyFont="1" applyFill="1" applyBorder="1" applyAlignment="1">
      <alignment horizontal="left" vertical="center"/>
    </xf>
    <xf numFmtId="0" fontId="86" fillId="3" borderId="1" xfId="0" applyFont="1" applyFill="1" applyBorder="1" applyAlignment="1">
      <alignment horizontal="left" vertical="center"/>
    </xf>
    <xf numFmtId="0" fontId="26" fillId="3" borderId="13" xfId="0" applyFont="1" applyFill="1" applyBorder="1" applyAlignment="1">
      <alignment horizontal="left" vertical="center"/>
    </xf>
    <xf numFmtId="0" fontId="26" fillId="3" borderId="4" xfId="0" applyFont="1" applyFill="1" applyBorder="1" applyAlignment="1">
      <alignment horizontal="left" vertical="center"/>
    </xf>
    <xf numFmtId="0" fontId="90" fillId="0" borderId="0" xfId="0" applyFont="1"/>
    <xf numFmtId="0" fontId="55" fillId="47" borderId="8" xfId="0" applyFont="1" applyFill="1" applyBorder="1"/>
    <xf numFmtId="178" fontId="49" fillId="9" borderId="13" xfId="0" applyNumberFormat="1" applyFont="1" applyFill="1" applyBorder="1" applyAlignment="1">
      <alignment horizontal="left" vertical="center"/>
    </xf>
    <xf numFmtId="178" fontId="7" fillId="17" borderId="5" xfId="0" applyNumberFormat="1" applyFont="1" applyFill="1" applyBorder="1" applyAlignment="1">
      <alignment horizontal="left"/>
    </xf>
    <xf numFmtId="0" fontId="46" fillId="17" borderId="4" xfId="0" applyFont="1" applyFill="1" applyBorder="1" applyAlignment="1">
      <alignment horizontal="left" vertical="center"/>
    </xf>
    <xf numFmtId="15" fontId="50" fillId="17" borderId="16" xfId="0" applyNumberFormat="1" applyFont="1" applyFill="1" applyBorder="1" applyAlignment="1">
      <alignment horizontal="left" vertical="center"/>
    </xf>
    <xf numFmtId="178" fontId="49" fillId="17" borderId="13" xfId="0" applyNumberFormat="1" applyFont="1" applyFill="1" applyBorder="1" applyAlignment="1">
      <alignment horizontal="left" vertical="center"/>
    </xf>
    <xf numFmtId="176" fontId="49" fillId="17" borderId="13" xfId="0" applyNumberFormat="1" applyFont="1" applyFill="1" applyBorder="1" applyAlignment="1">
      <alignment horizontal="center" vertical="center"/>
    </xf>
    <xf numFmtId="0" fontId="49" fillId="17" borderId="13" xfId="0" applyFont="1" applyFill="1" applyBorder="1" applyAlignment="1">
      <alignment horizontal="left" vertical="center"/>
    </xf>
    <xf numFmtId="0" fontId="49" fillId="17" borderId="4" xfId="0" applyFont="1" applyFill="1" applyBorder="1" applyAlignment="1">
      <alignment horizontal="left" vertical="center"/>
    </xf>
    <xf numFmtId="178" fontId="49" fillId="4" borderId="4" xfId="2863" applyNumberFormat="1" applyFont="1" applyFill="1" applyBorder="1" applyAlignment="1">
      <alignment horizontal="left" vertical="center"/>
    </xf>
    <xf numFmtId="0" fontId="26" fillId="0" borderId="13" xfId="0" applyFont="1" applyBorder="1" applyAlignment="1">
      <alignment horizontal="left" vertical="center"/>
    </xf>
    <xf numFmtId="0" fontId="26" fillId="0" borderId="4" xfId="0" applyFont="1" applyBorder="1" applyAlignment="1">
      <alignment horizontal="left" vertical="center"/>
    </xf>
    <xf numFmtId="0" fontId="83" fillId="49" borderId="2" xfId="0" applyFont="1" applyFill="1" applyBorder="1" applyAlignment="1">
      <alignment horizontal="left"/>
    </xf>
    <xf numFmtId="179" fontId="7" fillId="28" borderId="5" xfId="0" applyNumberFormat="1" applyFont="1" applyFill="1" applyBorder="1" applyAlignment="1">
      <alignment horizontal="left"/>
    </xf>
    <xf numFmtId="0" fontId="91" fillId="17" borderId="4" xfId="0" applyFont="1" applyFill="1" applyBorder="1"/>
    <xf numFmtId="0" fontId="49" fillId="3" borderId="13" xfId="0" applyFont="1" applyFill="1" applyBorder="1" applyAlignment="1">
      <alignment horizontal="left" vertical="center" wrapText="1"/>
    </xf>
    <xf numFmtId="0" fontId="66" fillId="0" borderId="4" xfId="0" applyFont="1" applyBorder="1"/>
    <xf numFmtId="0" fontId="68" fillId="26" borderId="3" xfId="0" applyFont="1" applyFill="1" applyBorder="1"/>
    <xf numFmtId="0" fontId="68" fillId="26" borderId="17" xfId="0" applyFont="1" applyFill="1" applyBorder="1"/>
    <xf numFmtId="14" fontId="66" fillId="26" borderId="13" xfId="0" applyNumberFormat="1" applyFont="1" applyFill="1" applyBorder="1" applyAlignment="1">
      <alignment horizontal="center" vertical="center"/>
    </xf>
    <xf numFmtId="0" fontId="66" fillId="0" borderId="16" xfId="0" applyFont="1" applyBorder="1"/>
    <xf numFmtId="0" fontId="49" fillId="3" borderId="4" xfId="0" applyFont="1" applyFill="1" applyBorder="1" applyAlignment="1">
      <alignment horizontal="left" vertical="center" wrapText="1"/>
    </xf>
    <xf numFmtId="0" fontId="19" fillId="15" borderId="32" xfId="2864" applyFont="1" applyBorder="1" applyAlignment="1">
      <alignment horizontal="center" vertical="center" wrapText="1"/>
    </xf>
    <xf numFmtId="0" fontId="19" fillId="15" borderId="32" xfId="2864" applyFont="1" applyBorder="1" applyAlignment="1">
      <alignment horizontal="left" vertical="center" wrapText="1"/>
    </xf>
    <xf numFmtId="0" fontId="20" fillId="16" borderId="32" xfId="2864" applyFont="1" applyFill="1" applyBorder="1" applyAlignment="1">
      <alignment horizontal="left" vertical="center" wrapText="1"/>
    </xf>
    <xf numFmtId="0" fontId="19" fillId="2" borderId="32" xfId="2864" applyFont="1" applyFill="1" applyBorder="1" applyAlignment="1">
      <alignment horizontal="left" vertical="center"/>
    </xf>
    <xf numFmtId="0" fontId="19" fillId="2" borderId="32" xfId="2864" applyFont="1" applyFill="1" applyBorder="1" applyAlignment="1">
      <alignment horizontal="center" vertical="center" wrapText="1"/>
    </xf>
    <xf numFmtId="181" fontId="19" fillId="2" borderId="32" xfId="2864" applyNumberFormat="1" applyFont="1" applyFill="1" applyBorder="1" applyAlignment="1">
      <alignment horizontal="left" vertical="center"/>
    </xf>
    <xf numFmtId="0" fontId="19" fillId="2" borderId="32" xfId="2864" applyNumberFormat="1" applyFont="1" applyFill="1" applyBorder="1" applyAlignment="1">
      <alignment horizontal="center" vertical="center" wrapText="1"/>
    </xf>
    <xf numFmtId="182" fontId="19" fillId="2" borderId="32" xfId="2863" applyNumberFormat="1" applyFont="1" applyFill="1" applyBorder="1" applyAlignment="1">
      <alignment horizontal="center" vertical="center" wrapText="1"/>
    </xf>
    <xf numFmtId="0" fontId="19" fillId="2" borderId="32" xfId="2864" applyFont="1" applyFill="1" applyBorder="1" applyAlignment="1">
      <alignment vertical="center" wrapText="1"/>
    </xf>
    <xf numFmtId="0" fontId="20" fillId="2" borderId="32" xfId="2864" applyFont="1" applyFill="1" applyBorder="1" applyAlignment="1">
      <alignment horizontal="center" vertical="center" wrapText="1"/>
    </xf>
    <xf numFmtId="0" fontId="19" fillId="2" borderId="32" xfId="2864" applyFont="1" applyFill="1" applyBorder="1" applyAlignment="1">
      <alignment horizontal="left" vertical="center" wrapText="1"/>
    </xf>
    <xf numFmtId="180" fontId="19" fillId="2" borderId="32" xfId="2864" applyNumberFormat="1" applyFont="1" applyFill="1" applyBorder="1" applyAlignment="1">
      <alignment horizontal="center" vertical="center" wrapText="1"/>
    </xf>
    <xf numFmtId="180" fontId="20" fillId="2" borderId="32" xfId="2864" applyNumberFormat="1" applyFont="1" applyFill="1" applyBorder="1" applyAlignment="1">
      <alignment horizontal="center" vertical="center" wrapText="1"/>
    </xf>
    <xf numFmtId="180" fontId="19" fillId="15" borderId="32" xfId="2864" applyNumberFormat="1" applyFont="1" applyBorder="1" applyAlignment="1">
      <alignment horizontal="center" vertical="center" wrapText="1"/>
    </xf>
    <xf numFmtId="0" fontId="19" fillId="15" borderId="32" xfId="2864" applyFont="1" applyBorder="1" applyAlignment="1">
      <alignment horizontal="left" vertical="center"/>
    </xf>
    <xf numFmtId="180" fontId="7" fillId="3" borderId="32" xfId="0" applyNumberFormat="1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left" vertical="center"/>
    </xf>
    <xf numFmtId="0" fontId="9" fillId="3" borderId="32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left" vertical="center"/>
    </xf>
    <xf numFmtId="0" fontId="7" fillId="3" borderId="32" xfId="0" applyFont="1" applyFill="1" applyBorder="1" applyAlignment="1">
      <alignment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vertical="center"/>
    </xf>
    <xf numFmtId="0" fontId="10" fillId="3" borderId="32" xfId="0" applyFont="1" applyFill="1" applyBorder="1" applyAlignment="1">
      <alignment vertical="center"/>
    </xf>
    <xf numFmtId="0" fontId="7" fillId="0" borderId="32" xfId="0" applyFont="1" applyBorder="1" applyAlignment="1">
      <alignment horizontal="center" vertical="center"/>
    </xf>
    <xf numFmtId="0" fontId="7" fillId="9" borderId="32" xfId="0" applyFont="1" applyFill="1" applyBorder="1" applyAlignment="1">
      <alignment vertical="center"/>
    </xf>
    <xf numFmtId="0" fontId="7" fillId="9" borderId="32" xfId="0" applyFont="1" applyFill="1" applyBorder="1" applyAlignment="1">
      <alignment horizontal="left" vertical="center"/>
    </xf>
    <xf numFmtId="180" fontId="7" fillId="0" borderId="32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vertical="center"/>
    </xf>
    <xf numFmtId="180" fontId="7" fillId="3" borderId="32" xfId="0" applyNumberFormat="1" applyFont="1" applyFill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7" fillId="9" borderId="32" xfId="0" applyFont="1" applyFill="1" applyBorder="1" applyAlignment="1">
      <alignment horizontal="center" vertical="center"/>
    </xf>
    <xf numFmtId="180" fontId="7" fillId="9" borderId="32" xfId="0" applyNumberFormat="1" applyFont="1" applyFill="1" applyBorder="1" applyAlignment="1">
      <alignment horizontal="left" vertical="center"/>
    </xf>
    <xf numFmtId="0" fontId="83" fillId="28" borderId="2" xfId="0" applyFont="1" applyFill="1" applyBorder="1" applyAlignment="1">
      <alignment horizontal="left"/>
    </xf>
    <xf numFmtId="0" fontId="83" fillId="28" borderId="1" xfId="0" applyFont="1" applyFill="1" applyBorder="1" applyAlignment="1">
      <alignment horizontal="left"/>
    </xf>
    <xf numFmtId="0" fontId="92" fillId="28" borderId="4" xfId="0" applyFont="1" applyFill="1" applyBorder="1" applyAlignment="1">
      <alignment horizontal="center"/>
    </xf>
    <xf numFmtId="0" fontId="92" fillId="28" borderId="4" xfId="0" applyFont="1" applyFill="1" applyBorder="1"/>
    <xf numFmtId="177" fontId="83" fillId="28" borderId="1" xfId="0" applyNumberFormat="1" applyFont="1" applyFill="1" applyBorder="1" applyAlignment="1">
      <alignment horizontal="left"/>
    </xf>
    <xf numFmtId="178" fontId="83" fillId="28" borderId="1" xfId="0" applyNumberFormat="1" applyFont="1" applyFill="1" applyBorder="1" applyAlignment="1">
      <alignment horizontal="left"/>
    </xf>
    <xf numFmtId="179" fontId="83" fillId="28" borderId="1" xfId="0" applyNumberFormat="1" applyFont="1" applyFill="1" applyBorder="1" applyAlignment="1">
      <alignment horizontal="left"/>
    </xf>
    <xf numFmtId="14" fontId="83" fillId="28" borderId="1" xfId="0" applyNumberFormat="1" applyFont="1" applyFill="1" applyBorder="1" applyAlignment="1">
      <alignment horizontal="left"/>
    </xf>
    <xf numFmtId="0" fontId="83" fillId="28" borderId="4" xfId="0" applyFont="1" applyFill="1" applyBorder="1" applyAlignment="1">
      <alignment horizontal="left"/>
    </xf>
    <xf numFmtId="0" fontId="83" fillId="28" borderId="1" xfId="0" applyFont="1" applyFill="1" applyBorder="1" applyAlignment="1">
      <alignment horizontal="center"/>
    </xf>
    <xf numFmtId="0" fontId="83" fillId="28" borderId="13" xfId="0" applyFont="1" applyFill="1" applyBorder="1" applyAlignment="1">
      <alignment horizontal="left" vertical="center"/>
    </xf>
    <xf numFmtId="178" fontId="8" fillId="28" borderId="4" xfId="0" applyNumberFormat="1" applyFont="1" applyFill="1" applyBorder="1" applyAlignment="1">
      <alignment horizontal="left"/>
    </xf>
    <xf numFmtId="0" fontId="83" fillId="28" borderId="13" xfId="0" applyFont="1" applyFill="1" applyBorder="1" applyAlignment="1">
      <alignment horizontal="left"/>
    </xf>
    <xf numFmtId="179" fontId="83" fillId="28" borderId="2" xfId="0" applyNumberFormat="1" applyFont="1" applyFill="1" applyBorder="1" applyAlignment="1">
      <alignment horizontal="left"/>
    </xf>
    <xf numFmtId="0" fontId="83" fillId="49" borderId="13" xfId="0" applyFont="1" applyFill="1" applyBorder="1" applyAlignment="1">
      <alignment horizontal="left"/>
    </xf>
    <xf numFmtId="179" fontId="83" fillId="49" borderId="13" xfId="0" applyNumberFormat="1" applyFont="1" applyFill="1" applyBorder="1" applyAlignment="1">
      <alignment horizontal="left"/>
    </xf>
    <xf numFmtId="179" fontId="83" fillId="49" borderId="19" xfId="0" applyNumberFormat="1" applyFont="1" applyFill="1" applyBorder="1" applyAlignment="1">
      <alignment horizontal="left"/>
    </xf>
    <xf numFmtId="178" fontId="83" fillId="49" borderId="2" xfId="0" applyNumberFormat="1" applyFont="1" applyFill="1" applyBorder="1" applyAlignment="1">
      <alignment horizontal="left"/>
    </xf>
    <xf numFmtId="14" fontId="83" fillId="49" borderId="13" xfId="0" applyNumberFormat="1" applyFont="1" applyFill="1" applyBorder="1" applyAlignment="1">
      <alignment horizontal="left"/>
    </xf>
    <xf numFmtId="178" fontId="83" fillId="49" borderId="13" xfId="0" applyNumberFormat="1" applyFont="1" applyFill="1" applyBorder="1" applyAlignment="1">
      <alignment horizontal="left"/>
    </xf>
    <xf numFmtId="0" fontId="59" fillId="49" borderId="13" xfId="0" applyFont="1" applyFill="1" applyBorder="1" applyAlignment="1">
      <alignment horizontal="left"/>
    </xf>
    <xf numFmtId="0" fontId="7" fillId="28" borderId="17" xfId="0" applyFont="1" applyFill="1" applyBorder="1" applyAlignment="1">
      <alignment horizontal="left" vertical="center"/>
    </xf>
    <xf numFmtId="0" fontId="7" fillId="28" borderId="3" xfId="0" applyFont="1" applyFill="1" applyBorder="1" applyAlignment="1">
      <alignment horizontal="center"/>
    </xf>
    <xf numFmtId="179" fontId="7" fillId="28" borderId="0" xfId="0" applyNumberFormat="1" applyFont="1" applyFill="1" applyAlignment="1">
      <alignment horizontal="left"/>
    </xf>
    <xf numFmtId="0" fontId="83" fillId="49" borderId="4" xfId="0" applyFont="1" applyFill="1" applyBorder="1" applyAlignment="1">
      <alignment horizontal="left" vertical="center"/>
    </xf>
    <xf numFmtId="0" fontId="83" fillId="49" borderId="4" xfId="0" applyFont="1" applyFill="1" applyBorder="1" applyAlignment="1">
      <alignment horizontal="center"/>
    </xf>
    <xf numFmtId="0" fontId="7" fillId="43" borderId="9" xfId="0" applyFont="1" applyFill="1" applyBorder="1"/>
    <xf numFmtId="0" fontId="7" fillId="28" borderId="9" xfId="0" applyFont="1" applyFill="1" applyBorder="1" applyAlignment="1">
      <alignment horizontal="left"/>
    </xf>
    <xf numFmtId="0" fontId="79" fillId="5" borderId="9" xfId="0" applyFont="1" applyFill="1" applyBorder="1"/>
    <xf numFmtId="178" fontId="7" fillId="49" borderId="9" xfId="0" applyNumberFormat="1" applyFont="1" applyFill="1" applyBorder="1" applyAlignment="1">
      <alignment horizontal="left"/>
    </xf>
    <xf numFmtId="0" fontId="84" fillId="49" borderId="9" xfId="0" applyFont="1" applyFill="1" applyBorder="1"/>
    <xf numFmtId="0" fontId="84" fillId="49" borderId="1" xfId="0" applyFont="1" applyFill="1" applyBorder="1"/>
    <xf numFmtId="0" fontId="7" fillId="43" borderId="19" xfId="0" applyFont="1" applyFill="1" applyBorder="1" applyAlignment="1">
      <alignment horizontal="left"/>
    </xf>
    <xf numFmtId="0" fontId="7" fillId="28" borderId="19" xfId="0" applyFont="1" applyFill="1" applyBorder="1" applyAlignment="1">
      <alignment horizontal="left"/>
    </xf>
    <xf numFmtId="0" fontId="7" fillId="5" borderId="28" xfId="0" applyFont="1" applyFill="1" applyBorder="1" applyAlignment="1">
      <alignment horizontal="left"/>
    </xf>
    <xf numFmtId="0" fontId="7" fillId="49" borderId="19" xfId="0" applyFont="1" applyFill="1" applyBorder="1" applyAlignment="1">
      <alignment horizontal="left"/>
    </xf>
    <xf numFmtId="0" fontId="83" fillId="49" borderId="16" xfId="0" applyFont="1" applyFill="1" applyBorder="1" applyAlignment="1">
      <alignment horizontal="left"/>
    </xf>
    <xf numFmtId="0" fontId="83" fillId="49" borderId="19" xfId="0" applyFont="1" applyFill="1" applyBorder="1" applyAlignment="1">
      <alignment horizontal="left"/>
    </xf>
    <xf numFmtId="177" fontId="7" fillId="28" borderId="4" xfId="0" applyNumberFormat="1" applyFont="1" applyFill="1" applyBorder="1" applyAlignment="1">
      <alignment horizontal="left"/>
    </xf>
    <xf numFmtId="0" fontId="83" fillId="49" borderId="9" xfId="0" applyFont="1" applyFill="1" applyBorder="1" applyAlignment="1">
      <alignment horizontal="left"/>
    </xf>
    <xf numFmtId="177" fontId="7" fillId="17" borderId="3" xfId="0" applyNumberFormat="1" applyFont="1" applyFill="1" applyBorder="1" applyAlignment="1">
      <alignment horizontal="left"/>
    </xf>
    <xf numFmtId="177" fontId="7" fillId="17" borderId="5" xfId="0" applyNumberFormat="1" applyFont="1" applyFill="1" applyBorder="1" applyAlignment="1">
      <alignment horizontal="center"/>
    </xf>
    <xf numFmtId="0" fontId="8" fillId="17" borderId="3" xfId="0" applyFont="1" applyFill="1" applyBorder="1" applyAlignment="1">
      <alignment horizontal="left"/>
    </xf>
    <xf numFmtId="0" fontId="7" fillId="17" borderId="5" xfId="0" applyFont="1" applyFill="1" applyBorder="1" applyAlignment="1">
      <alignment horizontal="left"/>
    </xf>
    <xf numFmtId="178" fontId="8" fillId="17" borderId="3" xfId="0" applyNumberFormat="1" applyFont="1" applyFill="1" applyBorder="1" applyAlignment="1">
      <alignment horizontal="left"/>
    </xf>
    <xf numFmtId="179" fontId="7" fillId="17" borderId="3" xfId="0" applyNumberFormat="1" applyFont="1" applyFill="1" applyBorder="1" applyAlignment="1">
      <alignment horizontal="left"/>
    </xf>
    <xf numFmtId="0" fontId="7" fillId="17" borderId="5" xfId="0" applyFont="1" applyFill="1" applyBorder="1"/>
    <xf numFmtId="178" fontId="7" fillId="28" borderId="0" xfId="0" applyNumberFormat="1" applyFont="1" applyFill="1" applyAlignment="1">
      <alignment horizontal="left"/>
    </xf>
    <xf numFmtId="0" fontId="68" fillId="28" borderId="13" xfId="0" applyFont="1" applyFill="1" applyBorder="1" applyAlignment="1">
      <alignment horizontal="center"/>
    </xf>
    <xf numFmtId="0" fontId="68" fillId="28" borderId="13" xfId="0" applyFont="1" applyFill="1" applyBorder="1" applyAlignment="1">
      <alignment wrapText="1"/>
    </xf>
    <xf numFmtId="0" fontId="68" fillId="28" borderId="13" xfId="0" applyFont="1" applyFill="1" applyBorder="1"/>
    <xf numFmtId="0" fontId="67" fillId="28" borderId="13" xfId="0" applyFont="1" applyFill="1" applyBorder="1"/>
    <xf numFmtId="14" fontId="66" fillId="28" borderId="13" xfId="0" applyNumberFormat="1" applyFont="1" applyFill="1" applyBorder="1" applyAlignment="1">
      <alignment horizontal="center" vertical="center"/>
    </xf>
    <xf numFmtId="14" fontId="66" fillId="28" borderId="1" xfId="0" applyNumberFormat="1" applyFont="1" applyFill="1" applyBorder="1" applyAlignment="1">
      <alignment horizontal="center" vertical="center"/>
    </xf>
    <xf numFmtId="178" fontId="8" fillId="49" borderId="9" xfId="0" applyNumberFormat="1" applyFont="1" applyFill="1" applyBorder="1" applyAlignment="1">
      <alignment horizontal="left"/>
    </xf>
    <xf numFmtId="0" fontId="8" fillId="49" borderId="9" xfId="0" applyFont="1" applyFill="1" applyBorder="1"/>
    <xf numFmtId="0" fontId="8" fillId="49" borderId="1" xfId="0" applyFont="1" applyFill="1" applyBorder="1"/>
    <xf numFmtId="16" fontId="49" fillId="9" borderId="4" xfId="0" applyNumberFormat="1" applyFont="1" applyFill="1" applyBorder="1" applyAlignment="1">
      <alignment horizontal="left" vertical="center"/>
    </xf>
    <xf numFmtId="16" fontId="86" fillId="3" borderId="4" xfId="0" applyNumberFormat="1" applyFont="1" applyFill="1" applyBorder="1" applyAlignment="1">
      <alignment horizontal="left" vertical="center"/>
    </xf>
    <xf numFmtId="15" fontId="50" fillId="9" borderId="16" xfId="0" applyNumberFormat="1" applyFont="1" applyFill="1" applyBorder="1" applyAlignment="1">
      <alignment horizontal="left" vertical="center"/>
    </xf>
    <xf numFmtId="0" fontId="50" fillId="3" borderId="16" xfId="0" applyFont="1" applyFill="1" applyBorder="1" applyAlignment="1">
      <alignment horizontal="left" vertical="center"/>
    </xf>
    <xf numFmtId="15" fontId="50" fillId="3" borderId="16" xfId="0" applyNumberFormat="1" applyFont="1" applyFill="1" applyBorder="1" applyAlignment="1">
      <alignment horizontal="left" vertical="center"/>
    </xf>
    <xf numFmtId="178" fontId="63" fillId="8" borderId="4" xfId="2863" quotePrefix="1" applyNumberFormat="1" applyFont="1" applyFill="1" applyBorder="1" applyAlignment="1">
      <alignment horizontal="left" vertical="center" wrapText="1"/>
    </xf>
    <xf numFmtId="0" fontId="49" fillId="9" borderId="4" xfId="0" applyFont="1" applyFill="1" applyBorder="1" applyAlignment="1">
      <alignment horizontal="left" vertical="center" wrapText="1"/>
    </xf>
    <xf numFmtId="0" fontId="67" fillId="46" borderId="4" xfId="0" applyFont="1" applyFill="1" applyBorder="1" applyAlignment="1">
      <alignment horizontal="center"/>
    </xf>
    <xf numFmtId="0" fontId="67" fillId="46" borderId="4" xfId="0" applyFont="1" applyFill="1" applyBorder="1" applyAlignment="1">
      <alignment horizontal="left"/>
    </xf>
    <xf numFmtId="0" fontId="67" fillId="46" borderId="4" xfId="0" applyFont="1" applyFill="1" applyBorder="1" applyAlignment="1">
      <alignment horizontal="center" vertical="center"/>
    </xf>
    <xf numFmtId="0" fontId="67" fillId="46" borderId="4" xfId="0" applyFont="1" applyFill="1" applyBorder="1"/>
    <xf numFmtId="0" fontId="69" fillId="46" borderId="4" xfId="0" applyFont="1" applyFill="1" applyBorder="1" applyAlignment="1">
      <alignment horizontal="center"/>
    </xf>
    <xf numFmtId="0" fontId="84" fillId="46" borderId="4" xfId="0" applyFont="1" applyFill="1" applyBorder="1"/>
    <xf numFmtId="0" fontId="91" fillId="46" borderId="4" xfId="0" applyFont="1" applyFill="1" applyBorder="1"/>
    <xf numFmtId="14" fontId="91" fillId="46" borderId="4" xfId="0" applyNumberFormat="1" applyFont="1" applyFill="1" applyBorder="1" applyAlignment="1">
      <alignment horizontal="center"/>
    </xf>
    <xf numFmtId="14" fontId="91" fillId="46" borderId="16" xfId="0" applyNumberFormat="1" applyFont="1" applyFill="1" applyBorder="1" applyAlignment="1">
      <alignment horizontal="center"/>
    </xf>
    <xf numFmtId="0" fontId="50" fillId="6" borderId="16" xfId="0" applyFont="1" applyFill="1" applyBorder="1" applyAlignment="1">
      <alignment horizontal="left" vertical="center"/>
    </xf>
    <xf numFmtId="176" fontId="49" fillId="6" borderId="4" xfId="0" applyNumberFormat="1" applyFont="1" applyFill="1" applyBorder="1" applyAlignment="1">
      <alignment horizontal="left" vertical="center"/>
    </xf>
    <xf numFmtId="188" fontId="49" fillId="6" borderId="4" xfId="0" applyNumberFormat="1" applyFont="1" applyFill="1" applyBorder="1" applyAlignment="1">
      <alignment horizontal="left" vertical="center"/>
    </xf>
    <xf numFmtId="184" fontId="49" fillId="6" borderId="4" xfId="0" applyNumberFormat="1" applyFont="1" applyFill="1" applyBorder="1" applyAlignment="1">
      <alignment horizontal="left" vertical="center"/>
    </xf>
    <xf numFmtId="187" fontId="49" fillId="6" borderId="4" xfId="0" applyNumberFormat="1" applyFont="1" applyFill="1" applyBorder="1" applyAlignment="1">
      <alignment horizontal="center" vertical="center"/>
    </xf>
    <xf numFmtId="16" fontId="49" fillId="6" borderId="4" xfId="0" applyNumberFormat="1" applyFont="1" applyFill="1" applyBorder="1" applyAlignment="1">
      <alignment horizontal="left" vertical="center"/>
    </xf>
    <xf numFmtId="178" fontId="49" fillId="6" borderId="4" xfId="0" applyNumberFormat="1" applyFont="1" applyFill="1" applyBorder="1" applyAlignment="1">
      <alignment horizontal="left" vertical="center"/>
    </xf>
    <xf numFmtId="179" fontId="49" fillId="6" borderId="4" xfId="0" applyNumberFormat="1" applyFont="1" applyFill="1" applyBorder="1" applyAlignment="1">
      <alignment horizontal="left" vertical="center"/>
    </xf>
    <xf numFmtId="0" fontId="50" fillId="6" borderId="4" xfId="0" applyFont="1" applyFill="1" applyBorder="1" applyAlignment="1">
      <alignment horizontal="left" vertical="center"/>
    </xf>
    <xf numFmtId="179" fontId="49" fillId="6" borderId="4" xfId="2863" applyNumberFormat="1" applyFont="1" applyFill="1" applyBorder="1" applyAlignment="1">
      <alignment horizontal="left" vertical="center"/>
    </xf>
    <xf numFmtId="0" fontId="49" fillId="6" borderId="13" xfId="0" applyFont="1" applyFill="1" applyBorder="1" applyAlignment="1">
      <alignment horizontal="left" vertical="center"/>
    </xf>
    <xf numFmtId="176" fontId="46" fillId="6" borderId="4" xfId="0" applyNumberFormat="1" applyFont="1" applyFill="1" applyBorder="1" applyAlignment="1">
      <alignment horizontal="left" vertical="center"/>
    </xf>
    <xf numFmtId="0" fontId="49" fillId="6" borderId="9" xfId="0" applyFont="1" applyFill="1" applyBorder="1" applyAlignment="1">
      <alignment horizontal="left" vertical="center"/>
    </xf>
    <xf numFmtId="0" fontId="46" fillId="6" borderId="19" xfId="0" applyFont="1" applyFill="1" applyBorder="1" applyAlignment="1">
      <alignment horizontal="left" vertical="center"/>
    </xf>
    <xf numFmtId="0" fontId="46" fillId="6" borderId="13" xfId="0" applyFont="1" applyFill="1" applyBorder="1" applyAlignment="1">
      <alignment horizontal="left" vertical="center"/>
    </xf>
    <xf numFmtId="0" fontId="72" fillId="6" borderId="4" xfId="0" applyFont="1" applyFill="1" applyBorder="1" applyAlignment="1">
      <alignment horizontal="left" vertical="center"/>
    </xf>
    <xf numFmtId="180" fontId="49" fillId="6" borderId="13" xfId="0" applyNumberFormat="1" applyFont="1" applyFill="1" applyBorder="1" applyAlignment="1">
      <alignment horizontal="left" vertical="center"/>
    </xf>
    <xf numFmtId="176" fontId="49" fillId="6" borderId="13" xfId="0" applyNumberFormat="1" applyFont="1" applyFill="1" applyBorder="1" applyAlignment="1">
      <alignment horizontal="left" vertical="center"/>
    </xf>
    <xf numFmtId="188" fontId="49" fillId="6" borderId="13" xfId="0" applyNumberFormat="1" applyFont="1" applyFill="1" applyBorder="1" applyAlignment="1">
      <alignment horizontal="left" vertical="center"/>
    </xf>
    <xf numFmtId="187" fontId="49" fillId="6" borderId="13" xfId="0" applyNumberFormat="1" applyFont="1" applyFill="1" applyBorder="1" applyAlignment="1">
      <alignment horizontal="center" vertical="center"/>
    </xf>
    <xf numFmtId="178" fontId="49" fillId="6" borderId="13" xfId="0" applyNumberFormat="1" applyFont="1" applyFill="1" applyBorder="1" applyAlignment="1">
      <alignment horizontal="left" vertical="center"/>
    </xf>
    <xf numFmtId="179" fontId="49" fillId="6" borderId="13" xfId="0" applyNumberFormat="1" applyFont="1" applyFill="1" applyBorder="1" applyAlignment="1">
      <alignment horizontal="left" vertical="center"/>
    </xf>
    <xf numFmtId="179" fontId="49" fillId="6" borderId="13" xfId="2863" applyNumberFormat="1" applyFont="1" applyFill="1" applyBorder="1" applyAlignment="1">
      <alignment horizontal="left" vertical="center"/>
    </xf>
    <xf numFmtId="0" fontId="49" fillId="6" borderId="1" xfId="0" applyFont="1" applyFill="1" applyBorder="1" applyAlignment="1">
      <alignment horizontal="left" vertical="center"/>
    </xf>
    <xf numFmtId="15" fontId="46" fillId="6" borderId="16" xfId="0" applyNumberFormat="1" applyFont="1" applyFill="1" applyBorder="1" applyAlignment="1">
      <alignment horizontal="left" vertical="center"/>
    </xf>
    <xf numFmtId="176" fontId="49" fillId="6" borderId="13" xfId="0" applyNumberFormat="1" applyFont="1" applyFill="1" applyBorder="1" applyAlignment="1">
      <alignment horizontal="center" vertical="center"/>
    </xf>
    <xf numFmtId="184" fontId="49" fillId="6" borderId="13" xfId="0" applyNumberFormat="1" applyFont="1" applyFill="1" applyBorder="1" applyAlignment="1">
      <alignment horizontal="left" vertical="center"/>
    </xf>
    <xf numFmtId="0" fontId="49" fillId="6" borderId="13" xfId="2863" applyNumberFormat="1" applyFont="1" applyFill="1" applyBorder="1" applyAlignment="1">
      <alignment horizontal="left" vertical="center"/>
    </xf>
    <xf numFmtId="16" fontId="49" fillId="6" borderId="13" xfId="0" applyNumberFormat="1" applyFont="1" applyFill="1" applyBorder="1" applyAlignment="1">
      <alignment horizontal="left" vertical="center"/>
    </xf>
    <xf numFmtId="0" fontId="42" fillId="6" borderId="4" xfId="0" applyFont="1" applyFill="1" applyBorder="1" applyAlignment="1">
      <alignment horizontal="left" vertical="center"/>
    </xf>
    <xf numFmtId="15" fontId="50" fillId="6" borderId="16" xfId="0" applyNumberFormat="1" applyFont="1" applyFill="1" applyBorder="1" applyAlignment="1">
      <alignment horizontal="left" vertical="center"/>
    </xf>
    <xf numFmtId="0" fontId="46" fillId="6" borderId="16" xfId="0" applyFont="1" applyFill="1" applyBorder="1" applyAlignment="1">
      <alignment horizontal="left" vertical="center"/>
    </xf>
    <xf numFmtId="0" fontId="49" fillId="6" borderId="4" xfId="2863" applyNumberFormat="1" applyFont="1" applyFill="1" applyBorder="1" applyAlignment="1">
      <alignment horizontal="left" vertical="center"/>
    </xf>
    <xf numFmtId="15" fontId="50" fillId="6" borderId="19" xfId="0" applyNumberFormat="1" applyFont="1" applyFill="1" applyBorder="1" applyAlignment="1">
      <alignment horizontal="left" vertical="center"/>
    </xf>
    <xf numFmtId="0" fontId="49" fillId="6" borderId="4" xfId="0" applyFont="1" applyFill="1" applyBorder="1" applyAlignment="1">
      <alignment horizontal="left" vertical="center" wrapText="1"/>
    </xf>
    <xf numFmtId="179" fontId="46" fillId="6" borderId="4" xfId="2863" applyNumberFormat="1" applyFont="1" applyFill="1" applyBorder="1" applyAlignment="1">
      <alignment horizontal="left" vertical="center"/>
    </xf>
    <xf numFmtId="0" fontId="49" fillId="6" borderId="13" xfId="0" applyFont="1" applyFill="1" applyBorder="1" applyAlignment="1">
      <alignment horizontal="left" vertical="center" wrapText="1"/>
    </xf>
    <xf numFmtId="0" fontId="50" fillId="0" borderId="16" xfId="0" applyFont="1" applyBorder="1" applyAlignment="1">
      <alignment horizontal="left" vertical="center"/>
    </xf>
    <xf numFmtId="0" fontId="46" fillId="0" borderId="4" xfId="0" applyFont="1" applyBorder="1"/>
    <xf numFmtId="0" fontId="46" fillId="0" borderId="17" xfId="0" applyFont="1" applyBorder="1"/>
    <xf numFmtId="15" fontId="50" fillId="0" borderId="16" xfId="0" applyNumberFormat="1" applyFont="1" applyBorder="1" applyAlignment="1">
      <alignment horizontal="left" vertical="center"/>
    </xf>
    <xf numFmtId="0" fontId="49" fillId="0" borderId="13" xfId="2863" applyNumberFormat="1" applyFont="1" applyFill="1" applyBorder="1" applyAlignment="1">
      <alignment horizontal="left" vertical="center"/>
    </xf>
    <xf numFmtId="0" fontId="67" fillId="46" borderId="9" xfId="0" applyFont="1" applyFill="1" applyBorder="1" applyAlignment="1">
      <alignment horizontal="center"/>
    </xf>
    <xf numFmtId="0" fontId="42" fillId="3" borderId="4" xfId="0" applyFont="1" applyFill="1" applyBorder="1" applyAlignment="1">
      <alignment horizontal="left" vertical="center"/>
    </xf>
    <xf numFmtId="0" fontId="85" fillId="18" borderId="4" xfId="0" applyFont="1" applyFill="1" applyBorder="1" applyAlignment="1">
      <alignment horizontal="left" vertical="center"/>
    </xf>
    <xf numFmtId="0" fontId="46" fillId="18" borderId="13" xfId="0" applyFont="1" applyFill="1" applyBorder="1" applyAlignment="1">
      <alignment horizontal="left" vertical="center"/>
    </xf>
    <xf numFmtId="0" fontId="49" fillId="18" borderId="4" xfId="0" applyFont="1" applyFill="1" applyBorder="1" applyAlignment="1">
      <alignment horizontal="left" vertical="center"/>
    </xf>
    <xf numFmtId="0" fontId="49" fillId="18" borderId="13" xfId="0" applyFont="1" applyFill="1" applyBorder="1" applyAlignment="1">
      <alignment horizontal="left" vertical="center"/>
    </xf>
    <xf numFmtId="180" fontId="86" fillId="18" borderId="4" xfId="0" applyNumberFormat="1" applyFont="1" applyFill="1" applyBorder="1" applyAlignment="1">
      <alignment horizontal="left" vertical="center"/>
    </xf>
    <xf numFmtId="0" fontId="86" fillId="18" borderId="4" xfId="0" applyFont="1" applyFill="1" applyBorder="1" applyAlignment="1">
      <alignment horizontal="left" vertical="center"/>
    </xf>
    <xf numFmtId="176" fontId="49" fillId="18" borderId="4" xfId="0" applyNumberFormat="1" applyFont="1" applyFill="1" applyBorder="1" applyAlignment="1">
      <alignment horizontal="left" vertical="center"/>
    </xf>
    <xf numFmtId="176" fontId="86" fillId="18" borderId="4" xfId="0" applyNumberFormat="1" applyFont="1" applyFill="1" applyBorder="1" applyAlignment="1">
      <alignment horizontal="left" vertical="center"/>
    </xf>
    <xf numFmtId="176" fontId="86" fillId="18" borderId="4" xfId="0" applyNumberFormat="1" applyFont="1" applyFill="1" applyBorder="1" applyAlignment="1">
      <alignment horizontal="center" vertical="center"/>
    </xf>
    <xf numFmtId="188" fontId="86" fillId="18" borderId="4" xfId="0" applyNumberFormat="1" applyFont="1" applyFill="1" applyBorder="1" applyAlignment="1">
      <alignment horizontal="left" vertical="center"/>
    </xf>
    <xf numFmtId="184" fontId="49" fillId="18" borderId="4" xfId="0" applyNumberFormat="1" applyFont="1" applyFill="1" applyBorder="1" applyAlignment="1">
      <alignment horizontal="left" vertical="center"/>
    </xf>
    <xf numFmtId="187" fontId="49" fillId="18" borderId="13" xfId="0" applyNumberFormat="1" applyFont="1" applyFill="1" applyBorder="1" applyAlignment="1">
      <alignment horizontal="center" vertical="center"/>
    </xf>
    <xf numFmtId="0" fontId="86" fillId="18" borderId="4" xfId="2863" applyNumberFormat="1" applyFont="1" applyFill="1" applyBorder="1" applyAlignment="1">
      <alignment horizontal="left" vertical="center"/>
    </xf>
    <xf numFmtId="178" fontId="86" fillId="18" borderId="4" xfId="0" applyNumberFormat="1" applyFont="1" applyFill="1" applyBorder="1" applyAlignment="1">
      <alignment horizontal="left" vertical="center"/>
    </xf>
    <xf numFmtId="179" fontId="86" fillId="18" borderId="4" xfId="0" applyNumberFormat="1" applyFont="1" applyFill="1" applyBorder="1" applyAlignment="1">
      <alignment horizontal="left" vertical="center"/>
    </xf>
    <xf numFmtId="184" fontId="49" fillId="18" borderId="13" xfId="0" applyNumberFormat="1" applyFont="1" applyFill="1" applyBorder="1" applyAlignment="1">
      <alignment horizontal="left" vertical="center"/>
    </xf>
    <xf numFmtId="178" fontId="86" fillId="18" borderId="4" xfId="2863" applyNumberFormat="1" applyFont="1" applyFill="1" applyBorder="1" applyAlignment="1">
      <alignment horizontal="left" vertical="center"/>
    </xf>
    <xf numFmtId="179" fontId="86" fillId="18" borderId="4" xfId="2863" applyNumberFormat="1" applyFont="1" applyFill="1" applyBorder="1" applyAlignment="1">
      <alignment horizontal="left" vertical="center"/>
    </xf>
    <xf numFmtId="176" fontId="46" fillId="18" borderId="4" xfId="0" applyNumberFormat="1" applyFont="1" applyFill="1" applyBorder="1" applyAlignment="1">
      <alignment horizontal="left" vertical="center"/>
    </xf>
    <xf numFmtId="0" fontId="86" fillId="18" borderId="9" xfId="0" applyFont="1" applyFill="1" applyBorder="1" applyAlignment="1">
      <alignment horizontal="left" vertical="center"/>
    </xf>
    <xf numFmtId="0" fontId="42" fillId="18" borderId="4" xfId="0" applyFont="1" applyFill="1" applyBorder="1" applyAlignment="1">
      <alignment horizontal="left" vertical="center"/>
    </xf>
    <xf numFmtId="0" fontId="93" fillId="50" borderId="31" xfId="0" applyFont="1" applyFill="1" applyBorder="1"/>
    <xf numFmtId="0" fontId="93" fillId="0" borderId="31" xfId="0" applyFont="1" applyBorder="1"/>
    <xf numFmtId="0" fontId="94" fillId="0" borderId="31" xfId="0" applyFont="1" applyBorder="1"/>
    <xf numFmtId="0" fontId="94" fillId="50" borderId="31" xfId="0" applyFont="1" applyFill="1" applyBorder="1"/>
    <xf numFmtId="178" fontId="93" fillId="50" borderId="31" xfId="0" applyNumberFormat="1" applyFont="1" applyFill="1" applyBorder="1"/>
    <xf numFmtId="178" fontId="93" fillId="0" borderId="31" xfId="0" applyNumberFormat="1" applyFont="1" applyBorder="1"/>
    <xf numFmtId="178" fontId="94" fillId="0" borderId="31" xfId="0" applyNumberFormat="1" applyFont="1" applyBorder="1"/>
    <xf numFmtId="178" fontId="94" fillId="50" borderId="31" xfId="0" applyNumberFormat="1" applyFont="1" applyFill="1" applyBorder="1"/>
    <xf numFmtId="0" fontId="49" fillId="53" borderId="13" xfId="0" applyFont="1" applyFill="1" applyBorder="1" applyAlignment="1">
      <alignment horizontal="left" vertical="center"/>
    </xf>
    <xf numFmtId="0" fontId="49" fillId="53" borderId="4" xfId="0" applyFont="1" applyFill="1" applyBorder="1" applyAlignment="1">
      <alignment horizontal="left" vertical="center"/>
    </xf>
    <xf numFmtId="176" fontId="49" fillId="53" borderId="4" xfId="0" applyNumberFormat="1" applyFont="1" applyFill="1" applyBorder="1" applyAlignment="1">
      <alignment horizontal="left" vertical="center"/>
    </xf>
    <xf numFmtId="176" fontId="49" fillId="53" borderId="4" xfId="0" applyNumberFormat="1" applyFont="1" applyFill="1" applyBorder="1" applyAlignment="1">
      <alignment horizontal="center" vertical="center"/>
    </xf>
    <xf numFmtId="188" fontId="49" fillId="53" borderId="4" xfId="0" applyNumberFormat="1" applyFont="1" applyFill="1" applyBorder="1" applyAlignment="1">
      <alignment horizontal="left" vertical="center"/>
    </xf>
    <xf numFmtId="184" fontId="49" fillId="53" borderId="4" xfId="0" applyNumberFormat="1" applyFont="1" applyFill="1" applyBorder="1" applyAlignment="1">
      <alignment horizontal="left" vertical="center"/>
    </xf>
    <xf numFmtId="187" fontId="49" fillId="53" borderId="4" xfId="0" applyNumberFormat="1" applyFont="1" applyFill="1" applyBorder="1" applyAlignment="1">
      <alignment horizontal="center" vertical="center"/>
    </xf>
    <xf numFmtId="187" fontId="49" fillId="14" borderId="13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60" fillId="0" borderId="40" xfId="0" applyFont="1" applyBorder="1"/>
    <xf numFmtId="0" fontId="10" fillId="0" borderId="40" xfId="0" applyFont="1" applyBorder="1"/>
    <xf numFmtId="0" fontId="60" fillId="47" borderId="40" xfId="0" applyFont="1" applyFill="1" applyBorder="1"/>
    <xf numFmtId="0" fontId="0" fillId="0" borderId="40" xfId="0" applyBorder="1"/>
    <xf numFmtId="0" fontId="0" fillId="0" borderId="40" xfId="0" applyBorder="1" applyAlignment="1">
      <alignment horizontal="left" vertical="center"/>
    </xf>
    <xf numFmtId="0" fontId="6" fillId="0" borderId="40" xfId="1536" applyBorder="1" applyAlignment="1" applyProtection="1"/>
    <xf numFmtId="0" fontId="0" fillId="0" borderId="40" xfId="0" applyBorder="1" applyAlignment="1">
      <alignment horizontal="left" vertical="center" wrapText="1"/>
    </xf>
    <xf numFmtId="0" fontId="0" fillId="0" borderId="41" xfId="0" applyBorder="1" applyAlignment="1">
      <alignment horizontal="left" vertical="center"/>
    </xf>
    <xf numFmtId="0" fontId="0" fillId="0" borderId="42" xfId="0" applyBorder="1" applyAlignment="1">
      <alignment wrapText="1"/>
    </xf>
    <xf numFmtId="0" fontId="13" fillId="12" borderId="40" xfId="0" applyFont="1" applyFill="1" applyBorder="1" applyAlignment="1">
      <alignment horizontal="center" vertical="center" wrapText="1"/>
    </xf>
    <xf numFmtId="0" fontId="7" fillId="3" borderId="43" xfId="0" applyFont="1" applyFill="1" applyBorder="1" applyAlignment="1">
      <alignment horizontal="left" vertical="center"/>
    </xf>
    <xf numFmtId="0" fontId="26" fillId="11" borderId="40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0" fillId="0" borderId="40" xfId="0" applyBorder="1" applyAlignment="1">
      <alignment vertical="center" wrapText="1"/>
    </xf>
    <xf numFmtId="0" fontId="28" fillId="22" borderId="40" xfId="2865" applyBorder="1" applyAlignment="1">
      <alignment horizontal="center" vertical="center"/>
    </xf>
    <xf numFmtId="0" fontId="55" fillId="47" borderId="40" xfId="0" applyFont="1" applyFill="1" applyBorder="1"/>
    <xf numFmtId="0" fontId="26" fillId="0" borderId="40" xfId="0" applyFont="1" applyBorder="1"/>
    <xf numFmtId="0" fontId="0" fillId="0" borderId="40" xfId="0" applyBorder="1" applyAlignment="1">
      <alignment horizontal="center"/>
    </xf>
    <xf numFmtId="1" fontId="0" fillId="0" borderId="40" xfId="0" applyNumberFormat="1" applyBorder="1" applyAlignment="1">
      <alignment horizontal="center"/>
    </xf>
    <xf numFmtId="0" fontId="26" fillId="20" borderId="40" xfId="0" applyFont="1" applyFill="1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44" fillId="0" borderId="4" xfId="0" applyFont="1" applyBorder="1" applyAlignment="1">
      <alignment horizontal="left" vertical="center" wrapText="1"/>
    </xf>
    <xf numFmtId="0" fontId="44" fillId="34" borderId="1" xfId="0" applyFont="1" applyFill="1" applyBorder="1" applyAlignment="1">
      <alignment horizontal="center" vertical="center" wrapText="1"/>
    </xf>
    <xf numFmtId="0" fontId="44" fillId="34" borderId="19" xfId="0" applyFont="1" applyFill="1" applyBorder="1" applyAlignment="1">
      <alignment horizontal="center" vertical="center" wrapText="1"/>
    </xf>
    <xf numFmtId="0" fontId="44" fillId="34" borderId="3" xfId="0" applyFont="1" applyFill="1" applyBorder="1" applyAlignment="1">
      <alignment horizontal="center" vertical="center" wrapText="1"/>
    </xf>
    <xf numFmtId="0" fontId="44" fillId="34" borderId="28" xfId="0" applyFont="1" applyFill="1" applyBorder="1" applyAlignment="1">
      <alignment horizontal="center" vertical="center" wrapText="1"/>
    </xf>
    <xf numFmtId="0" fontId="44" fillId="34" borderId="30" xfId="0" applyFont="1" applyFill="1" applyBorder="1" applyAlignment="1">
      <alignment horizontal="center" vertical="center" wrapText="1"/>
    </xf>
    <xf numFmtId="0" fontId="44" fillId="34" borderId="20" xfId="0" applyFont="1" applyFill="1" applyBorder="1" applyAlignment="1">
      <alignment horizontal="center" vertical="center" wrapText="1"/>
    </xf>
    <xf numFmtId="0" fontId="44" fillId="0" borderId="13" xfId="0" applyFont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0" fillId="0" borderId="0" xfId="0" applyNumberFormat="1"/>
    <xf numFmtId="192" fontId="0" fillId="0" borderId="0" xfId="0" applyNumberFormat="1"/>
  </cellXfs>
  <cellStyles count="2869">
    <cellStyle name="%" xfId="8" xr:uid="{66AD7253-A4AB-4D2A-A4F2-40F50A561E9E}"/>
    <cellStyle name="% 2" xfId="9" xr:uid="{088B9F43-06AB-41C0-B37D-266AC5FA80E8}"/>
    <cellStyle name="% 2 2" xfId="10" xr:uid="{2785B663-EF46-4CA2-AC22-9EF09DB29FD4}"/>
    <cellStyle name="% 2 2 2" xfId="11" xr:uid="{1A9869F5-565F-4A46-A1DC-3070D05633BF}"/>
    <cellStyle name="% 2 3" xfId="12" xr:uid="{75AF303D-B7FD-4948-A02D-CAC251A1264D}"/>
    <cellStyle name="% 2 3 2" xfId="13" xr:uid="{0E1ED079-1408-4A70-8D15-241F0F273C42}"/>
    <cellStyle name="% 2 4" xfId="14" xr:uid="{12913D1E-E151-4158-93C2-614CDFD84B61}"/>
    <cellStyle name="% 3" xfId="15" xr:uid="{209ABA62-E4E5-42BA-A899-D130BF26E6CF}"/>
    <cellStyle name="% 3 2" xfId="16" xr:uid="{A281D892-B106-4B63-892E-766A8F15A525}"/>
    <cellStyle name="% 4" xfId="17" xr:uid="{9EE13A05-1FF8-4DE1-A135-DAC406260B14}"/>
    <cellStyle name="%_ MIDAS 02 Estimé moteur cible" xfId="18" xr:uid="{D8FA6D5D-9C4D-4542-B8CF-17470C4A4D45}"/>
    <cellStyle name="%_ MIDAS 02 Estimé moteur cible 2" xfId="19" xr:uid="{37892DBF-FCEA-426D-8595-EB185B865E72}"/>
    <cellStyle name="%_ MIDAS 02 Estimé moteur cible 2 2" xfId="20" xr:uid="{DFADF026-AD1D-4521-8826-24D184FFC249}"/>
    <cellStyle name="%_ MIDAS 02 Estimé moteur cible 2 2 2" xfId="21" xr:uid="{1D54AB32-8F4E-4F72-92CE-E2E0A4BFB9B6}"/>
    <cellStyle name="%_ MIDAS 02 Estimé moteur cible 2 3" xfId="22" xr:uid="{E9EF8A25-2735-49E3-BA7E-30AB7207E6FA}"/>
    <cellStyle name="%_ MIDAS 02 Estimé moteur cible 2 3 2" xfId="23" xr:uid="{79647373-F576-461E-968B-A49EC6B46602}"/>
    <cellStyle name="%_ MIDAS 02 Estimé moteur cible 2 4" xfId="24" xr:uid="{9EE88A31-CD26-4184-B4C5-96F0B4CC79E4}"/>
    <cellStyle name="%_ MIDAS 02 Estimé moteur cible 2 4 2" xfId="25" xr:uid="{047F1544-275F-4C0B-98CB-DC3F06071444}"/>
    <cellStyle name="%_ MIDAS 02 Estimé moteur cible 2 5" xfId="26" xr:uid="{AA5CF87C-EAA3-40D4-A7DB-840056A836DB}"/>
    <cellStyle name="%_ MIDAS 02 Estimé moteur cible 3" xfId="27" xr:uid="{4D8E44CA-8F83-4BFA-896D-DCD35F59E89E}"/>
    <cellStyle name="%_ MIDAS 02 Estimé moteur cible 3 2" xfId="28" xr:uid="{956373CA-6D18-4C94-BBEA-8A45496B06BB}"/>
    <cellStyle name="%_ MIDAS 02 Estimé moteur cible 4" xfId="29" xr:uid="{D021F7BD-69DB-4137-A538-F42FE9CEC699}"/>
    <cellStyle name="%_ MIDAS 02 Estimé moteur cible 4 2" xfId="30" xr:uid="{CD6F04F1-EC33-412E-B94F-7B6F1C614250}"/>
    <cellStyle name="%_ MIDAS 02 Estimé moteur cible 5" xfId="31" xr:uid="{5A7D144A-76D6-4101-8DDD-14EBCCB22A98}"/>
    <cellStyle name="%_ MIDAS 02 Estimé moteur cible_BASE bl list" xfId="32" xr:uid="{2EED7497-BED2-4B39-B996-F029CEFC5239}"/>
    <cellStyle name="%_ MIDAS 02 Estimé moteur cible_BASE bl list 2" xfId="33" xr:uid="{EB632B8F-8CFE-4689-A1B5-7BE355ABD087}"/>
    <cellStyle name="%_Andex May 2009" xfId="34" xr:uid="{D43E360C-F135-4751-817E-8CFDB5238770}"/>
    <cellStyle name="%_BASE bl list" xfId="35" xr:uid="{842B3514-A8F2-4B2C-B78C-B8DDC5219EBD}"/>
    <cellStyle name="%_BASE bl list 2" xfId="36" xr:uid="{8AFEEA1B-C4A1-4BE1-A503-7F859CC75B42}"/>
    <cellStyle name="%_Copie de Andex Ext Chile Feb 2009 (2)" xfId="37" xr:uid="{76EF12A9-8D65-413A-8A9B-A158F4FBF6B1}"/>
    <cellStyle name="%_LOAD AVRIL 2011 SAMWAF" xfId="38" xr:uid="{827EEC45-A129-4DB6-BD0C-23D2A3AC589B}"/>
    <cellStyle name="%_LOAD AVRIL 2011 SAMWAF 2" xfId="39" xr:uid="{73ABB38B-4F5A-451E-90EB-1A9206A87E21}"/>
    <cellStyle name="%_LOAD AVRIL 2011 SAMWAF 2 2" xfId="40" xr:uid="{A5EE13F4-8A96-4767-8706-B7492AEE4FA9}"/>
    <cellStyle name="%_LOAD AVRIL 2011 SAMWAF 3" xfId="41" xr:uid="{F177AF8C-A15B-4067-8211-D6BED21F09DA}"/>
    <cellStyle name="%_MIDAS 01 Estimé moteur cible" xfId="42" xr:uid="{8997B416-3AF1-400A-9E6D-2D2284363CC4}"/>
    <cellStyle name="%_MIDAS 01 Estimé moteur cible 2" xfId="43" xr:uid="{1967B8F9-873A-4E10-9294-F88354298603}"/>
    <cellStyle name="%_MIDAS 01 Estimé moteur cible 2 2" xfId="44" xr:uid="{00127681-976B-4384-927D-1DBD8EB4D093}"/>
    <cellStyle name="%_MIDAS 01 Estimé moteur cible 2 2 2" xfId="45" xr:uid="{EE214816-A17E-45DF-A241-10A75F44109F}"/>
    <cellStyle name="%_MIDAS 01 Estimé moteur cible 2 3" xfId="46" xr:uid="{3694F4BF-E69E-4822-AF0A-2C42CE476288}"/>
    <cellStyle name="%_MIDAS 01 Estimé moteur cible 2 3 2" xfId="47" xr:uid="{5C2CAE5D-26F8-4C09-B59C-2373C9B078CF}"/>
    <cellStyle name="%_MIDAS 01 Estimé moteur cible 2 4" xfId="48" xr:uid="{C5F06739-C639-4591-A632-89FE45E5C3E8}"/>
    <cellStyle name="%_MIDAS 01 Estimé moteur cible 2 4 2" xfId="49" xr:uid="{9DFF7D0A-7A0F-4EF9-ABC4-AE078CD50480}"/>
    <cellStyle name="%_MIDAS 01 Estimé moteur cible 2 5" xfId="50" xr:uid="{28ECE35F-59B6-412F-A0AF-C9EAD8464274}"/>
    <cellStyle name="%_MIDAS 01 Estimé moteur cible 3" xfId="51" xr:uid="{C2CBF0D9-74CC-46E2-8658-A382C3729247}"/>
    <cellStyle name="%_MIDAS 01 Estimé moteur cible 3 2" xfId="52" xr:uid="{3E4AD7E4-361C-4EF0-9775-35403B893B47}"/>
    <cellStyle name="%_MIDAS 01 Estimé moteur cible 4" xfId="53" xr:uid="{177E5925-0BF4-4025-AF70-A51968550382}"/>
    <cellStyle name="%_MIDAS 01 Estimé moteur cible 4 2" xfId="54" xr:uid="{13BA67B0-85B6-4827-9352-7B8E70254CFB}"/>
    <cellStyle name="%_MIDAS 01 Estimé moteur cible 5" xfId="55" xr:uid="{ABFF96DA-417F-4DE5-87C2-E42329FEE52C}"/>
    <cellStyle name="%_MIDAS 01 Estimé moteur cible_BASE bl list" xfId="56" xr:uid="{D50D0708-EF3A-499C-9594-E38193A785BC}"/>
    <cellStyle name="%_MIDAS 01 Estimé moteur cible_BASE bl list 2" xfId="57" xr:uid="{0A4B9FFF-22BE-4726-935A-2ED09CA9F022}"/>
    <cellStyle name="%_MIDAS 03 Estimé moteur cible" xfId="58" xr:uid="{7BBCD8A8-A398-4251-B42D-1EE063CBE12E}"/>
    <cellStyle name="%_MIDAS 03 Estimé moteur cible 2" xfId="59" xr:uid="{03E6A9E4-D7C1-4C34-AF6B-3E6AA10F5B4A}"/>
    <cellStyle name="%_MIDAS 03 Estimé moteur cible 2 2" xfId="60" xr:uid="{8D79B1A1-1003-4FA9-9ECE-CCCC29859BA1}"/>
    <cellStyle name="%_MIDAS 03 Estimé moteur cible 2 2 2" xfId="61" xr:uid="{C159E401-BBB4-42DF-93AC-4927C772D61D}"/>
    <cellStyle name="%_MIDAS 03 Estimé moteur cible 2 3" xfId="62" xr:uid="{11C8E6C4-20F5-40B7-B7BA-B5E523BEECCB}"/>
    <cellStyle name="%_MIDAS 03 Estimé moteur cible 2 3 2" xfId="63" xr:uid="{351A3F99-E744-4689-80D6-6B56D128D80E}"/>
    <cellStyle name="%_MIDAS 03 Estimé moteur cible 2 4" xfId="64" xr:uid="{22E3ABD3-44C5-484F-A426-DB8556DB58D8}"/>
    <cellStyle name="%_MIDAS 03 Estimé moteur cible 2 4 2" xfId="65" xr:uid="{BAD4FABB-E433-42E3-948C-830F82DCE95D}"/>
    <cellStyle name="%_MIDAS 03 Estimé moteur cible 2 5" xfId="66" xr:uid="{44AB8A16-9315-49B8-A97B-A02EC8915737}"/>
    <cellStyle name="%_MIDAS 03 Estimé moteur cible 3" xfId="67" xr:uid="{72A55299-C22B-442B-9D4C-51BA82339949}"/>
    <cellStyle name="%_MIDAS 03 Estimé moteur cible 3 2" xfId="68" xr:uid="{9328F02E-04B5-4DF3-833A-F299C04200F6}"/>
    <cellStyle name="%_MIDAS 03 Estimé moteur cible 4" xfId="69" xr:uid="{72028194-F406-4615-AE9D-6AA83A3C973E}"/>
    <cellStyle name="%_MIDAS 03 Estimé moteur cible 4 2" xfId="70" xr:uid="{82087696-A6E6-4F56-AE8B-318F60D15E95}"/>
    <cellStyle name="%_MIDAS 03 Estimé moteur cible 5" xfId="71" xr:uid="{BADD779A-D39E-460B-88BD-86D05AE99C93}"/>
    <cellStyle name="%_MIDAS 03 Estimé moteur cible_BASE bl list" xfId="72" xr:uid="{D6ABDF08-D130-4B90-B271-2CCF4E4FCC18}"/>
    <cellStyle name="%_MIDAS 03 Estimé moteur cible_BASE bl list 2" xfId="73" xr:uid="{0F80DB14-928B-489D-8535-B19E28A795ED}"/>
    <cellStyle name="%_MIDAS 04 Estimé moteur cible" xfId="74" xr:uid="{72E34C41-A26E-4821-8212-E504A8A677A0}"/>
    <cellStyle name="%_MIDAS 04 Estimé moteur cible 2" xfId="75" xr:uid="{8F5E50C5-86E5-4A5B-ABA7-A946DCEA796A}"/>
    <cellStyle name="%_MIDAS 04 Estimé moteur cible 2 2" xfId="76" xr:uid="{4D377246-2BB0-44A5-B81A-B81A2B2B21C1}"/>
    <cellStyle name="%_MIDAS 04 Estimé moteur cible 2 2 2" xfId="77" xr:uid="{59EB6174-7B4C-4E7B-9F59-403CA0518DC6}"/>
    <cellStyle name="%_MIDAS 04 Estimé moteur cible 2 3" xfId="78" xr:uid="{33AC3B90-211C-4A16-8124-C5B017708CB0}"/>
    <cellStyle name="%_MIDAS 04 Estimé moteur cible 2 3 2" xfId="79" xr:uid="{B1260466-D891-490C-81DA-7270F270B7B8}"/>
    <cellStyle name="%_MIDAS 04 Estimé moteur cible 2 4" xfId="80" xr:uid="{426C89A4-B8C7-4F66-BF00-5B9B44C2ED8A}"/>
    <cellStyle name="%_MIDAS 04 Estimé moteur cible 2 4 2" xfId="81" xr:uid="{BA8F7747-EEE1-4E11-98F3-DCC6B48CB184}"/>
    <cellStyle name="%_MIDAS 04 Estimé moteur cible 2 5" xfId="82" xr:uid="{75D67417-AC44-424E-9944-939EE5A8642B}"/>
    <cellStyle name="%_MIDAS 04 Estimé moteur cible 3" xfId="83" xr:uid="{4A465826-88AF-4A34-B5A1-00E2BA7103DD}"/>
    <cellStyle name="%_MIDAS 04 Estimé moteur cible 3 2" xfId="84" xr:uid="{4ADE46FC-B162-4354-974A-1845720637D0}"/>
    <cellStyle name="%_MIDAS 04 Estimé moteur cible 4" xfId="85" xr:uid="{9332B302-3FE9-429B-9E79-2AC673673C33}"/>
    <cellStyle name="%_MIDAS 04 Estimé moteur cible 4 2" xfId="86" xr:uid="{0B47E572-EF78-4D9D-B082-29DDEB6D11B2}"/>
    <cellStyle name="%_MIDAS 04 Estimé moteur cible 5" xfId="87" xr:uid="{BF94508E-254C-4007-AC2D-B0F7011A7A0F}"/>
    <cellStyle name="%_MIDAS 04 Estimé moteur cible_BASE bl list" xfId="88" xr:uid="{F05FAE07-6C18-4BE0-9CBE-87C89CACE097}"/>
    <cellStyle name="%_MIDAS 04 Estimé moteur cible_BASE bl list 2" xfId="89" xr:uid="{BAA85D1C-6146-4B32-9DEF-39D3217FFFB9}"/>
    <cellStyle name="%_MIDAS 05 Estimé moteur cible" xfId="90" xr:uid="{A09BD82F-FCC6-4195-92BE-806C36CF95C4}"/>
    <cellStyle name="%_MIDAS 05 Estimé moteur cible 2" xfId="91" xr:uid="{8A30D749-B2C6-4C47-A40F-E008FD3FD31E}"/>
    <cellStyle name="%_MIDAS 05 Estimé moteur cible 2 2" xfId="92" xr:uid="{4CBE7C36-6029-48C2-9BA3-0944F3CB8D9F}"/>
    <cellStyle name="%_MIDAS 05 Estimé moteur cible 2 2 2" xfId="93" xr:uid="{6F6419B3-A687-4638-BFC8-074BD154E800}"/>
    <cellStyle name="%_MIDAS 05 Estimé moteur cible 2 3" xfId="94" xr:uid="{B61F0936-69B4-46DE-B7E2-48BF319D5FCD}"/>
    <cellStyle name="%_MIDAS 05 Estimé moteur cible 2 3 2" xfId="95" xr:uid="{4305A51D-06C7-4E05-A800-AD35D3D1E57E}"/>
    <cellStyle name="%_MIDAS 05 Estimé moteur cible 2 4" xfId="96" xr:uid="{57AD0850-9C70-46BB-A96F-3C7903B9E971}"/>
    <cellStyle name="%_MIDAS 05 Estimé moteur cible 2 4 2" xfId="97" xr:uid="{99EA7A83-A711-4AE6-B4E2-A4346EB038A2}"/>
    <cellStyle name="%_MIDAS 05 Estimé moteur cible 2 5" xfId="98" xr:uid="{7AA59EAE-6B7F-44B1-BA13-EEA7A08B68E1}"/>
    <cellStyle name="%_MIDAS 05 Estimé moteur cible 3" xfId="99" xr:uid="{86849FA1-CFF7-4F19-9810-5D8FAA17A710}"/>
    <cellStyle name="%_MIDAS 05 Estimé moteur cible 3 2" xfId="100" xr:uid="{576D6218-3C30-4C82-8D4F-D77153875ABE}"/>
    <cellStyle name="%_MIDAS 05 Estimé moteur cible 4" xfId="101" xr:uid="{CB3F75EA-069C-4AB0-A440-BF3783C9BB43}"/>
    <cellStyle name="%_MIDAS 05 Estimé moteur cible 4 2" xfId="102" xr:uid="{81D8E350-FBC6-4B8B-B739-4EADDC48F820}"/>
    <cellStyle name="%_MIDAS 05 Estimé moteur cible 5" xfId="103" xr:uid="{FA7AFD26-0FBC-42AC-8BE1-812AAC504310}"/>
    <cellStyle name="%_MIDAS 05 Estimé moteur cible_BASE bl list" xfId="104" xr:uid="{3886D8DA-7DC4-46AA-9EAD-93BF3C8A2B78}"/>
    <cellStyle name="%_MIDAS 05 Estimé moteur cible_BASE bl list 2" xfId="105" xr:uid="{1DCD0599-4900-42ED-AFFE-3AA28BAF0D67}"/>
    <cellStyle name="%_MIDAS 08 Estimé moteur cible" xfId="106" xr:uid="{C782C8CB-97A5-447F-B5ED-0B71AB1D27FA}"/>
    <cellStyle name="%_MIDAS 08 Estimé moteur cible 2" xfId="107" xr:uid="{63AD0D20-11A9-4827-AF2D-BE35201C288D}"/>
    <cellStyle name="%_MIDAS 08 Estimé moteur cible 2 2" xfId="108" xr:uid="{84AD5C3A-AB21-41EE-B104-6639CC46CBF2}"/>
    <cellStyle name="%_MIDAS 08 Estimé moteur cible 3" xfId="109" xr:uid="{D2A5E907-ACEC-4B51-A48B-808236C18BF9}"/>
    <cellStyle name="%_MIDAS EPIC MASC at SAL" xfId="110" xr:uid="{8C1D8BBC-4B74-481A-B1A1-45C1B52FE6FA}"/>
    <cellStyle name="%_MIDAS estimé moteur Cible estimé JUILLET" xfId="111" xr:uid="{95C8821E-792B-4B81-8BD1-5F2EF1B748F6}"/>
    <cellStyle name="%_MIDAS estimé moteur Cible estimé JUILLET 2" xfId="112" xr:uid="{EF914214-FFEB-42C6-AC70-99E13DDBB3E6}"/>
    <cellStyle name="%_MIDAS estimé moteur Cible estimé JUILLET 2 2" xfId="113" xr:uid="{4A3F36B3-6316-453D-9414-1405062196EE}"/>
    <cellStyle name="%_MIDAS estimé moteur Cible estimé JUILLET 3" xfId="114" xr:uid="{BC5DD72A-7607-43DC-92E2-594448FA7B6E}"/>
    <cellStyle name="%_MIDASsynth E2 cible E3" xfId="115" xr:uid="{0250189F-9CA6-4A50-9727-358842CD3E13}"/>
    <cellStyle name="%_MIDASsynth E2 cible E3 2" xfId="116" xr:uid="{C1773000-22E8-4A17-ADA2-DD73B0915FF3}"/>
    <cellStyle name="%_MIDASsynth E2 cible E3 2 2" xfId="117" xr:uid="{0D1FA057-3000-481E-83FA-132033BC9BCF}"/>
    <cellStyle name="%_MIDASsynth E2 cible E3 2 2 2" xfId="118" xr:uid="{2DDBA327-BFF2-4E73-A2E1-EE4D1615FFE7}"/>
    <cellStyle name="%_MIDASsynth E2 cible E3 2 3" xfId="119" xr:uid="{F8E20668-7381-42AA-99F4-3DCFB35C9A5C}"/>
    <cellStyle name="%_MIDASsynth E2 cible E3 2 3 2" xfId="120" xr:uid="{4D81F863-9273-498A-A917-424F2CB17389}"/>
    <cellStyle name="%_MIDASsynth E2 cible E3 2 4" xfId="121" xr:uid="{47C75320-EE13-4FFD-BD8D-8DC131643FAB}"/>
    <cellStyle name="%_MIDASsynth E2 cible E3 2 4 2" xfId="122" xr:uid="{A37D7C3F-FDBC-4ADF-A062-0512063771D8}"/>
    <cellStyle name="%_MIDASsynth E2 cible E3 2 5" xfId="123" xr:uid="{159A25F5-609A-4B23-A676-A5E7F3B7133D}"/>
    <cellStyle name="%_MIDASsynth E2 cible E3 3" xfId="124" xr:uid="{6552C0E2-55B0-408B-8D93-06C816104F46}"/>
    <cellStyle name="%_MIDASsynth E2 cible E3 3 2" xfId="125" xr:uid="{ABFA6A81-4E7D-422B-9B8A-82FE906D65CF}"/>
    <cellStyle name="%_MIDASsynth E2 cible E3 4" xfId="126" xr:uid="{6876AEB7-A691-40D1-B071-37A37B08912E}"/>
    <cellStyle name="%_MIDASsynth E2 cible E3 4 2" xfId="127" xr:uid="{0A2A4090-500B-48CA-B170-284226858C67}"/>
    <cellStyle name="%_MIDASsynth E2 cible E3 5" xfId="128" xr:uid="{F90EE79B-BBA8-46CC-BCA0-488EBA587E2E}"/>
    <cellStyle name="%_MIDASsynth E2 cible E3_BASE bl list" xfId="129" xr:uid="{DCF5626C-8D74-416F-B922-46EF132643C7}"/>
    <cellStyle name="%_MIDASsynth E2 cible E3_BASE bl list 2" xfId="130" xr:uid="{169E7570-B0FF-4DD4-B4C2-5A2494650174}"/>
    <cellStyle name="%_NB ACSA 2 vol-Rate study-Apr 2008 COMPILATION" xfId="131" xr:uid="{C883C7A8-6D2B-4C7E-A2B1-11CCE2EC2A85}"/>
    <cellStyle name="%_résu format CC (2)" xfId="132" xr:uid="{54C0A8E7-F87D-404F-93AE-63443899E55F}"/>
    <cellStyle name="%_résu format CC (2) 2" xfId="133" xr:uid="{3DCD4F0D-C192-4650-BFE3-281B686BEA06}"/>
    <cellStyle name="%_résu format CC (2) 2 2" xfId="134" xr:uid="{9ADCB968-B2D0-4CF7-ACF9-9C779888078B}"/>
    <cellStyle name="%_résu format CC (2) 3" xfId="135" xr:uid="{5AA36828-C54D-4828-A328-A1C893AE4636}"/>
    <cellStyle name="??? ?????" xfId="136" xr:uid="{DEDD82F6-7786-414D-9D71-A8660C2D1CAC}"/>
    <cellStyle name="?????" xfId="137" xr:uid="{A566187B-1F37-4254-9068-61F5705598D4}"/>
    <cellStyle name="?????abawp" xfId="138" xr:uid="{25558807-62CF-4EC8-A525-9B35A0191F00}"/>
    <cellStyle name="??_94?? (2)" xfId="139" xr:uid="{DFCB96A8-8353-4114-AB25-F3D352D1DF04}"/>
    <cellStyle name="_012010_MIDAS_Contributions 297 WB" xfId="140" xr:uid="{DABE52CB-9FFF-4537-9F53-A82DCC79F7C6}"/>
    <cellStyle name="_012010_MIDAS_Contributions 297 WB 2" xfId="141" xr:uid="{9EA50ED1-D994-4754-9BFC-A8F032316BCF}"/>
    <cellStyle name="_022010_Midas_Contributions Eastbound" xfId="142" xr:uid="{317D080B-B4E9-4D57-AA36-F446EA352EF9}"/>
    <cellStyle name="_022010_Midas_Contributions Eastbound 2" xfId="143" xr:uid="{917BD368-3D69-43DA-AEA4-AC204ED7D019}"/>
    <cellStyle name="_032010_MIDAS_Contributions WB" xfId="144" xr:uid="{B048593D-D474-4471-953E-D63D2002C552}"/>
    <cellStyle name="_032010_MIDAS_Contributions WB 2" xfId="145" xr:uid="{49DBFF72-84DC-46C9-BFE1-14AA8948E243}"/>
    <cellStyle name="_201006_Résultat_PEX3" xfId="146" xr:uid="{D82EA4F5-CD2D-4101-B0A8-780E981624F2}"/>
    <cellStyle name="_201006_Résultat_PEX3_INDAMEX RESULTS JULY 2011" xfId="147" xr:uid="{12AE564F-AFEB-4ACE-B7BF-598EBC1C96C2}"/>
    <cellStyle name="_201006_Résultat_PEX3_Prépa Result sept 2011" xfId="148" xr:uid="{E251062B-6C15-4F6A-A9A4-EE18F8FE3CB6}"/>
    <cellStyle name="_201006_Résultat_PEX3_RESULTAT PEX3 201107" xfId="149" xr:uid="{0021210C-3500-40B1-ABEA-DE30A92F083F}"/>
    <cellStyle name="_201007_Flash_PEX3" xfId="150" xr:uid="{AD04B14D-599D-4EE5-97B1-58FD26615CC8}"/>
    <cellStyle name="_201008_Forecast_PEX3" xfId="151" xr:uid="{BDCECFBB-8A07-42DC-860C-7924DC81116A}"/>
    <cellStyle name="_ABX - C7 Slot Cost" xfId="152" xr:uid="{E49589A2-95F2-400E-B4F6-EDBF3D05F981}"/>
    <cellStyle name="_AES2AES3 winter CPS plan package ver 12042008 (3)" xfId="153" xr:uid="{53518159-0634-467B-A036-ABE5B82DA8C1}"/>
    <cellStyle name="_AFEX" xfId="154" xr:uid="{893E9F34-641C-4ADD-8D59-8A18D49F1D14}"/>
    <cellStyle name="_all Delmas Slots Costs 20100305" xfId="155" xr:uid="{306BDAD2-0ADE-4FAE-8643-A11469FBB170}"/>
    <cellStyle name="_AMERIGO_new" xfId="156" xr:uid="{54883FEC-2F18-4BA2-B2C6-B36A3FF88952}"/>
    <cellStyle name="_Analyse ecarts estime vs reel 201006" xfId="157" xr:uid="{B567F309-0421-495D-869D-716B14F4E71A}"/>
    <cellStyle name="_Analyse ecarts estime vs reel 201010" xfId="158" xr:uid="{4E7C1B4E-28B4-4142-AB33-14D152ED1F73}"/>
    <cellStyle name="_Analyse ecarts estime vs reel 201011" xfId="159" xr:uid="{114A7DC8-DAE8-4AA2-86DD-BD771BAFABB4}"/>
    <cellStyle name="_Analyse ecarts estime vs reel 201012" xfId="160" xr:uid="{00F614D9-E981-494D-BA55-2594D282B56F}"/>
    <cellStyle name="_ANDEX" xfId="161" xr:uid="{1BDAC80E-F526-40AD-8158-4E21883C6097}"/>
    <cellStyle name="_BASE CONTRIB SUNRISE MAI FLASH" xfId="162" xr:uid="{C6B9AF9B-EB43-44C3-A38E-E96F49201799}"/>
    <cellStyle name="_BASE CONTRIB YANGTSE FEB FLASH" xfId="163" xr:uid="{6CE69ACF-49E7-4246-949D-7120C5BD5283}"/>
    <cellStyle name="_BASE CONTRIB YANGTSE MARS RTAT" xfId="164" xr:uid="{C741C03A-223E-4C3D-8EBC-2E635BC71DB3}"/>
    <cellStyle name="_BASE CONTRIB YANGTSE MARS RTAT 2" xfId="165" xr:uid="{E32E63AF-84B7-42C2-B6F3-CC0D3D1DFD7F}"/>
    <cellStyle name="_BASE EB 2009-10 Contrib BL au 10-11" xfId="166" xr:uid="{4BCF1965-98FC-4211-874A-711DC27A9A45}"/>
    <cellStyle name="_Base Flash - Pearl 201010" xfId="167" xr:uid="{6E92153F-77FF-464C-B6E7-FB27F118F65A}"/>
    <cellStyle name="_BASE WB 2009-10 Contrib BL au 10-11" xfId="168" xr:uid="{BE2DE34E-FC6F-4764-8AE9-A8C51274C6DC}"/>
    <cellStyle name="_BIZ PLAN LEU4_bio" xfId="169" xr:uid="{710A2BE1-C2F0-4C43-86E7-8638468F7200}"/>
    <cellStyle name="_BL list 201002 indamex" xfId="170" xr:uid="{1E5CAF9A-E8A2-4ABD-8C17-ECE149382C65}"/>
    <cellStyle name="_BL LIST WAX 0810 100910" xfId="171" xr:uid="{1B01BFFB-83A8-45D6-B8CB-5034F6415D00}"/>
    <cellStyle name="_BL LIST WAX Avril 110511" xfId="172" xr:uid="{3DC3E0FE-F81B-4FE3-8AAC-AA6B1A920B30}"/>
    <cellStyle name="_BL LIST WAX DEC 14012009" xfId="173" xr:uid="{6476B6F7-C7E4-4AF6-897F-3E27926E8E88}"/>
    <cellStyle name="_BL LIST WAX Décembre 131210" xfId="174" xr:uid="{96012C25-A9D7-41E9-AE53-A5F1CC3343D2}"/>
    <cellStyle name="_BL LIST WAX Janvier 10022011" xfId="175" xr:uid="{3D3C6DC7-067B-48DE-953A-1BDEBC5200B9}"/>
    <cellStyle name="_BL LIST WAX Mars 1204011" xfId="176" xr:uid="{ED722CB2-30AF-4CCB-A894-F6C6E37B5C3E}"/>
    <cellStyle name="_BL LIST WAX Novembre 131210" xfId="177" xr:uid="{4617D562-EDA9-48A6-9D4D-AB924361E63B}"/>
    <cellStyle name="_BL LIST WAX Résultat Octobre 101110" xfId="178" xr:uid="{E535CCAF-2302-4097-9809-562E2E914E4A}"/>
    <cellStyle name="_BL LIST WAX Septembre 121010" xfId="179" xr:uid="{A06D8AE7-CD5F-4328-827B-3C8E0531428A}"/>
    <cellStyle name="_BLACK PEARL + ORF.v1" xfId="180" xr:uid="{16078B38-967E-4B5F-ACBA-C0FEF89445F5}"/>
    <cellStyle name="_Black Pearl 2011 2nd Semester" xfId="181" xr:uid="{FEEC03FB-C07C-4DDE-95E0-48185F787673}"/>
    <cellStyle name="_Black pearl Cagema v4" xfId="182" xr:uid="{4A2890A6-F7D7-4445-90A6-0D4F483D89BC}"/>
    <cellStyle name="_BLACK PEARL OPTIONS" xfId="183" xr:uid="{64913A5F-A60E-48F4-9F6C-1151BC27E361}"/>
    <cellStyle name="_BLACK PEARL SC - AEGIR" xfId="184" xr:uid="{40489601-48E0-4B23-B091-A82A36D174FC}"/>
    <cellStyle name="_Black Pearl Weekly  April 2010 Update v2" xfId="185" xr:uid="{1530CAB8-C9E0-4190-8E8F-4B563BB94618}"/>
    <cellStyle name="_Bohai" xfId="186" xr:uid="{D4A8D8EC-FBFC-49A6-AF73-50C86F8CA3D8}"/>
    <cellStyle name="_Bohai-CSL Marie+tbn" xfId="187" xr:uid="{75600A93-6B3F-4748-B37F-C31C8E633466}"/>
    <cellStyle name="_Booking Format with Contrib - MSC Texas TX459E - 19 June 2008" xfId="188" xr:uid="{9B1EF258-E578-4A2E-BE5B-DAE1BD6982E9}"/>
    <cellStyle name="_Booklet FUJI 201006" xfId="189" xr:uid="{67B8DF5A-947E-4284-9519-FC4888026399}"/>
    <cellStyle name="_bp+caribraz" xfId="190" xr:uid="{67447992-A2C6-49A7-AE0E-F4AFE4051B01}"/>
    <cellStyle name="_Brochure PEX2 2010" xfId="191" xr:uid="{1906834B-31DC-40EC-8F51-7DE4FA5E4C95}"/>
    <cellStyle name="_Brochure Résultat WAX Avril 2009" xfId="192" xr:uid="{B96502BC-5009-4B21-AD89-3FDF1BD7FDC7}"/>
    <cellStyle name="_Brochure Résultat WAX Juillet 2009" xfId="193" xr:uid="{6AEF9FD4-BB85-4A1C-99D7-2C59487197B7}"/>
    <cellStyle name="_Brochure Résultat WAX Juin 2009" xfId="194" xr:uid="{4B9E7D90-5D17-4F74-98FA-3AD25BFEECBB}"/>
    <cellStyle name="_Brochure Résultat WAX Mai 2009" xfId="195" xr:uid="{F08FEDB7-784E-4C3B-B217-539ADF154362}"/>
    <cellStyle name="_BUDGET" xfId="196" xr:uid="{520ABFD2-A2A1-41F9-96C8-78F31B021814}"/>
    <cellStyle name="_Bunker Cons Budget EURCO" xfId="197" xr:uid="{612927ED-2E5A-4C89-995F-F85735CE1312}"/>
    <cellStyle name="_C per BL list 201105 SUEZ 23-05 TAB" xfId="198" xr:uid="{08F1AEEE-838C-4472-9B84-30F0A0B38AF9}"/>
    <cellStyle name="_CAGEMA + BLACK PEARL" xfId="199" xr:uid="{7518E7DC-9753-4482-B38B-EEA5A0C99229}"/>
    <cellStyle name="_Cagema ML" xfId="200" xr:uid="{CD29CE58-3F15-4B41-8C61-7F55C3EE0818}"/>
    <cellStyle name="_Classeur1" xfId="201" xr:uid="{C6CD581E-6131-4938-9C88-F575CAD2E1EC}"/>
    <cellStyle name="_Classeur2" xfId="202" xr:uid="{0B49466C-D3C8-41CF-B4B8-04B01A50076F}"/>
    <cellStyle name="_Classeur3" xfId="203" xr:uid="{19ADEE63-775B-4E6E-A294-09A02922067C}"/>
    <cellStyle name="_Classeur3_BLACK PEARL OPTIONS" xfId="204" xr:uid="{08925A78-A6B0-4FE6-BEE7-AA45AA345487}"/>
    <cellStyle name="_Classeur3_BLACK PEARL SC - AEGIR" xfId="205" xr:uid="{3C21BB35-09B6-4998-861D-95E51452CC31}"/>
    <cellStyle name="_Classeur3_CAGEMA + BLACK PEARL" xfId="206" xr:uid="{ECB520D5-3FCC-4085-8209-B242E1722AC3}"/>
    <cellStyle name="_Classeur3_CARIBRAZ SC" xfId="207" xr:uid="{79322E18-8022-4299-8104-F5FA31873BC4}"/>
    <cellStyle name="_Classeur4" xfId="208" xr:uid="{549D6383-4576-4D57-8BDA-7927DF37D6D6}"/>
    <cellStyle name="_Commentaire" xfId="209" xr:uid="{4BD86946-834B-4C8F-B09F-63BFB3986345}"/>
    <cellStyle name="_Commentaires" xfId="210" xr:uid="{83DC3CF2-ECFC-49E5-9A91-61EFB809C192}"/>
    <cellStyle name="_Copie de Booklet INDAMEX November 2010" xfId="211" xr:uid="{5A91B082-CFD7-4466-A6D3-C8AD8A7B6908}"/>
    <cellStyle name="_Copie de CENTRAL AMERICA STUDY MAY 2011" xfId="212" xr:uid="{AC240F00-60F5-4302-83BC-693CF56C29DF}"/>
    <cellStyle name="_Copie de Fixes WAX cycle 21 Résultat Mai 11" xfId="213" xr:uid="{0F9E023B-1691-4E96-8F32-DF3F1C15867F}"/>
    <cellStyle name="_Copie de RESULTAT MAI - BL LIST WAX Mai 100611" xfId="214" xr:uid="{0468EC39-2C18-4A36-91E7-38F9A172E1EF}"/>
    <cellStyle name="_CSAV- ECS Slot cost CSAV Proposal" xfId="215" xr:uid="{DC47252B-998E-46FB-A566-D4475B531F8C}"/>
    <cellStyle name="_CTRIB BL LIST WAX Juillet 100810xls" xfId="216" xr:uid="{A8EBB3AF-7F2F-4C7F-8C77-4D59D37DE459}"/>
    <cellStyle name="_CTRIB BL LIST WAX Juin 130710xls" xfId="217" xr:uid="{B771642A-B602-4A34-8B19-EC620D539982}"/>
    <cellStyle name="_CTRIB BL LIST WAX Mai 100610xls" xfId="218" xr:uid="{75779FE6-5DB9-4A4A-9762-266C857B2D05}"/>
    <cellStyle name="_Cumul WAX 2010 new" xfId="219" xr:uid="{CD6F19E7-4617-45AC-A917-288D252DAEFF}"/>
    <cellStyle name="_Cumul WAX 2011" xfId="220" xr:uid="{6F7BF0E3-2420-4475-BBB8-F823F21CC1ED}"/>
    <cellStyle name="_Customer Quote May 2006-2" xfId="221" xr:uid="{49C7E214-3A8F-4666-9816-48F7EBFFB5F8}"/>
    <cellStyle name="_Customer Quote May 2006-2_Andex May 2009" xfId="222" xr:uid="{A0B49573-E7D3-4163-B5FA-1FBE236D7F36}"/>
    <cellStyle name="_Customer Quote May 2006-2_Copie de Andex Ext Chile Feb 2009 (2)" xfId="223" xr:uid="{382516C2-B415-48FF-A234-5E633CE11A2E}"/>
    <cellStyle name="_Customer Quote May 2006-2_MIDAS EPIC MASC at SAL" xfId="224" xr:uid="{10B079B0-E7E2-4A65-A2F9-089C3A8E81A6}"/>
    <cellStyle name="_Customer Quote May 2006-2_NB ACSA 2 vol-Rate study-Apr 2008 COMPILATION" xfId="225" xr:uid="{5DD19F3B-74F6-4A92-A98B-11D8B7105687}"/>
    <cellStyle name="_cycle 19 Résultat Janvier 11" xfId="226" xr:uid="{DCBFE69A-B975-4239-83EC-704D7C42E850}"/>
    <cellStyle name="_cycle 20 Résultat Janvier 11" xfId="227" xr:uid="{12574069-C4F8-4B59-ACEF-9669716571F6}"/>
    <cellStyle name="_Deadfreight Fx généraux indirect 201011" xfId="228" xr:uid="{29853FE7-26C4-4184-AB44-C5AFE6BD4D33}"/>
    <cellStyle name="_ECS" xfId="229" xr:uid="{8403FB5F-94C6-4424-AA8C-390BFFD60547}"/>
    <cellStyle name="_ECS - 2009 adjusted (2)" xfId="230" xr:uid="{9FE4DE28-87DC-4413-971B-3D5EC13063E3}"/>
    <cellStyle name="_ECS  5 + Feeder CAM VolumeContrib V4 (3)" xfId="231" xr:uid="{DA182F6D-9C47-4656-88B0-527D33AF7B79}"/>
    <cellStyle name="_ECS Eurosal Stand Alone-Annual Volumes" xfId="232" xr:uid="{43F3D832-B686-43C4-80B6-6313BA5E5ABF}"/>
    <cellStyle name="_ECS Eurosal Stand Alone-Annual Volumes_Victory Bridge Vessels Sizes" xfId="233" xr:uid="{184AB422-4B99-47A9-A0A7-74BA78BD64DA}"/>
    <cellStyle name="_ECS Fyffes v2" xfId="234" xr:uid="{6E69254B-A48F-48BC-B26C-AAB80AF4E3A7}"/>
    <cellStyle name="_ECS without STC PCR" xfId="235" xr:uid="{A9AE2C03-9CF6-4A6A-97CA-ECB077899A45}"/>
    <cellStyle name="_ECS.Volume et contribution monthly" xfId="236" xr:uid="{DF157B2E-8DDA-4028-883F-A3A18DB70A4B}"/>
    <cellStyle name="_EPIC 4000 56 days" xfId="237" xr:uid="{080C768E-AED8-49A1-A61F-D64865B476A8}"/>
    <cellStyle name="_ES2  Volume and contribution monthly" xfId="238" xr:uid="{8C5B2C11-1538-4B25-8670-6EF293E95AA4}"/>
    <cellStyle name="_ES2. Volume and contribution monthly" xfId="239" xr:uid="{758C24EA-B828-419B-A3DA-11393BE2DFFB}"/>
    <cellStyle name="_Eurosal Sling2" xfId="240" xr:uid="{EC166A65-15CC-4A2B-9E6F-45D21F7A5BDD}"/>
    <cellStyle name="_Eurosal Sling2_Victory Bridge Vessels Sizes" xfId="241" xr:uid="{8B92362B-E7FD-4B2E-8087-117CD1560541}"/>
    <cellStyle name="_FEEDER" xfId="242" xr:uid="{3921BDAE-ED2C-412F-8DB6-C58CE0BFD35C}"/>
    <cellStyle name="_Feeder Big Creek" xfId="243" xr:uid="{055290C8-4831-456F-B28A-85F3591F0148}"/>
    <cellStyle name="_Feuil1" xfId="244" xr:uid="{41733416-3CFC-482B-89E3-B6895A200846}"/>
    <cellStyle name="_Feuil4" xfId="245" xr:uid="{5878F028-652E-4AF2-BE6C-9F54E9C90A27}"/>
    <cellStyle name="_Feuil6" xfId="246" xr:uid="{A896F89C-CB74-44BE-81A9-8A7617FD8536}"/>
    <cellStyle name="_FIXED COST YANGTSE flash 2011-04" xfId="247" xr:uid="{62369C2D-01BB-4603-927F-717C63C62AD7}"/>
    <cellStyle name="_Fixed Costs" xfId="248" xr:uid="{D6EAD925-C209-4C62-9526-105A34C9A540}"/>
    <cellStyle name="_Fixed Costs_INDAMEX RESULTS JULY 2011" xfId="249" xr:uid="{613865DF-4591-4AC3-BF08-58BCBBC3367D}"/>
    <cellStyle name="_Fixed Costs_Prépa Result sept 2011" xfId="250" xr:uid="{00E5A23F-6B39-412C-BA07-DA3FBF97F638}"/>
    <cellStyle name="_Fixed Costs_RESULTAT PEX3 201107" xfId="251" xr:uid="{75C7EADE-FCB2-4B5E-A8E2-D101433027DD}"/>
    <cellStyle name="_Fixes WAX cycle 10 Résultat Avril 09" xfId="252" xr:uid="{1BD55593-8FCD-4D8F-A7E2-0E934B3A4FEC}"/>
    <cellStyle name="_Fixes WAX cycle 10 Résultat Décembre 08" xfId="253" xr:uid="{357397DA-57CA-4E09-BBB4-ED28FD7BEBBB}"/>
    <cellStyle name="_Fixes WAX cycle 10 Résultat Février 09" xfId="254" xr:uid="{E5C1DFA5-AC3C-4E9D-896D-9C9726E03978}"/>
    <cellStyle name="_Fixes WAX cycle 10 Résultat Janvier 09" xfId="255" xr:uid="{18FD4AA7-5F6E-4FE6-97F6-228F31A2D976}"/>
    <cellStyle name="_Fixes WAX cycle 10 Résultat Mars 09" xfId="256" xr:uid="{09E48829-18B7-4CF2-9D26-F15557C9BFA7}"/>
    <cellStyle name="_Fixes WAX cycle 11 Résultat Avril 09" xfId="257" xr:uid="{32E028D6-FBBF-4750-B274-DF76DE6A1E03}"/>
    <cellStyle name="_Fixes WAX cycle 11 Résultat Février 09" xfId="258" xr:uid="{BFA99499-07BE-4DA1-9F3E-549C6797813D}"/>
    <cellStyle name="_Fixes WAX cycle 11 Résultat Mars 09" xfId="259" xr:uid="{8B3C8F60-5428-4F83-A2FF-E2AE00E12AC7}"/>
    <cellStyle name="_Fixes WAX cycle 12 Résultat Août 09" xfId="260" xr:uid="{1B793D74-229F-46CB-BFED-6AE2E0DF84AB}"/>
    <cellStyle name="_Fixes WAX cycle 12 Résultat Avril 09" xfId="261" xr:uid="{CA29C6FE-0EA8-4047-AE75-D6A0E21F1BCD}"/>
    <cellStyle name="_Fixes WAX cycle 13 Résultat Août 09" xfId="262" xr:uid="{96C582BB-523A-4FBC-9B2A-EA960E939823}"/>
    <cellStyle name="_Fixes WAX cycle 17 Résultat Septembre 10" xfId="263" xr:uid="{FB884574-4835-4484-9728-D62DAF0989B9}"/>
    <cellStyle name="_Fixes WAX cycle 18 Résultat Novembre 10" xfId="264" xr:uid="{E909FB98-1132-4A4B-A4FA-785A7436434A}"/>
    <cellStyle name="_Fixes WAX cycle 18 Résultat Octobre 10" xfId="265" xr:uid="{E481B158-CB2A-4A5F-91A0-E67D805C1870}"/>
    <cellStyle name="_Fixes WAX cycle 18 Résultat Septembre 10" xfId="266" xr:uid="{C3184BF5-9BF1-40D2-A640-A519D8784C45}"/>
    <cellStyle name="_Fixes WAX cycle 19 Résultat Décembre 10" xfId="267" xr:uid="{76864B18-F05C-4145-AF06-1985176F34BE}"/>
    <cellStyle name="_Fixes WAX cycle 19 Résultat Février 11" xfId="268" xr:uid="{D472C45C-CE83-4F1B-A363-BFCEE20B3895}"/>
    <cellStyle name="_Fixes WAX cycle 19 Résultat Novembre 10" xfId="269" xr:uid="{566A5088-4AF1-4F20-AEC2-0914355D396E}"/>
    <cellStyle name="_Fixes WAX cycle 19 Résultat Octobre 10" xfId="270" xr:uid="{CC854197-8BAA-45BD-B369-3F25CB238362}"/>
    <cellStyle name="_Fixes WAX cycle 20 Résultat Avril 11" xfId="271" xr:uid="{44172335-961F-4B28-9F47-74D38A6CCBCB}"/>
    <cellStyle name="_Fixes WAX cycle 20 Résultat Février 11" xfId="272" xr:uid="{BE03C28B-A4E1-450A-9A87-4EAAE3945E47}"/>
    <cellStyle name="_Fixes WAX cycle 20 Résultat Mars 11" xfId="273" xr:uid="{E13883F7-64E1-4659-9537-CEA767F84C0D}"/>
    <cellStyle name="_Fixes WAX cycle 21 Résultat Août 11" xfId="274" xr:uid="{570AC5AB-E887-489F-A57A-53772A81A337}"/>
    <cellStyle name="_Fixes WAX cycle 21 Résultat Avril 11" xfId="275" xr:uid="{4B4812C7-D5B7-4A8D-A0D6-561D0672ED06}"/>
    <cellStyle name="_Fixes WAX cycle 21 Résultat Juillet 11" xfId="276" xr:uid="{901CC215-0507-40CF-B1E4-16B523CD539F}"/>
    <cellStyle name="_Fixes WAX cycle 21 Résultat Juin 11" xfId="277" xr:uid="{1866D64A-289C-4D36-8FDA-4693E02DFADC}"/>
    <cellStyle name="_Fixes WAX cycle 21 Résultat Mars 11" xfId="278" xr:uid="{2433D28E-9EDF-4957-BDF0-32541EDA658A}"/>
    <cellStyle name="_Fixes WAX cycle 22 Résultat Août 11" xfId="279" xr:uid="{1F35FCDD-126F-474D-B3E6-ADD6975DD3FE}"/>
    <cellStyle name="_Fixes WAX cycle 22 Résultat Juillet 11" xfId="280" xr:uid="{60D6F380-EE6D-4E92-8F9D-429FFCEEAF33}"/>
    <cellStyle name="_Fixes WAX cycle 22 Résultat Juin 11" xfId="281" xr:uid="{D07A5EB9-C5D6-4FC6-B83F-A2A20BEAFC63}"/>
    <cellStyle name="_Fixes WAX cycle 23 Résultat Août 11" xfId="282" xr:uid="{FFC3F34D-5532-4B0F-B414-E2AB8555C110}"/>
    <cellStyle name="_Fl vs Rtt" xfId="283" xr:uid="{219A5166-DF80-4F9C-B49D-463E8DFC3AD9}"/>
    <cellStyle name="_Flash" xfId="284" xr:uid="{53142F83-A9AD-4A26-B9D8-3B39494A6F9B}"/>
    <cellStyle name="_Flash 200912 - PNW" xfId="285" xr:uid="{E36C1551-3901-47F6-B779-CFB17F1E6057}"/>
    <cellStyle name="_Flash 200912 - PNW_INDAMEX RESULTS JULY 2011" xfId="286" xr:uid="{AB899A97-2AD6-4523-98FC-7BD17B4998E4}"/>
    <cellStyle name="_Flash 200912 - PNW_Prépa Result sept 2011" xfId="287" xr:uid="{455F130A-5FE7-4E92-BBFC-CA93A057CEC9}"/>
    <cellStyle name="_Flash 200912 - PNW_TRANSAT VICTORY BRIDGE" xfId="288" xr:uid="{16060D54-40BE-4EF2-A030-AF27752DF856}"/>
    <cellStyle name="_Flash 200912 - PNW_Victory Bridge Vessels Sizes" xfId="289" xr:uid="{71E22C06-6D32-4D83-AFAE-C457F2EA101A}"/>
    <cellStyle name="_Flash 201001 - PNW" xfId="290" xr:uid="{E1575711-894C-4892-B240-4358BBC73825}"/>
    <cellStyle name="_Flash 201001 - PNW_INDAMEX RESULTS JULY 2011" xfId="291" xr:uid="{81846C7F-2389-4EB7-A0F2-11761C86A8CD}"/>
    <cellStyle name="_Flash 201001 - PNW_Prépa Result sept 2011" xfId="292" xr:uid="{659333D1-4C58-4040-8122-2B5ADF9E32B2}"/>
    <cellStyle name="_Flash 201001 - PNW_TRANSAT VICTORY BRIDGE" xfId="293" xr:uid="{EF041449-6436-44F9-AE0C-9C8989F6252D}"/>
    <cellStyle name="_Flash 201001 - PNW_Victory Bridge Vessels Sizes" xfId="294" xr:uid="{44AD6BAF-8FE9-4C43-8AED-B319D4F22872}"/>
    <cellStyle name="_Flash 201002 - PNW" xfId="295" xr:uid="{B8EFBE61-4194-47FC-929D-1D7CFCC920DC}"/>
    <cellStyle name="_Flash 201003 - PNW" xfId="296" xr:uid="{E64D1D7D-4A83-4A80-AE28-E45A7CB858CE}"/>
    <cellStyle name="_Flash 201004 - PNW" xfId="297" xr:uid="{6352C727-7D7F-4932-ACF2-DE0247DEB6D9}"/>
    <cellStyle name="_Flash 201005 - PNW" xfId="298" xr:uid="{509554C6-6E56-413A-A373-C0FA817DF8D9}"/>
    <cellStyle name="_Flash 201012 - Forecast 201101 FUJI" xfId="299" xr:uid="{C5DAEA87-AF33-4FFF-BE5C-27DB1E20D6C4}"/>
    <cellStyle name="_Flash 201012 - PNW" xfId="300" xr:uid="{EA5D1DC3-EEDE-4845-8AB8-EED2BE6BD472}"/>
    <cellStyle name="_Flash 201101 - PNW" xfId="301" xr:uid="{7B3CC55B-3331-4B47-ACEE-6A64D92CAE33}"/>
    <cellStyle name="_Flash 201102 - PNW" xfId="302" xr:uid="{22DEBDF1-9DBE-44A5-BC53-90F668F5F260}"/>
    <cellStyle name="_Flash 201103 - PNW" xfId="303" xr:uid="{152594C2-21F9-497F-8217-8C66EBBC5677}"/>
    <cellStyle name="_Flash CARIBRAZ" xfId="304" xr:uid="{856FCE90-4E12-4396-9891-F96669E6A9A3}"/>
    <cellStyle name="_FLASH Détails Equivalent Time Charte 201002" xfId="305" xr:uid="{A540DA18-0573-408F-97BF-BDEA69A74615}"/>
    <cellStyle name="_FLASH Détails Equivalent Time Charte 201002_TRANSAT VICTORY BRIDGE" xfId="306" xr:uid="{1AADE34D-0B6C-4A83-9B35-6761D20643F1}"/>
    <cellStyle name="_FLASH Détails Equivalent Time Charte 201002_Victory Bridge Vessels Sizes" xfId="307" xr:uid="{6D43173F-4924-4E7B-9FE9-535CA58BA0F0}"/>
    <cellStyle name="_Flash INDAMEX 201001" xfId="308" xr:uid="{A12AF404-1A82-4E98-9275-F98DD8EC7A68}"/>
    <cellStyle name="_Flash INDAMEX 201001_INDAMEX RESULTS JULY 2011" xfId="309" xr:uid="{091AF222-3058-4800-B321-53D00C2657B9}"/>
    <cellStyle name="_Flash INDAMEX 201001_Prépa Result sept 2011" xfId="310" xr:uid="{A2B211C6-C4FB-4C4C-BD02-5CAA7E046862}"/>
    <cellStyle name="_Flash INDAMEX 201001_TRANSAT VICTORY BRIDGE" xfId="311" xr:uid="{492B837E-85C1-479A-A1C3-24B71BAE12BE}"/>
    <cellStyle name="_Flash INDAMEX 201001_Victory Bridge Vessels Sizes" xfId="312" xr:uid="{40051BCC-E6FD-4896-938C-1CCDF925DEA2}"/>
    <cellStyle name="_Flash INDAMEX 201005" xfId="313" xr:uid="{F81A8617-2B06-460A-A2EB-D9FE5096F463}"/>
    <cellStyle name="_Flash INDAMEX 201104" xfId="314" xr:uid="{1B12EE5F-DB59-4EF0-B565-07C3EB27E322}"/>
    <cellStyle name="_Flash INDAMEX 201105" xfId="315" xr:uid="{48A9FC73-2A82-44A9-BEA4-0B7404926F0A}"/>
    <cellStyle name="_Flash INDAMEX 201107" xfId="316" xr:uid="{56793978-EAA3-4979-B30B-6FCD8C3293B4}"/>
    <cellStyle name="_Flash m" xfId="317" xr:uid="{547F8BB9-0107-43FF-BCFB-FE50F85F85E9}"/>
    <cellStyle name="_FLASH PEX3 201101" xfId="318" xr:uid="{7DEAD945-23D3-44A5-9C5D-C94C9E4875AC}"/>
    <cellStyle name="_Flash SIRIUS 2010 08 NEW" xfId="319" xr:uid="{3DC0786A-DC54-469C-9EB2-74FA17518139}"/>
    <cellStyle name="_FLASH WAX 05 2010" xfId="320" xr:uid="{7DBDE67C-275D-40A8-8F42-7C559959610E}"/>
    <cellStyle name="_FLASH WAX 06 2010" xfId="321" xr:uid="{8E784CB1-E4F9-4CD6-B6DA-2DEE04A2133B}"/>
    <cellStyle name="_Forecast" xfId="322" xr:uid="{1DC02F2B-5BA6-4809-A050-B3646B5FEC8D}"/>
    <cellStyle name="_Forecast 032011" xfId="323" xr:uid="{7B44A7E0-DDDD-40AF-B6B6-CFE48430C596}"/>
    <cellStyle name="_Forecast 032011_INDAMEX Flash 201109 Forecast 201110" xfId="324" xr:uid="{68214A95-31E2-463A-A21F-1CB499EECAF7}"/>
    <cellStyle name="_Forecast 032011_INDAMEX RESULTS JULY 2011" xfId="325" xr:uid="{C3DF3AE8-39B3-421D-B151-8E4AA26D709C}"/>
    <cellStyle name="_Forecast 032011_Prépa Result sept 2011" xfId="326" xr:uid="{3B51A769-3AAB-4E01-A16B-8659C3F47BFD}"/>
    <cellStyle name="_Forecast 201002" xfId="327" xr:uid="{081593C6-B689-4B9F-9DA3-382BF8D18C68}"/>
    <cellStyle name="_Forecast 201002 - PNW" xfId="328" xr:uid="{EB07BF15-555D-45A8-9707-FFCB4A49231C}"/>
    <cellStyle name="_Forecast 201003 - PNW" xfId="329" xr:uid="{4BA2B236-D9D6-4C05-8623-98F45299C93F}"/>
    <cellStyle name="_Forecast 201004 - PNW" xfId="330" xr:uid="{7EB84497-C35A-4925-9F70-D5CDAD5C916E}"/>
    <cellStyle name="_Forecast 201005 - PNW" xfId="331" xr:uid="{74E0EBFA-659C-45AB-B9CF-7E3845B4A712}"/>
    <cellStyle name="_Forecast 201006" xfId="332" xr:uid="{038B6E7A-5BDF-4EEB-A1BC-4589E6DBC2ED}"/>
    <cellStyle name="_Forecast 201006 - PNW" xfId="333" xr:uid="{61B8E3A1-4D2F-47C8-8CAF-56AA0F98A4A8}"/>
    <cellStyle name="_Forecast 201101 - PNW" xfId="334" xr:uid="{25A24B9B-EF3A-426B-9341-6F6DFB229415}"/>
    <cellStyle name="_Forecast 201102 - PNW" xfId="335" xr:uid="{4F73F207-F47B-44C4-9A5E-1B7E0A69D588}"/>
    <cellStyle name="_Forecast 201103 - PNW" xfId="336" xr:uid="{F64447F5-0FFF-47B9-B197-34DC15A3CA9D}"/>
    <cellStyle name="_Forecast 201104 - PNW" xfId="337" xr:uid="{25FD8D62-8886-448E-8D58-655021FBB37C}"/>
    <cellStyle name="_FORECAST WAX 03 2010" xfId="338" xr:uid="{12E77113-7F5C-4CAF-8D95-1E86C70A57C7}"/>
    <cellStyle name="_FORECAST WAX 04 2010" xfId="339" xr:uid="{2AFC06A9-DA01-4B88-ABEC-5AAFAC3BCA6C}"/>
    <cellStyle name="_FORECAST WAX 05 2010" xfId="340" xr:uid="{5F89B094-8EAF-40B9-AE9A-FECD4E1EEB26}"/>
    <cellStyle name="_FORECAST WAX 06 2010" xfId="341" xr:uid="{00D53D1C-CA68-4A79-8F10-1DB2E56F85A4}"/>
    <cellStyle name="_FORECAST WAX 07 2010" xfId="342" xr:uid="{9D6DD213-2BFD-4369-879A-F7DDED670A24}"/>
    <cellStyle name="_FORECAST WAX 08 2010" xfId="343" xr:uid="{6EA7DB43-3B93-4479-94B1-E0AD47A14444}"/>
    <cellStyle name="_Forecast WAX 0910" xfId="344" xr:uid="{BDDB4F15-0AAF-4B35-8171-363D24007586}"/>
    <cellStyle name="_FP FLASH WAX 04 2009" xfId="345" xr:uid="{0A8FCCB4-271D-49C1-AEF3-3D579A0DDCE5}"/>
    <cellStyle name="_FP FLASH WAX 08 2010 - 09 2010" xfId="346" xr:uid="{307D930C-CDFE-4EC5-8A4F-E55462DDE68A}"/>
    <cellStyle name="_FP FORECAST WAX 02 2010" xfId="347" xr:uid="{4A16CBBC-0467-4409-A13B-FA6899E1CD25}"/>
    <cellStyle name="_FP FORECAST WAX 05 2009" xfId="348" xr:uid="{C8FE271C-DF6E-464C-BA27-BF1742FEFC2A}"/>
    <cellStyle name="_FP FORECAST WAX 06 2009" xfId="349" xr:uid="{3179972A-AFB2-4E00-BA56-C10EEF9FF864}"/>
    <cellStyle name="_FP FORECAST WAX 07 2009" xfId="350" xr:uid="{54879A5D-A3ED-453B-B7F2-2A562DDCC4BE}"/>
    <cellStyle name="_FP FORECAST WAX 08 2009" xfId="351" xr:uid="{C5B23BD4-FB88-421F-809D-8F8BE1FF1AA5}"/>
    <cellStyle name="_FP FORECAST WAX 09 2009" xfId="352" xr:uid="{D494579C-56A2-4BDE-A623-6FBBD80480BC}"/>
    <cellStyle name="_FP safran 201002 PNW 11-03" xfId="353" xr:uid="{EC9AEF02-7121-4395-B9CE-10872FDD54AC}"/>
    <cellStyle name="_FP safran 201002 PNW 11-03_INDAMEX RESULTS JULY 2011" xfId="354" xr:uid="{F67987FE-C88F-465E-BD19-FC1C8C88D78A}"/>
    <cellStyle name="_FP safran 201002 PNW 11-03_TRANSAT VICTORY BRIDGE" xfId="355" xr:uid="{A27CEB13-4C13-4A9C-8CFE-CC39E8FBF1B9}"/>
    <cellStyle name="_FP safran 201002 PNW 11-03_Victory Bridge Vessels Sizes" xfId="356" xr:uid="{160F53A1-3488-4FB7-8FF4-9BB298834FCB}"/>
    <cellStyle name="_FP safran 201003 PNW 14-04" xfId="357" xr:uid="{C7183019-BAAD-4B40-9A51-A6448B26B0CC}"/>
    <cellStyle name="_FP safran 201003 PNW 14-04_INDAMEX RESULTS JULY 2011" xfId="358" xr:uid="{4A162914-BC3E-4ABC-BCD1-B001AF5D5755}"/>
    <cellStyle name="_FP safran 201003 PNW 14-04_TRANSAT VICTORY BRIDGE" xfId="359" xr:uid="{E153BEAA-CCEA-447C-949B-C0B430B3063F}"/>
    <cellStyle name="_FP safran 201003 PNW 14-04_Victory Bridge Vessels Sizes" xfId="360" xr:uid="{BCADA2EB-18D7-45F7-B168-62FAC1BE101A}"/>
    <cellStyle name="_FP safran 201101 PNW 10-02" xfId="361" xr:uid="{B0A699B0-F1F7-45F9-BD3D-E7180EEDA531}"/>
    <cellStyle name="_FP safran 201101 PNW 10-02_INDAMEX RESULTS JULY 2011" xfId="362" xr:uid="{EA8F4552-B930-42E9-9E2B-BCC06FE6D5D1}"/>
    <cellStyle name="_FP safran 201102 PNW 11-03" xfId="363" xr:uid="{7F0F713F-F0FE-4ECA-83BA-A4EDAF2AE551}"/>
    <cellStyle name="_FP safran 201102 PNW 11-03_INDAMEX RESULTS JULY 2011" xfId="364" xr:uid="{CEC8EE18-CA5B-48FE-B9FB-4EA3FFA07FA4}"/>
    <cellStyle name="_FP WAX AOUT 110909" xfId="365" xr:uid="{49D2A8EE-9DD2-4DF4-A529-CA1DB1EAE77C}"/>
    <cellStyle name="_FP WAX MAI 13072010" xfId="366" xr:uid="{A4EF3F4F-C694-4A62-8B4B-A0AB46A33A52}"/>
    <cellStyle name="_FRONT PAGE MARS 20110412" xfId="367" xr:uid="{7E1B7F31-5EA8-4835-9820-14D9280924CB}"/>
    <cellStyle name="_FRONT PAGE MARS 20110412_INDAMEX RESULTS JULY 2011" xfId="368" xr:uid="{63AAB122-3520-4B6A-ABCE-03227069DF2A}"/>
    <cellStyle name="_FRONT PAGE secteur US 201108" xfId="369" xr:uid="{4F63C493-EC5E-41A3-8A7E-503078CEE083}"/>
    <cellStyle name="_FRONT PAGE secteur US Flash 201109" xfId="370" xr:uid="{99824073-59EB-4FDF-9D40-F88C171B2681}"/>
    <cellStyle name="_FUJI JAS PSW3 October2010" xfId="371" xr:uid="{BB3BDB6D-60B8-4808-A1F4-346DB26F94B5}"/>
    <cellStyle name="_Germany SOR v.1" xfId="372" xr:uid="{EBDF6BB9-7BF4-4559-AB65-A5847A537DBE}"/>
    <cellStyle name="_Germany SOR v.1_Andex May 2009" xfId="373" xr:uid="{2CEA50C4-E373-45D4-BB8B-E761BD522E3F}"/>
    <cellStyle name="_Germany SOR v.1_Copie de Andex Ext Chile Feb 2009 (2)" xfId="374" xr:uid="{58BC4EE9-E24D-46B1-A0CE-2D6E8C56E8A2}"/>
    <cellStyle name="_Germany SOR v.1_MIDAS EPIC MASC at SAL" xfId="375" xr:uid="{4B477AC3-2CB2-47B3-BD82-066B1BD4AE80}"/>
    <cellStyle name="_Germany SOR v.1_NB ACSA 2 vol-Rate study-Apr 2008 COMPILATION" xfId="376" xr:uid="{5A5FC1A2-5463-425E-A542-DF36BB6C206C}"/>
    <cellStyle name="_Horizon Line" xfId="377" xr:uid="{B16B097D-3281-4F4F-9C82-BAF582549600}"/>
    <cellStyle name="_India" xfId="378" xr:uid="{BF11CDBF-46A4-4EFC-BDCC-841E144248AC}"/>
    <cellStyle name="_Indian Ocean 200904 v3" xfId="379" xr:uid="{61F06F4B-3A99-48F0-AC79-A03F7DEA062D}"/>
    <cellStyle name="_Indian Ocean 200907 1700 direct" xfId="380" xr:uid="{D69E39F6-8439-4526-A1E3-A27B4ADDDA04}"/>
    <cellStyle name="_Indian Ocean 200911 1700 direct" xfId="381" xr:uid="{6660A5DC-1867-4384-A0D0-5DCAB087A30D}"/>
    <cellStyle name="_IO via CGH" xfId="382" xr:uid="{8E541CAE-D23D-4099-8D1C-E7EAD5986E94}"/>
    <cellStyle name="_JULY" xfId="383" xr:uid="{4204DF1E-256F-4597-8062-BC50EF1ECAA9}"/>
    <cellStyle name="_JUN" xfId="384" xr:uid="{677AA991-B105-4129-ADDB-0137CE0C6C08}"/>
    <cellStyle name="_KEU Budget bunker 2010FY-29-01-2010" xfId="385" xr:uid="{CE9E8909-7FE3-4354-8DF7-5456C0F83202}"/>
    <cellStyle name="_KEU Bunker Budget PFS 29-01-2010" xfId="386" xr:uid="{0515095F-358F-4223-9190-C4781DD71AB9}"/>
    <cellStyle name="_KEU Slot Cost Calc 02-02-2010_Simulation (2)" xfId="387" xr:uid="{3292671E-0EFC-4EA7-8F2C-89D6BDC90D15}"/>
    <cellStyle name="_Kingston to Belize + ECS modified v3" xfId="388" xr:uid="{96D68EAD-2EDE-4D15-92AF-7DB34ABDE1D1}"/>
    <cellStyle name="_Manual ERS PO Template1" xfId="389" xr:uid="{F786EE79-56A1-48BA-A6BB-4C5462FB7F58}"/>
    <cellStyle name="_Margin Template" xfId="390" xr:uid="{9F81A601-3F9D-4637-BD65-521FD2335F89}"/>
    <cellStyle name="_Margin Template_Andex May 2009" xfId="391" xr:uid="{B87E6DD1-EA2D-491D-83C3-7A23C608332A}"/>
    <cellStyle name="_Margin Template_Copie de Andex Ext Chile Feb 2009 (2)" xfId="392" xr:uid="{61A8A362-D46D-4F86-9019-CB57FF1DB613}"/>
    <cellStyle name="_Margin Template_MIDAS EPIC MASC at SAL" xfId="393" xr:uid="{397B950F-4F9B-425E-BF42-525911033FA0}"/>
    <cellStyle name="_Margin Template_NB ACSA 2 vol-Rate study-Apr 2008 COMPILATION" xfId="394" xr:uid="{36D88E06-37EF-40E1-8D17-4DB6CDF6A2B0}"/>
    <cellStyle name="_MASC at SLL" xfId="395" xr:uid="{BCFA408A-8C84-48FB-8635-044585665756}"/>
    <cellStyle name="_MAY" xfId="396" xr:uid="{2F1C5979-8F93-4178-81E5-0E8E386B534A}"/>
    <cellStyle name="_MED CARIB new" xfId="397" xr:uid="{952A9A3F-7087-40DB-80E8-C6A66A82C9BD}"/>
    <cellStyle name="_NEW DELHI EXPRESS IN633W TP - INNSA  INMUN" xfId="398" xr:uid="{5EF368BA-6C86-40CA-9531-8BD7D08DFFF7}"/>
    <cellStyle name="_NEW DELHI EXPRESS IN633W TP - INNSA  INMUN_INDAMEX Flash 201109 Forecast 201110" xfId="399" xr:uid="{44C2008E-DC7E-4E8C-9B2A-4CE30E20B182}"/>
    <cellStyle name="_NEW DELHI EXPRESS IN633W TP - INNSA  INMUN_INDAMEX RESULTS JULY 2011" xfId="400" xr:uid="{A99525C9-59DB-4D16-BDBC-4225BFE9ED9A}"/>
    <cellStyle name="_NEW DELHI EXPRESS IN633W TP - INNSA  INMUN_Prépa Result sept 2011" xfId="401" xr:uid="{D538E488-8DAB-40E2-8AAC-1DA9E7F3EEE9}"/>
    <cellStyle name="_NORFOLK - CAGEMA MAY 2011" xfId="402" xr:uid="{8FB03753-1C0F-4A50-BFB5-894573C39AF4}"/>
    <cellStyle name="_NOVEMBRE" xfId="403" xr:uid="{C4705C98-A8DE-403A-AF5B-1586F8649F89}"/>
    <cellStyle name="_P&amp;L PRX 9600 + 24hrs" xfId="404" xr:uid="{C2D28791-47FF-4EBC-A23D-1343004996C4}"/>
    <cellStyle name="_PEX 3 Bl list Fev" xfId="405" xr:uid="{6AC8DD6D-C83E-4FDF-8C63-E988EB066198}"/>
    <cellStyle name="_Pex2-CC Orca vs VD Aquarius" xfId="406" xr:uid="{183D263F-484B-4E91-BA0E-C2E5C45AE4E3}"/>
    <cellStyle name="_Pex3 wo WM" xfId="407" xr:uid="{4459A049-DEDE-4177-9DF6-603BEF4848B5}"/>
    <cellStyle name="_PEX3_012011_Flash" xfId="408" xr:uid="{45D32386-BAF1-40A5-8057-6688E3AE21F2}"/>
    <cellStyle name="_PFA 2010" xfId="409" xr:uid="{1F880BE6-6780-4210-AA02-B92033F48D4A}"/>
    <cellStyle name="_PFA ECS 2010 - FB" xfId="410" xr:uid="{12100BE3-C427-46DF-B56A-4FC8D7233F4D}"/>
    <cellStyle name="_PFA SEAS 2010 _ AVRIL" xfId="411" xr:uid="{8FA43350-FF31-40C5-9596-B990CE7E7707}"/>
    <cellStyle name="_PFA secteur Nord Amerique 2010_2011" xfId="412" xr:uid="{FD28F6D6-A8F5-4687-ACBB-0DE9D90DDC18}"/>
    <cellStyle name="_PL BP volume  contributionV8" xfId="413" xr:uid="{FEEAD71C-F171-4A3E-92BD-CF8B9F467627}"/>
    <cellStyle name="_PL Sling1 2010 Budget Revised v2" xfId="414" xr:uid="{F0D40EA2-F069-44F2-AD33-781AEC147DC7}"/>
    <cellStyle name="_Plan B v2" xfId="415" xr:uid="{88644BDD-45A5-4479-BEB0-2AD4C17D8A33}"/>
    <cellStyle name="_Pour brochure 201009" xfId="416" xr:uid="{B7D4D2B1-70BF-4D9B-A160-6EE9D4B9FA75}"/>
    <cellStyle name="_PREPARATION résultat 201106" xfId="417" xr:uid="{E8FEA582-4609-452A-A025-C6A0A3AF572D}"/>
    <cellStyle name="_PREPARATION résultat 201106_INDAMEX RESULTS JULY 2011" xfId="418" xr:uid="{EC3201C9-DF65-4655-BBD5-55CD366C75E5}"/>
    <cellStyle name="_Présentation US commune Budget 2009 V3" xfId="419" xr:uid="{67421597-00E6-498F-A1BA-5E507C3AB658}"/>
    <cellStyle name="_projection fin année ex Juin" xfId="420" xr:uid="{8DA0459F-28DC-4330-A2CA-0F2DDEF73785}"/>
    <cellStyle name="_PRX SE Asia" xfId="421" xr:uid="{1EBD7457-0C26-4FF8-A7B0-C0140A3A9C6C}"/>
    <cellStyle name="_RECAP février " xfId="422" xr:uid="{9F415A7D-B4D0-4F08-AE41-9148CFE5B807}"/>
    <cellStyle name="_RESULTAT AOUT - BL LIST WAX 130911" xfId="423" xr:uid="{E9CAE528-93BF-453A-B6B7-FAB0F84E6EEF}"/>
    <cellStyle name="_RESULTAT BL LIST WAX Juillet 10082011" xfId="424" xr:uid="{6CE37583-1BEF-4CEF-924D-54F042E8E0B0}"/>
    <cellStyle name="_Résultat CARIBRAZ" xfId="425" xr:uid="{CF577F75-03FD-4595-B24B-3C539C6A3A38}"/>
    <cellStyle name="_Résultat CARIBRAZ 2010 05" xfId="426" xr:uid="{16A6B032-C0C7-4280-AB2D-B15E6352FEDA}"/>
    <cellStyle name="_RESULTAT Février BL LIST WAX Février 1103011" xfId="427" xr:uid="{1039D9D6-D056-4F9A-BE50-2A484AC29919}"/>
    <cellStyle name="_Résultat FP manuel WAX FEV 12032009" xfId="428" xr:uid="{4C192BAE-0050-4644-947C-CE563CB44F3B}"/>
    <cellStyle name="_Résultat Juin - BL LIST WAX Juin 110711 " xfId="429" xr:uid="{468FB8E5-12B2-4358-91CD-215A06E10E74}"/>
    <cellStyle name="_Résultat Juin - CTRIB négative" xfId="430" xr:uid="{E73F2208-1293-4164-AE7B-5546B8104569}"/>
    <cellStyle name="_Résultat Lignes TDM 2010" xfId="431" xr:uid="{F1E4FB6B-367D-45AD-909D-8174D27AA291}"/>
    <cellStyle name="_RESULTAT PAD 201005" xfId="432" xr:uid="{5BBDE62B-1E4C-4108-A3BB-0B07F512FB18}"/>
    <cellStyle name="_Résultat_PEX3_201010" xfId="433" xr:uid="{3DEBDD8F-9969-4318-A776-AD545CAA5B9D}"/>
    <cellStyle name="_Résultat_PEX3_201010_INDAMEX RESULTS JULY 2011" xfId="434" xr:uid="{C725EA74-AA31-4592-909B-AE49BD779ABB}"/>
    <cellStyle name="_Résultat_PEX3_201010_Prépa Result sept 2011" xfId="435" xr:uid="{B183E9DE-CBE7-4799-9EBF-463C0FAF1B3D}"/>
    <cellStyle name="_Résultat_PEX3_201010_RESULTAT PEX3 201107" xfId="436" xr:uid="{4F30396F-0DBA-455E-B3B3-143F122B1E6C}"/>
    <cellStyle name="_RESULTATS TDM 2010" xfId="437" xr:uid="{5356B8D6-F645-436E-9B2E-F310D79EA50E}"/>
    <cellStyle name="_Results 201004 PNW" xfId="438" xr:uid="{A2E1BB52-3943-44C0-A8F1-E6F3BF92977A}"/>
    <cellStyle name="_Results 201004 PNW_INDAMEX RESULTS JULY 2011" xfId="439" xr:uid="{FC5AD5EF-17AF-49E7-9A7E-532EC2D85931}"/>
    <cellStyle name="_Results 201004 PNW_TRANSAT VICTORY BRIDGE" xfId="440" xr:uid="{93706F95-14FD-44FD-A169-12B3A487F0F1}"/>
    <cellStyle name="_Results 201004 PNW_Victory Bridge Vessels Sizes" xfId="441" xr:uid="{CFBC9F8D-15DD-4F74-B659-F67D458814EE}"/>
    <cellStyle name="_Results 201103" xfId="442" xr:uid="{496E3FF2-CF14-4855-9811-B54F07074AA7}"/>
    <cellStyle name="_Results 201103_INDAMEX RESULTS JULY 2011" xfId="443" xr:uid="{4A5365D8-B789-43B1-99ED-10E4E2AC8486}"/>
    <cellStyle name="_revu et corrigé-Synthèse GRI  BAF Forecast Sept 2009 (2)" xfId="444" xr:uid="{2B2F75B2-F1E7-4029-A2A2-3F9D422A39A3}"/>
    <cellStyle name="_revu et corrigé-Synthèse GRI  BAF Forecast Sept 2009 (2)_FP Amerex &amp; Florida  REsult aout 2011" xfId="445" xr:uid="{A09BA116-E944-4B66-8391-3D71A9E3C54F}"/>
    <cellStyle name="_revu et corrigé-Synthèse GRI  BAF Forecast Sept 2009 (2)_INDAMEX Flash 201109 Forecast 201110" xfId="446" xr:uid="{E05028CD-4DAC-4CF5-A475-7FEE61EE84BE}"/>
    <cellStyle name="_revu et corrigé-Synthèse GRI  BAF Forecast Sept 2009 (2)_INDAMEX RESULTS JULY 2011" xfId="447" xr:uid="{2B95EE2C-4A77-4685-939D-AD1537DDD9D4}"/>
    <cellStyle name="_revu et corrigé-Synthèse GRI  BAF Forecast Sept 2009 (2)_Prépa Result sept 2011" xfId="448" xr:uid="{BF92589D-5FFC-48E9-89E1-E3D23076CC79}"/>
    <cellStyle name="_RTAT YANGTSE 201012 PREPA EN COURS" xfId="449" xr:uid="{2B1352E5-FB61-432F-9352-C965039E7000}"/>
    <cellStyle name="_September Cascading Option A" xfId="450" xr:uid="{92C2DFF7-0FD1-47D3-B331-05D37D34360D}"/>
    <cellStyle name="_SEPTEMBRE" xfId="451" xr:uid="{0E411729-3139-4D9F-8486-72CF43889674}"/>
    <cellStyle name="_Shuttle 5100" xfId="452" xr:uid="{A30F4A4A-FD78-4CA8-931B-5B68813D046D}"/>
    <cellStyle name="_Sling2 - 1700vs2000 1 1 (2)" xfId="453" xr:uid="{14A75165-1E2E-4F44-B662-BF490A64EDCA}"/>
    <cellStyle name="_Sling2 - 1700vs2000 1 1 (2)_Victory Bridge Vessels Sizes" xfId="454" xr:uid="{B4C63EF8-4403-4635-8B96-51E96DA20D12}"/>
    <cellStyle name="_Slot cost" xfId="455" xr:uid="{1258F12B-47D7-44DA-80F5-FCCAE565A412}"/>
    <cellStyle name="_Slot Cost Calculations Sept08" xfId="456" xr:uid="{EB5C9F99-815B-4711-B909-4BB379562255}"/>
    <cellStyle name="_Slot Cost Calculations Sept08_KEU Slot Cost Calc 02-02-2010_Simulation" xfId="457" xr:uid="{B47213F9-9AA9-4225-9BFB-3449F1165905}"/>
    <cellStyle name="_Slot Cost Calculations Sept08_Slot Cost Calculations - Nov09" xfId="458" xr:uid="{EAD553CA-0BB3-4A64-9A65-E1C1E203519C}"/>
    <cellStyle name="_Slot cost Nqura-Luanda v3" xfId="459" xr:uid="{7A43E3DC-09B4-4A6B-9FBE-73EEEF666D56}"/>
    <cellStyle name="_Slot cost_KEU Slot Cost Calc 02-02-2010_Simulation" xfId="460" xr:uid="{8A54BC3B-7323-4A92-83C0-E6E721EF3189}"/>
    <cellStyle name="_Slot cost_Slot Cost Calculations - Nov09" xfId="461" xr:uid="{FFFBD0E1-2ABE-48F9-BAA4-8BE9FC10BA4D}"/>
    <cellStyle name="_SUNRISE" xfId="462" xr:uid="{1BCD689B-B2AA-4C9B-A210-A20E4DDC0BA9}"/>
    <cellStyle name="_sunrise v3" xfId="463" xr:uid="{1E6E4CCB-A6EC-4C9A-8975-C3EC426DC1B7}"/>
    <cellStyle name="_Swax 2500" xfId="464" xr:uid="{EC80E615-2D16-45ED-A1AC-38AF237DB63C}"/>
    <cellStyle name="_System Cost ECS csav 250310" xfId="465" xr:uid="{BC83BA3F-1949-481A-AC14-1403A0F40577}"/>
    <cellStyle name="_TPX Slings v5" xfId="466" xr:uid="{B8D9333C-9731-4E23-AAC6-1200D7B7F95E}"/>
    <cellStyle name="_US base MARS Tab" xfId="467" xr:uid="{F6F6AB4D-3E1C-42F7-AF88-D053EA5F987B}"/>
    <cellStyle name="_US base MARS Tab_AMERIGO_new" xfId="468" xr:uid="{7B5EB9DD-445E-4B10-9312-83E503077DD9}"/>
    <cellStyle name="_VICTORY BRIDGE 2800 4000 5700" xfId="469" xr:uid="{A18BC878-315C-4159-A297-CD703E165D7B}"/>
    <cellStyle name="_VICTORY BRIDGE 2800 4000 5700 " xfId="470" xr:uid="{925AEF92-BAEC-4630-A43F-C419F4A1F797}"/>
    <cellStyle name="_VICTORY BRIDGE 2800 4000 5700_TRANSAT VICTORY BRIDGE" xfId="471" xr:uid="{4D40F4A8-C7F1-482D-9A53-0CF7DADE71A5}"/>
    <cellStyle name="_VICTORY BRIDGE 2800 4000 5700_Victory Bridge Vessels Sizes" xfId="472" xr:uid="{2E9D02EB-17CF-460B-B440-DBC6CDF4D9D8}"/>
    <cellStyle name="_VLOOKUP" xfId="473" xr:uid="{5A293114-9332-4A11-9A8F-0C0A0E28AE54}"/>
    <cellStyle name="_VLOOKUP_AMERIGO_new" xfId="474" xr:uid="{5F19C000-51FA-429F-8462-A1BAE64EAC0A}"/>
    <cellStyle name="_VSA with CSAV-Slings 1&amp;2" xfId="475" xr:uid="{B4212CAA-C8FA-4F05-90C3-814B94A20197}"/>
    <cellStyle name="_VSA with CSAV-Slings 1&amp;2_TRANSAT VICTORY BRIDGE" xfId="476" xr:uid="{37D35DCA-2682-480A-BAB0-DE4AB993F584}"/>
    <cellStyle name="_VSA with CSAV-Slings 1&amp;2_USEC study consolidated 07-10-2010" xfId="477" xr:uid="{2302D886-B482-44C8-B195-6C7B32FB5991}"/>
    <cellStyle name="_VSA with CSAV-Slings 1&amp;2_Victory Bridge Vessels Sizes" xfId="478" xr:uid="{03C88CA4-5ED1-407E-B359-5C68FFA2D5B0}"/>
    <cellStyle name="_WAX - Résultat Juillet 10" xfId="479" xr:uid="{5EFF0F24-200A-4D87-80FA-57753B8FF69A}"/>
    <cellStyle name="_WAX Résultat Août 10" xfId="480" xr:uid="{95A25B34-7F59-435B-A224-CFC752A10A93}"/>
    <cellStyle name="_WB Detailed" xfId="481" xr:uid="{65DC2617-4F78-40B9-BE1E-290BE2F59DC8}"/>
    <cellStyle name="_Winter Plan_Service Comparison" xfId="482" xr:uid="{339CCC65-9158-4017-8364-F1D61AF115E0}"/>
    <cellStyle name="_YANG TSE" xfId="483" xr:uid="{86DB8102-9BC9-4C56-B896-300B3A14E722}"/>
    <cellStyle name="_YML-AES-AME-Jan09" xfId="484" xr:uid="{12E9440A-F031-4C11-93E3-3B3D3D5A2805}"/>
    <cellStyle name="_YML-AES-AME-Jan09_ABX - C7 Slot Cost" xfId="485" xr:uid="{1CEBE234-0EC3-4554-9E2F-A7B43C53EC72}"/>
    <cellStyle name="_YML-AES-AME-Jan09_KEU Slot Cost Calc 02-02-2010_Simulation" xfId="486" xr:uid="{94E8C5F7-A3A4-4B76-88F2-EEFE2D838638}"/>
    <cellStyle name="_YML-AES-AME-Jan09_Slot Cost Calculations - Nov09" xfId="487" xr:uid="{6F5B60EE-F631-4EF6-9555-0912ED117262}"/>
    <cellStyle name="_YML-AES-MCS-Mar09" xfId="488" xr:uid="{D796B0D6-FBAF-4EC1-B3FE-BDD054D5CB2F}"/>
    <cellStyle name="_YML-AES-MCS-Mar09_KEU Slot Cost Calc 02-02-2010_Simulation" xfId="489" xr:uid="{1607CA36-DF48-446E-82BF-E7C09920B47A}"/>
    <cellStyle name="_YML-AES-MCS-Mar09_Slot Cost Calculations - Nov09" xfId="490" xr:uid="{FCB114E5-3442-4ED2-A1AF-6A8BD44685FD}"/>
    <cellStyle name="¿­¾îº» ÇÏÀÌÆÛ¸µÅ©" xfId="491" xr:uid="{1EF6468A-1EEF-40D8-B1BB-1DA70F67DEDC}"/>
    <cellStyle name="=C:\WINDOWS\SYSTEM32\COMMAND.COM" xfId="492" xr:uid="{4A5C030D-179C-4BDE-BBDD-682C25F9F35B}"/>
    <cellStyle name="=C:\WINDOWS\SYSTEM32\COMMAND.COM 2" xfId="493" xr:uid="{4E577023-7DF9-46FA-8EE3-0E526690897D}"/>
    <cellStyle name="=C:\WINDOWS\SYSTEM32\COMMAND.COM 2 2" xfId="494" xr:uid="{0122D1AF-6D17-462D-921D-8C4C8375D2AE}"/>
    <cellStyle name="=C:\WINDOWS\SYSTEM32\COMMAND.COM 2 2 2" xfId="495" xr:uid="{DA5DDDC9-FC0A-4370-B157-12A660C0DC1D}"/>
    <cellStyle name="=C:\WINDOWS\SYSTEM32\COMMAND.COM 2 3" xfId="496" xr:uid="{FD2D2321-C687-4973-9292-946675BEBD2D}"/>
    <cellStyle name="=C:\WINDOWS\SYSTEM32\COMMAND.COM 2 3 2" xfId="497" xr:uid="{32B6C350-3B54-4CCF-80C1-66D2C98C212B}"/>
    <cellStyle name="=C:\WINDOWS\SYSTEM32\COMMAND.COM 2 4" xfId="498" xr:uid="{B1832648-F46E-48D5-8B41-3E2CCB9C3FB0}"/>
    <cellStyle name="=C:\WINDOWS\SYSTEM32\COMMAND.COM 2 4 2" xfId="499" xr:uid="{3BA6D7D4-6343-4F7D-AAD4-2187C3ACDB24}"/>
    <cellStyle name="=C:\WINDOWS\SYSTEM32\COMMAND.COM 2 5" xfId="500" xr:uid="{D6BB08C5-C87C-429F-B669-E16DCE742E9F}"/>
    <cellStyle name="=C:\WINDOWS\SYSTEM32\COMMAND.COM 3" xfId="501" xr:uid="{A977F466-9F92-4DE4-8A93-CCE1EA0703FF}"/>
    <cellStyle name="=C:\WINDOWS\SYSTEM32\COMMAND.COM 3 2" xfId="502" xr:uid="{5A4D8795-8BCC-43C7-B08A-03E1757A0284}"/>
    <cellStyle name="=C:\WINDOWS\SYSTEM32\COMMAND.COM 4" xfId="503" xr:uid="{B6B315AB-D2E8-4ABC-B837-3187101D1BC2}"/>
    <cellStyle name="=C:\WINDOWS\SYSTEM32\COMMAND.COM 4 2" xfId="504" xr:uid="{C42427B1-4D33-44FE-AA9E-20AC20DBAD07}"/>
    <cellStyle name="=C:\WINDOWS\SYSTEM32\COMMAND.COM 5" xfId="505" xr:uid="{93862208-BC59-486A-9AEE-B63C0E3B6936}"/>
    <cellStyle name="=C:\WINDOWS\SYSTEM32\COMMAND.COM 5 2" xfId="506" xr:uid="{5DDBF657-2EB9-45B1-9C00-289781539508}"/>
    <cellStyle name="=C:\WINDOWS\SYSTEM32\COMMAND.COM_vol-contrib" xfId="507" xr:uid="{ADDF8B99-7D72-4141-8B10-F14037F836EF}"/>
    <cellStyle name="•W€_laroux" xfId="508" xr:uid="{2B579052-54D4-4B00-ACC8-B5AC67798919}"/>
    <cellStyle name="•W_laroux" xfId="509" xr:uid="{0D1760D4-6910-47A1-8A74-95A63FFB060F}"/>
    <cellStyle name="fE?Y [0.00]_Region Orders (2)sPr" xfId="510" xr:uid="{9D6286BE-F3E1-48FC-9EA5-4E1DA9CDC0F7}"/>
    <cellStyle name="fE?Y_Region Orders (2)mar" xfId="511" xr:uid="{220A3A04-7FDA-4EC0-8667-A3895E8CAE33}"/>
    <cellStyle name="0,0_x000a__x000a_NA_x000a__x000a_" xfId="512" xr:uid="{A9047380-6C82-4263-9CE8-D6FF40A39F4C}"/>
    <cellStyle name="0,0_x000d__x000a_NA_x000d__x000a_" xfId="513" xr:uid="{F15DCF8D-0342-4A2B-A904-7B9DDE993042}"/>
    <cellStyle name="0,0_x000d__x000a_NA_x000d__x000a_ 2" xfId="514" xr:uid="{46355C1A-9E72-4231-8300-B329D8BE38BC}"/>
    <cellStyle name="20 % - Accent1 2" xfId="515" xr:uid="{AB8DFB35-EEB8-48E3-BBDC-DD4ECD17AE16}"/>
    <cellStyle name="20 % - Accent2 2" xfId="516" xr:uid="{D3CD6FAC-E884-4D36-B0C8-45117D05EF8B}"/>
    <cellStyle name="20 % - Accent3 2" xfId="517" xr:uid="{982B78E9-6C9E-444C-8B4B-96FF32B55A2D}"/>
    <cellStyle name="20 % - Accent4 2" xfId="518" xr:uid="{C6C4AF0E-95EE-40EB-8F41-C47C47716090}"/>
    <cellStyle name="20 % - Accent5 2" xfId="519" xr:uid="{0EF04854-0277-482B-AF80-6B7B7E8B9C0C}"/>
    <cellStyle name="20 % - Accent6 2" xfId="520" xr:uid="{FCEA1671-59BE-4CE3-AFA6-102056E632A8}"/>
    <cellStyle name="20% - Accent1 2" xfId="522" xr:uid="{695FEC35-B2E5-486D-B893-9F09A6B4B919}"/>
    <cellStyle name="20% - Accent1 2 2" xfId="523" xr:uid="{7B5DE9CE-0AA5-448C-9C6F-5AFED477D9B0}"/>
    <cellStyle name="20% - Accent1 2 2 2" xfId="2624" xr:uid="{D8A7B783-7378-4457-84B9-83031BC2072F}"/>
    <cellStyle name="20% - Accent1 2 3" xfId="524" xr:uid="{6B910C6D-1FFA-486B-8067-0D991DF2B592}"/>
    <cellStyle name="20% - Accent1 2 4" xfId="525" xr:uid="{BC1224BC-1803-4443-B18A-B993ADD72AE3}"/>
    <cellStyle name="20% - Accent1 3" xfId="526" xr:uid="{FFC71B5B-B35D-4502-A311-9AE6A8FD2DD6}"/>
    <cellStyle name="20% - Accent1 3 2" xfId="527" xr:uid="{163B0B04-E587-4171-9D91-2E6173DF3E82}"/>
    <cellStyle name="20% - Accent1 3 2 2" xfId="2625" xr:uid="{972A9960-57E8-41EB-A2D1-BE8BAEBF144B}"/>
    <cellStyle name="20% - Accent1 4" xfId="528" xr:uid="{DA181024-99DE-418D-A70F-738354331108}"/>
    <cellStyle name="20% - Accent1 5" xfId="521" xr:uid="{8A3E5041-88C2-4D3D-8DEC-080F8B644B16}"/>
    <cellStyle name="20% - Accent2 2" xfId="530" xr:uid="{1FAF84EA-90B2-45B4-8D90-3DF1783C5C88}"/>
    <cellStyle name="20% - Accent2 2 2" xfId="531" xr:uid="{FD46FB35-5550-40C1-9C2E-9708BFA7F1C3}"/>
    <cellStyle name="20% - Accent2 2 2 2" xfId="2626" xr:uid="{AC862C72-5095-46E3-BEE8-2B7B5769A55C}"/>
    <cellStyle name="20% - Accent2 2 3" xfId="532" xr:uid="{B24706BD-C529-4B50-9207-E71A06EF0149}"/>
    <cellStyle name="20% - Accent2 2 4" xfId="533" xr:uid="{54805F2B-4CE6-430F-9754-1C6F58638683}"/>
    <cellStyle name="20% - Accent2 3" xfId="534" xr:uid="{8B333D3F-F788-4FAF-B6D9-F4414DC57DA2}"/>
    <cellStyle name="20% - Accent2 3 2" xfId="535" xr:uid="{2C7BDD4F-8804-408F-A0D2-4F7C3F480CB5}"/>
    <cellStyle name="20% - Accent2 3 2 2" xfId="2627" xr:uid="{0E49C1BA-35A9-472C-881D-770CCFFF9449}"/>
    <cellStyle name="20% - Accent2 4" xfId="536" xr:uid="{31FAC1A8-E158-4A52-9D73-53A71579D8AA}"/>
    <cellStyle name="20% - Accent2 5" xfId="529" xr:uid="{168E5653-3A4D-4595-9D4A-90660EFD40C9}"/>
    <cellStyle name="20% - Accent3 2" xfId="538" xr:uid="{B44F0991-A24F-416C-89B2-B06EBF6F6195}"/>
    <cellStyle name="20% - Accent3 2 2" xfId="539" xr:uid="{B7514E72-22A2-46C4-9264-FEFFC066245E}"/>
    <cellStyle name="20% - Accent3 2 2 2" xfId="2628" xr:uid="{3C61C151-183A-4D15-B4BC-12CC853E7D00}"/>
    <cellStyle name="20% - Accent3 2 3" xfId="540" xr:uid="{5409B446-0F01-4D7D-87D0-5C7725B77191}"/>
    <cellStyle name="20% - Accent3 2 4" xfId="541" xr:uid="{D2E650C8-9CEC-47DD-AD4D-F33697AE90BB}"/>
    <cellStyle name="20% - Accent3 3" xfId="542" xr:uid="{4DC13DB1-CDC9-4892-AB93-9A1CA0821BB2}"/>
    <cellStyle name="20% - Accent3 3 2" xfId="2629" xr:uid="{3905E908-E33D-493A-9C0F-B3137CF6E311}"/>
    <cellStyle name="20% - Accent3 4" xfId="543" xr:uid="{205F4954-9D9C-41E3-876E-6CA906918FC1}"/>
    <cellStyle name="20% - Accent3 5" xfId="537" xr:uid="{CD5F50AC-F384-413C-9016-89F2D86F2B32}"/>
    <cellStyle name="20% - Accent4 2" xfId="545" xr:uid="{630824A3-72EB-4ED8-93DA-D41B5F61A4D5}"/>
    <cellStyle name="20% - Accent4 2 2" xfId="546" xr:uid="{51224027-E870-41B0-86DF-07A41CD32F73}"/>
    <cellStyle name="20% - Accent4 2 2 2" xfId="2630" xr:uid="{D220562A-F7A8-4405-83D1-8CD94C6EF0C4}"/>
    <cellStyle name="20% - Accent4 2 3" xfId="547" xr:uid="{05205DD5-B2FF-48BA-A315-F3DD0AAF3D27}"/>
    <cellStyle name="20% - Accent4 2 4" xfId="548" xr:uid="{ECDD7E15-3AAE-43B3-A960-04738DEB6246}"/>
    <cellStyle name="20% - Accent4 3" xfId="549" xr:uid="{89379AB6-9C58-4606-B831-7B1FD934712F}"/>
    <cellStyle name="20% - Accent4 3 2" xfId="550" xr:uid="{C0CB3E16-FDF7-40DE-8F3E-D26684949E36}"/>
    <cellStyle name="20% - Accent4 3 2 2" xfId="2631" xr:uid="{3D86507D-5528-4554-BF3E-BC75B6CBF521}"/>
    <cellStyle name="20% - Accent4 4" xfId="551" xr:uid="{AF54A06C-9F08-4A73-B002-92FA73CBC87C}"/>
    <cellStyle name="20% - Accent4 5" xfId="544" xr:uid="{84F1611B-C095-4D7F-A679-1CE423816AFD}"/>
    <cellStyle name="20% - Accent5 2" xfId="553" xr:uid="{F71D899A-3D2D-413A-AA67-19CA0B87BEB4}"/>
    <cellStyle name="20% - Accent5 2 2" xfId="554" xr:uid="{81A66E9C-322F-48AB-8E02-99B7BCFEAD55}"/>
    <cellStyle name="20% - Accent5 2 2 2" xfId="2632" xr:uid="{F1D89994-4A1A-4CCD-B1FD-CC5E0CB1ACA2}"/>
    <cellStyle name="20% - Accent5 2 3" xfId="555" xr:uid="{79789759-3752-4410-9482-DC69EA09EE11}"/>
    <cellStyle name="20% - Accent5 2 4" xfId="556" xr:uid="{797DE731-7AFF-4B1C-A46F-41A72EF416EB}"/>
    <cellStyle name="20% - Accent5 3" xfId="557" xr:uid="{4AEC1218-3DC4-4297-A8D2-6961340BC2A3}"/>
    <cellStyle name="20% - Accent5 3 2" xfId="2633" xr:uid="{1F6160AB-5A86-4812-B3DF-E9AF225D26C5}"/>
    <cellStyle name="20% - Accent5 4" xfId="558" xr:uid="{1E68C5B0-9DBE-4F6C-8953-05F4A263F801}"/>
    <cellStyle name="20% - Accent5 5" xfId="552" xr:uid="{5A6A049B-D350-4928-8518-882C74B4F92E}"/>
    <cellStyle name="20% - Accent6 2" xfId="560" xr:uid="{14715186-D16E-43F6-857B-54D7D098FCD7}"/>
    <cellStyle name="20% - Accent6 2 2" xfId="561" xr:uid="{A41C24F8-AC44-43A9-9DD0-4FF8B28B7D0B}"/>
    <cellStyle name="20% - Accent6 2 2 2" xfId="2634" xr:uid="{EEE75FBF-ED79-4F85-8C44-D5A5617B7229}"/>
    <cellStyle name="20% - Accent6 2 3" xfId="562" xr:uid="{081997F0-E4B9-434B-88E2-04EDD9DD75F9}"/>
    <cellStyle name="20% - Accent6 2 4" xfId="563" xr:uid="{9CD34449-12BA-45CB-A169-A143FB11BC4D}"/>
    <cellStyle name="20% - Accent6 3" xfId="564" xr:uid="{A080521B-EF22-4273-AAFD-CB0612FE6758}"/>
    <cellStyle name="20% - Accent6 3 2" xfId="2635" xr:uid="{A0EECA94-10A6-4740-AAB1-FDBC8D078158}"/>
    <cellStyle name="20% - Accent6 4" xfId="565" xr:uid="{DE826F05-6BA1-4B77-B048-5AA50A7E265C}"/>
    <cellStyle name="20% - Accent6 5" xfId="559" xr:uid="{11516427-27EB-4BFE-86D6-6E62BB5F489C}"/>
    <cellStyle name="20% - Cor1" xfId="566" xr:uid="{27F046C0-58A6-4DC7-BBA5-5B479B081D0B}"/>
    <cellStyle name="20% - Cor2" xfId="567" xr:uid="{BC372216-F265-4C1D-A0EA-79CADEF55753}"/>
    <cellStyle name="20% - Cor3" xfId="568" xr:uid="{F6CD5343-F9C2-4AAA-A627-72254541A1C0}"/>
    <cellStyle name="20% - Cor4" xfId="569" xr:uid="{D9F62E73-831F-4F4E-80C6-3F279085DE13}"/>
    <cellStyle name="20% - Cor5" xfId="570" xr:uid="{D4BC76F9-7FBC-49C7-AC70-B1227D62BF39}"/>
    <cellStyle name="20% - Cor6" xfId="571" xr:uid="{15DF12B3-0F4B-451E-8BC4-E81575AADFCB}"/>
    <cellStyle name="20% - Énfasis1" xfId="572" xr:uid="{15AF954D-F56F-4849-99BF-2DCE32D097DB}"/>
    <cellStyle name="20% - Énfasis2" xfId="573" xr:uid="{353BD504-BF99-4A22-9EBD-AC06F528A16F}"/>
    <cellStyle name="20% - Énfasis3" xfId="574" xr:uid="{E3CBCCF3-FAE1-4277-8503-9B54392A7D4E}"/>
    <cellStyle name="20% - Énfasis4" xfId="575" xr:uid="{302336BB-738D-43D9-A28E-19A8B8199709}"/>
    <cellStyle name="20% - Énfasis5" xfId="576" xr:uid="{82E806E6-003F-4267-9424-C7A2DA21446A}"/>
    <cellStyle name="20% - Énfasis6" xfId="577" xr:uid="{CC1FCC5D-8335-44FF-8E82-8A27E24E03AF}"/>
    <cellStyle name="20% - Акцент1" xfId="578" xr:uid="{68473756-325C-4A87-B293-CE466BCA0CDA}"/>
    <cellStyle name="20% - Акцент2" xfId="579" xr:uid="{1A4D5BAF-F347-4FD5-A09C-C45972B2CCA3}"/>
    <cellStyle name="20% - Акцент3" xfId="580" xr:uid="{D5D9F39B-6E1D-4911-98C2-B460C78DB508}"/>
    <cellStyle name="20% - Акцент4" xfId="581" xr:uid="{708133BC-00AA-4547-B05E-46783B684B2D}"/>
    <cellStyle name="20% - Акцент5" xfId="582" xr:uid="{95F8C438-192A-400A-A548-4FE788FC4F2B}"/>
    <cellStyle name="20% - Акцент6" xfId="583" xr:uid="{5C49812D-0B7F-4BC6-9FB0-032A2A83EB94}"/>
    <cellStyle name="20% - アクセント 1" xfId="584" xr:uid="{4D9A8B80-4232-42A8-B8A4-A4E2AAE41647}"/>
    <cellStyle name="20% - アクセント 2" xfId="585" xr:uid="{DA1EA007-F524-45E2-A33C-790282798AAC}"/>
    <cellStyle name="20% - アクセント 3" xfId="586" xr:uid="{E0225567-D958-4AE3-BE00-9590D83E3209}"/>
    <cellStyle name="20% - アクセント 4" xfId="587" xr:uid="{BF60DD2F-F563-41DD-89EB-2E601C1A29FE}"/>
    <cellStyle name="20% - アクセント 5" xfId="588" xr:uid="{61ED4014-69AB-44A3-89AC-A52BAB0C0834}"/>
    <cellStyle name="20% - アクセント 6" xfId="589" xr:uid="{98939DBE-4388-42E0-8BA3-7EF41667AFB6}"/>
    <cellStyle name="20% - 강조색1" xfId="590" xr:uid="{919B8AC9-195D-4565-8556-CD28AFF7A10E}"/>
    <cellStyle name="20% - 강조색1 2" xfId="591" xr:uid="{CD1E38CC-9923-4B0D-9B56-507D8E21F6DF}"/>
    <cellStyle name="20% - 강조색1 2 2" xfId="592" xr:uid="{1B5652DD-E5B8-400F-85BA-A7FA8F6D5A67}"/>
    <cellStyle name="20% - 강조색2" xfId="593" xr:uid="{A5104B0B-9721-42E2-BAA4-B100596BE428}"/>
    <cellStyle name="20% - 강조색2 2" xfId="594" xr:uid="{F5CEEA80-C809-4E70-B09D-A598915DABE6}"/>
    <cellStyle name="20% - 강조색2 2 2" xfId="595" xr:uid="{1FEA7798-864F-497D-9678-B4D176E81D28}"/>
    <cellStyle name="20% - 강조색3" xfId="596" xr:uid="{A832E70E-563F-4334-9BDC-49A19BA3E6D8}"/>
    <cellStyle name="20% - 강조색3 2" xfId="597" xr:uid="{03FDA361-1928-4D12-8E22-CEED01B1579D}"/>
    <cellStyle name="20% - 강조색3 2 2" xfId="598" xr:uid="{CAF7F48E-4CA1-44BB-930D-E059F2600D4E}"/>
    <cellStyle name="20% - 강조색4" xfId="599" xr:uid="{2D28DB64-0082-4EBB-B063-66798A8B736D}"/>
    <cellStyle name="20% - 강조색4 2" xfId="600" xr:uid="{D7E9B86D-C55F-49D4-A26E-DCB88A70C62B}"/>
    <cellStyle name="20% - 강조색4 2 2" xfId="601" xr:uid="{0995A2F5-9A2D-499C-AB1A-FEC9160C5662}"/>
    <cellStyle name="20% - 강조색5" xfId="602" xr:uid="{20A766BD-33B6-4E34-89A9-6B52B4FA41C6}"/>
    <cellStyle name="20% - 강조색5 2" xfId="603" xr:uid="{483AAD5F-C570-4A4F-95A9-2EFF3ADD9C63}"/>
    <cellStyle name="20% - 강조색5 2 2" xfId="604" xr:uid="{60667E82-E28A-4C7E-98C2-FEF0109C28FC}"/>
    <cellStyle name="20% - 강조색6" xfId="605" xr:uid="{3BADE87B-A7C8-42E8-BBBE-09C31BCF0A8D}"/>
    <cellStyle name="20% - 강조색6 2" xfId="606" xr:uid="{2CE4C75C-2B1B-4528-AE61-DAA390EFC948}"/>
    <cellStyle name="20% - 강조색6 2 2" xfId="607" xr:uid="{C0340AC4-1C55-4063-856D-53871AC31B68}"/>
    <cellStyle name="20% - 輔色1" xfId="608" xr:uid="{5B2DA632-7947-459F-8D79-F846BD76EA75}"/>
    <cellStyle name="20% - 輔色2" xfId="609" xr:uid="{3A160D56-98B3-48E0-8C41-6D07DDEB1CB1}"/>
    <cellStyle name="20% - 輔色3" xfId="610" xr:uid="{6339866F-1E48-46BE-A199-BD46562BB50E}"/>
    <cellStyle name="20% - 輔色4" xfId="611" xr:uid="{11A18EE2-CBC1-4454-B7CD-4F27CBF67D0E}"/>
    <cellStyle name="20% - 輔色5" xfId="612" xr:uid="{F188AFD3-E225-4B42-A465-47954F7178EA}"/>
    <cellStyle name="20% - 輔色6" xfId="613" xr:uid="{796D741E-D588-460D-A1E1-ED676E061486}"/>
    <cellStyle name="20% - 强调文字颜色 1 2" xfId="614" xr:uid="{E72E2291-A70E-4D84-B0C7-1CF260B1F326}"/>
    <cellStyle name="20% - 强调文字颜色 1 2 2" xfId="615" xr:uid="{C26B9FA7-897A-4C2D-AF39-31FB04E1D7FB}"/>
    <cellStyle name="20% - 强调文字颜色 1 2 2 2" xfId="2636" xr:uid="{B36F768F-ABA5-4329-ABA1-1242605963D6}"/>
    <cellStyle name="20% - 强调文字颜色 1 2 3" xfId="616" xr:uid="{D10BC398-184D-4BDA-BA12-9B80D62B800C}"/>
    <cellStyle name="20% - 强调文字颜色 2 2" xfId="617" xr:uid="{0DC6C88E-3862-4F88-954A-AB444AD531FA}"/>
    <cellStyle name="20% - 强调文字颜色 2 2 2" xfId="618" xr:uid="{276F5E3B-F309-4C88-8609-01A18FAB1E29}"/>
    <cellStyle name="20% - 强调文字颜色 2 2 2 2" xfId="2637" xr:uid="{327C505F-37CD-492B-AEB6-368D0FDE2754}"/>
    <cellStyle name="20% - 强调文字颜色 2 2 3" xfId="619" xr:uid="{4727C09C-79C8-42DF-A86D-C018C52BE8F2}"/>
    <cellStyle name="20% - 强调文字颜色 3 2" xfId="620" xr:uid="{5C0CB1F7-FCA4-4B11-BB7F-24BEE4FF4875}"/>
    <cellStyle name="20% - 强调文字颜色 3 2 2" xfId="621" xr:uid="{A9BEB8E5-A838-4D43-942C-D80A7CE7FD01}"/>
    <cellStyle name="20% - 强调文字颜色 3 2 2 2" xfId="2638" xr:uid="{1CD4824B-927E-4CA9-9FA3-1DB9A29BAD58}"/>
    <cellStyle name="20% - 强调文字颜色 3 2 3" xfId="622" xr:uid="{55042FC4-680E-4498-A308-8360E4149824}"/>
    <cellStyle name="20% - 强调文字颜色 4 2" xfId="623" xr:uid="{BDBC4B84-3EA2-42E8-B81D-4B5D13DB4925}"/>
    <cellStyle name="20% - 强调文字颜色 4 2 2" xfId="624" xr:uid="{C99288D1-CD2A-4D60-8E73-BA37412F5471}"/>
    <cellStyle name="20% - 强调文字颜色 4 2 2 2" xfId="2639" xr:uid="{266BFE81-6DD5-456F-9A77-E77B08FB61FE}"/>
    <cellStyle name="20% - 强调文字颜色 4 2 3" xfId="625" xr:uid="{0FE3B2E3-001A-4F9F-A4BB-54EF328E5CC5}"/>
    <cellStyle name="20% - 强调文字颜色 5 2" xfId="626" xr:uid="{1564E52D-A011-4045-B302-E385552452F0}"/>
    <cellStyle name="20% - 强调文字颜色 5 2 2" xfId="627" xr:uid="{2495405D-104D-43D3-BC8C-E9B7011A364B}"/>
    <cellStyle name="20% - 强调文字颜色 5 2 2 2" xfId="2640" xr:uid="{4BA9F7CA-30B1-4ECA-AB3E-B3FFF4F9EDC9}"/>
    <cellStyle name="20% - 强调文字颜色 5 2 3" xfId="628" xr:uid="{FD4CC6F6-EA33-4ED7-99FE-01842FFF0CEC}"/>
    <cellStyle name="20% - 强调文字颜色 6 2" xfId="629" xr:uid="{1DE0EAEB-33F8-4A28-9C4C-689CFE9C46E1}"/>
    <cellStyle name="20% - 强调文字颜色 6 2 2" xfId="630" xr:uid="{A521EA19-2CC8-42E2-B743-91E220198582}"/>
    <cellStyle name="20% - 强调文字颜色 6 2 2 2" xfId="2641" xr:uid="{BC938FF6-1C76-47BE-9597-19FE8A3B51E9}"/>
    <cellStyle name="20% - 强调文字颜色 6 2 3" xfId="631" xr:uid="{5EBF4260-56B1-48A1-BB1C-1D068BCAAB15}"/>
    <cellStyle name="3232" xfId="632" xr:uid="{7D7471A5-FBC8-4CBC-94C3-0AD57C474353}"/>
    <cellStyle name="3232 2" xfId="633" xr:uid="{A7CB5177-05B0-4886-8F9C-4A7BE8145631}"/>
    <cellStyle name="3232_Prépa Result sept 2011" xfId="634" xr:uid="{C1CA6493-8ED5-4933-84E3-A84053DC1130}"/>
    <cellStyle name="40 % - Accent1 2" xfId="635" xr:uid="{D8EA86A9-D1B4-43E9-828A-6BB50B5FC684}"/>
    <cellStyle name="40 % - Accent2 2" xfId="636" xr:uid="{C6FA2788-5E7B-4F9D-BA87-22A246081637}"/>
    <cellStyle name="40 % - Accent3 2" xfId="637" xr:uid="{ED54A169-28E0-4409-ACDA-E9B7F20F5190}"/>
    <cellStyle name="40 % - Accent4 2" xfId="638" xr:uid="{4613C14C-5C94-4742-BE68-EA8E99CC190C}"/>
    <cellStyle name="40 % - Accent5 2" xfId="639" xr:uid="{B9430D64-85AF-489A-8C17-D04C52D44995}"/>
    <cellStyle name="40 % - Accent6 2" xfId="640" xr:uid="{5BC1D3D3-E2B4-4F8C-920D-EC83F0143ABC}"/>
    <cellStyle name="40% - Accent1 2" xfId="642" xr:uid="{EB9E2954-62B6-4B0E-BC29-E23381F34152}"/>
    <cellStyle name="40% - Accent1 2 2" xfId="643" xr:uid="{2F88EB48-D3F9-4EF6-BA51-AE83AD0F94B4}"/>
    <cellStyle name="40% - Accent1 2 2 2" xfId="2642" xr:uid="{BB5CBDA7-95B3-4F0C-BE08-6D16ED2268B0}"/>
    <cellStyle name="40% - Accent1 2 3" xfId="644" xr:uid="{50A9AEE0-8045-4065-95FB-61622FB5FBFE}"/>
    <cellStyle name="40% - Accent1 2 4" xfId="645" xr:uid="{24C3DB2F-7EA7-4EC1-8339-9BDDC2BF39C3}"/>
    <cellStyle name="40% - Accent1 3" xfId="646" xr:uid="{F6B530B3-A03E-46BF-98BB-9ABE17392EBB}"/>
    <cellStyle name="40% - Accent1 3 2" xfId="647" xr:uid="{5278968F-39D4-4D8B-94CE-02402149AFEE}"/>
    <cellStyle name="40% - Accent1 3 2 2" xfId="2643" xr:uid="{64F892D7-5DD7-41DC-B48F-751F4F363E4B}"/>
    <cellStyle name="40% - Accent1 4" xfId="648" xr:uid="{FF81025E-54D0-40FA-B8CB-B39A7805E73F}"/>
    <cellStyle name="40% - Accent1 5" xfId="641" xr:uid="{049DD816-B758-40BB-ACFC-E67CF4292834}"/>
    <cellStyle name="40% - Accent2 2" xfId="650" xr:uid="{CEF053EE-65EF-4A3B-ACE7-CFE32DDA6985}"/>
    <cellStyle name="40% - Accent2 2 2" xfId="651" xr:uid="{7D8EF246-FC94-4F28-BAB7-C5BBCC4514BD}"/>
    <cellStyle name="40% - Accent2 2 2 2" xfId="2644" xr:uid="{65619534-5A57-4341-9640-9CBE6731C99C}"/>
    <cellStyle name="40% - Accent2 2 3" xfId="652" xr:uid="{04595DE9-9870-4537-86E4-7E10E861F6C6}"/>
    <cellStyle name="40% - Accent2 2 4" xfId="653" xr:uid="{050B68F6-0314-4F5B-B400-1D9E787AC894}"/>
    <cellStyle name="40% - Accent2 3" xfId="654" xr:uid="{C57698CC-33B0-4CE8-96C2-F9C7044CEC97}"/>
    <cellStyle name="40% - Accent2 3 2" xfId="2645" xr:uid="{AC3E1D7F-96CE-42B9-90F6-98EE82F60D96}"/>
    <cellStyle name="40% - Accent2 4" xfId="655" xr:uid="{39DD43A2-C16E-4DD5-AACC-506F24EA1C45}"/>
    <cellStyle name="40% - Accent2 5" xfId="649" xr:uid="{E2D0BF58-147E-4F15-918B-E791B25B9393}"/>
    <cellStyle name="40% - Accent3 2" xfId="657" xr:uid="{CA3EA0E8-AC02-4507-B8DD-C0A18D33E063}"/>
    <cellStyle name="40% - Accent3 2 2" xfId="658" xr:uid="{2BBE3439-664C-43B7-A5C2-C5A04AAB93B7}"/>
    <cellStyle name="40% - Accent3 2 2 2" xfId="2646" xr:uid="{29F9963D-9CEB-4F20-B9F3-E4A20A903492}"/>
    <cellStyle name="40% - Accent3 2 3" xfId="659" xr:uid="{F0C05338-817B-402A-BEB1-954D40773D01}"/>
    <cellStyle name="40% - Accent3 2 4" xfId="660" xr:uid="{85CCAE0F-103B-467F-8E79-622001066927}"/>
    <cellStyle name="40% - Accent3 3" xfId="661" xr:uid="{18C65D48-1100-4358-BC6E-2B24EF3916B0}"/>
    <cellStyle name="40% - Accent3 3 2" xfId="2647" xr:uid="{CC4F4574-9D00-4FDF-8D2A-E84FD3B0AE70}"/>
    <cellStyle name="40% - Accent3 4" xfId="662" xr:uid="{0641936C-A24B-4264-ABCB-ACFCB5A2ABC3}"/>
    <cellStyle name="40% - Accent3 5" xfId="656" xr:uid="{FD6CAB7F-3EE2-402B-9549-3F4D52C5857D}"/>
    <cellStyle name="40% - Accent4 2" xfId="664" xr:uid="{06163CB5-52B9-44DC-9DDA-FA002B82392E}"/>
    <cellStyle name="40% - Accent4 2 2" xfId="665" xr:uid="{84437BCC-CBD6-402F-8911-19B49947D0C9}"/>
    <cellStyle name="40% - Accent4 2 2 2" xfId="2648" xr:uid="{EF1400F2-A0AD-4BCA-9589-004875DC2931}"/>
    <cellStyle name="40% - Accent4 2 3" xfId="666" xr:uid="{4AE8BCCE-1772-4EB4-AA5E-8FBF6297D7BD}"/>
    <cellStyle name="40% - Accent4 2 4" xfId="667" xr:uid="{1C3265FE-53A1-4C10-8941-B23E23F9AD75}"/>
    <cellStyle name="40% - Accent4 3" xfId="668" xr:uid="{B5441825-F994-41BC-B1F2-94D2B6A5435B}"/>
    <cellStyle name="40% - Accent4 3 2" xfId="669" xr:uid="{07AC2025-19FC-4F40-B5F7-30452EE7DE14}"/>
    <cellStyle name="40% - Accent4 3 2 2" xfId="2649" xr:uid="{EDF23A9F-7E99-4F94-BD81-C94D441D1790}"/>
    <cellStyle name="40% - Accent4 4" xfId="670" xr:uid="{066C041B-626C-40BB-AAC0-0AFC5670FA2F}"/>
    <cellStyle name="40% - Accent4 5" xfId="663" xr:uid="{CA027FCF-743E-4826-882B-0FC0E6506147}"/>
    <cellStyle name="40% - Accent5 2" xfId="672" xr:uid="{FFEA4344-90FA-44D4-ADCB-874555D9DD06}"/>
    <cellStyle name="40% - Accent5 2 2" xfId="673" xr:uid="{F081719D-B505-47D6-9AFE-516EF0F05A45}"/>
    <cellStyle name="40% - Accent5 2 2 2" xfId="2650" xr:uid="{2F18482C-92DA-4ACF-8D6C-4B442067DD4A}"/>
    <cellStyle name="40% - Accent5 2 3" xfId="674" xr:uid="{C2227516-646B-4C19-A71A-B1357D995302}"/>
    <cellStyle name="40% - Accent5 2 4" xfId="675" xr:uid="{820C5A86-741D-4B6F-B505-5C24071FBB77}"/>
    <cellStyle name="40% - Accent5 3" xfId="676" xr:uid="{B0A5A1BB-6134-45F0-9ACE-92394C7AC80E}"/>
    <cellStyle name="40% - Accent5 3 2" xfId="677" xr:uid="{508460E1-2DE5-43F1-B5EC-23BDE6E4E1F5}"/>
    <cellStyle name="40% - Accent5 3 2 2" xfId="2651" xr:uid="{E9071C76-0808-4B1A-B987-EB06F4C3BDF4}"/>
    <cellStyle name="40% - Accent5 4" xfId="678" xr:uid="{118DAE2E-A899-455D-A747-D6D90A597E1F}"/>
    <cellStyle name="40% - Accent5 5" xfId="671" xr:uid="{4EDFD019-3906-41C3-93A3-D7E598C07F01}"/>
    <cellStyle name="40% - Accent6 2" xfId="680" xr:uid="{4A78A08B-0DB7-400C-ADD5-BB451B622634}"/>
    <cellStyle name="40% - Accent6 2 2" xfId="681" xr:uid="{831B90C7-4EE7-43F7-8AD7-2AF6EB49DF57}"/>
    <cellStyle name="40% - Accent6 2 2 2" xfId="2652" xr:uid="{08EB04FE-8213-4208-9B19-9D99DD7F07E3}"/>
    <cellStyle name="40% - Accent6 2 3" xfId="682" xr:uid="{A7A7685D-7C76-40CA-8155-ECF96D565107}"/>
    <cellStyle name="40% - Accent6 2 4" xfId="683" xr:uid="{8DA1517A-9CAF-45A6-BAD9-363565D01FE8}"/>
    <cellStyle name="40% - Accent6 3" xfId="684" xr:uid="{18BC3BC7-1D90-4A25-A630-E582F476CF6F}"/>
    <cellStyle name="40% - Accent6 3 2" xfId="685" xr:uid="{81C40AB7-AF4B-4FF6-81C9-F22391C08DCC}"/>
    <cellStyle name="40% - Accent6 3 2 2" xfId="2653" xr:uid="{088A3D21-A52C-4292-B40B-BCDDA2A0753F}"/>
    <cellStyle name="40% - Accent6 4" xfId="686" xr:uid="{69786C24-FF6E-4F60-94E9-3B0DB9017E0A}"/>
    <cellStyle name="40% - Accent6 5" xfId="679" xr:uid="{8337ABC9-7697-4494-B476-C5453C32A7B7}"/>
    <cellStyle name="40% - Cor1" xfId="687" xr:uid="{C1F01E90-9963-4C95-ADC9-C84A62665415}"/>
    <cellStyle name="40% - Cor2" xfId="688" xr:uid="{BD5B6B05-819D-4AC0-A147-D6FF869F8C13}"/>
    <cellStyle name="40% - Cor3" xfId="689" xr:uid="{5AE0E1BD-3086-4AE3-B6E9-F50DE849D82D}"/>
    <cellStyle name="40% - Cor4" xfId="690" xr:uid="{650E4BD1-ED27-4867-88BD-2036CDCF08FC}"/>
    <cellStyle name="40% - Cor5" xfId="691" xr:uid="{38C01857-6B47-4701-B073-E8A9902DB07B}"/>
    <cellStyle name="40% - Cor6" xfId="692" xr:uid="{06F535FC-EA09-4B80-B2D5-11F7D679C513}"/>
    <cellStyle name="40% - Énfasis1" xfId="693" xr:uid="{9E86EB34-2077-4B56-8540-BB6A84BB19AF}"/>
    <cellStyle name="40% - Énfasis2" xfId="694" xr:uid="{3C3DEB5A-2E26-45DA-B7A8-8A3743FD19F4}"/>
    <cellStyle name="40% - Énfasis3" xfId="695" xr:uid="{DFDD8553-1F3F-426B-93E7-01BAC0F70DCB}"/>
    <cellStyle name="40% - Énfasis4" xfId="2866" xr:uid="{1277E271-640D-4236-91D3-FAEA9CE4A9F8}"/>
    <cellStyle name="40% - Énfasis5" xfId="696" xr:uid="{005EF0BD-D53F-4A9C-B4FF-7AEC1CA39B11}"/>
    <cellStyle name="40% - Énfasis6" xfId="697" xr:uid="{F5DF2BBC-261F-41D1-A27B-370E2686A704}"/>
    <cellStyle name="40% - Акцент1" xfId="698" xr:uid="{202DD004-97B6-4889-B6F1-3323D860E4D7}"/>
    <cellStyle name="40% - Акцент2" xfId="699" xr:uid="{A01EDA2C-36DB-4FE4-90F3-BE822D0E479B}"/>
    <cellStyle name="40% - Акцент3" xfId="700" xr:uid="{98BF98C5-8E35-424B-897F-FE260652B83F}"/>
    <cellStyle name="40% - Акцент4" xfId="701" xr:uid="{12B23C6C-F306-4456-B205-DCFE174C042E}"/>
    <cellStyle name="40% - Акцент5" xfId="702" xr:uid="{CED27B46-D8D0-4AFC-8694-FD23BE8C0CC0}"/>
    <cellStyle name="40% - Акцент6" xfId="703" xr:uid="{80042482-BD9A-4E4E-8A52-94C463E9E3F2}"/>
    <cellStyle name="40% - アクセント 1" xfId="704" xr:uid="{2DD2DE8E-6905-440E-BDFF-E3FF06DD7F17}"/>
    <cellStyle name="40% - アクセント 2" xfId="705" xr:uid="{ADC68735-9B9B-4DB5-A400-B81DF28309C8}"/>
    <cellStyle name="40% - アクセント 3" xfId="706" xr:uid="{3AA175D4-A5EF-4F5C-BD3D-2B7F3D6396D4}"/>
    <cellStyle name="40% - アクセント 4" xfId="707" xr:uid="{5051412B-D2B6-4ECE-A5C0-5501A7F4C7D9}"/>
    <cellStyle name="40% - アクセント 5" xfId="708" xr:uid="{1FF9B057-837B-40FB-B93B-DCCEEA5CDBAD}"/>
    <cellStyle name="40% - アクセント 6" xfId="709" xr:uid="{3173F2EE-61B3-452F-9FFF-9877C5FB5AF7}"/>
    <cellStyle name="40% - 강조색1" xfId="710" xr:uid="{A2A1E29B-7691-49A5-B658-3184C0BDDF23}"/>
    <cellStyle name="40% - 강조색1 2" xfId="711" xr:uid="{15D0A0DE-2E68-4D98-8518-0BEE90BD9606}"/>
    <cellStyle name="40% - 강조색1 2 2" xfId="712" xr:uid="{988C0A74-6FF0-4015-8A26-08130DC084A1}"/>
    <cellStyle name="40% - 강조색2" xfId="713" xr:uid="{362EAC17-50FD-4A35-8E18-ABF7E2656495}"/>
    <cellStyle name="40% - 강조색2 2" xfId="714" xr:uid="{213E84AB-A57D-4FB0-B61B-ADBEB2971199}"/>
    <cellStyle name="40% - 강조색2 2 2" xfId="715" xr:uid="{0E31F835-EC2C-4731-96D4-A7D79885F7B8}"/>
    <cellStyle name="40% - 강조색3" xfId="716" xr:uid="{CC406DA9-6288-4BBF-BE5D-167BBD15A0D5}"/>
    <cellStyle name="40% - 강조색3 2" xfId="717" xr:uid="{3ECE0C7C-5822-4AAD-82CE-372CF459304D}"/>
    <cellStyle name="40% - 강조색3 2 2" xfId="718" xr:uid="{21BBF867-3A7A-431B-A0AE-BD9D938D3B87}"/>
    <cellStyle name="40% - 강조색4" xfId="719" xr:uid="{00E8649B-2543-4CFD-870E-A831779261DE}"/>
    <cellStyle name="40% - 강조색4 2" xfId="720" xr:uid="{FCDA8CBD-D765-43E5-A40E-C0B0AD985B67}"/>
    <cellStyle name="40% - 강조색4 2 2" xfId="721" xr:uid="{FB21F75E-71E0-4BFA-9E22-CFB43B3D4F4E}"/>
    <cellStyle name="40% - 강조색5" xfId="722" xr:uid="{86284A10-1905-4DA0-A6FB-347FDAF82525}"/>
    <cellStyle name="40% - 강조색5 2" xfId="723" xr:uid="{1CC43FDC-B44A-41E7-9A9E-B126AC81881D}"/>
    <cellStyle name="40% - 강조색5 2 2" xfId="724" xr:uid="{E8C1B13E-F832-4AF9-AC4B-C967B18E7B8F}"/>
    <cellStyle name="40% - 강조색6" xfId="725" xr:uid="{30273A23-024C-474B-BF5B-3AA6E9C85367}"/>
    <cellStyle name="40% - 강조색6 2" xfId="726" xr:uid="{99F74208-ED06-4919-AA62-B78A0267652F}"/>
    <cellStyle name="40% - 강조색6 2 2" xfId="727" xr:uid="{F46B2D66-AF89-45FC-B0EF-5607B5FD38F2}"/>
    <cellStyle name="40% - 輔色1" xfId="728" xr:uid="{2020FF00-A8FF-4785-B908-4196E9D271B3}"/>
    <cellStyle name="40% - 輔色2" xfId="729" xr:uid="{51DA0871-3109-486D-8F41-F72BB46B3622}"/>
    <cellStyle name="40% - 輔色3" xfId="730" xr:uid="{81D2234B-B78E-478B-988C-FDCFAE4821BC}"/>
    <cellStyle name="40% - 輔色4" xfId="731" xr:uid="{0E71D6FF-CB77-4A48-B5C3-84DF5FD8F7A1}"/>
    <cellStyle name="40% - 輔色5" xfId="732" xr:uid="{154FCB0D-5531-432F-BB06-16F7388F8CBE}"/>
    <cellStyle name="40% - 輔色6" xfId="733" xr:uid="{68EF61AE-CD19-40ED-8E22-77D9A3B96A0C}"/>
    <cellStyle name="40% - 强调文字颜色 1 2" xfId="734" xr:uid="{C2FA0483-76A5-47D0-BBBC-1A97DFDF35C0}"/>
    <cellStyle name="40% - 强调文字颜色 1 2 2" xfId="735" xr:uid="{350D17E1-9F23-44CA-A07E-77EF4811CDBB}"/>
    <cellStyle name="40% - 强调文字颜色 1 2 2 2" xfId="2654" xr:uid="{1240F080-BF1E-4581-AE47-D6A7FFD8D272}"/>
    <cellStyle name="40% - 强调文字颜色 1 2 3" xfId="736" xr:uid="{E54A6E40-6BD2-4FA8-83E0-427B3EF5E377}"/>
    <cellStyle name="40% - 强调文字颜色 2 2" xfId="737" xr:uid="{42029511-8371-4D83-8D14-6D26FD9BE6F4}"/>
    <cellStyle name="40% - 强调文字颜色 2 2 2" xfId="738" xr:uid="{A95E39DE-C62B-4B1D-BF93-05E3B3F99A42}"/>
    <cellStyle name="40% - 强调文字颜色 2 2 2 2" xfId="2655" xr:uid="{740053BC-8CED-4BE1-B96A-D693549D54C6}"/>
    <cellStyle name="40% - 强调文字颜色 2 2 3" xfId="739" xr:uid="{E2C43590-D9B1-4FFC-82F8-6D71382CD6CA}"/>
    <cellStyle name="40% - 强调文字颜色 3 2" xfId="740" xr:uid="{A5441334-5923-4778-B9F5-6071FF9CB794}"/>
    <cellStyle name="40% - 强调文字颜色 3 2 2" xfId="741" xr:uid="{F2E0509C-66B6-485E-8135-3E7A62037A38}"/>
    <cellStyle name="40% - 强调文字颜色 3 2 2 2" xfId="2656" xr:uid="{6FD648DD-EC01-4111-AC2A-916702245558}"/>
    <cellStyle name="40% - 强调文字颜色 3 2 3" xfId="742" xr:uid="{9A855654-EB68-44CD-B7A9-D8861F81F436}"/>
    <cellStyle name="40% - 强调文字颜色 4 2" xfId="743" xr:uid="{5B4286A4-EFE7-40D1-AE5A-164C20D898B7}"/>
    <cellStyle name="40% - 强调文字颜色 4 2 2" xfId="744" xr:uid="{8333A0B8-04D7-432B-8636-76E50FA649D7}"/>
    <cellStyle name="40% - 强调文字颜色 4 2 2 2" xfId="2657" xr:uid="{50328E17-A8D0-466D-8B25-854190C5D6EB}"/>
    <cellStyle name="40% - 强调文字颜色 4 2 3" xfId="745" xr:uid="{6B175638-CB5F-4BD1-AC54-7FA2430B8DA9}"/>
    <cellStyle name="40% - 强调文字颜色 5 2" xfId="746" xr:uid="{76B1DB63-8911-4256-9126-A233EB67703C}"/>
    <cellStyle name="40% - 强调文字颜色 5 2 2" xfId="747" xr:uid="{2F2B0EE2-D5C3-4389-86FA-D09731319296}"/>
    <cellStyle name="40% - 强调文字颜色 5 2 2 2" xfId="2658" xr:uid="{7EC4E0CA-88BB-4ED2-B59E-18FFC385511F}"/>
    <cellStyle name="40% - 强调文字颜色 5 2 3" xfId="748" xr:uid="{0D8858D2-2932-4554-9FD7-0728A28FE5A2}"/>
    <cellStyle name="40% - 强调文字颜色 6 2" xfId="749" xr:uid="{CE73257C-69C1-4EF5-B99B-36BB64AC7E8A}"/>
    <cellStyle name="40% - 强调文字颜色 6 2 2" xfId="750" xr:uid="{72654396-6ECF-4FF6-A893-87800C06F406}"/>
    <cellStyle name="40% - 强调文字颜色 6 2 2 2" xfId="2659" xr:uid="{FFFA81FD-D818-44D0-AD19-69E2B4FEBA00}"/>
    <cellStyle name="40% - 强调文字颜色 6 2 3" xfId="751" xr:uid="{E19E449D-F21A-4A08-BE66-7B9671B14426}"/>
    <cellStyle name="60 % - Accent1 2" xfId="752" xr:uid="{86D8174A-16EE-4149-AD30-007C7236F9E3}"/>
    <cellStyle name="60 % - Accent2 2" xfId="753" xr:uid="{83EC93C6-B8DA-4919-A148-9B22DC19E8C9}"/>
    <cellStyle name="60 % - Accent3 2" xfId="754" xr:uid="{192037B7-FF20-461E-864F-7EAC039A9FC1}"/>
    <cellStyle name="60 % - Accent4 2" xfId="755" xr:uid="{733DE04D-F23C-4E73-87DE-3DED1148696B}"/>
    <cellStyle name="60 % - Accent5 2" xfId="756" xr:uid="{F6F6C812-55E2-4F6F-AC2B-185BA5DB21AA}"/>
    <cellStyle name="60 % - Accent6 2" xfId="757" xr:uid="{763D3F41-1FA2-4777-85AA-BC8C5EADE2E8}"/>
    <cellStyle name="60% - Accent1 2" xfId="759" xr:uid="{326AE1E6-8982-41A7-ACB6-E92AAE8CE35A}"/>
    <cellStyle name="60% - Accent1 3" xfId="760" xr:uid="{C9F373DF-A028-4C9E-994E-4027B76BA464}"/>
    <cellStyle name="60% - Accent1 4" xfId="761" xr:uid="{FD7AD2F9-759C-42C2-A3B8-D16B8F853234}"/>
    <cellStyle name="60% - Accent1 5" xfId="758" xr:uid="{3DB7F8EA-232B-4522-A306-C35612FF9489}"/>
    <cellStyle name="60% - Accent2 2" xfId="763" xr:uid="{E5394F89-DC47-43CF-9B81-64558AC47D25}"/>
    <cellStyle name="60% - Accent2 3" xfId="764" xr:uid="{3640ABBA-D98F-4FBE-B764-3B6136A7EBEE}"/>
    <cellStyle name="60% - Accent2 4" xfId="762" xr:uid="{B5EBE832-7172-47FF-BC99-DA959F9D5A7E}"/>
    <cellStyle name="60% - Accent3 2" xfId="766" xr:uid="{9887BE97-80F2-47CC-90FB-549A3750D5E1}"/>
    <cellStyle name="60% - Accent3 3" xfId="767" xr:uid="{847BE923-7A02-4389-9AB3-F52C9B2124F2}"/>
    <cellStyle name="60% - Accent3 4" xfId="768" xr:uid="{15533A14-0031-4388-AB82-D76ED2F68F61}"/>
    <cellStyle name="60% - Accent3 5" xfId="765" xr:uid="{6A55A413-2472-458E-8B7E-550E6D24EE95}"/>
    <cellStyle name="60% - Accent4 2" xfId="770" xr:uid="{55DC40B8-D58D-4073-A19B-8FAF6A42EF04}"/>
    <cellStyle name="60% - Accent4 3" xfId="771" xr:uid="{99A40AB2-8B4D-43C6-9FA0-19CC2D001D64}"/>
    <cellStyle name="60% - Accent4 4" xfId="772" xr:uid="{6FC720E3-E1B1-4036-8C26-E70B07B1FB86}"/>
    <cellStyle name="60% - Accent4 5" xfId="769" xr:uid="{C4CC8B51-4EC4-470F-90E8-505D30B50B33}"/>
    <cellStyle name="60% - Accent5 2" xfId="774" xr:uid="{A2994A75-FD54-4FCA-939C-0EC4318CE1F1}"/>
    <cellStyle name="60% - Accent5 3" xfId="775" xr:uid="{973F1B7F-F37D-4289-9A7B-DA4966976042}"/>
    <cellStyle name="60% - Accent5 4" xfId="776" xr:uid="{8EDB3319-A91B-4CA8-A8BE-63DCC86C3E7D}"/>
    <cellStyle name="60% - Accent5 5" xfId="773" xr:uid="{32643BCC-4669-41AF-9EB1-D1870C5B3AC5}"/>
    <cellStyle name="60% - Accent6 2" xfId="778" xr:uid="{F06E75D8-70F6-4575-BABE-3C83A71B426F}"/>
    <cellStyle name="60% - Accent6 3" xfId="779" xr:uid="{9D94DD8A-6E70-41A6-A3CB-A7356EE635EC}"/>
    <cellStyle name="60% - Accent6 4" xfId="780" xr:uid="{0DEEC707-DF0E-467D-A73C-C18CB95789D2}"/>
    <cellStyle name="60% - Accent6 5" xfId="777" xr:uid="{F5B866B0-7DFD-4698-B61D-32FFA4256E7C}"/>
    <cellStyle name="60% - Cor1" xfId="781" xr:uid="{60BB99B2-5561-4720-8613-9986F0CA10B3}"/>
    <cellStyle name="60% - Cor2" xfId="782" xr:uid="{DE2D31C3-8228-4E26-9FCA-57534D1845FE}"/>
    <cellStyle name="60% - Cor3" xfId="783" xr:uid="{C53AEA54-ED22-4598-90C8-B32162E5D412}"/>
    <cellStyle name="60% - Cor4" xfId="784" xr:uid="{2D80874E-81CD-40F5-8DE4-9416292338F5}"/>
    <cellStyle name="60% - Cor5" xfId="785" xr:uid="{B5635A90-1CCE-4E0D-BA61-B50C38DE514F}"/>
    <cellStyle name="60% - Cor6" xfId="786" xr:uid="{BFF9E495-FAE8-456A-BFCE-396C9045CBA8}"/>
    <cellStyle name="60% - Énfasis1" xfId="787" xr:uid="{A79B785B-26EE-407D-8689-074199B80A50}"/>
    <cellStyle name="60% - Énfasis2" xfId="788" xr:uid="{61BD5A35-8F23-44E1-82EC-7316D589807C}"/>
    <cellStyle name="60% - Énfasis3" xfId="789" xr:uid="{BE9CF44C-F70A-4371-8420-C86A28B680DE}"/>
    <cellStyle name="60% - Énfasis4" xfId="790" xr:uid="{7C5CC673-A76B-41CA-AC49-7E0DBE0FF110}"/>
    <cellStyle name="60% - Énfasis5" xfId="791" xr:uid="{32D03E19-D5FF-43AA-BFF8-66447114D4F3}"/>
    <cellStyle name="60% - Énfasis6" xfId="792" xr:uid="{BC996FEC-2EC2-4086-AF9F-1ECA55CD9C16}"/>
    <cellStyle name="60% - Акцент1" xfId="793" xr:uid="{FC5E43C3-A795-4155-B9CD-95DD912B5FD1}"/>
    <cellStyle name="60% - Акцент2" xfId="794" xr:uid="{22EF22BA-1BBB-426F-A54F-4F7F05D37877}"/>
    <cellStyle name="60% - Акцент3" xfId="795" xr:uid="{EE569F4E-FF30-406B-9B2E-92FCF969E312}"/>
    <cellStyle name="60% - Акцент4" xfId="796" xr:uid="{36ABA44F-E547-474F-91C5-0E4EDBE0FB4E}"/>
    <cellStyle name="60% - Акцент5" xfId="797" xr:uid="{5E3FA347-7169-4C96-AE9F-BB211C61995E}"/>
    <cellStyle name="60% - Акцент6" xfId="798" xr:uid="{0BE339EF-4B23-4A08-B566-59A0A71A38EB}"/>
    <cellStyle name="60% - アクセント 1" xfId="799" xr:uid="{6C6868DB-4E88-4479-AF68-CD090F91C718}"/>
    <cellStyle name="60% - アクセント 2" xfId="800" xr:uid="{5D58ABF3-3583-46E2-8A6C-1F5D68563973}"/>
    <cellStyle name="60% - アクセント 3" xfId="801" xr:uid="{E1B2719C-B076-4C33-B3CE-3E9E3C30F31B}"/>
    <cellStyle name="60% - アクセント 4" xfId="802" xr:uid="{BCF66B9D-2A3E-41F6-8132-0BB3645F1BAA}"/>
    <cellStyle name="60% - アクセント 5" xfId="803" xr:uid="{93153B79-7144-4290-8368-0B391BC83A7D}"/>
    <cellStyle name="60% - アクセント 6" xfId="804" xr:uid="{727005D1-4A96-4CB8-A884-D3E1418B7C19}"/>
    <cellStyle name="60% - 강조색1" xfId="805" xr:uid="{575A50EE-0A3E-4AA3-A37D-406910362E77}"/>
    <cellStyle name="60% - 강조색1 2" xfId="806" xr:uid="{3A605292-2982-4FD0-9A52-84956F83A565}"/>
    <cellStyle name="60% - 강조색1 2 2" xfId="807" xr:uid="{F8D91BD1-B972-401C-9242-42A4695612F7}"/>
    <cellStyle name="60% - 강조색2" xfId="808" xr:uid="{D7EF2E01-F6A0-4E59-B252-3CB0A78BFF13}"/>
    <cellStyle name="60% - 강조색2 2" xfId="809" xr:uid="{B5B686EE-22C7-4EB3-95C3-F3A8A3FF0C9B}"/>
    <cellStyle name="60% - 강조색2 2 2" xfId="810" xr:uid="{08263E0C-8F11-497A-B4BB-1E2364DEC43B}"/>
    <cellStyle name="60% - 강조색3" xfId="811" xr:uid="{C7935CF2-6B34-43D6-AA4F-5005E26DD29D}"/>
    <cellStyle name="60% - 강조색3 2" xfId="812" xr:uid="{E713125D-9675-404C-A865-2FCC7162B609}"/>
    <cellStyle name="60% - 강조색3 2 2" xfId="813" xr:uid="{D05B9261-8988-4074-9A55-E03BFED236C3}"/>
    <cellStyle name="60% - 강조색4" xfId="814" xr:uid="{3646330B-5ED4-4D9F-B916-A3F0869FB5D6}"/>
    <cellStyle name="60% - 강조색4 2" xfId="815" xr:uid="{A63CA4C9-1DF9-4599-83A6-8CC60889665B}"/>
    <cellStyle name="60% - 강조색4 2 2" xfId="816" xr:uid="{4A9DD031-B9F0-418F-B51D-2F51E3FCC932}"/>
    <cellStyle name="60% - 강조색5" xfId="817" xr:uid="{3E4851A8-B209-4262-9ADA-80EBAF120126}"/>
    <cellStyle name="60% - 강조색5 2" xfId="818" xr:uid="{20A4218C-4BC0-4145-BA79-9B3A93087A40}"/>
    <cellStyle name="60% - 강조색5 2 2" xfId="819" xr:uid="{623D2ADF-A8CD-4782-B948-0AD6CB0E532E}"/>
    <cellStyle name="60% - 강조색6" xfId="820" xr:uid="{2DB7CF08-7CEF-4070-9628-D6BAC3FA8784}"/>
    <cellStyle name="60% - 강조색6 2" xfId="821" xr:uid="{809FF36F-7993-40A4-87AC-AD874F5D1FE7}"/>
    <cellStyle name="60% - 강조색6 2 2" xfId="822" xr:uid="{98843E97-6026-42B1-AD00-D5BA2684FE3E}"/>
    <cellStyle name="60% - 輔色1" xfId="823" xr:uid="{BB926828-609E-48A2-9C5E-F7D9FE294D77}"/>
    <cellStyle name="60% - 輔色2" xfId="824" xr:uid="{66C76748-4E7C-4C90-96EB-8615DD9C797F}"/>
    <cellStyle name="60% - 輔色3" xfId="825" xr:uid="{38860E42-2FCB-4778-9780-4FABA101B0DD}"/>
    <cellStyle name="60% - 輔色4" xfId="826" xr:uid="{EE0C9090-D99A-44A0-917E-0151963E70FD}"/>
    <cellStyle name="60% - 輔色5" xfId="827" xr:uid="{CC80D035-0C01-4AF5-A7A0-B9379E6AF8C0}"/>
    <cellStyle name="60% - 輔色6" xfId="828" xr:uid="{115D6356-BF82-44BA-A541-D14EEB5B4255}"/>
    <cellStyle name="60% - 强调文字颜色 1 2" xfId="829" xr:uid="{79E3940A-D8D9-499D-A163-906BFF7EA7D3}"/>
    <cellStyle name="60% - 强调文字颜色 2 2" xfId="830" xr:uid="{A3A26981-E4EE-49A4-9F75-4BF88FEEAFA1}"/>
    <cellStyle name="60% - 强调文字颜色 3 2" xfId="831" xr:uid="{517AE858-9E6F-4C5D-9BF9-5AA5868C718E}"/>
    <cellStyle name="60% - 强调文字颜色 4 2" xfId="832" xr:uid="{07DFE958-6ED3-496A-874A-677A8C36AE2B}"/>
    <cellStyle name="60% - 强调文字颜色 5 2" xfId="833" xr:uid="{804C76C0-AE74-44E3-B132-EBF7EA56F2F4}"/>
    <cellStyle name="60% - 强调文字颜色 6 2" xfId="834" xr:uid="{F7C93FD5-1026-43A2-86E6-2EC8313D9F93}"/>
    <cellStyle name="A¨­￠￢￠O [0]_laroux" xfId="835" xr:uid="{80955FB1-9623-4446-BA35-101655282586}"/>
    <cellStyle name="A¨­￠￢￠O_laroux" xfId="836" xr:uid="{98712E66-40E5-4D30-8926-0E2E19B31E94}"/>
    <cellStyle name="Accent1 - 20%" xfId="838" xr:uid="{8DB7793B-B1EA-40D3-9E26-39F1629B2684}"/>
    <cellStyle name="Accent1 - 40%" xfId="839" xr:uid="{E04A3EB2-5E90-40D2-817F-184FF986E9F0}"/>
    <cellStyle name="Accent1 - 60%" xfId="840" xr:uid="{BDBF9331-F092-4633-948F-2050F3308B83}"/>
    <cellStyle name="Accent1 10" xfId="841" xr:uid="{94072D96-A0E7-4EA6-9908-4849FE9D1353}"/>
    <cellStyle name="Accent1 11" xfId="842" xr:uid="{BFE75F10-B487-4DBD-AE70-7DEC6FE6D131}"/>
    <cellStyle name="Accent1 12" xfId="843" xr:uid="{44CA965D-E043-4770-9F81-E103C51A4B20}"/>
    <cellStyle name="Accent1 13" xfId="844" xr:uid="{C91B5D60-ACDD-407D-9B8F-3216F93D4207}"/>
    <cellStyle name="Accent1 14" xfId="845" xr:uid="{9B57F87F-2800-40E2-AEF1-C9513E8D9369}"/>
    <cellStyle name="Accent1 15" xfId="846" xr:uid="{6001E253-63F4-4672-BABA-F56431213EF9}"/>
    <cellStyle name="Accent1 16" xfId="847" xr:uid="{E51AE7F5-AA7E-4B6B-8EF3-ACDF2F728F6E}"/>
    <cellStyle name="Accent1 17" xfId="848" xr:uid="{C169B6E3-F2EB-4AB0-8118-97773310DF82}"/>
    <cellStyle name="Accent1 18" xfId="837" xr:uid="{8F36D561-8A47-42E7-A9E0-B83E98FCA30B}"/>
    <cellStyle name="Accent1 19" xfId="2769" xr:uid="{82487E6E-15B2-4347-9650-995AA0C07EB9}"/>
    <cellStyle name="Accent1 2" xfId="849" xr:uid="{35199528-D2BA-42E0-9B2F-E3BEE06F5EDB}"/>
    <cellStyle name="Accent1 2 2" xfId="850" xr:uid="{BF7007F0-78C0-4E30-B2F6-7F9D6B29EFD7}"/>
    <cellStyle name="Accent1 2_vol-contrib" xfId="851" xr:uid="{B4F4BE03-2E2D-4070-B907-4EE07669A03A}"/>
    <cellStyle name="Accent1 20" xfId="2858" xr:uid="{F126FAEB-0CC2-4270-91B6-580F19E28406}"/>
    <cellStyle name="Accent1 21" xfId="2768" xr:uid="{E59AED82-F884-494D-8D0A-7836DF74C06E}"/>
    <cellStyle name="Accent1 3" xfId="852" xr:uid="{FDB40395-0A7D-4F2C-BC76-A8E0BBD96F92}"/>
    <cellStyle name="Accent1 3 2" xfId="853" xr:uid="{DCEA3D23-7EC0-46DE-8A3B-FF9C648B9883}"/>
    <cellStyle name="Accent1 3 3" xfId="854" xr:uid="{49B665ED-2768-478C-9881-9BF9158308A7}"/>
    <cellStyle name="Accent1 3 4" xfId="855" xr:uid="{C6423444-8F9B-433A-9BF1-AFBEDAE22D72}"/>
    <cellStyle name="Accent1 4" xfId="856" xr:uid="{9A454CDA-B010-4E8F-8260-76EDB6205318}"/>
    <cellStyle name="Accent1 4 2" xfId="857" xr:uid="{BB98BF8D-D1B0-4E31-9C0A-95D31E63921E}"/>
    <cellStyle name="Accent1 4 3" xfId="858" xr:uid="{FEF7428D-FFF2-4499-A955-F8137294FC00}"/>
    <cellStyle name="Accent1 4_vol-contrib" xfId="859" xr:uid="{399F1026-4161-4B6E-ACC9-963CFA9104BF}"/>
    <cellStyle name="Accent1 5" xfId="860" xr:uid="{A69E7792-08D9-4F32-A0ED-71D766DE228E}"/>
    <cellStyle name="Accent1 6" xfId="861" xr:uid="{4E6350EF-BB51-4E1E-8C26-058ECDF59E46}"/>
    <cellStyle name="Accent1 7" xfId="862" xr:uid="{D467D621-09D9-4036-98CF-51E314AB0FFF}"/>
    <cellStyle name="Accent1 8" xfId="863" xr:uid="{B88B2E6A-A383-4960-B3CA-D6D5C5AF8B77}"/>
    <cellStyle name="Accent1 9" xfId="864" xr:uid="{2905E2D6-6206-49AD-86FB-E8455F721237}"/>
    <cellStyle name="Accent2 - 20%" xfId="866" xr:uid="{2DCD3C7E-C5A4-4292-BF32-5A80E0460603}"/>
    <cellStyle name="Accent2 - 40%" xfId="867" xr:uid="{AF448115-D1A3-4D65-ADA5-0D2A63B7B1E8}"/>
    <cellStyle name="Accent2 - 60%" xfId="868" xr:uid="{FA4F36BF-3FD7-4C45-B619-6D3123770508}"/>
    <cellStyle name="Accent2 10" xfId="869" xr:uid="{CD6233E6-BD5A-4855-B4BE-82A058C165C1}"/>
    <cellStyle name="Accent2 11" xfId="870" xr:uid="{12776C71-6288-4827-B990-EAA872ACD508}"/>
    <cellStyle name="Accent2 12" xfId="871" xr:uid="{E4481E6F-A31A-49EC-9D54-BF8BB97CE5BE}"/>
    <cellStyle name="Accent2 13" xfId="872" xr:uid="{52476459-6431-474D-9B0A-57A9C5646B3E}"/>
    <cellStyle name="Accent2 14" xfId="873" xr:uid="{5765C4D9-9FC0-4520-B5EB-CF52AA3A6223}"/>
    <cellStyle name="Accent2 15" xfId="874" xr:uid="{662F5102-0A70-4FCD-86B9-54B84511A023}"/>
    <cellStyle name="Accent2 16" xfId="875" xr:uid="{FC0F9682-E79F-4D76-8D14-A644CCE2CEC3}"/>
    <cellStyle name="Accent2 17" xfId="876" xr:uid="{CE9A2229-0787-4CFF-A66F-395E75DF2F51}"/>
    <cellStyle name="Accent2 18" xfId="865" xr:uid="{A87A3E14-34A5-4107-9A1B-8B9B7E283B15}"/>
    <cellStyle name="Accent2 19" xfId="2771" xr:uid="{5188500F-B09C-4708-8A28-46C125B8614F}"/>
    <cellStyle name="Accent2 2" xfId="877" xr:uid="{57CED72B-6A99-4AFF-95EC-4E0D0EF1AD78}"/>
    <cellStyle name="Accent2 2 2" xfId="878" xr:uid="{8CC5B445-5226-4912-89BE-79886F0D6227}"/>
    <cellStyle name="Accent2 2_vol-contrib" xfId="879" xr:uid="{37AC6215-A128-46F0-A554-D6A29FAB0E2C}"/>
    <cellStyle name="Accent2 20" xfId="2857" xr:uid="{009A788A-13BE-445C-AB21-5603487CFD15}"/>
    <cellStyle name="Accent2 21" xfId="2770" xr:uid="{9A7CB1A4-FE1B-4DD0-A7A4-765E021FB6F8}"/>
    <cellStyle name="Accent2 3" xfId="880" xr:uid="{65D0C3FA-20E5-4D95-B7F9-0DF5DDB02ACF}"/>
    <cellStyle name="Accent2 3 2" xfId="881" xr:uid="{6F6C4615-ECAE-48AC-B6D5-432AD62A47E6}"/>
    <cellStyle name="Accent2 3 3" xfId="882" xr:uid="{610EC314-C05C-4F25-90FC-74F6207833B9}"/>
    <cellStyle name="Accent2 3 4" xfId="883" xr:uid="{F9FAC6C4-2227-4427-AB46-444D9941DA08}"/>
    <cellStyle name="Accent2 4" xfId="884" xr:uid="{BA852FAB-0054-4F57-A1E2-3A9FFBC630FE}"/>
    <cellStyle name="Accent2 4 2" xfId="885" xr:uid="{5383D9B1-0337-4966-B738-2A99539113C7}"/>
    <cellStyle name="Accent2 4 3" xfId="886" xr:uid="{FFB9174F-8F91-456F-8E5C-BD93CDAB1568}"/>
    <cellStyle name="Accent2 4_vol-contrib" xfId="887" xr:uid="{E7F99915-C7BC-418D-8A26-5D054D4D7A13}"/>
    <cellStyle name="Accent2 5" xfId="888" xr:uid="{325C7BD9-FDD3-48DB-8FFF-AAE1CB8C346A}"/>
    <cellStyle name="Accent2 6" xfId="889" xr:uid="{5127E5B7-B2A8-46AD-911D-F07F7ED19EE8}"/>
    <cellStyle name="Accent2 7" xfId="890" xr:uid="{D2E50213-5AEB-4B8E-BA2F-E8C4720CD30D}"/>
    <cellStyle name="Accent2 8" xfId="891" xr:uid="{E2A2C51F-3C96-4397-902A-DF7D5A4AE3E7}"/>
    <cellStyle name="Accent2 9" xfId="892" xr:uid="{35484205-61A5-48BD-B039-24260B97EF99}"/>
    <cellStyle name="Accent3 - 20%" xfId="894" xr:uid="{CFA0CE1E-53B8-4C3C-BAA6-032C312DFBA1}"/>
    <cellStyle name="Accent3 - 40%" xfId="895" xr:uid="{1E1EDC14-F305-4D56-A23B-115877FA6BE0}"/>
    <cellStyle name="Accent3 - 60%" xfId="896" xr:uid="{71FA196F-3F0A-4F23-A724-3BF9158260BE}"/>
    <cellStyle name="Accent3 10" xfId="897" xr:uid="{65181E1D-4C07-41FA-9926-A6FFD6034950}"/>
    <cellStyle name="Accent3 11" xfId="898" xr:uid="{057D43E1-89D9-4D87-8505-FF145CE3D4D2}"/>
    <cellStyle name="Accent3 12" xfId="899" xr:uid="{EC33785B-9EBC-48B8-84F0-7F1298D733C2}"/>
    <cellStyle name="Accent3 13" xfId="900" xr:uid="{27674883-DBD2-46AD-ADD7-74B1F381C528}"/>
    <cellStyle name="Accent3 14" xfId="901" xr:uid="{701392BA-D7D8-4B0C-B9C1-93E39DEB5499}"/>
    <cellStyle name="Accent3 15" xfId="902" xr:uid="{25947EC3-81EB-4FEE-9429-05031A409A07}"/>
    <cellStyle name="Accent3 16" xfId="903" xr:uid="{4D06D3D8-19FE-43CA-91E0-22A961890552}"/>
    <cellStyle name="Accent3 17" xfId="904" xr:uid="{56EEAECC-CF6A-4011-9223-7961048DC42A}"/>
    <cellStyle name="Accent3 18" xfId="893" xr:uid="{A1EC71EF-0495-427F-AFE3-951AE63EAE42}"/>
    <cellStyle name="Accent3 19" xfId="2773" xr:uid="{44522B38-224E-48EA-AEF5-E4FAB199874D}"/>
    <cellStyle name="Accent3 2" xfId="905" xr:uid="{FB82F9F2-2E5F-4C8D-889E-09DDD4E14613}"/>
    <cellStyle name="Accent3 2 2" xfId="906" xr:uid="{1907C3DA-3F19-4AE3-A023-3FA6CA279046}"/>
    <cellStyle name="Accent3 2_vol-contrib" xfId="907" xr:uid="{338E540B-1AA0-444F-96AE-FEFCEA1E1415}"/>
    <cellStyle name="Accent3 20" xfId="2856" xr:uid="{C361B203-37B7-4735-BE29-6F87DE1F6D2F}"/>
    <cellStyle name="Accent3 21" xfId="2765" xr:uid="{C01FAFF6-332D-4E12-80DF-06E020BE0CC5}"/>
    <cellStyle name="Accent3 3" xfId="908" xr:uid="{87DF5D5D-1C1B-4841-8F80-CCB89F2CEFCD}"/>
    <cellStyle name="Accent3 3 2" xfId="909" xr:uid="{ECC8CBC8-5D0A-4C01-9998-968B21490174}"/>
    <cellStyle name="Accent3 3 3" xfId="910" xr:uid="{1F2968FC-9800-4B4D-8C2E-A33286FB712C}"/>
    <cellStyle name="Accent3 3 4" xfId="911" xr:uid="{C0D2DD62-A0C8-4124-94C2-55EE0439523A}"/>
    <cellStyle name="Accent3 4" xfId="912" xr:uid="{5183631F-3CAC-497A-93F4-1A668369EADE}"/>
    <cellStyle name="Accent3 4 2" xfId="913" xr:uid="{3C9451E3-FB4F-4B7A-A69D-5A3E828FF677}"/>
    <cellStyle name="Accent3 4 3" xfId="914" xr:uid="{32A8C39A-604E-4B6D-829E-BAB030A1290D}"/>
    <cellStyle name="Accent3 4_vol-contrib" xfId="915" xr:uid="{BB7EC96C-41B7-44B5-8FA5-96563ABAF5CB}"/>
    <cellStyle name="Accent3 5" xfId="916" xr:uid="{E3D233FA-4BB8-40B2-8131-4A77528651AA}"/>
    <cellStyle name="Accent3 6" xfId="917" xr:uid="{A7EAD0EA-E4E2-4114-9E4D-03A5106C5C2A}"/>
    <cellStyle name="Accent3 7" xfId="918" xr:uid="{B901F0CF-74A4-4C4B-A0BB-9BA16D30A787}"/>
    <cellStyle name="Accent3 8" xfId="919" xr:uid="{C83AB575-B52C-4A05-B559-F2136EDEF7C2}"/>
    <cellStyle name="Accent3 9" xfId="920" xr:uid="{36441297-8A50-4BB9-B2C3-4ECEFE43356C}"/>
    <cellStyle name="Accent4 - 20%" xfId="922" xr:uid="{D37D0067-4C56-47BB-874A-F4B5D2478FEC}"/>
    <cellStyle name="Accent4 - 40%" xfId="923" xr:uid="{FD02E573-9C42-4153-B3C2-1D0240D897D0}"/>
    <cellStyle name="Accent4 - 60%" xfId="924" xr:uid="{5318D314-365A-4F42-83BA-7742B907E386}"/>
    <cellStyle name="Accent4 10" xfId="925" xr:uid="{9364CC62-8308-441D-B45F-6D19010BBB5D}"/>
    <cellStyle name="Accent4 11" xfId="926" xr:uid="{AFB7E117-B723-4493-A3EA-670106460828}"/>
    <cellStyle name="Accent4 12" xfId="927" xr:uid="{9C8347BC-FBDF-430E-8BF7-E9EBB1A5F166}"/>
    <cellStyle name="Accent4 13" xfId="928" xr:uid="{07798233-EFCB-4ECB-90C2-281992E2D59E}"/>
    <cellStyle name="Accent4 14" xfId="929" xr:uid="{E5A9EED7-C389-4CB3-86B0-08C0DA9FE9C9}"/>
    <cellStyle name="Accent4 15" xfId="930" xr:uid="{4E80DAD8-FB2F-437D-A747-085F2E5D260F}"/>
    <cellStyle name="Accent4 16" xfId="931" xr:uid="{CA8B957F-0484-4D04-B6B4-4F919C13D654}"/>
    <cellStyle name="Accent4 17" xfId="932" xr:uid="{E35E3F39-62F8-4B0A-B271-A9706A7FE26A}"/>
    <cellStyle name="Accent4 18" xfId="921" xr:uid="{B308060C-C631-443B-9664-F1EA86A94A28}"/>
    <cellStyle name="Accent4 19" xfId="2775" xr:uid="{456A4EBD-170A-4082-B69F-2749DDA35EE1}"/>
    <cellStyle name="Accent4 2" xfId="933" xr:uid="{E12294E6-CD89-436B-9E9D-C5CD119AF0FE}"/>
    <cellStyle name="Accent4 2 2" xfId="934" xr:uid="{891EE4E1-4CCA-43BF-A3EF-93929C439F0E}"/>
    <cellStyle name="Accent4 2_vol-contrib" xfId="935" xr:uid="{BC041DCA-70F0-48D2-A187-DD17F185A6D1}"/>
    <cellStyle name="Accent4 20" xfId="2855" xr:uid="{9AE85135-2835-4475-A611-DB4ABAC9EA3D}"/>
    <cellStyle name="Accent4 21" xfId="2772" xr:uid="{AD3D8DDE-79F3-485B-9C19-A4A69A071700}"/>
    <cellStyle name="Accent4 3" xfId="936" xr:uid="{8408DBC9-3FBB-4C12-A632-029F7B24F0CC}"/>
    <cellStyle name="Accent4 3 2" xfId="937" xr:uid="{812F68ED-6DFF-4584-BE35-71C3648CA344}"/>
    <cellStyle name="Accent4 3 3" xfId="938" xr:uid="{8364DFD3-6846-46F6-A680-5BB1EE1F3D21}"/>
    <cellStyle name="Accent4 3 4" xfId="939" xr:uid="{9C44721D-1FCD-4802-B5AD-BA45FBE70189}"/>
    <cellStyle name="Accent4 4" xfId="940" xr:uid="{ACF07DD3-400E-43AC-ACEC-8EA596C2093F}"/>
    <cellStyle name="Accent4 4 2" xfId="941" xr:uid="{E5D9B5E3-A4DF-4CDF-98DF-3D85D759D280}"/>
    <cellStyle name="Accent4 4 3" xfId="942" xr:uid="{4E5CC7AC-A8A5-417E-B4D2-9FA33D5E8044}"/>
    <cellStyle name="Accent4 4_vol-contrib" xfId="943" xr:uid="{82DB8148-2BCA-4CA3-B5A1-4525C8C3C5A8}"/>
    <cellStyle name="Accent4 5" xfId="944" xr:uid="{016B8A76-09F6-43A8-BF37-67017A800D4D}"/>
    <cellStyle name="Accent4 6" xfId="945" xr:uid="{67366017-BD0C-4D19-9FDD-C0F5454A03D8}"/>
    <cellStyle name="Accent4 7" xfId="946" xr:uid="{8CA23CD7-4EEC-4779-837D-A8EFC04C6B8A}"/>
    <cellStyle name="Accent4 8" xfId="947" xr:uid="{1D3BEA11-029B-4E15-B9D0-5EF421F08B60}"/>
    <cellStyle name="Accent4 9" xfId="948" xr:uid="{241CC8AF-BD99-485F-91F0-253F99648727}"/>
    <cellStyle name="Accent5 - 20%" xfId="950" xr:uid="{B177F4F8-76BB-4F47-B7BB-5C596C999DEF}"/>
    <cellStyle name="Accent5 - 40%" xfId="951" xr:uid="{4C45416B-E2B4-45AA-965D-B230C4927653}"/>
    <cellStyle name="Accent5 - 60%" xfId="952" xr:uid="{66E0E540-098F-4B11-B61C-B93A832A2D25}"/>
    <cellStyle name="Accent5 10" xfId="953" xr:uid="{93AF7842-4840-4632-A69F-F00F4A7118F4}"/>
    <cellStyle name="Accent5 11" xfId="954" xr:uid="{DE84933F-BC36-4A12-861E-F919E97A6E82}"/>
    <cellStyle name="Accent5 12" xfId="955" xr:uid="{F3DF8D07-8362-4A2E-816A-6F067B21D1D5}"/>
    <cellStyle name="Accent5 13" xfId="956" xr:uid="{ABC22563-C6A6-42BE-86C1-6E66354334A9}"/>
    <cellStyle name="Accent5 14" xfId="957" xr:uid="{7B2819A5-931D-43E3-8E14-BABBCF5F777B}"/>
    <cellStyle name="Accent5 15" xfId="958" xr:uid="{ADD56B7F-0693-4C43-AA62-25A0847672C4}"/>
    <cellStyle name="Accent5 16" xfId="959" xr:uid="{25C72D60-CF6B-4849-A8F5-3924D4F96D1D}"/>
    <cellStyle name="Accent5 17" xfId="960" xr:uid="{4CF227DD-E298-467F-A91B-76A40405DAA5}"/>
    <cellStyle name="Accent5 18" xfId="949" xr:uid="{DD3CA78A-82A9-43EF-A7FB-FBDD261AD4A7}"/>
    <cellStyle name="Accent5 19" xfId="2777" xr:uid="{E3F75B4A-1DFD-4052-8220-7C9B4086E515}"/>
    <cellStyle name="Accent5 2" xfId="961" xr:uid="{DBC52697-AA4D-4A08-9AF7-1E0B494C4ECC}"/>
    <cellStyle name="Accent5 2 2" xfId="962" xr:uid="{2E27A4CE-F02A-4E82-B3EB-91890D64E723}"/>
    <cellStyle name="Accent5 2_vol-contrib" xfId="963" xr:uid="{68D7D578-0669-4B4A-B860-A02E90049523}"/>
    <cellStyle name="Accent5 20" xfId="2854" xr:uid="{29C9EC4C-C5DB-4E6C-A7F4-0CBA899E006F}"/>
    <cellStyle name="Accent5 21" xfId="2774" xr:uid="{B14EB6CE-1655-4921-A2B4-1484E501176A}"/>
    <cellStyle name="Accent5 3" xfId="964" xr:uid="{BAC00DDB-A112-48A6-A430-C27FA11267D3}"/>
    <cellStyle name="Accent5 3 2" xfId="965" xr:uid="{4197350C-C529-4AA0-9077-C616A31A4270}"/>
    <cellStyle name="Accent5 3 3" xfId="966" xr:uid="{BFE45894-E64E-4EEC-8C3C-D720BF1FA517}"/>
    <cellStyle name="Accent5 3 4" xfId="967" xr:uid="{53D1D54F-1C10-457E-9D33-8DFF83F58F09}"/>
    <cellStyle name="Accent5 4" xfId="968" xr:uid="{CB0A6157-0159-420E-8AD7-86C8263D2BFA}"/>
    <cellStyle name="Accent5 4 2" xfId="969" xr:uid="{431877AB-7162-4D17-B3A8-0C0281CF8603}"/>
    <cellStyle name="Accent5 4 3" xfId="970" xr:uid="{F7CF1E77-1D52-4B6E-AE0D-0400826E0EDF}"/>
    <cellStyle name="Accent5 4_vol-contrib" xfId="971" xr:uid="{C0E49D81-F3EE-41E0-99CB-8C1CC3BA6835}"/>
    <cellStyle name="Accent5 5" xfId="972" xr:uid="{CD6F11D8-FAB7-4545-BE34-6A57EA084022}"/>
    <cellStyle name="Accent5 6" xfId="973" xr:uid="{2426BD20-6BE3-4A42-ADEC-4C5B3C4F5C88}"/>
    <cellStyle name="Accent5 7" xfId="974" xr:uid="{9C3CEB8B-DCB7-4469-8B3C-5FE099F8F134}"/>
    <cellStyle name="Accent5 8" xfId="975" xr:uid="{5295C511-9F68-4BF0-B8D1-D06DBED19127}"/>
    <cellStyle name="Accent5 9" xfId="976" xr:uid="{22B6C967-47A4-4548-B632-6AEF22970262}"/>
    <cellStyle name="Accent6 - 20%" xfId="978" xr:uid="{E1A59C83-DC41-44C6-90BF-369459C9AA0D}"/>
    <cellStyle name="Accent6 - 40%" xfId="979" xr:uid="{B703F977-6F95-4D90-8EB8-6C07EE2FCF78}"/>
    <cellStyle name="Accent6 - 60%" xfId="980" xr:uid="{800CAE7F-DC7D-49BC-882F-B3BE07BE542A}"/>
    <cellStyle name="Accent6 10" xfId="981" xr:uid="{FD46B6E2-DCF6-452D-9083-D90D16CE28AA}"/>
    <cellStyle name="Accent6 11" xfId="982" xr:uid="{4CA5FF16-540F-48DC-9AB6-D710F2FC18F5}"/>
    <cellStyle name="Accent6 12" xfId="983" xr:uid="{13F1E5B3-E2B3-4D3B-A854-968AFFD84141}"/>
    <cellStyle name="Accent6 13" xfId="984" xr:uid="{237B9B5B-74AB-43A9-AD4D-BAE4968CED44}"/>
    <cellStyle name="Accent6 14" xfId="985" xr:uid="{AE0F5A05-A461-4968-8ABD-AED521280645}"/>
    <cellStyle name="Accent6 15" xfId="986" xr:uid="{6127DF5F-F98C-4EFE-B83A-0068F7027C5C}"/>
    <cellStyle name="Accent6 16" xfId="987" xr:uid="{CAE5482F-31E7-4661-98A7-14263668EB33}"/>
    <cellStyle name="Accent6 17" xfId="988" xr:uid="{B50FFB20-6E05-4F25-B601-4C8E09D15EC5}"/>
    <cellStyle name="Accent6 18" xfId="977" xr:uid="{BF88389D-9717-429F-8596-FFD34A9390A4}"/>
    <cellStyle name="Accent6 19" xfId="2778" xr:uid="{4940BDD2-3802-4D85-BD70-DF924F027BA0}"/>
    <cellStyle name="Accent6 2" xfId="989" xr:uid="{648B762C-4D02-4884-B733-EE56B338D2DA}"/>
    <cellStyle name="Accent6 2 2" xfId="990" xr:uid="{7A6A6B26-4C86-4D30-AF49-010C576AF311}"/>
    <cellStyle name="Accent6 2_vol-contrib" xfId="991" xr:uid="{89ECF38D-128C-4A81-B5F5-08169E100CF7}"/>
    <cellStyle name="Accent6 20" xfId="2853" xr:uid="{0A9349BF-2283-497E-89B9-075803E91E09}"/>
    <cellStyle name="Accent6 21" xfId="2776" xr:uid="{81693C37-B499-4BCF-899F-F73155360F55}"/>
    <cellStyle name="Accent6 3" xfId="992" xr:uid="{BCA68FFC-A548-491F-9E65-4EF0DEC10881}"/>
    <cellStyle name="Accent6 3 2" xfId="993" xr:uid="{21A1C20C-10E6-41C3-AFF6-5166F5C7865B}"/>
    <cellStyle name="Accent6 3 3" xfId="994" xr:uid="{EE7D6859-A2DE-4708-9C0D-915B00BF1009}"/>
    <cellStyle name="Accent6 3 4" xfId="995" xr:uid="{845F1A2C-B0F1-4675-8B14-2580F2649B08}"/>
    <cellStyle name="Accent6 4" xfId="996" xr:uid="{638217C5-C40F-445B-B644-C01049902FAF}"/>
    <cellStyle name="Accent6 4 2" xfId="997" xr:uid="{E8498D7D-39A8-4A66-B903-CF8A6C410E6E}"/>
    <cellStyle name="Accent6 4 3" xfId="998" xr:uid="{7C3B75B7-AD1D-433C-9744-9FCBB2F99868}"/>
    <cellStyle name="Accent6 4_vol-contrib" xfId="999" xr:uid="{F705E9B6-0D79-41D1-B396-C878F4A97A15}"/>
    <cellStyle name="Accent6 5" xfId="1000" xr:uid="{86F9C215-0B44-409D-A12C-FF3731B0AA3C}"/>
    <cellStyle name="Accent6 6" xfId="1001" xr:uid="{983228EC-6BC7-466E-B4EF-E9E5A4BCD904}"/>
    <cellStyle name="Accent6 7" xfId="1002" xr:uid="{A5CB9B4A-D6B4-48D6-B5A5-AE327C00132E}"/>
    <cellStyle name="Accent6 8" xfId="1003" xr:uid="{4961A7F7-879A-463B-9B0F-E32587AA1CA9}"/>
    <cellStyle name="Accent6 9" xfId="1004" xr:uid="{A027D170-6D00-4D6A-9781-CD20412B2E01}"/>
    <cellStyle name="AeE­ [0]_INQUIRY ¿μ¾÷AßAø " xfId="1005" xr:uid="{8E0A2FD0-5F32-4983-82F9-F265A78F916D}"/>
    <cellStyle name="AeE­_INQUIRY ¿μ¾÷AßAø " xfId="1006" xr:uid="{779E35E2-D076-408D-94AF-927FEB7053D6}"/>
    <cellStyle name="AeE¡ⓒ [0]_laroux" xfId="1007" xr:uid="{9B1B4324-F1F3-47DC-AE21-9711DF2ED470}"/>
    <cellStyle name="AeE¡ⓒ_laroux" xfId="1008" xr:uid="{9DB8872B-14B8-4C3E-9A35-99A25FCC5311}"/>
    <cellStyle name="args.style" xfId="1009" xr:uid="{2EAA6981-42B0-4BB3-A948-D98121C0C7C4}"/>
    <cellStyle name="args.style 2" xfId="1010" xr:uid="{2448C23E-D945-4360-8752-C109F707E869}"/>
    <cellStyle name="args.style 2 2" xfId="1011" xr:uid="{B36FD8F3-B031-4B75-B209-4F3BCA619E42}"/>
    <cellStyle name="args.style_Aenne Rickmers" xfId="1012" xr:uid="{5AD0A211-EDB1-46AB-9DA1-D217B167D83C}"/>
    <cellStyle name="ÄÞ¸¶ [0]_94½ÇÀû (2)" xfId="1013" xr:uid="{DADD2BDA-4728-482E-9BD6-557787443C3E}"/>
    <cellStyle name="AÞ¸¶ [0]_INQUIRY ¿?¾÷AßAø " xfId="1014" xr:uid="{CF128994-A92B-440C-951F-BE54C272DE12}"/>
    <cellStyle name="ÄÞ¸¶_94½ÇÀû (2)" xfId="1015" xr:uid="{294BEA10-6D68-404C-AD1F-F3344533DC18}"/>
    <cellStyle name="AÞ¸¶_INQUIRY ¿?¾÷AßAø " xfId="1016" xr:uid="{29A2F718-5DF5-4D31-85D1-D2CE99B3DB13}"/>
    <cellStyle name="Avertissement 2" xfId="1017" xr:uid="{EDFCFD40-436F-482E-95E6-2CABB527A7BC}"/>
    <cellStyle name="Bad 2" xfId="1019" xr:uid="{0FD2D688-8853-4A66-8CA0-4F717DA67667}"/>
    <cellStyle name="Bad 3" xfId="1020" xr:uid="{57F3F1B9-E51A-4A56-B0D0-A358927D0AD6}"/>
    <cellStyle name="Bad 4" xfId="1021" xr:uid="{FFDCE9CE-C8FD-4E25-AD1D-8A048A6679EF}"/>
    <cellStyle name="Bad 5" xfId="1018" xr:uid="{DF50BCA8-2092-4884-BA69-79F04B70C47A}"/>
    <cellStyle name="Besuchter Hyperlink_emc_cosco_khl volumes" xfId="1022" xr:uid="{47058DE8-A30D-41EC-856C-8D2E1E6DCCCF}"/>
    <cellStyle name="BLE2" xfId="1023" xr:uid="{25651048-7052-452C-B7F8-213F9DD10A83}"/>
    <cellStyle name="BLEBLE" xfId="1024" xr:uid="{C956EA1B-E6DD-4F8B-9173-4055F0DB26D5}"/>
    <cellStyle name="Border" xfId="1025" xr:uid="{FD7CA510-265E-4B07-927D-3522763D40B8}"/>
    <cellStyle name="Border 2" xfId="1026" xr:uid="{62921A26-E2C3-4E85-ABD2-2C004DF1682F}"/>
    <cellStyle name="Border 2 2" xfId="1027" xr:uid="{06A1ECE2-BCCD-4CC3-8CA7-75E91DCA87DE}"/>
    <cellStyle name="Border 2 2 2" xfId="1028" xr:uid="{C3652E97-8F2E-4A0A-B216-21B3928C639A}"/>
    <cellStyle name="Border 2 2 2 2" xfId="2782" xr:uid="{DD920E09-1217-470E-9EE7-C060D374E46D}"/>
    <cellStyle name="Border 2 2 3" xfId="2781" xr:uid="{7E7554EC-873D-4635-B29C-C1DBD3D32A85}"/>
    <cellStyle name="Border 2 3" xfId="2780" xr:uid="{2D92D2B0-54E4-4BD8-BA39-9049AB274513}"/>
    <cellStyle name="Border 3" xfId="1029" xr:uid="{9A04DFCE-DD6A-4C98-B6E4-7C24D135C304}"/>
    <cellStyle name="Border 3 2" xfId="1030" xr:uid="{22287E63-3E09-40AC-AB41-58B1DB4BFD03}"/>
    <cellStyle name="Border 3 2 2" xfId="1031" xr:uid="{30744520-BBE7-4025-A28E-216CB7173A2A}"/>
    <cellStyle name="Border 3 2 2 2" xfId="2785" xr:uid="{9CAAF70A-D537-408F-84B3-4944C7B04D2E}"/>
    <cellStyle name="Border 3 2 3" xfId="2784" xr:uid="{4042A556-5083-4D80-8DD4-2B7861418EB5}"/>
    <cellStyle name="Border 3 3" xfId="2783" xr:uid="{344F84F4-7282-4101-9559-C47D8862CE43}"/>
    <cellStyle name="Border 4" xfId="1032" xr:uid="{42055E74-D48A-4ABF-A0DC-89DA8FA805F0}"/>
    <cellStyle name="Border 4 2" xfId="1033" xr:uid="{4DC426C2-43CD-4945-94F7-1216A843AED4}"/>
    <cellStyle name="Border 4 2 2" xfId="1034" xr:uid="{64B3DD06-C63A-47E1-AE13-A6535AEB1313}"/>
    <cellStyle name="Border 4 2 2 2" xfId="2788" xr:uid="{DF2BA10B-146F-4473-B28D-5106F0501F8E}"/>
    <cellStyle name="Border 4 2 3" xfId="2787" xr:uid="{C1743FDD-7862-46FC-AA21-0A0290B4C572}"/>
    <cellStyle name="Border 4 3" xfId="2786" xr:uid="{11981BA1-52F0-457F-9650-59A402600EC2}"/>
    <cellStyle name="Border 5" xfId="1035" xr:uid="{40A19F67-099D-4FF9-A53B-0A1EE05CF4E0}"/>
    <cellStyle name="Border 5 2" xfId="1036" xr:uid="{1F1E1858-3D01-4581-87F1-167DE27B71E1}"/>
    <cellStyle name="Border 5 2 2" xfId="2790" xr:uid="{A7739CF3-DB3A-4D74-9F67-DE41725AA8AE}"/>
    <cellStyle name="Border 5 3" xfId="2789" xr:uid="{68946C0D-31F1-45C2-9DDA-031D78E3BAA4}"/>
    <cellStyle name="Border 6" xfId="1037" xr:uid="{43C36DE2-8D63-4E53-8A63-2F89228986DE}"/>
    <cellStyle name="Border 6 2" xfId="2791" xr:uid="{24869AB5-4E7D-415B-9221-788CF07182E6}"/>
    <cellStyle name="Border 7" xfId="2779" xr:uid="{EBB3C8CC-8DC4-46F0-A531-5D8E33F338E2}"/>
    <cellStyle name="Buena" xfId="1038" xr:uid="{395FFEF2-6D98-478C-A08B-D93AC404E514}"/>
    <cellStyle name="C?AØ_¿?¾÷CoE² " xfId="1039" xr:uid="{F7EAD584-CC49-4DBA-9B66-C4C9E9ED2ADF}"/>
    <cellStyle name="C¡IA¨ª_laroux" xfId="1040" xr:uid="{370FDC0D-8779-49B8-AC8B-6D1409AD035E}"/>
    <cellStyle name="C￥AØ_¿μ¾÷CoE² " xfId="1041" xr:uid="{C40FA30E-EE76-42F4-AE4B-F70DCD20999E}"/>
    <cellStyle name="Ç¥ÁØ_AMA-84D" xfId="1042" xr:uid="{FF38E454-CFD6-428B-884F-E6B5160D8B58}"/>
    <cellStyle name="Cabeçalho 1" xfId="1043" xr:uid="{FCEB421B-2599-46D8-AA29-DDE8BD375916}"/>
    <cellStyle name="Cabeçalho 2" xfId="1044" xr:uid="{708ABEC6-7624-40B9-98C1-221AA3780505}"/>
    <cellStyle name="Cabeçalho 3" xfId="1045" xr:uid="{0ABDA419-E3E1-4FAE-A74D-BAF263C9FD6E}"/>
    <cellStyle name="Cabeçalho 4" xfId="1046" xr:uid="{9FBE4BD0-661A-4A94-AD8E-01AA374AB846}"/>
    <cellStyle name="Calc Currency (0)" xfId="1047" xr:uid="{62F7966E-D3FE-4F33-8F01-72F366D771E6}"/>
    <cellStyle name="Calc Currency (0) 2" xfId="1048" xr:uid="{4FC27E93-E618-4DE8-B20D-1547C3ED1E6D}"/>
    <cellStyle name="Calc Currency (0) 2 2" xfId="1049" xr:uid="{2D9E1EB5-B2E5-4590-A018-DDDD9A1CFD0B}"/>
    <cellStyle name="Calc Currency (0) 2 2 2" xfId="1050" xr:uid="{5008546E-BE1F-4525-86A9-AC08DDC2B73F}"/>
    <cellStyle name="Calc Currency (0) 2 3" xfId="1051" xr:uid="{30BDBA11-885A-4B90-88B2-7DAB0653D7F3}"/>
    <cellStyle name="Calc Currency (0) 2 3 2" xfId="1052" xr:uid="{EE82A705-3B68-47F6-A6A6-0C9AD528D502}"/>
    <cellStyle name="Calc Currency (0) 2 4" xfId="1053" xr:uid="{E4222597-24FC-4797-AA92-281085B8B67D}"/>
    <cellStyle name="Calc Currency (0) 2 4 2" xfId="1054" xr:uid="{C4E64FA4-67E1-4EEA-986A-B4216C691033}"/>
    <cellStyle name="Calc Currency (0) 2 5" xfId="1055" xr:uid="{95094A7B-4B98-4119-A332-D7AF50F91873}"/>
    <cellStyle name="Calc Currency (0) 3" xfId="1056" xr:uid="{D9908235-8FAC-4620-829E-74D27A6B9A86}"/>
    <cellStyle name="Calc Currency (0) 3 2" xfId="1057" xr:uid="{1F342F20-4FF1-41AC-8C61-A2E3122FF45C}"/>
    <cellStyle name="Calc Currency (0) 4" xfId="1058" xr:uid="{9192EFB7-823C-4751-AF00-A83BB280DBA1}"/>
    <cellStyle name="Calc Currency (0) 4 2" xfId="1059" xr:uid="{0B7EC81C-3EA1-4B85-A92F-EDA8272AA76C}"/>
    <cellStyle name="Calc Currency (0) 5" xfId="1060" xr:uid="{55CD1403-2534-444C-BAF2-69B74ACCB877}"/>
    <cellStyle name="Calc Currency (0) 5 2" xfId="1061" xr:uid="{95A53FC4-EAC3-431F-99CC-488C0352BAF5}"/>
    <cellStyle name="Calc Currency (0) 6" xfId="1062" xr:uid="{5747B0C9-AD75-492F-B039-E17F1C928771}"/>
    <cellStyle name="Calc Currency (0) 6 2" xfId="1063" xr:uid="{7F998B80-1207-467C-83F6-99CFE4194027}"/>
    <cellStyle name="Calc Currency (0) 7" xfId="1064" xr:uid="{1D87A272-7F85-4105-AC12-048F2E6975A6}"/>
    <cellStyle name="Calc Currency (0)_FRONT PAGE secteur US 201108" xfId="1065" xr:uid="{C5296A75-1AD1-4CD3-9AD4-6565721FA0A8}"/>
    <cellStyle name="Calc Currency (2)" xfId="1066" xr:uid="{D4DFAC96-1624-480B-9B26-DC8A5A653069}"/>
    <cellStyle name="Calc Percent (0)" xfId="1067" xr:uid="{F8584136-0BEF-44EE-81FF-D93919AC94FD}"/>
    <cellStyle name="Calc Percent (0) 2" xfId="1068" xr:uid="{504FF8D4-C677-439E-BA97-FC450C10CD6D}"/>
    <cellStyle name="Calc Percent (0) 2 2" xfId="1069" xr:uid="{1E00F49E-54DB-4242-AE26-5AF36D1B334D}"/>
    <cellStyle name="Calc Percent (0) 2 3" xfId="1070" xr:uid="{DB8CE1F9-6209-4446-BECC-D30B1C23D403}"/>
    <cellStyle name="Calc Percent (0) 2 4" xfId="1071" xr:uid="{B57C786F-DA06-4C68-A341-087EC856F8C2}"/>
    <cellStyle name="Calc Percent (0) 3" xfId="1072" xr:uid="{D442478F-664A-4EB7-9F52-C439B4775ACE}"/>
    <cellStyle name="Calc Percent (0)_Aenne Rickmers" xfId="1073" xr:uid="{27E99263-E282-492B-9484-615B89219A6F}"/>
    <cellStyle name="Calc Percent (1)" xfId="1074" xr:uid="{D4B43982-73D0-44AD-879D-B1B188DE9CAC}"/>
    <cellStyle name="Calc Percent (1) 2" xfId="1075" xr:uid="{11ABFB1C-A2DB-42A8-97D9-5EAEAB95EB74}"/>
    <cellStyle name="Calc Percent (1) 2 2" xfId="1076" xr:uid="{7B564983-1370-47D3-8375-6D22279C590A}"/>
    <cellStyle name="Calc Percent (1) 2 3" xfId="1077" xr:uid="{D81EEADF-481F-47C4-A923-9B76D19A0A38}"/>
    <cellStyle name="Calc Percent (1) 2 4" xfId="1078" xr:uid="{9C893098-A261-4E35-A8DC-BD2E8A6D395C}"/>
    <cellStyle name="Calc Percent (1) 3" xfId="1079" xr:uid="{AF9EC808-67DA-4E49-B265-E6884EB99F2F}"/>
    <cellStyle name="Calc Percent (1)_Aenne Rickmers" xfId="1080" xr:uid="{44C420D3-835E-4319-B9CC-EFF0DA09B96C}"/>
    <cellStyle name="Calc Percent (2)" xfId="1081" xr:uid="{A9B8874B-9929-4354-B1F1-0B522E015337}"/>
    <cellStyle name="Calc Percent (2) 2" xfId="1082" xr:uid="{0F7DDCE2-CE11-49E7-94C2-8CB7C8799D0B}"/>
    <cellStyle name="Calc Percent (2) 2 2" xfId="1083" xr:uid="{5D44EFC5-FBCC-4C66-BBE4-4FD8255C05A0}"/>
    <cellStyle name="Calc Percent (2) 2 2 2" xfId="1084" xr:uid="{3E3E0027-23DA-489D-9382-534D9703648E}"/>
    <cellStyle name="Calc Percent (2) 2 3" xfId="1085" xr:uid="{D58CB788-9A0E-4E40-93AC-CD38935175D2}"/>
    <cellStyle name="Calc Percent (2) 2 3 2" xfId="1086" xr:uid="{A7B76330-D365-4942-856E-7AD61F16B7B9}"/>
    <cellStyle name="Calc Percent (2) 2 4" xfId="1087" xr:uid="{4D240D2B-8F48-4F0A-8F0D-CF8A2EA9E301}"/>
    <cellStyle name="Calc Percent (2) 2 4 2" xfId="1088" xr:uid="{F5AEDD8F-AA6A-459F-A32F-B0A63F240B6D}"/>
    <cellStyle name="Calc Percent (2) 2 5" xfId="1089" xr:uid="{6EEE8437-D2D4-4C26-8AE3-9940EB8DCEE9}"/>
    <cellStyle name="Calc Percent (2) 3" xfId="1090" xr:uid="{039F3676-313A-4B57-8A1D-A6579809570A}"/>
    <cellStyle name="Calc Percent (2) 3 2" xfId="1091" xr:uid="{319C2B91-9FF2-4CB3-869C-D619DD17ACBA}"/>
    <cellStyle name="Calc Percent (2) 4" xfId="1092" xr:uid="{8D7DF214-B8C4-40EA-904E-208F8B153121}"/>
    <cellStyle name="Calc Percent (2) 4 2" xfId="1093" xr:uid="{28F36163-3382-444E-87EB-920FC3EBB66A}"/>
    <cellStyle name="Calc Percent (2) 5" xfId="1094" xr:uid="{040523AA-A979-486A-9FB1-DDD70A11CB7F}"/>
    <cellStyle name="Calc Percent (2) 5 2" xfId="1095" xr:uid="{7DCDDA11-BEE3-48A9-B8E2-33A89ACD06BA}"/>
    <cellStyle name="Calc Percent (2)_vol-contrib" xfId="1096" xr:uid="{F2981FFE-D718-4F75-8C66-1A6B3E1BBDAC}"/>
    <cellStyle name="Calc Units (0)" xfId="1097" xr:uid="{AB9806C0-337B-45B5-B71A-9CD948D48E28}"/>
    <cellStyle name="Calc Units (1)" xfId="1098" xr:uid="{1F0C60B7-A2AA-4669-AB2C-2CF828EC7B19}"/>
    <cellStyle name="Calc Units (1) 2" xfId="1099" xr:uid="{278C4706-9C78-488F-9FBF-03B59937E01B}"/>
    <cellStyle name="Calc Units (1) 2 2" xfId="1100" xr:uid="{12678B9E-7069-4E59-92A0-BE62B8AD6ACB}"/>
    <cellStyle name="Calc Units (1) 2 3" xfId="1101" xr:uid="{C4C7F969-234A-4384-8651-CAE5E37AD74D}"/>
    <cellStyle name="Calc Units (1) 2 4" xfId="1102" xr:uid="{3A023421-C166-409C-A5CA-ED00BED1ADF4}"/>
    <cellStyle name="Calc Units (1) 3" xfId="1103" xr:uid="{32DC6052-9310-4155-A1DD-933A84F3A567}"/>
    <cellStyle name="Calc Units (1)_Aenne Rickmers" xfId="1104" xr:uid="{418FE89A-A567-44EE-B367-5A890488A4AA}"/>
    <cellStyle name="Calc Units (2)" xfId="1105" xr:uid="{24414822-61A6-4A83-AC66-6F02A339C602}"/>
    <cellStyle name="Calcul 2" xfId="1106" xr:uid="{AC3724E4-EF0C-432F-BA10-3E1D3E71AC55}"/>
    <cellStyle name="Calcul 2 2" xfId="1107" xr:uid="{C56A2520-EC13-4DE7-8A32-001C57E8C225}"/>
    <cellStyle name="Calcul 2 2 2" xfId="1108" xr:uid="{A1EEDB0C-120E-414E-8341-02143E89E02F}"/>
    <cellStyle name="Calcul 2 3" xfId="1109" xr:uid="{59EBB6E7-88D2-4218-8B2F-60EEB0905F19}"/>
    <cellStyle name="Calcul 2 3 2" xfId="1110" xr:uid="{829D718E-9BD6-4558-996E-44CBF54C27A6}"/>
    <cellStyle name="Calcul 2 4" xfId="1111" xr:uid="{C7DD3825-41F8-4F0E-830D-A534835E5FFA}"/>
    <cellStyle name="Calculation 10" xfId="1112" xr:uid="{9A626712-289B-4D77-B7A1-36808245C0AE}"/>
    <cellStyle name="Calculation 2" xfId="1113" xr:uid="{E274073F-F899-4B36-9E70-8CEB384BC6D7}"/>
    <cellStyle name="Calculation 2 2" xfId="1114" xr:uid="{B8CF8430-7C12-4567-8B97-72D66020CB04}"/>
    <cellStyle name="Calculation 2 2 2" xfId="1115" xr:uid="{963DE4C6-A9B2-46EF-A34F-94C7D7F42817}"/>
    <cellStyle name="Calculation 2 2 2 2" xfId="1116" xr:uid="{CA080E52-02FB-495F-8894-E12EEF9B9525}"/>
    <cellStyle name="Calculation 2 2 3" xfId="1117" xr:uid="{DDE9C16C-ED69-4CF2-B570-13A5F14D337F}"/>
    <cellStyle name="Calculation 2 2 3 2" xfId="1118" xr:uid="{E55D7740-C0F7-4CB5-A540-059879AAF838}"/>
    <cellStyle name="Calculation 2 2 4" xfId="1119" xr:uid="{017BB5A7-F541-4E5A-8F45-9290723F0079}"/>
    <cellStyle name="Calculation 2 3" xfId="1120" xr:uid="{9A6D8708-4A58-481F-9DF2-95FB064E53EA}"/>
    <cellStyle name="Calculation 2 3 2" xfId="1121" xr:uid="{1EC33519-27D1-4449-B092-7F435C924406}"/>
    <cellStyle name="Calculation 2 3 2 2" xfId="1122" xr:uid="{ADFEE59D-5873-4F2F-B080-E111AC08F626}"/>
    <cellStyle name="Calculation 2 3 3" xfId="1123" xr:uid="{9F2C8DDB-13F8-47A9-B519-5576D434302B}"/>
    <cellStyle name="Calculation 2 3 3 2" xfId="1124" xr:uid="{CB8AF515-FF1F-4B2F-9311-2B429FD946E8}"/>
    <cellStyle name="Calculation 2 3 4" xfId="1125" xr:uid="{9CFC7E0F-F7EA-4AC4-B643-F982D55B35F8}"/>
    <cellStyle name="Calculation 2 4" xfId="1126" xr:uid="{3D25525C-0A5B-43A6-82D5-ABB79A3238FA}"/>
    <cellStyle name="Calculation 2 4 2" xfId="1127" xr:uid="{964DCB90-AA88-4CC6-8CE9-EABE8810597D}"/>
    <cellStyle name="Calculation 2 5" xfId="1128" xr:uid="{621F36B1-45EB-4430-92F9-C449D3BCDB06}"/>
    <cellStyle name="Calculation 2 5 2" xfId="1129" xr:uid="{83E1795D-B108-44D6-882F-4D8266542768}"/>
    <cellStyle name="Calculation 2 6" xfId="1130" xr:uid="{45C71C02-A97D-46E5-BA84-4DD328793B96}"/>
    <cellStyle name="Calculation 3" xfId="1131" xr:uid="{280CFDAF-EEDF-4653-A3B3-E79AC7680D8E}"/>
    <cellStyle name="Calculation 3 2" xfId="1132" xr:uid="{F6CCDB00-EEED-4183-AE49-5E1EB6E766BB}"/>
    <cellStyle name="Calculation 3 2 2" xfId="1133" xr:uid="{6E5622E9-5398-4DE3-B69F-BAF1EE310222}"/>
    <cellStyle name="Calculation 3 2 2 2" xfId="1134" xr:uid="{3EA7934F-913E-4466-9546-B5C6D5FF482C}"/>
    <cellStyle name="Calculation 3 2 3" xfId="1135" xr:uid="{C93E7C6A-EE9C-4276-B012-39BFF7A4B8F6}"/>
    <cellStyle name="Calculation 3 2 3 2" xfId="1136" xr:uid="{378021B3-23C7-4850-937F-F1EFF3274DAA}"/>
    <cellStyle name="Calculation 3 2 4" xfId="1137" xr:uid="{38C465AB-C164-42A6-9AE9-3479872EEBC7}"/>
    <cellStyle name="Calculation 3 3" xfId="1138" xr:uid="{0B97FC2E-FE42-4975-88E7-D07AB4E678C2}"/>
    <cellStyle name="Calculation 3 3 2" xfId="1139" xr:uid="{14256A4F-E6F2-41E2-BBA1-9DE349440999}"/>
    <cellStyle name="Calculation 3 3 2 2" xfId="1140" xr:uid="{0B784B87-30E3-4ECA-968F-89A45D32EC6E}"/>
    <cellStyle name="Calculation 3 3 3" xfId="1141" xr:uid="{2348A860-FFCE-41D5-B5C5-49914D4F7329}"/>
    <cellStyle name="Calculation 3 3 3 2" xfId="1142" xr:uid="{D242DD11-C792-4E27-9583-4A8AC139A7F9}"/>
    <cellStyle name="Calculation 3 3 4" xfId="1143" xr:uid="{0D7E249A-229C-4C00-B2D1-F8594897A85F}"/>
    <cellStyle name="Calculation 3 4" xfId="1144" xr:uid="{4C546E2C-D06B-40F8-875F-627D1D229ED5}"/>
    <cellStyle name="Calculation 3 4 2" xfId="1145" xr:uid="{04231ED6-3183-4B71-9177-EBB22372728B}"/>
    <cellStyle name="Calculation 3 5" xfId="1146" xr:uid="{BAE0D503-6CB1-40BB-821D-E9D398D5B314}"/>
    <cellStyle name="Calculation 3 5 2" xfId="1147" xr:uid="{DFACEB31-7F55-4D60-A5AC-6E8356557C8E}"/>
    <cellStyle name="Calculation 3 6" xfId="1148" xr:uid="{87AB58A7-21AD-4D38-BD27-3691E9B07D90}"/>
    <cellStyle name="Calculation 4" xfId="1149" xr:uid="{3FC4D000-CBF0-4362-8437-61BB759D3FAC}"/>
    <cellStyle name="Calculation 4 2" xfId="1150" xr:uid="{99B54438-4FA2-41D1-BD9A-A0910E4106C7}"/>
    <cellStyle name="Calculation 4 2 2" xfId="1151" xr:uid="{962ED163-EA32-42CE-8AFF-99115872110E}"/>
    <cellStyle name="Calculation 4 3" xfId="1152" xr:uid="{10303311-23DA-454B-B4E8-C0C6346624FF}"/>
    <cellStyle name="Calculation 4 3 2" xfId="1153" xr:uid="{7E982E1A-6C55-44D7-A9C3-A4A592A48436}"/>
    <cellStyle name="Calculation 4 4" xfId="1154" xr:uid="{51CD3CC2-F41A-4461-A09E-CAC062FA1056}"/>
    <cellStyle name="Calculation 5" xfId="1155" xr:uid="{166A229C-BE55-4B22-9FDE-9EA1A299A7B1}"/>
    <cellStyle name="Calculation 5 2" xfId="1156" xr:uid="{2D0A5520-DE8C-4413-9816-09AEBB2BE8FE}"/>
    <cellStyle name="Calculation 5 2 2" xfId="1157" xr:uid="{5AAA9AAA-2ABC-4181-909F-C9405750CC94}"/>
    <cellStyle name="Calculation 5 3" xfId="1158" xr:uid="{D50F66E5-6618-447D-8EEF-927012B372BC}"/>
    <cellStyle name="Calculation 5 3 2" xfId="1159" xr:uid="{FC0E58A2-5574-4C0E-9273-EDC1DA8AA748}"/>
    <cellStyle name="Calculation 5 4" xfId="1160" xr:uid="{09801D60-20EB-4D81-A79E-925DAA7B4608}"/>
    <cellStyle name="Calculation 6" xfId="1161" xr:uid="{AD5D6B58-4724-4EB3-81E1-D625FAD5E9B5}"/>
    <cellStyle name="Calculation 6 2" xfId="1162" xr:uid="{5263C299-9F98-43E3-AF2A-66A8C0808C06}"/>
    <cellStyle name="Calculation 7" xfId="1163" xr:uid="{36B3D8B8-4DFF-48B2-9CCE-528C72FBDFBA}"/>
    <cellStyle name="Calculation 7 2" xfId="1164" xr:uid="{E216132D-2798-4FB7-84CD-BF796A05F8A6}"/>
    <cellStyle name="Calculation 8" xfId="1165" xr:uid="{5C95470B-9421-44DC-B6BA-9314E1ACB184}"/>
    <cellStyle name="Calculation 9" xfId="1166" xr:uid="{D7CF6CDD-1433-4DF9-B7F1-80D7BBCD143D}"/>
    <cellStyle name="Cálculo" xfId="1167" xr:uid="{D282552B-A8A0-42AD-9250-C1B349ED1548}"/>
    <cellStyle name="Cálculo 2" xfId="1168" xr:uid="{389E7048-AE58-4524-B1B1-039B6F61BBD4}"/>
    <cellStyle name="Cálculo 2 2" xfId="1169" xr:uid="{4B7C508A-2464-46CA-9D7C-98812A9F4A97}"/>
    <cellStyle name="Cálculo 2 2 2" xfId="1170" xr:uid="{2726503D-C068-4CB3-8069-0598651AA841}"/>
    <cellStyle name="Cálculo 2 3" xfId="1171" xr:uid="{A3EFDEA3-C394-4F4F-AF04-2E22A949B40F}"/>
    <cellStyle name="Cálculo 2 3 2" xfId="1172" xr:uid="{A398801C-59EF-426C-A325-05A2405EC119}"/>
    <cellStyle name="Cálculo 2 4" xfId="1173" xr:uid="{8A885763-E62B-4ABD-AA5D-76B62C2CC921}"/>
    <cellStyle name="Cálculo 3" xfId="1174" xr:uid="{74ED7B2D-7589-4FFD-868C-8B796265A1B7}"/>
    <cellStyle name="Cálculo 3 2" xfId="1175" xr:uid="{5E4E32E2-8FF9-43EA-88D9-B665F422EDCA}"/>
    <cellStyle name="Cálculo 3 2 2" xfId="1176" xr:uid="{FB474292-0154-424D-A5D9-3CA1115992FE}"/>
    <cellStyle name="Cálculo 3 3" xfId="1177" xr:uid="{B2D88609-5F0F-4294-B5B6-45212F241C20}"/>
    <cellStyle name="Cálculo 3 3 2" xfId="1178" xr:uid="{A4EFFAB4-8A46-4352-A6C9-3D3B116F7611}"/>
    <cellStyle name="Cálculo 3 4" xfId="1179" xr:uid="{81D6FA86-D882-4A59-B6D7-D011687232EA}"/>
    <cellStyle name="Cálculo 4" xfId="1180" xr:uid="{D6B2C752-C7BD-41BE-92EF-CF867F3D60C2}"/>
    <cellStyle name="Cálculo 4 2" xfId="1181" xr:uid="{A02AA754-5651-4F0A-B2D1-BFD92DEA1D5F}"/>
    <cellStyle name="Cálculo 5" xfId="1182" xr:uid="{54CA22CD-CB43-43A9-929F-986769309D97}"/>
    <cellStyle name="Cálculo 5 2" xfId="1183" xr:uid="{DA4655D6-39B7-4C8D-952E-30CD79BC00C1}"/>
    <cellStyle name="Cálculo 6" xfId="1184" xr:uid="{38B82C0A-6068-4E48-A79B-5BC2280C76AD}"/>
    <cellStyle name="Cancel" xfId="1185" xr:uid="{BDE85CCF-DBEA-4B41-A8BB-790EFF9C5088}"/>
    <cellStyle name="Celda de comprobación" xfId="1186" xr:uid="{B90429D1-CB5B-46A3-B51D-70D46DE90D22}"/>
    <cellStyle name="Celda vinculada" xfId="1187" xr:uid="{1C088ABC-5D64-4667-9331-2617BA7E72C9}"/>
    <cellStyle name="Cellule liée 2" xfId="1188" xr:uid="{A52BD666-B5D8-46F5-9280-0391EE92EC4D}"/>
    <cellStyle name="Célula Ligada" xfId="1189" xr:uid="{292466A3-ABA8-4D68-ABB7-7F0A2471CA0B}"/>
    <cellStyle name="Check Cell 2" xfId="1191" xr:uid="{B8C00ACB-2F50-41B3-9E5E-8BE6BBB8AA3D}"/>
    <cellStyle name="Check Cell 3" xfId="1192" xr:uid="{03223570-2297-4A64-9926-B3FF19EAD911}"/>
    <cellStyle name="Check Cell 4" xfId="1193" xr:uid="{93E1B205-1123-4863-B999-3D6494B1D252}"/>
    <cellStyle name="Check Cell 5" xfId="1190" xr:uid="{16978BEC-71FA-404B-9DC1-7830138A479C}"/>
    <cellStyle name="ÇÏÀÌÆÛ¸µÅ©" xfId="1194" xr:uid="{59EAE03E-CA5F-451F-80FC-E2366029EE8A}"/>
    <cellStyle name="Comma " xfId="1195" xr:uid="{89C1C628-0B67-4FEC-B91C-C81BC27FF44E}"/>
    <cellStyle name="Comma  2" xfId="1196" xr:uid="{B14DFB59-1148-4AD6-BE36-B8DE840E5692}"/>
    <cellStyle name="Comma [0] 2" xfId="1198" xr:uid="{B2F1174C-D3CA-4246-BDE4-BB08E5A965AA}"/>
    <cellStyle name="Comma [0] 2 2" xfId="1199" xr:uid="{10619A97-E6B2-4698-AFE3-BFB6D1A19F93}"/>
    <cellStyle name="Comma [0] 3" xfId="1200" xr:uid="{08BA069B-A1D3-4EFE-B626-2380C57AC899}"/>
    <cellStyle name="Comma [0] 4" xfId="1197" xr:uid="{F7325B51-8DD0-430A-97D1-89E3FCFF65D2}"/>
    <cellStyle name="Comma [00]" xfId="1201" xr:uid="{08230938-579C-40F0-9AD3-802D2173E2DF}"/>
    <cellStyle name="Comma 2" xfId="1202" xr:uid="{E2873682-A0F7-47BA-83D3-BDBD6FD866DF}"/>
    <cellStyle name="Comma 2 2" xfId="1203" xr:uid="{0AD8BE9F-3C8E-444C-8186-1BB5E0F82C4C}"/>
    <cellStyle name="Comma 2 2 2" xfId="1204" xr:uid="{4D8836ED-F17C-4E3E-9967-C7A673EAEDDD}"/>
    <cellStyle name="Comma 2 3" xfId="1205" xr:uid="{C9055B2E-C4EB-4676-810B-20FC1FE64498}"/>
    <cellStyle name="Comma 2 3 2" xfId="1206" xr:uid="{508AD679-5773-4791-AE01-D5719656501A}"/>
    <cellStyle name="Comma 2 4" xfId="1207" xr:uid="{3FB064AE-6BC9-4E3D-9C46-A81FF85FD220}"/>
    <cellStyle name="Comma 2 5" xfId="1208" xr:uid="{8527A773-C3CC-4523-BD8A-5B51549A9480}"/>
    <cellStyle name="Comma 3" xfId="1209" xr:uid="{4D3463C0-22DF-4E1F-9378-821891561D33}"/>
    <cellStyle name="Comma 3 2" xfId="1210" xr:uid="{B394274D-93AD-484F-A176-2E229F618D1D}"/>
    <cellStyle name="Comma 3 2 2" xfId="1211" xr:uid="{00AA247C-0901-4A6F-8275-5E9E686E2649}"/>
    <cellStyle name="Comma 3_Jan 10 Flash (with avg charter &amp; Cma final slot costs)" xfId="1212" xr:uid="{EDCB94B1-6BBF-4CE1-ADD2-7D839A4A3C9C}"/>
    <cellStyle name="Comma 4" xfId="1213" xr:uid="{A42D96F9-27E8-41E0-820D-D9145FDA5EFA}"/>
    <cellStyle name="Comma 5" xfId="1214" xr:uid="{3B8109CA-7FA3-4A07-BD5B-BDCCFCDFB670}"/>
    <cellStyle name="Comma 6" xfId="1215" xr:uid="{6B462CCE-F3E1-4744-9B62-2FABFCFA0BA8}"/>
    <cellStyle name="Comma 7" xfId="1216" xr:uid="{E07CC373-86E6-4A52-804C-33EBB8EE4B73}"/>
    <cellStyle name="Comma 8" xfId="1217" xr:uid="{48463874-99B7-40DD-9AB2-7E73B61F24FD}"/>
    <cellStyle name="Comma 9" xfId="1218" xr:uid="{1B0A8BF6-664F-4401-AA5B-2262698C4AE0}"/>
    <cellStyle name="Comma0" xfId="1219" xr:uid="{269BA49D-59E1-49F8-B65D-B08991D96570}"/>
    <cellStyle name="Comma0 - Estilo3" xfId="1220" xr:uid="{590E044B-6C48-4F32-89D3-8F966C4CE348}"/>
    <cellStyle name="Comma0 - Estilo3 2" xfId="1221" xr:uid="{5CE2C37D-FA11-48EC-B0AB-8DDF1EB2AC54}"/>
    <cellStyle name="Comma0 2" xfId="1222" xr:uid="{C0403F07-9845-4BA9-8FAE-70BD5B78E653}"/>
    <cellStyle name="Comma0 2 2" xfId="1223" xr:uid="{4CCD8C9E-658D-4A3E-94DD-F8E8527B15F5}"/>
    <cellStyle name="Comma0 2 2 2" xfId="1224" xr:uid="{6DBED776-D6CA-41AE-9250-D6EC8F84BD48}"/>
    <cellStyle name="Comma0 2 3" xfId="1225" xr:uid="{F6CD9338-C97C-4032-A179-72C5D5CC2998}"/>
    <cellStyle name="Comma0 2 3 2" xfId="1226" xr:uid="{2453133B-5EF5-44F7-BB8C-E5114244E345}"/>
    <cellStyle name="Comma0 2 4" xfId="1227" xr:uid="{81F1FB23-0DD1-4078-AC63-DAB96880EE47}"/>
    <cellStyle name="Comma0 2 4 2" xfId="1228" xr:uid="{8018E3F6-3D74-405C-881B-31478CF86432}"/>
    <cellStyle name="Comma0 2 5" xfId="1229" xr:uid="{E81AC928-22F9-49B0-B1CC-3546E7C82E62}"/>
    <cellStyle name="Comma0 2_all Delmas Slots Costs 20120316" xfId="1230" xr:uid="{4F7D6CF3-6438-43DC-B3DC-4FB06E1B2D7F}"/>
    <cellStyle name="Comma0 3" xfId="1231" xr:uid="{B1099FF7-504F-409F-BAF6-E86D8162516A}"/>
    <cellStyle name="Comma0_Aenne Rickmers" xfId="1232" xr:uid="{3F2D978D-09CB-4720-99A0-963191AE54A7}"/>
    <cellStyle name="Commentaire 2" xfId="1233" xr:uid="{972D839B-7427-4001-BA2D-3361634EBE5B}"/>
    <cellStyle name="Commentaire 2 2" xfId="1234" xr:uid="{45AF0CCC-831D-4397-A403-3161C60B5A37}"/>
    <cellStyle name="Commentaire 2 2 2" xfId="1235" xr:uid="{80599B35-88EF-4936-907D-5E19C0225115}"/>
    <cellStyle name="Commentaire 2 2 2 2" xfId="1236" xr:uid="{6752C8B4-2AA2-4D7E-BDC6-51E7D5EA0F26}"/>
    <cellStyle name="Commentaire 2 2 3" xfId="1237" xr:uid="{EE8DE52C-C5B3-42C7-A513-0EE5B178C76C}"/>
    <cellStyle name="Commentaire 2 2 3 2" xfId="1238" xr:uid="{84B2FBC1-5E41-44FA-8BC4-E9DE9F910762}"/>
    <cellStyle name="Commentaire 2 2 4" xfId="1239" xr:uid="{F8F70E11-4960-440A-84E7-60D33676D7C5}"/>
    <cellStyle name="Commentaire 2 3" xfId="1240" xr:uid="{01575437-2532-435C-81CD-0953127165D8}"/>
    <cellStyle name="Commentaire 2 3 2" xfId="1241" xr:uid="{5789C91B-7A52-43C7-89FD-87B3639806EA}"/>
    <cellStyle name="Commentaire 2 4" xfId="1242" xr:uid="{81598D02-360C-47A3-8968-3EEC4B4650A5}"/>
    <cellStyle name="Commentaire 2 4 2" xfId="1243" xr:uid="{D87D2C07-B67B-4271-B33C-E774982DE23E}"/>
    <cellStyle name="Commentaire 2 5" xfId="1244" xr:uid="{ECBC7DC6-ED42-4471-A12A-DCE52E1AB8CF}"/>
    <cellStyle name="Commentaire 3" xfId="1245" xr:uid="{C7579D8D-B824-42D9-8A6C-D44B6D4A2192}"/>
    <cellStyle name="Commentaire 3 2" xfId="1246" xr:uid="{BE10B434-5443-4FE8-907B-0F49A91CB748}"/>
    <cellStyle name="Commentaire 3 2 2" xfId="1247" xr:uid="{F411938B-C704-4F99-97AE-216CFF5546FD}"/>
    <cellStyle name="Commentaire 3 2 2 2" xfId="1248" xr:uid="{2B012D1D-A99D-4CD2-B0D4-1D9C8DC928D8}"/>
    <cellStyle name="Commentaire 3 2 3" xfId="1249" xr:uid="{6128682C-D20B-4B02-95B7-ED636DEEFF34}"/>
    <cellStyle name="Commentaire 3 2 3 2" xfId="1250" xr:uid="{659CE047-8135-42D2-B9AE-1BA84F47667A}"/>
    <cellStyle name="Commentaire 3 2 4" xfId="1251" xr:uid="{440AAE56-7A08-444C-8135-EBD1EE068781}"/>
    <cellStyle name="Commentaire 3 3" xfId="1252" xr:uid="{A5B8EE1D-2DAB-4ADF-BB2B-661B7545412A}"/>
    <cellStyle name="Commentaire 3 3 2" xfId="1253" xr:uid="{651620EA-6BB0-405E-AF03-8E8403BDB9B8}"/>
    <cellStyle name="Commentaire 3 4" xfId="1254" xr:uid="{B4108F16-F277-4AEE-808B-4BA207B659FD}"/>
    <cellStyle name="Commentaire 3 4 2" xfId="1255" xr:uid="{862FF5FC-D313-4B22-816D-D4EC10911538}"/>
    <cellStyle name="Commentaire 3 5" xfId="1256" xr:uid="{D28E6823-822C-4617-BB0E-304262CBBF26}"/>
    <cellStyle name="Commentaire 4" xfId="1257" xr:uid="{3F6F4E77-AA71-44B7-98DA-D414AB1D1D45}"/>
    <cellStyle name="Commentaire 4 2" xfId="1258" xr:uid="{4974491F-A545-44F2-9058-3339B5C660FC}"/>
    <cellStyle name="Commentaire 4 2 2" xfId="1259" xr:uid="{0CBA6789-4D3D-4865-A23F-CD622B77173B}"/>
    <cellStyle name="Commentaire 4 3" xfId="1260" xr:uid="{FC371367-F2BF-4EA9-9E5C-3CA4F0B77395}"/>
    <cellStyle name="Commentaire 4 3 2" xfId="1261" xr:uid="{3081E414-8069-4459-B3F4-98E179265B0F}"/>
    <cellStyle name="Commentaire 4 4" xfId="1262" xr:uid="{8828B321-5B8E-40D2-9414-ECDE1332A8C4}"/>
    <cellStyle name="Commentaire 5" xfId="1263" xr:uid="{6E03B2A5-39B1-412A-9BBC-CA73DE677BC7}"/>
    <cellStyle name="Commentaire 5 2" xfId="1264" xr:uid="{B373A25E-ED0C-4535-BA7E-C3AA1646E34D}"/>
    <cellStyle name="Commentaire 5 2 2" xfId="1265" xr:uid="{4420F0F6-0C8A-4E36-A173-FCD3A684DCB0}"/>
    <cellStyle name="Commentaire 5 3" xfId="1266" xr:uid="{5C1CFAC6-FC7A-45BC-8472-E9560FAA3439}"/>
    <cellStyle name="Commentaire 5 3 2" xfId="1267" xr:uid="{D147A0FD-D05F-4340-AC7C-200D9FE880D0}"/>
    <cellStyle name="Commentaire 5 4" xfId="1268" xr:uid="{6D83937A-D583-4428-ABCC-ACBB7973A564}"/>
    <cellStyle name="Copied" xfId="1269" xr:uid="{DEC1A134-B75F-4C77-BC1D-748F1A8747F8}"/>
    <cellStyle name="Copied 2" xfId="1270" xr:uid="{E23AE8B3-F846-4A87-B4A9-7E57FB7202E0}"/>
    <cellStyle name="Copied 2 2" xfId="1271" xr:uid="{0D7B36B3-4718-48B3-8295-C2F73C11DB14}"/>
    <cellStyle name="Copied_Aenne Rickmers" xfId="1272" xr:uid="{A858B08F-8418-4F93-81EE-D1113955B649}"/>
    <cellStyle name="Cor1" xfId="1273" xr:uid="{F0759BBF-206A-4E62-97B3-E791A1575115}"/>
    <cellStyle name="Cor2" xfId="1274" xr:uid="{3FBAE20E-A1A1-45D7-86DB-8AB2763AD1E0}"/>
    <cellStyle name="Cor3" xfId="1275" xr:uid="{1743309C-3AAE-4CE5-B824-8E81C54E31FF}"/>
    <cellStyle name="Cor4" xfId="1276" xr:uid="{08A35B1C-BEEC-4FD4-A999-034547E5861C}"/>
    <cellStyle name="Cor5" xfId="1277" xr:uid="{ACB83121-CD60-4799-8414-0A791A3B1C35}"/>
    <cellStyle name="Cor6" xfId="1278" xr:uid="{1CC4A9B7-EFE6-4EF4-8758-D5C59B5F6A03}"/>
    <cellStyle name="Correcto" xfId="1279" xr:uid="{FF335DD1-AE8D-41F1-AEF3-D83372EA7826}"/>
    <cellStyle name="COST1" xfId="1280" xr:uid="{BC50C851-455B-43BE-98C4-86367FC072D8}"/>
    <cellStyle name="COST1 2" xfId="1281" xr:uid="{5C148C5F-346A-4F15-8AFD-61338993C59B}"/>
    <cellStyle name="COST1 2 2" xfId="1282" xr:uid="{5118B6F6-ABDA-46E1-AE8E-1968E1451AEB}"/>
    <cellStyle name="COST1_Aenne Rickmers" xfId="1283" xr:uid="{E9E61C06-AA4E-41F2-A242-18D16972DF28}"/>
    <cellStyle name="cs" xfId="1284" xr:uid="{CC60878D-5FFB-4747-8E12-8211480763D1}"/>
    <cellStyle name="Currency [0] 2" xfId="1286" xr:uid="{4F1ACF4C-16E2-4AB9-B271-0FD977B584F6}"/>
    <cellStyle name="Currency [0] 2 2" xfId="1287" xr:uid="{C57F483B-DF21-4146-952A-C621B56EB9B2}"/>
    <cellStyle name="Currency [0] 3" xfId="1288" xr:uid="{21E1CFFB-A734-4F32-8CC5-656886C380F6}"/>
    <cellStyle name="Currency [0] 4" xfId="1285" xr:uid="{D4B46963-71BE-42F6-BBDF-4BB2FEAAE23F}"/>
    <cellStyle name="Currency [00]" xfId="1289" xr:uid="{18F420A2-478D-4AC4-8CAD-EC8B75C77019}"/>
    <cellStyle name="Currency 2" xfId="1290" xr:uid="{58A2E964-783D-4AE8-9905-0F394EFCD0BB}"/>
    <cellStyle name="Currency 3" xfId="1291" xr:uid="{A19FB99E-5127-4D01-BE75-E925562A6A0F}"/>
    <cellStyle name="Currency 4" xfId="1292" xr:uid="{BB601DCF-2E7D-4B0D-B7CB-00E6C0E7D050}"/>
    <cellStyle name="Currency 5" xfId="1293" xr:uid="{AC70F78E-A647-4051-B4CB-10B42CAD9051}"/>
    <cellStyle name="Currency0" xfId="1294" xr:uid="{3C123841-B1FA-4F34-B6FF-851CB71165F0}"/>
    <cellStyle name="Currency0 2" xfId="1295" xr:uid="{A9096F86-2802-4FD7-9009-018A3861B9BF}"/>
    <cellStyle name="Currency0 2 2" xfId="1296" xr:uid="{EAA0AC6E-EF7A-45D6-8A3C-36A510486344}"/>
    <cellStyle name="Currency0 2 2 2" xfId="1297" xr:uid="{EE8EF509-8225-473C-BA71-076663A57D3E}"/>
    <cellStyle name="Currency0 2 3" xfId="1298" xr:uid="{EF86719D-1C94-45CB-AF89-5083F933F164}"/>
    <cellStyle name="Currency0 2 3 2" xfId="1299" xr:uid="{9F0D3F47-118C-401F-9BA9-91112C7C99FC}"/>
    <cellStyle name="Currency0 2 4" xfId="1300" xr:uid="{371C9BC1-EEFC-40C4-ACC6-30F2F6BAFD40}"/>
    <cellStyle name="Currency0 2 4 2" xfId="1301" xr:uid="{1F8121A8-A903-40DB-9AB7-EE7B1859CB83}"/>
    <cellStyle name="Currency0 2 5" xfId="1302" xr:uid="{2639B4C9-DAB2-4233-B53D-8B4AF4B3DAB7}"/>
    <cellStyle name="Currency0 2_all Delmas Slots Costs 20120316" xfId="1303" xr:uid="{BF1604C4-F043-4EAC-8145-57B99439963D}"/>
    <cellStyle name="Currency0 3" xfId="1304" xr:uid="{9885F692-9B38-41D2-A07E-192B3874E5E9}"/>
    <cellStyle name="Currency0_Aenne Rickmers" xfId="1305" xr:uid="{7673A59E-6BB2-44B5-B5F0-219F337B7CB1}"/>
    <cellStyle name="Date" xfId="1306" xr:uid="{C0E97FD9-197B-4B43-B262-F737F80462BA}"/>
    <cellStyle name="Date 2" xfId="1307" xr:uid="{32B3C748-B81B-46AE-99A6-52CA801CD8D0}"/>
    <cellStyle name="Date 2 2" xfId="1308" xr:uid="{998ED0A9-AA2F-48FA-8B9B-2A0F079F8040}"/>
    <cellStyle name="Date 2 2 2" xfId="1309" xr:uid="{A50BFCF5-042B-41F1-B7C8-DF059CA0E01E}"/>
    <cellStyle name="Date 2 3" xfId="1310" xr:uid="{765C03FE-2881-4C5A-A4EC-A2476CDC7ED4}"/>
    <cellStyle name="Date 2 3 2" xfId="1311" xr:uid="{510E4E09-88B5-4143-B316-6037B6FDEB23}"/>
    <cellStyle name="Date 2 4" xfId="1312" xr:uid="{EFA44246-5C8A-480D-801E-D08CC1B6CF0D}"/>
    <cellStyle name="Date 2 4 2" xfId="1313" xr:uid="{44DBEF97-475C-4974-9885-6E85C3132235}"/>
    <cellStyle name="Date 2 5" xfId="1314" xr:uid="{1463F0A3-E955-45F2-BCD8-8656F5733A0D}"/>
    <cellStyle name="Date 2_all Delmas Slots Costs 20120316" xfId="1315" xr:uid="{65463A16-7AF7-4DD2-85C2-C121D89A250F}"/>
    <cellStyle name="Date 3" xfId="1316" xr:uid="{5725EB78-3B47-468D-8E40-C7015B41447E}"/>
    <cellStyle name="Date Short" xfId="1317" xr:uid="{EBB75F6E-DE0A-459A-ABFC-70D84BD7B6EE}"/>
    <cellStyle name="Date_&lt;&gt; rtt" xfId="1318" xr:uid="{B66D75A6-200B-4D5C-B8F7-FC0573B8E67D}"/>
    <cellStyle name="Dezimal [0]_2001" xfId="1319" xr:uid="{CEEB46AB-98FF-4568-84A3-A106E8F6D625}"/>
    <cellStyle name="Dezimal_2001" xfId="1320" xr:uid="{0EC679D0-0675-475E-8421-9C6A39E25CA7}"/>
    <cellStyle name="Disabled" xfId="1321" xr:uid="{A10BD0D9-264F-452B-9EAF-86C4D9CB3AFA}"/>
    <cellStyle name="Disabled 2" xfId="1322" xr:uid="{C1522AD2-C94C-49A4-9609-690A81CF9964}"/>
    <cellStyle name="Disabled 2 2" xfId="1323" xr:uid="{431C7FD2-E9C0-472D-B1AD-FBFC4E9F3F30}"/>
    <cellStyle name="Disabled 2 2 2" xfId="2798" xr:uid="{88411A73-9FF3-47F6-A44A-DE11D459B8A5}"/>
    <cellStyle name="Disabled 2 3" xfId="2797" xr:uid="{D752DDEC-0B5F-4D7B-9A70-AA75736B8D9E}"/>
    <cellStyle name="Disabled 3" xfId="1324" xr:uid="{DF9BF5EF-5B87-41FD-AFC9-E998F2EF0B66}"/>
    <cellStyle name="Disabled 3 2" xfId="1325" xr:uid="{66A858D7-012E-41BB-99B3-245197353522}"/>
    <cellStyle name="Disabled 3 2 2" xfId="2800" xr:uid="{F61EBB31-B000-4F7A-9D9C-F3A47C047D06}"/>
    <cellStyle name="Disabled 3 3" xfId="2799" xr:uid="{E314D2C2-289F-4755-AFDC-D18FE5808AB9}"/>
    <cellStyle name="Disabled 4" xfId="1326" xr:uid="{C0235974-D999-4429-BC0E-F4E5E8390BBA}"/>
    <cellStyle name="Disabled 4 2" xfId="2801" xr:uid="{1710EAA2-FB73-4486-8E07-0A69C158C0A3}"/>
    <cellStyle name="Disabled 5" xfId="2796" xr:uid="{B3F86A7D-0638-413D-99E6-9FD92332FA1F}"/>
    <cellStyle name="Diseño" xfId="1327" xr:uid="{66381C7D-C213-43DB-B60A-F8944D34F49A}"/>
    <cellStyle name="Emphasis 1" xfId="1328" xr:uid="{2F559A31-09B9-4996-9CA2-725C36401E38}"/>
    <cellStyle name="Emphasis 2" xfId="1329" xr:uid="{CA4FE6B1-AB5B-4BFB-A228-A0BCC2BDC86A}"/>
    <cellStyle name="Emphasis 3" xfId="1330" xr:uid="{FC4551D4-0C55-4FA6-A83E-E4E6339C5B6A}"/>
    <cellStyle name="Encabezado 4" xfId="1331" xr:uid="{F6188336-3527-424B-AD43-416CD0C6AB48}"/>
    <cellStyle name="Énfasis1" xfId="1332" xr:uid="{FE4637EF-9327-43A2-94D2-90C4F061AC83}"/>
    <cellStyle name="Énfasis2" xfId="1333" xr:uid="{840D1CA8-FE73-4886-8B6E-FB2623A6C845}"/>
    <cellStyle name="Énfasis3" xfId="1334" xr:uid="{AC0CF6A0-EDB9-4E75-AD93-EC3E4E392F67}"/>
    <cellStyle name="Énfasis4" xfId="1335" xr:uid="{E6C79B2C-F119-4BDF-8783-5AA86462B608}"/>
    <cellStyle name="Énfasis5" xfId="1336" xr:uid="{FAC70A68-BB6B-4CF5-93E3-4E8F281914CD}"/>
    <cellStyle name="Énfasis6" xfId="1337" xr:uid="{CA7F71A2-F51D-4DAE-8F41-4143D471B6D5}"/>
    <cellStyle name="Enter Currency (0)" xfId="1338" xr:uid="{2F2EDFE8-178F-4174-A3B2-8E751FFC2B3D}"/>
    <cellStyle name="Enter Currency (2)" xfId="1339" xr:uid="{31C712EE-5978-4220-8D2A-2B4176F53D89}"/>
    <cellStyle name="Enter Units (0)" xfId="1340" xr:uid="{8446B497-2581-44F0-BD0C-6733A8731B10}"/>
    <cellStyle name="Enter Units (1)" xfId="1341" xr:uid="{BD86EB03-F9AD-4810-9321-428918ABFDD8}"/>
    <cellStyle name="Enter Units (1) 2" xfId="1342" xr:uid="{DDE55994-DF02-4446-94E2-BBDD00887AD5}"/>
    <cellStyle name="Enter Units (1) 2 2" xfId="1343" xr:uid="{5DDB5F1E-B048-4768-BA5B-42C692E00EE8}"/>
    <cellStyle name="Enter Units (1) 2 3" xfId="1344" xr:uid="{2AB75D98-C079-420E-9567-A13B56D1C414}"/>
    <cellStyle name="Enter Units (1) 2 4" xfId="1345" xr:uid="{3270C5E2-3A74-4458-9247-8F1829322170}"/>
    <cellStyle name="Enter Units (1) 3" xfId="1346" xr:uid="{4F091123-E0D9-4869-A219-164620C6F50E}"/>
    <cellStyle name="Enter Units (1)_Aenne Rickmers" xfId="1347" xr:uid="{47750140-9D8A-4221-A8B2-D34BCB6F1B1C}"/>
    <cellStyle name="Enter Units (2)" xfId="1348" xr:uid="{41BABD55-DF99-4942-9F49-8B1684790E48}"/>
    <cellStyle name="Entered" xfId="1349" xr:uid="{9FE9E414-AB96-498C-8D18-15963B2644E3}"/>
    <cellStyle name="Entered 2" xfId="1350" xr:uid="{7577C313-0D67-4FCF-8C51-4184165FB2E1}"/>
    <cellStyle name="Entered 2 2" xfId="1351" xr:uid="{26367F63-FB55-499B-8690-ADEFAA3BF2F9}"/>
    <cellStyle name="Entered_Aenne Rickmers" xfId="1352" xr:uid="{7BC57ABB-4E1F-4769-8645-6375DAE71D5B}"/>
    <cellStyle name="Entrada" xfId="1353" xr:uid="{66ADFAA1-BF92-403D-9F2B-A20C08DA5F56}"/>
    <cellStyle name="Entrada 2" xfId="1354" xr:uid="{5E7B833C-6977-4EA0-A071-C262C009A69A}"/>
    <cellStyle name="Entrada 2 2" xfId="1355" xr:uid="{62C911DE-C81A-43A9-AD82-00C217C2B14E}"/>
    <cellStyle name="Entrada 2 2 2" xfId="1356" xr:uid="{9375A4F9-4E1F-47BD-8B2E-12D5105C881B}"/>
    <cellStyle name="Entrada 2 3" xfId="1357" xr:uid="{555C17DC-3F72-4B8B-A300-BADE5698C858}"/>
    <cellStyle name="Entrada 2 3 2" xfId="1358" xr:uid="{77F57458-F4F2-4402-99FE-E594FAD20DD5}"/>
    <cellStyle name="Entrada 2 4" xfId="1359" xr:uid="{4A543D5D-A441-4167-B84C-D27551242E2D}"/>
    <cellStyle name="Entrada 3" xfId="1360" xr:uid="{FB38F039-0571-49FF-AC7B-055F3DE78F81}"/>
    <cellStyle name="Entrada 3 2" xfId="1361" xr:uid="{69282AD3-ED05-4262-9250-F50AE04DDF58}"/>
    <cellStyle name="Entrada 3 2 2" xfId="1362" xr:uid="{F46EF56E-4AA1-490C-89F6-B3916F9C3A39}"/>
    <cellStyle name="Entrada 3 3" xfId="1363" xr:uid="{DCF8D8A4-6B96-4820-B4EF-9EC8D02D7F2A}"/>
    <cellStyle name="Entrada 3 3 2" xfId="1364" xr:uid="{5EA47F86-3C20-4EA9-AB23-80141B0106CD}"/>
    <cellStyle name="Entrada 3 4" xfId="1365" xr:uid="{6111C59C-C776-4654-9328-7D57C95A152E}"/>
    <cellStyle name="Entrada 4" xfId="1366" xr:uid="{BC3BEAD4-FC97-4D13-85E3-BE7D7F2A81C3}"/>
    <cellStyle name="Entrada 4 2" xfId="1367" xr:uid="{6DD52153-560A-4C5D-8890-B516FE6B7979}"/>
    <cellStyle name="Entrada 5" xfId="1368" xr:uid="{4AC2427C-1609-465D-A2E4-1D0F5BB32B75}"/>
    <cellStyle name="Entrada 5 2" xfId="1369" xr:uid="{E9B386A4-B0E0-438E-8040-AFA4A7B88134}"/>
    <cellStyle name="Entrada 6" xfId="1370" xr:uid="{7E29047C-CAE0-4128-8A5E-BE83E6A95183}"/>
    <cellStyle name="Entrée 2" xfId="1371" xr:uid="{7769CD01-88C5-4810-A049-F8596AF8EAF3}"/>
    <cellStyle name="Entrée 2 2" xfId="1372" xr:uid="{27C2922A-821A-41A4-9A6A-FCC04D80AF90}"/>
    <cellStyle name="Entrée 2 2 2" xfId="1373" xr:uid="{63A1BA54-D6A4-4849-8914-0BBB009649A9}"/>
    <cellStyle name="Entrée 2 3" xfId="1374" xr:uid="{944B877E-A43D-4AC3-8C32-5AD26CFCDB87}"/>
    <cellStyle name="Entrée 2 3 2" xfId="1375" xr:uid="{79045D9D-86C7-4E68-ACE2-9DCE4916E4CA}"/>
    <cellStyle name="Entrée 2 4" xfId="1376" xr:uid="{003F5AAF-754B-46E1-979F-E5434ED9F223}"/>
    <cellStyle name="Estilo 1" xfId="1377" xr:uid="{355694C7-FEC1-49C7-9791-A32EA19021F6}"/>
    <cellStyle name="Estilo 1 2" xfId="1378" xr:uid="{E536C976-C2C3-4D20-BDBE-D179695CF199}"/>
    <cellStyle name="Euro" xfId="1379" xr:uid="{BD693AEE-C6C9-464F-B6D5-AD4A58D8A48F}"/>
    <cellStyle name="Euro 2" xfId="1380" xr:uid="{46182CE7-F95A-4A17-93EF-A6AF1A26CB8F}"/>
    <cellStyle name="Euro 2 2" xfId="1381" xr:uid="{1B76C6A9-F881-42AD-AC52-CCBCD4023ACD}"/>
    <cellStyle name="Euro 2 2 2" xfId="1382" xr:uid="{086EBE6B-E460-4D38-A651-C1C57222BC4E}"/>
    <cellStyle name="Euro 2 3" xfId="1383" xr:uid="{57A3FB85-E887-40BA-920F-092D1C344E2C}"/>
    <cellStyle name="Euro 2 4" xfId="1384" xr:uid="{B089E6AA-BDD4-4D9B-8D1F-F4CBEB3FA88F}"/>
    <cellStyle name="Euro 2 5" xfId="1385" xr:uid="{4952A37B-D956-4B94-9488-B95F05CCE692}"/>
    <cellStyle name="Euro 2 6" xfId="1386" xr:uid="{53A71DE6-8E57-49CA-BC68-6D740F8FAC20}"/>
    <cellStyle name="Euro 2_vol-contrib" xfId="1387" xr:uid="{507DBCBC-06E7-419B-B509-1ED9B9CF41FF}"/>
    <cellStyle name="Euro 3" xfId="1388" xr:uid="{B94B4555-6916-4ED6-8171-EC5748743217}"/>
    <cellStyle name="Euro 3 2" xfId="1389" xr:uid="{C4C764E3-CA0E-475A-AE57-A61EEFCDD54A}"/>
    <cellStyle name="Euro 3 3" xfId="1390" xr:uid="{C9E99B6E-11E8-43E7-92B2-6770C064851E}"/>
    <cellStyle name="Euro 3_vol-contrib" xfId="1391" xr:uid="{098B08AD-FDBB-4295-955A-C6690DC77148}"/>
    <cellStyle name="Euro 4" xfId="1392" xr:uid="{0E51A5B6-3310-42F9-81A7-763D389E5BAD}"/>
    <cellStyle name="Euro 4 2" xfId="1393" xr:uid="{71E9A55D-9562-41A0-BE10-4FA00C0825F3}"/>
    <cellStyle name="Euro 4 2 2" xfId="1394" xr:uid="{6D14FC3D-2687-4500-9079-340BC3F10624}"/>
    <cellStyle name="Euro 4 3" xfId="1395" xr:uid="{31BBC85A-CC69-4918-917B-79F9AF2C3895}"/>
    <cellStyle name="Euro 5" xfId="1396" xr:uid="{C0698EA1-44AC-4E2C-97A0-55986E747A8F}"/>
    <cellStyle name="Euro 5 2" xfId="1397" xr:uid="{55EF26E1-32D4-4A51-B528-39F51C71E146}"/>
    <cellStyle name="Euro 6" xfId="1398" xr:uid="{7906FD32-91B8-4878-99F5-2A9320CB7377}"/>
    <cellStyle name="Euro 7" xfId="1399" xr:uid="{D6CF3B3B-6A46-41FB-AE42-307A203741DA}"/>
    <cellStyle name="Euro 7 2" xfId="1400" xr:uid="{D8681307-9E00-4905-B49B-44D58965BAC5}"/>
    <cellStyle name="Euro 8" xfId="1401" xr:uid="{4CF17225-0497-46FD-BF3E-E89413946B01}"/>
    <cellStyle name="Euro 9" xfId="1402" xr:uid="{84CCD761-2EF4-473F-8C07-A0830FBCEB3D}"/>
    <cellStyle name="Euro_08 RESULTAT Août 2011" xfId="1403" xr:uid="{319B97DC-8D1B-4324-A93F-D7E15AECA910}"/>
    <cellStyle name="Explanatory Text 2" xfId="1405" xr:uid="{F412FD1B-7D8F-4152-94F4-E2A44D90F934}"/>
    <cellStyle name="Explanatory Text 3" xfId="1406" xr:uid="{BFCD9702-4270-41B2-A5C1-BA43950BB344}"/>
    <cellStyle name="Explanatory Text 4" xfId="1404" xr:uid="{37D1A3A6-654C-4358-93A6-DE58629A6A01}"/>
    <cellStyle name="Fixed" xfId="1407" xr:uid="{38DF86A9-F8A0-40C7-91F4-C6E3ED35C8A5}"/>
    <cellStyle name="Fixed 2" xfId="1408" xr:uid="{879D9AF5-A608-4FD6-AD12-C6F7D3AE9145}"/>
    <cellStyle name="Fixed 2 2" xfId="1409" xr:uid="{92AB000A-92F8-4F8B-86FA-BA32990B3163}"/>
    <cellStyle name="Fixed 2 2 2" xfId="1410" xr:uid="{C5B4C599-B1B2-4407-9B91-7B501E84C195}"/>
    <cellStyle name="Fixed 2 3" xfId="1411" xr:uid="{A74F7232-632B-4E4F-9853-E4CD64ED5CE5}"/>
    <cellStyle name="Fixed 2 3 2" xfId="1412" xr:uid="{CAABA811-F799-4DCA-B75C-8A639138C302}"/>
    <cellStyle name="Fixed 2 4" xfId="1413" xr:uid="{30A2AB59-C72B-4A18-B645-D06E8EFE5A08}"/>
    <cellStyle name="Fixed 2 4 2" xfId="1414" xr:uid="{DD2B0E9F-D84F-49D2-BD86-82300D83677F}"/>
    <cellStyle name="Fixed 2 5" xfId="1415" xr:uid="{D1C459FA-909E-4144-BB2E-A1E3EB00DF43}"/>
    <cellStyle name="Fixed 2_all Delmas Slots Costs 20120316" xfId="1416" xr:uid="{A33B9802-7798-4B27-B306-E158D7789203}"/>
    <cellStyle name="Fixed 3" xfId="1417" xr:uid="{DB14168C-F968-40B7-9727-A37FCBDDE891}"/>
    <cellStyle name="Fixed_Aenne Rickmers" xfId="1418" xr:uid="{987E99F6-98C7-4046-B902-B1F0BF6BA02D}"/>
    <cellStyle name="Followed Hyperlink" xfId="1419" xr:uid="{EC6FA906-E222-49AA-AFC5-E51B896C3151}"/>
    <cellStyle name="Followed Hyperlink 2" xfId="1420" xr:uid="{B0840857-92FE-4CA3-8E59-88883D691BFD}"/>
    <cellStyle name="Followed Hyperlink 2 2" xfId="1421" xr:uid="{E25E3335-91A1-46D6-8857-6F77C2AA909D}"/>
    <cellStyle name="Followed Hyperlink 3" xfId="1422" xr:uid="{87D00D78-C09A-4C4F-A859-23C03BEC2C13}"/>
    <cellStyle name="Followed Hyperlink 3 2" xfId="1423" xr:uid="{6182A4D4-7A8C-453E-A9DF-2F025B305AB4}"/>
    <cellStyle name="Followed Hyperlink 4" xfId="1424" xr:uid="{E23A774B-D27B-409F-A38C-FDA625758F8C}"/>
    <cellStyle name="Followed Hyperlink_all Delmas Slots Costs 20120316" xfId="1425" xr:uid="{59E45867-4BF4-481A-9AF4-38D884B5769F}"/>
    <cellStyle name="Footnote" xfId="1426" xr:uid="{8482F55B-03C1-418D-97AA-6B98AD0A14A6}"/>
    <cellStyle name="Footnote 2" xfId="1427" xr:uid="{EC988FF2-C591-4794-AB38-597DEFB6AFC3}"/>
    <cellStyle name="GBH" xfId="1428" xr:uid="{6D681BE8-0BD2-4B07-B833-320A94F8F1E0}"/>
    <cellStyle name="Good 2" xfId="1430" xr:uid="{3B1EF46A-7093-406C-91AD-D8C366A7261F}"/>
    <cellStyle name="Good 3" xfId="1431" xr:uid="{9E355065-F565-47C8-8E86-7DD7F2CF02BE}"/>
    <cellStyle name="Good 4" xfId="1432" xr:uid="{366C4481-A653-449C-BAED-F27E37EB5407}"/>
    <cellStyle name="Good 5" xfId="1429" xr:uid="{E93669AC-6E39-45C7-88E8-6790014962BE}"/>
    <cellStyle name="Grey" xfId="1433" xr:uid="{DFF1E30B-A0EB-4B13-B920-4E63F53FCBB1}"/>
    <cellStyle name="Grey 2" xfId="1434" xr:uid="{BFC8BF54-E354-493B-9978-EE9E54508AAC}"/>
    <cellStyle name="Grey 2 2" xfId="1435" xr:uid="{C01B0267-C9C6-4BB9-A599-A9AC906AA740}"/>
    <cellStyle name="Grey 3" xfId="1436" xr:uid="{8A221847-5179-47FD-A7C0-25748F94579C}"/>
    <cellStyle name="Grey 3 2" xfId="1437" xr:uid="{F664C6D1-8EA7-49ED-9322-4AA2AC8E59D4}"/>
    <cellStyle name="Grey 4" xfId="1438" xr:uid="{FC342122-7BD6-474B-A62A-2E989127130D}"/>
    <cellStyle name="Grey_vol-contrib" xfId="1439" xr:uid="{994531BB-F221-4394-8B73-F60757A1571A}"/>
    <cellStyle name="hayatl" xfId="1440" xr:uid="{0D36EF3B-F1EA-49B7-9E03-234410063420}"/>
    <cellStyle name="hayatl 2" xfId="1441" xr:uid="{0B82D62E-9841-4715-82AB-3434D463736F}"/>
    <cellStyle name="hayatl 2 2" xfId="1442" xr:uid="{E1218CDC-DC67-4C84-9614-74A5BBF81EC4}"/>
    <cellStyle name="hayatl 2 2 2" xfId="1443" xr:uid="{709B7118-1488-45F3-84EC-1C32C1A883C7}"/>
    <cellStyle name="hayatl 2 3" xfId="1444" xr:uid="{7AEC8EFD-0B66-463E-9A4E-262984BAE781}"/>
    <cellStyle name="hayatl 2 3 2" xfId="1445" xr:uid="{634723AC-8C8F-4AAD-9274-95E769D9B5DD}"/>
    <cellStyle name="hayatl 2 4" xfId="1446" xr:uid="{3D5F41D4-1D6E-4C9B-82B7-948BF4E0701B}"/>
    <cellStyle name="hayatl 2 4 2" xfId="1447" xr:uid="{B0A41FB9-848F-46FE-A375-DA585A8D8ABC}"/>
    <cellStyle name="hayatl 2 5" xfId="1448" xr:uid="{9BC61483-BCAE-482F-8204-093A7EAE56BB}"/>
    <cellStyle name="hayatl 2_all Delmas Slots Costs 20120316" xfId="1449" xr:uid="{B9075104-DD93-4C47-9865-083D25E97CCF}"/>
    <cellStyle name="hayatl 3" xfId="1450" xr:uid="{CF5C57F1-8C72-4428-BA8B-D8F0F4D9CB0B}"/>
    <cellStyle name="hayatl 3 2" xfId="1451" xr:uid="{CB2A7B4A-16FF-4AF2-A8E4-68A343DBAD1B}"/>
    <cellStyle name="hayatl 4" xfId="1452" xr:uid="{6A62D37E-5DD0-4147-BCBB-F4F29C6B1FBF}"/>
    <cellStyle name="hayatl 4 2" xfId="1453" xr:uid="{1B700CB0-F881-4722-9C2E-A5E269AD53CE}"/>
    <cellStyle name="hayatl_08 RESULTAT Août 2011" xfId="1454" xr:uid="{29854B9A-C187-4354-ADB2-30E7A318ACF2}"/>
    <cellStyle name="HEADER" xfId="1455" xr:uid="{5EA0D130-084E-4CC0-A80A-3ACE7C2C2A85}"/>
    <cellStyle name="Header1" xfId="1456" xr:uid="{622CB371-4B9B-477C-9129-5814DD4D065D}"/>
    <cellStyle name="Header2" xfId="1457" xr:uid="{D73021CA-43BE-4D9F-82DD-6CC6971AFFB6}"/>
    <cellStyle name="Header2 2" xfId="1458" xr:uid="{1F187E51-94C6-4555-9B28-80E39E488C1E}"/>
    <cellStyle name="Header2 2 2" xfId="1459" xr:uid="{91B000C9-F3B2-45BD-8704-0A1EFF39E310}"/>
    <cellStyle name="Header2 2 2 2" xfId="2806" xr:uid="{0056F902-F85D-4D7A-AB1E-BED0B992DD4D}"/>
    <cellStyle name="Header2 2 3" xfId="2805" xr:uid="{C3E24E25-2424-43C3-AA55-29AB304B0085}"/>
    <cellStyle name="Header2 3" xfId="1460" xr:uid="{796F0280-2360-4574-9316-AEC3A60F7CF4}"/>
    <cellStyle name="Header2 3 2" xfId="1461" xr:uid="{C589375D-DCBA-4D83-B988-60BDFEB78961}"/>
    <cellStyle name="Header2 3 2 2" xfId="2808" xr:uid="{96DC04D2-37F1-4BEF-818C-609648969AB0}"/>
    <cellStyle name="Header2 3 3" xfId="2807" xr:uid="{1A7FF42D-9FC3-42B6-AE30-E7D05227E1FC}"/>
    <cellStyle name="Header2 4" xfId="1462" xr:uid="{E0A2DAF4-EAAA-4DBC-876E-AC9443E89F27}"/>
    <cellStyle name="Header2 4 2" xfId="2809" xr:uid="{4BDD2930-4456-4F21-97F8-4E7B086E2E2E}"/>
    <cellStyle name="Header2 5" xfId="2804" xr:uid="{352E0B40-DE56-465B-8D72-2E1B3A524FA8}"/>
    <cellStyle name="Heading" xfId="1463" xr:uid="{4F924AA0-F4CB-4474-9D5F-2C99C4A381A2}"/>
    <cellStyle name="Heading 1 2" xfId="1465" xr:uid="{A8C679B5-12D0-4798-A900-E7B05ACB7965}"/>
    <cellStyle name="Heading 1 2 2" xfId="1466" xr:uid="{786A16A6-B159-4B58-98C1-32FE3CF14DB4}"/>
    <cellStyle name="Heading 1 2 2 2" xfId="1467" xr:uid="{C3C6C73F-2735-4B7F-B355-FE622431985C}"/>
    <cellStyle name="Heading 1 2 3" xfId="1468" xr:uid="{9774F32C-4F78-432A-ABF2-0E9F0BCD2BD5}"/>
    <cellStyle name="Heading 1 2 3 2" xfId="1469" xr:uid="{E0D5C02C-6F09-493C-808E-7407D3DAE85D}"/>
    <cellStyle name="Heading 1 2 4" xfId="1470" xr:uid="{41989459-6832-4F66-B96D-7F56CFC7A9BA}"/>
    <cellStyle name="Heading 1 2 4 2" xfId="1471" xr:uid="{BDEF26DA-2668-4543-8CE3-0C6276A82385}"/>
    <cellStyle name="Heading 1 2 5" xfId="1472" xr:uid="{CD6CACF2-6513-4444-A745-EB263C9E9E6C}"/>
    <cellStyle name="Heading 1 2 5 2" xfId="1473" xr:uid="{5FD3059F-9D1D-4E9A-A7BF-F45F1ED8D627}"/>
    <cellStyle name="Heading 1 2 6" xfId="1474" xr:uid="{9AD01E9E-8D2B-437F-A5F6-9D20248F1350}"/>
    <cellStyle name="Heading 1 2_vol-contrib" xfId="1475" xr:uid="{ECB3F975-58D0-4E95-B26A-2A175EDA3B65}"/>
    <cellStyle name="Heading 1 3" xfId="1476" xr:uid="{3508DFC6-C30E-453A-BB94-15AB14C7678A}"/>
    <cellStyle name="Heading 1 4" xfId="1464" xr:uid="{7E930529-3ED9-470E-BA5A-E9595A3DF1B5}"/>
    <cellStyle name="Heading 1 5" xfId="2811" xr:uid="{742255AC-B34F-44B6-984E-75F967563A17}"/>
    <cellStyle name="Heading 1 6" xfId="2794" xr:uid="{AF6FBBBE-C161-44FF-B5A1-D2FDDB841E33}"/>
    <cellStyle name="Heading 1 7" xfId="2803" xr:uid="{F20D0DD9-1575-4E29-BC57-C4160280084F}"/>
    <cellStyle name="Heading 2 2" xfId="1478" xr:uid="{1058450E-EC52-48DD-A7B0-7A19214560FE}"/>
    <cellStyle name="Heading 2 2 2" xfId="1479" xr:uid="{D109F7F3-840F-40C4-945D-C8D1C5E51DA4}"/>
    <cellStyle name="Heading 2 2 2 2" xfId="1480" xr:uid="{8FE16B96-A08D-4579-8D49-9F48F66BB880}"/>
    <cellStyle name="Heading 2 2 3" xfId="1481" xr:uid="{48338D1F-3208-4E57-882D-8F20783D828B}"/>
    <cellStyle name="Heading 2 2 3 2" xfId="1482" xr:uid="{EB49E688-D3D2-4E73-AC6A-BB1796475779}"/>
    <cellStyle name="Heading 2 2 4" xfId="1483" xr:uid="{16BEACE6-A352-4FAB-B43F-0BF3C31447B4}"/>
    <cellStyle name="Heading 2 2 4 2" xfId="1484" xr:uid="{FBA412D6-A02E-4E08-928E-F76A24404A04}"/>
    <cellStyle name="Heading 2 2 5" xfId="1485" xr:uid="{F9C4257C-9463-4AA1-8014-8BCA6CD389F6}"/>
    <cellStyle name="Heading 2 2 5 2" xfId="1486" xr:uid="{DDD2B04D-1487-4E00-9D8C-4C84A04BA839}"/>
    <cellStyle name="Heading 2 2 6" xfId="1487" xr:uid="{F255F156-037C-48AE-BEDF-F6674102FF59}"/>
    <cellStyle name="Heading 2 2_vol-contrib" xfId="1488" xr:uid="{2BA559C7-6A9A-4B89-B8F7-890C7C5A87AD}"/>
    <cellStyle name="Heading 2 3" xfId="1489" xr:uid="{B4D407CC-BD1F-4589-8403-D3BA9B4D6868}"/>
    <cellStyle name="Heading 2 4" xfId="1477" xr:uid="{85C7BFE6-9D87-4115-9FDB-E588B149FFC8}"/>
    <cellStyle name="Heading 2 5" xfId="2813" xr:uid="{F535A8D8-540F-435B-8EF0-EB982756AFC7}"/>
    <cellStyle name="Heading 2 6" xfId="2793" xr:uid="{E2CDED84-7A4A-4DE7-9673-3E523FC6193B}"/>
    <cellStyle name="Heading 2 7" xfId="2812" xr:uid="{BD8FAB21-59B7-4FD3-BC9A-3BAD630B1BC5}"/>
    <cellStyle name="Heading 3 2" xfId="1491" xr:uid="{8765AA14-16E0-4D9F-9203-6B9F9253A52B}"/>
    <cellStyle name="Heading 3 3" xfId="1492" xr:uid="{6D4ACBB0-3F20-4BDB-AA7D-1ED382A9E848}"/>
    <cellStyle name="Heading 3 4" xfId="1493" xr:uid="{F3D4094A-5C64-4F4E-A150-99E2ABCB93C1}"/>
    <cellStyle name="Heading 3 5" xfId="1494" xr:uid="{9789CE43-DD74-4D81-8829-EA52EC1B8FC5}"/>
    <cellStyle name="Heading 3 6" xfId="1490" xr:uid="{ED078071-CF65-4903-9460-6567A3AD14CA}"/>
    <cellStyle name="Heading 4 2" xfId="1496" xr:uid="{F7619E91-E404-4FC3-A805-90B42FFAC22A}"/>
    <cellStyle name="Heading 4 3" xfId="1497" xr:uid="{052E9293-42F0-46C9-869E-2D57C9A01817}"/>
    <cellStyle name="Heading 4 4" xfId="1498" xr:uid="{1C7B1CFE-766C-4565-9732-2A746EFFF518}"/>
    <cellStyle name="Heading 4 5" xfId="1495" xr:uid="{6338E565-4A49-491D-B7C3-9214C8933A9A}"/>
    <cellStyle name="Heading 5" xfId="1499" xr:uid="{7A4C1B59-4CA2-484B-9CCD-3E41204EB5EC}"/>
    <cellStyle name="Heading 6" xfId="2810" xr:uid="{D20874B9-0D69-4A07-A635-4D3A8B74A732}"/>
    <cellStyle name="Heading 7" xfId="2795" xr:uid="{DB9C7A1A-4D05-4F0E-8906-72B62D0421BF}"/>
    <cellStyle name="Heading 8" xfId="2802" xr:uid="{6FA14344-438E-4522-8D0F-2C8995D2BB66}"/>
    <cellStyle name="Heading Right" xfId="1500" xr:uid="{9F73157C-70D4-4F9E-B2C2-E2D14DB2D671}"/>
    <cellStyle name="Heading Year" xfId="1501" xr:uid="{F55D1B1F-46CC-46A5-A401-BE16126A246E}"/>
    <cellStyle name="Heading1" xfId="1502" xr:uid="{28A31686-2A0A-412C-B71C-9068CB853DD9}"/>
    <cellStyle name="Heading1 2" xfId="1503" xr:uid="{C5D001D1-D49F-47AB-A6B4-DB8FCFA16FE8}"/>
    <cellStyle name="Heading1 2 2" xfId="1504" xr:uid="{850425BB-0F52-47B4-8D58-2FECC6A5985C}"/>
    <cellStyle name="Heading1 2 2 2" xfId="1505" xr:uid="{A41E8B7D-83CD-418D-AC84-455C89B1B492}"/>
    <cellStyle name="Heading1 2 3" xfId="1506" xr:uid="{98EF43F0-0F0E-493C-AC6B-5066B6E29086}"/>
    <cellStyle name="Heading1 2 3 2" xfId="1507" xr:uid="{43FAD944-D800-4ABA-B0C8-A0AD381236E9}"/>
    <cellStyle name="Heading1 2 4" xfId="1508" xr:uid="{46B42779-A988-43DC-9099-FB59D6FC8962}"/>
    <cellStyle name="Heading1 2 4 2" xfId="1509" xr:uid="{CA1D2B7D-B1EF-4662-8EE1-D20224240301}"/>
    <cellStyle name="Heading1 2 5" xfId="1510" xr:uid="{5374D0BA-3B33-48D3-B180-2231D8A90147}"/>
    <cellStyle name="Heading1 3" xfId="1511" xr:uid="{FF5DE232-EEA9-451B-84F0-2F262D4F63D4}"/>
    <cellStyle name="Heading1 3 2" xfId="1512" xr:uid="{6247AC8F-60FC-4844-BC28-183E615FEF37}"/>
    <cellStyle name="Heading1 4" xfId="1513" xr:uid="{C8ED593F-9CF9-4956-A767-A88FB0EA56F7}"/>
    <cellStyle name="Heading1 4 2" xfId="1514" xr:uid="{693EB19F-7C89-4A24-AE95-2A3CFB03DA59}"/>
    <cellStyle name="Heading1 5" xfId="1515" xr:uid="{DA749E5E-A3C4-4C94-A568-CFE7A34AC213}"/>
    <cellStyle name="Heading1 5 2" xfId="1516" xr:uid="{66691B1D-1999-4AB9-8EE5-462D1A9E8F1A}"/>
    <cellStyle name="Heading1_Aenne Rickmers" xfId="1517" xr:uid="{4438DA2A-0E38-4AE1-A3E6-52EBA16BAFAF}"/>
    <cellStyle name="Heading2" xfId="1518" xr:uid="{32D5A1D7-149D-4E67-9F11-AED049FEFDB8}"/>
    <cellStyle name="Heading2 2" xfId="1519" xr:uid="{0D352BDD-9A33-4E4F-BB2A-24390BDBA495}"/>
    <cellStyle name="Heading2 2 2" xfId="1520" xr:uid="{FB7ED32A-FFC6-47DC-BC13-7C5DD081DDCA}"/>
    <cellStyle name="Heading2 2 2 2" xfId="1521" xr:uid="{67A12391-2BB0-422E-9111-E2FE06E96E80}"/>
    <cellStyle name="Heading2 2 3" xfId="1522" xr:uid="{6A827613-33E3-4365-803C-9B4E27C1921F}"/>
    <cellStyle name="Heading2 2 3 2" xfId="1523" xr:uid="{C2534447-7910-47CE-AECB-F0358FA9EEB6}"/>
    <cellStyle name="Heading2 2 4" xfId="1524" xr:uid="{6004E68E-B6C6-4634-AA59-5F142BD92B98}"/>
    <cellStyle name="Heading2 2 4 2" xfId="1525" xr:uid="{73E3ADA8-D908-4A8C-8CAA-319A70DC2253}"/>
    <cellStyle name="Heading2 2 5" xfId="1526" xr:uid="{12BAB31B-68B5-42C5-9785-197CEC64C482}"/>
    <cellStyle name="Heading2 3" xfId="1527" xr:uid="{93929BC6-3CAE-44FF-92A2-EFA3FF258173}"/>
    <cellStyle name="Heading2 3 2" xfId="1528" xr:uid="{27D6C9D5-EDF1-4DF3-A132-804B05A9607F}"/>
    <cellStyle name="Heading2 4" xfId="1529" xr:uid="{1071AF01-B9BE-4F01-ABBA-3FB79A306DA9}"/>
    <cellStyle name="Heading2 4 2" xfId="1530" xr:uid="{99A76088-052C-4846-8609-5E8B13BCCFBB}"/>
    <cellStyle name="Heading2 5" xfId="1531" xr:uid="{797C4272-1732-499E-B726-33CAAD250876}"/>
    <cellStyle name="Heading2 5 2" xfId="1532" xr:uid="{2787E34B-5605-44FA-997C-663BE4A3AFAB}"/>
    <cellStyle name="Heading2_Aenne Rickmers" xfId="1533" xr:uid="{81A988F6-19A6-45E1-AAA9-4A38EC832671}"/>
    <cellStyle name="HIGHLIGHT" xfId="1534" xr:uid="{544FDF46-4F29-40F8-A83E-870D42D48F6A}"/>
    <cellStyle name="HIGHLIGHT 2" xfId="1535" xr:uid="{F10E8DC6-43A6-44D0-BF2E-BB000487F8D8}"/>
    <cellStyle name="Hyperlink" xfId="1536" xr:uid="{813EC556-7B60-4510-8412-F70D8DA69010}"/>
    <cellStyle name="Hyperlink 2" xfId="1537" xr:uid="{2771A644-710B-4D05-B450-5BC3E9CAED18}"/>
    <cellStyle name="Hyperlink 2 2" xfId="1538" xr:uid="{6F213B12-DCD4-4DAC-9DD8-42A9A3E44941}"/>
    <cellStyle name="Hyperlink 3" xfId="1539" xr:uid="{5C3DA30C-6CCB-44BC-8C9B-1D39D15FF42E}"/>
    <cellStyle name="Hyperlink 3 2" xfId="1540" xr:uid="{2D87198A-0850-4859-A5E6-3F66F0C78F39}"/>
    <cellStyle name="Hyperlink 4" xfId="1541" xr:uid="{6A9D0ECD-FAD1-4094-9E8A-5C0A94EC0AF3}"/>
    <cellStyle name="Hyperlink_all Delmas Slots Costs 20120316" xfId="1542" xr:uid="{2B06D95B-24F1-4D98-8F55-C73E4EF44A38}"/>
    <cellStyle name="Incorrecto" xfId="2865" xr:uid="{ABAE00A2-1186-4C24-AFAB-3DAC5193FCCA}"/>
    <cellStyle name="Input [yellow]" xfId="1544" xr:uid="{D6EFC6CA-AC9B-408C-AC28-F6400CB4337D}"/>
    <cellStyle name="Input [yellow] 2" xfId="1545" xr:uid="{6789FC6A-83B2-4BBF-8E88-51F29E93B334}"/>
    <cellStyle name="Input [yellow] 2 2" xfId="1546" xr:uid="{926EB7AA-0E69-44D8-88E5-F49060E19BD8}"/>
    <cellStyle name="Input [yellow] 2 2 2" xfId="1547" xr:uid="{A8A675A5-1CEF-48CC-861F-2A039070C3C0}"/>
    <cellStyle name="Input [yellow] 2 2 2 2" xfId="1548" xr:uid="{1615C101-00A8-466F-A14A-EF458FF2EF14}"/>
    <cellStyle name="Input [yellow] 2 2 2 2 2" xfId="2820" xr:uid="{E80845C5-691B-482A-A1AE-DB754233AD8D}"/>
    <cellStyle name="Input [yellow] 2 2 2 3" xfId="2819" xr:uid="{049B05BA-DB01-48EA-8F90-9D12E778F2A1}"/>
    <cellStyle name="Input [yellow] 2 2 3" xfId="1549" xr:uid="{FD5782EA-C8DC-420F-8B37-A39B1A30E1C0}"/>
    <cellStyle name="Input [yellow] 2 2 3 2" xfId="1550" xr:uid="{B82CA449-6308-4CD7-AB54-4D0D57E4E0D5}"/>
    <cellStyle name="Input [yellow] 2 2 3 2 2" xfId="2822" xr:uid="{E1DBFB32-22C0-423A-B1EC-8FFEAC9F1455}"/>
    <cellStyle name="Input [yellow] 2 2 3 3" xfId="2821" xr:uid="{6BDB058C-2901-488F-B702-0C478BAA39A9}"/>
    <cellStyle name="Input [yellow] 2 2 4" xfId="1551" xr:uid="{646C8AAC-235C-4A13-AA8C-818F9BACCE18}"/>
    <cellStyle name="Input [yellow] 2 2 4 2" xfId="2823" xr:uid="{B4BB3CE5-4237-4B47-87F6-DADAE0DD1F5C}"/>
    <cellStyle name="Input [yellow] 2 2 5" xfId="2818" xr:uid="{87A224E3-F9CB-4ABD-9CC0-0787977C2ABB}"/>
    <cellStyle name="Input [yellow] 2 3" xfId="1552" xr:uid="{6E367F96-88A3-403E-B05C-43650BBAEE2D}"/>
    <cellStyle name="Input [yellow] 2 3 2" xfId="1553" xr:uid="{1FF3F77F-7F0D-4BA3-85BE-67C204DD39B7}"/>
    <cellStyle name="Input [yellow] 2 3 2 2" xfId="2825" xr:uid="{44CB5FF9-51DD-49D1-918D-AAD81C34A81B}"/>
    <cellStyle name="Input [yellow] 2 3 3" xfId="2824" xr:uid="{D4800EE6-5295-418F-BB03-15C7FB209279}"/>
    <cellStyle name="Input [yellow] 2 4" xfId="1554" xr:uid="{2EA85701-9DF7-49FB-BE8B-706C2487BD8D}"/>
    <cellStyle name="Input [yellow] 2 4 2" xfId="1555" xr:uid="{1189A12A-A2FC-4BBA-9BED-2148C1985AB7}"/>
    <cellStyle name="Input [yellow] 2 4 2 2" xfId="2827" xr:uid="{395DA2B8-91CE-4414-B8F6-8A99F896CD43}"/>
    <cellStyle name="Input [yellow] 2 4 3" xfId="2826" xr:uid="{CCE3694D-5C01-44C9-89BC-4B48B8D4738D}"/>
    <cellStyle name="Input [yellow] 2 5" xfId="1556" xr:uid="{8D5E5588-6499-466D-AA4F-80C1D7201C33}"/>
    <cellStyle name="Input [yellow] 2 5 2" xfId="2828" xr:uid="{3E719206-BE75-4B18-9E41-2E48635B1768}"/>
    <cellStyle name="Input [yellow] 2 6" xfId="2817" xr:uid="{AABE3D32-27AE-478E-BDDF-411304ABCF18}"/>
    <cellStyle name="Input [yellow] 3" xfId="1557" xr:uid="{D44B1494-15C8-4E10-A975-01EE64FA825A}"/>
    <cellStyle name="Input [yellow] 3 2" xfId="1558" xr:uid="{0ADEB1D3-029C-4A46-B43E-CDC45163D50B}"/>
    <cellStyle name="Input [yellow] 3 2 2" xfId="1559" xr:uid="{9AD6E572-13A6-43E8-9E26-0839B8B9627E}"/>
    <cellStyle name="Input [yellow] 3 2 2 2" xfId="1560" xr:uid="{059A8191-E0FC-4622-9809-34A63CD02D6C}"/>
    <cellStyle name="Input [yellow] 3 2 2 2 2" xfId="2832" xr:uid="{A693D42E-AC78-4C00-9381-F461193D6DA7}"/>
    <cellStyle name="Input [yellow] 3 2 2 3" xfId="2831" xr:uid="{DCBE6353-C331-4160-B81F-80743740C8F6}"/>
    <cellStyle name="Input [yellow] 3 2 3" xfId="1561" xr:uid="{DD492AE1-725A-46D5-9305-BF98FC6AC818}"/>
    <cellStyle name="Input [yellow] 3 2 3 2" xfId="1562" xr:uid="{B21D1780-5061-4CDE-BABF-E04EC54CE730}"/>
    <cellStyle name="Input [yellow] 3 2 3 2 2" xfId="2834" xr:uid="{9FBF9F8D-81DE-4148-B703-0CAD5E99D5CB}"/>
    <cellStyle name="Input [yellow] 3 2 3 3" xfId="2833" xr:uid="{FB7D58ED-0898-40E9-B550-BAD9937B5067}"/>
    <cellStyle name="Input [yellow] 3 2 4" xfId="1563" xr:uid="{009D260F-B90A-4376-9143-6F30ED1CA7D6}"/>
    <cellStyle name="Input [yellow] 3 2 4 2" xfId="2835" xr:uid="{ECBAED7A-8A95-478D-AA6D-194E1E8A746A}"/>
    <cellStyle name="Input [yellow] 3 2 5" xfId="2830" xr:uid="{DD24F869-5E45-458B-A0FE-48986134BE1A}"/>
    <cellStyle name="Input [yellow] 3 3" xfId="1564" xr:uid="{625F2827-C32C-449B-B85B-0BFD83A3D3E9}"/>
    <cellStyle name="Input [yellow] 3 3 2" xfId="1565" xr:uid="{3EF325FA-F8EF-4FE5-8602-F1BEB07763C8}"/>
    <cellStyle name="Input [yellow] 3 3 2 2" xfId="2837" xr:uid="{D90106FF-45DE-4C78-BF89-7F9D2161BD6C}"/>
    <cellStyle name="Input [yellow] 3 3 3" xfId="2836" xr:uid="{F6A8A6F4-9A5F-4BE7-BBD6-929F3BA8718A}"/>
    <cellStyle name="Input [yellow] 3 4" xfId="1566" xr:uid="{3D61EC27-6018-4E82-AA9E-F11338651EB7}"/>
    <cellStyle name="Input [yellow] 3 4 2" xfId="1567" xr:uid="{8DD3226F-E493-47C8-888A-DC3B01A49B43}"/>
    <cellStyle name="Input [yellow] 3 4 2 2" xfId="2839" xr:uid="{CFCAE446-41C3-49D6-B661-F6867646DBBF}"/>
    <cellStyle name="Input [yellow] 3 4 3" xfId="2838" xr:uid="{7C725E54-3B7B-4036-8C00-7A3881209D5D}"/>
    <cellStyle name="Input [yellow] 3 5" xfId="1568" xr:uid="{18E0F825-A0EE-4DE7-858C-02246A9C45CA}"/>
    <cellStyle name="Input [yellow] 3 5 2" xfId="2840" xr:uid="{B28E4BBF-096E-4E10-8159-217FD603B8D1}"/>
    <cellStyle name="Input [yellow] 3 6" xfId="2829" xr:uid="{D5A4F65F-B819-4A0F-868B-2E53C7000B19}"/>
    <cellStyle name="Input [yellow] 4" xfId="1569" xr:uid="{AE46A631-5BD2-4F48-968B-FE8BADDA57B5}"/>
    <cellStyle name="Input [yellow] 4 2" xfId="1570" xr:uid="{7326CD06-3889-443F-A7C6-3A350C20F8B1}"/>
    <cellStyle name="Input [yellow] 4 2 2" xfId="2842" xr:uid="{AA019BD5-5843-40D9-8090-6A32D0D62559}"/>
    <cellStyle name="Input [yellow] 4 3" xfId="2841" xr:uid="{D98574FE-63C1-439B-BA58-F661FF9F54CB}"/>
    <cellStyle name="Input [yellow] 5" xfId="1571" xr:uid="{D4A264C9-92E5-4801-8D6A-A41B18C3F8A3}"/>
    <cellStyle name="Input [yellow] 5 2" xfId="1572" xr:uid="{25457E8A-7185-48E3-9BC5-CB00F7212E33}"/>
    <cellStyle name="Input [yellow] 5 2 2" xfId="2844" xr:uid="{512D6E51-93B8-495F-BA6D-5783D312D3C2}"/>
    <cellStyle name="Input [yellow] 5 3" xfId="2843" xr:uid="{1040FBD2-E9F5-4BB9-93BC-36841FF6492C}"/>
    <cellStyle name="Input [yellow] 6" xfId="1573" xr:uid="{3A4128DB-346B-4046-8682-1D6F9BAC5FC4}"/>
    <cellStyle name="Input [yellow] 6 2" xfId="2845" xr:uid="{41817216-FB2E-489E-B8B1-063EF4E630C5}"/>
    <cellStyle name="Input [yellow] 7" xfId="1574" xr:uid="{DCFCBDF4-B45E-4A2A-AB4D-81F9CFA7F70E}"/>
    <cellStyle name="Input [yellow] 7 2" xfId="2846" xr:uid="{477B7A49-AC2A-44DF-846C-07361E790162}"/>
    <cellStyle name="Input [yellow] 8" xfId="2816" xr:uid="{1831804F-5CCD-409E-BAB7-7937789BCC97}"/>
    <cellStyle name="Input [yellow]_vol-contrib" xfId="1575" xr:uid="{91BB923E-E49A-4E9B-A0F1-EF6599A012C5}"/>
    <cellStyle name="Input 10" xfId="1576" xr:uid="{8822FC6A-1E00-41D7-BB02-EAFB198DBB19}"/>
    <cellStyle name="Input 11" xfId="1577" xr:uid="{69FE4DD1-F322-4AE7-BC5E-C7A1B53CF80A}"/>
    <cellStyle name="Input 12" xfId="1543" xr:uid="{39B1E437-299F-415F-A4C8-42445E869E6F}"/>
    <cellStyle name="Input 13" xfId="2815" xr:uid="{DB8C82C7-C453-426D-AF7D-64C3ACC95359}"/>
    <cellStyle name="Input 14" xfId="2792" xr:uid="{43305807-C0F1-488C-B3F4-D4FFB009F5E7}"/>
    <cellStyle name="Input 15" xfId="2814" xr:uid="{8C058D69-6EF4-4DF1-822A-8FF28D84369B}"/>
    <cellStyle name="Input 2" xfId="1578" xr:uid="{CC76731B-7616-41DF-930D-F854FE116DC8}"/>
    <cellStyle name="Input 2 2" xfId="1579" xr:uid="{DD67FFBD-5194-4093-AC23-3D52EDE3736D}"/>
    <cellStyle name="Input 2 2 2" xfId="1580" xr:uid="{43FEBEB1-4AEB-490E-8450-EAA186974CA5}"/>
    <cellStyle name="Input 2 2 2 2" xfId="1581" xr:uid="{F22AD6D8-BAFE-4E9A-B117-218DB4657E3B}"/>
    <cellStyle name="Input 2 2 3" xfId="1582" xr:uid="{BD7465CC-FB2D-492E-86F3-942EC721CF22}"/>
    <cellStyle name="Input 2 2 3 2" xfId="1583" xr:uid="{832511B4-4A1B-4118-B916-34ECCECB1EC5}"/>
    <cellStyle name="Input 2 2 4" xfId="1584" xr:uid="{FB0FAD0D-2B13-49AA-B69C-09BD21F76228}"/>
    <cellStyle name="Input 2 3" xfId="1585" xr:uid="{0501D0DF-3E93-4A27-A8A3-7656F61D3D50}"/>
    <cellStyle name="Input 2 3 2" xfId="1586" xr:uid="{65793A92-F8A7-4EDC-A865-866DA7A0CF83}"/>
    <cellStyle name="Input 2 3 2 2" xfId="1587" xr:uid="{DF90D828-C083-443B-8C2D-C45543696307}"/>
    <cellStyle name="Input 2 3 3" xfId="1588" xr:uid="{3CFD75CC-7517-4D19-8EA6-E7FE45A007CE}"/>
    <cellStyle name="Input 2 3 3 2" xfId="1589" xr:uid="{3446A490-8509-4D98-BB25-E41801FAEAF3}"/>
    <cellStyle name="Input 2 3 4" xfId="1590" xr:uid="{BEAE37EF-5023-48CC-AF48-D64D6B5FC3DF}"/>
    <cellStyle name="Input 2 4" xfId="1591" xr:uid="{1044040F-CA0E-4F6D-8F5A-41637367D4A2}"/>
    <cellStyle name="Input 2 4 2" xfId="1592" xr:uid="{7EA707DE-1B83-4736-B4AF-C0AA003BAB80}"/>
    <cellStyle name="Input 2 5" xfId="1593" xr:uid="{EFF15666-C6C6-41AF-93F7-2F78C99F6D30}"/>
    <cellStyle name="Input 2 5 2" xfId="1594" xr:uid="{F9AC8912-07AD-4B0A-904A-972E35DAB99E}"/>
    <cellStyle name="Input 2 6" xfId="1595" xr:uid="{87985067-8882-49BF-A3F5-E0B55AE052AD}"/>
    <cellStyle name="Input 3" xfId="1596" xr:uid="{331CD24F-3DD1-4F60-8A23-790542CA5430}"/>
    <cellStyle name="Input 3 2" xfId="1597" xr:uid="{8BE7E3A0-BE2B-4FDF-A04A-3D8C09FC78D2}"/>
    <cellStyle name="Input 3 2 2" xfId="1598" xr:uid="{4189CF22-2290-4423-85A1-776854F4180A}"/>
    <cellStyle name="Input 3 3" xfId="1599" xr:uid="{DE70F89F-69FB-47EA-A674-F205A0DB4C7B}"/>
    <cellStyle name="Input 3 3 2" xfId="1600" xr:uid="{51EAD854-38DF-490E-8DD4-CBA76EEE3D1B}"/>
    <cellStyle name="Input 3 4" xfId="1601" xr:uid="{AD169E35-4DB1-43FB-A46E-585781E1DED8}"/>
    <cellStyle name="Input 4" xfId="1602" xr:uid="{9C05C84B-8C2D-4090-880A-9B37B5291B88}"/>
    <cellStyle name="Input 4 2" xfId="1603" xr:uid="{580366C9-7904-4BE7-AE14-66ED6110D9CC}"/>
    <cellStyle name="Input 4 2 2" xfId="1604" xr:uid="{8741BEFF-9F83-40D3-BBF2-7D2E4E6B29EA}"/>
    <cellStyle name="Input 4 3" xfId="1605" xr:uid="{E6E525D8-F92C-4616-B29B-45269E70DD03}"/>
    <cellStyle name="Input 4 3 2" xfId="1606" xr:uid="{A3CEBB96-0952-46E1-A5AE-E774544DF668}"/>
    <cellStyle name="Input 4 4" xfId="1607" xr:uid="{B8506E28-9CA4-46EC-BAB0-B6B3A982FD4F}"/>
    <cellStyle name="Input 5" xfId="1608" xr:uid="{A37CB281-A2D0-41B5-861D-2FAF1CB46546}"/>
    <cellStyle name="Input 5 2" xfId="1609" xr:uid="{96B80078-862D-4D33-8DC2-A9416F5C2F69}"/>
    <cellStyle name="Input 6" xfId="1610" xr:uid="{49F53FFB-FE9E-4FC1-9B29-939A5F177744}"/>
    <cellStyle name="Input 6 2" xfId="1611" xr:uid="{F0C3B765-1C09-487D-91A3-321FD8C2C766}"/>
    <cellStyle name="Input 7" xfId="1612" xr:uid="{FE01F39F-C6AA-4EA5-9215-F4BD1B9353F2}"/>
    <cellStyle name="Input 7 2" xfId="1613" xr:uid="{51244542-3157-42FE-B356-8B6452837775}"/>
    <cellStyle name="Input 8" xfId="1614" xr:uid="{4428CDBF-A7B9-4F9D-A850-5A461C37ED86}"/>
    <cellStyle name="Input 8 2" xfId="1615" xr:uid="{9DE678B4-54DB-4839-897A-20AC3B13B23D}"/>
    <cellStyle name="Input 9" xfId="1616" xr:uid="{0F105143-CEFC-43E8-A928-928EE0D6144C}"/>
    <cellStyle name="Input 9 2" xfId="1617" xr:uid="{5F23060A-6F9A-4284-9904-BA14C1533A79}"/>
    <cellStyle name="Input Cells" xfId="1618" xr:uid="{B23C2922-7000-4217-95DE-0FF7398DD980}"/>
    <cellStyle name="Input Cells 2" xfId="1619" xr:uid="{6022B683-EE8B-4190-AA5A-206CA1DF4389}"/>
    <cellStyle name="Input Cells 2 2" xfId="1620" xr:uid="{094DDD7B-86C3-4121-9124-477BC3F84434}"/>
    <cellStyle name="Input Cells 3" xfId="1621" xr:uid="{42AE0D18-55A6-4BB6-BECB-39A1268E8D98}"/>
    <cellStyle name="Input Cells 3 2" xfId="1622" xr:uid="{68BEC9F1-DFA7-4AA9-A070-DB435379C1DB}"/>
    <cellStyle name="Input Cells 4" xfId="1623" xr:uid="{70963A84-BC5D-4AEA-8D94-2690AD69B1DE}"/>
    <cellStyle name="Input Cells_vol-contrib" xfId="1624" xr:uid="{BFDFBB25-6DA3-4B54-BB1C-686D7959745A}"/>
    <cellStyle name="Insatisfaisant 2" xfId="1625" xr:uid="{D9594F5C-5F27-4B5E-BBDA-E30FF0563BF4}"/>
    <cellStyle name="Komma [0]_DECK1F2" xfId="1626" xr:uid="{131FAA2F-16BF-4E24-9DA1-AD07EB025C05}"/>
    <cellStyle name="Komma_DECK1F2" xfId="1627" xr:uid="{415E0657-778A-4861-9F40-3D1FF02C0733}"/>
    <cellStyle name="Lien hypertexte 2" xfId="1628" xr:uid="{51FDBC87-BBF7-4E2C-B03D-27EAAB697574}"/>
    <cellStyle name="Lien hypertexte 2 2" xfId="1629" xr:uid="{58C215BE-F58C-48D0-B822-6F6931BC1DDB}"/>
    <cellStyle name="Link Currency (0)" xfId="1630" xr:uid="{CA7D936F-10F2-4275-93DC-3A6E967A1D3C}"/>
    <cellStyle name="Link Currency (2)" xfId="1631" xr:uid="{9FDA8F55-7E38-40A4-9C80-D51E9830EF7E}"/>
    <cellStyle name="Link Units (0)" xfId="1632" xr:uid="{55B5EC16-0DDE-46EB-86BF-7E174959B8C8}"/>
    <cellStyle name="Link Units (1)" xfId="1633" xr:uid="{DB5F8CC0-B732-4626-87E7-9B8A15E8B809}"/>
    <cellStyle name="Link Units (1) 2" xfId="1634" xr:uid="{F818032F-4425-4F91-B97F-74879A16296B}"/>
    <cellStyle name="Link Units (1) 2 2" xfId="1635" xr:uid="{5067D5C4-7A1B-4A68-B51C-2664B463250E}"/>
    <cellStyle name="Link Units (1) 2 3" xfId="1636" xr:uid="{6E3F89CA-1902-42ED-B092-2856EA1B2F73}"/>
    <cellStyle name="Link Units (1) 2 4" xfId="1637" xr:uid="{DEE38C56-2C20-454E-9D6A-F49C44D39AE2}"/>
    <cellStyle name="Link Units (1) 3" xfId="1638" xr:uid="{06AC7499-E516-4225-882C-53B2E1649488}"/>
    <cellStyle name="Link Units (1)_Aenne Rickmers" xfId="1639" xr:uid="{599468DB-A6AD-45E9-944B-797008E14E92}"/>
    <cellStyle name="Link Units (2)" xfId="1640" xr:uid="{C22C4CFD-99CC-4721-89DE-6D25BFA34DB2}"/>
    <cellStyle name="Linked Cell 2" xfId="1642" xr:uid="{5BFC6DC7-D697-46E8-9B1C-8C8B8575C146}"/>
    <cellStyle name="Linked Cell 3" xfId="1643" xr:uid="{CCF1FC76-C84B-4615-8EFF-4B4B1E0AEC33}"/>
    <cellStyle name="Linked Cell 4" xfId="1644" xr:uid="{877B94AB-A3D6-4C51-B942-B95CDA616E05}"/>
    <cellStyle name="Linked Cell 5" xfId="1641" xr:uid="{1E856159-C7F0-4E32-BB9D-3536198416CB}"/>
    <cellStyle name="Linked Cells" xfId="1645" xr:uid="{11651606-8C9C-4F36-9E61-6264E43BA27B}"/>
    <cellStyle name="Linked Cells 2" xfId="1646" xr:uid="{79B5F4C7-3C48-4061-9CAE-3D5FFCE30C53}"/>
    <cellStyle name="Linked Cells 2 2" xfId="1647" xr:uid="{103CB272-5777-445B-852F-48324DE4443E}"/>
    <cellStyle name="Linked Cells 3" xfId="1648" xr:uid="{4658428E-7883-4483-AE0B-5E777714CCAA}"/>
    <cellStyle name="Linked Cells 3 2" xfId="1649" xr:uid="{89E59FD9-AED4-434B-9694-C697D493CE6E}"/>
    <cellStyle name="Linked Cells 4" xfId="1650" xr:uid="{7B3277DE-5058-4990-B2D1-2565E8466C36}"/>
    <cellStyle name="Linked Cells_vol-contrib" xfId="1651" xr:uid="{B68BB809-76AA-42A0-BA2A-6BCB28434B6B}"/>
    <cellStyle name="Margen" xfId="1652" xr:uid="{007546F5-E9A9-40ED-ACBE-2809686618C2}"/>
    <cellStyle name="Margen 2" xfId="1653" xr:uid="{722EE71F-43AF-47C0-ABD3-5E19EC3404C6}"/>
    <cellStyle name="Migliaia (0)_Cartel2" xfId="1654" xr:uid="{00267D10-D3C0-4535-B770-EE7ECCF57B72}"/>
    <cellStyle name="Migliaia_dimon" xfId="1655" xr:uid="{06A42A82-3DE8-433F-B043-4563411D2AF7}"/>
    <cellStyle name="Millares [0]_BASE" xfId="1656" xr:uid="{2C3CD3E3-2A90-45B8-9A5A-B869876F08AC}"/>
    <cellStyle name="Millares 2" xfId="1657" xr:uid="{A5382558-748B-4042-A7AE-516B0BD0DB5F}"/>
    <cellStyle name="Millares 2 2" xfId="1658" xr:uid="{15BE9FA8-15AF-4AB5-8F7E-E6A2A4309E3C}"/>
    <cellStyle name="Millares_agosto" xfId="1659" xr:uid="{55047F8D-A51D-48D7-BA6A-C2AE92874801}"/>
    <cellStyle name="Milliers [0]_!!!GO" xfId="1660" xr:uid="{D3779CA0-86EA-43D8-93A1-8ADED3993AB0}"/>
    <cellStyle name="Milliers 2" xfId="1661" xr:uid="{A3F3537F-B439-43ED-B636-F15B6AEAE006}"/>
    <cellStyle name="Milliers 2 2" xfId="1662" xr:uid="{B99B7187-3B27-4F39-B170-41D977A5982F}"/>
    <cellStyle name="Milliers 2 2 2" xfId="1663" xr:uid="{8498B96E-84D9-4B76-B4E0-76C8F41DE681}"/>
    <cellStyle name="Milliers 2 3" xfId="1664" xr:uid="{355838DE-B499-4897-9C1C-0ECA92D29588}"/>
    <cellStyle name="Milliers 2 3 2" xfId="1665" xr:uid="{A253FF7E-790E-47EB-97BA-FEDBCB6CB915}"/>
    <cellStyle name="Milliers 2 4" xfId="1666" xr:uid="{C5CEB1DD-F63F-441A-AE89-04C75FFD1A2C}"/>
    <cellStyle name="Milliers 2 4 2" xfId="1667" xr:uid="{3E303AF6-706C-41E3-9090-7AC9B81518CE}"/>
    <cellStyle name="Milliers 2 5" xfId="1668" xr:uid="{5D2DE711-09AC-4C52-8F8F-BC691CEBAE66}"/>
    <cellStyle name="Milliers 2 6" xfId="1669" xr:uid="{4D3389B0-91D8-4F6E-85D4-E4A820D52FA0}"/>
    <cellStyle name="Milliers 2 7" xfId="1670" xr:uid="{B0C5EEB1-5404-42BA-BDB1-62481424176E}"/>
    <cellStyle name="Milliers 2 8" xfId="1671" xr:uid="{121A5A9C-6E55-4A18-B37E-2446C82E97D9}"/>
    <cellStyle name="Milliers 2_vol-contrib" xfId="1672" xr:uid="{F646F51D-0EB3-401F-903A-43B775344AA3}"/>
    <cellStyle name="Milliers 3" xfId="1673" xr:uid="{12ECC511-44E8-4A4D-8D1B-7B68AE497BDA}"/>
    <cellStyle name="Milliers 3 2" xfId="1674" xr:uid="{2D953185-8A75-4653-99E7-88267D00996C}"/>
    <cellStyle name="Milliers 3 2 2" xfId="1675" xr:uid="{B668004B-36CD-4411-AF2E-20782FC88452}"/>
    <cellStyle name="Milliers 3 3" xfId="1676" xr:uid="{6480BEC9-E9C5-438A-8D3D-DBE8E5B87A50}"/>
    <cellStyle name="Milliers 4" xfId="1677" xr:uid="{64E90EFA-3471-455C-8DE5-96A14A154AB1}"/>
    <cellStyle name="Milliers 4 2" xfId="1678" xr:uid="{55141B4E-25BB-434B-9421-FD215930B0E4}"/>
    <cellStyle name="Milliers 5" xfId="1679" xr:uid="{33BA1141-3DD7-45A6-AB2C-32336290D18B}"/>
    <cellStyle name="Milliers 5 2" xfId="1680" xr:uid="{5CF2FC8B-5EAB-416E-BA31-5E92F2EA00B6}"/>
    <cellStyle name="Milliers 6" xfId="1681" xr:uid="{66C8AF10-CA48-4331-B568-3BFE96CCB8A9}"/>
    <cellStyle name="Milliers 6 2" xfId="1682" xr:uid="{D20FD04D-29BD-465D-9542-A69DF549E3D7}"/>
    <cellStyle name="Milliers_!!!GO" xfId="1683" xr:uid="{01C072D3-3701-4413-9633-54798254475C}"/>
    <cellStyle name="Moeda [0]_aola" xfId="1684" xr:uid="{7E8735F8-886C-44C0-A35A-5CEB6CA481A9}"/>
    <cellStyle name="Moeda_aola" xfId="1685" xr:uid="{4F9A6408-9DAC-4BBD-8E9F-C4FE6B1C5A3F}"/>
    <cellStyle name="Mon?¡ì|taire [0]_AR1194HPlted_pldt1) (2)_pldtv:_x0014_" xfId="1686" xr:uid="{D422780E-1EA3-41E8-B9D0-58142ED01A7B}"/>
    <cellStyle name="Mon?¡ì|taire_AR1194MPLSHPlted_pldt1) (2)_pldtv" xfId="1687" xr:uid="{F6508B89-85AD-4BD0-BF9B-86BEBF1343E7}"/>
    <cellStyle name="Mon?aire [0]_AR1194" xfId="1688" xr:uid="{97E22EE3-8FF7-4AC0-8321-1E2FF4303D86}"/>
    <cellStyle name="Mon?aire_AR1194" xfId="1689" xr:uid="{1D35CCED-326C-42AF-8DBA-632B0A862C93}"/>
    <cellStyle name="Mon¨¦taire [0]_AR1194" xfId="1690" xr:uid="{9590A6A8-2662-41C9-92BB-628F3E3F963E}"/>
    <cellStyle name="Mon¨¦taire_AR1194" xfId="1691" xr:uid="{2C20C191-8AB9-4304-A8D7-14C2AB16457B}"/>
    <cellStyle name="Moneda [0]_BASE" xfId="1692" xr:uid="{F09A5943-76FD-424B-A6F0-87935A49F260}"/>
    <cellStyle name="Moneda 2" xfId="1693" xr:uid="{210F335A-4DF8-4272-8B24-8EB7F47CA35E}"/>
    <cellStyle name="Moneda_BASE" xfId="1694" xr:uid="{8ED6A1A8-1C25-4215-80FA-09B83A3B499C}"/>
    <cellStyle name="Monetaire [0]_!!!GO" xfId="1695" xr:uid="{84A2FB45-B22A-4A69-B740-A15EE7B8ED8E}"/>
    <cellStyle name="Monétaire [0]_!!!GO" xfId="1696" xr:uid="{C919FB3A-178D-4705-B371-B97B54488267}"/>
    <cellStyle name="Monétaire 2" xfId="1697" xr:uid="{C4B0DBE2-21E9-4090-8973-83A44A69ED12}"/>
    <cellStyle name="Monétaire 2 2" xfId="1698" xr:uid="{D3558D4D-BB01-4E7F-A832-E2A39052706F}"/>
    <cellStyle name="Monetaire_!!!GO" xfId="1699" xr:uid="{05ADE5C0-14FF-46EC-9014-8C981332C978}"/>
    <cellStyle name="Monétaire_!!!GO" xfId="1700" xr:uid="{737D6F9A-3DB0-4DAE-901F-CDBB992C200F}"/>
    <cellStyle name="Mon閠aire [0]_AR1194" xfId="1701" xr:uid="{A7499BE0-79CE-4BC5-8001-5324A6B6CCD8}"/>
    <cellStyle name="Mon閠aire_AR1194" xfId="1702" xr:uid="{03C56B86-9535-48D2-886A-44A555517350}"/>
    <cellStyle name="MyStyle" xfId="1703" xr:uid="{B8B397DA-DEDD-45CF-9C84-5F6CFB7798AD}"/>
    <cellStyle name="MyStyle 2" xfId="1704" xr:uid="{B5583BEE-8181-4DFE-A52D-10C2EE8874C2}"/>
    <cellStyle name="MyStyle 2 2" xfId="1705" xr:uid="{2B238A9F-8BCC-4B81-AA09-9E0AF53F3F0D}"/>
    <cellStyle name="MyStyle 2 2 2" xfId="2849" xr:uid="{0E8B2771-2734-4CB8-8155-B00E16547701}"/>
    <cellStyle name="MyStyle 2 3" xfId="2848" xr:uid="{D6010195-AA90-45AD-8FE0-91188310B263}"/>
    <cellStyle name="MyStyle 3" xfId="1706" xr:uid="{238D786A-AB0F-49D6-97FC-D26A8F862B9A}"/>
    <cellStyle name="MyStyle 3 2" xfId="1707" xr:uid="{F885287D-091F-41AF-A776-867D6ACEE5DF}"/>
    <cellStyle name="MyStyle 3 2 2" xfId="2851" xr:uid="{F92EFED1-D193-4FC2-859E-D593048319BB}"/>
    <cellStyle name="MyStyle 3 3" xfId="2850" xr:uid="{7663B916-7443-4AA0-99D5-C83A8F14E6CB}"/>
    <cellStyle name="MyStyle 4" xfId="1708" xr:uid="{6DA75A03-FC8D-4DBA-80E0-0F42A8AF4770}"/>
    <cellStyle name="MyStyle 4 2" xfId="2852" xr:uid="{0D7D5693-98FD-46D7-BA07-DCF03FD93847}"/>
    <cellStyle name="MyStyle 5" xfId="2847" xr:uid="{9026B257-5B67-4D93-8A43-B4E0E9F4542C}"/>
    <cellStyle name="N" xfId="1709" xr:uid="{C9542CC9-DA6A-4E8B-8DE7-0C7B1D4FA1EB}"/>
    <cellStyle name="Neutral 2" xfId="3" xr:uid="{FBB8F55D-86ED-40B8-853A-1F8F1A23B0CD}"/>
    <cellStyle name="Neutral 2 2" xfId="1711" xr:uid="{BC7BBB22-2568-4176-B122-2C8B9378FE59}"/>
    <cellStyle name="Neutral 3" xfId="1712" xr:uid="{2C6E4261-7E39-47D3-AF0A-A9235B1865F0}"/>
    <cellStyle name="Neutral 4" xfId="1713" xr:uid="{6AD3FF7B-31F4-4709-92AF-E62E8161C166}"/>
    <cellStyle name="Neutral 5" xfId="1710" xr:uid="{810059DD-677E-4C6B-9CF3-5AAA09F66056}"/>
    <cellStyle name="Neutral 6" xfId="2864" xr:uid="{E9477FFF-AE8B-4ED6-89E5-C9434A0589F3}"/>
    <cellStyle name="Neutre 2" xfId="1714" xr:uid="{383C4ACE-1C26-4057-9ED0-F5251982A0F8}"/>
    <cellStyle name="Neutro" xfId="1715" xr:uid="{E560FAA9-17AC-4C9A-9B4B-ACEFB7FABB44}"/>
    <cellStyle name="Non d‚fini" xfId="1716" xr:uid="{9D0DA7D7-D854-456D-A7B3-3061D59382D9}"/>
    <cellStyle name="Non d‚fini 2" xfId="1717" xr:uid="{D0B0EA0E-2A90-4E31-8AD8-DC6BB0DBB9A4}"/>
    <cellStyle name="Non d‚fini 2 2" xfId="1718" xr:uid="{8DC402CE-41CA-4AA2-9461-C85D4D97EAE6}"/>
    <cellStyle name="Non d‚fini 2 2 2" xfId="1719" xr:uid="{6142EFDB-5A1E-4293-9CB9-B595AA993A25}"/>
    <cellStyle name="Non d‚fini 2 3" xfId="1720" xr:uid="{0B44C2AB-3989-4607-A486-FAE552ADF0A2}"/>
    <cellStyle name="Non d‚fini 2 3 2" xfId="1721" xr:uid="{E8C02770-1751-43F2-BA55-3795EA093E41}"/>
    <cellStyle name="Non d‚fini 2 4" xfId="1722" xr:uid="{21711EBC-5B07-4682-8CC3-FF66D1F681BF}"/>
    <cellStyle name="Non d‚fini 2 4 2" xfId="1723" xr:uid="{0CB24572-3047-49A5-8607-D2896E5EB294}"/>
    <cellStyle name="Non d‚fini 2 5" xfId="1724" xr:uid="{4DAA3105-78CE-4C25-BAB4-6D26D77E3187}"/>
    <cellStyle name="Non d‚fini 2_all Delmas Slots Costs 20120316" xfId="1725" xr:uid="{29595CEC-DC16-42B6-A35B-6A12B833175D}"/>
    <cellStyle name="Non d‚fini 3" xfId="1726" xr:uid="{DAA34A11-CE87-48F7-9E62-CDE162F75825}"/>
    <cellStyle name="Non d‚fini 3 2" xfId="1727" xr:uid="{86A875AB-B2D2-42EC-B00F-8E53013AFCD5}"/>
    <cellStyle name="Non d‚fini 4" xfId="1728" xr:uid="{F405FD0A-8C54-4CB1-B087-3C44F1A80D0D}"/>
    <cellStyle name="Non d‚fini 4 2" xfId="1729" xr:uid="{257E24E4-DC33-4047-A342-8363B5EAC717}"/>
    <cellStyle name="Non d‚fini_Aenne Rickmers" xfId="1730" xr:uid="{0D17AA50-06D6-4D36-8A78-EBD88F4405B1}"/>
    <cellStyle name="Non défini" xfId="1731" xr:uid="{077B3C1E-C3AE-4F07-8034-2690561BD2A2}"/>
    <cellStyle name="Non défini 2" xfId="1732" xr:uid="{60F8EEAA-95EC-46A0-95A9-8D6DDD0647D2}"/>
    <cellStyle name="Non défini 2 2" xfId="1733" xr:uid="{24F7EBC5-DC52-4354-9137-FCA4D91CDD50}"/>
    <cellStyle name="Non défini 2 2 2" xfId="1734" xr:uid="{2AF5EE02-E8D4-4EF5-BD90-D7FC59DD38A4}"/>
    <cellStyle name="Non défini 2 3" xfId="1735" xr:uid="{11657308-E9A1-4E07-89AD-F14BB9AF5EB9}"/>
    <cellStyle name="Non défini 2 3 2" xfId="1736" xr:uid="{772D3EC8-5A39-47A9-9B9C-0283FFFDA468}"/>
    <cellStyle name="Non défini 2 4" xfId="1737" xr:uid="{4602EBC6-5187-4A59-85FB-E19DB0BA51C6}"/>
    <cellStyle name="Non défini 2 4 2" xfId="1738" xr:uid="{96DC8B6F-ADD6-4DF7-8ED3-F5ABD204C519}"/>
    <cellStyle name="Non défini 2 5" xfId="1739" xr:uid="{593B7BAF-7EF7-40AC-A207-B12A616DCF3F}"/>
    <cellStyle name="Non défini 2_all Delmas Slots Costs 20120316" xfId="1740" xr:uid="{0EE333D0-9539-4569-A4BE-18E3299220B2}"/>
    <cellStyle name="Non défini 3" xfId="1741" xr:uid="{EE462FBB-8A5C-4CE6-9E8A-7FD800AA0355}"/>
    <cellStyle name="Non défini 3 2" xfId="1742" xr:uid="{86D6A2F9-2E0A-49DF-A654-09BCD0798988}"/>
    <cellStyle name="Non défini 4" xfId="1743" xr:uid="{ADF375B1-F2F2-413A-AFAB-AFA12A265039}"/>
    <cellStyle name="Non défini 4 2" xfId="1744" xr:uid="{636FE1D0-DA7F-4D8C-8BBD-C6868ADF1008}"/>
    <cellStyle name="Non défini 5" xfId="1745" xr:uid="{D457E2E6-A0DC-408E-BB06-E7BDC73CD25A}"/>
    <cellStyle name="Non défini_Aenne Rickmers" xfId="1746" xr:uid="{4616C7D5-ADF7-4BCA-B9FE-757E5791B82D}"/>
    <cellStyle name="Normal - Style1" xfId="1747" xr:uid="{D624F3D6-FC0A-48A1-B758-AC50EAB23F34}"/>
    <cellStyle name="Normal - Style1 2" xfId="1748" xr:uid="{AC2C1B56-ED5F-437B-8595-9A4B1912CF2A}"/>
    <cellStyle name="Normal - Style1 2 2" xfId="1749" xr:uid="{2913F5F8-ABF8-49E2-AC8C-8573E61E9047}"/>
    <cellStyle name="Normal - Style1 3" xfId="1750" xr:uid="{487E50C3-9730-48C1-AB1B-CDBF473F58C0}"/>
    <cellStyle name="Normal - Style1 4" xfId="1751" xr:uid="{CEFD57EE-8F3D-4798-BD11-2066399CC078}"/>
    <cellStyle name="Normal - Style1 5" xfId="1752" xr:uid="{FFE697B9-4CD6-4200-B98C-327CD20C54B0}"/>
    <cellStyle name="Normal - Style1_08 RESULTAT Août 2011" xfId="1753" xr:uid="{95ECD89F-6479-47F7-A2D1-13E5D85D3635}"/>
    <cellStyle name="Normal 10" xfId="1754" xr:uid="{4BC81800-8951-4F58-B31B-E20B18DBE620}"/>
    <cellStyle name="Normal 10 2" xfId="1755" xr:uid="{44B00CE4-E188-4274-8E7D-D6583949CA35}"/>
    <cellStyle name="Normal 10 2 2" xfId="1756" xr:uid="{F33F3105-73BE-42D8-AE3F-942B4515DDC4}"/>
    <cellStyle name="Normal 10 2 3" xfId="1757" xr:uid="{EC50F3FB-03A1-4486-908A-3F46F44E9103}"/>
    <cellStyle name="Normal 10 2 4" xfId="1758" xr:uid="{874E2474-3B95-4EAD-880A-AD07F83AB138}"/>
    <cellStyle name="Normal 10 3" xfId="1759" xr:uid="{6C8BA38B-FA1A-4425-B2E7-8862596781DA}"/>
    <cellStyle name="Normal 10 4" xfId="1760" xr:uid="{CE7469CB-348D-484C-9060-4C947EC9DB06}"/>
    <cellStyle name="Normal 10 5" xfId="1761" xr:uid="{17F648EA-5C3D-465F-B70C-7F6869974378}"/>
    <cellStyle name="Normal 10 6" xfId="2660" xr:uid="{213FE388-65BF-42C8-AA8D-173ACB9BD11E}"/>
    <cellStyle name="Normal 11" xfId="1762" xr:uid="{EB7BBCDE-4409-4585-B068-7EC24E828FAC}"/>
    <cellStyle name="Normal 11 2" xfId="1763" xr:uid="{DB55EF4E-602C-41D2-A09D-9B8B0730DBC0}"/>
    <cellStyle name="Normal 11 2 2" xfId="2726" xr:uid="{EE95B277-1A14-445F-9525-07564B600F58}"/>
    <cellStyle name="Normal 11 3" xfId="1764" xr:uid="{56924EC0-F937-44F2-814E-504DEC735B9D}"/>
    <cellStyle name="Normal 12" xfId="1765" xr:uid="{2B534993-62A8-48E2-8E31-0274C94788F1}"/>
    <cellStyle name="Normal 12 2" xfId="1766" xr:uid="{30EB99DF-5B10-4662-B042-601AB79718BF}"/>
    <cellStyle name="Normal 13" xfId="1767" xr:uid="{90F64CBE-7DDB-4B20-B6C6-D0B79368EEB6}"/>
    <cellStyle name="Normal 13 2" xfId="1768" xr:uid="{BAF28AB1-F5D4-49D0-BD33-80F2804EB0EB}"/>
    <cellStyle name="Normal 13 2 2" xfId="2662" xr:uid="{09A4BE61-C931-41C8-B98A-36BBA4C21AE4}"/>
    <cellStyle name="Normal 13 3" xfId="2661" xr:uid="{FFFD8E07-6DD9-400B-B509-CBB8C23B7F71}"/>
    <cellStyle name="Normal 14" xfId="1769" xr:uid="{D2023224-6970-43C6-9449-E84424342BE5}"/>
    <cellStyle name="Normal 14 2" xfId="1770" xr:uid="{E3DBF7D4-AEEE-4298-A25B-9D59E7222BE3}"/>
    <cellStyle name="Normal 14 2 2" xfId="2751" xr:uid="{CBDB364F-F80A-439C-83C2-FBC6B570A9F7}"/>
    <cellStyle name="Normal 14 3" xfId="1771" xr:uid="{374F5317-7978-4AED-AF74-7DDC3B8FF96B}"/>
    <cellStyle name="Normal 14 4" xfId="2663" xr:uid="{C55998AA-DA4C-43FA-98BF-8A24BF826499}"/>
    <cellStyle name="Normal 14 5" xfId="2737" xr:uid="{22CDFDAD-8FD3-4EFD-BB07-0431F228ADDB}"/>
    <cellStyle name="Normal 15" xfId="1772" xr:uid="{15BD8987-42C6-499C-AE08-078007F6D500}"/>
    <cellStyle name="Normal 15 2" xfId="1773" xr:uid="{5DA57D4F-E87E-4378-8EB4-21DC7386CD80}"/>
    <cellStyle name="Normal 15 3" xfId="1774" xr:uid="{59FC6FF0-D0DE-42E0-8C54-349CDDB14570}"/>
    <cellStyle name="Normal 16" xfId="1775" xr:uid="{A485B203-BBD4-4AB0-AFC8-1766596FE5CC}"/>
    <cellStyle name="Normal 16 2" xfId="1776" xr:uid="{51208635-A090-408D-AFAF-781EB9FCDD30}"/>
    <cellStyle name="Normal 16 2 2" xfId="1777" xr:uid="{0D8DADA3-CEF0-4E5C-B500-0621009CEA2A}"/>
    <cellStyle name="Normal 16 3" xfId="1778" xr:uid="{F686D4B9-F6C3-484D-A6F6-4002C92DDCCB}"/>
    <cellStyle name="Normal 17" xfId="1779" xr:uid="{7E6B009E-CDD4-4B3F-A395-48B220DED9CC}"/>
    <cellStyle name="Normal 17 2" xfId="1780" xr:uid="{F79915D2-9768-4B71-9B0C-88C330224CCD}"/>
    <cellStyle name="Normal 17 2 2" xfId="1781" xr:uid="{DD69C2DD-46A2-47A7-A778-F1A9F1C959AB}"/>
    <cellStyle name="Normal 17 2 3" xfId="2664" xr:uid="{2801C688-4A76-43AF-84F3-71BD1EFF48FC}"/>
    <cellStyle name="Normal 17 3" xfId="1782" xr:uid="{741DD795-3C1D-426A-8AC1-196C9233F02F}"/>
    <cellStyle name="Normal 17 3 2" xfId="2665" xr:uid="{D9B69DD4-E7F4-49AC-9E20-E8E169C9026F}"/>
    <cellStyle name="Normal 18" xfId="1783" xr:uid="{57916AB4-E975-4076-9C8C-93ACB48A3327}"/>
    <cellStyle name="Normal 18 2" xfId="1784" xr:uid="{B1C1E393-9986-48F2-8036-163041A1965B}"/>
    <cellStyle name="Normal 18 2 2" xfId="1785" xr:uid="{E2303863-79C6-4423-87FF-A6E770A66FFB}"/>
    <cellStyle name="Normal 18 3" xfId="1786" xr:uid="{E904CD36-73C6-4D43-8474-1FF834582AEE}"/>
    <cellStyle name="Normal 19" xfId="1787" xr:uid="{CEBF52A8-37CE-4611-806C-CC8AB553FD5F}"/>
    <cellStyle name="Normal 19 2" xfId="1788" xr:uid="{53C1DF53-9262-4B50-BE17-2645798E28BD}"/>
    <cellStyle name="Normal 19 2 2" xfId="1789" xr:uid="{3690F1F0-6832-4A2B-9918-7C8AB6FE1196}"/>
    <cellStyle name="Normal 19 3" xfId="1790" xr:uid="{B0072FAB-127D-4C75-9B55-706E3D32FF10}"/>
    <cellStyle name="Normal 2" xfId="2" xr:uid="{D412738B-388C-4B63-AEA2-84EE1F1414FF}"/>
    <cellStyle name="Normal 2 10" xfId="1791" xr:uid="{89A5C31B-2936-4C2A-9C13-52347E104812}"/>
    <cellStyle name="Normal 2 2" xfId="1792" xr:uid="{30C2099A-A196-45DE-9C81-EF8B9D58F8E1}"/>
    <cellStyle name="Normal 2 2 2" xfId="1793" xr:uid="{198A38A8-9A24-47DC-9CFC-A9531D7A4B62}"/>
    <cellStyle name="Normal 2 2 2 2" xfId="2755" xr:uid="{775AD74B-C3F3-4331-A810-5F2CA8DAF706}"/>
    <cellStyle name="Normal 2 2 3" xfId="2618" xr:uid="{F36933F7-3594-4948-A053-937B6DB25514}"/>
    <cellStyle name="Normal 2 2 3 2" xfId="2728" xr:uid="{84FC2EA4-3270-475C-AC5B-57D01B71456B}"/>
    <cellStyle name="Normal 2 2 4" xfId="2667" xr:uid="{40C70318-518D-43AB-9CB7-0301C40931FA}"/>
    <cellStyle name="Normal 2 2 5" xfId="2742" xr:uid="{9BB6AA73-BBC2-40E7-A891-0E56CE524E20}"/>
    <cellStyle name="Normal 2 3" xfId="1794" xr:uid="{C1C6223B-BF50-4CB5-B3B0-1CDFC3CFE88D}"/>
    <cellStyle name="Normal 2 3 2" xfId="1795" xr:uid="{7471B81C-44DC-47FD-BB2F-08848281CB50}"/>
    <cellStyle name="Normal 2 3 3" xfId="2752" xr:uid="{A2618B95-11FB-4922-B970-199C0BF75C47}"/>
    <cellStyle name="Normal 2 4" xfId="1796" xr:uid="{E8C3BE11-87F7-4C11-9DD0-DE373362075C}"/>
    <cellStyle name="Normal 2 4 2" xfId="1797" xr:uid="{E2780EE9-7689-44E6-9B3D-96EF562B590A}"/>
    <cellStyle name="Normal 2 4 3" xfId="2668" xr:uid="{D742542F-D975-45EE-BA38-6D718CA9831B}"/>
    <cellStyle name="Normal 2 5" xfId="1798" xr:uid="{BF174FAC-E394-4BEF-8A4A-2299735000FE}"/>
    <cellStyle name="Normal 2 5 2" xfId="1799" xr:uid="{755F8D0C-64E6-425E-83F4-2721656E378F}"/>
    <cellStyle name="Normal 2 5 2 2" xfId="2757" xr:uid="{B2FCAACD-5DAC-4BC3-8BE8-24971CEA6D29}"/>
    <cellStyle name="Normal 2 5 2 3" xfId="2744" xr:uid="{5B9E4801-D880-4617-AA51-33CC735F324D}"/>
    <cellStyle name="Normal 2 5 3" xfId="2669" xr:uid="{B4AD351A-05C8-4FF5-B2EA-E72F7213B43D}"/>
    <cellStyle name="Normal 2 5 3 2" xfId="2753" xr:uid="{DA59CC1A-9BE6-44B5-A967-B46BD6686F85}"/>
    <cellStyle name="Normal 2 5 4" xfId="2739" xr:uid="{A23738AF-AB91-4BB0-8253-24760ACACC7A}"/>
    <cellStyle name="Normal 2 6" xfId="1800" xr:uid="{D04BBFFB-25C1-442D-9C32-192CCF8C1A10}"/>
    <cellStyle name="Normal 2 7" xfId="1801" xr:uid="{9732E12E-30DA-4D53-8B29-5C816EB7D7C7}"/>
    <cellStyle name="Normal 2 8" xfId="2666" xr:uid="{E8A6F4AD-6800-4420-9021-B3C3F3DE3D28}"/>
    <cellStyle name="Normal 2 9" xfId="2738" xr:uid="{07EC1FE4-EECF-4737-9C86-334F6270A1CF}"/>
    <cellStyle name="Normal 2_AMERIGO_new" xfId="1802" xr:uid="{80B91904-595A-4FE7-9F7A-4FE12BC92D94}"/>
    <cellStyle name="Normal 20" xfId="1803" xr:uid="{44A9354F-558A-43E3-915C-4F21D5831E7E}"/>
    <cellStyle name="Normal 20 2" xfId="1804" xr:uid="{BFF38968-02F9-4EA3-9449-F72C32C16A39}"/>
    <cellStyle name="Normal 20 2 2" xfId="1805" xr:uid="{214AAB0D-35A2-4991-8847-76B5472ADA1C}"/>
    <cellStyle name="Normal 20 3" xfId="1806" xr:uid="{F97A57BC-6420-4C38-BFFE-913F12FAE4A4}"/>
    <cellStyle name="Normal 21" xfId="1807" xr:uid="{8F6E4AB7-DCA8-4B47-A695-4421948AC11E}"/>
    <cellStyle name="Normal 21 2" xfId="1808" xr:uid="{11269074-4618-441D-8B13-F769FAB1E8E7}"/>
    <cellStyle name="Normal 21 2 2" xfId="1809" xr:uid="{F4425CA2-4531-4800-AC06-2F118F648AA0}"/>
    <cellStyle name="Normal 21 3" xfId="1810" xr:uid="{4BD63D7E-BEBC-4BDB-9D46-3B0C5E5CBACC}"/>
    <cellStyle name="Normal 22" xfId="1811" xr:uid="{F61E75A6-AEBD-49B5-A6B7-E8D1C66F0C9B}"/>
    <cellStyle name="Normal 22 2" xfId="1812" xr:uid="{00CDF785-5525-4CAA-A6A7-2EB887DDB2F0}"/>
    <cellStyle name="Normal 23" xfId="1813" xr:uid="{BF0D0D74-ACCB-4B0E-9AE4-8DE1D7F55794}"/>
    <cellStyle name="Normal 23 2" xfId="1814" xr:uid="{DD6A83A1-6A7E-48D4-9BC2-C2BD4B8D4854}"/>
    <cellStyle name="Normal 24" xfId="1815" xr:uid="{E3C75924-332C-4B9F-BC50-2D9A1F01F9FE}"/>
    <cellStyle name="Normal 24 2" xfId="1816" xr:uid="{0DCB4ACD-B0D3-4552-8B4C-2546844989A7}"/>
    <cellStyle name="Normal 24 2 2" xfId="1817" xr:uid="{47E68A09-ED1D-4E50-BD5C-25DB01518CBE}"/>
    <cellStyle name="Normal 24 3" xfId="1818" xr:uid="{E79A04D8-F329-4799-ACDC-C0D2494021C0}"/>
    <cellStyle name="Normal 25" xfId="1819" xr:uid="{9693AA0E-B897-43B2-845A-B7305336885A}"/>
    <cellStyle name="Normal 25 2" xfId="1820" xr:uid="{D80FB124-9DBD-45DE-845E-AC976C270DF1}"/>
    <cellStyle name="Normal 25 2 2" xfId="1821" xr:uid="{8323E845-7D1C-4D79-84BB-9DA7AFC844CD}"/>
    <cellStyle name="Normal 25 3" xfId="1822" xr:uid="{4EFFEADF-51D1-4AB5-AC1B-8D0C11A297E8}"/>
    <cellStyle name="Normal 26" xfId="1823" xr:uid="{CC506B55-5B75-46A9-BEFB-4E28A2E381C6}"/>
    <cellStyle name="Normal 26 2" xfId="1824" xr:uid="{659CB1A8-49EE-47CA-A8C1-D049BC5BBAE8}"/>
    <cellStyle name="Normal 26 2 2" xfId="1825" xr:uid="{A7091F1C-0493-4D59-8DF7-63327F7E7A8F}"/>
    <cellStyle name="Normal 26 3" xfId="1826" xr:uid="{7763B032-613B-4CD8-91AF-EBF92948FF75}"/>
    <cellStyle name="Normal 27" xfId="1827" xr:uid="{B50D7E15-07A1-4FFC-8E8B-8AAE1C840AD0}"/>
    <cellStyle name="Normal 27 2" xfId="1828" xr:uid="{7225DCFF-A7C8-4678-86A1-208112959DB2}"/>
    <cellStyle name="Normal 28" xfId="1829" xr:uid="{858D9746-C606-4125-8164-1C908B2EFD86}"/>
    <cellStyle name="Normal 28 2" xfId="1830" xr:uid="{B0643CD3-BA19-4658-9434-640F3D654A4E}"/>
    <cellStyle name="Normal 29" xfId="1831" xr:uid="{5398A61E-966E-4E52-B157-1BBEBBB16DD8}"/>
    <cellStyle name="Normal 3" xfId="1832" xr:uid="{C3F417CA-F236-44C1-B3D2-C1ECC6009644}"/>
    <cellStyle name="Normal 3 2" xfId="1833" xr:uid="{472ABC1C-8878-4B50-96E4-26D59A2BBC29}"/>
    <cellStyle name="Normal 3 2 2" xfId="1834" xr:uid="{2BB7DFD9-A132-4C1A-84F3-D1355352C577}"/>
    <cellStyle name="Normal 3 3" xfId="1835" xr:uid="{B9FBF719-E18A-4B25-92A8-F87D0AD88D01}"/>
    <cellStyle name="Normal 3 3 2" xfId="2616" xr:uid="{DD95095C-AD53-43BC-985C-8FFB66CABC15}"/>
    <cellStyle name="Normal 3 4" xfId="2615" xr:uid="{8154D263-BC7C-42D4-B559-135B46A10BCD}"/>
    <cellStyle name="Normal 3 5" xfId="2619" xr:uid="{2E1D1BF6-FEC0-4250-B27B-3A88135FD827}"/>
    <cellStyle name="Normal 3 6" xfId="2670" xr:uid="{E71E930F-0349-4B19-8C21-A4EC88B7150B}"/>
    <cellStyle name="Normal 3_Jan 10 Flash (with avg charter &amp; Cma final slot costs)" xfId="1836" xr:uid="{B859EF46-EFFB-4663-860B-A2A0B4FE6A99}"/>
    <cellStyle name="Normal 30" xfId="1837" xr:uid="{B6688323-6C75-48B5-8D29-8D561B232DBF}"/>
    <cellStyle name="Normal 31" xfId="1838" xr:uid="{0E37D8EF-0A18-42EB-B60F-A4D62CAEE0FA}"/>
    <cellStyle name="Normal 32" xfId="1839" xr:uid="{7187D7EC-7166-4F6E-813C-16922BF0F936}"/>
    <cellStyle name="Normal 33" xfId="1840" xr:uid="{380CF315-B562-4D17-91EA-8614DBBDCD72}"/>
    <cellStyle name="Normal 33 2" xfId="1841" xr:uid="{7AC44C18-60E2-4074-87B8-156BFCB8B54F}"/>
    <cellStyle name="Normal 34" xfId="1842" xr:uid="{EA682341-5B30-4FBD-80D8-330E7D01A3CC}"/>
    <cellStyle name="Normal 34 2" xfId="1843" xr:uid="{CEEC6000-B08D-4C67-94F0-12E6ECDCCB5E}"/>
    <cellStyle name="Normal 35" xfId="1844" xr:uid="{027298EB-5C89-4ECD-9338-AFF10688CF65}"/>
    <cellStyle name="Normal 35 2" xfId="1845" xr:uid="{F54F4A14-8359-4263-B437-DC8C1DB10A4B}"/>
    <cellStyle name="Normal 36" xfId="1846" xr:uid="{0768D3C9-26BE-43F8-B738-8ACD2C9C1444}"/>
    <cellStyle name="Normal 36 2" xfId="1847" xr:uid="{EEB83959-7D82-4928-A297-E7C7E3E790A8}"/>
    <cellStyle name="Normal 37" xfId="1848" xr:uid="{361B7793-6376-4C50-9B02-7179AF1CA210}"/>
    <cellStyle name="Normal 37 2" xfId="2729" xr:uid="{AF2C550E-B22A-4D54-A86F-80F5328C29D2}"/>
    <cellStyle name="Normal 38" xfId="1849" xr:uid="{696430DD-121C-4605-8DBD-5748BC418534}"/>
    <cellStyle name="Normal 39" xfId="1850" xr:uid="{BA7742D2-204A-4402-9EDD-2B13BCA52C03}"/>
    <cellStyle name="Normal 4" xfId="1851" xr:uid="{CD5C5CE0-A2C5-410B-88F1-C654AC04E27D}"/>
    <cellStyle name="Normal 4 2" xfId="1852" xr:uid="{D6C729C6-C8B0-4E5C-934E-BF7C80927A35}"/>
    <cellStyle name="Normal 4 2 2" xfId="1853" xr:uid="{B6BD5CDA-0229-47CF-BC97-01C79DC1BC8A}"/>
    <cellStyle name="Normal 4 3" xfId="1854" xr:uid="{A6230A4D-F47C-4147-B447-959DC1977D84}"/>
    <cellStyle name="Normal 4 4" xfId="2671" xr:uid="{00C88A19-1424-4AFD-9039-8A80930BBB1A}"/>
    <cellStyle name="Normal 40" xfId="1855" xr:uid="{10F2D2AA-3AC9-408D-82E9-E7FFE9EBA07A}"/>
    <cellStyle name="Normal 41" xfId="1856" xr:uid="{0482EF1F-E1A3-4983-83FB-426A149D6554}"/>
    <cellStyle name="Normal 42" xfId="1857" xr:uid="{409E246D-1803-4AE0-BE61-DAC2513B4A7D}"/>
    <cellStyle name="Normal 43" xfId="1858" xr:uid="{9172799D-EF57-4987-948E-FCEED1263CEE}"/>
    <cellStyle name="Normal 44" xfId="1859" xr:uid="{154AFBC3-0AED-4BC5-8FAE-9F5BCAEE58D0}"/>
    <cellStyle name="Normal 45" xfId="1860" xr:uid="{F4825580-9C41-4F44-955F-6ACB9EAE51B3}"/>
    <cellStyle name="Normal 46" xfId="1861" xr:uid="{456ED457-BB12-408B-A70D-29669C4BE876}"/>
    <cellStyle name="Normal 47" xfId="1862" xr:uid="{7B45FD18-0B68-4326-88C1-785EB5AF3723}"/>
    <cellStyle name="Normal 48" xfId="1863" xr:uid="{95AC4C37-7916-495C-8765-2244DE580CF9}"/>
    <cellStyle name="Normal 49" xfId="1864" xr:uid="{C18BEE3A-3194-49F1-A905-3D0FC3228CB1}"/>
    <cellStyle name="Normal 5" xfId="1865" xr:uid="{6DF61F7D-BF9E-469C-8FE9-FCE103B87317}"/>
    <cellStyle name="Normal 5 2" xfId="1866" xr:uid="{A40B08FD-8C67-471D-8E45-6F3751174175}"/>
    <cellStyle name="Normal 5 2 2" xfId="1867" xr:uid="{5C2D7AFB-9EB5-46DD-BDAF-C3DCB7086478}"/>
    <cellStyle name="Normal 5 2 2 2" xfId="2725" xr:uid="{220C7855-7232-4CF0-9689-089AA576AF7E}"/>
    <cellStyle name="Normal 5 3" xfId="1868" xr:uid="{4E19BB3D-3E90-453D-B767-3F2C0A1DDA30}"/>
    <cellStyle name="Normal 5 3 2" xfId="1869" xr:uid="{2C954056-F051-4894-8748-0370C4DC4397}"/>
    <cellStyle name="Normal 50" xfId="1870" xr:uid="{F9ECA482-46A3-45AD-B0B4-055855AF3E26}"/>
    <cellStyle name="Normal 51" xfId="1871" xr:uid="{D02BD43E-C459-424D-8916-840CEFDD71D1}"/>
    <cellStyle name="Normal 52" xfId="1872" xr:uid="{2B533CAB-BDC1-4444-920A-E1BB9B2FD651}"/>
    <cellStyle name="Normal 53" xfId="1873" xr:uid="{5388BD88-4CF2-493A-A836-E5A384A979B8}"/>
    <cellStyle name="Normal 54" xfId="1874" xr:uid="{76FDEFAA-1A37-46D2-9F88-40C5B402FE5B}"/>
    <cellStyle name="Normal 55" xfId="1875" xr:uid="{98F2E4F3-5BC8-4B5E-A93B-88C5E56D70F4}"/>
    <cellStyle name="Normal 56" xfId="1876" xr:uid="{A502D088-2CC3-4F59-B0E5-5453E9F450C0}"/>
    <cellStyle name="Normal 57" xfId="1877" xr:uid="{65C72A81-CA5E-4530-9F9E-2D356D4A7474}"/>
    <cellStyle name="Normal 58" xfId="1878" xr:uid="{D5EB092A-48B1-4605-8923-6B9B85183C16}"/>
    <cellStyle name="Normal 59" xfId="1879" xr:uid="{CEE35D00-841B-438F-8763-6A0B5A01E5EC}"/>
    <cellStyle name="Normal 6" xfId="1880" xr:uid="{C4B55FB0-C375-4317-8358-378B0CA7993A}"/>
    <cellStyle name="Normal 6 2" xfId="1881" xr:uid="{C806960F-78B0-4C4A-AE9B-5CB1CAA72719}"/>
    <cellStyle name="Normal 6 2 2" xfId="2673" xr:uid="{5479DFD5-5CAF-461F-9194-799D2833CDA5}"/>
    <cellStyle name="Normal 6 3" xfId="1882" xr:uid="{75BD7091-1900-4756-BD26-E4A317E2F849}"/>
    <cellStyle name="Normal 6 4" xfId="1883" xr:uid="{A1AEF1C7-99C3-4C8B-9BE0-E245CEF78A4C}"/>
    <cellStyle name="Normal 6 5" xfId="1884" xr:uid="{A0521986-EDE0-4427-90EC-2F3286985B81}"/>
    <cellStyle name="Normal 6 6" xfId="2672" xr:uid="{30ECA38E-8C5F-4082-8024-CBED50FA57EB}"/>
    <cellStyle name="Normal 6 7" xfId="2727" xr:uid="{03610782-364A-4E68-A379-9A2E9E5B4319}"/>
    <cellStyle name="Normal 60" xfId="1885" xr:uid="{ADCC3366-5C93-4B75-BC0F-D8521D7A7C32}"/>
    <cellStyle name="Normal 61" xfId="1886" xr:uid="{8F921421-426D-4892-89C4-B42064BD8789}"/>
    <cellStyle name="Normal 62" xfId="1887" xr:uid="{83B115F0-3BB2-4D66-804B-09E47DDFEBA1}"/>
    <cellStyle name="Normal 63" xfId="1888" xr:uid="{D9139EF8-23ED-4D7B-9E2E-C03EEDF6C2B0}"/>
    <cellStyle name="Normal 64" xfId="1889" xr:uid="{F9816BF4-95E4-4A69-8A29-3CE4161AD226}"/>
    <cellStyle name="Normal 65" xfId="1890" xr:uid="{EA1120E1-B468-4BEB-9CB7-60240899DF61}"/>
    <cellStyle name="Normal 66" xfId="1891" xr:uid="{53284E49-37D7-4724-A5F5-B920A1F6B27C}"/>
    <cellStyle name="Normal 67" xfId="1892" xr:uid="{CBBADE76-B3DC-4C60-B29B-AA527438493F}"/>
    <cellStyle name="Normal 68" xfId="1893" xr:uid="{04824455-1437-46B3-9F47-007D6C74FE19}"/>
    <cellStyle name="Normal 69" xfId="1894" xr:uid="{5C41B504-2649-441B-9DBD-CB0E6A5B5302}"/>
    <cellStyle name="Normal 7" xfId="1895" xr:uid="{117CFBE7-00DD-4E22-B1CA-9B9E69C82AC5}"/>
    <cellStyle name="Normal 7 2" xfId="1896" xr:uid="{34D5C4D5-5EEA-4578-B48C-A86B34BF9BD9}"/>
    <cellStyle name="Normal 7 2 2" xfId="1897" xr:uid="{B8E8D9DB-E2AA-48EA-BFC2-1B74654966AA}"/>
    <cellStyle name="Normal 7 3" xfId="1898" xr:uid="{25FEFF5C-5FA8-4042-8B8A-2098BA9063A9}"/>
    <cellStyle name="Normal 7 4" xfId="1899" xr:uid="{4CD8A7ED-3A4B-4876-AE20-7B387EB7E36A}"/>
    <cellStyle name="Normal 7 5" xfId="1900" xr:uid="{F959C3D6-272A-43D3-8258-75AA527FAD8E}"/>
    <cellStyle name="Normal 70" xfId="1901" xr:uid="{4315A5E7-873D-427A-A54D-A7941E8A11E5}"/>
    <cellStyle name="Normal 71" xfId="1902" xr:uid="{3CDEA174-CDCE-4366-8384-2F05554911CF}"/>
    <cellStyle name="Normal 72" xfId="1903" xr:uid="{2F30E26D-7AC7-4938-91C7-922CDC4EDF19}"/>
    <cellStyle name="Normal 73" xfId="1904" xr:uid="{ACBE5B2E-1C30-4DD9-9348-133DB71C8D4C}"/>
    <cellStyle name="Normal 74" xfId="1905" xr:uid="{84568296-D411-481B-898F-76CAEC4FD558}"/>
    <cellStyle name="Normal 75" xfId="1906" xr:uid="{FC9C28F4-3095-4216-B5E4-94D15E3180E1}"/>
    <cellStyle name="Normal 76" xfId="4" xr:uid="{7975DA89-BC56-47CC-9DE2-6FA380100972}"/>
    <cellStyle name="Normal 77" xfId="2764" xr:uid="{55BED441-3288-4256-8565-1558958D98EC}"/>
    <cellStyle name="Normal 78" xfId="2861" xr:uid="{B5FD6127-B644-405F-A10E-3A1BB0D9976E}"/>
    <cellStyle name="Normal 79" xfId="2766" xr:uid="{7A764DA5-5517-4223-BC95-1C8ECCAF88CD}"/>
    <cellStyle name="Normal 8" xfId="1907" xr:uid="{FAC79592-3A79-4FC1-9144-6E476DDB8E20}"/>
    <cellStyle name="Normal 8 2" xfId="1908" xr:uid="{5D537C47-AB30-4134-9695-D0A5CA35786C}"/>
    <cellStyle name="Normal 8 2 2" xfId="1909" xr:uid="{3763AF92-2558-4D83-96E5-F20DB50BC3E3}"/>
    <cellStyle name="Normal 8 3" xfId="1910" xr:uid="{F66A5B35-2B6D-4C75-A612-C797E67015D5}"/>
    <cellStyle name="Normal 8 3 2" xfId="1911" xr:uid="{47C2E7BB-1631-4C15-A10D-669CD810F9D0}"/>
    <cellStyle name="Normal 8 4" xfId="1912" xr:uid="{9C9B51AB-6F16-4E94-ABD1-11B4A6BB7CDA}"/>
    <cellStyle name="Normal 8 5" xfId="2674" xr:uid="{6D92D115-853E-46EA-90F5-910CF634E72E}"/>
    <cellStyle name="Normal 80" xfId="2867" xr:uid="{0962C89B-F0B1-4E0B-B260-98299FEF528A}"/>
    <cellStyle name="Normal 81" xfId="2862" xr:uid="{640F298B-BDF8-4B5B-AF24-A66D9310EDB2}"/>
    <cellStyle name="Normal 82" xfId="2868" xr:uid="{9622ABF1-B750-4F4A-B08D-3DEC6D754872}"/>
    <cellStyle name="Normal 9" xfId="1913" xr:uid="{A8DD7D22-13AA-4F05-B134-02F3EC23E3CF}"/>
    <cellStyle name="Normal 9 2" xfId="1914" xr:uid="{436B9B1B-9C2B-4B42-B9F1-BCFA00C5C2ED}"/>
    <cellStyle name="Normal 9 2 2" xfId="1915" xr:uid="{A4F08E6B-B2E8-480C-82BA-E152FF263C0A}"/>
    <cellStyle name="Normal 9 3" xfId="1916" xr:uid="{A969EFD4-6600-42FF-BD72-397893BB92D8}"/>
    <cellStyle name="Normal 9 3 2" xfId="1917" xr:uid="{65CD9A5D-151B-427A-9C0A-C02253A94220}"/>
    <cellStyle name="Normal 9 4" xfId="1918" xr:uid="{97B318C9-4C6A-414C-BF90-E7DEB7C1D5F3}"/>
    <cellStyle name="Normale 2" xfId="1919" xr:uid="{4EF7ACA5-0684-4CC5-91AD-D46A541FAC0F}"/>
    <cellStyle name="Normale_Booking type - Med Pascale - Vers LEH" xfId="1920" xr:uid="{A14ECF9C-B00A-4DBC-A114-AC7DBA8B2826}"/>
    <cellStyle name="Nota" xfId="1921" xr:uid="{39BFBA2B-7C78-4B08-9AB5-7CA98D6BA156}"/>
    <cellStyle name="Nota 2" xfId="1922" xr:uid="{222618F0-D84A-4FF3-A25B-E7E88E9F70BA}"/>
    <cellStyle name="Nota 2 2" xfId="1923" xr:uid="{3741147B-EB00-4B9F-85A9-1151A1FDA65D}"/>
    <cellStyle name="Nota 2 2 2" xfId="1924" xr:uid="{C101976F-1271-4B59-A028-8038A3A6DC94}"/>
    <cellStyle name="Nota 2 3" xfId="1925" xr:uid="{6EF9BCBF-9159-4EE2-8E1D-4EEF94BC98E9}"/>
    <cellStyle name="Nota 2 3 2" xfId="1926" xr:uid="{34688A3F-FA74-4C9D-98DA-EA818F16A3D5}"/>
    <cellStyle name="Nota 2 4" xfId="1927" xr:uid="{F0696CC4-327E-4BF7-B696-5027FFBD983A}"/>
    <cellStyle name="Nota 3" xfId="1928" xr:uid="{1BDBC6A7-B583-485D-81CE-10AE1634E596}"/>
    <cellStyle name="Nota 3 2" xfId="1929" xr:uid="{58911CB1-0A8B-463F-B92E-8C0B3106A897}"/>
    <cellStyle name="Nota 3 2 2" xfId="1930" xr:uid="{742D4BD2-D389-40B7-B758-58819FB82D07}"/>
    <cellStyle name="Nota 3 3" xfId="1931" xr:uid="{133C58E6-A44C-4C8F-89BC-EA8FC6C2A933}"/>
    <cellStyle name="Nota 3 3 2" xfId="1932" xr:uid="{12E126A3-279A-4F89-A7DE-4B96EC38C2D3}"/>
    <cellStyle name="Nota 3 4" xfId="1933" xr:uid="{2B1C7315-915A-4196-A8EB-2C38C91775B7}"/>
    <cellStyle name="Nota 4" xfId="1934" xr:uid="{DE3FBA0D-F212-416D-8C45-514B22F99B3B}"/>
    <cellStyle name="Nota 4 2" xfId="1935" xr:uid="{9FF877B9-8B70-4837-BC35-D2668EB849B1}"/>
    <cellStyle name="Nota 5" xfId="1936" xr:uid="{6CABBBD7-2406-440F-BE31-647D9D3BBDD0}"/>
    <cellStyle name="Nota 5 2" xfId="1937" xr:uid="{B2B183FD-8829-43AA-B76E-078D7C9748CE}"/>
    <cellStyle name="Nota 6" xfId="1938" xr:uid="{85150D80-D255-4A02-B8D0-EA3AC0AB5DFA}"/>
    <cellStyle name="Notas" xfId="1939" xr:uid="{452703A6-D2EC-4BE7-AD15-EF4C2CB9B561}"/>
    <cellStyle name="Notas 2" xfId="1940" xr:uid="{AEB4B45A-52F6-4EDC-ACD3-5A956E3D76D3}"/>
    <cellStyle name="Notas 2 2" xfId="1941" xr:uid="{EF4C5745-0657-4BAE-8B01-EE02A9C51968}"/>
    <cellStyle name="Notas 2 2 2" xfId="1942" xr:uid="{867B29FD-4EA7-4418-B095-291881988FD4}"/>
    <cellStyle name="Notas 2 3" xfId="1943" xr:uid="{A0FD67EC-16B1-4D6A-85B9-CDBEE9197072}"/>
    <cellStyle name="Notas 2 3 2" xfId="1944" xr:uid="{401AB254-C01D-411E-84BF-8D58A24F8BB3}"/>
    <cellStyle name="Notas 2 4" xfId="1945" xr:uid="{9E9901B6-1222-41B7-982F-361A60A5F19C}"/>
    <cellStyle name="Notas 3" xfId="1946" xr:uid="{20EB4BF6-518D-4463-BE8A-7207113FB350}"/>
    <cellStyle name="Notas 3 2" xfId="1947" xr:uid="{2AE92560-7B10-4696-BBFF-9DA53EA74178}"/>
    <cellStyle name="Notas 3 2 2" xfId="1948" xr:uid="{1EFB4C47-23C2-43EB-8A04-239377D19AE2}"/>
    <cellStyle name="Notas 3 3" xfId="1949" xr:uid="{B701BF77-9E1E-46DA-B615-9E20A590EE07}"/>
    <cellStyle name="Notas 3 3 2" xfId="1950" xr:uid="{BD611DE9-EC34-4C67-9729-940263D28FE5}"/>
    <cellStyle name="Notas 3 4" xfId="1951" xr:uid="{05532D94-52C6-4CC4-8B2C-5DA038521E18}"/>
    <cellStyle name="Notas 4" xfId="1952" xr:uid="{307193AF-F55C-4098-BF28-FD914181C838}"/>
    <cellStyle name="Notas 4 2" xfId="1953" xr:uid="{6B31A7F6-F687-4C02-862C-94C793A53BD6}"/>
    <cellStyle name="Notas 5" xfId="1954" xr:uid="{3E9152FC-1FC9-4219-ABDA-A443C1E7A3AE}"/>
    <cellStyle name="Notas 5 2" xfId="1955" xr:uid="{F4E861DD-B75C-4EEE-A696-1CF6391D9D88}"/>
    <cellStyle name="Notas 6" xfId="1956" xr:uid="{8B255480-8312-4E44-A60C-90BFFDDCCABC}"/>
    <cellStyle name="Note 10" xfId="1957" xr:uid="{34FD84CD-6DF0-43C3-B3E1-8C24D39F664C}"/>
    <cellStyle name="Note 2" xfId="1958" xr:uid="{212554D9-5D79-49EC-B9A8-9E50DD3470D5}"/>
    <cellStyle name="Note 2 2" xfId="1959" xr:uid="{8C45FAAC-67F0-4327-B04E-196DCFCCC660}"/>
    <cellStyle name="Note 2 2 2" xfId="1960" xr:uid="{1E5602CD-CFD6-4D57-81BD-CAE9CC1CCB22}"/>
    <cellStyle name="Note 2 2 2 2" xfId="1961" xr:uid="{8F436576-AA87-49E7-83EA-65040682A70D}"/>
    <cellStyle name="Note 2 2 3" xfId="1962" xr:uid="{37228C1B-2F6E-4FB1-94DB-7A6E61B4BC41}"/>
    <cellStyle name="Note 2 2 3 2" xfId="1963" xr:uid="{B2A11061-1408-44E7-BE70-69222C59F8EE}"/>
    <cellStyle name="Note 2 2 4" xfId="1964" xr:uid="{3238DA38-310C-4445-9CB4-11392D916BAF}"/>
    <cellStyle name="Note 2 3" xfId="1965" xr:uid="{2FEFBC1B-8DE0-4118-8121-E417A930500C}"/>
    <cellStyle name="Note 2 3 2" xfId="1966" xr:uid="{0A6364B4-E905-4356-A737-D9A28F1CF31D}"/>
    <cellStyle name="Note 2 3 2 2" xfId="1967" xr:uid="{3A8E58C3-F2FF-436C-B825-4404BC7CFC28}"/>
    <cellStyle name="Note 2 3 3" xfId="1968" xr:uid="{B2E035F0-2D70-4ABE-B5C9-730818776B34}"/>
    <cellStyle name="Note 2 3 3 2" xfId="1969" xr:uid="{DE0B5817-B031-4F0C-9499-BE3D214B2ADF}"/>
    <cellStyle name="Note 2 3 4" xfId="1970" xr:uid="{D1A2E8CF-74F7-47A2-91CA-3A8D3EE3C490}"/>
    <cellStyle name="Note 2 4" xfId="1971" xr:uid="{13FEE9EC-B4A6-4621-8399-975A1A465E76}"/>
    <cellStyle name="Note 2 4 2" xfId="1972" xr:uid="{79D112C2-6C75-49A5-8BC4-9CE2685A74ED}"/>
    <cellStyle name="Note 2 5" xfId="1973" xr:uid="{AD317F6C-5133-4027-9C69-005AEC4300D8}"/>
    <cellStyle name="Note 2 5 2" xfId="1974" xr:uid="{E1C645DC-5578-4870-B1A8-4A0D602D2ACA}"/>
    <cellStyle name="Note 2 6" xfId="1975" xr:uid="{648237CB-6F83-4757-B30A-3218236AFD8E}"/>
    <cellStyle name="Note 3" xfId="1976" xr:uid="{6DB42D75-2BCC-46C2-8B7D-059A26DFA2F0}"/>
    <cellStyle name="Note 3 2" xfId="1977" xr:uid="{4A4A8109-DF21-4143-908D-6DD812C27519}"/>
    <cellStyle name="Note 3 2 2" xfId="1978" xr:uid="{A556C918-355F-494C-BD76-01923DBE9407}"/>
    <cellStyle name="Note 3 2 2 2" xfId="1979" xr:uid="{9C83F2C2-F876-4CD6-847F-A1BC6E2F7862}"/>
    <cellStyle name="Note 3 2 3" xfId="1980" xr:uid="{7E4DEDC3-D3E0-4EDC-922E-0B35CD6BAB79}"/>
    <cellStyle name="Note 3 2 3 2" xfId="1981" xr:uid="{B6E6A95C-B1EE-4CB1-884B-57F6092733C6}"/>
    <cellStyle name="Note 3 2 4" xfId="1982" xr:uid="{40BC7D6F-E6CA-4D5D-945D-B9B5BD508FD9}"/>
    <cellStyle name="Note 3 3" xfId="1983" xr:uid="{1320D4C4-AA75-40D9-B153-973D9FE02629}"/>
    <cellStyle name="Note 3 3 2" xfId="1984" xr:uid="{AB06FC08-A817-44C5-9B1E-4B8BA992FF96}"/>
    <cellStyle name="Note 3 3 2 2" xfId="1985" xr:uid="{6C59904B-80BC-4022-BB0E-B6598EAB13C7}"/>
    <cellStyle name="Note 3 3 3" xfId="1986" xr:uid="{70038DE8-DA98-4F8F-9B39-4D48B83DC013}"/>
    <cellStyle name="Note 3 3 3 2" xfId="1987" xr:uid="{1688CE95-F92E-4C6B-BFE0-6B01A63D36B8}"/>
    <cellStyle name="Note 3 3 4" xfId="1988" xr:uid="{AC40EBE1-3D74-4CFF-9D61-C1C02616DC25}"/>
    <cellStyle name="Note 3 4" xfId="1989" xr:uid="{2B890F5E-830A-4030-8660-685DDC80ACD0}"/>
    <cellStyle name="Note 3 4 2" xfId="1990" xr:uid="{E1F60F92-6312-48CE-B794-95FA32BA1831}"/>
    <cellStyle name="Note 3 5" xfId="1991" xr:uid="{245F07B4-B5BA-41EE-BAE2-9D75F158080C}"/>
    <cellStyle name="Note 3 5 2" xfId="1992" xr:uid="{CA23254C-230F-4A2A-B8AE-CD354837E3C2}"/>
    <cellStyle name="Note 3 6" xfId="1993" xr:uid="{57CAB8D6-FD7C-4F10-8991-81526F4A0A00}"/>
    <cellStyle name="Note 4" xfId="1994" xr:uid="{DD2DB91B-6980-415D-A1A4-74C94CF171EE}"/>
    <cellStyle name="Note 4 2" xfId="1995" xr:uid="{D8EA3AEC-AED6-474F-B241-023BA10DF112}"/>
    <cellStyle name="Note 4 2 2" xfId="1996" xr:uid="{CA74297E-9304-4861-9C41-888EFE7EDAA4}"/>
    <cellStyle name="Note 4 3" xfId="1997" xr:uid="{E787E7A9-596C-4F96-BB14-F1B387A99F5C}"/>
    <cellStyle name="Note 4 3 2" xfId="1998" xr:uid="{DAF3E165-31B0-4998-BA36-AB3C602C6B8D}"/>
    <cellStyle name="Note 4 4" xfId="1999" xr:uid="{64EDE057-8D6E-4594-B248-823DE4E4F372}"/>
    <cellStyle name="Note 5" xfId="2000" xr:uid="{58B8533A-1E58-4879-BD4A-271B44A3B64F}"/>
    <cellStyle name="Note 5 2" xfId="2001" xr:uid="{BAC70841-3004-43DF-B8A5-CA6DF4078714}"/>
    <cellStyle name="Note 5 2 2" xfId="2002" xr:uid="{ECD3EB32-EDE2-4ADF-AB10-060B76A28EB2}"/>
    <cellStyle name="Note 5 3" xfId="2003" xr:uid="{93FD6A5B-3240-4F37-82A4-D9AF231A3DCF}"/>
    <cellStyle name="Note 5 3 2" xfId="2004" xr:uid="{D0495F38-F3E8-4DAC-B3B0-472463669563}"/>
    <cellStyle name="Note 5 4" xfId="2005" xr:uid="{405C44B4-B02F-487C-AECB-6D31577C8EAF}"/>
    <cellStyle name="Note 6" xfId="2006" xr:uid="{3922CBC6-8548-48C7-AA52-4A0DD72B9CAD}"/>
    <cellStyle name="Note 6 2" xfId="2007" xr:uid="{7004B1F5-6DBF-4BCD-B7A1-20704FC13764}"/>
    <cellStyle name="Note 7" xfId="2008" xr:uid="{876118AE-E0A6-4ADE-9149-58C3F05873D0}"/>
    <cellStyle name="Note 7 2" xfId="2009" xr:uid="{13B23E6B-83FB-4C5D-8D9B-5E6AFDBB2215}"/>
    <cellStyle name="Note 8" xfId="2010" xr:uid="{9A6329CD-502D-4C8E-91A6-1C1D3349A320}"/>
    <cellStyle name="Note 9" xfId="2011" xr:uid="{A0EB42E8-4507-400B-A18B-9B803F9E9A34}"/>
    <cellStyle name="Œ…??‚¨?[0.00]_RESULTS(2) (ry" xfId="2012" xr:uid="{3703E3E9-63AC-4B7E-9618-5F2D84BEDED3}"/>
    <cellStyle name="Œ…??‚¨¨_RESULTS_1SULTS_1)" xfId="2013" xr:uid="{F36E8A22-145F-4D72-B1B5-112F14355BFB}"/>
    <cellStyle name="Œ…‹æØ‚è [0.00]_laroux" xfId="2014" xr:uid="{56803F20-7551-46E5-9407-E26B04FE11A2}"/>
    <cellStyle name="Œ…‹æØ‚è_laroux" xfId="2015" xr:uid="{51B205A9-4F5B-49FE-9649-1F219284A917}"/>
    <cellStyle name="Output 2" xfId="2017" xr:uid="{007722BE-F27E-4867-9F6B-0C6943B321A0}"/>
    <cellStyle name="Output 2 2" xfId="2018" xr:uid="{4ED1B635-DC91-4D19-A356-30292A60C32E}"/>
    <cellStyle name="Output 2 2 2" xfId="2019" xr:uid="{4F19CD62-2F3A-4954-8906-35EAFAE6D398}"/>
    <cellStyle name="Output 2 2 2 2" xfId="2020" xr:uid="{7A92AFD9-4849-4EFE-9048-775395D3B3E6}"/>
    <cellStyle name="Output 2 2 3" xfId="2021" xr:uid="{D282BA9F-554C-40D2-9C7D-FA086C4182A2}"/>
    <cellStyle name="Output 2 2 3 2" xfId="2022" xr:uid="{FE9ADCF0-CC71-4876-9979-0BCEE3E349A1}"/>
    <cellStyle name="Output 2 2 4" xfId="2023" xr:uid="{093CF0C5-FCD5-4C41-BACE-37A0462DF6A7}"/>
    <cellStyle name="Output 2 3" xfId="2024" xr:uid="{CF075C84-23AA-4FB2-B9F5-D34794E86ED8}"/>
    <cellStyle name="Output 2 3 2" xfId="2025" xr:uid="{4AD7A887-D99B-4318-8492-C14CFA637A4B}"/>
    <cellStyle name="Output 2 3 2 2" xfId="2026" xr:uid="{627FF15F-13D8-4195-AEE9-582C21B56888}"/>
    <cellStyle name="Output 2 3 3" xfId="2027" xr:uid="{89A9BD9F-CF6C-4B4A-8615-A230AB803C49}"/>
    <cellStyle name="Output 2 3 3 2" xfId="2028" xr:uid="{7161B6D7-3562-468A-B975-77A9C16248F0}"/>
    <cellStyle name="Output 2 3 4" xfId="2029" xr:uid="{56337332-12BF-46B2-B970-53162F190F91}"/>
    <cellStyle name="Output 2 4" xfId="2030" xr:uid="{7D96AFCC-9E37-4DEC-8647-A64734A9FB9A}"/>
    <cellStyle name="Output 2 4 2" xfId="2031" xr:uid="{D37A7B7B-C25F-4FCF-87CE-4875684ED2CC}"/>
    <cellStyle name="Output 2 5" xfId="2032" xr:uid="{9270EE1A-286E-4772-AF21-91F21DD4DEAA}"/>
    <cellStyle name="Output 2 5 2" xfId="2033" xr:uid="{FE93F7EE-9A55-498B-B1E8-3D7084212605}"/>
    <cellStyle name="Output 2 6" xfId="2034" xr:uid="{7F1607C6-F549-41B9-BF2B-7A3A8BFE51B2}"/>
    <cellStyle name="Output 3" xfId="2035" xr:uid="{2D150E81-2935-49E2-A588-0A389EFFA7D6}"/>
    <cellStyle name="Output 3 2" xfId="2036" xr:uid="{A83BBFBD-A3C4-447A-86D8-3A2DA175F043}"/>
    <cellStyle name="Output 3 2 2" xfId="2037" xr:uid="{04B91020-5BE8-419E-B3E1-15AAC9D641F7}"/>
    <cellStyle name="Output 3 3" xfId="2038" xr:uid="{4F85E583-CC74-4AA1-A8F8-FFF581D6671B}"/>
    <cellStyle name="Output 3 3 2" xfId="2039" xr:uid="{0F1C0A14-8433-4E90-83E3-F0FC04CABB89}"/>
    <cellStyle name="Output 3 4" xfId="2040" xr:uid="{3EB9E5A5-3FA8-4CAB-8B0F-37C8DC4F3983}"/>
    <cellStyle name="Output 4" xfId="2041" xr:uid="{FB7855B5-2A8A-4185-8D88-C750EE7E48F2}"/>
    <cellStyle name="Output 4 2" xfId="2042" xr:uid="{DEAAA6AE-1249-4C46-9497-F7738D0CE354}"/>
    <cellStyle name="Output 4 2 2" xfId="2043" xr:uid="{DE65E29A-1370-4E70-B0D1-D509452991B8}"/>
    <cellStyle name="Output 4 3" xfId="2044" xr:uid="{A9CDA8E5-7A54-422E-805F-4F923096EA65}"/>
    <cellStyle name="Output 4 3 2" xfId="2045" xr:uid="{DF61BC19-A14A-4A8B-9E96-03DFC8201DD2}"/>
    <cellStyle name="Output 4 4" xfId="2046" xr:uid="{14866911-8AEF-403C-9FF1-65C43B175C37}"/>
    <cellStyle name="Output 5" xfId="2047" xr:uid="{828C47CE-4B5B-4DEB-9CEF-10049C323F1A}"/>
    <cellStyle name="Output 5 2" xfId="2048" xr:uid="{A6A065B6-E321-4493-A276-E6C6B5DF8B91}"/>
    <cellStyle name="Output 6" xfId="2049" xr:uid="{4E6127D0-23A3-4EE7-A3F5-0B275774DE3E}"/>
    <cellStyle name="Output 6 2" xfId="2050" xr:uid="{3150512E-1D59-4A52-A80B-F6B8349FA5E8}"/>
    <cellStyle name="Output 7" xfId="2051" xr:uid="{C590B800-8438-45D0-923C-902F6B527BE9}"/>
    <cellStyle name="Output 8" xfId="2052" xr:uid="{A0DBD0DF-1D81-4082-90C1-076453122D00}"/>
    <cellStyle name="Output 9" xfId="2016" xr:uid="{D58BD79E-BFB9-40D6-8CDF-3DD120C9558A}"/>
    <cellStyle name="per.style" xfId="2053" xr:uid="{6819556F-CD7D-41AF-A146-8B0F9424F6E6}"/>
    <cellStyle name="per.style 2" xfId="2054" xr:uid="{D6E557C7-56FB-4246-9B6D-48C0411BDAE1}"/>
    <cellStyle name="per.style 2 2" xfId="2055" xr:uid="{D828AE92-8A3B-4838-9B27-86FCFE26D10D}"/>
    <cellStyle name="per.style_Aenne Rickmers" xfId="2056" xr:uid="{D5F4ADCD-B7EA-4D87-8FD0-64FE3B192B5E}"/>
    <cellStyle name="Percent [0]" xfId="2057" xr:uid="{028F82AB-D426-4774-BFE7-BDB18D7F8163}"/>
    <cellStyle name="Percent [0] 2" xfId="2058" xr:uid="{4BD3F032-00B8-4A6B-9510-339D45699F13}"/>
    <cellStyle name="Percent [0] 2 2" xfId="2059" xr:uid="{593D8F3F-3383-4074-967B-5B2A30A5F0C6}"/>
    <cellStyle name="Percent [0] 2 2 2" xfId="2060" xr:uid="{6F2A3AD1-CDF1-4E3E-8232-505D470B38EA}"/>
    <cellStyle name="Percent [0] 2 3" xfId="2061" xr:uid="{DF05A54A-4A6B-4EF9-912D-DA57821FBAF2}"/>
    <cellStyle name="Percent [0] 2 3 2" xfId="2062" xr:uid="{75459CB5-D0F7-47D0-83FC-73AAE72C3A93}"/>
    <cellStyle name="Percent [0] 2 4" xfId="2063" xr:uid="{909066E6-99AD-40BA-854C-EA8D35C64577}"/>
    <cellStyle name="Percent [0] 2 4 2" xfId="2064" xr:uid="{EFC894A5-7678-4FA7-A319-F1BBF94652B2}"/>
    <cellStyle name="Percent [0] 2 5" xfId="2065" xr:uid="{C51B8CD0-1493-4C3F-A9EA-BCA89368C8D3}"/>
    <cellStyle name="Percent [0] 3" xfId="2066" xr:uid="{1EE3A5A0-808B-4552-AA88-5EF4BD5586D6}"/>
    <cellStyle name="Percent [0] 3 2" xfId="2067" xr:uid="{B8C2E855-EDF0-4A1D-A4D2-F499EC0946A0}"/>
    <cellStyle name="Percent [0] 4" xfId="2068" xr:uid="{9A06CFDF-218F-4E89-89A8-0FC65803A750}"/>
    <cellStyle name="Percent [0] 4 2" xfId="2069" xr:uid="{DC0C06FD-C667-411E-B599-65CDDD622B7B}"/>
    <cellStyle name="Percent [0] 5" xfId="2070" xr:uid="{5EC5865D-AA6F-44E0-A018-9C93381F8DA8}"/>
    <cellStyle name="Percent [0] 5 2" xfId="2071" xr:uid="{0DAE334D-5E76-4909-8FE3-8BBB3FBBB9BB}"/>
    <cellStyle name="Percent [00]" xfId="2072" xr:uid="{A674B797-3946-439A-B488-E228D78C0079}"/>
    <cellStyle name="Percent [00] 2" xfId="2073" xr:uid="{3CE2C2C5-B7DC-47A7-873D-437F5C5586C2}"/>
    <cellStyle name="Percent [00] 2 2" xfId="2074" xr:uid="{BF085D61-B181-4C20-90D7-9C2886B15A5F}"/>
    <cellStyle name="Percent [00] 2 3" xfId="2075" xr:uid="{5CDDA43B-AC28-4DF1-81B0-58CE4D54E914}"/>
    <cellStyle name="Percent [00] 2 4" xfId="2076" xr:uid="{16512AA9-CCB7-4BAC-8880-75E481359AD7}"/>
    <cellStyle name="Percent [00] 3" xfId="2077" xr:uid="{D32B523F-B7BF-4DE9-B140-E2A14D100752}"/>
    <cellStyle name="Percent [2]" xfId="2078" xr:uid="{77BB5CC1-4D09-4743-97B1-42DB380EA910}"/>
    <cellStyle name="Percent [2] 2" xfId="2079" xr:uid="{37729B11-C2E0-4875-ACF7-E1BAA1565FAD}"/>
    <cellStyle name="Percent [2] 2 2" xfId="2080" xr:uid="{45AFF5D1-3A4E-4350-B82B-A8957309F12D}"/>
    <cellStyle name="Percent [2] 2 2 2" xfId="2081" xr:uid="{9BE08CAD-1E82-409C-BF7D-49B2BA4672F5}"/>
    <cellStyle name="Percent [2] 2 3" xfId="2082" xr:uid="{A8121228-25C4-490F-966C-34B8CC21F4B5}"/>
    <cellStyle name="Percent [2] 2 3 2" xfId="2083" xr:uid="{521F1E61-21B3-42DD-84CC-8201F75197B3}"/>
    <cellStyle name="Percent [2] 2 4" xfId="2084" xr:uid="{919398D5-1662-4886-A9F3-E95B75057B0D}"/>
    <cellStyle name="Percent [2] 2 4 2" xfId="2085" xr:uid="{C43C5B69-9B1D-45E1-98FD-612E5302608A}"/>
    <cellStyle name="Percent [2] 2 5" xfId="2086" xr:uid="{630733F9-2EC0-4A5F-A7A8-9AACC6D98912}"/>
    <cellStyle name="Percent [2] 3" xfId="2087" xr:uid="{615A7CF8-3135-4351-ADA5-174E87083002}"/>
    <cellStyle name="Percent [2] 3 2" xfId="2088" xr:uid="{B8391BAF-B1A6-41CE-9F56-6C0C1EAEE5C7}"/>
    <cellStyle name="Percent [2] 4" xfId="2089" xr:uid="{85A361E1-8A83-449C-9987-F0309B80299C}"/>
    <cellStyle name="Percent [2] 4 2" xfId="2090" xr:uid="{43DF6FC7-72DC-49AF-8832-718CEA8F77C1}"/>
    <cellStyle name="Percent [2] 5" xfId="2091" xr:uid="{EFE33FFF-699A-44CB-A0A6-CD59ADEAC63F}"/>
    <cellStyle name="Percent 2" xfId="2092" xr:uid="{3D9C6B93-3CB7-4B79-9595-6BAB22F5ACEC}"/>
    <cellStyle name="Percent 2 2" xfId="2093" xr:uid="{F8657E5C-B9A0-4D60-87B7-EBDC1044519B}"/>
    <cellStyle name="Percent 2 2 2" xfId="2094" xr:uid="{517AD1BD-D48F-4A9D-BE10-F9C8BB9045DF}"/>
    <cellStyle name="Percent 2 3" xfId="2095" xr:uid="{79FECE01-6A0F-4CCF-85AF-0121E625AB72}"/>
    <cellStyle name="Percent 2 3 2" xfId="2096" xr:uid="{8034BF63-6DE9-4029-88D7-56A21F0CCAD6}"/>
    <cellStyle name="Percent 2 4" xfId="2097" xr:uid="{C74A755E-98FF-4908-B1E1-1C2852D49650}"/>
    <cellStyle name="Percent 3" xfId="2098" xr:uid="{A589F1A0-CB62-448B-8C31-F0E8072296AA}"/>
    <cellStyle name="Percent 4" xfId="2099" xr:uid="{34C154F9-B236-485B-A6EB-5051F7D88DB1}"/>
    <cellStyle name="Percent 5" xfId="2100" xr:uid="{B3AE67C5-4C98-4F28-9AFD-CF5F7022E2E8}"/>
    <cellStyle name="Percent 5 2" xfId="2101" xr:uid="{636C2570-D5E5-47A1-824F-64866F58B1C9}"/>
    <cellStyle name="Percent 6" xfId="2102" xr:uid="{4B068FE1-5C1D-43CE-9E8B-3CD29DEE3AAC}"/>
    <cellStyle name="PERCENTAGE" xfId="2103" xr:uid="{E940711F-287A-446D-AB80-80388B19DCC2}"/>
    <cellStyle name="PERCENTAGE 2" xfId="2104" xr:uid="{5B3763F4-3688-4B24-8278-29242387CA2C}"/>
    <cellStyle name="PERCENTAGE 2 2" xfId="2105" xr:uid="{6742125E-4B30-4B54-96E4-D2661AE6043D}"/>
    <cellStyle name="PERCENTAGE 2 2 2" xfId="2106" xr:uid="{A814413A-4A95-4CF4-9537-362E96C7BC88}"/>
    <cellStyle name="PERCENTAGE 2 3" xfId="2107" xr:uid="{A976A358-CBB9-4373-B05A-A494EBD20C9C}"/>
    <cellStyle name="PERCENTAGE 2 3 2" xfId="2108" xr:uid="{60E5D915-21BF-4245-AD80-5567DF57744B}"/>
    <cellStyle name="PERCENTAGE 2 4" xfId="2109" xr:uid="{95553263-5AD4-4304-B406-CC34E60CD92B}"/>
    <cellStyle name="PERCENTAGE 2 4 2" xfId="2110" xr:uid="{34CEA96E-804B-4092-A31C-30F62E152103}"/>
    <cellStyle name="PERCENTAGE 2 5" xfId="2111" xr:uid="{B58AD351-11B1-44A7-9B2C-C2DBAE16A163}"/>
    <cellStyle name="PERCENTAGE 2_all Delmas Slots Costs 20120316" xfId="2112" xr:uid="{90E39647-1B05-404C-B57C-4E7712CA9841}"/>
    <cellStyle name="PERCENTAGE_08 RESULTAT Août 2011" xfId="2113" xr:uid="{5C87D7E9-E5A0-4EE1-8AD6-BF1E4E4513B7}"/>
    <cellStyle name="Porcentual 2" xfId="2114" xr:uid="{71BBE453-77EA-4E8A-8E5A-4BEF868E0D84}"/>
    <cellStyle name="Pourcentage 2" xfId="2115" xr:uid="{349CFA69-564B-4032-8320-AE305D6576FC}"/>
    <cellStyle name="Pourcentage 2 2" xfId="2116" xr:uid="{3688B225-D85A-4C48-A963-C66AE7CD05E6}"/>
    <cellStyle name="Pourcentage 2 2 2" xfId="2117" xr:uid="{1FC4BF7F-2CF7-4CBD-8FCE-E2E33A3D76CC}"/>
    <cellStyle name="Pourcentage 2 2 2 2" xfId="2118" xr:uid="{34A8D923-9BB9-45C9-BE7B-6612FD975089}"/>
    <cellStyle name="Pourcentage 2 2 3" xfId="2119" xr:uid="{E737ABB8-BB04-448D-B819-B4377B88EF78}"/>
    <cellStyle name="Pourcentage 2 3" xfId="2120" xr:uid="{E476BC82-AFF8-45DD-8AC0-976B4EB8C41A}"/>
    <cellStyle name="Pourcentage 2 3 2" xfId="2121" xr:uid="{7E7D6CAD-D2A1-44EB-8F4D-A092DD85AB57}"/>
    <cellStyle name="Pourcentage 2 4" xfId="2122" xr:uid="{2607186C-5EF3-4C01-AC04-EAF4E68B7080}"/>
    <cellStyle name="Pourcentage 2 4 2" xfId="2123" xr:uid="{5413F8F5-5668-49C7-A6BE-AB54DF1F8A36}"/>
    <cellStyle name="Pourcentage 2 5" xfId="2124" xr:uid="{E5B6756E-CDCB-46BB-8DD0-C5669DE9B595}"/>
    <cellStyle name="Pourcentage 3" xfId="2125" xr:uid="{AD09F717-1910-4BCA-B0D4-ED13BEAF63E3}"/>
    <cellStyle name="Pourcentage 3 2" xfId="2126" xr:uid="{09F56A4A-34C9-46B0-B127-3C85B561FF67}"/>
    <cellStyle name="Pourcentage 3 2 2" xfId="2127" xr:uid="{6A019F2B-E68C-4133-9693-03A60914357F}"/>
    <cellStyle name="Pourcentage 3 2 3" xfId="2128" xr:uid="{A928FB07-C1B5-4ABA-A1D6-22115D69BA6A}"/>
    <cellStyle name="Pourcentage 3 2 4" xfId="2129" xr:uid="{E8852851-9154-4F78-BA5C-615007894F85}"/>
    <cellStyle name="Pourcentage 3 3" xfId="2130" xr:uid="{DA02233C-7921-41C2-810F-D95BFF5A5135}"/>
    <cellStyle name="Pourcentage 4" xfId="2131" xr:uid="{D0F5E132-21A7-4BD8-B8F6-FE95CD1D60DF}"/>
    <cellStyle name="Pourcentage 4 2" xfId="2132" xr:uid="{A3B8D43A-22F3-4B9E-AB7B-5810B1465D80}"/>
    <cellStyle name="Pourcentage 4 3" xfId="2133" xr:uid="{16B6585C-DAEF-421A-AF17-63752600F3FB}"/>
    <cellStyle name="Pourcentage 5" xfId="2134" xr:uid="{243A94BF-34B0-4596-943E-0A56DF7E6C20}"/>
    <cellStyle name="Pourcentage 5 2" xfId="2135" xr:uid="{A692E5FE-9649-4864-813D-9874E26D51A2}"/>
    <cellStyle name="Pourcentage 6" xfId="2136" xr:uid="{1E32E097-7563-479B-8174-B13AD208829D}"/>
    <cellStyle name="Pourcentage 7" xfId="2137" xr:uid="{2F9600C5-6F28-4956-AC90-19C08EA2A0E0}"/>
    <cellStyle name="Pourcentage 8" xfId="2138" xr:uid="{43658C2F-D075-47EF-861B-A37BCEA5BD62}"/>
    <cellStyle name="Pourcentage 8 2" xfId="2139" xr:uid="{6EC6F312-E7E3-4687-9C24-48781BAA2C78}"/>
    <cellStyle name="PrePop Currency (0)" xfId="2140" xr:uid="{ADB9E397-122B-4A79-92B0-574F0D47039B}"/>
    <cellStyle name="PrePop Currency (2)" xfId="2141" xr:uid="{D4167421-3215-4CBF-9A52-78B48BD61120}"/>
    <cellStyle name="PrePop Units (0)" xfId="2142" xr:uid="{F2C4A290-6179-49B7-B06C-2CEFEA945FA3}"/>
    <cellStyle name="PrePop Units (1)" xfId="2143" xr:uid="{8E8C544E-258A-40E1-B269-A6B04C4305D6}"/>
    <cellStyle name="PrePop Units (1) 2" xfId="2144" xr:uid="{EB7F6AA5-C49A-47F1-BFD1-C15C7D4CF4CF}"/>
    <cellStyle name="PrePop Units (1) 2 2" xfId="2145" xr:uid="{618BB728-7154-4395-AF60-BB2446087216}"/>
    <cellStyle name="PrePop Units (1) 2 3" xfId="2146" xr:uid="{E9597A4C-BE34-4581-9A5E-2E04D51B4CDD}"/>
    <cellStyle name="PrePop Units (1) 2 4" xfId="2147" xr:uid="{F6800C5D-FC1E-48C6-85E3-AD4A2C227855}"/>
    <cellStyle name="PrePop Units (1) 3" xfId="2148" xr:uid="{965F077B-86F8-40DA-86A9-82D74AD056B2}"/>
    <cellStyle name="PrePop Units (1)_Aenne Rickmers" xfId="2149" xr:uid="{8AD4E1C2-027B-4522-BDAA-CF9F37F54590}"/>
    <cellStyle name="PrePop Units (2)" xfId="2150" xr:uid="{5BEC4D12-13E9-4669-B3AC-94D4ABD831AD}"/>
    <cellStyle name="pricing" xfId="2151" xr:uid="{CC42BAB0-C6AD-4BB6-925F-64EBA424F1A3}"/>
    <cellStyle name="pricing 2" xfId="2152" xr:uid="{FE7CE7C3-B730-4EAB-8432-8CE468ED0E14}"/>
    <cellStyle name="pricing 3" xfId="2153" xr:uid="{CABABDA8-8729-4F08-A4D0-727F80455FF6}"/>
    <cellStyle name="pricing_vol-contrib" xfId="2154" xr:uid="{32605FE1-6180-4E58-B5BB-0D8D3EB8FEEF}"/>
    <cellStyle name="PSChar" xfId="2155" xr:uid="{ABFC9446-5FC8-4981-9E4F-3A392BC65849}"/>
    <cellStyle name="PSChar 2" xfId="2156" xr:uid="{72044042-DA8F-49C4-9049-A8010412D9CD}"/>
    <cellStyle name="PSChar 2 2" xfId="2157" xr:uid="{1C8C2C71-F1AB-4D18-B20B-58846A601481}"/>
    <cellStyle name="PSChar 3" xfId="2158" xr:uid="{E804AC23-F67C-4154-B0FD-8CF966F48BDD}"/>
    <cellStyle name="PSChar 3 2" xfId="2159" xr:uid="{38CAB6B3-544F-4E7B-B079-0129FAA872F0}"/>
    <cellStyle name="PSChar 4" xfId="2160" xr:uid="{84EB94EB-4EBE-4A0C-9F62-F9C856E4FA5F}"/>
    <cellStyle name="RevList" xfId="2161" xr:uid="{F9D6E8AF-77D1-4EAD-9591-4E406ADE3AE5}"/>
    <cellStyle name="RevList 2" xfId="2162" xr:uid="{D47F6B00-7DBD-4803-AD1B-4055855194DB}"/>
    <cellStyle name="RevList 2 2" xfId="2163" xr:uid="{D7A2D413-F29B-4197-B75D-895B31C4C5ED}"/>
    <cellStyle name="RevList 3" xfId="2164" xr:uid="{0F2FB876-A320-48B0-9E5F-466ED7C1581A}"/>
    <cellStyle name="RevList 3 2" xfId="2165" xr:uid="{8379C315-C750-4857-85B3-3019272C5570}"/>
    <cellStyle name="RevList 4" xfId="2166" xr:uid="{0B6273A2-480D-482F-B31B-1495706EFF45}"/>
    <cellStyle name="RevList_vol-contrib" xfId="2167" xr:uid="{4A51B00F-7A8D-43A3-A7F9-935C04C59D46}"/>
    <cellStyle name="Saída" xfId="2168" xr:uid="{D8E4B246-CED6-4A36-8095-3246D594E5C9}"/>
    <cellStyle name="Saída 2" xfId="2169" xr:uid="{373EA754-BC1F-47E5-9C24-2AF44CDCF2E4}"/>
    <cellStyle name="Saída 2 2" xfId="2170" xr:uid="{43FCDB2F-F623-47DE-AA5F-8DE35752D94B}"/>
    <cellStyle name="Saída 2 2 2" xfId="2171" xr:uid="{77786A31-FEAD-451C-A2E9-D7B2F22C323F}"/>
    <cellStyle name="Saída 2 3" xfId="2172" xr:uid="{03C95834-8143-4DCA-9D48-075F6C8493B5}"/>
    <cellStyle name="Saída 2 3 2" xfId="2173" xr:uid="{7F338B18-25EA-40CF-B009-638DF2FCCA5B}"/>
    <cellStyle name="Saída 2 4" xfId="2174" xr:uid="{6290B606-FB70-4D03-A92A-E8972582426C}"/>
    <cellStyle name="Saída 3" xfId="2175" xr:uid="{B4B24C52-2C3E-4445-9DFB-B4CE46F981E4}"/>
    <cellStyle name="Saída 3 2" xfId="2176" xr:uid="{948635A9-B93A-431D-BF63-5290670B819B}"/>
    <cellStyle name="Saída 3 2 2" xfId="2177" xr:uid="{C1284402-57AF-450B-AF43-4B5968B180FD}"/>
    <cellStyle name="Saída 3 3" xfId="2178" xr:uid="{5751479C-44B2-4584-904C-DCB1F1C015ED}"/>
    <cellStyle name="Saída 3 3 2" xfId="2179" xr:uid="{495423B0-E675-4C5F-8300-97B2F343D38B}"/>
    <cellStyle name="Saída 3 4" xfId="2180" xr:uid="{ABB63B67-14CB-46B0-89A1-FA4A3785E200}"/>
    <cellStyle name="Saída 4" xfId="2181" xr:uid="{AE8B1C13-3904-4D94-AD35-D34C9028FBDD}"/>
    <cellStyle name="Saída 4 2" xfId="2182" xr:uid="{3D296FC3-34D3-4990-BA59-7923C438AEB2}"/>
    <cellStyle name="Saída 5" xfId="2183" xr:uid="{B563B47A-5452-498F-BD74-0CD09DB223C9}"/>
    <cellStyle name="Saída 5 2" xfId="2184" xr:uid="{DCBCDAFE-B2E7-42A5-89CE-0D4F10D69215}"/>
    <cellStyle name="Saída 6" xfId="2185" xr:uid="{E28B9F7C-A5D2-4805-8D0E-C06F18ED2443}"/>
    <cellStyle name="Salida" xfId="2186" xr:uid="{E1CDB68E-1CF4-4989-9B52-12B7A21B85BC}"/>
    <cellStyle name="Salida 2" xfId="2187" xr:uid="{705A876D-A80B-4AA4-965C-5CA7CAB89932}"/>
    <cellStyle name="Salida 2 2" xfId="2188" xr:uid="{5484D518-AB5B-4F71-9046-1F471B2886DF}"/>
    <cellStyle name="Salida 2 2 2" xfId="2189" xr:uid="{501F04F7-DF91-4329-89C9-ED4C237E8C00}"/>
    <cellStyle name="Salida 2 3" xfId="2190" xr:uid="{88E18A1E-1417-4704-B929-7C7F2FAEAB1B}"/>
    <cellStyle name="Salida 2 3 2" xfId="2191" xr:uid="{54C752CB-C302-4261-A69F-4AF1A1042D69}"/>
    <cellStyle name="Salida 2 4" xfId="2192" xr:uid="{AE70E380-B09A-48B1-90A3-B595A8EDA3BF}"/>
    <cellStyle name="Salida 3" xfId="2193" xr:uid="{B10F76D1-DD5C-45F7-99B8-979FB70C54CF}"/>
    <cellStyle name="Salida 3 2" xfId="2194" xr:uid="{163CCA87-DC1D-46E6-9926-77941BF5C8D7}"/>
    <cellStyle name="Salida 3 2 2" xfId="2195" xr:uid="{0385D1D9-8A77-492F-A1DE-75B29C554460}"/>
    <cellStyle name="Salida 3 3" xfId="2196" xr:uid="{95DC8878-AE14-4B5E-85BA-8C5292DEAFD3}"/>
    <cellStyle name="Salida 3 3 2" xfId="2197" xr:uid="{30ABD88F-3E5D-4856-ABAB-407BDC1997B5}"/>
    <cellStyle name="Salida 3 4" xfId="2198" xr:uid="{CFCA4747-028E-40AB-912B-CBCD8980E286}"/>
    <cellStyle name="Salida 4" xfId="2199" xr:uid="{D553FD95-E955-43A2-81C0-CDE3BA1B0EB4}"/>
    <cellStyle name="Salida 4 2" xfId="2200" xr:uid="{40763C67-BFF6-4763-82EE-E7E0699204E1}"/>
    <cellStyle name="Salida 5" xfId="2201" xr:uid="{1ACB8D8A-E2B8-47BE-85F0-915B5F02C22E}"/>
    <cellStyle name="Salida 5 2" xfId="2202" xr:uid="{261BBF95-D633-4456-B294-66961A188A7A}"/>
    <cellStyle name="Salida 6" xfId="2203" xr:uid="{30293FB4-866F-46BD-A2DD-2E8AB6836F7F}"/>
    <cellStyle name="Satisfaisant 2" xfId="2204" xr:uid="{B2C3C008-9325-4015-ADDC-692F026784E6}"/>
    <cellStyle name="Separador de milhares [0]_DECK1F2" xfId="2205" xr:uid="{986AFC3C-1383-4293-AD02-EB4419045D02}"/>
    <cellStyle name="Separador de milhares_DECK1F2" xfId="2206" xr:uid="{7F077F21-E593-4A8A-B04C-6AF57418052D}"/>
    <cellStyle name="Sheet Title" xfId="2207" xr:uid="{DDD64E34-328C-43DA-9335-D51435492C9A}"/>
    <cellStyle name="Sombra1" xfId="2208" xr:uid="{1077F885-633B-4A42-9580-81586DDE93FE}"/>
    <cellStyle name="Sombra1 2" xfId="2209" xr:uid="{A8F22A0E-C955-4BB4-AF3C-8E675F421FE4}"/>
    <cellStyle name="Sombra1 3" xfId="2210" xr:uid="{6145EC4B-60B9-4C29-A76B-96678970B9E2}"/>
    <cellStyle name="Sombra2" xfId="2211" xr:uid="{F9B20AF5-45E2-47E8-B2D7-BAE9DD3CAF60}"/>
    <cellStyle name="Sombra2 2" xfId="2212" xr:uid="{A473F5DD-175F-4935-A9A5-2641AAFDF9EC}"/>
    <cellStyle name="Sombra2 3" xfId="2213" xr:uid="{9B9BF975-9B16-4598-A912-A08AB22E4D5A}"/>
    <cellStyle name="Sortie 2" xfId="2214" xr:uid="{ED6BC704-AD0E-4321-9C21-796E625584E3}"/>
    <cellStyle name="Sortie 2 2" xfId="2215" xr:uid="{FF06FFA9-F145-4AFF-8ED9-CD1BEE6859C0}"/>
    <cellStyle name="Sortie 2 2 2" xfId="2216" xr:uid="{1678CABC-8A6F-4CA1-94E1-CA43215B0EA1}"/>
    <cellStyle name="Sortie 2 3" xfId="2217" xr:uid="{9F2CE15B-26CE-490B-884A-1B982413A27B}"/>
    <cellStyle name="Sortie 2 3 2" xfId="2218" xr:uid="{7ABC442B-1A7C-46EB-9A85-3A3521E4885F}"/>
    <cellStyle name="Sortie 2 4" xfId="2219" xr:uid="{6D80615F-2DF7-416B-B088-2D874F18D51F}"/>
    <cellStyle name="Standaard_DECK1F2" xfId="2220" xr:uid="{0C584FC9-B562-48B4-AEDE-FC1F6343A324}"/>
    <cellStyle name="Standard_2001" xfId="2221" xr:uid="{0CF92DF3-C255-4044-9221-EC46BDDF32A4}"/>
    <cellStyle name="Style 1" xfId="2222" xr:uid="{058FC34C-C2A2-4CD7-BCF1-67FBDA6B39AC}"/>
    <cellStyle name="Style 1 2" xfId="2223" xr:uid="{B1B11514-528F-4E67-904E-F5436EE4B698}"/>
    <cellStyle name="Style 1 3" xfId="2224" xr:uid="{D565E0CA-2FFE-4D30-8B76-3A0C41CE518C}"/>
    <cellStyle name="Style 1_08 RESULTAT Août 2011" xfId="2225" xr:uid="{7B052DC0-A8F1-4B21-B774-6E65B91B30B9}"/>
    <cellStyle name="Style 2" xfId="2226" xr:uid="{40960842-D19F-4230-B657-E8C0E8E3A9FB}"/>
    <cellStyle name="Style 2 2" xfId="2227" xr:uid="{775B565B-F294-47E3-B814-1AD402607261}"/>
    <cellStyle name="Style 2 2 2" xfId="2228" xr:uid="{B43B4683-1996-450C-9FA0-013453DD7431}"/>
    <cellStyle name="Style 2 2 3" xfId="2229" xr:uid="{793998AD-729E-49B0-AD88-ABB993B425BB}"/>
    <cellStyle name="Style 2 2 4" xfId="2230" xr:uid="{D3C3900C-0AE1-47D9-9516-83AA6A1ADE92}"/>
    <cellStyle name="Style 2_vol-contrib" xfId="2231" xr:uid="{C91E76DD-6910-462F-A7A5-16F27B058069}"/>
    <cellStyle name="Subsubtotal" xfId="2232" xr:uid="{D250759F-9C02-43FC-B510-D25568001C56}"/>
    <cellStyle name="Subsubtotal 2" xfId="2233" xr:uid="{921EB83C-C5AF-4B46-987F-D8BCD945763C}"/>
    <cellStyle name="Subsubtotal Right" xfId="2234" xr:uid="{8ACC4FF0-81ED-41C1-ADD7-84C51A629DA9}"/>
    <cellStyle name="Subsubtotal Right 2" xfId="2235" xr:uid="{36BD39B4-3F56-4BD6-89A9-7A701CC9C4CE}"/>
    <cellStyle name="Subsubtotal_1100 Agadir Halifax" xfId="2236" xr:uid="{7311D089-4632-451F-A42B-0103D04D667C}"/>
    <cellStyle name="Subtotal" xfId="2237" xr:uid="{86F7D58C-A8EF-41E4-9995-FBE832F4C366}"/>
    <cellStyle name="Subtotal 2" xfId="2238" xr:uid="{FE6ADE0B-77DD-4091-A3BD-F8552F530A55}"/>
    <cellStyle name="Subtotal 2 2" xfId="2239" xr:uid="{144AED18-ABE9-4664-8D01-8DB3DED2A465}"/>
    <cellStyle name="Subtotal 3" xfId="2240" xr:uid="{31114B03-D3EE-4113-8729-F72A81A97703}"/>
    <cellStyle name="Subtotal Right" xfId="2241" xr:uid="{55EA9150-10B5-481F-A1D6-1833093FE079}"/>
    <cellStyle name="Subtotal Right 2" xfId="2242" xr:uid="{CAE5AC50-EDE2-43CF-9967-663E2AA0433D}"/>
    <cellStyle name="Subtotal_2500_4000" xfId="2243" xr:uid="{BBE0AFB9-D9A3-4C69-89A7-308759C7F6BB}"/>
    <cellStyle name="SUZ" xfId="2244" xr:uid="{A800CF37-19C8-49E5-A967-B798788B75EA}"/>
    <cellStyle name="SUZ 2" xfId="2245" xr:uid="{1442F317-2E1A-46F5-987F-D0ED82BAF032}"/>
    <cellStyle name="SUZ 2 2" xfId="2246" xr:uid="{B2B2002C-BBE3-4087-BAED-BECA20C945E3}"/>
    <cellStyle name="SUZ 2 2 2" xfId="2247" xr:uid="{A7BAF651-E339-4C7D-AA06-4ABA1EE2E5A2}"/>
    <cellStyle name="SUZ 2 3" xfId="2248" xr:uid="{BC96906F-BBAD-472E-B67B-56A4F25C7E95}"/>
    <cellStyle name="SUZ 2 3 2" xfId="2249" xr:uid="{8ED78172-1A09-4A6E-9210-10D5D7A784B7}"/>
    <cellStyle name="SUZ 2 4" xfId="2250" xr:uid="{D2488C28-ACD6-44CD-8E5F-78662FDE1A36}"/>
    <cellStyle name="SUZ 2 4 2" xfId="2251" xr:uid="{672731D0-E5F4-4D8A-A76F-7FCF230F0B32}"/>
    <cellStyle name="SUZ 2 5" xfId="2252" xr:uid="{88A6BC09-FF81-4A30-8545-AF753079EB5E}"/>
    <cellStyle name="SUZ 2_all Delmas Slots Costs 20120316" xfId="2253" xr:uid="{DF40E24D-DCC9-4895-A6D3-6E7C898EB627}"/>
    <cellStyle name="SUZ_Aenne Rickmers" xfId="2254" xr:uid="{E80FAE3E-EE33-4A69-B8EA-9F0DFCAA6338}"/>
    <cellStyle name="Table Heading" xfId="2255" xr:uid="{A0919942-6469-4955-82FA-EA1D2F8C65F8}"/>
    <cellStyle name="Table Title" xfId="2256" xr:uid="{7367F262-89D9-48C0-8071-2281BD88B963}"/>
    <cellStyle name="Table Units" xfId="2257" xr:uid="{794E06D0-1ADE-46C0-88C1-9CFE646DD9F2}"/>
    <cellStyle name="Table Units 2" xfId="2258" xr:uid="{A389AFBA-6892-425F-8D50-A1390BF5513C}"/>
    <cellStyle name="Table Units 2 2" xfId="2259" xr:uid="{078C914B-DE5A-4AA3-866B-70DB04685B23}"/>
    <cellStyle name="Table Units 3" xfId="2260" xr:uid="{10FF4A75-5729-4775-9BAE-D15E4320A99D}"/>
    <cellStyle name="Table Units_Aenne Rickmers" xfId="2261" xr:uid="{B6CE1520-D950-4211-B6CC-B72BA57201DC}"/>
    <cellStyle name="Text Indent A" xfId="2262" xr:uid="{0EFCDE4A-AA54-47AB-9FA0-68CD52970E04}"/>
    <cellStyle name="Text Indent B" xfId="2263" xr:uid="{4F606E9B-CF51-4988-A093-0C081FD1DB86}"/>
    <cellStyle name="Text Indent B 2" xfId="2264" xr:uid="{F0CCF35E-0663-4EE3-981E-012EE4968357}"/>
    <cellStyle name="Text Indent B 2 2" xfId="2265" xr:uid="{3333F3B4-2877-4E78-A54B-B2D71DF04B67}"/>
    <cellStyle name="Text Indent B 2 2 2" xfId="2266" xr:uid="{0C700B71-B3DF-43A3-BE1F-987E3A41E88E}"/>
    <cellStyle name="Text Indent B 2 3" xfId="2267" xr:uid="{19ACDB39-52D9-4D40-84A2-9C1EC12A5543}"/>
    <cellStyle name="Text Indent B 2 3 2" xfId="2268" xr:uid="{A87A90FE-717F-4E4F-9CC8-9A5547604B9A}"/>
    <cellStyle name="Text Indent B 2 4" xfId="2269" xr:uid="{12013348-7F9E-440E-BBE0-FD66CC924028}"/>
    <cellStyle name="Text Indent B 2 4 2" xfId="2270" xr:uid="{95134D00-F660-42DB-8903-9CD0E22B02F8}"/>
    <cellStyle name="Text Indent B 2 5" xfId="2271" xr:uid="{2B306258-EE63-48A6-BBE5-A360FA47B1AF}"/>
    <cellStyle name="Text Indent B 3" xfId="2272" xr:uid="{13114DFD-2931-4B6B-91A8-4910D3368E9E}"/>
    <cellStyle name="Text Indent B 3 2" xfId="2273" xr:uid="{A861832A-FBCD-413A-B1EB-B7CCC89CA058}"/>
    <cellStyle name="Text Indent B 4" xfId="2274" xr:uid="{5A034B4E-02AE-4AE2-99F5-478517B1D2A3}"/>
    <cellStyle name="Text Indent B 4 2" xfId="2275" xr:uid="{F2566731-712F-4411-B6EB-0079D82368FA}"/>
    <cellStyle name="Text Indent B 5" xfId="2276" xr:uid="{FF099B82-765F-4E11-BC01-6B13E354C2E1}"/>
    <cellStyle name="Text Indent B 5 2" xfId="2277" xr:uid="{D1D69E7C-37B1-4C56-A9D2-10BB6ACE399A}"/>
    <cellStyle name="Text Indent B_vol-contrib" xfId="2278" xr:uid="{6BB343E0-635A-45DC-8619-8209E6E6B4CD}"/>
    <cellStyle name="Text Indent C" xfId="2279" xr:uid="{B3953B79-C2AB-4932-8C42-A44C3047F7E7}"/>
    <cellStyle name="Text Indent C 2" xfId="2280" xr:uid="{99DF5071-F868-479F-8911-2DB44F9585F0}"/>
    <cellStyle name="Text Indent C 2 2" xfId="2281" xr:uid="{C4EA5CDF-6008-408B-A61D-536BCCC9DE37}"/>
    <cellStyle name="Text Indent C 2 2 2" xfId="2282" xr:uid="{33356D06-1066-4D70-A98D-3509414B4146}"/>
    <cellStyle name="Text Indent C 2 3" xfId="2283" xr:uid="{1FA04A2B-BE24-48E3-B942-564E6C1C655C}"/>
    <cellStyle name="Text Indent C 2 3 2" xfId="2284" xr:uid="{318B190B-F163-4BA3-A344-4AE4EE073B28}"/>
    <cellStyle name="Text Indent C 2 4" xfId="2285" xr:uid="{A3F748F2-47FF-4D5C-BAA5-DF1720FAFDF7}"/>
    <cellStyle name="Text Indent C 2 4 2" xfId="2286" xr:uid="{C36AEE17-D45A-4CF1-B8C7-3DAE8F81F250}"/>
    <cellStyle name="Text Indent C 2 5" xfId="2287" xr:uid="{6DD4967C-908D-4D66-A0F3-9A1F6EE7ADF2}"/>
    <cellStyle name="Text Indent C 3" xfId="2288" xr:uid="{93245586-7271-4BA0-8175-842AA648D6B0}"/>
    <cellStyle name="Text Indent C 3 2" xfId="2289" xr:uid="{1037F44A-87C8-4D7F-A642-C6650D4EC5E2}"/>
    <cellStyle name="Text Indent C 4" xfId="2290" xr:uid="{AFA2E70E-E6A7-49DC-8290-3F04BF369E40}"/>
    <cellStyle name="Text Indent C 4 2" xfId="2291" xr:uid="{6A7CDD45-5814-4A76-AFC9-74184875DC56}"/>
    <cellStyle name="Text Indent C 5" xfId="2292" xr:uid="{8B3DE0B3-2316-4E00-8592-B946964D3197}"/>
    <cellStyle name="Text Indent C 5 2" xfId="2293" xr:uid="{807ABD65-13F5-420A-A2FD-D5B9E577A1CF}"/>
    <cellStyle name="Text Indent C_vol-contrib" xfId="2294" xr:uid="{E9EA0CCB-5A0C-44C7-B1B7-7112A57ABBB5}"/>
    <cellStyle name="Texte explicatif 2" xfId="2295" xr:uid="{18BDFF07-E723-4FF7-B981-4B84C75BDE8B}"/>
    <cellStyle name="Texto de advertencia" xfId="2296" xr:uid="{9B74E7F1-CDDD-4BF5-9A96-476490F41E7C}"/>
    <cellStyle name="Texto de Aviso" xfId="2297" xr:uid="{F551B46F-89B5-4569-B32B-B0EA61136C3D}"/>
    <cellStyle name="Texto explicativo" xfId="2298" xr:uid="{3C61989F-4C7B-4E31-A52E-0CD522FA40F0}"/>
    <cellStyle name="Title 2" xfId="2300" xr:uid="{50FC8762-DD32-4D3F-A33B-EFD7D58FB18C}"/>
    <cellStyle name="Title 3" xfId="2301" xr:uid="{B3189049-72BC-4131-90D0-ACE381A98711}"/>
    <cellStyle name="Title 4" xfId="2299" xr:uid="{BEED1268-F0A8-40F0-BD61-3A063C908731}"/>
    <cellStyle name="Titre 2" xfId="2302" xr:uid="{D1344970-A1ED-4548-BDF8-23ED47C6383E}"/>
    <cellStyle name="Titre 1 2" xfId="2303" xr:uid="{52B9339D-AB8C-4943-A500-CCEA16F061BA}"/>
    <cellStyle name="Titre 2 2" xfId="2304" xr:uid="{13015D9A-4635-4E82-A243-60FFC2844A4D}"/>
    <cellStyle name="Titre 3 2" xfId="2305" xr:uid="{CFB170C9-7ACD-4733-8492-07E775FAABF5}"/>
    <cellStyle name="Titre 4 2" xfId="2306" xr:uid="{ECA4EBAD-DE3D-47CA-A958-6781DB1B8BFB}"/>
    <cellStyle name="Título" xfId="2307" xr:uid="{4DD81C75-F6FF-4C1D-95E6-9E7BF3140DFF}"/>
    <cellStyle name="Título 1" xfId="2308" xr:uid="{A5C04FD4-05DE-4EEB-853C-FAFFCCE991A9}"/>
    <cellStyle name="Título 2" xfId="2309" xr:uid="{1FB57986-82B6-449E-963F-9A273B941E04}"/>
    <cellStyle name="Título 3" xfId="2310" xr:uid="{6FA7D26F-D921-4E0D-A87C-8CB3DD11196E}"/>
    <cellStyle name="Total 2" xfId="2312" xr:uid="{78CF5EEA-1849-4649-AEFD-19B3A485CE86}"/>
    <cellStyle name="Total 2 2" xfId="2313" xr:uid="{939136C9-2FF2-4BB4-A821-0DADE4712368}"/>
    <cellStyle name="Total 2 2 2" xfId="2314" xr:uid="{19FCDE7E-3334-4302-AF84-E7DCE9268DD4}"/>
    <cellStyle name="Total 2 2 2 2" xfId="2315" xr:uid="{A94EA2A6-57D2-4662-91E4-730D7C11F2E8}"/>
    <cellStyle name="Total 2 2 3" xfId="2316" xr:uid="{EE884F24-06B9-4AEC-8A49-C3CA6B7B13E3}"/>
    <cellStyle name="Total 2 2 3 2" xfId="2317" xr:uid="{E5AAF088-218A-4F07-853B-E5F5EF7F4583}"/>
    <cellStyle name="Total 2 2 4" xfId="2318" xr:uid="{C02C1D92-8DA2-4CC0-A39C-F467D179C106}"/>
    <cellStyle name="Total 2 3" xfId="2319" xr:uid="{A461AFFE-A6E8-4F87-B53F-9B7398892697}"/>
    <cellStyle name="Total 2 3 2" xfId="2320" xr:uid="{8BEAC6D5-929A-4B16-A092-B3CCE2E6A8F9}"/>
    <cellStyle name="Total 2 4" xfId="2321" xr:uid="{6A8ECF33-3D1B-4D97-B684-E9192B785A10}"/>
    <cellStyle name="Total 2 4 2" xfId="2322" xr:uid="{00C6AABC-38BD-457F-98DE-E2C4741C10B0}"/>
    <cellStyle name="Total 2 5" xfId="2323" xr:uid="{49832B69-34B6-4AD7-ADAB-6644A760CD44}"/>
    <cellStyle name="Total 2_vol-contrib" xfId="2324" xr:uid="{1B46409A-C559-4BE4-9A53-BF56091EE862}"/>
    <cellStyle name="Total 3" xfId="2325" xr:uid="{FD7F7764-BA8B-45F6-A387-6050A4E7B526}"/>
    <cellStyle name="Total 3 2" xfId="2326" xr:uid="{B7D9A84C-FE84-45EE-9EF4-25B528FB704C}"/>
    <cellStyle name="Total 3 2 2" xfId="2327" xr:uid="{80809D95-AAB7-43F6-BB05-7F88B25F0E0D}"/>
    <cellStyle name="Total 3 3" xfId="2328" xr:uid="{073EB20A-1B3B-4332-9A4B-7688C62FF1FD}"/>
    <cellStyle name="Total 3 3 2" xfId="2329" xr:uid="{EBDB9881-E5C5-473D-BACA-34749C6D06E9}"/>
    <cellStyle name="Total 3 3 2 2" xfId="2330" xr:uid="{0A535280-571E-4610-A134-A6082D9CF6D6}"/>
    <cellStyle name="Total 3 3 3" xfId="2331" xr:uid="{4AB6AC21-F8ED-42AB-B217-19EE030E0658}"/>
    <cellStyle name="Total 3 3 3 2" xfId="2332" xr:uid="{2E9A776C-BB6E-45E8-B06E-2FE1222B6C04}"/>
    <cellStyle name="Total 3 3 4" xfId="2333" xr:uid="{81F84DCA-C139-4473-AE45-EF8F927E57F9}"/>
    <cellStyle name="Total 3 4" xfId="2334" xr:uid="{F08BE1E7-1195-43D9-928B-10FDEFF5C522}"/>
    <cellStyle name="Total 3 4 2" xfId="2335" xr:uid="{940A83A4-105F-4F4F-AAF3-089215EE9725}"/>
    <cellStyle name="Total 3 5" xfId="2336" xr:uid="{9173C5EC-2569-4A4D-BC6C-91820A420119}"/>
    <cellStyle name="Total 3 5 2" xfId="2337" xr:uid="{11D1E4BE-1D8E-4E97-A30E-D76799338A13}"/>
    <cellStyle name="Total 3 6" xfId="2338" xr:uid="{6064611A-425B-4A02-81CD-9E433DAF0606}"/>
    <cellStyle name="Total 3 6 2" xfId="2339" xr:uid="{A6A1DDCA-85D7-47A9-8C48-DC24314ACDF1}"/>
    <cellStyle name="Total 3 7" xfId="2340" xr:uid="{530B7F27-C71E-4A3C-873A-7EB87929C46B}"/>
    <cellStyle name="Total 3_vol-contrib" xfId="2341" xr:uid="{290BA58D-7E66-4F11-832A-AA0834FCEA06}"/>
    <cellStyle name="Total 4" xfId="2311" xr:uid="{EE8F560F-FFF7-47B2-8E7C-277DA1CC01C1}"/>
    <cellStyle name="Total 5" xfId="2860" xr:uid="{A3A6A592-7A03-4D30-B7CE-490F835640A0}"/>
    <cellStyle name="Total 6" xfId="2767" xr:uid="{B84A9C13-D399-4E47-B950-F703DD9F3C44}"/>
    <cellStyle name="Total 7" xfId="2859" xr:uid="{6ACC3B2C-A0C4-4B7D-AD66-3CEF07698583}"/>
    <cellStyle name="Total Right" xfId="2342" xr:uid="{88173E7D-EF05-4B38-AA0D-8D0FA642BBCC}"/>
    <cellStyle name="Total Right 2" xfId="2343" xr:uid="{02BC6712-CAB4-4B1A-A860-8FCEECB4696A}"/>
    <cellStyle name="Tusenskille_RESULTS" xfId="2344" xr:uid="{14B3C9AB-8823-49A9-ACE0-958CEDFADBD8}"/>
    <cellStyle name="Unprot" xfId="2345" xr:uid="{B796C2EE-2F57-4A5C-8BE8-9AF3D8F71156}"/>
    <cellStyle name="Unprot 2" xfId="2346" xr:uid="{2DDFFC8F-BA74-4235-9917-4B2F400D185C}"/>
    <cellStyle name="Unprot 2 2" xfId="2347" xr:uid="{1C99EC99-B568-4D89-BDB4-EF7CA9172316}"/>
    <cellStyle name="Unprot 3" xfId="2348" xr:uid="{88052F09-A9C5-4B2D-AF7F-B961717F8EDB}"/>
    <cellStyle name="Unprot$" xfId="2349" xr:uid="{48955101-2531-4BCD-8036-7E2425CC0190}"/>
    <cellStyle name="Unprot$ 2" xfId="2350" xr:uid="{6F67EEC3-06E1-42EF-8CDC-87C192B69EAF}"/>
    <cellStyle name="Unprot$ 2 2" xfId="2351" xr:uid="{938891BA-B3E1-4D9F-95FE-C1E738B354E5}"/>
    <cellStyle name="Unprot$ 2 2 2" xfId="2352" xr:uid="{BA8B078D-FAAA-4F75-80AD-5CBA58865DA5}"/>
    <cellStyle name="Unprot$ 2 3" xfId="2353" xr:uid="{CDC70900-5CF2-4EBA-9965-91DFFBD39883}"/>
    <cellStyle name="Unprot$ 2 3 2" xfId="2354" xr:uid="{C1927722-F5AA-4CCD-9E6F-D167C51E1252}"/>
    <cellStyle name="Unprot$ 2 4" xfId="2355" xr:uid="{DFF77B23-4627-4879-9001-F244B580F128}"/>
    <cellStyle name="Unprot$ 2 4 2" xfId="2356" xr:uid="{D7657250-FB03-4115-929C-018D9C7B5DE4}"/>
    <cellStyle name="Unprot$ 2 5" xfId="2357" xr:uid="{CC27D1B3-6E6D-435B-A3F4-4FBE3F4E175B}"/>
    <cellStyle name="Unprot$ 2_all Delmas Slots Costs 20120316" xfId="2358" xr:uid="{50956342-D679-4720-B056-889EF4040CA2}"/>
    <cellStyle name="Unprot$ 3" xfId="2359" xr:uid="{EE7F2886-AD19-4EAC-ABCC-C16DBF757AF9}"/>
    <cellStyle name="Unprot$ 3 2" xfId="2360" xr:uid="{5439FB58-07CB-48E3-B13D-57C8209B6078}"/>
    <cellStyle name="Unprot$ 4" xfId="2361" xr:uid="{C37D47F3-496E-4308-AB29-76BF051B60FC}"/>
    <cellStyle name="Unprot$_Aenne Rickmers" xfId="2362" xr:uid="{F946C187-EA2F-4B74-AB04-836AC2B2725F}"/>
    <cellStyle name="Unprot_Aenne Rickmers" xfId="2363" xr:uid="{A28D6E18-C8C4-4BA5-9489-75B55518E4CD}"/>
    <cellStyle name="Unprotect" xfId="2364" xr:uid="{5EA280E5-0AC3-43FA-9243-E9C562FB3939}"/>
    <cellStyle name="Valuta (0)_Booking type - Med Pascale - Vers LEH" xfId="2365" xr:uid="{3E1782B9-7331-4E7E-820D-4C3A71BD60A8}"/>
    <cellStyle name="Valuta [0]_Cardeck6_5_4" xfId="2366" xr:uid="{F160EF14-D46C-4D10-965D-D04297415E4A}"/>
    <cellStyle name="Valuta_Booking type - Med Pascale - Vers LEH" xfId="2367" xr:uid="{513D9996-27B2-4239-85FD-6F2D8E2221B7}"/>
    <cellStyle name="Verificar Célula" xfId="2368" xr:uid="{2F23D7AE-618D-4035-8FEF-11BAF36B8B31}"/>
    <cellStyle name="Vérification 2" xfId="2369" xr:uid="{2F834106-5B67-4BF1-ADBF-AC4DCCFEEE86}"/>
    <cellStyle name="Währung" xfId="2370" xr:uid="{A11B3C7F-6456-4E4E-9407-175B1C3AEF08}"/>
    <cellStyle name="Währung [0]_2001" xfId="2371" xr:uid="{2B3F3073-9E47-4572-B1CD-7A1385B3BB95}"/>
    <cellStyle name="Währung_2001" xfId="2372" xr:uid="{520FDB63-04D4-4BCB-91A0-D69051EB2DAF}"/>
    <cellStyle name="Warning Text 2" xfId="2374" xr:uid="{091F9A30-7849-4C19-8093-ADE9E167A3E4}"/>
    <cellStyle name="Warning Text 3" xfId="2375" xr:uid="{E13230DE-E98C-458A-B986-D15A15969419}"/>
    <cellStyle name="Warning Text 4" xfId="2373" xr:uid="{3259C381-1FC7-4CF0-899E-310249492169}"/>
    <cellStyle name="Акцент1" xfId="2376" xr:uid="{D0603518-D1A4-4242-AC95-3AE8B64F93F3}"/>
    <cellStyle name="Акцент2" xfId="2377" xr:uid="{9F762F81-2245-45D3-A7BD-9E6D9C4E3C7D}"/>
    <cellStyle name="Акцент3" xfId="2378" xr:uid="{DF2AE07A-CBC3-4E24-ADBA-FA30F53584CF}"/>
    <cellStyle name="Акцент4" xfId="2379" xr:uid="{4EEFC39C-B9B3-45FD-9BB8-A5E8C242D620}"/>
    <cellStyle name="Акцент5" xfId="2380" xr:uid="{5B11DACE-8CD5-4685-A08B-5A2E6E51432E}"/>
    <cellStyle name="Акцент6" xfId="2381" xr:uid="{905D130D-A438-4D3A-BBBF-5FB4DB54348D}"/>
    <cellStyle name="Ввод " xfId="2382" xr:uid="{7DB4BAE9-8F58-44AA-9F49-A8B67874903A}"/>
    <cellStyle name="Ввод  2" xfId="2383" xr:uid="{8D415443-7A0E-4802-968B-8CC6F40F3043}"/>
    <cellStyle name="Ввод  2 2" xfId="2384" xr:uid="{87372E66-585A-4BFD-85EC-FF337DFA8B95}"/>
    <cellStyle name="Ввод  3" xfId="2385" xr:uid="{FBAE0071-95D0-4293-BA6F-0CACF7A8EFF6}"/>
    <cellStyle name="Ввод  3 2" xfId="2386" xr:uid="{03604F8F-432A-4FAF-97B4-F5E38C5007A7}"/>
    <cellStyle name="Ввод  4" xfId="2387" xr:uid="{E53CD7EA-D807-4527-B68D-DCF9F05241FD}"/>
    <cellStyle name="Вывод" xfId="2388" xr:uid="{23D0E204-3AB6-44FE-96E5-53929AC0BE93}"/>
    <cellStyle name="Вывод 2" xfId="2389" xr:uid="{24C3046A-EE52-4553-A187-A692B285024F}"/>
    <cellStyle name="Вывод 2 2" xfId="2390" xr:uid="{1273763A-12C1-498F-9EA5-4707F6A09A95}"/>
    <cellStyle name="Вывод 3" xfId="2391" xr:uid="{EC94B8AD-49E7-4884-A199-D4E88CA67D5C}"/>
    <cellStyle name="Вывод 3 2" xfId="2392" xr:uid="{EAC7E88B-DA6C-46F3-95EF-FA800D6B4C20}"/>
    <cellStyle name="Вывод 4" xfId="2393" xr:uid="{F78CD8DC-389F-4905-BF0B-E61070880202}"/>
    <cellStyle name="Вычисление" xfId="2394" xr:uid="{F34EEB9E-9E01-4945-B7D6-0D3631DEB22A}"/>
    <cellStyle name="Вычисление 2" xfId="2395" xr:uid="{5FC6A5CC-8D3A-419E-9E2B-8180679BA249}"/>
    <cellStyle name="Вычисление 2 2" xfId="2396" xr:uid="{D0CEDB03-9886-4131-ADDC-E957885AE7E8}"/>
    <cellStyle name="Вычисление 3" xfId="2397" xr:uid="{B2C40EFF-A6E5-4F5A-8CF1-5ECD5AA6A71C}"/>
    <cellStyle name="Вычисление 3 2" xfId="2398" xr:uid="{ACF69452-A27A-4FAC-81A5-3F958277CCE6}"/>
    <cellStyle name="Вычисление 4" xfId="2399" xr:uid="{E353EC58-E39F-4C5D-88E6-E8FD2B398535}"/>
    <cellStyle name="Заголовок 1" xfId="2400" xr:uid="{2087F597-BB2E-4F3F-8B90-6F901D81EE8F}"/>
    <cellStyle name="Заголовок 2" xfId="2401" xr:uid="{1FE8BF5D-0176-4508-AC3C-EAAA3089135E}"/>
    <cellStyle name="Заголовок 3" xfId="2402" xr:uid="{822C847C-26F0-4604-BCCE-3F25760A1BFD}"/>
    <cellStyle name="Заголовок 4" xfId="2403" xr:uid="{6F2EA495-7306-4715-8707-832CA081F859}"/>
    <cellStyle name="Итог" xfId="2404" xr:uid="{9CEB9E07-F364-411A-8648-5C6D79638228}"/>
    <cellStyle name="Итог 2" xfId="2405" xr:uid="{470D4355-D691-4006-A7C1-BA3B5DB9131B}"/>
    <cellStyle name="Итог 2 2" xfId="2406" xr:uid="{242A1937-9365-4850-812D-B0D6E2EE7203}"/>
    <cellStyle name="Итог 3" xfId="2407" xr:uid="{04BB2579-355C-4660-9A12-D58DA91F022B}"/>
    <cellStyle name="Итог 3 2" xfId="2408" xr:uid="{A3424ABC-5D0B-4806-9AB8-8E8BF2F83277}"/>
    <cellStyle name="Итог 4" xfId="2409" xr:uid="{9F29F2CB-2B3E-4EB4-8004-2DFA964A9F4D}"/>
    <cellStyle name="Контрольная ячейка" xfId="2410" xr:uid="{2AEFFB71-F0C8-43DA-BFAD-C3BDC4506BB0}"/>
    <cellStyle name="Название" xfId="2411" xr:uid="{BB71E440-5B3A-4CEE-B7AC-C665EC1CB974}"/>
    <cellStyle name="Нейтральный" xfId="2412" xr:uid="{9F83F6C3-AA76-40FB-A5A6-1507B0C838B4}"/>
    <cellStyle name="Плохой" xfId="2413" xr:uid="{F7DA6770-B743-4A28-A578-02EB129E45FB}"/>
    <cellStyle name="Пояснение" xfId="2414" xr:uid="{327BDEB7-9883-47CA-B6B8-D8DE6D75C76E}"/>
    <cellStyle name="Примечание" xfId="2415" xr:uid="{5A69EF62-0398-48CD-9AF1-EB6989653D0A}"/>
    <cellStyle name="Примечание 2" xfId="2416" xr:uid="{1D9D72E7-5173-4B1A-B4D4-2FC8BCE7CB72}"/>
    <cellStyle name="Примечание 2 2" xfId="2417" xr:uid="{ADE86F7E-ECDF-4D52-852E-E09DC169DE79}"/>
    <cellStyle name="Примечание 3" xfId="2418" xr:uid="{D3F2B13A-5437-4F32-A2CA-1039EB2D3FA9}"/>
    <cellStyle name="Примечание 3 2" xfId="2419" xr:uid="{4E7ED988-C575-4573-BA3F-0064E9875656}"/>
    <cellStyle name="Примечание 4" xfId="2420" xr:uid="{AF7448A1-9025-46B8-8DF9-19657F2AF11A}"/>
    <cellStyle name="Связанная ячейка" xfId="2421" xr:uid="{5022E35E-CB10-4411-B390-51D548AB2D4B}"/>
    <cellStyle name="Текст предупреждения" xfId="2422" xr:uid="{D16C7F01-DB86-431D-9152-CE66A44D399A}"/>
    <cellStyle name="Хороший" xfId="2423" xr:uid="{7F823FF5-2FF3-4215-BEB6-62B7D9FB2C87}"/>
    <cellStyle name="アクセント 1" xfId="2424" xr:uid="{A41E0BAD-216E-40CE-A904-DBBB2F1724F7}"/>
    <cellStyle name="アクセント 2" xfId="2425" xr:uid="{DBC377BC-B694-4046-B22D-E2A3B0ACD4A1}"/>
    <cellStyle name="アクセント 3" xfId="2426" xr:uid="{CE440544-C600-4969-96D0-C9BBC88A595F}"/>
    <cellStyle name="アクセント 4" xfId="2427" xr:uid="{3BCCA041-4CB5-4031-989D-CC85F22B3549}"/>
    <cellStyle name="アクセント 5" xfId="2428" xr:uid="{E554067C-B09C-4D70-8915-3C0205E80135}"/>
    <cellStyle name="アクセント 6" xfId="2429" xr:uid="{B288B3C3-48D2-4C73-AB7F-A039382EC2CB}"/>
    <cellStyle name="タイトル" xfId="2430" xr:uid="{7314BCE5-624F-492D-B9CB-C60EA38B97BE}"/>
    <cellStyle name="チェック セル" xfId="2431" xr:uid="{91FAAFE2-B460-4915-8D35-FEFB5B12526D}"/>
    <cellStyle name="どちらでもない" xfId="2432" xr:uid="{760E6B1E-6FDA-4DC3-8CB8-42601D028687}"/>
    <cellStyle name="メモ" xfId="2433" xr:uid="{16B4313E-D10C-409B-ACB1-3A27FD066D7F}"/>
    <cellStyle name="リンク セル" xfId="2434" xr:uid="{7725EB7B-4635-4F84-BB33-02EFB30921CF}"/>
    <cellStyle name="遽_94褒瞳 (2)" xfId="2435" xr:uid="{60123A6B-9491-4A27-ACA3-1BDEE4919BA1}"/>
    <cellStyle name="강조색1" xfId="2436" xr:uid="{406A0070-3922-417D-84EC-C7A77105DB61}"/>
    <cellStyle name="강조색1 2" xfId="2437" xr:uid="{CF2F2609-578A-4C0F-A9B3-16BA6A72A221}"/>
    <cellStyle name="강조색1 2 2" xfId="2438" xr:uid="{CC9EB201-2419-4825-916C-8FC3980A8649}"/>
    <cellStyle name="강조색2" xfId="2439" xr:uid="{0775CBED-2153-4272-8057-7E922EC64D32}"/>
    <cellStyle name="강조색2 2" xfId="2440" xr:uid="{7DF9865E-3FF1-4662-816B-978DA12EBEC6}"/>
    <cellStyle name="강조색2 2 2" xfId="2441" xr:uid="{BF5B85A2-DA5B-4681-A071-9D7E20BDD322}"/>
    <cellStyle name="강조색3" xfId="2442" xr:uid="{C614CF0E-0998-4DB3-AD4B-D9A885A62C9F}"/>
    <cellStyle name="강조색3 2" xfId="2443" xr:uid="{B02DAF9B-1C6C-4642-9D87-110A9B4F6D81}"/>
    <cellStyle name="강조색3 2 2" xfId="2444" xr:uid="{6256D1DE-42A9-4C43-A7A5-C1D2FA487055}"/>
    <cellStyle name="강조색4" xfId="2445" xr:uid="{20AD3C06-4A45-4204-8A47-0071D4657839}"/>
    <cellStyle name="강조색4 2" xfId="2446" xr:uid="{81E34D6A-1958-4A73-AC99-024E7F5376F0}"/>
    <cellStyle name="강조색4 2 2" xfId="2447" xr:uid="{D72E142D-6593-4F77-A045-A90F4F6ED62C}"/>
    <cellStyle name="강조색5" xfId="2448" xr:uid="{41A19ABD-21E3-46C2-BEB1-AC0E1E4D54FC}"/>
    <cellStyle name="강조색5 2" xfId="2449" xr:uid="{E59A9922-711E-49C3-8A32-EF53A607ADFD}"/>
    <cellStyle name="강조색5 2 2" xfId="2450" xr:uid="{48BEB736-DF51-4593-9DB9-E1D4E9A5FD87}"/>
    <cellStyle name="강조색6" xfId="2451" xr:uid="{A93D9725-57B5-4603-B100-6F782478BD64}"/>
    <cellStyle name="강조색6 2" xfId="2452" xr:uid="{CC4D75E2-C760-4CA4-8025-130A7DD299DE}"/>
    <cellStyle name="강조색6 2 2" xfId="2453" xr:uid="{DEFED8BD-C840-4E00-BA54-81F66FD34503}"/>
    <cellStyle name="備註" xfId="2454" xr:uid="{07CD1B2B-61E3-4F4E-AB74-0259B0C54389}"/>
    <cellStyle name="标题 1 2" xfId="2455" xr:uid="{1247A05E-5CFE-4C0F-B940-45756A9B04D5}"/>
    <cellStyle name="标题 1 3" xfId="2456" xr:uid="{3812320F-98DD-4DC5-99A9-640F54247F67}"/>
    <cellStyle name="标题 2 2" xfId="2457" xr:uid="{EC4E3822-E5D8-4B97-8F13-DE5AD95C689C}"/>
    <cellStyle name="标题 2 3" xfId="2458" xr:uid="{49ED27A3-B839-4374-99FF-DEA5FF7A39FE}"/>
    <cellStyle name="标题 3 2" xfId="2459" xr:uid="{938F9158-84B9-4551-8317-0148B37F964C}"/>
    <cellStyle name="标题 4 2" xfId="2460" xr:uid="{F5761C83-AD6A-4529-8169-494EAA059110}"/>
    <cellStyle name="标题 5" xfId="2461" xr:uid="{851F8566-5C01-4AB9-8CAD-CCC185F1C452}"/>
    <cellStyle name="標題" xfId="2462" xr:uid="{A4477A54-2E2C-43E1-810B-D0C02B35E810}"/>
    <cellStyle name="標題 1" xfId="2463" xr:uid="{5520E8B7-90A4-4B02-9EC9-2FB972C9CF2F}"/>
    <cellStyle name="標題 2" xfId="2464" xr:uid="{55B08D76-D57E-452E-8C5D-863645119F87}"/>
    <cellStyle name="標題 3" xfId="2465" xr:uid="{AC3AB7ED-48E2-44D8-8007-F8236925BC6E}"/>
    <cellStyle name="標題 4" xfId="2466" xr:uid="{3E5E6284-0B33-424D-840A-3D8CAAB6E92E}"/>
    <cellStyle name="標準_Data" xfId="2467" xr:uid="{43CF2B18-B881-438F-AF13-A468066141DE}"/>
    <cellStyle name="경고문" xfId="2468" xr:uid="{4FF15F54-5DC1-4610-9E15-34F89CA31F6B}"/>
    <cellStyle name="경고문 2" xfId="2469" xr:uid="{674161A4-C485-4631-B183-907024E603C3}"/>
    <cellStyle name="경고문 2 2" xfId="2470" xr:uid="{AB8C6CC7-94FC-42A2-B8B4-43D6CCEA5788}"/>
    <cellStyle name="계산" xfId="2471" xr:uid="{C41ACA5C-1610-4EE8-BA91-B8BB5561B909}"/>
    <cellStyle name="계산 2" xfId="2472" xr:uid="{A91D714D-D2A9-45BF-965A-D19882596D7E}"/>
    <cellStyle name="계산 2 2" xfId="2473" xr:uid="{E980677A-4BD5-4DA0-9646-D25A2BF867CD}"/>
    <cellStyle name="差 2" xfId="2474" xr:uid="{DA550415-7B25-4EFF-B657-4A7B6CFCAEAA}"/>
    <cellStyle name="常规" xfId="0" builtinId="0"/>
    <cellStyle name="常规 10" xfId="7" xr:uid="{54C16829-CB0A-4BF3-A400-9206BE31DE04}"/>
    <cellStyle name="常规 10 2" xfId="2675" xr:uid="{11A9E089-8C71-410F-B683-460B41089EE1}"/>
    <cellStyle name="常规 11" xfId="2613" xr:uid="{6BBC5C6C-7300-4CAB-9783-011D2E305ADB}"/>
    <cellStyle name="常规 11 2" xfId="2676" xr:uid="{02B2975E-262C-40AE-ABA3-E57DC8EF61C3}"/>
    <cellStyle name="常规 11 5" xfId="2763" xr:uid="{17AE3FF0-9AB1-4170-B3D9-825B65A5074F}"/>
    <cellStyle name="常规 12" xfId="2617" xr:uid="{15B6BE74-6B5B-4E0E-A087-ACBDD084D9FE}"/>
    <cellStyle name="常规 13" xfId="6" xr:uid="{A4E65D44-90EF-45C3-A76B-2836D904439A}"/>
    <cellStyle name="常规 13 2" xfId="2677" xr:uid="{CA4C27DB-52B8-467B-998B-4D80740958ED}"/>
    <cellStyle name="常规 14" xfId="2678" xr:uid="{9E73224E-7F2A-4D14-B06D-76F625E78CB2}"/>
    <cellStyle name="常规 14 2" xfId="2679" xr:uid="{89B5A324-6222-4372-9750-4F139E3787B2}"/>
    <cellStyle name="常规 15" xfId="2680" xr:uid="{E1C82D43-CDEB-4F11-BE5E-FDEA974D0AC3}"/>
    <cellStyle name="常规 16" xfId="2681" xr:uid="{3CAE2F04-C266-49C4-B78A-F5CF01180187}"/>
    <cellStyle name="常规 16 2" xfId="2682" xr:uid="{9FCAE70B-5EE1-4D60-B7E0-2D9DF01E8178}"/>
    <cellStyle name="常规 17" xfId="2683" xr:uid="{0C0AF6EF-7E27-40F3-BDC9-1C4EB5FB3C6C}"/>
    <cellStyle name="常规 18" xfId="2623" xr:uid="{6C9D5667-E441-4F74-BC3D-1639E99154F9}"/>
    <cellStyle name="常规 19" xfId="2723" xr:uid="{7DF35BB6-22AC-4D98-BCB5-6C0FE66AAB58}"/>
    <cellStyle name="常规 2" xfId="1" xr:uid="{00000000-0005-0000-0000-000031000000}"/>
    <cellStyle name="常规 2 10" xfId="5" xr:uid="{2F4A8BF4-8BD1-4F40-B2AA-FC12E6FE7A50}"/>
    <cellStyle name="常规 2 2" xfId="2475" xr:uid="{4A56401E-02C6-4F95-B55D-FEE5D8702215}"/>
    <cellStyle name="常规 2 2 2" xfId="2476" xr:uid="{17E36E42-4B7A-4FE1-95DE-372DD4DEB2F9}"/>
    <cellStyle name="常规 2 2 2 2" xfId="2684" xr:uid="{1FC19C50-84EA-466E-8C5D-F7DA8231310C}"/>
    <cellStyle name="常规 2 2 2 2 2" xfId="2743" xr:uid="{32206ED4-FA53-4DD7-B1D7-67EED83C6851}"/>
    <cellStyle name="常规 2 2 2 3" xfId="2756" xr:uid="{5CFBFB7E-5B2C-41B3-8155-C033ADF319CD}"/>
    <cellStyle name="常规 2 2 2 4" xfId="2741" xr:uid="{6D24297C-8E72-4202-9782-0B6C3BFF5C38}"/>
    <cellStyle name="常规 2 2 3" xfId="2477" xr:uid="{9AE8345D-52F4-41DB-8DC3-6CD70D4F03D9}"/>
    <cellStyle name="常规 2 2 4" xfId="2620" xr:uid="{C9946B06-5FA6-43FB-B8D1-0859B7D34B07}"/>
    <cellStyle name="常规 2 2 5" xfId="2736" xr:uid="{38BCF1DC-1842-4CEA-AE50-54D1C0CBE1B4}"/>
    <cellStyle name="常规 2 3" xfId="2478" xr:uid="{00E9ACD3-2BCD-42C1-B906-C9D799F16DC7}"/>
    <cellStyle name="常规 2 3 2" xfId="2685" xr:uid="{D782EE8B-7C79-440C-A00F-9B0952EB7326}"/>
    <cellStyle name="常规 2 3 2 2" xfId="2746" xr:uid="{80CB699F-957A-48E9-91F9-74DB5169CEE9}"/>
    <cellStyle name="常规 2 3 3" xfId="2686" xr:uid="{D900EBC4-9095-4E0F-A96B-ADC23E310502}"/>
    <cellStyle name="常规 2 3 4" xfId="2687" xr:uid="{3506C4AA-711E-4748-9AB2-C0783372F57E}"/>
    <cellStyle name="常规 2 3 5" xfId="2734" xr:uid="{8169BFE5-1818-49B4-81BE-8EA21BE8EDB1}"/>
    <cellStyle name="常规 2 4" xfId="2479" xr:uid="{7651CCE9-17CF-4A9C-93AD-EEFBFE389697}"/>
    <cellStyle name="常规 2 4 2" xfId="2688" xr:uid="{568AFF58-A8FD-4859-B203-C0CC96C00120}"/>
    <cellStyle name="常规 2 4 3" xfId="2689" xr:uid="{AC0E365E-D04A-4DC8-BF96-5ABDA34582C1}"/>
    <cellStyle name="常规 2 4 4" xfId="2749" xr:uid="{D16B5D35-EE54-4219-BB05-7D8C97946A50}"/>
    <cellStyle name="常规 2 5" xfId="2480" xr:uid="{2D73D3E1-DFEC-44AB-AA5B-AFB090C6058B}"/>
    <cellStyle name="常规 2 5 2" xfId="2690" xr:uid="{064DB8F1-3B56-47A0-BC17-C9B68363F236}"/>
    <cellStyle name="常规 2 6" xfId="2614" xr:uid="{E4B04BAE-A6F7-4DCE-8ECB-2E4D32F95642}"/>
    <cellStyle name="常规 2 6 2" xfId="2691" xr:uid="{5F1DEE05-EE9F-44F9-8B40-3CDC2CC5D58D}"/>
    <cellStyle name="常规 2 7" xfId="2692" xr:uid="{6CF05227-23A5-469A-A56E-799BD69166E3}"/>
    <cellStyle name="常规 2 8" xfId="2724" xr:uid="{954419F5-6F6C-430D-AD1E-3305F2FAC45C}"/>
    <cellStyle name="常规 2 9" xfId="2759" xr:uid="{8B366709-E010-4ED0-9202-58520A460045}"/>
    <cellStyle name="常规 20" xfId="2760" xr:uid="{E6AEF58D-17FF-46D5-AEEF-70BF25C706D1}"/>
    <cellStyle name="常规 21" xfId="2761" xr:uid="{DDF69608-9010-47B7-8985-F032369E08EE}"/>
    <cellStyle name="常规 22" xfId="2762" xr:uid="{00B7AE77-DFF6-4350-8DA2-952F92B1EA36}"/>
    <cellStyle name="常规 3" xfId="2481" xr:uid="{BFB0663E-0B61-40D8-B01A-5AB968BAAE3B}"/>
    <cellStyle name="常规 3 2" xfId="2482" xr:uid="{D2EF0228-689E-401E-9E5F-5087396EA315}"/>
    <cellStyle name="常规 3 2 2" xfId="2694" xr:uid="{7A7C0735-6DEB-4731-A693-7CEC9BD4398E}"/>
    <cellStyle name="常规 3 2 3" xfId="2731" xr:uid="{F58B7151-3DC8-45F3-947A-5FD4C0419E32}"/>
    <cellStyle name="常规 3 3" xfId="2483" xr:uid="{3BE2B3E9-D31B-40E0-BC72-A439FE80EA2C}"/>
    <cellStyle name="常规 3 3 2" xfId="2695" xr:uid="{0595F479-31DF-4D6A-8B0B-D3228509011B}"/>
    <cellStyle name="常规 3 3 3" xfId="2696" xr:uid="{CBD3C7E9-AA9C-441D-BBAF-B2A580B0B6F0}"/>
    <cellStyle name="常规 3 4" xfId="2693" xr:uid="{D7272A9F-07D7-4172-AAA8-9AAF42C15D53}"/>
    <cellStyle name="常规 3 5" xfId="2730" xr:uid="{D73DD2A6-B8D7-4F3C-8B54-4335ADCD8BE5}"/>
    <cellStyle name="常规 4" xfId="2484" xr:uid="{0DE793E8-C7C0-40C0-941D-8B45A3BF0930}"/>
    <cellStyle name="常规 4 2" xfId="2485" xr:uid="{8C787E0B-CD3F-4B71-B51C-3F664D5C057C}"/>
    <cellStyle name="常规 4 2 2" xfId="2697" xr:uid="{F48385A8-0E69-4920-99DE-6E9810F666C8}"/>
    <cellStyle name="常规 4 3" xfId="2621" xr:uid="{B37EA266-B175-4CB1-8D65-AD77FC4F1FFF}"/>
    <cellStyle name="常规 4 3 2" xfId="2699" xr:uid="{79C06E13-7607-4681-9291-E3D7F7704A30}"/>
    <cellStyle name="常规 4 3 3" xfId="2698" xr:uid="{C9F908DD-D211-4D8F-9139-E2020B416E4D}"/>
    <cellStyle name="常规 4 4" xfId="2700" xr:uid="{5B41FE93-010E-4128-8C74-A19390E362FD}"/>
    <cellStyle name="常规 4 5" xfId="2701" xr:uid="{C473005F-82DC-4A6A-908E-8C4475D812CD}"/>
    <cellStyle name="常规 4 6" xfId="2732" xr:uid="{5CCE0442-1BA9-4969-BB97-50E9629CEBEA}"/>
    <cellStyle name="常规 5" xfId="2486" xr:uid="{1B553AFC-16DC-41DA-A50A-C9198DE69612}"/>
    <cellStyle name="常规 5 2" xfId="2487" xr:uid="{F95557B2-F54D-4833-BACF-B6A07C160843}"/>
    <cellStyle name="常规 5 2 2" xfId="2488" xr:uid="{A57F0A3A-8F2B-4152-91BD-453934B9ADDB}"/>
    <cellStyle name="常规 5 2 2 2" xfId="2702" xr:uid="{3D3B6221-8A81-4483-99DD-A1BA7C3A81D9}"/>
    <cellStyle name="常规 5 3" xfId="2622" xr:uid="{C4076591-F1DF-4BBF-8914-4D5B65A0B64F}"/>
    <cellStyle name="常规 5 3 2" xfId="2703" xr:uid="{D7EC1E25-B1AD-42A6-AE97-2DE4EA6C99FA}"/>
    <cellStyle name="常规 5 4" xfId="2704" xr:uid="{F83EA5DC-AC3C-4F68-B82E-B45044CBD0DD}"/>
    <cellStyle name="常规 5 5" xfId="2747" xr:uid="{44D39733-A87E-45D5-A034-55CB388604A7}"/>
    <cellStyle name="常规 6" xfId="2489" xr:uid="{D7E7EA03-9080-4412-A256-EFB7D424BB57}"/>
    <cellStyle name="常规 6 2" xfId="2705" xr:uid="{829286CA-F0D5-414A-A784-356FC681DAA6}"/>
    <cellStyle name="常规 7" xfId="2490" xr:uid="{A98F9172-2925-445E-9735-D08917E15C7A}"/>
    <cellStyle name="常规 7 2" xfId="2706" xr:uid="{E2BF7F8C-4797-4437-8386-E9636A29F819}"/>
    <cellStyle name="常规 7 3" xfId="2707" xr:uid="{7EEDF327-7EA7-498F-9366-A0D4110F6405}"/>
    <cellStyle name="常规 8" xfId="2491" xr:uid="{2B976EE3-4563-4ACA-B774-01867191E733}"/>
    <cellStyle name="常规 8 2" xfId="2708" xr:uid="{4946672F-ABA7-4F66-8E47-B5FE345CC3FA}"/>
    <cellStyle name="常规 9" xfId="2492" xr:uid="{53EF058F-FE93-44D6-ADF8-85C81CF733F4}"/>
    <cellStyle name="常规 9 2" xfId="2710" xr:uid="{1729EBF0-52FD-498E-8ABB-8F979B565194}"/>
    <cellStyle name="常规 9 3" xfId="2709" xr:uid="{16A19C95-6CF4-450D-A098-9B2C33E81C89}"/>
    <cellStyle name="超链接 2" xfId="2711" xr:uid="{FBEBCB87-F78F-472F-ACA6-8AD74DCC70BD}"/>
    <cellStyle name="輔色1" xfId="2493" xr:uid="{3DB814B3-8E75-4F1B-BE8B-8E005FB6C351}"/>
    <cellStyle name="輔色2" xfId="2494" xr:uid="{9021467C-7A89-409E-B8D3-48FA2060E85A}"/>
    <cellStyle name="輔色3" xfId="2495" xr:uid="{B48BB71D-99E7-4DF0-B69A-CDD2CF58E0DB}"/>
    <cellStyle name="輔色4" xfId="2496" xr:uid="{3DBCE241-B720-44B3-9DD5-6938C5967A69}"/>
    <cellStyle name="輔色5" xfId="2497" xr:uid="{45C4BD22-C142-4C65-A4E4-19B11835D6D2}"/>
    <cellStyle name="輔色6" xfId="2498" xr:uid="{D51DDD29-ABDF-4235-85DE-A1D9A68527FD}"/>
    <cellStyle name="나쁨" xfId="2499" xr:uid="{B392AD9B-2DE2-43A3-98D1-5082030B9FD1}"/>
    <cellStyle name="나쁨 2" xfId="2500" xr:uid="{B70B18DE-1192-43C8-899B-77FFF7843994}"/>
    <cellStyle name="나쁨 2 2" xfId="2501" xr:uid="{6D4D986B-17A8-45E0-9B41-1A9A4BD4E08D}"/>
    <cellStyle name="好 2" xfId="2502" xr:uid="{8A4C31AE-9FB7-4A7C-9780-40FAC9CCAB1D}"/>
    <cellStyle name="好_ABX - C7 Slot Cost" xfId="2503" xr:uid="{8A47DA33-7B84-4549-B3C0-DDB87303BBE8}"/>
    <cellStyle name="好_Bunker Cons Budget EURCO" xfId="2504" xr:uid="{C9B5A760-E2A0-4B10-9095-70FF5D1D9CFC}"/>
    <cellStyle name="好_KEU Budget bunker 2010FY-29-01-2010" xfId="2505" xr:uid="{2A571FDC-2EE1-465B-81F9-9571F131B09F}"/>
    <cellStyle name="好_KEU Bunker Budget PFS 29-01-2010" xfId="2506" xr:uid="{98C6E387-2515-4589-B05D-5710030D29A6}"/>
    <cellStyle name="好_KEU Slot Cost Calc 02-02-2010_Simulation (2)" xfId="2507" xr:uid="{77F26488-A470-4F15-A2D0-87C58185D5A6}"/>
    <cellStyle name="好_NE1-3 2010-03-03" xfId="2508" xr:uid="{B43FB588-FB8C-4CA3-ADA9-2EA33A0BAB36}"/>
    <cellStyle name="合計" xfId="2509" xr:uid="{7103DC34-8413-4F8D-A52B-F20570E20A7A}"/>
    <cellStyle name="汇总 2" xfId="2510" xr:uid="{6E1E2631-98D6-46A7-A0A8-7CB7A744CC3D}"/>
    <cellStyle name="汇总 3" xfId="2511" xr:uid="{F5559EAA-AAD3-45FC-B4AF-1A915882E3ED}"/>
    <cellStyle name="计算 2" xfId="2512" xr:uid="{90003BC4-D6C8-4E60-9E98-E39E401F2FBA}"/>
    <cellStyle name="检查单元格 2" xfId="2513" xr:uid="{5B2D856C-6ED4-4CE2-9E8C-003982B90528}"/>
    <cellStyle name="檢查儲存格" xfId="2514" xr:uid="{58457646-89E7-4B44-BA20-8061AC6AAD85}"/>
    <cellStyle name="見出し 1" xfId="2515" xr:uid="{0AF48AA1-63CF-4428-A93B-1DC8A4421E1F}"/>
    <cellStyle name="見出し 2" xfId="2516" xr:uid="{A6073D80-AC33-427D-8E0E-664ECF12D1C4}"/>
    <cellStyle name="見出し 3" xfId="2517" xr:uid="{8A7CDCF9-431B-456F-A9A3-42D3F08371CF}"/>
    <cellStyle name="見出し 4" xfId="2518" xr:uid="{54932AFC-E8AE-4C91-AF25-41645915E18E}"/>
    <cellStyle name="解释性文本 2" xfId="2519" xr:uid="{425CD408-DD4E-4981-9595-2025C9C81360}"/>
    <cellStyle name="警告文本 2" xfId="2520" xr:uid="{3382D081-0DB3-4DF7-8E41-232D469A24E1}"/>
    <cellStyle name="連結的儲存格" xfId="2521" xr:uid="{E4160A25-78C8-44FF-BAD8-2A9108D1CB36}"/>
    <cellStyle name="链接单元格 2" xfId="2522" xr:uid="{6FDADA9F-15F7-4A24-94C8-45DA7D620CCA}"/>
    <cellStyle name="良い" xfId="2523" xr:uid="{1064D91D-433F-49BA-BEF5-3E960E72EF50}"/>
    <cellStyle name="똿뗦먛귟 [0.00]_PRODUCT DETAIL Q1" xfId="2524" xr:uid="{3FEE0073-809E-481E-86B6-2D9FD54ECE1D}"/>
    <cellStyle name="똿뗦먛귟_PRODUCT DETAIL Q1" xfId="2525" xr:uid="{FEC22B47-01D2-4512-A1DE-E8ECCFC712FD}"/>
    <cellStyle name="千位分隔" xfId="2863" builtinId="3"/>
    <cellStyle name="千位分隔 2" xfId="2712" xr:uid="{3278AD89-5637-4BFD-910C-433915B8B217}"/>
    <cellStyle name="千位分隔 2 2" xfId="2722" xr:uid="{583A1064-E885-4519-AD09-AE3C2B800A7B}"/>
    <cellStyle name="千位分隔[0] 2" xfId="2526" xr:uid="{C62329E6-8B30-4530-A365-EB6B5C5B5E82}"/>
    <cellStyle name="强调文字颜色 1 2" xfId="2527" xr:uid="{052F58E4-CFF8-4EE6-A3D8-0AF512543302}"/>
    <cellStyle name="强调文字颜色 2 2" xfId="2528" xr:uid="{C8B13BAB-4572-4FE1-8409-76CFFD502432}"/>
    <cellStyle name="强调文字颜色 3 2" xfId="2529" xr:uid="{38289B08-3627-4B94-A0FD-BBC3E1EA5A26}"/>
    <cellStyle name="强调文字颜色 4 2" xfId="2530" xr:uid="{8EA03577-8E44-4F67-8A89-6CA653728B4F}"/>
    <cellStyle name="强调文字颜色 5 2" xfId="2531" xr:uid="{C651A45B-EFBC-45DC-AABF-E1F0C3BCA222}"/>
    <cellStyle name="强调文字颜色 6 2" xfId="2532" xr:uid="{6B1CD36D-BCF7-41BC-A3A7-52A6B5FEDCEC}"/>
    <cellStyle name="鱔 [0]_94褒瞳 (2)" xfId="2533" xr:uid="{6AC484C5-2B00-4B80-A0BB-67A444C311F8}"/>
    <cellStyle name="鱔_94褒瞳 (2)" xfId="2534" xr:uid="{3947045B-0954-4D47-A1AB-53D53A060DC2}"/>
    <cellStyle name="适中 2" xfId="2535" xr:uid="{90FD5E12-BF10-48D2-94B1-4F1062932C5A}"/>
    <cellStyle name="输出 2" xfId="2536" xr:uid="{D54C784B-DF12-4E13-8285-DDE9145EF9A9}"/>
    <cellStyle name="输入 2" xfId="2537" xr:uid="{22951622-B252-468C-B109-F00118C8DC27}"/>
    <cellStyle name="隨後的超連結_APPIV-3~ slottage--stage 1" xfId="2538" xr:uid="{8D7CD622-EB08-46F6-A45B-8C2D5CFE59F0}"/>
    <cellStyle name="巍葆 [0]_94褒瞳 (2)" xfId="2539" xr:uid="{8ED2918E-BB54-46D6-BE0E-EC6A9DDD8DE8}"/>
    <cellStyle name="巍葆_94褒瞳 (2)" xfId="2540" xr:uid="{45C9EFE9-4D15-4FD6-93D3-03E03B213E57}"/>
    <cellStyle name="메모" xfId="2541" xr:uid="{AD41E00A-24F0-43E5-9BD7-973F19DD8293}"/>
    <cellStyle name="未定義" xfId="2542" xr:uid="{5A4B972F-CF67-4C57-AAA8-B78E68BAF760}"/>
    <cellStyle name="样式 1" xfId="2543" xr:uid="{0D37C41F-43CB-4226-9834-E170EE1126A7}"/>
    <cellStyle name="樣式 1" xfId="2544" xr:uid="{D301FF7E-7205-4580-BADD-986DDF245DAD}"/>
    <cellStyle name="一般 2" xfId="2713" xr:uid="{578EA375-6961-4E1C-89AC-8B1FDCE00273}"/>
    <cellStyle name="一般 2 2" xfId="2714" xr:uid="{13758CC6-DB9A-4799-B682-F33C0B38BB30}"/>
    <cellStyle name="一般 2 2 2" xfId="2715" xr:uid="{35F39DB7-CA1A-4054-9A38-BE0EF2863202}"/>
    <cellStyle name="一般 2 2 2 2" xfId="2754" xr:uid="{9115BC35-C5C1-484F-A780-78B34AC16222}"/>
    <cellStyle name="一般 2 2 3" xfId="2740" xr:uid="{9A5645D1-A765-4975-9B4F-4D77058E8114}"/>
    <cellStyle name="一般 2 3" xfId="2716" xr:uid="{FE0E7D96-9D27-4124-B2DD-0D42F1DC2590}"/>
    <cellStyle name="一般 2 3 2" xfId="2748" xr:uid="{F7835C20-B80D-4C06-B135-4038D570398B}"/>
    <cellStyle name="一般 2 4" xfId="2733" xr:uid="{5529A182-629A-48F5-9E6A-5D4AE490ED76}"/>
    <cellStyle name="一般 3" xfId="2717" xr:uid="{02DACCC1-6CA2-4C55-96C9-1A47D201FB4F}"/>
    <cellStyle name="一般 3 2" xfId="2718" xr:uid="{6D9EB09A-46EB-4E2E-8EC3-89BF07C5F5C2}"/>
    <cellStyle name="一般 3 2 2" xfId="2750" xr:uid="{DDBB698E-594A-4C32-81FA-B91ED4A9838E}"/>
    <cellStyle name="一般 3 3" xfId="2719" xr:uid="{B1AC1879-EF0A-4785-93CB-870856878023}"/>
    <cellStyle name="一般 3 4" xfId="2735" xr:uid="{2CA2F720-4F45-4AA1-8AEB-18BE0B8FB0ED}"/>
    <cellStyle name="一般 4" xfId="2745" xr:uid="{F6C752B4-0F1C-4E45-B4FC-BA7E1DAA3B53}"/>
    <cellStyle name="一般 4 2" xfId="2758" xr:uid="{79D49BD4-8BE1-4C24-B43D-3C67FB07E8CC}"/>
    <cellStyle name="一般_CEM 8CX  (LHV)  TRA Study 2007 0625" xfId="2545" xr:uid="{71AF7F63-8F24-4B2D-9DBE-3D5E007602E5}"/>
    <cellStyle name="믅됞 [0.00]_PRODUCT DETAIL Q1" xfId="2546" xr:uid="{5AB92CF5-8A55-43AA-AD07-27639764B111}"/>
    <cellStyle name="믅됞_PRODUCT DETAIL Q1" xfId="2547" xr:uid="{689D0E47-AFF1-4D2D-8607-33DDE8187C6A}"/>
    <cellStyle name="백분율_HOBONG" xfId="2548" xr:uid="{69F3D2CD-C0D5-4F2F-B73E-D806EB4FBF00}"/>
    <cellStyle name="中等" xfId="2549" xr:uid="{3B964424-E202-4FE5-A3FB-0DC65D4D5FC3}"/>
    <cellStyle name="보통" xfId="2550" xr:uid="{C22B0D4A-962F-4072-AE71-34480FB30092}"/>
    <cellStyle name="보통 2" xfId="2551" xr:uid="{27B24F37-837C-4BD6-A8B3-71069DEFF5C6}"/>
    <cellStyle name="보통 2 2" xfId="2552" xr:uid="{CBAAD513-F9BC-4107-93BD-1991B4E11F8D}"/>
    <cellStyle name="注释 2" xfId="2553" xr:uid="{3A31DC63-06B5-4F64-AC21-D0D81F44708A}"/>
    <cellStyle name="注释 2 2" xfId="2554" xr:uid="{C290376A-DCE2-46BD-9180-AF40C95C6B66}"/>
    <cellStyle name="注释 2 2 2" xfId="2720" xr:uid="{4D0F9D5C-3B64-4B16-B5C1-9A625A7D0297}"/>
    <cellStyle name="注释 2 3" xfId="2555" xr:uid="{12E11D39-B843-4BCF-A524-36F09F0E316B}"/>
    <cellStyle name="뷭?_BOOKSHIP" xfId="2556" xr:uid="{A8ADA1B3-933A-4A8D-9F86-672F6CD718EF}"/>
    <cellStyle name="새귑[0]_BOOK1" xfId="2557" xr:uid="{614C9FF4-15EA-45EB-8FB0-760E0997C9B0}"/>
    <cellStyle name="새귑_BOOK1" xfId="2558" xr:uid="{158CCD21-FDFD-450A-80D4-0503983702F4}"/>
    <cellStyle name="설명 텍스트" xfId="2559" xr:uid="{67C59BC5-412F-4A99-BBF0-4CEA5F12F359}"/>
    <cellStyle name="설명 텍스트 2" xfId="2560" xr:uid="{E892892C-5E5C-420A-902E-76AD0F14412D}"/>
    <cellStyle name="설명 텍스트 2 2" xfId="2561" xr:uid="{5889AE94-7F5A-4013-B1A7-4E234D758544}"/>
    <cellStyle name="셀 확인" xfId="2562" xr:uid="{A995C077-3C59-4329-BFA8-6980E0D7B5E8}"/>
    <cellStyle name="셀 확인 2" xfId="2563" xr:uid="{5D8F0E61-F57F-4872-8DF9-A7D83232943D}"/>
    <cellStyle name="셀 확인 2 2" xfId="2564" xr:uid="{B982B5C3-1F27-4F2C-BFB2-50E8148FBB57}"/>
    <cellStyle name="쉼표 [0] 2" xfId="2565" xr:uid="{14D50C8D-B7C7-4FAB-B32E-B7894338234E}"/>
    <cellStyle name="쉼표 [0]_FEX PF (200603)" xfId="2566" xr:uid="{F26FB95A-FAE9-454F-91CF-853DD4E9EF40}"/>
    <cellStyle name="스타일 1" xfId="2567" xr:uid="{7D5592C0-07B7-46D7-8A99-3079C34DF71E}"/>
    <cellStyle name="연결된 셀" xfId="2568" xr:uid="{1C4FD3E8-3DAF-4A84-A519-05E2439CAEC3}"/>
    <cellStyle name="연결된 셀 2" xfId="2569" xr:uid="{1AE99465-54BE-4490-9CD9-6F4FBFA8D9AA}"/>
    <cellStyle name="연결된 셀 2 2" xfId="2570" xr:uid="{EFBEE001-1297-4AEB-ACA5-F0C67C445F96}"/>
    <cellStyle name="열어본 하이퍼링크" xfId="2571" xr:uid="{F3C21766-DD21-48DB-9F4A-549811E3B7A4}"/>
    <cellStyle name="요약" xfId="2572" xr:uid="{467CB639-8C96-4C6F-A774-F421704374F9}"/>
    <cellStyle name="요약 2" xfId="2573" xr:uid="{CCD07FF8-CCB5-4D1F-837D-E9A2041EBC8F}"/>
    <cellStyle name="요약 2 2" xfId="2574" xr:uid="{D11EF7AD-8383-4581-A0AB-7E990E618D8F}"/>
    <cellStyle name="입력" xfId="2575" xr:uid="{647B7859-F2D1-45E1-9BDF-C94F457AB841}"/>
    <cellStyle name="입력 2" xfId="2576" xr:uid="{180DBBB4-4461-4A52-8489-3EDD79507A94}"/>
    <cellStyle name="입력 2 2" xfId="2577" xr:uid="{281BCD3C-95DA-49EC-A189-4137885D96EC}"/>
    <cellStyle name="제목" xfId="2578" xr:uid="{2B9A4F2A-F221-4BF6-974E-E09CD9AB0F93}"/>
    <cellStyle name="제목 1" xfId="2579" xr:uid="{8937DDBD-9092-431A-872E-A5E5FE728A57}"/>
    <cellStyle name="제목 1 2" xfId="2580" xr:uid="{1306778E-BA4F-42E4-9BB1-2CFB505BDAFC}"/>
    <cellStyle name="제목 1 2 2" xfId="2581" xr:uid="{3BAA31B0-FECD-45E4-BB86-0DBA474C7A80}"/>
    <cellStyle name="제목 2" xfId="2582" xr:uid="{7D816709-67E0-49AB-8A34-1CF76BE0C4B4}"/>
    <cellStyle name="제목 2 2" xfId="2583" xr:uid="{BC86E30C-B4B2-4318-961F-584AD19E765A}"/>
    <cellStyle name="제목 2 2 2" xfId="2584" xr:uid="{2921F962-E450-4317-A5E0-BC5100D0D80C}"/>
    <cellStyle name="제목 3" xfId="2585" xr:uid="{BE4BF78E-3BA9-4D2D-A7DE-2103CA7D69F2}"/>
    <cellStyle name="제목 3 2" xfId="2586" xr:uid="{246E2E28-FC19-4FB9-A7CA-F6A9230F3A74}"/>
    <cellStyle name="제목 3 2 2" xfId="2587" xr:uid="{C8C71C39-1127-4327-A620-C38C226AA2F2}"/>
    <cellStyle name="제목 4" xfId="2588" xr:uid="{162E0E8F-BB43-404B-8E8A-D2152130AB49}"/>
    <cellStyle name="제목 4 2" xfId="2589" xr:uid="{93CD13B1-1E02-43E1-97C0-73A43E4098AE}"/>
    <cellStyle name="제목 4 2 2" xfId="2590" xr:uid="{0A338101-3CCC-4E0A-87C7-01C9F76E08D1}"/>
    <cellStyle name="제목 5" xfId="2591" xr:uid="{FBD15BE0-BA97-482E-B460-18A45E759337}"/>
    <cellStyle name="제목 5 2" xfId="2592" xr:uid="{4FB60EC7-C1D4-4BF7-9C68-D6B84CEF3644}"/>
    <cellStyle name="좋음" xfId="2593" xr:uid="{DE3EDC75-36D5-421A-8E51-88B78A01CAA5}"/>
    <cellStyle name="좋음 2" xfId="2594" xr:uid="{F26E7F2B-0B21-4E8B-8088-8658DECE9E6A}"/>
    <cellStyle name="좋음 2 2" xfId="2595" xr:uid="{AAD6D782-337A-4E94-B9D7-D935D7A2E70E}"/>
    <cellStyle name="쨊ㅐ?[0]_PLDT" xfId="2596" xr:uid="{489517C4-5910-4644-B09D-D92F21762150}"/>
    <cellStyle name="쨊ㅐ?_PLDT" xfId="2597" xr:uid="{1E802C43-FF7A-4A12-9244-02A96B510C71}"/>
    <cellStyle name="출력" xfId="2598" xr:uid="{FD07FA0B-1D97-4968-BD41-B792EC249BD5}"/>
    <cellStyle name="출력 2" xfId="2599" xr:uid="{A9CE76ED-DF8C-4A29-8BA5-59774EF40363}"/>
    <cellStyle name="출력 2 2" xfId="2600" xr:uid="{E06D5F1E-96F2-45D3-A359-C56020D6E1BF}"/>
    <cellStyle name="콤마 [0]_0e82LYX432mHp4bfOzJV4g9Sr" xfId="2601" xr:uid="{713B545D-BC54-416D-9B95-1B8CDC7E4357}"/>
    <cellStyle name="콤마_0e82LYX432mHp4bfOzJV4g9Sr" xfId="2602" xr:uid="{E0B265F1-7EAB-46EE-B8AE-83FA700F48B0}"/>
    <cellStyle name="쿯뱐 [0]_PLDT" xfId="2603" xr:uid="{8EB22474-D501-464E-B47E-E188DDDDD7EE}"/>
    <cellStyle name="쿯뱐_PLDT" xfId="2604" xr:uid="{2A6AADA7-A8CB-445A-B99B-F228A2080C49}"/>
    <cellStyle name="통화 [0]_1202" xfId="2605" xr:uid="{6C57E1AB-BDA3-45CC-88E2-4C5469455E0C}"/>
    <cellStyle name="통화_1202" xfId="2606" xr:uid="{B20D924A-9016-4FAF-9B2E-6276ED48DDA2}"/>
    <cellStyle name="표준 2" xfId="2607" xr:uid="{12BD638D-9E10-4319-9816-8E789FBF9410}"/>
    <cellStyle name="표준 2 2" xfId="2608" xr:uid="{E52CD7E6-292A-4B5F-957E-C288255DED7A}"/>
    <cellStyle name="표준 2 2 2" xfId="2721" xr:uid="{7BCA344B-D975-4C42-98DC-A3C1300FC582}"/>
    <cellStyle name="표준_(정보부문)월별인원계획" xfId="2609" xr:uid="{53DC694D-1D7A-46E8-9638-F95499AD1FFE}"/>
    <cellStyle name="푤貫[0]_pldt" xfId="2610" xr:uid="{E922EB57-FD4A-4FB5-BBDF-7483C130B3CF}"/>
    <cellStyle name="푤貫_pldt" xfId="2611" xr:uid="{C35F9291-661A-4516-936C-953046A85686}"/>
    <cellStyle name="하이퍼링크" xfId="2612" xr:uid="{BB237C7F-6939-4FEF-9918-F20D3C19DFC4}"/>
  </cellStyles>
  <dxfs count="423">
    <dxf>
      <numFmt numFmtId="192" formatCode="m/d/yyyy"/>
    </dxf>
    <dxf>
      <numFmt numFmtId="192" formatCode="m/d/yyyy"/>
    </dxf>
    <dxf>
      <numFmt numFmtId="192" formatCode="m/d/yyyy"/>
    </dxf>
    <dxf>
      <numFmt numFmtId="192" formatCode="m/d/yyyy"/>
    </dxf>
    <dxf>
      <numFmt numFmtId="192" formatCode="m/d/yyyy"/>
    </dxf>
    <dxf>
      <numFmt numFmtId="192" formatCode="m/d/yyyy"/>
    </dxf>
    <dxf>
      <numFmt numFmtId="192" formatCode="m/d/yyyy"/>
    </dxf>
    <dxf>
      <numFmt numFmtId="192" formatCode="m/d/yyyy"/>
    </dxf>
    <dxf>
      <numFmt numFmtId="192" formatCode="m/d/yyyy"/>
    </dxf>
    <dxf>
      <numFmt numFmtId="192" formatCode="m/d/yyyy"/>
    </dxf>
    <dxf>
      <numFmt numFmtId="192" formatCode="m/d/yyyy"/>
    </dxf>
    <dxf>
      <numFmt numFmtId="192" formatCode="m/d/yyyy"/>
    </dxf>
    <dxf>
      <numFmt numFmtId="192" formatCode="m/d/yyyy"/>
    </dxf>
    <dxf>
      <numFmt numFmtId="192" formatCode="m/d/yyyy"/>
    </dxf>
    <dxf>
      <numFmt numFmtId="179" formatCode="_(* #,##0_);_(* \(#,##0\);_(* &quot;-&quot;??_);_(@_)"/>
    </dxf>
    <dxf>
      <numFmt numFmtId="179" formatCode="_(* #,##0_);_(* \(#,##0\);_(* &quot;-&quot;??_);_(@_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179" formatCode="_(* #,##0_);_(* \(#,##0\);_(* &quot;-&quot;??_);_(@_)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180" formatCode="[$-409]d\-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xend Deca"/>
        <charset val="134"/>
        <scheme val="none"/>
      </font>
    </dxf>
    <dxf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border outline="0">
        <right style="thin">
          <color indexed="64"/>
        </right>
      </border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</dxf>
    <dxf>
      <numFmt numFmtId="17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宋体"/>
        <scheme val="none"/>
      </font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2" formatCode="m/d/yyyy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8" formatCode="yyyy\-mm\-dd;@"/>
      <fill>
        <patternFill patternType="solid">
          <fgColor indexed="64"/>
          <bgColor rgb="FFF4EBF7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79" formatCode="_(* #,##0_);_(* \(#,##0\);_(* &quot;-&quot;??_);_(@_)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7" formatCode="_(* #,##0.00_);_(* \(#,##0.0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77" formatCode="_(* #,##0.00_);_(* \(#,##0.00\);_(* &quot;-&quot;??_);_(@_)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79" formatCode="_(* #,##0_);_(* \(#,##0\);_(* &quot;-&quot;??_);_(@_)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79" formatCode="_(* #,##0_);_(* \(#,##0\);_(* &quot;-&quot;??_);_(@_)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76" formatCode="_(* #,##0_);_(* \(#,##0\);_(* &quot;-&quot;_);_(@_)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76" formatCode="_(* #,##0_);_(* \(#,##0\);_(* &quot;-&quot;_);_(@_)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76" formatCode="_(* #,##0_);_(* \(#,##0\);_(* &quot;-&quot;_);_(@_)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79" formatCode="_(* #,##0_);_(* \(#,##0\);_(* &quot;-&quot;??_);_(@_)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87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84" formatCode="_(* #,##0.0_);_(* \(#,##0.0\);_(* &quot;-&quot;?_);_(@_)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88" formatCode="_(* #,##0.000_);_(* \(#,##0.000\);_(* &quot;-&quot;_);_(@_)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76" formatCode="_(* #,##0_);_(* \(#,##0\);_(* &quot;-&quot;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76" formatCode="_(* #,##0_);_(* \(#,##0\);_(* &quot;-&quot;_);_(@_)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176" formatCode="_(* #,##0_);_(* \(#,##0\);_(* &quot;-&quot;_);_(@_)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80" formatCode="[$-409]d\-mmm\-yy;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9" formatCode="_(* #,##0_);_(* \(#,##0\);_(* &quot;-&quot;??_);_(@_)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8" formatCode="yyyy\-mm\-dd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wrapText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87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84" formatCode="_(* #,##0.0_);_(* \(#,##0.0\);_(* &quot;-&quot;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6" formatCode="_(* #,##0_);_(* \(#,##0\);_(* &quot;-&quot;_);_(@_)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6" formatCode="_(* #,##0_);_(* \(#,##0\);_(* &quot;-&quot;_);_(@_)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80" formatCode="[$-409]d\-mmm\-yy;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F4EBF7"/>
      <color rgb="FFCCFFFF"/>
      <color rgb="FFEBCDF7"/>
      <color rgb="FF9BD5FA"/>
      <color rgb="FFFFFFCC"/>
      <color rgb="FFD6B3E5"/>
      <color rgb="FFFAFAC0"/>
      <color rgb="FFFAFAE6"/>
      <color rgb="FFF7BABA"/>
      <color rgb="FFF0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tyles" Target="styles.xml"/><Relationship Id="rId30" Type="http://schemas.microsoft.com/office/2017/10/relationships/person" Target="persons/person.xml"/><Relationship Id="rId35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16565</xdr:colOff>
      <xdr:row>1</xdr:row>
      <xdr:rowOff>16565</xdr:rowOff>
    </xdr:from>
    <xdr:to>
      <xdr:col>15</xdr:col>
      <xdr:colOff>111813</xdr:colOff>
      <xdr:row>6</xdr:row>
      <xdr:rowOff>92766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FCF17471-D6C1-28FA-8E41-7DE59B341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9152" y="4596848"/>
          <a:ext cx="4565374" cy="871330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</xdr:row>
      <xdr:rowOff>133350</xdr:rowOff>
    </xdr:from>
    <xdr:to>
      <xdr:col>16</xdr:col>
      <xdr:colOff>285748</xdr:colOff>
      <xdr:row>31</xdr:row>
      <xdr:rowOff>85725</xdr:rowOff>
    </xdr:to>
    <xdr:pic>
      <xdr:nvPicPr>
        <xdr:cNvPr id="23" name="Image 1">
          <a:extLst>
            <a:ext uri="{FF2B5EF4-FFF2-40B4-BE49-F238E27FC236}">
              <a16:creationId xmlns:a16="http://schemas.microsoft.com/office/drawing/2014/main" id="{2484A7AF-C1C1-075E-E50B-72E24D81C863}"/>
            </a:ext>
            <a:ext uri="{147F2762-F138-4A5C-976F-8EAC2B608ADB}">
              <a16:predDERef xmlns:a16="http://schemas.microsoft.com/office/drawing/2014/main" pred="{FCF17471-D6C1-28FA-8E41-7DE59B341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82525" y="4152900"/>
          <a:ext cx="5229225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67235</xdr:rowOff>
    </xdr:from>
    <xdr:to>
      <xdr:col>1</xdr:col>
      <xdr:colOff>3733800</xdr:colOff>
      <xdr:row>49</xdr:row>
      <xdr:rowOff>24652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32F6F5A-1CE6-55CF-2DFA-4CA9646D8B1B}"/>
            </a:ext>
            <a:ext uri="{147F2762-F138-4A5C-976F-8EAC2B608ADB}">
              <a16:predDERef xmlns:a16="http://schemas.microsoft.com/office/drawing/2014/main" pred="{2484A7AF-C1C1-075E-E50B-72E24D81C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27794"/>
          <a:ext cx="4573121" cy="1212476"/>
        </a:xfrm>
        <a:prstGeom prst="rect">
          <a:avLst/>
        </a:prstGeom>
      </xdr:spPr>
    </xdr:pic>
    <xdr:clientData/>
  </xdr:twoCellAnchor>
  <xdr:twoCellAnchor editAs="oneCell">
    <xdr:from>
      <xdr:col>4</xdr:col>
      <xdr:colOff>552450</xdr:colOff>
      <xdr:row>41</xdr:row>
      <xdr:rowOff>38100</xdr:rowOff>
    </xdr:from>
    <xdr:to>
      <xdr:col>9</xdr:col>
      <xdr:colOff>133350</xdr:colOff>
      <xdr:row>52</xdr:row>
      <xdr:rowOff>0</xdr:rowOff>
    </xdr:to>
    <xdr:pic>
      <xdr:nvPicPr>
        <xdr:cNvPr id="7" name="Image 2">
          <a:extLst>
            <a:ext uri="{FF2B5EF4-FFF2-40B4-BE49-F238E27FC236}">
              <a16:creationId xmlns:a16="http://schemas.microsoft.com/office/drawing/2014/main" id="{7099EB14-CE18-461F-05BA-0A6334EF2943}"/>
            </a:ext>
            <a:ext uri="{147F2762-F138-4A5C-976F-8EAC2B608ADB}">
              <a16:predDERef xmlns:a16="http://schemas.microsoft.com/office/drawing/2014/main" pred="{032F6F5A-1CE6-55CF-2DFA-4CA9646D8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86425" y="6762750"/>
          <a:ext cx="5029200" cy="1638300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视图1" id="{CDBEFE57-4E9F-4D4D-B05D-D0D75BBB9611}">
    <nsvFilter filterId="{DCBF8DC5-5D67-4AB2-A114-9760136AE698}" ref="A1:BH463" tableId="3"/>
  </namedSheetView>
  <namedSheetView name="视图15" id="{0E80B404-784D-45B9-9292-93BE83D9CF9B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AA" id="{68EA3073-E272-4981-87AE-F07D781F6E1F}">
    <nsvFilter filterId="{2CD5AE86-8652-4E0C-8097-37E069BF9A50}" ref="A1:BH1426" tableId="2"/>
  </namedSheetView>
  <namedSheetView name="WK" id="{DA549B02-A86F-4580-973C-0776183B3A28}"/>
  <namedSheetView name="视图1" id="{00883A75-C09B-4FF0-B372-C271D01E070C}"/>
  <namedSheetView name="视图2" id="{08A136B1-E18E-4439-BC9F-98CB2A8AC529}"/>
  <namedSheetView name="视图3" id="{62B4629E-DCAE-44B3-ABA4-272BDEF74D4D}"/>
  <namedSheetView name="视图4" id="{B629078C-6577-4EF5-B920-7FD8394F5570}"/>
  <namedSheetView name="视图5" id="{95B9BC5A-9BAA-4760-9644-5DCEDE2A386E}"/>
  <namedSheetView name="视图6" id="{9AC3B029-B60D-4679-B1F0-6A2A767540A3}"/>
  <namedSheetView name="视图7" id="{93CE5369-4248-4BBE-BE9E-FC0C6FE6AA04}"/>
  <namedSheetView name="视图8" id="{7D9AABD0-0008-492A-BD40-D3DB2B62B072}"/>
  <namedSheetView name="视图9" id="{07128DC2-F6A2-4867-80CA-D3136B061DCE}"/>
  <namedSheetView name="视图10" id="{A3D485B7-6297-401E-A538-516CAD9A8AFC}"/>
  <namedSheetView name="视图11" id="{0E1829E2-1919-499F-8325-D44C6D97BAD1}"/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CC73436-33E8-4D1C-BAD2-BD7594828FE8}"/>
  <namedSheetView name="视图1" id="{1AAB860E-2748-45EB-929E-C98026629502}"/>
  <namedSheetView name="视图2" id="{831AAD66-900B-413B-9404-A87F3A0A8B48}"/>
  <namedSheetView name="视图3" id="{61A6EB22-19B1-42BE-AF3F-3ACD2A76D9A2}"/>
  <namedSheetView name="视图4" id="{BD5AAFC6-05E8-483D-923D-3554EAE1A199}"/>
  <namedSheetView name="视图5" id="{A4899CB5-870F-4D84-A5B1-63D8C7DBC99F}"/>
  <namedSheetView name="视图6" id="{B234C3CD-805C-4182-AA38-E5378E2F7A8A}"/>
  <namedSheetView name="视图7" id="{281ACC2F-E6F2-49C0-95CA-AD0A10689117}"/>
  <namedSheetView name="视图8" id="{16869EC9-D0DC-4AC1-9A86-E20D2E7CCDFA}"/>
  <namedSheetView name="视图9" id="{6FD1C50A-A9E0-43F2-96C9-1F5C8E34234A}"/>
  <namedSheetView name="视图10" id="{C2283F8E-486F-4122-B875-4CFD284398BD}"/>
  <namedSheetView name="视图11" id="{6CB5E007-FC73-4A07-BCF8-34E130A2A4B1}"/>
  <namedSheetView name="视图12" id="{CFAE055E-7DAF-40AE-ACD9-435EF42DECD3}"/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视图1" id="{88DA1E74-E007-41CA-BD12-8F0C1475A9C5}"/>
  <namedSheetView name="视图2" id="{E316671D-11B6-4EF5-A585-22EBDFB40A59}"/>
  <namedSheetView name="视图3" id="{C69A4679-8C02-4A06-8BBD-196849129C65}"/>
  <namedSheetView name="视图4" id="{49B4A079-70F1-4C69-A409-31BFE8688632}"/>
  <namedSheetView name="视图5" id="{C39AD900-8B86-4B09-9BC1-58413F16502C}"/>
  <namedSheetView name="视图6" id="{3CDBB15B-B82E-457F-92DC-7C605E29EE5D}"/>
  <namedSheetView name="视图7" id="{C41E80D8-8A2B-4257-BEDE-4F6C3B0FAAB2}"/>
  <namedSheetView name="视图8" id="{CCCC31B5-2003-4C02-8024-9F27CB313837}"/>
  <namedSheetView name="视图9" id="{EF99E01F-3C91-4A4C-A8C7-3BE16C35105B}"/>
  <namedSheetView name="视图10" id="{61FC0E10-2119-4550-B964-C13320BCD8D2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shunchuan.li@tcl.com" id="{0D7242CF-7471-435E-874C-8EFAAD5F2402}" userId="S::urn:spo:guest#shunchuan.li@tcl.com::" providerId="AD"/>
  <person displayName="pvobc" id="{31289656-3880-4C6E-87DC-63BDFF2267B8}" userId="S::pvobc@tcl.com::57f624bc-c439-4632-9781-826fcb1e7801" providerId="AD"/>
  <person displayName="Arleen Hu 胡斯雅" id="{128B8EA2-C844-4F52-9A5C-0186FAE6DEB8}" userId="S::husiya@tcl.com::36181d0b-a174-4d82-8b5d-0fbec5cc27b8" providerId="AD"/>
  <person displayName="Jerry Li" id="{0BFD7306-5282-4782-8C05-7F0D218F9A43}" userId="S::jeli@maxeon.com::f89e800b-133d-4c75-8d01-6f6bf1f96f81" providerId="AD"/>
  <person displayName="Bella Yu" id="{10C2553C-DCCB-4DFD-A808-039413F97403}" userId="S::beina.yu@tcl.com::a78d394a-4a65-481a-ac68-8c4f98708485" providerId="AD"/>
  <person displayName="Rui Xu 徐蕊" id="{05B030F0-EC17-4ABC-8711-CF2A2F8CB2C1}" userId="S::rui46.xu@tcl.com::90c500a2-a4f5-4f12-a16f-c516516dcc84" providerId="AD"/>
  <person displayName="Nan Shao 邵楠" id="{02E0D6C5-DC91-4854-8BC7-690C84B272B9}" userId="S::nan2.shao@tcl.com::6f44a8fc-0955-4688-bc39-b70d37ad8d73" providerId="AD"/>
  <person displayName="Sophie Zhang" id="{FABCFC7F-0E64-4CE0-A761-FB288409E64C}" userId="S::sozhang@maxeon.com::80d37c15-8a87-4d8b-9c11-25634e4b6aab" providerId="AD"/>
  <person displayName="Zélia.Zou邹雨欣" id="{AEDBF3C1-4A8E-4E51-9E34-6FCF6E9F8787}" userId="S::yuxin4.zou@tcl.com::ea7f2f9f-12d7-4fc0-9296-3545189a3284" providerId="AD"/>
  <person displayName="jean.prayco" id="{BA74EA03-B90E-4772-8A84-00C7DB6F61CD}" userId="S::jean.prayco@tcl.com::592dd659-6701-42dd-85c9-eebb0ec08bed" providerId="AD"/>
  <person displayName="Jean-Baptiste Guillaume" id="{41425945-2EA3-4AE6-96AE-17C5BE4906F3}" userId="S::jb.guillaume@tcl.com::1d4ad0f0-8226-472f-980c-464c8a4841ac" providerId="AD"/>
  <person displayName="Jerry Li李顺川" id="{ED0E0B94-28DE-45B0-99AC-EBA7D3821EBA}" userId="S::shunchuan.li@tcl.com::9a4d49e1-0ee0-49f7-9d37-363b0d849fa5" providerId="AD"/>
  <person displayName="Carole Arenou" id="{A4F86956-64B8-4A55-A032-3A7A56271F72}" userId="S::carole.arenou@tcl.com::b6fd1c95-1b23-49e5-b879-507bb42c77b0" providerId="AD"/>
  <person displayName="Wayne.Guo 郭洪伟" id="{D9F303E2-1809-4B06-9A5F-59B6E73873A2}" userId="S::hongwei15.guo@tcl.com::a6d3a703-ca0e-4b18-aa79-7cb7047348ef" providerId="AD"/>
  <person displayName="Rannel Sabado" id="{CD7C98D9-7D9B-40B0-9849-33B1E1746B40}" userId="S::rannel.sabado@tcl.com::09811a22-550e-4ef9-89de-1ffbbdb819dc" providerId="AD"/>
  <person displayName="Alex.Sun孙盛冬" id="{C222A517-050F-4169-90D6-80E636A4EB9D}" userId="S::shengdong.sun@tcl.com::2e08706c-b100-4e24-9702-be484debd338" providerId="AD"/>
  <person displayName="Nova.wei韦惠玲" id="{8C072ED9-67B2-4AC4-9725-D14F85A260B4}" userId="S::ex_huiling.wei@tcl.com::ef8b4cb3-6558-4213-be35-a554d94581c6" providerId="AD"/>
  <person displayName="Sophie Zhang张红丽" id="{D7EA08E9-E1A4-4552-BE9E-A904D0E5D4EC}" userId="S::hongli22.zhang@tcl.com::2eaebda3-693c-4c88-a112-947456f687a7" providerId="AD"/>
  <person displayName="陈俊萍" id="{56818584-B3E0-4B2D-A5E9-D37F823CA16D}" userId="S::junping11.chen@tcl.com::1ce690dc-f22c-4f17-9f82-a031707f8319" providerId="AD"/>
  <person displayName="谢晓婷" id="{05C11D42-6D5E-441A-86A5-85325E59A632}" userId="S::ex_xiaoting1.xie@tcl.com::182870cc-e568-420f-be04-6a78a52d4a0d" providerId="AD"/>
  <person displayName="Carole Arenou" id="{1D50D208-176E-4122-BE0D-3EF9D0230AA0}" userId="S::carenou@sunpowerglobal.com::f9cafa03-1316-4ac3-8e4a-9b3be926b4d8" providerId="AD"/>
  <person displayName="Sophie Zhang" id="{C7CDF013-3345-447C-99F9-CDCF82486E8F}" userId="S::sozhang@sunpowerglobal.com::d8ad0901-2173-4e61-91e1-a6181a19d76c" providerId="AD"/>
  <person displayName="Jean-Baptiste Guillaume" id="{A1DB9FF7-8839-43D1-893F-47EE4320F687}" userId="S::jguillaume@sunpowerglobal.com::9531cadf-ad6d-49bb-845a-880f3a645117" providerId="AD"/>
  <person displayName="邹雨欣" id="{263F6BBD-D24C-4B7E-8F2B-65F7948858A3}" userId="S::yuxin4.zou_tcl.com#ext#@sunpowerglobal.onmicrosoft.com::d532e894-adf8-494f-af3c-2f302ea06cba" providerId="AD"/>
  <person displayName="李顺川" id="{32312947-0001-40CA-9DE2-10E39825AF36}" userId="S::shunchuan.li_tcl.com#ext#@sunpowerglobal.onmicrosoft.com::703d352f-3038-45be-819a-c17e6fd6ddb6" providerId="AD"/>
  <person displayName="陈俊萍" id="{7A967CFE-E568-444E-AD93-098F55D76851}" userId="S::junping11.chen_tcl.com#ext#@sunpowerglobal.onmicrosoft.com::e707290d-7b5f-4b22-a55a-6b5ee35198bc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4.444323495372" createdVersion="8" refreshedVersion="8" minRefreshableVersion="3" recordCount="16" xr:uid="{F14C6F08-D9F8-4004-82B1-49D627F0CEF0}">
  <cacheSource type="worksheet">
    <worksheetSource ref="H16:P32" sheet="Sheet1"/>
  </cacheSource>
  <cacheFields count="9">
    <cacheField name="HSM-ND66-GR630" numFmtId="0">
      <sharedItems/>
    </cacheField>
    <cacheField name="EVO2A" numFmtId="0">
      <sharedItems/>
    </cacheField>
    <cacheField name="±1200mm" numFmtId="176">
      <sharedItems/>
    </cacheField>
    <cacheField name=" 630 " numFmtId="176">
      <sharedItems containsSemiMixedTypes="0" containsString="0" containsNumber="1" containsInteger="1" minValue="480" maxValue="730"/>
    </cacheField>
    <cacheField name=" 3,600 " numFmtId="176">
      <sharedItems containsSemiMixedTypes="0" containsString="0" containsNumber="1" containsInteger="1" minValue="936" maxValue="11232"/>
    </cacheField>
    <cacheField name=" 2.009 " numFmtId="188">
      <sharedItems containsSemiMixedTypes="0" containsString="0" containsNumber="1" minValue="0.36630000000000001" maxValue="3.15"/>
    </cacheField>
    <cacheField name=" 120.0 " numFmtId="184">
      <sharedItems containsSemiMixedTypes="0" containsString="0" containsNumber="1" minValue="20" maxValue="156"/>
    </cacheField>
    <cacheField name="5.0" numFmtId="187">
      <sharedItems containsSemiMixedTypes="0" containsString="0" containsNumber="1" minValue="1" maxValue="7"/>
    </cacheField>
    <cacheField name="w46 PICK-UP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CL" refreshedDate="46324.582000000002" createdVersion="8" refreshedVersion="8" minRefreshableVersion="3" recordCount="1425" xr:uid="{27A57304-2A25-4DC5-8F43-8758E084A263}">
  <cacheSource type="worksheet">
    <worksheetSource name="PV_DATA"/>
  </cacheSource>
  <cacheFields count="60">
    <cacheField name="TCL REFERENCE" numFmtId="0">
      <sharedItems/>
    </cacheField>
    <cacheField name="Factory Location" numFmtId="0">
      <sharedItems/>
    </cacheField>
    <cacheField name="FX_QTY criteria" numFmtId="0">
      <sharedItems/>
    </cacheField>
    <cacheField name="CHANNEL" numFmtId="0">
      <sharedItems/>
    </cacheField>
    <cacheField name="New Ark PO Type" numFmtId="0">
      <sharedItems containsBlank="1" count="5">
        <s v="Internal"/>
        <s v="Offshore"/>
        <s v="n/a"/>
        <m u="1"/>
        <s v="ongoing B/L change" u="1"/>
      </sharedItems>
    </cacheField>
    <cacheField name="New Ark WH" numFmtId="0">
      <sharedItems containsMixedTypes="1" containsNumber="1" containsInteger="1" minValue="0" maxValue="0"/>
    </cacheField>
    <cacheField name="TCL-HK PO INCOTERM Requested" numFmtId="0">
      <sharedItems/>
    </cacheField>
    <cacheField name="B/L Consignee" numFmtId="0">
      <sharedItems containsBlank="1" count="56">
        <s v="SunPower Energy Solutions France SAS"/>
        <s v="Sunpower Energy Systems Spain, S.L.U."/>
        <s v="Ecostal France"/>
        <s v="UAB Elmitra"/>
        <s v="Sunpower Italia S.R.L."/>
        <s v="SUMINISTROS ORDUÑA"/>
        <s v="Sunpower Corporation UK Limited"/>
        <s v="Nordic Sun Danmark A/S"/>
        <s v="Failte Solar"/>
        <s v="LM Eight Solar Renewables Energies S.L."/>
        <s v="Solar Fabrik GmbH"/>
        <s v="Ecostal France (former SunPower Energy Solutions France SAS)"/>
        <s v="EnergyNAT Sp. z.o.o"/>
        <s v="n/a - Non-EU"/>
        <s v="PROCARTE PV SPÓŁKA Z OGRANICZONĄ ODPOWIEDZIALNOŚCIĄ"/>
        <s v="ECOSTAL SPRL"/>
        <s v="ECOSTAL SPRL (former = SunPower Energy Solutions France SAS)"/>
        <s v="Solexis SA"/>
        <s v="UK Greentech Rugby 663"/>
        <s v="UK Greentech Middlesborough 668"/>
        <s v="UK Greentech Lincoln 674"/>
        <s v="UK Greentech Glasgow 669"/>
        <s v="n/a"/>
        <s v="Energy3000 solar GmbH"/>
        <s v="SANIBRAVA 96 SL (originally Suministros)"/>
        <s v="Suministros Orduña S.L."/>
        <s v="Yomatec"/>
        <s v="Energynat Solutions Sp.z o.o."/>
        <s v="Ecostal Yomatec"/>
        <s v="Solar2 Group L.L.C"/>
        <s v="APPROSUD ENVIRONNEMENT"/>
        <s v="Voltaneo"/>
        <s v="DRACOUDIS ALUMINIUM"/>
        <s v="Edmundson Electrical"/>
        <s v="VOLTANEO "/>
        <s v="FAST FORWARD THINKING"/>
        <s v="AVJ CONSTRUCTIONS "/>
        <s v="TCL SUN INC"/>
        <m u="1"/>
        <s v="TBD" u="1"/>
        <s v="Ananda" u="1"/>
        <s v="SUMINISTROS ORDUÑA // ES0125122900527" u="1"/>
        <s v="SPGB / HGPV Ltd " u="1"/>
        <s v="Energynat Solutions Sp.z o.o" u="1"/>
        <s v="SOLAR FABRIK long cable" u="1"/>
        <s v="Solar Fabrik" u="1"/>
        <s v="Ecostal Belgium" u="1"/>
        <s v="LM Eight" u="1"/>
        <s v="LM Eight x4 / x1 Suministros" u="1"/>
        <s v="Baltsolar UAB" u="1"/>
        <s v="EUROELEKTRA SHPK" u="1"/>
        <s v="Sunpower Energy Solutions France" u="1"/>
        <s v="NordicSun" u="1"/>
        <s v="Sunpower " u="1"/>
        <s v="NordicsSun" u="1"/>
        <s v="Ecostal" u="1"/>
      </sharedItems>
    </cacheField>
    <cacheField name="Priority Level" numFmtId="0">
      <sharedItems containsBlank="1"/>
    </cacheField>
    <cacheField name="ALLOCATION Planning" numFmtId="0">
      <sharedItems containsBlank="1" containsMixedTypes="1" containsNumber="1" containsInteger="1" minValue="5" maxValue="5" count="202">
        <s v="Local WH "/>
        <s v="SPTN / NED"/>
        <s v="Local WH"/>
        <s v="Distributors Italy - W72"/>
        <s v="SPES / Total Portugal"/>
        <s v="Local WH - SPTN W74 (Italy)"/>
        <s v="Ecostal France"/>
        <s v="UAB Elmitra"/>
        <s v="Local WH - W72 (Italy)"/>
        <s v="Distributors Italy - SPTN W74"/>
        <s v="SPTN // Baltsolar"/>
        <s v="SPTN / Elements Montredon"/>
        <s v="Local WH - SPTN W74"/>
        <s v="SPTN / Grosshandelsunion"/>
        <s v="SPTN / Energy3000"/>
        <s v="Local WH - POD to be updated vs. W81"/>
        <s v="SPTN / Qair SP Uebigau-Wahrenbrück GmbH &amp; Co. KG"/>
        <s v="SPTN / Unite Chauvigny"/>
        <s v="SPTN / Unite Beauchêne"/>
        <s v="SPTN / Soregies Dange II"/>
        <s v="SUMINISTROS ORDUÑA // ES0125122900527"/>
        <s v="SPTN / Rexel Sweden"/>
        <s v="SPGB / Solarsense UK ltd"/>
        <s v="Local WH - W72"/>
        <s v="NordicSun"/>
        <s v="Failte Solar"/>
        <s v="SPTN / Yuma"/>
        <s v="LM Eight"/>
        <s v="Local WH - SPES W79"/>
        <s v="Solar Fabrik "/>
        <s v="Solar Fabrik"/>
        <s v="Distributors France - SPTN W74"/>
        <s v="SPTN / Enercoop Claix du Soleil"/>
        <s v="Local WH - W74 (Italy)"/>
        <s v="Local WH - W72 - preallocated to NED"/>
        <s v="SPGB / Bimble Solar"/>
        <s v="Distributors France - W72 - Full CT with DEC020 + DEC022.02"/>
        <s v="Distributors France - W72 - Full CT with DEC014.02 + DEC022.02"/>
        <s v="Local WH - W72 - 3 pallets for FIMA"/>
        <s v="Distributors France - SPTN W74 - full CT with DEC019"/>
        <s v="Distributors France - SPTN W74 - full CT with NOV022"/>
        <s v="EnergyNat"/>
        <s v="Local WH - W72 (PUSH)"/>
        <s v="Local WH - W72 (PUSH) - FIMA taking 13 out of 15"/>
        <s v="Local WH - W72 (PUSH) - EnergyNat Pipeline / Tax Credit"/>
        <s v="Local WH - W72 (former non-eu)"/>
        <s v="Local WH - W74 - Full CT with 26Feb036.03 + 26Mar021 + MAY010"/>
        <s v="Local WH - W74 - Full CT with 26Feb036.03 + 26Mar021 + DEC022"/>
        <s v="reallocated to Pakistan / non-EU"/>
        <s v="Non-EU"/>
        <s v="SPTN / Baltsolar"/>
        <s v="Distributors Italy - W72  (Milliot Green cancelled)"/>
        <s v="Local WH - W72 pre allocated to IT"/>
        <s v="Distributors Italy - W74"/>
        <s v="SPTN / Reno"/>
        <s v="ProCarte"/>
        <s v="SPTN / FIMA"/>
        <s v="Ecostal Belgium"/>
        <s v="Local WH - W72 - pre allocated 3 CT UK Altenergy tbc (Originally SPTN / Energy3000, not materialized)  rest IT"/>
        <s v="Local WH - W72 - full CT with 26Mar002"/>
        <s v="Local WH - W72 - full CT with 26Mar001"/>
        <s v="SPGB / Solarsense"/>
        <s v="Energy 3000 or Lcoal WH"/>
        <s v="Ecostal Belgium (former Local WH - W72 Safety stock)"/>
        <s v="Local WH - W72 (revised from Solexis)"/>
        <s v="Local WH - W72 - preallocated to Alliantz"/>
        <s v="SOLEXIS"/>
        <s v="Local WH - W74 - full CT with 26Mar023 + 26Mar025"/>
        <s v="Local WH - W74 - full CT with 26Mar022.02 + 26 Mar025"/>
        <s v="SPTN / Soregies Vivonne les Plantis"/>
        <s v="SPTN / Soregies Valence en Poitou"/>
        <s v="SPTN / Energy3000  (partial)"/>
        <s v="Local WH - W80 Safety stock"/>
        <s v="Local WH - SPTN W74 - Full CT with 26Mar004"/>
        <s v="Local WH - SPTN W74 - Full CT with 26Mar003"/>
        <s v="Failte Solar Depletion"/>
        <s v="Failte Solar Depletion - full CT with 26Mar019"/>
        <s v="Failte Solar Depletion - full CT with 26Mar018"/>
        <s v="Ecostal - intransit reallocation"/>
        <s v="UK Greentech - intransit reallocation"/>
        <s v="SPGB / Altenergy"/>
        <s v="Local WH - SPGB W80"/>
        <s v="SPTN / GazelEnergie"/>
        <s v="Local WH - SPIT W81"/>
        <s v="Local WH - W72 -  preallocated Greentech (former Germany forecast)"/>
        <s v="Local WH - W72 - preallocated Greentech (former Belgium forecast)"/>
        <s v="Local WH - W72 preallocated Greentech (former SPTN / Reno)"/>
        <s v="Distributors Italy - W72 - 2 CT emergency Project Solar, rest for IT (former Germany/EM Forecast)"/>
        <s v="Qair Gassi-Lamadji"/>
        <s v="SPTN / Soregies Vivonne Vaubourdeau"/>
        <s v="Local WH - W74 - full CT with 26Mar021"/>
        <s v="Local WH - W74 - full CT with 26Mar020 (pre allocation 1656 pcs Adiwatt via Voltaneo)"/>
        <s v="energy3000 =&gt; intransit reallocation from Distributors Italy - W72"/>
        <s v="Local WH - W72 (PUSH) -  10 pre allocated to Nordicsun"/>
        <s v="Local WH - W72  (former NordicSun forecast)"/>
        <s v="Failte Solar - Prelim Allocation"/>
        <s v="Local WH - SPIT W82"/>
        <s v="Local WH - W74 (PUSH) - can be delayed, tax credit"/>
        <s v="Non-EU - pending formal reallocation to EU"/>
        <s v="Distributors France - SPTN W74 (PUSH)"/>
        <s v="Failte Solar - (initital shipment to SPTN / W72)"/>
        <s v="Local WH - W72 - mix Italy and BENELUX"/>
        <s v="Local WH - W74 - full CT with 26Mar022.01"/>
        <s v="Local WH - W74 - full CT with 26Mar024"/>
        <s v="Distributors Italy - W72 - Replace HSM-ND66-GR615 / COSU6446422020"/>
        <s v="Local WH - W72 (PUSH) - can be delayed, tax credit"/>
        <s v="Distributors / EOL transition"/>
        <s v="Local WH - W72 (PUSH) -  (4 CT UK incl. 1 CT Altenergy + rest for IT)"/>
        <s v="Local WH - W81"/>
        <s v="SPTN / GazelEnergie - full CT with 26Mar021 + DEC022 + MAY010"/>
        <s v="Local WH - W74 - Full CT with 26Feb036.03 + DEC014 + MAY010"/>
        <s v="EnergyNat / France - former (France Distrib)"/>
        <s v="Local WH - W72 - preallocated to Ecostal BE (3)"/>
        <s v="Energy 3000 - batch 1.1"/>
        <s v="Energy 3000 - batch 1.2"/>
        <s v="Energy 3000 - batch 4.1"/>
        <s v="Energy 3000 - batch 2.2"/>
        <s v="Energy 3000 - batch 3"/>
        <s v="SPGB / Project Solar White Label"/>
        <s v="Energy 3000 - batch 2.1"/>
        <s v="SANIBRAVA 96 SL (originally Suministros)"/>
        <s v="Suministros"/>
        <s v="Procarte (former Distributors France - SPTN W74)"/>
        <s v="Energy 3000 - batch 4.2"/>
        <s v="Energy 3000 - batch 4.3"/>
        <s v="energy3000 =&gt; intransit reallocation from Local WH - W72"/>
        <s v="LM Eight - Forecast"/>
        <s v="Energy3000 (intransit realloc)"/>
        <s v="Ecostal Belgium CRD 01/06"/>
        <s v="Local WH =&gt; Ecostal SPRL"/>
        <s v="SPGB / HGPV Ltd - Greenspan"/>
        <s v="SPTN / REXEL"/>
        <s v="Yomatec"/>
        <s v="ProCarte batch 1"/>
        <s v="Energynat Solutions Sp.z o.o"/>
        <s v="Ecostal Belgium CRD 01/07"/>
        <s v="LM8"/>
        <s v="ProCarte batch 2"/>
        <s v="SPGB / Solarsense July"/>
        <s v="Energy 3000"/>
        <s v="Energy3000"/>
        <s v="LM Eight =&gt; no change"/>
        <s v="LM Eight =&gt; Sunpower Spain"/>
        <s v="Orduna"/>
        <s v="ProCarte batch 3"/>
        <s v="Non-EU Thailand"/>
        <s v="SPGB / Solarsense August"/>
        <s v="LM8 =&gt; SPES"/>
        <s v="Ecostal Belgium CRD 03/08 =&gt; order change to 455w"/>
        <s v="ProCarte batch 4"/>
        <s v="ProCarte batch 6"/>
        <s v="Local WH (revised to match with Ecostal order change 450-&gt;455)"/>
        <s v="SPTN =&gt; Ecostal Yomatec"/>
        <s v="LM8=&gt;SPES"/>
        <s v="ProCarte batch 5"/>
        <s v="ProCarte batch 7"/>
        <s v="Ecostal Belgium =&gt; order no GTG / change to internal PO to RTM"/>
        <s v="Energy 3000 -&gt;Solar2 Group L.L.C"/>
        <s v="Approsud order"/>
        <s v="LM 8 =&gt; SPES"/>
        <s v="ProCarte batch 8"/>
        <s v="solarfabrik"/>
        <s v="ECOSTAL SPRL"/>
        <s v="Suministros Orduña S.L."/>
        <m/>
        <s v="SPGB / Project Solar White Label (forecast)"/>
        <s v="Voltaneo"/>
        <s v="DRACOUDIS ALUMINIUM"/>
        <s v="Ecostal Belgium CRD 01/09 =&gt; order change to 455w"/>
        <s v="PROCARTE PV SPÓŁKA Z OGRANICZONĄ ODPOWIEDZIALNOŚCIĄ"/>
        <s v="SPUK/Bimble+Solar Renewable"/>
        <s v="Local WH for depletion (sotck already sitting in RTM)"/>
        <s v="26J丶1"/>
        <s v="SPTN-&gt; solar fabrk"/>
        <s v="Energy 3000 -&gt; hold"/>
        <s v="Local WH/Edmundson Electrical Redruth 064"/>
        <s v="SPUK/UK Greentech Dundee 667"/>
        <s v="SPUK/PowerXpress Ltd"/>
        <s v="Solar Fabrik GmbH"/>
        <s v="Edmundson Electrical Peterborough 240"/>
        <s v="SPUK/Greentech Glasgow 669"/>
        <s v="Ecostal Yomatec--&gt;SPTN"/>
        <s v="Ecostal Yomatec"/>
        <s v="VOLTANEO "/>
        <s v="FAST FORWARD THINKING"/>
        <s v="AVJ CONSTRUCTIONS "/>
        <s v="Energynat Solutions Sp.z o.o."/>
        <s v="EnergyNAT Sp. z.o.o"/>
        <s v="n/a"/>
        <s v="Local WH/Project Solar Lable"/>
        <s v="TCL SUN INC"/>
        <s v="缅甸"/>
        <s v="To add into July plan"/>
        <s v="ship to Congo africa-MATADI"/>
        <s v="Philippines"/>
        <s v="SDESM"/>
        <s v="Chevenon Tier 1"/>
        <s v="CORSICASOLE"/>
        <s v="LINX01 - Linxe"/>
        <s v="CHAN01 - Chantenay"/>
        <s v="SOREGIES"/>
        <n v="5" u="1"/>
      </sharedItems>
    </cacheField>
    <cacheField name="SPWR SO Number" numFmtId="0">
      <sharedItems containsBlank="1" containsMixedTypes="1" containsNumber="1" containsInteger="1" minValue="20519249" maxValue="46011059"/>
    </cacheField>
    <cacheField name="SPWR SO Line" numFmtId="0">
      <sharedItems containsBlank="1" containsMixedTypes="1" containsNumber="1" containsInteger="1" minValue="1" maxValue="54"/>
    </cacheField>
    <cacheField name="G2G / Planning" numFmtId="0">
      <sharedItems containsBlank="1"/>
    </cacheField>
    <cacheField name="Factory Available Date" numFmtId="0">
      <sharedItems containsDate="1" containsBlank="1" containsMixedTypes="1" minDate="2025-06-01T00:00:00" maxDate="2026-12-13T00:00:00"/>
    </cacheField>
    <cacheField name="PRODUCT TYPE" numFmtId="0">
      <sharedItems containsBlank="1" count="13">
        <s v="Half Cut"/>
        <s v="Shingle"/>
        <s v="P7 COM S BF IT"/>
        <s v="BC"/>
        <s v="M Class"/>
        <s v="P7 RES BLK 2.0"/>
        <s v="P7 RES BLK P"/>
        <s v="Shingle HSPV Stock"/>
        <s v="HC HSPV Stock"/>
        <s v="T5_Pro_L"/>
        <s v="T5_Pro_M"/>
        <s v="T5_Pro_S"/>
        <m u="1"/>
      </sharedItems>
    </cacheField>
    <cacheField name="New Ark SKU" numFmtId="0">
      <sharedItems containsBlank="1" count="167">
        <s v="GF0700000071"/>
        <s v="GF0700000080"/>
        <s v="GF0101010095"/>
        <s v="GF0700001575"/>
        <s v="GF0700000811"/>
        <s v="GF0700000769"/>
        <s v="GF0700001578"/>
        <s v="GF0700000078"/>
        <s v="GF0700001603"/>
        <s v="GF0700000313"/>
        <s v="GF0700000075"/>
        <s v="GF0700000804"/>
        <s v="GF0700000805"/>
        <s v="GF0700000346"/>
        <s v="GF0700000885"/>
        <s v="GF0700000024"/>
        <s v="GF0700000842"/>
        <s v="GF0700000025"/>
        <s v="GF0700000766"/>
        <s v="GF0700000797"/>
        <s v="GF0700000798"/>
        <s v="GF0700000795"/>
        <s v="GF0700001591"/>
        <s v="GF0700001592"/>
        <s v="GF0700000348"/>
        <s v="GF0700000838"/>
        <s v="GF0700000881"/>
        <s v="GF0700000880"/>
        <s v="GF0700000318"/>
        <s v="GF0700000799"/>
        <s v="GF0700001599"/>
        <s v="GF0700000023"/>
        <s v="GF0700000081"/>
        <s v="GF0700001772"/>
        <s v="GF0101010094"/>
        <s v="GF0700000077"/>
        <s v="GF0101010096"/>
        <s v="GF0700001768"/>
        <s v="GF0700001767"/>
        <s v="GF0700001601"/>
        <s v="GF0700001771"/>
        <s v="GF0700001780"/>
        <s v="GF0700001593"/>
        <s v="GF0700000076"/>
        <s v="GF0700001775"/>
        <s v="GF0700000317"/>
        <s v="GF0700000767"/>
        <s v="GF0700001765"/>
        <s v="GF0700001598"/>
        <s v="GF0700001764"/>
        <s v="GF0700001763"/>
        <s v="GF0700001762"/>
        <s v="GF0700001776"/>
        <s v="GF0700001861"/>
        <s v="GF0700000014"/>
        <s v="GF0101010118"/>
        <s v="GF0700000801"/>
        <s v="GF0700001817"/>
        <s v="GF0700001818"/>
        <s v="GF0700001813"/>
        <s v="GF0700001814"/>
        <s v="GF0700001816"/>
        <s v="GF0700001815"/>
        <s v="GF0700001774"/>
        <s v="GF0700001819"/>
        <s v="GF0700001865"/>
        <s v="GF0700001859"/>
        <s v="GF0700000021"/>
        <s v="GF0700000338"/>
        <s v="GF0700001907"/>
        <s v="GF0700001983"/>
        <s v="GF0700001984"/>
        <s v="GF0700001548"/>
        <s v="GF0700001549"/>
        <s v="GF0700002001"/>
        <s v="GF0700002002"/>
        <s v="GF0700000070"/>
        <s v="GF0700002016"/>
        <s v="GF0700002015"/>
        <s v="GF0700002020"/>
        <s v="GF0700002032"/>
        <s v="GF0700001545"/>
        <s v="GF0700002066"/>
        <s v="GF0700001540"/>
        <s v="GF0700001539"/>
        <s v="GF0700002065"/>
        <s v="GF0700000022"/>
        <s v="GF0700001546"/>
        <s v="GF0700002042"/>
        <s v="GF0700001536"/>
        <s v="GF0700001867"/>
        <s v="GF0700002074"/>
        <s v="GF0101010047"/>
        <s v="GF0700001582"/>
        <s v="GF0700001535"/>
        <s v="GF0700002080"/>
        <s v="GF0700002073"/>
        <s v="GF0700002118"/>
        <s v="GF0700002159"/>
        <s v="GF0700002175"/>
        <s v="GF0700002117"/>
        <s v="GF0700001541"/>
        <s v="GF0700002174"/>
        <s v="GF0700002178"/>
        <s v="GF0700002179"/>
        <s v="GF0700002173"/>
        <s v="GF0700002172"/>
        <s v="GF0700001868"/>
        <s v="GF0700002314"/>
        <s v="GF0700002193"/>
        <s v="GF0700002185"/>
        <s v="GF0700002311"/>
        <s v="GF0700002119"/>
        <s v="GF0700002268"/>
        <s v="GF0700001777"/>
        <s v="GF0700002067"/>
        <s v="GF0700002273"/>
        <s v="GF0700002322"/>
        <s v="GF0700002340"/>
        <s v="GF0700001556"/>
        <s v="GF0700000845"/>
        <s v="GF0700001994"/>
        <s v="GF0700002187"/>
        <s v="GF0700002101"/>
        <s v="GF0700002102"/>
        <s v="GF0700002188"/>
        <s v="GF0700002373"/>
        <s v="GF0700002370"/>
        <s v="GF0700002371"/>
        <s v="GF0700002372"/>
        <s v="GF0700002158"/>
        <s v="GF0700002115" u="1"/>
        <s v="GF0700002192" u="1"/>
        <m u="1"/>
        <s v="GF0700001869" u="1"/>
        <s v="GF0700002034" u="1"/>
        <s v="Pending5" u="1"/>
        <s v="GF0700002064" u="1"/>
        <s v="GF0700001534" u="1"/>
        <s v="GF0700001903" u="1"/>
        <s v="Pending6" u="1"/>
        <s v=" GF0700002065" u="1"/>
        <s v="GF0700001561" u="1"/>
        <s v="GF0700001562" u="1"/>
        <s v="pending3" u="1"/>
        <s v="pending4" u="1"/>
        <s v="pending" u="1"/>
        <s v="pending2" u="1"/>
        <s v="pending1" u="1"/>
        <s v="GF0700001785" u="1"/>
        <s v="GF0700001784" u="1"/>
        <s v="GF0700000001" u="1"/>
        <s v="GF0700000002" u="1"/>
        <s v="GF0700000017" u="1"/>
        <s v="GF0700000796" u="1"/>
        <s v="GF0101010101" u="1"/>
        <s v="GF0700000101" u="1"/>
        <s v="GF0700000877" u="1"/>
        <s v="GF0700000018" u="1"/>
        <s v="GF0700000122" u="1"/>
        <s v="GF0700000121" u="1"/>
        <s v="GF0700000098" u="1"/>
        <s v="GF0700000026" u="1"/>
        <s v="GF0700000820" u="1"/>
        <s v="GF0700000819" u="1"/>
        <s v="GF0700001589" u="1"/>
        <s v="GF070000157" u="1"/>
      </sharedItems>
    </cacheField>
    <cacheField name="Model" numFmtId="0">
      <sharedItems/>
    </cacheField>
    <cacheField name="Connector" numFmtId="0">
      <sharedItems/>
    </cacheField>
    <cacheField name="Cable Length" numFmtId="176">
      <sharedItems/>
    </cacheField>
    <cacheField name="WATT" numFmtId="0">
      <sharedItems containsSemiMixedTypes="0" containsString="0" containsNumber="1" containsInteger="1" minValue="440" maxValue="730"/>
    </cacheField>
    <cacheField name="QUANTITY" numFmtId="0">
      <sharedItems containsMixedTypes="1" containsNumber="1" containsInteger="1" minValue="-72" maxValue="131976"/>
    </cacheField>
    <cacheField name="MW" numFmtId="188">
      <sharedItems containsMixedTypes="1" containsNumber="1" minValue="-3.492E-2" maxValue="64.008359999999996"/>
    </cacheField>
    <cacheField name="PALLETS" numFmtId="0">
      <sharedItems containsMixedTypes="1" containsNumber="1" minValue="-2" maxValue="3666"/>
    </cacheField>
    <cacheField name="CONTAINERS" numFmtId="0">
      <sharedItems containsSemiMixedTypes="0" containsString="0" containsNumber="1" minValue="-7.6923076923076927E-2" maxValue="141"/>
    </cacheField>
    <cacheField name="STATUS" numFmtId="0">
      <sharedItems containsBlank="1" count="62">
        <s v="COMPLETED"/>
        <s v="IN-TRANSIT"/>
        <s v="w21 PICK-UP"/>
        <s v="w22 PICK-UP"/>
        <s v="w23 PICK-UP"/>
        <s v="w24 PICK-UP"/>
        <s v="w25 PICK-UP"/>
        <s v="w26 PICK-UP"/>
        <s v="w28 PICK-UP"/>
        <s v="w27 PICK-UP"/>
        <s v="w29 PICK-UP"/>
        <s v="w30 PICK-UP"/>
        <s v="w31 PICK-UP"/>
        <s v="w34 PICK-UP"/>
        <s v="w32 PICK-UP"/>
        <s v="w35 PICK-UP"/>
        <s v="w33 PICK-UP"/>
        <s v="w36 PICK-UP"/>
        <s v="w37 PICK-UP"/>
        <s v="w38 PICK-UP"/>
        <s v="w39 PICK-UP"/>
        <s v="w41 PICK-UP"/>
        <s v="w40 PICK-UP"/>
        <s v="PO FIRM"/>
        <s v="w42 PICK-UP"/>
        <s v="w43 PICK-UP"/>
        <s v="w44 PICK-UP"/>
        <s v="w45 PICK-UP"/>
        <s v="w46 PICK-UP"/>
        <s v="w48 PICK-UP"/>
        <s v="w47 PICK-UP"/>
        <s v="w51 PICK-UP"/>
        <s v="w50 PICK-UP"/>
        <s v="w02 PICK-UP"/>
        <s v="w10 PICK-UP"/>
        <s v="w16 PICK-UP"/>
        <s v="w49 PICK-UP"/>
        <s v="w04 PICK-UP"/>
        <s v="w03 PICK-UP"/>
        <s v="w06 PICK-UP"/>
        <s v="w07 PICK-UP"/>
        <s v="w01 PICK-UP"/>
        <s v="w08 PICK-UP"/>
        <s v="w09 PICK-UP"/>
        <s v="w05 PICK-UP"/>
        <m u="1"/>
        <s v="CRD 10.13" u="1"/>
        <s v="CRD 08.26" u="1"/>
        <s v="w29 PICK-UP-Pending to other shipment" u="1"/>
        <s v="pending" u="1"/>
        <s v="w20 PICK-UP" u="1"/>
        <s v="w17 PICK-UP" u="1"/>
        <s v="w19 PICK-UP" u="1"/>
        <s v="w18 PICK-UP" u="1"/>
        <s v="w14 PICK-UP" u="1"/>
        <s v="w13 PICK-UP" u="1"/>
        <s v="n/a" u="1"/>
        <s v="w12 PICK-UP" u="1"/>
        <s v="w15 PICK-UP" u="1"/>
        <s v="w11 PICK-UP" u="1"/>
        <s v="i" u="1"/>
        <s v="w05PICK-UP" u="1"/>
      </sharedItems>
    </cacheField>
    <cacheField name="COMPLETED or IN-TRANSIT" numFmtId="0">
      <sharedItems containsBlank="1"/>
    </cacheField>
    <cacheField name="ETR" numFmtId="0">
      <sharedItems containsDate="1" containsBlank="1" containsMixedTypes="1" minDate="2026-06-28T00:00:00" maxDate="2026-11-28T00:00:00"/>
    </cacheField>
    <cacheField name="Pick-Up Date" numFmtId="178">
      <sharedItems containsNonDate="0" containsDate="1" containsString="0" containsBlank="1" minDate="2025-12-09T00:00:00" maxDate="2026-11-03T00:00:00"/>
    </cacheField>
    <cacheField name="Pick-Up Week" numFmtId="0">
      <sharedItems containsBlank="1" containsMixedTypes="1" containsNumber="1" containsInteger="1" minValue="1" maxValue="52"/>
    </cacheField>
    <cacheField name="SPTN-PVHK New Ark PO#" numFmtId="0">
      <sharedItems containsBlank="1"/>
    </cacheField>
    <cacheField name="SPTN-HKPV ORacle PO#" numFmtId="0">
      <sharedItems containsBlank="1" containsMixedTypes="1" containsNumber="1" containsInteger="1" minValue="371009290" maxValue="371009344"/>
    </cacheField>
    <cacheField name="PORT OF LOADING" numFmtId="0">
      <sharedItems/>
    </cacheField>
    <cacheField name="POL" numFmtId="0">
      <sharedItems containsBlank="1" count="7">
        <s v="Tianjin"/>
        <s v="Shanghai"/>
        <s v="Shenzhen"/>
        <s v="NINGBO"/>
        <m u="1"/>
        <s v="QuZhou" u="1"/>
        <s v="n/a" u="1"/>
      </sharedItems>
    </cacheField>
    <cacheField name="PORT DESTINATION" numFmtId="0">
      <sharedItems containsBlank="1" count="39">
        <s v="FOS SUR MER"/>
        <s v="ROTTERDAM"/>
        <s v="VALENCIA"/>
        <s v="KLAIPEDA"/>
        <s v="GENOA"/>
        <s v="LE HAVRE"/>
        <s v="FELIXSTOWE"/>
        <s v="AARHUS"/>
        <s v="CORK"/>
        <s v="GDANSK"/>
        <s v="MANILA NORTH"/>
        <s v="KARACHI"/>
        <s v="ANTWERP"/>
        <s v="Douala"/>
        <s v="NAPLES"/>
        <s v="ROTTERDAM-CORK"/>
        <s v="GRANGEMOUTH"/>
        <s v="LAEM CHABANG"/>
        <s v="DAR ES SALAAM"/>
        <s v="Durres"/>
        <s v="Pointe des Galets"/>
        <s v="LIMASSOL"/>
        <s v="Thessaloniki"/>
        <s v="n/a"/>
        <s v="DAVAO"/>
        <s v="Yangon"/>
        <m/>
        <s v="PIRAEUS-Thessaloniki" u="1"/>
        <s v="Manila" u="1"/>
        <s v="FOS SUR MER " u="1"/>
        <s v="n/q" u="1"/>
        <s v="KLAPEIDA" u="1"/>
        <s v="FOS SUR MER -&gt; LE HAVRE" u="1"/>
        <s v="GENOVA" u="1"/>
        <s v="ANVERS" u="1"/>
        <s v="GRANGEMOUTH TBC" u="1"/>
        <s v="reallocated" u="1"/>
        <s v="RIJEKA" u="1"/>
        <s v="VALENCIA -&gt; ROTTERDAM" u="1"/>
      </sharedItems>
    </cacheField>
    <cacheField name="ETD On S/O_x000a_" numFmtId="178">
      <sharedItems containsNonDate="0" containsDate="1" containsString="0" containsBlank="1" minDate="2025-01-25T00:00:00" maxDate="2026-11-20T00:00:00"/>
    </cacheField>
    <cacheField name="ETD Update" numFmtId="178">
      <sharedItems containsDate="1" containsBlank="1" containsMixedTypes="1" minDate="2025-12-18T00:00:00" maxDate="2026-11-19T15:00:00"/>
    </cacheField>
    <cacheField name="ATD PORT" numFmtId="0">
      <sharedItems containsDate="1" containsBlank="1" containsMixedTypes="1" minDate="2025-12-21T00:00:00" maxDate="2026-10-29T14:31:23"/>
    </cacheField>
    <cacheField name="ETA On S/O" numFmtId="178">
      <sharedItems containsNonDate="0" containsDate="1" containsString="0" containsBlank="1" minDate="2026-01-01T00:00:00" maxDate="2027-01-26T00:00:00"/>
    </cacheField>
    <cacheField name="ETA Update" numFmtId="178">
      <sharedItems containsDate="1" containsBlank="1" containsMixedTypes="1" minDate="1899-12-30T00:00:00" maxDate="2027-01-18T19:00:00"/>
    </cacheField>
    <cacheField name="ATA PORT" numFmtId="178">
      <sharedItems containsDate="1" containsBlank="1" containsMixedTypes="1" minDate="2026-02-22T00:00:00" maxDate="2026-10-30T00:00:00"/>
    </cacheField>
    <cacheField name="Incoterm" numFmtId="0">
      <sharedItems containsBlank="1"/>
    </cacheField>
    <cacheField name="REFERENCE_x000a_V.V   " numFmtId="0">
      <sharedItems containsBlank="1"/>
    </cacheField>
    <cacheField name="Carrier" numFmtId="0">
      <sharedItems containsBlank="1"/>
    </cacheField>
    <cacheField name="TCL Invoice#_x000a_or PO#" numFmtId="0">
      <sharedItems containsBlank="1" containsMixedTypes="1" containsNumber="1" containsInteger="1" minValue="46011026" maxValue="46011026"/>
    </cacheField>
    <cacheField name="MBL/HBL#" numFmtId="0">
      <sharedItems containsBlank="1" containsMixedTypes="1" containsNumber="1" containsInteger="1" minValue="263794612" maxValue="1071458212" count="829">
        <s v="COSU6437850520"/>
        <s v="COSU6437850970"/>
        <s v="COSU6438488340"/>
        <s v="COSU6438902550"/>
        <s v="COSU6438512470"/>
        <s v="COSU9505137680"/>
        <n v="1071458212"/>
        <s v="COSU6438568500"/>
        <s v="COSU6439187330"/>
        <s v="COSU6439185140"/>
        <s v="COSU6440016030"/>
        <s v="COSU9505242760"/>
        <s v="COSU6439291780"/>
        <s v="COSU6440379730"/>
        <s v="CHN2962495"/>
        <s v="COSU6440380050"/>
        <s v="COSU6440380240"/>
        <s v="COSU6440381610"/>
        <s v="COSU6440381320"/>
        <s v="COSU6440242670"/>
        <s v="COSU6440242960"/>
        <s v="COSU6441128810"/>
        <s v="COSU6441114300"/>
        <s v="COSU6440662920"/>
        <s v="COSU6440518510"/>
        <s v="COSU6440518511"/>
        <s v="COSU6440775660"/>
        <s v="COSU6440772870"/>
        <s v="TJN0838410"/>
        <s v="COSU6441103270"/>
        <s v="TJN0838400"/>
        <s v="COSU6440567860"/>
        <s v="CHN2966579"/>
        <s v="COSU6441393600"/>
        <s v="COSU6441367620"/>
        <s v="COSU6441367700"/>
        <n v="263794612"/>
        <s v="COSU6441765780"/>
        <s v="COSU6441963530"/>
        <s v="COSU6441563290"/>
        <s v="TJN0838416"/>
        <s v="CHN3007423"/>
        <s v="COSU6442049520"/>
        <s v="COSU6441764750"/>
        <s v="COSU6442048090"/>
        <s v="COSU6442107220"/>
        <s v="COSU6441766300"/>
        <s v="COSU6442108070"/>
        <s v="COSU6442054300"/>
        <s v="COSU6442107610"/>
        <s v="COSU6442105900"/>
        <s v="COSU6441765320"/>
        <s v="MEDUWK500504"/>
        <s v="CHN2988980"/>
        <s v="TJN0856710"/>
        <s v="COSU6442391530"/>
        <s v="COSU6442058120"/>
        <s v="COSU6442057020"/>
        <s v="PLISZ4H01365"/>
        <s v="PLISZ4H00971"/>
        <s v="PLISZ4H01238"/>
        <s v="SWA0447107"/>
        <s v="SWA0447405"/>
        <s v="CHN2978425"/>
        <s v="COSU6442664490"/>
        <s v="COSU6442953180"/>
        <s v="COSU6442953730"/>
        <s v="COSU6442664460"/>
        <s v="COSU6442664420"/>
        <s v="EGLV149600468534"/>
        <s v="EGLV149600418545"/>
        <n v="265292580"/>
        <s v="SZX26SE00774"/>
        <s v="COSU6443086300"/>
        <s v="TJN0840641"/>
        <s v="COSU9505858250"/>
        <s v="COSU9505858400"/>
        <s v="CHN3006464"/>
        <s v="COSU6443994070"/>
        <s v="COSU6443749570"/>
        <s v="COSU6443750670"/>
        <s v="COSU6443746260"/>
        <s v="COSU6443747770"/>
        <s v="COSU6443888900"/>
        <s v="COSU6443899580"/>
        <s v="COSU6443922160"/>
        <s v="COSU6444277710"/>
        <s v="COSU6443926610"/>
        <s v="COSU6443926060"/>
        <s v="COSU6444155210"/>
        <s v="COSU6444212370"/>
        <s v="COSU6444371800"/>
        <s v="CHN3021623"/>
        <s v="COSU6444093650"/>
        <s v="COSU6444958200"/>
        <s v="COSU6444097600"/>
        <s v="COSU6444702840"/>
        <s v="COSU6444475510"/>
        <s v="COSU6445218339"/>
        <s v="COSU6445218330"/>
        <s v="COSU9506203580"/>
        <s v="CHN3074290"/>
        <s v="COSU6445391520"/>
        <s v="COSU6445811510"/>
        <s v="COSU6445811650"/>
        <s v="COSU6446042230"/>
        <s v="COSU6446161190"/>
        <s v="COSU9506315950"/>
        <s v="COSU6447108050"/>
        <s v="COSU6447019100"/>
        <s v="HDMUSHAA69518500"/>
        <s v="NBWK26010135"/>
        <s v="NBWK26020004"/>
        <s v="LK26010077"/>
        <s v="COSU6442338460"/>
        <s v="COSU6442390740"/>
        <s v="COSU6442390910"/>
        <s v="COSU6443960390"/>
        <s v="COSU6443811150"/>
        <s v="COSU6444157800"/>
        <s v="COSU6444555610"/>
        <s v="COSU6444078900"/>
        <s v="COSU6445099250"/>
        <s v="COSU6444095330"/>
        <s v="COSU6444094880"/>
        <s v="COSU9506096720"/>
        <s v="TJN0879793"/>
        <s v="COSU6444860880"/>
        <s v="COSU6444860090"/>
        <s v="COSU6444956820"/>
        <s v="COSU6444861300"/>
        <s v="COSU6444958730"/>
        <s v="COSU9506179630"/>
        <s v="COSU9506179631"/>
        <s v="COSU9506179610"/>
        <s v="COSU9506164090"/>
        <s v="COSU9506164091"/>
        <s v="TJN0886761"/>
        <s v="TJN0886296"/>
        <s v="COSU6445336810"/>
        <s v="COSU6445390870"/>
        <s v="COSU6445391090"/>
        <s v="COSU6445452890"/>
        <s v="COSU6445392050"/>
        <s v="177KFAFAXVNN1026"/>
        <s v="COSU9506234760"/>
        <s v="COSU9506234762"/>
        <s v="COSU9506234763"/>
        <s v="COSU9506234761"/>
        <s v="COSU6445806650"/>
        <s v="COSU6445391320"/>
        <s v="COSU6445391920"/>
        <s v="COSU6445811260"/>
        <s v="COSU9506199070"/>
        <s v="COSU6446056750"/>
        <s v="COSU6446056560"/>
        <s v="COSU6445452680"/>
        <s v="MEDUWQ394563"/>
        <s v="COSU9506225920"/>
        <s v="COSU9506226460"/>
        <s v="COSU9506226470"/>
        <s v="COSU9506234631"/>
        <s v="COSU9506234630"/>
        <n v="273285388"/>
        <s v="COSU9506227090"/>
        <s v="AGSHA552582"/>
        <s v="AGSHA552583"/>
        <s v="AGSHA552584"/>
        <s v="AGSHA552585"/>
        <s v="CHN3099432"/>
        <s v="COSU6446064200"/>
        <s v="COSU6446064201"/>
        <s v="COSU6446042590"/>
        <s v="COSU6446572620"/>
        <s v="COSU6446064440"/>
        <s v="COSU6446417610"/>
        <s v="COSU6446418070"/>
        <s v="COSU6446418590"/>
        <s v="COSU6446495320"/>
        <s v="COSU6446043580"/>
        <s v="SYNSHA26SE030948"/>
        <s v="177SNPNPN73365A"/>
        <s v="SYNSHA26SE031288A"/>
        <s v="SYNSHA26SE031408A"/>
        <s v="COSU6446057490"/>
        <s v="COSU6446229300"/>
        <s v="SYNSHA26SE030947"/>
        <s v="SYNSHA26SE030949"/>
        <n v="267391376"/>
        <s v="SYNSHA26SE030978A "/>
        <s v="SYNSHA26SE030979B"/>
        <s v="SYNSHA26SE030979A"/>
        <s v="COSU9506396230"/>
        <s v="TJN0899994"/>
        <s v="COSU9506316140"/>
        <s v="SYNSHA26SE030850"/>
        <s v="COSU6446423340"/>
        <s v="COSU6446422020"/>
        <s v="COSU6447103190"/>
        <s v="COSU6446419340"/>
        <s v="SYNSHA26SE031949A"/>
        <s v="SYNSHA26SE031933A"/>
        <s v="SYNSHA26SE031942A"/>
        <s v="COSU6446422350"/>
        <s v="COSU6446691020"/>
        <s v="COSU6447102840"/>
        <s v="COSU6447103060"/>
        <s v="COSU6448400120"/>
        <s v="COSU6448129810"/>
        <s v="COSU6447521940"/>
        <s v="COSU6447995030"/>
        <s v="COSU6446861450"/>
        <s v="COSU6447192730"/>
        <s v="N232603711A"/>
        <s v="SYNSHA26SE030905C"/>
        <s v="SYNSHA26SE030905B"/>
        <n v="285716532"/>
        <s v="HDMUSHAZKML62800"/>
        <s v="N232603711D "/>
        <s v="177KVBXYXVNN1283"/>
        <s v="COSU6447158640"/>
        <s v="COSU9506490230"/>
        <s v="COSU9506490200"/>
        <s v="COSU6447995860"/>
        <s v="COSU6448253240"/>
        <s v="COSU6447635631"/>
        <s v="COSU6447635630"/>
        <s v="COSU9506502990"/>
        <n v="267445298"/>
        <s v="COSU6447789170"/>
        <s v="COSU6447792021"/>
        <s v="COSU6447792020"/>
        <s v="COSU6447793110"/>
        <s v="267777421"/>
        <s v="COSU9506569240"/>
        <s v="COSU6448848280"/>
        <s v="COSU6448849620"/>
        <s v="COSU6448849380"/>
        <s v="COSU6448848980"/>
        <s v="COSU6448848660"/>
        <s v="COSU6448849830"/>
        <s v="COSU6448850610"/>
        <s v="COSU6448850290"/>
        <s v="COSU6448851110"/>
        <s v="COSU6449453200"/>
        <s v="COSU9506626340"/>
        <s v="COSU9506626360"/>
        <s v="COSU6448648040"/>
        <s v="SYNSHA26SE041085D"/>
        <s v="SYNSHA26SE041085A"/>
        <s v="SYNSHA26SE041207A"/>
        <s v="SYNSHA26SE041261A"/>
        <s v="COSU6449726380"/>
        <s v="COSU6449724180"/>
        <s v="COSU6449724960 "/>
        <s v="COSU6449723690"/>
        <s v="COSU6449725540"/>
        <s v="COSU6449762550"/>
        <s v="COSU6449758260"/>
        <s v="COSU6449758960"/>
        <s v="COSU9506746670"/>
        <s v="COSU6449619540"/>
        <s v="TJN0925265"/>
        <s v="SYNSHA26SE041685"/>
        <s v="COSU6450390090"/>
        <s v="SYNSHA26SE041603B"/>
        <s v="SYNSHA26SE041603A"/>
        <s v="COSU6450392670"/>
        <s v="COSU6450114670"/>
        <s v="COSU6450390480"/>
        <s v="SYNSHA26SE041684"/>
        <s v="COSU6449793280"/>
        <s v="COSU9506800640"/>
        <s v="COSU6449882020"/>
        <s v="COSU6450707610"/>
        <s v="COSU6451575620"/>
        <s v="COSU6451231180"/>
        <s v="COSU6450703930"/>
        <s v="COSU6450706480"/>
        <s v="COSU6451090390"/>
        <s v="COSU6451089790"/>
        <s v="COSU9506918160"/>
        <s v="TSNE78647800"/>
        <s v="SYNSHA26SE041528"/>
        <s v="YMJAN237079554"/>
        <s v="SYNSHA26SE042025"/>
        <s v="TSNE60118800"/>
        <s v="COSU9506929530"/>
        <s v="YMJAN235183753 "/>
        <s v="YMJAN235185353"/>
        <s v="YMJAN235183752"/>
        <s v="SYNSHA26SE050406"/>
        <s v="SYNSHA26SE050783A"/>
        <s v="CHN3323507"/>
        <s v="ONEYSHAGC9297600"/>
        <s v="ONEYSHAGD7113600"/>
        <m/>
        <s v="COSU6451369150"/>
        <s v="COSU6451366460"/>
        <s v="COSU6451880280"/>
        <s v="COSU6451371990"/>
        <s v="COSU9507036360"/>
        <s v="COSU9507037880"/>
        <s v="COSU9507017710"/>
        <s v="COSU9507017711"/>
        <s v="COSU9507036320"/>
        <s v="SYNSHA26SE050472"/>
        <s v="SYNSHA26SE050463"/>
        <s v="SYNSHA26SE050920A"/>
        <s v="HDMUSHAZ9TA99500"/>
        <s v="COSU6452080850"/>
        <s v="SYNSHA26SE051589A"/>
        <s v="COSU6452081790"/>
        <s v="COSU6452282800"/>
        <s v="COSU6452259000"/>
        <s v="COSU9507118140"/>
        <s v="COSU9507123270"/>
        <s v="COSU9507123300"/>
        <s v="COSU9507124020"/>
        <s v="COSU9507124040"/>
        <s v="SYNSHA26SE051482"/>
        <s v="SYNSHA26SE051485A"/>
        <s v="COSU6500579050"/>
        <s v="COSU6500580760"/>
        <s v="COSU6452554090"/>
        <s v="COSU6452556510"/>
        <s v="COSU6500776920"/>
        <s v="COSU6452564640"/>
        <s v="COSU6452565360"/>
        <s v="COSU6452560540"/>
        <s v="COSU6452561470"/>
        <s v="COSU6500305100"/>
        <s v="COSU6500301740"/>
        <s v="COSU6500419700"/>
        <s v="COSU6500506790"/>
        <s v="COSU9507226040"/>
        <s v="COSU9507244150"/>
        <s v="COSU9507244520"/>
        <s v="COSU6500591410"/>
        <s v="SYNSHA26SE051897A"/>
        <s v="COSU6500936270"/>
        <s v="COSU6500933440"/>
        <s v="COSU6500933990"/>
        <s v="COSU6500935690"/>
        <s v="COSU6500934940"/>
        <s v="COSU6501272360"/>
        <s v="COSU6501271780"/>
        <s v="COSU6500939350"/>
        <s v="COSU6500939570"/>
        <s v="COSU6500952590"/>
        <s v="COSU6500952590=&gt; COSU6500952591"/>
        <s v="COSU6500853600"/>
        <s v="COSU6500844150"/>
        <s v="COSU6501834110"/>
        <s v="SYNSHA26SE051548A"/>
        <s v="COSU9507394940"/>
        <s v="COSU9507394750"/>
        <s v="COSU6501671340"/>
        <s v="COSU9507395030"/>
        <s v="COSU6501611330"/>
        <s v="COSU6501612640"/>
        <s v="COSU6501606860"/>
        <s v="COSU6501614610"/>
        <s v="COSU6501935710"/>
        <s v="COSU6501936780"/>
        <s v="COSU6502257250"/>
        <s v="COSU6501615690"/>
        <s v="TJN0963377"/>
        <s v="COSU9507498230"/>
        <s v="COSU9507497710"/>
        <s v="COSU9507509280"/>
        <s v="COSU6502492780"/>
        <s v="TJN0953002"/>
        <s v="I237112512"/>
        <s v="COSU6502493430"/>
        <s v="COSU6503351170"/>
        <s v="COSU6502941500"/>
        <s v="COSU6503034790"/>
        <s v="COSU6502940030"/>
        <s v="COSU6502586240"/>
        <s v="COSU6502958530"/>
        <s v="COSU6502959080"/>
        <s v="COSU6502940840"/>
        <s v="COSU6502627700"/>
        <s v="SYNSHA26SE061457A"/>
        <s v="SYNSHA26SE061049B"/>
        <s v="TJN0958275"/>
        <s v="TJN0963177"/>
        <s v="SYNSHA26SE061049A"/>
        <s v="COSU9507638470"/>
        <s v="COSU9507649120"/>
        <s v="TJN0963380"/>
        <s v="COSU9507636070"/>
        <s v="COSU9507639060"/>
        <s v="COSU9507639000"/>
        <s v="COSU9507638950"/>
        <s v="COSU6503989170"/>
        <s v="COSU6503863610"/>
        <s v="COSU6503246610"/>
        <s v="COSU6503114070"/>
        <s v="COSU6503119910"/>
        <s v="COSU6503991880"/>
        <s v="EGLV149604457902"/>
        <s v="COSU6503364860"/>
        <s v="COSU6503364860 =&gt;COSU6503364861"/>
        <s v="COSU6503741610"/>
        <s v="COSU6503527860"/>
        <s v="COSU6503527861"/>
        <s v="COSU9507807450"/>
        <s v="COSU9507807520"/>
        <s v="COSU6503809510"/>
        <s v="COSU6504041890"/>
        <s v="COSU6504191030"/>
        <s v="COSU6504047380"/>
        <s v="COSU9507807610"/>
        <s v="COSU9507770280"/>
        <n v="269217776"/>
        <n v="271866464"/>
        <s v="EGLV149604804547"/>
        <s v="COSU6504473320"/>
        <s v="COSU6504129580"/>
        <s v="COSU6503985850"/>
        <s v="COSU6503980090"/>
        <s v="COSU6504140950"/>
        <s v="COSU6504372270"/>
        <s v="COSU6504374270"/>
        <s v="COSU6505411160"/>
        <s v="COSU6504378210"/>
        <s v="COSU6504138100"/>
        <s v="COSU9507886950"/>
        <s v="COSU9507829660"/>
        <s v="COSU9507886600"/>
        <s v="COSU9507886780"/>
        <s v="COSU6504801500"/>
        <s v="COSU9507886860"/>
        <s v="SYNSHA26SE062853"/>
        <s v="SYNSHA26SE062856"/>
        <s v="COSU6505324630"/>
        <s v="COSU6503833660"/>
        <s v="COSU6505377920"/>
        <s v="COSU6505017200"/>
        <s v="COSU6504983950"/>
        <s v="COSU6505404590"/>
        <s v="COSU6504989080"/>
        <s v="COSU6505067030"/>
        <s v="COSU6505066450"/>
        <s v="COSU6505066890"/>
        <s v="COSU6504142070"/>
        <s v="COSU6504385010"/>
        <s v="COSU6505756530"/>
        <s v="COSU6505906290"/>
        <s v="COSU9507951690"/>
        <s v="COSU9507977520"/>
        <s v="COSU6505349280"/>
        <n v="272152398"/>
        <s v="COSU6505925840"/>
        <s v="COSU6505587010"/>
        <s v="COSU6505608500"/>
        <s v="COSU6505588390"/>
        <s v="COSU6505914680"/>
        <s v="COSU6505913620"/>
        <s v="COSU6507195960"/>
        <s v="COSU6505912480"/>
        <s v="COSU6505915770"/>
        <s v="COSU9508140760"/>
        <s v="COSU9508147070"/>
        <s v="COSU9508147071"/>
        <s v="COSU9508147081"/>
        <s v="COSU9508147080"/>
        <s v="COSU6506450380"/>
        <s v="COSU6507018050"/>
        <s v="COSU6507790480"/>
        <s v="COSU6507666250"/>
        <s v="COSU6508738520"/>
        <s v="COSU6506729920"/>
        <s v="COSU6506730240"/>
        <s v="SYNSHA26SE072092"/>
        <s v="SYNSHA26SE072067"/>
        <s v="COSU6506929700"/>
        <s v="COSU6506899540"/>
        <s v="COSU6506928990"/>
        <s v="COSU6506932230"/>
        <s v="COSU6506596440"/>
        <s v="COSU9508260330"/>
        <s v="COSU9508260600"/>
        <s v="COSU9508255560"/>
        <s v="COSU9508259840"/>
        <s v="COSU6507754600"/>
        <s v="COSU6507727180"/>
        <s v="COSU6507885650"/>
        <s v="COSU6507266890"/>
        <s v="COSU6507883400"/>
        <s v="COSU6508803190"/>
        <s v="COSU6507751580"/>
        <s v="COSU6507752990"/>
        <s v="COSU6507753540"/>
        <s v="COSU9508345820"/>
        <s v="COSU9508345960"/>
        <s v="COSU9508353580"/>
        <s v="COSU9508346010"/>
        <s v="COSU6507915250"/>
        <s v="EGLV149605819327"/>
        <s v="COSU6508479150"/>
        <s v="COSU6508016810"/>
        <s v="COSU9508462360"/>
        <s v="COSU9508463160"/>
        <s v="COSU9508462510"/>
        <s v="COSU9508444890"/>
        <s v="COSU9508457230"/>
        <s v="COSU9508475300"/>
        <s v="COSU6508263600"/>
        <s v="COSU9508539600"/>
        <s v="COSU6507918470"/>
        <s v="COSU9508471420"/>
        <s v="COSU6508644310"/>
        <s v="COSU6508646060"/>
        <s v="SEAE26070202"/>
        <s v="SEAE26070203"/>
        <s v="COSU6508616170"/>
        <s v="COSU6508644840"/>
        <s v="COSU6508644841"/>
        <s v="COSU6508515860"/>
        <s v="COSU6509178440"/>
        <s v="COSU6509176590"/>
        <s v="COSU6508944020"/>
        <s v="COSU6508516880"/>
        <s v="SYNSHA26SE080704"/>
        <s v="COSU9508541790"/>
        <s v="COSU6509574920"/>
        <s v="COSU9508762540"/>
        <s v="NGP4050971"/>
        <s v="M235130273"/>
        <s v="SYNSHA26SE080383"/>
        <s v="COSU6508495770"/>
        <s v="COSU6508664430"/>
        <s v="COSU9508614640"/>
        <s v="COSU9508583080"/>
        <s v="COSU9508583110"/>
        <s v="COSU6508687400"/>
        <s v="COSU9508582980"/>
        <s v="SEAE26080094"/>
        <s v="COSU6509534810"/>
        <s v="COSU6462068440"/>
        <s v="COSU6462001750"/>
        <s v="COSU6509599960"/>
        <s v="COSU6509605690"/>
        <s v="COSU6509601100"/>
        <s v="EGLV149607977931"/>
        <s v="EGLV149606435972"/>
        <s v="EGLV149607068982"/>
        <s v="EGLV149606773932"/>
        <s v="EGLV149606436090"/>
        <s v="COSU6509607500"/>
        <s v="COSU6509607090"/>
        <s v="COSU6509607950"/>
        <n v="274946111"/>
        <n v="274945948"/>
        <s v="COSU9508771470"/>
        <s v="COSU9508769100"/>
        <s v="COSU9508771330"/>
        <s v="COSU9508803730"/>
        <s v="COSU9508876530"/>
        <s v="COSU6461689400"/>
        <s v="COSU9508762190"/>
        <s v="COSU9508766060"/>
        <s v="COSU9508766070"/>
        <s v="COSU9508804610"/>
        <s v="COSU6463190631"/>
        <s v="COSU6463190630"/>
        <s v="COSU6461909030"/>
        <s v="COSU6461896790"/>
        <s v="COSU6461897910"/>
        <s v="COSU6461909570"/>
        <s v="EGLV149606936262"/>
        <s v="COSU6462349090"/>
        <s v="COSU6462350050"/>
        <s v="COSU6462350050-&gt;COSU6462350051"/>
        <s v="COSU6461814320"/>
        <s v="COSU6461816750"/>
        <n v="275125721"/>
        <n v="274886721"/>
        <n v="275075026"/>
        <s v="COSU6461817600"/>
        <s v="COSU6461905820"/>
        <s v="ONEYSH6ACAA72300"/>
        <s v="ONEYSH6ACAA71900"/>
        <s v="COSU9508902260"/>
        <s v="COSU9508904380"/>
        <s v="COSU9508762590"/>
        <s v="SYNSHA26SE081942"/>
        <s v="COSU9508944650"/>
        <s v="COSU9508943650"/>
        <s v="COSU9508943400"/>
        <s v="COSU9508944110"/>
        <s v="COSU6462455040"/>
        <s v="COSU6463115620"/>
        <s v="COSU6463847410"/>
        <s v="COSU6463255210"/>
        <s v="COSU6462717070"/>
        <s v="COSU6462717071"/>
        <s v="PLISH7H42464"/>
        <s v="CHN3801647"/>
        <s v="CHN3801256"/>
        <s v="COSU6463259170"/>
        <s v="COSU9508974980"/>
        <n v="274975766"/>
        <s v="COSU6463257360"/>
        <s v="COSU6462720700"/>
        <n v="274975950"/>
        <n v="275569028"/>
        <s v="COSU9509275040"/>
        <s v="COSU9509346010"/>
        <s v="COSU9509265660"/>
        <s v="COSU9509015500"/>
        <s v="COSU9508973640"/>
        <s v="COSU9508973860"/>
        <s v="COSU9509256390"/>
        <s v="COSU9509256030"/>
        <s v="COSU9508982210"/>
        <s v="COSU9508974810"/>
        <s v="COSU9508974740"/>
        <s v="COSU9509255460"/>
        <s v="COSU9509127610"/>
        <s v="TS6NDD969400"/>
        <s v=" TSNE54420600"/>
        <s v="COSU9509124230"/>
        <s v="COSU9509124140"/>
        <s v="177KVBTTXVNN3512"/>
        <s v="TJN0672301"/>
        <s v="177KVBTTXVNN3407"/>
        <s v="COSU6462929130"/>
        <s v="COSU6464353550"/>
        <s v="COSU6463656670"/>
        <s v="COSU6463840480"/>
        <s v="COSU6463840481"/>
        <s v="COSU6463656150"/>
        <s v="EGLV149607263083"/>
        <s v="CHN3830817"/>
        <s v="CHN3830802"/>
        <s v="CHN3830701A"/>
        <s v="CHN3830701B"/>
        <s v="EGLV149606777784"/>
        <s v="EGLV149608002216"/>
        <s v="EGLV149608002437"/>
        <s v="COSU6464798030"/>
        <s v="COSU6464354100"/>
        <s v="COSU6463662040"/>
        <n v="275745289"/>
        <s v="COSU6464243200"/>
        <s v="COSU6463660760"/>
        <s v="COSU9509312590"/>
        <s v="COSU9509256240"/>
        <s v="COSU9509255750"/>
        <s v="N232636432"/>
        <s v="COSU9509265340"/>
        <s v="COSU9509256340"/>
        <s v="COSU9509275330"/>
        <s v="COSU9509296080"/>
        <s v="COSU9509296500"/>
        <s v="COSU9509296870"/>
        <s v="177KVBTTXVNN3613"/>
        <s v="CHN3880669"/>
        <s v="COSU6464780390"/>
        <s v="COSU6464774420"/>
        <s v="COSU6464775680"/>
        <s v="COSU6464778420"/>
        <s v="COSU6464781690"/>
        <s v="COSU6464783150"/>
        <s v="COSU6464784160"/>
        <s v="COSU6465498240"/>
        <n v="276098842"/>
        <s v="EGLV149607783982"/>
        <s v="COSU9509736950"/>
        <s v="COSU9509736980"/>
        <s v="COSU9509739210"/>
        <s v="COSU9509606910"/>
        <s v="COSU9509606920"/>
        <s v="COSU9509650560"/>
        <s v="COSU9509488350"/>
        <s v="COSU9509531260"/>
        <s v="COSU9509531180"/>
        <s v="COSU6464983000"/>
        <s v="COSU9509511700"/>
        <s v="SYNSHA26SE090924"/>
        <s v="COSU6465715640"/>
        <s v="CHN3908478"/>
        <s v="CHN3908524"/>
        <s v="COSU6465717250"/>
        <s v="COSU6466066070"/>
        <s v="COSU6466067620"/>
        <s v="EGLV149607770881"/>
        <s v="COSU6465719640"/>
        <s v="EGLV149608078905"/>
        <s v="COSU9509811770"/>
        <s v="COSU9509811250"/>
        <s v="COSU9509912990"/>
        <s v="COSU9509601430"/>
        <s v="COSU9509601740"/>
        <s v="ONEYTSNG80406501"/>
        <s v="ONEYTSNG80406500"/>
        <s v="COSU6466858750"/>
        <s v="COSU6467013360"/>
        <s v="COSU6466678170"/>
        <s v="COSU6466631520"/>
        <s v="COSU6467015120"/>
        <s v="COSU6467017560"/>
        <s v="COSU6467016280"/>
        <s v="COSU6467090510"/>
        <n v="276628939"/>
        <n v="276629180"/>
        <s v="COSU9510012530"/>
        <s v="COSU6467892390"/>
        <s v="COSU9510035910"/>
        <s v="COSU9509786940"/>
        <s v="COSU9509787370"/>
        <s v="SYNSHA26SE090890"/>
        <s v="SKDFS2609166"/>
        <s v="EGLV149608289604"/>
        <s v="EGLV149608748919"/>
        <s v="COSU6467917120"/>
        <s v="COSU6467917960"/>
        <s v="COSU6467919240"/>
        <s v="COSU6467919750"/>
        <s v="COSU6467920310"/>
        <s v="EGLV149608598577"/>
        <s v="COSU6468132880"/>
        <s v="COSU6467810590"/>
        <s v="COSU6468136360"/>
        <s v="COSU6468139070"/>
        <s v="COSU6468138550"/>
        <s v="COSU9510101310"/>
        <s v="COSU9510260410"/>
        <s v="COSU9510260340"/>
        <s v="COSU9510100890"/>
        <s v="COSU9509997120"/>
        <s v="COSU6467723460"/>
        <s v="COSU6467808410"/>
        <s v="COSU6468384010"/>
        <s v="EGLV149608894273"/>
        <s v="COSU6468580080"/>
        <s v="COSU6468731340"/>
        <s v="PLISH7H48052"/>
        <s v="COSU9510012710"/>
        <s v="COSU9510036320"/>
        <s v="COSU9510251200"/>
        <s v="COSU9510030740"/>
        <s v="COSU9510092930"/>
        <s v="COSU6468723370"/>
        <s v="COSU9510092840"/>
        <s v="COSU9510036150"/>
        <s v="COSU9510036540"/>
        <s v="COSU9510170300"/>
        <s v="COSU6469843890"/>
        <s v="COSU6469843490"/>
        <s v="COSU6469220480"/>
        <s v="COSU6469326980"/>
        <s v="COSU6469320380"/>
        <s v="COSU6469326430"/>
        <s v="COSU6469323740"/>
        <s v="COSU9510425590"/>
        <s v="COSU9510418660"/>
        <s v="COSU9510418590"/>
        <s v="COSU9510309650"/>
        <s v="COSU9510182110"/>
        <s v="COSU6469165090"/>
        <s v="COSU9510309930"/>
        <n v="802581991"/>
        <s v="COSU6471689660"/>
        <s v="COSU6469938750"/>
        <s v="COSU6469939280"/>
        <s v="COSU6469939670"/>
        <s v="COSU6471068810"/>
        <s v="COSU6471745060"/>
        <s v="COSU6469942450"/>
        <s v="COSU6471104190"/>
        <s v="COSU6469945290"/>
        <s v="COSU6471467130"/>
        <s v="COSU9510624350"/>
        <s v="COSU9510603740"/>
        <s v="COSU9510603630"/>
        <s v="COSU6471360750"/>
        <s v="COSU6471722100"/>
        <s v="COSU6471468090"/>
        <s v="COSU6471748750"/>
        <s v="COSU6471453340"/>
        <s v="COSU6471482080"/>
        <s v="COSU6471464390"/>
        <s v="COSU6471462660"/>
        <s v="COSU6471317230"/>
        <s v="COSU9510687380"/>
        <s v="COSU6471721900"/>
        <s v="COSU9510879120"/>
        <s v="COSU9510535260"/>
        <s v="COSU9510691300"/>
        <s v="COSU9510691550"/>
        <s v="COSU9510687860"/>
        <s v="COSU9510581810"/>
        <s v="COSU9510536230"/>
        <s v="COSU9510705970"/>
        <s v="COSU6471146490"/>
        <s v="COSU6472442130"/>
        <s v="COSU6472653120"/>
        <s v="COSU6472442640"/>
        <s v="COSU6472581740"/>
        <s v="COSU6472366380"/>
        <s v="COSU6472364000"/>
        <s v="COSU6472819950"/>
        <s v="COSU6472656830"/>
        <s v="COSU9510883610"/>
        <s v="TJN1046105"/>
        <s v="COSU6472933500"/>
        <s v="COSU6472924100"/>
        <s v="COSU6472926790"/>
        <s v="COSU6473400420"/>
        <s v="COSU6473398530"/>
        <s v="COSU9510952270"/>
        <s v="COSU9510905140"/>
        <s v="COSU9510905200"/>
        <s v="COSU9510905360"/>
        <s v="COSU9510974430"/>
        <s v="COSU9510976910"/>
        <s v="COSU9510977010"/>
        <s v="COSU9510940990"/>
        <s v="EGLV149610205022"/>
        <s v="CHN3654856"/>
        <s v="CHN3654806"/>
        <n v="275734828"/>
        <s v="EGLV149610205048"/>
        <s v="COSU9510940900"/>
      </sharedItems>
    </cacheField>
    <cacheField name="BOOKING#" numFmtId="0">
      <sharedItems containsBlank="1" containsMixedTypes="1" containsNumber="1" containsInteger="1" minValue="263794612" maxValue="802581991"/>
    </cacheField>
    <cacheField name="Leg2 leadtime On S/O" numFmtId="0">
      <sharedItems containsString="0" containsBlank="1" containsNumber="1" minValue="-46312.952164351853" maxValue="99.057442129625997"/>
    </cacheField>
    <cacheField name="Telex released " numFmtId="0">
      <sharedItems containsBlank="1"/>
    </cacheField>
    <cacheField name="ODP ETA Port" numFmtId="178">
      <sharedItems containsDate="1" containsMixedTypes="1" minDate="1899-12-30T00:00:00" maxDate="2027-02-27T00:00:00"/>
    </cacheField>
    <cacheField name="New Ark PO status" numFmtId="176">
      <sharedItems/>
    </cacheField>
    <cacheField name="NewArk ETA PO" numFmtId="178">
      <sharedItems containsDate="1" containsBlank="1" containsMixedTypes="1" minDate="1899-12-30T00:00:00" maxDate="2027-10-09T00:00:00"/>
    </cacheField>
    <cacheField name="Customs/Leg3 Assumption" numFmtId="176">
      <sharedItems containsMixedTypes="1" containsNumber="1" containsInteger="1" minValue="0" maxValue="14"/>
    </cacheField>
    <cacheField name="ETA for New Ark update" numFmtId="178">
      <sharedItems containsDate="1" containsMixedTypes="1" minDate="1900-01-06T00:00:00" maxDate="2027-03-06T00:00:00"/>
    </cacheField>
    <cacheField name="ETA Year" numFmtId="176">
      <sharedItems containsMixedTypes="1" containsNumber="1" containsInteger="1" minValue="1900" maxValue="2027"/>
    </cacheField>
    <cacheField name="ETA Month" numFmtId="0">
      <sharedItems containsMixedTypes="1" containsNumber="1" containsInteger="1" minValue="1" maxValue="12"/>
    </cacheField>
    <cacheField name="ETA Week" numFmtId="0">
      <sharedItems containsSemiMixedTypes="0" containsString="0" containsNumber="1" containsInteger="1" minValue="0" maxValue="53"/>
    </cacheField>
    <cacheField name="Qty/Pallet" numFmtId="0">
      <sharedItems containsSemiMixedTypes="0" containsString="0" containsNumber="1" containsInteger="1" minValue="33" maxValue="37"/>
    </cacheField>
    <cacheField name="Qty/CT" numFmtId="0">
      <sharedItems containsSemiMixedTypes="0" containsString="0" containsNumber="1" containsInteger="1" minValue="576" maxValue="962"/>
    </cacheField>
    <cacheField name="Back Glass" numFmtId="0">
      <sharedItems/>
    </cacheField>
    <cacheField name="Shipping Line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CL" refreshedDate="46324.582000462964" createdVersion="8" refreshedVersion="8" minRefreshableVersion="3" recordCount="300" xr:uid="{1E871DE6-FFF0-43F7-AE0E-8B2C3B746259}">
  <cacheSource type="worksheet">
    <worksheetSource name="ESS_DATA"/>
  </cacheSource>
  <cacheFields count="59">
    <cacheField name="TCL REFERENCE" numFmtId="0">
      <sharedItems containsBlank="1" containsMixedTypes="1" containsNumber="1" containsInteger="1" minValue="202509" maxValue="202510" count="292">
        <s v="25NOV001.02"/>
        <s v="25NOV002.02"/>
        <s v="25OCT001.01"/>
        <s v="25OCT001.02"/>
        <s v="25OCT002"/>
        <s v="25OCT003"/>
        <s v="25OCT004.01"/>
        <s v="25OCT004.02"/>
        <s v="25OCT006.FREE"/>
        <s v="25OCT007.FREE"/>
        <s v="25OCT008.FREE"/>
        <s v="25OCT009.FREE"/>
        <s v="25DEC001.02"/>
        <s v="25DEC001.03"/>
        <s v="25DEC002"/>
        <s v="25DEC002.FREE"/>
        <s v="25DEC003"/>
        <s v="25DEC003.FREE"/>
        <s v="25DEC004"/>
        <s v="25DEC003.01"/>
        <s v="25DEC004.01"/>
        <s v="25DEC004.FREE"/>
        <s v="25JULY002-02"/>
        <s v="25JULY004-04"/>
        <s v="25JULY005-04"/>
        <s v="25DEC001.01"/>
        <s v="25DEC001"/>
        <s v="25DEC001.FREE"/>
        <s v="25JULY005-05"/>
        <s v="25JULY002-03"/>
        <s v="25JULY004-05"/>
        <s v="26JAN001"/>
        <s v="26JAN002"/>
        <s v="26JAN003"/>
        <s v="26JAN004"/>
        <s v="26JAN005"/>
        <s v="26JAN006"/>
        <s v="26JAN007"/>
        <s v="26JAN008"/>
        <s v="26JAN009"/>
        <s v="26JAN010"/>
        <s v="26JAN011"/>
        <s v="26JAN012"/>
        <s v="26JAN013"/>
        <s v="26JAN014"/>
        <s v="26JAN015"/>
        <s v="26JAN016"/>
        <s v="26JAN017"/>
        <s v="26FEB001"/>
        <s v="26APR005.01"/>
        <s v="26APR011"/>
        <s v="26APR016"/>
        <s v="26FEB002"/>
        <s v="26FEB002. FREE"/>
        <s v="26FEB003"/>
        <s v="26FEB003. FREE"/>
        <s v="26MAR001"/>
        <s v="26APR001.01"/>
        <s v="25JULY002-04"/>
        <s v="26APR002"/>
        <s v="26APR002.FREE"/>
        <s v="26APR003.01"/>
        <s v="25JULY004-06"/>
        <s v="26APR005"/>
        <s v="26APR001"/>
        <s v="26APR001.FREE"/>
        <s v="26APR003.02"/>
        <s v="26APR003.FREE"/>
        <s v="26APR004.01"/>
        <s v="26APR004.02"/>
        <s v="26APR004.FREE"/>
        <s v="26APR006.01"/>
        <s v="26APR006.FREE"/>
        <s v="26APR007"/>
        <s v="26APR007.FREE"/>
        <s v="26APR008.01"/>
        <s v="26APR008.FREE"/>
        <s v="26APR009.01"/>
        <s v="26APR009.02"/>
        <s v="26APR009.03"/>
        <s v="26APR009.04"/>
        <s v="26APR009.FREE"/>
        <s v="26APR006.02"/>
        <s v="26APR008.02"/>
        <s v="26APR010"/>
        <s v="26JUNE008"/>
        <s v="26MAY001"/>
        <s v="26APR006.03"/>
        <s v="26APR013-001"/>
        <s v="26APR014"/>
        <s v="26APR014-FREE"/>
        <s v="26APR015-001"/>
        <s v="26APR012"/>
        <s v="26APR012-FREE"/>
        <s v="26APR013-002"/>
        <s v="26APR013-FREE"/>
        <s v="26APR015-002"/>
        <s v="26APR015-FREE"/>
        <s v="26JUNE002-02"/>
        <s v="26JUNE003-02"/>
        <s v="26JUNE004-02"/>
        <s v="26JUNE005-02"/>
        <s v="26JUNE005-01"/>
        <s v="26JUNE005-FREE+26JUNE007-FREE"/>
        <s v="26JUNE001"/>
        <s v="26JUNE001-FREE"/>
        <s v="26JUNE003-01"/>
        <s v="26JUNE003-FREE"/>
        <s v="26JUNE004-01"/>
        <s v="26JUNE004-FREE"/>
        <s v="26JUNE006"/>
        <s v="26JUNE002-01+26JUL008"/>
        <s v="26JUNE002-FREE+26JUL008-FREE"/>
        <s v="26JUNE003"/>
        <s v="26JUNE005-03"/>
        <s v="26JUL010"/>
        <s v="26JUL010-FREE"/>
        <s v="26JUNE004+26JUL009"/>
        <s v="26JUL009-FREE"/>
        <s v="26JUNE002"/>
        <s v="26JUNE005"/>
        <s v="26JUNE007-01"/>
        <s v="26JUNE007-02"/>
        <s v="26JUL001"/>
        <s v="26JUL001-FREE"/>
        <s v="26JUL002.01"/>
        <s v="26JUL002-FREE"/>
        <s v="26JUL003"/>
        <s v="26JUL003-FREE"/>
        <s v="26JUL004.01"/>
        <s v="26JUL004-FREE"/>
        <s v="26JUL002.02"/>
        <s v="26JUL004.02"/>
        <s v="26JUL006"/>
        <s v="26JUL002.03"/>
        <s v="26JUL005.01"/>
        <s v="26JUL005-FREE"/>
        <s v="26JUL005.02"/>
        <s v="26JUL005.03"/>
        <s v="26JUL005.04"/>
        <s v="26JUL005.05"/>
        <s v="26AUG005.01"/>
        <s v="26AUG005-FREE"/>
        <s v="26AUG005.02"/>
        <s v="26AUG002.01"/>
        <s v="26AUG003.02"/>
        <s v="26AUG004.02"/>
        <s v="26AUG001"/>
        <s v="26AUG001-FREE"/>
        <s v="26AUG002-FREE"/>
        <s v="26AUG003.01"/>
        <s v="26AUG003-FREE"/>
        <s v="26AUG004.01"/>
        <s v="26AUG004-FREE"/>
        <s v="26AUG006"/>
        <s v="26AUG002.02"/>
        <s v="26AUG004.03"/>
        <s v="26AUG007"/>
        <s v="26AUG002.03"/>
        <s v="26AUG004.04"/>
        <s v="26AUG002.04"/>
        <s v="26AUG004.05"/>
        <s v="26AUG005.03"/>
        <s v="26AUG002.05"/>
        <s v="26AUG004.06"/>
        <s v="26AUG002.06"/>
        <s v="26AUG004.07"/>
        <s v="26AUG005.04"/>
        <s v="26AUG005.05"/>
        <s v="26AUG005.06"/>
        <s v="26AUG008"/>
        <s v="26AUG010.01"/>
        <s v="26AUG011.01"/>
        <s v="26AUG012"/>
        <s v="26AUG010.02"/>
        <s v="26AUG011.02"/>
        <s v="26SEP002.05"/>
        <s v="26SEP003.02"/>
        <s v="26SEP004.05"/>
        <s v="26SEP008.06"/>
        <s v="26SEP002.02"/>
        <s v="26SEP004.02"/>
        <s v="26SEP001.02"/>
        <s v="26SEP002.06"/>
        <s v="26SEP004.06"/>
        <s v="26SEP008.07"/>
        <s v="26SEP002.01"/>
        <s v="26SEP003.01"/>
        <s v="26SEP003-FREE"/>
        <s v="26SEP004.01"/>
        <s v="26SEP001.01"/>
        <s v="26SEP001-FREE"/>
        <s v="26SEP002.03"/>
        <s v="26SEP002-FREE"/>
        <s v="26SEP004.03"/>
        <s v="26SEP004-FREE"/>
        <s v="26SEP009"/>
        <s v="26SEP002.04"/>
        <s v="26SEP004.04"/>
        <s v="26SEP005.01"/>
        <s v="26SEP005-FREE"/>
        <s v="26SEP006"/>
        <s v="26SEP006-FREE"/>
        <s v="26SEP007.01"/>
        <s v="26SEP007-FREE"/>
        <s v="26SEP005.02"/>
        <s v="26SEP007.02"/>
        <s v="26SEP008.01"/>
        <s v="26SEP008-FREE"/>
        <s v="26SEP008.02"/>
        <s v="26SEP008.03"/>
        <s v="26SEP008.04"/>
        <s v="26SEP008.05"/>
        <s v="26SEP010"/>
        <s v="26SEP011"/>
        <s v="26SEP012"/>
        <s v="26SEP013"/>
        <s v="26SEP014"/>
        <s v="26SEP015"/>
        <s v="26SEP016"/>
        <s v="26SEP017"/>
        <s v="26SEP018"/>
        <s v="26SEP019"/>
        <s v="26SEP020"/>
        <s v="26SEP020-FREE"/>
        <s v="26SEP021"/>
        <s v="26SEP022"/>
        <s v="26SEP023"/>
        <s v="26SEP024"/>
        <s v="26SEP026"/>
        <s v="26SEP027"/>
        <s v="26SEP028"/>
        <s v="26SEP031"/>
        <s v="26SEP032"/>
        <s v="26SEP033"/>
        <s v="26SEP034"/>
        <s v="26SEP029"/>
        <s v="26SEP030"/>
        <s v="26OCT001"/>
        <s v="26OCT001-FREE"/>
        <s v="26OCT002.01"/>
        <s v="26OCT002-FREE"/>
        <s v="26OCT003"/>
        <s v="26OCT003-FREE"/>
        <s v="26OCT004.01"/>
        <s v="26OCT004-FREE"/>
        <s v="26OCT006"/>
        <s v="26OCT002.02"/>
        <s v="26OCT004.02"/>
        <s v="26OCT002.03"/>
        <s v="26OCT004.03"/>
        <s v="26OCT005.01"/>
        <s v="26OCT005-FREE"/>
        <s v="26OCT005.02"/>
        <s v="26OCT005.03"/>
        <s v="26OCT007"/>
        <s v="26OCT008"/>
        <s v="26OCT009"/>
        <s v="26OCT010"/>
        <s v="26OCT011"/>
        <s v="26OCT012"/>
        <s v="26OCT013"/>
        <s v="26NOV002.01"/>
        <s v="26NOV002-FREE"/>
        <s v="26NOV003"/>
        <s v="26NOV003-FREE"/>
        <s v="26NOV004.01"/>
        <s v="26NOV004-FREE"/>
        <s v="26NOV002.05"/>
        <s v="26NOV004.06"/>
        <s v="26NOV001"/>
        <s v="26NOV001-FREE"/>
        <s v="26NOV004.02"/>
        <s v="26NOV002.02"/>
        <s v="26NOV004.03"/>
        <s v="26NOV002.03"/>
        <s v="26NOV004.04"/>
        <s v="26NOV002.04"/>
        <s v="26NOV004.05"/>
        <s v="26NOV002.06"/>
        <s v="26NOV004.07"/>
        <s v="26NOV002.07"/>
        <s v="26NOV004.08"/>
        <s v="26NOV002.08"/>
        <s v="26NOV004.09"/>
        <s v="26NOV005.01"/>
        <s v="26NOV005-FREE"/>
        <s v="26NOV005.02"/>
        <m/>
        <n v="202509"/>
        <s v="202505+06"/>
        <n v="202510" u="1"/>
      </sharedItems>
    </cacheField>
    <cacheField name="Factory Location" numFmtId="0">
      <sharedItems containsBlank="1"/>
    </cacheField>
    <cacheField name="FX_QTY criteria" numFmtId="0">
      <sharedItems containsBlank="1"/>
    </cacheField>
    <cacheField name="CHANNEL" numFmtId="0">
      <sharedItems containsBlank="1"/>
    </cacheField>
    <cacheField name="New Ark PO Type" numFmtId="0">
      <sharedItems containsBlank="1"/>
    </cacheField>
    <cacheField name="New Ark WH" numFmtId="0">
      <sharedItems containsBlank="1" count="8">
        <s v="n/a"/>
        <s v="Arrival Plan-SPNL"/>
        <s v="Arrival Plan-SPTN"/>
        <m/>
        <s v="Arrival Plan-SPES"/>
        <s v="Arrival Plan-SPUK"/>
        <s v="Arrival Plan-SPIT"/>
        <s v="SunPower Energy Solutions France SAS" u="1"/>
      </sharedItems>
    </cacheField>
    <cacheField name="TCL-HK PO INCOTERM Requested" numFmtId="0">
      <sharedItems containsBlank="1"/>
    </cacheField>
    <cacheField name="B/L Consignee" numFmtId="0">
      <sharedItems containsBlank="1"/>
    </cacheField>
    <cacheField name="Priority Level" numFmtId="0">
      <sharedItems containsNonDate="0" containsString="0" containsBlank="1"/>
    </cacheField>
    <cacheField name="ALLOCATION Planning" numFmtId="0">
      <sharedItems containsBlank="1"/>
    </cacheField>
    <cacheField name="SPWR SO Number" numFmtId="0">
      <sharedItems containsBlank="1"/>
    </cacheField>
    <cacheField name="SPWR SO Line" numFmtId="0">
      <sharedItems containsNonDate="0" containsString="0" containsBlank="1"/>
    </cacheField>
    <cacheField name="G2G / Planning" numFmtId="0">
      <sharedItems containsBlank="1"/>
    </cacheField>
    <cacheField name="New Ark SKU" numFmtId="0">
      <sharedItems containsBlank="1" count="75">
        <s v="GF0700001437"/>
        <s v="GF0700001436"/>
        <s v="GF0700001010"/>
        <s v="GF0700001011"/>
        <s v="GF0700001012"/>
        <s v="GF0700000973"/>
        <s v="GF0700000940"/>
        <s v="GF0700000085"/>
        <s v="GF0700000089"/>
        <s v="GF0700000040"/>
        <s v="GF0700000040-&gt;GF0700000940"/>
        <s v="GF0700001855"/>
        <s v="GF0700001856"/>
        <s v="GF0700001847"/>
        <s v="GF0700001837"/>
        <s v="GF0700001836"/>
        <s v="GF0700001838"/>
        <s v="GF0700001839"/>
        <s v="GF0700001854"/>
        <s v="GF0700001853"/>
        <s v="GF0700001823"/>
        <s v="GF0700001824"/>
        <s v="GF0700001857"/>
        <s v="GF0700001845"/>
        <s v="GF0700001843"/>
        <s v="GF0700001826"/>
        <s v="GF0700001862"/>
        <s v="GF0700001793"/>
        <s v="GF0700001801"/>
        <s v="GF0700001887"/>
        <s v="GF0700002031"/>
        <s v="GF0700001008"/>
        <s v="GF0700000971"/>
        <s v="GF0700001006"/>
        <s v="GF0700002010"/>
        <s v="GF0700001956"/>
        <s v="GF0700001959"/>
        <s v="GF0700001958"/>
        <s v="GF0700002256"/>
        <s v="GF0700002254"/>
        <s v="GF0700002251"/>
        <s v="GF0700002262"/>
        <s v="GF0700002264"/>
        <s v="GF0700002295"/>
        <s v="GF0700002191"/>
        <s v="GF0700002189"/>
        <s v="GF0700002040"/>
        <s v="GF0700002261"/>
        <s v="GF0700002363"/>
        <s v="GF0700001997"/>
        <s v="GF0700001992"/>
        <s v="GF0700001991"/>
        <s v="GF0700002222"/>
        <s v="GF0700001951"/>
        <s v="GF0700002266"/>
        <s v="GF0700002249"/>
        <s v="GF0700002263"/>
        <s v="GF0700002265"/>
        <m/>
        <s v="GF0700000032"/>
        <s v="GF0700000030"/>
        <s v="GF0700000049"/>
        <s v="GF0700000050"/>
        <s v="GF0700002248" u="1"/>
        <s v="GF0700002255" u="1"/>
        <s v="GF0700002257" u="1"/>
        <s v="GF0700001954" u="1"/>
        <s v="GF0700000087" u="1"/>
        <s v="GF0700000040  -&gt; GF0700000940" u="1"/>
        <s v=" GF0700001437 " u="1"/>
        <s v="GF0700001437 " u="1"/>
        <s v=" GF0700001010 " u="1"/>
        <s v="GF0700000087 " u="1"/>
        <s v=" GF0700001012 " u="1"/>
        <s v=" GF0700000940 " u="1"/>
      </sharedItems>
    </cacheField>
    <cacheField name="Product Type" numFmtId="0">
      <sharedItems containsBlank="1"/>
    </cacheField>
    <cacheField name="Model" numFmtId="0">
      <sharedItems containsBlank="1" count="59">
        <s v="SP-ARSH-MC-G1"/>
        <s v="SP-SRTH-MC-G1"/>
        <s v="SP-ARSH-6kW-G1"/>
        <s v="SP-ARSH-8kW-G1"/>
        <s v="SP-ARSH-10kW-G1"/>
        <s v="SP-RAH-HVB571-G1"/>
        <s v="SP-RH-B5K-G1"/>
        <s v="SP-ARSH-5kW-G1"/>
        <s v="SP-SRTH-AIBC-G1"/>
        <s v="SP-SRTH-AIPC-G1"/>
        <s v="SP-SRTH-AHRJP-G1"/>
        <s v="SP-SRTH-AIACOM-G1"/>
        <s v="SP-SRTH-AISMP-G1"/>
        <s v="SP-ARSH-AI10EB60-G1"/>
        <s v="SP-ARSH-AI4S14-G1"/>
        <s v="SP-SRTH-AIAGRID-G1"/>
        <s v="SP-SRTH-AIAEPS-G1"/>
        <s v="SP-ARSH-AIPC-G1"/>
        <s v="SP-ARSH-AIRJP-G1"/>
        <s v="SP-ARSH-AIWMP-G1"/>
        <s v="SP-ARSH-AIE10B60-G1"/>
        <s v="SP-ARSH-AISMB-G1"/>
        <s v="SP-ARSH-AI4N10-G1"/>
        <s v="BlueArk X5-50K-100"/>
        <s v="TCL-SRSL6G1-AS"/>
        <s v="TCL-RLB14.3G1-AS_x0009_"/>
        <s v="SP-ARSH-16CTM2-G1"/>
        <s v="SP-SRTH-13kW-G1"/>
        <s v="SP-RH-HVB571-G1"/>
        <s v="SP-SRTH-10kW-G1"/>
        <s v="BlueArk W10 125kW/261"/>
        <s v="BlueArk X1 8kw 1P hybrid Inverter"/>
        <s v="BlueArk X1 8kwh master pack"/>
        <s v="BlueArk X1 8kwh slave pack"/>
        <s v="BLUEARK X1 5K-SP"/>
        <s v="BLUEARK X1 6K-SP"/>
        <s v="BLUEARK X1 8K-SP"/>
        <s v="BLUEARK X1 8.0 BMH"/>
        <s v="BLUEARK X1 8.0 BSH"/>
        <s v="YDS70-C16"/>
        <s v="TCL-SRSL8G1-AS"/>
        <s v="TCL-SRSL12G1-AS"/>
        <s v="TCL-RLB16.1G1-AS"/>
        <s v="BLUEARK X5"/>
        <s v="BlueArk X1 8K-SP Dummy"/>
        <s v="BlueArk X1 8.0 BMH Dummy"/>
        <s v="BlueArk X1 8.0 BSH Dummy"/>
        <s v="X5-BC100"/>
        <s v="TCL-PACK-1P20S-314Ah"/>
        <s v="BlueArk W10"/>
        <m/>
        <s v="TCL-GS5K-G1"/>
        <s v="TCL-GT12K-G1"/>
        <s v="TCL BS40-G1"/>
        <s v="TCL BT50-G1"/>
        <s v="BlueArk X1 6kW Inverter" u="1"/>
        <s v="BlueArk X1 8kW Inverter" u="1"/>
        <s v="BlueArk X1 8kWh BMH PACK" u="1"/>
        <s v="BlueArk X1 8kWh BSH PACK" u="1"/>
      </sharedItems>
    </cacheField>
    <cacheField name="WATT" numFmtId="0">
      <sharedItems containsString="0" containsBlank="1" containsNumber="1" containsInteger="1" minValue="0" maxValue="12000"/>
    </cacheField>
    <cacheField name="QUANTITY" numFmtId="0">
      <sharedItems containsString="0" containsBlank="1" containsNumber="1" containsInteger="1" minValue="1" maxValue="1072" count="133">
        <n v="78"/>
        <n v="24"/>
        <n v="224"/>
        <n v="101"/>
        <n v="60"/>
        <n v="10"/>
        <n v="350"/>
        <n v="45"/>
        <n v="9"/>
        <n v="2"/>
        <n v="1"/>
        <n v="12"/>
        <n v="276"/>
        <n v="100"/>
        <n v="3"/>
        <n v="72"/>
        <n v="58"/>
        <n v="338"/>
        <n v="34"/>
        <n v="20"/>
        <n v="220"/>
        <n v="8"/>
        <n v="6"/>
        <n v="50"/>
        <n v="40"/>
        <n v="16"/>
        <n v="93"/>
        <n v="114"/>
        <n v="48"/>
        <n v="214"/>
        <n v="552"/>
        <n v="252"/>
        <n v="160"/>
        <n v="14"/>
        <n v="334"/>
        <n v="244"/>
        <n v="32"/>
        <n v="96"/>
        <n v="194"/>
        <n v="165"/>
        <n v="150"/>
        <n v="192"/>
        <n v="128"/>
        <n v="4"/>
        <n v="108"/>
        <n v="25"/>
        <n v="80"/>
        <n v="227"/>
        <n v="49"/>
        <n v="155"/>
        <n v="15"/>
        <n v="180"/>
        <n v="198"/>
        <n v="470"/>
        <n v="349"/>
        <n v="29"/>
        <n v="88"/>
        <n v="87"/>
        <n v="331"/>
        <n v="19"/>
        <n v="300"/>
        <n v="202"/>
        <n v="212"/>
        <n v="64"/>
        <n v="196"/>
        <n v="107"/>
        <n v="23"/>
        <n v="130"/>
        <n v="27"/>
        <n v="65"/>
        <n v="30"/>
        <n v="53"/>
        <n v="46"/>
        <n v="66"/>
        <n v="132"/>
        <n v="26"/>
        <n v="90"/>
        <n v="38"/>
        <n v="18"/>
        <n v="94"/>
        <n v="111"/>
        <n v="42"/>
        <n v="143"/>
        <n v="152"/>
        <n v="472"/>
        <n v="54"/>
        <n v="84"/>
        <n v="99"/>
        <n v="36"/>
        <n v="5"/>
        <n v="7"/>
        <n v="119"/>
        <n v="11"/>
        <n v="520"/>
        <n v="22"/>
        <n v="28"/>
        <n v="126"/>
        <n v="528"/>
        <m/>
        <n v="131"/>
        <n v="52"/>
        <n v="70" u="1"/>
        <n v="57" u="1"/>
        <n v="13" u="1"/>
        <n v="39" u="1"/>
        <n v="115" u="1"/>
        <n v="44" u="1"/>
        <n v="480" u="1"/>
        <n v="330" u="1"/>
        <n v="379" u="1"/>
        <n v="1072" u="1"/>
        <n v="210" u="1"/>
        <n v="550" u="1"/>
        <n v="199" u="1"/>
        <n v="31" u="1"/>
        <n v="62" u="1"/>
        <n v="183" u="1"/>
        <n v="828" u="1"/>
        <n v="104" u="1"/>
        <n v="281" u="1"/>
        <n v="186" u="1"/>
        <n v="21" u="1"/>
        <n v="407" u="1"/>
        <n v="73" u="1"/>
        <n v="505" u="1"/>
        <n v="1071" u="1"/>
        <n v="33" u="1"/>
        <n v="536" u="1"/>
        <n v="174" u="1"/>
        <n v="384" u="1"/>
        <n v="200" u="1"/>
        <n v="328" u="1"/>
        <n v="256" u="1"/>
      </sharedItems>
    </cacheField>
    <cacheField name="MW" numFmtId="0">
      <sharedItems containsNonDate="0" containsString="0" containsBlank="1"/>
    </cacheField>
    <cacheField name="PALLETS" numFmtId="0">
      <sharedItems containsNonDate="0" containsString="0" containsBlank="1"/>
    </cacheField>
    <cacheField name="CONTAINERS" numFmtId="0">
      <sharedItems containsString="0" containsBlank="1" containsNumber="1" minValue="0" maxValue="3"/>
    </cacheField>
    <cacheField name="CT Mark" numFmtId="0">
      <sharedItems containsBlank="1"/>
    </cacheField>
    <cacheField name="STATUS" numFmtId="0">
      <sharedItems containsBlank="1"/>
    </cacheField>
    <cacheField name="COMPLETED or IN-TRANSIT" numFmtId="0">
      <sharedItems containsBlank="1"/>
    </cacheField>
    <cacheField name="ETR" numFmtId="0">
      <sharedItems containsNonDate="0" containsDate="1" containsString="0" containsBlank="1" minDate="2026-06-20T00:00:00" maxDate="2026-11-14T00:00:00"/>
    </cacheField>
    <cacheField name="Pick-Up Date" numFmtId="178">
      <sharedItems containsNonDate="0" containsDate="1" containsString="0" containsBlank="1" minDate="2025-11-21T00:00:00" maxDate="2026-10-31T00:00:00"/>
    </cacheField>
    <cacheField name="Pick-Up Week" numFmtId="179">
      <sharedItems containsString="0" containsBlank="1" containsNumber="1" containsInteger="1" minValue="0" maxValue="47"/>
    </cacheField>
    <cacheField name="SPTN-PVHK New Ark PO#" numFmtId="0">
      <sharedItems containsBlank="1" containsMixedTypes="1" containsNumber="1" containsInteger="1" minValue="54" maxValue="553" count="73">
        <s v="POPV260126050"/>
        <s v="POPV260126046"/>
        <s v="POPV260126047"/>
        <s v="POPV260210009"/>
        <s v="POPV260210007"/>
        <s v="POPV260210010"/>
        <s v="POPV260210008"/>
        <m/>
        <s v="POPV260304016"/>
        <s v="POPV260312007"/>
        <s v="POPV260422001"/>
        <s v="POPV260508004"/>
        <s v="_x000a_POPV260508003"/>
        <s v="PB0626061100001"/>
        <s v="POPV260515062"/>
        <s v="POPV260515058"/>
        <s v="POPV260515056"/>
        <s v="POPV260617050"/>
        <s v="POPV260617049"/>
        <s v="POPV260617048"/>
        <s v="POPV260617046"/>
        <s v="POPV260617027"/>
        <s v="POPV260702017"/>
        <s v="POPV260702016"/>
        <s v="TPVO2026062401"/>
        <s v="POPV260720028"/>
        <s v="POPV260720021"/>
        <s v="POPV260720026"/>
        <s v="POPV260720023"/>
        <s v="POPV260729029"/>
        <s v="POPV260729030"/>
        <s v="POPV260729031"/>
        <s v="POPV260729032"/>
        <s v="POPV260810007"/>
        <s v="POPV260810008"/>
        <s v="POPV260810006"/>
        <s v="POPV260828015"/>
        <s v="POPV260828023"/>
        <s v="POPV260821071"/>
        <s v="POPV260828021"/>
        <s v="POPV260828016"/>
        <s v="POPV260911025"/>
        <s v="POPV260904025"/>
        <s v="POPV260911026"/>
        <s v="POPV260918058"/>
        <s v="POPV260918056"/>
        <s v="POPV260828024"/>
        <s v="TPVO2026062602"/>
        <s v="POPV260911027"/>
        <s v="POPV260911024"/>
        <s v="POPV260923007"/>
        <s v="_x000a_POPV260918057"/>
        <s v="_x000a_POPV260929035"/>
        <s v="POPV260929039"/>
        <s v="POPV261009003"/>
        <s v="POPV261009004"/>
        <s v="POPV261009005"/>
        <s v="_x0009__x000a_POPV261009006"/>
        <s v="POPV261009002"/>
        <s v="POPV261019021"/>
        <s v="POPV261019023"/>
        <s v="TPVO2026080701"/>
        <s v="TPVO2026101201"/>
        <s v="TPVO2026091101"/>
        <s v="TPVO2026092502"/>
        <s v="TPVO2026092501"/>
        <s v="TPVO2026091801"/>
        <s v="POPV261016048"/>
        <s v="POPV260929040"/>
        <s v="POPV261019020"/>
        <s v="POPV261026017"/>
        <n v="54" u="1"/>
        <n v="553" u="1"/>
      </sharedItems>
    </cacheField>
    <cacheField name="SPTN-HKPV ORacle PO#" numFmtId="0">
      <sharedItems containsString="0" containsBlank="1" containsNumber="1" containsInteger="1" minValue="371009148" maxValue="371009150"/>
    </cacheField>
    <cacheField name="PORT OF LOADING" numFmtId="0">
      <sharedItems containsBlank="1"/>
    </cacheField>
    <cacheField name="POL" numFmtId="0">
      <sharedItems containsBlank="1"/>
    </cacheField>
    <cacheField name="PORT DESTINATION" numFmtId="0">
      <sharedItems containsBlank="1" count="19">
        <s v="FOS SUR MER"/>
        <s v="Pointe des Galets"/>
        <s v="ROTTERDAM"/>
        <s v="VILLEFRANCHE SUR SAONE"/>
        <s v="MANILA NORTH"/>
        <s v="LE HAVRE"/>
        <s v="BANGKOK"/>
        <s v="VALENCIA"/>
        <s v="London Gateway"/>
        <s v="DAVAO"/>
        <s v="MANILA SOUTH"/>
        <s v="LAEM CHABANG"/>
        <s v="Manila"/>
        <m/>
        <s v="GENOA"/>
        <s v="Chenai"/>
        <s v="FOS" u="1"/>
        <s v="菲律宾" u="1"/>
        <s v="Rtm+Fos" u="1"/>
      </sharedItems>
    </cacheField>
    <cacheField name="ETD On S/O" numFmtId="178">
      <sharedItems containsNonDate="0" containsDate="1" containsString="0" containsBlank="1" minDate="2025-12-07T00:00:00" maxDate="2026-11-14T00:00:00" count="67">
        <d v="2025-12-07T00:00:00"/>
        <d v="2026-02-04T00:00:00"/>
        <d v="2026-02-10T00:00:00"/>
        <d v="2026-02-18T00:00:00"/>
        <d v="2026-03-10T00:00:00"/>
        <d v="2026-04-23T00:00:00"/>
        <d v="2026-05-05T00:00:00"/>
        <d v="2026-05-10T00:00:00"/>
        <d v="2026-06-06T00:00:00"/>
        <d v="2026-03-31T00:00:00"/>
        <d v="2026-05-16T00:00:00"/>
        <d v="2026-05-19T00:00:00"/>
        <d v="2026-05-21T00:00:00"/>
        <d v="2026-06-11T00:00:00"/>
        <d v="2026-06-13T00:00:00"/>
        <d v="2026-06-16T00:00:00"/>
        <d v="2026-06-20T00:00:00"/>
        <d v="2026-06-19T00:00:00"/>
        <d v="2026-06-28T00:00:00"/>
        <d v="2026-07-04T00:00:00"/>
        <d v="2026-08-28T00:00:00"/>
        <d v="2026-07-08T00:00:00"/>
        <d v="2026-07-07T00:00:00"/>
        <d v="2026-07-13T00:00:00"/>
        <d v="2026-07-17T00:00:00"/>
        <d v="2026-07-14T00:00:00"/>
        <d v="2026-07-27T00:00:00"/>
        <d v="2026-07-23T00:00:00"/>
        <d v="2026-08-02T00:00:00"/>
        <d v="2026-07-28T00:00:00"/>
        <d v="2026-08-04T00:00:00"/>
        <d v="2026-08-11T00:00:00"/>
        <d v="2026-08-12T00:00:00"/>
        <d v="2026-08-22T00:00:00"/>
        <d v="2026-08-20T00:00:00"/>
        <d v="2026-08-19T00:00:00"/>
        <d v="2026-08-30T00:00:00"/>
        <d v="2026-09-21T00:00:00"/>
        <d v="2026-09-09T00:00:00"/>
        <d v="2026-09-02T00:00:00"/>
        <d v="2026-09-14T00:00:00"/>
        <d v="2026-09-27T00:00:00"/>
        <d v="2026-09-01T00:00:00"/>
        <d v="2026-09-15T00:00:00"/>
        <d v="2026-09-23T00:00:00"/>
        <d v="2026-09-25T00:00:00"/>
        <d v="2026-10-02T00:00:00"/>
        <d v="2026-10-06T00:00:00"/>
        <d v="2026-09-26T00:00:00"/>
        <d v="2026-10-05T00:00:00"/>
        <d v="2026-10-04T00:00:00"/>
        <d v="2026-10-08T00:00:00"/>
        <d v="2026-10-18T00:00:00"/>
        <d v="2026-10-21T00:00:00"/>
        <m/>
        <d v="2026-09-13T00:00:00"/>
        <d v="2026-09-30T00:00:00"/>
        <d v="2026-10-23T00:00:00"/>
        <d v="2026-10-28T00:00:00"/>
        <d v="2026-11-04T00:00:00"/>
        <d v="2026-10-13T00:00:00"/>
        <d v="2026-10-20T00:00:00"/>
        <d v="2026-11-01T00:00:00"/>
        <d v="2026-11-06T00:00:00"/>
        <d v="2026-11-03T00:00:00"/>
        <d v="2026-11-13T00:00:00"/>
        <d v="2026-11-10T00:00:00"/>
      </sharedItems>
      <fieldGroup par="58"/>
    </cacheField>
    <cacheField name="ETD Update" numFmtId="178">
      <sharedItems containsNonDate="0" containsDate="1" containsString="0" containsBlank="1" minDate="2026-02-04T00:00:00" maxDate="2026-11-06T00:00:00"/>
    </cacheField>
    <cacheField name="ATD PORT" numFmtId="178">
      <sharedItems containsNonDate="0" containsDate="1" containsString="0" containsBlank="1" minDate="2025-12-07T00:00:00" maxDate="2026-10-29T00:00:00"/>
    </cacheField>
    <cacheField name="ETA On S/O" numFmtId="178">
      <sharedItems containsNonDate="0" containsDate="1" containsString="0" containsBlank="1" minDate="2026-01-04T00:00:00" maxDate="2026-12-31T00:00:00"/>
    </cacheField>
    <cacheField name="ETA Update" numFmtId="178">
      <sharedItems containsNonDate="0" containsDate="1" containsString="0" containsBlank="1" minDate="2026-02-09T00:00:00" maxDate="2026-12-17T00:00:00"/>
    </cacheField>
    <cacheField name="ATA PORT" numFmtId="178">
      <sharedItems containsNonDate="0" containsDate="1" containsString="0" containsBlank="1" minDate="2026-02-09T00:00:00" maxDate="2026-10-21T00:00:00" count="37">
        <d v="2026-02-09T00:00:00"/>
        <d v="2026-04-04T00:00:00"/>
        <d v="2026-04-20T00:00:00"/>
        <d v="2026-03-03T00:00:00"/>
        <d v="2026-04-15T00:00:00"/>
        <d v="2026-04-26T00:00:00"/>
        <d v="2026-06-08T00:00:00"/>
        <d v="2026-06-05T00:00:00"/>
        <d v="2026-06-22T00:00:00"/>
        <d v="2026-06-28T00:00:00"/>
        <d v="2026-06-30T00:00:00"/>
        <d v="2026-07-08T00:00:00"/>
        <d v="2026-06-29T00:00:00"/>
        <d v="2026-07-20T00:00:00"/>
        <d v="2026-07-25T00:00:00"/>
        <d v="2026-08-01T00:00:00"/>
        <d v="2026-07-30T00:00:00"/>
        <d v="2026-08-06T00:00:00"/>
        <d v="2026-08-15T00:00:00"/>
        <d v="2026-10-18T00:00:00"/>
        <d v="2026-08-19T00:00:00"/>
        <d v="2026-09-07T00:00:00"/>
        <d v="2026-09-16T00:00:00"/>
        <d v="2026-09-13T00:00:00"/>
        <d v="2026-09-19T00:00:00"/>
        <d v="2026-09-02T00:00:00"/>
        <d v="2026-09-24T00:00:00"/>
        <d v="2026-09-18T00:00:00"/>
        <d v="2026-10-01T00:00:00"/>
        <d v="2026-10-08T00:00:00"/>
        <d v="2026-09-25T00:00:00"/>
        <d v="2026-10-15T00:00:00"/>
        <m/>
        <d v="2026-10-06T00:00:00"/>
        <d v="2026-09-05T00:00:00"/>
        <d v="2026-10-20T00:00:00"/>
        <d v="2026-09-20T00:00:00"/>
      </sharedItems>
    </cacheField>
    <cacheField name="Incoterm" numFmtId="0">
      <sharedItems containsBlank="1"/>
    </cacheField>
    <cacheField name="REFERENCE_x000a_V.V   " numFmtId="0">
      <sharedItems containsBlank="1"/>
    </cacheField>
    <cacheField name="Carrier" numFmtId="0">
      <sharedItems containsBlank="1"/>
    </cacheField>
    <cacheField name="TCL Invoice#_x000a_or PO#" numFmtId="0">
      <sharedItems containsDate="1" containsBlank="1" containsMixedTypes="1" minDate="1901-05-16T00:00:00" maxDate="1901-05-17T00:00:00"/>
    </cacheField>
    <cacheField name="MBL/HBL#" numFmtId="0">
      <sharedItems containsDate="1" containsBlank="1" containsMixedTypes="1" minDate="1900-01-06T04:56:05" maxDate="1900-01-07T14:57:05"/>
    </cacheField>
    <cacheField name="BOOKING#" numFmtId="0">
      <sharedItems containsBlank="1" containsMixedTypes="1" containsNumber="1" containsInteger="1" minValue="264859787" maxValue="802143373"/>
    </cacheField>
    <cacheField name="Leg2 leadtime On S/O" numFmtId="0">
      <sharedItems containsSemiMixedTypes="0" containsString="0" containsNumber="1" containsInteger="1" minValue="-312" maxValue="56"/>
    </cacheField>
    <cacheField name="Telex released " numFmtId="0">
      <sharedItems containsBlank="1"/>
    </cacheField>
    <cacheField name="ODP ETA Port" numFmtId="178">
      <sharedItems containsNonDate="0" containsDate="1" containsString="0" containsBlank="1" minDate="1899-12-30T00:00:00" maxDate="2027-01-13T00:00:00"/>
    </cacheField>
    <cacheField name="New Ark PO status" numFmtId="0">
      <sharedItems containsBlank="1" count="6">
        <s v="In Stock-Approved"/>
        <s v="-"/>
        <s v="In Transit-Approved"/>
        <s v="To be created" u="1"/>
        <e v="#N/A" u="1"/>
        <m u="1"/>
      </sharedItems>
    </cacheField>
    <cacheField name="NewArk ETA PO" numFmtId="0">
      <sharedItems containsDate="1" containsMixedTypes="1" minDate="2026-02-23T00:00:00" maxDate="2026-10-28T00:00:00"/>
    </cacheField>
    <cacheField name="Customs/Leg3 Assumption" numFmtId="0">
      <sharedItems containsString="0" containsBlank="1" containsNumber="1" containsInteger="1" minValue="0" maxValue="14"/>
    </cacheField>
    <cacheField name="ETA for New Ark update" numFmtId="178">
      <sharedItems containsNonDate="0" containsDate="1" containsString="0" containsBlank="1" minDate="1900-01-13T00:00:00" maxDate="2027-01-23T00:00:00"/>
    </cacheField>
    <cacheField name="ETA Year" numFmtId="0">
      <sharedItems containsString="0" containsBlank="1" containsNumber="1" containsInteger="1" minValue="1900" maxValue="2027" count="4">
        <n v="2026"/>
        <n v="1900"/>
        <m/>
        <n v="2027"/>
      </sharedItems>
    </cacheField>
    <cacheField name="ETA Month" numFmtId="0">
      <sharedItems containsString="0" containsBlank="1" containsNumber="1" containsInteger="1" minValue="1" maxValue="12" count="13">
        <n v="2"/>
        <n v="4"/>
        <n v="3"/>
        <n v="5"/>
        <n v="6"/>
        <n v="7"/>
        <n v="8"/>
        <n v="10"/>
        <n v="9"/>
        <n v="11"/>
        <n v="12"/>
        <n v="1"/>
        <m/>
      </sharedItems>
    </cacheField>
    <cacheField name="ETA Week" numFmtId="0">
      <sharedItems containsString="0" containsBlank="1" containsNumber="1" containsInteger="1" minValue="1" maxValue="53"/>
    </cacheField>
    <cacheField name="Shipping Line" numFmtId="0">
      <sharedItems containsBlank="1" containsMixedTypes="1" containsNumber="1" containsInteger="1" minValue="0" maxValue="0"/>
    </cacheField>
    <cacheField name="Column1" numFmtId="0">
      <sharedItems containsNonDate="0" containsString="0" containsBlank="1"/>
    </cacheField>
    <cacheField name="Months (ETD On S/O)" numFmtId="0" databaseField="0">
      <fieldGroup base="32">
        <rangePr groupBy="months" startDate="2025-12-07T00:00:00" endDate="2026-11-14T00:00:00"/>
        <groupItems count="14">
          <s v="&lt;2025/12/7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11/14"/>
        </groupItems>
      </fieldGroup>
    </cacheField>
    <cacheField name="Quarters (ETD On S/O)" numFmtId="0" databaseField="0">
      <fieldGroup base="32">
        <rangePr groupBy="quarters" startDate="2025-12-07T00:00:00" endDate="2026-11-14T00:00:00"/>
        <groupItems count="6">
          <s v="&lt;2025/12/7"/>
          <s v="第一季"/>
          <s v="第二季"/>
          <s v="第三季"/>
          <s v="第四季"/>
          <s v="&gt;2026/11/14"/>
        </groupItems>
      </fieldGroup>
    </cacheField>
    <cacheField name="Years (ETD On S/O)" numFmtId="0" databaseField="0">
      <fieldGroup base="32">
        <rangePr groupBy="years" startDate="2025-12-07T00:00:00" endDate="2026-11-14T00:00:00"/>
        <groupItems count="4">
          <s v="&lt;2025/12/7"/>
          <s v="2025年"/>
          <s v="2026年"/>
          <s v="&gt;2026/11/14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HSM-ND66-GR630"/>
    <s v="EVO2A"/>
    <s v="±1200mm"/>
    <n v="630"/>
    <n v="4320"/>
    <n v="0.84240000000000004"/>
    <n v="52"/>
    <n v="2"/>
    <s v="w46 PICK-UP"/>
  </r>
  <r>
    <s v="HSM-ND66-GR630"/>
    <s v="EVO2A"/>
    <s v="±1200mm"/>
    <n v="630"/>
    <n v="4320"/>
    <n v="2.5552800000000002"/>
    <n v="156"/>
    <n v="6"/>
    <s v="w46 PICK-UP"/>
  </r>
  <r>
    <s v="HSM-ND66-GR635"/>
    <s v="EVO2A"/>
    <s v="±1400mm"/>
    <n v="635"/>
    <n v="2880"/>
    <n v="0.36630000000000001"/>
    <n v="20"/>
    <n v="1"/>
    <s v="w46 PICK-UP"/>
  </r>
  <r>
    <s v="HSM-ND66-GK725"/>
    <s v="EVO2A"/>
    <s v="±1400mm"/>
    <n v="725"/>
    <n v="5940"/>
    <n v="1.8"/>
    <n v="80"/>
    <n v="4"/>
    <s v="w46 PICK-UP"/>
  </r>
  <r>
    <s v="HSM-ND66-GK730"/>
    <s v="EVO2A"/>
    <s v="±1400mm"/>
    <n v="730"/>
    <n v="5940"/>
    <n v="3.15"/>
    <n v="140"/>
    <n v="7"/>
    <s v="w46 PICK-UP"/>
  </r>
  <r>
    <s v="HSM-BE54-DD485"/>
    <s v="EVO2A"/>
    <s v="±1400mm"/>
    <n v="485"/>
    <n v="8424"/>
    <n v="0.73260000000000003"/>
    <n v="40"/>
    <n v="2"/>
    <s v="w45 PICK-UP"/>
  </r>
  <r>
    <s v="HSM-BE54-DD485"/>
    <s v="EVO2A"/>
    <s v="±1400mm"/>
    <n v="485"/>
    <n v="7488"/>
    <n v="0.73260000000000003"/>
    <n v="40"/>
    <n v="2"/>
    <s v="w46 PICK-UP"/>
  </r>
  <r>
    <s v="HSM-BE54-DD485"/>
    <s v="EVO2A"/>
    <s v="±1400mm"/>
    <n v="485"/>
    <n v="9360"/>
    <n v="0.73728000000000005"/>
    <n v="32"/>
    <n v="2"/>
    <s v="w46 PICK-UP"/>
  </r>
  <r>
    <s v="HSM-BE54-DD485"/>
    <s v="EVO2A"/>
    <s v="±1400mm"/>
    <n v="485"/>
    <n v="9360"/>
    <n v="0.61887999999999999"/>
    <n v="26.861111111111111"/>
    <n v="1.6788194444444444"/>
    <s v="w46 PICK-UP"/>
  </r>
  <r>
    <s v="HSM-BE54-DD485"/>
    <s v="EVO2A"/>
    <s v="±1400mm"/>
    <n v="485"/>
    <n v="9360"/>
    <n v="0.48703999999999997"/>
    <n v="21.138888888888889"/>
    <n v="1.3211805555555556"/>
    <s v="w45 PICK-UP"/>
  </r>
  <r>
    <s v="HSM-BE54-DD485"/>
    <s v="EVO2A"/>
    <s v="±1400mm"/>
    <n v="485"/>
    <n v="936"/>
    <n v="1.10592"/>
    <n v="48"/>
    <n v="3"/>
    <s v="w44 PICK-UP"/>
  </r>
  <r>
    <s v="HSM-BE54-DD485"/>
    <s v="EVO2A"/>
    <s v="±1200mm"/>
    <n v="485"/>
    <n v="10296"/>
    <n v="0.80352000000000001"/>
    <n v="48"/>
    <n v="2"/>
    <s v="w44 PICK-UP"/>
  </r>
  <r>
    <s v="HSM-BE54-DD485"/>
    <s v="EVO2A"/>
    <s v="±1200mm"/>
    <n v="485"/>
    <n v="4680"/>
    <n v="0.40176000000000001"/>
    <n v="24"/>
    <n v="1"/>
    <s v="w44 PICK-UP"/>
  </r>
  <r>
    <s v="HSM-BE54-DD490"/>
    <s v="EVO2A"/>
    <s v="±1400mm"/>
    <n v="490"/>
    <n v="4680"/>
    <n v="0.36630000000000001"/>
    <n v="20"/>
    <n v="1"/>
    <s v="w45 PICK-UP"/>
  </r>
  <r>
    <s v="HSM-NT48-HH480"/>
    <s v="EVO2A"/>
    <s v="±1400mm"/>
    <n v="480"/>
    <n v="7488"/>
    <n v="0.73260000000000003"/>
    <n v="40"/>
    <n v="2"/>
    <s v="w45 PICK-UP"/>
  </r>
  <r>
    <s v="HSM-NT48-HH485"/>
    <s v="EVO2A"/>
    <s v="±1400mm"/>
    <n v="485"/>
    <n v="11232"/>
    <n v="0.73728000000000005"/>
    <n v="32"/>
    <n v="2"/>
    <s v="w46 PICK-UP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5">
  <r>
    <s v="OCT009.05"/>
    <s v="Tianjin"/>
    <s v="OCT009"/>
    <s v="CORE DG"/>
    <x v="0"/>
    <s v="Arrival Plan-SPTN"/>
    <s v="DAP"/>
    <x v="0"/>
    <s v="n/a"/>
    <x v="0"/>
    <m/>
    <m/>
    <s v="n/a"/>
    <s v="n/a"/>
    <x v="0"/>
    <x v="0"/>
    <s v="HSM-ND54-DR500"/>
    <s v="EVO2A"/>
    <s v="±1200mm "/>
    <n v="500"/>
    <n v="2592"/>
    <n v="1.296"/>
    <n v="72"/>
    <n v="3"/>
    <x v="0"/>
    <s v="COMPLETED"/>
    <m/>
    <d v="2025-12-12T00:00:00"/>
    <n v="50"/>
    <s v="POPV260114015"/>
    <n v="371009290"/>
    <s v="TIANJIN"/>
    <x v="0"/>
    <x v="0"/>
    <d v="2025-12-18T00:00:00"/>
    <d v="2025-12-18T00:00:00"/>
    <d v="2025-12-21T00:00:00"/>
    <d v="2026-02-23T00:00:00"/>
    <d v="2026-03-17T00:00:00"/>
    <d v="2026-03-18T00:00:00"/>
    <s v="DAP"/>
    <s v="COSCO SHIPPING CAPRICORN/039W"/>
    <s v="COSCO"/>
    <s v="TPVB20251205009"/>
    <x v="0"/>
    <s v="COSU6437850520"/>
    <n v="87"/>
    <s v="SWB"/>
    <d v="2026-03-18T00:00:00"/>
    <s v="In Stock-Approved "/>
    <d v="2026-03-31T00:00:00"/>
    <n v="8"/>
    <d v="2026-03-26T00:00:00"/>
    <n v="2026"/>
    <n v="3"/>
    <n v="13"/>
    <n v="36"/>
    <n v="864"/>
    <s v="Black glazing"/>
    <s v="AEM"/>
  </r>
  <r>
    <s v="NOV008.04"/>
    <s v="Tianjin"/>
    <s v="NOV008"/>
    <s v="CORE DG"/>
    <x v="0"/>
    <s v="Arrival Plan-SPTN"/>
    <s v="DAP"/>
    <x v="0"/>
    <s v="n/a"/>
    <x v="1"/>
    <s v="46010796 / FR0125122900758"/>
    <m/>
    <s v="n/a"/>
    <s v="n/a"/>
    <x v="0"/>
    <x v="1"/>
    <s v="HSM-ND48-DR450_CFP"/>
    <s v="EVO2A"/>
    <s v="±1200mm "/>
    <n v="450"/>
    <n v="936"/>
    <n v="0.42099999999999999"/>
    <n v="26"/>
    <n v="1"/>
    <x v="0"/>
    <s v="COMPLETED"/>
    <m/>
    <d v="2025-12-12T00:00:00"/>
    <n v="50"/>
    <s v="POPV260114013"/>
    <n v="371009297"/>
    <s v="TIANJIN"/>
    <x v="0"/>
    <x v="0"/>
    <d v="2025-12-18T00:00:00"/>
    <d v="2025-12-18T00:00:00"/>
    <d v="2025-12-21T00:00:00"/>
    <d v="2026-02-23T00:00:00"/>
    <d v="2026-03-17T00:00:00"/>
    <d v="2026-03-18T00:00:00"/>
    <s v="DAP"/>
    <s v="COSCO SHIPPING CAPRICORN/039W"/>
    <s v="COSCO"/>
    <s v="TPVB20251205009"/>
    <x v="0"/>
    <s v="COSU6437850520"/>
    <n v="87"/>
    <s v="SWB"/>
    <d v="2026-03-18T00:00:00"/>
    <s v="In Stock-Approved "/>
    <d v="2026-03-31T00:00:00"/>
    <n v="8"/>
    <d v="2026-03-26T00:00:00"/>
    <n v="2026"/>
    <n v="3"/>
    <n v="13"/>
    <n v="36"/>
    <n v="936"/>
    <s v="Transparent"/>
    <s v="AEM"/>
  </r>
  <r>
    <s v="NOV008.07"/>
    <s v="Tianjin"/>
    <s v="NOV008"/>
    <s v="CORE DG"/>
    <x v="0"/>
    <s v="Arrival Plan-SPTN"/>
    <s v="DAP"/>
    <x v="0"/>
    <s v="n/a"/>
    <x v="2"/>
    <m/>
    <m/>
    <s v="n/a"/>
    <s v="n/a"/>
    <x v="0"/>
    <x v="1"/>
    <s v="HSM-ND48-DR450_CFP"/>
    <s v="EVO2A"/>
    <s v="±1200mm "/>
    <n v="450"/>
    <n v="2808"/>
    <n v="1.264"/>
    <n v="78"/>
    <n v="3"/>
    <x v="0"/>
    <s v="COMPLETED"/>
    <m/>
    <d v="2025-12-12T00:00:00"/>
    <n v="50"/>
    <s v="POPV260114014"/>
    <n v="371009298"/>
    <s v="TIANJIN"/>
    <x v="0"/>
    <x v="0"/>
    <d v="2025-12-18T00:00:00"/>
    <d v="2025-12-18T00:00:00"/>
    <d v="2025-12-21T00:00:00"/>
    <d v="2026-02-23T00:00:00"/>
    <d v="2026-03-17T00:00:00"/>
    <d v="2026-03-18T00:00:00"/>
    <s v="DAP"/>
    <s v="COSCO SHIPPING CAPRICORN/039W"/>
    <s v="COSCO"/>
    <s v="TPVB20251205009"/>
    <x v="0"/>
    <s v="COSU6437850520"/>
    <n v="87"/>
    <s v="SWB"/>
    <d v="2026-03-18T00:00:00"/>
    <s v="In Stock-Approved "/>
    <d v="2026-03-31T00:00:00"/>
    <n v="8"/>
    <d v="2026-03-26T00:00:00"/>
    <n v="2026"/>
    <n v="3"/>
    <n v="13"/>
    <n v="36"/>
    <n v="936"/>
    <s v="Transparent"/>
    <s v="AEM"/>
  </r>
  <r>
    <s v="OCT012.02"/>
    <s v="Tianjin"/>
    <s v="OCT012"/>
    <s v="CORE DG"/>
    <x v="0"/>
    <s v="Arrival Plan-SPNL"/>
    <s v="DAP"/>
    <x v="0"/>
    <s v="n/a"/>
    <x v="3"/>
    <m/>
    <m/>
    <s v="n/a"/>
    <s v="n/a"/>
    <x v="0"/>
    <x v="2"/>
    <s v="HSM-ND66-GR620"/>
    <s v="EVO2A"/>
    <s v="±1200mm "/>
    <n v="620"/>
    <n v="4320"/>
    <n v="2.6779999999999999"/>
    <n v="120"/>
    <n v="6"/>
    <x v="0"/>
    <s v="COMPLETED"/>
    <m/>
    <d v="2025-12-09T00:00:00"/>
    <n v="50"/>
    <s v="POPV260224025"/>
    <n v="371009291"/>
    <s v="TIANJIN"/>
    <x v="0"/>
    <x v="1"/>
    <d v="2025-12-18T00:00:00"/>
    <d v="2025-12-18T00:00:00"/>
    <d v="2025-12-21T00:00:00"/>
    <d v="2026-02-08T00:00:00"/>
    <d v="2026-03-30T00:00:00"/>
    <d v="2026-03-30T00:00:00"/>
    <s v="DAP"/>
    <s v="COSCO SHIPPING CAPRICORN/039W"/>
    <s v="COSCO"/>
    <s v="TPVB20251205010"/>
    <x v="1"/>
    <s v="COSU6437850970"/>
    <n v="99"/>
    <s v="SWB"/>
    <d v="2026-03-30T00:00:00"/>
    <s v="In Stock-Approved "/>
    <d v="2026-04-13T00:00:00"/>
    <n v="7"/>
    <d v="2026-04-06T00:00:00"/>
    <n v="2026"/>
    <n v="4"/>
    <n v="15"/>
    <n v="36"/>
    <n v="720"/>
    <s v="White glazing"/>
    <s v="AEU"/>
  </r>
  <r>
    <s v="DEC003.09"/>
    <s v="Yixing"/>
    <s v="DEC003"/>
    <s v="UPP"/>
    <x v="0"/>
    <s v="Arrival Plan-SPES"/>
    <s v="DAP"/>
    <x v="1"/>
    <s v="n/a"/>
    <x v="4"/>
    <s v="PT0125122900789"/>
    <m/>
    <s v="n/a"/>
    <s v="n/a"/>
    <x v="0"/>
    <x v="3"/>
    <s v="HSM-ND78-GF640"/>
    <s v="EVO2A"/>
    <s v="±1400mm "/>
    <n v="640"/>
    <n v="2304"/>
    <n v="1.4750000000000001"/>
    <n v="64"/>
    <n v="4"/>
    <x v="0"/>
    <s v="COMPLETED"/>
    <m/>
    <d v="2025-12-24T00:00:00"/>
    <n v="52"/>
    <s v="POPV260115029"/>
    <m/>
    <s v="SHANGHAI"/>
    <x v="1"/>
    <x v="2"/>
    <d v="2025-12-29T00:00:00"/>
    <d v="2026-01-08T00:00:00"/>
    <d v="2026-01-08T00:00:00"/>
    <d v="2026-02-19T00:00:00"/>
    <d v="2026-03-11T00:00:00"/>
    <d v="2026-03-13T00:00:00"/>
    <s v="DAP"/>
    <s v="COSCO SHIPPING PISCES 031W"/>
    <s v="COSCO"/>
    <s v="TPVB20251212006"/>
    <x v="2"/>
    <s v="COSU6438488340"/>
    <n v="64"/>
    <m/>
    <d v="2026-03-13T00:00:00"/>
    <s v="In Stock-Approved "/>
    <d v="2026-03-23T00:00:00"/>
    <n v="9"/>
    <d v="2026-03-22T00:00:00"/>
    <n v="2026"/>
    <n v="3"/>
    <n v="12"/>
    <n v="36"/>
    <n v="576"/>
    <s v="Redirection Film"/>
    <s v="AEM"/>
  </r>
  <r>
    <s v="DEC012.04"/>
    <s v="Yixing"/>
    <s v="DEC012"/>
    <s v="CORE DG"/>
    <x v="0"/>
    <s v="Arrival Plan-SPTN"/>
    <s v="DAP"/>
    <x v="0"/>
    <s v="n/a"/>
    <x v="5"/>
    <m/>
    <m/>
    <s v="n/a"/>
    <s v="n/a"/>
    <x v="1"/>
    <x v="4"/>
    <s v="TCL-MG720DT210-68NS"/>
    <s v="EVO2A"/>
    <s v="±1400mm "/>
    <n v="720"/>
    <n v="1782"/>
    <n v="1.2829999999999999"/>
    <n v="54"/>
    <n v="3"/>
    <x v="0"/>
    <s v="COMPLETED"/>
    <m/>
    <d v="2025-12-21T00:00:00"/>
    <n v="51"/>
    <s v="POPV260224037"/>
    <m/>
    <s v="SHANGHAI"/>
    <x v="1"/>
    <x v="0"/>
    <d v="2025-12-29T00:00:00"/>
    <d v="2026-01-08T00:00:00"/>
    <d v="2026-01-08T00:00:00"/>
    <d v="2026-02-11T00:00:00"/>
    <d v="2026-03-17T00:00:00"/>
    <d v="2026-03-18T00:00:00"/>
    <s v="DAP"/>
    <s v="COSCO SHIPPING PISCES 031W"/>
    <s v="COSCO"/>
    <s v="TPVB20251212007"/>
    <x v="3"/>
    <s v="COSU6438902550"/>
    <n v="69"/>
    <m/>
    <d v="2026-03-18T00:00:00"/>
    <s v="In Stock-Approved "/>
    <d v="2026-03-31T00:00:00"/>
    <n v="8"/>
    <d v="2026-03-26T00:00:00"/>
    <n v="2026"/>
    <n v="3"/>
    <n v="13"/>
    <n v="33"/>
    <n v="594"/>
    <s v="White glazing"/>
    <s v="AEM"/>
  </r>
  <r>
    <s v="DEC012.01"/>
    <s v="Yixing"/>
    <s v="DEC012"/>
    <s v="CORE DG"/>
    <x v="0"/>
    <s v="Arrival Plan-SPNL"/>
    <s v="DAP"/>
    <x v="0"/>
    <s v="n/a"/>
    <x v="3"/>
    <m/>
    <m/>
    <s v="n/a"/>
    <s v="n/a"/>
    <x v="1"/>
    <x v="4"/>
    <s v="TCL-MG720DT210-68NS"/>
    <s v="EVO2A"/>
    <s v="±1400mm "/>
    <n v="720"/>
    <n v="1782"/>
    <n v="1.2829999999999999"/>
    <n v="54"/>
    <n v="3"/>
    <x v="0"/>
    <s v="COMPLETED"/>
    <m/>
    <d v="2025-12-17T00:00:00"/>
    <n v="51"/>
    <s v="POPV260217050"/>
    <m/>
    <s v="SHANGHAI"/>
    <x v="1"/>
    <x v="1"/>
    <d v="2025-12-23T00:00:00"/>
    <d v="2025-12-27T00:00:00"/>
    <d v="2025-12-26T00:00:00"/>
    <d v="2026-02-20T00:00:00"/>
    <d v="2026-03-09T00:00:00"/>
    <d v="2026-03-09T00:00:00"/>
    <s v="DAP"/>
    <s v="COSCO SHIPPING KILIMANJARO 043W"/>
    <s v="COSCO"/>
    <s v="TPVB20251212008"/>
    <x v="4"/>
    <s v="COSU6438512470"/>
    <n v="73"/>
    <m/>
    <d v="2026-03-09T00:00:00"/>
    <s v="In Stock-Approved "/>
    <d v="2026-03-23T00:00:00"/>
    <n v="7"/>
    <d v="2026-03-16T00:00:00"/>
    <n v="2026"/>
    <n v="3"/>
    <n v="12"/>
    <n v="33"/>
    <n v="594"/>
    <s v="White glazing"/>
    <s v="AEU"/>
  </r>
  <r>
    <s v="NOV008.01"/>
    <s v="Tianjin"/>
    <s v="NOV008"/>
    <s v="CORE DG"/>
    <x v="1"/>
    <s v="SPTN Offstore in Transit WH"/>
    <s v="CIP"/>
    <x v="2"/>
    <s v="n/a"/>
    <x v="6"/>
    <n v="46010731"/>
    <m/>
    <s v="n/a"/>
    <s v="n/a"/>
    <x v="0"/>
    <x v="1"/>
    <s v="HSM-ND48-DR450_CFP"/>
    <s v="EVO2A"/>
    <s v="±1200mm "/>
    <n v="450"/>
    <n v="936"/>
    <n v="0.42099999999999999"/>
    <n v="26"/>
    <n v="1"/>
    <x v="0"/>
    <s v="COMPLETED"/>
    <m/>
    <d v="2025-12-18T00:00:00"/>
    <n v="51"/>
    <s v="POPV260104138"/>
    <n v="371009343"/>
    <s v="TIANJIN"/>
    <x v="0"/>
    <x v="0"/>
    <d v="2025-12-26T00:00:00"/>
    <d v="2025-12-27T00:00:00"/>
    <d v="2025-12-27T00:00:00"/>
    <d v="2026-02-24T00:00:00"/>
    <d v="2026-03-09T00:00:00"/>
    <d v="2026-03-09T00:00:00"/>
    <s v="CIP"/>
    <s v="COSCO SHIPPING VIRGO 034W"/>
    <s v="COSCO"/>
    <s v="46010731&amp;817"/>
    <x v="5"/>
    <s v="COSU9505137680"/>
    <n v="72"/>
    <s v="SWB"/>
    <d v="2026-03-09T00:00:00"/>
    <s v="In Stock-Approved "/>
    <d v="2026-01-04T00:00:00"/>
    <s v="- "/>
    <d v="2026-03-09T00:00:00"/>
    <n v="2026"/>
    <n v="3"/>
    <n v="11"/>
    <n v="36"/>
    <n v="936"/>
    <s v="Transparent"/>
    <s v="AEM"/>
  </r>
  <r>
    <s v="NOV008.02"/>
    <s v="Tianjin"/>
    <s v="NOV008"/>
    <s v="CORE DG"/>
    <x v="1"/>
    <s v="SPTN Offstore in Transit WH"/>
    <s v="CIP"/>
    <x v="2"/>
    <s v="n/a"/>
    <x v="6"/>
    <n v="46010817"/>
    <m/>
    <s v="n/a"/>
    <s v="n/a"/>
    <x v="0"/>
    <x v="1"/>
    <s v="HSM-ND48-DR450_CFP"/>
    <s v="EVO2A"/>
    <s v="±1200mm "/>
    <n v="450"/>
    <n v="936"/>
    <n v="0.42099999999999999"/>
    <n v="26"/>
    <n v="1"/>
    <x v="0"/>
    <s v="COMPLETED"/>
    <m/>
    <d v="2025-12-18T00:00:00"/>
    <n v="51"/>
    <s v="POPV260104116"/>
    <n v="371009344"/>
    <s v="TIANJIN"/>
    <x v="0"/>
    <x v="0"/>
    <d v="2025-12-26T00:00:00"/>
    <d v="2025-12-27T00:00:00"/>
    <d v="2025-12-27T00:00:00"/>
    <d v="2026-02-24T00:00:00"/>
    <d v="2026-03-09T00:00:00"/>
    <d v="2026-03-09T00:00:00"/>
    <s v="CIP"/>
    <s v="COSCO SHIPPING VIRGO 034W"/>
    <s v="COSCO"/>
    <s v="46010731&amp;817"/>
    <x v="5"/>
    <s v="COSU9505137680"/>
    <n v="72"/>
    <s v="SWB"/>
    <d v="2026-03-09T00:00:00"/>
    <s v="In Stock-Approved "/>
    <d v="2026-01-04T00:00:00"/>
    <s v="- "/>
    <d v="2026-03-09T00:00:00"/>
    <n v="2026"/>
    <n v="3"/>
    <n v="11"/>
    <n v="36"/>
    <n v="936"/>
    <s v="Transparent"/>
    <s v="AEM"/>
  </r>
  <r>
    <s v="OCT009.06"/>
    <s v="Tianjin"/>
    <s v="OCT009"/>
    <s v="CORE DG"/>
    <x v="1"/>
    <s v="SPTN Offstore in Transit WH"/>
    <s v="FOB"/>
    <x v="3"/>
    <s v="n/a"/>
    <x v="7"/>
    <n v="46011026"/>
    <m/>
    <s v="n/a"/>
    <s v="n/a"/>
    <x v="0"/>
    <x v="0"/>
    <s v="HSM-ND54-DR500"/>
    <s v="EVO2A"/>
    <s v="±1200mm "/>
    <n v="500"/>
    <n v="2592"/>
    <n v="1.296"/>
    <n v="72"/>
    <n v="3"/>
    <x v="0"/>
    <s v="COMPLETED"/>
    <m/>
    <d v="2025-12-20T00:00:00"/>
    <n v="51"/>
    <s v="POPV260104081"/>
    <n v="371009338"/>
    <s v="TIANJIN"/>
    <x v="0"/>
    <x v="3"/>
    <d v="2025-12-29T00:00:00"/>
    <d v="2025-12-31T00:00:00"/>
    <d v="2025-12-29T00:00:00"/>
    <d v="2026-03-07T00:00:00"/>
    <d v="2026-03-25T00:00:00"/>
    <d v="2026-03-25T00:00:00"/>
    <s v="FOB"/>
    <s v="MSC CARMELA/GA552W"/>
    <s v="OTHER"/>
    <n v="46011026"/>
    <x v="6"/>
    <s v="177KKNPPXTNN5247"/>
    <n v="86"/>
    <m/>
    <d v="2026-03-25T00:00:00"/>
    <s v="In Stock-Approved "/>
    <d v="2026-01-04T00:00:00"/>
    <s v="- "/>
    <d v="2026-03-25T00:00:00"/>
    <n v="2026"/>
    <n v="3"/>
    <n v="13"/>
    <n v="36"/>
    <n v="864"/>
    <s v="Black glazing"/>
    <s v="AEU"/>
  </r>
  <r>
    <s v="OCT012.03"/>
    <s v="Tianjin"/>
    <s v="OCT012"/>
    <s v="CORE DG"/>
    <x v="0"/>
    <s v="Arrival Plan-SPNL"/>
    <s v="DAP"/>
    <x v="0"/>
    <s v="n/a"/>
    <x v="3"/>
    <m/>
    <m/>
    <s v="n/a"/>
    <s v="n/a"/>
    <x v="0"/>
    <x v="2"/>
    <s v="HSM-ND66-GR620"/>
    <s v="EVO2A"/>
    <s v="±1200mm "/>
    <n v="620"/>
    <n v="4320"/>
    <n v="2.6779999999999999"/>
    <n v="120"/>
    <n v="6"/>
    <x v="0"/>
    <s v="COMPLETED"/>
    <m/>
    <d v="2025-12-18T00:00:00"/>
    <n v="51"/>
    <s v="POPV260224026"/>
    <m/>
    <s v="TIANJIN"/>
    <x v="0"/>
    <x v="1"/>
    <d v="2025-12-26T00:00:00"/>
    <d v="2025-12-27T00:00:00"/>
    <d v="2025-12-27T00:00:00"/>
    <d v="2026-02-25T00:00:00"/>
    <d v="2026-03-30T00:00:00"/>
    <d v="2026-03-30T00:00:00"/>
    <s v="DAP"/>
    <s v="COSCO SHIPPING VIRGO 034W"/>
    <s v="COSCO"/>
    <s v="TPVB20251212011"/>
    <x v="7"/>
    <s v="COSU6438568500"/>
    <n v="93"/>
    <s v="SWB"/>
    <d v="2026-03-30T00:00:00"/>
    <s v="In Stock-Approved "/>
    <d v="2026-04-13T00:00:00"/>
    <n v="7"/>
    <d v="2026-04-06T00:00:00"/>
    <n v="2026"/>
    <n v="4"/>
    <n v="15"/>
    <n v="36"/>
    <n v="720"/>
    <s v="White glazing"/>
    <s v="AEU"/>
  </r>
  <r>
    <s v="DEC009.02"/>
    <s v="Yixing"/>
    <s v="DEC009"/>
    <s v="CORE DG"/>
    <x v="0"/>
    <s v="Arrival Plan-SPNL"/>
    <s v="DAP"/>
    <x v="0"/>
    <s v="n/a"/>
    <x v="8"/>
    <m/>
    <m/>
    <s v="n/a"/>
    <s v="n/a"/>
    <x v="2"/>
    <x v="5"/>
    <s v="PVM, SPR-P7-555-COM-S, I BF-G M4.3D EVO2Z6NL 1.5KV IT"/>
    <s v="EVO2A"/>
    <s v="±1400mm "/>
    <n v="555"/>
    <n v="1320"/>
    <n v="0.73299999999999998"/>
    <n v="40"/>
    <n v="2"/>
    <x v="0"/>
    <s v="COMPLETED"/>
    <m/>
    <d v="2025-12-22T00:00:00"/>
    <n v="52"/>
    <s v="POPV260217038"/>
    <m/>
    <s v="SHANGHAI"/>
    <x v="1"/>
    <x v="1"/>
    <d v="2025-12-30T00:00:00"/>
    <d v="2026-01-09T00:00:00"/>
    <d v="2026-01-08T00:00:00"/>
    <d v="2026-02-22T00:00:00"/>
    <d v="2026-03-30T00:00:00"/>
    <d v="2026-03-30T00:00:00"/>
    <s v="DAP"/>
    <s v="CSCL URANUS 107W"/>
    <s v="COSCO"/>
    <s v="TPVB20251219006"/>
    <x v="8"/>
    <s v="COSU6439187330"/>
    <n v="81"/>
    <m/>
    <d v="2026-03-30T00:00:00"/>
    <s v="In Stock-Approved "/>
    <d v="2026-04-13T00:00:00"/>
    <n v="7"/>
    <d v="2026-04-06T00:00:00"/>
    <n v="2026"/>
    <n v="4"/>
    <n v="15"/>
    <n v="33"/>
    <n v="660"/>
    <s v="White glazing"/>
    <s v="AEU"/>
  </r>
  <r>
    <s v="DEC003.04"/>
    <s v="Yixing"/>
    <s v="DEC003"/>
    <s v="UPP"/>
    <x v="0"/>
    <s v="Arrival Plan-SPES"/>
    <s v="DAP"/>
    <x v="1"/>
    <s v="n/a"/>
    <x v="4"/>
    <s v="PT0125122900789"/>
    <m/>
    <s v="n/a"/>
    <s v="n/a"/>
    <x v="0"/>
    <x v="3"/>
    <s v="HSM-ND78-GF640"/>
    <s v="EVO2A"/>
    <s v="±1400mm "/>
    <n v="640"/>
    <n v="1152"/>
    <n v="0.73699999999999999"/>
    <n v="32"/>
    <n v="2"/>
    <x v="0"/>
    <s v="COMPLETED"/>
    <m/>
    <d v="2025-12-27T00:00:00"/>
    <n v="52"/>
    <s v="POPV260115034"/>
    <m/>
    <s v="SHANGHAI"/>
    <x v="1"/>
    <x v="2"/>
    <d v="2025-12-30T00:00:00"/>
    <d v="2026-01-09T00:00:00"/>
    <d v="2026-01-08T00:00:00"/>
    <d v="2026-02-12T00:00:00"/>
    <d v="2026-03-07T00:00:00"/>
    <d v="2026-03-08T00:00:00"/>
    <s v="DAP"/>
    <s v="CSCL URANUS 107W"/>
    <s v="COSCO"/>
    <s v="TPVB20251219004"/>
    <x v="9"/>
    <s v="COSU6439185140"/>
    <n v="59"/>
    <m/>
    <d v="2026-03-08T00:00:00"/>
    <s v="In Stock-Approved "/>
    <d v="2026-03-19T00:00:00"/>
    <n v="9"/>
    <d v="2026-03-17T00:00:00"/>
    <n v="2026"/>
    <n v="3"/>
    <n v="12"/>
    <n v="36"/>
    <n v="576"/>
    <s v="Redirection Film"/>
    <s v="AEM"/>
  </r>
  <r>
    <s v="DEC012.05"/>
    <s v="Yixing"/>
    <s v="DEC012"/>
    <s v="CORE DG"/>
    <x v="0"/>
    <s v="Arrival Plan-SPTN"/>
    <s v="DAP"/>
    <x v="0"/>
    <s v="n/a"/>
    <x v="5"/>
    <m/>
    <m/>
    <s v="n/a"/>
    <s v="n/a"/>
    <x v="1"/>
    <x v="4"/>
    <s v="TCL-MG720DT210-68NS"/>
    <s v="EVO2A"/>
    <s v="±1400mm "/>
    <n v="720"/>
    <n v="4752"/>
    <n v="3.4209999999999998"/>
    <n v="144"/>
    <n v="8"/>
    <x v="0"/>
    <s v="COMPLETED"/>
    <m/>
    <d v="2025-12-30T00:00:00"/>
    <n v="1"/>
    <s v="POPV260224033"/>
    <m/>
    <s v="SHANGHAI"/>
    <x v="1"/>
    <x v="0"/>
    <d v="2026-01-05T00:00:00"/>
    <d v="2026-01-07T00:00:00"/>
    <d v="2026-01-08T00:00:00"/>
    <d v="2026-02-20T00:00:00"/>
    <d v="2026-03-17T00:00:00"/>
    <d v="2026-03-18T00:00:00"/>
    <s v="DAP"/>
    <s v="EVER GOLDEN 0733-031W"/>
    <s v="COSCO"/>
    <s v="TPVB20251219005"/>
    <x v="10"/>
    <s v="COSU6440016030"/>
    <n v="69"/>
    <m/>
    <d v="2026-03-18T00:00:00"/>
    <s v="In Stock-Approved "/>
    <d v="2026-03-31T00:00:00"/>
    <n v="8"/>
    <d v="2026-03-26T00:00:00"/>
    <n v="2026"/>
    <n v="3"/>
    <n v="13"/>
    <n v="33"/>
    <n v="594"/>
    <s v="White glazing"/>
    <s v="AEM"/>
  </r>
  <r>
    <s v="NOV005.02"/>
    <s v="Yixing"/>
    <s v="NOV005"/>
    <s v="CORE DG"/>
    <x v="0"/>
    <s v="Arrival Plan-SPTN"/>
    <s v="DAP"/>
    <x v="0"/>
    <s v="n/a"/>
    <x v="9"/>
    <m/>
    <m/>
    <s v="n/a"/>
    <s v="n/a"/>
    <x v="1"/>
    <x v="6"/>
    <s v="TCL-MR465DT182-58NS"/>
    <s v="EVO2A"/>
    <s v="±1200mm "/>
    <n v="465"/>
    <n v="4320"/>
    <n v="2.0089999999999999"/>
    <n v="120"/>
    <n v="5"/>
    <x v="0"/>
    <s v="COMPLETED"/>
    <m/>
    <d v="2025-12-30T00:00:00"/>
    <n v="1"/>
    <s v="POPV260224034"/>
    <m/>
    <s v="SHANGHAI"/>
    <x v="1"/>
    <x v="0"/>
    <d v="2026-01-05T00:00:00"/>
    <d v="2026-01-07T00:00:00"/>
    <d v="2026-01-08T00:00:00"/>
    <d v="2026-02-20T00:00:00"/>
    <d v="2026-03-17T00:00:00"/>
    <d v="2026-03-18T00:00:00"/>
    <s v="DAP"/>
    <s v="EVER GOLDEN 0733-031W"/>
    <s v="COSCO"/>
    <s v="TPVB20251219005"/>
    <x v="10"/>
    <s v="COSU6440016030"/>
    <n v="69"/>
    <m/>
    <d v="2026-03-18T00:00:00"/>
    <s v="In Stock-Approved "/>
    <d v="2026-03-31T00:00:00"/>
    <n v="8"/>
    <d v="2026-03-26T00:00:00"/>
    <n v="2026"/>
    <n v="3"/>
    <n v="13"/>
    <n v="36"/>
    <n v="864"/>
    <s v="White glazing"/>
    <s v="AEM"/>
  </r>
  <r>
    <s v="OCT007.08"/>
    <s v="Tianjin"/>
    <s v="OCT007"/>
    <s v="CORE DG"/>
    <x v="0"/>
    <s v="Arrival Plan-SPNL"/>
    <s v="DAP"/>
    <x v="0"/>
    <s v="n/a"/>
    <x v="10"/>
    <n v="46011059"/>
    <m/>
    <s v="n/a"/>
    <s v="n/a"/>
    <x v="0"/>
    <x v="7"/>
    <s v="HSM-ND48-DR450"/>
    <s v="EVO2A"/>
    <s v="±1200mm "/>
    <n v="450"/>
    <n v="1872"/>
    <n v="0.84199999999999997"/>
    <n v="52"/>
    <n v="2"/>
    <x v="0"/>
    <s v="COMPLETED"/>
    <s v="　"/>
    <d v="2025-12-25T00:00:00"/>
    <n v="52"/>
    <s v="POPV260115023"/>
    <s v="　"/>
    <s v="TIANJIN"/>
    <x v="0"/>
    <x v="1"/>
    <d v="2026-01-05T00:00:00"/>
    <d v="2026-01-05T00:00:00"/>
    <d v="2026-01-05T00:00:00"/>
    <d v="2026-02-28T00:00:00"/>
    <d v="2026-03-13T00:00:00"/>
    <d v="2026-03-13T00:00:00"/>
    <s v="DAP"/>
    <s v="COSCO SHIPPING GALAXY 028W"/>
    <s v="COSCO"/>
    <s v="TPVB20251219008"/>
    <x v="11"/>
    <s v="COSU9505242760"/>
    <n v="67"/>
    <s v="SWB"/>
    <d v="2026-03-13T00:00:00"/>
    <s v="In Stock-Approved "/>
    <d v="2026-03-16T00:00:00"/>
    <n v="7"/>
    <d v="2026-03-20T00:00:00"/>
    <n v="2026"/>
    <n v="3"/>
    <n v="12"/>
    <n v="36"/>
    <n v="936"/>
    <s v="Black glazing"/>
    <s v="AEU"/>
  </r>
  <r>
    <s v="NOV009"/>
    <s v="Tianjin"/>
    <s v="Main Line"/>
    <s v="CORE DG"/>
    <x v="0"/>
    <s v="Arrival Plan-SPTN"/>
    <s v="DAP"/>
    <x v="0"/>
    <s v="n/a"/>
    <x v="2"/>
    <m/>
    <m/>
    <s v="n/a"/>
    <s v="n/a"/>
    <x v="0"/>
    <x v="8"/>
    <s v="HSM-ND48-DR455_CFP"/>
    <s v="EVO2A"/>
    <s v="±1200mm "/>
    <n v="455"/>
    <n v="5616"/>
    <n v="2.5550000000000002"/>
    <n v="156"/>
    <n v="6"/>
    <x v="0"/>
    <s v="COMPLETED"/>
    <s v="　"/>
    <d v="2025-12-25T00:00:00"/>
    <n v="52"/>
    <s v="POPV260204032"/>
    <s v="　"/>
    <s v="TIANJIN"/>
    <x v="0"/>
    <x v="0"/>
    <d v="2026-01-05T00:00:00"/>
    <d v="2026-01-05T00:00:00"/>
    <d v="2026-01-05T00:00:00"/>
    <d v="2026-03-09T00:00:00"/>
    <d v="2026-03-20T00:00:00"/>
    <d v="2026-03-21T00:00:00"/>
    <s v="DAP"/>
    <s v="COSCO SHIPPING GALAXY 028W"/>
    <s v="COSCO"/>
    <s v="TPVB20251219009"/>
    <x v="12"/>
    <s v="COSU6439291780"/>
    <n v="75"/>
    <s v="SWB"/>
    <d v="2026-03-21T00:00:00"/>
    <s v="In Stock-Approved "/>
    <d v="2026-04-03T00:00:00"/>
    <n v="8"/>
    <d v="2026-03-29T00:00:00"/>
    <n v="2026"/>
    <n v="3"/>
    <n v="13"/>
    <n v="36"/>
    <n v="936"/>
    <s v="Transparent"/>
    <s v="AEM"/>
  </r>
  <r>
    <s v="DEC009.10"/>
    <s v="Yixing"/>
    <s v="DEC009"/>
    <s v="CORE DG"/>
    <x v="0"/>
    <s v="Arrival Plan-SPNL"/>
    <s v="DAP"/>
    <x v="0"/>
    <s v="n/a"/>
    <x v="2"/>
    <m/>
    <m/>
    <s v="n/a"/>
    <s v="n/a"/>
    <x v="2"/>
    <x v="5"/>
    <s v="PVM, SPR-P7-555-COM-S, I BF-G M4.3D EVO2Z6NL 1.5KV IT"/>
    <s v="EVO2A"/>
    <s v="±1400mm "/>
    <n v="555"/>
    <n v="660"/>
    <n v="0.36599999999999999"/>
    <n v="20"/>
    <n v="1"/>
    <x v="0"/>
    <s v="COMPLETED"/>
    <m/>
    <d v="2026-01-06T00:00:00"/>
    <n v="2"/>
    <s v="POPV260126026"/>
    <m/>
    <s v="SHANGHAI"/>
    <x v="1"/>
    <x v="1"/>
    <d v="2026-01-09T00:00:00"/>
    <d v="2026-01-14T00:00:00"/>
    <d v="2026-01-13T00:00:00"/>
    <d v="2026-02-16T00:00:00"/>
    <d v="2026-03-06T00:00:00"/>
    <d v="2026-03-06T00:00:00"/>
    <s v="DAP"/>
    <s v="COSCO NETHERLANDS 075W"/>
    <s v="COSCO"/>
    <s v="TPVB20260102009"/>
    <x v="13"/>
    <s v="COSU6440379730"/>
    <n v="52"/>
    <m/>
    <d v="2026-03-06T00:00:00"/>
    <s v="In Stock-Approved "/>
    <d v="2026-03-20T00:00:00"/>
    <n v="7"/>
    <d v="2026-03-13T00:00:00"/>
    <n v="2026"/>
    <n v="3"/>
    <n v="11"/>
    <n v="33"/>
    <n v="660"/>
    <s v="White glazing"/>
    <s v="AEU"/>
  </r>
  <r>
    <s v="NOV017.11"/>
    <s v="Yixing"/>
    <s v="NOV017"/>
    <s v="UPP"/>
    <x v="0"/>
    <s v="Arrival Plan-SPNL"/>
    <s v="DAP"/>
    <x v="0"/>
    <s v="n/a"/>
    <x v="11"/>
    <s v="FR0125122900699"/>
    <m/>
    <s v="n/a"/>
    <s v="n/a"/>
    <x v="0"/>
    <x v="9"/>
    <s v="HSM-ND66-GR625 CFP"/>
    <s v="EVO2A"/>
    <s v="±1400mm "/>
    <n v="625"/>
    <n v="2880"/>
    <n v="1.8"/>
    <n v="80"/>
    <n v="4"/>
    <x v="0"/>
    <s v="COMPLETED"/>
    <m/>
    <d v="2026-01-06T00:00:00"/>
    <n v="2"/>
    <s v="POPV260126028"/>
    <m/>
    <s v="SHANGHAI"/>
    <x v="1"/>
    <x v="1"/>
    <d v="2026-01-11T00:00:00"/>
    <d v="2026-01-11T00:00:00"/>
    <d v="2026-01-10T00:00:00"/>
    <d v="2026-02-17T00:00:00"/>
    <d v="2026-02-21T00:00:00"/>
    <d v="2026-02-25T00:00:00"/>
    <s v="DAP"/>
    <s v="CMA CGM SAINT GERMAIN 0FMLKW1MA"/>
    <s v="OTHER"/>
    <s v="TPVB20260102001"/>
    <x v="14"/>
    <s v="CHN2962495"/>
    <n v="46"/>
    <m/>
    <d v="2026-02-25T00:00:00"/>
    <s v="In Stock-Approved "/>
    <d v="2026-03-09T00:00:00"/>
    <n v="7"/>
    <d v="2026-03-04T00:00:00"/>
    <n v="2026"/>
    <n v="3"/>
    <n v="10"/>
    <n v="36"/>
    <n v="720"/>
    <s v="Redirection Film"/>
    <s v="AEU"/>
  </r>
  <r>
    <s v="NOV017.09"/>
    <s v="Yixing"/>
    <s v="NOV017"/>
    <s v="UPP"/>
    <x v="0"/>
    <s v="Arrival Plan-SPNL"/>
    <s v="DAP"/>
    <x v="0"/>
    <s v="n/a"/>
    <x v="11"/>
    <s v="FR0125122900699"/>
    <m/>
    <s v="n/a"/>
    <s v="n/a"/>
    <x v="0"/>
    <x v="9"/>
    <s v="HSM-ND66-GR625 CFP"/>
    <s v="EVO2A"/>
    <s v="±1400mm "/>
    <n v="625"/>
    <n v="5040"/>
    <n v="3.15"/>
    <n v="140"/>
    <n v="7"/>
    <x v="0"/>
    <s v="COMPLETED"/>
    <m/>
    <d v="2026-01-06T00:00:00"/>
    <n v="2"/>
    <s v="POPV260126029"/>
    <m/>
    <s v="SHANGHAI"/>
    <x v="1"/>
    <x v="1"/>
    <d v="2026-01-11T00:00:00"/>
    <d v="2026-01-11T00:00:00"/>
    <d v="2026-01-10T00:00:00"/>
    <d v="2026-02-17T00:00:00"/>
    <d v="2026-02-21T00:00:00"/>
    <d v="2026-02-25T00:00:00"/>
    <s v="DAP"/>
    <s v="CMA CGM SAINT GERMAIN 0FMLKW1MA"/>
    <s v="OTHER"/>
    <s v="TPVB20260102001"/>
    <x v="14"/>
    <s v="CHN2962495"/>
    <n v="46"/>
    <m/>
    <d v="2026-02-25T00:00:00"/>
    <s v="In Stock-Approved "/>
    <d v="2026-03-09T00:00:00"/>
    <n v="7"/>
    <d v="2026-03-04T00:00:00"/>
    <n v="2026"/>
    <n v="3"/>
    <n v="10"/>
    <n v="36"/>
    <n v="720"/>
    <s v="Redirection Film"/>
    <s v="AEU"/>
  </r>
  <r>
    <s v="DEC009.01"/>
    <s v="Yixing"/>
    <s v="DEC009"/>
    <s v="CORE DG"/>
    <x v="0"/>
    <s v="Arrival Plan-SPTN"/>
    <s v="DAP"/>
    <x v="0"/>
    <s v="n/a"/>
    <x v="2"/>
    <m/>
    <m/>
    <s v="n/a"/>
    <s v="n/a"/>
    <x v="2"/>
    <x v="5"/>
    <s v="PVM, SPR-P7-555-COM-S, I BF-G M4.3D EVO2Z6NL 1.5KV IT"/>
    <s v="EVO2A"/>
    <s v="±1400mm "/>
    <n v="555"/>
    <n v="1320"/>
    <n v="0.73299999999999998"/>
    <n v="40"/>
    <n v="2"/>
    <x v="0"/>
    <s v="COMPLETED"/>
    <m/>
    <d v="2026-01-02T00:00:00"/>
    <n v="1"/>
    <s v="POPV260126033"/>
    <m/>
    <s v="SHANGHAI"/>
    <x v="1"/>
    <x v="0"/>
    <d v="2026-01-06T00:00:00"/>
    <d v="2026-01-07T00:00:00"/>
    <d v="2026-01-07T00:00:00"/>
    <d v="2026-02-24T00:00:00"/>
    <d v="2026-03-02T00:00:00"/>
    <d v="2026-03-02T00:00:00"/>
    <s v="DAP"/>
    <s v="CMA CGM BIG SUR 0MEMRW1MA"/>
    <s v="COSCO"/>
    <s v="TPVB20260102003"/>
    <x v="15"/>
    <s v="COSU6440380050"/>
    <n v="54"/>
    <m/>
    <d v="2026-03-02T00:00:00"/>
    <s v="In Stock-Approved "/>
    <d v="2026-03-16T00:00:00"/>
    <n v="8"/>
    <d v="2026-03-10T00:00:00"/>
    <n v="2026"/>
    <n v="3"/>
    <n v="11"/>
    <n v="33"/>
    <n v="660"/>
    <s v="White glazing"/>
    <s v="AEM"/>
  </r>
  <r>
    <s v="DEC009.06"/>
    <s v="Yixing"/>
    <s v="DEC009"/>
    <s v="CORE DG"/>
    <x v="0"/>
    <s v="Arrival Plan-SPTN"/>
    <s v="DAP"/>
    <x v="0"/>
    <s v="n/a"/>
    <x v="12"/>
    <m/>
    <m/>
    <s v="n/a"/>
    <s v="n/a"/>
    <x v="2"/>
    <x v="5"/>
    <s v="PVM, SPR-P7-555-COM-S, I BF-G M4.3D EVO2Z6NL 1.5KV IT"/>
    <s v="EVO2A"/>
    <s v="±1400mm "/>
    <n v="555"/>
    <n v="1320"/>
    <n v="0.73299999999999998"/>
    <n v="40"/>
    <n v="2"/>
    <x v="0"/>
    <s v="COMPLETED"/>
    <m/>
    <d v="2026-01-02T00:00:00"/>
    <n v="1"/>
    <s v="POPV260127044"/>
    <m/>
    <s v="SHANGHAI"/>
    <x v="1"/>
    <x v="0"/>
    <d v="2026-01-06T00:00:00"/>
    <d v="2026-01-07T00:00:00"/>
    <d v="2026-01-07T00:00:00"/>
    <d v="2026-02-24T00:00:00"/>
    <d v="2026-03-02T00:00:00"/>
    <d v="2026-03-02T00:00:00"/>
    <s v="DAP"/>
    <s v="CMA CGM BIG SUR"/>
    <s v="COSCO"/>
    <s v="TPVB20260102003"/>
    <x v="15"/>
    <s v="COSU6440380050"/>
    <n v="54"/>
    <m/>
    <d v="2026-03-02T00:00:00"/>
    <s v="In Stock-Approved "/>
    <d v="2026-03-16T00:00:00"/>
    <n v="8"/>
    <d v="2026-03-10T00:00:00"/>
    <n v="2026"/>
    <n v="3"/>
    <n v="11"/>
    <n v="33"/>
    <n v="660"/>
    <s v="White glazing"/>
    <s v="AEM"/>
  </r>
  <r>
    <s v="DEC003.11"/>
    <s v="Yixing"/>
    <s v="DEC003"/>
    <s v="UPP"/>
    <x v="0"/>
    <s v="Arrival Plan-SPES"/>
    <s v="DAP"/>
    <x v="1"/>
    <s v="n/a"/>
    <x v="4"/>
    <s v="PT0125122900789"/>
    <m/>
    <s v="n/a"/>
    <s v="n/a"/>
    <x v="0"/>
    <x v="3"/>
    <s v="HSM-ND78-GF640"/>
    <s v="EVO2A"/>
    <s v="±1400mm "/>
    <n v="640"/>
    <n v="1152"/>
    <n v="0.73699999999999999"/>
    <n v="32"/>
    <n v="2"/>
    <x v="0"/>
    <s v="COMPLETED"/>
    <m/>
    <d v="2026-01-02T00:00:00"/>
    <n v="1"/>
    <s v="POPV260126030"/>
    <m/>
    <s v="SHANGHAI"/>
    <x v="1"/>
    <x v="2"/>
    <d v="2026-01-06T00:00:00"/>
    <d v="2026-01-07T00:00:00"/>
    <d v="2026-01-07T00:00:00"/>
    <d v="2026-02-19T00:00:00"/>
    <d v="2026-02-19T00:00:00"/>
    <d v="2026-02-22T00:00:00"/>
    <s v="DAP"/>
    <s v="CMA CGM BIG SUR 0MEMRW1MA"/>
    <s v="COSCO"/>
    <s v="TPVB20260102004"/>
    <x v="16"/>
    <s v="COSU6440380240"/>
    <n v="46"/>
    <m/>
    <d v="2026-02-22T00:00:00"/>
    <s v="In Stock-Approved "/>
    <d v="2026-03-05T00:00:00"/>
    <n v="9"/>
    <d v="2026-03-03T00:00:00"/>
    <n v="2026"/>
    <n v="3"/>
    <n v="10"/>
    <n v="36"/>
    <n v="576"/>
    <s v="Redirection Film"/>
    <s v="AEM"/>
  </r>
  <r>
    <s v="DEC003.12.01"/>
    <s v="Yixing"/>
    <s v="DEC003"/>
    <s v="UPP"/>
    <x v="0"/>
    <s v="Arrival Plan-SPES"/>
    <s v="DAP"/>
    <x v="1"/>
    <s v="n/a"/>
    <x v="4"/>
    <s v="PT0125122900789"/>
    <m/>
    <s v="n/a"/>
    <s v="n/a"/>
    <x v="0"/>
    <x v="3"/>
    <s v="HSM-ND78-GF640"/>
    <s v="EVO2A"/>
    <s v="±1400mm "/>
    <n v="640"/>
    <n v="967"/>
    <n v="0.61899999999999999"/>
    <n v="26.9"/>
    <n v="1.7"/>
    <x v="0"/>
    <s v="COMPLETED"/>
    <m/>
    <d v="2026-01-05T00:00:00"/>
    <n v="2"/>
    <s v="POPV260126032"/>
    <m/>
    <s v="SHANGHAI"/>
    <x v="1"/>
    <x v="2"/>
    <d v="2026-01-10T00:00:00"/>
    <d v="2026-01-13T00:00:00"/>
    <d v="2026-01-13T00:00:00"/>
    <d v="2026-02-19T00:00:00"/>
    <d v="2026-02-23T00:00:00"/>
    <d v="2026-02-25T00:00:00"/>
    <s v="DAP"/>
    <s v="CSCL MERCURY 098W"/>
    <s v="COSCO"/>
    <s v="TPVB20260102005"/>
    <x v="17"/>
    <s v="COSU6440381610"/>
    <n v="43"/>
    <m/>
    <d v="2026-02-25T00:00:00"/>
    <s v="In Stock-Approved "/>
    <d v="2026-03-11T00:00:00"/>
    <n v="9"/>
    <d v="2026-03-06T00:00:00"/>
    <n v="2026"/>
    <n v="3"/>
    <n v="10"/>
    <n v="36"/>
    <n v="576"/>
    <s v="Redirection Film"/>
    <s v="AEM"/>
  </r>
  <r>
    <s v="DEC003.12"/>
    <s v="Yixing"/>
    <s v="DEC003"/>
    <s v="UPP"/>
    <x v="0"/>
    <s v="Arrival Plan-SPES"/>
    <s v="DAP"/>
    <x v="1"/>
    <s v="n/a"/>
    <x v="4"/>
    <s v="PT0125122900789"/>
    <m/>
    <s v="n/a"/>
    <s v="n/a"/>
    <x v="0"/>
    <x v="3"/>
    <s v="HSM-ND78-GF640"/>
    <s v="EVO2A"/>
    <s v="±1400mm "/>
    <n v="640"/>
    <n v="761"/>
    <n v="0.48699999999999999"/>
    <n v="21.1"/>
    <n v="1.3"/>
    <x v="0"/>
    <s v="COMPLETED"/>
    <m/>
    <d v="2026-01-05T00:00:00"/>
    <n v="2"/>
    <s v="POPV260126032"/>
    <m/>
    <s v="SHANGHAI"/>
    <x v="1"/>
    <x v="2"/>
    <d v="2026-01-10T00:00:00"/>
    <d v="2026-01-13T00:00:00"/>
    <d v="2026-01-13T00:00:00"/>
    <d v="2026-02-19T00:00:00"/>
    <d v="2026-02-23T00:00:00"/>
    <d v="2026-02-25T00:00:00"/>
    <s v="DAP"/>
    <s v="CSCL MERCURY 098W"/>
    <s v="COSCO"/>
    <s v="TPVB20260102005"/>
    <x v="17"/>
    <s v="COSU6440381610"/>
    <n v="43"/>
    <m/>
    <d v="2026-02-25T00:00:00"/>
    <s v="In Stock-Approved "/>
    <d v="2026-03-11T00:00:00"/>
    <n v="9"/>
    <d v="2026-03-06T00:00:00"/>
    <n v="2026"/>
    <n v="3"/>
    <n v="10"/>
    <n v="36"/>
    <n v="576"/>
    <s v="Redirection Film"/>
    <s v="AEM"/>
  </r>
  <r>
    <s v="DEC003.13"/>
    <s v="Yixing"/>
    <s v="DEC003"/>
    <s v="UPP"/>
    <x v="0"/>
    <s v="Arrival Plan-SPES"/>
    <s v="DAP"/>
    <x v="1"/>
    <s v="n/a"/>
    <x v="4"/>
    <s v="PT0125122900789"/>
    <m/>
    <s v="n/a"/>
    <s v="n/a"/>
    <x v="0"/>
    <x v="3"/>
    <s v="HSM-ND78-GF640"/>
    <s v="EVO2A"/>
    <s v="±1400mm "/>
    <n v="640"/>
    <n v="1728"/>
    <n v="1.1060000000000001"/>
    <n v="48"/>
    <n v="3"/>
    <x v="0"/>
    <s v="COMPLETED"/>
    <m/>
    <d v="2026-01-04T00:00:00"/>
    <n v="1"/>
    <s v="POPV260206008"/>
    <m/>
    <s v="SHANGHAI"/>
    <x v="1"/>
    <x v="2"/>
    <d v="2026-01-09T00:00:00"/>
    <m/>
    <d v="2026-01-08T00:00:00"/>
    <d v="2026-03-05T00:00:00"/>
    <d v="2026-03-07T00:00:00"/>
    <d v="2026-03-08T00:00:00"/>
    <s v="DAP"/>
    <s v="COSCO SHIPPING SCORPIO 033W"/>
    <s v="COSCO"/>
    <s v="TPVB20260102006"/>
    <x v="18"/>
    <s v="COSU6440381320"/>
    <n v="59"/>
    <m/>
    <d v="2026-03-08T00:00:00"/>
    <s v="In Stock-Approved "/>
    <d v="2026-03-19T00:00:00"/>
    <n v="9"/>
    <d v="2026-03-17T00:00:00"/>
    <n v="2026"/>
    <n v="3"/>
    <n v="12"/>
    <n v="36"/>
    <n v="576"/>
    <s v="Redirection Film"/>
    <s v="AEM"/>
  </r>
  <r>
    <s v="NOV005.03"/>
    <s v="Yixing"/>
    <s v="NOV005"/>
    <s v="CORE DG"/>
    <x v="0"/>
    <s v="Arrival Plan-SPTN"/>
    <s v="DAP"/>
    <x v="0"/>
    <s v="n/a"/>
    <x v="9"/>
    <m/>
    <m/>
    <s v="n/a"/>
    <s v="n/a"/>
    <x v="1"/>
    <x v="6"/>
    <s v="TCL-MR465DT182-58NS"/>
    <s v="EVO2A"/>
    <s v="±1200mm "/>
    <n v="465"/>
    <n v="1728"/>
    <n v="0.80400000000000005"/>
    <n v="48"/>
    <n v="2"/>
    <x v="0"/>
    <s v="COMPLETED"/>
    <m/>
    <d v="2026-01-04T00:00:00"/>
    <n v="1"/>
    <s v="POPV260224032"/>
    <m/>
    <s v="SHANGHAI"/>
    <x v="1"/>
    <x v="0"/>
    <d v="2026-01-09T00:00:00"/>
    <m/>
    <d v="2026-01-08T00:00:00"/>
    <d v="2026-02-25T00:00:00"/>
    <d v="2026-03-02T00:00:00"/>
    <d v="2026-03-03T00:00:00"/>
    <s v="DAP"/>
    <s v="COSCO SHIPPING SCORPIO 033W"/>
    <s v="COSCO"/>
    <s v="TPVB20260102007"/>
    <x v="19"/>
    <s v="COSU6440242670"/>
    <n v="54"/>
    <m/>
    <d v="2026-03-03T00:00:00"/>
    <s v="In Stock-Approved "/>
    <d v="2026-03-16T00:00:00"/>
    <n v="8"/>
    <d v="2026-03-11T00:00:00"/>
    <n v="2026"/>
    <n v="3"/>
    <n v="11"/>
    <n v="36"/>
    <n v="864"/>
    <s v="White glazing"/>
    <s v="AEM"/>
  </r>
  <r>
    <s v="NOV005.04"/>
    <s v="Yixing"/>
    <s v="NOV005"/>
    <s v="CORE DG"/>
    <x v="0"/>
    <s v="Arrival Plan-SPNL"/>
    <s v="DAP"/>
    <x v="0"/>
    <s v="n/a"/>
    <x v="3"/>
    <m/>
    <m/>
    <s v="n/a"/>
    <s v="n/a"/>
    <x v="1"/>
    <x v="6"/>
    <s v="TCL-MR465DT182-58NS"/>
    <s v="EVO2A"/>
    <s v="±1200mm "/>
    <n v="465"/>
    <n v="864"/>
    <n v="0.40200000000000002"/>
    <n v="24"/>
    <n v="1"/>
    <x v="0"/>
    <s v="COMPLETED"/>
    <m/>
    <d v="2026-01-04T00:00:00"/>
    <n v="1"/>
    <s v="POPV260417059"/>
    <m/>
    <s v="SHANGHAI"/>
    <x v="1"/>
    <x v="1"/>
    <d v="2026-01-09T00:00:00"/>
    <m/>
    <d v="2026-01-08T00:00:00"/>
    <d v="2026-02-27T00:00:00"/>
    <d v="2026-03-30T00:00:00"/>
    <d v="2026-03-30T00:00:00"/>
    <s v="DAP"/>
    <s v="COSCO SHIPPING SCORPIO 033W"/>
    <s v="COSCO"/>
    <s v="TPVB20260102008"/>
    <x v="20"/>
    <s v="COSU6440242960"/>
    <n v="81"/>
    <m/>
    <d v="2026-03-30T00:00:00"/>
    <s v="In Stock-Approved "/>
    <d v="2026-05-04T00:00:00"/>
    <n v="7"/>
    <d v="2026-04-06T00:00:00"/>
    <n v="2026"/>
    <n v="4"/>
    <n v="15"/>
    <n v="36"/>
    <n v="864"/>
    <s v="White glazing"/>
    <s v="AEU"/>
  </r>
  <r>
    <s v="DEC009.04"/>
    <s v="Yixing"/>
    <s v="DEC009"/>
    <s v="CORE DG"/>
    <x v="0"/>
    <s v="Arrival Plan-SPNL"/>
    <s v="DAP"/>
    <x v="0"/>
    <s v="n/a"/>
    <x v="8"/>
    <m/>
    <m/>
    <s v="n/a"/>
    <s v="n/a"/>
    <x v="2"/>
    <x v="5"/>
    <s v="PVM, SPR-P7-555-COM-S, I BF-G M4.3D EVO2Z6NL 1.5KV IT"/>
    <s v="EVO2A"/>
    <s v="±1400mm "/>
    <n v="555"/>
    <n v="660"/>
    <n v="0.36599999999999999"/>
    <n v="20"/>
    <n v="1"/>
    <x v="0"/>
    <s v="COMPLETED"/>
    <m/>
    <d v="2026-01-04T00:00:00"/>
    <n v="1"/>
    <s v="POPV260217039"/>
    <m/>
    <s v="SHANGHAI"/>
    <x v="1"/>
    <x v="1"/>
    <d v="2026-01-09T00:00:00"/>
    <m/>
    <d v="2026-01-08T00:00:00"/>
    <d v="2026-02-27T00:00:00"/>
    <d v="2026-03-30T00:00:00"/>
    <d v="2026-03-30T00:00:00"/>
    <s v="DAP"/>
    <s v="COSCO SHIPPING SCORPIO 033W"/>
    <s v="COSCO"/>
    <s v="TPVB20260102008"/>
    <x v="20"/>
    <s v="COSU6440242960"/>
    <n v="81"/>
    <m/>
    <d v="2026-03-30T00:00:00"/>
    <s v="In Stock-Approved "/>
    <d v="2026-04-13T00:00:00"/>
    <n v="7"/>
    <d v="2026-04-06T00:00:00"/>
    <n v="2026"/>
    <n v="4"/>
    <n v="15"/>
    <n v="33"/>
    <n v="660"/>
    <s v="White glazing"/>
    <s v="AEU"/>
  </r>
  <r>
    <s v="DEC009.11"/>
    <s v="Yixing"/>
    <s v="DEC009"/>
    <s v="CORE DG"/>
    <x v="0"/>
    <s v="Arrival Plan-SPNL"/>
    <s v="DAP"/>
    <x v="0"/>
    <s v="n/a"/>
    <x v="2"/>
    <m/>
    <m/>
    <s v="n/a"/>
    <s v="n/a"/>
    <x v="2"/>
    <x v="5"/>
    <s v="PVM, SPR-P7-555-COM-S, I BF-G M4.3D EVO2Z6NL 1.5KV IT"/>
    <s v="EVO2A"/>
    <s v="±1400mm "/>
    <n v="555"/>
    <n v="1320"/>
    <n v="0.73299999999999998"/>
    <n v="40"/>
    <n v="2"/>
    <x v="0"/>
    <s v="COMPLETED"/>
    <m/>
    <d v="2026-01-07T00:00:00"/>
    <n v="2"/>
    <s v="POPV260126031"/>
    <m/>
    <s v="SHANGHAI"/>
    <x v="1"/>
    <x v="1"/>
    <d v="2026-01-13T00:00:00"/>
    <d v="2026-01-15T00:00:00"/>
    <d v="2026-01-15T00:00:00"/>
    <d v="2026-02-18T00:00:00"/>
    <d v="2026-03-02T00:00:00"/>
    <d v="2026-03-02T00:00:00"/>
    <s v="DAP"/>
    <s v="EVER APEX 1383-013W"/>
    <s v="COSCO"/>
    <s v="TPVB20260109002"/>
    <x v="21"/>
    <s v="COSU6441128810"/>
    <n v="46"/>
    <m/>
    <d v="2026-03-02T00:00:00"/>
    <s v="In Stock-Approved "/>
    <d v="2026-03-16T00:00:00"/>
    <n v="7"/>
    <d v="2026-03-09T00:00:00"/>
    <n v="2026"/>
    <n v="3"/>
    <n v="11"/>
    <n v="33"/>
    <n v="660"/>
    <s v="White glazing"/>
    <s v="AEU"/>
  </r>
  <r>
    <s v="DEC003.06"/>
    <s v="Yixing"/>
    <s v="DEC003"/>
    <s v="UPP"/>
    <x v="0"/>
    <s v="Arrival Plan-SPES"/>
    <s v="DAP"/>
    <x v="1"/>
    <s v="n/a"/>
    <x v="4"/>
    <s v="PT0125122900795"/>
    <m/>
    <s v="n/a"/>
    <s v="n/a"/>
    <x v="0"/>
    <x v="3"/>
    <s v="HSM-ND78-GF640"/>
    <s v="EVO2A"/>
    <s v="±1400mm "/>
    <n v="640"/>
    <n v="1152"/>
    <n v="0.73699999999999999"/>
    <n v="32"/>
    <n v="2"/>
    <x v="0"/>
    <s v="COMPLETED"/>
    <m/>
    <d v="2026-01-12T00:00:00"/>
    <n v="3"/>
    <s v="POPV260206007"/>
    <m/>
    <s v="SHANGHAI"/>
    <x v="1"/>
    <x v="2"/>
    <d v="2026-01-20T00:00:00"/>
    <d v="2026-01-22T00:00:00"/>
    <d v="2026-01-22T00:00:00"/>
    <d v="2026-02-28T00:00:00"/>
    <d v="2026-03-02T00:00:00"/>
    <d v="2026-03-03T00:00:00"/>
    <s v="DAP"/>
    <s v="CSCL SATURN 087W"/>
    <s v="COSCO"/>
    <s v="TPVB20260109003"/>
    <x v="22"/>
    <s v="COSU6441114300"/>
    <n v="40"/>
    <m/>
    <d v="2026-03-03T00:00:00"/>
    <s v="In Stock-Approved "/>
    <d v="2026-03-14T00:00:00"/>
    <n v="9"/>
    <d v="2026-03-12T00:00:00"/>
    <n v="2026"/>
    <n v="3"/>
    <n v="11"/>
    <n v="36"/>
    <n v="576"/>
    <s v="Redirection Film"/>
    <s v="AEM"/>
  </r>
  <r>
    <s v="DEC003.05"/>
    <s v="Yixing"/>
    <s v="DEC003"/>
    <s v="UPP"/>
    <x v="0"/>
    <s v="Arrival Plan-SPES"/>
    <s v="DAP"/>
    <x v="1"/>
    <s v="n/a"/>
    <x v="4"/>
    <s v="PT0125122900789"/>
    <m/>
    <s v="n/a"/>
    <s v="n/a"/>
    <x v="0"/>
    <x v="3"/>
    <s v="HSM-ND78-GF640"/>
    <s v="EVO2A"/>
    <s v="±1400mm "/>
    <n v="640"/>
    <n v="2124"/>
    <n v="1.359"/>
    <n v="59"/>
    <n v="3.7"/>
    <x v="0"/>
    <s v="COMPLETED"/>
    <m/>
    <d v="2026-01-07T00:00:00"/>
    <n v="2"/>
    <s v="POPV260129005"/>
    <m/>
    <s v="SHANGHAI"/>
    <x v="1"/>
    <x v="2"/>
    <d v="2026-01-13T00:00:00"/>
    <d v="2026-01-19T00:00:00"/>
    <d v="2026-01-19T00:00:00"/>
    <d v="2026-02-26T00:00:00"/>
    <d v="2026-02-26T00:00:00"/>
    <d v="2026-02-26T00:00:00"/>
    <s v="DAP"/>
    <s v="CMA CGM CEDRUS 0MEMTW1MA"/>
    <s v="COSCO"/>
    <s v="TPVB20260109004"/>
    <x v="23"/>
    <s v="COSU6440662920"/>
    <n v="38"/>
    <m/>
    <d v="2026-02-26T00:00:00"/>
    <s v="In Stock-Approved "/>
    <d v="2026-03-12T00:00:00"/>
    <n v="9"/>
    <d v="2026-03-07T00:00:00"/>
    <n v="2026"/>
    <n v="3"/>
    <n v="10"/>
    <n v="36"/>
    <n v="576"/>
    <s v="Redirection Film"/>
    <s v="AEM"/>
  </r>
  <r>
    <s v="DEC003.10"/>
    <s v="Yixing"/>
    <s v="DEC003"/>
    <s v="UPP"/>
    <x v="0"/>
    <s v="Arrival Plan-SPES"/>
    <s v="DAP"/>
    <x v="1"/>
    <s v="n/a"/>
    <x v="4"/>
    <s v="PT0125122900795"/>
    <m/>
    <s v="n/a"/>
    <s v="n/a"/>
    <x v="0"/>
    <x v="3"/>
    <s v="HSM-ND78-GF640"/>
    <s v="EVO2A"/>
    <s v="±1400mm "/>
    <n v="640"/>
    <n v="180"/>
    <n v="0.115"/>
    <n v="5"/>
    <n v="0.3"/>
    <x v="0"/>
    <s v="COMPLETED"/>
    <m/>
    <d v="2026-01-07T00:00:00"/>
    <n v="2"/>
    <s v="POPV260129004"/>
    <m/>
    <s v="SHANGHAI"/>
    <x v="1"/>
    <x v="2"/>
    <d v="2026-01-13T00:00:00"/>
    <d v="2026-01-19T00:00:00"/>
    <d v="2026-01-19T00:00:00"/>
    <d v="2026-02-26T00:00:00"/>
    <d v="2026-02-26T00:00:00"/>
    <d v="2026-02-26T00:00:00"/>
    <s v="DAP"/>
    <s v="CMA CGM CEDRUS 0MEMTW1MA"/>
    <s v="COSCO"/>
    <s v="TPVB20260109004"/>
    <x v="23"/>
    <s v="COSU6440662920"/>
    <n v="38"/>
    <m/>
    <d v="2026-02-26T00:00:00"/>
    <s v="In Stock-Approved "/>
    <d v="2026-03-12T00:00:00"/>
    <n v="9"/>
    <d v="2026-03-07T00:00:00"/>
    <n v="2026"/>
    <n v="3"/>
    <n v="10"/>
    <n v="36"/>
    <n v="576"/>
    <s v="Redirection Film"/>
    <s v="AEM"/>
  </r>
  <r>
    <s v="DEC003.15"/>
    <s v="Yixing"/>
    <s v="DEC003"/>
    <s v="UPP"/>
    <x v="0"/>
    <s v="Arrival Plan-SPES"/>
    <s v="DAP"/>
    <x v="1"/>
    <s v="n/a"/>
    <x v="4"/>
    <s v="PT0125122900795"/>
    <m/>
    <s v="n/a"/>
    <s v="n/a"/>
    <x v="0"/>
    <x v="3"/>
    <s v="HSM-ND78-GF640"/>
    <s v="EVO2A"/>
    <s v="±1400mm "/>
    <n v="640"/>
    <n v="1152"/>
    <n v="0.73699999999999999"/>
    <n v="32"/>
    <n v="2"/>
    <x v="0"/>
    <s v="COMPLETED"/>
    <m/>
    <d v="2026-01-07T00:00:00"/>
    <n v="2"/>
    <s v="POPV260129012"/>
    <m/>
    <s v="SHANGHAI"/>
    <x v="1"/>
    <x v="2"/>
    <d v="2026-01-13T00:00:00"/>
    <d v="2026-01-19T00:00:00"/>
    <d v="2026-01-19T00:00:00"/>
    <d v="2026-02-26T00:00:00"/>
    <d v="2026-02-26T00:00:00"/>
    <d v="2026-02-26T00:00:00"/>
    <s v="DAP"/>
    <s v="CMA CGM CEDRUS 0MEMTW1MA"/>
    <s v="COSCO"/>
    <s v="TPVB20260109004"/>
    <x v="23"/>
    <s v="COSU6440662920"/>
    <n v="38"/>
    <m/>
    <d v="2026-02-26T00:00:00"/>
    <s v="In Stock-Approved "/>
    <d v="2026-03-12T00:00:00"/>
    <n v="9"/>
    <d v="2026-03-07T00:00:00"/>
    <n v="2026"/>
    <n v="3"/>
    <n v="10"/>
    <n v="36"/>
    <n v="576"/>
    <s v="Redirection Film"/>
    <s v="AEM"/>
  </r>
  <r>
    <s v="JUNE001.09"/>
    <s v="zhuhai -&gt; Shenzhen"/>
    <s v="JUNE001"/>
    <s v="CORE DG"/>
    <x v="0"/>
    <s v="Arrival Plan-SPNL"/>
    <s v="DAP"/>
    <x v="0"/>
    <s v="n/a"/>
    <x v="13"/>
    <m/>
    <m/>
    <s v="n/a"/>
    <s v="n/a"/>
    <x v="3"/>
    <x v="10"/>
    <s v="HSM-BD54-DA460"/>
    <s v="EVO2A"/>
    <s v="±1400mm "/>
    <n v="460"/>
    <n v="962"/>
    <n v="0.443"/>
    <n v="26"/>
    <n v="1"/>
    <x v="0"/>
    <s v="COMPLETED"/>
    <m/>
    <d v="2026-01-08T00:00:00"/>
    <n v="2"/>
    <s v="POPV260126025"/>
    <m/>
    <s v="SHENZHEN"/>
    <x v="2"/>
    <x v="1"/>
    <d v="2026-01-16T00:00:00"/>
    <d v="2026-01-19T00:00:00"/>
    <d v="2026-01-19T00:00:00"/>
    <d v="2026-02-16T00:00:00"/>
    <d v="2026-03-06T00:00:00"/>
    <d v="2026-03-06T00:00:00"/>
    <s v="DAP"/>
    <s v="COSCO NETHERLANDS 075W"/>
    <s v="COSCO"/>
    <s v="TPVB20260109005"/>
    <x v="24"/>
    <s v="COSU6440518510"/>
    <n v="46"/>
    <s v="SWB"/>
    <d v="2026-03-06T00:00:00"/>
    <s v="In Stock-Approved "/>
    <d v="2026-03-13T00:00:00"/>
    <n v="7"/>
    <d v="2026-03-13T00:00:00"/>
    <n v="2026"/>
    <n v="3"/>
    <n v="11"/>
    <n v="37"/>
    <n v="962"/>
    <s v="Black glazing"/>
    <s v="AEU"/>
  </r>
  <r>
    <s v="JUNE001.11"/>
    <s v="zhuhai -&gt; Shenzhen"/>
    <s v="JUNE001"/>
    <s v="CORE DG"/>
    <x v="0"/>
    <s v="Arrival Plan-SPNL"/>
    <s v="DAP"/>
    <x v="0"/>
    <s v="n/a"/>
    <x v="14"/>
    <m/>
    <m/>
    <s v="n/a"/>
    <s v="n/a"/>
    <x v="3"/>
    <x v="10"/>
    <s v="HSM-BD54-DA460"/>
    <s v="EVO2A"/>
    <s v="±1400mm "/>
    <n v="460"/>
    <n v="4810"/>
    <n v="2.2130000000000001"/>
    <n v="130"/>
    <n v="5"/>
    <x v="0"/>
    <s v="COMPLETED"/>
    <m/>
    <d v="2026-01-08T00:00:00"/>
    <n v="2"/>
    <s v="POPV260126022"/>
    <m/>
    <s v="SHENZHEN"/>
    <x v="2"/>
    <x v="1"/>
    <d v="2026-01-16T00:00:00"/>
    <d v="2026-01-19T00:00:00"/>
    <d v="2026-01-19T00:00:00"/>
    <d v="2026-02-16T00:00:00"/>
    <d v="2026-03-06T00:00:00"/>
    <d v="2026-03-06T00:00:00"/>
    <s v="DAP"/>
    <s v="COSCO NETHERLANDS 075W"/>
    <s v="COSCO"/>
    <s v="TPVB20260109005"/>
    <x v="24"/>
    <s v="COSU6440518510"/>
    <n v="46"/>
    <s v="SWB"/>
    <d v="2026-03-06T00:00:00"/>
    <s v="In Stock-Approved "/>
    <d v="2026-03-13T00:00:00"/>
    <n v="7"/>
    <d v="2026-03-13T00:00:00"/>
    <n v="2026"/>
    <n v="3"/>
    <n v="11"/>
    <n v="37"/>
    <n v="962"/>
    <s v="Black glazing"/>
    <s v="AEU"/>
  </r>
  <r>
    <s v="DEC001.01"/>
    <s v="Zhuhai"/>
    <s v="DEC001"/>
    <s v="CORE DG"/>
    <x v="0"/>
    <s v="Arrival Plan-SPNL"/>
    <s v="DAP"/>
    <x v="0"/>
    <s v="n/a"/>
    <x v="2"/>
    <m/>
    <m/>
    <s v="n/a"/>
    <s v="n/a"/>
    <x v="4"/>
    <x v="11"/>
    <s v="SPR-BE54-DC480"/>
    <s v="EVO2A"/>
    <s v="±1200mm "/>
    <n v="480"/>
    <n v="1924"/>
    <n v="0.92400000000000004"/>
    <n v="52"/>
    <n v="2"/>
    <x v="0"/>
    <s v="COMPLETED"/>
    <m/>
    <d v="2026-01-09T00:00:00"/>
    <n v="2"/>
    <s v="POPV260126023"/>
    <m/>
    <s v="SHENZHEN"/>
    <x v="2"/>
    <x v="1"/>
    <d v="2026-01-16T00:00:00"/>
    <d v="2026-01-19T00:00:00"/>
    <d v="2026-01-19T00:00:00"/>
    <d v="2026-02-16T00:00:00"/>
    <d v="2026-03-06T00:00:00"/>
    <d v="2026-03-06T00:00:00"/>
    <s v="DAP"/>
    <s v="COSCO NETHERLANDS 075W"/>
    <s v="COSCO"/>
    <s v="TPVB20260109006"/>
    <x v="25"/>
    <s v="COSU6440518511"/>
    <n v="46"/>
    <s v="SWB"/>
    <d v="2026-03-06T00:00:00"/>
    <s v="In Stock-Approved "/>
    <d v="2026-03-20T00:00:00"/>
    <n v="7"/>
    <d v="2026-03-13T00:00:00"/>
    <n v="2026"/>
    <n v="3"/>
    <n v="11"/>
    <n v="37"/>
    <n v="962"/>
    <s v="Black glazing"/>
    <s v="AEU"/>
  </r>
  <r>
    <s v="DEC002.01"/>
    <s v="Zhuhai"/>
    <s v="DEC002"/>
    <s v="CORE DG"/>
    <x v="0"/>
    <s v="Arrival Plan-SPNL"/>
    <s v="DAP"/>
    <x v="0"/>
    <s v="n/a"/>
    <x v="2"/>
    <m/>
    <m/>
    <s v="n/a"/>
    <s v="n/a"/>
    <x v="4"/>
    <x v="12"/>
    <s v="SPR-BE54-DC485"/>
    <s v="EVO2A"/>
    <s v="±1200mm "/>
    <n v="485"/>
    <n v="2886"/>
    <n v="1.4"/>
    <n v="78"/>
    <n v="3"/>
    <x v="0"/>
    <s v="COMPLETED"/>
    <m/>
    <d v="2026-01-09T00:00:00"/>
    <n v="2"/>
    <s v="POPV260126027"/>
    <m/>
    <s v="SHENZHEN"/>
    <x v="2"/>
    <x v="1"/>
    <d v="2026-01-16T00:00:00"/>
    <d v="2026-01-19T00:00:00"/>
    <d v="2026-01-19T00:00:00"/>
    <d v="2026-02-16T00:00:00"/>
    <d v="2026-03-06T00:00:00"/>
    <d v="2026-03-06T00:00:00"/>
    <s v="DAP"/>
    <s v="COSCO NETHERLANDS 075W"/>
    <s v="COSCO"/>
    <s v="TPVB20260109006"/>
    <x v="25"/>
    <s v="COSU6440518511"/>
    <n v="46"/>
    <s v="SWB"/>
    <d v="2026-03-06T00:00:00"/>
    <s v="In Stock-Approved "/>
    <d v="2026-03-20T00:00:00"/>
    <n v="7"/>
    <d v="2026-03-13T00:00:00"/>
    <n v="2026"/>
    <n v="3"/>
    <n v="11"/>
    <n v="37"/>
    <n v="962"/>
    <s v="Black glazing"/>
    <s v="AEU"/>
  </r>
  <r>
    <s v="DEC001.02"/>
    <s v="Zhuhai"/>
    <s v="DEC001"/>
    <s v="CORE DG"/>
    <x v="0"/>
    <s v="Arrival Plan-SPIT"/>
    <s v="DAP"/>
    <x v="4"/>
    <s v="n/a"/>
    <x v="15"/>
    <m/>
    <m/>
    <s v="n/a"/>
    <s v="n/a"/>
    <x v="4"/>
    <x v="11"/>
    <s v="SPR-BE54-DC480"/>
    <s v="EVO2A"/>
    <s v="±1200mm "/>
    <n v="480"/>
    <n v="1924"/>
    <n v="0.92400000000000004"/>
    <n v="52"/>
    <n v="2"/>
    <x v="0"/>
    <s v="COMPLETED"/>
    <m/>
    <d v="2026-01-12T00:00:00"/>
    <n v="3"/>
    <s v="POPV260129008"/>
    <m/>
    <s v="SHENZHEN"/>
    <x v="2"/>
    <x v="4"/>
    <d v="2026-01-15T00:00:00"/>
    <d v="2026-01-15T00:00:00"/>
    <d v="2026-01-16T00:00:00"/>
    <d v="2026-02-25T00:00:00"/>
    <d v="2026-02-25T00:00:00"/>
    <d v="2026-02-25T00:00:00"/>
    <s v="DAP"/>
    <s v="COSCO SHIPPING SCORPIO 033W"/>
    <s v="COSCO"/>
    <s v="TPVB20260109007"/>
    <x v="26"/>
    <s v="COSU6440775660"/>
    <n v="40"/>
    <s v="SWB"/>
    <d v="2026-02-25T00:00:00"/>
    <s v="In Stock-Approved "/>
    <d v="2026-03-11T00:00:00"/>
    <n v="13"/>
    <d v="2026-03-10T00:00:00"/>
    <n v="2026"/>
    <n v="3"/>
    <n v="11"/>
    <n v="37"/>
    <n v="962"/>
    <s v="Black glazing"/>
    <s v="AEM"/>
  </r>
  <r>
    <s v="DEC002.02"/>
    <s v="Zhuhai"/>
    <s v="DEC002"/>
    <s v="CORE DG"/>
    <x v="0"/>
    <s v="Arrival Plan-SPIT"/>
    <s v="DAP"/>
    <x v="4"/>
    <s v="n/a"/>
    <x v="15"/>
    <m/>
    <m/>
    <s v="n/a"/>
    <s v="n/a"/>
    <x v="4"/>
    <x v="12"/>
    <s v="SPR-BE54-DC485"/>
    <s v="EVO2A"/>
    <s v="±1200mm "/>
    <n v="485"/>
    <n v="1924"/>
    <n v="0.93300000000000005"/>
    <n v="52"/>
    <n v="2"/>
    <x v="0"/>
    <s v="COMPLETED"/>
    <m/>
    <d v="2026-01-12T00:00:00"/>
    <n v="3"/>
    <s v="POPV260129021"/>
    <m/>
    <s v="SHENZHEN"/>
    <x v="2"/>
    <x v="4"/>
    <d v="2026-01-15T00:00:00"/>
    <d v="2026-01-15T00:00:00"/>
    <d v="2026-01-16T00:00:00"/>
    <d v="2026-02-25T00:00:00"/>
    <d v="2026-02-25T00:00:00"/>
    <d v="2026-02-25T00:00:00"/>
    <s v="DAP"/>
    <s v="COSCO SHIPPING SCORPIO 033W"/>
    <s v="COSCO"/>
    <s v="TPVB20260109007"/>
    <x v="26"/>
    <s v="COSU6440775660"/>
    <n v="40"/>
    <s v="SWB"/>
    <d v="2026-02-25T00:00:00"/>
    <s v="In Stock-Approved "/>
    <d v="2026-03-11T00:00:00"/>
    <n v="13"/>
    <d v="2026-03-10T00:00:00"/>
    <n v="2026"/>
    <n v="3"/>
    <n v="11"/>
    <n v="37"/>
    <n v="962"/>
    <s v="Black glazing"/>
    <s v="AEM"/>
  </r>
  <r>
    <s v="DEC002.03"/>
    <s v="Zhuhai"/>
    <s v="DEC002"/>
    <s v="CORE DG"/>
    <x v="0"/>
    <s v="Arrival Plan-SPNL"/>
    <s v="DAP"/>
    <x v="0"/>
    <s v="n/a"/>
    <x v="8"/>
    <m/>
    <m/>
    <s v="n/a"/>
    <s v="n/a"/>
    <x v="4"/>
    <x v="12"/>
    <s v="SPR-BE54-DC485"/>
    <s v="EVO2A"/>
    <s v="±1200mm "/>
    <n v="485"/>
    <n v="962"/>
    <n v="0.46700000000000003"/>
    <n v="26"/>
    <n v="1"/>
    <x v="0"/>
    <s v="COMPLETED"/>
    <m/>
    <d v="2026-01-09T00:00:00"/>
    <n v="2"/>
    <s v="POPV260211003"/>
    <m/>
    <s v="SHENZHEN"/>
    <x v="2"/>
    <x v="1"/>
    <d v="2026-01-19T00:00:00"/>
    <d v="2026-01-20T00:00:00"/>
    <d v="2026-01-20T00:00:00"/>
    <d v="2026-03-09T00:00:00"/>
    <d v="2026-03-30T00:00:00"/>
    <d v="2026-03-30T00:00:00"/>
    <s v="DAP"/>
    <s v="CSCL MERCURY 098W"/>
    <s v="COSCO"/>
    <s v="TPVB20260109008"/>
    <x v="27"/>
    <s v="COSU6440772870"/>
    <n v="69"/>
    <m/>
    <d v="2026-03-30T00:00:00"/>
    <s v="In Stock-Approved "/>
    <d v="2026-04-13T00:00:00"/>
    <n v="7"/>
    <d v="2026-04-06T00:00:00"/>
    <n v="2026"/>
    <n v="4"/>
    <n v="15"/>
    <n v="37"/>
    <n v="962"/>
    <s v="Black glazing"/>
    <s v="AEU"/>
  </r>
  <r>
    <s v="DEC001.03"/>
    <s v="Zhuhai"/>
    <s v="DEC001"/>
    <s v="CORE DG"/>
    <x v="0"/>
    <s v="Arrival Plan-SPNL"/>
    <s v="DAP"/>
    <x v="0"/>
    <s v="n/a"/>
    <x v="8"/>
    <m/>
    <m/>
    <s v="n/a"/>
    <s v="n/a"/>
    <x v="4"/>
    <x v="11"/>
    <s v="SPR-BE54-DC480"/>
    <s v="EVO2A"/>
    <s v="±1200mm "/>
    <n v="480"/>
    <n v="962"/>
    <n v="0.46200000000000002"/>
    <n v="26"/>
    <n v="1"/>
    <x v="0"/>
    <s v="COMPLETED"/>
    <m/>
    <d v="2026-01-09T00:00:00"/>
    <n v="2"/>
    <s v="POPV260211019"/>
    <m/>
    <s v="SHENZHEN"/>
    <x v="2"/>
    <x v="1"/>
    <d v="2026-01-19T00:00:00"/>
    <d v="2026-01-20T00:00:00"/>
    <d v="2026-01-20T00:00:00"/>
    <d v="2026-03-09T00:00:00"/>
    <d v="2026-03-30T00:00:00"/>
    <d v="2026-03-30T00:00:00"/>
    <s v="DAP"/>
    <s v="CSCL MERCURY 098W"/>
    <s v="COSCO"/>
    <s v="TPVB20260109008"/>
    <x v="27"/>
    <s v="COSU6440772870"/>
    <n v="69"/>
    <m/>
    <d v="2026-03-30T00:00:00"/>
    <s v="In Stock-Approved "/>
    <d v="2026-04-13T00:00:00"/>
    <n v="7"/>
    <d v="2026-04-06T00:00:00"/>
    <n v="2026"/>
    <n v="4"/>
    <n v="15"/>
    <n v="37"/>
    <n v="962"/>
    <s v="Black glazing"/>
    <s v="AEU"/>
  </r>
  <r>
    <s v="DEC018.03"/>
    <s v="Tianjin"/>
    <s v="DEC018"/>
    <s v="UPP"/>
    <x v="0"/>
    <s v="Arrival Plan-SPNL"/>
    <s v="DAP"/>
    <x v="0"/>
    <s v="n/a"/>
    <x v="16"/>
    <s v="tbc"/>
    <m/>
    <s v="n/a"/>
    <s v="n/a"/>
    <x v="0"/>
    <x v="13"/>
    <s v="HSM-ND66-GR625"/>
    <s v="H4(Com)"/>
    <s v="±1400mm "/>
    <n v="625"/>
    <n v="7200"/>
    <n v="4.5"/>
    <n v="200"/>
    <n v="10"/>
    <x v="0"/>
    <s v="COMPLETED"/>
    <m/>
    <d v="2026-01-08T00:00:00"/>
    <n v="2"/>
    <s v="POPV260126034"/>
    <m/>
    <s v="TIANJIN"/>
    <x v="0"/>
    <x v="1"/>
    <d v="2026-01-14T00:00:00"/>
    <d v="2026-01-16T00:00:00"/>
    <d v="2026-01-16T00:00:00"/>
    <d v="2026-02-24T00:00:00"/>
    <d v="2026-03-13T00:00:00"/>
    <d v="2026-03-13T00:00:00"/>
    <s v="DAP"/>
    <s v="COSCO SHIPPING SOLAR / 0FAM7W1MA/035W"/>
    <s v="OTHER"/>
    <s v="TPVB20260109009"/>
    <x v="28"/>
    <s v="TJN0838410"/>
    <n v="56"/>
    <m/>
    <d v="2026-03-13T00:00:00"/>
    <s v="In Stock-Approved "/>
    <d v="2026-03-23T00:00:00"/>
    <n v="7"/>
    <d v="2026-03-20T00:00:00"/>
    <n v="2026"/>
    <n v="3"/>
    <n v="12"/>
    <n v="36"/>
    <n v="720"/>
    <s v="Redirection Film"/>
    <s v="AEU"/>
  </r>
  <r>
    <s v="OCT007.06"/>
    <s v="Tianjin"/>
    <s v="OCT007"/>
    <s v="CORE DG"/>
    <x v="0"/>
    <s v="Arrival Plan-SPNL"/>
    <s v="DAP"/>
    <x v="0"/>
    <s v="n/a"/>
    <x v="13"/>
    <m/>
    <m/>
    <s v="n/a"/>
    <s v="n/a"/>
    <x v="0"/>
    <x v="7"/>
    <s v="HSM-ND48-DR450"/>
    <s v="EVO2A"/>
    <s v="±1200mm "/>
    <n v="450"/>
    <n v="936"/>
    <n v="0.42099999999999999"/>
    <n v="26"/>
    <n v="1"/>
    <x v="0"/>
    <s v="COMPLETED"/>
    <m/>
    <d v="2026-01-08T00:00:00"/>
    <n v="2"/>
    <s v="POPV260126021"/>
    <m/>
    <s v="TIANJIN"/>
    <x v="0"/>
    <x v="1"/>
    <d v="2026-01-14T00:00:00"/>
    <d v="2026-01-16T00:00:00"/>
    <d v="2026-01-16T00:00:00"/>
    <d v="2026-02-24T00:00:00"/>
    <d v="2026-03-13T00:00:00"/>
    <d v="2026-03-13T00:00:00"/>
    <s v="DAP"/>
    <s v="COSCO SHIPPING SOLAR 035W"/>
    <s v="COSCO"/>
    <s v="TPVB20260109010"/>
    <x v="29"/>
    <s v="COSU6441103270"/>
    <n v="56"/>
    <m/>
    <d v="2026-03-13T00:00:00"/>
    <s v="In Stock-Approved "/>
    <d v="2026-03-26T00:00:00"/>
    <n v="7"/>
    <d v="2026-03-20T00:00:00"/>
    <n v="2026"/>
    <n v="3"/>
    <n v="12"/>
    <n v="36"/>
    <n v="936"/>
    <s v="Black glazing"/>
    <s v="AEU"/>
  </r>
  <r>
    <s v="DEC018.02"/>
    <s v="Tianjin"/>
    <s v="DEC018"/>
    <s v="UPP"/>
    <x v="0"/>
    <s v="Arrival Plan-SPNL"/>
    <s v="DAP"/>
    <x v="0"/>
    <s v="n/a"/>
    <x v="16"/>
    <s v="tbc"/>
    <m/>
    <s v="n/a"/>
    <s v="n/a"/>
    <x v="0"/>
    <x v="13"/>
    <s v="HSM-ND66-GR625"/>
    <s v="H4(Com)"/>
    <s v="±1400mm "/>
    <n v="625"/>
    <n v="7200"/>
    <n v="4.5"/>
    <n v="200"/>
    <n v="10"/>
    <x v="0"/>
    <s v="COMPLETED"/>
    <m/>
    <d v="2026-01-04T00:00:00"/>
    <n v="1"/>
    <s v="POPV260126020"/>
    <m/>
    <s v="TIANJIN"/>
    <x v="0"/>
    <x v="1"/>
    <d v="2026-01-14T00:00:00"/>
    <d v="2026-01-16T00:00:00"/>
    <d v="2026-01-16T00:00:00"/>
    <d v="2026-02-24T00:00:00"/>
    <d v="2026-03-13T00:00:00"/>
    <d v="2026-03-13T00:00:00"/>
    <s v="DAP"/>
    <s v="COSCO SHIPPING SOLAR / 0FAM7W1MA/035W"/>
    <s v="OTHER"/>
    <s v="TPVB20260109001"/>
    <x v="30"/>
    <s v="TJN0838400"/>
    <n v="56"/>
    <m/>
    <d v="2026-03-13T00:00:00"/>
    <s v="In Stock-Approved "/>
    <d v="2026-03-26T00:00:00"/>
    <n v="7"/>
    <d v="2026-03-20T00:00:00"/>
    <n v="2026"/>
    <n v="3"/>
    <n v="12"/>
    <n v="36"/>
    <n v="720"/>
    <s v="Redirection Film"/>
    <s v="AEU"/>
  </r>
  <r>
    <s v="OCT009.03"/>
    <s v="Tianjin"/>
    <s v="OCT009"/>
    <s v="CORE DG"/>
    <x v="1"/>
    <s v="SPTN Offstore in Transit WH"/>
    <s v="CIP"/>
    <x v="2"/>
    <s v="n/a"/>
    <x v="6"/>
    <s v="FR0125122900715"/>
    <m/>
    <s v="n/a"/>
    <s v="n/a"/>
    <x v="0"/>
    <x v="0"/>
    <s v="HSM-ND54-DR500"/>
    <s v="EVO2A"/>
    <s v="±1200mm "/>
    <n v="500"/>
    <n v="864"/>
    <n v="0.432"/>
    <n v="24"/>
    <n v="1"/>
    <x v="0"/>
    <s v="COMPLETED"/>
    <m/>
    <d v="2026-01-05T00:00:00"/>
    <n v="2"/>
    <s v="POPV260129006"/>
    <m/>
    <s v="TIANJIN"/>
    <x v="0"/>
    <x v="0"/>
    <d v="2026-01-10T00:00:00"/>
    <d v="2026-01-12T00:00:00"/>
    <d v="2026-01-12T00:00:00"/>
    <d v="2026-03-10T00:00:00"/>
    <d v="2026-03-14T00:00:00"/>
    <d v="2026-03-15T00:00:00"/>
    <s v="CIP"/>
    <s v="COSCO SHIPPING LIBRA 034W"/>
    <s v="COSCO"/>
    <s v="46010942-4.1"/>
    <x v="31"/>
    <s v="COSU6440567860"/>
    <n v="62"/>
    <m/>
    <d v="2026-03-15T00:00:00"/>
    <s v="In Stock-Approved "/>
    <d v="2026-03-24T00:00:00"/>
    <s v="- "/>
    <d v="2026-03-15T00:00:00"/>
    <n v="2026"/>
    <n v="3"/>
    <n v="11"/>
    <n v="36"/>
    <n v="864"/>
    <s v="Black glazing"/>
    <s v="AEM"/>
  </r>
  <r>
    <s v="DEC021.02"/>
    <s v="Yixing"/>
    <s v="DEC021"/>
    <s v="UPP"/>
    <x v="0"/>
    <s v="Arrival Plan-SPTN"/>
    <s v="DAP"/>
    <x v="0"/>
    <s v="n/a"/>
    <x v="17"/>
    <s v="46011022 -&gt; FR0125122900833"/>
    <m/>
    <s v="n/a"/>
    <s v="n/a"/>
    <x v="0"/>
    <x v="9"/>
    <s v="HSM-ND66-GR625 CFP"/>
    <s v="EVO2A"/>
    <s v="±1400mm "/>
    <n v="625"/>
    <n v="2880"/>
    <n v="1.8"/>
    <n v="80"/>
    <n v="4"/>
    <x v="0"/>
    <s v="COMPLETED"/>
    <m/>
    <d v="2026-01-13T00:00:00"/>
    <n v="3"/>
    <s v="POPV260129013"/>
    <m/>
    <s v="SHANGHAI"/>
    <x v="1"/>
    <x v="5"/>
    <d v="2026-01-18T00:00:00"/>
    <d v="2026-01-23T00:00:00"/>
    <d v="2026-01-21T00:00:00"/>
    <d v="2026-02-24T00:00:00"/>
    <d v="2026-02-24T00:00:00"/>
    <d v="2026-02-26T00:00:00"/>
    <s v="DAP"/>
    <s v="CMA CGM ZHENG HE / 0FMLMW1MA"/>
    <s v="OTHER"/>
    <s v="TPVB20260116002"/>
    <x v="32"/>
    <s v="CHN2966579"/>
    <n v="36"/>
    <m/>
    <d v="2026-02-26T00:00:00"/>
    <s v="In Stock-Approved "/>
    <d v="2026-03-10T00:00:00"/>
    <n v="8"/>
    <d v="2026-03-06T00:00:00"/>
    <n v="2026"/>
    <n v="3"/>
    <n v="10"/>
    <n v="36"/>
    <n v="720"/>
    <s v="Redirection Film"/>
    <s v="AEU"/>
  </r>
  <r>
    <s v="NOV017.06"/>
    <s v="Yixing"/>
    <s v="NOV017"/>
    <s v="UPP"/>
    <x v="0"/>
    <s v="Arrival Plan-SPTN"/>
    <s v="DAP"/>
    <x v="0"/>
    <s v="n/a"/>
    <x v="17"/>
    <s v="46011022 -&gt; FR0125122900833"/>
    <m/>
    <s v="n/a"/>
    <s v="n/a"/>
    <x v="0"/>
    <x v="9"/>
    <s v="HSM-ND66-GR625 CFP"/>
    <s v="EVO2A"/>
    <s v="±1400mm "/>
    <n v="625"/>
    <n v="1440"/>
    <n v="0.9"/>
    <n v="40"/>
    <n v="2"/>
    <x v="0"/>
    <s v="COMPLETED"/>
    <m/>
    <d v="2026-01-13T00:00:00"/>
    <n v="3"/>
    <s v="POPV260129014"/>
    <m/>
    <s v="SHANGHAI"/>
    <x v="1"/>
    <x v="5"/>
    <d v="2026-01-18T00:00:00"/>
    <d v="2026-01-23T00:00:00"/>
    <d v="2026-01-21T00:00:00"/>
    <d v="2026-02-24T00:00:00"/>
    <d v="2026-02-24T00:00:00"/>
    <d v="2026-02-26T00:00:00"/>
    <s v="DAP"/>
    <s v="CMA CGM ZHENG HE / 0FMLMW1MA"/>
    <s v="OTHER"/>
    <s v="TPVB20260116002"/>
    <x v="32"/>
    <s v="CHN2966579"/>
    <n v="36"/>
    <m/>
    <d v="2026-02-26T00:00:00"/>
    <s v="In Stock-Approved "/>
    <d v="2026-03-10T00:00:00"/>
    <n v="8"/>
    <d v="2026-03-06T00:00:00"/>
    <n v="2026"/>
    <n v="3"/>
    <n v="10"/>
    <n v="36"/>
    <n v="720"/>
    <s v="Redirection Film"/>
    <s v="AEU"/>
  </r>
  <r>
    <s v="NOV017.07"/>
    <s v="Yixing"/>
    <s v="NOV017"/>
    <s v="UPP"/>
    <x v="0"/>
    <s v="Arrival Plan-SPTN"/>
    <s v="DAP"/>
    <x v="0"/>
    <s v="n/a"/>
    <x v="18"/>
    <s v="46011021 -&gt; FR0125122900835"/>
    <m/>
    <s v="n/a"/>
    <s v="n/a"/>
    <x v="0"/>
    <x v="9"/>
    <s v="HSM-ND66-GR625 CFP"/>
    <s v="EVO2A"/>
    <s v="±1400mm "/>
    <n v="625"/>
    <n v="2880"/>
    <n v="1.8"/>
    <n v="80"/>
    <n v="4"/>
    <x v="0"/>
    <s v="COMPLETED"/>
    <m/>
    <d v="2026-01-13T00:00:00"/>
    <n v="3"/>
    <s v="POPV260129016"/>
    <m/>
    <s v="SHANGHAI"/>
    <x v="1"/>
    <x v="5"/>
    <d v="2026-01-18T00:00:00"/>
    <d v="2026-01-23T00:00:00"/>
    <d v="2026-01-21T00:00:00"/>
    <d v="2026-02-24T00:00:00"/>
    <d v="2026-02-24T00:00:00"/>
    <d v="2026-02-26T00:00:00"/>
    <s v="DAP"/>
    <s v="CMA CGM ZHENG HE / 0FMLMW1MA"/>
    <s v="OTHER"/>
    <s v="TPVB20260116002"/>
    <x v="32"/>
    <s v="CHN2966579"/>
    <n v="36"/>
    <m/>
    <d v="2026-02-26T00:00:00"/>
    <s v="In Stock-Approved "/>
    <d v="2026-03-10T00:00:00"/>
    <n v="8"/>
    <d v="2026-03-06T00:00:00"/>
    <n v="2026"/>
    <n v="3"/>
    <n v="10"/>
    <n v="36"/>
    <n v="720"/>
    <s v="Redirection Film"/>
    <s v="AEU"/>
  </r>
  <r>
    <s v="NOV017.12"/>
    <s v="Yixing"/>
    <s v="NOV017"/>
    <s v="UPP"/>
    <x v="0"/>
    <s v="Arrival Plan-SPTN"/>
    <s v="DAP"/>
    <x v="0"/>
    <s v="n/a"/>
    <x v="18"/>
    <s v="46011021 -&gt; FR0125122900835"/>
    <m/>
    <s v="n/a"/>
    <s v="n/a"/>
    <x v="0"/>
    <x v="9"/>
    <s v="HSM-ND66-GR625 CFP"/>
    <s v="EVO2A"/>
    <s v="±1400mm "/>
    <n v="625"/>
    <n v="1440"/>
    <n v="0.9"/>
    <n v="40"/>
    <n v="2"/>
    <x v="0"/>
    <s v="COMPLETED"/>
    <m/>
    <d v="2026-01-13T00:00:00"/>
    <n v="3"/>
    <s v="POPV260129015"/>
    <m/>
    <s v="SHANGHAI"/>
    <x v="1"/>
    <x v="5"/>
    <d v="2026-01-18T00:00:00"/>
    <d v="2026-01-23T00:00:00"/>
    <d v="2026-01-21T00:00:00"/>
    <d v="2026-02-24T00:00:00"/>
    <d v="2026-02-24T00:00:00"/>
    <d v="2026-02-26T00:00:00"/>
    <s v="DAP"/>
    <s v="CMA CGM ZHENG HE / 0FMLMW1MA"/>
    <s v="OTHER"/>
    <s v="TPVB20260116002"/>
    <x v="32"/>
    <s v="CHN2966579"/>
    <n v="36"/>
    <m/>
    <d v="2026-02-26T00:00:00"/>
    <s v="In Stock-Approved "/>
    <d v="2026-03-10T00:00:00"/>
    <n v="8"/>
    <d v="2026-03-06T00:00:00"/>
    <n v="2026"/>
    <n v="3"/>
    <n v="10"/>
    <n v="36"/>
    <n v="720"/>
    <s v="Redirection Film"/>
    <s v="AEU"/>
  </r>
  <r>
    <s v="NOV017.08"/>
    <s v="Yixing"/>
    <s v="NOV017"/>
    <s v="UPP"/>
    <x v="0"/>
    <s v="Arrival Plan-SPTN"/>
    <s v="DAP"/>
    <x v="0"/>
    <s v="n/a"/>
    <x v="11"/>
    <s v="FR0125122900699"/>
    <m/>
    <s v="n/a"/>
    <s v="n/a"/>
    <x v="0"/>
    <x v="9"/>
    <s v="HSM-ND66-GR625 CFP"/>
    <s v="EVO2A"/>
    <s v="±1400mm "/>
    <n v="625"/>
    <n v="72"/>
    <n v="4.4999999999999998E-2"/>
    <n v="2"/>
    <n v="0.1"/>
    <x v="0"/>
    <s v="COMPLETED"/>
    <m/>
    <d v="2026-01-13T00:00:00"/>
    <n v="3"/>
    <s v="POPV260129017"/>
    <m/>
    <s v="SHANGHAI"/>
    <x v="1"/>
    <x v="5"/>
    <d v="2026-01-18T00:00:00"/>
    <d v="2026-01-21T00:00:00"/>
    <d v="2026-01-21T00:00:00"/>
    <d v="2026-02-24T00:00:00"/>
    <d v="2026-02-24T00:00:00"/>
    <d v="2026-02-25T00:00:00"/>
    <s v="DAP"/>
    <s v="CMA CGM ZHENG HE 0FMLMW1MA"/>
    <s v="COSCO"/>
    <s v="TPVB20260116004"/>
    <x v="33"/>
    <s v="COSU6441393600"/>
    <n v="35"/>
    <m/>
    <d v="2026-02-25T00:00:00"/>
    <s v="In Stock-Approved "/>
    <d v="2026-03-10T00:00:00"/>
    <n v="8"/>
    <d v="2026-03-05T00:00:00"/>
    <n v="2026"/>
    <n v="3"/>
    <n v="10"/>
    <n v="36"/>
    <n v="720"/>
    <s v="Redirection Film"/>
    <s v="AEU"/>
  </r>
  <r>
    <s v="NOV017.13"/>
    <s v="Yixing"/>
    <s v="NOV017"/>
    <s v="UPP"/>
    <x v="0"/>
    <s v="Arrival Plan-SPTN"/>
    <s v="DAP"/>
    <x v="0"/>
    <s v="n/a"/>
    <x v="18"/>
    <s v="46011021 -&gt; FR0125122900835"/>
    <m/>
    <s v="n/a"/>
    <s v="n/a"/>
    <x v="0"/>
    <x v="9"/>
    <s v="HSM-ND66-GR625 CFP"/>
    <s v="EVO2A"/>
    <s v="±1400mm "/>
    <n v="625"/>
    <n v="324"/>
    <n v="0.20300000000000001"/>
    <n v="9"/>
    <n v="0.5"/>
    <x v="0"/>
    <s v="COMPLETED"/>
    <m/>
    <d v="2026-01-13T00:00:00"/>
    <n v="3"/>
    <s v="POPV260129018"/>
    <m/>
    <s v="SHANGHAI"/>
    <x v="1"/>
    <x v="5"/>
    <d v="2026-01-18T00:00:00"/>
    <d v="2026-01-21T00:00:00"/>
    <d v="2026-01-21T00:00:00"/>
    <d v="2026-02-24T00:00:00"/>
    <d v="2026-02-24T00:00:00"/>
    <d v="2026-02-25T00:00:00"/>
    <s v="DAP"/>
    <s v="CMA CGM ZHENG HE 0FMLMW1MA"/>
    <s v="COSCO"/>
    <s v="TPVB20260116004"/>
    <x v="33"/>
    <s v="COSU6441393600"/>
    <n v="35"/>
    <m/>
    <d v="2026-02-25T00:00:00"/>
    <s v="In Stock-Approved "/>
    <d v="2026-03-10T00:00:00"/>
    <n v="8"/>
    <d v="2026-03-05T00:00:00"/>
    <n v="2026"/>
    <n v="3"/>
    <n v="10"/>
    <n v="36"/>
    <n v="720"/>
    <s v="Redirection Film"/>
    <s v="AEU"/>
  </r>
  <r>
    <s v="NOV016.01"/>
    <s v="Yixing"/>
    <s v="NOV016"/>
    <s v="UPP"/>
    <x v="0"/>
    <s v="Arrival Plan-SPTN"/>
    <s v="DAP"/>
    <x v="0"/>
    <s v="n/a"/>
    <x v="19"/>
    <s v="tbc"/>
    <m/>
    <s v="n/a"/>
    <s v="n/a"/>
    <x v="0"/>
    <x v="14"/>
    <s v="HSM-ND66-GR620 CFP"/>
    <s v="EVO2A"/>
    <s v="±1400mm "/>
    <n v="620"/>
    <n v="324"/>
    <n v="0.20100000000000001"/>
    <n v="9"/>
    <n v="0.5"/>
    <x v="0"/>
    <s v="COMPLETED"/>
    <m/>
    <d v="2026-01-13T00:00:00"/>
    <n v="3"/>
    <s v="POPV260129019"/>
    <m/>
    <s v="SHANGHAI"/>
    <x v="1"/>
    <x v="5"/>
    <d v="2026-01-18T00:00:00"/>
    <d v="2026-01-21T00:00:00"/>
    <d v="2026-01-21T00:00:00"/>
    <d v="2026-02-24T00:00:00"/>
    <d v="2026-02-24T00:00:00"/>
    <d v="2026-02-25T00:00:00"/>
    <s v="DAP"/>
    <s v="CMA CGM ZHENG HE 0FMLMW1MA"/>
    <s v="COSCO"/>
    <s v="TPVB20260116004"/>
    <x v="33"/>
    <s v="COSU6441393600"/>
    <n v="35"/>
    <m/>
    <d v="2026-02-25T00:00:00"/>
    <s v="In Stock-Approved "/>
    <d v="2026-03-10T00:00:00"/>
    <n v="8"/>
    <d v="2026-03-05T00:00:00"/>
    <n v="2026"/>
    <n v="3"/>
    <n v="10"/>
    <n v="36"/>
    <n v="720"/>
    <s v="Redirection Film"/>
    <s v="AEU"/>
  </r>
  <r>
    <s v="NOV005.08"/>
    <s v="Yixing"/>
    <s v="NOV005"/>
    <s v="CORE DG"/>
    <x v="0"/>
    <s v="Arrival Plan-SPTN"/>
    <s v="DAP"/>
    <x v="0"/>
    <s v="n/a"/>
    <x v="9"/>
    <m/>
    <m/>
    <s v="n/a"/>
    <s v="n/a"/>
    <x v="1"/>
    <x v="6"/>
    <s v="TCL-MR465DT182-58NS"/>
    <s v="EVO2A"/>
    <s v="±1200mm "/>
    <n v="465"/>
    <n v="1728"/>
    <n v="0.80400000000000005"/>
    <n v="48"/>
    <n v="2"/>
    <x v="0"/>
    <s v="COMPLETED"/>
    <m/>
    <d v="2026-01-11T00:00:00"/>
    <n v="2"/>
    <s v="POPV260225024"/>
    <m/>
    <s v="SHANGHAI"/>
    <x v="1"/>
    <x v="0"/>
    <d v="2026-01-20T00:00:00"/>
    <d v="2026-01-22T00:00:00"/>
    <d v="2026-01-22T00:00:00"/>
    <d v="2026-03-04T00:00:00"/>
    <d v="2026-03-20T00:00:00"/>
    <d v="2026-03-21T00:00:00"/>
    <s v="DAP"/>
    <s v="OOCL HONG KONG 038W"/>
    <s v="COSCO"/>
    <s v="TPVB20260116005"/>
    <x v="34"/>
    <s v="COSU6441367620"/>
    <n v="58"/>
    <m/>
    <d v="2026-03-21T00:00:00"/>
    <s v="In Stock-Approved "/>
    <d v="2026-04-03T00:00:00"/>
    <n v="8"/>
    <d v="2026-03-29T00:00:00"/>
    <n v="2026"/>
    <n v="3"/>
    <n v="13"/>
    <n v="36"/>
    <n v="864"/>
    <s v="White glazing"/>
    <s v="AEM"/>
  </r>
  <r>
    <s v="DEC011.08"/>
    <s v="Yixing"/>
    <s v="DEC011"/>
    <s v="CORE DG"/>
    <x v="0"/>
    <s v="Arrival Plan-SPTN"/>
    <s v="DAP"/>
    <x v="0"/>
    <s v="n/a"/>
    <x v="9"/>
    <m/>
    <m/>
    <s v="n/a"/>
    <s v="n/a"/>
    <x v="1"/>
    <x v="6"/>
    <s v="TCL-MR465DT182-58NS"/>
    <s v="EVO2A"/>
    <s v="±1200mm "/>
    <n v="465"/>
    <n v="2592"/>
    <n v="1.2050000000000001"/>
    <n v="72"/>
    <n v="3"/>
    <x v="0"/>
    <s v="COMPLETED"/>
    <m/>
    <d v="2026-01-11T00:00:00"/>
    <n v="2"/>
    <s v="POPV260225023"/>
    <m/>
    <s v="SHANGHAI"/>
    <x v="1"/>
    <x v="0"/>
    <d v="2026-01-20T00:00:00"/>
    <d v="2026-01-22T00:00:00"/>
    <d v="2026-01-22T00:00:00"/>
    <d v="2026-03-04T00:00:00"/>
    <d v="2026-03-20T00:00:00"/>
    <d v="2026-03-21T00:00:00"/>
    <s v="DAP"/>
    <s v="OOCL HONG KONG 038W"/>
    <s v="COSCO"/>
    <s v="TPVB20260116005"/>
    <x v="34"/>
    <s v="COSU6441367620"/>
    <n v="58"/>
    <m/>
    <d v="2026-03-21T00:00:00"/>
    <s v="In Stock-Approved "/>
    <d v="2026-04-03T00:00:00"/>
    <n v="8"/>
    <d v="2026-03-29T00:00:00"/>
    <n v="2026"/>
    <n v="3"/>
    <n v="13"/>
    <n v="36"/>
    <n v="864"/>
    <s v="White glazing"/>
    <s v="AEM"/>
  </r>
  <r>
    <s v="DEC011.02"/>
    <s v="Yixing"/>
    <s v="DEC011"/>
    <s v="CORE DG"/>
    <x v="0"/>
    <s v="Arrival Plan-SPTN"/>
    <s v="DAP"/>
    <x v="0"/>
    <s v="n/a"/>
    <x v="9"/>
    <m/>
    <m/>
    <s v="n/a"/>
    <s v="n/a"/>
    <x v="1"/>
    <x v="6"/>
    <s v="TCL-MR465DT182-58NS"/>
    <s v="EVO2A"/>
    <s v="±1200mm "/>
    <n v="465"/>
    <n v="1728"/>
    <n v="0.80400000000000005"/>
    <n v="48"/>
    <n v="2"/>
    <x v="0"/>
    <s v="COMPLETED"/>
    <m/>
    <d v="2026-01-11T00:00:00"/>
    <n v="2"/>
    <s v="POPV260225022"/>
    <m/>
    <s v="SHANGHAI"/>
    <x v="1"/>
    <x v="0"/>
    <d v="2026-01-20T00:00:00"/>
    <d v="2026-01-22T00:00:00"/>
    <d v="2026-01-22T00:00:00"/>
    <d v="2026-03-04T00:00:00"/>
    <d v="2026-03-20T00:00:00"/>
    <d v="2026-03-21T00:00:00"/>
    <s v="DAP"/>
    <s v="OOCL HONG KONG 038W"/>
    <s v="COSCO"/>
    <s v="TPVB20260116005"/>
    <x v="34"/>
    <s v="COSU6441367620"/>
    <n v="58"/>
    <m/>
    <d v="2026-03-21T00:00:00"/>
    <s v="In Stock-Approved "/>
    <d v="2026-04-03T00:00:00"/>
    <n v="8"/>
    <d v="2026-03-29T00:00:00"/>
    <n v="2026"/>
    <n v="3"/>
    <n v="13"/>
    <n v="36"/>
    <n v="864"/>
    <s v="White glazing"/>
    <s v="AEM"/>
  </r>
  <r>
    <s v="NOV005.05"/>
    <s v="Yixing"/>
    <s v="NOV005"/>
    <s v="CORE DG"/>
    <x v="0"/>
    <s v="Arrival Plan-SPNL"/>
    <s v="DAP"/>
    <x v="0"/>
    <s v="n/a"/>
    <x v="3"/>
    <m/>
    <m/>
    <s v="n/a"/>
    <s v="n/a"/>
    <x v="1"/>
    <x v="6"/>
    <s v="TCL-MR465DT182-58NS"/>
    <s v="EVO2A"/>
    <s v="±1200mm "/>
    <n v="465"/>
    <n v="1728"/>
    <n v="0.80400000000000005"/>
    <n v="48"/>
    <n v="2"/>
    <x v="0"/>
    <s v="COMPLETED"/>
    <m/>
    <d v="2026-01-17T00:00:00"/>
    <n v="3"/>
    <s v="POPV260211018"/>
    <m/>
    <s v="SHANGHAI"/>
    <x v="1"/>
    <x v="1"/>
    <d v="2026-01-23T00:00:00"/>
    <d v="2026-01-25T00:00:00"/>
    <d v="2026-01-25T00:00:00"/>
    <d v="2026-03-15T00:00:00"/>
    <d v="2026-03-30T00:00:00"/>
    <d v="2026-04-04T00:00:00"/>
    <s v="DAP"/>
    <s v="EVER LIFTING 062W"/>
    <s v="COSCO"/>
    <s v="TPVB20260116006"/>
    <x v="35"/>
    <s v="COSU6441367700"/>
    <n v="69"/>
    <m/>
    <d v="2026-04-04T00:00:00"/>
    <s v="In Stock-Approved "/>
    <d v="2026-04-17T00:00:00"/>
    <n v="7"/>
    <d v="2026-04-11T00:00:00"/>
    <n v="2026"/>
    <n v="4"/>
    <n v="15"/>
    <n v="36"/>
    <n v="864"/>
    <s v="White glazing"/>
    <s v="AEU"/>
  </r>
  <r>
    <s v="DEC003.16"/>
    <s v="Yixing"/>
    <s v="DEC003"/>
    <s v="UPP"/>
    <x v="0"/>
    <s v="Arrival Plan-SPES"/>
    <s v="DAP"/>
    <x v="1"/>
    <s v="n/a"/>
    <x v="4"/>
    <s v="PT0125122900795"/>
    <m/>
    <s v="n/a"/>
    <s v="n/a"/>
    <x v="0"/>
    <x v="3"/>
    <s v="HSM-ND78-GF640"/>
    <s v="EVO2A"/>
    <s v="±1400mm "/>
    <n v="640"/>
    <n v="1152"/>
    <n v="0.73699999999999999"/>
    <n v="32"/>
    <n v="2"/>
    <x v="0"/>
    <s v="COMPLETED"/>
    <m/>
    <d v="2026-01-17T00:00:00"/>
    <n v="3"/>
    <s v="POPV260129007"/>
    <m/>
    <s v="SHANGHAI"/>
    <x v="1"/>
    <x v="2"/>
    <d v="2026-01-21T00:00:00"/>
    <d v="2026-01-24T00:00:00"/>
    <d v="2026-01-24T00:00:00"/>
    <d v="2026-02-28T00:00:00"/>
    <d v="2026-03-10T00:00:00"/>
    <d v="2026-03-11T00:00:00"/>
    <s v="DAP"/>
    <s v="ANE MAERSK 604W"/>
    <s v="OTHER"/>
    <s v="TPVB20260116003"/>
    <x v="36"/>
    <n v="263794612"/>
    <n v="46"/>
    <m/>
    <d v="2026-03-11T00:00:00"/>
    <s v="In Stock-Approved "/>
    <d v="2026-03-16T00:00:00"/>
    <n v="9"/>
    <d v="2026-03-20T00:00:00"/>
    <n v="2026"/>
    <n v="3"/>
    <n v="12"/>
    <n v="36"/>
    <n v="576"/>
    <s v="Redirection Film"/>
    <s v="AEM"/>
  </r>
  <r>
    <s v="MAY010.03"/>
    <s v="Yixing"/>
    <s v="MAY010"/>
    <s v="CORE DG"/>
    <x v="1"/>
    <s v="SPTN Offstore in Transit WH"/>
    <s v="CIF"/>
    <x v="5"/>
    <s v="n/a"/>
    <x v="20"/>
    <m/>
    <m/>
    <s v="n/a"/>
    <s v="n/a"/>
    <x v="1"/>
    <x v="15"/>
    <s v="TCL-MR510DT182-64NS"/>
    <s v="EVO2A"/>
    <s v="±1400mm "/>
    <n v="510"/>
    <n v="2376"/>
    <n v="1.212"/>
    <n v="66"/>
    <n v="3"/>
    <x v="0"/>
    <s v="COMPLETED"/>
    <m/>
    <d v="2026-01-13T00:00:00"/>
    <n v="3"/>
    <s v="POPV260123004"/>
    <m/>
    <s v="SHANGHAI"/>
    <x v="1"/>
    <x v="2"/>
    <d v="2026-01-20T00:00:00"/>
    <d v="2026-01-19T00:00:00"/>
    <d v="2026-01-19T00:00:00"/>
    <d v="2026-03-05T00:00:00"/>
    <d v="2026-02-26T00:00:00"/>
    <d v="2026-02-26T00:00:00"/>
    <s v="CIF"/>
    <s v="CMA CGM JULES VERNE 0MEMVW1MA"/>
    <s v="COSCO"/>
    <s v="TPVB20260116007"/>
    <x v="37"/>
    <s v="COSU6441765780"/>
    <n v="38"/>
    <m/>
    <d v="2026-02-26T00:00:00"/>
    <s v="In Stock-Approved "/>
    <d v="2026-03-05T00:00:00"/>
    <s v="- "/>
    <d v="2026-02-26T00:00:00"/>
    <n v="2026"/>
    <n v="2"/>
    <n v="9"/>
    <n v="36"/>
    <n v="792"/>
    <s v="White glazing"/>
    <s v="AEM"/>
  </r>
  <r>
    <s v="DEC009.07"/>
    <s v="Yixing"/>
    <s v="DEC009"/>
    <s v="CORE DG"/>
    <x v="0"/>
    <s v="Arrival Plan-SPTN"/>
    <s v="DAP"/>
    <x v="0"/>
    <s v="n/a"/>
    <x v="12"/>
    <m/>
    <m/>
    <s v="n/a"/>
    <s v="n/a"/>
    <x v="2"/>
    <x v="5"/>
    <s v="PVM, SPR-P7-555-COM-S, I BF-G M4.3D EVO2Z6NL 1.5KV IT"/>
    <s v="EVO2A"/>
    <s v="±1400mm "/>
    <n v="555"/>
    <n v="660"/>
    <n v="0.36599999999999999"/>
    <n v="20"/>
    <n v="1"/>
    <x v="0"/>
    <s v="COMPLETED"/>
    <m/>
    <d v="2026-01-13T00:00:00"/>
    <n v="3"/>
    <s v="POPV260205017"/>
    <m/>
    <s v="SHANGHAI"/>
    <x v="1"/>
    <x v="0"/>
    <d v="2026-01-20T00:00:00"/>
    <d v="2026-01-19T00:00:00"/>
    <d v="2026-01-19T00:00:00"/>
    <d v="2026-03-10T00:00:00"/>
    <d v="2026-03-09T00:00:00"/>
    <d v="2026-03-09T00:00:00"/>
    <s v="DAP"/>
    <s v="CMA CGM JULES VERNE 0MEMVW1MA"/>
    <s v="COSCO"/>
    <s v="TPVB20260116008"/>
    <x v="38"/>
    <s v="COSU6441963530"/>
    <n v="49"/>
    <m/>
    <d v="2026-03-09T00:00:00"/>
    <s v="In Stock-Approved "/>
    <d v="2026-03-23T00:00:00"/>
    <n v="8"/>
    <d v="2026-03-17T00:00:00"/>
    <n v="2026"/>
    <n v="3"/>
    <n v="12"/>
    <n v="33"/>
    <n v="660"/>
    <s v="White glazing"/>
    <s v="AEM"/>
  </r>
  <r>
    <s v="DEC009.08"/>
    <s v="Yixing"/>
    <s v="DEC009"/>
    <s v="CORE DG"/>
    <x v="0"/>
    <s v="Arrival Plan-SPTN"/>
    <s v="DAP"/>
    <x v="0"/>
    <s v="n/a"/>
    <x v="12"/>
    <m/>
    <m/>
    <s v="n/a"/>
    <s v="n/a"/>
    <x v="2"/>
    <x v="5"/>
    <s v="PVM, SPR-P7-555-COM-S, I BF-G M4.3D EVO2Z6NL 1.5KV IT"/>
    <s v="EVO2A"/>
    <s v="±1400mm "/>
    <n v="555"/>
    <n v="1320"/>
    <n v="0.73299999999999998"/>
    <n v="40"/>
    <n v="2"/>
    <x v="0"/>
    <s v="COMPLETED"/>
    <m/>
    <d v="2026-01-13T00:00:00"/>
    <n v="3"/>
    <s v="POPV260205015"/>
    <m/>
    <s v="SHANGHAI"/>
    <x v="1"/>
    <x v="0"/>
    <d v="2026-01-20T00:00:00"/>
    <d v="2026-01-19T00:00:00"/>
    <d v="2026-01-19T00:00:00"/>
    <d v="2026-03-10T00:00:00"/>
    <d v="2026-03-09T00:00:00"/>
    <d v="2026-03-09T00:00:00"/>
    <s v="DAP"/>
    <s v="CMA CGM JULES VERNE 0MEMVW1MA"/>
    <s v="COSCO"/>
    <s v="TPVB20260116008"/>
    <x v="38"/>
    <s v="COSU6441963530"/>
    <n v="49"/>
    <m/>
    <d v="2026-03-09T00:00:00"/>
    <s v="In Stock-Approved "/>
    <d v="2026-03-23T00:00:00"/>
    <n v="8"/>
    <d v="2026-03-17T00:00:00"/>
    <n v="2026"/>
    <n v="3"/>
    <n v="12"/>
    <n v="33"/>
    <n v="660"/>
    <s v="White glazing"/>
    <s v="AEM"/>
  </r>
  <r>
    <s v="OCT010.01"/>
    <s v="Tianjin"/>
    <s v="OCT010"/>
    <s v="CORE DG"/>
    <x v="0"/>
    <s v="Arrival Plan-SPNL"/>
    <s v="DAP"/>
    <x v="0"/>
    <s v="n/a"/>
    <x v="21"/>
    <m/>
    <m/>
    <s v="n/a"/>
    <s v="n/a"/>
    <x v="0"/>
    <x v="16"/>
    <s v="HSM-ND54-DR505"/>
    <s v="EVO2A"/>
    <s v="±1400mm "/>
    <n v="505"/>
    <n v="1728"/>
    <n v="0.873"/>
    <n v="48"/>
    <n v="2"/>
    <x v="0"/>
    <s v="COMPLETED"/>
    <m/>
    <d v="2026-01-09T00:00:00"/>
    <n v="2"/>
    <s v="POPV260129020"/>
    <m/>
    <s v="TIANJIN"/>
    <x v="0"/>
    <x v="1"/>
    <d v="2026-01-14T00:00:00"/>
    <d v="2026-01-16T00:00:00"/>
    <d v="2026-01-16T00:00:00"/>
    <d v="2026-02-24T00:00:00"/>
    <d v="2026-03-13T00:00:00"/>
    <d v="2026-03-13T00:00:00"/>
    <s v="DAP"/>
    <s v="COSCO SHIPPING SOLAR 035W"/>
    <s v="COSCO"/>
    <s v="TPVB20260109011"/>
    <x v="39"/>
    <s v="COSU6441563290"/>
    <n v="56"/>
    <m/>
    <d v="2026-03-13T00:00:00"/>
    <s v="In Stock-Approved "/>
    <d v="2026-03-23T00:00:00"/>
    <n v="7"/>
    <d v="2026-03-20T00:00:00"/>
    <n v="2026"/>
    <n v="3"/>
    <n v="12"/>
    <n v="36"/>
    <n v="864"/>
    <s v="Black glazing"/>
    <s v="AEU"/>
  </r>
  <r>
    <s v="DEC018.04"/>
    <s v="Tianjin"/>
    <s v="DEC018"/>
    <s v="UPP"/>
    <x v="0"/>
    <s v="Arrival Plan-SPNL"/>
    <s v="DAP"/>
    <x v="0"/>
    <s v="n/a"/>
    <x v="16"/>
    <s v="tbc"/>
    <m/>
    <s v="n/a"/>
    <s v="n/a"/>
    <x v="0"/>
    <x v="13"/>
    <s v="HSM-ND66-GR625"/>
    <s v="H4(Com)"/>
    <s v="±1400mm "/>
    <n v="625"/>
    <n v="7200"/>
    <n v="4.5"/>
    <n v="200"/>
    <n v="10"/>
    <x v="0"/>
    <s v="COMPLETED"/>
    <m/>
    <d v="2026-01-12T00:00:00"/>
    <n v="3"/>
    <s v="POPV260202005"/>
    <m/>
    <s v="TIANJIN"/>
    <x v="0"/>
    <x v="1"/>
    <d v="2026-01-18T00:00:00"/>
    <d v="2026-01-18T00:00:00"/>
    <d v="2026-01-18T00:00:00"/>
    <d v="2026-03-03T00:00:00"/>
    <d v="2026-03-22T00:00:00"/>
    <d v="2026-03-22T00:00:00"/>
    <s v="DAP"/>
    <s v="COSCO SHIPPING UNIVERSE/0FAM9W1MA/034W"/>
    <s v="OTHER"/>
    <s v="TPVB20260116001"/>
    <x v="40"/>
    <s v="TJN0838416"/>
    <n v="63"/>
    <m/>
    <d v="2026-03-22T00:00:00"/>
    <s v="In Stock-Approved "/>
    <d v="2026-04-06T00:00:00"/>
    <n v="7"/>
    <d v="2026-03-29T00:00:00"/>
    <n v="2026"/>
    <n v="3"/>
    <n v="13"/>
    <n v="36"/>
    <n v="720"/>
    <s v="Redirection Film"/>
    <s v="AEU"/>
  </r>
  <r>
    <s v="DEC021.01"/>
    <s v="Yixing"/>
    <s v="DEC021"/>
    <s v="UPP"/>
    <x v="0"/>
    <s v="Arrival Plan-SPTN"/>
    <s v="DAP"/>
    <x v="0"/>
    <s v="n/a"/>
    <x v="17"/>
    <s v="46011022 -&gt; FR0125122900833"/>
    <m/>
    <s v="n/a"/>
    <s v="n/a"/>
    <x v="0"/>
    <x v="9"/>
    <s v="HSM-ND66-GR625 CFP"/>
    <s v="EVO2A"/>
    <s v="±1400mm "/>
    <n v="625"/>
    <n v="2880"/>
    <n v="1.8"/>
    <n v="80"/>
    <n v="4"/>
    <x v="0"/>
    <s v="COMPLETED"/>
    <m/>
    <d v="2026-01-19T00:00:00"/>
    <n v="4"/>
    <s v="POPV260202006"/>
    <m/>
    <s v="SHANGHAI"/>
    <x v="1"/>
    <x v="5"/>
    <d v="2026-01-25T00:00:00"/>
    <d v="2026-01-23T00:00:00"/>
    <d v="2026-01-23T00:00:00"/>
    <d v="2026-03-03T00:00:00"/>
    <d v="2026-03-11T00:00:00"/>
    <d v="2026-03-11T00:00:00"/>
    <s v="DAP"/>
    <s v="CMA CGM JACQUES SAADE/0FMLOW1MA"/>
    <s v="OTHER"/>
    <s v="TPVB20260123005"/>
    <x v="41"/>
    <s v="CHN3007423"/>
    <n v="47"/>
    <m/>
    <d v="2026-03-11T00:00:00"/>
    <s v="In Stock-Approved "/>
    <d v="2026-03-24T00:00:00"/>
    <n v="8"/>
    <d v="2026-03-19T00:00:00"/>
    <n v="2026"/>
    <n v="3"/>
    <n v="12"/>
    <n v="36"/>
    <n v="720"/>
    <s v="Redirection Film"/>
    <s v="AEU"/>
  </r>
  <r>
    <s v="DEC021.03"/>
    <s v="Yixing"/>
    <s v="DEC021"/>
    <s v="UPP"/>
    <x v="0"/>
    <s v="Arrival Plan-SPTN"/>
    <s v="DAP"/>
    <x v="0"/>
    <s v="n/a"/>
    <x v="17"/>
    <s v="46011022 -&gt; FR0125122900833"/>
    <m/>
    <s v="n/a"/>
    <s v="n/a"/>
    <x v="0"/>
    <x v="9"/>
    <s v="HSM-ND66-GR625 CFP"/>
    <s v="EVO2A"/>
    <s v="±1400mm "/>
    <n v="625"/>
    <n v="1440"/>
    <n v="0.9"/>
    <n v="40"/>
    <n v="2"/>
    <x v="0"/>
    <s v="COMPLETED"/>
    <m/>
    <d v="2026-01-19T00:00:00"/>
    <n v="4"/>
    <s v="POPV260202008"/>
    <m/>
    <s v="SHANGHAI"/>
    <x v="1"/>
    <x v="5"/>
    <d v="2026-01-25T00:00:00"/>
    <d v="2026-01-23T00:00:00"/>
    <d v="2026-01-23T00:00:00"/>
    <d v="2026-03-03T00:00:00"/>
    <d v="2026-03-11T00:00:00"/>
    <d v="2026-03-11T00:00:00"/>
    <s v="DAP"/>
    <s v="CMA CGM JACQUES SAADE/0FMLOW1MA"/>
    <s v="OTHER"/>
    <s v="TPVB20260123005"/>
    <x v="41"/>
    <s v="CHN3007423"/>
    <n v="47"/>
    <m/>
    <d v="2026-03-11T00:00:00"/>
    <s v="In Stock-Approved "/>
    <d v="2026-03-24T00:00:00"/>
    <n v="8"/>
    <d v="2026-03-19T00:00:00"/>
    <n v="2026"/>
    <n v="3"/>
    <n v="12"/>
    <n v="36"/>
    <n v="720"/>
    <s v="Redirection Film"/>
    <s v="AEU"/>
  </r>
  <r>
    <s v="NOV017.10"/>
    <s v="Yixing"/>
    <s v="NOV017"/>
    <s v="UPP"/>
    <x v="0"/>
    <s v="Arrival Plan-SPTN"/>
    <s v="DAP"/>
    <x v="0"/>
    <s v="n/a"/>
    <x v="17"/>
    <s v="FR0125122900833"/>
    <m/>
    <s v="n/a"/>
    <s v="n/a"/>
    <x v="0"/>
    <x v="9"/>
    <s v="HSM-ND66-GR625 CFP"/>
    <s v="EVO2A"/>
    <s v="±1400mm "/>
    <n v="625"/>
    <n v="2592"/>
    <n v="1.62"/>
    <n v="72"/>
    <n v="3.6"/>
    <x v="0"/>
    <s v="COMPLETED"/>
    <m/>
    <d v="2026-01-19T00:00:00"/>
    <n v="4"/>
    <s v="POPV260202007"/>
    <m/>
    <s v="SHANGHAI"/>
    <x v="1"/>
    <x v="5"/>
    <d v="2026-01-25T00:00:00"/>
    <d v="2026-01-23T00:00:00"/>
    <d v="2026-01-23T00:00:00"/>
    <d v="2026-03-03T00:00:00"/>
    <d v="2026-03-11T00:00:00"/>
    <d v="2026-03-11T00:00:00"/>
    <s v="DAP"/>
    <s v="CMA CGM JACQUES SAADE/0FMLOW1MA"/>
    <s v="OTHER"/>
    <s v="TPVB20260123005"/>
    <x v="41"/>
    <s v="CHN3007423"/>
    <n v="47"/>
    <m/>
    <d v="2026-03-11T00:00:00"/>
    <s v="In Stock-Approved "/>
    <d v="2026-03-24T00:00:00"/>
    <n v="8"/>
    <d v="2026-03-19T00:00:00"/>
    <n v="2026"/>
    <n v="3"/>
    <n v="12"/>
    <n v="36"/>
    <n v="720"/>
    <s v="Redirection Film"/>
    <s v="AEU"/>
  </r>
  <r>
    <s v="DEC021.04"/>
    <s v="Yixing"/>
    <s v="DEC021"/>
    <s v="UPP"/>
    <x v="0"/>
    <s v="Arrival Plan-SPTN"/>
    <s v="DAP"/>
    <x v="0"/>
    <s v="n/a"/>
    <x v="17"/>
    <s v="FR0125122900833"/>
    <m/>
    <s v="n/a"/>
    <s v="n/a"/>
    <x v="0"/>
    <x v="9"/>
    <s v="HSM-ND66-GR625 CFP"/>
    <s v="EVO2A"/>
    <s v="±1400mm "/>
    <n v="625"/>
    <n v="72"/>
    <n v="4.4999999999999998E-2"/>
    <n v="2"/>
    <n v="0.1"/>
    <x v="0"/>
    <s v="COMPLETED"/>
    <m/>
    <d v="2026-01-19T00:00:00"/>
    <n v="4"/>
    <s v="POPV260202009"/>
    <m/>
    <s v="SHANGHAI"/>
    <x v="1"/>
    <x v="5"/>
    <d v="2025-01-25T00:00:00"/>
    <d v="2026-01-23T00:00:00"/>
    <d v="2026-01-23T00:00:00"/>
    <d v="2026-03-03T00:00:00"/>
    <d v="2026-03-11T00:00:00"/>
    <d v="2026-03-11T00:00:00"/>
    <s v="DAP"/>
    <s v="CMA CGM JACQUES SAADE"/>
    <s v="OTHER"/>
    <s v="TPVB20260123005"/>
    <x v="41"/>
    <s v="CHN3007423"/>
    <n v="47"/>
    <m/>
    <d v="2026-03-11T00:00:00"/>
    <s v="In Stock-Approved "/>
    <d v="2026-03-24T00:00:00"/>
    <n v="8"/>
    <d v="2026-03-19T00:00:00"/>
    <n v="2026"/>
    <n v="3"/>
    <n v="12"/>
    <n v="36"/>
    <n v="720"/>
    <s v="Redirection Film"/>
    <s v="AEU"/>
  </r>
  <r>
    <s v="NOV016.04"/>
    <s v="Yixing"/>
    <s v="NOV016"/>
    <s v="UPP"/>
    <x v="0"/>
    <s v="Arrival Plan-SPTN"/>
    <s v="DAP"/>
    <x v="0"/>
    <s v="n/a"/>
    <x v="19"/>
    <s v="tbc"/>
    <m/>
    <s v="n/a"/>
    <s v="n/a"/>
    <x v="0"/>
    <x v="14"/>
    <s v="HSM-ND66-GR620 CFP"/>
    <s v="EVO2A"/>
    <s v="±1400mm "/>
    <n v="620"/>
    <n v="216"/>
    <n v="0.13400000000000001"/>
    <n v="6"/>
    <n v="0.3"/>
    <x v="0"/>
    <s v="COMPLETED"/>
    <m/>
    <d v="2026-01-19T00:00:00"/>
    <n v="4"/>
    <s v="POPV260202010"/>
    <m/>
    <s v="SHANGHAI"/>
    <x v="1"/>
    <x v="5"/>
    <d v="2025-01-25T00:00:00"/>
    <d v="2026-01-23T00:00:00"/>
    <d v="2026-01-23T00:00:00"/>
    <d v="2026-03-03T00:00:00"/>
    <d v="2026-03-11T00:00:00"/>
    <d v="2026-03-11T00:00:00"/>
    <s v="DAP"/>
    <s v="CMA CGM JACQUES SAADE"/>
    <s v="OTHER"/>
    <s v="TPVB20260123005"/>
    <x v="41"/>
    <s v="CHN3007423"/>
    <n v="47"/>
    <m/>
    <d v="2026-03-11T00:00:00"/>
    <s v="In Stock-Approved "/>
    <d v="2026-03-24T00:00:00"/>
    <n v="8"/>
    <d v="2026-03-19T00:00:00"/>
    <n v="2026"/>
    <n v="3"/>
    <n v="12"/>
    <n v="36"/>
    <n v="720"/>
    <s v="Redirection Film"/>
    <s v="AEU"/>
  </r>
  <r>
    <s v="DEC021"/>
    <s v="Yixing"/>
    <s v="Main Line"/>
    <s v="UPP"/>
    <x v="0"/>
    <s v="Arrival Plan-SPTN"/>
    <s v="DAP"/>
    <x v="0"/>
    <s v="n/a"/>
    <x v="17"/>
    <s v="FR0125122900833"/>
    <m/>
    <s v="n/a"/>
    <s v="n/a"/>
    <x v="0"/>
    <x v="9"/>
    <s v="HSM-ND66-GR625 CFP"/>
    <s v="EVO2A"/>
    <s v="±1400mm "/>
    <n v="625"/>
    <n v="720"/>
    <n v="0.45"/>
    <n v="20"/>
    <n v="1"/>
    <x v="0"/>
    <s v="COMPLETED"/>
    <m/>
    <d v="2026-01-19T00:00:00"/>
    <n v="4"/>
    <s v="POPV260202004"/>
    <m/>
    <s v="SHANGHAI"/>
    <x v="1"/>
    <x v="5"/>
    <d v="2025-01-25T00:00:00"/>
    <d v="2026-01-23T00:00:00"/>
    <d v="2026-01-23T00:00:00"/>
    <d v="2026-03-03T00:00:00"/>
    <d v="2026-03-05T00:00:00"/>
    <d v="2026-03-05T00:00:00"/>
    <s v="DAP"/>
    <s v="CMA CGM JACQUES SAADE"/>
    <s v="COSCO"/>
    <s v="TPVB20260123022"/>
    <x v="42"/>
    <s v="COSU6442049520"/>
    <n v="41"/>
    <m/>
    <d v="2026-03-05T00:00:00"/>
    <s v="In Stock-Approved "/>
    <d v="2026-03-18T00:00:00"/>
    <n v="8"/>
    <d v="2026-03-13T00:00:00"/>
    <n v="2026"/>
    <n v="3"/>
    <n v="11"/>
    <n v="36"/>
    <n v="720"/>
    <s v="Redirection Film"/>
    <s v="AEU"/>
  </r>
  <r>
    <s v="DEC010.01"/>
    <s v="Yixing"/>
    <s v="DEC010"/>
    <s v="CORE DG"/>
    <x v="0"/>
    <s v="Arrival Plan-SPUK"/>
    <s v="DAP"/>
    <x v="6"/>
    <s v="n/a"/>
    <x v="22"/>
    <n v="20519249"/>
    <m/>
    <s v="n/a"/>
    <s v="n/a"/>
    <x v="1"/>
    <x v="17"/>
    <s v="TCL-MR460DT182-58NS"/>
    <s v="EVO2A"/>
    <s v="±1200mm "/>
    <n v="460"/>
    <n v="1728"/>
    <n v="0.79500000000000004"/>
    <n v="48"/>
    <n v="2"/>
    <x v="0"/>
    <s v="COMPLETED"/>
    <m/>
    <d v="2026-01-20T00:00:00"/>
    <n v="4"/>
    <s v="POPV260205018"/>
    <m/>
    <s v="SHANGHAI"/>
    <x v="1"/>
    <x v="6"/>
    <d v="2026-01-28T00:00:00"/>
    <d v="2026-01-31T00:00:00"/>
    <d v="2026-01-31T00:00:00"/>
    <d v="2026-03-08T00:00:00"/>
    <d v="2026-03-27T00:00:00"/>
    <d v="2026-03-27T00:00:00"/>
    <s v="DAP"/>
    <s v="EVER AIM 1385-016W"/>
    <s v="COSCO"/>
    <s v="TPVB20260123008"/>
    <x v="43"/>
    <s v="COSU6441764750"/>
    <n v="55"/>
    <m/>
    <d v="2026-03-27T00:00:00"/>
    <s v="In Stock-Approved "/>
    <d v="2026-04-08T00:00:00"/>
    <n v="7"/>
    <d v="2026-04-03T00:00:00"/>
    <n v="2026"/>
    <n v="4"/>
    <n v="14"/>
    <n v="36"/>
    <n v="864"/>
    <s v="White glazing"/>
    <s v="AEU"/>
  </r>
  <r>
    <s v="DEC008.02"/>
    <s v="Yixing"/>
    <s v="DEC008"/>
    <s v="CORE DG"/>
    <x v="0"/>
    <s v="Arrival Plan-SPTN"/>
    <s v="DAP"/>
    <x v="0"/>
    <s v="n/a"/>
    <x v="12"/>
    <m/>
    <m/>
    <s v="n/a"/>
    <s v="n/a"/>
    <x v="2"/>
    <x v="18"/>
    <s v="PVM, SPR-P7-550-COM-S, I BF-G M4.3D EVO2Z6NL 1.5KV IT"/>
    <s v="EVO2A"/>
    <s v="±1500mm "/>
    <n v="550"/>
    <n v="660"/>
    <n v="0.36299999999999999"/>
    <n v="20"/>
    <n v="1"/>
    <x v="0"/>
    <s v="COMPLETED"/>
    <m/>
    <d v="2026-01-22T00:00:00"/>
    <n v="4"/>
    <s v="POPV260205033"/>
    <m/>
    <s v="SHANGHAI"/>
    <x v="1"/>
    <x v="0"/>
    <d v="2026-01-27T00:00:00"/>
    <d v="2026-02-02T00:00:00"/>
    <d v="2026-02-03T00:00:00"/>
    <d v="2026-03-17T00:00:00"/>
    <d v="2026-03-20T00:00:00"/>
    <d v="2026-03-22T00:00:00"/>
    <s v="DAP"/>
    <s v="CMA CGM APOLLON 0MEMXW1MA"/>
    <s v="COSCO"/>
    <s v="TPVB20260123009"/>
    <x v="44"/>
    <s v="COSU6442048090"/>
    <n v="47"/>
    <m/>
    <d v="2026-03-22T00:00:00"/>
    <s v="In Stock-Approved "/>
    <d v="2026-04-03T00:00:00"/>
    <n v="8"/>
    <d v="2026-03-30T00:00:00"/>
    <n v="2026"/>
    <n v="3"/>
    <n v="14"/>
    <n v="33"/>
    <n v="660"/>
    <s v="White glazing"/>
    <s v="AEM"/>
  </r>
  <r>
    <s v="DEC008.03"/>
    <s v="Yixing"/>
    <s v="DEC008"/>
    <s v="CORE DG"/>
    <x v="0"/>
    <s v="Arrival Plan-SPTN"/>
    <s v="DAP"/>
    <x v="0"/>
    <s v="n/a"/>
    <x v="12"/>
    <m/>
    <m/>
    <s v="n/a"/>
    <s v="n/a"/>
    <x v="2"/>
    <x v="18"/>
    <s v="PVM, SPR-P7-550-COM-S, I BF-G M4.3D EVO2Z6NL 1.5KV IT"/>
    <s v="EVO2A"/>
    <s v="±1500mm "/>
    <n v="550"/>
    <n v="1320"/>
    <n v="0.72599999999999998"/>
    <n v="40"/>
    <n v="2"/>
    <x v="0"/>
    <s v="COMPLETED"/>
    <m/>
    <d v="2026-01-22T00:00:00"/>
    <n v="4"/>
    <s v="POPV260205032"/>
    <m/>
    <s v="SHANGHAI"/>
    <x v="1"/>
    <x v="0"/>
    <d v="2026-01-27T00:00:00"/>
    <d v="2026-02-02T00:00:00"/>
    <d v="2026-02-03T00:00:00"/>
    <d v="2026-03-17T00:00:00"/>
    <d v="2026-03-20T00:00:00"/>
    <d v="2026-03-22T00:00:00"/>
    <s v="DAP"/>
    <s v="CMA CGM APOLLON 0MEMXW1MA"/>
    <s v="COSCO"/>
    <s v="TPVB20260123009"/>
    <x v="44"/>
    <s v="COSU6442048090"/>
    <n v="47"/>
    <m/>
    <d v="2026-03-22T00:00:00"/>
    <s v="In Stock-Approved "/>
    <d v="2026-04-03T00:00:00"/>
    <n v="8"/>
    <d v="2026-03-30T00:00:00"/>
    <n v="2026"/>
    <n v="3"/>
    <n v="14"/>
    <n v="33"/>
    <n v="660"/>
    <s v="White glazing"/>
    <s v="AEM"/>
  </r>
  <r>
    <s v="DEC007.01"/>
    <s v="Yixing"/>
    <s v="DEC007"/>
    <s v="CORE DG"/>
    <x v="0"/>
    <s v="Arrival Plan-SPTN"/>
    <s v="DAP"/>
    <x v="0"/>
    <s v="n/a"/>
    <x v="12"/>
    <m/>
    <m/>
    <s v="n/a"/>
    <s v="n/a"/>
    <x v="5"/>
    <x v="19"/>
    <s v="PVM, SPR-P7-460-BLK-1500, I BF-G AR-SA M4.4F EVO2Z1NL IT P39"/>
    <s v="EVO2A"/>
    <s v="±1200mm "/>
    <n v="460"/>
    <n v="2592"/>
    <n v="1.1919999999999999"/>
    <n v="72"/>
    <n v="3"/>
    <x v="0"/>
    <s v="COMPLETED"/>
    <m/>
    <d v="2026-01-22T00:00:00"/>
    <n v="4"/>
    <s v="POPV260205030"/>
    <m/>
    <s v="SHANGHAI"/>
    <x v="1"/>
    <x v="0"/>
    <d v="2026-01-27T00:00:00"/>
    <d v="2026-02-02T00:00:00"/>
    <d v="2026-02-03T00:00:00"/>
    <d v="2026-03-17T00:00:00"/>
    <d v="2026-03-20T00:00:00"/>
    <d v="2026-03-22T00:00:00"/>
    <s v="DAP"/>
    <s v="CMA CGM APOLLON 0MEMXW1MA"/>
    <s v="COSCO"/>
    <s v="TPVB20260123009"/>
    <x v="44"/>
    <s v="COSU6442048090"/>
    <n v="47"/>
    <m/>
    <d v="2026-03-22T00:00:00"/>
    <s v="In Stock-Approved "/>
    <d v="2026-04-03T00:00:00"/>
    <n v="8"/>
    <d v="2026-03-30T00:00:00"/>
    <n v="2026"/>
    <n v="3"/>
    <n v="14"/>
    <n v="36"/>
    <n v="864"/>
    <s v="Black glazing"/>
    <s v="AEM"/>
  </r>
  <r>
    <s v="DEC008.07"/>
    <s v="Yixing"/>
    <s v="DEC008"/>
    <s v="CORE DG"/>
    <x v="0"/>
    <s v="Arrival Plan-SPTN"/>
    <s v="DAP"/>
    <x v="0"/>
    <s v="n/a"/>
    <x v="12"/>
    <m/>
    <m/>
    <s v="n/a"/>
    <s v="n/a"/>
    <x v="2"/>
    <x v="18"/>
    <s v="PVM, SPR-P7-550-COM-S, I BF-G M4.3D EVO2Z6NL 1.5KV IT"/>
    <s v="EVO2A"/>
    <s v="±1500mm "/>
    <n v="550"/>
    <n v="660"/>
    <n v="0.36299999999999999"/>
    <n v="20"/>
    <n v="1"/>
    <x v="0"/>
    <s v="COMPLETED"/>
    <m/>
    <d v="2026-01-18T00:00:00"/>
    <n v="3"/>
    <s v="POPV260205034"/>
    <m/>
    <s v="SHANGHAI"/>
    <x v="1"/>
    <x v="0"/>
    <d v="2026-01-23T00:00:00"/>
    <d v="2026-01-25T00:00:00"/>
    <d v="2026-01-25T00:00:00"/>
    <d v="2026-03-16T00:00:00"/>
    <d v="2026-03-30T00:00:00"/>
    <d v="2026-03-30T00:00:00"/>
    <s v="DAP"/>
    <s v="EVER GIFTED 0736-028W"/>
    <s v="COSCO"/>
    <s v="TPVB20260123010"/>
    <x v="45"/>
    <s v="COSU6442107220"/>
    <n v="64"/>
    <m/>
    <d v="2026-03-30T00:00:00"/>
    <s v="In Stock-Approved "/>
    <d v="2026-04-08T00:00:00"/>
    <n v="8"/>
    <d v="2026-04-07T00:00:00"/>
    <n v="2026"/>
    <n v="4"/>
    <n v="15"/>
    <n v="33"/>
    <n v="660"/>
    <s v="White glazing"/>
    <s v="AEM"/>
  </r>
  <r>
    <s v="DEC011.09"/>
    <s v="Yixing"/>
    <s v="DEC011"/>
    <s v="CORE DG"/>
    <x v="0"/>
    <s v="Arrival Plan-SPNL"/>
    <s v="DAP"/>
    <x v="0"/>
    <s v="n/a"/>
    <x v="23"/>
    <m/>
    <m/>
    <s v="n/a"/>
    <s v="n/a"/>
    <x v="1"/>
    <x v="6"/>
    <s v="TCL-MR465DT182-58NS"/>
    <s v="EVO2A"/>
    <s v="±1200mm "/>
    <n v="465"/>
    <n v="864"/>
    <n v="0.40200000000000002"/>
    <n v="24"/>
    <n v="1"/>
    <x v="0"/>
    <s v="COMPLETED"/>
    <m/>
    <d v="2026-01-20T00:00:00"/>
    <n v="4"/>
    <s v="POPV260211017"/>
    <m/>
    <s v="SHANGHAI"/>
    <x v="1"/>
    <x v="1"/>
    <d v="2026-01-28T00:00:00"/>
    <d v="2026-01-31T00:00:00"/>
    <d v="2026-02-01T00:00:00"/>
    <d v="2026-03-20T00:00:00"/>
    <d v="2026-04-04T00:00:00"/>
    <d v="2026-04-06T00:00:00"/>
    <s v="DAP"/>
    <s v="COSCO SHIPPING SAKURA 034W"/>
    <s v="COSCO"/>
    <s v="TPVB20260123011"/>
    <x v="46"/>
    <s v="COSU6441766300"/>
    <n v="64"/>
    <m/>
    <d v="2026-04-06T00:00:00"/>
    <s v="In Stock-Approved "/>
    <d v="2026-04-20T00:00:00"/>
    <n v="7"/>
    <d v="2026-04-13T00:00:00"/>
    <n v="2026"/>
    <n v="4"/>
    <n v="16"/>
    <n v="36"/>
    <n v="864"/>
    <s v="White glazing"/>
    <s v="AEU"/>
  </r>
  <r>
    <s v="NOV005.06"/>
    <s v="Yixing"/>
    <s v="NOV005"/>
    <s v="CORE DG"/>
    <x v="0"/>
    <s v="Arrival Plan-SPNL"/>
    <s v="DAP"/>
    <x v="0"/>
    <s v="n/a"/>
    <x v="23"/>
    <m/>
    <m/>
    <s v="n/a"/>
    <s v="n/a"/>
    <x v="1"/>
    <x v="6"/>
    <s v="TCL-MR465DT182-58NS"/>
    <s v="EVO2A"/>
    <s v="±1200mm "/>
    <n v="465"/>
    <n v="1728"/>
    <n v="0.80400000000000005"/>
    <n v="48"/>
    <n v="2"/>
    <x v="0"/>
    <s v="COMPLETED"/>
    <m/>
    <d v="2026-01-20T00:00:00"/>
    <n v="4"/>
    <s v="POPV260211014"/>
    <m/>
    <s v="SHANGHAI"/>
    <x v="1"/>
    <x v="1"/>
    <d v="2026-01-28T00:00:00"/>
    <d v="2026-01-31T00:00:00"/>
    <d v="2026-02-01T00:00:00"/>
    <d v="2026-03-20T00:00:00"/>
    <d v="2026-04-04T00:00:00"/>
    <d v="2026-04-06T00:00:00"/>
    <s v="DAP"/>
    <s v="COSCO SHIPPING SAKURA 034W"/>
    <s v="COSCO"/>
    <s v="TPVB20260123011"/>
    <x v="46"/>
    <s v="COSU6441766300"/>
    <n v="64"/>
    <m/>
    <d v="2026-04-06T00:00:00"/>
    <s v="In Stock-Approved "/>
    <d v="2026-04-20T00:00:00"/>
    <n v="7"/>
    <d v="2026-04-13T00:00:00"/>
    <n v="2026"/>
    <n v="4"/>
    <n v="16"/>
    <n v="36"/>
    <n v="864"/>
    <s v="White glazing"/>
    <s v="AEU"/>
  </r>
  <r>
    <s v="DEC011.05"/>
    <s v="Yixing"/>
    <s v="DEC011"/>
    <s v="CORE DG"/>
    <x v="0"/>
    <s v="Arrival Plan-SPNL"/>
    <s v="DAP"/>
    <x v="0"/>
    <s v="n/a"/>
    <x v="3"/>
    <m/>
    <m/>
    <s v="n/a"/>
    <s v="n/a"/>
    <x v="1"/>
    <x v="6"/>
    <s v="TCL-MR465DT182-58NS"/>
    <s v="EVO2A"/>
    <s v="±1200mm "/>
    <n v="465"/>
    <n v="1728"/>
    <n v="0.80400000000000005"/>
    <n v="48"/>
    <n v="2"/>
    <x v="0"/>
    <s v="COMPLETED"/>
    <m/>
    <d v="2026-01-18T00:00:00"/>
    <n v="3"/>
    <s v="POPV260211016"/>
    <m/>
    <s v="SHANGHAI"/>
    <x v="1"/>
    <x v="1"/>
    <d v="2026-01-23T00:00:00"/>
    <d v="2026-01-25T00:00:00"/>
    <d v="2026-01-25T00:00:00"/>
    <d v="2026-03-08T00:00:00"/>
    <d v="2026-03-30T00:00:00"/>
    <d v="2026-03-30T00:00:00"/>
    <s v="DAP"/>
    <s v="EVER GIFTED 0736-028W"/>
    <s v="COSCO"/>
    <s v="TPVB20260123012"/>
    <x v="47"/>
    <s v="COSU6442108070"/>
    <n v="64"/>
    <m/>
    <d v="2026-03-30T00:00:00"/>
    <s v="In Stock-Approved "/>
    <d v="2026-04-13T00:00:00"/>
    <n v="7"/>
    <d v="2026-04-06T00:00:00"/>
    <n v="2026"/>
    <n v="4"/>
    <n v="15"/>
    <n v="36"/>
    <n v="864"/>
    <s v="White glazing"/>
    <s v="AEU"/>
  </r>
  <r>
    <s v="DEC011.06"/>
    <s v="Yixing"/>
    <s v="DEC011"/>
    <s v="CORE DG"/>
    <x v="0"/>
    <s v="Arrival Plan-SPNL"/>
    <s v="DAP"/>
    <x v="0"/>
    <s v="n/a"/>
    <x v="3"/>
    <m/>
    <m/>
    <s v="n/a"/>
    <s v="n/a"/>
    <x v="1"/>
    <x v="6"/>
    <s v="TCL-MR465DT182-58NS"/>
    <s v="EVO2A"/>
    <s v="±1200mm "/>
    <n v="465"/>
    <n v="864"/>
    <n v="0.40200000000000002"/>
    <n v="24"/>
    <n v="1"/>
    <x v="0"/>
    <s v="COMPLETED"/>
    <m/>
    <d v="2026-01-18T00:00:00"/>
    <n v="3"/>
    <s v="POPV260211015"/>
    <m/>
    <s v="SHANGHAI"/>
    <x v="1"/>
    <x v="1"/>
    <d v="2026-01-23T00:00:00"/>
    <d v="2026-01-25T00:00:00"/>
    <d v="2026-01-25T00:00:00"/>
    <d v="2026-03-08T00:00:00"/>
    <d v="2026-03-30T00:00:00"/>
    <d v="2026-03-30T00:00:00"/>
    <s v="DAP"/>
    <s v="EVER GIFTED 0736-028W"/>
    <s v="COSCO"/>
    <s v="TPVB20260123012"/>
    <x v="47"/>
    <s v="COSU6442108070"/>
    <n v="64"/>
    <m/>
    <d v="2026-03-30T00:00:00"/>
    <s v="In Stock-Approved "/>
    <d v="2026-04-13T00:00:00"/>
    <n v="7"/>
    <d v="2026-04-06T00:00:00"/>
    <n v="2026"/>
    <n v="4"/>
    <n v="15"/>
    <n v="36"/>
    <n v="864"/>
    <s v="White glazing"/>
    <s v="AEU"/>
  </r>
  <r>
    <s v="DEC008.01"/>
    <s v="Yixing"/>
    <s v="DEC008"/>
    <s v="CORE DG"/>
    <x v="0"/>
    <s v="Arrival Plan-SPNL"/>
    <s v="DAP"/>
    <x v="0"/>
    <s v="n/a"/>
    <x v="8"/>
    <m/>
    <m/>
    <s v="n/a"/>
    <s v="n/a"/>
    <x v="2"/>
    <x v="18"/>
    <s v="PVM, SPR-P7-550-COM-S, I BF-G M4.3D EVO2Z6NL 1.5KV IT"/>
    <s v="EVO2A"/>
    <s v="±1500mm "/>
    <n v="550"/>
    <n v="660"/>
    <n v="0.36299999999999999"/>
    <n v="20"/>
    <n v="1"/>
    <x v="0"/>
    <s v="COMPLETED"/>
    <m/>
    <d v="2026-01-18T00:00:00"/>
    <n v="3"/>
    <s v="POPV260211013"/>
    <m/>
    <s v="SHANGHAI"/>
    <x v="1"/>
    <x v="1"/>
    <d v="2026-01-23T00:00:00"/>
    <d v="2026-01-25T00:00:00"/>
    <d v="2026-01-25T00:00:00"/>
    <d v="2026-03-08T00:00:00"/>
    <d v="2026-03-30T00:00:00"/>
    <d v="2026-03-30T00:00:00"/>
    <s v="DAP"/>
    <s v="EVER GIFTED 0736-028W"/>
    <s v="COSCO"/>
    <s v="TPVB20260123012"/>
    <x v="47"/>
    <s v="COSU6442108070"/>
    <n v="64"/>
    <m/>
    <d v="2026-03-30T00:00:00"/>
    <s v="In Stock-Approved "/>
    <d v="2026-04-13T00:00:00"/>
    <n v="7"/>
    <d v="2026-04-06T00:00:00"/>
    <n v="2026"/>
    <n v="4"/>
    <n v="15"/>
    <n v="33"/>
    <n v="660"/>
    <s v="White glazing"/>
    <s v="AEU"/>
  </r>
  <r>
    <s v="DEC008.05"/>
    <s v="Yixing"/>
    <s v="DEC008"/>
    <s v="CORE DG"/>
    <x v="0"/>
    <s v="Arrival Plan-SPNL"/>
    <s v="DAP"/>
    <x v="0"/>
    <s v="n/a"/>
    <x v="8"/>
    <m/>
    <m/>
    <s v="n/a"/>
    <s v="n/a"/>
    <x v="2"/>
    <x v="18"/>
    <s v="PVM, SPR-P7-550-COM-S, I BF-G M4.3D EVO2Z6NL 1.5KV IT"/>
    <s v="EVO2A"/>
    <s v="±1500mm "/>
    <n v="550"/>
    <n v="660"/>
    <n v="0.36299999999999999"/>
    <n v="20"/>
    <n v="1"/>
    <x v="0"/>
    <s v="COMPLETED"/>
    <m/>
    <d v="2026-01-18T00:00:00"/>
    <n v="3"/>
    <s v="POPV260211012"/>
    <m/>
    <s v="SHANGHAI"/>
    <x v="1"/>
    <x v="1"/>
    <d v="2026-01-23T00:00:00"/>
    <d v="2026-01-25T00:00:00"/>
    <d v="2026-01-25T00:00:00"/>
    <d v="2026-03-08T00:00:00"/>
    <d v="2026-03-30T00:00:00"/>
    <d v="2026-03-30T00:00:00"/>
    <s v="DAP"/>
    <s v="EVER GIFTED 0736-028W"/>
    <s v="COSCO"/>
    <s v="TPVB20260123012"/>
    <x v="47"/>
    <s v="COSU6442108070"/>
    <n v="64"/>
    <m/>
    <d v="2026-03-30T00:00:00"/>
    <s v="In Stock-Approved "/>
    <d v="2026-04-13T00:00:00"/>
    <n v="7"/>
    <d v="2026-04-06T00:00:00"/>
    <n v="2026"/>
    <n v="4"/>
    <n v="15"/>
    <n v="33"/>
    <n v="660"/>
    <s v="White glazing"/>
    <s v="AEU"/>
  </r>
  <r>
    <s v="DEC011.03"/>
    <s v="Yixing"/>
    <s v="DEC011"/>
    <s v="CORE DG"/>
    <x v="0"/>
    <s v="Arrival Plan-SPTN"/>
    <s v="DAP"/>
    <x v="0"/>
    <s v="n/a"/>
    <x v="9"/>
    <m/>
    <m/>
    <s v="n/a"/>
    <s v="n/a"/>
    <x v="1"/>
    <x v="6"/>
    <s v="TCL-MR465DT182-58NS"/>
    <s v="EVO2A"/>
    <s v="±1200mm "/>
    <n v="465"/>
    <n v="1728"/>
    <n v="0.80400000000000005"/>
    <n v="48"/>
    <n v="2"/>
    <x v="0"/>
    <s v="COMPLETED"/>
    <m/>
    <d v="2026-01-16T00:00:00"/>
    <n v="3"/>
    <s v="POPV260225020"/>
    <m/>
    <s v="SHANGHAI"/>
    <x v="1"/>
    <x v="0"/>
    <d v="2026-01-23T00:00:00"/>
    <d v="2026-01-25T00:00:00"/>
    <d v="2026-01-25T00:00:00"/>
    <d v="2026-03-11T00:00:00"/>
    <d v="2026-03-30T00:00:00"/>
    <d v="2026-03-30T00:00:00"/>
    <s v="DAP"/>
    <s v="EVER GIFTED 0736-028W"/>
    <s v="COSCO"/>
    <s v="TPVB20260123013"/>
    <x v="48"/>
    <s v="COSU6442054300"/>
    <n v="64"/>
    <m/>
    <d v="2026-03-30T00:00:00"/>
    <s v="In Stock-Approved "/>
    <d v="2026-04-08T00:00:00"/>
    <n v="8"/>
    <d v="2026-04-07T00:00:00"/>
    <n v="2026"/>
    <n v="4"/>
    <n v="15"/>
    <n v="36"/>
    <n v="864"/>
    <s v="White glazing"/>
    <s v="AEM"/>
  </r>
  <r>
    <s v="DEC012.06"/>
    <s v="Yixing"/>
    <s v="DEC012"/>
    <s v="CORE DG"/>
    <x v="0"/>
    <s v="Arrival Plan-SPTN"/>
    <s v="DAP"/>
    <x v="0"/>
    <s v="n/a"/>
    <x v="9"/>
    <m/>
    <m/>
    <s v="n/a"/>
    <s v="n/a"/>
    <x v="1"/>
    <x v="4"/>
    <s v="TCL-MG720DT210-68NS"/>
    <s v="EVO2A"/>
    <s v="±1400mm "/>
    <n v="720"/>
    <n v="594"/>
    <n v="0.42799999999999999"/>
    <n v="18"/>
    <n v="1"/>
    <x v="0"/>
    <s v="COMPLETED"/>
    <m/>
    <d v="2026-01-16T00:00:00"/>
    <n v="3"/>
    <s v="POPV260225016"/>
    <m/>
    <s v="SHANGHAI"/>
    <x v="1"/>
    <x v="0"/>
    <d v="2026-01-23T00:00:00"/>
    <d v="2026-01-25T00:00:00"/>
    <d v="2026-01-25T00:00:00"/>
    <d v="2026-03-11T00:00:00"/>
    <d v="2026-03-30T00:00:00"/>
    <d v="2026-03-30T00:00:00"/>
    <s v="DAP"/>
    <s v="EVER GIFTED 0736-028W"/>
    <s v="COSCO"/>
    <s v="TPVB20260123013"/>
    <x v="48"/>
    <s v="COSU6442054300"/>
    <n v="64"/>
    <m/>
    <d v="2026-03-30T00:00:00"/>
    <s v="In Stock-Approved "/>
    <d v="2026-04-08T00:00:00"/>
    <n v="8"/>
    <d v="2026-04-07T00:00:00"/>
    <n v="2026"/>
    <n v="4"/>
    <n v="15"/>
    <n v="33"/>
    <n v="594"/>
    <s v="White glazing"/>
    <s v="AEM"/>
  </r>
  <r>
    <s v="DEC011.04"/>
    <s v="Yixing"/>
    <s v="DEC011"/>
    <s v="CORE DG"/>
    <x v="0"/>
    <s v="Arrival Plan-SPTN"/>
    <s v="DAP"/>
    <x v="0"/>
    <s v="n/a"/>
    <x v="9"/>
    <m/>
    <m/>
    <s v="n/a"/>
    <s v="n/a"/>
    <x v="1"/>
    <x v="6"/>
    <s v="TCL-MR465DT182-58NS"/>
    <s v="EVO2A"/>
    <s v="±1200mm "/>
    <n v="465"/>
    <n v="3456"/>
    <n v="1.607"/>
    <n v="96"/>
    <n v="4"/>
    <x v="0"/>
    <s v="COMPLETED"/>
    <m/>
    <d v="2026-01-16T00:00:00"/>
    <n v="3"/>
    <s v="POPV260225019"/>
    <m/>
    <s v="SHANGHAI"/>
    <x v="1"/>
    <x v="0"/>
    <d v="2026-01-23T00:00:00"/>
    <d v="2026-01-25T00:00:00"/>
    <d v="2026-01-25T00:00:00"/>
    <d v="2026-03-11T00:00:00"/>
    <d v="2026-03-30T00:00:00"/>
    <d v="2026-03-30T00:00:00"/>
    <s v="DAP"/>
    <s v="EVER GIFTED 0736-028W"/>
    <s v="COSCO"/>
    <s v="TPVB20260123013"/>
    <x v="48"/>
    <s v="COSU6442054300"/>
    <n v="64"/>
    <m/>
    <d v="2026-03-30T00:00:00"/>
    <s v="In Stock-Approved "/>
    <d v="2026-04-08T00:00:00"/>
    <n v="8"/>
    <d v="2026-04-07T00:00:00"/>
    <n v="2026"/>
    <n v="4"/>
    <n v="15"/>
    <n v="36"/>
    <n v="864"/>
    <s v="White glazing"/>
    <s v="AEM"/>
  </r>
  <r>
    <s v="DEC012.08"/>
    <s v="Yixing"/>
    <s v="DEC012"/>
    <s v="CORE DG"/>
    <x v="0"/>
    <s v="Arrival Plan-SPTN"/>
    <s v="DAP"/>
    <x v="0"/>
    <s v="n/a"/>
    <x v="9"/>
    <m/>
    <m/>
    <s v="n/a"/>
    <s v="n/a"/>
    <x v="1"/>
    <x v="4"/>
    <s v="TCL-MG720DT210-68NS"/>
    <s v="EVO2A"/>
    <s v="±1400mm "/>
    <n v="720"/>
    <n v="1782"/>
    <n v="1.2829999999999999"/>
    <n v="54"/>
    <n v="3"/>
    <x v="0"/>
    <s v="COMPLETED"/>
    <m/>
    <d v="2026-01-17T00:00:00"/>
    <n v="3"/>
    <s v="POPV260226008"/>
    <m/>
    <s v="SHANGHAI"/>
    <x v="1"/>
    <x v="0"/>
    <d v="2026-01-23T00:00:00"/>
    <d v="2026-01-25T00:00:00"/>
    <d v="2026-01-25T00:00:00"/>
    <d v="2026-03-11T00:00:00"/>
    <d v="2026-03-30T00:00:00"/>
    <d v="2026-03-30T00:00:00"/>
    <s v="DAP"/>
    <s v="EVER GIFTED 0736-028W"/>
    <s v="COSCO"/>
    <s v="TPVB20260123014"/>
    <x v="49"/>
    <s v="COSU6442107610"/>
    <n v="64"/>
    <m/>
    <d v="2026-03-30T00:00:00"/>
    <s v="In Stock-Approved "/>
    <d v="2026-04-08T00:00:00"/>
    <n v="8"/>
    <d v="2026-04-07T00:00:00"/>
    <n v="2026"/>
    <n v="4"/>
    <n v="15"/>
    <n v="33"/>
    <n v="594"/>
    <s v="White glazing"/>
    <s v="AEM"/>
  </r>
  <r>
    <s v="DEC012.03"/>
    <s v="Yixing"/>
    <s v="DEC012"/>
    <s v="CORE DG"/>
    <x v="0"/>
    <s v="Arrival Plan-SPTN"/>
    <s v="DAP"/>
    <x v="0"/>
    <s v="n/a"/>
    <x v="9"/>
    <m/>
    <m/>
    <s v="n/a"/>
    <s v="n/a"/>
    <x v="1"/>
    <x v="4"/>
    <s v="TCL-MG720DT210-68NS"/>
    <s v="EVO2A"/>
    <s v="±1400mm "/>
    <n v="720"/>
    <n v="2376"/>
    <n v="1.7110000000000001"/>
    <n v="72"/>
    <n v="4"/>
    <x v="0"/>
    <s v="COMPLETED"/>
    <m/>
    <d v="2026-01-17T00:00:00"/>
    <n v="3"/>
    <s v="POPV260226006"/>
    <m/>
    <s v="SHANGHAI"/>
    <x v="1"/>
    <x v="0"/>
    <d v="2026-01-23T00:00:00"/>
    <d v="2026-01-25T00:00:00"/>
    <d v="2026-01-25T00:00:00"/>
    <d v="2026-03-11T00:00:00"/>
    <d v="2026-03-30T00:00:00"/>
    <d v="2026-03-30T00:00:00"/>
    <s v="DAP"/>
    <s v="EVER GIFTED 0736-028W"/>
    <s v="COSCO"/>
    <s v="TPVB20260123014"/>
    <x v="49"/>
    <s v="COSU6442107610"/>
    <n v="64"/>
    <m/>
    <d v="2026-03-30T00:00:00"/>
    <s v="In Stock-Approved "/>
    <d v="2026-04-08T00:00:00"/>
    <n v="8"/>
    <d v="2026-04-07T00:00:00"/>
    <n v="2026"/>
    <n v="4"/>
    <n v="15"/>
    <n v="33"/>
    <n v="594"/>
    <s v="White glazing"/>
    <s v="AEM"/>
  </r>
  <r>
    <s v="DEC003.19"/>
    <s v="Yixing"/>
    <s v="DEC003"/>
    <s v="UPP"/>
    <x v="0"/>
    <s v="Arrival Plan-SPES"/>
    <s v="DAP"/>
    <x v="1"/>
    <s v="n/a"/>
    <x v="4"/>
    <s v="PT0125122900795"/>
    <m/>
    <s v="n/a"/>
    <s v="n/a"/>
    <x v="0"/>
    <x v="3"/>
    <s v="HSM-ND78-GF640"/>
    <s v="EVO2A"/>
    <s v="±1400mm "/>
    <n v="640"/>
    <s v="　"/>
    <s v=" - "/>
    <s v=" -  "/>
    <n v="0"/>
    <x v="0"/>
    <s v="COMPLETED"/>
    <m/>
    <d v="2026-01-18T00:00:00"/>
    <n v="3"/>
    <s v="POPV260206005"/>
    <m/>
    <s v="SHANGHAI"/>
    <x v="1"/>
    <x v="2"/>
    <d v="2026-01-23T00:00:00"/>
    <d v="2026-01-25T00:00:00"/>
    <d v="2026-01-25T00:00:00"/>
    <d v="2026-03-19T00:00:00"/>
    <d v="2026-04-02T00:00:00"/>
    <d v="2026-04-05T00:00:00"/>
    <s v="DAP"/>
    <s v="EVER GIFTED 0736-028W"/>
    <s v="COSCO"/>
    <s v="TPVB20260123015"/>
    <x v="50"/>
    <s v="COSU6442105900"/>
    <n v="70"/>
    <m/>
    <d v="2026-04-05T00:00:00"/>
    <s v="In Stock-Approved "/>
    <d v="2026-04-08T00:00:00"/>
    <n v="9"/>
    <d v="2026-04-14T00:00:00"/>
    <n v="2026"/>
    <n v="4"/>
    <n v="16"/>
    <n v="36"/>
    <n v="576"/>
    <s v="Redirection Film"/>
    <s v="AEM"/>
  </r>
  <r>
    <s v="DEC003.14"/>
    <s v="Yixing"/>
    <s v="DEC003"/>
    <s v="UPP"/>
    <x v="0"/>
    <s v="Arrival Plan-SPES"/>
    <s v="DAP"/>
    <x v="1"/>
    <s v="n/a"/>
    <x v="4"/>
    <s v="PT0125122900795"/>
    <m/>
    <s v="n/a"/>
    <s v="n/a"/>
    <x v="0"/>
    <x v="3"/>
    <s v="HSM-ND78-GF640"/>
    <s v="EVO2A"/>
    <s v="±1400mm "/>
    <n v="640"/>
    <n v="1152"/>
    <n v="0.73699999999999999"/>
    <n v="32"/>
    <n v="2"/>
    <x v="0"/>
    <s v="COMPLETED"/>
    <m/>
    <d v="2026-01-20T00:00:00"/>
    <n v="4"/>
    <s v="POPV260206006"/>
    <m/>
    <s v="SHANGHAI"/>
    <x v="1"/>
    <x v="2"/>
    <d v="2026-01-29T00:00:00"/>
    <d v="2026-01-31T00:00:00"/>
    <d v="2026-02-01T00:00:00"/>
    <d v="2026-03-12T00:00:00"/>
    <d v="2026-03-14T00:00:00"/>
    <d v="2026-03-14T00:00:00"/>
    <s v="DAP"/>
    <s v="COSCO SHIPPING SAKURA 034W"/>
    <s v="COSCO"/>
    <s v="TPVB20260123031"/>
    <x v="51"/>
    <s v="COSU6441765320"/>
    <n v="41"/>
    <m/>
    <d v="2026-03-14T00:00:00"/>
    <s v="In Stock-Approved "/>
    <d v="2026-03-26T00:00:00"/>
    <n v="9"/>
    <d v="2026-03-23T00:00:00"/>
    <n v="2026"/>
    <n v="3"/>
    <n v="13"/>
    <n v="36"/>
    <n v="576"/>
    <s v="Redirection Film"/>
    <s v="AEM"/>
  </r>
  <r>
    <s v="DEC006.01"/>
    <s v="Yixing"/>
    <s v="DEC006"/>
    <s v="CORE DG"/>
    <x v="1"/>
    <s v="SPTN Offstore in Transit WH"/>
    <s v="CIF"/>
    <x v="7"/>
    <s v="n/a"/>
    <x v="24"/>
    <s v="46010947 -&gt; DK0125122900520"/>
    <m/>
    <s v="n/a"/>
    <s v="n/a"/>
    <x v="5"/>
    <x v="20"/>
    <s v="PVM, SPR-P7-455-BLK-1500, I BF-G AR-SA M4.4F EVO2Z1NL IT P39"/>
    <s v="EVO2A"/>
    <s v="±1200mm "/>
    <n v="455"/>
    <n v="4320"/>
    <n v="1.966"/>
    <n v="120"/>
    <n v="5"/>
    <x v="0"/>
    <s v="COMPLETED"/>
    <m/>
    <d v="2026-01-27T00:00:00"/>
    <n v="5"/>
    <s v="POPV260130034"/>
    <m/>
    <s v="SHANGHAI"/>
    <x v="1"/>
    <x v="7"/>
    <d v="2026-02-02T00:00:00"/>
    <d v="2026-02-06T00:00:00"/>
    <d v="2026-02-06T00:00:00"/>
    <d v="2026-03-25T00:00:00"/>
    <d v="2026-04-09T00:00:00"/>
    <d v="2026-04-10T00:00:00"/>
    <s v="CIF"/>
    <s v="MSC CRISTINA/FW604W"/>
    <s v="OTHER"/>
    <s v="TPVB20260123001"/>
    <x v="52"/>
    <s v="177FCLCLS0689421"/>
    <n v="63"/>
    <m/>
    <d v="2026-04-10T00:00:00"/>
    <s v="In Stock-Approved "/>
    <d v="2026-04-08T00:00:00"/>
    <s v="- "/>
    <d v="2026-04-10T00:00:00"/>
    <n v="2026"/>
    <n v="4"/>
    <n v="15"/>
    <n v="36"/>
    <n v="864"/>
    <s v="Black glazing"/>
    <s v="AEU"/>
  </r>
  <r>
    <s v="OCT002"/>
    <s v="Yixing"/>
    <s v="Main Line"/>
    <s v="CORE DG"/>
    <x v="1"/>
    <s v="SPTN Offstore in Transit WH"/>
    <s v="CIF"/>
    <x v="8"/>
    <s v="n/a"/>
    <x v="25"/>
    <s v="46010980 -&gt; IE0125122900800"/>
    <m/>
    <s v="n/a"/>
    <s v="n/a"/>
    <x v="5"/>
    <x v="20"/>
    <s v="PVM, SPR-P7-455-BLK-1500, I BF-G AR-SA M4.4F EVO2Z1NL IT P39"/>
    <s v="EVO2A"/>
    <s v="±1200mm "/>
    <n v="455"/>
    <n v="1728"/>
    <n v="0.78600000000000003"/>
    <n v="48"/>
    <n v="2"/>
    <x v="0"/>
    <s v="COMPLETED"/>
    <m/>
    <d v="2026-01-18T00:00:00"/>
    <n v="3"/>
    <s v="POPV260123005"/>
    <m/>
    <s v="SHANGHAI"/>
    <x v="1"/>
    <x v="8"/>
    <d v="2026-01-25T00:00:00"/>
    <d v="2026-02-01T00:00:00"/>
    <d v="2026-02-01T00:00:00"/>
    <d v="2026-03-12T00:00:00"/>
    <d v="2026-03-26T00:00:00"/>
    <d v="2026-03-26T00:00:00"/>
    <s v="CIF"/>
    <s v="CMA CGM JACQUES SAADE / 0FMLOW1MA/0FMLOW"/>
    <s v="OTHER"/>
    <s v="TPVB20260123002"/>
    <x v="53"/>
    <s v="CHN2988980"/>
    <n v="53"/>
    <m/>
    <d v="2026-03-26T00:00:00"/>
    <s v="In Stock-Approved "/>
    <d v="2026-03-23T00:00:00"/>
    <s v="- "/>
    <d v="2026-03-26T00:00:00"/>
    <n v="2026"/>
    <n v="3"/>
    <n v="13"/>
    <n v="36"/>
    <n v="864"/>
    <s v="Black glazing"/>
    <s v="AEU"/>
  </r>
  <r>
    <s v="NOV002"/>
    <s v="Yixing"/>
    <s v="Main Line"/>
    <s v="CORE DG"/>
    <x v="1"/>
    <s v="SPTN Offstore in Transit WH"/>
    <s v="CIF"/>
    <x v="8"/>
    <s v="n/a"/>
    <x v="25"/>
    <s v="46010980 -&gt; IE0125122900800"/>
    <m/>
    <s v="n/a"/>
    <s v="n/a"/>
    <x v="5"/>
    <x v="20"/>
    <s v="PVM, SPR-P7-455-BLK-1500, I BF-G AR-SA M4.4F EVO2Z1NL IT P39"/>
    <s v="EVO2A"/>
    <s v="±1200mm "/>
    <n v="455"/>
    <n v="2592"/>
    <n v="1.179"/>
    <n v="72"/>
    <n v="3"/>
    <x v="0"/>
    <s v="COMPLETED"/>
    <m/>
    <d v="2026-01-18T00:00:00"/>
    <n v="3"/>
    <s v="POPV260123007"/>
    <m/>
    <s v="SHANGHAI"/>
    <x v="1"/>
    <x v="8"/>
    <d v="2026-01-25T00:00:00"/>
    <d v="2026-02-01T00:00:00"/>
    <d v="2026-02-01T00:00:00"/>
    <d v="2026-03-12T00:00:00"/>
    <d v="2026-03-26T00:00:00"/>
    <d v="2026-03-26T00:00:00"/>
    <s v="CIF"/>
    <s v="CMA CGM JACQUES SAADE / 0FMLOW1MA/0FMLOW"/>
    <s v="OTHER"/>
    <s v="TPVB20260123002"/>
    <x v="53"/>
    <s v="CHN2988980"/>
    <n v="53"/>
    <m/>
    <d v="2026-03-26T00:00:00"/>
    <s v="In Stock-Approved "/>
    <d v="2026-03-23T00:00:00"/>
    <s v="- "/>
    <d v="2026-03-26T00:00:00"/>
    <n v="2026"/>
    <n v="3"/>
    <n v="13"/>
    <n v="36"/>
    <n v="864"/>
    <s v="Black glazing"/>
    <s v="AEU"/>
  </r>
  <r>
    <s v="AUG004.11"/>
    <s v="Yixing"/>
    <s v="AUG004"/>
    <s v="CORE DG"/>
    <x v="1"/>
    <s v="SPTN Offstore in Transit WH"/>
    <s v="CIF"/>
    <x v="8"/>
    <s v="n/a"/>
    <x v="25"/>
    <s v="46010979 -&gt; IE0125122900792"/>
    <m/>
    <s v="n/a"/>
    <s v="n/a"/>
    <x v="6"/>
    <x v="21"/>
    <s v="PVM, SPR-P7-510-BLK-P, I BF-G AR-SA M4.4F EVO2Z7NL"/>
    <s v="EVO2A"/>
    <s v="±1350mm "/>
    <n v="510"/>
    <n v="2376"/>
    <n v="1.212"/>
    <n v="66"/>
    <n v="3"/>
    <x v="0"/>
    <s v="COMPLETED"/>
    <m/>
    <d v="2026-01-18T00:00:00"/>
    <n v="3"/>
    <s v="POPV260123003"/>
    <m/>
    <s v="SHANGHAI"/>
    <x v="1"/>
    <x v="8"/>
    <d v="2026-01-25T00:00:00"/>
    <d v="2026-02-01T00:00:00"/>
    <d v="2026-02-01T00:00:00"/>
    <d v="2026-03-12T00:00:00"/>
    <d v="2026-03-26T00:00:00"/>
    <d v="2026-03-26T00:00:00"/>
    <s v="CIF"/>
    <s v="CMA CGM JACQUES SAADE / 0FMLOW1MA/0FMLOW"/>
    <s v="OTHER"/>
    <s v="TPVB20260123002"/>
    <x v="53"/>
    <s v="CHN2988980"/>
    <n v="53"/>
    <m/>
    <d v="2026-03-26T00:00:00"/>
    <s v="In Stock-Approved "/>
    <d v="2026-03-23T00:00:00"/>
    <s v="- "/>
    <d v="2026-03-26T00:00:00"/>
    <n v="2026"/>
    <n v="3"/>
    <n v="13"/>
    <n v="36"/>
    <n v="792"/>
    <s v="Black glazing"/>
    <s v="AEU"/>
  </r>
  <r>
    <s v="DEC006.02"/>
    <s v="Yixing"/>
    <s v="DEC006"/>
    <s v="CORE DG"/>
    <x v="1"/>
    <s v="SPTN Offstore in Transit WH"/>
    <s v="CIF"/>
    <x v="8"/>
    <s v="n/a"/>
    <x v="25"/>
    <s v="46010979 -&gt; IE0125122900792"/>
    <m/>
    <s v="n/a"/>
    <s v="n/a"/>
    <x v="5"/>
    <x v="20"/>
    <s v="PVM, SPR-P7-455-BLK-1500, I BF-G AR-SA M4.4F EVO2Z1NL IT P39"/>
    <s v="EVO2A"/>
    <s v="±1200mm "/>
    <n v="455"/>
    <n v="5184"/>
    <n v="2.359"/>
    <n v="144"/>
    <n v="6"/>
    <x v="0"/>
    <s v="COMPLETED"/>
    <m/>
    <d v="2026-01-18T00:00:00"/>
    <n v="3"/>
    <s v="POPV260123006"/>
    <m/>
    <s v="SHANGHAI"/>
    <x v="1"/>
    <x v="8"/>
    <d v="2026-01-25T00:00:00"/>
    <d v="2026-02-01T00:00:00"/>
    <d v="2026-02-01T00:00:00"/>
    <d v="2026-03-12T00:00:00"/>
    <d v="2026-03-26T00:00:00"/>
    <d v="2026-03-26T00:00:00"/>
    <s v="CIF"/>
    <s v="CMA CGM JACQUES SAADE / 0FMLOW1MA/0FMLOW"/>
    <s v="OTHER"/>
    <s v="TPVB20260123002"/>
    <x v="53"/>
    <s v="CHN2988980"/>
    <n v="53"/>
    <m/>
    <d v="2026-03-26T00:00:00"/>
    <s v="In Stock-Approved "/>
    <d v="2026-03-23T00:00:00"/>
    <s v="- "/>
    <d v="2026-03-26T00:00:00"/>
    <n v="2026"/>
    <n v="3"/>
    <n v="13"/>
    <n v="36"/>
    <n v="864"/>
    <s v="Black glazing"/>
    <s v="AEU"/>
  </r>
  <r>
    <s v="SEPT013.01"/>
    <s v="Tianjin"/>
    <s v="SEPT013"/>
    <s v="CORE DG"/>
    <x v="1"/>
    <s v="SPTN Offstore in Transit WH"/>
    <s v="CIF"/>
    <x v="8"/>
    <s v="n/a"/>
    <x v="25"/>
    <s v="46010978 -&gt; IE0126011200030"/>
    <m/>
    <s v="n/a"/>
    <s v="n/a"/>
    <x v="0"/>
    <x v="22"/>
    <s v="HSM-ND48-DR450"/>
    <s v="EVO2A"/>
    <s v="±1400mm "/>
    <n v="450"/>
    <n v="1872"/>
    <n v="0.84199999999999997"/>
    <n v="52"/>
    <n v="2"/>
    <x v="0"/>
    <s v="COMPLETED"/>
    <m/>
    <d v="2026-01-22T00:00:00"/>
    <n v="4"/>
    <s v="POPV260123016"/>
    <m/>
    <s v="TIANJIN"/>
    <x v="0"/>
    <x v="8"/>
    <d v="2026-01-28T00:00:00"/>
    <d v="2026-01-29T00:00:00"/>
    <d v="2026-01-29T00:00:00"/>
    <d v="2026-04-07T00:00:00"/>
    <d v="2026-04-16T00:00:00"/>
    <d v="2026-04-16T00:00:00"/>
    <s v="CIF"/>
    <s v="CMA CGM MONTE CRISTO / 0BEMXW1MA"/>
    <s v="OTHER"/>
    <s v="TPVB20260123003"/>
    <x v="54"/>
    <s v="TJN0856710"/>
    <n v="77"/>
    <m/>
    <d v="2026-04-16T00:00:00"/>
    <s v="In Stock-Approved "/>
    <d v="2026-04-06T00:00:00"/>
    <s v="- "/>
    <d v="2026-04-16T00:00:00"/>
    <n v="2026"/>
    <n v="4"/>
    <n v="16"/>
    <n v="36"/>
    <n v="936"/>
    <s v="Transparent"/>
    <s v="AEU"/>
  </r>
  <r>
    <s v="SEPT013.02"/>
    <s v="Tianjin"/>
    <s v="SEPT013"/>
    <s v="CORE DG"/>
    <x v="1"/>
    <s v="SPTN Offstore in Transit WH"/>
    <s v="CIF"/>
    <x v="8"/>
    <s v="n/a"/>
    <x v="25"/>
    <s v="46010978 -&gt;  IE0126011200030"/>
    <m/>
    <s v="n/a"/>
    <s v="n/a"/>
    <x v="0"/>
    <x v="22"/>
    <s v="HSM-ND48-DR450"/>
    <s v="EVO2A"/>
    <s v="±1400mm "/>
    <n v="450"/>
    <n v="1872"/>
    <n v="0.84199999999999997"/>
    <n v="52"/>
    <n v="2"/>
    <x v="0"/>
    <s v="COMPLETED"/>
    <m/>
    <d v="2026-01-22T00:00:00"/>
    <n v="4"/>
    <s v="POPV260123017"/>
    <m/>
    <s v="TIANJIN"/>
    <x v="0"/>
    <x v="8"/>
    <d v="2026-01-28T00:00:00"/>
    <d v="2026-01-29T00:00:00"/>
    <d v="2026-01-29T00:00:00"/>
    <d v="2026-04-07T00:00:00"/>
    <d v="2026-04-16T00:00:00"/>
    <d v="2026-04-16T00:00:00"/>
    <s v="CIF"/>
    <s v="CMA CGM MONTE CRISTO / 0BEMXW1MA"/>
    <s v="OTHER"/>
    <s v="TPVB20260123003"/>
    <x v="54"/>
    <s v="TJN0856710"/>
    <n v="77"/>
    <m/>
    <d v="2026-04-16T00:00:00"/>
    <s v="In Stock-Approved "/>
    <d v="2026-04-06T00:00:00"/>
    <s v="- "/>
    <d v="2026-04-16T00:00:00"/>
    <n v="2026"/>
    <n v="4"/>
    <n v="16"/>
    <n v="36"/>
    <n v="936"/>
    <s v="Transparent"/>
    <s v="AEU"/>
  </r>
  <r>
    <s v="MAY016.06"/>
    <s v="Tianjin"/>
    <s v="MAY016"/>
    <s v="CORE DG"/>
    <x v="1"/>
    <s v="SPTN Offstore in Transit WH"/>
    <s v="CIF"/>
    <x v="8"/>
    <s v="n/a"/>
    <x v="25"/>
    <s v="46010978 -&gt; IE0126011200030"/>
    <m/>
    <s v="n/a"/>
    <s v="n/a"/>
    <x v="0"/>
    <x v="23"/>
    <s v="HSM-ND48-DR445"/>
    <s v="EVO2A"/>
    <s v="±1400mm "/>
    <n v="445"/>
    <n v="3744"/>
    <n v="1.6659999999999999"/>
    <n v="104"/>
    <n v="4"/>
    <x v="0"/>
    <s v="COMPLETED"/>
    <m/>
    <d v="2026-01-22T00:00:00"/>
    <n v="4"/>
    <s v="POPV260123018"/>
    <m/>
    <s v="TIANJIN"/>
    <x v="0"/>
    <x v="8"/>
    <d v="2026-01-28T00:00:00"/>
    <d v="2026-01-29T00:00:00"/>
    <d v="2026-01-29T00:00:00"/>
    <d v="2026-04-07T00:00:00"/>
    <d v="2026-04-16T00:00:00"/>
    <d v="2026-04-16T00:00:00"/>
    <s v="CIF"/>
    <s v="CMA CGM MONTE CRISTO / 0BEMXW1MA"/>
    <s v="OTHER"/>
    <s v="TPVB20260123003"/>
    <x v="54"/>
    <s v="TJN0856710"/>
    <n v="77"/>
    <m/>
    <d v="2026-04-16T00:00:00"/>
    <s v="In Stock-Approved "/>
    <d v="2026-04-06T00:00:00"/>
    <s v="- "/>
    <d v="2026-04-16T00:00:00"/>
    <n v="2026"/>
    <n v="4"/>
    <n v="16"/>
    <n v="36"/>
    <n v="936"/>
    <s v="Transparent"/>
    <s v="AEU"/>
  </r>
  <r>
    <s v="MAY016.07"/>
    <s v="Tianjin"/>
    <s v="MAY016"/>
    <s v="CORE DG"/>
    <x v="1"/>
    <s v="SPTN Offstore in Transit WH"/>
    <s v="CIF"/>
    <x v="8"/>
    <s v="n/a"/>
    <x v="25"/>
    <s v="46011008 -&gt; IE0125122900502"/>
    <m/>
    <s v="n/a"/>
    <s v="n/a"/>
    <x v="0"/>
    <x v="23"/>
    <s v="HSM-ND48-DR445"/>
    <s v="EVO2A"/>
    <s v="±1400mm "/>
    <n v="445"/>
    <n v="4680"/>
    <n v="2.0830000000000002"/>
    <n v="130"/>
    <n v="5"/>
    <x v="0"/>
    <s v="COMPLETED"/>
    <m/>
    <d v="2026-01-22T00:00:00"/>
    <n v="4"/>
    <s v="POPV260123015"/>
    <m/>
    <s v="TIANJIN"/>
    <x v="0"/>
    <x v="8"/>
    <d v="2026-01-28T00:00:00"/>
    <d v="2026-01-29T00:00:00"/>
    <d v="2026-01-29T00:00:00"/>
    <d v="2026-04-07T00:00:00"/>
    <d v="2026-04-16T00:00:00"/>
    <d v="2026-04-16T00:00:00"/>
    <s v="CIF"/>
    <s v="CMA CGM MONTE CRISTO / 0BEMXW1MA"/>
    <s v="OTHER"/>
    <s v="TPVB20260123003"/>
    <x v="54"/>
    <s v="TJN0856710"/>
    <n v="77"/>
    <m/>
    <d v="2026-04-16T00:00:00"/>
    <s v="In Stock-Approved "/>
    <d v="2026-04-06T00:00:00"/>
    <s v="- "/>
    <d v="2026-04-16T00:00:00"/>
    <n v="2026"/>
    <n v="4"/>
    <n v="16"/>
    <n v="36"/>
    <n v="936"/>
    <s v="Transparent"/>
    <s v="AEU"/>
  </r>
  <r>
    <s v="NOV010.01"/>
    <s v="Tianjin"/>
    <s v="NOV010"/>
    <s v="CORE DG"/>
    <x v="0"/>
    <s v="Arrival Plan-SPNL"/>
    <s v="DAP"/>
    <x v="0"/>
    <s v="n/a"/>
    <x v="26"/>
    <s v="tbc"/>
    <m/>
    <s v="n/a"/>
    <s v="n/a"/>
    <x v="0"/>
    <x v="0"/>
    <s v="HSM-ND54-DR500"/>
    <s v="EVO2A"/>
    <s v="±1200mm "/>
    <n v="500"/>
    <n v="8640"/>
    <n v="4.32"/>
    <n v="240"/>
    <n v="10"/>
    <x v="0"/>
    <s v="COMPLETED"/>
    <s v="　"/>
    <d v="2026-01-23T00:00:00"/>
    <n v="4"/>
    <s v="POPV260205040"/>
    <s v="　"/>
    <s v="TIANJIN"/>
    <x v="0"/>
    <x v="1"/>
    <d v="2026-02-01T00:00:00"/>
    <d v="2026-02-01T00:00:00"/>
    <d v="2026-02-02T00:00:00"/>
    <d v="2026-03-13T00:00:00"/>
    <d v="2026-04-04T00:00:00"/>
    <d v="2026-04-06T00:00:00"/>
    <s v="DAP"/>
    <s v="COSCO SHIPPING ARIES 036W"/>
    <s v="COSCO"/>
    <s v="TPVB20260123021"/>
    <x v="55"/>
    <s v="COSU6442391530"/>
    <n v="63"/>
    <m/>
    <d v="2026-04-06T00:00:00"/>
    <s v="In Stock-Approved "/>
    <d v="2026-04-17T00:00:00"/>
    <n v="7"/>
    <d v="2026-04-13T00:00:00"/>
    <n v="2026"/>
    <n v="4"/>
    <n v="16"/>
    <n v="36"/>
    <n v="864"/>
    <s v="Black glazing"/>
    <s v="AEU"/>
  </r>
  <r>
    <s v="DEC022.01"/>
    <s v="Tianjin"/>
    <s v="DEC022"/>
    <s v="CORE DG"/>
    <x v="0"/>
    <s v="Arrival Plan-SPIT"/>
    <s v="DAP"/>
    <x v="4"/>
    <s v="n/a"/>
    <x v="9"/>
    <m/>
    <m/>
    <s v="n/a"/>
    <s v="n/a"/>
    <x v="0"/>
    <x v="24"/>
    <s v="HSM-ND66-GR620"/>
    <s v="H4(Com)"/>
    <s v="±1400mm "/>
    <n v="620"/>
    <n v="1440"/>
    <n v="0.89300000000000002"/>
    <n v="40"/>
    <n v="2"/>
    <x v="0"/>
    <s v="COMPLETED"/>
    <s v="　"/>
    <d v="2026-01-22T00:00:00"/>
    <n v="4"/>
    <s v="POPV260331025"/>
    <s v="　"/>
    <s v="TIANJIN"/>
    <x v="0"/>
    <x v="4"/>
    <d v="2026-01-26T00:00:00"/>
    <d v="2026-01-27T00:00:00"/>
    <d v="2026-01-27T00:00:00"/>
    <d v="2026-03-25T00:00:00"/>
    <d v="2026-04-08T00:00:00"/>
    <d v="2026-04-08T00:00:00"/>
    <s v="DAP"/>
    <s v="OOCL VALENCIA 008W"/>
    <s v="COSCO"/>
    <s v="TPVB20260123006"/>
    <x v="56"/>
    <s v="COSU6442058120"/>
    <n v="71"/>
    <m/>
    <d v="2026-04-08T00:00:00"/>
    <s v="In Stock-Approved "/>
    <d v="2026-04-20T00:00:00"/>
    <n v="13"/>
    <d v="2026-04-21T00:00:00"/>
    <n v="2026"/>
    <n v="4"/>
    <n v="17"/>
    <n v="36"/>
    <n v="720"/>
    <s v="Redirection Film"/>
    <s v="AEM"/>
  </r>
  <r>
    <s v="OCT010.02"/>
    <s v="Tianjin"/>
    <s v="OCT010"/>
    <s v="CORE DG"/>
    <x v="0"/>
    <s v="Arrival Plan-SPIT"/>
    <s v="DAP"/>
    <x v="4"/>
    <s v="n/a"/>
    <x v="9"/>
    <m/>
    <m/>
    <s v="n/a"/>
    <s v="n/a"/>
    <x v="0"/>
    <x v="16"/>
    <s v="HSM-ND54-DR505"/>
    <s v="EVO2A"/>
    <s v="±1400mm "/>
    <n v="505"/>
    <n v="2592"/>
    <n v="1.3089999999999999"/>
    <n v="72"/>
    <n v="3"/>
    <x v="0"/>
    <s v="COMPLETED"/>
    <s v="　"/>
    <d v="2026-01-22T00:00:00"/>
    <n v="4"/>
    <s v="POPV260331024"/>
    <s v="　"/>
    <s v="TIANJIN"/>
    <x v="0"/>
    <x v="4"/>
    <d v="2026-01-26T00:00:00"/>
    <d v="2026-01-27T00:00:00"/>
    <d v="2026-01-27T00:00:00"/>
    <d v="2026-03-25T00:00:00"/>
    <d v="2026-04-08T00:00:00"/>
    <d v="2026-04-08T00:00:00"/>
    <s v="DAP"/>
    <s v="OOCL VALENCIA 008W"/>
    <s v="COSCO"/>
    <s v="TPVB20260123006"/>
    <x v="56"/>
    <s v="COSU6442058120"/>
    <n v="71"/>
    <m/>
    <d v="2026-04-08T00:00:00"/>
    <s v="In Stock-Approved "/>
    <d v="2026-04-21T00:00:00"/>
    <n v="13"/>
    <d v="2026-04-21T00:00:00"/>
    <n v="2026"/>
    <n v="4"/>
    <n v="17"/>
    <n v="36"/>
    <n v="864"/>
    <s v="Black glazing"/>
    <s v="AEM"/>
  </r>
  <r>
    <s v="OCT007.07"/>
    <s v="Tianjin"/>
    <s v="OCT007"/>
    <s v="CORE DG"/>
    <x v="1"/>
    <s v="SPTN Offstore in Transit WH"/>
    <s v="CIF"/>
    <x v="9"/>
    <s v="n/a"/>
    <x v="27"/>
    <s v="ES0126011200034"/>
    <m/>
    <s v="n/a"/>
    <s v="n/a"/>
    <x v="0"/>
    <x v="7"/>
    <s v="HSM-ND48-DR450"/>
    <s v="EVO2A"/>
    <s v="±1200mm "/>
    <n v="450"/>
    <n v="1872"/>
    <n v="0.84199999999999997"/>
    <n v="52"/>
    <n v="2"/>
    <x v="0"/>
    <s v="COMPLETED"/>
    <s v="　"/>
    <d v="2026-01-19T00:00:00"/>
    <n v="4"/>
    <s v="POPV260126008"/>
    <s v="　"/>
    <s v="TIANJIN"/>
    <x v="0"/>
    <x v="2"/>
    <d v="2026-01-26T00:00:00"/>
    <d v="2026-01-27T00:00:00"/>
    <d v="2026-01-27T00:00:00"/>
    <d v="2026-04-02T00:00:00"/>
    <m/>
    <d v="2026-03-31T00:00:00"/>
    <s v="CIF"/>
    <s v="OOCL VALENCIA 008W"/>
    <s v="COSCO"/>
    <s v="TPVB20260123007"/>
    <x v="57"/>
    <s v="COSU6442057020"/>
    <n v="63"/>
    <m/>
    <d v="2026-03-31T00:00:00"/>
    <s v="In Stock-Approved "/>
    <d v="2026-04-02T00:00:00"/>
    <s v="- "/>
    <d v="2026-03-31T00:00:00"/>
    <n v="2026"/>
    <n v="3"/>
    <n v="14"/>
    <n v="36"/>
    <n v="936"/>
    <s v="Black glazing"/>
    <s v="AEM"/>
  </r>
  <r>
    <s v="JUNE003.06"/>
    <s v="zhuhai -&gt; Shenzhen"/>
    <s v="JUNE003"/>
    <s v="CORE DG"/>
    <x v="0"/>
    <s v="Arrival Plan-SPNL"/>
    <s v="DAP"/>
    <x v="0"/>
    <s v="n/a"/>
    <x v="14"/>
    <m/>
    <m/>
    <s v="n/a"/>
    <s v="n/a"/>
    <x v="3"/>
    <x v="25"/>
    <s v="HSM-BD54-GA465"/>
    <s v="EVO2A"/>
    <s v="±1400mm "/>
    <n v="465"/>
    <n v="14430"/>
    <n v="6.71"/>
    <n v="390"/>
    <n v="15"/>
    <x v="0"/>
    <s v="COMPLETED"/>
    <m/>
    <d v="2026-01-21T00:00:00"/>
    <n v="4"/>
    <s v="POPV260205020"/>
    <m/>
    <s v="SHENZHEN"/>
    <x v="2"/>
    <x v="1"/>
    <d v="2026-01-28T00:00:00"/>
    <d v="2026-01-28T00:00:00"/>
    <d v="2026-01-28T00:00:00"/>
    <d v="2026-03-06T00:00:00"/>
    <d v="2026-03-21T00:00:00"/>
    <d v="2026-03-21T00:00:00"/>
    <s v="DAP"/>
    <s v="MSC AZRA / QB604W"/>
    <s v="OTHER"/>
    <s v="TPVB20260123023"/>
    <x v="58"/>
    <s v="181AY0263403359S1"/>
    <n v="52"/>
    <m/>
    <d v="2026-03-21T00:00:00"/>
    <s v="In Stock-Approved "/>
    <d v="2026-04-02T00:00:00"/>
    <n v="7"/>
    <d v="2026-03-28T00:00:00"/>
    <n v="2026"/>
    <n v="3"/>
    <n v="13"/>
    <n v="37"/>
    <n v="962"/>
    <s v="White glazing"/>
    <s v="AEU"/>
  </r>
  <r>
    <s v="JUNE003.09"/>
    <s v="zhuhai -&gt; Shenzhen"/>
    <s v="JUNE003"/>
    <s v="CORE DG"/>
    <x v="0"/>
    <s v="Arrival Plan-SPNL"/>
    <s v="DAP"/>
    <x v="0"/>
    <s v="n/a"/>
    <x v="14"/>
    <m/>
    <m/>
    <s v="n/a"/>
    <s v="n/a"/>
    <x v="3"/>
    <x v="25"/>
    <s v="HSM-BD54-GA465"/>
    <s v="EVO2A"/>
    <s v="±1400mm "/>
    <n v="465"/>
    <n v="4810"/>
    <n v="2.2370000000000001"/>
    <n v="130"/>
    <n v="5"/>
    <x v="0"/>
    <s v="COMPLETED"/>
    <m/>
    <d v="2026-01-16T00:00:00"/>
    <n v="3"/>
    <s v="POPV260205021"/>
    <m/>
    <s v="SHENZHEN"/>
    <x v="2"/>
    <x v="1"/>
    <d v="2026-01-23T00:00:00"/>
    <d v="2026-01-23T00:00:00"/>
    <d v="2026-01-23T00:00:00"/>
    <d v="2026-03-06T00:00:00"/>
    <d v="2026-03-16T00:00:00"/>
    <d v="2026-03-19T00:00:00"/>
    <s v="DAP"/>
    <s v="MSC GIUSY GL601W"/>
    <s v="OTHER"/>
    <s v="TPVB20260123025"/>
    <x v="59"/>
    <s v="181AY0263404845S1"/>
    <n v="55"/>
    <m/>
    <d v="2026-03-19T00:00:00"/>
    <s v="In Stock-Approved "/>
    <d v="2026-03-23T00:00:00"/>
    <n v="7"/>
    <d v="2026-03-26T00:00:00"/>
    <n v="2026"/>
    <n v="3"/>
    <n v="13"/>
    <n v="37"/>
    <n v="962"/>
    <s v="White glazing"/>
    <s v="AEU"/>
  </r>
  <r>
    <s v="JUNE003.11"/>
    <s v="zhuhai -&gt; Shenzhen"/>
    <s v="JUNE003"/>
    <s v="CORE DG"/>
    <x v="0"/>
    <s v="Arrival Plan-SPNL"/>
    <s v="DAP"/>
    <x v="0"/>
    <s v="n/a"/>
    <x v="14"/>
    <m/>
    <m/>
    <s v="n/a"/>
    <s v="n/a"/>
    <x v="3"/>
    <x v="25"/>
    <s v="HSM-BD54-GA465"/>
    <s v="EVO2A"/>
    <s v="±1400mm "/>
    <n v="465"/>
    <n v="4810"/>
    <n v="2.2370000000000001"/>
    <n v="130"/>
    <n v="5"/>
    <x v="0"/>
    <s v="COMPLETED"/>
    <m/>
    <d v="2026-01-20T00:00:00"/>
    <n v="4"/>
    <s v="POPV260205016"/>
    <m/>
    <s v="SHENZHEN"/>
    <x v="2"/>
    <x v="1"/>
    <d v="2026-01-26T00:00:00"/>
    <d v="2026-01-26T00:00:00"/>
    <d v="2026-01-26T00:00:00"/>
    <d v="2026-03-09T00:00:00"/>
    <d v="2026-03-10T00:00:00"/>
    <d v="2026-03-08T00:00:00"/>
    <s v="DAP"/>
    <s v="MSC KALINA/GL602W"/>
    <s v="OTHER"/>
    <s v="TPVB20260123026"/>
    <x v="60"/>
    <s v="181AY0263404841S1"/>
    <n v="41"/>
    <m/>
    <d v="2026-03-08T00:00:00"/>
    <s v="In Stock-Approved "/>
    <d v="2026-03-24T00:00:00"/>
    <n v="7"/>
    <d v="2026-03-15T00:00:00"/>
    <n v="2026"/>
    <n v="3"/>
    <n v="11"/>
    <n v="37"/>
    <n v="962"/>
    <s v="White glazing"/>
    <s v="AEU"/>
  </r>
  <r>
    <s v="JUNE003.12"/>
    <s v="zhuhai -&gt; Shenzhen"/>
    <s v="JUNE003"/>
    <s v="CORE DG"/>
    <x v="0"/>
    <s v="Arrival Plan-SPNL"/>
    <s v="DAP"/>
    <x v="0"/>
    <s v="n/a"/>
    <x v="14"/>
    <m/>
    <m/>
    <s v="n/a"/>
    <s v="n/a"/>
    <x v="3"/>
    <x v="25"/>
    <s v="HSM-BD54-GA465"/>
    <s v="EVO2A"/>
    <s v="±1400mm "/>
    <n v="465"/>
    <n v="9620"/>
    <n v="4.4729999999999999"/>
    <n v="260"/>
    <n v="10"/>
    <x v="0"/>
    <s v="COMPLETED"/>
    <m/>
    <d v="2026-01-27T00:00:00"/>
    <n v="5"/>
    <s v="POPV260205031"/>
    <m/>
    <s v="SHENZHEN"/>
    <x v="2"/>
    <x v="1"/>
    <d v="2026-02-04T00:00:00"/>
    <d v="2026-02-14T00:00:00"/>
    <d v="2026-02-17T00:00:00"/>
    <d v="2026-03-13T00:00:00"/>
    <d v="2026-03-25T00:00:00"/>
    <d v="2026-03-26T00:00:00"/>
    <s v="DAP"/>
    <s v="CMA CGM LOUIS BLERIOT 0FMLSW1MA"/>
    <s v="OTHER"/>
    <s v="TPVB20260123017"/>
    <x v="61"/>
    <s v="SWA0447107"/>
    <n v="37"/>
    <m/>
    <d v="2026-03-26T00:00:00"/>
    <s v="In Stock-Approved "/>
    <d v="2026-04-08T00:00:00"/>
    <n v="7"/>
    <d v="2026-04-02T00:00:00"/>
    <n v="2026"/>
    <n v="4"/>
    <n v="14"/>
    <n v="37"/>
    <n v="962"/>
    <s v="White glazing"/>
    <s v="AEU"/>
  </r>
  <r>
    <s v="JUNE003.10"/>
    <s v="zhuhai -&gt; Shenzhen"/>
    <s v="JUNE003"/>
    <s v="CORE DG"/>
    <x v="0"/>
    <s v="Arrival Plan-SPNL"/>
    <s v="DAP"/>
    <x v="0"/>
    <s v="n/a"/>
    <x v="14"/>
    <m/>
    <m/>
    <s v="n/a"/>
    <s v="n/a"/>
    <x v="3"/>
    <x v="25"/>
    <s v="HSM-BD54-GA465"/>
    <s v="EVO2A"/>
    <s v="±1400mm "/>
    <n v="465"/>
    <n v="9620"/>
    <n v="4.4729999999999999"/>
    <n v="260"/>
    <n v="10"/>
    <x v="0"/>
    <s v="COMPLETED"/>
    <m/>
    <d v="2026-01-28T00:00:00"/>
    <n v="5"/>
    <s v="POPV260205039"/>
    <m/>
    <s v="SHENZHEN"/>
    <x v="2"/>
    <x v="1"/>
    <d v="2026-02-04T00:00:00"/>
    <d v="2026-02-14T00:00:00"/>
    <d v="2026-02-17T00:00:00"/>
    <d v="2026-03-13T00:00:00"/>
    <d v="2026-03-25T00:00:00"/>
    <d v="2026-03-26T00:00:00"/>
    <s v="DAP"/>
    <s v="CMA CGM LOUIS BLERIOT 0FMLSW1MA"/>
    <s v="OTHER"/>
    <s v="TPVB20260123018"/>
    <x v="62"/>
    <s v="SWA0447405"/>
    <n v="37"/>
    <m/>
    <d v="2026-03-26T00:00:00"/>
    <s v="In Stock-Approved "/>
    <d v="2026-04-08T00:00:00"/>
    <n v="7"/>
    <d v="2026-04-02T00:00:00"/>
    <n v="2026"/>
    <n v="4"/>
    <n v="14"/>
    <n v="37"/>
    <n v="962"/>
    <s v="White glazing"/>
    <s v="AEU"/>
  </r>
  <r>
    <s v="DEC009.12"/>
    <s v="Yixing"/>
    <s v="DEC009"/>
    <s v="CORE DG"/>
    <x v="0"/>
    <s v="Arrival Plan-SPTN"/>
    <s v="DAP"/>
    <x v="0"/>
    <s v="n/a"/>
    <x v="12"/>
    <m/>
    <m/>
    <s v="n/a"/>
    <s v="n/a"/>
    <x v="2"/>
    <x v="5"/>
    <s v="PVM, SPR-P7-555-COM-S, I BF-G M4.3D EVO2Z6NL 1.5KV IT"/>
    <s v="EVO2A"/>
    <s v="±1400mm "/>
    <n v="555"/>
    <n v="3300"/>
    <n v="1.8320000000000001"/>
    <n v="100"/>
    <n v="5"/>
    <x v="0"/>
    <s v="COMPLETED"/>
    <m/>
    <d v="2026-01-26T00:00:00"/>
    <n v="5"/>
    <s v="POPV260205043"/>
    <m/>
    <s v="SHANGHAI"/>
    <x v="1"/>
    <x v="5"/>
    <d v="2026-02-01T00:00:00"/>
    <d v="2026-02-01T00:00:00"/>
    <d v="2026-02-01T00:00:00"/>
    <d v="2026-03-10T00:00:00"/>
    <d v="2026-03-28T00:00:00"/>
    <d v="2026-03-29T00:00:00"/>
    <s v="DAP"/>
    <s v="CMA CGM ANTOINE DE SAINT"/>
    <s v="OTHER"/>
    <s v="TPVB20260130001"/>
    <x v="63"/>
    <s v="CHN2978425"/>
    <n v="56"/>
    <m/>
    <d v="2026-03-29T00:00:00"/>
    <s v="In Stock-Approved "/>
    <d v="2026-04-09T00:00:00"/>
    <n v="8"/>
    <d v="2026-04-06T00:00:00"/>
    <n v="2026"/>
    <n v="4"/>
    <n v="15"/>
    <n v="33"/>
    <n v="660"/>
    <s v="White glazing"/>
    <s v="AEU"/>
  </r>
  <r>
    <s v="DEC008.06"/>
    <s v="Yixing"/>
    <s v="DEC008"/>
    <s v="CORE DG"/>
    <x v="0"/>
    <s v="Arrival Plan-SPTN"/>
    <s v="DAP"/>
    <x v="0"/>
    <s v="n/a"/>
    <x v="12"/>
    <m/>
    <m/>
    <s v="n/a"/>
    <s v="n/a"/>
    <x v="2"/>
    <x v="18"/>
    <s v="PVM, SPR-P7-550-COM-S, I BF-G M4.3D EVO2Z6NL 1.5KV IT"/>
    <s v="EVO2A"/>
    <s v="±1500mm "/>
    <n v="550"/>
    <n v="1320"/>
    <n v="0.72599999999999998"/>
    <n v="40"/>
    <n v="2"/>
    <x v="0"/>
    <s v="COMPLETED"/>
    <m/>
    <d v="2026-01-26T00:00:00"/>
    <n v="5"/>
    <s v="POPV260205044"/>
    <m/>
    <s v="SHANGHAI"/>
    <x v="1"/>
    <x v="5"/>
    <d v="2026-02-01T00:00:00"/>
    <d v="2026-02-01T00:00:00"/>
    <d v="2026-02-01T00:00:00"/>
    <d v="2026-03-10T00:00:00"/>
    <d v="2026-03-28T00:00:00"/>
    <d v="2026-03-29T00:00:00"/>
    <s v="DAP"/>
    <s v="CMA CGM ANTOINE DE SAINT"/>
    <s v="OTHER"/>
    <s v="TPVB20260130001"/>
    <x v="63"/>
    <s v="CHN2978425"/>
    <n v="56"/>
    <m/>
    <d v="2026-03-29T00:00:00"/>
    <s v="In Stock-Approved "/>
    <d v="2026-04-09T00:00:00"/>
    <n v="8"/>
    <d v="2026-04-06T00:00:00"/>
    <n v="2026"/>
    <n v="4"/>
    <n v="15"/>
    <n v="33"/>
    <n v="660"/>
    <s v="White glazing"/>
    <s v="AEU"/>
  </r>
  <r>
    <s v="NOV003.07"/>
    <s v="Yixing"/>
    <s v="NOV003"/>
    <s v="CORE DG"/>
    <x v="0"/>
    <s v="Arrival Plan-SPTN"/>
    <s v="DAP"/>
    <x v="0"/>
    <s v="n/a"/>
    <x v="12"/>
    <m/>
    <m/>
    <s v="n/a"/>
    <s v="n/a"/>
    <x v="5"/>
    <x v="19"/>
    <s v="PVM, SPR-P7-460-BLK-1500, I BF-G AR-SA M4.4F EVO2Z1NL IT P39"/>
    <s v="EVO2A"/>
    <s v="±1200mm "/>
    <n v="460"/>
    <n v="2592"/>
    <n v="1.1919999999999999"/>
    <n v="72"/>
    <n v="3"/>
    <x v="0"/>
    <s v="COMPLETED"/>
    <m/>
    <d v="2026-01-26T00:00:00"/>
    <n v="5"/>
    <s v="POPV260205041"/>
    <m/>
    <s v="SHANGHAI"/>
    <x v="1"/>
    <x v="5"/>
    <d v="2026-02-01T00:00:00"/>
    <d v="2026-02-01T00:00:00"/>
    <d v="2026-02-01T00:00:00"/>
    <d v="2026-03-10T00:00:00"/>
    <d v="2026-03-28T00:00:00"/>
    <d v="2026-03-29T00:00:00"/>
    <s v="DAP"/>
    <s v="CMA CGM ANTOINE DE SAINT"/>
    <s v="OTHER"/>
    <s v="TPVB20260130001"/>
    <x v="63"/>
    <s v="CHN2978425"/>
    <n v="56"/>
    <m/>
    <d v="2026-03-29T00:00:00"/>
    <s v="In Stock-Approved "/>
    <d v="2026-04-09T00:00:00"/>
    <n v="8"/>
    <d v="2026-04-06T00:00:00"/>
    <n v="2026"/>
    <n v="4"/>
    <n v="15"/>
    <n v="36"/>
    <n v="864"/>
    <s v="Black glazing"/>
    <s v="AEU"/>
  </r>
  <r>
    <s v="DEC007.03"/>
    <s v="Yixing"/>
    <s v="DEC007"/>
    <s v="CORE DG"/>
    <x v="0"/>
    <s v="Arrival Plan-SPNL"/>
    <s v="DAP"/>
    <x v="0"/>
    <s v="n/a"/>
    <x v="23"/>
    <m/>
    <m/>
    <s v="n/a"/>
    <s v="n/a"/>
    <x v="5"/>
    <x v="19"/>
    <s v="PVM, SPR-P7-460-BLK-1500, I BF-G AR-SA M4.4F EVO2Z1NL IT P39"/>
    <s v="EVO2A"/>
    <s v="±1200mm "/>
    <n v="460"/>
    <n v="2592"/>
    <n v="1.1919999999999999"/>
    <n v="72"/>
    <n v="3"/>
    <x v="0"/>
    <s v="COMPLETED"/>
    <m/>
    <d v="2026-01-28T00:00:00"/>
    <n v="5"/>
    <s v="POPV260205038"/>
    <m/>
    <s v="SHANGHAI"/>
    <x v="1"/>
    <x v="1"/>
    <d v="2026-02-02T00:00:00"/>
    <d v="2026-02-06T00:00:00"/>
    <d v="2026-02-06T00:00:00"/>
    <d v="2026-03-11T00:00:00"/>
    <d v="2026-03-21T00:00:00"/>
    <d v="2026-03-22T00:00:00"/>
    <s v="DAP"/>
    <s v="EVER ALLY 1386-002W"/>
    <s v="COSCO"/>
    <s v="TPVB20260130002"/>
    <x v="64"/>
    <s v="COSU6442664490"/>
    <n v="44"/>
    <m/>
    <d v="2026-03-22T00:00:00"/>
    <s v="In Stock-Approved "/>
    <d v="2026-04-03T00:00:00"/>
    <n v="7"/>
    <d v="2026-03-29T00:00:00"/>
    <n v="2026"/>
    <n v="3"/>
    <n v="13"/>
    <n v="36"/>
    <n v="864"/>
    <s v="Black glazing"/>
    <s v="AEU"/>
  </r>
  <r>
    <s v="DEC006.03"/>
    <s v="Yixing"/>
    <s v="DEC006"/>
    <s v="CORE DG"/>
    <x v="0"/>
    <s v="Arrival Plan-SPES"/>
    <s v="DAP"/>
    <x v="1"/>
    <s v="n/a"/>
    <x v="28"/>
    <m/>
    <m/>
    <s v="n/a"/>
    <s v="n/a"/>
    <x v="5"/>
    <x v="20"/>
    <s v="PVM, SPR-P7-455-BLK-1500, I BF-G AR-SA M4.4F EVO2Z1NL IT P39"/>
    <s v="EVO2A"/>
    <s v="±1200mm "/>
    <n v="455"/>
    <n v="2592"/>
    <n v="1.179"/>
    <n v="72"/>
    <n v="3"/>
    <x v="0"/>
    <s v="COMPLETED"/>
    <m/>
    <d v="2026-01-28T00:00:00"/>
    <n v="5"/>
    <s v="POPV260205036"/>
    <m/>
    <s v="SHANGHAI"/>
    <x v="1"/>
    <x v="2"/>
    <d v="2026-02-02T00:00:00"/>
    <d v="2026-02-03T00:00:00"/>
    <d v="2026-02-03T00:00:00"/>
    <d v="2026-03-12T00:00:00"/>
    <d v="2026-03-14T00:00:00"/>
    <d v="2026-03-14T00:00:00"/>
    <s v="DAP"/>
    <s v="CMA CGM APOLLON  0MEMXW1MA"/>
    <s v="COSCO"/>
    <s v="TPVB20260130003"/>
    <x v="65"/>
    <s v="COSU6442953180"/>
    <n v="39"/>
    <m/>
    <d v="2026-03-14T00:00:00"/>
    <s v="In Stock-Approved "/>
    <d v="2026-03-30T00:00:00"/>
    <n v="9"/>
    <d v="2026-03-23T00:00:00"/>
    <n v="2026"/>
    <n v="3"/>
    <n v="13"/>
    <n v="36"/>
    <n v="864"/>
    <s v="Black glazing"/>
    <s v="AEM"/>
  </r>
  <r>
    <s v="DEC007.02"/>
    <s v="Yixing"/>
    <s v="DEC007"/>
    <s v="CORE DG"/>
    <x v="0"/>
    <s v="Arrival Plan-SPTN"/>
    <s v="DAP"/>
    <x v="0"/>
    <s v="n/a"/>
    <x v="12"/>
    <m/>
    <m/>
    <s v="n/a"/>
    <s v="n/a"/>
    <x v="5"/>
    <x v="19"/>
    <s v="PVM, SPR-P7-460-BLK-1500, I BF-G AR-SA M4.4F EVO2Z1NL IT P39"/>
    <s v="EVO2A"/>
    <s v="±1200mm "/>
    <n v="460"/>
    <n v="2592"/>
    <n v="1.1919999999999999"/>
    <n v="72"/>
    <n v="3"/>
    <x v="0"/>
    <s v="COMPLETED"/>
    <m/>
    <d v="2026-01-28T00:00:00"/>
    <n v="5"/>
    <s v="POPV260205029"/>
    <m/>
    <s v="SHANGHAI"/>
    <x v="1"/>
    <x v="0"/>
    <d v="2026-02-02T00:00:00"/>
    <d v="2026-02-03T00:00:00"/>
    <d v="2026-02-03T00:00:00"/>
    <d v="2026-03-17T00:00:00"/>
    <d v="2026-03-20T00:00:00"/>
    <d v="2026-03-22T00:00:00"/>
    <s v="DAP"/>
    <s v="CMA CGM APOLLON"/>
    <s v="COSCO"/>
    <s v="TPVB20260130004"/>
    <x v="66"/>
    <s v="COSU6442953730"/>
    <n v="47"/>
    <m/>
    <d v="2026-03-22T00:00:00"/>
    <s v="In Stock-Approved "/>
    <d v="2026-04-03T00:00:00"/>
    <n v="8"/>
    <d v="2026-03-30T00:00:00"/>
    <n v="2026"/>
    <n v="3"/>
    <n v="14"/>
    <n v="36"/>
    <n v="864"/>
    <s v="Black glazing"/>
    <s v="AEM"/>
  </r>
  <r>
    <s v="DEC008"/>
    <s v="Yixing"/>
    <s v="Main Line"/>
    <s v="CORE DG"/>
    <x v="0"/>
    <s v="Arrival Plan-SPTN"/>
    <s v="DAP"/>
    <x v="0"/>
    <s v="n/a"/>
    <x v="5"/>
    <m/>
    <m/>
    <s v="n/a"/>
    <s v="n/a"/>
    <x v="2"/>
    <x v="18"/>
    <s v="PVM, SPR-P7-550-COM-S, I BF-G M4.3D EVO2Z6NL 1.5KV IT"/>
    <s v="EVO2A"/>
    <s v="±1500mm "/>
    <n v="550"/>
    <n v="2640"/>
    <n v="1.452"/>
    <n v="80"/>
    <n v="4"/>
    <x v="0"/>
    <s v="COMPLETED"/>
    <m/>
    <d v="2026-01-27T00:00:00"/>
    <n v="5"/>
    <s v="POPV260226005"/>
    <m/>
    <s v="SHANGHAI"/>
    <x v="1"/>
    <x v="0"/>
    <d v="2026-02-02T00:00:00"/>
    <d v="2026-02-05T00:00:00"/>
    <d v="2026-02-05T00:00:00"/>
    <d v="2026-03-18T00:00:00"/>
    <d v="2026-03-31T00:00:00"/>
    <d v="2026-04-08T00:00:00"/>
    <s v="DAP"/>
    <s v="OOCL INDONESIA 035W"/>
    <s v="COSCO"/>
    <s v="TPVB20260130005"/>
    <x v="67"/>
    <s v="COSU6442664460"/>
    <n v="62"/>
    <m/>
    <d v="2026-04-08T00:00:00"/>
    <s v="In Stock-Approved "/>
    <d v="2026-04-20T00:00:00"/>
    <n v="8"/>
    <d v="2026-04-16T00:00:00"/>
    <n v="2026"/>
    <n v="4"/>
    <n v="16"/>
    <n v="33"/>
    <n v="660"/>
    <s v="White glazing"/>
    <s v="AEM"/>
  </r>
  <r>
    <s v="DEC008.04"/>
    <s v="Yixing"/>
    <s v="DEC008"/>
    <s v="CORE DG"/>
    <x v="0"/>
    <s v="Arrival Plan-SPNL"/>
    <s v="DAP"/>
    <x v="0"/>
    <s v="n/a"/>
    <x v="8"/>
    <m/>
    <m/>
    <s v="n/a"/>
    <s v="n/a"/>
    <x v="2"/>
    <x v="18"/>
    <s v="PVM, SPR-P7-550-COM-S, I BF-G M4.3D EVO2Z6NL 1.5KV IT"/>
    <s v="EVO2A"/>
    <s v="±1500mm "/>
    <n v="550"/>
    <n v="660"/>
    <n v="0.36299999999999999"/>
    <n v="20"/>
    <n v="1"/>
    <x v="0"/>
    <s v="COMPLETED"/>
    <m/>
    <d v="2026-01-27T00:00:00"/>
    <n v="5"/>
    <s v="POPV260211011"/>
    <m/>
    <s v="SHANGHAI"/>
    <x v="1"/>
    <x v="1"/>
    <d v="2026-02-02T00:00:00"/>
    <d v="2026-02-05T00:00:00"/>
    <d v="2026-02-05T00:00:00"/>
    <d v="2026-03-20T00:00:00"/>
    <d v="2026-03-30T00:00:00"/>
    <d v="2026-04-06T00:00:00"/>
    <s v="DAP"/>
    <s v="OOCL INDONESIA 035W"/>
    <s v="COSCO"/>
    <s v="TPVB20260130006"/>
    <x v="68"/>
    <s v="COSU6442664420"/>
    <n v="60"/>
    <m/>
    <d v="2026-04-06T00:00:00"/>
    <s v="In Stock-Approved "/>
    <d v="2026-04-21T00:00:00"/>
    <n v="7"/>
    <d v="2026-04-13T00:00:00"/>
    <n v="2026"/>
    <n v="4"/>
    <n v="16"/>
    <n v="33"/>
    <n v="660"/>
    <s v="White glazing"/>
    <s v="AEU"/>
  </r>
  <r>
    <s v="DEC009.18"/>
    <s v="Yixing"/>
    <s v="DEC009"/>
    <s v="CORE DG"/>
    <x v="0"/>
    <s v="Arrival Plan-SPNL"/>
    <s v="DAP"/>
    <x v="0"/>
    <s v="n/a"/>
    <x v="8"/>
    <m/>
    <m/>
    <s v="n/a"/>
    <s v="n/a"/>
    <x v="2"/>
    <x v="5"/>
    <s v="PVM, SPR-P7-555-COM-S, I BF-G M4.3D EVO2Z6NL 1.5KV IT"/>
    <s v="EVO2A"/>
    <s v="±1400mm "/>
    <n v="555"/>
    <n v="1320"/>
    <n v="0.73299999999999998"/>
    <n v="40"/>
    <n v="2"/>
    <x v="0"/>
    <s v="COMPLETED"/>
    <m/>
    <d v="2026-01-27T00:00:00"/>
    <n v="5"/>
    <s v="POPV260211010"/>
    <m/>
    <s v="SHANGHAI"/>
    <x v="1"/>
    <x v="1"/>
    <d v="2026-02-02T00:00:00"/>
    <d v="2026-02-05T00:00:00"/>
    <d v="2026-02-05T00:00:00"/>
    <d v="2026-03-20T00:00:00"/>
    <d v="2026-03-30T00:00:00"/>
    <d v="2026-04-06T00:00:00"/>
    <s v="DAP"/>
    <s v="OOCL INDONESIA 035W"/>
    <s v="COSCO"/>
    <s v="TPVB20260130006"/>
    <x v="68"/>
    <s v="COSU6442664420"/>
    <n v="60"/>
    <m/>
    <d v="2026-04-06T00:00:00"/>
    <s v="In Stock-Approved "/>
    <d v="2026-04-21T00:00:00"/>
    <n v="7"/>
    <d v="2026-04-13T00:00:00"/>
    <n v="2026"/>
    <n v="4"/>
    <n v="16"/>
    <n v="33"/>
    <n v="660"/>
    <s v="White glazing"/>
    <s v="AEU"/>
  </r>
  <r>
    <s v="JUNE001"/>
    <s v="zhuhai -&gt; Shenzhen"/>
    <s v="Main Line"/>
    <s v="CORE DG"/>
    <x v="0"/>
    <s v="Arrival Plan-SPNL"/>
    <s v="DAP"/>
    <x v="0"/>
    <s v="n/a"/>
    <x v="14"/>
    <m/>
    <m/>
    <s v="n/a"/>
    <s v="n/a"/>
    <x v="3"/>
    <x v="10"/>
    <s v="HSM-BD54-DA460"/>
    <s v="EVO2A"/>
    <s v="±1400mm "/>
    <n v="460"/>
    <n v="1924"/>
    <n v="0.88500000000000001"/>
    <n v="52"/>
    <n v="2"/>
    <x v="0"/>
    <s v="COMPLETED"/>
    <m/>
    <d v="2026-01-29T00:00:00"/>
    <n v="5"/>
    <s v="POPV260205019"/>
    <m/>
    <s v="SHENZHEN"/>
    <x v="2"/>
    <x v="1"/>
    <d v="2026-02-04T00:00:00"/>
    <d v="2026-02-08T00:00:00"/>
    <d v="2026-02-08T00:00:00"/>
    <d v="2026-03-06T00:00:00"/>
    <d v="2026-03-16T00:00:00"/>
    <d v="2026-03-18T00:00:00"/>
    <s v="DAP"/>
    <s v="EVER AIM 1385-016W"/>
    <s v="OTHER"/>
    <s v="TPVB20260123030"/>
    <x v="69"/>
    <s v="149600468534"/>
    <n v="38"/>
    <m/>
    <d v="2026-03-18T00:00:00"/>
    <s v="In Stock-Approved "/>
    <d v="2026-03-30T00:00:00"/>
    <n v="7"/>
    <d v="2026-03-25T00:00:00"/>
    <n v="2026"/>
    <n v="3"/>
    <n v="13"/>
    <n v="37"/>
    <n v="962"/>
    <s v="Black glazing"/>
    <s v="AEU"/>
  </r>
  <r>
    <s v="JUNE003.07"/>
    <s v="zhuhai -&gt; Shenzhen"/>
    <s v="JUNE003"/>
    <s v="CORE DG"/>
    <x v="1"/>
    <s v="SPTN Offstore in Transit WH"/>
    <s v="CIF"/>
    <x v="10"/>
    <s v="n/a"/>
    <x v="29"/>
    <s v="DE0126011400070"/>
    <m/>
    <s v="n/a"/>
    <s v="n/a"/>
    <x v="3"/>
    <x v="25"/>
    <s v="HSM-BD54-GA465"/>
    <s v="EVO2A"/>
    <s v="±1400mm "/>
    <n v="465"/>
    <n v="13468"/>
    <n v="6.2629999999999999"/>
    <n v="364"/>
    <n v="14"/>
    <x v="0"/>
    <s v="COMPLETED"/>
    <m/>
    <d v="2026-01-19T00:00:00"/>
    <n v="4"/>
    <s v="POPV260128009"/>
    <m/>
    <s v="SHENZHEN"/>
    <x v="2"/>
    <x v="1"/>
    <d v="2026-01-23T00:00:00"/>
    <d v="2026-01-23T00:00:00"/>
    <d v="2026-01-23T00:00:00"/>
    <d v="2026-02-18T00:00:00"/>
    <d v="2026-02-27T00:00:00"/>
    <d v="2026-03-03T00:00:00"/>
    <s v="CIF"/>
    <s v="EVER APEX 1383-013W"/>
    <s v="OTHER"/>
    <s v="TPVB20260123027"/>
    <x v="70"/>
    <s v="149600418545"/>
    <n v="39"/>
    <m/>
    <d v="2026-03-03T00:00:00"/>
    <s v="In Stock-Approved "/>
    <d v="2026-03-04T00:00:00"/>
    <s v="- "/>
    <d v="2026-03-03T00:00:00"/>
    <n v="2026"/>
    <n v="3"/>
    <n v="10"/>
    <n v="37"/>
    <n v="962"/>
    <s v="White glazing"/>
    <s v="AEU"/>
  </r>
  <r>
    <s v="JUNE003.13"/>
    <s v="zhuhai -&gt; Shenzhen"/>
    <s v="JUNE003"/>
    <s v="CORE DG"/>
    <x v="1"/>
    <s v="SPTN Offstore in Transit WH"/>
    <s v="CIF"/>
    <x v="10"/>
    <s v="n/a"/>
    <x v="30"/>
    <s v="DE0126011400070"/>
    <m/>
    <s v="n/a"/>
    <s v="n/a"/>
    <x v="3"/>
    <x v="25"/>
    <s v="HSM-BD54-GA465"/>
    <s v="EVO2A"/>
    <s v="±1400mm "/>
    <n v="465"/>
    <n v="10582"/>
    <n v="4.9210000000000003"/>
    <n v="286"/>
    <n v="11"/>
    <x v="0"/>
    <s v="COMPLETED"/>
    <m/>
    <d v="2026-01-29T00:00:00"/>
    <n v="5"/>
    <s v="POPV260129061"/>
    <m/>
    <s v="SHENZHEN"/>
    <x v="2"/>
    <x v="1"/>
    <d v="2026-02-03T00:00:00"/>
    <d v="2026-02-04T00:00:00"/>
    <d v="2026-02-04T00:00:00"/>
    <d v="2026-03-09T00:00:00"/>
    <d v="2026-03-10T00:00:00"/>
    <d v="2026-03-11T00:00:00"/>
    <s v="CIF"/>
    <s v="MAERSK MC-KINNEYMOLLER/605W"/>
    <s v="OTHER"/>
    <s v="TPVB20260123028"/>
    <x v="71"/>
    <n v="265292580"/>
    <n v="35"/>
    <m/>
    <d v="2026-03-11T00:00:00"/>
    <s v="In Stock-Approved "/>
    <d v="2026-03-23T00:00:00"/>
    <s v="- "/>
    <d v="2026-03-11T00:00:00"/>
    <n v="2026"/>
    <n v="3"/>
    <n v="11"/>
    <n v="37"/>
    <n v="962"/>
    <s v="White glazing"/>
    <s v="AEU"/>
  </r>
  <r>
    <s v="JUNE003.08"/>
    <s v="zhuhai -&gt; Shenzhen"/>
    <s v="JUNE003"/>
    <s v="CORE DG"/>
    <x v="1"/>
    <s v="SPTN Offstore in Transit WH"/>
    <s v="CIF"/>
    <x v="10"/>
    <s v="n/a"/>
    <x v="30"/>
    <s v="DE0126011400070"/>
    <m/>
    <s v="n/a"/>
    <s v="n/a"/>
    <x v="3"/>
    <x v="25"/>
    <s v="HSM-BD54-GA465"/>
    <s v="EVO2A"/>
    <s v="±1400mm "/>
    <n v="465"/>
    <n v="1924"/>
    <n v="0.89500000000000002"/>
    <n v="52"/>
    <n v="2"/>
    <x v="0"/>
    <s v="COMPLETED"/>
    <m/>
    <d v="2026-01-26T00:00:00"/>
    <n v="5"/>
    <s v="POPV260129060"/>
    <m/>
    <s v="SHENZHEN"/>
    <x v="2"/>
    <x v="1"/>
    <d v="2026-01-31T00:00:00"/>
    <d v="2026-02-01T00:00:00"/>
    <d v="2026-02-01T00:00:00"/>
    <d v="2026-03-06T00:00:00"/>
    <d v="2026-04-01T00:00:00"/>
    <d v="2026-04-02T00:00:00"/>
    <s v="CIF"/>
    <s v="CSCL MARS 083W"/>
    <s v="OTHER"/>
    <s v="TPVB20260123029"/>
    <x v="72"/>
    <s v="COSU9505762901"/>
    <n v="60"/>
    <m/>
    <d v="2026-04-02T00:00:00"/>
    <s v="In Stock-Approved "/>
    <d v="2026-03-20T00:00:00"/>
    <s v="- "/>
    <d v="2026-04-02T00:00:00"/>
    <n v="2026"/>
    <n v="4"/>
    <n v="14"/>
    <n v="37"/>
    <n v="962"/>
    <s v="White glazing"/>
    <s v="AEU"/>
  </r>
  <r>
    <s v="DEC020.04"/>
    <s v="Tianjin"/>
    <s v="DEC020"/>
    <s v="CORE DG"/>
    <x v="0"/>
    <s v="Arrival Plan-SPTN"/>
    <s v="DAP"/>
    <x v="0"/>
    <s v="U1"/>
    <x v="31"/>
    <m/>
    <m/>
    <s v="n/a"/>
    <s v="n/a"/>
    <x v="0"/>
    <x v="26"/>
    <s v="HSM-ND54-DR505 CFP"/>
    <s v="EVO2A"/>
    <s v="±1200mm "/>
    <n v="505"/>
    <n v="1728"/>
    <n v="0.873"/>
    <n v="48"/>
    <n v="2"/>
    <x v="0"/>
    <s v="COMPLETED"/>
    <s v="　"/>
    <d v="2026-01-28T00:00:00"/>
    <n v="5"/>
    <s v="POPV260205028"/>
    <s v="　"/>
    <s v="TIANJIN"/>
    <x v="0"/>
    <x v="5"/>
    <d v="2026-02-04T00:00:00"/>
    <d v="2026-02-05T00:00:00"/>
    <d v="2026-02-05T00:00:00"/>
    <d v="2026-03-31T00:00:00"/>
    <d v="2026-04-20T00:00:00"/>
    <d v="2026-04-20T00:00:00"/>
    <s v="DAP"/>
    <s v="COSCO SHIPPING STAR 028W"/>
    <s v="COSCO"/>
    <s v="TPVB20260123032"/>
    <x v="73"/>
    <s v="COSU6443086300"/>
    <n v="74"/>
    <m/>
    <d v="2026-04-20T00:00:00"/>
    <s v="In Stock-Approved "/>
    <d v="2026-05-04T00:00:00"/>
    <n v="8"/>
    <d v="2026-04-28T00:00:00"/>
    <n v="2026"/>
    <n v="4"/>
    <n v="18"/>
    <n v="36"/>
    <n v="864"/>
    <s v="Black glazing"/>
    <s v="AEU"/>
  </r>
  <r>
    <s v="DEC020.01"/>
    <s v="Tianjin"/>
    <s v="DEC020"/>
    <s v="CORE DG"/>
    <x v="0"/>
    <s v="Arrival Plan-SPTN"/>
    <s v="DAP"/>
    <x v="0"/>
    <s v="n/a"/>
    <x v="31"/>
    <m/>
    <m/>
    <s v="n/a"/>
    <s v="n/a"/>
    <x v="0"/>
    <x v="26"/>
    <s v="HSM-ND54-DR505 CFP"/>
    <s v="EVO2A"/>
    <s v="±1200mm "/>
    <n v="505"/>
    <n v="1728"/>
    <n v="0.873"/>
    <n v="48"/>
    <n v="2"/>
    <x v="0"/>
    <s v="COMPLETED"/>
    <s v="　"/>
    <d v="2026-01-28T00:00:00"/>
    <n v="5"/>
    <s v="POPV260205027"/>
    <s v="　"/>
    <s v="TIANJIN"/>
    <x v="0"/>
    <x v="5"/>
    <d v="2026-02-04T00:00:00"/>
    <d v="2026-02-05T00:00:00"/>
    <d v="2026-02-05T00:00:00"/>
    <d v="2026-03-31T00:00:00"/>
    <d v="2026-04-20T00:00:00"/>
    <d v="2026-04-20T00:00:00"/>
    <s v="DAP"/>
    <s v="COSCO SHIPPING STAR 028W"/>
    <s v="COSCO"/>
    <s v="TPVB20260123032"/>
    <x v="73"/>
    <s v="COSU6443086300"/>
    <n v="74"/>
    <m/>
    <d v="2026-04-20T00:00:00"/>
    <s v="In Stock-Approved "/>
    <d v="2026-05-04T00:00:00"/>
    <n v="8"/>
    <d v="2026-04-28T00:00:00"/>
    <n v="2026"/>
    <n v="4"/>
    <n v="18"/>
    <n v="36"/>
    <n v="864"/>
    <s v="Black glazing"/>
    <s v="AEU"/>
  </r>
  <r>
    <s v="DEC018.05"/>
    <s v="Tianjin"/>
    <s v="DEC018"/>
    <s v="UPP"/>
    <x v="0"/>
    <s v="Arrival Plan-SPNL"/>
    <s v="DAP"/>
    <x v="0"/>
    <s v="n/a"/>
    <x v="16"/>
    <s v="tbc"/>
    <m/>
    <s v="n/a"/>
    <s v="n/a"/>
    <x v="0"/>
    <x v="13"/>
    <s v="HSM-ND66-GR625"/>
    <s v="H4(Com)"/>
    <s v="±1400mm "/>
    <n v="625"/>
    <n v="2880"/>
    <n v="1.8"/>
    <n v="80"/>
    <n v="4"/>
    <x v="0"/>
    <s v="COMPLETED"/>
    <s v="　"/>
    <d v="2026-01-26T00:00:00"/>
    <n v="5"/>
    <s v="POPV260205035"/>
    <s v="　"/>
    <s v="TIANJIN"/>
    <x v="0"/>
    <x v="1"/>
    <d v="2026-02-01T00:00:00"/>
    <d v="2026-02-01T00:00:00"/>
    <d v="2026-02-02T00:00:00"/>
    <d v="2026-03-13T00:00:00"/>
    <d v="2026-04-04T00:00:00"/>
    <d v="2026-04-06T00:00:00"/>
    <s v="DAP"/>
    <s v="COSCO SHIPPING ARIES / 0FAMBW1MA/036W"/>
    <s v="OTHER"/>
    <s v="TPVB20260123024"/>
    <x v="74"/>
    <s v="TJN0840641"/>
    <n v="63"/>
    <m/>
    <d v="2026-04-06T00:00:00"/>
    <s v="In Stock-Approved "/>
    <d v="2026-04-17T00:00:00"/>
    <n v="7"/>
    <d v="2026-04-13T00:00:00"/>
    <n v="2026"/>
    <n v="4"/>
    <n v="16"/>
    <n v="36"/>
    <n v="720"/>
    <s v="Redirection Film"/>
    <s v="AEU"/>
  </r>
  <r>
    <s v="DEC014.01"/>
    <s v="Tianjin"/>
    <s v="DEC014"/>
    <s v="CORE DG"/>
    <x v="0"/>
    <s v="Arrival Plan-SPTN"/>
    <s v="DAP"/>
    <x v="0"/>
    <s v="n/a"/>
    <x v="31"/>
    <m/>
    <m/>
    <s v="n/a"/>
    <s v="n/a"/>
    <x v="0"/>
    <x v="27"/>
    <s v="HSM-ND54-DR500 CFP"/>
    <s v="EVO2A"/>
    <s v="±1200mm "/>
    <n v="500"/>
    <n v="1728"/>
    <n v="0.86399999999999999"/>
    <n v="48"/>
    <n v="2"/>
    <x v="0"/>
    <s v="COMPLETED"/>
    <s v="　"/>
    <d v="2026-01-28T00:00:00"/>
    <n v="5"/>
    <s v="POPV260206003"/>
    <s v="　"/>
    <s v="TIANJIN"/>
    <x v="0"/>
    <x v="0"/>
    <d v="2026-02-04T00:00:00"/>
    <d v="2026-02-05T00:00:00"/>
    <d v="2026-02-05T00:00:00"/>
    <d v="2026-04-07T00:00:00"/>
    <d v="2026-04-13T00:00:00"/>
    <d v="2026-04-13T00:00:00"/>
    <s v="DAP"/>
    <s v="COSCO SHIPPING STAR 028W"/>
    <s v="COSCO"/>
    <s v="TPVB20260123034"/>
    <x v="75"/>
    <s v="COSU9505858250"/>
    <n v="67"/>
    <m/>
    <d v="2026-04-13T00:00:00"/>
    <s v="In Stock-Approved "/>
    <d v="2026-04-27T00:00:00"/>
    <n v="8"/>
    <d v="2026-04-21T00:00:00"/>
    <n v="2026"/>
    <n v="4"/>
    <n v="17"/>
    <n v="36"/>
    <n v="864"/>
    <s v="Black glazing"/>
    <s v="AEM"/>
  </r>
  <r>
    <s v="NOV015"/>
    <s v="Tianjin"/>
    <s v="Main Line"/>
    <s v="UPP"/>
    <x v="0"/>
    <s v="Arrival Plan-SPTN"/>
    <s v="DAP"/>
    <x v="0"/>
    <s v="n/a"/>
    <x v="32"/>
    <s v="tbc"/>
    <m/>
    <s v="n/a"/>
    <d v="2026-01-23T00:00:00"/>
    <x v="7"/>
    <x v="28"/>
    <s v="HSM-GRA-NM-G12R-68P CFP"/>
    <s v="EVO2A"/>
    <s v="±1600mm "/>
    <n v="625"/>
    <n v="108"/>
    <n v="6.8000000000000005E-2"/>
    <n v="3"/>
    <n v="0.2"/>
    <x v="0"/>
    <s v="COMPLETED"/>
    <s v="　"/>
    <d v="2026-01-29T00:00:00"/>
    <n v="5"/>
    <s v="POPV260206004"/>
    <s v="　"/>
    <s v="TIANJIN"/>
    <x v="0"/>
    <x v="0"/>
    <d v="2026-02-04T00:00:00"/>
    <d v="2026-02-05T00:00:00"/>
    <d v="2026-02-05T00:00:00"/>
    <d v="2026-04-13T00:00:00"/>
    <d v="2026-04-24T00:00:00"/>
    <d v="2026-04-25T00:00:00"/>
    <s v="DAP"/>
    <s v="COSCO SHIPPING STAR 028W"/>
    <s v="COSCO"/>
    <s v="TPVB20260123033"/>
    <x v="76"/>
    <s v="COSU9505858400"/>
    <n v="79"/>
    <m/>
    <d v="2026-04-25T00:00:00"/>
    <s v="In Stock-Approved "/>
    <d v="2026-05-08T00:00:00"/>
    <n v="8"/>
    <d v="2026-05-03T00:00:00"/>
    <n v="2026"/>
    <n v="5"/>
    <n v="18"/>
    <n v="36"/>
    <n v="576"/>
    <s v="White glazing"/>
    <s v="AEM"/>
  </r>
  <r>
    <s v="DEC020.03"/>
    <s v="Tianjin"/>
    <s v="DEC020"/>
    <s v="CORE DG"/>
    <x v="0"/>
    <s v="Arrival Plan-SPTN"/>
    <s v="DAP"/>
    <x v="0"/>
    <s v="n/a"/>
    <x v="31"/>
    <m/>
    <m/>
    <s v="n/a"/>
    <s v="n/a"/>
    <x v="0"/>
    <x v="26"/>
    <s v="HSM-ND54-DR505 CFP"/>
    <s v="EVO2A"/>
    <s v="±1200mm "/>
    <n v="505"/>
    <n v="684"/>
    <n v="0.34499999999999997"/>
    <n v="19"/>
    <n v="0.8"/>
    <x v="0"/>
    <s v="COMPLETED"/>
    <s v="　"/>
    <d v="2026-01-29T00:00:00"/>
    <n v="5"/>
    <s v="POPV260206002"/>
    <s v="　"/>
    <s v="TIANJIN"/>
    <x v="0"/>
    <x v="0"/>
    <d v="2026-02-04T00:00:00"/>
    <d v="2026-02-05T00:00:00"/>
    <d v="2026-02-05T00:00:00"/>
    <d v="2026-04-13T00:00:00"/>
    <d v="2026-04-24T00:00:00"/>
    <d v="2026-04-25T00:00:00"/>
    <s v="DAP"/>
    <s v="COSCO SHIPPING STAR 028W"/>
    <s v="COSCO"/>
    <s v="TPVB20260123033"/>
    <x v="76"/>
    <s v="COSU9505858400"/>
    <n v="79"/>
    <m/>
    <d v="2026-04-25T00:00:00"/>
    <s v="In Stock-Approved "/>
    <d v="2026-05-08T00:00:00"/>
    <n v="8"/>
    <d v="2026-05-03T00:00:00"/>
    <n v="2026"/>
    <n v="5"/>
    <n v="18"/>
    <n v="36"/>
    <n v="864"/>
    <s v="Black glazing"/>
    <s v="AEM"/>
  </r>
  <r>
    <s v="NOV008"/>
    <s v="Tianjin"/>
    <s v="Main Line"/>
    <s v="CORE DG"/>
    <x v="0"/>
    <s v="Arrival Plan-SPTN"/>
    <s v="DAP"/>
    <x v="0"/>
    <s v="n/a"/>
    <x v="31"/>
    <m/>
    <m/>
    <s v="n/a"/>
    <s v="n/a"/>
    <x v="0"/>
    <x v="1"/>
    <s v="HSM-ND48-DR450_CFP"/>
    <s v="EVO2A"/>
    <s v="±1200mm "/>
    <n v="450"/>
    <n v="936"/>
    <n v="0.42099999999999999"/>
    <n v="26"/>
    <n v="1"/>
    <x v="0"/>
    <s v="COMPLETED"/>
    <s v="　"/>
    <d v="2026-01-29T00:00:00"/>
    <n v="5"/>
    <s v="POPV260206001"/>
    <s v="　"/>
    <s v="TIANJIN"/>
    <x v="0"/>
    <x v="0"/>
    <d v="2026-02-04T00:00:00"/>
    <d v="2026-02-05T00:00:00"/>
    <d v="2026-02-05T00:00:00"/>
    <d v="2026-04-13T00:00:00"/>
    <d v="2026-04-24T00:00:00"/>
    <d v="2026-04-25T00:00:00"/>
    <s v="DAP"/>
    <s v="COSCO SHIPPING STAR 028W"/>
    <s v="COSCO"/>
    <s v="TPVB20260123033"/>
    <x v="76"/>
    <s v="COSU9505858400"/>
    <n v="79"/>
    <m/>
    <d v="2026-04-25T00:00:00"/>
    <s v="In Stock-Approved "/>
    <d v="2026-05-08T00:00:00"/>
    <n v="8"/>
    <d v="2026-05-03T00:00:00"/>
    <n v="2026"/>
    <n v="5"/>
    <n v="18"/>
    <n v="36"/>
    <n v="936"/>
    <s v="Transparent"/>
    <s v="AEM"/>
  </r>
  <r>
    <s v="DEC009.15"/>
    <s v="Yixing"/>
    <s v="DEC009"/>
    <s v="CORE DG"/>
    <x v="0"/>
    <s v="Arrival Plan-SPNL"/>
    <s v="CIF"/>
    <x v="0"/>
    <s v="n/a"/>
    <x v="23"/>
    <m/>
    <m/>
    <s v="n/a"/>
    <s v="n/a"/>
    <x v="2"/>
    <x v="5"/>
    <s v="PVM, SPR-P7-555-COM-S, I BF-G M4.3D EVO2Z6NL 1.5KV IT"/>
    <s v="EVO2A"/>
    <s v="±1400mm "/>
    <n v="555"/>
    <n v="1980"/>
    <n v="1.099"/>
    <n v="60"/>
    <n v="3"/>
    <x v="0"/>
    <s v="COMPLETED"/>
    <m/>
    <d v="2026-02-03T00:00:00"/>
    <n v="6"/>
    <s v="POPV260209052"/>
    <m/>
    <s v="SHANGHAI"/>
    <x v="1"/>
    <x v="1"/>
    <d v="2026-02-09T00:00:00"/>
    <d v="2026-02-14T00:00:00"/>
    <d v="2026-02-15T00:00:00"/>
    <d v="2026-03-21T00:00:00"/>
    <d v="2026-03-30T00:00:00"/>
    <d v="2026-04-01T00:00:00"/>
    <s v="CIF"/>
    <s v="CMA CGM LOUIS BLERIOT 0FMLSW1MA"/>
    <s v="OTHER"/>
    <s v="TPVB20260206001"/>
    <x v="77"/>
    <s v="CHN3006464"/>
    <n v="45"/>
    <m/>
    <d v="2026-04-01T00:00:00"/>
    <s v="In Stock-Approved "/>
    <d v="2026-04-13T00:00:00"/>
    <n v="7"/>
    <d v="2026-04-08T00:00:00"/>
    <n v="2026"/>
    <n v="4"/>
    <n v="15"/>
    <n v="33"/>
    <n v="660"/>
    <s v="White glazing"/>
    <s v="AEU"/>
  </r>
  <r>
    <s v="DEC009.14"/>
    <s v="Yixing"/>
    <s v="DEC009"/>
    <s v="CORE DG"/>
    <x v="0"/>
    <s v="Arrival Plan-SPNL"/>
    <s v="CIF"/>
    <x v="0"/>
    <s v="n/a"/>
    <x v="23"/>
    <m/>
    <m/>
    <s v="n/a"/>
    <s v="n/a"/>
    <x v="2"/>
    <x v="5"/>
    <s v="PVM, SPR-P7-555-COM-S, I BF-G M4.3D EVO2Z6NL 1.5KV IT"/>
    <s v="EVO2A"/>
    <s v="±1400mm "/>
    <n v="555"/>
    <n v="3300"/>
    <n v="1.8320000000000001"/>
    <n v="100"/>
    <n v="5"/>
    <x v="0"/>
    <s v="COMPLETED"/>
    <m/>
    <d v="2026-02-03T00:00:00"/>
    <n v="6"/>
    <s v="POPV260209051"/>
    <m/>
    <s v="SHANGHAI"/>
    <x v="1"/>
    <x v="1"/>
    <d v="2026-02-09T00:00:00"/>
    <d v="2026-02-14T00:00:00"/>
    <d v="2026-02-15T00:00:00"/>
    <d v="2026-03-21T00:00:00"/>
    <d v="2026-03-30T00:00:00"/>
    <d v="2026-04-01T00:00:00"/>
    <s v="CIF"/>
    <s v="CMA CGM LOUIS BLERIOT 0FMLSW1MA"/>
    <s v="OTHER"/>
    <s v="TPVB20260206001"/>
    <x v="77"/>
    <s v="CHN3006464"/>
    <n v="45"/>
    <m/>
    <d v="2026-04-01T00:00:00"/>
    <s v="In Stock-Approved "/>
    <d v="2026-04-13T00:00:00"/>
    <n v="7"/>
    <d v="2026-04-08T00:00:00"/>
    <n v="2026"/>
    <n v="4"/>
    <n v="15"/>
    <n v="33"/>
    <n v="660"/>
    <s v="White glazing"/>
    <s v="AEU"/>
  </r>
  <r>
    <s v="DEC006"/>
    <s v="Yixing"/>
    <s v="Main Line"/>
    <s v="CORE DG"/>
    <x v="0"/>
    <s v="Arrival Plan-SPNL"/>
    <s v="CIF"/>
    <x v="0"/>
    <s v="n/a"/>
    <x v="23"/>
    <m/>
    <m/>
    <s v="n/a"/>
    <s v="n/a"/>
    <x v="5"/>
    <x v="20"/>
    <s v="PVM, SPR-P7-455-BLK-1500, I BF-G AR-SA M4.4F EVO2Z1NL IT P39"/>
    <s v="EVO2A"/>
    <s v="±1200mm "/>
    <n v="455"/>
    <n v="1728"/>
    <n v="0.78600000000000003"/>
    <n v="48"/>
    <n v="2"/>
    <x v="0"/>
    <s v="COMPLETED"/>
    <m/>
    <d v="2026-02-03T00:00:00"/>
    <n v="6"/>
    <s v="POPV260209049"/>
    <m/>
    <s v="SHANGHAI"/>
    <x v="1"/>
    <x v="1"/>
    <d v="2026-02-09T00:00:00"/>
    <d v="2026-02-14T00:00:00"/>
    <d v="2026-02-15T00:00:00"/>
    <d v="2026-03-21T00:00:00"/>
    <d v="2026-03-30T00:00:00"/>
    <d v="2026-04-01T00:00:00"/>
    <s v="CIF"/>
    <s v="CMA CGM LOUIS BLERIOT 0FMLSW1MA"/>
    <s v="OTHER"/>
    <s v="TPVB20260206001"/>
    <x v="77"/>
    <s v="CHN3006464"/>
    <n v="45"/>
    <m/>
    <d v="2026-04-01T00:00:00"/>
    <s v="In Stock-Approved "/>
    <d v="2026-04-13T00:00:00"/>
    <n v="7"/>
    <d v="2026-04-08T00:00:00"/>
    <n v="2026"/>
    <n v="4"/>
    <n v="15"/>
    <n v="36"/>
    <n v="864"/>
    <s v="Black glazing"/>
    <s v="AEU"/>
  </r>
  <r>
    <s v="NOV003"/>
    <s v="Yixing"/>
    <s v="Main Line"/>
    <s v="CORE DG"/>
    <x v="0"/>
    <s v="Arrival Plan-SPNL"/>
    <s v="CIF"/>
    <x v="0"/>
    <s v="n/a"/>
    <x v="23"/>
    <m/>
    <m/>
    <s v="n/a"/>
    <s v="n/a"/>
    <x v="5"/>
    <x v="19"/>
    <s v="PVM, SPR-P7-460-BLK-1500, I BF-G AR-SA M4.4F EVO2Z1NL IT P39"/>
    <s v="EVO2A"/>
    <s v="±1200mm "/>
    <n v="460"/>
    <n v="864"/>
    <n v="0.39700000000000002"/>
    <n v="24"/>
    <n v="1"/>
    <x v="0"/>
    <s v="COMPLETED"/>
    <m/>
    <d v="2026-02-04T00:00:00"/>
    <n v="6"/>
    <s v="POPV260209050"/>
    <m/>
    <s v="SHANGHAI"/>
    <x v="1"/>
    <x v="1"/>
    <d v="2026-02-09T00:00:00"/>
    <d v="2026-02-14T00:00:00"/>
    <d v="2026-02-16T00:00:00"/>
    <d v="2026-03-18T00:00:00"/>
    <d v="2026-04-14T00:00:00"/>
    <d v="2026-04-15T00:00:00"/>
    <s v="CIF"/>
    <s v="EVER GLOBE 1387-025W"/>
    <s v="COSCO"/>
    <s v="TPVB20260206002"/>
    <x v="78"/>
    <s v="COSU6443994070"/>
    <n v="58"/>
    <m/>
    <d v="2026-04-15T00:00:00"/>
    <s v="In Stock-Approved "/>
    <d v="2026-04-22T00:00:00"/>
    <n v="7"/>
    <d v="2026-04-22T00:00:00"/>
    <n v="2026"/>
    <n v="4"/>
    <n v="17"/>
    <n v="36"/>
    <n v="864"/>
    <s v="Black glazing"/>
    <s v="AEU"/>
  </r>
  <r>
    <s v="DEC011.07"/>
    <s v="Yixing"/>
    <s v="DEC011"/>
    <s v="CORE DG"/>
    <x v="0"/>
    <s v="Arrival Plan-SPNL"/>
    <s v="CIF"/>
    <x v="0"/>
    <s v="n/a"/>
    <x v="14"/>
    <m/>
    <m/>
    <s v="n/a"/>
    <s v="n/a"/>
    <x v="1"/>
    <x v="6"/>
    <s v="TCL-MR465DT182-58NS"/>
    <s v="EVO2A"/>
    <s v="±1200mm "/>
    <n v="465"/>
    <n v="2592"/>
    <n v="1.2050000000000001"/>
    <n v="72"/>
    <n v="3"/>
    <x v="0"/>
    <s v="COMPLETED"/>
    <m/>
    <d v="2026-02-04T00:00:00"/>
    <n v="6"/>
    <s v="POPV260209048"/>
    <m/>
    <s v="SHANGHAI"/>
    <x v="1"/>
    <x v="1"/>
    <d v="2026-02-09T00:00:00"/>
    <d v="2026-02-14T00:00:00"/>
    <d v="2026-02-16T00:00:00"/>
    <d v="2026-03-18T00:00:00"/>
    <d v="2026-04-14T00:00:00"/>
    <d v="2026-04-15T00:00:00"/>
    <s v="CIF"/>
    <s v="EVER GLOBE 1387-025W"/>
    <s v="COSCO"/>
    <s v="TPVB20260206002"/>
    <x v="78"/>
    <s v="COSU6443994070"/>
    <n v="58"/>
    <m/>
    <d v="2026-04-15T00:00:00"/>
    <s v="In Stock-Approved "/>
    <d v="2026-04-22T00:00:00"/>
    <n v="7"/>
    <d v="2026-04-22T00:00:00"/>
    <n v="2026"/>
    <n v="4"/>
    <n v="17"/>
    <n v="36"/>
    <n v="864"/>
    <s v="White glazing"/>
    <s v="AEU"/>
  </r>
  <r>
    <s v="DEC009.16"/>
    <s v="Yixing"/>
    <s v="DEC009"/>
    <s v="CORE DG"/>
    <x v="0"/>
    <s v="Arrival Plan-SPTN"/>
    <s v="CIF"/>
    <x v="0"/>
    <s v="n/a"/>
    <x v="33"/>
    <m/>
    <m/>
    <s v="n/a"/>
    <s v="n/a"/>
    <x v="2"/>
    <x v="5"/>
    <s v="PVM, SPR-P7-555-COM-S, I BF-G M4.3D EVO2Z6NL 1.5KV IT"/>
    <s v="EVO2A"/>
    <s v="±1400mm "/>
    <n v="555"/>
    <n v="3960"/>
    <n v="2.198"/>
    <n v="120"/>
    <n v="6"/>
    <x v="0"/>
    <s v="COMPLETED"/>
    <m/>
    <d v="2026-02-01T00:00:00"/>
    <n v="5"/>
    <s v="POPV260209044"/>
    <m/>
    <s v="SHANGHAI"/>
    <x v="1"/>
    <x v="0"/>
    <d v="2026-02-10T00:00:00"/>
    <d v="2026-02-12T00:00:00"/>
    <d v="2026-02-25T00:00:00"/>
    <d v="2026-03-30T00:00:00"/>
    <d v="2026-04-24T00:00:00"/>
    <d v="2026-04-25T00:00:00"/>
    <s v="CIF"/>
    <s v="EVER GRADE 0738-027W"/>
    <s v="COSCO"/>
    <s v="TPVB20260206005"/>
    <x v="79"/>
    <s v="COSU6443749570"/>
    <n v="59"/>
    <m/>
    <d v="2026-04-25T00:00:00"/>
    <s v="In Stock-Approved "/>
    <d v="2026-05-08T00:00:00"/>
    <n v="8"/>
    <d v="2026-05-03T00:00:00"/>
    <n v="2026"/>
    <n v="5"/>
    <n v="18"/>
    <n v="33"/>
    <n v="660"/>
    <s v="White glazing"/>
    <s v="AEM"/>
  </r>
  <r>
    <s v="DEC009.19"/>
    <s v="Yixing"/>
    <s v="DEC009"/>
    <s v="CORE DG"/>
    <x v="0"/>
    <s v="Arrival Plan-SPTN"/>
    <s v="CIF"/>
    <x v="0"/>
    <s v="n/a"/>
    <x v="33"/>
    <m/>
    <m/>
    <s v="n/a"/>
    <s v="n/a"/>
    <x v="2"/>
    <x v="5"/>
    <s v="PVM, SPR-P7-555-COM-S, I BF-G M4.3D EVO2Z6NL 1.5KV IT"/>
    <s v="EVO2A"/>
    <s v="±1400mm "/>
    <n v="555"/>
    <n v="660"/>
    <n v="0.36599999999999999"/>
    <n v="20"/>
    <n v="1"/>
    <x v="0"/>
    <s v="COMPLETED"/>
    <m/>
    <d v="2026-02-01T00:00:00"/>
    <n v="5"/>
    <s v="POPV260209043"/>
    <m/>
    <s v="SHANGHAI"/>
    <x v="1"/>
    <x v="0"/>
    <d v="2026-02-10T00:00:00"/>
    <d v="2026-02-12T00:00:00"/>
    <d v="2026-02-25T00:00:00"/>
    <d v="2026-03-20T00:00:00"/>
    <d v="2026-04-24T00:00:00"/>
    <d v="2026-04-25T00:00:00"/>
    <s v="CIF"/>
    <s v="EVER GRADE 0738-027W"/>
    <s v="COSCO"/>
    <s v="TPVB20260206005"/>
    <x v="79"/>
    <s v="COSU6443749570"/>
    <n v="59"/>
    <m/>
    <d v="2026-04-25T00:00:00"/>
    <s v="In Stock-Approved "/>
    <d v="2026-05-08T00:00:00"/>
    <n v="8"/>
    <d v="2026-05-03T00:00:00"/>
    <n v="2026"/>
    <n v="5"/>
    <n v="18"/>
    <n v="33"/>
    <n v="660"/>
    <s v="White glazing"/>
    <s v="AEM"/>
  </r>
  <r>
    <s v="DEC009.17"/>
    <s v="Yixing"/>
    <s v="DEC009"/>
    <s v="CORE DG"/>
    <x v="0"/>
    <s v="Arrival Plan-SPTN"/>
    <s v="CIF"/>
    <x v="0"/>
    <s v="n/a"/>
    <x v="33"/>
    <m/>
    <m/>
    <s v="n/a"/>
    <s v="n/a"/>
    <x v="2"/>
    <x v="5"/>
    <s v="PVM, SPR-P7-555-COM-S, I BF-G M4.3D EVO2Z6NL 1.5KV IT"/>
    <s v="EVO2A"/>
    <s v="±1400mm "/>
    <n v="555"/>
    <n v="660"/>
    <n v="0.36599999999999999"/>
    <n v="20"/>
    <n v="1"/>
    <x v="0"/>
    <s v="COMPLETED"/>
    <m/>
    <d v="2026-02-01T00:00:00"/>
    <n v="5"/>
    <s v="POPV260209041"/>
    <m/>
    <s v="SHANGHAI"/>
    <x v="1"/>
    <x v="0"/>
    <d v="2026-02-10T00:00:00"/>
    <d v="2026-02-12T00:00:00"/>
    <d v="2026-02-25T00:00:00"/>
    <d v="2026-03-27T00:00:00"/>
    <d v="2026-04-24T00:00:00"/>
    <d v="2026-04-25T00:00:00"/>
    <s v="CIF"/>
    <s v="EVER GRADE 0738-027W"/>
    <s v="COSCO"/>
    <s v="TPVB20260206005"/>
    <x v="79"/>
    <s v="COSU6443749570"/>
    <n v="59"/>
    <m/>
    <d v="2026-04-25T00:00:00"/>
    <s v="In Stock-Approved "/>
    <d v="2026-05-08T00:00:00"/>
    <n v="8"/>
    <d v="2026-05-03T00:00:00"/>
    <n v="2026"/>
    <n v="5"/>
    <n v="18"/>
    <n v="33"/>
    <n v="660"/>
    <s v="White glazing"/>
    <s v="AEM"/>
  </r>
  <r>
    <s v="DEC003.17"/>
    <s v="Yixing"/>
    <s v="DEC003"/>
    <s v="UPP"/>
    <x v="0"/>
    <s v="Arrival Plan-SPES"/>
    <s v="CIF"/>
    <x v="1"/>
    <s v="n/a"/>
    <x v="4"/>
    <s v="PT0125122900795"/>
    <m/>
    <s v="n/a"/>
    <s v="n/a"/>
    <x v="0"/>
    <x v="3"/>
    <s v="HSM-ND78-GF640"/>
    <s v="EVO2A"/>
    <s v="±1400mm "/>
    <n v="640"/>
    <n v="3456"/>
    <n v="2.2120000000000002"/>
    <n v="96"/>
    <n v="6"/>
    <x v="0"/>
    <s v="COMPLETED"/>
    <m/>
    <d v="2026-02-04T00:00:00"/>
    <n v="6"/>
    <s v="POPV260209040"/>
    <m/>
    <s v="SHANGHAI"/>
    <x v="1"/>
    <x v="2"/>
    <d v="2026-02-10T00:00:00"/>
    <d v="2026-02-14T00:00:00"/>
    <d v="2026-02-14T00:00:00"/>
    <d v="2026-03-26T00:00:00"/>
    <d v="2026-03-31T00:00:00"/>
    <d v="2026-03-31T00:00:00"/>
    <s v="CIF"/>
    <s v="CMA CGM ALEXANDER VON"/>
    <s v="COSCO"/>
    <s v="TPVB20260206007"/>
    <x v="80"/>
    <s v="COSU6443750670"/>
    <n v="45"/>
    <m/>
    <d v="2026-03-31T00:00:00"/>
    <s v="In Stock-Approved "/>
    <d v="2026-04-09T00:00:00"/>
    <n v="9"/>
    <d v="2026-04-09T00:00:00"/>
    <n v="2026"/>
    <n v="4"/>
    <n v="15"/>
    <n v="36"/>
    <n v="576"/>
    <s v="Redirection Film"/>
    <s v="AEM"/>
  </r>
  <r>
    <s v="DEC003.18"/>
    <s v="Yixing"/>
    <s v="DEC003"/>
    <s v="UPP"/>
    <x v="0"/>
    <s v="Arrival Plan-SPES"/>
    <s v="CIF"/>
    <x v="1"/>
    <s v="n/a"/>
    <x v="4"/>
    <s v="PT0125122900795"/>
    <m/>
    <s v="n/a"/>
    <s v="n/a"/>
    <x v="0"/>
    <x v="3"/>
    <s v="HSM-ND78-GF640"/>
    <s v="EVO2A"/>
    <s v="±1400mm "/>
    <n v="640"/>
    <n v="1152"/>
    <n v="0.73699999999999999"/>
    <n v="32"/>
    <n v="2"/>
    <x v="0"/>
    <s v="COMPLETED"/>
    <m/>
    <d v="2026-02-05T00:00:00"/>
    <n v="6"/>
    <s v="POPV260209039"/>
    <m/>
    <s v="SHANGHAI"/>
    <x v="1"/>
    <x v="2"/>
    <d v="2026-02-10T00:00:00"/>
    <d v="2026-02-12T00:00:00"/>
    <d v="2026-02-12T00:00:00"/>
    <d v="2026-04-02T00:00:00"/>
    <d v="2026-04-13T00:00:00"/>
    <d v="2026-04-14T00:00:00"/>
    <s v="CIF"/>
    <s v="EVER GRADE 0738-027W"/>
    <s v="COSCO"/>
    <s v="TPVB20260206008"/>
    <x v="81"/>
    <s v="COSU6443746260"/>
    <n v="61"/>
    <m/>
    <d v="2026-04-14T00:00:00"/>
    <s v="In Stock-Approved "/>
    <d v="2026-04-23T00:00:00"/>
    <n v="9"/>
    <d v="2026-04-23T00:00:00"/>
    <n v="2026"/>
    <n v="4"/>
    <n v="17"/>
    <n v="36"/>
    <n v="576"/>
    <s v="Redirection Film"/>
    <s v="AEM"/>
  </r>
  <r>
    <s v="DEC003.07"/>
    <s v="Yixing"/>
    <s v="DEC003"/>
    <s v="UPP"/>
    <x v="0"/>
    <s v="Arrival Plan-SPES"/>
    <s v="CIF"/>
    <x v="1"/>
    <s v="n/a"/>
    <x v="4"/>
    <s v="PT0125122900795"/>
    <m/>
    <s v="n/a"/>
    <s v="n/a"/>
    <x v="0"/>
    <x v="3"/>
    <s v="HSM-ND78-GF640"/>
    <s v="EVO2A"/>
    <s v="±1400mm "/>
    <n v="640"/>
    <n v="4032"/>
    <n v="2.58"/>
    <n v="112"/>
    <n v="7"/>
    <x v="0"/>
    <s v="COMPLETED"/>
    <m/>
    <d v="2026-02-05T00:00:00"/>
    <n v="6"/>
    <s v="POPV260209038"/>
    <m/>
    <s v="SHANGHAI"/>
    <x v="1"/>
    <x v="2"/>
    <d v="2026-02-10T00:00:00"/>
    <d v="2026-02-12T00:00:00"/>
    <d v="2026-02-12T00:00:00"/>
    <d v="2026-04-02T00:00:00"/>
    <d v="2026-04-13T00:00:00"/>
    <d v="2026-04-14T00:00:00"/>
    <s v="CIF"/>
    <s v="EVER GRADE 0738-027W"/>
    <s v="COSCO"/>
    <s v="TPVB20260206008"/>
    <x v="81"/>
    <s v="COSU6443746260"/>
    <n v="61"/>
    <m/>
    <d v="2026-04-14T00:00:00"/>
    <s v="In Stock-Approved "/>
    <d v="2026-04-23T00:00:00"/>
    <n v="9"/>
    <d v="2026-04-23T00:00:00"/>
    <n v="2026"/>
    <n v="4"/>
    <n v="17"/>
    <n v="36"/>
    <n v="576"/>
    <s v="Redirection Film"/>
    <s v="AEM"/>
  </r>
  <r>
    <s v="DEC003.08"/>
    <s v="Yixing"/>
    <s v="DEC003"/>
    <s v="UPP"/>
    <x v="0"/>
    <s v="Arrival Plan-SPES"/>
    <s v="CIF"/>
    <x v="1"/>
    <s v="n/a"/>
    <x v="4"/>
    <s v="PT0125122900795"/>
    <m/>
    <s v="n/a"/>
    <s v="n/a"/>
    <x v="0"/>
    <x v="3"/>
    <s v="HSM-ND78-GF640"/>
    <s v="EVO2A"/>
    <s v="±1400mm "/>
    <n v="640"/>
    <n v="5760"/>
    <n v="3.6859999999999999"/>
    <n v="160"/>
    <n v="10"/>
    <x v="0"/>
    <s v="COMPLETED"/>
    <m/>
    <d v="2026-02-06T00:00:00"/>
    <n v="6"/>
    <s v="POPV260209037"/>
    <m/>
    <s v="SHANGHAI"/>
    <x v="1"/>
    <x v="2"/>
    <d v="2026-02-10T00:00:00"/>
    <d v="2026-02-12T00:00:00"/>
    <d v="2026-02-12T00:00:00"/>
    <d v="2026-04-02T00:00:00"/>
    <d v="2026-04-13T00:00:00"/>
    <d v="2026-04-14T00:00:00"/>
    <s v="CIF"/>
    <s v="EVER GRADE 0738-027W"/>
    <s v="COSCO"/>
    <s v="TPVB20260206009"/>
    <x v="82"/>
    <s v="COSU6443747770"/>
    <n v="61"/>
    <m/>
    <d v="2026-04-14T00:00:00"/>
    <s v="In Stock-Approved "/>
    <d v="2026-04-23T00:00:00"/>
    <n v="9"/>
    <d v="2026-04-23T00:00:00"/>
    <n v="2026"/>
    <n v="4"/>
    <n v="17"/>
    <n v="36"/>
    <n v="576"/>
    <s v="Redirection Film"/>
    <s v="AEM"/>
  </r>
  <r>
    <s v="DEC003"/>
    <s v="Yixing"/>
    <s v="Main Line"/>
    <s v="UPP"/>
    <x v="0"/>
    <s v="Arrival Plan-SPES"/>
    <s v="CIF"/>
    <x v="1"/>
    <s v="n/a"/>
    <x v="4"/>
    <s v="PT0125122900795"/>
    <m/>
    <s v="n/a"/>
    <s v="n/a"/>
    <x v="0"/>
    <x v="3"/>
    <s v="HSM-ND78-GF640"/>
    <s v="EVO2A"/>
    <s v="±1400mm "/>
    <n v="640"/>
    <n v="2787"/>
    <n v="1.784"/>
    <n v="77.400000000000006"/>
    <n v="4.8"/>
    <x v="0"/>
    <s v="COMPLETED"/>
    <m/>
    <d v="2026-02-06T00:00:00"/>
    <n v="6"/>
    <s v="POPV260209036"/>
    <m/>
    <s v="SHANGHAI"/>
    <x v="1"/>
    <x v="2"/>
    <d v="2026-02-10T00:00:00"/>
    <d v="2026-02-12T00:00:00"/>
    <d v="2026-02-12T00:00:00"/>
    <d v="2026-04-02T00:00:00"/>
    <d v="2026-04-13T00:00:00"/>
    <d v="2026-04-14T00:00:00"/>
    <s v="CIF"/>
    <s v="EVER GRADE 0738-027W"/>
    <s v="COSCO"/>
    <s v="TPVB20260206009"/>
    <x v="82"/>
    <s v="COSU6443747770"/>
    <n v="61"/>
    <m/>
    <d v="2026-04-14T00:00:00"/>
    <s v="In Stock-Approved "/>
    <d v="2026-04-23T00:00:00"/>
    <n v="9"/>
    <d v="2026-04-23T00:00:00"/>
    <n v="2026"/>
    <n v="4"/>
    <n v="17"/>
    <n v="36"/>
    <n v="576"/>
    <s v="Redirection Film"/>
    <s v="AEM"/>
  </r>
  <r>
    <s v="DEC005"/>
    <s v="Yixing"/>
    <s v="Main Line"/>
    <s v="CORE DG"/>
    <x v="0"/>
    <s v="Arrival Plan-SPTN"/>
    <s v="CIF"/>
    <x v="0"/>
    <s v="n/a"/>
    <x v="12"/>
    <m/>
    <m/>
    <s v="n/a"/>
    <s v="n/a"/>
    <x v="5"/>
    <x v="29"/>
    <s v="PVM, SPR-P7-450-BLK-1500, I BF-G AR-SA M4.4F EVO2Z1NL IT P39"/>
    <s v="EVO2A"/>
    <s v="±1200mm "/>
    <n v="450"/>
    <n v="864"/>
    <n v="0.38900000000000001"/>
    <n v="24"/>
    <n v="1"/>
    <x v="0"/>
    <s v="COMPLETED"/>
    <m/>
    <d v="2026-02-05T00:00:00"/>
    <n v="6"/>
    <s v="POPV260209035"/>
    <m/>
    <s v="SHANGHAI"/>
    <x v="1"/>
    <x v="0"/>
    <d v="2026-02-10T00:00:00"/>
    <d v="2026-02-14T00:00:00"/>
    <d v="2026-02-14T00:00:00"/>
    <d v="2026-03-11T00:00:00"/>
    <d v="2026-04-03T00:00:00"/>
    <d v="2026-04-07T00:00:00"/>
    <s v="CIF"/>
    <s v="CMA CGM ALEXANDER VON"/>
    <s v="COSCO"/>
    <s v="TPVB20260206010"/>
    <x v="83"/>
    <s v="COSU6443888900"/>
    <n v="52"/>
    <m/>
    <d v="2026-04-07T00:00:00"/>
    <s v="In Stock-Approved "/>
    <d v="2026-04-17T00:00:00"/>
    <n v="8"/>
    <d v="2026-04-15T00:00:00"/>
    <n v="2026"/>
    <n v="4"/>
    <n v="16"/>
    <n v="36"/>
    <n v="864"/>
    <s v="Black glazing"/>
    <s v="AEM"/>
  </r>
  <r>
    <s v="AUG011.02"/>
    <s v="Tianjin"/>
    <s v="AUG011"/>
    <s v="CORE DG"/>
    <x v="0"/>
    <s v="Arrival Plan-SPNL"/>
    <s v="CIF"/>
    <x v="0"/>
    <s v="n/a"/>
    <x v="14"/>
    <m/>
    <m/>
    <s v="n/a"/>
    <s v="n/a"/>
    <x v="0"/>
    <x v="22"/>
    <s v="HSM-ND48-DR450"/>
    <s v="EVO2A"/>
    <s v="±1400mm "/>
    <n v="450"/>
    <n v="2736"/>
    <n v="1.2310000000000001"/>
    <n v="76"/>
    <n v="2.9"/>
    <x v="0"/>
    <s v="COMPLETED"/>
    <m/>
    <d v="2026-02-02T00:00:00"/>
    <n v="6"/>
    <s v="POPV260209032"/>
    <m/>
    <s v="TIANJIN"/>
    <x v="0"/>
    <x v="1"/>
    <d v="2026-02-13T00:00:00"/>
    <d v="2026-02-12T00:00:00"/>
    <d v="2026-02-12T00:00:00"/>
    <d v="2026-04-07T00:00:00"/>
    <d v="2026-04-29T00:00:00"/>
    <d v="2026-04-25T00:00:00"/>
    <s v="CIF"/>
    <s v="COSCO THAILAND 113E"/>
    <s v="COSCO"/>
    <s v="TPVB20260206011"/>
    <x v="84"/>
    <s v="COSU6443899580"/>
    <n v="72"/>
    <m/>
    <d v="2026-04-25T00:00:00"/>
    <s v="In Stock-Approved "/>
    <d v="2026-05-08T00:00:00"/>
    <n v="7"/>
    <d v="2026-05-02T00:00:00"/>
    <n v="2026"/>
    <n v="5"/>
    <n v="18"/>
    <n v="36"/>
    <n v="936"/>
    <s v="Transparent"/>
    <s v="AEU"/>
  </r>
  <r>
    <s v="DEC013.001"/>
    <s v="Tianjin"/>
    <s v="DEC013"/>
    <s v="CORE DG"/>
    <x v="0"/>
    <s v="Arrival Plan-SPTN"/>
    <s v="CIF"/>
    <x v="0"/>
    <s v="n/a"/>
    <x v="31"/>
    <m/>
    <s v="　"/>
    <s v="n/a"/>
    <s v="n/a"/>
    <x v="0"/>
    <x v="1"/>
    <s v="HSM-ND48-DR450_CFP"/>
    <s v="EVO2A"/>
    <s v="±1200mm "/>
    <n v="450"/>
    <n v="1872"/>
    <n v="0.84199999999999997"/>
    <n v="52"/>
    <n v="2"/>
    <x v="0"/>
    <s v="COMPLETED"/>
    <s v="　"/>
    <d v="2026-02-03T00:00:00"/>
    <n v="6"/>
    <s v="POPV260209030"/>
    <s v="　"/>
    <s v="TIANJIN"/>
    <x v="0"/>
    <x v="0"/>
    <d v="2026-02-13T00:00:00"/>
    <d v="2026-02-12T00:00:00"/>
    <d v="2026-02-12T00:00:00"/>
    <d v="2026-04-27T00:00:00"/>
    <d v="2026-05-04T00:00:00"/>
    <d v="2026-05-02T00:00:00"/>
    <s v="CIF"/>
    <s v="COSCO THAILAND 113E"/>
    <s v="COSCO"/>
    <s v="TPVB20260206012"/>
    <x v="85"/>
    <s v="COSU6443922160"/>
    <n v="79"/>
    <s v="　"/>
    <d v="2026-05-02T00:00:00"/>
    <s v="In Stock-Approved "/>
    <d v="2026-05-18T00:00:00"/>
    <n v="8"/>
    <d v="2026-05-10T00:00:00"/>
    <n v="2026"/>
    <n v="5"/>
    <n v="19"/>
    <n v="36"/>
    <n v="936"/>
    <s v="Transparent"/>
    <s v="AEM"/>
  </r>
  <r>
    <s v="DEC013"/>
    <s v="Tianjin"/>
    <s v="Main Line"/>
    <s v="CORE DG"/>
    <x v="0"/>
    <s v="Arrival Plan-SPTN"/>
    <s v="CIF"/>
    <x v="0"/>
    <s v="n/a"/>
    <x v="31"/>
    <m/>
    <s v="　"/>
    <s v="n/a"/>
    <s v="n/a"/>
    <x v="0"/>
    <x v="1"/>
    <s v="HSM-ND48-DR450_CFP"/>
    <s v="EVO2A"/>
    <s v="±1200mm "/>
    <n v="450"/>
    <n v="4428"/>
    <n v="1.9930000000000001"/>
    <n v="123"/>
    <n v="4.7"/>
    <x v="0"/>
    <s v="COMPLETED"/>
    <s v="　"/>
    <d v="2026-02-03T00:00:00"/>
    <n v="6"/>
    <s v="POPV260209030"/>
    <s v="　"/>
    <s v="TIANJIN"/>
    <x v="0"/>
    <x v="0"/>
    <d v="2026-02-13T00:00:00"/>
    <d v="2026-02-12T00:00:00"/>
    <d v="2026-02-12T00:00:00"/>
    <d v="2026-04-27T00:00:00"/>
    <d v="2026-05-04T00:00:00"/>
    <d v="2026-05-02T00:00:00"/>
    <s v="CIF"/>
    <s v="COSCO THAILAND 113E"/>
    <s v="COSCO"/>
    <s v="TPVB20260206012"/>
    <x v="85"/>
    <s v="COSU6443922160"/>
    <n v="79"/>
    <s v="　"/>
    <d v="2026-05-02T00:00:00"/>
    <s v="In Stock-Approved "/>
    <d v="2026-05-18T00:00:00"/>
    <n v="8"/>
    <d v="2026-05-10T00:00:00"/>
    <n v="2026"/>
    <n v="5"/>
    <n v="19"/>
    <n v="36"/>
    <n v="936"/>
    <s v="Transparent"/>
    <s v="AEM"/>
  </r>
  <r>
    <s v="DEC019.01"/>
    <s v="Tianjin"/>
    <s v="DEC019"/>
    <s v="CORE DG"/>
    <x v="0"/>
    <s v="Arrival Plan-SPTN"/>
    <s v="CIF"/>
    <x v="0"/>
    <s v="n/a"/>
    <x v="31"/>
    <m/>
    <m/>
    <s v="n/a"/>
    <s v="n/a"/>
    <x v="0"/>
    <x v="8"/>
    <s v="HSM-ND48-DR455_CFP"/>
    <s v="EVO2A"/>
    <s v="±1200mm "/>
    <n v="455"/>
    <n v="5868"/>
    <n v="2.67"/>
    <n v="163"/>
    <n v="6.3"/>
    <x v="0"/>
    <s v="COMPLETED"/>
    <m/>
    <d v="2026-02-03T00:00:00"/>
    <n v="6"/>
    <s v="POPV260209029"/>
    <m/>
    <s v="TIANJIN"/>
    <x v="0"/>
    <x v="0"/>
    <d v="2026-02-13T00:00:00"/>
    <d v="2026-02-12T00:00:00"/>
    <d v="2026-02-12T00:00:00"/>
    <d v="2026-04-27T00:00:00"/>
    <d v="2026-05-04T00:00:00"/>
    <d v="2026-05-02T00:00:00"/>
    <s v="CIF"/>
    <s v="COSCO THAILAND 113E"/>
    <s v="COSCO"/>
    <s v="TPVB20260206012"/>
    <x v="85"/>
    <s v="COSU6443922160"/>
    <n v="79"/>
    <m/>
    <d v="2026-05-02T00:00:00"/>
    <s v="In Stock-Approved "/>
    <d v="2026-05-18T00:00:00"/>
    <n v="8"/>
    <d v="2026-05-10T00:00:00"/>
    <n v="2026"/>
    <n v="5"/>
    <n v="19"/>
    <n v="36"/>
    <n v="936"/>
    <s v="Transparent"/>
    <s v="AEM"/>
  </r>
  <r>
    <s v="DEC020.02"/>
    <s v="Tianjin"/>
    <s v="DEC020"/>
    <s v="CORE DG"/>
    <x v="0"/>
    <s v="Arrival Plan-SPTN"/>
    <s v="CIF"/>
    <x v="0"/>
    <s v="n/a"/>
    <x v="31"/>
    <m/>
    <m/>
    <s v="n/a"/>
    <s v="n/a"/>
    <x v="0"/>
    <x v="26"/>
    <s v="HSM-ND54-DR505 CFP"/>
    <s v="EVO2A"/>
    <s v="±1200mm "/>
    <n v="505"/>
    <n v="864"/>
    <n v="0.436"/>
    <n v="24"/>
    <n v="1"/>
    <x v="0"/>
    <s v="COMPLETED"/>
    <m/>
    <d v="2026-02-03T00:00:00"/>
    <n v="6"/>
    <s v="POPV260209028"/>
    <m/>
    <s v="TIANJIN"/>
    <x v="0"/>
    <x v="0"/>
    <d v="2026-02-13T00:00:00"/>
    <d v="2026-02-12T00:00:00"/>
    <d v="2026-02-12T00:00:00"/>
    <d v="2026-04-27T00:00:00"/>
    <d v="2026-05-04T00:00:00"/>
    <d v="2026-05-02T00:00:00"/>
    <s v="CIF"/>
    <s v="COSCO THAILAND 113E"/>
    <s v="COSCO"/>
    <s v="TPVB20260206012"/>
    <x v="85"/>
    <s v="COSU6443922160"/>
    <n v="79"/>
    <m/>
    <d v="2026-05-02T00:00:00"/>
    <s v="In Stock-Approved "/>
    <d v="2026-05-18T00:00:00"/>
    <n v="8"/>
    <d v="2026-05-10T00:00:00"/>
    <n v="2026"/>
    <n v="5"/>
    <n v="19"/>
    <n v="36"/>
    <n v="864"/>
    <s v="Black glazing"/>
    <s v="AEM"/>
  </r>
  <r>
    <s v="DEC020.05"/>
    <s v="Tianjin"/>
    <s v="DEC020"/>
    <s v="CORE DG"/>
    <x v="0"/>
    <s v="Arrival Plan-SPTN"/>
    <s v="CIF"/>
    <x v="0"/>
    <s v="n/a"/>
    <x v="31"/>
    <m/>
    <m/>
    <s v="n/a"/>
    <d v="2026-01-23T00:00:00"/>
    <x v="0"/>
    <x v="26"/>
    <s v="HSM-ND54-DR505 CFP"/>
    <s v="EVO2A"/>
    <s v="±1200mm "/>
    <n v="505"/>
    <n v="864"/>
    <n v="0.436"/>
    <n v="24"/>
    <n v="1"/>
    <x v="0"/>
    <s v="COMPLETED"/>
    <m/>
    <d v="2026-02-03T00:00:00"/>
    <n v="6"/>
    <s v="POPV260209027"/>
    <m/>
    <s v="TIANJIN"/>
    <x v="0"/>
    <x v="0"/>
    <d v="2026-02-13T00:00:00"/>
    <d v="2026-02-12T00:00:00"/>
    <d v="2026-02-12T00:00:00"/>
    <d v="2026-04-27T00:00:00"/>
    <d v="2026-05-04T00:00:00"/>
    <d v="2026-05-02T00:00:00"/>
    <s v="CIF"/>
    <s v="COSCO THAILAND 113E"/>
    <s v="COSCO"/>
    <s v="TPVB20260206012"/>
    <x v="85"/>
    <s v="COSU6443922160"/>
    <n v="79"/>
    <m/>
    <d v="2026-05-02T00:00:00"/>
    <s v="In Stock-Approved "/>
    <d v="2026-05-18T00:00:00"/>
    <n v="8"/>
    <d v="2026-05-10T00:00:00"/>
    <n v="2026"/>
    <n v="5"/>
    <n v="19"/>
    <n v="36"/>
    <n v="864"/>
    <s v="Black glazing"/>
    <s v="AEM"/>
  </r>
  <r>
    <s v="DEC020.06"/>
    <s v="Tianjin"/>
    <s v="DEC020"/>
    <s v="CORE DG"/>
    <x v="0"/>
    <s v="Arrival Plan-SPTN"/>
    <s v="CIF"/>
    <x v="0"/>
    <s v="n/a"/>
    <x v="31"/>
    <m/>
    <m/>
    <s v="n/a"/>
    <d v="2026-01-23T00:00:00"/>
    <x v="0"/>
    <x v="26"/>
    <s v="HSM-ND54-DR505 CFP"/>
    <s v="EVO2A"/>
    <s v="±1200mm "/>
    <n v="505"/>
    <n v="2592"/>
    <n v="1.3089999999999999"/>
    <n v="72"/>
    <n v="3"/>
    <x v="0"/>
    <s v="COMPLETED"/>
    <m/>
    <d v="2026-02-05T00:00:00"/>
    <n v="6"/>
    <s v="POPV260209026"/>
    <m/>
    <s v="TIANJIN"/>
    <x v="0"/>
    <x v="0"/>
    <d v="2026-02-13T00:00:00"/>
    <d v="2026-02-12T00:00:00"/>
    <d v="2026-02-12T00:00:00"/>
    <d v="2026-04-27T00:00:00"/>
    <d v="2026-05-04T00:00:00"/>
    <d v="2026-05-02T00:00:00"/>
    <s v="CIF"/>
    <s v="COSCO THAILAND 113E"/>
    <s v="COSCO"/>
    <s v="TPVB20260206018"/>
    <x v="86"/>
    <s v="COSU6444277710"/>
    <n v="79"/>
    <m/>
    <d v="2026-05-02T00:00:00"/>
    <s v="In Stock-Approved "/>
    <d v="2026-05-18T00:00:00"/>
    <n v="8"/>
    <d v="2026-05-10T00:00:00"/>
    <n v="2026"/>
    <n v="5"/>
    <n v="19"/>
    <n v="36"/>
    <n v="864"/>
    <s v="Black glazing"/>
    <s v="AEM"/>
  </r>
  <r>
    <s v="SEPT007"/>
    <s v="Tianjin"/>
    <s v="Main Line"/>
    <s v="CORE DG"/>
    <x v="0"/>
    <s v="Arrival Plan-SPNL"/>
    <s v="CIF"/>
    <x v="0"/>
    <s v="n/a"/>
    <x v="23"/>
    <m/>
    <m/>
    <s v="n/a"/>
    <d v="2026-01-23T00:00:00"/>
    <x v="0"/>
    <x v="30"/>
    <s v="HSM-ND48-DR445"/>
    <s v="EVO2A"/>
    <s v="±1400mm "/>
    <n v="445"/>
    <n v="4680"/>
    <n v="2.0830000000000002"/>
    <n v="130"/>
    <n v="5"/>
    <x v="0"/>
    <s v="COMPLETED"/>
    <m/>
    <d v="2026-02-04T00:00:00"/>
    <n v="6"/>
    <s v="POPV260209025"/>
    <m/>
    <s v="TIANJIN"/>
    <x v="0"/>
    <x v="1"/>
    <d v="2026-02-13T00:00:00"/>
    <d v="2026-02-12T00:00:00"/>
    <d v="2026-02-12T00:00:00"/>
    <d v="2026-04-07T00:00:00"/>
    <d v="2026-04-29T00:00:00"/>
    <d v="2026-04-25T00:00:00"/>
    <s v="CIF"/>
    <s v="COSCO THAILAND 113E"/>
    <s v="COSCO"/>
    <s v="TPVB20260206013"/>
    <x v="87"/>
    <s v="COSU6443926610"/>
    <n v="72"/>
    <m/>
    <d v="2026-04-25T00:00:00"/>
    <s v="In Stock-Approved "/>
    <d v="2026-05-08T00:00:00"/>
    <n v="7"/>
    <d v="2026-05-02T00:00:00"/>
    <n v="2026"/>
    <n v="5"/>
    <n v="18"/>
    <n v="36"/>
    <n v="936"/>
    <s v="Black glazing"/>
    <s v="AEU"/>
  </r>
  <r>
    <s v="AUG010.01"/>
    <s v="Tianjin"/>
    <s v="AUG010"/>
    <s v="CORE DG"/>
    <x v="0"/>
    <s v="Arrival Plan-SPNL"/>
    <s v="CIF"/>
    <x v="0"/>
    <s v="n/a"/>
    <x v="23"/>
    <m/>
    <m/>
    <s v="n/a"/>
    <d v="2026-01-23T00:00:00"/>
    <x v="0"/>
    <x v="23"/>
    <s v="HSM-ND48-DR445"/>
    <s v="EVO2A"/>
    <s v="±1400mm "/>
    <n v="445"/>
    <n v="3744"/>
    <n v="1.6659999999999999"/>
    <n v="104"/>
    <n v="4"/>
    <x v="0"/>
    <s v="COMPLETED"/>
    <m/>
    <d v="2026-02-04T00:00:00"/>
    <n v="6"/>
    <s v="POPV260209024"/>
    <m/>
    <s v="TIANJIN"/>
    <x v="0"/>
    <x v="1"/>
    <d v="2026-02-13T00:00:00"/>
    <d v="2026-02-12T00:00:00"/>
    <d v="2026-02-12T00:00:00"/>
    <d v="2026-04-07T00:00:00"/>
    <d v="2026-04-29T00:00:00"/>
    <d v="2026-04-25T00:00:00"/>
    <s v="CIF"/>
    <s v="COSCO THAILAND 113E"/>
    <s v="COSCO"/>
    <s v="TPVB20260206013"/>
    <x v="87"/>
    <s v="COSU6443926610"/>
    <n v="72"/>
    <m/>
    <d v="2026-04-25T00:00:00"/>
    <s v="In Stock-Approved "/>
    <d v="2026-05-08T00:00:00"/>
    <n v="7"/>
    <d v="2026-05-02T00:00:00"/>
    <n v="2026"/>
    <n v="5"/>
    <n v="18"/>
    <n v="36"/>
    <n v="936"/>
    <s v="Transparent"/>
    <s v="AEU"/>
  </r>
  <r>
    <s v="OCT007"/>
    <s v="Tianjin"/>
    <s v="Main Line"/>
    <s v="CORE DG"/>
    <x v="0"/>
    <s v="Arrival Plan-SPNL"/>
    <s v="CIF"/>
    <x v="0"/>
    <s v="n/a"/>
    <x v="23"/>
    <m/>
    <m/>
    <s v="n/a"/>
    <d v="2026-01-23T00:00:00"/>
    <x v="0"/>
    <x v="7"/>
    <s v="HSM-ND48-DR450"/>
    <s v="EVO2A"/>
    <s v="±1200mm "/>
    <n v="450"/>
    <n v="4680"/>
    <n v="2.1059999999999999"/>
    <n v="130"/>
    <n v="5"/>
    <x v="0"/>
    <s v="COMPLETED"/>
    <m/>
    <d v="2026-02-04T00:00:00"/>
    <n v="6"/>
    <s v="POPV260209022"/>
    <m/>
    <s v="TIANJIN"/>
    <x v="0"/>
    <x v="1"/>
    <d v="2026-02-13T00:00:00"/>
    <d v="2026-02-12T00:00:00"/>
    <d v="2026-02-12T00:00:00"/>
    <d v="2026-04-07T00:00:00"/>
    <d v="2026-04-29T00:00:00"/>
    <d v="2026-04-25T00:00:00"/>
    <s v="CIF"/>
    <s v="COSCO THAILAND 113E"/>
    <s v="COSCO"/>
    <s v="TPVB20260206013"/>
    <x v="87"/>
    <s v="COSU6443926610"/>
    <n v="72"/>
    <m/>
    <d v="2026-04-25T00:00:00"/>
    <s v="In Stock-Approved "/>
    <d v="2026-05-08T00:00:00"/>
    <n v="7"/>
    <d v="2026-05-02T00:00:00"/>
    <n v="2026"/>
    <n v="5"/>
    <n v="18"/>
    <n v="36"/>
    <n v="936"/>
    <s v="Black glazing"/>
    <s v="AEU"/>
  </r>
  <r>
    <s v="NOV011.02"/>
    <s v="Tianjin"/>
    <s v="NOV011"/>
    <s v="CORE DG"/>
    <x v="0"/>
    <s v="Arrival Plan-SPNL"/>
    <s v="CIF"/>
    <x v="0"/>
    <s v="n/a"/>
    <x v="21"/>
    <m/>
    <m/>
    <s v="n/a"/>
    <d v="2026-01-23T00:00:00"/>
    <x v="0"/>
    <x v="16"/>
    <s v="HSM-ND54-DR505"/>
    <s v="EVO2A"/>
    <s v="±1400mm "/>
    <n v="505"/>
    <n v="864"/>
    <n v="0.436"/>
    <n v="24"/>
    <n v="1"/>
    <x v="0"/>
    <s v="COMPLETED"/>
    <m/>
    <d v="2026-02-05T00:00:00"/>
    <n v="6"/>
    <s v="POPV260209020"/>
    <m/>
    <s v="TIANJIN"/>
    <x v="0"/>
    <x v="1"/>
    <d v="2026-02-13T00:00:00"/>
    <d v="2026-02-12T00:00:00"/>
    <d v="2026-02-12T00:00:00"/>
    <d v="2026-04-07T00:00:00"/>
    <d v="2026-04-29T00:00:00"/>
    <d v="2026-04-25T00:00:00"/>
    <s v="CIF"/>
    <s v="COSCO THAILAND 113E"/>
    <s v="COSCO"/>
    <s v="TPVB20260206014"/>
    <x v="88"/>
    <s v="COSU6443926060"/>
    <n v="72"/>
    <m/>
    <d v="2026-04-25T00:00:00"/>
    <s v="In Stock-Approved "/>
    <d v="2026-05-08T00:00:00"/>
    <n v="7"/>
    <d v="2026-05-02T00:00:00"/>
    <n v="2026"/>
    <n v="5"/>
    <n v="18"/>
    <n v="36"/>
    <n v="864"/>
    <s v="Black glazing"/>
    <s v="AEU"/>
  </r>
  <r>
    <s v="OCT010.03"/>
    <s v="Tianjin"/>
    <s v="OCT010"/>
    <s v="CORE DG"/>
    <x v="0"/>
    <s v="Arrival Plan-SPNL"/>
    <s v="CIF"/>
    <x v="0"/>
    <s v="n/a"/>
    <x v="21"/>
    <m/>
    <m/>
    <s v="n/a"/>
    <d v="2026-01-23T00:00:00"/>
    <x v="0"/>
    <x v="16"/>
    <s v="HSM-ND54-DR505"/>
    <s v="EVO2A"/>
    <s v="±1400mm "/>
    <n v="505"/>
    <n v="3456"/>
    <n v="1.7450000000000001"/>
    <n v="96"/>
    <n v="4"/>
    <x v="0"/>
    <s v="COMPLETED"/>
    <m/>
    <d v="2026-02-05T00:00:00"/>
    <n v="6"/>
    <s v="POPV260209018"/>
    <m/>
    <s v="TIANJIN"/>
    <x v="0"/>
    <x v="1"/>
    <d v="2026-02-13T00:00:00"/>
    <d v="2026-02-12T00:00:00"/>
    <d v="2026-02-12T00:00:00"/>
    <d v="2026-04-07T00:00:00"/>
    <d v="2026-04-29T00:00:00"/>
    <d v="2026-04-25T00:00:00"/>
    <s v="CIF"/>
    <s v="COSCO THAILAND 113E"/>
    <s v="COSCO"/>
    <s v="TPVB20260206014"/>
    <x v="88"/>
    <s v="COSU6443926060"/>
    <n v="72"/>
    <m/>
    <d v="2026-04-25T00:00:00"/>
    <s v="In Stock-Approved "/>
    <d v="2026-05-08T00:00:00"/>
    <n v="7"/>
    <d v="2026-05-02T00:00:00"/>
    <n v="2026"/>
    <n v="5"/>
    <n v="18"/>
    <n v="36"/>
    <n v="864"/>
    <s v="Black glazing"/>
    <s v="AEU"/>
  </r>
  <r>
    <s v="NOV011"/>
    <s v="Tianjin"/>
    <s v="Main Line"/>
    <s v="CORE DG"/>
    <x v="0"/>
    <s v="Arrival Plan-SPNL"/>
    <s v="CIF"/>
    <x v="0"/>
    <s v="n/a"/>
    <x v="34"/>
    <m/>
    <m/>
    <s v="n/a"/>
    <d v="2026-01-23T00:00:00"/>
    <x v="0"/>
    <x v="16"/>
    <s v="HSM-ND54-DR505"/>
    <s v="EVO2A"/>
    <s v="±1400mm "/>
    <n v="505"/>
    <n v="4320"/>
    <n v="2.1819999999999999"/>
    <n v="120"/>
    <n v="5"/>
    <x v="0"/>
    <s v="COMPLETED"/>
    <m/>
    <d v="2026-02-07T00:00:00"/>
    <n v="6"/>
    <s v="POPV260209014"/>
    <m/>
    <s v="TIANJIN"/>
    <x v="0"/>
    <x v="1"/>
    <d v="2026-02-13T00:00:00"/>
    <d v="2026-02-12T00:00:00"/>
    <d v="2026-02-12T00:00:00"/>
    <d v="2026-04-07T00:00:00"/>
    <d v="2026-04-29T00:00:00"/>
    <d v="2026-04-25T00:00:00"/>
    <s v="CIF"/>
    <s v="COSCO THAILAND 113E"/>
    <s v="COSCO"/>
    <s v="TPVB20260206016"/>
    <x v="89"/>
    <s v="COSU6444155210"/>
    <n v="72"/>
    <m/>
    <d v="2026-04-25T00:00:00"/>
    <s v="In Stock-Approved "/>
    <d v="2026-05-08T00:00:00"/>
    <n v="7"/>
    <d v="2026-05-02T00:00:00"/>
    <n v="2026"/>
    <n v="5"/>
    <n v="18"/>
    <n v="36"/>
    <n v="864"/>
    <s v="Black glazing"/>
    <s v="AEU"/>
  </r>
  <r>
    <s v="NOV011.01"/>
    <s v="Tianjin"/>
    <s v="NOV011"/>
    <s v="CORE DG"/>
    <x v="0"/>
    <s v="Arrival Plan-SPUK"/>
    <s v="CIF"/>
    <x v="6"/>
    <s v="n/a"/>
    <x v="35"/>
    <s v="tbc"/>
    <m/>
    <s v="n/a"/>
    <d v="2026-01-23T00:00:00"/>
    <x v="0"/>
    <x v="16"/>
    <s v="HSM-ND54-DR505"/>
    <s v="EVO2A"/>
    <s v="±1400mm "/>
    <n v="505"/>
    <n v="864"/>
    <n v="0.436"/>
    <n v="24"/>
    <n v="1"/>
    <x v="0"/>
    <s v="COMPLETED"/>
    <m/>
    <d v="2026-02-08T00:00:00"/>
    <n v="6"/>
    <s v="POPV260209013"/>
    <m/>
    <s v="TIANJIN"/>
    <x v="0"/>
    <x v="6"/>
    <d v="2026-02-17T00:00:00"/>
    <d v="2026-02-19T00:00:00"/>
    <d v="2026-02-19T00:00:00"/>
    <d v="2026-04-19T00:00:00"/>
    <d v="2026-04-26T00:00:00"/>
    <d v="2026-04-26T00:00:00"/>
    <s v="CIF"/>
    <s v="COSCO SHIPPING LEO 035W"/>
    <s v="COSCO"/>
    <s v="TPVB20260206017"/>
    <x v="90"/>
    <s v="COSU6444212370"/>
    <n v="66"/>
    <m/>
    <d v="2026-04-26T00:00:00"/>
    <s v="In Stock-Approved "/>
    <d v="2026-05-11T00:00:00"/>
    <n v="7"/>
    <d v="2026-05-03T00:00:00"/>
    <n v="2026"/>
    <n v="5"/>
    <n v="18"/>
    <n v="36"/>
    <n v="864"/>
    <s v="Black glazing"/>
    <s v="AEU"/>
  </r>
  <r>
    <s v="AUG010.02"/>
    <s v="Tianjin"/>
    <s v="AUG010"/>
    <s v="CORE DG"/>
    <x v="0"/>
    <s v="Arrival Plan-SPNL"/>
    <s v="CIF"/>
    <x v="0"/>
    <s v="n/a"/>
    <x v="23"/>
    <m/>
    <m/>
    <s v="n/a"/>
    <d v="2026-01-23T00:00:00"/>
    <x v="0"/>
    <x v="23"/>
    <s v="HSM-ND48-DR445"/>
    <s v="EVO2A"/>
    <s v="±1400mm "/>
    <n v="445"/>
    <n v="4680"/>
    <n v="2.0830000000000002"/>
    <n v="130"/>
    <n v="5"/>
    <x v="0"/>
    <s v="COMPLETED"/>
    <m/>
    <d v="2026-02-08T00:00:00"/>
    <n v="6"/>
    <s v="POPV260209023"/>
    <m/>
    <s v="TIANJIN"/>
    <x v="0"/>
    <x v="1"/>
    <d v="2026-02-13T00:00:00"/>
    <d v="2026-02-12T00:00:00"/>
    <d v="2026-02-12T00:00:00"/>
    <d v="2026-04-07T00:00:00"/>
    <d v="2026-04-21T00:00:00"/>
    <d v="2026-04-21T00:00:00"/>
    <s v="CIF"/>
    <s v="COSCO THAILAND 113E"/>
    <s v="COSCO"/>
    <s v="TPVB20260207003"/>
    <x v="91"/>
    <s v="COSU6444371800"/>
    <n v="68"/>
    <m/>
    <d v="2026-04-21T00:00:00"/>
    <s v="In Stock-Approved "/>
    <d v="2026-05-05T00:00:00"/>
    <n v="7"/>
    <d v="2026-04-28T00:00:00"/>
    <n v="2026"/>
    <n v="4"/>
    <n v="18"/>
    <n v="36"/>
    <n v="936"/>
    <s v="Transparent"/>
    <s v="AEU"/>
  </r>
  <r>
    <s v="NOV016.02"/>
    <s v="Yixing"/>
    <s v="NOV016"/>
    <s v="UPP"/>
    <x v="0"/>
    <s v="Arrival Plan-SPTN"/>
    <s v="CIF"/>
    <x v="0"/>
    <s v="U3"/>
    <x v="19"/>
    <s v="tbc"/>
    <m/>
    <s v="n/a"/>
    <s v="n/a"/>
    <x v="0"/>
    <x v="14"/>
    <s v="HSM-ND66-GR620 CFP"/>
    <s v="EVO2A"/>
    <s v="±1400mm "/>
    <n v="620"/>
    <n v="10800"/>
    <n v="6.6959999999999997"/>
    <n v="300"/>
    <n v="15"/>
    <x v="0"/>
    <s v="COMPLETED"/>
    <m/>
    <d v="2026-02-10T00:00:00"/>
    <n v="7"/>
    <s v="POPV260225017"/>
    <m/>
    <s v="SHANGHAI"/>
    <x v="1"/>
    <x v="5"/>
    <d v="2026-02-15T00:00:00"/>
    <d v="2026-02-15T00:00:00"/>
    <d v="2026-02-26T00:00:00"/>
    <d v="2026-03-14T00:00:00"/>
    <d v="2026-03-31T00:00:00"/>
    <d v="2026-04-03T00:00:00"/>
    <s v="CIF"/>
    <s v="CMA CGM CHAMPS ELYSEES / 0FMLUW1MA"/>
    <s v="OTHER"/>
    <s v="TPVB20260207001"/>
    <x v="92"/>
    <s v="CHN3021623"/>
    <n v="36"/>
    <m/>
    <d v="2026-04-03T00:00:00"/>
    <s v="In Stock-Approved "/>
    <d v="2026-04-15T00:00:00"/>
    <n v="8"/>
    <d v="2026-04-11T00:00:00"/>
    <n v="2026"/>
    <n v="4"/>
    <n v="15"/>
    <n v="36"/>
    <n v="720"/>
    <s v="Redirection Film"/>
    <s v="AEU"/>
  </r>
  <r>
    <s v="DEC009.13"/>
    <s v="Yixing"/>
    <s v="DEC009"/>
    <s v="CORE DG"/>
    <x v="0"/>
    <s v="Arrival Plan-SPNL"/>
    <s v="DAP"/>
    <x v="0"/>
    <s v="n/a"/>
    <x v="8"/>
    <m/>
    <m/>
    <s v="n/a"/>
    <s v="n/a"/>
    <x v="0"/>
    <x v="5"/>
    <s v="PVM, SPR-P7-555-COM-S, I BF-G M4.3D EVO2Z6NL 1.5KV IT"/>
    <s v="EVO2A"/>
    <s v="±1400mm "/>
    <n v="555"/>
    <n v="1320"/>
    <n v="0.73299999999999998"/>
    <n v="40"/>
    <n v="2"/>
    <x v="0"/>
    <s v="COMPLETED"/>
    <m/>
    <d v="2026-02-08T00:00:00"/>
    <n v="6"/>
    <s v="POPV260225021"/>
    <m/>
    <s v="SHANGHAI"/>
    <x v="1"/>
    <x v="1"/>
    <d v="2026-02-14T00:00:00"/>
    <d v="2026-03-06T00:00:00"/>
    <d v="2026-03-05T00:00:00"/>
    <d v="2026-03-27T00:00:00"/>
    <d v="2026-04-21T00:00:00"/>
    <d v="2026-04-21T00:00:00"/>
    <s v="CIF"/>
    <s v="COSCO SHIPPING LEO 034E"/>
    <s v="COSCO"/>
    <s v="TPVB20260207008"/>
    <x v="93"/>
    <s v="COSU6444093650"/>
    <n v="47"/>
    <m/>
    <d v="2026-04-21T00:00:00"/>
    <s v="In Stock-Approved "/>
    <d v="2026-05-05T00:00:00"/>
    <n v="7"/>
    <d v="2026-04-28T00:00:00"/>
    <n v="2026"/>
    <n v="4"/>
    <n v="18"/>
    <n v="33"/>
    <n v="660"/>
    <s v="White glazing"/>
    <s v="AEU"/>
  </r>
  <r>
    <s v="NOV016.05"/>
    <s v="Yixing"/>
    <s v="NOV016"/>
    <s v="UPP"/>
    <x v="0"/>
    <s v="Arrival Plan-SPTN"/>
    <s v="CIF"/>
    <x v="0"/>
    <s v="n/a"/>
    <x v="19"/>
    <s v="tbc"/>
    <m/>
    <s v="n/a"/>
    <d v="2026-01-23T00:00:00"/>
    <x v="0"/>
    <x v="14"/>
    <s v="HSM-ND66-GR620 CFP"/>
    <s v="EVO2A"/>
    <s v="±1400mm "/>
    <n v="620"/>
    <n v="5040"/>
    <n v="3.125"/>
    <n v="140"/>
    <n v="7"/>
    <x v="0"/>
    <s v="COMPLETED"/>
    <m/>
    <d v="2026-02-13T00:00:00"/>
    <n v="7"/>
    <s v="POPV260225032"/>
    <m/>
    <s v="SHANGHAI"/>
    <x v="1"/>
    <x v="0"/>
    <d v="2026-02-18T00:00:00"/>
    <d v="2026-02-22T00:00:00"/>
    <d v="2026-02-22T00:00:00"/>
    <d v="2026-04-07T00:00:00"/>
    <d v="2026-04-13T00:00:00"/>
    <d v="2026-04-13T00:00:00"/>
    <s v="CIF"/>
    <s v="CMA CGM GRACE BAY 0MEN3W1MA"/>
    <s v="COSCO"/>
    <s v="TPVB20260207011"/>
    <x v="94"/>
    <s v="COSU6444958200"/>
    <n v="50"/>
    <m/>
    <d v="2026-04-13T00:00:00"/>
    <s v="In Stock-Approved "/>
    <d v="2026-04-21T00:00:00"/>
    <n v="8"/>
    <d v="2026-04-21T00:00:00"/>
    <n v="2026"/>
    <n v="4"/>
    <n v="17"/>
    <n v="36"/>
    <n v="720"/>
    <s v="Redirection Film"/>
    <s v="AEM"/>
  </r>
  <r>
    <s v="MAY011.06"/>
    <s v="Yixing"/>
    <s v="MAY011"/>
    <s v="CORE DG"/>
    <x v="1"/>
    <s v="SPTN Offstore in Transit WH"/>
    <s v="CIF"/>
    <x v="9"/>
    <s v="n/a"/>
    <x v="27"/>
    <s v="ES0126010800019"/>
    <m/>
    <s v="Yes"/>
    <d v="2026-01-23T00:00:00"/>
    <x v="1"/>
    <x v="31"/>
    <s v="TCL-MR515DT182-64NS"/>
    <s v="EVO2A"/>
    <s v="±1400mm "/>
    <n v="515"/>
    <n v="3168"/>
    <n v="1.6319999999999999"/>
    <n v="88"/>
    <n v="4"/>
    <x v="0"/>
    <s v="COMPLETED"/>
    <m/>
    <d v="2026-02-07T00:00:00"/>
    <n v="6"/>
    <s v="POPV260225030"/>
    <m/>
    <s v="SHANGHAI"/>
    <x v="1"/>
    <x v="2"/>
    <d v="2026-02-16T00:00:00"/>
    <d v="2026-02-19T00:00:00"/>
    <d v="2026-02-19T00:00:00"/>
    <d v="2026-04-09T00:00:00"/>
    <d v="2026-04-11T00:00:00"/>
    <d v="2026-04-15T00:00:00"/>
    <s v="CIF"/>
    <s v="CSCL WINTER 060W"/>
    <s v="COSCO"/>
    <s v="TPVB20260207012"/>
    <x v="95"/>
    <s v="COSU6444097600"/>
    <n v="55"/>
    <m/>
    <d v="2026-04-15T00:00:00"/>
    <s v="In Stock-Approved "/>
    <d v="2026-04-23T00:00:00"/>
    <s v="- "/>
    <d v="2026-04-15T00:00:00"/>
    <n v="2026"/>
    <n v="4"/>
    <n v="16"/>
    <n v="36"/>
    <n v="792"/>
    <s v="White glazing"/>
    <s v="AEM"/>
  </r>
  <r>
    <s v="DEC014.02"/>
    <s v="Tianjin"/>
    <s v="DEC014"/>
    <s v="CORE DG"/>
    <x v="0"/>
    <s v="Arrival Plan-SPNL"/>
    <s v="CIF"/>
    <x v="0"/>
    <s v="n/a"/>
    <x v="36"/>
    <m/>
    <m/>
    <s v="n/a"/>
    <d v="2026-01-23T00:00:00"/>
    <x v="0"/>
    <x v="27"/>
    <s v="HSM-ND54-DR500 CFP"/>
    <s v="EVO2A"/>
    <s v="±1200mm "/>
    <n v="500"/>
    <n v="72"/>
    <n v="3.5999999999999997E-2"/>
    <n v="2"/>
    <n v="0.1"/>
    <x v="0"/>
    <s v="COMPLETED"/>
    <m/>
    <d v="2026-02-09T00:00:00"/>
    <n v="7"/>
    <s v="POPV260225028"/>
    <m/>
    <s v="TIANJIN"/>
    <x v="0"/>
    <x v="1"/>
    <d v="2026-02-27T00:00:00"/>
    <d v="2026-02-28T00:00:00"/>
    <d v="2026-02-28T00:00:00"/>
    <d v="2026-04-27T00:00:00"/>
    <d v="2026-04-29T00:00:00"/>
    <d v="2026-04-25T00:00:00"/>
    <s v="CIF"/>
    <s v="COSCO SHIPPING GEMINI 035W"/>
    <s v="COSCO"/>
    <s v="TPVB20260207013"/>
    <x v="96"/>
    <s v="COSU6444702840"/>
    <n v="56"/>
    <m/>
    <d v="2026-04-25T00:00:00"/>
    <s v="In Stock-Approved "/>
    <d v="2026-05-08T00:00:00"/>
    <n v="7"/>
    <d v="2026-05-02T00:00:00"/>
    <n v="2026"/>
    <n v="5"/>
    <n v="18"/>
    <n v="36"/>
    <n v="864"/>
    <s v="Black glazing"/>
    <s v="AEU"/>
  </r>
  <r>
    <s v="DEC020"/>
    <s v="Tianjin"/>
    <s v="Main Line"/>
    <s v="CORE DG"/>
    <x v="0"/>
    <s v="Arrival Plan-SPNL"/>
    <s v="CIF"/>
    <x v="0"/>
    <s v="n/a"/>
    <x v="37"/>
    <m/>
    <m/>
    <s v="n/a"/>
    <d v="2026-01-23T00:00:00"/>
    <x v="0"/>
    <x v="26"/>
    <s v="HSM-ND54-DR505 CFP"/>
    <s v="EVO2A"/>
    <s v="±1200mm "/>
    <n v="505"/>
    <n v="36"/>
    <n v="1.7999999999999999E-2"/>
    <n v="1"/>
    <n v="0"/>
    <x v="0"/>
    <s v="COMPLETED"/>
    <m/>
    <d v="2026-02-09T00:00:00"/>
    <n v="7"/>
    <s v="POPV260225027"/>
    <m/>
    <s v="TIANJIN"/>
    <x v="0"/>
    <x v="1"/>
    <d v="2026-02-27T00:00:00"/>
    <d v="2026-02-28T00:00:00"/>
    <d v="2026-02-28T00:00:00"/>
    <d v="2026-04-27T00:00:00"/>
    <d v="2026-04-29T00:00:00"/>
    <d v="2026-04-25T00:00:00"/>
    <s v="CIF"/>
    <s v="COSCO SHIPPING GEMINI 035W"/>
    <s v="COSCO"/>
    <s v="TPVB20260207013"/>
    <x v="96"/>
    <s v="COSU6444702840"/>
    <n v="56"/>
    <m/>
    <d v="2026-04-25T00:00:00"/>
    <s v="In Stock-Approved "/>
    <d v="2026-05-08T00:00:00"/>
    <n v="7"/>
    <d v="2026-05-02T00:00:00"/>
    <n v="2026"/>
    <n v="5"/>
    <n v="18"/>
    <n v="36"/>
    <n v="864"/>
    <s v="Black glazing"/>
    <s v="AEU"/>
  </r>
  <r>
    <s v="DEC022.02"/>
    <s v="Tianjin"/>
    <s v="DEC022"/>
    <s v="CORE DG"/>
    <x v="0"/>
    <s v="Arrival Plan-SPNL"/>
    <s v="CIF"/>
    <x v="0"/>
    <s v="n/a"/>
    <x v="38"/>
    <m/>
    <m/>
    <s v="n/a"/>
    <d v="2026-01-23T00:00:00"/>
    <x v="0"/>
    <x v="24"/>
    <s v="HSM-ND66-GR620"/>
    <s v="H4(Com)"/>
    <s v="±1400mm "/>
    <n v="620"/>
    <n v="612"/>
    <n v="0.379"/>
    <n v="17"/>
    <n v="0.9"/>
    <x v="0"/>
    <s v="COMPLETED"/>
    <m/>
    <d v="2026-02-09T00:00:00"/>
    <n v="7"/>
    <s v="POPV260225026"/>
    <m/>
    <s v="TIANJIN"/>
    <x v="0"/>
    <x v="1"/>
    <d v="2026-02-27T00:00:00"/>
    <d v="2026-02-28T00:00:00"/>
    <d v="2026-02-28T00:00:00"/>
    <d v="2026-04-27T00:00:00"/>
    <d v="2026-04-29T00:00:00"/>
    <d v="2026-04-25T00:00:00"/>
    <s v="CIF"/>
    <s v="COSCO SHIPPING GEMINI 035W"/>
    <s v="COSCO"/>
    <s v="TPVB20260207013"/>
    <x v="96"/>
    <s v="COSU6444702840"/>
    <n v="56"/>
    <m/>
    <d v="2026-04-25T00:00:00"/>
    <s v="In Stock-Approved "/>
    <d v="2026-05-08T00:00:00"/>
    <n v="7"/>
    <d v="2026-05-02T00:00:00"/>
    <n v="2026"/>
    <n v="5"/>
    <n v="18"/>
    <n v="36"/>
    <n v="720"/>
    <s v="Redirection Film"/>
    <s v="AEU"/>
  </r>
  <r>
    <s v="NOV022"/>
    <s v="Tianjin"/>
    <s v="Main Line"/>
    <s v="CORE DG"/>
    <x v="0"/>
    <s v="Arrival Plan-SPTN"/>
    <s v="CIF"/>
    <x v="0"/>
    <s v="n/a"/>
    <x v="39"/>
    <m/>
    <m/>
    <s v="n/a"/>
    <s v="n/a"/>
    <x v="0"/>
    <x v="32"/>
    <s v="HSM-ND48-DR445_CFP"/>
    <s v="EVO2A"/>
    <s v="±1200mm "/>
    <n v="445"/>
    <n v="576"/>
    <n v="0.25600000000000001"/>
    <n v="16"/>
    <n v="0.6"/>
    <x v="0"/>
    <s v="COMPLETED"/>
    <m/>
    <d v="2026-02-09T00:00:00"/>
    <n v="7"/>
    <s v="POPV260225044"/>
    <m/>
    <s v="TIANJIN"/>
    <x v="0"/>
    <x v="0"/>
    <d v="2026-02-17T00:00:00"/>
    <d v="2026-02-19T00:00:00"/>
    <d v="2026-02-19T00:00:00"/>
    <d v="2026-05-04T00:00:00"/>
    <d v="2026-05-11T00:00:00"/>
    <d v="2026-05-17T00:00:00"/>
    <s v="CIF"/>
    <s v="COSCO SHIPPING LEO 035W"/>
    <s v="COSCO"/>
    <s v="TPVB20260207002"/>
    <x v="97"/>
    <s v="COSU6444475510"/>
    <n v="87"/>
    <m/>
    <d v="2026-05-17T00:00:00"/>
    <s v="In Stock-Approved "/>
    <d v="2026-05-29T00:00:00"/>
    <n v="8"/>
    <d v="2026-05-25T00:00:00"/>
    <n v="2026"/>
    <n v="5"/>
    <n v="22"/>
    <n v="36"/>
    <n v="936"/>
    <s v="Transparent"/>
    <s v="AEM"/>
  </r>
  <r>
    <s v="DEC019"/>
    <s v="Tianjin"/>
    <s v="Main Line"/>
    <s v="CORE DG"/>
    <x v="0"/>
    <s v="Arrival Plan-SPTN"/>
    <s v="CIF"/>
    <x v="0"/>
    <s v="n/a"/>
    <x v="40"/>
    <m/>
    <m/>
    <s v="n/a"/>
    <s v="n/a"/>
    <x v="0"/>
    <x v="8"/>
    <s v="HSM-ND48-DR455_CFP"/>
    <s v="EVO2A"/>
    <s v="±1200mm "/>
    <n v="455"/>
    <n v="360"/>
    <n v="0.16400000000000001"/>
    <n v="10"/>
    <n v="0.4"/>
    <x v="0"/>
    <s v="COMPLETED"/>
    <m/>
    <d v="2026-02-09T00:00:00"/>
    <n v="7"/>
    <s v="POPV260225043"/>
    <m/>
    <s v="TIANJIN"/>
    <x v="0"/>
    <x v="0"/>
    <d v="2026-02-17T00:00:00"/>
    <d v="2026-02-19T00:00:00"/>
    <d v="2026-02-19T00:00:00"/>
    <d v="2026-05-04T00:00:00"/>
    <d v="2026-05-11T00:00:00"/>
    <d v="2026-05-17T00:00:00"/>
    <s v="CIF"/>
    <s v="COSCO SHIPPING LEO 035W"/>
    <s v="COSCO"/>
    <s v="TPVB20260207002"/>
    <x v="97"/>
    <s v="COSU6444475510"/>
    <n v="87"/>
    <m/>
    <d v="2026-05-17T00:00:00"/>
    <s v="In Stock-Approved "/>
    <d v="2026-05-29T00:00:00"/>
    <n v="8"/>
    <d v="2026-05-25T00:00:00"/>
    <n v="2026"/>
    <n v="5"/>
    <n v="22"/>
    <n v="36"/>
    <n v="936"/>
    <s v="Transparent"/>
    <s v="AEM"/>
  </r>
  <r>
    <s v="NOV010_2"/>
    <s v="Tianjin"/>
    <s v="Main Line"/>
    <s v="CORE DG"/>
    <x v="1"/>
    <s v="SPTN Offstore in Transit WH"/>
    <s v="CIF"/>
    <x v="11"/>
    <s v="U6"/>
    <x v="6"/>
    <s v="FR0126030900009"/>
    <m/>
    <s v="Yes"/>
    <d v="2026-01-23T00:00:00"/>
    <x v="0"/>
    <x v="0"/>
    <s v="HSM-ND54-DR500"/>
    <s v="EVO2A"/>
    <s v="±1200mm "/>
    <n v="500"/>
    <n v="864"/>
    <n v="0.432"/>
    <n v="24"/>
    <n v="1"/>
    <x v="0"/>
    <s v="COMPLETED"/>
    <m/>
    <d v="2026-02-26T00:00:00"/>
    <n v="9"/>
    <s v="POPV260331035"/>
    <m/>
    <s v="TIANJIN"/>
    <x v="0"/>
    <x v="0"/>
    <d v="2026-03-03T00:00:00"/>
    <d v="2026-03-03T00:00:00"/>
    <d v="2026-03-03T00:00:00"/>
    <d v="2026-05-18T00:00:00"/>
    <d v="2026-05-27T00:00:00"/>
    <d v="2026-05-23T00:00:00"/>
    <s v="CIF"/>
    <s v="COSCO SHIPPING SAGITTARIUS 033W"/>
    <s v="COSCO"/>
    <s v="TPVB20260209004-1"/>
    <x v="98"/>
    <s v="COSU6445218330"/>
    <n v="81"/>
    <m/>
    <d v="2026-05-23T00:00:00"/>
    <s v="In Stock-Approved "/>
    <d v="2026-06-01T00:00:00"/>
    <s v="- "/>
    <d v="2026-05-23T00:00:00"/>
    <n v="2026"/>
    <n v="5"/>
    <n v="21"/>
    <n v="36"/>
    <n v="864"/>
    <s v="Black glazing"/>
    <s v="AEM"/>
  </r>
  <r>
    <s v="NOV010_1"/>
    <s v="Tianjin"/>
    <s v="Main Line"/>
    <s v="CORE DG"/>
    <x v="0"/>
    <s v="Arrival Plan-SPTN"/>
    <s v="CIF"/>
    <x v="0"/>
    <s v="U6"/>
    <x v="2"/>
    <m/>
    <m/>
    <s v="n/a"/>
    <d v="2026-01-23T00:00:00"/>
    <x v="0"/>
    <x v="0"/>
    <s v="HSM-ND54-DR500"/>
    <s v="EVO2A"/>
    <s v="±1200mm "/>
    <n v="500"/>
    <n v="1728"/>
    <n v="0.86399999999999999"/>
    <n v="48"/>
    <n v="2"/>
    <x v="0"/>
    <s v="COMPLETED"/>
    <m/>
    <d v="2026-02-26T00:00:00"/>
    <n v="9"/>
    <s v="POPV260331034"/>
    <m/>
    <s v="TIANJIN"/>
    <x v="0"/>
    <x v="0"/>
    <d v="2026-03-03T00:00:00"/>
    <d v="2026-03-03T00:00:00"/>
    <d v="2026-03-03T00:00:00"/>
    <d v="2026-05-18T00:00:00"/>
    <d v="2026-05-27T00:00:00"/>
    <d v="2026-05-23T00:00:00"/>
    <s v="CIF"/>
    <s v="COSCO SHIPPING SAGITTARIUS 033W"/>
    <s v="COSCO"/>
    <s v="TPVB20260209004"/>
    <x v="99"/>
    <s v="COSU6445218330"/>
    <n v="81"/>
    <m/>
    <d v="2026-05-23T00:00:00"/>
    <s v="In Stock-Approved "/>
    <d v="2026-06-04T00:00:00"/>
    <n v="8"/>
    <d v="2026-05-31T00:00:00"/>
    <n v="2026"/>
    <n v="5"/>
    <n v="22"/>
    <n v="36"/>
    <n v="864"/>
    <s v="Black glazing"/>
    <s v="AEM"/>
  </r>
  <r>
    <s v="OCT009"/>
    <s v="Tianjin"/>
    <s v="Main Line"/>
    <s v="CORE DG"/>
    <x v="0"/>
    <s v="Arrival Plan-SPTN"/>
    <s v="CIF"/>
    <x v="0"/>
    <s v="U6"/>
    <x v="2"/>
    <m/>
    <m/>
    <s v="n/a"/>
    <d v="2026-01-23T00:00:00"/>
    <x v="0"/>
    <x v="0"/>
    <s v="HSM-ND54-DR500"/>
    <s v="EVO2A"/>
    <s v="±1200mm "/>
    <n v="500"/>
    <n v="1728"/>
    <n v="0.86399999999999999"/>
    <n v="48"/>
    <n v="2"/>
    <x v="0"/>
    <s v="COMPLETED"/>
    <m/>
    <d v="2026-02-26T00:00:00"/>
    <n v="9"/>
    <s v="POPV260303011"/>
    <m/>
    <s v="TIANJIN"/>
    <x v="0"/>
    <x v="0"/>
    <d v="2026-03-03T00:00:00"/>
    <d v="2026-03-03T00:00:00"/>
    <d v="2026-03-03T00:00:00"/>
    <d v="2026-05-18T00:00:00"/>
    <d v="2026-05-27T00:00:00"/>
    <d v="2026-05-23T00:00:00"/>
    <s v="CIF"/>
    <s v="COSCO SHIPPING SAGITTARIUS 033W"/>
    <s v="COSCO"/>
    <s v="TPVB20260209004"/>
    <x v="99"/>
    <s v="COSU6445218330"/>
    <n v="81"/>
    <m/>
    <d v="2026-05-23T00:00:00"/>
    <s v="In Stock-Approved "/>
    <d v="2026-06-08T00:00:00"/>
    <n v="8"/>
    <d v="2026-05-31T00:00:00"/>
    <n v="2026"/>
    <n v="5"/>
    <n v="22"/>
    <n v="36"/>
    <n v="864"/>
    <s v="Black glazing"/>
    <s v="AEM"/>
  </r>
  <r>
    <s v="OCT011"/>
    <s v="Tianjin"/>
    <s v="Main Line"/>
    <s v="CORE DG"/>
    <x v="1"/>
    <s v="SPTN Offstore in Transit WH"/>
    <s v="CIF"/>
    <x v="12"/>
    <s v="U2"/>
    <x v="41"/>
    <s v="PL0125122900761"/>
    <m/>
    <s v="Yes"/>
    <d v="2026-01-23T00:00:00"/>
    <x v="0"/>
    <x v="33"/>
    <s v="HSM-ND66-GR615"/>
    <s v="EVO2A"/>
    <s v="±1400mm "/>
    <n v="615"/>
    <n v="2880"/>
    <n v="1.7709999999999999"/>
    <n v="80"/>
    <n v="4"/>
    <x v="0"/>
    <s v="COMPLETED"/>
    <m/>
    <d v="2026-03-01T00:00:00"/>
    <n v="9"/>
    <s v="POPV260309012"/>
    <m/>
    <s v="TIANJIN"/>
    <x v="0"/>
    <x v="9"/>
    <d v="2026-03-07T00:00:00"/>
    <d v="2026-03-07T00:00:00"/>
    <d v="2026-03-07T00:00:00"/>
    <d v="2026-05-06T00:00:00"/>
    <d v="2026-05-27T00:00:00"/>
    <d v="2026-05-27T00:00:00"/>
    <s v="CIF"/>
    <s v="OOCL PORTUGAL 006W"/>
    <s v="COSCO"/>
    <s v="TPVB20260209005"/>
    <x v="100"/>
    <s v="COSU9506203580"/>
    <n v="81"/>
    <m/>
    <d v="2026-05-27T00:00:00"/>
    <s v="In Stock-Approved "/>
    <d v="2026-05-20T00:00:00"/>
    <s v="- "/>
    <d v="2026-05-27T00:00:00"/>
    <n v="2026"/>
    <n v="5"/>
    <n v="22"/>
    <n v="36"/>
    <n v="720"/>
    <s v="White glazing"/>
    <s v="AEU"/>
  </r>
  <r>
    <s v="NOV016.03"/>
    <s v="Yixing"/>
    <s v="NOV016"/>
    <s v="UPP"/>
    <x v="0"/>
    <s v="Arrival Plan-SPTN"/>
    <s v="CIF"/>
    <x v="0"/>
    <s v="U3"/>
    <x v="19"/>
    <s v="tbc"/>
    <m/>
    <s v="n/a"/>
    <d v="2026-01-23T00:00:00"/>
    <x v="0"/>
    <x v="14"/>
    <s v="HSM-ND66-GR620 CFP"/>
    <s v="EVO2A"/>
    <s v="±1400mm "/>
    <n v="620"/>
    <n v="8640"/>
    <n v="5.3570000000000002"/>
    <n v="240"/>
    <n v="12"/>
    <x v="0"/>
    <s v="COMPLETED"/>
    <m/>
    <d v="2026-02-25T00:00:00"/>
    <n v="9"/>
    <s v="POPV260305012"/>
    <m/>
    <s v="SHANGHAI"/>
    <x v="1"/>
    <x v="5"/>
    <d v="2026-03-08T00:00:00"/>
    <d v="2026-03-16T00:00:00"/>
    <d v="2026-03-08T00:00:00"/>
    <d v="2026-04-14T00:00:00"/>
    <d v="2026-04-14T00:00:00"/>
    <d v="2026-04-12T00:00:00"/>
    <s v="CIF"/>
    <s v="CMA CGM RIVOLI / 0FMM0W1MA"/>
    <s v="OTHER"/>
    <s v="TPVB20260310001"/>
    <x v="101"/>
    <s v="CHN3074290"/>
    <n v="35"/>
    <m/>
    <d v="2026-04-12T00:00:00"/>
    <s v="In Stock-Approved "/>
    <d v="2026-04-27T00:00:00"/>
    <n v="8"/>
    <d v="2026-04-20T00:00:00"/>
    <n v="2026"/>
    <n v="4"/>
    <n v="17"/>
    <n v="36"/>
    <n v="720"/>
    <s v="Redirection Film"/>
    <s v="AEU"/>
  </r>
  <r>
    <s v="NOV016.06"/>
    <s v="Yixing"/>
    <s v="NOV016"/>
    <s v="UPP"/>
    <x v="0"/>
    <s v="Arrival Plan-SPTN"/>
    <s v="CIF"/>
    <x v="0"/>
    <s v="U3"/>
    <x v="19"/>
    <s v="tbc"/>
    <m/>
    <s v="n/a"/>
    <d v="2026-01-23T00:00:00"/>
    <x v="0"/>
    <x v="14"/>
    <s v="HSM-ND66-GR620 CFP"/>
    <s v="EVO2A"/>
    <s v="±1400mm "/>
    <n v="620"/>
    <n v="648"/>
    <n v="0.40200000000000002"/>
    <n v="18"/>
    <n v="0.9"/>
    <x v="0"/>
    <s v="COMPLETED"/>
    <m/>
    <d v="2026-02-25T00:00:00"/>
    <n v="9"/>
    <s v="POPV260305011"/>
    <m/>
    <s v="SHANGHAI"/>
    <x v="1"/>
    <x v="5"/>
    <d v="2026-03-08T00:00:00"/>
    <d v="2026-03-07T00:00:00"/>
    <d v="2026-03-08T00:00:00"/>
    <d v="2026-04-14T00:00:00"/>
    <d v="2026-04-14T00:00:00"/>
    <d v="2026-04-12T00:00:00"/>
    <s v="CIF"/>
    <s v="CMA CGM RIVOLI 0FMM0W1MA"/>
    <s v="COSCO"/>
    <s v="TPVB20260310011"/>
    <x v="102"/>
    <s v="COSU6445391520"/>
    <n v="35"/>
    <m/>
    <d v="2026-04-12T00:00:00"/>
    <s v="In Stock-Approved "/>
    <d v="2026-04-21T00:00:00"/>
    <n v="8"/>
    <d v="2026-04-20T00:00:00"/>
    <n v="2026"/>
    <n v="4"/>
    <n v="17"/>
    <n v="36"/>
    <n v="720"/>
    <s v="Redirection Film"/>
    <s v="AEU"/>
  </r>
  <r>
    <s v="DEC022.05"/>
    <s v="Yixing"/>
    <s v="DEC022"/>
    <s v="CORE DG"/>
    <x v="0"/>
    <s v="Arrival Plan-SPNL"/>
    <s v="CIF"/>
    <x v="0"/>
    <s v="U1"/>
    <x v="42"/>
    <m/>
    <m/>
    <s v="n/a"/>
    <d v="2026-02-20T00:00:00"/>
    <x v="0"/>
    <x v="24"/>
    <s v="HSM-ND66-GR620"/>
    <s v="H4(Com)"/>
    <s v="±1400mm "/>
    <n v="620"/>
    <n v="7200"/>
    <n v="4.4640000000000004"/>
    <n v="200"/>
    <n v="10"/>
    <x v="0"/>
    <s v="COMPLETED"/>
    <m/>
    <d v="2026-02-27T00:00:00"/>
    <n v="9"/>
    <s v="POPV260309004"/>
    <m/>
    <s v="SHANGHAI"/>
    <x v="1"/>
    <x v="1"/>
    <d v="2026-03-10T00:00:00"/>
    <d v="2026-03-15T00:00:00"/>
    <d v="2026-03-15T00:00:00"/>
    <d v="2026-04-14T00:00:00"/>
    <d v="2026-04-30T00:00:00"/>
    <d v="2026-04-29T00:00:00"/>
    <s v="CIF"/>
    <s v="COSCO SHIPPING SAGITTARIUS 033W"/>
    <s v="COSCO"/>
    <s v="TPVB20260310015"/>
    <x v="103"/>
    <s v="COSU6445811510"/>
    <n v="45"/>
    <m/>
    <d v="2026-04-29T00:00:00"/>
    <s v="In Stock-Approved "/>
    <d v="2026-05-21T00:00:00"/>
    <n v="7"/>
    <d v="2026-05-06T00:00:00"/>
    <n v="2026"/>
    <n v="5"/>
    <n v="19"/>
    <n v="36"/>
    <n v="720"/>
    <s v="Redirection Film"/>
    <s v="AEU"/>
  </r>
  <r>
    <s v="DEC022.04"/>
    <s v="Yixing"/>
    <s v="DEC022"/>
    <s v="CORE DG"/>
    <x v="0"/>
    <s v="Arrival Plan-SPNL"/>
    <s v="CIF"/>
    <x v="0"/>
    <s v="U1"/>
    <x v="3"/>
    <m/>
    <m/>
    <s v="n/a"/>
    <d v="2026-02-20T00:00:00"/>
    <x v="0"/>
    <x v="24"/>
    <s v="HSM-ND66-GR620"/>
    <s v="H4(Com)"/>
    <s v="±1400mm "/>
    <n v="620"/>
    <n v="5760"/>
    <n v="3.5710000000000002"/>
    <n v="160"/>
    <n v="8"/>
    <x v="0"/>
    <s v="COMPLETED"/>
    <m/>
    <d v="2026-02-28T00:00:00"/>
    <n v="9"/>
    <s v="POPV260309003"/>
    <m/>
    <s v="SHANGHAI"/>
    <x v="1"/>
    <x v="1"/>
    <d v="2026-03-10T00:00:00"/>
    <d v="2026-03-15T00:00:00"/>
    <d v="2026-03-15T00:00:00"/>
    <d v="2026-04-14T00:00:00"/>
    <d v="2026-04-30T00:00:00"/>
    <d v="2026-04-29T00:00:00"/>
    <s v="CIF"/>
    <s v="COSCO SHIPPING SAGITTARIUS 033W"/>
    <s v="COSCO"/>
    <s v="TPVB20260310017"/>
    <x v="104"/>
    <s v="COSU6445811650"/>
    <n v="45"/>
    <m/>
    <d v="2026-04-29T00:00:00"/>
    <s v="In Stock-Approved "/>
    <d v="2026-05-21T00:00:00"/>
    <n v="7"/>
    <d v="2026-05-06T00:00:00"/>
    <n v="2026"/>
    <n v="5"/>
    <n v="19"/>
    <n v="36"/>
    <n v="720"/>
    <s v="Redirection Film"/>
    <s v="AEU"/>
  </r>
  <r>
    <s v="DEC022.03"/>
    <s v="Yixing"/>
    <s v="DEC022"/>
    <s v="UPP"/>
    <x v="0"/>
    <s v="Arrival Plan-SPNL"/>
    <s v="CIF"/>
    <x v="0"/>
    <s v="U1"/>
    <x v="43"/>
    <m/>
    <m/>
    <s v="n/a"/>
    <d v="2026-02-20T00:00:00"/>
    <x v="0"/>
    <x v="24"/>
    <s v="HSM-ND66-GR620"/>
    <s v="H4(Com)"/>
    <s v="±1400mm "/>
    <n v="620"/>
    <n v="10800"/>
    <n v="6.6959999999999997"/>
    <n v="300"/>
    <n v="15"/>
    <x v="0"/>
    <s v="COMPLETED"/>
    <m/>
    <d v="2026-03-05T00:00:00"/>
    <n v="10"/>
    <s v="POPV260313031"/>
    <m/>
    <s v="SHANGHAI"/>
    <x v="1"/>
    <x v="1"/>
    <d v="2026-03-15T00:00:00"/>
    <d v="2026-03-15T00:00:00"/>
    <d v="2026-03-15T00:00:00"/>
    <d v="2026-04-21T00:00:00"/>
    <d v="2026-04-30T00:00:00"/>
    <d v="2026-04-29T00:00:00"/>
    <s v="CIF"/>
    <s v="OOCL PORTUGAL 006W"/>
    <s v="COSCO"/>
    <s v="TPVB20260311007"/>
    <x v="105"/>
    <s v="COSU6446042230"/>
    <n v="45"/>
    <m/>
    <d v="2026-04-29T00:00:00"/>
    <s v="In Stock-Approved "/>
    <d v="2026-05-21T00:00:00"/>
    <n v="7"/>
    <d v="2026-05-06T00:00:00"/>
    <n v="2026"/>
    <n v="5"/>
    <n v="19"/>
    <n v="36"/>
    <n v="720"/>
    <s v="Redirection Film"/>
    <s v="AEU"/>
  </r>
  <r>
    <s v="DEC022.06"/>
    <s v="Yixing"/>
    <s v="DEC022"/>
    <s v="CORE DG"/>
    <x v="0"/>
    <s v="Arrival Plan-SPNL"/>
    <s v="CIF"/>
    <x v="0"/>
    <s v="U1"/>
    <x v="44"/>
    <m/>
    <m/>
    <s v="n/a"/>
    <d v="2026-02-20T00:00:00"/>
    <x v="0"/>
    <x v="24"/>
    <s v="HSM-ND66-GR620"/>
    <s v="H4(Com)"/>
    <s v="±1400mm "/>
    <n v="620"/>
    <n v="5760"/>
    <n v="3.5710000000000002"/>
    <n v="160"/>
    <n v="8"/>
    <x v="0"/>
    <s v="COMPLETED"/>
    <m/>
    <d v="2026-03-11T00:00:00"/>
    <n v="11"/>
    <s v="POPV260313028"/>
    <m/>
    <s v="SHANGHAI"/>
    <x v="1"/>
    <x v="1"/>
    <d v="2026-03-15T00:00:00"/>
    <d v="2026-03-22T00:00:00"/>
    <d v="2026-03-22T00:00:00"/>
    <d v="2026-04-21T00:00:00"/>
    <d v="2026-05-08T00:00:00"/>
    <d v="2026-05-06T00:00:00"/>
    <s v="CIF"/>
    <s v="OOCL PORTUGAL 006W"/>
    <s v="COSCO"/>
    <s v="TPVB20260311009"/>
    <x v="106"/>
    <s v="COSU6446161190"/>
    <n v="45"/>
    <m/>
    <d v="2026-05-06T00:00:00"/>
    <s v="In Stock-Approved "/>
    <d v="2026-05-22T00:00:00"/>
    <n v="7"/>
    <d v="2026-05-13T00:00:00"/>
    <n v="2026"/>
    <n v="5"/>
    <n v="20"/>
    <n v="36"/>
    <n v="720"/>
    <s v="Redirection Film"/>
    <s v="AEU"/>
  </r>
  <r>
    <s v="SEPT011.02"/>
    <s v="Tianjin"/>
    <s v="SEPT011"/>
    <s v="CORE DG"/>
    <x v="0"/>
    <s v="Arrival Plan-SPNL"/>
    <s v="CIF"/>
    <x v="0"/>
    <s v="U1"/>
    <x v="45"/>
    <m/>
    <m/>
    <s v="n/a"/>
    <d v="2026-01-23T00:00:00"/>
    <x v="0"/>
    <x v="33"/>
    <s v="HSM-ND66-GR615"/>
    <s v="EVO2A"/>
    <s v="±1400mm "/>
    <n v="615"/>
    <n v="720"/>
    <n v="0.443"/>
    <n v="20"/>
    <n v="1"/>
    <x v="0"/>
    <s v="COMPLETED"/>
    <m/>
    <d v="2026-03-10T00:00:00"/>
    <n v="11"/>
    <s v="POPV260313062"/>
    <m/>
    <s v="TIANJIN"/>
    <x v="0"/>
    <x v="1"/>
    <d v="2026-03-14T00:00:00"/>
    <d v="2026-03-14T00:00:00"/>
    <d v="2026-03-14T00:00:00"/>
    <d v="2026-04-30T00:00:00"/>
    <d v="2026-05-12T00:00:00"/>
    <d v="2026-05-15T00:00:00"/>
    <m/>
    <s v="CSCL ATLANTIC OCEAN 065W"/>
    <s v="COSCO"/>
    <s v="TPVB20260311021"/>
    <x v="107"/>
    <s v="COSU9506315950"/>
    <n v="62"/>
    <m/>
    <d v="2026-05-15T00:00:00"/>
    <s v="In Stock-Approved "/>
    <d v="2026-05-29T00:00:00"/>
    <n v="7"/>
    <d v="2026-05-22T00:00:00"/>
    <n v="2026"/>
    <n v="5"/>
    <n v="21"/>
    <n v="36"/>
    <n v="720"/>
    <s v="White glazing"/>
    <s v="AEU"/>
  </r>
  <r>
    <s v="DEC022"/>
    <s v="Yixing"/>
    <s v="Main Line"/>
    <s v="UPP"/>
    <x v="0"/>
    <s v="Arrival Plan-SPTN"/>
    <s v="CIF"/>
    <x v="0"/>
    <s v="U1"/>
    <x v="46"/>
    <m/>
    <m/>
    <s v="n/a"/>
    <d v="2026-02-20T00:00:00"/>
    <x v="0"/>
    <x v="24"/>
    <s v="HSM-ND66-GR620"/>
    <s v="H4(Com)"/>
    <s v="±1400mm "/>
    <n v="620"/>
    <n v="108"/>
    <n v="6.7000000000000004E-2"/>
    <n v="3"/>
    <n v="0.2"/>
    <x v="0"/>
    <s v="COMPLETED"/>
    <m/>
    <d v="2026-03-19T00:00:00"/>
    <n v="12"/>
    <s v="POPV260324008"/>
    <m/>
    <s v="SHANGHAI"/>
    <x v="1"/>
    <x v="0"/>
    <d v="2026-03-24T00:00:00"/>
    <d v="2026-03-24T00:00:00"/>
    <d v="2026-03-24T00:00:00"/>
    <d v="2026-05-12T00:00:00"/>
    <d v="2026-05-09T00:00:00"/>
    <d v="2026-05-09T00:00:00"/>
    <s v="CIF"/>
    <s v="CMA CGM MARCO POLO 0MENDW1MA"/>
    <s v="COSCO"/>
    <s v="TPVB20260312027"/>
    <x v="108"/>
    <s v="COSU6447108050"/>
    <n v="46"/>
    <m/>
    <d v="2026-05-09T00:00:00"/>
    <s v="In Stock-Approved "/>
    <d v="2026-05-31T00:00:00"/>
    <n v="8"/>
    <d v="2026-05-17T00:00:00"/>
    <n v="2026"/>
    <n v="5"/>
    <n v="20"/>
    <n v="36"/>
    <n v="720"/>
    <s v="Redirection Film"/>
    <s v="AEM"/>
  </r>
  <r>
    <s v="MAY010"/>
    <s v="Yixing"/>
    <s v="Main Line"/>
    <s v="CORE DG"/>
    <x v="0"/>
    <s v="Arrival Plan-SPTN"/>
    <s v="CIF"/>
    <x v="0"/>
    <s v="U1"/>
    <x v="47"/>
    <m/>
    <m/>
    <s v="n/a"/>
    <d v="2026-01-23T00:00:00"/>
    <x v="1"/>
    <x v="15"/>
    <s v="TCL-MR510DT182-64NS"/>
    <s v="EVO2A"/>
    <s v="±1400mm "/>
    <n v="510"/>
    <n v="252"/>
    <n v="0.129"/>
    <n v="7"/>
    <n v="0.3"/>
    <x v="0"/>
    <s v="COMPLETED"/>
    <m/>
    <d v="2026-03-19T00:00:00"/>
    <n v="12"/>
    <s v="POPV260324007"/>
    <m/>
    <s v="SHANGHAI"/>
    <x v="1"/>
    <x v="0"/>
    <d v="2026-03-24T00:00:00"/>
    <d v="2026-03-24T00:00:00"/>
    <d v="2026-03-24T00:00:00"/>
    <d v="2026-05-12T00:00:00"/>
    <d v="2026-05-09T00:00:00"/>
    <d v="2026-05-09T00:00:00"/>
    <s v="CIF"/>
    <s v="CMA CGM MARCO POLO 0MENDW1MA"/>
    <s v="COSCO"/>
    <s v="TPVB20260312027"/>
    <x v="108"/>
    <s v="COSU6447108050"/>
    <n v="46"/>
    <m/>
    <d v="2026-05-09T00:00:00"/>
    <s v="In Stock-Approved "/>
    <d v="2026-05-31T00:00:00"/>
    <n v="8"/>
    <d v="2026-05-17T00:00:00"/>
    <n v="2026"/>
    <n v="5"/>
    <n v="20"/>
    <n v="36"/>
    <n v="792"/>
    <s v="White glazing"/>
    <s v="AEM"/>
  </r>
  <r>
    <s v="SEPT011.01"/>
    <s v="Tianjin"/>
    <s v="SEPT011"/>
    <s v="CORE DG"/>
    <x v="0"/>
    <s v="Arrival Plan-SPNL"/>
    <s v="CIF"/>
    <x v="0"/>
    <s v="U1"/>
    <x v="45"/>
    <m/>
    <m/>
    <s v="n/a"/>
    <d v="2026-01-23T00:00:00"/>
    <x v="0"/>
    <x v="33"/>
    <s v="HSM-ND66-GR615"/>
    <s v="EVO2A"/>
    <s v="±1400mm "/>
    <n v="615"/>
    <n v="720"/>
    <n v="0.443"/>
    <n v="20"/>
    <n v="1"/>
    <x v="0"/>
    <s v="COMPLETED"/>
    <m/>
    <d v="2026-03-17T00:00:00"/>
    <n v="12"/>
    <s v="POPV260320049"/>
    <m/>
    <s v="TIANJIN"/>
    <x v="0"/>
    <x v="1"/>
    <d v="2026-03-22T00:00:00"/>
    <d v="2026-03-22T00:00:00"/>
    <d v="2026-03-22T00:00:00"/>
    <d v="2026-05-05T00:00:00"/>
    <d v="2026-05-12T00:00:00"/>
    <d v="2026-05-15T00:00:00"/>
    <s v="CIF"/>
    <s v="OOCL DENMARK 007W"/>
    <s v="COSCO"/>
    <s v="TPVB20260312010"/>
    <x v="109"/>
    <s v="COSU6447019100"/>
    <n v="54"/>
    <m/>
    <d v="2026-05-15T00:00:00"/>
    <s v="In Stock-Approved "/>
    <d v="2026-05-29T00:00:00"/>
    <n v="7"/>
    <d v="2026-05-22T00:00:00"/>
    <n v="2026"/>
    <n v="5"/>
    <n v="21"/>
    <n v="36"/>
    <n v="720"/>
    <s v="White glazing"/>
    <s v="AEU"/>
  </r>
  <r>
    <s v="MAY014"/>
    <s v="Yixing"/>
    <s v="Main Line"/>
    <s v="CORE DG"/>
    <x v="1"/>
    <s v="SPTN Offstore in Transit WH"/>
    <s v="n/a"/>
    <x v="13"/>
    <s v="U1"/>
    <x v="48"/>
    <m/>
    <m/>
    <s v="n/a"/>
    <d v="2026-01-23T00:00:00"/>
    <x v="0"/>
    <x v="34"/>
    <s v="HSM-ND66-GR615"/>
    <s v="EVO2A"/>
    <s v="±1200mm "/>
    <n v="615"/>
    <n v="1440"/>
    <n v="0.88600000000000001"/>
    <n v="40"/>
    <n v="2"/>
    <x v="0"/>
    <s v="COMPLETED"/>
    <m/>
    <d v="2026-03-31T00:00:00"/>
    <n v="14"/>
    <s v="TPVO2026032301"/>
    <s v="n/a"/>
    <s v="SHANGHAI BW"/>
    <x v="1"/>
    <x v="10"/>
    <d v="2026-03-31T00:00:00"/>
    <d v="2026-04-01T00:00:00"/>
    <d v="2026-04-03T00:00:00"/>
    <d v="2026-04-06T00:00:00"/>
    <d v="2026-04-14T00:00:00"/>
    <d v="2026-04-15T00:00:00"/>
    <s v="CIF"/>
    <s v="HMM MASTER 0016S"/>
    <s v="OTHER"/>
    <s v="TPVO2026032301"/>
    <x v="110"/>
    <s v="HDMUSHAA69518500"/>
    <n v="12"/>
    <m/>
    <d v="2026-04-15T00:00:00"/>
    <s v="- "/>
    <m/>
    <s v=" - "/>
    <d v="2026-04-15T00:00:00"/>
    <n v="2026"/>
    <n v="4"/>
    <n v="16"/>
    <n v="36"/>
    <n v="720"/>
    <s v="White glazing"/>
    <s v="n/a"/>
  </r>
  <r>
    <s v="SEPT011"/>
    <s v="Tianjin"/>
    <s v="Main Line"/>
    <s v="CORE DG"/>
    <x v="1"/>
    <s v="SPTN Offstore in Transit WH"/>
    <s v="FOB"/>
    <x v="13"/>
    <s v="n/a"/>
    <x v="49"/>
    <s v="20-JAN-26 guidance"/>
    <m/>
    <s v="n/a"/>
    <d v="2026-01-23T00:00:00"/>
    <x v="0"/>
    <x v="33"/>
    <s v="HSM-ND66-GR615"/>
    <s v="EVO2A"/>
    <s v="±1400mm "/>
    <n v="615"/>
    <n v="3600"/>
    <n v="2.214"/>
    <n v="100"/>
    <n v="5"/>
    <x v="0"/>
    <s v="IN-TRANSIT"/>
    <s v="　"/>
    <d v="2026-02-05T00:00:00"/>
    <n v="6"/>
    <s v="TPVO2026020201"/>
    <s v="n/a"/>
    <s v="TIANJIN"/>
    <x v="0"/>
    <x v="11"/>
    <d v="2026-02-17T00:00:00"/>
    <d v="2026-02-18T00:00:00"/>
    <d v="2026-02-18T00:00:00"/>
    <d v="2026-03-20T00:00:00"/>
    <d v="2026-04-04T00:00:00"/>
    <d v="2026-04-04T00:00:00"/>
    <s v="FOB"/>
    <s v="ZHONG GU XIA MEN/26002S"/>
    <s v="OTHER"/>
    <s v="TPVO2026020201"/>
    <x v="111"/>
    <s v="TSLXMNB004S2901"/>
    <n v="45"/>
    <s v="　"/>
    <d v="2026-03-20T00:00:00"/>
    <s v="- "/>
    <s v="　"/>
    <s v=" - "/>
    <d v="2026-03-20T00:00:00"/>
    <n v="2026"/>
    <n v="3"/>
    <n v="12"/>
    <n v="36"/>
    <n v="720"/>
    <s v="White glazing"/>
    <s v="n/a"/>
  </r>
  <r>
    <s v="DEC012.07"/>
    <s v="Yixing"/>
    <s v="DEC012"/>
    <s v="CORE DG"/>
    <x v="1"/>
    <s v="SPTN Offstore in Transit WH"/>
    <s v="FOB"/>
    <x v="13"/>
    <s v="n/a"/>
    <x v="49"/>
    <s v="20-JAN-26 guidance"/>
    <m/>
    <s v="n/a"/>
    <s v="n/a"/>
    <x v="1"/>
    <x v="4"/>
    <s v="TCL-MG720DT210-68NS"/>
    <s v="EVO2A"/>
    <s v="±1400mm "/>
    <n v="720"/>
    <n v="1188"/>
    <n v="0.85499999999999998"/>
    <n v="36"/>
    <n v="2"/>
    <x v="0"/>
    <s v="COMPLETED"/>
    <m/>
    <d v="2026-02-10T00:00:00"/>
    <n v="7"/>
    <s v="TPVO2026020202"/>
    <s v="n/a"/>
    <s v="SHANGHAI"/>
    <x v="1"/>
    <x v="11"/>
    <d v="2026-02-17T00:00:00"/>
    <d v="2026-03-03T00:00:00"/>
    <d v="2026-03-03T00:00:00"/>
    <d v="2026-03-12T00:00:00"/>
    <d v="2026-04-02T00:00:00"/>
    <d v="2026-04-02T00:00:00"/>
    <s v="FOB"/>
    <s v="TS MUMBAI 26002W"/>
    <s v="OTHER"/>
    <s v="TPVO2026020202"/>
    <x v="112"/>
    <s v="EGLV142600285467"/>
    <n v="30"/>
    <m/>
    <d v="2026-04-02T00:00:00"/>
    <s v="- "/>
    <m/>
    <s v=" - "/>
    <d v="2026-04-02T00:00:00"/>
    <n v="2026"/>
    <n v="4"/>
    <n v="14"/>
    <n v="33"/>
    <n v="594"/>
    <s v="White glazing"/>
    <s v="n/a"/>
  </r>
  <r>
    <s v="26JAN003.05"/>
    <s v="Tianjin"/>
    <s v="26JAN003"/>
    <s v="CORE DG"/>
    <x v="1"/>
    <s v="SPTN Offstore in Transit WH"/>
    <s v="CIF"/>
    <x v="7"/>
    <s v="n/a"/>
    <x v="24"/>
    <s v="46010945 -&gt; DK0126011200024"/>
    <m/>
    <s v="n/a"/>
    <s v="n/a"/>
    <x v="0"/>
    <x v="35"/>
    <s v="HSM-ND48-DR455"/>
    <s v="EVO2A"/>
    <s v="±1200mm"/>
    <n v="455"/>
    <n v="9360"/>
    <n v="4.2587999999999999"/>
    <n v="260"/>
    <n v="10"/>
    <x v="0"/>
    <s v="COMPLETED"/>
    <m/>
    <d v="2026-01-25T00:00:00"/>
    <n v="4"/>
    <s v="POPV260130023"/>
    <m/>
    <s v="TIANJIN"/>
    <x v="0"/>
    <x v="7"/>
    <d v="2026-01-31T00:00:00"/>
    <m/>
    <d v="2026-02-04T00:00:00"/>
    <d v="2026-04-08T00:00:00"/>
    <d v="2026-04-15T00:00:00"/>
    <d v="2026-04-15T00:00:00"/>
    <s v="CIF"/>
    <s v="MSC CLAIRE/GA605W"/>
    <s v="OTHER"/>
    <s v="TPVB20260123004"/>
    <x v="113"/>
    <s v="177KFAFAXVNN0501"/>
    <n v="70"/>
    <m/>
    <d v="2026-04-15T00:00:00"/>
    <s v="In Stock-Approved"/>
    <d v="2026-04-22T00:00:00"/>
    <n v="0"/>
    <d v="2026-04-15T00:00:00"/>
    <n v="2026"/>
    <n v="4"/>
    <n v="16"/>
    <n v="36"/>
    <n v="936"/>
    <s v="Black glazing"/>
    <s v="AEU"/>
  </r>
  <r>
    <s v="26JAN003.01"/>
    <s v="Tianjin"/>
    <s v="26JAN003"/>
    <s v="CORE DG"/>
    <x v="0"/>
    <s v="Arrival Plan-SPNL"/>
    <s v="DAP"/>
    <x v="0"/>
    <s v="n/a"/>
    <x v="21"/>
    <m/>
    <m/>
    <s v="n/a"/>
    <s v="n/a"/>
    <x v="0"/>
    <x v="35"/>
    <s v="HSM-ND48-DR455"/>
    <s v="EVO2A"/>
    <s v="±1200mm"/>
    <n v="455"/>
    <n v="3744"/>
    <n v="1.7035199999999999"/>
    <n v="104"/>
    <n v="4"/>
    <x v="0"/>
    <s v="COMPLETED"/>
    <m/>
    <d v="2026-01-21T00:00:00"/>
    <n v="4"/>
    <s v="POPV260205045"/>
    <m/>
    <s v="TIANJIN"/>
    <x v="0"/>
    <x v="1"/>
    <d v="2026-02-01T00:00:00"/>
    <d v="2026-02-01T00:00:00"/>
    <d v="2026-02-02T00:00:00"/>
    <d v="2026-03-13T00:00:00"/>
    <d v="2026-03-28T00:00:00"/>
    <d v="2026-04-06T00:00:00"/>
    <s v="DAP"/>
    <s v="COSCO SHIPPING ARIES 036W"/>
    <s v="COSCO"/>
    <s v="TPVB20260123016"/>
    <x v="114"/>
    <s v="COSU6442338460"/>
    <n v="63"/>
    <m/>
    <d v="2026-04-06T00:00:00"/>
    <s v="In Stock-Approved"/>
    <d v="2026-04-13T00:00:00"/>
    <n v="7"/>
    <d v="2026-04-13T00:00:00"/>
    <n v="2026"/>
    <n v="4"/>
    <n v="16"/>
    <n v="36"/>
    <n v="936"/>
    <s v="Black glazing"/>
    <s v="AEU"/>
  </r>
  <r>
    <s v="26JAN003.02"/>
    <s v="Tianjin"/>
    <s v="26JAN003"/>
    <s v="CORE DG"/>
    <x v="0"/>
    <s v="Arrival Plan-SPNL"/>
    <s v="DAP"/>
    <x v="0"/>
    <s v="n/a"/>
    <x v="50"/>
    <s v="LT0126011500043"/>
    <m/>
    <s v="n/a"/>
    <s v="n/a"/>
    <x v="0"/>
    <x v="35"/>
    <s v="HSM-ND48-DR455"/>
    <s v="EVO2A"/>
    <s v="±1200mm"/>
    <n v="455"/>
    <n v="2808"/>
    <n v="1.2776400000000001"/>
    <n v="78"/>
    <n v="3"/>
    <x v="0"/>
    <s v="COMPLETED"/>
    <m/>
    <d v="2026-01-21T00:00:00"/>
    <n v="4"/>
    <s v="POPV260205046"/>
    <m/>
    <s v="TIANJIN"/>
    <x v="0"/>
    <x v="1"/>
    <d v="2026-02-01T00:00:00"/>
    <d v="2026-02-01T00:00:00"/>
    <d v="2026-02-02T00:00:00"/>
    <d v="2026-03-13T00:00:00"/>
    <d v="2026-03-28T00:00:00"/>
    <d v="2026-04-06T00:00:00"/>
    <s v="DAP"/>
    <s v="COSCO SHIPPING ARIES 036W"/>
    <s v="COSCO"/>
    <s v="TPVB20260123019"/>
    <x v="115"/>
    <s v="COSU6442390740"/>
    <n v="63"/>
    <m/>
    <d v="2026-04-06T00:00:00"/>
    <s v="In Stock-Approved"/>
    <d v="2026-04-17T00:00:00"/>
    <n v="7"/>
    <d v="2026-04-13T00:00:00"/>
    <n v="2026"/>
    <n v="4"/>
    <n v="16"/>
    <n v="36"/>
    <n v="936"/>
    <s v="Black glazing"/>
    <s v="AEU"/>
  </r>
  <r>
    <s v="26JAN002.04"/>
    <s v="Tianjin"/>
    <s v="26JAN002"/>
    <s v="CORE DG"/>
    <x v="0"/>
    <s v="Arrival Plan-SPNL"/>
    <s v="DAP"/>
    <x v="0"/>
    <s v="n/a"/>
    <x v="26"/>
    <m/>
    <m/>
    <s v="n/a"/>
    <s v="n/a"/>
    <x v="0"/>
    <x v="7"/>
    <s v="HSM-ND48-DR450"/>
    <s v="EVO2A"/>
    <s v="±1200mm"/>
    <n v="450"/>
    <n v="1872"/>
    <n v="0.84240000000000004"/>
    <n v="52"/>
    <n v="2"/>
    <x v="0"/>
    <s v="COMPLETED"/>
    <s v="TPVB20260311002"/>
    <d v="2026-01-21T00:00:00"/>
    <n v="4"/>
    <s v="POPV260205042"/>
    <m/>
    <s v="TIANJIN"/>
    <x v="0"/>
    <x v="1"/>
    <d v="2026-02-01T00:00:00"/>
    <d v="2026-02-01T00:00:00"/>
    <d v="2026-02-02T00:00:00"/>
    <d v="2026-03-13T00:00:00"/>
    <d v="2026-04-04T00:00:00"/>
    <d v="2026-04-06T00:00:00"/>
    <s v="DAP"/>
    <s v="COSCO SHIPPING ARIES 036W"/>
    <s v="COSCO"/>
    <s v="TPVB20260123020"/>
    <x v="116"/>
    <s v="COSU6442390910"/>
    <n v="63"/>
    <m/>
    <d v="2026-04-06T00:00:00"/>
    <s v="In Stock-Approved"/>
    <d v="2026-04-17T00:00:00"/>
    <n v="7"/>
    <d v="2026-04-13T00:00:00"/>
    <n v="2026"/>
    <n v="4"/>
    <n v="16"/>
    <n v="36"/>
    <n v="936"/>
    <s v="Black glazing"/>
    <s v="AEU"/>
  </r>
  <r>
    <s v="26Feb015.02"/>
    <s v="Yixing"/>
    <s v="26Feb015"/>
    <s v="CORE DG"/>
    <x v="0"/>
    <s v="Arrival Plan-SPNL"/>
    <s v="CIF"/>
    <x v="0"/>
    <s v="n/a"/>
    <x v="3"/>
    <m/>
    <m/>
    <s v="n/a"/>
    <d v="2026-01-26T00:00:00"/>
    <x v="1"/>
    <x v="4"/>
    <s v="TCL-MG720DT210-68NS"/>
    <s v="EVO2A"/>
    <s v="±1400mm"/>
    <n v="720"/>
    <n v="2376"/>
    <n v="1.71072"/>
    <n v="72"/>
    <n v="4"/>
    <x v="0"/>
    <s v="COMPLETED"/>
    <m/>
    <d v="2026-02-04T00:00:00"/>
    <n v="6"/>
    <s v="POPV260209047"/>
    <m/>
    <s v="SHANGHAI"/>
    <x v="1"/>
    <x v="1"/>
    <d v="2026-02-09T00:00:00"/>
    <d v="2026-02-14T00:00:00"/>
    <d v="2026-02-16T00:00:00"/>
    <d v="2026-03-18T00:00:00"/>
    <d v="2026-04-14T00:00:00"/>
    <d v="2026-04-15T00:00:00"/>
    <s v="CIF"/>
    <s v="EVER GLOBE 1387-025W"/>
    <s v="COSCO"/>
    <s v="TPVB20260206002"/>
    <x v="78"/>
    <s v="COSU6443994070"/>
    <n v="58"/>
    <m/>
    <d v="2026-04-15T00:00:00"/>
    <s v="In Stock-Approved"/>
    <d v="2026-04-22T00:00:00"/>
    <n v="7"/>
    <d v="2026-04-22T00:00:00"/>
    <n v="2026"/>
    <n v="4"/>
    <n v="17"/>
    <n v="33"/>
    <n v="594"/>
    <s v="White glazing"/>
    <s v="AEU"/>
  </r>
  <r>
    <s v="26Feb015.06"/>
    <s v="Yixing"/>
    <s v="26Feb015"/>
    <s v="CORE DG"/>
    <x v="0"/>
    <s v="Arrival Plan-SPNL"/>
    <s v="CIF"/>
    <x v="0"/>
    <s v="n/a"/>
    <x v="51"/>
    <m/>
    <m/>
    <s v="n/a"/>
    <d v="2026-01-26T00:00:00"/>
    <x v="1"/>
    <x v="4"/>
    <s v="TCL-MG720DT210-68NS"/>
    <s v="EVO2A"/>
    <s v="±1400mm"/>
    <n v="720"/>
    <n v="5940"/>
    <n v="4.2767999999999997"/>
    <n v="180"/>
    <n v="10"/>
    <x v="0"/>
    <s v="COMPLETED"/>
    <m/>
    <d v="2026-02-02T00:00:00"/>
    <n v="6"/>
    <s v="POPV260209046"/>
    <m/>
    <s v="SHANGHAI"/>
    <x v="1"/>
    <x v="1"/>
    <d v="2026-02-10T00:00:00"/>
    <d v="2026-02-16T00:00:00"/>
    <d v="2026-02-16T00:00:00"/>
    <d v="2026-03-21T00:00:00"/>
    <d v="2026-04-14T00:00:00"/>
    <d v="2026-04-15T00:00:00"/>
    <s v="CIF"/>
    <s v="COSCO SHIPPING ROSE 044W"/>
    <s v="COSCO"/>
    <s v="TPVB20260206003"/>
    <x v="117"/>
    <s v="COSU6443960390"/>
    <n v="58"/>
    <m/>
    <d v="2026-04-15T00:00:00"/>
    <s v="In Stock-Approved"/>
    <d v="2026-04-22T00:00:00"/>
    <n v="7"/>
    <d v="2026-04-22T00:00:00"/>
    <n v="2026"/>
    <n v="4"/>
    <n v="17"/>
    <n v="33"/>
    <n v="594"/>
    <s v="White glazing"/>
    <s v="AEU"/>
  </r>
  <r>
    <s v="26JAN007"/>
    <s v="Yixing"/>
    <s v="Main Line"/>
    <s v="CORE DG"/>
    <x v="0"/>
    <s v="Arrival Plan-SPNL"/>
    <s v="CIF"/>
    <x v="0"/>
    <s v="n/a"/>
    <x v="52"/>
    <m/>
    <m/>
    <s v="n/a"/>
    <d v="2026-01-23T00:00:00"/>
    <x v="0"/>
    <x v="36"/>
    <s v="HSM-ND66-GR625"/>
    <s v="EVO2A"/>
    <s v="±1400mm"/>
    <n v="625"/>
    <n v="7920"/>
    <n v="4.95"/>
    <n v="220"/>
    <n v="11"/>
    <x v="0"/>
    <s v="COMPLETED"/>
    <m/>
    <d v="2026-02-01T00:00:00"/>
    <n v="5"/>
    <s v="POPV260209045"/>
    <m/>
    <s v="SHANGHAI"/>
    <x v="1"/>
    <x v="1"/>
    <d v="2026-02-10T00:00:00"/>
    <d v="2026-02-13T00:00:00"/>
    <d v="2026-02-12T00:00:00"/>
    <d v="2026-03-17T00:00:00"/>
    <d v="2026-03-28T00:00:00"/>
    <d v="2026-03-28T00:00:00"/>
    <s v="CIF"/>
    <s v="COSCO SHIPPING STAR 028W"/>
    <s v="COSCO"/>
    <s v="TPVB20260206004"/>
    <x v="118"/>
    <s v="COSU6443811150"/>
    <n v="44"/>
    <m/>
    <d v="2026-03-28T00:00:00"/>
    <s v="In Stock-Approved"/>
    <d v="2026-04-13T00:00:00"/>
    <n v="7"/>
    <d v="2026-04-04T00:00:00"/>
    <n v="2026"/>
    <n v="4"/>
    <n v="14"/>
    <n v="36"/>
    <n v="720"/>
    <s v="Redirection Film"/>
    <s v="AEU"/>
  </r>
  <r>
    <s v="26JAN006.02"/>
    <s v="Yixing"/>
    <s v="26JAN006"/>
    <s v="CORE DG"/>
    <x v="0"/>
    <s v="Arrival Plan-SPTN"/>
    <s v="CIF"/>
    <x v="0"/>
    <s v="n/a"/>
    <x v="53"/>
    <m/>
    <m/>
    <s v="n/a"/>
    <d v="2026-01-23T00:00:00"/>
    <x v="0"/>
    <x v="2"/>
    <s v="HSM-ND66-GR620"/>
    <s v="EVO2A"/>
    <s v="±1200mm"/>
    <n v="620"/>
    <n v="1440"/>
    <n v="0.89280000000000004"/>
    <n v="40"/>
    <n v="2"/>
    <x v="0"/>
    <s v="COMPLETED"/>
    <m/>
    <d v="2026-02-01T00:00:00"/>
    <n v="5"/>
    <s v="POPV260209042"/>
    <m/>
    <s v="SHANGHAI"/>
    <x v="1"/>
    <x v="0"/>
    <d v="2026-02-10T00:00:00"/>
    <d v="2026-02-12T00:00:00"/>
    <d v="2026-02-25T00:00:00"/>
    <d v="2026-03-20T00:00:00"/>
    <d v="2026-04-24T00:00:00"/>
    <d v="2026-04-25T00:00:00"/>
    <s v="CIF"/>
    <s v="EVER GRADE 0738-027W"/>
    <s v="COSCO"/>
    <s v="TPVB20260206005"/>
    <x v="79"/>
    <s v="COSU6443749570"/>
    <n v="59"/>
    <m/>
    <d v="2026-04-25T00:00:00"/>
    <s v="In Stock-Approved"/>
    <d v="2026-05-08T00:00:00"/>
    <n v="8"/>
    <d v="2026-05-03T00:00:00"/>
    <n v="2026"/>
    <n v="5"/>
    <n v="18"/>
    <n v="36"/>
    <n v="720"/>
    <s v="White glazing"/>
    <s v="AEM"/>
  </r>
  <r>
    <s v="26JAN002"/>
    <s v="Tianjin"/>
    <s v="Main Line"/>
    <s v="CORE DG"/>
    <x v="0"/>
    <s v="Arrival Plan-SPNL"/>
    <s v="CIF"/>
    <x v="0"/>
    <s v="n/a"/>
    <x v="14"/>
    <m/>
    <m/>
    <s v="n/a"/>
    <d v="2026-02-02T00:00:00"/>
    <x v="0"/>
    <x v="7"/>
    <s v="HSM-ND48-DR450"/>
    <s v="EVO2A"/>
    <s v="±1200mm"/>
    <n v="450"/>
    <n v="936"/>
    <n v="0.42120000000000002"/>
    <n v="26"/>
    <n v="1"/>
    <x v="0"/>
    <s v="COMPLETED"/>
    <m/>
    <d v="2026-02-02T00:00:00"/>
    <n v="6"/>
    <s v="POPV260209034"/>
    <m/>
    <s v="TIANJIN"/>
    <x v="0"/>
    <x v="1"/>
    <d v="2026-02-13T00:00:00"/>
    <d v="2026-02-12T00:00:00"/>
    <d v="2026-02-12T00:00:00"/>
    <d v="2026-04-07T00:00:00"/>
    <d v="2026-04-29T00:00:00"/>
    <d v="2026-04-25T00:00:00"/>
    <s v="CIF"/>
    <s v="COSCO THAILAND 113E"/>
    <s v="COSCO"/>
    <s v="TPVB20260206011"/>
    <x v="84"/>
    <s v="COSU6443899580"/>
    <n v="72"/>
    <m/>
    <d v="2026-04-25T00:00:00"/>
    <s v="In Stock-Approved"/>
    <d v="2026-05-08T00:00:00"/>
    <n v="7"/>
    <d v="2026-05-02T00:00:00"/>
    <n v="2026"/>
    <n v="5"/>
    <n v="18"/>
    <n v="36"/>
    <n v="936"/>
    <s v="Black glazing"/>
    <s v="AEU"/>
  </r>
  <r>
    <s v="26JAN003.04"/>
    <s v="Tianjin"/>
    <s v="26JAN003"/>
    <s v="CORE DG"/>
    <x v="0"/>
    <s v="Arrival Plan-SPNL"/>
    <s v="CIF"/>
    <x v="0"/>
    <s v="n/a"/>
    <x v="14"/>
    <m/>
    <m/>
    <s v="n/a"/>
    <d v="2026-02-02T00:00:00"/>
    <x v="0"/>
    <x v="35"/>
    <s v="HSM-ND48-DR455"/>
    <s v="EVO2A"/>
    <s v="±1200mm"/>
    <n v="455"/>
    <n v="936"/>
    <n v="0.42587999999999998"/>
    <n v="26"/>
    <n v="1"/>
    <x v="0"/>
    <s v="COMPLETED"/>
    <m/>
    <d v="2026-02-02T00:00:00"/>
    <n v="6"/>
    <s v="POPV260209031"/>
    <m/>
    <s v="TIANJIN"/>
    <x v="0"/>
    <x v="1"/>
    <d v="2026-02-13T00:00:00"/>
    <d v="2026-02-12T00:00:00"/>
    <d v="2026-02-12T00:00:00"/>
    <d v="2026-04-07T00:00:00"/>
    <d v="2026-04-29T00:00:00"/>
    <d v="2026-04-25T00:00:00"/>
    <s v="CIF"/>
    <s v="COSCO THAILAND 113E"/>
    <s v="COSCO"/>
    <s v="TPVB20260206011"/>
    <x v="84"/>
    <s v="COSU6443899580"/>
    <n v="72"/>
    <m/>
    <d v="2026-04-25T00:00:00"/>
    <s v="In Stock-Approved"/>
    <d v="2026-05-06T00:00:00"/>
    <n v="7"/>
    <d v="2026-05-02T00:00:00"/>
    <n v="2026"/>
    <n v="5"/>
    <n v="18"/>
    <n v="36"/>
    <n v="936"/>
    <s v="Black glazing"/>
    <s v="AEU"/>
  </r>
  <r>
    <s v="26JAN003.03"/>
    <s v="Tianjin"/>
    <s v="26JAN003"/>
    <s v="CORE DG"/>
    <x v="0"/>
    <s v="Arrival Plan-SPNL"/>
    <s v="CIF"/>
    <x v="0"/>
    <s v="n/a"/>
    <x v="21"/>
    <m/>
    <m/>
    <s v="n/a"/>
    <d v="2026-02-02T00:00:00"/>
    <x v="0"/>
    <x v="35"/>
    <s v="HSM-ND48-DR455"/>
    <s v="EVO2A"/>
    <s v="±1200mm"/>
    <n v="455"/>
    <n v="2808"/>
    <n v="1.2776400000000001"/>
    <n v="78"/>
    <n v="3"/>
    <x v="0"/>
    <s v="COMPLETED"/>
    <m/>
    <d v="2026-02-05T00:00:00"/>
    <n v="6"/>
    <s v="POPV260209021"/>
    <m/>
    <s v="TIANJIN"/>
    <x v="0"/>
    <x v="1"/>
    <d v="2026-02-13T00:00:00"/>
    <d v="2026-02-12T00:00:00"/>
    <d v="2026-02-12T00:00:00"/>
    <d v="2026-04-07T00:00:00"/>
    <d v="2026-04-29T00:00:00"/>
    <d v="2026-04-25T00:00:00"/>
    <s v="CIF"/>
    <s v="COSCO THAILAND 113E"/>
    <s v="COSCO"/>
    <s v="TPVB20260206014"/>
    <x v="88"/>
    <s v="COSU6443926060"/>
    <n v="72"/>
    <m/>
    <d v="2026-04-25T00:00:00"/>
    <s v="In Stock-Approved"/>
    <d v="2026-05-08T00:00:00"/>
    <n v="7"/>
    <d v="2026-05-02T00:00:00"/>
    <n v="2026"/>
    <n v="5"/>
    <n v="18"/>
    <n v="36"/>
    <n v="936"/>
    <s v="Black glazing"/>
    <s v="AEU"/>
  </r>
  <r>
    <s v="26Feb017.01"/>
    <s v="Tianjin"/>
    <s v="26Feb017"/>
    <s v="CORE DG"/>
    <x v="0"/>
    <s v="Arrival Plan-SPNL"/>
    <s v="CIF"/>
    <x v="0"/>
    <s v="n/a"/>
    <x v="14"/>
    <m/>
    <m/>
    <s v="n/a"/>
    <d v="2026-02-02T00:00:00"/>
    <x v="0"/>
    <x v="7"/>
    <s v="HSM-ND48-DR450"/>
    <s v="EVO2A"/>
    <s v="±1200mm"/>
    <n v="450"/>
    <n v="1872"/>
    <n v="0.84240000000000004"/>
    <n v="52"/>
    <n v="2"/>
    <x v="0"/>
    <s v="COMPLETED"/>
    <m/>
    <d v="2026-02-06T00:00:00"/>
    <n v="6"/>
    <s v="POPV260209019"/>
    <m/>
    <s v="TIANJIN"/>
    <x v="0"/>
    <x v="1"/>
    <d v="2026-02-13T00:00:00"/>
    <d v="2026-02-12T00:00:00"/>
    <d v="2026-02-12T00:00:00"/>
    <d v="2026-04-07T00:00:00"/>
    <d v="2026-04-29T00:00:00"/>
    <d v="2026-04-25T00:00:00"/>
    <s v="CIF"/>
    <s v="COSCO THAILAND 113E"/>
    <s v="COSCO"/>
    <s v="TPVB20260206015"/>
    <x v="119"/>
    <s v="COSU6444157800"/>
    <n v="72"/>
    <m/>
    <d v="2026-04-25T00:00:00"/>
    <s v="In Stock-Approved"/>
    <d v="2026-05-08T00:00:00"/>
    <n v="7"/>
    <d v="2026-05-02T00:00:00"/>
    <n v="2026"/>
    <n v="5"/>
    <n v="18"/>
    <n v="36"/>
    <n v="936"/>
    <s v="Black glazing"/>
    <s v="AEU"/>
  </r>
  <r>
    <s v="26Feb018.06"/>
    <s v="Tianjin"/>
    <s v="26Feb018"/>
    <s v="CORE DG"/>
    <x v="0"/>
    <s v="Arrival Plan-SPNL"/>
    <s v="CIF"/>
    <x v="0"/>
    <s v="n/a"/>
    <x v="14"/>
    <m/>
    <m/>
    <s v="n/a"/>
    <d v="2026-02-02T00:00:00"/>
    <x v="0"/>
    <x v="35"/>
    <s v="HSM-ND48-DR455"/>
    <s v="EVO2A"/>
    <s v="±1200mm"/>
    <n v="455"/>
    <n v="7488"/>
    <n v="3.4070399999999998"/>
    <n v="208"/>
    <n v="8"/>
    <x v="0"/>
    <s v="COMPLETED"/>
    <m/>
    <d v="2026-02-06T00:00:00"/>
    <n v="6"/>
    <s v="POPV260209017"/>
    <m/>
    <s v="TIANJIN"/>
    <x v="0"/>
    <x v="1"/>
    <d v="2026-02-13T00:00:00"/>
    <d v="2026-02-12T00:00:00"/>
    <d v="2026-02-12T00:00:00"/>
    <d v="2026-04-07T00:00:00"/>
    <d v="2026-04-29T00:00:00"/>
    <d v="2026-04-25T00:00:00"/>
    <s v="CIF"/>
    <s v="COSCO THAILAND 113E"/>
    <s v="COSCO"/>
    <s v="TPVB20260206015"/>
    <x v="119"/>
    <s v="COSU6444157800"/>
    <n v="72"/>
    <m/>
    <d v="2026-04-25T00:00:00"/>
    <s v="In Stock-Approved"/>
    <d v="2026-05-08T00:00:00"/>
    <n v="7"/>
    <d v="2026-05-02T00:00:00"/>
    <n v="2026"/>
    <n v="5"/>
    <n v="18"/>
    <n v="36"/>
    <n v="936"/>
    <s v="Black glazing"/>
    <s v="AEU"/>
  </r>
  <r>
    <s v="26Feb018.03"/>
    <s v="Tianjin"/>
    <s v="26Feb018"/>
    <s v="CORE DG"/>
    <x v="0"/>
    <s v="Arrival Plan-SPNL"/>
    <s v="CIF"/>
    <x v="0"/>
    <s v="n/a"/>
    <x v="54"/>
    <m/>
    <m/>
    <s v="n/a"/>
    <d v="2026-02-02T00:00:00"/>
    <x v="0"/>
    <x v="35"/>
    <s v="HSM-ND48-DR455"/>
    <s v="EVO2A"/>
    <s v="±1200mm"/>
    <n v="455"/>
    <n v="3744"/>
    <n v="1.7035199999999999"/>
    <n v="104"/>
    <n v="4"/>
    <x v="0"/>
    <s v="COMPLETED"/>
    <m/>
    <d v="2026-02-07T00:00:00"/>
    <n v="6"/>
    <s v="POPV260209016"/>
    <m/>
    <s v="TIANJIN"/>
    <x v="0"/>
    <x v="1"/>
    <d v="2026-02-13T00:00:00"/>
    <d v="2026-02-12T00:00:00"/>
    <d v="2026-02-12T00:00:00"/>
    <d v="2026-04-07T00:00:00"/>
    <d v="2026-04-29T00:00:00"/>
    <d v="2026-04-25T00:00:00"/>
    <s v="CIF"/>
    <s v="COSCO THAILAND 113E"/>
    <s v="COSCO"/>
    <s v="TPVB20260206016"/>
    <x v="89"/>
    <s v="COSU6444155210"/>
    <n v="72"/>
    <m/>
    <d v="2026-04-25T00:00:00"/>
    <s v="In Stock-Approved"/>
    <d v="2026-05-08T00:00:00"/>
    <n v="7"/>
    <d v="2026-05-02T00:00:00"/>
    <n v="2026"/>
    <n v="5"/>
    <n v="18"/>
    <n v="36"/>
    <n v="936"/>
    <s v="Black glazing"/>
    <s v="AEU"/>
  </r>
  <r>
    <s v="26Feb018.01"/>
    <s v="Tianjin"/>
    <s v="26Feb018"/>
    <s v="CORE DG"/>
    <x v="0"/>
    <s v="Arrival Plan-SPNL"/>
    <s v="CIF"/>
    <x v="0"/>
    <s v="n/a"/>
    <x v="21"/>
    <m/>
    <m/>
    <s v="n/a"/>
    <d v="2026-02-02T00:00:00"/>
    <x v="0"/>
    <x v="35"/>
    <s v="HSM-ND48-DR455"/>
    <s v="EVO2A"/>
    <s v="±1200mm"/>
    <n v="455"/>
    <n v="3744"/>
    <n v="1.7035199999999999"/>
    <n v="104"/>
    <n v="4"/>
    <x v="0"/>
    <s v="COMPLETED"/>
    <m/>
    <d v="2026-02-07T00:00:00"/>
    <n v="6"/>
    <s v="POPV260209015"/>
    <m/>
    <s v="TIANJIN"/>
    <x v="0"/>
    <x v="1"/>
    <d v="2026-02-13T00:00:00"/>
    <d v="2026-02-12T00:00:00"/>
    <d v="2026-02-12T00:00:00"/>
    <d v="2026-04-07T00:00:00"/>
    <d v="2026-04-29T00:00:00"/>
    <d v="2026-04-25T00:00:00"/>
    <s v="CIF"/>
    <s v="COSCO THAILAND 113E"/>
    <s v="COSCO"/>
    <s v="TPVB20260206016"/>
    <x v="89"/>
    <s v="COSU6444155210"/>
    <n v="72"/>
    <m/>
    <d v="2026-04-25T00:00:00"/>
    <s v="In Stock-Approved"/>
    <d v="2026-05-08T00:00:00"/>
    <n v="7"/>
    <d v="2026-05-02T00:00:00"/>
    <n v="2026"/>
    <n v="5"/>
    <n v="18"/>
    <n v="36"/>
    <n v="936"/>
    <s v="Black glazing"/>
    <s v="AEU"/>
  </r>
  <r>
    <s v="26Mar010"/>
    <s v="Yixing"/>
    <s v="Main Line"/>
    <s v="CORE DG"/>
    <x v="1"/>
    <s v="SPTN Offstore in Transit WH"/>
    <s v="CIF"/>
    <x v="14"/>
    <s v="U2"/>
    <x v="55"/>
    <s v="PL0126012900013"/>
    <m/>
    <s v="Yes"/>
    <d v="2026-01-23T00:00:00"/>
    <x v="8"/>
    <x v="37"/>
    <s v="HSM-ND66-GR615"/>
    <s v="EVO2A"/>
    <s v="±1400mm"/>
    <n v="615"/>
    <n v="468"/>
    <n v="0.28782000000000002"/>
    <n v="13"/>
    <n v="0.65"/>
    <x v="0"/>
    <s v="COMPLETED"/>
    <m/>
    <d v="2026-02-07T00:00:00"/>
    <n v="6"/>
    <s v="POPV260225015"/>
    <m/>
    <s v="SHANGHAI"/>
    <x v="1"/>
    <x v="9"/>
    <d v="2026-02-17T00:00:00"/>
    <d v="2026-02-18T00:00:00"/>
    <d v="2026-02-18T00:00:00"/>
    <d v="2026-04-08T00:00:00"/>
    <d v="2026-04-14T00:00:00"/>
    <d v="2026-04-13T00:00:00"/>
    <s v="CIF"/>
    <s v="OOCL TURKIYE 010W"/>
    <s v="COSCO"/>
    <s v="TPVB20260207006"/>
    <x v="120"/>
    <s v="COSU6444555610"/>
    <n v="54"/>
    <m/>
    <d v="2026-04-13T00:00:00"/>
    <s v="In Stock-Approved"/>
    <d v="2026-04-22T00:00:00"/>
    <n v="0"/>
    <d v="2026-04-13T00:00:00"/>
    <n v="2026"/>
    <n v="4"/>
    <n v="16"/>
    <n v="36"/>
    <n v="720"/>
    <s v="White glazing"/>
    <s v="AEU"/>
  </r>
  <r>
    <s v="26Mar011"/>
    <s v="Yixing"/>
    <s v="Main Line"/>
    <s v="CORE DG"/>
    <x v="1"/>
    <s v="SPTN Offstore in Transit WH"/>
    <s v="CIF"/>
    <x v="14"/>
    <s v="U2"/>
    <x v="55"/>
    <s v="PL0126012900013"/>
    <m/>
    <s v="Yes"/>
    <d v="2026-01-23T00:00:00"/>
    <x v="8"/>
    <x v="34"/>
    <s v="HSM-ND66-GR615"/>
    <s v="EVO2A"/>
    <s v="±1200mm"/>
    <n v="615"/>
    <n v="684"/>
    <n v="0.42065999999999998"/>
    <n v="19"/>
    <n v="0.95"/>
    <x v="0"/>
    <s v="COMPLETED"/>
    <m/>
    <d v="2026-02-07T00:00:00"/>
    <n v="6"/>
    <s v="POPV260225012"/>
    <m/>
    <s v="SHANGHAI"/>
    <x v="1"/>
    <x v="9"/>
    <d v="2026-02-17T00:00:00"/>
    <d v="2026-02-18T00:00:00"/>
    <d v="2026-02-18T00:00:00"/>
    <d v="2026-04-08T00:00:00"/>
    <d v="2026-04-14T00:00:00"/>
    <d v="2026-04-13T00:00:00"/>
    <s v="CIF"/>
    <s v="OOCL TURKIYE 010W"/>
    <s v="COSCO"/>
    <s v="TPVB20260207006"/>
    <x v="120"/>
    <s v="COSU6444555610"/>
    <n v="54"/>
    <m/>
    <d v="2026-04-13T00:00:00"/>
    <s v="In Stock-Approved"/>
    <d v="2026-04-22T00:00:00"/>
    <n v="0"/>
    <d v="2026-04-13T00:00:00"/>
    <n v="2026"/>
    <n v="4"/>
    <n v="16"/>
    <n v="36"/>
    <n v="720"/>
    <s v="White glazing"/>
    <s v="AEU"/>
  </r>
  <r>
    <s v="26Mar012"/>
    <s v="Yixing"/>
    <s v="Main Line"/>
    <s v="CORE DG"/>
    <x v="1"/>
    <s v="SPTN Offstore in Transit WH"/>
    <s v="CIF"/>
    <x v="14"/>
    <s v="U2"/>
    <x v="55"/>
    <s v="PL0126012900013"/>
    <m/>
    <s v="Yes"/>
    <d v="2026-01-23T00:00:00"/>
    <x v="8"/>
    <x v="2"/>
    <s v="HSM-ND66-GR620"/>
    <s v="EVO2A"/>
    <s v="±1200mm"/>
    <n v="620"/>
    <n v="1584"/>
    <n v="0.98207999999999995"/>
    <n v="44"/>
    <n v="2.2000000000000002"/>
    <x v="0"/>
    <s v="COMPLETED"/>
    <m/>
    <d v="2026-02-07T00:00:00"/>
    <n v="6"/>
    <s v="POPV260225010"/>
    <m/>
    <s v="SHANGHAI"/>
    <x v="1"/>
    <x v="9"/>
    <d v="2026-02-17T00:00:00"/>
    <d v="2026-02-18T00:00:00"/>
    <d v="2026-02-18T00:00:00"/>
    <d v="2026-04-08T00:00:00"/>
    <d v="2026-04-14T00:00:00"/>
    <d v="2026-04-13T00:00:00"/>
    <s v="CIF"/>
    <s v="OOCL TURKIYE 010W"/>
    <s v="COSCO"/>
    <s v="TPVB20260207006"/>
    <x v="120"/>
    <s v="COSU6444555610"/>
    <n v="54"/>
    <m/>
    <d v="2026-04-13T00:00:00"/>
    <s v="In Stock-Approved"/>
    <d v="2026-04-22T00:00:00"/>
    <n v="0"/>
    <d v="2026-04-13T00:00:00"/>
    <n v="2026"/>
    <n v="4"/>
    <n v="16"/>
    <n v="36"/>
    <n v="720"/>
    <s v="White glazing"/>
    <s v="AEU"/>
  </r>
  <r>
    <s v="26Mar013"/>
    <s v="Yixing"/>
    <s v="Main Line"/>
    <s v="CORE DG"/>
    <x v="1"/>
    <s v="SPTN Offstore in Transit WH"/>
    <s v="CIF"/>
    <x v="14"/>
    <s v="U2"/>
    <x v="55"/>
    <s v="PL0126012900013"/>
    <m/>
    <s v="Yes"/>
    <d v="2026-01-23T00:00:00"/>
    <x v="8"/>
    <x v="38"/>
    <s v="HSM-ND66-GR625"/>
    <s v="EVO2A"/>
    <s v="±1200mm"/>
    <n v="625"/>
    <n v="144"/>
    <n v="0.09"/>
    <n v="4"/>
    <n v="0.2"/>
    <x v="0"/>
    <s v="COMPLETED"/>
    <m/>
    <d v="2026-02-07T00:00:00"/>
    <n v="6"/>
    <s v="POPV260225011"/>
    <m/>
    <s v="SHANGHAI"/>
    <x v="1"/>
    <x v="9"/>
    <d v="2026-02-17T00:00:00"/>
    <d v="2026-02-18T00:00:00"/>
    <d v="2026-02-18T00:00:00"/>
    <d v="2026-04-08T00:00:00"/>
    <d v="2026-04-14T00:00:00"/>
    <d v="2026-04-13T00:00:00"/>
    <s v="CIF"/>
    <s v="OOCL TURKIYE 010W"/>
    <s v="COSCO"/>
    <s v="TPVB20260207006"/>
    <x v="120"/>
    <s v="COSU6444555610"/>
    <n v="54"/>
    <m/>
    <d v="2026-04-13T00:00:00"/>
    <s v="In Stock-Approved"/>
    <d v="2026-04-22T00:00:00"/>
    <n v="0"/>
    <d v="2026-04-13T00:00:00"/>
    <n v="2026"/>
    <n v="4"/>
    <n v="16"/>
    <n v="36"/>
    <n v="720"/>
    <s v="White glazing"/>
    <s v="AEU"/>
  </r>
  <r>
    <s v="26Feb026.02"/>
    <s v="Yixing"/>
    <s v="26Feb026"/>
    <s v="CORE DG"/>
    <x v="0"/>
    <s v="Arrival Plan-SPNL"/>
    <s v="CIF"/>
    <x v="0"/>
    <s v="U1"/>
    <x v="56"/>
    <m/>
    <m/>
    <s v="n/a"/>
    <d v="2026-02-09T00:00:00"/>
    <x v="0"/>
    <x v="36"/>
    <s v="HSM-ND66-GR625"/>
    <s v="EVO2A"/>
    <s v="±1400mm"/>
    <n v="625"/>
    <n v="5040"/>
    <n v="3.15"/>
    <n v="140"/>
    <n v="7"/>
    <x v="0"/>
    <s v="COMPLETED"/>
    <m/>
    <d v="2026-02-11T00:00:00"/>
    <n v="7"/>
    <s v="POPV260225014"/>
    <m/>
    <s v="SHANGHAI"/>
    <x v="1"/>
    <x v="1"/>
    <d v="2026-02-17T00:00:00"/>
    <d v="2026-02-16T00:00:00"/>
    <d v="2026-02-16T00:00:00"/>
    <d v="2026-03-28T00:00:00"/>
    <d v="2026-04-14T00:00:00"/>
    <d v="2026-04-15T00:00:00"/>
    <s v="CIF"/>
    <s v="COSCO FORTUNE 082W"/>
    <s v="COSCO"/>
    <s v="TPVB20260207007"/>
    <x v="121"/>
    <s v="COSU6444078900"/>
    <n v="58"/>
    <m/>
    <d v="2026-04-15T00:00:00"/>
    <s v="In Stock-Approved"/>
    <d v="2026-04-22T00:00:00"/>
    <n v="7"/>
    <d v="2026-04-22T00:00:00"/>
    <n v="2026"/>
    <n v="4"/>
    <n v="17"/>
    <n v="36"/>
    <n v="720"/>
    <s v="Redirection Film"/>
    <s v="AEU"/>
  </r>
  <r>
    <s v="26Feb026.04"/>
    <s v="Yixing"/>
    <s v="26Feb026"/>
    <s v="CORE DG"/>
    <x v="0"/>
    <s v="Arrival Plan-SPNL"/>
    <s v="CIF"/>
    <x v="0"/>
    <s v="U1"/>
    <x v="56"/>
    <m/>
    <m/>
    <s v="n/a"/>
    <d v="2026-02-09T00:00:00"/>
    <x v="0"/>
    <x v="36"/>
    <s v="HSM-ND66-GR625"/>
    <s v="EVO2A"/>
    <s v="±1400mm"/>
    <n v="625"/>
    <n v="3600"/>
    <n v="2.25"/>
    <n v="100"/>
    <n v="5"/>
    <x v="0"/>
    <s v="COMPLETED"/>
    <m/>
    <d v="2026-02-12T00:00:00"/>
    <n v="7"/>
    <s v="POPV260225013"/>
    <m/>
    <s v="SHANGHAI"/>
    <x v="1"/>
    <x v="1"/>
    <d v="2026-02-17T00:00:00"/>
    <d v="2026-03-06T00:00:00"/>
    <d v="2026-03-05T00:00:00"/>
    <d v="2026-03-28T00:00:00"/>
    <d v="2026-04-21T00:00:00"/>
    <d v="2026-04-21T00:00:00"/>
    <s v="CIF"/>
    <s v="COSCO FORTUNE 082W"/>
    <s v="COSCO"/>
    <s v="TPVB20260207005"/>
    <x v="122"/>
    <s v="COSU6445099250"/>
    <n v="47"/>
    <m/>
    <d v="2026-04-21T00:00:00"/>
    <s v="In Stock-Approved"/>
    <d v="2026-05-05T00:00:00"/>
    <n v="7"/>
    <d v="2026-04-28T00:00:00"/>
    <n v="2026"/>
    <n v="4"/>
    <n v="18"/>
    <n v="36"/>
    <n v="720"/>
    <s v="Redirection Film"/>
    <s v="AEU"/>
  </r>
  <r>
    <s v="26JAN006.03"/>
    <s v="Yixing"/>
    <s v="26JAN006"/>
    <s v="CORE DG"/>
    <x v="0"/>
    <s v="Arrival Plan-SPNL"/>
    <s v="CIF"/>
    <x v="0"/>
    <s v="n/a"/>
    <x v="3"/>
    <m/>
    <m/>
    <s v="n/a"/>
    <d v="2026-01-23T00:00:00"/>
    <x v="0"/>
    <x v="2"/>
    <s v="HSM-ND66-GR620"/>
    <s v="EVO2A"/>
    <s v="±1200mm"/>
    <n v="620"/>
    <n v="5040"/>
    <n v="3.1248"/>
    <n v="140"/>
    <n v="7"/>
    <x v="0"/>
    <s v="COMPLETED"/>
    <m/>
    <d v="2026-02-08T00:00:00"/>
    <n v="6"/>
    <s v="POPV260225018"/>
    <m/>
    <s v="SHANGHAI"/>
    <x v="1"/>
    <x v="1"/>
    <d v="2026-02-14T00:00:00"/>
    <d v="2026-03-06T00:00:00"/>
    <d v="2026-03-05T00:00:00"/>
    <d v="2026-03-27T00:00:00"/>
    <d v="2026-04-21T00:00:00"/>
    <d v="2026-04-21T00:00:00"/>
    <s v="CIF"/>
    <s v="COSCO SHIPPING LEO 034E"/>
    <s v="COSCO"/>
    <s v="TPVB20260207008"/>
    <x v="93"/>
    <s v="COSU6444093650"/>
    <n v="47"/>
    <m/>
    <d v="2026-04-21T00:00:00"/>
    <s v="In Stock-Approved"/>
    <d v="2026-05-05T00:00:00"/>
    <n v="7"/>
    <d v="2026-04-28T00:00:00"/>
    <n v="2026"/>
    <n v="4"/>
    <n v="18"/>
    <n v="36"/>
    <n v="720"/>
    <s v="White glazing"/>
    <s v="AEU"/>
  </r>
  <r>
    <s v="26Feb015.07"/>
    <s v="Yixing"/>
    <s v="26Feb015"/>
    <s v="CORE DG"/>
    <x v="0"/>
    <s v="Arrival Plan-SPNL"/>
    <s v="CIF"/>
    <x v="0"/>
    <s v="n/a"/>
    <x v="3"/>
    <m/>
    <m/>
    <s v="n/a"/>
    <d v="2026-01-26T00:00:00"/>
    <x v="1"/>
    <x v="4"/>
    <s v="TCL-MG720DT210-68NS"/>
    <s v="EVO2A"/>
    <s v="±1400mm"/>
    <n v="720"/>
    <n v="594"/>
    <n v="0.42768"/>
    <n v="18"/>
    <n v="1"/>
    <x v="0"/>
    <s v="COMPLETED"/>
    <m/>
    <d v="2026-02-08T00:00:00"/>
    <n v="6"/>
    <s v="POPV260225035"/>
    <m/>
    <s v="SHANGHAI"/>
    <x v="1"/>
    <x v="1"/>
    <d v="2026-02-14T00:00:00"/>
    <d v="2026-03-06T00:00:00"/>
    <d v="2026-03-05T00:00:00"/>
    <d v="2026-03-27T00:00:00"/>
    <d v="2026-04-21T00:00:00"/>
    <d v="2026-04-21T00:00:00"/>
    <s v="CIF"/>
    <s v="COSCO SHIPPING LEO 034E"/>
    <s v="COSCO"/>
    <s v="TPVB20260207008"/>
    <x v="93"/>
    <s v="COSU6444093650"/>
    <n v="47"/>
    <m/>
    <d v="2026-04-21T00:00:00"/>
    <s v="In Stock-Approved"/>
    <d v="2026-05-05T00:00:00"/>
    <n v="7"/>
    <d v="2026-04-28T00:00:00"/>
    <n v="2026"/>
    <n v="4"/>
    <n v="18"/>
    <n v="33"/>
    <n v="594"/>
    <s v="White glazing"/>
    <s v="AEU"/>
  </r>
  <r>
    <s v="26Feb010.06"/>
    <s v="Yixing"/>
    <s v="26Feb010"/>
    <s v="CORE DG"/>
    <x v="0"/>
    <s v="Arrival Plan-SPNL"/>
    <s v="CIF"/>
    <x v="0"/>
    <s v="U6"/>
    <x v="3"/>
    <m/>
    <m/>
    <s v="n/a"/>
    <d v="2026-02-16T00:00:00"/>
    <x v="1"/>
    <x v="39"/>
    <s v="TCL-MR470DT182-58NS"/>
    <s v="EVO2A"/>
    <s v="±1200mm"/>
    <n v="470"/>
    <n v="3456"/>
    <n v="1.62432"/>
    <n v="96"/>
    <n v="4"/>
    <x v="0"/>
    <s v="COMPLETED"/>
    <m/>
    <d v="2026-02-11T00:00:00"/>
    <n v="7"/>
    <s v="POPV260225034"/>
    <m/>
    <s v="SHANGHAI"/>
    <x v="1"/>
    <x v="1"/>
    <d v="2026-02-18T00:00:00"/>
    <d v="2026-02-22T00:00:00"/>
    <d v="2026-02-22T00:00:00"/>
    <d v="2026-03-25T00:00:00"/>
    <d v="2026-04-02T00:00:00"/>
    <d v="2026-04-04T00:00:00"/>
    <s v="CIF"/>
    <s v="EVER AEON 1388-007W"/>
    <s v="COSCO"/>
    <s v="TPVB20260207009"/>
    <x v="123"/>
    <s v="COSU6444095330"/>
    <n v="41"/>
    <m/>
    <d v="2026-04-04T00:00:00"/>
    <s v="In Stock-Approved"/>
    <d v="2026-04-14T00:00:00"/>
    <n v="7"/>
    <d v="2026-04-11T00:00:00"/>
    <n v="2026"/>
    <n v="4"/>
    <n v="15"/>
    <n v="36"/>
    <n v="864"/>
    <s v="White glazing"/>
    <s v="AEU"/>
  </r>
  <r>
    <s v="26Feb010.04"/>
    <s v="Yixing"/>
    <s v="26Feb010"/>
    <s v="CORE DG"/>
    <x v="0"/>
    <s v="Arrival Plan-SPUK"/>
    <s v="CIF"/>
    <x v="6"/>
    <s v="U1"/>
    <x v="35"/>
    <m/>
    <m/>
    <s v="n/a"/>
    <d v="2026-02-16T00:00:00"/>
    <x v="1"/>
    <x v="39"/>
    <s v="TCL-MR470DT182-58NS"/>
    <s v="EVO2A"/>
    <s v="±1200mm"/>
    <n v="470"/>
    <n v="864"/>
    <n v="0.40608"/>
    <n v="24"/>
    <n v="1"/>
    <x v="0"/>
    <s v="COMPLETED"/>
    <m/>
    <d v="2026-02-11T00:00:00"/>
    <n v="7"/>
    <s v="POPV260225033"/>
    <m/>
    <s v="SHANGHAI"/>
    <x v="1"/>
    <x v="6"/>
    <d v="2026-02-17T00:00:00"/>
    <d v="2026-02-26T00:00:00"/>
    <d v="2026-02-26T00:00:00"/>
    <d v="2026-03-29T00:00:00"/>
    <d v="2026-04-12T00:00:00"/>
    <d v="2026-04-12T00:00:00"/>
    <s v="CIF"/>
    <s v="OOCL TURKIYE 010W"/>
    <s v="COSCO"/>
    <s v="TPVB20260207010"/>
    <x v="124"/>
    <s v="COSU6444094880"/>
    <n v="45"/>
    <m/>
    <d v="2026-04-12T00:00:00"/>
    <s v="In Stock-Approved"/>
    <d v="2026-04-20T00:00:00"/>
    <n v="7"/>
    <d v="2026-04-19T00:00:00"/>
    <n v="2026"/>
    <n v="4"/>
    <n v="16"/>
    <n v="36"/>
    <n v="864"/>
    <s v="White glazing"/>
    <s v="AEU"/>
  </r>
  <r>
    <s v="26Mar008"/>
    <s v="Tianjin"/>
    <s v="Main Line"/>
    <s v="CORE DG"/>
    <x v="1"/>
    <s v="SPTN Offstore in Transit WH"/>
    <s v="CIF"/>
    <x v="14"/>
    <s v="n/a"/>
    <x v="55"/>
    <s v="PL0126012900013"/>
    <m/>
    <s v="Yes"/>
    <d v="2026-01-23T00:00:00"/>
    <x v="8"/>
    <x v="33"/>
    <s v="HSM-ND66-GR615"/>
    <s v="EVO2A"/>
    <s v="±1400mm"/>
    <n v="615"/>
    <n v="144"/>
    <n v="8.856E-2"/>
    <n v="4"/>
    <n v="0.2"/>
    <x v="0"/>
    <s v="COMPLETED"/>
    <m/>
    <d v="2026-02-09T00:00:00"/>
    <n v="7"/>
    <s v="POPV260225029"/>
    <m/>
    <s v="TIANJIN"/>
    <x v="0"/>
    <x v="9"/>
    <d v="2026-02-27T00:00:00"/>
    <d v="2026-02-28T00:00:00"/>
    <d v="2026-02-28T00:00:00"/>
    <d v="2026-04-29T00:00:00"/>
    <d v="2026-05-06T00:00:00"/>
    <d v="2026-05-05T00:00:00"/>
    <s v="CIF"/>
    <s v="COSCO SHIPPING GEMINI 035W"/>
    <s v="COSCO"/>
    <s v="TPVB20260207004"/>
    <x v="125"/>
    <s v="COSU9506096720"/>
    <n v="66"/>
    <m/>
    <d v="2026-05-05T00:00:00"/>
    <s v="In Stock-Approved"/>
    <d v="2026-05-13T00:00:00"/>
    <n v="0"/>
    <d v="2026-05-05T00:00:00"/>
    <n v="2026"/>
    <n v="5"/>
    <n v="19"/>
    <n v="36"/>
    <n v="720"/>
    <s v="White glazing"/>
    <s v="AEU"/>
  </r>
  <r>
    <s v="26Mar009"/>
    <s v="Tianjin"/>
    <s v="Main Line"/>
    <s v="CORE DG"/>
    <x v="1"/>
    <s v="SPTN Offstore in Transit WH"/>
    <s v="CIF"/>
    <x v="14"/>
    <s v="n/a"/>
    <x v="55"/>
    <s v="PL0126012900013"/>
    <m/>
    <s v="Yes"/>
    <d v="2026-01-23T00:00:00"/>
    <x v="8"/>
    <x v="40"/>
    <s v="HSM-ND66-GR620"/>
    <s v="EVO2A"/>
    <s v="±1400mm"/>
    <n v="620"/>
    <n v="2736"/>
    <n v="1.6963200000000001"/>
    <n v="76"/>
    <n v="3.8"/>
    <x v="0"/>
    <s v="COMPLETED"/>
    <m/>
    <d v="2026-02-09T00:00:00"/>
    <n v="7"/>
    <s v="POPV260225031"/>
    <m/>
    <s v="TIANJIN"/>
    <x v="0"/>
    <x v="9"/>
    <d v="2026-02-27T00:00:00"/>
    <d v="2026-02-28T00:00:00"/>
    <d v="2026-02-28T00:00:00"/>
    <d v="2026-04-29T00:00:00"/>
    <d v="2026-05-06T00:00:00"/>
    <d v="2026-05-05T00:00:00"/>
    <s v="CIF"/>
    <s v="COSCO SHIPPING GEMINI 035W"/>
    <s v="COSCO"/>
    <s v="TPVB20260207004"/>
    <x v="125"/>
    <s v="COSU9506096720"/>
    <n v="66"/>
    <m/>
    <d v="2026-05-05T00:00:00"/>
    <s v="In Stock-Approved"/>
    <d v="2026-05-13T00:00:00"/>
    <n v="0"/>
    <d v="2026-05-05T00:00:00"/>
    <n v="2026"/>
    <n v="5"/>
    <n v="19"/>
    <n v="36"/>
    <n v="720"/>
    <s v="White glazing"/>
    <s v="AEU"/>
  </r>
  <r>
    <s v="26Feb018.04"/>
    <s v="Tianjin"/>
    <s v="26Feb018"/>
    <s v="CORE DG"/>
    <x v="1"/>
    <s v="SPTN Offstore in Transit WH"/>
    <s v="CIF"/>
    <x v="15"/>
    <s v="U2"/>
    <x v="57"/>
    <s v="BE0126022600025"/>
    <m/>
    <s v="Yes"/>
    <d v="2026-02-02T00:00:00"/>
    <x v="0"/>
    <x v="35"/>
    <s v="HSM-ND48-DR455"/>
    <s v="EVO2A"/>
    <s v="±1200mm"/>
    <n v="455"/>
    <n v="1872"/>
    <n v="0.85175999999999996"/>
    <n v="52"/>
    <n v="2"/>
    <x v="0"/>
    <s v="COMPLETED"/>
    <m/>
    <d v="2026-02-08T00:00:00"/>
    <n v="6"/>
    <s v="POPV260225042"/>
    <m/>
    <s v="TIANJIN"/>
    <x v="0"/>
    <x v="12"/>
    <d v="2026-02-17T00:00:00"/>
    <d v="2026-02-18T00:00:00"/>
    <d v="2026-02-18T00:00:00"/>
    <d v="2026-04-19T00:00:00"/>
    <d v="2026-04-26T00:00:00"/>
    <d v="2026-04-27T00:00:00"/>
    <s v="CIF"/>
    <s v="CMA CGM AMBER/0BYOBS1MA"/>
    <s v="OTHER"/>
    <s v="TPVB20260207014"/>
    <x v="126"/>
    <s v="TJN0879793"/>
    <n v="68"/>
    <m/>
    <d v="2026-04-27T00:00:00"/>
    <s v="In Stock-Approved"/>
    <d v="2026-05-11T00:00:00"/>
    <n v="0"/>
    <d v="2026-04-27T00:00:00"/>
    <n v="2026"/>
    <n v="4"/>
    <n v="18"/>
    <n v="36"/>
    <n v="936"/>
    <s v="Black glazing"/>
    <s v="AEU"/>
  </r>
  <r>
    <s v="26Feb018.02"/>
    <s v="Tianjin"/>
    <s v="26Feb018"/>
    <s v="CORE DG"/>
    <x v="1"/>
    <s v="SPTN Offstore in Transit WH"/>
    <s v="CIF"/>
    <x v="15"/>
    <s v="U2"/>
    <x v="57"/>
    <s v="BE0126022600025"/>
    <m/>
    <s v="Yes"/>
    <d v="2026-02-02T00:00:00"/>
    <x v="0"/>
    <x v="35"/>
    <s v="HSM-ND48-DR455"/>
    <s v="EVO2A"/>
    <s v="±1200mm"/>
    <n v="455"/>
    <n v="1872"/>
    <n v="0.85175999999999996"/>
    <n v="52"/>
    <n v="2"/>
    <x v="0"/>
    <s v="COMPLETED"/>
    <m/>
    <d v="2026-02-08T00:00:00"/>
    <n v="6"/>
    <s v="POPV260225041"/>
    <m/>
    <s v="TIANJIN"/>
    <x v="0"/>
    <x v="12"/>
    <d v="2026-02-17T00:00:00"/>
    <d v="2026-02-18T00:00:00"/>
    <d v="2026-02-18T00:00:00"/>
    <d v="2026-04-19T00:00:00"/>
    <d v="2026-04-26T00:00:00"/>
    <d v="2026-04-27T00:00:00"/>
    <s v="CIF"/>
    <s v="CMA CGM AMBER/0BYOBS1MA"/>
    <s v="OTHER"/>
    <s v="TPVB20260207014"/>
    <x v="126"/>
    <s v="TJN0879793"/>
    <n v="68"/>
    <m/>
    <d v="2026-04-27T00:00:00"/>
    <s v="In Stock-Approved"/>
    <d v="2026-05-11T00:00:00"/>
    <n v="0"/>
    <d v="2026-04-27T00:00:00"/>
    <n v="2026"/>
    <n v="4"/>
    <n v="18"/>
    <n v="36"/>
    <n v="936"/>
    <s v="Black glazing"/>
    <s v="AEU"/>
  </r>
  <r>
    <s v="26Feb009.02"/>
    <s v="Yixing"/>
    <s v="26Feb009"/>
    <s v="CORE DG"/>
    <x v="0"/>
    <s v="Arrival Plan-SPNL"/>
    <s v="CIF"/>
    <x v="0"/>
    <s v="U3"/>
    <x v="14"/>
    <m/>
    <m/>
    <s v="n/a"/>
    <d v="2026-02-16T00:00:00"/>
    <x v="1"/>
    <x v="6"/>
    <s v="TCL-MR465DT182-58NS"/>
    <s v="EVO2A"/>
    <s v="±1200mm"/>
    <n v="465"/>
    <n v="4320"/>
    <n v="2.0087999999999999"/>
    <n v="120"/>
    <n v="5"/>
    <x v="0"/>
    <s v="COMPLETED"/>
    <m/>
    <d v="2026-02-20T00:00:00"/>
    <n v="8"/>
    <s v="POPV260226015"/>
    <m/>
    <s v="SHANGHAI"/>
    <x v="1"/>
    <x v="1"/>
    <d v="2026-02-23T00:00:00"/>
    <d v="2026-02-23T00:00:00"/>
    <d v="2026-02-23T00:00:00"/>
    <d v="2026-04-01T00:00:00"/>
    <d v="2026-04-10T00:00:00"/>
    <d v="2026-04-10T00:00:00"/>
    <s v="CIF"/>
    <m/>
    <s v="COSCO"/>
    <s v="TPVB20260208001"/>
    <x v="127"/>
    <s v="COSU6444860880"/>
    <n v="46"/>
    <m/>
    <d v="2026-04-10T00:00:00"/>
    <s v="In Stock-Approved"/>
    <d v="2026-04-20T00:00:00"/>
    <n v="7"/>
    <d v="2026-04-17T00:00:00"/>
    <n v="2026"/>
    <n v="4"/>
    <n v="16"/>
    <n v="36"/>
    <n v="864"/>
    <s v="White glazing"/>
    <s v="AEU"/>
  </r>
  <r>
    <s v="26Feb010.08"/>
    <s v="Yixing"/>
    <s v="26Feb010"/>
    <s v="CORE DG"/>
    <x v="0"/>
    <s v="Arrival Plan-SPNL"/>
    <s v="CIF"/>
    <x v="0"/>
    <s v="U3"/>
    <x v="58"/>
    <m/>
    <m/>
    <s v="n/a"/>
    <d v="2026-02-16T00:00:00"/>
    <x v="1"/>
    <x v="39"/>
    <s v="TCL-MR470DT182-58NS"/>
    <s v="EVO2A"/>
    <s v="±1200mm"/>
    <n v="470"/>
    <n v="4320"/>
    <n v="2.0304000000000002"/>
    <n v="120"/>
    <n v="5"/>
    <x v="0"/>
    <s v="COMPLETED"/>
    <m/>
    <d v="2026-02-20T00:00:00"/>
    <n v="8"/>
    <s v="POPV260226014"/>
    <m/>
    <s v="SHANGHAI"/>
    <x v="1"/>
    <x v="1"/>
    <d v="2026-02-23T00:00:00"/>
    <d v="2026-02-23T00:00:00"/>
    <d v="2026-02-23T00:00:00"/>
    <d v="2026-04-01T00:00:00"/>
    <d v="2026-04-10T00:00:00"/>
    <d v="2026-04-10T00:00:00"/>
    <s v="CIF"/>
    <m/>
    <s v="COSCO"/>
    <s v="TPVB20260208001"/>
    <x v="127"/>
    <s v="COSU6444860880"/>
    <n v="46"/>
    <m/>
    <d v="2026-04-10T00:00:00"/>
    <s v="In Stock-Approved"/>
    <d v="2026-04-20T00:00:00"/>
    <n v="7"/>
    <d v="2026-04-17T00:00:00"/>
    <n v="2026"/>
    <n v="4"/>
    <n v="16"/>
    <n v="36"/>
    <n v="864"/>
    <s v="White glazing"/>
    <s v="AEU"/>
  </r>
  <r>
    <s v="26Feb010.01"/>
    <s v="Yixing"/>
    <s v="26Feb010"/>
    <s v="CORE DG"/>
    <x v="0"/>
    <s v="Arrival Plan-SPNL"/>
    <s v="CIF"/>
    <x v="0"/>
    <s v="U6"/>
    <x v="3"/>
    <m/>
    <m/>
    <s v="n/a"/>
    <d v="2026-02-16T00:00:00"/>
    <x v="1"/>
    <x v="39"/>
    <s v="TCL-MR470DT182-58NS"/>
    <s v="EVO2A"/>
    <s v="±1200mm"/>
    <n v="470"/>
    <n v="3456"/>
    <n v="1.62432"/>
    <n v="96"/>
    <n v="4"/>
    <x v="0"/>
    <s v="COMPLETED"/>
    <m/>
    <d v="2026-02-13T00:00:00"/>
    <n v="7"/>
    <s v="POPV260226012"/>
    <m/>
    <s v="SHANGHAI"/>
    <x v="1"/>
    <x v="1"/>
    <d v="2026-02-23T00:00:00"/>
    <d v="2026-02-23T00:00:00"/>
    <d v="2026-02-23T00:00:00"/>
    <d v="2026-04-01T00:00:00"/>
    <d v="2026-04-10T00:00:00"/>
    <d v="2026-04-10T00:00:00"/>
    <s v="CIF"/>
    <m/>
    <s v="COSCO"/>
    <s v="TPVB20260208002"/>
    <x v="128"/>
    <s v="COSU6444860090"/>
    <n v="46"/>
    <m/>
    <d v="2026-04-10T00:00:00"/>
    <s v="In Stock-Approved"/>
    <d v="2026-04-20T00:00:00"/>
    <n v="7"/>
    <d v="2026-04-17T00:00:00"/>
    <n v="2026"/>
    <n v="4"/>
    <n v="16"/>
    <n v="36"/>
    <n v="864"/>
    <s v="White glazing"/>
    <s v="AEU"/>
  </r>
  <r>
    <s v="26Mar001"/>
    <s v="Yixing"/>
    <s v="Main Line"/>
    <s v="CORE DG"/>
    <x v="0"/>
    <s v="Arrival Plan-SPNL"/>
    <s v="CIF"/>
    <x v="0"/>
    <s v="U2"/>
    <x v="59"/>
    <m/>
    <m/>
    <s v="n/a"/>
    <d v="2026-01-23T00:00:00"/>
    <x v="7"/>
    <x v="41"/>
    <s v="TCL-MR455DT182-58NS"/>
    <s v="EVO2A"/>
    <s v="±1400mm"/>
    <n v="455"/>
    <n v="288"/>
    <n v="0.13103999999999999"/>
    <n v="8"/>
    <n v="0.33333333333333331"/>
    <x v="0"/>
    <s v="COMPLETED"/>
    <m/>
    <d v="2026-02-13T00:00:00"/>
    <n v="7"/>
    <s v="POPV260226013"/>
    <m/>
    <s v="SHANGHAI"/>
    <x v="1"/>
    <x v="1"/>
    <d v="2026-02-23T00:00:00"/>
    <d v="2026-02-23T00:00:00"/>
    <d v="2026-02-23T00:00:00"/>
    <d v="2026-04-01T00:00:00"/>
    <d v="2026-04-10T00:00:00"/>
    <d v="2026-04-10T00:00:00"/>
    <s v="CIF"/>
    <m/>
    <s v="COSCO"/>
    <s v="TPVB20260208002"/>
    <x v="128"/>
    <s v="COSU6444860090"/>
    <n v="46"/>
    <m/>
    <d v="2026-04-10T00:00:00"/>
    <s v="In Stock-Approved"/>
    <d v="2026-04-20T00:00:00"/>
    <n v="7"/>
    <d v="2026-04-17T00:00:00"/>
    <n v="2026"/>
    <n v="4"/>
    <n v="16"/>
    <n v="36"/>
    <n v="864"/>
    <s v="White glazing"/>
    <s v="AEU"/>
  </r>
  <r>
    <s v="26Mar002"/>
    <s v="Yixing"/>
    <s v="Main Line"/>
    <s v="CORE DG"/>
    <x v="0"/>
    <s v="Arrival Plan-SPNL"/>
    <s v="CIF"/>
    <x v="0"/>
    <s v="U2"/>
    <x v="60"/>
    <m/>
    <m/>
    <s v="n/a"/>
    <d v="2026-01-23T00:00:00"/>
    <x v="7"/>
    <x v="42"/>
    <s v="TCL-MR460DT182-58NS"/>
    <s v="EVO2A"/>
    <s v="±1400mm"/>
    <n v="460"/>
    <n v="576"/>
    <n v="0.26495999999999997"/>
    <n v="16"/>
    <n v="0.66666666666666663"/>
    <x v="0"/>
    <s v="COMPLETED"/>
    <m/>
    <d v="2026-02-13T00:00:00"/>
    <n v="7"/>
    <s v="POPV260226011"/>
    <m/>
    <s v="SHANGHAI"/>
    <x v="1"/>
    <x v="1"/>
    <d v="2026-02-23T00:00:00"/>
    <d v="2026-02-23T00:00:00"/>
    <d v="2026-02-23T00:00:00"/>
    <d v="2026-04-01T00:00:00"/>
    <d v="2026-04-10T00:00:00"/>
    <d v="2026-04-10T00:00:00"/>
    <s v="CIF"/>
    <m/>
    <s v="COSCO"/>
    <s v="TPVB20260208002"/>
    <x v="128"/>
    <s v="COSU6444860090"/>
    <n v="46"/>
    <m/>
    <d v="2026-04-10T00:00:00"/>
    <s v="In Stock-Approved"/>
    <d v="2026-04-20T00:00:00"/>
    <n v="7"/>
    <d v="2026-04-17T00:00:00"/>
    <n v="2026"/>
    <n v="4"/>
    <n v="16"/>
    <n v="36"/>
    <n v="864"/>
    <s v="White glazing"/>
    <s v="AEU"/>
  </r>
  <r>
    <s v="26Feb009.07"/>
    <s v="Yixing"/>
    <s v="26Feb009"/>
    <s v="CORE DG"/>
    <x v="0"/>
    <s v="Arrival Plan-SPUK"/>
    <s v="CIF"/>
    <x v="6"/>
    <s v="U3"/>
    <x v="61"/>
    <s v="GB0126030600012"/>
    <m/>
    <s v="n/a"/>
    <d v="2026-02-02T00:00:00"/>
    <x v="1"/>
    <x v="6"/>
    <s v="TCL-MR465DT182-58NS"/>
    <s v="EVO2A"/>
    <s v="±1200mm"/>
    <n v="465"/>
    <n v="1728"/>
    <n v="0.80352000000000001"/>
    <n v="48"/>
    <n v="2"/>
    <x v="0"/>
    <s v="COMPLETED"/>
    <m/>
    <d v="2026-02-20T00:00:00"/>
    <n v="8"/>
    <s v="POPV260226010"/>
    <m/>
    <s v="SHANGHAI"/>
    <x v="1"/>
    <x v="6"/>
    <d v="2026-02-23T00:00:00"/>
    <d v="2026-02-26T00:00:00"/>
    <d v="2026-02-26T00:00:00"/>
    <d v="2026-04-05T00:00:00"/>
    <d v="2026-04-12T00:00:00"/>
    <d v="2026-04-12T00:00:00"/>
    <s v="CIF"/>
    <m/>
    <s v="COSCO"/>
    <s v="TPVB20260208003"/>
    <x v="129"/>
    <s v="COSU6444956820"/>
    <n v="45"/>
    <m/>
    <d v="2026-04-12T00:00:00"/>
    <s v="In Stock-Approved"/>
    <d v="2026-04-20T00:00:00"/>
    <n v="7"/>
    <d v="2026-04-19T00:00:00"/>
    <n v="2026"/>
    <n v="4"/>
    <n v="16"/>
    <n v="36"/>
    <n v="864"/>
    <s v="White glazing"/>
    <s v="AEU"/>
  </r>
  <r>
    <s v="26Feb010.07"/>
    <s v="Yixing"/>
    <s v="26Feb010"/>
    <s v="CORE DG"/>
    <x v="0"/>
    <s v="Arrival Plan-SPUK"/>
    <s v="CIF"/>
    <x v="6"/>
    <s v="U3"/>
    <x v="61"/>
    <s v="GB0126030600012"/>
    <m/>
    <s v="n/a"/>
    <d v="2026-02-16T00:00:00"/>
    <x v="1"/>
    <x v="39"/>
    <s v="TCL-MR470DT182-58NS"/>
    <s v="EVO2A"/>
    <s v="±1200mm"/>
    <n v="470"/>
    <n v="2592"/>
    <n v="1.21824"/>
    <n v="72"/>
    <n v="3"/>
    <x v="0"/>
    <s v="COMPLETED"/>
    <m/>
    <d v="2026-02-20T00:00:00"/>
    <n v="8"/>
    <s v="POPV260226009"/>
    <m/>
    <s v="SHANGHAI"/>
    <x v="1"/>
    <x v="6"/>
    <d v="2026-02-23T00:00:00"/>
    <d v="2026-02-26T00:00:00"/>
    <d v="2026-02-26T00:00:00"/>
    <d v="2026-04-05T00:00:00"/>
    <d v="2026-04-12T00:00:00"/>
    <d v="2026-04-12T00:00:00"/>
    <s v="CIF"/>
    <m/>
    <s v="COSCO"/>
    <s v="TPVB20260208003"/>
    <x v="129"/>
    <s v="COSU6444956820"/>
    <n v="45"/>
    <m/>
    <d v="2026-04-12T00:00:00"/>
    <s v="In Stock-Approved"/>
    <d v="2026-04-27T00:00:00"/>
    <n v="7"/>
    <d v="2026-04-19T00:00:00"/>
    <n v="2026"/>
    <n v="4"/>
    <n v="16"/>
    <n v="36"/>
    <n v="864"/>
    <s v="White glazing"/>
    <s v="AEU"/>
  </r>
  <r>
    <s v="26Feb010.09"/>
    <s v="Yixing"/>
    <s v="26Feb010"/>
    <s v="CORE DG"/>
    <x v="0"/>
    <s v="Arrival Plan-SPTN"/>
    <s v="CIF"/>
    <x v="0"/>
    <s v="U6"/>
    <x v="53"/>
    <m/>
    <m/>
    <s v="n/a"/>
    <d v="2026-02-02T00:00:00"/>
    <x v="1"/>
    <x v="39"/>
    <s v="TCL-MR470DT182-58NS"/>
    <s v="EVO2A"/>
    <s v="±1200mm"/>
    <n v="470"/>
    <n v="6048"/>
    <n v="2.8425600000000002"/>
    <n v="168"/>
    <n v="7"/>
    <x v="0"/>
    <s v="COMPLETED"/>
    <m/>
    <d v="2026-02-19T00:00:00"/>
    <n v="8"/>
    <s v="POPV260226007"/>
    <m/>
    <s v="SHANGHAI"/>
    <x v="1"/>
    <x v="0"/>
    <d v="2026-02-23T00:00:00"/>
    <d v="2026-02-25T00:00:00"/>
    <d v="2026-02-25T00:00:00"/>
    <d v="2026-04-13T00:00:00"/>
    <d v="2026-04-24T00:00:00"/>
    <d v="2026-04-25T00:00:00"/>
    <s v="CIF"/>
    <m/>
    <s v="COSCO"/>
    <s v="TPVB20260208004"/>
    <x v="130"/>
    <s v="COSU6444861300"/>
    <n v="59"/>
    <m/>
    <d v="2026-04-25T00:00:00"/>
    <s v="In Stock-Approved"/>
    <d v="2026-05-08T00:00:00"/>
    <n v="8"/>
    <d v="2026-05-03T00:00:00"/>
    <n v="2026"/>
    <n v="5"/>
    <n v="18"/>
    <n v="36"/>
    <n v="864"/>
    <s v="White glazing"/>
    <s v="AEM"/>
  </r>
  <r>
    <s v="26JAN006.01"/>
    <s v="Yixing"/>
    <s v="26JAN006"/>
    <s v="CORE DG"/>
    <x v="1"/>
    <s v="SPTN Offstore in Transit WH"/>
    <s v="CIF"/>
    <x v="9"/>
    <s v="U2"/>
    <x v="27"/>
    <s v="ES0126012800033"/>
    <m/>
    <s v="Yes"/>
    <d v="2026-01-23T00:00:00"/>
    <x v="0"/>
    <x v="2"/>
    <s v="HSM-ND66-GR620"/>
    <s v="EVO2A"/>
    <s v="±1200mm"/>
    <n v="620"/>
    <n v="1440"/>
    <n v="0.89280000000000004"/>
    <n v="40"/>
    <n v="2"/>
    <x v="0"/>
    <s v="COMPLETED"/>
    <m/>
    <d v="2026-02-13T00:00:00"/>
    <n v="7"/>
    <s v="POPV260226017"/>
    <m/>
    <s v="SHANGHAI"/>
    <x v="1"/>
    <x v="2"/>
    <d v="2026-02-23T00:00:00"/>
    <d v="2026-02-25T00:00:00"/>
    <d v="2026-02-25T00:00:00"/>
    <d v="2026-04-16T00:00:00"/>
    <d v="2026-04-22T00:00:00"/>
    <d v="2026-04-22T00:00:00"/>
    <s v="CIF"/>
    <s v="CSCL PACIFIC OCEAN 065W"/>
    <s v="COSCO"/>
    <s v="TPVB20260208005"/>
    <x v="131"/>
    <s v="COSU6444958730"/>
    <n v="56"/>
    <m/>
    <d v="2026-04-22T00:00:00"/>
    <s v="In Stock-Approved"/>
    <d v="2026-04-30T00:00:00"/>
    <n v="0"/>
    <d v="2026-04-22T00:00:00"/>
    <n v="2026"/>
    <n v="4"/>
    <n v="17"/>
    <n v="36"/>
    <n v="720"/>
    <s v="White glazing"/>
    <s v="AEM"/>
  </r>
  <r>
    <s v="26Feb015.03"/>
    <s v="Yixing"/>
    <s v="26Feb015"/>
    <s v="CORE DG"/>
    <x v="1"/>
    <s v="SPTN Offstore in Transit WH"/>
    <s v="CIF"/>
    <x v="9"/>
    <s v="U2"/>
    <x v="27"/>
    <s v="ES0126012800033"/>
    <m/>
    <s v="Yes"/>
    <d v="2026-01-26T00:00:00"/>
    <x v="1"/>
    <x v="4"/>
    <s v="TCL-MG720DT210-68NS"/>
    <s v="EVO2A"/>
    <s v="±1400mm"/>
    <n v="720"/>
    <n v="2970"/>
    <n v="2.1383999999999999"/>
    <n v="90"/>
    <n v="5"/>
    <x v="0"/>
    <s v="COMPLETED"/>
    <m/>
    <d v="2026-02-13T00:00:00"/>
    <n v="7"/>
    <s v="POPV260226016"/>
    <m/>
    <s v="SHANGHAI"/>
    <x v="1"/>
    <x v="2"/>
    <d v="2026-02-23T00:00:00"/>
    <d v="2026-02-25T00:00:00"/>
    <d v="2026-02-25T00:00:00"/>
    <d v="2026-04-16T00:00:00"/>
    <d v="2026-04-22T00:00:00"/>
    <d v="2026-04-22T00:00:00"/>
    <s v="CIF"/>
    <s v="CSCL PACIFIC OCEAN 065W"/>
    <s v="COSCO"/>
    <s v="TPVB20260208005"/>
    <x v="131"/>
    <s v="COSU6444958730"/>
    <n v="56"/>
    <m/>
    <d v="2026-04-22T00:00:00"/>
    <s v="In Stock-Approved"/>
    <d v="2026-04-30T00:00:00"/>
    <n v="0"/>
    <d v="2026-04-22T00:00:00"/>
    <n v="2026"/>
    <n v="4"/>
    <n v="17"/>
    <n v="33"/>
    <n v="594"/>
    <s v="White glazing"/>
    <s v="AEM"/>
  </r>
  <r>
    <s v="26Feb017.02"/>
    <s v="Tianjin"/>
    <s v="26Feb017"/>
    <s v="CORE DG"/>
    <x v="0"/>
    <s v="Arrival Plan-SPNL"/>
    <s v="CIF"/>
    <x v="0"/>
    <s v="U1"/>
    <x v="62"/>
    <m/>
    <m/>
    <s v="Yes"/>
    <d v="2026-02-02T00:00:00"/>
    <x v="0"/>
    <x v="7"/>
    <s v="HSM-ND48-DR450"/>
    <s v="EVO2A"/>
    <s v="±1200mm"/>
    <n v="450"/>
    <n v="4680"/>
    <n v="2.1059999999999999"/>
    <n v="130"/>
    <n v="5"/>
    <x v="0"/>
    <s v="COMPLETED"/>
    <m/>
    <d v="2026-02-24T00:00:00"/>
    <n v="9"/>
    <s v="POPV260303020"/>
    <m/>
    <s v="TIANJIN"/>
    <x v="0"/>
    <x v="1"/>
    <d v="2026-03-03T00:00:00"/>
    <d v="2026-03-03T00:00:00"/>
    <d v="2026-03-04T00:00:00"/>
    <d v="2026-04-14T00:00:00"/>
    <d v="2026-04-30T00:00:00"/>
    <d v="2026-04-30T00:00:00"/>
    <s v="CIF"/>
    <s v="COSCO SHIPPING SAGITTARIUS 033W"/>
    <s v="COSCO"/>
    <s v="TPVB20260209001"/>
    <x v="132"/>
    <s v="COSU9506179630"/>
    <n v="57"/>
    <m/>
    <d v="2026-04-30T00:00:00"/>
    <s v="In Stock-Approved"/>
    <d v="2026-05-21T00:00:00"/>
    <n v="7"/>
    <d v="2026-05-07T00:00:00"/>
    <n v="2026"/>
    <n v="5"/>
    <n v="19"/>
    <n v="36"/>
    <n v="936"/>
    <s v="Black glazing"/>
    <s v="AEU"/>
  </r>
  <r>
    <s v="26Feb018.10"/>
    <s v="Tianjin"/>
    <s v="26Feb018"/>
    <s v="CORE DG"/>
    <x v="1"/>
    <s v="SPTN Offstore in Transit WH"/>
    <s v="CIF"/>
    <x v="16"/>
    <s v="U1"/>
    <x v="63"/>
    <s v="BE0126030400009"/>
    <m/>
    <s v="Yes"/>
    <d v="2026-02-02T00:00:00"/>
    <x v="0"/>
    <x v="35"/>
    <s v="HSM-ND48-DR455"/>
    <s v="EVO2A"/>
    <s v="±1200mm"/>
    <n v="455"/>
    <n v="3744"/>
    <n v="1.7035199999999999"/>
    <n v="104"/>
    <n v="4"/>
    <x v="0"/>
    <s v="COMPLETED"/>
    <m/>
    <d v="2026-02-24T00:00:00"/>
    <n v="9"/>
    <s v="POPV260303019"/>
    <m/>
    <s v="TIANJIN"/>
    <x v="0"/>
    <x v="1"/>
    <d v="2026-03-03T00:00:00"/>
    <d v="2026-03-03T00:00:00"/>
    <d v="2026-03-03T00:00:00"/>
    <d v="2026-04-14T00:00:00"/>
    <d v="2026-04-30T00:00:00"/>
    <d v="2026-04-29T00:00:00"/>
    <s v="CIF"/>
    <s v="COSCO SHIPPING SAGITTARIUS 033W"/>
    <s v="COSCO"/>
    <s v="TPVB20260209001-1"/>
    <x v="133"/>
    <s v="COSU9506179630"/>
    <n v="57"/>
    <m/>
    <d v="2026-04-29T00:00:00"/>
    <s v="In Stock-Approved"/>
    <d v="2026-04-28T00:00:00"/>
    <n v="0"/>
    <d v="2026-04-29T00:00:00"/>
    <n v="2026"/>
    <n v="4"/>
    <n v="18"/>
    <n v="36"/>
    <n v="936"/>
    <s v="Black glazing"/>
    <s v="AEU"/>
  </r>
  <r>
    <s v="26Feb017.03"/>
    <s v="Tianjin"/>
    <s v="26Feb017"/>
    <s v="CORE DG"/>
    <x v="0"/>
    <s v="Arrival Plan-SPNL"/>
    <s v="CIF"/>
    <x v="0"/>
    <s v="U1"/>
    <x v="64"/>
    <m/>
    <m/>
    <s v="n/a"/>
    <d v="2026-02-16T00:00:00"/>
    <x v="0"/>
    <x v="7"/>
    <s v="HSM-ND48-DR450"/>
    <s v="EVO2A"/>
    <s v="±1200mm"/>
    <n v="450"/>
    <n v="1872"/>
    <n v="0.84240000000000004"/>
    <n v="52"/>
    <n v="2"/>
    <x v="0"/>
    <s v="COMPLETED"/>
    <m/>
    <d v="2026-02-27T00:00:00"/>
    <n v="9"/>
    <s v="POPV260303017"/>
    <m/>
    <s v="TIANJIN"/>
    <x v="0"/>
    <x v="1"/>
    <d v="2026-03-03T00:00:00"/>
    <d v="2026-03-03T00:00:00"/>
    <d v="2026-03-03T00:00:00"/>
    <d v="2026-04-14T00:00:00"/>
    <d v="2026-04-30T00:00:00"/>
    <d v="2026-04-29T00:00:00"/>
    <s v="CIP"/>
    <s v="COSCO SHIPPING SAGITTARIUS 033W"/>
    <s v="COSCO"/>
    <s v="TPVB20260209002"/>
    <x v="134"/>
    <s v="COSU9506179610"/>
    <n v="57"/>
    <m/>
    <d v="2026-04-29T00:00:00"/>
    <s v="In Stock-Approved"/>
    <d v="2026-05-21T00:00:00"/>
    <n v="7"/>
    <d v="2026-05-06T00:00:00"/>
    <n v="2026"/>
    <n v="5"/>
    <n v="19"/>
    <n v="36"/>
    <n v="936"/>
    <s v="Black glazing"/>
    <s v="AEU"/>
  </r>
  <r>
    <s v="26JAN005.02.01"/>
    <s v="Tianjin"/>
    <s v="26JAN005"/>
    <s v="CORE DG"/>
    <x v="0"/>
    <s v="Arrival Plan-SPNL"/>
    <s v="CIF"/>
    <x v="0"/>
    <s v="U1"/>
    <x v="65"/>
    <m/>
    <m/>
    <s v="n/a"/>
    <d v="2026-01-26T00:00:00"/>
    <x v="0"/>
    <x v="43"/>
    <s v="HSM-ND54-DR505"/>
    <s v="EVO2A"/>
    <s v="±1200mm"/>
    <n v="505"/>
    <n v="2592"/>
    <n v="1.3089599999999999"/>
    <n v="72"/>
    <n v="3"/>
    <x v="0"/>
    <s v="COMPLETED"/>
    <m/>
    <d v="2026-02-25T00:00:00"/>
    <n v="9"/>
    <s v="POPV260417049"/>
    <m/>
    <s v="TIANJIN"/>
    <x v="0"/>
    <x v="1"/>
    <d v="2026-03-03T00:00:00"/>
    <d v="2026-03-03T00:00:00"/>
    <d v="2026-03-03T00:00:00"/>
    <d v="2026-04-14T00:00:00"/>
    <d v="2026-04-30T00:00:00"/>
    <d v="2026-04-29T00:00:00"/>
    <s v="CIF"/>
    <s v="COSCO SHIPPING SAGITTARIUS 033W"/>
    <s v="COSCO"/>
    <s v="TPVB20260209003"/>
    <x v="135"/>
    <s v="COSU9506164090"/>
    <n v="57"/>
    <m/>
    <d v="2026-04-29T00:00:00"/>
    <s v="In Stock-Approved"/>
    <d v="2026-05-11T00:00:00"/>
    <n v="7"/>
    <d v="2026-05-06T00:00:00"/>
    <n v="2026"/>
    <n v="5"/>
    <n v="19"/>
    <n v="36"/>
    <n v="864"/>
    <s v="Black glazing"/>
    <s v="AEU"/>
  </r>
  <r>
    <s v="26JAN005.02.02"/>
    <s v="Tianjin"/>
    <s v="26JAN005"/>
    <s v="CORE DG"/>
    <x v="1"/>
    <s v="SPTN Offstore in Transit WH"/>
    <s v="CIP"/>
    <x v="17"/>
    <s v="U1"/>
    <x v="66"/>
    <s v="CH0126040800025"/>
    <m/>
    <s v="Yes"/>
    <d v="2026-01-26T00:00:00"/>
    <x v="0"/>
    <x v="43"/>
    <s v="HSM-ND54-DR505"/>
    <s v="EVO2A"/>
    <s v="±1200mm"/>
    <n v="505"/>
    <n v="1728"/>
    <n v="0.87263999999999997"/>
    <n v="48"/>
    <n v="2"/>
    <x v="0"/>
    <s v="COMPLETED"/>
    <m/>
    <d v="2026-02-25T00:00:00"/>
    <n v="9"/>
    <s v="POPV260421029"/>
    <m/>
    <s v="TIANJIN"/>
    <x v="0"/>
    <x v="1"/>
    <d v="2026-03-03T00:00:00"/>
    <d v="2026-03-03T00:00:00"/>
    <d v="2026-03-03T00:00:00"/>
    <d v="2026-04-14T00:00:00"/>
    <d v="2026-04-30T00:00:00"/>
    <d v="2026-04-29T00:00:00"/>
    <s v="CIP"/>
    <s v="COSCO SHIPPING SAGITTARIUS 033W"/>
    <s v="COSCO"/>
    <s v="TPVB20260209003"/>
    <x v="136"/>
    <s v="COSU9506164090"/>
    <n v="57"/>
    <m/>
    <d v="2026-04-29T00:00:00"/>
    <s v="In Stock-Approved"/>
    <d v="2026-05-11T00:00:00"/>
    <n v="0"/>
    <d v="2026-04-29T00:00:00"/>
    <n v="2026"/>
    <n v="4"/>
    <n v="18"/>
    <n v="36"/>
    <n v="864"/>
    <s v="Black glazing"/>
    <s v="AEU"/>
  </r>
  <r>
    <s v="26Mar022.02"/>
    <s v="Tianjin"/>
    <s v="26Mar022"/>
    <s v="UPP"/>
    <x v="0"/>
    <s v="Arrival Plan-SPTN"/>
    <s v="CIF"/>
    <x v="0"/>
    <s v="U1"/>
    <x v="67"/>
    <m/>
    <m/>
    <s v="n/a"/>
    <d v="2026-01-23T00:00:00"/>
    <x v="7"/>
    <x v="44"/>
    <s v="HSM-GRA-NM620-CFP"/>
    <s v="EVO2A"/>
    <s v="±1600mm"/>
    <n v="620"/>
    <n v="144"/>
    <n v="8.9279999999999998E-2"/>
    <n v="4"/>
    <n v="0.25"/>
    <x v="0"/>
    <s v="COMPLETED"/>
    <m/>
    <d v="2026-02-26T00:00:00"/>
    <n v="9"/>
    <s v="POPV260303016"/>
    <m/>
    <s v="TIANJIN"/>
    <x v="0"/>
    <x v="5"/>
    <d v="2026-03-02T00:00:00"/>
    <d v="2026-03-03T00:00:00"/>
    <d v="2026-03-03T00:00:00"/>
    <d v="2026-04-21T00:00:00"/>
    <d v="2026-04-27T00:00:00"/>
    <d v="2026-04-28T00:00:00"/>
    <s v="CIF"/>
    <s v="CMA CGM CAIMEP / 0BYOFS1MA"/>
    <s v="OTHER"/>
    <s v="TPVB20260209007"/>
    <x v="137"/>
    <s v="TJN0886761"/>
    <n v="56"/>
    <m/>
    <d v="2026-04-28T00:00:00"/>
    <s v="In Stock-Approved"/>
    <d v="2026-05-11T00:00:00"/>
    <n v="10"/>
    <d v="2026-05-08T00:00:00"/>
    <n v="2026"/>
    <n v="5"/>
    <n v="19"/>
    <n v="36"/>
    <n v="576"/>
    <s v="White glazing"/>
    <s v="AEU"/>
  </r>
  <r>
    <s v="26Mar023"/>
    <s v="Tianjin"/>
    <s v="Main Line"/>
    <s v="UPP"/>
    <x v="0"/>
    <s v="Arrival Plan-SPTN"/>
    <s v="CIF"/>
    <x v="0"/>
    <s v="U1"/>
    <x v="68"/>
    <m/>
    <m/>
    <s v="n/a"/>
    <d v="2026-01-23T00:00:00"/>
    <x v="7"/>
    <x v="28"/>
    <s v="HSM-GRA-NM625-CFP"/>
    <s v="EVO2A"/>
    <s v="±1600mm"/>
    <n v="625"/>
    <n v="288"/>
    <n v="0.18"/>
    <n v="8"/>
    <n v="0.5"/>
    <x v="0"/>
    <s v="COMPLETED"/>
    <m/>
    <d v="2026-02-26T00:00:00"/>
    <n v="9"/>
    <s v="POPV260303015"/>
    <m/>
    <s v="TIANJIN"/>
    <x v="0"/>
    <x v="5"/>
    <d v="2026-03-02T00:00:00"/>
    <d v="2026-03-03T00:00:00"/>
    <d v="2026-03-03T00:00:00"/>
    <d v="2026-04-21T00:00:00"/>
    <d v="2026-04-27T00:00:00"/>
    <d v="2026-04-28T00:00:00"/>
    <s v="CIF"/>
    <s v="CMA CGM CAIMEP / 0BYOFS1MA"/>
    <s v="OTHER"/>
    <s v="TPVB20260209007"/>
    <x v="137"/>
    <s v="TJN0886761"/>
    <n v="56"/>
    <m/>
    <d v="2026-04-28T00:00:00"/>
    <s v="In Stock-Approved"/>
    <d v="2026-05-11T00:00:00"/>
    <n v="10"/>
    <d v="2026-05-08T00:00:00"/>
    <n v="2026"/>
    <n v="5"/>
    <n v="19"/>
    <n v="36"/>
    <n v="576"/>
    <s v="White glazing"/>
    <s v="AEU"/>
  </r>
  <r>
    <s v="26Mar025.02"/>
    <s v="Tianjin"/>
    <s v="26Mar025"/>
    <s v="UPP"/>
    <x v="0"/>
    <s v="Arrival Plan-SPTN"/>
    <s v="CIF"/>
    <x v="0"/>
    <s v="U3"/>
    <x v="69"/>
    <m/>
    <m/>
    <s v="n/a"/>
    <d v="2026-01-23T00:00:00"/>
    <x v="7"/>
    <x v="28"/>
    <s v="HSM-GRA-NM625-CFP"/>
    <s v="EVO2A"/>
    <s v="±1600mm"/>
    <n v="625"/>
    <n v="3600"/>
    <n v="2.25"/>
    <n v="100"/>
    <n v="6.25"/>
    <x v="0"/>
    <s v="COMPLETED"/>
    <m/>
    <d v="2026-02-26T00:00:00"/>
    <n v="9"/>
    <s v="POPV260303013"/>
    <m/>
    <s v="TIANJIN"/>
    <x v="0"/>
    <x v="5"/>
    <d v="2026-03-02T00:00:00"/>
    <d v="2026-03-03T00:00:00"/>
    <d v="2026-03-03T00:00:00"/>
    <d v="2026-04-21T00:00:00"/>
    <d v="2026-04-27T00:00:00"/>
    <d v="2026-04-28T00:00:00"/>
    <s v="CIF"/>
    <s v="CMA CGM CAIMEP / 0BYOFS1MA"/>
    <s v="OTHER"/>
    <s v="TPVB20260209007"/>
    <x v="137"/>
    <s v="TJN0886761"/>
    <n v="56"/>
    <m/>
    <d v="2026-04-28T00:00:00"/>
    <s v="In Stock-Approved"/>
    <d v="2026-05-11T00:00:00"/>
    <n v="10"/>
    <d v="2026-05-08T00:00:00"/>
    <n v="2026"/>
    <n v="5"/>
    <n v="19"/>
    <n v="36"/>
    <n v="576"/>
    <s v="White glazing"/>
    <s v="AEU"/>
  </r>
  <r>
    <s v="26Mar025"/>
    <s v="Tianjin"/>
    <s v="Main Line"/>
    <s v="UPP"/>
    <x v="0"/>
    <s v="Arrival Plan-SPTN"/>
    <s v="CIF"/>
    <x v="0"/>
    <s v="U3"/>
    <x v="69"/>
    <m/>
    <m/>
    <s v="n/a"/>
    <d v="2026-01-23T00:00:00"/>
    <x v="7"/>
    <x v="28"/>
    <s v="HSM-GRA-NM625-CFP"/>
    <s v="EVO2A"/>
    <s v="±1600mm"/>
    <n v="625"/>
    <n v="4032"/>
    <n v="2.52"/>
    <n v="112"/>
    <n v="7"/>
    <x v="0"/>
    <s v="COMPLETED"/>
    <m/>
    <d v="2026-02-25T00:00:00"/>
    <n v="9"/>
    <s v="POPV260303012"/>
    <m/>
    <s v="TIANJIN"/>
    <x v="0"/>
    <x v="5"/>
    <d v="2026-03-02T00:00:00"/>
    <d v="2026-03-03T00:00:00"/>
    <d v="2026-03-03T00:00:00"/>
    <d v="2026-04-21T00:00:00"/>
    <d v="2026-04-27T00:00:00"/>
    <d v="2026-04-28T00:00:00"/>
    <s v="CIF"/>
    <s v="CMA CGM CAIMEP / 0BYOFS1MA"/>
    <s v="OTHER"/>
    <s v="TPVB20260209008"/>
    <x v="138"/>
    <s v="TJN0886296"/>
    <n v="56"/>
    <m/>
    <d v="2026-04-28T00:00:00"/>
    <s v="In Stock-Approved"/>
    <d v="2026-05-11T00:00:00"/>
    <n v="10"/>
    <d v="2026-05-08T00:00:00"/>
    <n v="2026"/>
    <n v="5"/>
    <n v="19"/>
    <n v="36"/>
    <n v="576"/>
    <s v="White glazing"/>
    <s v="AEU"/>
  </r>
  <r>
    <s v="26Mar026.01"/>
    <s v="Yixing"/>
    <s v="26Mar026"/>
    <s v="UPP"/>
    <x v="0"/>
    <s v="Arrival Plan-SPTN"/>
    <s v="CIF"/>
    <x v="0"/>
    <s v="U3"/>
    <x v="70"/>
    <s v="tbc"/>
    <m/>
    <s v="n/a"/>
    <d v="2026-01-23T00:00:00"/>
    <x v="7"/>
    <x v="45"/>
    <s v="HSM-GHF-NM615-CFP"/>
    <s v="EVO2A"/>
    <s v="±1500mm"/>
    <n v="615"/>
    <n v="1440"/>
    <n v="0.88560000000000005"/>
    <n v="40"/>
    <n v="2"/>
    <x v="0"/>
    <s v="COMPLETED"/>
    <m/>
    <d v="2026-02-23T00:00:00"/>
    <n v="9"/>
    <s v="POPV260305017"/>
    <m/>
    <s v="SHANGHAI"/>
    <x v="1"/>
    <x v="5"/>
    <d v="2026-02-26T00:00:00"/>
    <d v="2026-02-26T00:00:00"/>
    <d v="2026-02-26T00:00:00"/>
    <d v="2026-04-20T00:00:00"/>
    <d v="2026-04-23T00:00:00"/>
    <d v="2026-04-23T00:00:00"/>
    <s v="CIF"/>
    <s v="CMA CGM LA SCALA 901W"/>
    <s v="COSCO"/>
    <s v="TPVB20260209006"/>
    <x v="139"/>
    <s v="COSU6445336810"/>
    <n v="56"/>
    <m/>
    <d v="2026-04-23T00:00:00"/>
    <s v="In Stock-Approved"/>
    <d v="2026-05-07T00:00:00"/>
    <n v="10"/>
    <d v="2026-05-03T00:00:00"/>
    <n v="2026"/>
    <n v="5"/>
    <n v="18"/>
    <n v="36"/>
    <n v="720"/>
    <s v="White glazing"/>
    <s v="AEU"/>
  </r>
  <r>
    <s v="26Feb009.03"/>
    <s v="Yixing"/>
    <s v="26Feb009"/>
    <s v="CORE DG"/>
    <x v="0"/>
    <s v="Arrival Plan-SPNL"/>
    <s v="CIF"/>
    <x v="0"/>
    <s v="U1"/>
    <x v="14"/>
    <m/>
    <m/>
    <s v="n/a"/>
    <d v="2026-02-16T00:00:00"/>
    <x v="1"/>
    <x v="6"/>
    <s v="TCL-MR465DT182-58NS"/>
    <s v="EVO2A"/>
    <s v="±1200mm"/>
    <n v="465"/>
    <n v="4320"/>
    <n v="2.0087999999999999"/>
    <n v="120"/>
    <n v="5"/>
    <x v="0"/>
    <s v="COMPLETED"/>
    <m/>
    <d v="2026-02-24T00:00:00"/>
    <n v="9"/>
    <s v="POPV260305016"/>
    <m/>
    <s v="SHANGHAI"/>
    <x v="1"/>
    <x v="1"/>
    <d v="2026-03-07T00:00:00"/>
    <d v="2026-03-05T00:00:00"/>
    <d v="2026-03-09T00:00:00"/>
    <d v="2026-04-10T00:00:00"/>
    <d v="2026-04-29T00:00:00"/>
    <d v="2026-04-25T00:00:00"/>
    <s v="CIF"/>
    <s v="COSCO SHIPPING GEMINI 035W"/>
    <s v="COSCO"/>
    <s v="TPVB20260209009"/>
    <x v="140"/>
    <s v="COSU6445390870"/>
    <n v="47"/>
    <m/>
    <d v="2026-04-25T00:00:00"/>
    <s v="In Stock-Approved"/>
    <d v="2026-05-08T00:00:00"/>
    <n v="7"/>
    <d v="2026-05-02T00:00:00"/>
    <n v="2026"/>
    <n v="5"/>
    <n v="18"/>
    <n v="36"/>
    <n v="864"/>
    <s v="White glazing"/>
    <s v="AEU"/>
  </r>
  <r>
    <s v="26Feb009.01"/>
    <s v="Yixing"/>
    <s v="26Feb009"/>
    <s v="CORE DG"/>
    <x v="0"/>
    <s v="Arrival Plan-SPNL"/>
    <s v="CIF"/>
    <x v="0"/>
    <s v="U1"/>
    <x v="71"/>
    <m/>
    <m/>
    <s v="n/a"/>
    <d v="2026-02-02T00:00:00"/>
    <x v="1"/>
    <x v="6"/>
    <s v="TCL-MR465DT182-58NS"/>
    <s v="EVO2A"/>
    <s v="±1200mm"/>
    <n v="465"/>
    <n v="5184"/>
    <n v="2.4105599999999998"/>
    <n v="144"/>
    <n v="6"/>
    <x v="0"/>
    <s v="COMPLETED"/>
    <m/>
    <d v="2026-02-26T00:00:00"/>
    <n v="9"/>
    <s v="POPV260305015"/>
    <m/>
    <s v="SHANGHAI"/>
    <x v="1"/>
    <x v="1"/>
    <d v="2026-03-07T00:00:00"/>
    <d v="2026-03-05T00:00:00"/>
    <d v="2026-03-09T00:00:00"/>
    <d v="2026-04-10T00:00:00"/>
    <d v="2026-04-29T00:00:00"/>
    <d v="2026-04-25T00:00:00"/>
    <s v="CIF"/>
    <s v="COSCO SHIPPING GEMINI _x000a_035W"/>
    <s v="COSCO"/>
    <s v="TPVB20260209009"/>
    <x v="140"/>
    <s v="COSU6445390870"/>
    <n v="47"/>
    <m/>
    <d v="2026-04-25T00:00:00"/>
    <s v="In Stock-Approved"/>
    <d v="2026-05-08T00:00:00"/>
    <n v="7"/>
    <d v="2026-05-02T00:00:00"/>
    <n v="2026"/>
    <n v="5"/>
    <n v="18"/>
    <n v="36"/>
    <n v="864"/>
    <s v="White glazing"/>
    <s v="AEU"/>
  </r>
  <r>
    <s v="26Feb010.15"/>
    <s v="Yixing"/>
    <s v="26Feb010"/>
    <s v="CORE DG"/>
    <x v="0"/>
    <s v="Arrival Plan-SPNL"/>
    <s v="CIF"/>
    <x v="0"/>
    <s v="U1"/>
    <x v="3"/>
    <m/>
    <m/>
    <s v="n/a"/>
    <s v="n/a"/>
    <x v="1"/>
    <x v="39"/>
    <s v="TCL-MR470DT182-58NS"/>
    <s v="EVO2A"/>
    <s v="±1200mm"/>
    <n v="470"/>
    <n v="864"/>
    <n v="0.40608"/>
    <n v="24"/>
    <n v="1"/>
    <x v="0"/>
    <s v="COMPLETED"/>
    <m/>
    <d v="2026-02-26T00:00:00"/>
    <n v="9"/>
    <s v="POPV260305014"/>
    <m/>
    <s v="SHANGHAI"/>
    <x v="1"/>
    <x v="1"/>
    <d v="2026-03-07T00:00:00"/>
    <d v="2026-03-05T00:00:00"/>
    <d v="2026-03-09T00:00:00"/>
    <d v="2026-04-10T00:00:00"/>
    <d v="2026-04-29T00:00:00"/>
    <d v="2026-04-25T00:00:00"/>
    <s v="CIF"/>
    <s v="COSCO SHIPPING GEMINI _x000a_035W"/>
    <s v="COSCO"/>
    <s v="TPVB20260209009"/>
    <x v="140"/>
    <s v="COSU6445390870"/>
    <n v="47"/>
    <m/>
    <d v="2026-04-25T00:00:00"/>
    <s v="In Stock-Approved"/>
    <d v="2026-05-08T00:00:00"/>
    <n v="7"/>
    <d v="2026-05-02T00:00:00"/>
    <n v="2026"/>
    <n v="5"/>
    <n v="18"/>
    <n v="36"/>
    <n v="864"/>
    <s v="White glazing"/>
    <s v="AEU"/>
  </r>
  <r>
    <s v="26Feb009.06"/>
    <s v="Yixing"/>
    <s v="26Feb009"/>
    <s v="CORE DG"/>
    <x v="0"/>
    <s v="Arrival Plan-SPUK"/>
    <s v="CIF"/>
    <x v="6"/>
    <s v="U1"/>
    <x v="72"/>
    <m/>
    <m/>
    <s v="n/a"/>
    <d v="2026-02-16T00:00:00"/>
    <x v="1"/>
    <x v="6"/>
    <s v="TCL-MR465DT182-58NS"/>
    <s v="EVO2A"/>
    <s v="±1200mm"/>
    <n v="465"/>
    <n v="864"/>
    <n v="0.40176000000000001"/>
    <n v="24"/>
    <n v="1"/>
    <x v="0"/>
    <s v="COMPLETED"/>
    <m/>
    <d v="2026-02-24T00:00:00"/>
    <n v="9"/>
    <s v="POPV260305013"/>
    <m/>
    <s v="SHANGHAI"/>
    <x v="1"/>
    <x v="6"/>
    <d v="2026-03-02T00:00:00"/>
    <d v="2026-03-01T00:00:00"/>
    <d v="2026-03-01T00:00:00"/>
    <d v="2026-04-12T00:00:00"/>
    <d v="2026-04-19T00:00:00"/>
    <d v="2026-04-19T00:00:00"/>
    <s v="CIF"/>
    <s v="TAMPA TRIUMPH 1390-042W"/>
    <s v="COSCO"/>
    <s v="TPVB20260209010"/>
    <x v="141"/>
    <s v="COSU6445391090"/>
    <n v="49"/>
    <m/>
    <d v="2026-04-19T00:00:00"/>
    <s v="In Stock-Approved"/>
    <d v="2026-05-04T00:00:00"/>
    <n v="7"/>
    <d v="2026-04-26T00:00:00"/>
    <n v="2026"/>
    <n v="4"/>
    <n v="17"/>
    <n v="36"/>
    <n v="864"/>
    <s v="White glazing"/>
    <s v="AEU"/>
  </r>
  <r>
    <s v="26Mar026.02"/>
    <s v="Yixing"/>
    <s v="26Mar026"/>
    <s v="UPP"/>
    <x v="0"/>
    <s v="Arrival Plan-SPTN"/>
    <s v="CIF"/>
    <x v="0"/>
    <s v="U3"/>
    <x v="70"/>
    <s v="tbc"/>
    <m/>
    <s v="n/a"/>
    <d v="2026-01-23T00:00:00"/>
    <x v="7"/>
    <x v="45"/>
    <s v="HSM-GHF-NM615-CFP"/>
    <s v="EVO2A"/>
    <s v="±1500mm"/>
    <n v="615"/>
    <n v="720"/>
    <n v="0.44280000000000003"/>
    <n v="20"/>
    <n v="1"/>
    <x v="0"/>
    <s v="COMPLETED"/>
    <m/>
    <d v="2026-02-25T00:00:00"/>
    <n v="9"/>
    <s v="POPV260305010"/>
    <m/>
    <s v="SHANGHAI"/>
    <x v="1"/>
    <x v="5"/>
    <d v="2026-03-08T00:00:00"/>
    <d v="2026-03-07T00:00:00"/>
    <d v="2026-03-08T00:00:00"/>
    <d v="2026-04-14T00:00:00"/>
    <d v="2026-04-14T00:00:00"/>
    <d v="2026-04-12T00:00:00"/>
    <s v="CIF"/>
    <s v="CMA CGM RIVOLI 0FMM0W1MA"/>
    <s v="COSCO"/>
    <s v="TPVB20260310011"/>
    <x v="102"/>
    <s v="COSU6445391520"/>
    <n v="35"/>
    <m/>
    <d v="2026-04-12T00:00:00"/>
    <s v="In Stock-Approved"/>
    <d v="2026-04-21T00:00:00"/>
    <n v="10"/>
    <d v="2026-04-22T00:00:00"/>
    <n v="2026"/>
    <n v="4"/>
    <n v="17"/>
    <n v="36"/>
    <n v="720"/>
    <s v="White glazing"/>
    <s v="AEU"/>
  </r>
  <r>
    <s v="26Feb015.09"/>
    <s v="Yixing"/>
    <s v="26Feb015"/>
    <s v="CORE DG"/>
    <x v="0"/>
    <s v="Arrival Plan-SPNL"/>
    <s v="CIF"/>
    <x v="0"/>
    <s v="U1"/>
    <x v="3"/>
    <m/>
    <m/>
    <s v="n/a"/>
    <d v="2026-01-26T00:00:00"/>
    <x v="1"/>
    <x v="4"/>
    <s v="TCL-MG720DT210-68NS"/>
    <s v="EVO2A"/>
    <s v="±1400mm"/>
    <n v="720"/>
    <n v="2970"/>
    <n v="2.1383999999999999"/>
    <n v="90"/>
    <n v="5"/>
    <x v="0"/>
    <s v="COMPLETED"/>
    <m/>
    <d v="2026-03-01T00:00:00"/>
    <n v="9"/>
    <s v="POPV260309057"/>
    <m/>
    <s v="SHANGHAI"/>
    <x v="1"/>
    <x v="1"/>
    <d v="2026-03-10T00:00:00"/>
    <d v="2026-03-15T00:00:00"/>
    <d v="2026-03-16T00:00:00"/>
    <d v="2026-04-15T00:00:00"/>
    <d v="2026-04-25T00:00:00"/>
    <d v="2026-04-25T00:00:00"/>
    <s v="CIF"/>
    <s v="EVER ART 1391-014W"/>
    <s v="COSCO"/>
    <s v="TPVB20260310013"/>
    <x v="142"/>
    <s v="COSU6445452890"/>
    <n v="40"/>
    <m/>
    <d v="2026-04-25T00:00:00"/>
    <s v="In Stock-Approved"/>
    <d v="2026-05-08T00:00:00"/>
    <n v="7"/>
    <d v="2026-05-02T00:00:00"/>
    <n v="2026"/>
    <n v="5"/>
    <n v="18"/>
    <n v="33"/>
    <n v="594"/>
    <s v="White glazing"/>
    <s v="AEU"/>
  </r>
  <r>
    <s v="26Feb010.10"/>
    <s v="Yixing"/>
    <s v="26Feb010"/>
    <s v="CORE DG"/>
    <x v="0"/>
    <s v="Arrival Plan-SPNL"/>
    <s v="CIF"/>
    <x v="0"/>
    <s v="U1"/>
    <x v="3"/>
    <m/>
    <m/>
    <s v="n/a"/>
    <d v="2026-02-23T00:00:00"/>
    <x v="1"/>
    <x v="39"/>
    <s v="TCL-MR470DT182-58NS"/>
    <s v="EVO2A"/>
    <s v="±1200mm"/>
    <n v="470"/>
    <n v="3456"/>
    <n v="1.62432"/>
    <n v="96"/>
    <n v="4"/>
    <x v="0"/>
    <s v="COMPLETED"/>
    <m/>
    <d v="2026-03-01T00:00:00"/>
    <n v="9"/>
    <s v="POPV260309056"/>
    <m/>
    <s v="SHANGHAI"/>
    <x v="1"/>
    <x v="1"/>
    <d v="2026-03-10T00:00:00"/>
    <d v="2026-03-15T00:00:00"/>
    <d v="2026-03-15T00:00:00"/>
    <d v="2026-04-14T00:00:00"/>
    <d v="2026-04-30T00:00:00"/>
    <d v="2026-04-29T00:00:00"/>
    <s v="CIF"/>
    <s v="COSCO SHIPPING SAGITTARIUS 033W"/>
    <s v="COSCO"/>
    <s v="TPVB20260310017"/>
    <x v="104"/>
    <s v="COSU6445811650"/>
    <n v="45"/>
    <m/>
    <d v="2026-04-29T00:00:00"/>
    <s v="In Stock-Approved"/>
    <d v="2026-05-21T00:00:00"/>
    <n v="7"/>
    <d v="2026-05-06T00:00:00"/>
    <n v="2026"/>
    <n v="5"/>
    <n v="19"/>
    <n v="36"/>
    <n v="864"/>
    <s v="White glazing"/>
    <s v="AEU"/>
  </r>
  <r>
    <s v="26Feb015.10"/>
    <s v="Yixing"/>
    <s v="26Feb015"/>
    <s v="CORE DG"/>
    <x v="0"/>
    <s v="Arrival Plan-SPNL"/>
    <s v="CIF"/>
    <x v="0"/>
    <s v="U1"/>
    <x v="3"/>
    <m/>
    <m/>
    <s v="n/a"/>
    <d v="2026-01-26T00:00:00"/>
    <x v="1"/>
    <x v="4"/>
    <s v="TCL-MG720DT210-68NS"/>
    <s v="EVO2A"/>
    <s v="±1400mm"/>
    <n v="720"/>
    <n v="1188"/>
    <n v="0.85536000000000001"/>
    <n v="36"/>
    <n v="2"/>
    <x v="0"/>
    <s v="COMPLETED"/>
    <m/>
    <d v="2026-03-01T00:00:00"/>
    <n v="9"/>
    <s v="POPV260309054"/>
    <m/>
    <s v="SHANGHAI"/>
    <x v="1"/>
    <x v="1"/>
    <d v="2026-03-10T00:00:00"/>
    <d v="2026-03-15T00:00:00"/>
    <d v="2026-03-15T00:00:00"/>
    <d v="2026-04-14T00:00:00"/>
    <d v="2026-04-30T00:00:00"/>
    <d v="2026-04-29T00:00:00"/>
    <s v="CIF"/>
    <s v="COSCO SHIPPING SAGITTARIUS 033W"/>
    <s v="COSCO"/>
    <s v="TPVB20260310017"/>
    <x v="104"/>
    <s v="COSU6445811650"/>
    <n v="45"/>
    <m/>
    <d v="2026-04-29T00:00:00"/>
    <s v="In Stock-Approved"/>
    <d v="2026-05-21T00:00:00"/>
    <n v="7"/>
    <d v="2026-05-06T00:00:00"/>
    <n v="2026"/>
    <n v="5"/>
    <n v="19"/>
    <n v="33"/>
    <n v="594"/>
    <s v="White glazing"/>
    <s v="AEU"/>
  </r>
  <r>
    <s v="26Mar003"/>
    <s v="Yixing"/>
    <s v="Main Line"/>
    <s v="CORE DG"/>
    <x v="0"/>
    <s v="Arrival Plan-SPTN"/>
    <s v="CIF"/>
    <x v="0"/>
    <s v="U2"/>
    <x v="73"/>
    <m/>
    <m/>
    <s v="n/a"/>
    <d v="2026-01-23T00:00:00"/>
    <x v="7"/>
    <x v="46"/>
    <s v="SPR-P7-545-COM-S"/>
    <s v="EVO2A"/>
    <s v="±1500mm"/>
    <n v="545"/>
    <n v="3498"/>
    <n v="1.9064099999999999"/>
    <n v="106"/>
    <n v="5.3"/>
    <x v="0"/>
    <s v="COMPLETED"/>
    <m/>
    <d v="2026-03-01T00:00:00"/>
    <n v="9"/>
    <s v="POPV260310011"/>
    <m/>
    <s v="SHANGHAI"/>
    <x v="1"/>
    <x v="0"/>
    <d v="2026-03-11T00:00:00"/>
    <d v="2026-03-11T00:00:00"/>
    <d v="2026-03-13T00:00:00"/>
    <d v="2026-05-01T00:00:00"/>
    <d v="2026-05-02T00:00:00"/>
    <d v="2026-05-02T00:00:00"/>
    <s v="CIF"/>
    <s v="OOCL SCANDINAVIA 036W"/>
    <s v="COSCO"/>
    <s v="TPVB20260310018"/>
    <x v="143"/>
    <s v="COSU6445392050"/>
    <n v="50"/>
    <m/>
    <d v="2026-05-02T00:00:00"/>
    <s v="In Stock-Approved"/>
    <d v="2026-05-18T00:00:00"/>
    <n v="8"/>
    <d v="2026-05-10T00:00:00"/>
    <n v="2026"/>
    <n v="5"/>
    <n v="19"/>
    <n v="33"/>
    <n v="660"/>
    <s v="White glazing"/>
    <s v="AEM"/>
  </r>
  <r>
    <s v="26Mar004"/>
    <s v="Yixing"/>
    <s v="Main Line"/>
    <s v="CORE DG"/>
    <x v="0"/>
    <s v="Arrival Plan-SPTN"/>
    <s v="CIF"/>
    <x v="0"/>
    <s v="U2"/>
    <x v="74"/>
    <m/>
    <m/>
    <s v="n/a"/>
    <d v="2026-01-23T00:00:00"/>
    <x v="7"/>
    <x v="18"/>
    <s v="SPR-P7-550-COM-S"/>
    <s v="EVO2A"/>
    <s v="±1500mm"/>
    <n v="550"/>
    <n v="462"/>
    <n v="0.25409999999999999"/>
    <n v="14"/>
    <n v="0.7"/>
    <x v="0"/>
    <s v="COMPLETED"/>
    <m/>
    <d v="2026-03-01T00:00:00"/>
    <n v="9"/>
    <s v="POPV260310010"/>
    <m/>
    <s v="SHANGHAI"/>
    <x v="1"/>
    <x v="0"/>
    <d v="2026-03-11T00:00:00"/>
    <d v="2026-03-11T00:00:00"/>
    <d v="2026-03-13T00:00:00"/>
    <d v="2026-05-01T00:00:00"/>
    <d v="2026-05-02T00:00:00"/>
    <d v="2026-05-02T00:00:00"/>
    <s v="CIF"/>
    <s v="OOCL SCANDINAVIA 036W"/>
    <s v="COSCO"/>
    <s v="TPVB20260310018"/>
    <x v="143"/>
    <s v="COSU6445392050"/>
    <n v="50"/>
    <m/>
    <d v="2026-05-02T00:00:00"/>
    <s v="In Stock-Approved"/>
    <d v="2026-05-18T00:00:00"/>
    <n v="8"/>
    <d v="2026-05-10T00:00:00"/>
    <n v="2026"/>
    <n v="5"/>
    <n v="19"/>
    <n v="33"/>
    <n v="660"/>
    <s v="White glazing"/>
    <s v="AEM"/>
  </r>
  <r>
    <s v="26Mar014"/>
    <s v="Tianjin"/>
    <s v="Main Line"/>
    <s v="CORE DG"/>
    <x v="1"/>
    <s v="SPTN Offstore in Transit WH"/>
    <s v="CIF"/>
    <x v="8"/>
    <s v="U2"/>
    <x v="75"/>
    <s v="IE0126020500033"/>
    <m/>
    <s v="Yes"/>
    <d v="2026-01-23T00:00:00"/>
    <x v="8"/>
    <x v="47"/>
    <s v="HSM-ND48-DR440"/>
    <s v="EVO2A"/>
    <s v="±1400mm"/>
    <n v="440"/>
    <n v="4392"/>
    <n v="1.93248"/>
    <n v="122"/>
    <n v="4.6923076923076925"/>
    <x v="0"/>
    <s v="COMPLETED"/>
    <m/>
    <d v="2026-02-28T00:00:00"/>
    <n v="9"/>
    <s v="POPV260305008"/>
    <m/>
    <s v="TIANJIN"/>
    <x v="0"/>
    <x v="8"/>
    <d v="2026-03-07T00:00:00"/>
    <d v="2026-03-10T00:00:00"/>
    <d v="2026-03-09T00:00:00"/>
    <d v="2026-05-12T00:00:00"/>
    <d v="2026-05-26T00:00:00"/>
    <d v="2026-05-22T00:00:00"/>
    <s v="CIF"/>
    <s v="MSC OLIVIA  GA610W M5LKD7"/>
    <s v="OTHER"/>
    <s v="TPVB20260310021"/>
    <x v="144"/>
    <s v="177KFAFAXVNN1026"/>
    <n v="74"/>
    <m/>
    <d v="2026-05-22T00:00:00"/>
    <s v="In Stock-Approved"/>
    <d v="2026-05-26T00:00:00"/>
    <n v="0"/>
    <d v="2026-05-22T00:00:00"/>
    <n v="2026"/>
    <n v="5"/>
    <n v="21"/>
    <n v="36"/>
    <n v="936"/>
    <s v="Black glazing"/>
    <s v="AEU"/>
  </r>
  <r>
    <s v="26Mar015"/>
    <s v="Tianjin"/>
    <s v="Main Line"/>
    <s v="CORE DG"/>
    <x v="1"/>
    <s v="SPTN Offstore in Transit WH"/>
    <s v="CIF"/>
    <x v="8"/>
    <s v="U2"/>
    <x v="75"/>
    <s v="IE0126020500033"/>
    <m/>
    <s v="Yes"/>
    <d v="2026-01-23T00:00:00"/>
    <x v="8"/>
    <x v="23"/>
    <s v="HSM-ND48-DR445"/>
    <s v="EVO2A"/>
    <s v="±1400mm"/>
    <n v="445"/>
    <n v="8352"/>
    <n v="3.7166399999999999"/>
    <n v="232"/>
    <n v="8.9230769230769234"/>
    <x v="0"/>
    <s v="COMPLETED"/>
    <m/>
    <d v="2026-02-28T00:00:00"/>
    <n v="9"/>
    <s v="POPV260305009"/>
    <m/>
    <s v="TIANJIN"/>
    <x v="0"/>
    <x v="8"/>
    <d v="2026-03-07T00:00:00"/>
    <d v="2026-03-10T00:00:00"/>
    <d v="2026-03-09T00:00:00"/>
    <d v="2026-05-12T00:00:00"/>
    <d v="2026-05-26T00:00:00"/>
    <d v="2026-05-22T00:00:00"/>
    <s v="CIF"/>
    <s v="MSC OLIVIA  GA610W M5LKD7"/>
    <s v="OTHER"/>
    <s v="TPVB20260310021"/>
    <x v="144"/>
    <s v="177KFAFAXVNN1026"/>
    <n v="74"/>
    <m/>
    <d v="2026-05-22T00:00:00"/>
    <s v="In Stock-Approved"/>
    <d v="2026-05-26T00:00:00"/>
    <n v="0"/>
    <d v="2026-05-22T00:00:00"/>
    <n v="2026"/>
    <n v="5"/>
    <n v="21"/>
    <n v="36"/>
    <n v="936"/>
    <s v="Transparent"/>
    <s v="AEU"/>
  </r>
  <r>
    <s v="26Mar027"/>
    <s v="Tianjin"/>
    <s v="Main Line"/>
    <s v="CORE DG"/>
    <x v="1"/>
    <s v="SPTN Offstore in Transit WH"/>
    <s v="CIF"/>
    <x v="8"/>
    <s v="U3"/>
    <x v="75"/>
    <s v="IE0126020500033"/>
    <m/>
    <s v="Yes"/>
    <d v="2026-01-24T00:00:00"/>
    <x v="8"/>
    <x v="30"/>
    <s v="HSM-ND48-DR445"/>
    <s v="EVO2A"/>
    <s v="±1400mm"/>
    <n v="445"/>
    <n v="720"/>
    <n v="0.32040000000000002"/>
    <n v="20"/>
    <n v="0.76923076923076927"/>
    <x v="0"/>
    <s v="COMPLETED"/>
    <m/>
    <d v="2026-02-28T00:00:00"/>
    <n v="9"/>
    <s v="POPV260305006"/>
    <m/>
    <s v="TIANJIN"/>
    <x v="0"/>
    <x v="8"/>
    <d v="2026-03-07T00:00:00"/>
    <d v="2026-03-10T00:00:00"/>
    <d v="2026-03-09T00:00:00"/>
    <d v="2026-05-12T00:00:00"/>
    <d v="2026-05-26T00:00:00"/>
    <d v="2026-05-22T00:00:00"/>
    <s v="CIF"/>
    <s v="MSC OLIVIA  GA610W M5LKD7"/>
    <s v="OTHER"/>
    <s v="TPVB20260310021"/>
    <x v="144"/>
    <s v="177KFAFAXVNN1026"/>
    <n v="74"/>
    <m/>
    <d v="2026-05-22T00:00:00"/>
    <s v="In Stock-Approved"/>
    <d v="2026-05-26T00:00:00"/>
    <n v="0"/>
    <d v="2026-05-22T00:00:00"/>
    <n v="2026"/>
    <n v="5"/>
    <n v="21"/>
    <n v="36"/>
    <n v="936"/>
    <s v="Black glazing"/>
    <s v="AEU"/>
  </r>
  <r>
    <s v="26Mar016"/>
    <s v="Tianjin"/>
    <s v="Main Line"/>
    <s v="CORE DG"/>
    <x v="1"/>
    <s v="SPTN Offstore in Transit WH"/>
    <s v="CIF"/>
    <x v="8"/>
    <s v="U2"/>
    <x v="75"/>
    <s v="IE0126020500033"/>
    <m/>
    <s v="Yes"/>
    <d v="2026-01-23T00:00:00"/>
    <x v="8"/>
    <x v="22"/>
    <s v="HSM-ND48-DR450"/>
    <s v="EVO2A"/>
    <s v="±1400mm"/>
    <n v="450"/>
    <n v="1044"/>
    <n v="0.4698"/>
    <n v="29"/>
    <n v="1.1153846153846154"/>
    <x v="0"/>
    <s v="COMPLETED"/>
    <m/>
    <d v="2026-02-28T00:00:00"/>
    <n v="9"/>
    <s v="POPV260305007"/>
    <m/>
    <s v="TIANJIN"/>
    <x v="0"/>
    <x v="8"/>
    <d v="2026-03-07T00:00:00"/>
    <d v="2026-03-10T00:00:00"/>
    <d v="2026-03-09T00:00:00"/>
    <d v="2026-05-12T00:00:00"/>
    <d v="2026-05-26T00:00:00"/>
    <d v="2026-05-22T00:00:00"/>
    <s v="CIF"/>
    <s v="MSC OLIVIA  GA610W M5LKD7"/>
    <s v="OTHER"/>
    <s v="TPVB20260310021"/>
    <x v="144"/>
    <s v="177KFAFAXVNN1026"/>
    <n v="74"/>
    <m/>
    <d v="2026-05-22T00:00:00"/>
    <s v="In Stock-Approved"/>
    <d v="2026-05-26T00:00:00"/>
    <n v="0"/>
    <d v="2026-05-22T00:00:00"/>
    <n v="2026"/>
    <n v="5"/>
    <n v="21"/>
    <n v="36"/>
    <n v="936"/>
    <s v="Transparent"/>
    <s v="AEU"/>
  </r>
  <r>
    <s v="26Mar029"/>
    <s v="Tianjin"/>
    <s v="Main Line"/>
    <s v="CORE DG"/>
    <x v="1"/>
    <s v="SPTN Offstore in Transit WH"/>
    <s v="CIF"/>
    <x v="8"/>
    <s v="U2"/>
    <x v="75"/>
    <s v="IE0126020500033"/>
    <m/>
    <s v="Yes"/>
    <s v="n/a"/>
    <x v="8"/>
    <x v="48"/>
    <s v="HSM-ND48-DR450"/>
    <s v="EVO2A"/>
    <s v="±1400mm"/>
    <n v="450"/>
    <n v="360"/>
    <n v="0.16200000000000001"/>
    <n v="10"/>
    <n v="0.38461538461538464"/>
    <x v="0"/>
    <s v="COMPLETED"/>
    <m/>
    <d v="2026-02-28T00:00:00"/>
    <n v="9"/>
    <s v="POPV260305005"/>
    <m/>
    <s v="TIANJIN"/>
    <x v="0"/>
    <x v="8"/>
    <d v="2026-03-07T00:00:00"/>
    <d v="2026-03-10T00:00:00"/>
    <d v="2026-03-09T00:00:00"/>
    <d v="2026-05-12T00:00:00"/>
    <d v="2026-05-26T00:00:00"/>
    <d v="2026-05-22T00:00:00"/>
    <s v="CIF"/>
    <s v="MSC OLIVIA  GA610W M5LKD7"/>
    <s v="OTHER"/>
    <s v="TPVB20260310021"/>
    <x v="144"/>
    <s v="177KFAFAXVNN1026"/>
    <n v="74"/>
    <m/>
    <d v="2026-05-22T00:00:00"/>
    <s v="In Stock-Approved"/>
    <d v="2026-05-26T00:00:00"/>
    <n v="0"/>
    <d v="2026-05-22T00:00:00"/>
    <n v="2026"/>
    <n v="5"/>
    <n v="21"/>
    <n v="36"/>
    <n v="936"/>
    <s v="Black glazing"/>
    <s v="AEU"/>
  </r>
  <r>
    <s v="26Mar017"/>
    <s v="Tianjin"/>
    <s v="Main Line"/>
    <s v="CORE DG"/>
    <x v="1"/>
    <s v="SPTN Offstore in Transit WH"/>
    <s v="CIF"/>
    <x v="8"/>
    <s v="U2"/>
    <x v="75"/>
    <s v="IE0126020500033"/>
    <m/>
    <s v="Yes"/>
    <d v="2026-01-23T00:00:00"/>
    <x v="8"/>
    <x v="49"/>
    <s v="HSM-ND48-DR440-CFP"/>
    <s v="EVO2A"/>
    <s v="±1400mm"/>
    <n v="440"/>
    <n v="108"/>
    <n v="4.752E-2"/>
    <n v="3"/>
    <n v="0.11538461538461539"/>
    <x v="0"/>
    <s v="COMPLETED"/>
    <m/>
    <d v="2026-02-28T00:00:00"/>
    <n v="9"/>
    <s v="POPV260305003"/>
    <m/>
    <s v="TIANJIN"/>
    <x v="0"/>
    <x v="8"/>
    <d v="2026-03-07T00:00:00"/>
    <d v="2026-03-10T00:00:00"/>
    <d v="2026-03-09T00:00:00"/>
    <d v="2026-05-12T00:00:00"/>
    <d v="2026-05-26T00:00:00"/>
    <d v="2026-05-22T00:00:00"/>
    <s v="CIF"/>
    <s v="MSC OLIVIA  GA610W M5LKD7"/>
    <s v="OTHER"/>
    <s v="TPVB20260310021"/>
    <x v="144"/>
    <s v="177KFAFAXVNN1026"/>
    <n v="74"/>
    <m/>
    <d v="2026-05-22T00:00:00"/>
    <s v="In Stock-Approved"/>
    <d v="2026-05-26T00:00:00"/>
    <n v="0"/>
    <d v="2026-05-22T00:00:00"/>
    <n v="2026"/>
    <n v="5"/>
    <n v="21"/>
    <n v="36"/>
    <n v="936"/>
    <s v="Black glazing"/>
    <s v="AEU"/>
  </r>
  <r>
    <s v="26Mar018"/>
    <s v="Tianjin"/>
    <s v="Main Line"/>
    <s v="CORE DG"/>
    <x v="1"/>
    <s v="SPTN Offstore in Transit WH"/>
    <s v="CIF"/>
    <x v="8"/>
    <s v="U2"/>
    <x v="76"/>
    <s v="IE0126020500033"/>
    <m/>
    <s v="Yes"/>
    <d v="2026-01-23T00:00:00"/>
    <x v="8"/>
    <x v="50"/>
    <s v="HSM-ND54-DR500"/>
    <s v="EVO2A"/>
    <s v="±1400mm"/>
    <n v="500"/>
    <n v="180"/>
    <n v="0.09"/>
    <n v="5"/>
    <n v="0.20833333333333334"/>
    <x v="0"/>
    <s v="COMPLETED"/>
    <m/>
    <d v="2026-02-28T00:00:00"/>
    <n v="9"/>
    <s v="POPV260305004"/>
    <m/>
    <s v="TIANJIN"/>
    <x v="0"/>
    <x v="8"/>
    <d v="2026-03-07T00:00:00"/>
    <d v="2026-03-10T00:00:00"/>
    <d v="2026-03-09T00:00:00"/>
    <d v="2026-05-12T00:00:00"/>
    <d v="2026-05-26T00:00:00"/>
    <d v="2026-05-22T00:00:00"/>
    <s v="CIF"/>
    <s v="MSC OLIVIA  GA610W M5LKD7"/>
    <s v="OTHER"/>
    <s v="TPVB20260310021"/>
    <x v="144"/>
    <s v="177KFAFAXVNN1026"/>
    <n v="74"/>
    <m/>
    <d v="2026-05-22T00:00:00"/>
    <s v="In Stock-Approved"/>
    <d v="2026-05-26T00:00:00"/>
    <n v="0"/>
    <d v="2026-05-22T00:00:00"/>
    <n v="2026"/>
    <n v="5"/>
    <n v="21"/>
    <n v="36"/>
    <n v="864"/>
    <s v="Black glazing"/>
    <s v="AEU"/>
  </r>
  <r>
    <s v="26Mar019"/>
    <s v="Tianjin"/>
    <s v="Main Line"/>
    <s v="CORE DG"/>
    <x v="1"/>
    <s v="SPTN Offstore in Transit WH"/>
    <s v="CIF"/>
    <x v="8"/>
    <s v="U2"/>
    <x v="77"/>
    <s v="IE0126020500033"/>
    <m/>
    <s v="Yes"/>
    <d v="2026-01-23T00:00:00"/>
    <x v="8"/>
    <x v="51"/>
    <s v="HSM-ND54-DR505"/>
    <s v="EVO2A"/>
    <s v="±1400mm"/>
    <n v="505"/>
    <n v="684"/>
    <n v="0.34542"/>
    <n v="19"/>
    <n v="0.79166666666666663"/>
    <x v="0"/>
    <s v="COMPLETED"/>
    <m/>
    <d v="2026-02-28T00:00:00"/>
    <n v="9"/>
    <s v="POPV260305002"/>
    <m/>
    <s v="TIANJIN"/>
    <x v="0"/>
    <x v="8"/>
    <d v="2026-03-07T00:00:00"/>
    <d v="2026-03-10T00:00:00"/>
    <d v="2026-03-09T00:00:00"/>
    <d v="2026-05-12T00:00:00"/>
    <d v="2026-05-26T00:00:00"/>
    <d v="2026-05-22T00:00:00"/>
    <s v="CIF"/>
    <s v="MSC OLIVIA  GA610W M5LKD7"/>
    <s v="OTHER"/>
    <s v="TPVB20260310021"/>
    <x v="144"/>
    <s v="177KFAFAXVNN1026"/>
    <n v="74"/>
    <m/>
    <d v="2026-05-22T00:00:00"/>
    <s v="In Stock-Approved"/>
    <d v="2026-05-26T00:00:00"/>
    <n v="0"/>
    <d v="2026-05-22T00:00:00"/>
    <n v="2026"/>
    <n v="5"/>
    <n v="21"/>
    <n v="36"/>
    <n v="864"/>
    <s v="Black glazing"/>
    <s v="AEU"/>
  </r>
  <r>
    <s v="26Feb017.13.06"/>
    <s v="Tianjin"/>
    <s v="26Feb017"/>
    <s v="CORE DG"/>
    <x v="1"/>
    <s v="SPTN Offstore in Transit WH"/>
    <s v="CIF"/>
    <x v="15"/>
    <s v="U1"/>
    <x v="78"/>
    <s v="BE0126041500017"/>
    <m/>
    <s v="Yes"/>
    <d v="2026-02-23T00:00:00"/>
    <x v="0"/>
    <x v="7"/>
    <s v="HSM-ND48-DR450"/>
    <s v="EVO2A"/>
    <s v="±1200mm"/>
    <n v="450"/>
    <n v="936"/>
    <n v="0.42120000000000002"/>
    <n v="26"/>
    <n v="1"/>
    <x v="0"/>
    <s v="COMPLETED"/>
    <m/>
    <d v="2026-03-03T00:00:00"/>
    <n v="10"/>
    <s v="POPV260427048"/>
    <m/>
    <s v="TIANJIN"/>
    <x v="0"/>
    <x v="1"/>
    <d v="2026-03-07T00:00:00"/>
    <d v="2026-03-07T00:00:00"/>
    <d v="2026-03-07T00:00:00"/>
    <d v="2026-04-21T00:00:00"/>
    <d v="2026-04-30T00:00:00"/>
    <d v="2026-04-29T00:00:00"/>
    <s v="CIF"/>
    <s v="OOCL PORTUGAL 006W"/>
    <s v="COSCO"/>
    <s v="TPVB20260310009"/>
    <x v="145"/>
    <s v="COSU9506234760"/>
    <n v="53"/>
    <m/>
    <d v="2026-04-29T00:00:00"/>
    <s v="In Stock-Approved"/>
    <d v="2026-05-04T00:00:00"/>
    <n v="0"/>
    <d v="2026-04-29T00:00:00"/>
    <n v="2026"/>
    <n v="4"/>
    <n v="18"/>
    <n v="36"/>
    <n v="936"/>
    <s v="Black glazing"/>
    <s v="AEU"/>
  </r>
  <r>
    <s v="26Feb017.13.05"/>
    <s v="Tianjin"/>
    <s v="26Feb017"/>
    <s v="CORE DG"/>
    <x v="1"/>
    <s v="SPTN Offstore in Transit WH"/>
    <s v="CIF"/>
    <x v="18"/>
    <s v="U1"/>
    <x v="79"/>
    <s v="GB0126041600001"/>
    <m/>
    <s v="Yes"/>
    <d v="2026-02-23T00:00:00"/>
    <x v="0"/>
    <x v="7"/>
    <s v="HSM-ND48-DR450"/>
    <s v="EVO2A"/>
    <s v="±1200mm"/>
    <n v="450"/>
    <n v="1872"/>
    <n v="0.84240000000000004"/>
    <n v="52"/>
    <n v="2"/>
    <x v="0"/>
    <s v="COMPLETED"/>
    <m/>
    <d v="2026-03-03T00:00:00"/>
    <n v="10"/>
    <s v="POPV260417058"/>
    <m/>
    <s v="TIANJIN"/>
    <x v="0"/>
    <x v="1"/>
    <d v="2026-03-07T00:00:00"/>
    <d v="2026-03-07T00:00:00"/>
    <d v="2026-03-07T00:00:00"/>
    <d v="2026-04-21T00:00:00"/>
    <d v="2026-04-30T00:00:00"/>
    <d v="2026-04-29T00:00:00"/>
    <s v="CIF"/>
    <s v="OOCL PORTUGAL 006W"/>
    <s v="COSCO"/>
    <s v="TPVB20260310009"/>
    <x v="146"/>
    <s v="COSU9506234760"/>
    <n v="53"/>
    <m/>
    <d v="2026-04-29T00:00:00"/>
    <s v="In Stock-Approved"/>
    <d v="2026-05-04T00:00:00"/>
    <n v="0"/>
    <d v="2026-04-29T00:00:00"/>
    <n v="2026"/>
    <n v="4"/>
    <n v="18"/>
    <n v="36"/>
    <n v="936"/>
    <s v="Black glazing"/>
    <s v="AEU"/>
  </r>
  <r>
    <s v="26Feb017.13.04"/>
    <s v="Tianjin"/>
    <s v="26Feb017"/>
    <s v="CORE DG"/>
    <x v="1"/>
    <s v="SPTN Offstore in Transit WH"/>
    <s v="CIF"/>
    <x v="19"/>
    <s v="U1"/>
    <x v="79"/>
    <s v="GB0126041600007 =&gt; new SO GB0126042700019"/>
    <m/>
    <s v="Yes"/>
    <d v="2026-02-23T00:00:00"/>
    <x v="0"/>
    <x v="7"/>
    <s v="HSM-ND48-DR450"/>
    <s v="EVO2A"/>
    <s v="±1200mm"/>
    <n v="450"/>
    <n v="936"/>
    <n v="0.42120000000000002"/>
    <n v="26"/>
    <n v="1"/>
    <x v="0"/>
    <s v="COMPLETED"/>
    <m/>
    <d v="2026-03-03T00:00:00"/>
    <n v="10"/>
    <s v="POPV260427049"/>
    <m/>
    <s v="TIANJIN"/>
    <x v="0"/>
    <x v="1"/>
    <d v="2026-03-07T00:00:00"/>
    <d v="2026-03-07T00:00:00"/>
    <d v="2026-03-07T00:00:00"/>
    <d v="2026-04-21T00:00:00"/>
    <d v="2026-04-30T00:00:00"/>
    <d v="2026-04-29T00:00:00"/>
    <s v="CIF"/>
    <s v="OOCL PORTUGAL 006W"/>
    <s v="COSCO"/>
    <s v="TPVB20260310009"/>
    <x v="147"/>
    <s v="COSU9506234760"/>
    <n v="53"/>
    <m/>
    <d v="2026-04-29T00:00:00"/>
    <s v="In Stock-Approved"/>
    <d v="2026-05-04T00:00:00"/>
    <n v="0"/>
    <d v="2026-04-29T00:00:00"/>
    <n v="2026"/>
    <n v="4"/>
    <n v="18"/>
    <n v="36"/>
    <n v="936"/>
    <s v="Black glazing"/>
    <s v="AEU"/>
  </r>
  <r>
    <s v="26Feb017.13.02"/>
    <s v="Tianjin"/>
    <s v="26Feb017"/>
    <s v="CORE DG"/>
    <x v="1"/>
    <s v="SPTN Offstore in Transit WH"/>
    <s v="CIF"/>
    <x v="20"/>
    <s v="U1"/>
    <x v="79"/>
    <s v="GB0126041500022"/>
    <m/>
    <s v="Yes"/>
    <d v="2026-02-23T00:00:00"/>
    <x v="0"/>
    <x v="7"/>
    <s v="HSM-ND48-DR450"/>
    <s v="EVO2A"/>
    <s v="±1200mm"/>
    <n v="450"/>
    <n v="1872"/>
    <n v="0.84240000000000004"/>
    <n v="52"/>
    <n v="2"/>
    <x v="0"/>
    <s v="COMPLETED"/>
    <m/>
    <d v="2026-03-03T00:00:00"/>
    <n v="10"/>
    <s v="POPV260417056"/>
    <m/>
    <s v="TIANJIN"/>
    <x v="0"/>
    <x v="1"/>
    <d v="2026-03-07T00:00:00"/>
    <d v="2026-03-07T00:00:00"/>
    <d v="2026-03-07T00:00:00"/>
    <d v="2026-04-21T00:00:00"/>
    <d v="2026-04-30T00:00:00"/>
    <d v="2026-04-29T00:00:00"/>
    <s v="CIF"/>
    <s v="OOCL PORTUGAL 006W"/>
    <s v="COSCO"/>
    <s v="TPVB20260310009"/>
    <x v="148"/>
    <s v="COSU9506234760"/>
    <n v="53"/>
    <m/>
    <d v="2026-04-29T00:00:00"/>
    <s v="In Stock-Approved"/>
    <d v="2026-05-04T00:00:00"/>
    <n v="0"/>
    <d v="2026-04-29T00:00:00"/>
    <n v="2026"/>
    <n v="4"/>
    <n v="18"/>
    <n v="36"/>
    <n v="936"/>
    <s v="Black glazing"/>
    <s v="AEU"/>
  </r>
  <r>
    <s v="26Feb017.13.01"/>
    <s v="Tianjin"/>
    <s v="26Feb017"/>
    <s v="CORE DG"/>
    <x v="1"/>
    <s v="SPTN Offstore in Transit WH"/>
    <s v="CIF"/>
    <x v="19"/>
    <s v="U1"/>
    <x v="79"/>
    <s v="GB0126041600007 =&gt; new SO GB0126042700019"/>
    <m/>
    <s v="Yes"/>
    <d v="2026-02-23T00:00:00"/>
    <x v="0"/>
    <x v="7"/>
    <s v="HSM-ND48-DR450"/>
    <s v="EVO2A"/>
    <s v="±1200mm"/>
    <n v="450"/>
    <n v="3744"/>
    <n v="1.6848000000000001"/>
    <n v="104"/>
    <n v="4"/>
    <x v="0"/>
    <s v="COMPLETED"/>
    <m/>
    <d v="2026-03-03T00:00:00"/>
    <n v="10"/>
    <s v="POPV260427049"/>
    <m/>
    <s v="TIANJIN"/>
    <x v="0"/>
    <x v="1"/>
    <d v="2026-03-07T00:00:00"/>
    <d v="2026-03-07T00:00:00"/>
    <d v="2026-03-07T00:00:00"/>
    <d v="2026-04-21T00:00:00"/>
    <d v="2026-04-30T00:00:00"/>
    <d v="2026-04-29T00:00:00"/>
    <s v="CIF"/>
    <s v="OOCL PORTUGAL 006W"/>
    <s v="COSCO"/>
    <s v="TPVB20260310009"/>
    <x v="147"/>
    <s v="COSU9506234763"/>
    <n v="53"/>
    <m/>
    <d v="2026-04-29T00:00:00"/>
    <s v="In Stock-Approved"/>
    <d v="2026-05-04T00:00:00"/>
    <n v="0"/>
    <d v="2026-04-29T00:00:00"/>
    <n v="2026"/>
    <n v="4"/>
    <n v="18"/>
    <n v="36"/>
    <n v="936"/>
    <s v="Black glazing"/>
    <s v="AEU"/>
  </r>
  <r>
    <s v="26Feb020.07"/>
    <s v="Tianjin"/>
    <s v="26Feb020"/>
    <s v="CORE DG"/>
    <x v="0"/>
    <s v="Arrival Plan-SPUK"/>
    <s v="CIF"/>
    <x v="6"/>
    <s v="U1"/>
    <x v="80"/>
    <m/>
    <m/>
    <s v="n/a"/>
    <d v="2026-01-26T00:00:00"/>
    <x v="0"/>
    <x v="43"/>
    <s v="HSM-ND54-DR505"/>
    <s v="EVO2A"/>
    <s v="±1200mm"/>
    <n v="505"/>
    <n v="864"/>
    <n v="0.43631999999999999"/>
    <n v="24"/>
    <n v="1"/>
    <x v="0"/>
    <s v="COMPLETED"/>
    <m/>
    <d v="2026-03-01T00:00:00"/>
    <n v="9"/>
    <s v="POPV260309052"/>
    <m/>
    <s v="TIANJIN"/>
    <x v="0"/>
    <x v="6"/>
    <d v="2026-03-07T00:00:00"/>
    <d v="2026-03-07T00:00:00"/>
    <d v="2026-03-07T00:00:00"/>
    <d v="2026-04-26T00:00:00"/>
    <d v="2026-05-18T00:00:00"/>
    <d v="2026-05-18T00:00:00"/>
    <s v="CIF"/>
    <s v="OOCL PORTUGAL 006W"/>
    <s v="COSCO"/>
    <s v="TPVB20260310007"/>
    <x v="149"/>
    <s v="COSU6445806650"/>
    <n v="72"/>
    <m/>
    <d v="2026-05-18T00:00:00"/>
    <s v="In Stock-Approved"/>
    <d v="2026-06-01T00:00:00"/>
    <n v="7"/>
    <d v="2026-05-25T00:00:00"/>
    <n v="2026"/>
    <n v="5"/>
    <n v="22"/>
    <n v="36"/>
    <n v="864"/>
    <s v="Black glazing"/>
    <s v="AEU"/>
  </r>
  <r>
    <s v="26Feb020.08"/>
    <s v="Tianjin"/>
    <s v="26Feb020"/>
    <s v="CORE DG"/>
    <x v="0"/>
    <s v="Arrival Plan-SPUK"/>
    <s v="CIF"/>
    <x v="6"/>
    <s v="U1"/>
    <x v="81"/>
    <m/>
    <m/>
    <s v="n/a"/>
    <d v="2026-01-26T00:00:00"/>
    <x v="0"/>
    <x v="43"/>
    <s v="HSM-ND54-DR505"/>
    <s v="EVO2A"/>
    <s v="±1200mm"/>
    <n v="505"/>
    <n v="1728"/>
    <n v="0.87263999999999997"/>
    <n v="48"/>
    <n v="2"/>
    <x v="0"/>
    <s v="COMPLETED"/>
    <m/>
    <d v="2026-03-01T00:00:00"/>
    <n v="9"/>
    <s v="POPV260309053"/>
    <m/>
    <s v="TIANJIN"/>
    <x v="0"/>
    <x v="6"/>
    <d v="2026-03-07T00:00:00"/>
    <d v="2026-03-07T00:00:00"/>
    <d v="2026-03-07T00:00:00"/>
    <d v="2026-04-26T00:00:00"/>
    <d v="2026-05-18T00:00:00"/>
    <d v="2026-05-18T00:00:00"/>
    <s v="CIF"/>
    <s v="OOCL PORTUGAL 006W"/>
    <s v="COSCO"/>
    <s v="TPVB20260310007"/>
    <x v="149"/>
    <s v="COSU6445806650"/>
    <n v="72"/>
    <m/>
    <d v="2026-05-18T00:00:00"/>
    <s v="In Stock-Approved"/>
    <d v="2026-06-01T00:00:00"/>
    <n v="7"/>
    <d v="2026-05-25T00:00:00"/>
    <n v="2026"/>
    <n v="5"/>
    <n v="22"/>
    <n v="36"/>
    <n v="864"/>
    <s v="Black glazing"/>
    <s v="AEU"/>
  </r>
  <r>
    <s v="26JAN005.06"/>
    <s v="Tianjin"/>
    <s v="26JAN005"/>
    <s v="CORE DG"/>
    <x v="0"/>
    <s v="Arrival Plan-SPUK"/>
    <s v="CIF"/>
    <x v="6"/>
    <s v="U1"/>
    <x v="80"/>
    <m/>
    <m/>
    <s v="n/a"/>
    <d v="2026-01-26T00:00:00"/>
    <x v="0"/>
    <x v="43"/>
    <s v="HSM-ND54-DR505"/>
    <s v="EVO2A"/>
    <s v="±1200mm"/>
    <n v="505"/>
    <n v="1728"/>
    <n v="0.87263999999999997"/>
    <n v="48"/>
    <n v="2"/>
    <x v="0"/>
    <s v="COMPLETED"/>
    <m/>
    <d v="2026-03-01T00:00:00"/>
    <n v="9"/>
    <s v="POPV260309051"/>
    <m/>
    <s v="TIANJIN"/>
    <x v="0"/>
    <x v="6"/>
    <d v="2026-03-07T00:00:00"/>
    <d v="2026-03-07T00:00:00"/>
    <d v="2026-03-07T00:00:00"/>
    <d v="2026-04-26T00:00:00"/>
    <d v="2026-05-18T00:00:00"/>
    <d v="2026-05-18T00:00:00"/>
    <s v="CIF"/>
    <s v="OOCL ZEEBRUGGE 009W"/>
    <s v="COSCO"/>
    <s v="TPVB20260310007"/>
    <x v="149"/>
    <s v="COSU6445806650"/>
    <n v="72"/>
    <m/>
    <d v="2026-05-18T00:00:00"/>
    <s v="In Stock-Approved"/>
    <d v="2026-06-01T00:00:00"/>
    <n v="7"/>
    <d v="2026-05-25T00:00:00"/>
    <n v="2026"/>
    <n v="5"/>
    <n v="22"/>
    <n v="36"/>
    <n v="864"/>
    <s v="Black glazing"/>
    <s v="AEU"/>
  </r>
  <r>
    <s v="26Mar005"/>
    <s v="Yixing"/>
    <s v="Main Line"/>
    <s v="CORE DG"/>
    <x v="1"/>
    <s v="SPTN Offstore in Transit WH"/>
    <s v="CIF"/>
    <x v="14"/>
    <s v="U1"/>
    <x v="55"/>
    <s v="PL0126020300026"/>
    <m/>
    <s v="Yes"/>
    <d v="2026-01-23T00:00:00"/>
    <x v="7"/>
    <x v="52"/>
    <s v="HSM-GKA-NM720"/>
    <s v="EVO2A"/>
    <s v="±1200mm"/>
    <n v="720"/>
    <n v="1782"/>
    <n v="1.28304"/>
    <n v="54"/>
    <n v="3"/>
    <x v="0"/>
    <s v="COMPLETED"/>
    <m/>
    <d v="2026-03-03T00:00:00"/>
    <n v="10"/>
    <s v="POPV260310009"/>
    <m/>
    <s v="SHANGHAI"/>
    <x v="1"/>
    <x v="9"/>
    <d v="2026-03-10T00:00:00"/>
    <d v="2026-03-09T00:00:00"/>
    <d v="2026-03-09T00:00:00"/>
    <d v="2026-04-29T00:00:00"/>
    <d v="2026-04-28T00:00:00"/>
    <d v="2026-04-28T00:00:00"/>
    <s v="CIF"/>
    <s v="OOCL SWEDEN 007W"/>
    <s v="COSCO"/>
    <s v="TPVB20260310012"/>
    <x v="150"/>
    <s v="COSU6445391320"/>
    <n v="50"/>
    <m/>
    <d v="2026-04-28T00:00:00"/>
    <s v="In Stock-Approved"/>
    <d v="2026-05-13T00:00:00"/>
    <n v="0"/>
    <d v="2026-04-28T00:00:00"/>
    <n v="2026"/>
    <n v="4"/>
    <n v="18"/>
    <n v="33"/>
    <n v="594"/>
    <s v="White glazing"/>
    <s v="AEU"/>
  </r>
  <r>
    <s v="26Feb026.01"/>
    <s v="Yixing"/>
    <s v="26Feb026"/>
    <s v="CORE DG"/>
    <x v="0"/>
    <s v="Arrival Plan-SPNL"/>
    <s v="CIF"/>
    <x v="0"/>
    <s v="U3"/>
    <x v="56"/>
    <m/>
    <m/>
    <s v="n/a"/>
    <d v="2026-02-16T00:00:00"/>
    <x v="0"/>
    <x v="36"/>
    <s v="HSM-ND66-GR625"/>
    <s v="EVO2A"/>
    <s v="±1400mm"/>
    <n v="625"/>
    <n v="7920"/>
    <n v="4.95"/>
    <n v="220"/>
    <n v="11"/>
    <x v="0"/>
    <s v="COMPLETED"/>
    <m/>
    <d v="2026-03-02T00:00:00"/>
    <n v="10"/>
    <s v="POPV260310008"/>
    <m/>
    <s v="SHANGHAI"/>
    <x v="1"/>
    <x v="1"/>
    <d v="2026-03-10T00:00:00"/>
    <d v="2026-03-15T00:00:00"/>
    <d v="2026-03-15T00:00:00"/>
    <d v="2026-04-14T00:00:00"/>
    <d v="2026-04-30T00:00:00"/>
    <d v="2026-04-29T00:00:00"/>
    <s v="CIF"/>
    <s v="COSCO SHIPPING SAGITTARIUS 033W"/>
    <s v="COSCO"/>
    <s v="TPVB20260310014"/>
    <x v="151"/>
    <s v="COSU6445391920"/>
    <n v="45"/>
    <m/>
    <d v="2026-04-29T00:00:00"/>
    <s v="In Stock-Approved"/>
    <d v="2026-05-21T00:00:00"/>
    <n v="7"/>
    <d v="2026-05-06T00:00:00"/>
    <n v="2026"/>
    <n v="5"/>
    <n v="19"/>
    <n v="36"/>
    <n v="720"/>
    <s v="Redirection Film"/>
    <s v="AEU"/>
  </r>
  <r>
    <s v="26Feb007.02"/>
    <s v="Yixing"/>
    <s v="26Feb007"/>
    <s v="CORE DG"/>
    <x v="0"/>
    <s v="Arrival Plan-SPNL"/>
    <s v="CIF"/>
    <x v="0"/>
    <s v="U1"/>
    <x v="23"/>
    <m/>
    <m/>
    <s v="n/a"/>
    <d v="2026-03-02T00:00:00"/>
    <x v="5"/>
    <x v="20"/>
    <s v="SPR-P7-455-BLK-1500"/>
    <s v="EVO2A"/>
    <s v="±1200mm"/>
    <n v="455"/>
    <n v="3456"/>
    <n v="1.5724800000000001"/>
    <n v="96"/>
    <n v="4"/>
    <x v="0"/>
    <s v="COMPLETED"/>
    <m/>
    <d v="2026-03-04T00:00:00"/>
    <n v="10"/>
    <s v="POPV260309050"/>
    <m/>
    <s v="SHANGHAI"/>
    <x v="1"/>
    <x v="1"/>
    <d v="2026-03-10T00:00:00"/>
    <d v="2026-03-09T00:00:00"/>
    <d v="2026-03-09T00:00:00"/>
    <d v="2026-04-10T00:00:00"/>
    <d v="2026-04-29T00:00:00"/>
    <d v="2026-04-25T00:00:00"/>
    <s v="CIF"/>
    <s v="COSCO SHIPPING SAGITTARIUS 033W"/>
    <s v="COSCO"/>
    <s v="TPVB20260310016"/>
    <x v="152"/>
    <s v="COSU6445811260"/>
    <n v="47"/>
    <m/>
    <d v="2026-04-25T00:00:00"/>
    <s v="In Stock-Approved"/>
    <d v="2026-05-08T00:00:00"/>
    <n v="7"/>
    <d v="2026-05-02T00:00:00"/>
    <n v="2026"/>
    <n v="5"/>
    <n v="18"/>
    <n v="36"/>
    <n v="864"/>
    <s v="Black glazing"/>
    <s v="AEU"/>
  </r>
  <r>
    <s v="26Feb009.08"/>
    <s v="Yixing"/>
    <s v="26Feb009"/>
    <s v="CORE DG"/>
    <x v="0"/>
    <s v="Arrival Plan-SPNL"/>
    <s v="CIF"/>
    <x v="0"/>
    <s v="U1"/>
    <x v="3"/>
    <m/>
    <m/>
    <s v="n/a"/>
    <d v="2026-02-16T00:00:00"/>
    <x v="1"/>
    <x v="6"/>
    <s v="TCL-MR465DT182-58NS"/>
    <s v="EVO2A"/>
    <s v="±1200mm"/>
    <n v="465"/>
    <n v="3456"/>
    <n v="1.60704"/>
    <n v="96"/>
    <n v="4"/>
    <x v="0"/>
    <s v="COMPLETED"/>
    <m/>
    <d v="2026-03-04T00:00:00"/>
    <n v="10"/>
    <s v="POPV260309048"/>
    <m/>
    <s v="SHANGHAI"/>
    <x v="1"/>
    <x v="1"/>
    <d v="2026-03-10T00:00:00"/>
    <d v="2026-03-09T00:00:00"/>
    <d v="2026-03-09T00:00:00"/>
    <d v="2026-04-10T00:00:00"/>
    <d v="2026-04-29T00:00:00"/>
    <d v="2026-04-25T00:00:00"/>
    <s v="CIF"/>
    <s v="COSCO SHIPPING SAGITTARIUS 033W"/>
    <s v="COSCO"/>
    <s v="TPVB20260310016"/>
    <x v="152"/>
    <s v="COSU6445811260"/>
    <n v="47"/>
    <m/>
    <d v="2026-04-25T00:00:00"/>
    <s v="In Stock-Approved"/>
    <d v="2026-05-08T00:00:00"/>
    <n v="7"/>
    <d v="2026-05-02T00:00:00"/>
    <n v="2026"/>
    <n v="5"/>
    <n v="18"/>
    <n v="36"/>
    <n v="864"/>
    <s v="White glazing"/>
    <s v="AEU"/>
  </r>
  <r>
    <s v="26Feb008.07"/>
    <s v="Yixing"/>
    <s v="26Feb008"/>
    <s v="CORE DG"/>
    <x v="0"/>
    <s v="Arrival Plan-SPNL"/>
    <s v="CIF"/>
    <x v="0"/>
    <s v="U1"/>
    <x v="23"/>
    <m/>
    <m/>
    <s v="n/a"/>
    <s v="n/a"/>
    <x v="5"/>
    <x v="19"/>
    <s v="SPR-P7-460-BLK-1500"/>
    <s v="EVO2A"/>
    <s v="±1200mm"/>
    <n v="460"/>
    <n v="1728"/>
    <n v="0.79488000000000003"/>
    <n v="48"/>
    <n v="2"/>
    <x v="0"/>
    <s v="COMPLETED"/>
    <m/>
    <d v="2026-03-04T00:00:00"/>
    <n v="10"/>
    <s v="POPV260309047"/>
    <m/>
    <s v="SHANGHAI"/>
    <x v="1"/>
    <x v="1"/>
    <d v="2026-03-10T00:00:00"/>
    <d v="2026-03-09T00:00:00"/>
    <d v="2026-03-09T00:00:00"/>
    <d v="2026-04-10T00:00:00"/>
    <d v="2026-04-29T00:00:00"/>
    <d v="2026-04-25T00:00:00"/>
    <s v="CIF"/>
    <s v="COSCO SHIPPING SAGITTARIUS 033W"/>
    <s v="COSCO"/>
    <s v="TPVB20260310016"/>
    <x v="152"/>
    <s v="COSU6445811260"/>
    <n v="47"/>
    <m/>
    <d v="2026-04-25T00:00:00"/>
    <s v="In Stock-Approved"/>
    <d v="2026-05-08T00:00:00"/>
    <n v="7"/>
    <d v="2026-05-02T00:00:00"/>
    <n v="2026"/>
    <n v="5"/>
    <n v="18"/>
    <n v="36"/>
    <n v="864"/>
    <s v="Black glazing"/>
    <s v="AEU"/>
  </r>
  <r>
    <s v="26Feb010.14"/>
    <s v="Yixing"/>
    <s v="26Feb010"/>
    <s v="CORE DG"/>
    <x v="0"/>
    <s v="Arrival Plan-SPNL"/>
    <s v="CIF"/>
    <x v="0"/>
    <s v="U6"/>
    <x v="3"/>
    <m/>
    <m/>
    <s v="n/a"/>
    <d v="2026-02-23T00:00:00"/>
    <x v="1"/>
    <x v="39"/>
    <s v="TCL-MR470DT182-58NS"/>
    <s v="EVO2A"/>
    <s v="±1200mm"/>
    <n v="470"/>
    <n v="1728"/>
    <n v="0.81215999999999999"/>
    <n v="48"/>
    <n v="2"/>
    <x v="0"/>
    <s v="COMPLETED"/>
    <m/>
    <d v="2026-03-02T00:00:00"/>
    <n v="10"/>
    <s v="POPV260309046"/>
    <m/>
    <s v="SHANGHAI"/>
    <x v="1"/>
    <x v="1"/>
    <d v="2026-03-10T00:00:00"/>
    <d v="2026-03-09T00:00:00"/>
    <d v="2026-03-09T00:00:00"/>
    <d v="2026-04-10T00:00:00"/>
    <d v="2026-04-29T00:00:00"/>
    <d v="2026-04-25T00:00:00"/>
    <s v="CIF"/>
    <s v="COSCO SHIPPING SAGITTARIUS 033W"/>
    <s v="COSCO"/>
    <s v="TPVB20260310022"/>
    <x v="153"/>
    <s v="COSU9506199070"/>
    <n v="47"/>
    <m/>
    <d v="2026-04-25T00:00:00"/>
    <s v="In Stock-Approved"/>
    <d v="2026-05-08T00:00:00"/>
    <n v="7"/>
    <d v="2026-05-02T00:00:00"/>
    <n v="2026"/>
    <n v="5"/>
    <n v="18"/>
    <n v="36"/>
    <n v="864"/>
    <s v="White glazing"/>
    <s v="AEU"/>
  </r>
  <r>
    <s v="26Feb037.01"/>
    <s v="Yixing"/>
    <s v="26Feb037"/>
    <s v="UPP"/>
    <x v="0"/>
    <s v="Arrival Plan-SPTN"/>
    <s v="CIF"/>
    <x v="0"/>
    <s v="U3"/>
    <x v="82"/>
    <m/>
    <m/>
    <s v="n/a"/>
    <s v="n/a"/>
    <x v="0"/>
    <x v="9"/>
    <s v="HSM-ND66-GR625 CFP"/>
    <s v="EVO2A"/>
    <s v="±1400mm"/>
    <n v="625"/>
    <n v="1440"/>
    <n v="0.9"/>
    <n v="40"/>
    <n v="2"/>
    <x v="0"/>
    <s v="COMPLETED"/>
    <m/>
    <d v="2026-03-03T00:00:00"/>
    <n v="10"/>
    <s v="POPV260310007"/>
    <m/>
    <s v="SHANGHAI"/>
    <x v="1"/>
    <x v="0"/>
    <d v="2026-03-13T00:00:00"/>
    <d v="2026-03-15T00:00:00"/>
    <d v="2026-03-16T00:00:00"/>
    <d v="2026-04-28T00:00:00"/>
    <d v="2026-05-03T00:00:00"/>
    <d v="2026-05-06T00:00:00"/>
    <s v="CIF"/>
    <s v="CMA CGM IGUACU 0MEN9W1MA"/>
    <s v="COSCO"/>
    <s v="TPVB20260310023"/>
    <x v="154"/>
    <s v="COSU6446056750"/>
    <n v="51"/>
    <m/>
    <d v="2026-05-06T00:00:00"/>
    <s v="In Stock-Approved"/>
    <d v="2026-05-18T00:00:00"/>
    <n v="8"/>
    <d v="2026-05-14T00:00:00"/>
    <n v="2026"/>
    <n v="5"/>
    <n v="20"/>
    <n v="36"/>
    <n v="720"/>
    <s v="Redirection Film"/>
    <s v="AEM"/>
  </r>
  <r>
    <s v="26Feb038.01"/>
    <s v="Yixing"/>
    <s v="26Feb038"/>
    <s v="UPP"/>
    <x v="0"/>
    <s v="Arrival Plan-SPTN"/>
    <s v="CIF"/>
    <x v="0"/>
    <s v="U3"/>
    <x v="82"/>
    <m/>
    <m/>
    <s v="n/a"/>
    <s v="n/a"/>
    <x v="0"/>
    <x v="53"/>
    <s v="HSM-ND66-GR630 CFP"/>
    <s v="EVO2A"/>
    <s v="±1400mm"/>
    <n v="630"/>
    <n v="3600"/>
    <n v="2.2679999999999998"/>
    <n v="100"/>
    <n v="5"/>
    <x v="0"/>
    <s v="COMPLETED"/>
    <m/>
    <d v="2026-03-03T00:00:00"/>
    <n v="10"/>
    <s v="POPV260310012"/>
    <m/>
    <s v="SHANGHAI"/>
    <x v="1"/>
    <x v="0"/>
    <d v="2026-03-13T00:00:00"/>
    <d v="2026-03-15T00:00:00"/>
    <d v="2026-03-16T00:00:00"/>
    <d v="2026-04-28T00:00:00"/>
    <d v="2026-05-03T00:00:00"/>
    <d v="2026-05-06T00:00:00"/>
    <s v="CIF"/>
    <s v="CMA CGM IGUACU 0MEN9W1MA"/>
    <s v="COSCO"/>
    <s v="TPVB20260310023"/>
    <x v="154"/>
    <s v="COSU6446056750"/>
    <n v="51"/>
    <m/>
    <d v="2026-05-06T00:00:00"/>
    <s v="In Stock-Approved"/>
    <d v="2026-05-18T00:00:00"/>
    <n v="8"/>
    <d v="2026-05-14T00:00:00"/>
    <n v="2026"/>
    <n v="5"/>
    <n v="20"/>
    <n v="36"/>
    <n v="720"/>
    <s v="Transparent"/>
    <s v="AEM"/>
  </r>
  <r>
    <s v="26Feb038.04"/>
    <s v="Yixing"/>
    <s v="26Feb038"/>
    <s v="UPP"/>
    <x v="0"/>
    <s v="Arrival Plan-SPTN"/>
    <s v="CIF"/>
    <x v="0"/>
    <s v="U3"/>
    <x v="82"/>
    <m/>
    <m/>
    <s v="n/a"/>
    <s v="n/a"/>
    <x v="0"/>
    <x v="53"/>
    <s v="HSM-ND66-GR630 CFP"/>
    <s v="EVO2A"/>
    <s v="±1400mm"/>
    <n v="630"/>
    <n v="5760"/>
    <n v="3.6288"/>
    <n v="160"/>
    <n v="8"/>
    <x v="0"/>
    <s v="COMPLETED"/>
    <m/>
    <d v="2026-03-03T00:00:00"/>
    <n v="10"/>
    <s v="POPV260310006"/>
    <m/>
    <s v="SHANGHAI"/>
    <x v="1"/>
    <x v="0"/>
    <d v="2026-03-11T00:00:00"/>
    <d v="2026-03-13T00:00:00"/>
    <d v="2026-03-13T00:00:00"/>
    <d v="2026-05-01T00:00:00"/>
    <d v="2026-05-02T00:00:00"/>
    <d v="2026-05-02T00:00:00"/>
    <s v="CIF"/>
    <s v="OOCL SCANDINAVIA 036W"/>
    <s v="COSCO"/>
    <s v="TPVB20260310024"/>
    <x v="155"/>
    <s v="COSU6446056560"/>
    <n v="50"/>
    <m/>
    <d v="2026-05-02T00:00:00"/>
    <s v="In Stock-Approved"/>
    <d v="2026-05-18T00:00:00"/>
    <n v="8"/>
    <d v="2026-05-10T00:00:00"/>
    <n v="2026"/>
    <n v="5"/>
    <n v="19"/>
    <n v="36"/>
    <n v="720"/>
    <s v="Transparent"/>
    <s v="AEM"/>
  </r>
  <r>
    <s v="26Feb008.02"/>
    <s v="Yixing"/>
    <s v="26Feb008"/>
    <s v="CORE DG"/>
    <x v="0"/>
    <s v="Arrival Plan-SPIT"/>
    <s v="CIF"/>
    <x v="4"/>
    <s v="U1"/>
    <x v="83"/>
    <m/>
    <m/>
    <s v="n/a"/>
    <d v="2026-03-02T00:00:00"/>
    <x v="5"/>
    <x v="19"/>
    <s v="SPR-P7-460-BLK-1500"/>
    <s v="EVO2A"/>
    <s v="±1200mm"/>
    <n v="460"/>
    <n v="3456"/>
    <n v="1.5897600000000001"/>
    <n v="96"/>
    <n v="4"/>
    <x v="0"/>
    <s v="COMPLETED"/>
    <m/>
    <d v="2026-03-02T00:00:00"/>
    <n v="10"/>
    <s v="POPV260310005"/>
    <m/>
    <s v="SHANGHAI"/>
    <x v="1"/>
    <x v="4"/>
    <d v="2026-03-11T00:00:00"/>
    <d v="2026-03-13T00:00:00"/>
    <d v="2026-03-13T00:00:00"/>
    <d v="2026-04-26T00:00:00"/>
    <d v="2026-05-06T00:00:00"/>
    <d v="2026-05-06T00:00:00"/>
    <s v="CIF"/>
    <s v="OOCL SCANDINAVIA 036W"/>
    <s v="COSCO"/>
    <s v="TPVB20260310019"/>
    <x v="156"/>
    <s v="COSU6445452680"/>
    <n v="54"/>
    <m/>
    <d v="2026-05-06T00:00:00"/>
    <s v="In Stock-Approved"/>
    <d v="2026-05-20T00:00:00"/>
    <n v="10"/>
    <d v="2026-05-16T00:00:00"/>
    <n v="2026"/>
    <n v="5"/>
    <n v="20"/>
    <n v="36"/>
    <n v="864"/>
    <s v="Black glazing"/>
    <s v="AEM"/>
  </r>
  <r>
    <s v="26Mar006"/>
    <s v="Yixing"/>
    <s v="Main Line"/>
    <s v="CORE DG"/>
    <x v="1"/>
    <s v="SPTN Offstore in Transit WH"/>
    <s v="CIF"/>
    <x v="8"/>
    <s v="U2"/>
    <x v="75"/>
    <s v="IE0126020500033"/>
    <m/>
    <s v="Yes"/>
    <d v="2026-01-23T00:00:00"/>
    <x v="8"/>
    <x v="54"/>
    <s v="HSM-ND66-GK710"/>
    <s v="EVO2A"/>
    <s v="±1400mm"/>
    <n v="710"/>
    <n v="132"/>
    <n v="9.3719999999999998E-2"/>
    <n v="4"/>
    <n v="0.22222222222222221"/>
    <x v="0"/>
    <s v="COMPLETED"/>
    <m/>
    <d v="2026-03-05T00:00:00"/>
    <n v="10"/>
    <s v="POPV260310004"/>
    <m/>
    <s v="SHANGHAI"/>
    <x v="1"/>
    <x v="8"/>
    <d v="2026-03-10T00:00:00"/>
    <d v="2026-03-10T00:00:00"/>
    <d v="2026-03-10T00:00:00"/>
    <d v="2026-05-12T00:00:00"/>
    <d v="2026-05-19T00:00:00"/>
    <d v="2026-05-20T00:00:00"/>
    <s v="CIF"/>
    <s v="MSC MAURA GL609W"/>
    <s v="OTHER"/>
    <s v="TPVB20260310020"/>
    <x v="157"/>
    <s v="177FCLCLS0693594"/>
    <n v="71"/>
    <m/>
    <d v="2026-05-20T00:00:00"/>
    <s v="In Stock-Approved"/>
    <d v="2026-05-26T00:00:00"/>
    <n v="0"/>
    <d v="2026-05-20T00:00:00"/>
    <n v="2026"/>
    <n v="5"/>
    <n v="21"/>
    <n v="33"/>
    <n v="594"/>
    <s v="Redirection Film"/>
    <s v="AEU"/>
  </r>
  <r>
    <s v="26Mar007"/>
    <s v="Yixing"/>
    <s v="Main Line"/>
    <s v="CORE DG"/>
    <x v="1"/>
    <s v="SPTN Offstore in Transit WH"/>
    <s v="CIF"/>
    <x v="8"/>
    <s v="U2"/>
    <x v="75"/>
    <s v="IE0126020500033"/>
    <m/>
    <s v="Yes"/>
    <d v="2026-01-23T00:00:00"/>
    <x v="8"/>
    <x v="55"/>
    <s v="HSM-ND66-GK715"/>
    <s v="EVO2A"/>
    <s v="±1400mm"/>
    <n v="715"/>
    <n v="462"/>
    <n v="0.33033000000000001"/>
    <n v="14"/>
    <n v="0.77777777777777779"/>
    <x v="0"/>
    <s v="COMPLETED"/>
    <m/>
    <d v="2026-03-05T00:00:00"/>
    <n v="10"/>
    <s v="POPV260310003"/>
    <m/>
    <s v="SHANGHAI"/>
    <x v="1"/>
    <x v="8"/>
    <d v="2026-03-10T00:00:00"/>
    <d v="2026-03-10T00:00:00"/>
    <d v="2026-03-10T00:00:00"/>
    <d v="2026-05-12T00:00:00"/>
    <d v="2026-05-19T00:00:00"/>
    <d v="2026-05-20T00:00:00"/>
    <s v="CIF"/>
    <s v="MSC MAURA GL609W"/>
    <s v="OTHER"/>
    <s v="TPVB20260310020"/>
    <x v="157"/>
    <s v="177FCLCLS0693594"/>
    <n v="71"/>
    <m/>
    <d v="2026-05-20T00:00:00"/>
    <s v="In Stock-Approved"/>
    <d v="2026-05-26T00:00:00"/>
    <n v="0"/>
    <d v="2026-05-20T00:00:00"/>
    <n v="2026"/>
    <n v="5"/>
    <n v="21"/>
    <n v="33"/>
    <n v="594"/>
    <s v="Redirection Film"/>
    <s v="AEU"/>
  </r>
  <r>
    <s v="26Feb017.08"/>
    <s v="Tianjin"/>
    <s v="26Feb017"/>
    <s v="CORE DG"/>
    <x v="0"/>
    <s v="Arrival Plan-SPNL"/>
    <s v="CIF"/>
    <x v="0"/>
    <s v="U1"/>
    <x v="62"/>
    <m/>
    <m/>
    <s v="Yes"/>
    <d v="2026-02-16T00:00:00"/>
    <x v="0"/>
    <x v="7"/>
    <s v="HSM-ND48-DR450"/>
    <s v="EVO2A"/>
    <s v="±1200mm"/>
    <n v="450"/>
    <n v="4680"/>
    <n v="2.1059999999999999"/>
    <n v="130"/>
    <n v="5"/>
    <x v="0"/>
    <s v="COMPLETED"/>
    <m/>
    <d v="2026-03-03T00:00:00"/>
    <n v="10"/>
    <s v="POPV260309045"/>
    <m/>
    <s v="TIANJIN"/>
    <x v="0"/>
    <x v="1"/>
    <d v="2026-03-07T00:00:00"/>
    <d v="2026-03-07T00:00:00"/>
    <d v="2026-03-07T00:00:00"/>
    <d v="2026-04-29T00:00:00"/>
    <d v="2026-04-30T00:00:00"/>
    <d v="2026-04-29T00:00:00"/>
    <s v="CIF"/>
    <s v="OOCL PORTUGAL 006W"/>
    <s v="COSCO"/>
    <s v="TPVB20260310002"/>
    <x v="158"/>
    <s v="COSU9506225920"/>
    <n v="53"/>
    <m/>
    <d v="2026-04-29T00:00:00"/>
    <s v="In Stock-Approved"/>
    <d v="2026-05-21T00:00:00"/>
    <n v="7"/>
    <d v="2026-05-06T00:00:00"/>
    <n v="2026"/>
    <n v="5"/>
    <n v="19"/>
    <n v="36"/>
    <n v="936"/>
    <s v="Black glazing"/>
    <s v="AEU"/>
  </r>
  <r>
    <s v="26Feb017.06"/>
    <s v="Tianjin"/>
    <s v="26Feb017"/>
    <s v="CORE DG"/>
    <x v="0"/>
    <s v="Arrival Plan-SPNL"/>
    <s v="CIF"/>
    <x v="0"/>
    <s v="U1"/>
    <x v="84"/>
    <m/>
    <m/>
    <s v="n/a"/>
    <d v="2026-02-16T00:00:00"/>
    <x v="0"/>
    <x v="7"/>
    <s v="HSM-ND48-DR450"/>
    <s v="EVO2A"/>
    <s v="±1200mm"/>
    <n v="450"/>
    <n v="1872"/>
    <n v="0.84240000000000004"/>
    <n v="52"/>
    <n v="2"/>
    <x v="0"/>
    <s v="COMPLETED"/>
    <m/>
    <d v="2026-03-02T00:00:00"/>
    <n v="10"/>
    <s v="POPV260309044"/>
    <m/>
    <s v="TIANJIN"/>
    <x v="0"/>
    <x v="1"/>
    <d v="2026-03-07T00:00:00"/>
    <d v="2026-03-07T00:00:00"/>
    <d v="2026-03-07T00:00:00"/>
    <d v="2026-04-21T00:00:00"/>
    <d v="2026-04-30T00:00:00"/>
    <d v="2026-04-29T00:00:00"/>
    <s v="CIF"/>
    <s v="OOCL PORTUGAL 006W"/>
    <s v="COSCO"/>
    <s v="TPVB20260310003"/>
    <x v="159"/>
    <s v="COSU9506226460"/>
    <n v="53"/>
    <m/>
    <d v="2026-04-29T00:00:00"/>
    <s v="In Stock-Approved"/>
    <d v="2026-05-21T00:00:00"/>
    <n v="7"/>
    <d v="2026-05-06T00:00:00"/>
    <n v="2026"/>
    <n v="5"/>
    <n v="19"/>
    <n v="36"/>
    <n v="936"/>
    <s v="Black glazing"/>
    <s v="AEU"/>
  </r>
  <r>
    <s v="26Feb017.07"/>
    <s v="Tianjin"/>
    <s v="26Feb017"/>
    <s v="CORE DG"/>
    <x v="0"/>
    <s v="Arrival Plan-SPNL"/>
    <s v="CIF"/>
    <x v="0"/>
    <s v="U1"/>
    <x v="85"/>
    <m/>
    <m/>
    <s v="n/a"/>
    <d v="2026-02-16T00:00:00"/>
    <x v="0"/>
    <x v="7"/>
    <s v="HSM-ND48-DR450"/>
    <s v="EVO2A"/>
    <s v="±1200mm"/>
    <n v="450"/>
    <n v="1872"/>
    <n v="0.84240000000000004"/>
    <n v="52"/>
    <n v="2"/>
    <x v="0"/>
    <s v="COMPLETED"/>
    <m/>
    <d v="2026-03-02T00:00:00"/>
    <n v="10"/>
    <s v="POPV260309043"/>
    <m/>
    <s v="TIANJIN"/>
    <x v="0"/>
    <x v="1"/>
    <d v="2026-03-07T00:00:00"/>
    <d v="2026-03-07T00:00:00"/>
    <d v="2026-03-07T00:00:00"/>
    <d v="2026-04-21T00:00:00"/>
    <d v="2026-04-30T00:00:00"/>
    <d v="2026-04-29T00:00:00"/>
    <s v="CIF"/>
    <s v="OOCL PORTUGAL 006W"/>
    <s v="COSCO"/>
    <s v="TPVB20260310003"/>
    <x v="159"/>
    <s v="COSU9506226460"/>
    <n v="53"/>
    <m/>
    <d v="2026-04-29T00:00:00"/>
    <s v="In Stock-Approved"/>
    <d v="2026-05-21T00:00:00"/>
    <n v="7"/>
    <d v="2026-05-06T00:00:00"/>
    <n v="2026"/>
    <n v="5"/>
    <n v="19"/>
    <n v="36"/>
    <n v="936"/>
    <s v="Black glazing"/>
    <s v="AEU"/>
  </r>
  <r>
    <s v="26Feb017.10"/>
    <s v="Tianjin"/>
    <s v="26Feb017"/>
    <s v="CORE DG"/>
    <x v="0"/>
    <s v="Arrival Plan-SPNL"/>
    <s v="CIF"/>
    <x v="0"/>
    <s v="U1"/>
    <x v="86"/>
    <m/>
    <m/>
    <s v="n/a"/>
    <d v="2026-02-16T00:00:00"/>
    <x v="0"/>
    <x v="7"/>
    <s v="HSM-ND48-DR450"/>
    <s v="EVO2A"/>
    <s v="±1200mm"/>
    <n v="450"/>
    <n v="936"/>
    <n v="0.42120000000000002"/>
    <n v="26"/>
    <n v="1"/>
    <x v="0"/>
    <s v="COMPLETED"/>
    <m/>
    <d v="2026-03-02T00:00:00"/>
    <n v="10"/>
    <s v="POPV260309042"/>
    <m/>
    <s v="TIANJIN"/>
    <x v="0"/>
    <x v="1"/>
    <d v="2026-03-07T00:00:00"/>
    <d v="2026-03-07T00:00:00"/>
    <d v="2026-03-07T00:00:00"/>
    <d v="2026-04-21T00:00:00"/>
    <d v="2026-04-30T00:00:00"/>
    <d v="2026-04-29T00:00:00"/>
    <s v="CIF"/>
    <s v="OOCL PORTUGAL 006W"/>
    <s v="COSCO"/>
    <s v="TPVB20260310003"/>
    <x v="159"/>
    <s v="COSU9506226460"/>
    <n v="53"/>
    <m/>
    <d v="2026-04-29T00:00:00"/>
    <s v="In Stock-Approved"/>
    <d v="2026-05-21T00:00:00"/>
    <n v="7"/>
    <d v="2026-05-06T00:00:00"/>
    <n v="2026"/>
    <n v="5"/>
    <n v="19"/>
    <n v="36"/>
    <n v="936"/>
    <s v="Black glazing"/>
    <s v="AEU"/>
  </r>
  <r>
    <s v="26JAN005.05"/>
    <s v="Tianjin"/>
    <s v="26JAN005"/>
    <s v="CORE DG"/>
    <x v="0"/>
    <s v="Arrival Plan-SPNL"/>
    <s v="CIF"/>
    <x v="0"/>
    <s v="U1"/>
    <x v="3"/>
    <m/>
    <m/>
    <s v="n/a"/>
    <d v="2026-01-26T00:00:00"/>
    <x v="0"/>
    <x v="43"/>
    <s v="HSM-ND54-DR505"/>
    <s v="EVO2A"/>
    <s v="±1200mm"/>
    <n v="505"/>
    <n v="2592"/>
    <n v="1.3089599999999999"/>
    <n v="72"/>
    <n v="3"/>
    <x v="0"/>
    <s v="COMPLETED"/>
    <m/>
    <d v="2026-03-02T00:00:00"/>
    <n v="10"/>
    <s v="POPV260309040"/>
    <m/>
    <s v="TIANJIN"/>
    <x v="0"/>
    <x v="1"/>
    <d v="2026-03-07T00:00:00"/>
    <d v="2026-03-07T00:00:00"/>
    <d v="2026-03-07T00:00:00"/>
    <d v="2026-04-21T00:00:00"/>
    <d v="2026-04-30T00:00:00"/>
    <d v="2026-04-29T00:00:00"/>
    <s v="CIF"/>
    <s v="OOCL PORTUGAL 006W"/>
    <s v="COSCO"/>
    <s v="TPVB20260310003"/>
    <x v="159"/>
    <s v="COSU9506226460"/>
    <n v="53"/>
    <m/>
    <d v="2026-04-29T00:00:00"/>
    <s v="In Stock-Approved"/>
    <d v="2026-05-21T00:00:00"/>
    <n v="7"/>
    <d v="2026-05-06T00:00:00"/>
    <n v="2026"/>
    <n v="5"/>
    <n v="19"/>
    <n v="36"/>
    <n v="864"/>
    <s v="Black glazing"/>
    <s v="AEU"/>
  </r>
  <r>
    <s v="26JAN005.04"/>
    <s v="Tianjin"/>
    <s v="26JAN005"/>
    <s v="CORE DG"/>
    <x v="0"/>
    <s v="Arrival Plan-SPNL"/>
    <s v="CIF"/>
    <x v="0"/>
    <s v="U1"/>
    <x v="87"/>
    <m/>
    <m/>
    <s v="n/a"/>
    <d v="2026-01-26T00:00:00"/>
    <x v="0"/>
    <x v="43"/>
    <s v="HSM-ND54-DR505"/>
    <s v="EVO2A"/>
    <s v="±1200mm"/>
    <n v="505"/>
    <n v="6912"/>
    <n v="3.4905599999999999"/>
    <n v="192"/>
    <n v="8"/>
    <x v="0"/>
    <s v="COMPLETED"/>
    <m/>
    <d v="2026-03-02T00:00:00"/>
    <n v="10"/>
    <s v="POPV260309029"/>
    <m/>
    <s v="TIANJIN"/>
    <x v="0"/>
    <x v="1"/>
    <d v="2026-03-07T00:00:00"/>
    <d v="2026-03-07T00:00:00"/>
    <d v="2026-03-07T00:00:00"/>
    <d v="2026-04-21T00:00:00"/>
    <d v="2026-04-30T00:00:00"/>
    <d v="2026-04-29T00:00:00"/>
    <s v="CIF"/>
    <s v="OOCL PORTUGAL 006W"/>
    <s v="COSCO"/>
    <s v="TPVB20260310004"/>
    <x v="160"/>
    <s v="COSU9506226470"/>
    <n v="53"/>
    <m/>
    <d v="2026-04-29T00:00:00"/>
    <s v="In Stock-Approved"/>
    <d v="2026-05-21T00:00:00"/>
    <n v="7"/>
    <d v="2026-05-06T00:00:00"/>
    <n v="2026"/>
    <n v="5"/>
    <n v="19"/>
    <n v="36"/>
    <n v="864"/>
    <s v="Black glazing"/>
    <s v="AEU"/>
  </r>
  <r>
    <s v="26Feb017.11.01"/>
    <s v="Tianjin"/>
    <s v="26Feb017"/>
    <s v="CORE DG"/>
    <x v="1"/>
    <s v="SPTN Offstore in Transit WH"/>
    <s v="CIF"/>
    <x v="21"/>
    <s v="U1"/>
    <x v="79"/>
    <s v="GB0126041600006"/>
    <m/>
    <s v="Yes"/>
    <d v="2026-02-23T00:00:00"/>
    <x v="0"/>
    <x v="7"/>
    <s v="HSM-ND48-DR450"/>
    <s v="EVO2A"/>
    <s v="±1200mm"/>
    <n v="450"/>
    <n v="1872"/>
    <n v="0.84240000000000004"/>
    <n v="52"/>
    <n v="2"/>
    <x v="0"/>
    <s v="COMPLETED"/>
    <m/>
    <d v="2026-03-01T00:00:00"/>
    <n v="9"/>
    <s v="POPV260417057"/>
    <m/>
    <s v="TIANJIN"/>
    <x v="0"/>
    <x v="1"/>
    <d v="2026-03-07T00:00:00"/>
    <d v="2026-03-07T00:00:00"/>
    <d v="2026-03-07T00:00:00"/>
    <d v="2026-04-21T00:00:00"/>
    <d v="2026-04-30T00:00:00"/>
    <d v="2026-04-29T00:00:00"/>
    <s v="CIF"/>
    <s v="OOCL PORTUGAL 006W"/>
    <s v="COSCO"/>
    <s v="TPVB20260310008"/>
    <x v="161"/>
    <s v="COSU9506234630"/>
    <n v="53"/>
    <m/>
    <d v="2026-04-29T00:00:00"/>
    <s v="In Stock-Approved"/>
    <d v="2026-05-04T00:00:00"/>
    <n v="0"/>
    <d v="2026-04-29T00:00:00"/>
    <n v="2026"/>
    <n v="4"/>
    <n v="18"/>
    <n v="36"/>
    <n v="936"/>
    <s v="Black glazing"/>
    <s v="AEU"/>
  </r>
  <r>
    <s v="26Feb017.11.02"/>
    <s v="Tianjin"/>
    <s v="26Feb017"/>
    <s v="CORE DG"/>
    <x v="0"/>
    <s v="Arrival Plan-SPNL"/>
    <s v="CIF"/>
    <x v="0"/>
    <s v="U1"/>
    <x v="78"/>
    <s v="BE0126041500017"/>
    <m/>
    <s v="Yes"/>
    <d v="2026-02-23T00:00:00"/>
    <x v="0"/>
    <x v="7"/>
    <s v="HSM-ND48-DR450"/>
    <s v="EVO2A"/>
    <s v="±1200mm"/>
    <n v="450"/>
    <n v="2808"/>
    <n v="1.2636000000000001"/>
    <n v="78"/>
    <n v="3"/>
    <x v="0"/>
    <s v="COMPLETED"/>
    <m/>
    <d v="2026-03-01T00:00:00"/>
    <n v="9"/>
    <s v="POPV260512047"/>
    <m/>
    <s v="TIANJIN"/>
    <x v="0"/>
    <x v="1"/>
    <d v="2026-03-07T00:00:00"/>
    <d v="2026-03-07T00:00:00"/>
    <d v="2026-03-07T00:00:00"/>
    <d v="2026-04-21T00:00:00"/>
    <d v="2026-04-30T00:00:00"/>
    <d v="2026-04-29T00:00:00"/>
    <s v="CIF"/>
    <s v="OOCL PORTUGAL 006W"/>
    <s v="COSCO"/>
    <s v="TPVB20260310008"/>
    <x v="162"/>
    <s v="COSU9506234630"/>
    <n v="53"/>
    <m/>
    <d v="2026-04-29T00:00:00"/>
    <s v="In Stock-Approved"/>
    <d v="2026-05-12T00:00:00"/>
    <n v="7"/>
    <d v="2026-05-06T00:00:00"/>
    <n v="2026"/>
    <n v="5"/>
    <n v="19"/>
    <n v="36"/>
    <n v="936"/>
    <s v="Black glazing"/>
    <s v="AEU"/>
  </r>
  <r>
    <s v="26Feb017.11.03"/>
    <s v="Tianjin"/>
    <s v="26Feb017"/>
    <s v="CORE DG"/>
    <x v="1"/>
    <s v="SPTN Offstore in Transit WH"/>
    <s v="CIF"/>
    <x v="21"/>
    <s v="U1"/>
    <x v="79"/>
    <s v="GB0126041600006"/>
    <m/>
    <s v="Yes"/>
    <d v="2026-02-23T00:00:00"/>
    <x v="0"/>
    <x v="7"/>
    <s v="HSM-ND48-DR450"/>
    <s v="EVO2A"/>
    <s v="±1200mm"/>
    <n v="450"/>
    <n v="4680"/>
    <n v="2.1059999999999999"/>
    <n v="130"/>
    <n v="5"/>
    <x v="0"/>
    <s v="COMPLETED"/>
    <m/>
    <d v="2026-03-01T00:00:00"/>
    <n v="9"/>
    <s v="POPV260417057"/>
    <m/>
    <s v="TIANJIN"/>
    <x v="0"/>
    <x v="1"/>
    <d v="2026-03-07T00:00:00"/>
    <d v="2026-03-07T00:00:00"/>
    <d v="2026-03-07T00:00:00"/>
    <d v="2026-04-21T00:00:00"/>
    <d v="2026-04-30T00:00:00"/>
    <d v="2026-04-29T00:00:00"/>
    <s v="CIF"/>
    <s v="OOCL PORTUGAL 006W"/>
    <s v="COSCO"/>
    <s v="TPVB20260310008"/>
    <x v="161"/>
    <s v="COSU9506234631"/>
    <n v="53"/>
    <m/>
    <d v="2026-04-29T00:00:00"/>
    <s v="In Stock-Approved"/>
    <d v="2026-05-04T00:00:00"/>
    <n v="0"/>
    <d v="2026-04-29T00:00:00"/>
    <n v="2026"/>
    <n v="4"/>
    <n v="18"/>
    <n v="36"/>
    <n v="936"/>
    <s v="Black glazing"/>
    <s v="AEU"/>
  </r>
  <r>
    <s v="26Mar025.01"/>
    <s v="Tianjin"/>
    <s v="26Mar025"/>
    <s v="UPP"/>
    <x v="0"/>
    <s v="Arrival Plan-SPTN"/>
    <s v="CIF"/>
    <x v="0"/>
    <s v="U3"/>
    <x v="69"/>
    <m/>
    <m/>
    <s v="n/a"/>
    <d v="2026-01-23T00:00:00"/>
    <x v="7"/>
    <x v="28"/>
    <s v="HSM-GRA-NM625-CFP"/>
    <s v="EVO2A"/>
    <s v="±1600mm"/>
    <n v="625"/>
    <n v="7488"/>
    <n v="4.68"/>
    <n v="208"/>
    <n v="13"/>
    <x v="0"/>
    <s v="COMPLETED"/>
    <m/>
    <d v="2026-03-05T00:00:00"/>
    <n v="10"/>
    <s v="POPV260310002"/>
    <m/>
    <s v="TIANJIN"/>
    <x v="0"/>
    <x v="5"/>
    <d v="2026-03-10T00:00:00"/>
    <d v="2026-03-10T00:00:00"/>
    <d v="2026-03-10T00:00:00"/>
    <d v="2026-04-28T00:00:00"/>
    <d v="2026-04-28T00:00:00"/>
    <d v="2026-04-28T00:00:00"/>
    <s v="CIF"/>
    <s v="SYNERGY BUSAN / 611S"/>
    <s v="OTHER"/>
    <s v="TPVB20260310010"/>
    <x v="163"/>
    <n v="273285388"/>
    <n v="49"/>
    <m/>
    <d v="2026-04-28T00:00:00"/>
    <s v="In Stock-Approved"/>
    <d v="2026-05-11T00:00:00"/>
    <n v="10"/>
    <d v="2026-05-08T00:00:00"/>
    <n v="2026"/>
    <n v="5"/>
    <n v="19"/>
    <n v="36"/>
    <n v="576"/>
    <s v="White glazing"/>
    <s v="AEU"/>
  </r>
  <r>
    <s v="26JAN005.01"/>
    <s v="Tianjin"/>
    <s v="26JAN005"/>
    <s v="CORE DG"/>
    <x v="0"/>
    <s v="Arrival Plan-SPTN"/>
    <s v="CIF"/>
    <x v="0"/>
    <s v="U4"/>
    <x v="2"/>
    <m/>
    <m/>
    <s v="n/a"/>
    <d v="2026-01-26T00:00:00"/>
    <x v="0"/>
    <x v="43"/>
    <s v="HSM-ND54-DR505"/>
    <s v="EVO2A"/>
    <s v="±1200mm"/>
    <n v="505"/>
    <n v="4320"/>
    <n v="2.1816"/>
    <n v="120"/>
    <n v="5"/>
    <x v="1"/>
    <s v="COMPLETED"/>
    <m/>
    <d v="2026-03-02T00:00:00"/>
    <n v="10"/>
    <s v="POPV260309027"/>
    <m/>
    <s v="TIANJIN"/>
    <x v="0"/>
    <x v="0"/>
    <d v="2026-03-07T00:00:00"/>
    <d v="2026-03-07T00:00:00"/>
    <d v="2026-03-07T00:00:00"/>
    <d v="2026-05-11T00:00:00"/>
    <d v="2026-06-11T00:00:00"/>
    <d v="2026-06-11T00:00:00"/>
    <s v="CIF"/>
    <s v="OOCL PORTUGAL 006W"/>
    <s v="COSCO"/>
    <s v="TPVB20260310006"/>
    <x v="164"/>
    <s v="COSU9506227090"/>
    <n v="96"/>
    <m/>
    <d v="2026-06-11T00:00:00"/>
    <s v="In Stock-Approved"/>
    <d v="2026-06-26T00:00:00"/>
    <n v="8"/>
    <d v="2026-06-19T00:00:00"/>
    <n v="2026"/>
    <n v="6"/>
    <n v="25"/>
    <n v="36"/>
    <n v="864"/>
    <s v="Black glazing"/>
    <s v="AEM"/>
  </r>
  <r>
    <s v="26Feb004.01"/>
    <s v="Yixing"/>
    <s v="26Feb004"/>
    <s v="UPP"/>
    <x v="1"/>
    <s v="SPTN Offstore in Transit WH"/>
    <s v="FOB"/>
    <x v="22"/>
    <s v="n/a"/>
    <x v="88"/>
    <s v="FR0126021300041"/>
    <m/>
    <s v="n/a"/>
    <d v="2026-02-23T00:00:00"/>
    <x v="0"/>
    <x v="13"/>
    <s v="HSM-ND66-GR625"/>
    <s v="H4(Com)"/>
    <s v="±1400mm"/>
    <n v="625"/>
    <n v="12240"/>
    <n v="7.65"/>
    <n v="340"/>
    <n v="17"/>
    <x v="0"/>
    <s v="COMPLETED"/>
    <m/>
    <d v="2026-03-08T00:00:00"/>
    <n v="10"/>
    <s v="POPV260313043"/>
    <m/>
    <s v="SHANGHAI"/>
    <x v="1"/>
    <x v="13"/>
    <d v="2026-03-11T00:00:00"/>
    <d v="2026-03-17T00:00:00"/>
    <d v="2026-03-17T00:00:00"/>
    <d v="2026-05-04T00:00:00"/>
    <d v="2026-05-18T00:00:00"/>
    <d v="2026-05-16T00:00:00"/>
    <s v="FOB"/>
    <s v="MSC GAIA/FY609A"/>
    <s v="OTHER"/>
    <s v="TPVB20260310026"/>
    <x v="165"/>
    <s v="177YATATS84123"/>
    <n v="60"/>
    <m/>
    <d v="2026-05-16T00:00:00"/>
    <s v="In Stock-Approved"/>
    <d v="2026-05-18T00:00:00"/>
    <n v="0"/>
    <d v="2026-05-16T00:00:00"/>
    <n v="2026"/>
    <n v="5"/>
    <n v="20"/>
    <n v="36"/>
    <n v="720"/>
    <s v="Redirection Film"/>
    <s v="n/a"/>
  </r>
  <r>
    <s v="26Feb003.01"/>
    <s v="Yixing"/>
    <s v="26Feb003"/>
    <s v="UPP"/>
    <x v="1"/>
    <s v="SPTN Offstore in Transit WH"/>
    <s v="FOB"/>
    <x v="22"/>
    <s v="n/a"/>
    <x v="88"/>
    <s v="FR0126021300041"/>
    <m/>
    <s v="n/a"/>
    <d v="2026-02-23T00:00:00"/>
    <x v="0"/>
    <x v="24"/>
    <s v="HSM-ND66-GR620"/>
    <s v="H4(Com)"/>
    <s v="±1400mm"/>
    <n v="620"/>
    <n v="12240"/>
    <n v="7.5888"/>
    <n v="340"/>
    <n v="17"/>
    <x v="0"/>
    <s v="COMPLETED"/>
    <m/>
    <d v="2026-03-06T00:00:00"/>
    <n v="10"/>
    <s v="POPV260313041"/>
    <m/>
    <s v="SHANGHAI"/>
    <x v="1"/>
    <x v="13"/>
    <d v="2026-03-11T00:00:00"/>
    <d v="2026-03-17T00:00:00"/>
    <d v="2026-03-17T00:00:00"/>
    <d v="2026-05-04T00:00:00"/>
    <d v="2026-05-18T00:00:00"/>
    <d v="2026-05-18T00:00:00"/>
    <s v="FOB"/>
    <s v="MSC GAIA/FY609A"/>
    <s v="OTHER"/>
    <s v="TPVB20260310027"/>
    <x v="166"/>
    <s v="177YATATS84124"/>
    <n v="62"/>
    <m/>
    <d v="2026-05-18T00:00:00"/>
    <s v="In Stock-Approved"/>
    <d v="2026-05-18T00:00:00"/>
    <n v="0"/>
    <d v="2026-05-18T00:00:00"/>
    <n v="2026"/>
    <n v="5"/>
    <n v="21"/>
    <n v="36"/>
    <n v="720"/>
    <s v="Redirection Film"/>
    <s v="n/a"/>
  </r>
  <r>
    <s v="26Feb004.02"/>
    <s v="Yixing"/>
    <s v="26Feb004"/>
    <s v="UPP"/>
    <x v="1"/>
    <s v="SPTN Offstore in Transit WH"/>
    <s v="FOB"/>
    <x v="22"/>
    <s v="n/a"/>
    <x v="88"/>
    <s v="FR0126021300041"/>
    <m/>
    <s v="n/a"/>
    <d v="2026-02-23T00:00:00"/>
    <x v="0"/>
    <x v="13"/>
    <s v="HSM-ND66-GR625"/>
    <s v="H4(Com)"/>
    <s v="±1400mm"/>
    <n v="625"/>
    <n v="12240"/>
    <n v="7.65"/>
    <n v="340"/>
    <n v="17"/>
    <x v="0"/>
    <s v="COMPLETED"/>
    <m/>
    <d v="2026-03-13T00:00:00"/>
    <n v="11"/>
    <s v="POPV260316022"/>
    <m/>
    <s v="SHANGHAI"/>
    <x v="1"/>
    <x v="13"/>
    <d v="2026-03-18T00:00:00"/>
    <d v="2026-03-20T00:00:00"/>
    <d v="2026-03-24T00:00:00"/>
    <d v="2026-05-12T00:00:00"/>
    <d v="2026-05-30T00:00:00"/>
    <d v="2026-05-30T00:00:00"/>
    <s v="FOB"/>
    <s v="MSC MINA / FY610A"/>
    <s v="OTHER"/>
    <s v="TPVB20260310028"/>
    <x v="167"/>
    <s v="177YATATS84132"/>
    <n v="67"/>
    <m/>
    <d v="2026-05-30T00:00:00"/>
    <s v="In Stock-Approved"/>
    <d v="2026-05-26T00:00:00"/>
    <n v="0"/>
    <d v="2026-05-30T00:00:00"/>
    <n v="2026"/>
    <n v="5"/>
    <n v="22"/>
    <n v="36"/>
    <n v="720"/>
    <s v="Redirection Film"/>
    <s v="n/a"/>
  </r>
  <r>
    <s v="26Feb003.02"/>
    <s v="Yixing"/>
    <s v="26Feb003"/>
    <s v="UPP"/>
    <x v="1"/>
    <s v="SPTN Offstore in Transit WH"/>
    <s v="FOB"/>
    <x v="22"/>
    <s v="n/a"/>
    <x v="88"/>
    <s v="FR0126021300041"/>
    <m/>
    <s v="n/a"/>
    <d v="2026-02-23T00:00:00"/>
    <x v="0"/>
    <x v="24"/>
    <s v="HSM-ND66-GR620"/>
    <s v="H4(Com)"/>
    <s v="±1400mm"/>
    <n v="620"/>
    <n v="12240"/>
    <n v="7.5888"/>
    <n v="340"/>
    <n v="17"/>
    <x v="0"/>
    <s v="COMPLETED"/>
    <m/>
    <d v="2026-03-14T00:00:00"/>
    <n v="11"/>
    <s v="POPV260316021"/>
    <m/>
    <s v="SHANGHAI"/>
    <x v="1"/>
    <x v="13"/>
    <d v="2026-03-18T00:00:00"/>
    <d v="2026-03-20T00:00:00"/>
    <d v="2026-03-24T00:00:00"/>
    <d v="2026-05-12T00:00:00"/>
    <d v="2026-05-30T00:00:00"/>
    <d v="2026-05-30T00:00:00"/>
    <s v="FOB"/>
    <s v="MSC MINA / FY610A"/>
    <s v="OTHER"/>
    <s v="TPVB20260310029"/>
    <x v="168"/>
    <s v="177YATATS84133"/>
    <n v="67"/>
    <m/>
    <d v="2026-05-30T00:00:00"/>
    <s v="In Stock-Approved"/>
    <d v="2026-05-26T00:00:00"/>
    <n v="0"/>
    <d v="2026-05-30T00:00:00"/>
    <n v="2026"/>
    <n v="5"/>
    <n v="22"/>
    <n v="36"/>
    <n v="720"/>
    <s v="Redirection Film"/>
    <s v="n/a"/>
  </r>
  <r>
    <s v="26JAN001.02"/>
    <s v="Yixing"/>
    <s v="26JAN001"/>
    <s v="UPP"/>
    <x v="0"/>
    <s v="Arrival Plan-SPTN"/>
    <s v="CIF"/>
    <x v="0"/>
    <s v="U3"/>
    <x v="89"/>
    <s v="tbc"/>
    <m/>
    <s v="n/a"/>
    <d v="2026-01-23T00:00:00"/>
    <x v="7"/>
    <x v="56"/>
    <s v="HSM-GHF-NM620-CFP"/>
    <s v="EVO2A"/>
    <s v="±1500mm"/>
    <n v="620"/>
    <n v="4248"/>
    <n v="2.6337600000000001"/>
    <n v="118"/>
    <n v="5.9"/>
    <x v="0"/>
    <s v="COMPLETED"/>
    <m/>
    <d v="2026-03-06T00:00:00"/>
    <n v="10"/>
    <s v="POPV260313037"/>
    <m/>
    <s v="SHANGHAI"/>
    <x v="1"/>
    <x v="5"/>
    <d v="2026-03-15T00:00:00"/>
    <d v="2026-03-22T00:00:00"/>
    <d v="2026-03-20T00:00:00"/>
    <d v="2026-04-21T00:00:00"/>
    <d v="2026-04-27T00:00:00"/>
    <d v="2026-04-29T00:00:00"/>
    <s v="CIF"/>
    <s v="CMA CGM PALAIS ROYAL / 0FMM2W1MA"/>
    <s v="OTHER"/>
    <s v="TPVB20260311001"/>
    <x v="169"/>
    <s v="CHN3099432"/>
    <n v="40"/>
    <m/>
    <d v="2026-04-29T00:00:00"/>
    <s v="In Stock-Approved"/>
    <d v="2026-05-11T00:00:00"/>
    <n v="10"/>
    <d v="2026-05-09T00:00:00"/>
    <n v="2026"/>
    <n v="5"/>
    <n v="19"/>
    <n v="36"/>
    <n v="720"/>
    <s v="White glazing"/>
    <s v="AEU"/>
  </r>
  <r>
    <s v="26JAN001.01"/>
    <s v="Yixing"/>
    <s v="26JAN001"/>
    <s v="UPP"/>
    <x v="0"/>
    <s v="Arrival Plan-SPTN"/>
    <s v="CIF"/>
    <x v="0"/>
    <s v="U3"/>
    <x v="89"/>
    <s v="tbc"/>
    <m/>
    <s v="n/a"/>
    <d v="2026-01-23T00:00:00"/>
    <x v="7"/>
    <x v="56"/>
    <s v="HSM-GHF-NM620-CFP"/>
    <s v="EVO2A"/>
    <s v="±1500mm"/>
    <n v="620"/>
    <n v="3960"/>
    <n v="2.4552"/>
    <n v="110"/>
    <n v="5.5"/>
    <x v="0"/>
    <s v="COMPLETED"/>
    <m/>
    <d v="2026-03-06T00:00:00"/>
    <n v="10"/>
    <s v="POPV260313036"/>
    <m/>
    <s v="SHANGHAI"/>
    <x v="1"/>
    <x v="5"/>
    <d v="2026-03-15T00:00:00"/>
    <d v="2026-03-22T00:00:00"/>
    <d v="2026-03-20T00:00:00"/>
    <d v="2026-04-21T00:00:00"/>
    <d v="2026-04-27T00:00:00"/>
    <d v="2026-04-29T00:00:00"/>
    <s v="CIF"/>
    <s v="CMA CGM PALAIS ROYAL / 0FMM2W1MA"/>
    <s v="OTHER"/>
    <s v="TPVB20260311001"/>
    <x v="169"/>
    <s v="CHN3099432"/>
    <n v="40"/>
    <m/>
    <d v="2026-04-29T00:00:00"/>
    <s v="In Stock-Approved"/>
    <d v="2026-05-11T00:00:00"/>
    <n v="10"/>
    <d v="2026-05-09T00:00:00"/>
    <n v="2026"/>
    <n v="5"/>
    <n v="19"/>
    <n v="36"/>
    <n v="720"/>
    <s v="White glazing"/>
    <s v="AEU"/>
  </r>
  <r>
    <s v="26Mar026.03"/>
    <s v="Yixing"/>
    <s v="26Mar026"/>
    <s v="UPP"/>
    <x v="0"/>
    <s v="Arrival Plan-SPTN"/>
    <s v="CIF"/>
    <x v="0"/>
    <s v="U3"/>
    <x v="70"/>
    <s v="tbc"/>
    <m/>
    <s v="n/a"/>
    <d v="2026-01-23T00:00:00"/>
    <x v="7"/>
    <x v="45"/>
    <s v="HSM-GHF-NM615-CFP"/>
    <s v="EVO2A"/>
    <s v="±1500mm"/>
    <n v="615"/>
    <n v="3240"/>
    <n v="1.9925999999999999"/>
    <n v="90"/>
    <n v="4.5"/>
    <x v="0"/>
    <s v="COMPLETED"/>
    <m/>
    <d v="2026-03-06T00:00:00"/>
    <n v="10"/>
    <s v="POPV260313035"/>
    <m/>
    <s v="SHANGHAI"/>
    <x v="1"/>
    <x v="5"/>
    <d v="2026-03-15T00:00:00"/>
    <d v="2026-03-22T00:00:00"/>
    <d v="2026-03-20T00:00:00"/>
    <d v="2026-04-21T00:00:00"/>
    <d v="2026-04-27T00:00:00"/>
    <d v="2026-04-29T00:00:00"/>
    <s v="CIF"/>
    <s v="CMA CGM PALAIS ROYAL / 0FMM2W1MA"/>
    <s v="OTHER"/>
    <s v="TPVB20260311001"/>
    <x v="169"/>
    <s v="CHN3099432"/>
    <n v="40"/>
    <m/>
    <d v="2026-04-29T00:00:00"/>
    <s v="In Stock-Approved"/>
    <d v="2026-05-11T00:00:00"/>
    <n v="10"/>
    <d v="2026-05-09T00:00:00"/>
    <n v="2026"/>
    <n v="5"/>
    <n v="19"/>
    <n v="36"/>
    <n v="720"/>
    <s v="White glazing"/>
    <s v="AEU"/>
  </r>
  <r>
    <s v="26Mar020"/>
    <s v="Yixing"/>
    <s v="Main Line"/>
    <s v="UPP"/>
    <x v="0"/>
    <s v="Arrival Plan-SPNL"/>
    <s v="CIF"/>
    <x v="0"/>
    <s v="U1"/>
    <x v="90"/>
    <m/>
    <m/>
    <s v="n/a"/>
    <d v="2026-01-23T00:00:00"/>
    <x v="7"/>
    <x v="45"/>
    <s v="HSM-GHF-NM615-CFP"/>
    <s v="EVO2A"/>
    <s v="±1500mm"/>
    <n v="615"/>
    <n v="3852"/>
    <n v="2.3689800000000001"/>
    <n v="107"/>
    <n v="5.35"/>
    <x v="0"/>
    <s v="COMPLETED"/>
    <m/>
    <d v="2026-03-04T00:00:00"/>
    <n v="10"/>
    <s v="POPV260313034"/>
    <m/>
    <s v="SHANGHAI"/>
    <x v="1"/>
    <x v="1"/>
    <d v="2026-03-15T00:00:00"/>
    <d v="2026-03-22T00:00:00"/>
    <d v="2026-03-22T00:00:00"/>
    <d v="2026-04-21T00:00:00"/>
    <d v="2026-05-08T00:00:00"/>
    <d v="2026-05-06T00:00:00"/>
    <s v="CIF"/>
    <s v="OOCL PORTUGAL 006W"/>
    <s v="COSCO"/>
    <s v="TPVB20260311006"/>
    <x v="170"/>
    <s v="COSU6446064200"/>
    <n v="45"/>
    <m/>
    <d v="2026-05-06T00:00:00"/>
    <s v="In Stock-Approved"/>
    <d v="2026-05-22T00:00:00"/>
    <n v="7"/>
    <d v="2026-05-13T00:00:00"/>
    <n v="2026"/>
    <n v="5"/>
    <n v="20"/>
    <n v="36"/>
    <n v="720"/>
    <s v="White glazing"/>
    <s v="AEU"/>
  </r>
  <r>
    <s v="26Mar021.01"/>
    <s v="Yixing"/>
    <s v="26Mar021"/>
    <s v="UPP"/>
    <x v="0"/>
    <s v="Arrival Plan-SPNL"/>
    <s v="CIF"/>
    <x v="0"/>
    <s v="U1"/>
    <x v="91"/>
    <m/>
    <m/>
    <s v="n/a"/>
    <d v="2026-01-23T00:00:00"/>
    <x v="7"/>
    <x v="56"/>
    <s v="HSM-GHF-NM620-CFP"/>
    <s v="EVO2A"/>
    <s v="±1500mm"/>
    <n v="620"/>
    <n v="3348"/>
    <n v="2.0757599999999998"/>
    <n v="93"/>
    <n v="4.6500000000000004"/>
    <x v="0"/>
    <s v="COMPLETED"/>
    <m/>
    <d v="2026-03-04T00:00:00"/>
    <n v="10"/>
    <s v="POPV260313033"/>
    <m/>
    <s v="SHANGHAI"/>
    <x v="1"/>
    <x v="1"/>
    <d v="2026-03-15T00:00:00"/>
    <d v="2026-03-22T00:00:00"/>
    <d v="2026-03-22T00:00:00"/>
    <d v="2026-04-21T00:00:00"/>
    <d v="2026-05-08T00:00:00"/>
    <d v="2026-05-06T00:00:00"/>
    <s v="CIF"/>
    <s v="OOCL PORTUGAL 006W"/>
    <s v="COSCO"/>
    <s v="TPVB20260311006"/>
    <x v="170"/>
    <s v="COSU6446064200"/>
    <n v="45"/>
    <m/>
    <d v="2026-05-06T00:00:00"/>
    <s v="In Stock-Approved"/>
    <d v="2026-05-22T00:00:00"/>
    <n v="7"/>
    <d v="2026-05-13T00:00:00"/>
    <n v="2026"/>
    <n v="5"/>
    <n v="20"/>
    <n v="36"/>
    <n v="720"/>
    <s v="White glazing"/>
    <s v="AEU"/>
  </r>
  <r>
    <s v="26Feb010.11"/>
    <s v="Yixing"/>
    <s v="26Feb010"/>
    <s v="CORE DG"/>
    <x v="1"/>
    <s v="SPTN Offstore in Transit WH"/>
    <s v="CIF"/>
    <x v="23"/>
    <s v="U1"/>
    <x v="92"/>
    <s v="AT0126042100006"/>
    <n v="6"/>
    <s v="Yes"/>
    <d v="2026-02-23T00:00:00"/>
    <x v="1"/>
    <x v="39"/>
    <s v="TCL-MR470DT182-58NS"/>
    <s v="EVO2A"/>
    <s v="±1200mm"/>
    <n v="470"/>
    <n v="2592"/>
    <n v="1.21824"/>
    <n v="72"/>
    <n v="3"/>
    <x v="0"/>
    <s v="COMPLETED"/>
    <m/>
    <d v="2026-03-05T00:00:00"/>
    <n v="10"/>
    <s v="POPV260427028"/>
    <m/>
    <s v="SHANGHAI"/>
    <x v="1"/>
    <x v="1"/>
    <d v="2026-03-15T00:00:00"/>
    <d v="2026-03-22T00:00:00"/>
    <d v="2026-03-22T00:00:00"/>
    <d v="2026-04-21T00:00:00"/>
    <d v="2026-05-08T00:00:00"/>
    <d v="2026-05-06T00:00:00"/>
    <s v="CIF"/>
    <s v="OOCL PORTUGAL 006W"/>
    <s v="COSCO"/>
    <s v="TPVB20260311006-1"/>
    <x v="171"/>
    <s v="COSU6446064200"/>
    <n v="45"/>
    <m/>
    <d v="2026-05-06T00:00:00"/>
    <s v="In Stock-Approved"/>
    <d v="2026-04-27T00:00:00"/>
    <n v="0"/>
    <d v="2026-05-06T00:00:00"/>
    <n v="2026"/>
    <n v="5"/>
    <n v="19"/>
    <n v="36"/>
    <n v="864"/>
    <s v="White glazing"/>
    <s v="AEU"/>
  </r>
  <r>
    <s v="26Feb010.13"/>
    <s v="Yixing"/>
    <s v="26Feb010"/>
    <s v="CORE DG"/>
    <x v="1"/>
    <s v="SPTN Offstore in Transit WH"/>
    <s v="CIF"/>
    <x v="23"/>
    <s v="U1"/>
    <x v="92"/>
    <s v="AT0126042100006"/>
    <n v="7"/>
    <s v="Yes"/>
    <d v="2026-02-23T00:00:00"/>
    <x v="1"/>
    <x v="39"/>
    <s v="TCL-MR470DT182-58NS"/>
    <s v="EVO2A"/>
    <s v="±1200mm"/>
    <n v="470"/>
    <n v="1728"/>
    <n v="0.81215999999999999"/>
    <n v="48"/>
    <n v="2"/>
    <x v="0"/>
    <s v="COMPLETED"/>
    <s v="W11"/>
    <d v="2026-03-05T00:00:00"/>
    <n v="10"/>
    <s v="POPV260427029"/>
    <m/>
    <s v="SHANGHAI"/>
    <x v="1"/>
    <x v="1"/>
    <d v="2026-03-15T00:00:00"/>
    <d v="2026-03-22T00:00:00"/>
    <d v="2026-03-22T00:00:00"/>
    <d v="2026-04-21T00:00:00"/>
    <d v="2026-05-08T00:00:00"/>
    <d v="2026-05-06T00:00:00"/>
    <s v="CIF"/>
    <s v="OOCL PORTUGAL 006W"/>
    <s v="COSCO"/>
    <s v="TPVB20260311006-1"/>
    <x v="171"/>
    <s v="COSU6446064200"/>
    <n v="45"/>
    <m/>
    <d v="2026-05-06T00:00:00"/>
    <s v="In Stock-Approved"/>
    <d v="2026-05-22T00:00:00"/>
    <n v="0"/>
    <d v="2026-05-06T00:00:00"/>
    <n v="2026"/>
    <n v="5"/>
    <n v="19"/>
    <n v="36"/>
    <n v="864"/>
    <s v="White glazing"/>
    <s v="AEU"/>
  </r>
  <r>
    <s v="26Feb025.02"/>
    <s v="Yixing"/>
    <s v="26Feb025"/>
    <s v="CORE DG"/>
    <x v="0"/>
    <s v="Arrival Plan-SPNL"/>
    <s v="CIF"/>
    <x v="0"/>
    <s v="U1"/>
    <x v="93"/>
    <m/>
    <m/>
    <s v="n/a"/>
    <d v="2026-03-16T00:00:00"/>
    <x v="0"/>
    <x v="57"/>
    <s v="HSM-ND66-GR620"/>
    <s v="EVO2A"/>
    <s v="±1400mm"/>
    <n v="620"/>
    <n v="7920"/>
    <n v="4.9104000000000001"/>
    <n v="220"/>
    <n v="11"/>
    <x v="0"/>
    <s v="COMPLETED"/>
    <s v="W11"/>
    <d v="2026-03-09T00:00:00"/>
    <n v="11"/>
    <s v="POPV260313029"/>
    <m/>
    <s v="SHANGHAI"/>
    <x v="1"/>
    <x v="1"/>
    <d v="2026-03-15T00:00:00"/>
    <d v="2026-03-22T00:00:00"/>
    <d v="2026-03-22T00:00:00"/>
    <d v="2026-04-21T00:00:00"/>
    <d v="2026-05-08T00:00:00"/>
    <d v="2026-05-06T00:00:00"/>
    <s v="CIF"/>
    <s v="OOCL PORTUGAL 006W"/>
    <s v="COSCO"/>
    <s v="TPVB20260311008"/>
    <x v="172"/>
    <s v="COSU6446042590"/>
    <n v="45"/>
    <m/>
    <d v="2026-05-06T00:00:00"/>
    <s v="In Stock-Approved"/>
    <d v="2026-05-22T00:00:00"/>
    <n v="7"/>
    <d v="2026-05-13T00:00:00"/>
    <n v="2026"/>
    <n v="5"/>
    <n v="20"/>
    <n v="36"/>
    <n v="720"/>
    <s v="Redirection Film"/>
    <s v="AEU"/>
  </r>
  <r>
    <s v="26Feb010.12"/>
    <s v="Yixing"/>
    <s v="26Feb010"/>
    <s v="CORE DG"/>
    <x v="0"/>
    <s v="Arrival Plan-SPNL"/>
    <s v="CIF"/>
    <x v="0"/>
    <s v="U1"/>
    <x v="3"/>
    <m/>
    <m/>
    <s v="n/a"/>
    <d v="2026-02-23T00:00:00"/>
    <x v="1"/>
    <x v="39"/>
    <s v="TCL-MR470DT182-58NS"/>
    <s v="EVO2A"/>
    <s v="±1200mm"/>
    <n v="470"/>
    <n v="3456"/>
    <n v="1.62432"/>
    <n v="96"/>
    <n v="4"/>
    <x v="0"/>
    <s v="COMPLETED"/>
    <m/>
    <d v="2026-03-10T00:00:00"/>
    <n v="11"/>
    <s v="POPV260313027"/>
    <m/>
    <s v="SHANGHAI"/>
    <x v="1"/>
    <x v="1"/>
    <d v="2026-03-15T00:00:00"/>
    <d v="2026-03-22T00:00:00"/>
    <d v="2026-03-22T00:00:00"/>
    <d v="2026-04-21T00:00:00"/>
    <d v="2026-05-08T00:00:00"/>
    <d v="2026-05-06T00:00:00"/>
    <s v="CIF"/>
    <s v="OOCL PORTUGAL 006W"/>
    <s v="COSCO"/>
    <s v="TPVB20260311008"/>
    <x v="172"/>
    <s v="COSU6446042590"/>
    <n v="45"/>
    <m/>
    <d v="2026-05-06T00:00:00"/>
    <s v="In Stock-Approved"/>
    <d v="2026-05-22T00:00:00"/>
    <n v="7"/>
    <d v="2026-05-13T00:00:00"/>
    <n v="2026"/>
    <n v="5"/>
    <n v="20"/>
    <n v="36"/>
    <n v="864"/>
    <s v="White glazing"/>
    <s v="AEU"/>
  </r>
  <r>
    <s v="26Feb025.03"/>
    <s v="Yixing"/>
    <s v="26Feb025"/>
    <s v="CORE DG"/>
    <x v="0"/>
    <s v="Arrival Plan-SPNL"/>
    <s v="CIF"/>
    <x v="0"/>
    <s v="U1"/>
    <x v="3"/>
    <m/>
    <m/>
    <s v="n/a"/>
    <d v="2026-03-16T00:00:00"/>
    <x v="0"/>
    <x v="57"/>
    <s v="HSM-ND66-GR620"/>
    <s v="EVO2A"/>
    <s v="±1400mm"/>
    <n v="620"/>
    <n v="2160"/>
    <n v="1.3391999999999999"/>
    <n v="60"/>
    <n v="3"/>
    <x v="0"/>
    <s v="COMPLETED"/>
    <s v="W11"/>
    <d v="2026-03-11T00:00:00"/>
    <n v="11"/>
    <s v="POPV260313025"/>
    <m/>
    <s v="SHANGHAI"/>
    <x v="1"/>
    <x v="1"/>
    <d v="2026-03-15T00:00:00"/>
    <d v="2026-03-22T00:00:00"/>
    <d v="2026-03-22T00:00:00"/>
    <d v="2026-04-21T00:00:00"/>
    <d v="2026-05-08T00:00:00"/>
    <d v="2026-05-06T00:00:00"/>
    <s v="CIF"/>
    <s v="OOCL PORTUGAL 006W"/>
    <s v="COSCO"/>
    <s v="TPVB20260311009"/>
    <x v="106"/>
    <s v="COSU6446161190"/>
    <n v="45"/>
    <m/>
    <d v="2026-05-06T00:00:00"/>
    <s v="In Stock-Approved"/>
    <d v="2026-05-22T00:00:00"/>
    <n v="7"/>
    <d v="2026-05-13T00:00:00"/>
    <n v="2026"/>
    <n v="5"/>
    <n v="20"/>
    <n v="36"/>
    <n v="720"/>
    <s v="Redirection Film"/>
    <s v="AEU"/>
  </r>
  <r>
    <s v="26Feb025.05"/>
    <s v="Yixing"/>
    <s v="26Feb025"/>
    <s v="CORE DG"/>
    <x v="0"/>
    <s v="Arrival Plan-SPNL"/>
    <s v="CIF"/>
    <x v="0"/>
    <s v="U1"/>
    <x v="44"/>
    <m/>
    <m/>
    <s v="n/a"/>
    <d v="2026-03-16T00:00:00"/>
    <x v="0"/>
    <x v="57"/>
    <s v="HSM-ND66-GR620"/>
    <s v="EVO2A"/>
    <s v="±1400mm"/>
    <n v="620"/>
    <n v="2880"/>
    <n v="1.7856000000000001"/>
    <n v="80"/>
    <n v="4"/>
    <x v="0"/>
    <s v="COMPLETED"/>
    <s v="W11"/>
    <d v="2026-03-11T00:00:00"/>
    <n v="11"/>
    <s v="POPV260313026"/>
    <m/>
    <s v="SHANGHAI"/>
    <x v="1"/>
    <x v="1"/>
    <d v="2026-03-15T00:00:00"/>
    <d v="2026-03-22T00:00:00"/>
    <d v="2026-03-22T00:00:00"/>
    <d v="2026-04-21T00:00:00"/>
    <d v="2026-05-08T00:00:00"/>
    <d v="2026-05-06T00:00:00"/>
    <s v="CIF"/>
    <s v="OOCL PORTUGAL 006W"/>
    <s v="COSCO"/>
    <s v="TPVB20260311009"/>
    <x v="106"/>
    <s v="COSU6446161190"/>
    <n v="45"/>
    <m/>
    <d v="2026-05-06T00:00:00"/>
    <s v="In Stock-Approved"/>
    <d v="2026-05-22T00:00:00"/>
    <n v="7"/>
    <d v="2026-05-13T00:00:00"/>
    <n v="2026"/>
    <n v="5"/>
    <n v="20"/>
    <n v="36"/>
    <n v="720"/>
    <s v="Redirection Film"/>
    <s v="AEU"/>
  </r>
  <r>
    <s v="26Feb026.06"/>
    <s v="Yixing"/>
    <s v="26Feb026"/>
    <s v="CORE DG"/>
    <x v="0"/>
    <s v="Arrival Plan-SPNL"/>
    <s v="CIF"/>
    <x v="0"/>
    <s v="U3"/>
    <x v="56"/>
    <m/>
    <m/>
    <s v="n/a"/>
    <d v="2026-02-16T00:00:00"/>
    <x v="0"/>
    <x v="36"/>
    <s v="HSM-ND66-GR625"/>
    <s v="EVO2A"/>
    <s v="±1400mm"/>
    <n v="625"/>
    <n v="7200"/>
    <n v="4.5"/>
    <n v="200"/>
    <n v="10"/>
    <x v="0"/>
    <s v="COMPLETED"/>
    <s v="W11 (3.4起)"/>
    <d v="2026-03-09T00:00:00"/>
    <n v="11"/>
    <s v="POPV260313023"/>
    <m/>
    <s v="SHANGHAI"/>
    <x v="1"/>
    <x v="1"/>
    <d v="2026-03-15T00:00:00"/>
    <d v="2026-03-22T00:00:00"/>
    <d v="2026-03-22T00:00:00"/>
    <d v="2026-04-21T00:00:00"/>
    <d v="2026-05-08T00:00:00"/>
    <d v="2026-05-06T00:00:00"/>
    <s v="CIF"/>
    <s v="OOCL PORTUGAL 006W"/>
    <s v="COSCO"/>
    <s v="TPVB20260311010"/>
    <x v="173"/>
    <s v="COSU6446572620"/>
    <n v="45"/>
    <m/>
    <d v="2026-05-06T00:00:00"/>
    <s v="In Stock-Approved"/>
    <d v="2026-05-22T00:00:00"/>
    <n v="7"/>
    <d v="2026-05-13T00:00:00"/>
    <n v="2026"/>
    <n v="5"/>
    <n v="20"/>
    <n v="36"/>
    <n v="720"/>
    <s v="Redirection Film"/>
    <s v="AEU"/>
  </r>
  <r>
    <s v="26Feb008.04"/>
    <s v="Yixing"/>
    <s v="26Feb008"/>
    <s v="CORE DG"/>
    <x v="0"/>
    <s v="Arrival Plan-SPNL"/>
    <s v="CIF"/>
    <x v="0"/>
    <s v="U1"/>
    <x v="23"/>
    <m/>
    <m/>
    <s v="n/a"/>
    <d v="2026-03-02T00:00:00"/>
    <x v="5"/>
    <x v="19"/>
    <s v="SPR-P7-460-BLK-1500"/>
    <s v="EVO2A"/>
    <s v="±1200mm"/>
    <n v="460"/>
    <n v="8640"/>
    <n v="3.9744000000000002"/>
    <n v="240"/>
    <n v="10"/>
    <x v="0"/>
    <s v="COMPLETED"/>
    <s v="W11 (3.9/10起)"/>
    <d v="2026-03-11T00:00:00"/>
    <n v="11"/>
    <s v="POPV260313024"/>
    <m/>
    <s v="SHANGHAI"/>
    <x v="1"/>
    <x v="1"/>
    <d v="2026-03-15T00:00:00"/>
    <d v="2026-03-22T00:00:00"/>
    <d v="2026-03-22T00:00:00"/>
    <d v="2026-04-21T00:00:00"/>
    <d v="2026-05-08T00:00:00"/>
    <d v="2026-05-06T00:00:00"/>
    <s v="CIF"/>
    <s v="OOCL PORTUGAL 006W"/>
    <s v="COSCO"/>
    <s v="TPVB20260311011"/>
    <x v="174"/>
    <s v="COSU6446064440"/>
    <n v="45"/>
    <m/>
    <d v="2026-05-06T00:00:00"/>
    <s v="In Stock-Approved"/>
    <d v="2026-05-22T00:00:00"/>
    <n v="7"/>
    <d v="2026-05-13T00:00:00"/>
    <n v="2026"/>
    <n v="5"/>
    <n v="20"/>
    <n v="36"/>
    <n v="864"/>
    <s v="Black glazing"/>
    <s v="AEU"/>
  </r>
  <r>
    <s v="26Feb032.02"/>
    <s v="Yixing"/>
    <s v="26Feb032"/>
    <s v="CORE DG"/>
    <x v="0"/>
    <s v="Arrival Plan-SPNL"/>
    <s v="CIF"/>
    <x v="0"/>
    <s v="U1"/>
    <x v="3"/>
    <m/>
    <m/>
    <s v="n/a"/>
    <d v="2026-03-12T00:00:00"/>
    <x v="0"/>
    <x v="58"/>
    <s v="HSM-ND66-GK725"/>
    <s v="EVO2A"/>
    <s v="±1400mm"/>
    <n v="725"/>
    <n v="8910"/>
    <n v="6.4597499999999997"/>
    <n v="270"/>
    <n v="15"/>
    <x v="0"/>
    <s v="COMPLETED"/>
    <s v="W11"/>
    <d v="2026-03-13T00:00:00"/>
    <n v="11"/>
    <s v="POPV260316020"/>
    <m/>
    <s v="SHANGHAI"/>
    <x v="1"/>
    <x v="1"/>
    <d v="2026-03-16T00:00:00"/>
    <d v="2026-03-31T00:00:00"/>
    <d v="2026-03-31T00:00:00"/>
    <d v="2026-04-22T00:00:00"/>
    <d v="2026-05-12T00:00:00"/>
    <d v="2026-05-15T00:00:00"/>
    <s v="CIF"/>
    <s v="EVER ACME 1392-012W"/>
    <s v="COSCO"/>
    <s v="TPVB20260311012"/>
    <x v="175"/>
    <s v="COSU6446417610"/>
    <n v="45"/>
    <m/>
    <d v="2026-05-15T00:00:00"/>
    <s v="In Stock-Approved"/>
    <d v="2026-05-27T00:00:00"/>
    <n v="7"/>
    <d v="2026-05-22T00:00:00"/>
    <n v="2026"/>
    <n v="5"/>
    <n v="21"/>
    <n v="33"/>
    <n v="594"/>
    <s v="Redirection Film"/>
    <s v="AEU"/>
  </r>
  <r>
    <s v="26Feb007.01"/>
    <s v="Yixing"/>
    <s v="26Feb007"/>
    <s v="CORE DG"/>
    <x v="0"/>
    <s v="Arrival Plan-SPNL"/>
    <s v="CIF"/>
    <x v="0"/>
    <s v="U1"/>
    <x v="94"/>
    <m/>
    <m/>
    <s v="n/a"/>
    <d v="2026-03-02T00:00:00"/>
    <x v="5"/>
    <x v="20"/>
    <s v="SPR-P7-455-BLK-1500"/>
    <s v="EVO2A"/>
    <s v="±1200mm"/>
    <n v="455"/>
    <n v="4320"/>
    <n v="1.9656"/>
    <n v="120"/>
    <n v="5"/>
    <x v="0"/>
    <s v="COMPLETED"/>
    <s v="W11 (3.13起)"/>
    <d v="2026-03-12T00:00:00"/>
    <n v="11"/>
    <s v="POPV260313015"/>
    <m/>
    <s v="SHANGHAI"/>
    <x v="1"/>
    <x v="1"/>
    <d v="2026-03-16T00:00:00"/>
    <d v="2026-03-19T00:00:00"/>
    <d v="2026-03-21T00:00:00"/>
    <d v="2026-04-22T00:00:00"/>
    <d v="2026-05-01T00:00:00"/>
    <d v="2026-05-02T00:00:00"/>
    <s v="CIF"/>
    <s v="EVER ACME 1392-012W"/>
    <s v="COSCO"/>
    <s v="TPVB20260311013"/>
    <x v="176"/>
    <s v="COSU6446418070"/>
    <n v="42"/>
    <m/>
    <d v="2026-05-02T00:00:00"/>
    <s v="In Stock-Approved"/>
    <d v="2026-05-14T00:00:00"/>
    <n v="7"/>
    <d v="2026-05-09T00:00:00"/>
    <n v="2026"/>
    <n v="5"/>
    <n v="19"/>
    <n v="36"/>
    <n v="864"/>
    <s v="Black glazing"/>
    <s v="AEU"/>
  </r>
  <r>
    <s v="26Feb026.07"/>
    <s v="Yixing"/>
    <s v="26Feb026"/>
    <s v="CORE DG"/>
    <x v="0"/>
    <s v="Arrival Plan-SPNL"/>
    <s v="CIF"/>
    <x v="0"/>
    <s v="U3"/>
    <x v="56"/>
    <m/>
    <m/>
    <s v="n/a"/>
    <d v="2026-02-16T00:00:00"/>
    <x v="0"/>
    <x v="36"/>
    <s v="HSM-ND66-GR625"/>
    <s v="EVO2A"/>
    <s v="±1400mm"/>
    <n v="625"/>
    <n v="720"/>
    <n v="0.45"/>
    <n v="20"/>
    <n v="1"/>
    <x v="0"/>
    <s v="COMPLETED"/>
    <s v="W11 (3.4起)"/>
    <d v="2026-03-12T00:00:00"/>
    <n v="11"/>
    <s v="POPV260313022"/>
    <m/>
    <s v="SHANGHAI"/>
    <x v="1"/>
    <x v="1"/>
    <d v="2026-03-15T00:00:00"/>
    <d v="2026-03-19T00:00:00"/>
    <d v="2026-03-22T00:00:00"/>
    <d v="2026-04-21T00:00:00"/>
    <d v="2026-05-09T00:00:00"/>
    <d v="2026-05-11T00:00:00"/>
    <s v="CIF"/>
    <s v="EVER ACME 1392-012W"/>
    <s v="COSCO"/>
    <s v="TPVB20260311014"/>
    <x v="177"/>
    <s v="COSU6446418590"/>
    <n v="50"/>
    <m/>
    <d v="2026-05-11T00:00:00"/>
    <s v="In Stock-Approved"/>
    <d v="2026-05-18T00:00:00"/>
    <n v="7"/>
    <d v="2026-05-18T00:00:00"/>
    <n v="2026"/>
    <n v="5"/>
    <n v="21"/>
    <n v="36"/>
    <n v="720"/>
    <s v="Redirection Film"/>
    <s v="AEU"/>
  </r>
  <r>
    <s v="26Feb008.08"/>
    <s v="Yixing"/>
    <s v="26Feb008"/>
    <s v="CORE DG"/>
    <x v="0"/>
    <s v="Arrival Plan-SPNL"/>
    <s v="CIF"/>
    <x v="0"/>
    <s v="U1"/>
    <x v="23"/>
    <m/>
    <m/>
    <s v="n/a"/>
    <d v="2026-03-02T00:00:00"/>
    <x v="5"/>
    <x v="19"/>
    <s v="SPR-P7-460-BLK-1500"/>
    <s v="EVO2A"/>
    <s v="±1200mm"/>
    <n v="460"/>
    <n v="864"/>
    <n v="0.39744000000000002"/>
    <n v="24"/>
    <n v="1"/>
    <x v="0"/>
    <s v="COMPLETED"/>
    <s v="W11 (3.7起)"/>
    <d v="2026-03-12T00:00:00"/>
    <n v="11"/>
    <s v="POPV260313021"/>
    <m/>
    <s v="SHANGHAI"/>
    <x v="1"/>
    <x v="1"/>
    <d v="2026-03-16T00:00:00"/>
    <d v="2026-03-19T00:00:00"/>
    <d v="2026-03-22T00:00:00"/>
    <d v="2026-04-22T00:00:00"/>
    <d v="2026-05-09T00:00:00"/>
    <d v="2026-05-11T00:00:00"/>
    <s v="CIF"/>
    <s v="EVER ACME 1392-012W"/>
    <s v="COSCO"/>
    <s v="TPVB20260311014"/>
    <x v="177"/>
    <s v="COSU6446418590"/>
    <n v="50"/>
    <m/>
    <d v="2026-05-11T00:00:00"/>
    <s v="In Stock-Approved"/>
    <d v="2026-05-18T00:00:00"/>
    <n v="7"/>
    <d v="2026-05-18T00:00:00"/>
    <n v="2026"/>
    <n v="5"/>
    <n v="21"/>
    <n v="36"/>
    <n v="864"/>
    <s v="Black glazing"/>
    <s v="AEU"/>
  </r>
  <r>
    <s v="26Feb032"/>
    <s v="Yixing"/>
    <s v="Main Line"/>
    <s v="CORE DG"/>
    <x v="0"/>
    <s v="Arrival Plan-SPNL"/>
    <s v="CIF"/>
    <x v="0"/>
    <s v="U1"/>
    <x v="3"/>
    <m/>
    <m/>
    <s v="n/a"/>
    <d v="2026-03-12T00:00:00"/>
    <x v="0"/>
    <x v="58"/>
    <s v="HSM-ND66-GK725"/>
    <s v="EVO2A"/>
    <s v="±1400mm"/>
    <n v="725"/>
    <n v="594"/>
    <n v="0.43064999999999998"/>
    <n v="18"/>
    <n v="1"/>
    <x v="0"/>
    <s v="COMPLETED"/>
    <s v="W11"/>
    <d v="2026-03-12T00:00:00"/>
    <n v="11"/>
    <s v="POPV260313020"/>
    <m/>
    <s v="SHANGHAI"/>
    <x v="1"/>
    <x v="1"/>
    <d v="2026-03-16T00:00:00"/>
    <d v="2026-03-19T00:00:00"/>
    <d v="2026-03-22T00:00:00"/>
    <d v="2026-04-22T00:00:00"/>
    <d v="2026-05-09T00:00:00"/>
    <d v="2026-05-11T00:00:00"/>
    <s v="CIF"/>
    <s v="EVER ACME 1392-012W"/>
    <s v="COSCO"/>
    <s v="TPVB20260311014"/>
    <x v="177"/>
    <s v="COSU6446418590"/>
    <n v="50"/>
    <m/>
    <d v="2026-05-11T00:00:00"/>
    <s v="In Stock-Approved"/>
    <d v="2026-05-18T00:00:00"/>
    <n v="7"/>
    <d v="2026-05-18T00:00:00"/>
    <n v="2026"/>
    <n v="5"/>
    <n v="21"/>
    <n v="33"/>
    <n v="594"/>
    <s v="Redirection Film"/>
    <s v="AEU"/>
  </r>
  <r>
    <s v="26Feb007.03"/>
    <s v="Yixing"/>
    <s v="26Feb007"/>
    <s v="CORE DG"/>
    <x v="0"/>
    <s v="Arrival Plan-SPNL"/>
    <s v="CIF"/>
    <x v="0"/>
    <s v="U1"/>
    <x v="23"/>
    <m/>
    <m/>
    <s v="n/a"/>
    <d v="2026-03-02T00:00:00"/>
    <x v="5"/>
    <x v="20"/>
    <s v="SPR-P7-455-BLK-1500"/>
    <s v="EVO2A"/>
    <s v="±1200mm"/>
    <n v="455"/>
    <n v="6912"/>
    <n v="3.1449600000000002"/>
    <n v="192"/>
    <n v="8"/>
    <x v="0"/>
    <s v="COMPLETED"/>
    <s v="W11 (3.10起)"/>
    <d v="2026-03-12T00:00:00"/>
    <n v="11"/>
    <s v="POPV260313019"/>
    <m/>
    <s v="SHANGHAI"/>
    <x v="1"/>
    <x v="1"/>
    <d v="2026-03-16T00:00:00"/>
    <d v="2026-03-19T00:00:00"/>
    <d v="2026-03-22T00:00:00"/>
    <d v="2026-04-22T00:00:00"/>
    <d v="2026-05-09T00:00:00"/>
    <d v="2026-05-11T00:00:00"/>
    <s v="CIF"/>
    <s v="EVER ACME 1392-012W"/>
    <s v="COSCO"/>
    <s v="TPVB20260311014"/>
    <x v="177"/>
    <s v="COSU6446418590"/>
    <n v="50"/>
    <m/>
    <d v="2026-05-11T00:00:00"/>
    <s v="In Stock-Approved"/>
    <d v="2026-05-18T00:00:00"/>
    <n v="7"/>
    <d v="2026-05-18T00:00:00"/>
    <n v="2026"/>
    <n v="5"/>
    <n v="21"/>
    <n v="36"/>
    <n v="864"/>
    <s v="Black glazing"/>
    <s v="AEU"/>
  </r>
  <r>
    <s v="26Feb037.02"/>
    <s v="Yixing"/>
    <s v="26Feb037"/>
    <s v="UPP"/>
    <x v="0"/>
    <s v="Arrival Plan-SPTN"/>
    <s v="CIF"/>
    <x v="0"/>
    <s v="U3"/>
    <x v="82"/>
    <m/>
    <m/>
    <s v="n/a"/>
    <s v="n/a"/>
    <x v="0"/>
    <x v="9"/>
    <s v="HSM-ND66-GR625 CFP"/>
    <s v="EVO2A"/>
    <s v="±1400mm"/>
    <n v="625"/>
    <n v="6480"/>
    <n v="4.05"/>
    <n v="180"/>
    <n v="9"/>
    <x v="0"/>
    <s v="COMPLETED"/>
    <m/>
    <d v="2026-03-10T00:00:00"/>
    <n v="11"/>
    <s v="POPV260313018"/>
    <m/>
    <s v="SHANGHAI"/>
    <x v="1"/>
    <x v="0"/>
    <d v="2026-03-15T00:00:00"/>
    <d v="2026-03-14T00:00:00"/>
    <d v="2026-03-14T00:00:00"/>
    <d v="2026-05-04T00:00:00"/>
    <d v="2026-05-11T00:00:00"/>
    <d v="2026-05-17T00:00:00"/>
    <s v="CIF"/>
    <s v="EVER GIVEN 0743-027W"/>
    <s v="COSCO"/>
    <s v="TPVB20260311017"/>
    <x v="178"/>
    <s v="COSU6446495320"/>
    <n v="64"/>
    <m/>
    <d v="2026-05-17T00:00:00"/>
    <s v="In Stock-Approved"/>
    <d v="2026-05-29T00:00:00"/>
    <n v="8"/>
    <d v="2026-05-25T00:00:00"/>
    <n v="2026"/>
    <n v="5"/>
    <n v="22"/>
    <n v="36"/>
    <n v="720"/>
    <s v="Redirection Film"/>
    <s v="AEM"/>
  </r>
  <r>
    <s v="26Feb038.02"/>
    <s v="Yixing"/>
    <s v="26Feb038"/>
    <s v="UPP"/>
    <x v="0"/>
    <s v="Arrival Plan-SPTN"/>
    <s v="CIF"/>
    <x v="0"/>
    <s v="U3"/>
    <x v="82"/>
    <m/>
    <m/>
    <s v="n/a"/>
    <s v="n/a"/>
    <x v="0"/>
    <x v="53"/>
    <s v="HSM-ND66-GR630 CFP"/>
    <s v="EVO2A"/>
    <s v="±1400mm"/>
    <n v="630"/>
    <n v="4320"/>
    <n v="2.7216"/>
    <n v="120"/>
    <n v="6"/>
    <x v="0"/>
    <s v="COMPLETED"/>
    <m/>
    <d v="2026-03-10T00:00:00"/>
    <n v="11"/>
    <s v="POPV260313017"/>
    <m/>
    <s v="SHANGHAI"/>
    <x v="1"/>
    <x v="0"/>
    <d v="2026-03-15T00:00:00"/>
    <d v="2026-03-14T00:00:00"/>
    <d v="2026-03-14T00:00:00"/>
    <d v="2026-05-04T00:00:00"/>
    <d v="2026-05-11T00:00:00"/>
    <d v="2026-05-17T00:00:00"/>
    <s v="CIF"/>
    <s v="EVER GIVEN 0743-027W"/>
    <s v="COSCO"/>
    <s v="TPVB20260311017"/>
    <x v="178"/>
    <s v="COSU6446495320"/>
    <n v="64"/>
    <m/>
    <d v="2026-05-17T00:00:00"/>
    <s v="In Stock-Approved"/>
    <d v="2026-05-29T00:00:00"/>
    <n v="8"/>
    <d v="2026-05-25T00:00:00"/>
    <n v="2026"/>
    <n v="5"/>
    <n v="22"/>
    <n v="36"/>
    <n v="720"/>
    <s v="Transparent"/>
    <s v="AEM"/>
  </r>
  <r>
    <s v="26Feb008.01"/>
    <s v="Yixing"/>
    <s v="26Feb008"/>
    <s v="CORE DG"/>
    <x v="0"/>
    <s v="Arrival Plan-SPES"/>
    <s v="CIF"/>
    <x v="1"/>
    <s v="U1"/>
    <x v="28"/>
    <m/>
    <m/>
    <s v="n/a"/>
    <d v="2026-03-02T00:00:00"/>
    <x v="5"/>
    <x v="19"/>
    <s v="SPR-P7-460-BLK-1500"/>
    <s v="EVO2A"/>
    <s v="±1200mm"/>
    <n v="460"/>
    <n v="1728"/>
    <n v="0.79488000000000003"/>
    <n v="48"/>
    <n v="2"/>
    <x v="0"/>
    <s v="COMPLETED"/>
    <s v="W11 (3.6起)"/>
    <d v="2026-03-07T00:00:00"/>
    <n v="10"/>
    <s v="POPV260313016"/>
    <m/>
    <s v="SHANGHAI"/>
    <x v="1"/>
    <x v="2"/>
    <d v="2026-03-15T00:00:00"/>
    <d v="2026-03-14T00:00:00"/>
    <d v="2026-03-14T00:00:00"/>
    <d v="2026-05-07T00:00:00"/>
    <d v="2026-05-20T00:00:00"/>
    <d v="2026-05-20T00:00:00"/>
    <s v="CIF"/>
    <s v="EVER GIVEN 0743-027W"/>
    <s v="COSCO"/>
    <s v="TPVB20260311020"/>
    <x v="179"/>
    <s v="COSU6446043580"/>
    <n v="67"/>
    <m/>
    <d v="2026-05-20T00:00:00"/>
    <s v="In Stock-Approved"/>
    <d v="2026-06-03T00:00:00"/>
    <n v="9"/>
    <d v="2026-05-29T00:00:00"/>
    <n v="2026"/>
    <n v="5"/>
    <n v="22"/>
    <n v="36"/>
    <n v="864"/>
    <s v="Black glazing"/>
    <s v="AEM"/>
  </r>
  <r>
    <s v="26Feb027.02"/>
    <s v="chuzhou"/>
    <s v="26Feb027"/>
    <s v="CORE DG"/>
    <x v="0"/>
    <s v="Arrival Plan-SPNL"/>
    <s v="CIF"/>
    <x v="0"/>
    <s v="U1"/>
    <x v="23"/>
    <m/>
    <m/>
    <s v="n/a"/>
    <d v="2026-03-09T00:00:00"/>
    <x v="3"/>
    <x v="59"/>
    <s v="SPR-BD54-DC490"/>
    <s v="EVO2A"/>
    <s v="±1200mm"/>
    <n v="490"/>
    <n v="3456"/>
    <n v="1.6934400000000001"/>
    <n v="96"/>
    <n v="4"/>
    <x v="0"/>
    <s v="COMPLETED"/>
    <s v="(3.5起)"/>
    <d v="2026-03-10T00:00:00"/>
    <n v="11"/>
    <s v="POPV260313059"/>
    <m/>
    <s v="NINGBO"/>
    <x v="1"/>
    <x v="1"/>
    <d v="2026-03-19T00:00:00"/>
    <d v="2026-03-19T00:00:00"/>
    <d v="2026-03-20T00:00:00"/>
    <d v="2026-05-01T00:00:00"/>
    <d v="2026-05-06T00:00:00"/>
    <d v="2026-05-19T00:00:00"/>
    <s v="CIF"/>
    <s v="HMM HOPE/0059W"/>
    <s v="OTHER"/>
    <s v="TPVB20260311015"/>
    <x v="180"/>
    <s v="N232603803"/>
    <n v="60"/>
    <m/>
    <d v="2026-05-19T00:00:00"/>
    <s v="In Stock-Approved"/>
    <d v="2026-06-03T00:00:00"/>
    <n v="7"/>
    <d v="2026-05-26T00:00:00"/>
    <n v="2026"/>
    <n v="5"/>
    <n v="22"/>
    <n v="36"/>
    <n v="864"/>
    <s v="Black glazing"/>
    <s v="AEU"/>
  </r>
  <r>
    <s v="26Feb028.02"/>
    <s v="chuzhou"/>
    <s v="26Feb028"/>
    <s v="CORE DG"/>
    <x v="0"/>
    <s v="Arrival Plan-SPNL"/>
    <s v="CIF"/>
    <x v="0"/>
    <s v="U1"/>
    <x v="23"/>
    <m/>
    <m/>
    <s v="n/a"/>
    <d v="2026-03-09T00:00:00"/>
    <x v="3"/>
    <x v="60"/>
    <s v="SPR-BD54-DC495"/>
    <s v="EVO2A"/>
    <s v="±1200mm"/>
    <n v="495"/>
    <n v="864"/>
    <n v="0.42768"/>
    <n v="24"/>
    <n v="1"/>
    <x v="0"/>
    <s v="COMPLETED"/>
    <s v="3.7起"/>
    <d v="2026-03-10T00:00:00"/>
    <n v="11"/>
    <s v="POPV260313058"/>
    <m/>
    <s v="NINGBO"/>
    <x v="1"/>
    <x v="1"/>
    <d v="2026-03-19T00:00:00"/>
    <d v="2026-03-19T00:00:00"/>
    <d v="2026-03-20T00:00:00"/>
    <d v="2026-05-01T00:00:00"/>
    <d v="2026-05-06T00:00:00"/>
    <d v="2026-05-19T00:00:00"/>
    <s v="CIF"/>
    <s v="HMM HOPE/0059W"/>
    <s v="OTHER"/>
    <s v="TPVB20260311015"/>
    <x v="180"/>
    <s v="N232603803"/>
    <n v="60"/>
    <m/>
    <d v="2026-05-19T00:00:00"/>
    <s v="In Stock-Approved"/>
    <d v="2026-06-02T00:00:00"/>
    <n v="7"/>
    <d v="2026-05-26T00:00:00"/>
    <n v="2026"/>
    <n v="5"/>
    <n v="22"/>
    <n v="36"/>
    <n v="864"/>
    <s v="Black glazing"/>
    <s v="AEU"/>
  </r>
  <r>
    <s v="26Feb028.03"/>
    <s v="chuzhou"/>
    <s v="26Feb028"/>
    <s v="CORE DG"/>
    <x v="1"/>
    <s v="SPTN Offstore in Transit WH"/>
    <s v="CIF"/>
    <x v="8"/>
    <s v="U1"/>
    <x v="95"/>
    <s v="IE0126030500026"/>
    <m/>
    <s v="Yes"/>
    <d v="2026-03-09T00:00:00"/>
    <x v="3"/>
    <x v="60"/>
    <s v="SPR-BD54-DC495"/>
    <s v="EVO2A"/>
    <s v="±1200mm"/>
    <n v="495"/>
    <n v="864"/>
    <n v="0.42768"/>
    <n v="24"/>
    <n v="1"/>
    <x v="0"/>
    <s v="COMPLETED"/>
    <s v="3.7起"/>
    <d v="2026-03-12T00:00:00"/>
    <n v="11"/>
    <s v="POPV260313042"/>
    <m/>
    <s v="NINGBO"/>
    <x v="1"/>
    <x v="8"/>
    <d v="2026-03-20T00:00:00"/>
    <d v="2026-03-19T00:00:00"/>
    <d v="2026-03-19T00:00:00"/>
    <d v="2026-05-19T00:00:00"/>
    <d v="2026-05-29T00:00:00"/>
    <d v="2026-05-30T00:00:00"/>
    <s v="CIF"/>
    <s v="MSC DOLETTE/GL611W"/>
    <s v="OTHER"/>
    <s v="TPVB20260311022"/>
    <x v="181"/>
    <s v="177SNPNPN73365A"/>
    <n v="72"/>
    <m/>
    <d v="2026-05-30T00:00:00"/>
    <s v="In Stock-Approved"/>
    <d v="2026-06-05T00:00:00"/>
    <n v="0"/>
    <d v="2026-05-30T00:00:00"/>
    <n v="2026"/>
    <n v="5"/>
    <n v="22"/>
    <n v="36"/>
    <n v="864"/>
    <s v="Black glazing"/>
    <s v="AEU"/>
  </r>
  <r>
    <s v="26Feb027.04"/>
    <s v="chuzhou"/>
    <s v="26Feb027"/>
    <s v="CORE DG"/>
    <x v="1"/>
    <s v="SPTN Offstore in Transit WH"/>
    <s v="CIF"/>
    <x v="8"/>
    <s v="U1"/>
    <x v="95"/>
    <s v="IE0126030500026"/>
    <m/>
    <s v="Yes"/>
    <d v="2026-03-09T00:00:00"/>
    <x v="3"/>
    <x v="59"/>
    <s v="SPR-BD54-DC490"/>
    <s v="EVO2A"/>
    <s v="±1200mm"/>
    <n v="490"/>
    <n v="1728"/>
    <n v="0.84672000000000003"/>
    <n v="48"/>
    <n v="2"/>
    <x v="0"/>
    <s v="COMPLETED"/>
    <s v="3.10起"/>
    <d v="2026-03-12T00:00:00"/>
    <n v="11"/>
    <s v="POPV260313040"/>
    <m/>
    <s v="NINGBO"/>
    <x v="1"/>
    <x v="8"/>
    <d v="2026-03-20T00:00:00"/>
    <d v="2026-03-19T00:00:00"/>
    <d v="2026-03-19T00:00:00"/>
    <d v="2026-05-19T00:00:00"/>
    <d v="2026-05-29T00:00:00"/>
    <d v="2026-05-30T00:00:00"/>
    <s v="CIF"/>
    <s v="MSC DOLETTE/GL611W"/>
    <s v="OTHER"/>
    <s v="TPVB20260311022"/>
    <x v="182"/>
    <s v="177SNPNPN73365A"/>
    <n v="72"/>
    <m/>
    <d v="2026-05-30T00:00:00"/>
    <s v="In Stock-Approved"/>
    <d v="2026-06-05T00:00:00"/>
    <n v="0"/>
    <d v="2026-05-30T00:00:00"/>
    <n v="2026"/>
    <n v="5"/>
    <n v="22"/>
    <n v="36"/>
    <n v="864"/>
    <s v="Black glazing"/>
    <s v="AEU"/>
  </r>
  <r>
    <s v="26Feb008.09"/>
    <s v="Yixing"/>
    <s v="26Feb008"/>
    <s v="CORE DG"/>
    <x v="1"/>
    <s v="SPTN Offstore in Transit WH"/>
    <s v="CIF"/>
    <x v="8"/>
    <s v="U1"/>
    <x v="95"/>
    <s v="IE0126030500026"/>
    <m/>
    <s v="Yes"/>
    <d v="2026-03-02T00:00:00"/>
    <x v="5"/>
    <x v="19"/>
    <s v="SPR-P7-460-BLK-1500"/>
    <s v="EVO2A"/>
    <s v="±1200mm"/>
    <n v="460"/>
    <n v="8640"/>
    <n v="3.9744000000000002"/>
    <n v="240"/>
    <n v="10"/>
    <x v="0"/>
    <s v="COMPLETED"/>
    <s v="W12"/>
    <d v="2026-03-12T00:00:00"/>
    <n v="11"/>
    <s v="POPV260313039"/>
    <m/>
    <s v="SHANGHAI"/>
    <x v="1"/>
    <x v="8"/>
    <d v="2026-03-22T00:00:00"/>
    <d v="2026-03-21T00:00:00"/>
    <d v="2026-03-21T00:00:00"/>
    <d v="2026-05-19T00:00:00"/>
    <d v="2026-05-21T00:00:00"/>
    <d v="2026-05-21T00:00:00"/>
    <s v="CIF"/>
    <s v="MSC Adya FW611W"/>
    <s v="OTHER"/>
    <s v="TPVB20260311023"/>
    <x v="183"/>
    <s v="177FBOBOS85957"/>
    <n v="61"/>
    <m/>
    <d v="2026-05-21T00:00:00"/>
    <s v="In Stock-Approved"/>
    <d v="2026-06-05T00:00:00"/>
    <n v="0"/>
    <d v="2026-05-21T00:00:00"/>
    <n v="2026"/>
    <n v="5"/>
    <n v="21"/>
    <n v="36"/>
    <n v="864"/>
    <s v="Black glazing"/>
    <s v="AEU"/>
  </r>
  <r>
    <s v="26Feb028.01"/>
    <s v="chuzhou"/>
    <s v="26Feb028"/>
    <s v="CORE DG"/>
    <x v="0"/>
    <s v="Arrival Plan-SPIT"/>
    <s v="CIF"/>
    <x v="4"/>
    <s v="U1"/>
    <x v="83"/>
    <m/>
    <m/>
    <s v="n/a"/>
    <d v="2026-03-09T00:00:00"/>
    <x v="3"/>
    <x v="60"/>
    <s v="SPR-BD54-DC495"/>
    <s v="EVO2A"/>
    <s v="±1200mm"/>
    <n v="495"/>
    <n v="5184"/>
    <n v="2.5660799999999999"/>
    <n v="144"/>
    <n v="6"/>
    <x v="0"/>
    <s v="COMPLETED"/>
    <m/>
    <d v="2026-03-10T00:00:00"/>
    <n v="11"/>
    <s v="POPV260313054"/>
    <m/>
    <s v="SHANGHAI"/>
    <x v="1"/>
    <x v="4"/>
    <d v="2026-03-15T00:00:00"/>
    <d v="2026-03-14T00:00:00"/>
    <d v="2026-03-14T00:00:00"/>
    <d v="2026-04-29T00:00:00"/>
    <d v="2026-05-13T00:00:00"/>
    <d v="2026-05-13T00:00:00"/>
    <s v="CIF"/>
    <s v="EVER GIVEN 0743-027W"/>
    <s v="COSCO"/>
    <s v="TPVB20260311018"/>
    <x v="184"/>
    <s v="COSU6446057490"/>
    <n v="60"/>
    <m/>
    <d v="2026-05-13T00:00:00"/>
    <s v="In Stock-Approved"/>
    <d v="2026-05-27T00:00:00"/>
    <n v="10"/>
    <d v="2026-05-23T00:00:00"/>
    <n v="2026"/>
    <n v="5"/>
    <n v="21"/>
    <n v="36"/>
    <n v="864"/>
    <s v="Black glazing"/>
    <s v="AEM"/>
  </r>
  <r>
    <s v="26Feb027.01"/>
    <s v="chuzhou"/>
    <s v="26Feb027"/>
    <s v="CORE DG"/>
    <x v="0"/>
    <s v="Arrival Plan-SPIT"/>
    <s v="CIF"/>
    <x v="4"/>
    <s v="U1"/>
    <x v="96"/>
    <m/>
    <m/>
    <s v="n/a"/>
    <d v="2026-03-09T00:00:00"/>
    <x v="3"/>
    <x v="59"/>
    <s v="SPR-BD54-DC490"/>
    <s v="EVO2A"/>
    <s v="±1200mm"/>
    <n v="490"/>
    <n v="2592"/>
    <n v="1.2700800000000001"/>
    <n v="72"/>
    <n v="3"/>
    <x v="0"/>
    <s v="COMPLETED"/>
    <m/>
    <d v="2026-03-12T00:00:00"/>
    <n v="11"/>
    <s v="POPV260313051"/>
    <m/>
    <s v="SHANGHAI"/>
    <x v="1"/>
    <x v="14"/>
    <d v="2026-03-18T00:00:00"/>
    <d v="2026-03-18T00:00:00"/>
    <d v="2026-03-19T00:00:00"/>
    <d v="2026-05-15T00:00:00"/>
    <d v="2026-05-17T00:00:00"/>
    <d v="2026-05-16T00:00:00"/>
    <s v="CIF"/>
    <s v="CSCL JUPITER 093W"/>
    <s v="COSCO"/>
    <s v="TPVB20260311019"/>
    <x v="185"/>
    <s v="COSU6446229300"/>
    <n v="58"/>
    <m/>
    <d v="2026-05-16T00:00:00"/>
    <s v="In Stock-Approved"/>
    <d v="2026-05-29T00:00:00"/>
    <n v="10"/>
    <d v="2026-05-26T00:00:00"/>
    <n v="2026"/>
    <n v="5"/>
    <n v="22"/>
    <n v="36"/>
    <n v="864"/>
    <s v="Black glazing"/>
    <s v="AEM"/>
  </r>
  <r>
    <s v="26Feb030.01"/>
    <s v="jiaxing"/>
    <s v="26Feb030"/>
    <s v="CORE DG"/>
    <x v="0"/>
    <s v="Arrival Plan-SPNL"/>
    <s v="CIF"/>
    <x v="0"/>
    <s v="U1"/>
    <x v="97"/>
    <m/>
    <m/>
    <s v="n/a"/>
    <d v="2026-03-09T00:00:00"/>
    <x v="3"/>
    <x v="61"/>
    <s v="HSM-BD66-GR650"/>
    <s v="EVO2A"/>
    <s v="±1400mm"/>
    <n v="650"/>
    <n v="4320"/>
    <n v="2.8079999999999998"/>
    <n v="120"/>
    <n v="6"/>
    <x v="0"/>
    <s v="COMPLETED"/>
    <s v="(3.11起)"/>
    <d v="2026-03-12T00:00:00"/>
    <n v="11"/>
    <s v="POPV260313052"/>
    <m/>
    <s v="NINGBO"/>
    <x v="1"/>
    <x v="1"/>
    <d v="2026-03-19T00:00:00"/>
    <d v="2026-03-19T00:00:00"/>
    <d v="2026-03-20T00:00:00"/>
    <d v="2026-05-02T00:00:00"/>
    <d v="2026-05-17T00:00:00"/>
    <d v="2026-05-17T00:00:00"/>
    <s v="CIF"/>
    <s v="HMM HOPE/0059W"/>
    <s v="OTHER"/>
    <s v="TPVB20260311016"/>
    <x v="186"/>
    <s v="N232603781"/>
    <n v="58"/>
    <m/>
    <d v="2026-05-17T00:00:00"/>
    <s v="In Stock-Approved"/>
    <d v="2026-06-03T00:00:00"/>
    <n v="7"/>
    <d v="2026-05-24T00:00:00"/>
    <n v="2026"/>
    <n v="5"/>
    <n v="21"/>
    <n v="36"/>
    <n v="720"/>
    <s v="White glazing"/>
    <s v="AEU"/>
  </r>
  <r>
    <s v="26Feb030.02"/>
    <s v="jiaxing"/>
    <s v="26Feb030"/>
    <s v="CORE DG"/>
    <x v="0"/>
    <s v="Arrival Plan-SPNL"/>
    <s v="CIF"/>
    <x v="0"/>
    <s v="U1"/>
    <x v="97"/>
    <m/>
    <m/>
    <s v="n/a"/>
    <d v="2026-03-16T00:00:00"/>
    <x v="3"/>
    <x v="61"/>
    <s v="HSM-BD66-GR650"/>
    <s v="EVO2A"/>
    <s v="±1400mm"/>
    <n v="650"/>
    <n v="5760"/>
    <n v="3.7440000000000002"/>
    <n v="160"/>
    <n v="8"/>
    <x v="0"/>
    <s v="COMPLETED"/>
    <s v="3.13起"/>
    <d v="2026-03-14T00:00:00"/>
    <n v="11"/>
    <s v="POPV260316019"/>
    <m/>
    <s v="NINGBO"/>
    <x v="1"/>
    <x v="1"/>
    <d v="2026-03-19T00:00:00"/>
    <d v="2026-03-19T00:00:00"/>
    <d v="2026-03-20T00:00:00"/>
    <d v="2026-05-02T00:00:00"/>
    <d v="2026-05-17T00:00:00"/>
    <d v="2026-05-17T00:00:00"/>
    <s v="CIF"/>
    <s v="HMM HOPE/0059W"/>
    <s v="OTHER"/>
    <s v="TPVB20260312002"/>
    <x v="187"/>
    <s v="N232603787"/>
    <n v="58"/>
    <m/>
    <d v="2026-05-17T00:00:00"/>
    <s v="In Stock-Approved"/>
    <d v="2026-06-03T00:00:00"/>
    <n v="7"/>
    <d v="2026-05-24T00:00:00"/>
    <n v="2026"/>
    <n v="5"/>
    <n v="21"/>
    <n v="36"/>
    <n v="720"/>
    <s v="White glazing"/>
    <s v="AEU"/>
  </r>
  <r>
    <s v="26Feb029.05"/>
    <s v="jiaxing"/>
    <s v="26Feb029"/>
    <s v="CORE DG"/>
    <x v="0"/>
    <s v="Arrival Plan-SPNL"/>
    <s v="CIF"/>
    <x v="0"/>
    <s v="U1"/>
    <x v="97"/>
    <m/>
    <m/>
    <s v="n/a"/>
    <d v="2026-03-16T00:00:00"/>
    <x v="3"/>
    <x v="62"/>
    <s v="HSM-BD66-GR645"/>
    <s v="EVO2A"/>
    <s v="±1400mm"/>
    <n v="645"/>
    <n v="1440"/>
    <n v="0.92879999999999996"/>
    <n v="40"/>
    <n v="2"/>
    <x v="0"/>
    <s v="COMPLETED"/>
    <s v="3.13起"/>
    <d v="2026-03-14T00:00:00"/>
    <n v="11"/>
    <s v="POPV260316018"/>
    <m/>
    <s v="NINGBO"/>
    <x v="1"/>
    <x v="1"/>
    <d v="2026-03-19T00:00:00"/>
    <d v="2026-03-19T00:00:00"/>
    <d v="2026-03-20T00:00:00"/>
    <d v="2026-05-02T00:00:00"/>
    <d v="2026-05-17T00:00:00"/>
    <d v="2026-05-17T00:00:00"/>
    <s v="CIF"/>
    <s v="HMM HOPE/0059W"/>
    <s v="OTHER"/>
    <s v="TPVB20260312002"/>
    <x v="187"/>
    <s v="N232603787"/>
    <n v="58"/>
    <m/>
    <d v="2026-05-17T00:00:00"/>
    <s v="In Stock-Approved"/>
    <d v="2026-06-03T00:00:00"/>
    <n v="7"/>
    <d v="2026-05-24T00:00:00"/>
    <n v="2026"/>
    <n v="5"/>
    <n v="21"/>
    <n v="36"/>
    <n v="720"/>
    <s v="White glazing"/>
    <s v="AEU"/>
  </r>
  <r>
    <s v="26Feb015.01"/>
    <s v="Yixing"/>
    <s v="26Feb015"/>
    <s v="CORE DG"/>
    <x v="0"/>
    <s v="Arrival Plan-SPNL"/>
    <s v="CIF"/>
    <x v="0"/>
    <s v="n/a"/>
    <x v="98"/>
    <m/>
    <m/>
    <s v="n/a"/>
    <d v="2026-01-26T00:00:00"/>
    <x v="1"/>
    <x v="4"/>
    <s v="TCL-MG720DT210-68NS"/>
    <s v="EVO2A"/>
    <s v="±1400mm"/>
    <n v="720"/>
    <n v="1188"/>
    <n v="0.85536000000000001"/>
    <n v="36"/>
    <n v="2"/>
    <x v="0"/>
    <s v="COMPLETED"/>
    <m/>
    <d v="2026-03-14T00:00:00"/>
    <n v="11"/>
    <s v="POPV260318027"/>
    <m/>
    <s v="SHANGHAI"/>
    <x v="1"/>
    <x v="1"/>
    <d v="2026-03-18T00:00:00"/>
    <d v="2026-03-17T00:00:00"/>
    <d v="2026-03-19T00:00:00"/>
    <d v="2026-05-07T00:00:00"/>
    <d v="2026-05-07T00:00:00"/>
    <d v="2026-05-07T00:00:00"/>
    <s v="CIF"/>
    <s v="MILAN MAERSK/611W"/>
    <s v="OTHER"/>
    <s v="TPVB20260311025"/>
    <x v="188"/>
    <n v="267391376"/>
    <n v="49"/>
    <m/>
    <d v="2026-05-07T00:00:00"/>
    <s v="In Stock-Approved"/>
    <d v="2026-05-21T00:00:00"/>
    <n v="7"/>
    <d v="2026-05-14T00:00:00"/>
    <n v="2026"/>
    <n v="5"/>
    <n v="20"/>
    <n v="33"/>
    <n v="594"/>
    <s v="White glazing"/>
    <s v="AEU"/>
  </r>
  <r>
    <s v="26Feb019.06"/>
    <s v="Tianjin"/>
    <s v="26Feb019"/>
    <s v="CORE DG"/>
    <x v="0"/>
    <s v="Arrival Plan-SPTN"/>
    <s v="CIF"/>
    <x v="0"/>
    <s v="U1"/>
    <x v="97"/>
    <m/>
    <m/>
    <s v="n/a"/>
    <d v="2026-03-02T00:00:00"/>
    <x v="0"/>
    <x v="0"/>
    <s v="HSM-ND54-DR500"/>
    <s v="EVO2A"/>
    <s v="±1200mm"/>
    <n v="500"/>
    <n v="6912"/>
    <n v="3.456"/>
    <n v="192"/>
    <n v="8"/>
    <x v="0"/>
    <s v="COMPLETED"/>
    <s v="(3.8/9货好)"/>
    <d v="2026-03-11T00:00:00"/>
    <n v="11"/>
    <s v="POPV260313050"/>
    <m/>
    <s v="TIANJIN"/>
    <x v="0"/>
    <x v="5"/>
    <d v="2026-03-17T00:00:00"/>
    <d v="2026-03-17T00:00:00"/>
    <d v="2026-03-17T00:00:00"/>
    <d v="2026-05-05T00:00:00"/>
    <d v="2026-05-02T00:00:00"/>
    <d v="2026-05-02T00:00:00"/>
    <s v="CIF"/>
    <s v="UTE / 612S"/>
    <s v="OTHER"/>
    <s v="TPVB20260311002"/>
    <x v="189"/>
    <n v="267064335"/>
    <n v="46"/>
    <m/>
    <d v="2026-05-02T00:00:00"/>
    <s v="In Stock-Approved"/>
    <d v="2026-05-16T00:00:00"/>
    <n v="10"/>
    <d v="2026-05-12T00:00:00"/>
    <n v="2026"/>
    <n v="5"/>
    <n v="20"/>
    <n v="36"/>
    <n v="864"/>
    <s v="Black glazing"/>
    <s v="AEU"/>
  </r>
  <r>
    <s v="26Feb019.03.2"/>
    <s v="Tianjin"/>
    <s v="26Feb019"/>
    <s v="CORE DG"/>
    <x v="1"/>
    <s v="SPTN Offstore in Transit WH"/>
    <s v="CIF"/>
    <x v="11"/>
    <s v="U1"/>
    <x v="6"/>
    <s v="FR0126030900009"/>
    <m/>
    <s v="Yes"/>
    <d v="2026-03-09T00:00:00"/>
    <x v="0"/>
    <x v="0"/>
    <s v="HSM-ND54-DR500"/>
    <s v="EVO2A"/>
    <s v="±1200mm"/>
    <n v="500"/>
    <n v="1728"/>
    <n v="0.86399999999999999"/>
    <n v="48"/>
    <n v="2"/>
    <x v="0"/>
    <s v="COMPLETED"/>
    <s v="(3.5货好)"/>
    <d v="2026-03-11T00:00:00"/>
    <n v="11"/>
    <s v="POPV260331033"/>
    <m/>
    <s v="TIANJIN"/>
    <x v="0"/>
    <x v="5"/>
    <d v="2026-03-17T00:00:00"/>
    <d v="2026-03-17T00:00:00"/>
    <d v="2026-03-17T00:00:00"/>
    <d v="2026-05-05T00:00:00"/>
    <d v="2026-05-02T00:00:00"/>
    <d v="2026-05-02T00:00:00"/>
    <s v="CIF"/>
    <s v="UTE / 612S"/>
    <s v="OTHER"/>
    <s v="TPVB20260311003"/>
    <x v="190"/>
    <n v="267064412"/>
    <n v="46"/>
    <m/>
    <d v="2026-05-02T00:00:00"/>
    <s v="In Stock-Approved"/>
    <d v="2026-05-19T00:00:00"/>
    <n v="0"/>
    <d v="2026-05-02T00:00:00"/>
    <n v="2026"/>
    <n v="5"/>
    <n v="18"/>
    <n v="36"/>
    <n v="864"/>
    <s v="Black glazing"/>
    <s v="AEU"/>
  </r>
  <r>
    <s v="26Feb019.03.1"/>
    <s v="Tianjin"/>
    <s v="26Feb019"/>
    <s v="CORE DG"/>
    <x v="0"/>
    <s v="Arrival Plan-SPTN"/>
    <s v="CIF"/>
    <x v="0"/>
    <s v="U1"/>
    <x v="99"/>
    <m/>
    <m/>
    <s v="n/a"/>
    <d v="2026-03-09T00:00:00"/>
    <x v="0"/>
    <x v="0"/>
    <s v="HSM-ND54-DR500"/>
    <s v="EVO2A"/>
    <s v="±1200mm"/>
    <n v="500"/>
    <n v="1728"/>
    <n v="0.86399999999999999"/>
    <n v="48"/>
    <n v="2"/>
    <x v="0"/>
    <s v="COMPLETED"/>
    <s v="(3.5货好)"/>
    <d v="2026-03-11T00:00:00"/>
    <n v="11"/>
    <s v="POPV260331032"/>
    <m/>
    <s v="TIANJIN"/>
    <x v="0"/>
    <x v="5"/>
    <d v="2026-03-17T00:00:00"/>
    <d v="2026-03-17T00:00:00"/>
    <d v="2026-03-17T00:00:00"/>
    <d v="2026-05-05T00:00:00"/>
    <d v="2026-05-02T00:00:00"/>
    <d v="2026-05-02T00:00:00"/>
    <s v="CIF"/>
    <s v="UTE / 612S"/>
    <s v="OTHER"/>
    <s v="TPVB20260311003"/>
    <x v="191"/>
    <n v="267064412"/>
    <n v="46"/>
    <m/>
    <d v="2026-05-02T00:00:00"/>
    <s v="In Stock-Approved"/>
    <d v="2026-05-18T00:00:00"/>
    <n v="10"/>
    <d v="2026-05-12T00:00:00"/>
    <n v="2026"/>
    <n v="5"/>
    <n v="20"/>
    <n v="36"/>
    <n v="864"/>
    <s v="Black glazing"/>
    <s v="AEU"/>
  </r>
  <r>
    <s v="26Feb019.01"/>
    <s v="Tianjin"/>
    <s v="26Feb019"/>
    <s v="CORE DG"/>
    <x v="0"/>
    <s v="Arrival Plan-SPTN"/>
    <s v="CIF"/>
    <x v="0"/>
    <s v="U1"/>
    <x v="31"/>
    <m/>
    <m/>
    <s v="n/a"/>
    <d v="2026-03-02T00:00:00"/>
    <x v="0"/>
    <x v="0"/>
    <s v="HSM-ND54-DR500"/>
    <s v="EVO2A"/>
    <s v="±1200mm"/>
    <n v="500"/>
    <n v="5184"/>
    <n v="2.5920000000000001"/>
    <n v="144"/>
    <n v="6"/>
    <x v="0"/>
    <s v="COMPLETED"/>
    <s v="(3.7/8货好)"/>
    <d v="2026-03-11T00:00:00"/>
    <n v="11"/>
    <s v="POPV260313047"/>
    <m/>
    <s v="TIANJIN"/>
    <x v="0"/>
    <x v="5"/>
    <d v="2026-03-17T00:00:00"/>
    <d v="2026-03-17T00:00:00"/>
    <d v="2026-03-17T00:00:00"/>
    <d v="2026-05-05T00:00:00"/>
    <d v="2026-05-02T00:00:00"/>
    <d v="2026-05-02T00:00:00"/>
    <s v="CIF"/>
    <s v="UTE / 612S"/>
    <s v="OTHER"/>
    <s v="TPVB20260311003"/>
    <x v="191"/>
    <n v="267064412"/>
    <n v="46"/>
    <m/>
    <d v="2026-05-02T00:00:00"/>
    <s v="In Stock-Approved"/>
    <d v="2026-05-16T00:00:00"/>
    <n v="10"/>
    <d v="2026-05-12T00:00:00"/>
    <n v="2026"/>
    <n v="5"/>
    <n v="20"/>
    <n v="36"/>
    <n v="864"/>
    <s v="Black glazing"/>
    <s v="AEU"/>
  </r>
  <r>
    <s v="26Feb020.01"/>
    <s v="Tianjin"/>
    <s v="26Feb020"/>
    <s v="CORE DG"/>
    <x v="0"/>
    <s v="Arrival Plan-SPNL"/>
    <s v="CIF"/>
    <x v="0"/>
    <s v="U1"/>
    <x v="3"/>
    <m/>
    <m/>
    <s v="n/a"/>
    <d v="2026-03-23T00:00:00"/>
    <x v="0"/>
    <x v="43"/>
    <s v="HSM-ND54-DR505"/>
    <s v="EVO2A"/>
    <s v="±1200mm"/>
    <n v="505"/>
    <n v="2592"/>
    <n v="1.3089599999999999"/>
    <n v="72"/>
    <n v="3"/>
    <x v="0"/>
    <s v="COMPLETED"/>
    <s v="W11"/>
    <d v="2026-03-10T00:00:00"/>
    <n v="11"/>
    <s v="POPV260313048"/>
    <m/>
    <s v="TIANJIN"/>
    <x v="0"/>
    <x v="1"/>
    <d v="2026-03-14T00:00:00"/>
    <d v="2026-03-14T00:00:00"/>
    <d v="2026-03-14T00:00:00"/>
    <d v="2026-04-30T00:00:00"/>
    <d v="2026-05-08T00:00:00"/>
    <d v="2026-05-06T00:00:00"/>
    <s v="CIF"/>
    <s v="CSCL ATLANTIC OCEAN 065W"/>
    <s v="COSCO"/>
    <s v="TPVB20260311004"/>
    <x v="192"/>
    <s v="COSU9506396230"/>
    <n v="53"/>
    <m/>
    <d v="2026-05-06T00:00:00"/>
    <s v="In Stock-Approved"/>
    <d v="2026-05-22T00:00:00"/>
    <n v="7"/>
    <d v="2026-05-13T00:00:00"/>
    <n v="2026"/>
    <n v="5"/>
    <n v="20"/>
    <n v="36"/>
    <n v="864"/>
    <s v="Black glazing"/>
    <s v="AEU"/>
  </r>
  <r>
    <s v="26Feb017.14"/>
    <s v="Tianjin"/>
    <s v="26Feb017"/>
    <s v="CORE DG"/>
    <x v="1"/>
    <s v="SPTN Offstore in Transit WH"/>
    <s v="CIF"/>
    <x v="8"/>
    <s v="U1"/>
    <x v="100"/>
    <s v="IE0126030500026"/>
    <m/>
    <s v="Yes"/>
    <d v="2026-02-23T00:00:00"/>
    <x v="0"/>
    <x v="7"/>
    <s v="HSM-ND48-DR450"/>
    <s v="EVO2A"/>
    <s v="±1200mm"/>
    <n v="450"/>
    <n v="8424"/>
    <n v="3.7907999999999999"/>
    <n v="234"/>
    <n v="9"/>
    <x v="0"/>
    <s v="COMPLETED"/>
    <s v="W11"/>
    <d v="2026-03-12T00:00:00"/>
    <n v="11"/>
    <s v="POPV260313038"/>
    <m/>
    <s v="TIANJIN"/>
    <x v="0"/>
    <x v="15"/>
    <d v="2026-03-17T00:00:00"/>
    <d v="2026-03-17T00:00:00"/>
    <d v="2026-03-16T00:00:00"/>
    <d v="2026-05-26T00:00:00"/>
    <d v="2026-05-15T00:00:00"/>
    <d v="2026-05-16T00:00:00"/>
    <s v="CIF"/>
    <s v="CMA CGM EIFFEL / 0BYOJS1MA/0BYOJS"/>
    <s v="OTHER"/>
    <s v="TPVB20260311024"/>
    <x v="193"/>
    <s v="TJN0899994"/>
    <n v="61"/>
    <m/>
    <d v="2026-05-16T00:00:00"/>
    <s v="In Stock-Approved"/>
    <d v="2026-06-09T00:00:00"/>
    <n v="0"/>
    <d v="2026-05-16T00:00:00"/>
    <n v="2026"/>
    <n v="5"/>
    <n v="20"/>
    <n v="36"/>
    <n v="936"/>
    <s v="Black glazing"/>
    <e v="#N/A"/>
  </r>
  <r>
    <s v="26Feb020.02"/>
    <s v="Tianjin"/>
    <s v="26Feb020"/>
    <s v="CORE DG"/>
    <x v="0"/>
    <s v="Arrival Plan-SPNL"/>
    <s v="CIF"/>
    <x v="0"/>
    <s v="U1"/>
    <x v="101"/>
    <m/>
    <m/>
    <s v="n/a"/>
    <d v="2026-03-09T00:00:00"/>
    <x v="0"/>
    <x v="43"/>
    <s v="HSM-ND54-DR505"/>
    <s v="EVO2A"/>
    <s v="±1200mm"/>
    <n v="505"/>
    <n v="8640"/>
    <n v="4.3632"/>
    <n v="240"/>
    <n v="10"/>
    <x v="0"/>
    <s v="COMPLETED"/>
    <m/>
    <d v="2026-03-10T00:00:00"/>
    <n v="11"/>
    <s v="POPV260313053"/>
    <m/>
    <s v="TIANJIN"/>
    <x v="0"/>
    <x v="1"/>
    <d v="2026-03-14T00:00:00"/>
    <d v="2026-03-14T00:00:00"/>
    <d v="2026-03-14T00:00:00"/>
    <d v="2026-04-30T00:00:00"/>
    <d v="2026-05-08T00:00:00"/>
    <d v="2026-05-06T00:00:00"/>
    <s v="CIF"/>
    <s v="CSCL ATLANTIC OCEAN 065W"/>
    <s v="COSCO"/>
    <s v="TPVB20260311005"/>
    <x v="194"/>
    <s v="COSU9506316140"/>
    <n v="53"/>
    <m/>
    <d v="2026-05-06T00:00:00"/>
    <s v="In Stock-Approved"/>
    <d v="2026-05-22T00:00:00"/>
    <n v="7"/>
    <d v="2026-05-13T00:00:00"/>
    <n v="2026"/>
    <n v="5"/>
    <n v="20"/>
    <n v="36"/>
    <n v="864"/>
    <s v="Black glazing"/>
    <s v="AEU"/>
  </r>
  <r>
    <s v="26Mar024"/>
    <s v="Tianjin"/>
    <s v="Main Line"/>
    <s v="UPP"/>
    <x v="0"/>
    <s v="Arrival Plan-SPNL"/>
    <s v="CIF"/>
    <x v="0"/>
    <s v="U1"/>
    <x v="102"/>
    <m/>
    <m/>
    <s v="n/a"/>
    <d v="2026-01-23T00:00:00"/>
    <x v="7"/>
    <x v="63"/>
    <s v="HSM-GRA-NM630-CFP"/>
    <s v="EVO2A"/>
    <s v="±1600mm"/>
    <n v="630"/>
    <n v="108"/>
    <n v="6.8040000000000003E-2"/>
    <n v="3"/>
    <n v="0.1875"/>
    <x v="0"/>
    <s v="COMPLETED"/>
    <m/>
    <d v="2026-03-09T00:00:00"/>
    <n v="11"/>
    <s v="POPV260313055"/>
    <m/>
    <s v="TIANJIN"/>
    <x v="0"/>
    <x v="1"/>
    <d v="2026-03-15T00:00:00"/>
    <d v="2026-03-22T00:00:00"/>
    <d v="2026-03-22T00:00:00"/>
    <d v="2026-04-27T00:00:00"/>
    <d v="2026-05-05T00:00:00"/>
    <d v="2026-05-05T00:00:00"/>
    <s v="CIF"/>
    <s v="GOOD PROSPECT / 611S"/>
    <s v="OTHER"/>
    <s v="TPVB20260310025"/>
    <x v="195"/>
    <n v="267006396"/>
    <n v="44"/>
    <m/>
    <d v="2026-05-05T00:00:00"/>
    <s v="In Stock-Approved"/>
    <d v="2026-05-12T00:00:00"/>
    <n v="7"/>
    <d v="2026-05-12T00:00:00"/>
    <n v="2026"/>
    <n v="5"/>
    <n v="20"/>
    <n v="36"/>
    <n v="576"/>
    <s v="White glazing"/>
    <s v="AEU"/>
  </r>
  <r>
    <s v="26Mar022.03"/>
    <s v="Tianjin"/>
    <s v="26Mar022"/>
    <s v="UPP"/>
    <x v="0"/>
    <s v="Arrival Plan-SPNL"/>
    <s v="CIF"/>
    <x v="0"/>
    <s v="U1"/>
    <x v="103"/>
    <m/>
    <m/>
    <s v="n/a"/>
    <d v="2026-01-23T00:00:00"/>
    <x v="7"/>
    <x v="44"/>
    <s v="HSM-GRA-NM620-CFP"/>
    <s v="EVO2A"/>
    <s v="±1600mm"/>
    <n v="620"/>
    <n v="4500"/>
    <n v="2.79"/>
    <n v="125"/>
    <n v="7.8125"/>
    <x v="0"/>
    <s v="COMPLETED"/>
    <m/>
    <d v="2026-03-09T00:00:00"/>
    <n v="11"/>
    <s v="POPV260313057"/>
    <m/>
    <s v="TIANJIN"/>
    <x v="0"/>
    <x v="1"/>
    <d v="2026-03-15T00:00:00"/>
    <d v="2026-03-22T00:00:00"/>
    <d v="2026-03-22T00:00:00"/>
    <d v="2026-04-27T00:00:00"/>
    <d v="2026-05-05T00:00:00"/>
    <d v="2026-05-05T00:00:00"/>
    <s v="CIF"/>
    <s v="GOOD PROSPECT / 611S"/>
    <s v="OTHER"/>
    <s v="TPVB20260310025"/>
    <x v="195"/>
    <n v="267006396"/>
    <n v="44"/>
    <m/>
    <d v="2026-05-05T00:00:00"/>
    <s v="In Stock-Approved"/>
    <d v="2026-05-12T00:00:00"/>
    <n v="7"/>
    <d v="2026-05-12T00:00:00"/>
    <n v="2026"/>
    <n v="5"/>
    <n v="20"/>
    <n v="36"/>
    <n v="576"/>
    <s v="White glazing"/>
    <s v="AEU"/>
  </r>
  <r>
    <s v="26Mar022.01"/>
    <s v="Tianjin"/>
    <s v="26Mar022"/>
    <s v="UPP"/>
    <x v="0"/>
    <s v="Arrival Plan-SPNL"/>
    <s v="CIF"/>
    <x v="0"/>
    <s v="U1"/>
    <x v="103"/>
    <m/>
    <m/>
    <s v="n/a"/>
    <d v="2026-01-23T00:00:00"/>
    <x v="7"/>
    <x v="44"/>
    <s v="HSM-GRA-NM620-CFP"/>
    <s v="EVO2A"/>
    <s v="±1600mm"/>
    <n v="620"/>
    <n v="4608"/>
    <n v="2.8569599999999999"/>
    <n v="128"/>
    <n v="8"/>
    <x v="0"/>
    <s v="COMPLETED"/>
    <m/>
    <d v="2026-03-09T00:00:00"/>
    <n v="11"/>
    <s v="POPV260313056"/>
    <m/>
    <s v="TIANJIN"/>
    <x v="0"/>
    <x v="1"/>
    <d v="2026-03-15T00:00:00"/>
    <d v="2026-03-22T00:00:00"/>
    <d v="2026-03-22T00:00:00"/>
    <d v="2026-04-27T00:00:00"/>
    <d v="2026-05-05T00:00:00"/>
    <d v="2026-05-05T00:00:00"/>
    <s v="CIF"/>
    <s v="GOOD PROSPECT / 611S"/>
    <s v="OTHER"/>
    <s v="TPVB20260310025"/>
    <x v="195"/>
    <n v="267006396"/>
    <n v="44"/>
    <m/>
    <d v="2026-05-05T00:00:00"/>
    <s v="In Stock-Approved"/>
    <d v="2026-05-12T00:00:00"/>
    <n v="7"/>
    <d v="2026-05-12T00:00:00"/>
    <n v="2026"/>
    <n v="5"/>
    <n v="20"/>
    <n v="36"/>
    <n v="576"/>
    <s v="White glazing"/>
    <s v="AEU"/>
  </r>
  <r>
    <s v="26Feb020.03"/>
    <s v="Tianjin"/>
    <s v="26Feb020"/>
    <s v="CORE DG"/>
    <x v="0"/>
    <s v="Arrival Plan-SPNL"/>
    <s v="CIF"/>
    <x v="0"/>
    <s v="U1"/>
    <x v="3"/>
    <m/>
    <m/>
    <s v="n/a"/>
    <d v="2026-03-16T00:00:00"/>
    <x v="0"/>
    <x v="43"/>
    <s v="HSM-ND54-DR505"/>
    <s v="EVO2A"/>
    <s v="±1200mm"/>
    <n v="505"/>
    <n v="9504"/>
    <n v="4.7995200000000002"/>
    <n v="264"/>
    <n v="11"/>
    <x v="0"/>
    <s v="COMPLETED"/>
    <s v="W11"/>
    <d v="2026-03-10T00:00:00"/>
    <n v="11"/>
    <s v="POPV260313063"/>
    <m/>
    <s v="TIANJIN"/>
    <x v="0"/>
    <x v="1"/>
    <d v="2026-03-14T00:00:00"/>
    <d v="2026-03-14T00:00:00"/>
    <d v="2026-03-14T00:00:00"/>
    <d v="2026-04-30T00:00:00"/>
    <d v="2026-05-12T00:00:00"/>
    <d v="2026-05-15T00:00:00"/>
    <s v="CIF"/>
    <s v="CSCL ATLANTIC OCEAN 065W"/>
    <s v="COSCO"/>
    <s v="TPVB20260311021"/>
    <x v="107"/>
    <s v="COSU9506315950"/>
    <n v="62"/>
    <m/>
    <d v="2026-05-15T00:00:00"/>
    <s v="In Stock-Approved"/>
    <d v="2026-05-29T00:00:00"/>
    <n v="7"/>
    <d v="2026-05-22T00:00:00"/>
    <n v="2026"/>
    <n v="5"/>
    <n v="21"/>
    <n v="36"/>
    <n v="864"/>
    <s v="Black glazing"/>
    <s v="AEU"/>
  </r>
  <r>
    <s v="26Feb010.03"/>
    <s v="Yixing"/>
    <s v="26Feb010"/>
    <s v="CORE DG"/>
    <x v="0"/>
    <s v="Arrival Plan-SPUK"/>
    <s v="CIF"/>
    <x v="6"/>
    <s v="U1"/>
    <x v="61"/>
    <s v="GB0126030600012"/>
    <m/>
    <s v="n/a"/>
    <d v="2026-02-23T00:00:00"/>
    <x v="1"/>
    <x v="39"/>
    <s v="TCL-MR470DT182-58NS"/>
    <s v="EVO2A"/>
    <s v="±1200mm"/>
    <n v="470"/>
    <n v="3456"/>
    <n v="1.62432"/>
    <n v="96"/>
    <n v="4"/>
    <x v="0"/>
    <s v="COMPLETED"/>
    <m/>
    <d v="2026-03-16T00:00:00"/>
    <n v="12"/>
    <s v="POPV260320045"/>
    <m/>
    <s v="TBW SHANGHAI"/>
    <x v="1"/>
    <x v="6"/>
    <d v="2026-03-22T00:00:00"/>
    <d v="2026-03-29T00:00:00"/>
    <d v="2026-03-29T00:00:00"/>
    <d v="2026-04-29T00:00:00"/>
    <d v="2026-05-18T00:00:00"/>
    <d v="2026-05-15T00:00:00"/>
    <s v="CIF"/>
    <s v="COSCO SHIPPING PLANET 047W"/>
    <s v="COSCO"/>
    <s v="TPVB20260312018"/>
    <x v="196"/>
    <s v="COSU6446423340"/>
    <n v="47"/>
    <m/>
    <d v="2026-05-15T00:00:00"/>
    <s v="In Stock-Approved"/>
    <d v="2026-05-29T00:00:00"/>
    <n v="7"/>
    <d v="2026-05-22T00:00:00"/>
    <n v="2026"/>
    <n v="5"/>
    <n v="21"/>
    <n v="36"/>
    <n v="864"/>
    <s v="White glazing"/>
    <s v="AEU"/>
  </r>
  <r>
    <s v="26Feb010.02"/>
    <s v="Yixing"/>
    <s v="26Feb010"/>
    <s v="CORE DG"/>
    <x v="0"/>
    <s v="Arrival Plan-SPNL"/>
    <s v="CIF"/>
    <x v="0"/>
    <s v="U6"/>
    <x v="3"/>
    <m/>
    <m/>
    <s v="n/a"/>
    <d v="2026-02-23T00:00:00"/>
    <x v="1"/>
    <x v="39"/>
    <s v="TCL-MR470DT182-58NS"/>
    <s v="EVO2A"/>
    <s v="±1200mm"/>
    <n v="470"/>
    <n v="5184"/>
    <n v="2.43648"/>
    <n v="144"/>
    <n v="6"/>
    <x v="0"/>
    <s v="COMPLETED"/>
    <m/>
    <d v="2026-03-14T00:00:00"/>
    <n v="11"/>
    <s v="POPV260320043"/>
    <m/>
    <s v="SHANGHAI"/>
    <x v="1"/>
    <x v="1"/>
    <d v="2026-03-21T00:00:00"/>
    <d v="2026-03-22T00:00:00"/>
    <d v="2026-03-22T00:00:00"/>
    <d v="2026-05-02T00:00:00"/>
    <d v="2026-05-09T00:00:00"/>
    <d v="2026-05-11T00:00:00"/>
    <s v="CIF"/>
    <s v="COSCO SHIPPING PLANET 047W"/>
    <s v="COSCO"/>
    <s v="TPVB20260312019"/>
    <x v="197"/>
    <s v="COSU6446422020"/>
    <n v="50"/>
    <m/>
    <d v="2026-05-11T00:00:00"/>
    <s v="In Stock-Approved"/>
    <d v="2026-05-18T00:00:00"/>
    <n v="7"/>
    <d v="2026-05-18T00:00:00"/>
    <n v="2026"/>
    <n v="5"/>
    <n v="21"/>
    <n v="36"/>
    <n v="864"/>
    <s v="White glazing"/>
    <s v="AEU"/>
  </r>
  <r>
    <s v="26Feb015.05"/>
    <s v="Yixing"/>
    <s v="26Feb015"/>
    <s v="CORE DG"/>
    <x v="0"/>
    <s v="Arrival Plan-SPNL"/>
    <s v="CIF"/>
    <x v="0"/>
    <s v="U4"/>
    <x v="3"/>
    <m/>
    <m/>
    <s v="n/a"/>
    <d v="2026-01-26T00:00:00"/>
    <x v="1"/>
    <x v="4"/>
    <s v="TCL-MG720DT210-68NS"/>
    <s v="EVO2A"/>
    <s v="±1400mm"/>
    <n v="720"/>
    <n v="4158"/>
    <n v="2.99376"/>
    <n v="126"/>
    <n v="7"/>
    <x v="0"/>
    <s v="COMPLETED"/>
    <m/>
    <d v="2026-03-14T00:00:00"/>
    <n v="11"/>
    <s v="POPV260320042"/>
    <m/>
    <s v="SHANGHAI"/>
    <x v="1"/>
    <x v="1"/>
    <d v="2026-03-21T00:00:00"/>
    <d v="2026-03-22T00:00:00"/>
    <d v="2026-03-22T00:00:00"/>
    <d v="2026-05-02T00:00:00"/>
    <d v="2026-05-09T00:00:00"/>
    <d v="2026-05-11T00:00:00"/>
    <s v="CIF"/>
    <s v="COSCO SHIPPING PLANET 047W"/>
    <s v="COSCO"/>
    <s v="TPVB20260312019"/>
    <x v="197"/>
    <s v="COSU6446422020"/>
    <n v="50"/>
    <m/>
    <d v="2026-05-11T00:00:00"/>
    <s v="In Stock-Approved"/>
    <d v="2026-05-18T00:00:00"/>
    <n v="7"/>
    <d v="2026-05-18T00:00:00"/>
    <n v="2026"/>
    <n v="5"/>
    <n v="21"/>
    <n v="33"/>
    <n v="594"/>
    <s v="White glazing"/>
    <s v="AEU"/>
  </r>
  <r>
    <s v="26Feb015.11"/>
    <s v="Yixing"/>
    <s v="26Feb015"/>
    <s v="CORE DG"/>
    <x v="0"/>
    <s v="Arrival Plan-SPNL"/>
    <s v="CIF"/>
    <x v="0"/>
    <s v="U1"/>
    <x v="104"/>
    <m/>
    <m/>
    <s v="n/a"/>
    <d v="2026-01-26T00:00:00"/>
    <x v="1"/>
    <x v="4"/>
    <s v="TCL-MG720DT210-68NS"/>
    <s v="EVO2A"/>
    <s v="±1400mm"/>
    <n v="720"/>
    <n v="1188"/>
    <n v="0.85536000000000001"/>
    <n v="36"/>
    <n v="2"/>
    <x v="0"/>
    <s v="COMPLETED"/>
    <m/>
    <d v="2026-03-14T00:00:00"/>
    <n v="11"/>
    <s v="POPV260320040"/>
    <m/>
    <s v="SHANGHAI"/>
    <x v="1"/>
    <x v="1"/>
    <d v="2026-03-21T00:00:00"/>
    <d v="2026-03-22T00:00:00"/>
    <d v="2026-03-22T00:00:00"/>
    <d v="2026-05-02T00:00:00"/>
    <d v="2026-05-09T00:00:00"/>
    <d v="2026-05-11T00:00:00"/>
    <s v="CIF"/>
    <s v="COSCO SHIPPING PLANET 047W"/>
    <s v="COSCO"/>
    <s v="TPVB20260312019"/>
    <x v="197"/>
    <s v="COSU6446422020"/>
    <n v="50"/>
    <m/>
    <d v="2026-05-11T00:00:00"/>
    <s v="In Stock-Approved"/>
    <d v="2026-05-18T00:00:00"/>
    <n v="7"/>
    <d v="2026-05-18T00:00:00"/>
    <n v="2026"/>
    <n v="5"/>
    <n v="21"/>
    <n v="33"/>
    <n v="594"/>
    <s v="White glazing"/>
    <s v="AEU"/>
  </r>
  <r>
    <s v="26Feb026.05"/>
    <s v="Yixing"/>
    <s v="26Feb026"/>
    <s v="CORE DG"/>
    <x v="0"/>
    <s v="Arrival Plan-SPNL"/>
    <s v="CIF"/>
    <x v="0"/>
    <s v="U3"/>
    <x v="56"/>
    <m/>
    <m/>
    <s v="n/a"/>
    <d v="2026-02-16T00:00:00"/>
    <x v="0"/>
    <x v="36"/>
    <s v="HSM-ND66-GR625"/>
    <s v="EVO2A"/>
    <s v="±1400mm"/>
    <n v="625"/>
    <n v="7920"/>
    <n v="4.95"/>
    <n v="220"/>
    <n v="11"/>
    <x v="0"/>
    <s v="COMPLETED"/>
    <s v="W11 (3.7起)"/>
    <d v="2026-03-15T00:00:00"/>
    <n v="11"/>
    <s v="POPV260320038"/>
    <m/>
    <s v="SHANGHAI"/>
    <x v="1"/>
    <x v="1"/>
    <d v="2026-03-22T00:00:00"/>
    <d v="2026-03-22T00:00:00"/>
    <d v="2026-03-22T00:00:00"/>
    <d v="2026-04-28T00:00:00"/>
    <d v="2026-05-08T00:00:00"/>
    <d v="2026-05-06T00:00:00"/>
    <s v="CIF"/>
    <s v="CSCL ATLANTIC OCEAN 065W"/>
    <s v="COSCO"/>
    <s v="TPVB20260312020"/>
    <x v="198"/>
    <s v="COSU6447103190"/>
    <n v="45"/>
    <m/>
    <d v="2026-05-06T00:00:00"/>
    <s v="In Stock-Approved"/>
    <d v="2026-05-22T00:00:00"/>
    <n v="7"/>
    <d v="2026-05-13T00:00:00"/>
    <n v="2026"/>
    <n v="5"/>
    <n v="20"/>
    <n v="36"/>
    <n v="720"/>
    <s v="Redirection Film"/>
    <s v="AEU"/>
  </r>
  <r>
    <s v="26Feb032.01"/>
    <s v="Yixing"/>
    <s v="26Feb032"/>
    <s v="CORE DG"/>
    <x v="0"/>
    <s v="Arrival Plan-SPNL"/>
    <s v="CIF"/>
    <x v="0"/>
    <s v="U1"/>
    <x v="3"/>
    <m/>
    <m/>
    <s v="n/a"/>
    <d v="2026-03-12T00:00:00"/>
    <x v="0"/>
    <x v="58"/>
    <s v="HSM-ND66-GK725"/>
    <s v="EVO2A"/>
    <s v="±1400mm"/>
    <n v="725"/>
    <n v="8910"/>
    <n v="6.4597499999999997"/>
    <n v="270"/>
    <n v="15"/>
    <x v="0"/>
    <s v="COMPLETED"/>
    <m/>
    <d v="2026-03-15T00:00:00"/>
    <n v="11"/>
    <s v="POPV260320037"/>
    <m/>
    <s v="TBW SHANGHAI"/>
    <x v="1"/>
    <x v="1"/>
    <d v="2026-03-21T00:00:00"/>
    <d v="2026-03-31T00:00:00"/>
    <d v="2026-03-31T00:00:00"/>
    <d v="2026-05-02T00:00:00"/>
    <d v="2026-05-12T00:00:00"/>
    <d v="2026-05-15T00:00:00"/>
    <s v="CIF"/>
    <s v="COSCO SHIPPING PLANET 047W"/>
    <s v="COSCO"/>
    <s v="TPVB20260312021"/>
    <x v="199"/>
    <s v="COSU6446419340"/>
    <n v="45"/>
    <m/>
    <d v="2026-05-15T00:00:00"/>
    <s v="In Stock-Approved"/>
    <d v="2026-05-27T00:00:00"/>
    <n v="7"/>
    <d v="2026-05-22T00:00:00"/>
    <n v="2026"/>
    <n v="5"/>
    <n v="21"/>
    <n v="33"/>
    <n v="594"/>
    <s v="Redirection Film"/>
    <s v="AEU"/>
  </r>
  <r>
    <s v="26Feb032.03"/>
    <s v="Yixing"/>
    <s v="26Feb032"/>
    <s v="CORE DG"/>
    <x v="0"/>
    <s v="Arrival Plan-SPNL"/>
    <s v="CIF"/>
    <x v="0"/>
    <s v="U1"/>
    <x v="3"/>
    <m/>
    <m/>
    <s v="n/a"/>
    <d v="2026-03-12T00:00:00"/>
    <x v="0"/>
    <x v="58"/>
    <s v="HSM-ND66-GK725"/>
    <s v="EVO2A"/>
    <s v="±1400mm"/>
    <n v="725"/>
    <n v="594"/>
    <n v="0.43064999999999998"/>
    <n v="18"/>
    <n v="1"/>
    <x v="0"/>
    <s v="COMPLETED"/>
    <m/>
    <d v="2026-03-16T00:00:00"/>
    <n v="12"/>
    <s v="POPV260320035"/>
    <m/>
    <s v="SHANGHAI"/>
    <x v="1"/>
    <x v="1"/>
    <d v="2026-03-19T00:00:00"/>
    <d v="2026-03-20T00:00:00"/>
    <d v="2026-03-20T00:00:00"/>
    <d v="2026-04-28T00:00:00"/>
    <d v="2026-05-09T00:00:00"/>
    <d v="2026-05-09T00:00:00"/>
    <s v="CIF"/>
    <s v="ONE TRIBUTE V.030W"/>
    <s v="OTHER"/>
    <s v="TPVB20260312016"/>
    <x v="200"/>
    <s v="N237069285"/>
    <n v="50"/>
    <m/>
    <d v="2026-05-09T00:00:00"/>
    <s v="In Stock-Approved"/>
    <d v="2026-05-12T00:00:00"/>
    <n v="7"/>
    <d v="2026-05-16T00:00:00"/>
    <n v="2026"/>
    <n v="5"/>
    <n v="20"/>
    <n v="33"/>
    <n v="594"/>
    <s v="Redirection Film"/>
    <s v="AEU"/>
  </r>
  <r>
    <s v="26Feb015.04"/>
    <s v="Yixing"/>
    <s v="26Feb015"/>
    <s v="CORE DG"/>
    <x v="0"/>
    <s v="Arrival Plan-SPNL"/>
    <s v="CIF"/>
    <x v="0"/>
    <s v="U1"/>
    <x v="3"/>
    <m/>
    <m/>
    <s v="n/a"/>
    <d v="2026-01-26T00:00:00"/>
    <x v="1"/>
    <x v="4"/>
    <s v="TCL-MG720DT210-68NS"/>
    <s v="EVO2A"/>
    <s v="±1400mm"/>
    <n v="720"/>
    <n v="2970"/>
    <n v="2.1383999999999999"/>
    <n v="90"/>
    <n v="5"/>
    <x v="0"/>
    <s v="COMPLETED"/>
    <m/>
    <d v="2026-03-16T00:00:00"/>
    <n v="12"/>
    <s v="POPV260320036"/>
    <m/>
    <s v="SHANGHAI"/>
    <x v="1"/>
    <x v="1"/>
    <d v="2026-03-19T00:00:00"/>
    <d v="2026-03-20T00:00:00"/>
    <d v="2026-03-20T00:00:00"/>
    <d v="2026-04-28T00:00:00"/>
    <d v="2026-05-09T00:00:00"/>
    <d v="2026-05-09T00:00:00"/>
    <s v="CIF"/>
    <s v="ONE TRIBUTE V.030W"/>
    <s v="OTHER"/>
    <s v="TPVB20260312016"/>
    <x v="200"/>
    <s v="N237069285"/>
    <n v="50"/>
    <m/>
    <d v="2026-05-09T00:00:00"/>
    <s v="In Stock-Approved"/>
    <d v="2026-05-12T00:00:00"/>
    <n v="7"/>
    <d v="2026-05-16T00:00:00"/>
    <n v="2026"/>
    <n v="5"/>
    <n v="20"/>
    <n v="33"/>
    <n v="594"/>
    <s v="White glazing"/>
    <s v="AEU"/>
  </r>
  <r>
    <s v="26Feb008.06"/>
    <s v="Yixing"/>
    <s v="26Feb008"/>
    <s v="CORE DG"/>
    <x v="0"/>
    <s v="Arrival Plan-SPNL"/>
    <s v="CIF"/>
    <x v="0"/>
    <s v="U1"/>
    <x v="23"/>
    <m/>
    <m/>
    <s v="n/a"/>
    <d v="2026-03-02T00:00:00"/>
    <x v="5"/>
    <x v="19"/>
    <s v="SPR-P7-460-BLK-1500"/>
    <s v="EVO2A"/>
    <s v="±1200mm"/>
    <n v="460"/>
    <n v="6048"/>
    <n v="2.7820800000000001"/>
    <n v="168"/>
    <n v="7"/>
    <x v="0"/>
    <s v="COMPLETED"/>
    <s v="W12"/>
    <d v="2026-03-16T00:00:00"/>
    <n v="12"/>
    <s v="POPV260320033"/>
    <m/>
    <s v="SHANGHAI"/>
    <x v="1"/>
    <x v="1"/>
    <d v="2026-03-19T00:00:00"/>
    <d v="2026-03-20T00:00:00"/>
    <d v="2026-03-20T00:00:00"/>
    <d v="2026-05-05T00:00:00"/>
    <d v="2026-05-09T00:00:00"/>
    <d v="2026-05-10T00:00:00"/>
    <s v="CIF"/>
    <s v="ONE TRIBUTE 030W"/>
    <s v="OTHER"/>
    <s v="TPVB20260312015"/>
    <x v="201"/>
    <s v="HDMUSHAZXSL21600"/>
    <n v="51"/>
    <m/>
    <d v="2026-05-10T00:00:00"/>
    <s v="In Stock-Approved"/>
    <d v="2026-05-12T00:00:00"/>
    <n v="7"/>
    <d v="2026-05-17T00:00:00"/>
    <n v="2026"/>
    <n v="5"/>
    <n v="20"/>
    <n v="36"/>
    <n v="864"/>
    <s v="Black glazing"/>
    <s v="AEU"/>
  </r>
  <r>
    <s v="26Feb033.01"/>
    <s v="Yixing"/>
    <s v="26Feb033"/>
    <s v="CORE DG"/>
    <x v="0"/>
    <s v="Arrival Plan-SPNL"/>
    <s v="CIF"/>
    <x v="0"/>
    <s v="U1"/>
    <x v="105"/>
    <m/>
    <m/>
    <s v="n/a"/>
    <d v="2026-03-12T00:00:00"/>
    <x v="0"/>
    <x v="64"/>
    <s v="HSM-ND66-GK730"/>
    <s v="EVO2A"/>
    <s v="±1400mm"/>
    <n v="730"/>
    <n v="1782"/>
    <n v="1.3008599999999999"/>
    <n v="54"/>
    <n v="3"/>
    <x v="0"/>
    <s v="COMPLETED"/>
    <m/>
    <d v="2026-03-15T00:00:00"/>
    <n v="11"/>
    <s v="POPV260319015"/>
    <m/>
    <s v="SHANGHAI"/>
    <x v="1"/>
    <x v="1"/>
    <d v="2026-03-22T00:00:00"/>
    <d v="2026-03-23T00:00:00"/>
    <d v="2026-03-23T00:00:00"/>
    <d v="2026-04-28T00:00:00"/>
    <d v="2026-05-09T00:00:00"/>
    <d v="2026-05-06T00:00:00"/>
    <s v="CIF"/>
    <s v="ONE TRUTH V.029W"/>
    <s v="OTHER"/>
    <s v="TPVB20260312017"/>
    <x v="202"/>
    <s v="N237070083"/>
    <n v="44"/>
    <m/>
    <d v="2026-05-06T00:00:00"/>
    <s v="In Stock-Approved"/>
    <d v="2026-05-14T00:00:00"/>
    <n v="7"/>
    <d v="2026-05-13T00:00:00"/>
    <n v="2026"/>
    <n v="5"/>
    <n v="20"/>
    <n v="33"/>
    <n v="594"/>
    <s v="Transparent"/>
    <s v="AEU"/>
  </r>
  <r>
    <s v="26Feb025.06"/>
    <s v="Yixing"/>
    <s v="26Feb025"/>
    <s v="CORE DG"/>
    <x v="0"/>
    <s v="Arrival Plan-SPNL"/>
    <s v="CIF"/>
    <x v="0"/>
    <s v="U1"/>
    <x v="3"/>
    <m/>
    <m/>
    <s v="n/a"/>
    <d v="2026-03-16T00:00:00"/>
    <x v="0"/>
    <x v="57"/>
    <s v="HSM-ND66-GR620"/>
    <s v="EVO2A"/>
    <s v="±1400mm"/>
    <n v="620"/>
    <n v="2160"/>
    <n v="1.3391999999999999"/>
    <n v="60"/>
    <n v="3"/>
    <x v="0"/>
    <s v="COMPLETED"/>
    <m/>
    <d v="2026-03-15T00:00:00"/>
    <n v="11"/>
    <s v="POPV260319016"/>
    <m/>
    <s v="SHANGHAI"/>
    <x v="1"/>
    <x v="1"/>
    <d v="2026-03-22T00:00:00"/>
    <d v="2026-03-23T00:00:00"/>
    <d v="2026-03-23T00:00:00"/>
    <d v="2026-04-28T00:00:00"/>
    <d v="2026-05-09T00:00:00"/>
    <d v="2026-05-06T00:00:00"/>
    <s v="CIF"/>
    <s v="ONE TRUTH V.029W"/>
    <s v="OTHER"/>
    <s v="TPVB20260312017"/>
    <x v="202"/>
    <s v="N237070083"/>
    <n v="44"/>
    <m/>
    <d v="2026-05-06T00:00:00"/>
    <s v="In Stock-Approved"/>
    <d v="2026-05-14T00:00:00"/>
    <n v="7"/>
    <d v="2026-05-13T00:00:00"/>
    <n v="2026"/>
    <n v="5"/>
    <n v="20"/>
    <n v="36"/>
    <n v="720"/>
    <s v="Redirection Film"/>
    <s v="AEU"/>
  </r>
  <r>
    <s v="26Feb025.01"/>
    <s v="Yixing"/>
    <s v="26Feb025"/>
    <s v="CORE DG"/>
    <x v="0"/>
    <s v="Arrival Plan-SPNL"/>
    <s v="CIF"/>
    <x v="0"/>
    <s v="U1"/>
    <x v="3"/>
    <m/>
    <m/>
    <s v="n/a"/>
    <d v="2026-03-16T00:00:00"/>
    <x v="0"/>
    <x v="57"/>
    <s v="HSM-ND66-GR620"/>
    <s v="EVO2A"/>
    <s v="±1400mm"/>
    <n v="620"/>
    <n v="10800"/>
    <n v="6.6959999999999997"/>
    <n v="300"/>
    <n v="15"/>
    <x v="0"/>
    <s v="COMPLETED"/>
    <m/>
    <d v="2026-03-16T00:00:00"/>
    <n v="12"/>
    <s v="POPV260320032"/>
    <m/>
    <s v="TBW SHANGHAI"/>
    <x v="1"/>
    <x v="1"/>
    <d v="2026-03-21T00:00:00"/>
    <d v="2026-03-31T00:00:00"/>
    <d v="2026-03-31T00:00:00"/>
    <d v="2026-04-28T00:00:00"/>
    <d v="2026-05-12T00:00:00"/>
    <d v="2026-05-15T00:00:00"/>
    <s v="CIF"/>
    <s v="COSCO SHIPPING PLANET 047W"/>
    <s v="COSCO"/>
    <s v="TPVB20260312022"/>
    <x v="203"/>
    <s v="COSU6446422350"/>
    <n v="45"/>
    <m/>
    <d v="2026-05-15T00:00:00"/>
    <s v="In Stock-Approved"/>
    <d v="2026-05-29T00:00:00"/>
    <n v="7"/>
    <d v="2026-05-22T00:00:00"/>
    <n v="2026"/>
    <n v="5"/>
    <n v="21"/>
    <n v="36"/>
    <n v="720"/>
    <s v="Redirection Film"/>
    <s v="AEU"/>
  </r>
  <r>
    <s v="26Feb033"/>
    <s v="Yixing"/>
    <s v="Main Line"/>
    <s v="CORE DG"/>
    <x v="0"/>
    <s v="Arrival Plan-SPNL"/>
    <s v="CIF"/>
    <x v="0"/>
    <s v="U1"/>
    <x v="105"/>
    <m/>
    <m/>
    <s v="n/a"/>
    <d v="2026-03-12T00:00:00"/>
    <x v="0"/>
    <x v="64"/>
    <s v="HSM-ND66-GK730"/>
    <s v="EVO2A"/>
    <s v="±1400mm"/>
    <n v="730"/>
    <n v="6534"/>
    <n v="4.7698200000000002"/>
    <n v="198"/>
    <n v="11"/>
    <x v="0"/>
    <s v="COMPLETED"/>
    <m/>
    <d v="2026-03-16T00:00:00"/>
    <n v="12"/>
    <s v="POPV260320030"/>
    <m/>
    <s v="TBW SHANGHAI"/>
    <x v="1"/>
    <x v="1"/>
    <d v="2026-03-21T00:00:00"/>
    <d v="2026-03-31T00:00:00"/>
    <d v="2026-03-31T00:00:00"/>
    <d v="2026-04-28T00:00:00"/>
    <d v="2026-05-12T00:00:00"/>
    <d v="2026-05-15T00:00:00"/>
    <s v="CIF"/>
    <s v="COSCO SHIPPING PLANET 047W"/>
    <s v="COSCO"/>
    <s v="TPVB20260312023"/>
    <x v="204"/>
    <s v="COSU6446691020"/>
    <n v="45"/>
    <m/>
    <d v="2026-05-15T00:00:00"/>
    <s v="In Stock-Approved"/>
    <d v="2026-05-29T00:00:00"/>
    <n v="7"/>
    <d v="2026-05-22T00:00:00"/>
    <n v="2026"/>
    <n v="5"/>
    <n v="21"/>
    <n v="33"/>
    <n v="594"/>
    <s v="Transparent"/>
    <s v="AEU"/>
  </r>
  <r>
    <s v="26Feb025.07"/>
    <s v="Yixing"/>
    <s v="26Feb025"/>
    <s v="CORE DG"/>
    <x v="0"/>
    <s v="Arrival Plan-SPNL"/>
    <s v="CIF"/>
    <x v="0"/>
    <s v="U1"/>
    <x v="44"/>
    <m/>
    <m/>
    <s v="n/a"/>
    <d v="2026-03-16T00:00:00"/>
    <x v="0"/>
    <x v="57"/>
    <s v="HSM-ND66-GR620"/>
    <s v="EVO2A"/>
    <s v="±1400mm"/>
    <n v="620"/>
    <n v="1440"/>
    <n v="0.89280000000000004"/>
    <n v="40"/>
    <n v="2"/>
    <x v="0"/>
    <s v="COMPLETED"/>
    <m/>
    <d v="2026-03-17T00:00:00"/>
    <n v="12"/>
    <s v="POPV260320029"/>
    <m/>
    <s v="TBW SHANGHAI"/>
    <x v="1"/>
    <x v="1"/>
    <d v="2026-03-22T00:00:00"/>
    <d v="2026-03-31T00:00:00"/>
    <d v="2026-03-31T00:00:00"/>
    <d v="2026-04-28T00:00:00"/>
    <d v="2026-05-12T00:00:00"/>
    <d v="2026-05-15T00:00:00"/>
    <s v="CIF"/>
    <s v="CSCL ATLANTIC OCEAN 065W"/>
    <s v="COSCO"/>
    <s v="TPVB20260312024"/>
    <x v="205"/>
    <s v="COSU6447102840"/>
    <n v="45"/>
    <m/>
    <d v="2026-05-15T00:00:00"/>
    <s v="In Stock-Approved"/>
    <d v="2026-05-29T00:00:00"/>
    <n v="7"/>
    <d v="2026-05-22T00:00:00"/>
    <n v="2026"/>
    <n v="5"/>
    <n v="21"/>
    <n v="36"/>
    <n v="720"/>
    <s v="Redirection Film"/>
    <s v="AEU"/>
  </r>
  <r>
    <s v="26Feb010.05"/>
    <s v="Yixing"/>
    <s v="26Feb010"/>
    <s v="CORE DG"/>
    <x v="0"/>
    <s v="Arrival Plan-SPNL"/>
    <s v="CIF"/>
    <x v="0"/>
    <s v="U1"/>
    <x v="106"/>
    <m/>
    <m/>
    <s v="n/a"/>
    <d v="2026-02-23T00:00:00"/>
    <x v="1"/>
    <x v="39"/>
    <s v="TCL-MR470DT182-58NS"/>
    <s v="EVO2A"/>
    <s v="±1200mm"/>
    <n v="470"/>
    <n v="1728"/>
    <n v="0.81215999999999999"/>
    <n v="48"/>
    <n v="2"/>
    <x v="0"/>
    <s v="COMPLETED"/>
    <m/>
    <d v="2026-03-17T00:00:00"/>
    <n v="12"/>
    <s v="POPV260320028"/>
    <m/>
    <s v="TBW SHANGHAI"/>
    <x v="1"/>
    <x v="1"/>
    <d v="2026-03-22T00:00:00"/>
    <d v="2026-03-31T00:00:00"/>
    <d v="2026-03-31T00:00:00"/>
    <d v="2026-04-28T00:00:00"/>
    <d v="2026-05-12T00:00:00"/>
    <d v="2026-05-15T00:00:00"/>
    <s v="CIF"/>
    <s v="CSCL ATLANTIC OCEAN 065W"/>
    <s v="COSCO"/>
    <s v="TPVB20260312024"/>
    <x v="205"/>
    <s v="COSU6447102840"/>
    <n v="45"/>
    <m/>
    <d v="2026-05-15T00:00:00"/>
    <s v="In Stock-Approved"/>
    <d v="2026-05-29T00:00:00"/>
    <n v="7"/>
    <d v="2026-05-22T00:00:00"/>
    <n v="2026"/>
    <n v="5"/>
    <n v="21"/>
    <n v="36"/>
    <n v="864"/>
    <s v="White glazing"/>
    <s v="AEU"/>
  </r>
  <r>
    <s v="26Feb008.05"/>
    <s v="Yixing"/>
    <s v="26Feb008"/>
    <s v="CORE DG"/>
    <x v="0"/>
    <s v="Arrival Plan-SPNL"/>
    <s v="CIF"/>
    <x v="0"/>
    <s v="U1"/>
    <x v="23"/>
    <m/>
    <m/>
    <s v="n/a"/>
    <d v="2026-03-02T00:00:00"/>
    <x v="5"/>
    <x v="19"/>
    <s v="SPR-P7-460-BLK-1500"/>
    <s v="EVO2A"/>
    <s v="±1200mm"/>
    <n v="460"/>
    <n v="3456"/>
    <n v="1.5897600000000001"/>
    <n v="96"/>
    <n v="4"/>
    <x v="0"/>
    <s v="COMPLETED"/>
    <m/>
    <d v="2026-03-17T00:00:00"/>
    <n v="12"/>
    <s v="POPV260320027"/>
    <m/>
    <s v="TBW SHANGHAI"/>
    <x v="1"/>
    <x v="1"/>
    <d v="2026-03-22T00:00:00"/>
    <d v="2026-03-31T00:00:00"/>
    <d v="2026-03-31T00:00:00"/>
    <d v="2026-04-28T00:00:00"/>
    <d v="2026-05-12T00:00:00"/>
    <d v="2026-05-15T00:00:00"/>
    <s v="CIF"/>
    <s v="CSCL ATLANTIC OCEAN 065W"/>
    <s v="COSCO"/>
    <s v="TPVB20260312024"/>
    <x v="205"/>
    <s v="COSU6447102840"/>
    <n v="45"/>
    <m/>
    <d v="2026-05-15T00:00:00"/>
    <s v="In Stock-Approved"/>
    <d v="2026-05-29T00:00:00"/>
    <n v="7"/>
    <d v="2026-05-22T00:00:00"/>
    <n v="2026"/>
    <n v="5"/>
    <n v="21"/>
    <n v="36"/>
    <n v="864"/>
    <s v="Black glazing"/>
    <s v="AEU"/>
  </r>
  <r>
    <s v="26Feb026.03"/>
    <s v="Yixing"/>
    <s v="26Feb026"/>
    <s v="CORE DG"/>
    <x v="0"/>
    <s v="Arrival Plan-SPNL"/>
    <s v="CIF"/>
    <x v="0"/>
    <s v="U1"/>
    <x v="107"/>
    <m/>
    <m/>
    <s v="n/a"/>
    <d v="2026-03-16T00:00:00"/>
    <x v="0"/>
    <x v="36"/>
    <s v="HSM-ND66-GR625"/>
    <s v="EVO2A"/>
    <s v="±1400mm"/>
    <n v="625"/>
    <n v="5040"/>
    <n v="3.15"/>
    <n v="140"/>
    <n v="7"/>
    <x v="0"/>
    <s v="COMPLETED"/>
    <s v="W11 (3.10起)"/>
    <d v="2026-03-17T00:00:00"/>
    <n v="12"/>
    <s v="POPV260320026"/>
    <m/>
    <s v="TBW SHANGHAI"/>
    <x v="1"/>
    <x v="1"/>
    <d v="2026-03-22T00:00:00"/>
    <d v="2026-03-31T00:00:00"/>
    <d v="2026-03-31T00:00:00"/>
    <d v="2026-04-28T00:00:00"/>
    <d v="2026-05-12T00:00:00"/>
    <d v="2026-05-15T00:00:00"/>
    <s v="CIF"/>
    <s v="CSCL ATLANTIC OCEAN 065W"/>
    <s v="COSCO"/>
    <s v="TPVB20260312024"/>
    <x v="205"/>
    <s v="COSU6447102840"/>
    <n v="45"/>
    <m/>
    <d v="2026-05-15T00:00:00"/>
    <s v="In Stock-Approved"/>
    <d v="2026-05-27T00:00:00"/>
    <n v="7"/>
    <d v="2026-05-22T00:00:00"/>
    <n v="2026"/>
    <n v="5"/>
    <n v="21"/>
    <n v="36"/>
    <n v="720"/>
    <s v="Redirection Film"/>
    <s v="AEU"/>
  </r>
  <r>
    <s v="26Feb007.05"/>
    <s v="Yixing"/>
    <s v="26Feb007"/>
    <s v="CORE DG"/>
    <x v="0"/>
    <s v="Arrival Plan-SPNL"/>
    <s v="CIF"/>
    <x v="0"/>
    <s v="U1"/>
    <x v="23"/>
    <m/>
    <m/>
    <s v="n/a"/>
    <d v="2026-03-02T00:00:00"/>
    <x v="5"/>
    <x v="20"/>
    <s v="SPR-P7-455-BLK-1500"/>
    <s v="EVO2A"/>
    <s v="±1200mm"/>
    <n v="455"/>
    <n v="1728"/>
    <n v="0.78624000000000005"/>
    <n v="48"/>
    <n v="2"/>
    <x v="0"/>
    <s v="COMPLETED"/>
    <s v="W12"/>
    <d v="2026-03-17T00:00:00"/>
    <n v="12"/>
    <s v="POPV260320024"/>
    <m/>
    <s v="TBW SHANGHAI"/>
    <x v="1"/>
    <x v="1"/>
    <d v="2026-03-22T00:00:00"/>
    <d v="2026-03-31T00:00:00"/>
    <d v="2026-03-31T00:00:00"/>
    <d v="2026-04-28T00:00:00"/>
    <d v="2026-05-12T00:00:00"/>
    <d v="2026-05-15T00:00:00"/>
    <s v="CIF"/>
    <s v="CSCL ATLANTIC OCEAN 065W"/>
    <s v="COSCO"/>
    <s v="TPVB20260312025"/>
    <x v="206"/>
    <s v="COSU6447103060"/>
    <n v="45"/>
    <m/>
    <d v="2026-05-15T00:00:00"/>
    <s v="In Stock-Approved"/>
    <d v="2026-05-29T00:00:00"/>
    <n v="7"/>
    <d v="2026-05-22T00:00:00"/>
    <n v="2026"/>
    <n v="5"/>
    <n v="21"/>
    <n v="36"/>
    <n v="864"/>
    <s v="Black glazing"/>
    <s v="AEU"/>
  </r>
  <r>
    <s v="26Feb008.10"/>
    <s v="Yixing"/>
    <s v="26Feb008"/>
    <s v="CORE DG"/>
    <x v="0"/>
    <s v="Arrival Plan-SPNL"/>
    <s v="CIF"/>
    <x v="0"/>
    <s v="U1"/>
    <x v="23"/>
    <m/>
    <m/>
    <s v="n/a"/>
    <d v="2026-03-02T00:00:00"/>
    <x v="5"/>
    <x v="19"/>
    <s v="SPR-P7-460-BLK-1500"/>
    <s v="EVO2A"/>
    <s v="±1200mm"/>
    <n v="460"/>
    <n v="2592"/>
    <n v="1.19232"/>
    <n v="72"/>
    <n v="3"/>
    <x v="0"/>
    <s v="COMPLETED"/>
    <m/>
    <d v="2026-03-17T00:00:00"/>
    <n v="12"/>
    <s v="POPV260320022"/>
    <m/>
    <s v="TBW SHANGHAI"/>
    <x v="1"/>
    <x v="1"/>
    <d v="2026-03-22T00:00:00"/>
    <d v="2026-03-31T00:00:00"/>
    <d v="2026-03-31T00:00:00"/>
    <d v="2026-04-28T00:00:00"/>
    <d v="2026-05-12T00:00:00"/>
    <d v="2026-05-15T00:00:00"/>
    <s v="CIF"/>
    <s v="CSCL ATLANTIC OCEAN 065W"/>
    <s v="COSCO"/>
    <s v="TPVB20260312025"/>
    <x v="206"/>
    <s v="COSU6447103060"/>
    <n v="45"/>
    <m/>
    <d v="2026-05-15T00:00:00"/>
    <s v="In Stock-Approved"/>
    <d v="2026-05-29T00:00:00"/>
    <n v="7"/>
    <d v="2026-05-22T00:00:00"/>
    <n v="2026"/>
    <n v="5"/>
    <n v="21"/>
    <n v="36"/>
    <n v="864"/>
    <s v="Black glazing"/>
    <s v="AEU"/>
  </r>
  <r>
    <s v="26Feb007.04"/>
    <s v="Yixing"/>
    <s v="26Feb007"/>
    <s v="CORE DG"/>
    <x v="0"/>
    <s v="Arrival Plan-SPNL"/>
    <s v="CIF"/>
    <x v="0"/>
    <s v="U1"/>
    <x v="23"/>
    <m/>
    <m/>
    <s v="n/a"/>
    <d v="2026-03-02T00:00:00"/>
    <x v="5"/>
    <x v="20"/>
    <s v="SPR-P7-455-BLK-1500"/>
    <s v="EVO2A"/>
    <s v="±1200mm"/>
    <n v="455"/>
    <n v="1728"/>
    <n v="0.78624000000000005"/>
    <n v="48"/>
    <n v="2"/>
    <x v="0"/>
    <s v="COMPLETED"/>
    <m/>
    <d v="2026-03-18T00:00:00"/>
    <n v="12"/>
    <s v="POPV260320021"/>
    <m/>
    <s v="TBW SHANGHAI"/>
    <x v="1"/>
    <x v="1"/>
    <d v="2026-03-22T00:00:00"/>
    <d v="2026-03-31T00:00:00"/>
    <d v="2026-03-31T00:00:00"/>
    <d v="2026-04-28T00:00:00"/>
    <d v="2026-05-12T00:00:00"/>
    <d v="2026-05-15T00:00:00"/>
    <s v="CIF"/>
    <s v="CSCL ATLANTIC OCEAN 065W"/>
    <s v="COSCO"/>
    <s v="TPVB20260312025"/>
    <x v="206"/>
    <s v="COSU6447103060"/>
    <n v="45"/>
    <m/>
    <d v="2026-05-15T00:00:00"/>
    <s v="In Stock-Approved"/>
    <d v="2026-05-29T00:00:00"/>
    <n v="7"/>
    <d v="2026-05-22T00:00:00"/>
    <n v="2026"/>
    <n v="5"/>
    <n v="21"/>
    <n v="36"/>
    <n v="864"/>
    <s v="Black glazing"/>
    <s v="AEU"/>
  </r>
  <r>
    <s v="26Feb009.11"/>
    <s v="Yixing"/>
    <s v="26Feb009"/>
    <s v="CORE DG"/>
    <x v="0"/>
    <s v="Arrival Plan-SPNL"/>
    <s v="CIF"/>
    <x v="0"/>
    <s v="U1"/>
    <x v="3"/>
    <m/>
    <m/>
    <s v="n/a"/>
    <d v="2026-02-16T00:00:00"/>
    <x v="1"/>
    <x v="6"/>
    <s v="TCL-MR465DT182-58NS"/>
    <s v="EVO2A"/>
    <s v="±1200mm"/>
    <n v="465"/>
    <n v="2592"/>
    <n v="1.2052799999999999"/>
    <n v="72"/>
    <n v="3"/>
    <x v="0"/>
    <s v="COMPLETED"/>
    <s v="W12"/>
    <d v="2026-03-18T00:00:00"/>
    <n v="12"/>
    <s v="POPV260320019"/>
    <m/>
    <s v="TBW SHANGHAI"/>
    <x v="1"/>
    <x v="1"/>
    <d v="2026-03-22T00:00:00"/>
    <d v="2026-03-31T00:00:00"/>
    <d v="2026-03-31T00:00:00"/>
    <d v="2026-04-28T00:00:00"/>
    <d v="2026-05-12T00:00:00"/>
    <d v="2026-05-15T00:00:00"/>
    <s v="CIF"/>
    <s v="CSCL ATLANTIC OCEAN 065W"/>
    <s v="COSCO"/>
    <s v="TPVB20260312025"/>
    <x v="206"/>
    <s v="COSU6447103060"/>
    <n v="45"/>
    <m/>
    <d v="2026-05-15T00:00:00"/>
    <s v="In Stock-Approved"/>
    <d v="2026-05-29T00:00:00"/>
    <n v="7"/>
    <d v="2026-05-22T00:00:00"/>
    <n v="2026"/>
    <n v="5"/>
    <n v="21"/>
    <n v="36"/>
    <n v="864"/>
    <s v="White glazing"/>
    <s v="AEU"/>
  </r>
  <r>
    <s v="26Feb007.06"/>
    <s v="Yixing"/>
    <s v="26Feb007"/>
    <s v="CORE DG"/>
    <x v="0"/>
    <s v="Arrival Plan-SPNL"/>
    <s v="CIF"/>
    <x v="0"/>
    <s v="U1"/>
    <x v="2"/>
    <m/>
    <m/>
    <s v="n/a"/>
    <d v="2026-03-02T00:00:00"/>
    <x v="5"/>
    <x v="20"/>
    <s v="SPR-P7-455-BLK-1500"/>
    <s v="EVO2A"/>
    <s v="±1200mm"/>
    <n v="455"/>
    <n v="4320"/>
    <n v="1.9656"/>
    <n v="120"/>
    <n v="5"/>
    <x v="0"/>
    <s v="COMPLETED"/>
    <m/>
    <d v="2026-03-18T00:00:00"/>
    <n v="12"/>
    <s v="POPV260320021"/>
    <m/>
    <s v="TBW SHANGHAI"/>
    <x v="1"/>
    <x v="1"/>
    <d v="2026-03-22T00:00:00"/>
    <d v="2026-03-29T00:00:00"/>
    <d v="2026-03-29T00:00:00"/>
    <d v="2026-04-28T00:00:00"/>
    <d v="2026-05-27T00:00:00"/>
    <d v="2026-05-28T00:00:00"/>
    <s v="CIF"/>
    <s v="COSCO FRANCE 074W"/>
    <s v="COSCO"/>
    <s v="TPVB20260312029"/>
    <x v="207"/>
    <s v="COSU6448400120"/>
    <n v="60"/>
    <m/>
    <d v="2026-05-28T00:00:00"/>
    <s v="In Stock-Approved"/>
    <d v="2026-05-29T00:00:00"/>
    <n v="7"/>
    <d v="2026-06-04T00:00:00"/>
    <n v="2026"/>
    <n v="6"/>
    <n v="23"/>
    <n v="36"/>
    <n v="864"/>
    <s v="Black glazing"/>
    <s v="AEU"/>
  </r>
  <r>
    <s v="26Feb008.03"/>
    <s v="Yixing"/>
    <s v="26Feb008"/>
    <s v="CORE DG"/>
    <x v="0"/>
    <s v="Arrival Plan-SPIT"/>
    <s v="CIF"/>
    <x v="4"/>
    <s v="U1"/>
    <x v="83"/>
    <m/>
    <m/>
    <s v="n/a"/>
    <d v="2026-03-02T00:00:00"/>
    <x v="5"/>
    <x v="19"/>
    <s v="SPR-P7-460-BLK-1500"/>
    <s v="EVO2A"/>
    <s v="±1200mm"/>
    <n v="460"/>
    <n v="2592"/>
    <n v="1.19232"/>
    <n v="72"/>
    <n v="3"/>
    <x v="0"/>
    <s v="COMPLETED"/>
    <m/>
    <d v="2026-03-23T00:00:00"/>
    <n v="13"/>
    <s v="POPV260402005"/>
    <m/>
    <s v="TBW SHANGHAI"/>
    <x v="1"/>
    <x v="4"/>
    <d v="2026-03-30T00:00:00"/>
    <d v="2026-04-02T00:00:00"/>
    <d v="2026-04-02T00:00:00"/>
    <d v="2026-05-13T00:00:00"/>
    <d v="2026-05-20T00:00:00"/>
    <d v="2026-05-20T00:00:00"/>
    <s v="CIF"/>
    <s v="COSCO SHIPPING TAURUS 036W"/>
    <s v="COSCO"/>
    <s v="TPVB20260312026"/>
    <x v="208"/>
    <s v="COSU6448129810"/>
    <n v="48"/>
    <m/>
    <d v="2026-05-20T00:00:00"/>
    <s v="In Stock-Approved"/>
    <d v="2026-06-03T00:00:00"/>
    <n v="10"/>
    <d v="2026-05-30T00:00:00"/>
    <n v="2026"/>
    <n v="5"/>
    <n v="22"/>
    <n v="36"/>
    <n v="864"/>
    <s v="Black glazing"/>
    <s v="AEM"/>
  </r>
  <r>
    <s v="26Feb005.05"/>
    <s v="Yixing"/>
    <s v="26Feb005"/>
    <s v="CORE DG"/>
    <x v="0"/>
    <s v="Arrival Plan-SPIT"/>
    <s v="CIF"/>
    <x v="4"/>
    <s v="U1"/>
    <x v="108"/>
    <m/>
    <m/>
    <s v="n/a"/>
    <d v="2026-03-30T00:00:00"/>
    <x v="2"/>
    <x v="5"/>
    <s v="SPR-P7-555-COM-S"/>
    <s v="EVO2A"/>
    <s v="±1400mm"/>
    <n v="555"/>
    <n v="1320"/>
    <n v="0.73260000000000003"/>
    <n v="40"/>
    <n v="2"/>
    <x v="0"/>
    <s v="COMPLETED"/>
    <m/>
    <d v="2026-03-26T00:00:00"/>
    <n v="13"/>
    <s v="POPV260402003"/>
    <m/>
    <s v="TBW SHANGHAI"/>
    <x v="1"/>
    <x v="4"/>
    <d v="2026-03-30T00:00:00"/>
    <d v="2026-04-02T00:00:00"/>
    <d v="2026-04-02T00:00:00"/>
    <d v="2026-05-13T00:00:00"/>
    <d v="2026-05-20T00:00:00"/>
    <d v="2026-05-20T00:00:00"/>
    <m/>
    <s v="COSCO SHIPPING TAURUS 036W"/>
    <s v="COSCO"/>
    <s v="TPVB20260312026"/>
    <x v="208"/>
    <s v="COSU6448129810"/>
    <n v="48"/>
    <m/>
    <d v="2026-05-20T00:00:00"/>
    <s v="In Stock-Approved"/>
    <d v="2026-06-03T00:00:00"/>
    <n v="10"/>
    <d v="2026-05-30T00:00:00"/>
    <n v="2026"/>
    <n v="5"/>
    <n v="22"/>
    <n v="33"/>
    <n v="660"/>
    <s v="White glazing"/>
    <s v="AEM"/>
  </r>
  <r>
    <s v="26Feb036.01"/>
    <s v="Yixing"/>
    <s v="26Feb036"/>
    <s v="UPP"/>
    <x v="0"/>
    <s v="Arrival Plan-SPTN"/>
    <s v="CIF"/>
    <x v="0"/>
    <s v="U3"/>
    <x v="82"/>
    <m/>
    <m/>
    <s v="n/a"/>
    <s v="n/a"/>
    <x v="0"/>
    <x v="14"/>
    <s v="HSM-ND66-GR620 CFP"/>
    <s v="EVO2A"/>
    <s v="±1400mm"/>
    <n v="620"/>
    <n v="1440"/>
    <n v="0.89280000000000004"/>
    <n v="40"/>
    <n v="2"/>
    <x v="0"/>
    <s v="COMPLETED"/>
    <s v="W12 produce around 3.16"/>
    <d v="2026-03-20T00:00:00"/>
    <n v="12"/>
    <s v="POPV260324005"/>
    <m/>
    <s v="SHANGHAI"/>
    <x v="1"/>
    <x v="0"/>
    <d v="2026-03-24T00:00:00"/>
    <d v="2026-03-24T00:00:00"/>
    <d v="2026-03-24T00:00:00"/>
    <d v="2026-05-12T00:00:00"/>
    <d v="2026-05-09T00:00:00"/>
    <d v="2026-05-09T00:00:00"/>
    <s v="CIF"/>
    <s v="CMA CGM MARCO POLO 0MENDW1MA"/>
    <s v="COSCO"/>
    <s v="TPVB20260312027"/>
    <x v="108"/>
    <s v="COSU6447108050"/>
    <n v="46"/>
    <m/>
    <d v="2026-05-09T00:00:00"/>
    <s v="In Stock-Approved"/>
    <d v="2026-05-19T00:00:00"/>
    <n v="8"/>
    <d v="2026-05-17T00:00:00"/>
    <n v="2026"/>
    <n v="5"/>
    <n v="20"/>
    <n v="36"/>
    <n v="720"/>
    <s v="Redirection Film"/>
    <s v="AEM"/>
  </r>
  <r>
    <s v="26Feb036.02"/>
    <s v="Yixing"/>
    <s v="26Feb036"/>
    <s v="UPP"/>
    <x v="0"/>
    <s v="Arrival Plan-SPTN"/>
    <s v="CIF"/>
    <x v="0"/>
    <s v="U3"/>
    <x v="82"/>
    <m/>
    <m/>
    <s v="n/a"/>
    <s v="n/a"/>
    <x v="0"/>
    <x v="14"/>
    <s v="HSM-ND66-GR620 CFP"/>
    <s v="EVO2A"/>
    <s v="±1400mm"/>
    <n v="620"/>
    <n v="612"/>
    <n v="0.37944"/>
    <n v="17"/>
    <n v="0.85"/>
    <x v="0"/>
    <s v="COMPLETED"/>
    <m/>
    <d v="2026-03-19T00:00:00"/>
    <n v="12"/>
    <s v="POPV260324004"/>
    <m/>
    <s v="SHANGHAI"/>
    <x v="1"/>
    <x v="0"/>
    <d v="2026-03-24T00:00:00"/>
    <d v="2026-03-24T00:00:00"/>
    <d v="2026-03-24T00:00:00"/>
    <d v="2026-05-12T00:00:00"/>
    <d v="2026-05-09T00:00:00"/>
    <d v="2026-05-09T00:00:00"/>
    <s v="CIF"/>
    <s v="CMA CGM MARCO POLO _x000a_0MENDW1MA"/>
    <s v="COSCO"/>
    <s v="TPVB20260312027"/>
    <x v="108"/>
    <s v="COSU6447108050"/>
    <n v="46"/>
    <m/>
    <d v="2026-05-09T00:00:00"/>
    <s v="In Stock-Approved"/>
    <d v="2026-05-19T00:00:00"/>
    <n v="8"/>
    <d v="2026-05-17T00:00:00"/>
    <n v="2026"/>
    <n v="5"/>
    <n v="20"/>
    <n v="36"/>
    <n v="720"/>
    <s v="Redirection Film"/>
    <s v="AEM"/>
  </r>
  <r>
    <s v="26Feb037.03"/>
    <s v="Yixing"/>
    <s v="26Feb037"/>
    <s v="UPP"/>
    <x v="0"/>
    <s v="Arrival Plan-SPTN"/>
    <s v="CIF"/>
    <x v="0"/>
    <s v="U3"/>
    <x v="82"/>
    <m/>
    <m/>
    <s v="n/a"/>
    <s v="n/a"/>
    <x v="0"/>
    <x v="9"/>
    <s v="HSM-ND66-GR625 CFP"/>
    <s v="EVO2A"/>
    <s v="±1400mm"/>
    <n v="625"/>
    <n v="1008"/>
    <n v="0.63"/>
    <n v="28"/>
    <n v="1.4"/>
    <x v="0"/>
    <s v="COMPLETED"/>
    <m/>
    <d v="2026-03-19T00:00:00"/>
    <n v="12"/>
    <s v="POPV260324011"/>
    <m/>
    <s v="SHANGHAI"/>
    <x v="1"/>
    <x v="0"/>
    <d v="2026-03-24T00:00:00"/>
    <d v="2026-03-24T00:00:00"/>
    <d v="2026-03-24T00:00:00"/>
    <d v="2026-05-12T00:00:00"/>
    <d v="2026-05-09T00:00:00"/>
    <d v="2026-05-09T00:00:00"/>
    <s v="CIF"/>
    <s v="CMA CGM MARCO POLO 0MENDW1MA"/>
    <s v="COSCO"/>
    <s v="TPVB20260312027"/>
    <x v="108"/>
    <s v="COSU6447108050"/>
    <n v="46"/>
    <m/>
    <d v="2026-05-09T00:00:00"/>
    <s v="In Stock-Approved"/>
    <d v="2026-05-19T00:00:00"/>
    <n v="8"/>
    <d v="2026-05-17T00:00:00"/>
    <n v="2026"/>
    <n v="5"/>
    <n v="20"/>
    <n v="36"/>
    <n v="720"/>
    <s v="Redirection Film"/>
    <s v="AEM"/>
  </r>
  <r>
    <s v="26Feb038.03"/>
    <s v="Yixing"/>
    <s v="26Feb038"/>
    <s v="UPP"/>
    <x v="0"/>
    <s v="Arrival Plan-SPTN"/>
    <s v="CIF"/>
    <x v="0"/>
    <s v="U3"/>
    <x v="82"/>
    <m/>
    <m/>
    <s v="n/a"/>
    <s v="n/a"/>
    <x v="0"/>
    <x v="53"/>
    <s v="HSM-ND66-GR630 CFP"/>
    <s v="EVO2A"/>
    <s v="±1400mm"/>
    <n v="630"/>
    <n v="540"/>
    <n v="0.3402"/>
    <n v="15"/>
    <n v="0.75"/>
    <x v="0"/>
    <s v="COMPLETED"/>
    <m/>
    <d v="2026-03-19T00:00:00"/>
    <n v="12"/>
    <s v="POPV260324012"/>
    <m/>
    <s v="SHANGHAI"/>
    <x v="1"/>
    <x v="0"/>
    <d v="2026-03-24T00:00:00"/>
    <d v="2026-03-24T00:00:00"/>
    <d v="2026-03-24T00:00:00"/>
    <d v="2026-05-12T00:00:00"/>
    <d v="2026-05-09T00:00:00"/>
    <d v="2026-05-09T00:00:00"/>
    <s v="CIF"/>
    <s v="CMA CGM MARCO POLO 0MENDW1MA"/>
    <s v="COSCO"/>
    <s v="TPVB20260312027"/>
    <x v="108"/>
    <s v="COSU6447108050"/>
    <n v="46"/>
    <m/>
    <d v="2026-05-09T00:00:00"/>
    <s v="In Stock-Approved"/>
    <d v="2026-05-19T00:00:00"/>
    <n v="8"/>
    <d v="2026-05-17T00:00:00"/>
    <n v="2026"/>
    <n v="5"/>
    <n v="20"/>
    <n v="36"/>
    <n v="720"/>
    <s v="Transparent"/>
    <s v="AEM"/>
  </r>
  <r>
    <s v="26Feb036.03"/>
    <s v="Yixing"/>
    <s v="26Feb036"/>
    <s v="UPP"/>
    <x v="0"/>
    <s v="Arrival Plan-SPTN"/>
    <s v="CIF"/>
    <x v="0"/>
    <s v="U3"/>
    <x v="109"/>
    <m/>
    <m/>
    <s v="n/a"/>
    <s v="n/a"/>
    <x v="0"/>
    <x v="14"/>
    <s v="HSM-ND66-GR620 CFP"/>
    <s v="EVO2A"/>
    <s v="±1400mm"/>
    <n v="620"/>
    <n v="288"/>
    <n v="0.17856"/>
    <n v="8"/>
    <n v="0.4"/>
    <x v="0"/>
    <s v="COMPLETED"/>
    <m/>
    <d v="2026-03-19T00:00:00"/>
    <n v="12"/>
    <s v="POPV260324010"/>
    <m/>
    <s v="SHANGHAI"/>
    <x v="1"/>
    <x v="0"/>
    <d v="2026-03-24T00:00:00"/>
    <d v="2026-03-24T00:00:00"/>
    <d v="2026-03-24T00:00:00"/>
    <d v="2026-05-12T00:00:00"/>
    <d v="2026-05-09T00:00:00"/>
    <d v="2026-05-09T00:00:00"/>
    <s v="CIF"/>
    <s v="CMA CGM MARCO POLO 0MENDW1MA"/>
    <s v="COSCO"/>
    <s v="TPVB20260312027"/>
    <x v="108"/>
    <s v="COSU6447108050"/>
    <n v="46"/>
    <m/>
    <d v="2026-05-09T00:00:00"/>
    <s v="In Stock-Approved"/>
    <d v="2026-05-19T00:00:00"/>
    <n v="8"/>
    <d v="2026-05-17T00:00:00"/>
    <n v="2026"/>
    <n v="5"/>
    <n v="20"/>
    <n v="36"/>
    <n v="720"/>
    <s v="Redirection Film"/>
    <s v="AEM"/>
  </r>
  <r>
    <s v="26Mar021"/>
    <s v="Yixing"/>
    <s v="Main Line"/>
    <s v="UPP"/>
    <x v="0"/>
    <s v="Arrival Plan-SPTN"/>
    <s v="CIF"/>
    <x v="0"/>
    <s v="U1"/>
    <x v="110"/>
    <m/>
    <m/>
    <s v="n/a"/>
    <d v="2026-01-23T00:00:00"/>
    <x v="7"/>
    <x v="56"/>
    <s v="HSM-GHF-NM620-CFP"/>
    <s v="EVO2A"/>
    <s v="±1500mm"/>
    <n v="620"/>
    <n v="72"/>
    <n v="4.4639999999999999E-2"/>
    <n v="2"/>
    <n v="0.1"/>
    <x v="0"/>
    <s v="COMPLETED"/>
    <m/>
    <d v="2026-03-19T00:00:00"/>
    <n v="12"/>
    <s v="POPV260324009"/>
    <m/>
    <s v="SHANGHAI"/>
    <x v="1"/>
    <x v="0"/>
    <d v="2026-03-24T00:00:00"/>
    <d v="2026-03-24T00:00:00"/>
    <d v="2026-03-24T00:00:00"/>
    <d v="2026-05-12T00:00:00"/>
    <d v="2026-05-09T00:00:00"/>
    <d v="2026-05-09T00:00:00"/>
    <s v="CIF"/>
    <s v="CMA CGM MARCO POLO 0MENDW1MA"/>
    <s v="COSCO"/>
    <s v="TPVB20260312027"/>
    <x v="108"/>
    <s v="COSU6447108050"/>
    <n v="46"/>
    <m/>
    <d v="2026-05-09T00:00:00"/>
    <s v="In Stock-Approved"/>
    <d v="2026-05-19T00:00:00"/>
    <n v="8"/>
    <d v="2026-05-17T00:00:00"/>
    <n v="2026"/>
    <n v="5"/>
    <n v="20"/>
    <n v="36"/>
    <n v="720"/>
    <s v="White glazing"/>
    <s v="AEM"/>
  </r>
  <r>
    <s v="26Feb015.08"/>
    <s v="Yixing"/>
    <s v="26Feb015"/>
    <s v="CORE DG"/>
    <x v="1"/>
    <s v="SPTN Offstore in Transit WH"/>
    <s v="CIF"/>
    <x v="9"/>
    <s v="U6"/>
    <x v="27"/>
    <s v="ES0126031000021"/>
    <m/>
    <s v="Yes"/>
    <d v="2026-01-26T00:00:00"/>
    <x v="1"/>
    <x v="4"/>
    <s v="TCL-MG720DT210-68NS"/>
    <s v="EVO2A"/>
    <s v="±1400mm"/>
    <n v="720"/>
    <n v="2970"/>
    <n v="2.1383999999999999"/>
    <n v="90"/>
    <n v="5"/>
    <x v="0"/>
    <s v="COMPLETED"/>
    <m/>
    <d v="2026-03-19T00:00:00"/>
    <n v="12"/>
    <s v="POPV260324006"/>
    <s v="TPVO2026013001"/>
    <s v="SHANGHAI"/>
    <x v="1"/>
    <x v="2"/>
    <d v="2026-03-25T00:00:00"/>
    <d v="2026-03-27T00:00:00"/>
    <d v="2026-03-27T00:00:00"/>
    <d v="2026-05-07T00:00:00"/>
    <d v="2026-05-07T00:00:00"/>
    <d v="2026-05-07T00:00:00"/>
    <s v="CIF"/>
    <s v="COSCO SPAIN 078W"/>
    <s v="COSCO"/>
    <s v="TPVB20260312028"/>
    <x v="209"/>
    <s v="COSU6447521940"/>
    <n v="41"/>
    <m/>
    <d v="2026-05-07T00:00:00"/>
    <s v="In Stock-Approved"/>
    <d v="2026-05-21T00:00:00"/>
    <n v="0"/>
    <d v="2026-05-07T00:00:00"/>
    <n v="2026"/>
    <n v="5"/>
    <n v="19"/>
    <n v="33"/>
    <n v="594"/>
    <s v="White glazing"/>
    <s v="AEM"/>
  </r>
  <r>
    <s v="26Feb019.05"/>
    <s v="Quzhou"/>
    <s v="26Feb019"/>
    <s v="CORE DG"/>
    <x v="1"/>
    <s v="SPTN Offstore in Transit WH"/>
    <s v="CIF"/>
    <x v="12"/>
    <s v="U1"/>
    <x v="111"/>
    <s v="PL0126031000017"/>
    <m/>
    <s v="Yes"/>
    <d v="2026-03-09T00:00:00"/>
    <x v="0"/>
    <x v="0"/>
    <s v="HSM-ND54-DR500"/>
    <s v="EVO2A"/>
    <s v="±1200mm"/>
    <n v="500"/>
    <n v="2592"/>
    <n v="1.296"/>
    <n v="72"/>
    <n v="3"/>
    <x v="0"/>
    <s v="COMPLETED"/>
    <s v="W12(3.19/20起)"/>
    <d v="2026-03-28T00:00:00"/>
    <n v="13"/>
    <s v="POPV260330012"/>
    <m/>
    <s v="Quzhou BW"/>
    <x v="1"/>
    <x v="9"/>
    <d v="2026-03-31T00:00:00"/>
    <d v="2026-03-31T00:00:00"/>
    <d v="2026-04-01T00:00:00"/>
    <d v="2026-05-20T00:00:00"/>
    <d v="2026-05-20T00:00:00"/>
    <d v="2026-05-20T00:00:00"/>
    <s v="CIF"/>
    <s v="OOCL JAPAN 038W"/>
    <s v="COSCO"/>
    <s v="TPVB20260313010"/>
    <x v="210"/>
    <s v="COSU6447995030"/>
    <n v="49"/>
    <m/>
    <d v="2026-05-20T00:00:00"/>
    <s v="In Stock-Approved"/>
    <d v="2026-06-03T00:00:00"/>
    <n v="0"/>
    <d v="2026-05-20T00:00:00"/>
    <n v="2026"/>
    <n v="5"/>
    <n v="21"/>
    <n v="36"/>
    <n v="864"/>
    <s v="Black glazing"/>
    <s v="AEU"/>
  </r>
  <r>
    <s v="26Feb019.12"/>
    <s v="Quzhou"/>
    <s v="26Feb019"/>
    <s v="CORE DG"/>
    <x v="0"/>
    <s v="Arrival Plan-SPNL"/>
    <s v="CIF"/>
    <x v="0"/>
    <s v="U1"/>
    <x v="112"/>
    <m/>
    <m/>
    <s v="n/a"/>
    <d v="2026-03-23T00:00:00"/>
    <x v="0"/>
    <x v="0"/>
    <s v="HSM-ND54-DR500"/>
    <s v="EVO2A"/>
    <s v="±1200mm"/>
    <n v="500"/>
    <n v="2592"/>
    <n v="1.296"/>
    <n v="72"/>
    <n v="3"/>
    <x v="0"/>
    <s v="COMPLETED"/>
    <s v="W12 (3.17起)"/>
    <d v="2026-03-16T00:00:00"/>
    <n v="12"/>
    <s v="POPV260320018"/>
    <m/>
    <s v="SHANGHAI"/>
    <x v="1"/>
    <x v="1"/>
    <d v="2026-03-22T00:00:00"/>
    <d v="2026-03-22T00:00:00"/>
    <d v="2026-03-22T00:00:00"/>
    <d v="2026-05-02T00:00:00"/>
    <d v="2026-05-09T00:00:00"/>
    <d v="2026-05-11T00:00:00"/>
    <s v="CIF"/>
    <s v="COSCO FRANCE 074W"/>
    <s v="COSCO"/>
    <s v="TPVB20260312006"/>
    <x v="211"/>
    <s v="COSU6446861450"/>
    <n v="50"/>
    <m/>
    <d v="2026-05-11T00:00:00"/>
    <s v="In Stock-Approved"/>
    <d v="2026-05-18T00:00:00"/>
    <n v="7"/>
    <d v="2026-05-18T00:00:00"/>
    <n v="2026"/>
    <n v="5"/>
    <n v="21"/>
    <n v="36"/>
    <n v="864"/>
    <s v="Black glazing"/>
    <s v="AEU"/>
  </r>
  <r>
    <s v="26Feb020.10"/>
    <s v="Quzhou"/>
    <s v="26Feb020"/>
    <s v="CORE DG"/>
    <x v="0"/>
    <s v="Arrival Plan-SPNL"/>
    <s v="CIF"/>
    <x v="0"/>
    <s v="U1"/>
    <x v="3"/>
    <m/>
    <m/>
    <s v="n/a"/>
    <d v="2026-03-23T00:00:00"/>
    <x v="0"/>
    <x v="43"/>
    <s v="HSM-ND54-DR505"/>
    <s v="EVO2A"/>
    <s v="±1200mm"/>
    <n v="505"/>
    <n v="4320"/>
    <n v="2.1816"/>
    <n v="120"/>
    <n v="5"/>
    <x v="0"/>
    <s v="COMPLETED"/>
    <s v="W12 (3.16/17)"/>
    <d v="2026-03-16T00:00:00"/>
    <n v="12"/>
    <s v="POPV260320016"/>
    <m/>
    <s v="SHANGHAI"/>
    <x v="1"/>
    <x v="1"/>
    <d v="2026-03-22T00:00:00"/>
    <d v="2026-03-22T00:00:00"/>
    <d v="2026-03-22T00:00:00"/>
    <d v="2026-05-02T00:00:00"/>
    <d v="2026-05-09T00:00:00"/>
    <d v="2026-05-11T00:00:00"/>
    <s v="CIF"/>
    <s v="COSCO FRANCE 074W"/>
    <s v="COSCO"/>
    <s v="TPVB20260312006"/>
    <x v="211"/>
    <s v="COSU6446861450"/>
    <n v="50"/>
    <m/>
    <d v="2026-05-11T00:00:00"/>
    <s v="In Stock-Approved"/>
    <d v="2026-05-18T00:00:00"/>
    <n v="7"/>
    <d v="2026-05-18T00:00:00"/>
    <n v="2026"/>
    <n v="5"/>
    <n v="21"/>
    <n v="36"/>
    <n v="864"/>
    <s v="Black glazing"/>
    <s v="AEU"/>
  </r>
  <r>
    <s v="26Feb027.03"/>
    <s v="chuzhou"/>
    <s v="26Feb027"/>
    <s v="CORE DG"/>
    <x v="0"/>
    <s v="Arrival Plan-SPIT"/>
    <s v="CIF"/>
    <x v="4"/>
    <s v="U1"/>
    <x v="83"/>
    <m/>
    <m/>
    <s v="n/a"/>
    <d v="2026-03-09T00:00:00"/>
    <x v="3"/>
    <x v="59"/>
    <s v="SPR-BD54-DC490"/>
    <s v="EVO2A"/>
    <s v="±1200mm"/>
    <n v="490"/>
    <n v="6048"/>
    <n v="2.9635199999999999"/>
    <n v="168"/>
    <n v="7"/>
    <x v="0"/>
    <s v="COMPLETED"/>
    <s v="3.10起"/>
    <d v="2026-03-27T00:00:00"/>
    <n v="13"/>
    <s v="POPV260402004"/>
    <m/>
    <s v="SHANGHAI BW"/>
    <x v="1"/>
    <x v="4"/>
    <d v="2026-03-30T00:00:00"/>
    <d v="2026-04-02T00:00:00"/>
    <d v="2026-04-02T00:00:00"/>
    <d v="2026-05-13T00:00:00"/>
    <d v="2026-05-17T00:00:00"/>
    <d v="2026-05-20T00:00:00"/>
    <s v="CIF"/>
    <s v="COSCO SHIPPING TAURUS 036W"/>
    <s v="COSCO"/>
    <s v="TPVB20260312030"/>
    <x v="212"/>
    <s v="COSU6447192730"/>
    <n v="48"/>
    <m/>
    <d v="2026-05-20T00:00:00"/>
    <s v="In Stock-Approved"/>
    <d v="2026-06-03T00:00:00"/>
    <n v="10"/>
    <d v="2026-05-30T00:00:00"/>
    <n v="2026"/>
    <n v="5"/>
    <n v="22"/>
    <n v="36"/>
    <n v="864"/>
    <s v="Black glazing"/>
    <s v="AEM"/>
  </r>
  <r>
    <s v="26Feb029.01"/>
    <s v="jiaxing"/>
    <s v="26Feb029"/>
    <s v="CORE DG"/>
    <x v="0"/>
    <s v="Arrival Plan-SPNL"/>
    <s v="CIF"/>
    <x v="0"/>
    <s v="U1"/>
    <x v="97"/>
    <m/>
    <m/>
    <s v="n/a"/>
    <d v="2026-03-16T00:00:00"/>
    <x v="3"/>
    <x v="62"/>
    <s v="HSM-BD66-GR645"/>
    <s v="EVO2A"/>
    <s v="±1400mm"/>
    <n v="645"/>
    <n v="4320"/>
    <n v="2.7864"/>
    <n v="120"/>
    <n v="6"/>
    <x v="0"/>
    <s v="COMPLETED"/>
    <s v="3.14/15"/>
    <d v="2026-03-16T00:00:00"/>
    <n v="12"/>
    <s v="POPV260320015"/>
    <m/>
    <s v="NINGBO"/>
    <x v="1"/>
    <x v="1"/>
    <d v="2026-03-22T00:00:00"/>
    <d v="2026-03-26T00:00:00"/>
    <d v="2026-03-26T00:00:00"/>
    <d v="2026-05-08T00:00:00"/>
    <d v="2026-05-06T00:00:00"/>
    <d v="2026-05-06T00:00:00"/>
    <s v="CIF"/>
    <s v="ONE TRUTH/029W"/>
    <s v="OTHER"/>
    <s v="TPVB20260312005"/>
    <x v="213"/>
    <s v="N232603711A"/>
    <n v="41"/>
    <m/>
    <d v="2026-05-06T00:00:00"/>
    <s v="In Stock-Approved"/>
    <d v="2026-05-22T00:00:00"/>
    <n v="7"/>
    <d v="2026-05-13T00:00:00"/>
    <n v="2026"/>
    <n v="5"/>
    <n v="20"/>
    <n v="36"/>
    <n v="720"/>
    <s v="White glazing"/>
    <s v="AEU"/>
  </r>
  <r>
    <s v="26Feb030.03"/>
    <s v="jiaxing"/>
    <s v="26Feb030"/>
    <s v="CORE DG"/>
    <x v="0"/>
    <s v="Arrival Plan-SPNL"/>
    <s v="CIF"/>
    <x v="0"/>
    <s v="U1"/>
    <x v="97"/>
    <m/>
    <m/>
    <s v="n/a"/>
    <d v="2026-03-16T00:00:00"/>
    <x v="3"/>
    <x v="61"/>
    <s v="HSM-BD66-GR650"/>
    <s v="EVO2A"/>
    <s v="±1400mm"/>
    <n v="650"/>
    <n v="2880"/>
    <n v="1.8720000000000001"/>
    <n v="80"/>
    <n v="4"/>
    <x v="0"/>
    <s v="COMPLETED"/>
    <m/>
    <d v="2026-03-16T00:00:00"/>
    <n v="12"/>
    <s v="POPV260320017"/>
    <m/>
    <s v="NINGBO"/>
    <x v="1"/>
    <x v="1"/>
    <d v="2026-03-22T00:00:00"/>
    <d v="2026-03-26T00:00:00"/>
    <d v="2026-03-26T00:00:00"/>
    <d v="2026-05-08T00:00:00"/>
    <d v="2026-05-06T00:00:00"/>
    <d v="2026-05-06T00:00:00"/>
    <s v="CIF"/>
    <s v="ONE TRUTH/029W"/>
    <s v="OTHER"/>
    <s v="TPVB20260312005"/>
    <x v="213"/>
    <s v="N232603711A"/>
    <n v="41"/>
    <m/>
    <d v="2026-05-06T00:00:00"/>
    <s v="In Stock-Approved"/>
    <d v="2026-05-22T00:00:00"/>
    <n v="7"/>
    <d v="2026-05-13T00:00:00"/>
    <n v="2026"/>
    <n v="5"/>
    <n v="20"/>
    <n v="36"/>
    <n v="720"/>
    <s v="White glazing"/>
    <s v="AEU"/>
  </r>
  <r>
    <s v="26Feb029.03"/>
    <s v="jiaxing"/>
    <s v="26Feb029"/>
    <s v="CORE DG"/>
    <x v="0"/>
    <s v="Arrival Plan-SPNL"/>
    <s v="CIF"/>
    <x v="0"/>
    <s v="U1"/>
    <x v="97"/>
    <m/>
    <m/>
    <s v="n/a"/>
    <d v="2026-03-16T00:00:00"/>
    <x v="3"/>
    <x v="62"/>
    <s v="HSM-BD66-GR645"/>
    <s v="EVO2A"/>
    <s v="±1400mm"/>
    <n v="645"/>
    <n v="6480"/>
    <n v="4.1795999999999998"/>
    <n v="180"/>
    <n v="9"/>
    <x v="0"/>
    <s v="COMPLETED"/>
    <s v="3.16/17"/>
    <d v="2026-03-17T00:00:00"/>
    <n v="12"/>
    <s v="POPV260320020"/>
    <m/>
    <s v="NINGBO"/>
    <x v="1"/>
    <x v="1"/>
    <d v="2026-03-22T00:00:00"/>
    <d v="2026-03-26T00:00:00"/>
    <d v="2026-03-26T00:00:00"/>
    <d v="2026-05-08T00:00:00"/>
    <d v="2026-05-06T00:00:00"/>
    <d v="2026-05-06T00:00:00"/>
    <s v="CIF"/>
    <s v="ONE TRUTH/029W"/>
    <s v="OTHER"/>
    <s v="TPVB20260312003"/>
    <x v="214"/>
    <s v="N232603711C"/>
    <n v="41"/>
    <m/>
    <d v="2026-05-06T00:00:00"/>
    <s v="In Stock-Approved"/>
    <d v="2026-05-14T00:00:00"/>
    <n v="7"/>
    <d v="2026-05-13T00:00:00"/>
    <n v="2026"/>
    <n v="5"/>
    <n v="20"/>
    <n v="36"/>
    <n v="720"/>
    <s v="White glazing"/>
    <s v="AEU"/>
  </r>
  <r>
    <s v="26Feb030.04"/>
    <s v="jiaxing"/>
    <s v="26Feb030"/>
    <s v="CORE DG"/>
    <x v="0"/>
    <s v="Arrival Plan-SPNL"/>
    <s v="CIF"/>
    <x v="0"/>
    <s v="U1"/>
    <x v="97"/>
    <m/>
    <m/>
    <s v="n/a"/>
    <d v="2026-03-16T00:00:00"/>
    <x v="3"/>
    <x v="61"/>
    <s v="HSM-BD66-GR650"/>
    <s v="EVO2A"/>
    <s v="±1400mm"/>
    <n v="650"/>
    <n v="2880"/>
    <n v="1.8720000000000001"/>
    <n v="80"/>
    <n v="4"/>
    <x v="0"/>
    <s v="COMPLETED"/>
    <s v="3.12起"/>
    <d v="2026-03-18T00:00:00"/>
    <n v="12"/>
    <s v="POPV260320023"/>
    <m/>
    <s v="NINGBO"/>
    <x v="1"/>
    <x v="1"/>
    <d v="2026-03-22T00:00:00"/>
    <d v="2026-03-26T00:00:00"/>
    <d v="2026-03-26T00:00:00"/>
    <d v="2026-05-08T00:00:00"/>
    <d v="2026-05-06T00:00:00"/>
    <d v="2026-05-06T00:00:00"/>
    <s v="CIF"/>
    <s v="ONE TRUTH/029W"/>
    <s v="OTHER"/>
    <s v="TPVB20260312004"/>
    <x v="215"/>
    <s v="N232603711B"/>
    <n v="41"/>
    <m/>
    <d v="2026-05-06T00:00:00"/>
    <s v="In Stock-Approved"/>
    <d v="2026-05-22T00:00:00"/>
    <n v="7"/>
    <d v="2026-05-13T00:00:00"/>
    <n v="2026"/>
    <n v="5"/>
    <n v="20"/>
    <n v="36"/>
    <n v="720"/>
    <s v="White glazing"/>
    <s v="AEU"/>
  </r>
  <r>
    <s v="26Feb029.04"/>
    <s v="jiaxing"/>
    <s v="26Feb029"/>
    <s v="CORE DG"/>
    <x v="0"/>
    <s v="Arrival Plan-SPNL"/>
    <s v="CIF"/>
    <x v="0"/>
    <s v="U1"/>
    <x v="97"/>
    <m/>
    <m/>
    <s v="n/a"/>
    <s v="n/a"/>
    <x v="3"/>
    <x v="62"/>
    <s v="HSM-BD66-GR645"/>
    <s v="EVO2A"/>
    <s v="±1400mm"/>
    <n v="645"/>
    <n v="3600"/>
    <n v="2.3220000000000001"/>
    <n v="100"/>
    <n v="5"/>
    <x v="0"/>
    <s v="COMPLETED"/>
    <m/>
    <d v="2026-03-18T00:00:00"/>
    <n v="12"/>
    <s v="POPV260320025"/>
    <m/>
    <s v="NINGBO"/>
    <x v="1"/>
    <x v="1"/>
    <d v="2026-03-22T00:00:00"/>
    <d v="2026-03-26T00:00:00"/>
    <d v="2026-03-26T00:00:00"/>
    <d v="2026-05-08T00:00:00"/>
    <d v="2026-05-06T00:00:00"/>
    <d v="2026-05-06T00:00:00"/>
    <s v="CIF"/>
    <s v="ONE TRUTH/029W"/>
    <s v="OTHER"/>
    <s v="TPVB20260312004"/>
    <x v="215"/>
    <s v="N232603711B"/>
    <n v="41"/>
    <m/>
    <d v="2026-05-06T00:00:00"/>
    <s v="In Stock-Approved"/>
    <d v="2026-05-14T00:00:00"/>
    <n v="7"/>
    <d v="2026-05-13T00:00:00"/>
    <n v="2026"/>
    <n v="5"/>
    <n v="20"/>
    <n v="36"/>
    <n v="720"/>
    <s v="White glazing"/>
    <s v="AEU"/>
  </r>
  <r>
    <s v="26Feb034.03"/>
    <s v="Guangde广德市"/>
    <s v="26Feb034"/>
    <s v="UPP"/>
    <x v="1"/>
    <s v="SPTN Offstore in Transit WH"/>
    <s v="CIF"/>
    <x v="23"/>
    <s v="U3"/>
    <x v="113"/>
    <s v="AT0126030200004"/>
    <m/>
    <s v="Yes"/>
    <d v="2026-03-16T00:00:00"/>
    <x v="0"/>
    <x v="65"/>
    <s v="HSM-ND66-GK720"/>
    <s v="H4(Com)"/>
    <s v="+400mm/-200mm"/>
    <n v="720"/>
    <n v="3564"/>
    <n v="2.5660799999999999"/>
    <n v="108"/>
    <n v="6"/>
    <x v="0"/>
    <s v="COMPLETED"/>
    <s v="W12 (3.19/20)"/>
    <d v="2026-03-16T00:00:00"/>
    <n v="12"/>
    <s v="POPV260320031"/>
    <m/>
    <s v="NINGBO"/>
    <x v="1"/>
    <x v="1"/>
    <d v="2026-03-20T00:00:00"/>
    <d v="2026-03-20T00:00:00"/>
    <d v="2026-03-20T00:00:00"/>
    <d v="2026-04-27T00:00:00"/>
    <d v="2026-05-01T00:00:00"/>
    <d v="2026-05-01T00:00:00"/>
    <s v="CIF"/>
    <s v="MATHILDE MAERSK/ 612W"/>
    <s v="OTHER"/>
    <s v="TPVB20260312007"/>
    <x v="216"/>
    <n v="285716532"/>
    <n v="42"/>
    <m/>
    <d v="2026-05-01T00:00:00"/>
    <s v="In Stock-Approved"/>
    <d v="2026-05-11T00:00:00"/>
    <n v="0"/>
    <d v="2026-05-01T00:00:00"/>
    <n v="2026"/>
    <n v="5"/>
    <n v="18"/>
    <n v="33"/>
    <n v="594"/>
    <s v="Transparent"/>
    <s v="AEU"/>
  </r>
  <r>
    <s v="26Feb034.04"/>
    <s v="Guangde广德市"/>
    <s v="26Feb034"/>
    <s v="UPP"/>
    <x v="1"/>
    <s v="SPTN Offstore in Transit WH"/>
    <s v="CIF"/>
    <x v="23"/>
    <s v="U3"/>
    <x v="114"/>
    <s v="AT0126030200004"/>
    <m/>
    <s v="Yes"/>
    <d v="2026-03-16T00:00:00"/>
    <x v="0"/>
    <x v="65"/>
    <s v="HSM-ND66-GK720"/>
    <s v="H4(Com)"/>
    <s v="+400mm/-200mm"/>
    <n v="720"/>
    <n v="4158"/>
    <n v="2.99376"/>
    <n v="126"/>
    <n v="7"/>
    <x v="0"/>
    <s v="COMPLETED"/>
    <s v="W12 (3.19/20)"/>
    <d v="2026-03-15T00:00:00"/>
    <n v="11"/>
    <s v="POPV260320039"/>
    <m/>
    <s v="NINGBO"/>
    <x v="1"/>
    <x v="1"/>
    <d v="2026-03-20T00:00:00"/>
    <d v="2026-03-20T00:00:00"/>
    <d v="2026-03-20T00:00:00"/>
    <d v="2026-04-27T00:00:00"/>
    <d v="2026-05-01T00:00:00"/>
    <d v="2026-05-01T00:00:00"/>
    <s v="CIF"/>
    <s v="MATHILDE MAERSK/ 612W"/>
    <s v="OTHER"/>
    <s v="TPVB20260312007"/>
    <x v="216"/>
    <n v="285716532"/>
    <n v="42"/>
    <m/>
    <d v="2026-05-01T00:00:00"/>
    <s v="In Stock-Approved"/>
    <d v="2026-05-11T00:00:00"/>
    <n v="0"/>
    <d v="2026-05-01T00:00:00"/>
    <n v="2026"/>
    <n v="5"/>
    <n v="18"/>
    <n v="33"/>
    <n v="594"/>
    <s v="Transparent"/>
    <s v="AEU"/>
  </r>
  <r>
    <s v="26Feb034.01"/>
    <s v="Guangde广德市"/>
    <s v="26Feb034"/>
    <s v="UPP"/>
    <x v="1"/>
    <s v="SPTN Offstore in Transit WH"/>
    <s v="CIF"/>
    <x v="23"/>
    <s v="U3"/>
    <x v="115"/>
    <s v="AT0126030200004"/>
    <m/>
    <s v="Yes"/>
    <d v="2026-03-16T00:00:00"/>
    <x v="0"/>
    <x v="65"/>
    <s v="HSM-ND66-GK720"/>
    <s v="H4(Com)"/>
    <s v="+400mm/-200mm"/>
    <n v="720"/>
    <n v="5940"/>
    <n v="4.2767999999999997"/>
    <n v="180"/>
    <n v="10"/>
    <x v="0"/>
    <s v="COMPLETED"/>
    <s v="W12 (3.19/20)"/>
    <d v="2026-03-20T00:00:00"/>
    <n v="12"/>
    <s v="POPV260326015"/>
    <m/>
    <s v="SHANGHAI"/>
    <x v="1"/>
    <x v="1"/>
    <d v="2026-03-24T00:00:00"/>
    <d v="2026-04-03T00:00:00"/>
    <d v="2026-03-30T00:00:00"/>
    <d v="2026-05-05T00:00:00"/>
    <d v="2026-05-24T00:00:00"/>
    <d v="2026-05-25T00:00:00"/>
    <s v="CIF"/>
    <s v="HMM HAMBURG/0018W"/>
    <s v="OTHER"/>
    <s v="TPVB20260312008"/>
    <x v="217"/>
    <s v="HDMUSHAZKML62800"/>
    <n v="56"/>
    <m/>
    <d v="2026-05-25T00:00:00"/>
    <s v="In Stock-Approved"/>
    <d v="2026-05-19T00:00:00"/>
    <n v="0"/>
    <d v="2026-05-25T00:00:00"/>
    <n v="2026"/>
    <n v="5"/>
    <n v="22"/>
    <n v="33"/>
    <n v="594"/>
    <s v="Transparent"/>
    <s v="AEU"/>
  </r>
  <r>
    <s v="26Feb034.06"/>
    <s v="Guangde广德市"/>
    <s v="26Feb034"/>
    <s v="UPP"/>
    <x v="1"/>
    <s v="SPTN Offstore in Transit WH"/>
    <s v="CIF"/>
    <x v="23"/>
    <s v="U3"/>
    <x v="116"/>
    <s v="AT0126030200004"/>
    <m/>
    <s v="Yes"/>
    <d v="2026-03-16T00:00:00"/>
    <x v="0"/>
    <x v="65"/>
    <s v="HSM-ND66-GK720"/>
    <s v="H4(Com)"/>
    <s v="+400mm/-200mm"/>
    <n v="720"/>
    <n v="5346"/>
    <n v="3.8491200000000001"/>
    <n v="162"/>
    <n v="9"/>
    <x v="0"/>
    <s v="COMPLETED"/>
    <s v="W12 (3.19/20)"/>
    <d v="2026-03-19T00:00:00"/>
    <n v="12"/>
    <s v="POPV260326014"/>
    <m/>
    <s v="SHANGHAI"/>
    <x v="1"/>
    <x v="1"/>
    <d v="2026-03-24T00:00:00"/>
    <d v="2026-04-03T00:00:00"/>
    <d v="2026-03-30T00:00:00"/>
    <d v="2026-05-05T00:00:00"/>
    <d v="2026-05-24T00:00:00"/>
    <d v="2026-05-25T00:00:00"/>
    <s v="CIF"/>
    <s v="HMM HAMBURG/0018W"/>
    <s v="OTHER"/>
    <s v="TPVB20260312008"/>
    <x v="217"/>
    <s v="HDMUSHAZKML62800"/>
    <n v="56"/>
    <m/>
    <d v="2026-05-25T00:00:00"/>
    <s v="In Stock-Approved"/>
    <d v="2026-05-19T00:00:00"/>
    <n v="0"/>
    <d v="2026-05-25T00:00:00"/>
    <n v="2026"/>
    <n v="5"/>
    <n v="22"/>
    <n v="33"/>
    <n v="594"/>
    <s v="Transparent"/>
    <s v="AEU"/>
  </r>
  <r>
    <s v="26Feb034.07"/>
    <s v="Guangde广德市"/>
    <s v="26Feb034"/>
    <s v="UPP"/>
    <x v="1"/>
    <s v="SPTN Offstore in Transit WH"/>
    <s v="CIF"/>
    <x v="23"/>
    <s v="U3"/>
    <x v="117"/>
    <s v="AT0126030200004"/>
    <m/>
    <s v="Yes"/>
    <d v="2026-03-16T00:00:00"/>
    <x v="0"/>
    <x v="65"/>
    <s v="HSM-ND66-GK720"/>
    <s v="H4(Com)"/>
    <s v="+400mm/-200mm"/>
    <n v="720"/>
    <n v="4752"/>
    <n v="3.42144"/>
    <n v="144"/>
    <n v="8"/>
    <x v="0"/>
    <s v="COMPLETED"/>
    <s v="W12 (3.19/20)"/>
    <d v="2026-03-18T00:00:00"/>
    <n v="12"/>
    <s v="POPV260326016"/>
    <m/>
    <s v="NINGBO"/>
    <x v="1"/>
    <x v="1"/>
    <d v="2026-03-24T00:00:00"/>
    <d v="2026-03-26T00:00:00"/>
    <d v="2026-03-26T00:00:00"/>
    <d v="2026-05-08T00:00:00"/>
    <d v="2026-05-06T00:00:00"/>
    <d v="2026-05-06T00:00:00"/>
    <s v="CIF"/>
    <s v="ONE TRUTH/029W"/>
    <s v="OTHER"/>
    <s v="TPVB20260312009"/>
    <x v="218"/>
    <s v="N232603711D"/>
    <n v="41"/>
    <m/>
    <d v="2026-05-06T00:00:00"/>
    <s v="In Stock-Approved"/>
    <d v="2026-05-22T00:00:00"/>
    <n v="0"/>
    <d v="2026-05-06T00:00:00"/>
    <n v="2026"/>
    <n v="5"/>
    <n v="19"/>
    <n v="33"/>
    <n v="594"/>
    <s v="Transparent"/>
    <s v="AEU"/>
  </r>
  <r>
    <s v="26Feb020.09"/>
    <s v="Tianjin"/>
    <s v="26Feb020"/>
    <s v="CORE DG"/>
    <x v="0"/>
    <s v="Arrival Plan-SPUK"/>
    <s v="CIF"/>
    <x v="6"/>
    <s v="U1"/>
    <x v="118"/>
    <m/>
    <m/>
    <s v="n/a"/>
    <d v="2026-03-16T00:00:00"/>
    <x v="0"/>
    <x v="43"/>
    <s v="HSM-ND54-DR505"/>
    <s v="EVO2A"/>
    <s v="±1200mm"/>
    <n v="505"/>
    <n v="1728"/>
    <n v="0.87263999999999997"/>
    <n v="48"/>
    <n v="2"/>
    <x v="0"/>
    <s v="COMPLETED"/>
    <s v="W11"/>
    <d v="2026-03-15T00:00:00"/>
    <n v="11"/>
    <s v="POPV260320041"/>
    <m/>
    <s v="TIANJIN"/>
    <x v="0"/>
    <x v="6"/>
    <d v="2026-03-21T00:00:00"/>
    <d v="2026-03-20T00:00:00"/>
    <d v="2026-03-20T00:00:00"/>
    <d v="2026-05-10T00:00:00"/>
    <d v="2026-05-12T00:00:00"/>
    <d v="2026-05-13T00:00:00"/>
    <s v="CIF"/>
    <s v="MSC CAPELLA/GA612W"/>
    <s v="OTHER"/>
    <s v="TPVB20260312011"/>
    <x v="219"/>
    <s v="177KVBXYXVNN1283"/>
    <n v="54"/>
    <m/>
    <d v="2026-05-13T00:00:00"/>
    <s v="In Stock-Approved"/>
    <d v="2026-05-25T00:00:00"/>
    <n v="7"/>
    <d v="2026-05-20T00:00:00"/>
    <n v="2026"/>
    <n v="5"/>
    <n v="21"/>
    <n v="36"/>
    <n v="864"/>
    <s v="Black glazing"/>
    <s v="AEU"/>
  </r>
  <r>
    <s v="26Feb022.01"/>
    <s v="Tianjin"/>
    <s v="26Feb022"/>
    <s v="CORE DG"/>
    <x v="0"/>
    <s v="Arrival Plan-SPTN"/>
    <s v="CIF"/>
    <x v="0"/>
    <s v="U6"/>
    <x v="31"/>
    <m/>
    <m/>
    <s v="n/a"/>
    <d v="2026-03-23T00:00:00"/>
    <x v="0"/>
    <x v="8"/>
    <s v="HSM-ND48-DR455_CFP"/>
    <s v="EVO2A"/>
    <s v="±1200mm"/>
    <n v="455"/>
    <n v="936"/>
    <n v="0.42587999999999998"/>
    <n v="26"/>
    <n v="1"/>
    <x v="0"/>
    <s v="COMPLETED"/>
    <s v="W13-BW (3.17货好)"/>
    <d v="2026-03-17T00:00:00"/>
    <n v="12"/>
    <s v="POPV260320044"/>
    <m/>
    <s v="TIANJIN"/>
    <x v="0"/>
    <x v="5"/>
    <d v="2026-03-22T00:00:00"/>
    <d v="2026-03-22T00:00:00"/>
    <d v="2026-03-22T00:00:00"/>
    <d v="2026-05-12T00:00:00"/>
    <d v="2026-05-19T00:00:00"/>
    <d v="2026-05-20T00:00:00"/>
    <s v="CIF"/>
    <s v="OOCL DENMARK 007W"/>
    <s v="COSCO"/>
    <s v="TPVB20260312012"/>
    <x v="220"/>
    <s v="COSU6447158640"/>
    <n v="59"/>
    <m/>
    <d v="2026-05-20T00:00:00"/>
    <s v="In Stock-Approved"/>
    <d v="2026-06-03T00:00:00"/>
    <n v="10"/>
    <d v="2026-05-30T00:00:00"/>
    <n v="2026"/>
    <n v="5"/>
    <n v="22"/>
    <n v="36"/>
    <n v="936"/>
    <s v="Transparent"/>
    <s v="AEU"/>
  </r>
  <r>
    <s v="26Feb022.02.2"/>
    <s v="Tianjin"/>
    <s v="26Feb022"/>
    <s v="CORE DG"/>
    <x v="0"/>
    <s v="Arrival Plan-SPTN"/>
    <s v="CIF"/>
    <x v="0"/>
    <s v="U6"/>
    <x v="2"/>
    <m/>
    <m/>
    <s v="n/a"/>
    <d v="2026-03-23T00:00:00"/>
    <x v="0"/>
    <x v="8"/>
    <s v="HSM-ND48-DR455_CFP"/>
    <s v="EVO2A"/>
    <s v="±1200mm"/>
    <n v="455"/>
    <n v="1872"/>
    <n v="0.85175999999999996"/>
    <n v="52"/>
    <n v="2"/>
    <x v="1"/>
    <s v="COMPLETED"/>
    <s v="W13-BW (3.17货好)"/>
    <d v="2026-03-17T00:00:00"/>
    <n v="12"/>
    <s v="POPV260323053"/>
    <m/>
    <s v="TIANJIN"/>
    <x v="0"/>
    <x v="0"/>
    <d v="2026-03-22T00:00:00"/>
    <d v="2026-03-22T00:00:00"/>
    <d v="2026-03-22T00:00:00"/>
    <d v="2026-05-19T00:00:00"/>
    <d v="2026-06-09T00:00:00"/>
    <d v="2026-06-10T00:00:00"/>
    <s v="CIF"/>
    <s v="OOCL DENMARK 007W"/>
    <s v="COSCO"/>
    <s v="TPVB20260312013"/>
    <x v="221"/>
    <s v="COSU9506490230"/>
    <n v="80"/>
    <m/>
    <d v="2026-06-10T00:00:00"/>
    <s v="In Stock-Approved"/>
    <d v="2026-06-22T00:00:00"/>
    <n v="8"/>
    <d v="2026-06-18T00:00:00"/>
    <n v="2026"/>
    <n v="6"/>
    <n v="25"/>
    <n v="36"/>
    <n v="936"/>
    <s v="Transparent"/>
    <s v="AEM"/>
  </r>
  <r>
    <s v="26Feb022.02.1"/>
    <s v="Tianjin"/>
    <s v="26Feb022"/>
    <s v="CORE DG"/>
    <x v="0"/>
    <s v="Arrival Plan-SPTN"/>
    <s v="CIF"/>
    <x v="0"/>
    <s v="U6"/>
    <x v="2"/>
    <m/>
    <m/>
    <s v="n/a"/>
    <d v="2026-03-23T00:00:00"/>
    <x v="0"/>
    <x v="8"/>
    <s v="HSM-ND48-DR455_CFP"/>
    <s v="EVO2A"/>
    <s v="±1200mm"/>
    <n v="455"/>
    <n v="1872"/>
    <n v="0.85175999999999996"/>
    <n v="52"/>
    <n v="2"/>
    <x v="1"/>
    <s v="COMPLETED"/>
    <s v="W13-BW (3.17货好)"/>
    <d v="2026-03-17T00:00:00"/>
    <n v="12"/>
    <s v="POPV260423054"/>
    <m/>
    <s v="TIANJIN"/>
    <x v="0"/>
    <x v="0"/>
    <d v="2026-03-22T00:00:00"/>
    <d v="2026-03-22T00:00:00"/>
    <d v="2026-03-22T00:00:00"/>
    <d v="2026-05-19T00:00:00"/>
    <d v="2026-06-09T00:00:00"/>
    <d v="2026-06-10T00:00:00"/>
    <s v="CIF"/>
    <s v="OOCL DENMARK 007W"/>
    <s v="COSCO"/>
    <s v="TPVB20260312013"/>
    <x v="221"/>
    <s v="COSU9506490230"/>
    <n v="80"/>
    <m/>
    <d v="2026-06-10T00:00:00"/>
    <s v="In Stock-Approved"/>
    <d v="2026-06-23T00:00:00"/>
    <n v="8"/>
    <d v="2026-06-18T00:00:00"/>
    <n v="2026"/>
    <n v="6"/>
    <n v="25"/>
    <n v="36"/>
    <n v="936"/>
    <s v="Transparent"/>
    <s v="AEM"/>
  </r>
  <r>
    <s v="26Feb022.03"/>
    <s v="Tianjin"/>
    <s v="26Feb022"/>
    <s v="CORE DG"/>
    <x v="0"/>
    <s v="Arrival Plan-SPTN"/>
    <s v="CIF"/>
    <x v="0"/>
    <s v="U6"/>
    <x v="31"/>
    <m/>
    <m/>
    <s v="n/a"/>
    <d v="2026-03-23T00:00:00"/>
    <x v="0"/>
    <x v="8"/>
    <s v="HSM-ND48-DR455_CFP"/>
    <s v="EVO2A"/>
    <s v="±1200mm"/>
    <n v="455"/>
    <n v="1872"/>
    <n v="0.85175999999999996"/>
    <n v="52"/>
    <n v="2"/>
    <x v="0"/>
    <s v="COMPLETED"/>
    <m/>
    <d v="2026-03-17T00:00:00"/>
    <n v="12"/>
    <s v="POPV260320050"/>
    <m/>
    <s v="TIANJIN"/>
    <x v="0"/>
    <x v="0"/>
    <d v="2026-03-22T00:00:00"/>
    <d v="2026-03-22T00:00:00"/>
    <d v="2026-03-22T00:00:00"/>
    <d v="2026-05-19T00:00:00"/>
    <d v="2026-05-24T00:00:00"/>
    <d v="2026-05-22T00:00:00"/>
    <s v="CIF"/>
    <s v="OOCL DENMARK 007W"/>
    <s v="COSCO"/>
    <s v="TPVB20260312014"/>
    <x v="222"/>
    <s v="COSU9506490200"/>
    <n v="61"/>
    <m/>
    <d v="2026-05-22T00:00:00"/>
    <s v="In Stock-Approved"/>
    <d v="2026-06-05T00:00:00"/>
    <n v="8"/>
    <d v="2026-05-30T00:00:00"/>
    <n v="2026"/>
    <n v="5"/>
    <n v="22"/>
    <n v="36"/>
    <n v="936"/>
    <s v="Transparent"/>
    <s v="AEM"/>
  </r>
  <r>
    <s v="26Feb034.05"/>
    <s v="Guangde广德市"/>
    <s v="26Feb034"/>
    <s v="UPP"/>
    <x v="1"/>
    <s v="SPTN Offstore in Transit WH"/>
    <s v="CIF"/>
    <x v="23"/>
    <s v="U3"/>
    <x v="119"/>
    <s v="AT0126030200004"/>
    <m/>
    <s v="Yes"/>
    <d v="2026-03-16T00:00:00"/>
    <x v="0"/>
    <x v="65"/>
    <s v="HSM-ND66-GK720"/>
    <s v="H4(Com)"/>
    <s v="+400mm/-200mm"/>
    <n v="720"/>
    <n v="1782"/>
    <n v="1.28304"/>
    <n v="54"/>
    <n v="3"/>
    <x v="0"/>
    <s v="COMPLETED"/>
    <s v="W12 (3.19/20)"/>
    <d v="2026-03-25T00:00:00"/>
    <n v="13"/>
    <s v="POPV260330014"/>
    <m/>
    <s v="SHANGHAI BW"/>
    <x v="1"/>
    <x v="1"/>
    <d v="2026-03-29T00:00:00"/>
    <d v="2026-03-29T00:00:00"/>
    <d v="2026-03-29T00:00:00"/>
    <d v="2026-05-08T00:00:00"/>
    <d v="2026-05-27T00:00:00"/>
    <d v="2026-05-28T00:00:00"/>
    <s v="CIF"/>
    <s v="COSCO FRANCE 074W"/>
    <s v="COSCO"/>
    <s v="TPVB20260313009"/>
    <x v="223"/>
    <s v="COSU6447995860"/>
    <n v="60"/>
    <m/>
    <d v="2026-05-28T00:00:00"/>
    <s v="In Stock-Approved"/>
    <d v="2026-05-22T00:00:00"/>
    <n v="0"/>
    <d v="2026-05-28T00:00:00"/>
    <n v="2026"/>
    <n v="5"/>
    <n v="22"/>
    <n v="33"/>
    <n v="594"/>
    <s v="Transparent"/>
    <s v="AEU"/>
  </r>
  <r>
    <s v="26Feb034.09"/>
    <s v="Guangde广德市"/>
    <s v="26Feb034"/>
    <s v="UPP"/>
    <x v="1"/>
    <s v="SPTN Offstore in Transit WH"/>
    <s v="CIF"/>
    <x v="23"/>
    <s v="U3"/>
    <x v="119"/>
    <s v="AT0126030200004"/>
    <m/>
    <s v="Yes"/>
    <d v="2026-03-16T00:00:00"/>
    <x v="0"/>
    <x v="65"/>
    <s v="HSM-ND66-GK720"/>
    <s v="H4(Com)"/>
    <s v="+400mm/-200mm"/>
    <n v="720"/>
    <n v="1188"/>
    <n v="0.85536000000000001"/>
    <n v="36"/>
    <n v="2"/>
    <x v="0"/>
    <s v="COMPLETED"/>
    <s v="W12 (3.19/20)"/>
    <d v="2026-03-26T00:00:00"/>
    <n v="13"/>
    <s v="POPV260330011"/>
    <m/>
    <s v="SHANGHAI BW"/>
    <x v="1"/>
    <x v="1"/>
    <d v="2026-03-29T00:00:00"/>
    <d v="2026-03-31T00:00:00"/>
    <d v="2026-03-31T00:00:00"/>
    <d v="2026-05-05T00:00:00"/>
    <d v="2026-05-12T00:00:00"/>
    <d v="2026-05-15T00:00:00"/>
    <s v="CIF"/>
    <s v="OOCL DENMARK 007W"/>
    <s v="COSCO"/>
    <s v="TPVB20260313011"/>
    <x v="224"/>
    <s v="COSU6448253240"/>
    <n v="45"/>
    <m/>
    <d v="2026-05-15T00:00:00"/>
    <s v="In Stock-Approved"/>
    <d v="2026-05-19T00:00:00"/>
    <n v="0"/>
    <d v="2026-05-15T00:00:00"/>
    <n v="2026"/>
    <n v="5"/>
    <n v="20"/>
    <n v="33"/>
    <n v="594"/>
    <s v="Transparent"/>
    <s v="AEU"/>
  </r>
  <r>
    <s v="26Feb009.12"/>
    <s v="Yixing"/>
    <s v="26Feb009"/>
    <s v="CORE DG"/>
    <x v="0"/>
    <s v="Arrival Plan-SPNL"/>
    <s v="CIF"/>
    <x v="0"/>
    <s v="U1"/>
    <x v="14"/>
    <m/>
    <m/>
    <s v="n/a"/>
    <s v="n/a"/>
    <x v="1"/>
    <x v="6"/>
    <s v="TCL-MR465DT182-58NS"/>
    <s v="EVO2A"/>
    <s v="±1200mm"/>
    <n v="465"/>
    <n v="864"/>
    <n v="0.40176000000000001"/>
    <n v="24"/>
    <n v="1"/>
    <x v="0"/>
    <s v="COMPLETED"/>
    <m/>
    <d v="2026-03-22T00:00:00"/>
    <n v="12"/>
    <s v="POPV260330004"/>
    <m/>
    <s v="TBW SHANGHAI"/>
    <x v="1"/>
    <x v="1"/>
    <d v="2026-03-29T00:00:00"/>
    <d v="2026-03-31T00:00:00"/>
    <d v="2026-03-31T00:00:00"/>
    <d v="2026-05-05T00:00:00"/>
    <d v="2026-05-12T00:00:00"/>
    <d v="2026-05-15T00:00:00"/>
    <s v="CIF"/>
    <s v="OOCL DENMARK 007W"/>
    <s v="COSCO"/>
    <s v="TPVB20260313002-1"/>
    <x v="225"/>
    <s v="COSU6447635630"/>
    <n v="45"/>
    <m/>
    <d v="2026-05-15T00:00:00"/>
    <s v="In Stock-Approved"/>
    <d v="2026-05-25T00:00:00"/>
    <n v="7"/>
    <d v="2026-05-22T00:00:00"/>
    <n v="2026"/>
    <n v="5"/>
    <n v="21"/>
    <n v="36"/>
    <n v="864"/>
    <s v="White glazing"/>
    <s v="AEU"/>
  </r>
  <r>
    <s v="26Feb009.09"/>
    <s v="Yixing"/>
    <s v="26Feb009"/>
    <s v="CORE DG"/>
    <x v="1"/>
    <s v="SPTN Offstore in Transit WH"/>
    <s v="CIF"/>
    <x v="23"/>
    <s v="U1"/>
    <x v="92"/>
    <s v="AT0126042100006"/>
    <n v="5"/>
    <s v="Yes"/>
    <d v="2026-02-16T00:00:00"/>
    <x v="1"/>
    <x v="6"/>
    <s v="TCL-MR465DT182-58NS"/>
    <s v="EVO2A"/>
    <s v="±1200mm"/>
    <n v="465"/>
    <n v="3456"/>
    <n v="1.60704"/>
    <n v="96"/>
    <n v="4"/>
    <x v="0"/>
    <s v="COMPLETED"/>
    <s v="W12 (3.18起)"/>
    <d v="2026-03-22T00:00:00"/>
    <n v="12"/>
    <s v="POPV260427053"/>
    <m/>
    <s v="TBW SHANGHAI"/>
    <x v="1"/>
    <x v="1"/>
    <d v="2026-03-29T00:00:00"/>
    <d v="2026-03-31T00:00:00"/>
    <d v="2026-03-31T00:00:00"/>
    <d v="2026-05-05T00:00:00"/>
    <d v="2026-05-12T00:00:00"/>
    <d v="2026-05-15T00:00:00"/>
    <s v="CIF"/>
    <s v="OOCL DENMARK 007W"/>
    <s v="COSCO"/>
    <s v="TPVB20260313002"/>
    <x v="226"/>
    <s v="COSU6447635630"/>
    <n v="45"/>
    <m/>
    <d v="2026-05-15T00:00:00"/>
    <s v="In Stock-Approved"/>
    <d v="2026-04-27T00:00:00"/>
    <n v="0"/>
    <d v="2026-05-15T00:00:00"/>
    <n v="2026"/>
    <n v="5"/>
    <n v="20"/>
    <n v="36"/>
    <n v="864"/>
    <s v="White glazing"/>
    <s v="AEU"/>
  </r>
  <r>
    <s v="26Feb009.10.02"/>
    <s v="Yixing"/>
    <s v="26Feb009"/>
    <s v="CORE DG"/>
    <x v="1"/>
    <s v="SPTN Offstore in Transit WH"/>
    <s v="CIF"/>
    <x v="23"/>
    <s v="U1"/>
    <x v="92"/>
    <s v="AT0126042100006"/>
    <n v="10"/>
    <s v="Yes"/>
    <d v="2026-02-16T00:00:00"/>
    <x v="1"/>
    <x v="6"/>
    <s v="TCL-MR465DT182-58NS"/>
    <s v="EVO2A"/>
    <s v="±1200mm"/>
    <n v="465"/>
    <n v="864"/>
    <n v="0.40176000000000001"/>
    <n v="24"/>
    <n v="1"/>
    <x v="0"/>
    <s v="COMPLETED"/>
    <m/>
    <d v="2026-03-22T00:00:00"/>
    <n v="12"/>
    <s v="POPV260427055"/>
    <m/>
    <s v="TBW SHANGHAI"/>
    <x v="1"/>
    <x v="1"/>
    <d v="2026-03-29T00:00:00"/>
    <d v="2026-03-31T00:00:00"/>
    <d v="2026-03-31T00:00:00"/>
    <d v="2026-05-05T00:00:00"/>
    <d v="2026-05-12T00:00:00"/>
    <d v="2026-05-15T00:00:00"/>
    <s v="CIF"/>
    <s v="OOCL DENMARK 007W"/>
    <s v="COSCO"/>
    <s v="TPVB20260313002"/>
    <x v="226"/>
    <s v="COSU6447635630"/>
    <n v="45"/>
    <m/>
    <d v="2026-05-15T00:00:00"/>
    <s v="In Stock-Approved"/>
    <d v="2026-05-25T00:00:00"/>
    <n v="0"/>
    <d v="2026-05-15T00:00:00"/>
    <n v="2026"/>
    <n v="5"/>
    <n v="20"/>
    <n v="36"/>
    <n v="864"/>
    <s v="White glazing"/>
    <s v="AEU"/>
  </r>
  <r>
    <s v="26Feb009.10.01"/>
    <s v="Yixing"/>
    <s v="26Feb009"/>
    <s v="CORE DG"/>
    <x v="0"/>
    <s v="Arrival Plan-SPNL"/>
    <s v="CIF"/>
    <x v="0"/>
    <s v="U1"/>
    <x v="3"/>
    <m/>
    <m/>
    <s v="n/a"/>
    <d v="2026-02-16T00:00:00"/>
    <x v="1"/>
    <x v="6"/>
    <s v="TCL-MR465DT182-58NS"/>
    <s v="EVO2A"/>
    <s v="±1200mm"/>
    <n v="465"/>
    <n v="2592"/>
    <n v="1.2052799999999999"/>
    <n v="72"/>
    <n v="3"/>
    <x v="0"/>
    <s v="COMPLETED"/>
    <m/>
    <d v="2026-03-22T00:00:00"/>
    <n v="12"/>
    <s v="POPV260427056"/>
    <m/>
    <s v="TBW SHANGHAI"/>
    <x v="1"/>
    <x v="1"/>
    <d v="2026-03-29T00:00:00"/>
    <d v="2026-03-31T00:00:00"/>
    <d v="2026-03-31T00:00:00"/>
    <d v="2026-05-05T00:00:00"/>
    <d v="2026-05-12T00:00:00"/>
    <d v="2026-05-15T00:00:00"/>
    <s v="CIF"/>
    <s v="OOCL DENMARK 007W"/>
    <s v="COSCO"/>
    <s v="TPVB20260313002-1"/>
    <x v="225"/>
    <s v="COSU6447635630"/>
    <n v="45"/>
    <m/>
    <d v="2026-05-15T00:00:00"/>
    <s v="In Stock-Approved"/>
    <d v="2026-05-31T00:00:00"/>
    <n v="7"/>
    <d v="2026-05-22T00:00:00"/>
    <n v="2026"/>
    <n v="5"/>
    <n v="21"/>
    <n v="36"/>
    <n v="864"/>
    <s v="White glazing"/>
    <s v="AEU"/>
  </r>
  <r>
    <s v="26Feb007.07"/>
    <s v="Yixing"/>
    <s v="/././."/>
    <s v="CORE DG"/>
    <x v="0"/>
    <s v="Arrival Plan-SPNL"/>
    <s v="CIF"/>
    <x v="0"/>
    <s v="U1"/>
    <x v="23"/>
    <m/>
    <m/>
    <s v="n/a"/>
    <d v="2026-03-02T00:00:00"/>
    <x v="5"/>
    <x v="20"/>
    <s v="SPR-P7-455-BLK-1500"/>
    <s v="EVO2A"/>
    <s v="±1200mm"/>
    <n v="455"/>
    <n v="4320"/>
    <n v="1.9656"/>
    <n v="120"/>
    <n v="5"/>
    <x v="0"/>
    <s v="COMPLETED"/>
    <s v="W12"/>
    <d v="2026-03-21T00:00:00"/>
    <n v="12"/>
    <s v="POPV260330006"/>
    <m/>
    <s v="TBW SHANGHAI"/>
    <x v="1"/>
    <x v="1"/>
    <d v="2026-03-30T00:00:00"/>
    <d v="2026-03-30T00:00:00"/>
    <d v="2026-03-30T00:00:00"/>
    <d v="2026-05-06T00:00:00"/>
    <d v="2026-05-15T00:00:00"/>
    <d v="2026-05-14T00:00:00"/>
    <s v="CIF"/>
    <s v="EVER ARIA 1394-014W"/>
    <s v="COSCO"/>
    <s v="TPVB20260313003"/>
    <x v="227"/>
    <s v="COSU9506502990"/>
    <n v="45"/>
    <m/>
    <d v="2026-05-14T00:00:00"/>
    <s v="In Stock-Approved"/>
    <d v="2026-05-28T00:00:00"/>
    <n v="7"/>
    <d v="2026-05-21T00:00:00"/>
    <n v="2026"/>
    <n v="5"/>
    <n v="21"/>
    <n v="36"/>
    <n v="864"/>
    <s v="Black glazing"/>
    <s v="AEU"/>
  </r>
  <r>
    <s v="26Feb020.13"/>
    <s v="Quzhou"/>
    <s v="26Feb020"/>
    <s v="CORE DG"/>
    <x v="1"/>
    <s v="SPTN Offstore in Transit WH"/>
    <s v="CIP"/>
    <x v="3"/>
    <s v="U1"/>
    <x v="7"/>
    <s v="LT0126030900043"/>
    <m/>
    <s v="Yes"/>
    <d v="2026-03-23T00:00:00"/>
    <x v="0"/>
    <x v="43"/>
    <s v="HSM-ND54-DR505"/>
    <s v="EVO2A"/>
    <s v="±1200mm"/>
    <n v="505"/>
    <n v="1728"/>
    <n v="0.87263999999999997"/>
    <n v="48"/>
    <n v="2"/>
    <x v="0"/>
    <s v="COMPLETED"/>
    <s v="? W12 (3.16/17)"/>
    <d v="2026-03-28T00:00:00"/>
    <n v="13"/>
    <s v="POPV260330044"/>
    <m/>
    <s v="Quzhou BW"/>
    <x v="1"/>
    <x v="3"/>
    <d v="2026-04-01T00:00:00"/>
    <d v="2026-04-01T00:00:00"/>
    <d v="2026-04-01T00:00:00"/>
    <d v="2026-05-30T00:00:00"/>
    <d v="2026-05-30T00:00:00"/>
    <d v="2026-05-30T00:00:00"/>
    <s v="CIF"/>
    <s v="MUMBAI MAERSK/613W"/>
    <s v="OTHER"/>
    <s v="TPVB20260313001"/>
    <x v="228"/>
    <n v="267445298"/>
    <n v="59"/>
    <m/>
    <d v="2026-05-30T00:00:00"/>
    <s v="In Stock-Approved"/>
    <d v="2026-06-12T00:00:00"/>
    <n v="0"/>
    <d v="2026-05-30T00:00:00"/>
    <n v="2026"/>
    <n v="5"/>
    <n v="22"/>
    <n v="36"/>
    <n v="864"/>
    <s v="Black glazing"/>
    <s v="AEU"/>
  </r>
  <r>
    <s v="26Feb017.16"/>
    <s v="Lianyungang"/>
    <s v="26Feb017"/>
    <s v="CORE DG"/>
    <x v="1"/>
    <s v="SPTN Offstore in Transit WH"/>
    <s v="CIF"/>
    <x v="3"/>
    <s v="U1"/>
    <x v="7"/>
    <s v="LT0126030900043"/>
    <m/>
    <s v="Yes"/>
    <d v="2026-02-16T00:00:00"/>
    <x v="0"/>
    <x v="7"/>
    <s v="HSM-ND48-DR450"/>
    <s v="EVO2A"/>
    <s v="±1200mm"/>
    <n v="450"/>
    <n v="1872"/>
    <n v="0.84240000000000004"/>
    <n v="52"/>
    <n v="2"/>
    <x v="0"/>
    <s v="COMPLETED"/>
    <s v="W13-BW (3.21货好)"/>
    <d v="2026-03-27T00:00:00"/>
    <n v="13"/>
    <s v="POPV260330043"/>
    <m/>
    <s v="Lianyungang BW"/>
    <x v="1"/>
    <x v="3"/>
    <d v="2026-04-01T00:00:00"/>
    <d v="2026-04-01T00:00:00"/>
    <d v="2026-04-01T00:00:00"/>
    <d v="2026-05-30T00:00:00"/>
    <d v="2026-05-30T00:00:00"/>
    <d v="2026-05-30T00:00:00"/>
    <s v="CIF"/>
    <s v="MUMBAI MAERSK/613W"/>
    <s v="OTHER"/>
    <s v="TPVB20260313001"/>
    <x v="228"/>
    <n v="267721245"/>
    <n v="59"/>
    <m/>
    <d v="2026-05-30T00:00:00"/>
    <s v="In Stock-Approved"/>
    <d v="2026-06-12T00:00:00"/>
    <n v="0"/>
    <d v="2026-05-30T00:00:00"/>
    <n v="2026"/>
    <n v="5"/>
    <n v="22"/>
    <n v="36"/>
    <n v="936"/>
    <s v="Black glazing"/>
    <s v="AEU"/>
  </r>
  <r>
    <s v="26Feb014.01"/>
    <s v="Yixing"/>
    <s v="26Feb014"/>
    <s v="CORE DG"/>
    <x v="1"/>
    <s v="SPTN Offstore in Transit WH"/>
    <s v="CIF"/>
    <x v="9"/>
    <s v="U6"/>
    <x v="27"/>
    <s v="ES0126012800033"/>
    <m/>
    <s v="Yes"/>
    <d v="2026-03-30T00:00:00"/>
    <x v="1"/>
    <x v="66"/>
    <s v="TCL-MI560DT182-70NS"/>
    <s v="EVO2A"/>
    <s v="±1400mm"/>
    <n v="560"/>
    <n v="3300"/>
    <n v="1.8480000000000001"/>
    <n v="100"/>
    <n v="5"/>
    <x v="0"/>
    <s v="COMPLETED"/>
    <s v="W13-BW (3.22货好)"/>
    <d v="2026-03-27T00:00:00"/>
    <n v="13"/>
    <s v="POPV260330041"/>
    <m/>
    <s v="TBW SHANGHAI"/>
    <x v="1"/>
    <x v="2"/>
    <d v="2026-04-02T00:00:00"/>
    <d v="2026-04-03T00:00:00"/>
    <d v="2026-04-05T00:00:00"/>
    <d v="2026-05-14T00:00:00"/>
    <d v="2026-05-14T00:00:00"/>
    <d v="2026-05-16T00:00:00"/>
    <s v="CIF"/>
    <s v="COSCO SHIPPING KILIMANJARO 044W"/>
    <s v="COSCO"/>
    <s v="TPVB20260313004"/>
    <x v="229"/>
    <s v="COSU6447789170"/>
    <n v="41"/>
    <m/>
    <d v="2026-05-16T00:00:00"/>
    <s v="In Stock-Approved"/>
    <d v="2026-05-28T00:00:00"/>
    <n v="0"/>
    <d v="2026-05-16T00:00:00"/>
    <n v="2026"/>
    <n v="5"/>
    <n v="20"/>
    <n v="33"/>
    <n v="660"/>
    <s v="White glazing"/>
    <s v="AEM"/>
  </r>
  <r>
    <s v="26Feb013.01"/>
    <s v="Yixing"/>
    <s v="26Feb013"/>
    <s v="CORE DG"/>
    <x v="1"/>
    <s v="SPTN Offstore in Transit WH"/>
    <s v="CIF"/>
    <x v="24"/>
    <s v="U6"/>
    <x v="120"/>
    <s v="ES0126032600021"/>
    <m/>
    <s v="Yes"/>
    <d v="2026-03-30T00:00:00"/>
    <x v="1"/>
    <x v="67"/>
    <s v="TCL-MI555DT182-70NS"/>
    <s v="EVO2A"/>
    <s v="±1400mm"/>
    <n v="555"/>
    <n v="2640"/>
    <n v="1.4652000000000001"/>
    <n v="80"/>
    <n v="4"/>
    <x v="0"/>
    <s v="COMPLETED"/>
    <s v="W13-BW (3.24货好)"/>
    <d v="2026-03-25T00:00:00"/>
    <n v="13"/>
    <s v="POPV260330039"/>
    <m/>
    <s v="TBW SHANGHAI"/>
    <x v="1"/>
    <x v="2"/>
    <d v="2026-03-30T00:00:00"/>
    <d v="2026-04-02T00:00:00"/>
    <d v="2026-04-02T00:00:00"/>
    <d v="2026-05-21T00:00:00"/>
    <d v="2026-05-28T00:00:00"/>
    <d v="2026-05-29T00:00:00"/>
    <s v="CIF"/>
    <s v="COSCO SHIPPING TAURUS 036W"/>
    <s v="COSCO"/>
    <s v="TPVB20260313005-1"/>
    <x v="230"/>
    <s v="COSU6447792021"/>
    <n v="57"/>
    <m/>
    <d v="2026-05-29T00:00:00"/>
    <s v="In Stock-Approved"/>
    <d v="2026-06-04T00:00:00"/>
    <n v="0"/>
    <d v="2026-05-29T00:00:00"/>
    <n v="2026"/>
    <n v="5"/>
    <n v="22"/>
    <n v="33"/>
    <n v="660"/>
    <s v="White glazing"/>
    <s v="AEM"/>
  </r>
  <r>
    <s v="26Feb013.02"/>
    <s v="Yixing"/>
    <s v="26Feb013"/>
    <s v="CORE DG"/>
    <x v="1"/>
    <s v="SPTN Offstore in Transit WH"/>
    <s v="CIF"/>
    <x v="25"/>
    <s v="U6"/>
    <x v="121"/>
    <s v="ES0126012800035"/>
    <m/>
    <s v="Yes"/>
    <d v="2026-03-30T00:00:00"/>
    <x v="1"/>
    <x v="67"/>
    <s v="TCL-MI555DT182-70NS"/>
    <s v="EVO2A"/>
    <s v="±1400mm"/>
    <n v="555"/>
    <n v="1320"/>
    <n v="0.73260000000000003"/>
    <n v="40"/>
    <n v="2"/>
    <x v="0"/>
    <s v="COMPLETED"/>
    <s v="W13-BW (3.24货好)"/>
    <d v="2026-03-25T00:00:00"/>
    <n v="13"/>
    <s v="POPV260330040"/>
    <m/>
    <s v="TBW SHANGHAI"/>
    <x v="1"/>
    <x v="2"/>
    <d v="2026-03-30T00:00:00"/>
    <d v="2026-04-02T00:00:00"/>
    <d v="2026-04-02T00:00:00"/>
    <d v="2026-05-21T00:00:00"/>
    <d v="2026-05-28T00:00:00"/>
    <d v="2026-05-29T00:00:00"/>
    <s v="CIF"/>
    <s v="COSCO SHIPPING TAURUS 036W"/>
    <s v="COSCO"/>
    <s v="TPVB20260313005"/>
    <x v="231"/>
    <s v="COSU6447792020"/>
    <n v="57"/>
    <m/>
    <d v="2026-05-29T00:00:00"/>
    <s v="In Stock-Approved"/>
    <d v="2026-06-04T00:00:00"/>
    <n v="0"/>
    <d v="2026-05-29T00:00:00"/>
    <n v="2026"/>
    <n v="5"/>
    <n v="22"/>
    <n v="33"/>
    <n v="660"/>
    <s v="White glazing"/>
    <s v="AEM"/>
  </r>
  <r>
    <s v="26Feb013.03"/>
    <s v="Yixing"/>
    <s v="26Feb013"/>
    <s v="CORE DG"/>
    <x v="1"/>
    <s v="SPTN Offstore in Transit WH"/>
    <s v="CIF"/>
    <x v="25"/>
    <s v="U6"/>
    <x v="121"/>
    <s v="ES0126012800035"/>
    <m/>
    <s v="Yes"/>
    <d v="2026-03-30T00:00:00"/>
    <x v="1"/>
    <x v="67"/>
    <s v="TCL-MI555DT182-70NS"/>
    <s v="EVO2A"/>
    <s v="±1400mm"/>
    <n v="555"/>
    <n v="1320"/>
    <n v="0.73260000000000003"/>
    <n v="40"/>
    <n v="2"/>
    <x v="0"/>
    <s v="COMPLETED"/>
    <s v="W13-BW (3.24货好)"/>
    <d v="2026-03-27T00:00:00"/>
    <n v="13"/>
    <s v="POPV260330042"/>
    <m/>
    <s v="TBW SHANGHAI"/>
    <x v="1"/>
    <x v="2"/>
    <d v="2026-04-02T00:00:00"/>
    <d v="2026-04-04T00:00:00"/>
    <d v="2026-04-04T00:00:00"/>
    <d v="2026-05-14T00:00:00"/>
    <d v="2026-05-22T00:00:00"/>
    <d v="2026-05-23T00:00:00"/>
    <s v="CIF"/>
    <s v="CMA CGM GRAND PALAIS _x000a_0MENFW1MA"/>
    <s v="COSCO"/>
    <s v="TPVB20260313006"/>
    <x v="232"/>
    <s v="COSU6447793110"/>
    <n v="49"/>
    <m/>
    <d v="2026-05-23T00:00:00"/>
    <s v="In Stock-Approved"/>
    <d v="2026-05-28T00:00:00"/>
    <n v="0"/>
    <d v="2026-05-23T00:00:00"/>
    <n v="2026"/>
    <n v="5"/>
    <n v="21"/>
    <n v="33"/>
    <n v="660"/>
    <s v="White glazing"/>
    <s v="AEM"/>
  </r>
  <r>
    <s v="26Feb019.02"/>
    <s v="Quzhou"/>
    <s v="26Feb019"/>
    <s v="CORE DG"/>
    <x v="1"/>
    <s v="SPTN Offstore in Transit WH"/>
    <s v="CIF"/>
    <x v="14"/>
    <s v="U1"/>
    <x v="122"/>
    <s v="PL0126031000016"/>
    <m/>
    <s v="Yes"/>
    <d v="2026-03-23T00:00:00"/>
    <x v="0"/>
    <x v="0"/>
    <s v="HSM-ND54-DR500"/>
    <s v="EVO2A"/>
    <s v="±1200mm"/>
    <n v="500"/>
    <n v="2592"/>
    <n v="1.296"/>
    <n v="72"/>
    <n v="3"/>
    <x v="0"/>
    <s v="COMPLETED"/>
    <s v="W13-BW (3,21货好)"/>
    <d v="2026-03-24T00:00:00"/>
    <n v="13"/>
    <s v="POPV260330010"/>
    <m/>
    <s v="Quzhou BW"/>
    <x v="1"/>
    <x v="9"/>
    <d v="2026-03-27T00:00:00"/>
    <d v="2026-03-28T00:00:00"/>
    <d v="2026-03-28T00:00:00"/>
    <d v="2026-05-30T00:00:00"/>
    <d v="2026-05-30T00:00:00"/>
    <d v="2026-06-01T00:00:00"/>
    <s v="CIF"/>
    <s v="HANOI EXPRESS 613W"/>
    <s v="OTHER"/>
    <s v="TPVB20260313008"/>
    <x v="233"/>
    <n v="267777421"/>
    <n v="65"/>
    <m/>
    <d v="2026-06-01T00:00:00"/>
    <s v="In Stock-Approved"/>
    <d v="2026-06-12T00:00:00"/>
    <n v="0"/>
    <d v="2026-06-01T00:00:00"/>
    <n v="2026"/>
    <n v="6"/>
    <n v="23"/>
    <n v="36"/>
    <n v="864"/>
    <s v="Black glazing"/>
    <s v="AEU"/>
  </r>
  <r>
    <s v="26Feb019.04"/>
    <s v="Quzhou"/>
    <s v="26Feb019"/>
    <s v="CORE DG"/>
    <x v="1"/>
    <s v="SPTN Offstore in Transit WH"/>
    <s v="CIF"/>
    <x v="14"/>
    <s v="U1"/>
    <x v="122"/>
    <s v="PL0126031000016"/>
    <m/>
    <s v="Yes"/>
    <d v="2026-03-23T00:00:00"/>
    <x v="0"/>
    <x v="0"/>
    <s v="HSM-ND54-DR500"/>
    <s v="EVO2A"/>
    <s v="±1200mm"/>
    <n v="500"/>
    <n v="1728"/>
    <n v="0.86399999999999999"/>
    <n v="48"/>
    <n v="2"/>
    <x v="0"/>
    <s v="COMPLETED"/>
    <s v="W13-BW (3,21货好)"/>
    <d v="2026-03-24T00:00:00"/>
    <n v="13"/>
    <s v="POPV260330009"/>
    <m/>
    <s v="Quzhou BW"/>
    <x v="1"/>
    <x v="9"/>
    <d v="2026-03-27T00:00:00"/>
    <d v="2026-03-28T00:00:00"/>
    <d v="2026-03-28T00:00:00"/>
    <d v="2026-05-30T00:00:00"/>
    <d v="2026-05-30T00:00:00"/>
    <d v="2026-06-01T00:00:00"/>
    <s v="CIF"/>
    <s v="HANOI EXPRESS 613W"/>
    <s v="OTHER"/>
    <s v="TPVB20260313008"/>
    <x v="233"/>
    <n v="267777421"/>
    <n v="65"/>
    <m/>
    <d v="2026-06-01T00:00:00"/>
    <s v="In Stock-Approved"/>
    <d v="2026-06-12T00:00:00"/>
    <n v="0"/>
    <d v="2026-06-01T00:00:00"/>
    <n v="2026"/>
    <n v="6"/>
    <n v="23"/>
    <n v="36"/>
    <n v="864"/>
    <s v="Black glazing"/>
    <s v="AEU"/>
  </r>
  <r>
    <s v="26Feb022.04"/>
    <s v="Tianjin"/>
    <s v="26Feb022"/>
    <s v="CORE DG"/>
    <x v="0"/>
    <s v="Arrival Plan-SPTN"/>
    <s v="CIF"/>
    <x v="0"/>
    <s v="U6"/>
    <x v="2"/>
    <m/>
    <m/>
    <s v="n/a"/>
    <d v="2026-03-23T00:00:00"/>
    <x v="0"/>
    <x v="8"/>
    <s v="HSM-ND48-DR455_CFP"/>
    <s v="EVO2A"/>
    <s v="±1200mm"/>
    <n v="455"/>
    <n v="936"/>
    <n v="0.42587999999999998"/>
    <n v="26"/>
    <n v="1"/>
    <x v="1"/>
    <s v="COMPLETED"/>
    <m/>
    <d v="2026-03-25T00:00:00"/>
    <n v="13"/>
    <s v="POPV260330008"/>
    <m/>
    <s v="TIANJIN BW"/>
    <x v="0"/>
    <x v="0"/>
    <d v="2026-03-29T00:00:00"/>
    <d v="2026-03-29T00:00:00"/>
    <d v="2026-03-29T00:00:00"/>
    <d v="2026-05-26T00:00:00"/>
    <d v="2026-06-17T00:00:00"/>
    <d v="2026-06-18T00:00:00"/>
    <s v="CIF"/>
    <s v="COSCO SHIPPING CAPRICORN 040W"/>
    <s v="COSCO"/>
    <s v="TPVB20260313007"/>
    <x v="234"/>
    <s v="COSU9506569240"/>
    <n v="81"/>
    <m/>
    <d v="2026-06-18T00:00:00"/>
    <s v="In Stock-Approved"/>
    <d v="2026-07-02T00:00:00"/>
    <n v="8"/>
    <d v="2026-06-26T00:00:00"/>
    <n v="2026"/>
    <n v="6"/>
    <n v="26"/>
    <n v="36"/>
    <n v="936"/>
    <s v="Transparent"/>
    <s v="AEM"/>
  </r>
  <r>
    <s v="26Feb021.06"/>
    <s v="Tianjin"/>
    <s v="26Feb021"/>
    <s v="CORE DG"/>
    <x v="0"/>
    <s v="Arrival Plan-SPTN"/>
    <s v="CIF"/>
    <x v="0"/>
    <s v="U6"/>
    <x v="2"/>
    <m/>
    <m/>
    <s v="n/a"/>
    <d v="2026-03-23T00:00:00"/>
    <x v="0"/>
    <x v="1"/>
    <s v="HSM-ND48-DR450_CFP"/>
    <s v="EVO2A"/>
    <s v="±1200mm"/>
    <n v="450"/>
    <n v="936"/>
    <n v="0.42120000000000002"/>
    <n v="26"/>
    <n v="1"/>
    <x v="1"/>
    <s v="COMPLETED"/>
    <s v="W13-BW (3.24货好)"/>
    <d v="2026-03-25T00:00:00"/>
    <n v="13"/>
    <s v="POPV260330007"/>
    <m/>
    <s v="TIANJIN BW"/>
    <x v="0"/>
    <x v="0"/>
    <d v="2026-03-29T00:00:00"/>
    <d v="2026-03-29T00:00:00"/>
    <d v="2026-03-29T00:00:00"/>
    <d v="2026-05-26T00:00:00"/>
    <d v="2026-06-17T00:00:00"/>
    <d v="2026-06-18T00:00:00"/>
    <s v="CIF"/>
    <s v="COSCO SHIPPING CAPRICORN 040W"/>
    <s v="COSCO"/>
    <s v="TPVB20260313007"/>
    <x v="234"/>
    <s v="COSU9506569240"/>
    <n v="81"/>
    <m/>
    <d v="2026-06-18T00:00:00"/>
    <s v="In Stock-Approved"/>
    <d v="2026-07-02T00:00:00"/>
    <n v="8"/>
    <d v="2026-06-26T00:00:00"/>
    <n v="2026"/>
    <n v="6"/>
    <n v="26"/>
    <n v="36"/>
    <n v="936"/>
    <s v="Transparent"/>
    <s v="AEM"/>
  </r>
  <r>
    <s v="26Feb019.14"/>
    <s v="Quzhou"/>
    <s v="26Feb019"/>
    <s v="CORE DG"/>
    <x v="1"/>
    <s v="SPTN Offstore in Transit WH"/>
    <s v="CIF"/>
    <x v="12"/>
    <s v="U1"/>
    <x v="111"/>
    <s v="PL0126031000017"/>
    <m/>
    <s v="Yes"/>
    <d v="2026-03-09T00:00:00"/>
    <x v="0"/>
    <x v="0"/>
    <s v="HSM-ND54-DR500"/>
    <s v="EVO2A"/>
    <s v="±1200mm"/>
    <n v="500"/>
    <n v="2592"/>
    <n v="1.296"/>
    <n v="72"/>
    <n v="3"/>
    <x v="0"/>
    <s v="COMPLETED"/>
    <s v="W12(3.19/20起)"/>
    <d v="2026-04-05T00:00:00"/>
    <n v="14"/>
    <s v="POPV260403017"/>
    <m/>
    <s v="Quzhou BW"/>
    <x v="1"/>
    <x v="9"/>
    <d v="2026-04-08T00:00:00"/>
    <d v="2026-04-08T00:00:00"/>
    <d v="2026-04-08T00:00:00"/>
    <d v="2026-05-27T00:00:00"/>
    <d v="2026-05-27T00:00:00"/>
    <d v="2026-05-27T00:00:00"/>
    <s v="CIF"/>
    <s v="OOCL PIRAEUS 011W"/>
    <s v="COSCO"/>
    <s v="TPVB20260314004"/>
    <x v="235"/>
    <s v="COSU6448848280"/>
    <n v="49"/>
    <m/>
    <d v="2026-05-27T00:00:00"/>
    <s v="In Stock-Approved"/>
    <d v="2026-06-10T00:00:00"/>
    <n v="0"/>
    <d v="2026-05-27T00:00:00"/>
    <n v="2026"/>
    <n v="5"/>
    <n v="22"/>
    <n v="36"/>
    <n v="864"/>
    <s v="Black glazing"/>
    <s v="AEU"/>
  </r>
  <r>
    <s v="26Feb020.14"/>
    <s v="Quzhou"/>
    <s v="26Feb020"/>
    <s v="CORE DG"/>
    <x v="0"/>
    <s v="Arrival Plan-SPUK"/>
    <s v="CIF"/>
    <x v="6"/>
    <s v="U1"/>
    <x v="118"/>
    <m/>
    <m/>
    <s v="n/a"/>
    <d v="2026-03-23T00:00:00"/>
    <x v="0"/>
    <x v="43"/>
    <s v="HSM-ND54-DR505"/>
    <s v="EVO2A"/>
    <s v="±1200mm"/>
    <n v="505"/>
    <n v="1728"/>
    <n v="0.87263999999999997"/>
    <n v="48"/>
    <n v="2"/>
    <x v="0"/>
    <s v="COMPLETED"/>
    <s v="? W12 (3.16/17)"/>
    <d v="2026-04-03T00:00:00"/>
    <n v="14"/>
    <s v="POPV260403014"/>
    <m/>
    <s v="Quzhou BW"/>
    <x v="1"/>
    <x v="6"/>
    <d v="2026-04-06T00:00:00"/>
    <d v="2026-04-06T00:00:00"/>
    <d v="2026-04-07T00:00:00"/>
    <d v="2026-05-13T00:00:00"/>
    <d v="2026-05-24T00:00:00"/>
    <d v="2026-05-25T00:00:00"/>
    <s v="CIF"/>
    <s v="EVER ARM 1395-015W"/>
    <s v="COSCO"/>
    <s v="TPVB20260314005"/>
    <x v="236"/>
    <s v="COSU6448849620"/>
    <n v="48"/>
    <m/>
    <d v="2026-05-25T00:00:00"/>
    <s v="In Stock-Approved"/>
    <d v="2026-06-08T00:00:00"/>
    <n v="7"/>
    <d v="2026-06-01T00:00:00"/>
    <n v="2026"/>
    <n v="6"/>
    <n v="23"/>
    <n v="36"/>
    <n v="864"/>
    <s v="Black glazing"/>
    <s v="AEU"/>
  </r>
  <r>
    <s v="26Feb034.10"/>
    <s v="Guangde广德市"/>
    <s v="26Feb034"/>
    <s v="UPP"/>
    <x v="1"/>
    <s v="SPTN Offstore in Transit WH"/>
    <s v="CIF"/>
    <x v="23"/>
    <s v="U3"/>
    <x v="119"/>
    <s v="AT0126030200004"/>
    <m/>
    <s v="Yes"/>
    <d v="2026-03-16T00:00:00"/>
    <x v="0"/>
    <x v="65"/>
    <s v="HSM-ND66-GK720"/>
    <s v="H4(Com)"/>
    <s v="+400mm/-200mm"/>
    <n v="720"/>
    <n v="1782"/>
    <n v="1.28304"/>
    <n v="54"/>
    <n v="3"/>
    <x v="0"/>
    <s v="COMPLETED"/>
    <s v="W12 (3.19/20)"/>
    <d v="2026-04-03T00:00:00"/>
    <n v="14"/>
    <s v="POPV260403006"/>
    <m/>
    <s v="SHANGHAI BW"/>
    <x v="1"/>
    <x v="1"/>
    <d v="2026-04-06T00:00:00"/>
    <d v="2026-04-07T00:00:00"/>
    <d v="2026-04-07T00:00:00"/>
    <d v="2026-05-13T00:00:00"/>
    <d v="2026-05-21T00:00:00"/>
    <d v="2026-05-21T00:00:00"/>
    <s v="CIF"/>
    <s v="EVER ARM 1395-015W"/>
    <s v="COSCO"/>
    <s v="TPVB20260314006"/>
    <x v="237"/>
    <s v="COSU6448849380"/>
    <n v="44"/>
    <m/>
    <d v="2026-05-21T00:00:00"/>
    <s v="In Stock-Approved"/>
    <d v="2026-05-13T00:00:00"/>
    <n v="0"/>
    <d v="2026-05-21T00:00:00"/>
    <n v="2026"/>
    <n v="5"/>
    <n v="21"/>
    <n v="33"/>
    <n v="594"/>
    <s v="Transparent"/>
    <s v="AEU"/>
  </r>
  <r>
    <s v="26Feb034.11"/>
    <s v="Guangde广德市"/>
    <s v="26Feb034"/>
    <s v="UPP"/>
    <x v="1"/>
    <s v="SPTN Offstore in Transit WH"/>
    <s v="CIF"/>
    <x v="23"/>
    <s v="U3"/>
    <x v="123"/>
    <s v="AT0126030200004"/>
    <m/>
    <s v="Yes"/>
    <d v="2026-03-23T00:00:00"/>
    <x v="0"/>
    <x v="65"/>
    <s v="HSM-ND66-GK720"/>
    <s v="H4(Com)"/>
    <s v="+400mm/-200mm"/>
    <n v="720"/>
    <n v="3564"/>
    <n v="2.5660799999999999"/>
    <n v="108"/>
    <n v="6"/>
    <x v="0"/>
    <s v="COMPLETED"/>
    <s v="W13-BW (3.21/22)"/>
    <d v="2026-04-02T00:00:00"/>
    <n v="14"/>
    <s v="POPV260403015"/>
    <m/>
    <s v="SHANGHAI BW"/>
    <x v="1"/>
    <x v="1"/>
    <d v="2026-04-05T00:00:00"/>
    <d v="2026-04-06T00:00:00"/>
    <d v="2026-04-06T00:00:00"/>
    <d v="2026-05-12T00:00:00"/>
    <d v="2026-05-22T00:00:00"/>
    <d v="2026-05-22T00:00:00"/>
    <s v="CIF"/>
    <s v="COSCO SHIPPING CAPRICORN  040W"/>
    <s v="COSCO"/>
    <s v="TPVB20260314007"/>
    <x v="238"/>
    <s v="COSU6448848980"/>
    <n v="46"/>
    <m/>
    <d v="2026-05-22T00:00:00"/>
    <s v="In Stock-Approved"/>
    <d v="2026-05-12T00:00:00"/>
    <n v="0"/>
    <d v="2026-05-22T00:00:00"/>
    <n v="2026"/>
    <n v="5"/>
    <n v="21"/>
    <n v="33"/>
    <n v="594"/>
    <s v="Transparent"/>
    <s v="AEU"/>
  </r>
  <r>
    <s v="26Feb034.13"/>
    <s v="Guangde广德市"/>
    <s v="26Feb034"/>
    <s v="UPP"/>
    <x v="1"/>
    <s v="SPTN Offstore in Transit WH"/>
    <s v="CIF"/>
    <x v="23"/>
    <s v="U3"/>
    <x v="124"/>
    <s v="AT0126030200004"/>
    <m/>
    <s v="Yes"/>
    <d v="2026-03-23T00:00:00"/>
    <x v="0"/>
    <x v="65"/>
    <s v="HSM-ND66-GK720"/>
    <s v="H4(Com)"/>
    <s v="+400mm/-200mm"/>
    <n v="720"/>
    <n v="1188"/>
    <n v="0.85536000000000001"/>
    <n v="36"/>
    <n v="2"/>
    <x v="0"/>
    <s v="COMPLETED"/>
    <s v="W13-BW (3.21/22)"/>
    <d v="2026-04-02T00:00:00"/>
    <n v="14"/>
    <s v="POPV260403016"/>
    <m/>
    <s v="SHANGHAI BW"/>
    <x v="1"/>
    <x v="1"/>
    <d v="2026-04-05T00:00:00"/>
    <d v="2026-04-06T00:00:00"/>
    <d v="2026-04-06T00:00:00"/>
    <d v="2026-05-12T00:00:00"/>
    <d v="2026-05-22T00:00:00"/>
    <d v="2026-05-22T00:00:00"/>
    <s v="CIF"/>
    <s v="COSCO SHIPPING CAPRICORN  040W"/>
    <s v="COSCO"/>
    <s v="TPVB20260314009"/>
    <x v="239"/>
    <s v="COSU6448848660"/>
    <n v="46"/>
    <m/>
    <d v="2026-05-22T00:00:00"/>
    <s v="In Stock-Approved"/>
    <d v="2026-05-12T00:00:00"/>
    <n v="0"/>
    <d v="2026-05-22T00:00:00"/>
    <n v="2026"/>
    <n v="5"/>
    <n v="21"/>
    <n v="33"/>
    <n v="594"/>
    <s v="Transparent"/>
    <s v="AEU"/>
  </r>
  <r>
    <s v="26Feb034.08"/>
    <s v="Guangde广德市"/>
    <s v="26Feb034"/>
    <s v="UPP"/>
    <x v="1"/>
    <s v="SPTN Offstore in Transit WH"/>
    <s v="CIF"/>
    <x v="23"/>
    <s v="U3"/>
    <x v="123"/>
    <s v="AT0126030200004"/>
    <m/>
    <s v="Yes"/>
    <d v="2026-03-23T00:00:00"/>
    <x v="0"/>
    <x v="65"/>
    <s v="HSM-ND66-GK720"/>
    <s v="H4(Com)"/>
    <s v="+400mm/-200mm"/>
    <n v="720"/>
    <n v="1782"/>
    <n v="1.28304"/>
    <n v="54"/>
    <n v="3"/>
    <x v="0"/>
    <s v="COMPLETED"/>
    <s v="W13-BW (3.21/22)"/>
    <d v="2026-04-02T00:00:00"/>
    <n v="14"/>
    <s v="POPV260403018"/>
    <m/>
    <s v="SHANGHAI BW"/>
    <x v="1"/>
    <x v="1"/>
    <d v="2026-04-05T00:00:00"/>
    <d v="2026-04-06T00:00:00"/>
    <d v="2026-04-06T00:00:00"/>
    <d v="2026-05-12T00:00:00"/>
    <d v="2026-05-22T00:00:00"/>
    <d v="2026-05-22T00:00:00"/>
    <s v="CIF"/>
    <s v="COSCO SHIPPING CAPRICORN  040W"/>
    <s v="COSCO"/>
    <s v="TPVB20260314009"/>
    <x v="239"/>
    <s v="COSU6448848660"/>
    <n v="46"/>
    <m/>
    <d v="2026-05-22T00:00:00"/>
    <s v="In Stock-Approved"/>
    <d v="2026-05-26T00:00:00"/>
    <n v="0"/>
    <d v="2026-05-22T00:00:00"/>
    <n v="2026"/>
    <n v="5"/>
    <n v="21"/>
    <n v="33"/>
    <n v="594"/>
    <s v="Transparent"/>
    <s v="AEU"/>
  </r>
  <r>
    <s v="26Feb034.12"/>
    <s v="Guangde广德市"/>
    <s v="26Feb034"/>
    <s v="UPP"/>
    <x v="1"/>
    <s v="SPTN Offstore in Transit WH"/>
    <s v="CIF"/>
    <x v="23"/>
    <s v="U3"/>
    <x v="124"/>
    <s v="AT0126030200004"/>
    <m/>
    <s v="Yes"/>
    <d v="2026-03-23T00:00:00"/>
    <x v="0"/>
    <x v="65"/>
    <s v="HSM-ND66-GK720"/>
    <s v="H4(Com)"/>
    <s v="+400mm/-200mm"/>
    <n v="720"/>
    <n v="594"/>
    <n v="0.42768"/>
    <n v="18"/>
    <n v="1"/>
    <x v="0"/>
    <s v="COMPLETED"/>
    <s v="W13-BW (3.21/22)"/>
    <d v="2026-04-01T00:00:00"/>
    <n v="14"/>
    <s v="POPV260403019"/>
    <m/>
    <s v="SHANGHAI BW"/>
    <x v="1"/>
    <x v="1"/>
    <d v="2026-04-04T00:00:00"/>
    <d v="2026-04-05T00:00:00"/>
    <d v="2026-04-05T00:00:00"/>
    <d v="2026-05-16T00:00:00"/>
    <d v="2026-05-17T00:00:00"/>
    <d v="2026-05-17T00:00:00"/>
    <s v="CIF"/>
    <s v="CMA CGM VENDOME 0FMGHW1MA"/>
    <s v="COSCO"/>
    <s v="TPVB20260314008"/>
    <x v="240"/>
    <s v="COSU6448849830"/>
    <n v="42"/>
    <m/>
    <d v="2026-05-17T00:00:00"/>
    <s v="In Stock-Approved"/>
    <d v="2026-05-15T00:00:00"/>
    <n v="0"/>
    <d v="2026-05-17T00:00:00"/>
    <n v="2026"/>
    <n v="5"/>
    <n v="20"/>
    <n v="33"/>
    <n v="594"/>
    <s v="Transparent"/>
    <s v="AEU"/>
  </r>
  <r>
    <s v="26Feb006.04"/>
    <s v="Yixing"/>
    <s v="26Feb006"/>
    <s v="CORE DG"/>
    <x v="0"/>
    <s v="Arrival Plan-SPIT"/>
    <s v="CIF"/>
    <x v="4"/>
    <s v="U2"/>
    <x v="2"/>
    <m/>
    <m/>
    <s v="n/a"/>
    <d v="2026-03-30T00:00:00"/>
    <x v="2"/>
    <x v="68"/>
    <s v="SPR-P7-560-COM-S"/>
    <s v="EVO2A"/>
    <s v="±1400mm"/>
    <n v="560"/>
    <n v="3300"/>
    <n v="1.8480000000000001"/>
    <n v="100"/>
    <n v="5"/>
    <x v="0"/>
    <s v="COMPLETED"/>
    <m/>
    <d v="2026-04-01T00:00:00"/>
    <n v="14"/>
    <s v="POPV260403005"/>
    <m/>
    <s v="SHANGHAI BW"/>
    <x v="1"/>
    <x v="4"/>
    <d v="2026-04-03T00:00:00"/>
    <d v="2026-04-07T00:00:00"/>
    <d v="2026-04-07T00:00:00"/>
    <d v="2026-05-20T00:00:00"/>
    <d v="2026-05-27T00:00:00"/>
    <d v="2026-05-27T00:00:00"/>
    <s v="CIF"/>
    <s v="COSCO SHIPPING NEBULA 032W"/>
    <s v="COSCO"/>
    <s v="TPVB20260314010"/>
    <x v="241"/>
    <s v="COSU6448850610"/>
    <n v="50"/>
    <m/>
    <d v="2026-05-27T00:00:00"/>
    <s v="In Stock-Approved"/>
    <d v="2026-06-10T00:00:00"/>
    <n v="10"/>
    <d v="2026-06-06T00:00:00"/>
    <n v="2026"/>
    <n v="6"/>
    <n v="23"/>
    <n v="33"/>
    <n v="660"/>
    <s v="White glazing"/>
    <s v="AEM"/>
  </r>
  <r>
    <s v="26Feb005.06"/>
    <s v="Yixing"/>
    <s v="26Feb005"/>
    <s v="CORE DG"/>
    <x v="0"/>
    <s v="Arrival Plan-SPIT"/>
    <s v="CIF"/>
    <x v="4"/>
    <s v="U4"/>
    <x v="2"/>
    <m/>
    <m/>
    <s v="n/a"/>
    <d v="2026-03-30T00:00:00"/>
    <x v="2"/>
    <x v="5"/>
    <s v="SPR-P7-555-COM-S"/>
    <s v="EVO2A"/>
    <s v="±1400mm"/>
    <n v="555"/>
    <n v="1980"/>
    <n v="1.0989"/>
    <n v="60"/>
    <n v="3"/>
    <x v="0"/>
    <s v="COMPLETED"/>
    <m/>
    <d v="2026-04-01T00:00:00"/>
    <n v="14"/>
    <s v="POPV260403003"/>
    <m/>
    <s v="SHANGHAI BW"/>
    <x v="1"/>
    <x v="4"/>
    <d v="2026-04-03T00:00:00"/>
    <d v="2026-04-07T00:00:00"/>
    <d v="2026-04-07T00:00:00"/>
    <d v="2026-05-20T00:00:00"/>
    <d v="2026-05-27T00:00:00"/>
    <d v="2026-05-27T00:00:00"/>
    <s v="CIF"/>
    <s v="COSCO SHIPPING NEBULA 032W"/>
    <s v="COSCO"/>
    <s v="TPVB20260314010"/>
    <x v="241"/>
    <s v="COSU6448850610"/>
    <n v="50"/>
    <m/>
    <d v="2026-05-27T00:00:00"/>
    <s v="In Stock-Approved"/>
    <d v="2026-06-10T00:00:00"/>
    <n v="10"/>
    <d v="2026-06-06T00:00:00"/>
    <n v="2026"/>
    <n v="6"/>
    <n v="23"/>
    <n v="33"/>
    <n v="660"/>
    <s v="White glazing"/>
    <s v="AEM"/>
  </r>
  <r>
    <s v="26Feb006.01"/>
    <s v="Yixing"/>
    <s v="26Feb006"/>
    <s v="CORE DG"/>
    <x v="0"/>
    <s v="Arrival Plan-SPIT"/>
    <s v="CIF"/>
    <x v="4"/>
    <s v="U2"/>
    <x v="2"/>
    <m/>
    <m/>
    <s v="n/a"/>
    <d v="2026-03-30T00:00:00"/>
    <x v="2"/>
    <x v="68"/>
    <s v="SPR-P7-560-COM-S"/>
    <s v="EVO2A"/>
    <s v="±1400mm"/>
    <n v="560"/>
    <n v="5940"/>
    <n v="3.3264"/>
    <n v="180"/>
    <n v="9"/>
    <x v="0"/>
    <s v="COMPLETED"/>
    <s v="W14-BW (3.29货好)"/>
    <d v="2026-04-01T00:00:00"/>
    <n v="14"/>
    <s v="POPV260403004"/>
    <m/>
    <s v="SHANGHAI BW"/>
    <x v="1"/>
    <x v="4"/>
    <d v="2026-04-04T00:00:00"/>
    <d v="2026-04-07T00:00:00"/>
    <d v="2026-04-07T00:00:00"/>
    <d v="2026-05-20T00:00:00"/>
    <d v="2026-05-27T00:00:00"/>
    <d v="2026-05-27T00:00:00"/>
    <s v="CIF"/>
    <s v="COSCO SHIPPING NEBULA 032W"/>
    <s v="COSCO"/>
    <s v="TPVB20260314011"/>
    <x v="242"/>
    <s v="COSU6448850290"/>
    <n v="50"/>
    <m/>
    <d v="2026-05-27T00:00:00"/>
    <s v="In Stock-Approved"/>
    <d v="2026-06-10T00:00:00"/>
    <n v="10"/>
    <d v="2026-06-06T00:00:00"/>
    <n v="2026"/>
    <n v="6"/>
    <n v="23"/>
    <n v="33"/>
    <n v="660"/>
    <s v="White glazing"/>
    <s v="AEM"/>
  </r>
  <r>
    <s v="26Feb006.03"/>
    <s v="Yixing"/>
    <s v="26Feb006"/>
    <s v="CORE DG"/>
    <x v="0"/>
    <s v="Arrival Plan-SPTN"/>
    <s v="CIF"/>
    <x v="0"/>
    <s v="U2"/>
    <x v="0"/>
    <m/>
    <m/>
    <s v="n/a"/>
    <d v="2026-03-30T00:00:00"/>
    <x v="2"/>
    <x v="68"/>
    <s v="SPR-P7-560-COM-S"/>
    <s v="EVO2A"/>
    <s v="±1400mm"/>
    <n v="560"/>
    <n v="3267"/>
    <n v="1.82952"/>
    <n v="99"/>
    <n v="4.95"/>
    <x v="0"/>
    <s v="COMPLETED"/>
    <s v="W14-BW (3.27货好)"/>
    <d v="2026-04-04T00:00:00"/>
    <n v="14"/>
    <s v="POPV260414035"/>
    <m/>
    <s v="SHANGHAI BW"/>
    <x v="1"/>
    <x v="0"/>
    <d v="2026-04-07T00:00:00"/>
    <d v="2026-04-08T00:00:00"/>
    <d v="2026-04-08T00:00:00"/>
    <d v="2026-05-26T00:00:00"/>
    <d v="2026-05-24T00:00:00"/>
    <d v="2026-05-22T00:00:00"/>
    <s v="CIF"/>
    <s v="CMA CGM GREENLAND 0MENHW1MA"/>
    <s v="COSCO"/>
    <s v="TPVB20260314012"/>
    <x v="243"/>
    <s v="COSU6448851110"/>
    <n v="44"/>
    <m/>
    <d v="2026-05-22T00:00:00"/>
    <s v="In Stock-Approved"/>
    <d v="2026-06-05T00:00:00"/>
    <n v="8"/>
    <d v="2026-05-30T00:00:00"/>
    <n v="2026"/>
    <n v="5"/>
    <n v="22"/>
    <n v="33"/>
    <n v="660"/>
    <s v="White glazing"/>
    <s v="AEM"/>
  </r>
  <r>
    <s v="26Feb005.03"/>
    <s v="Yixing"/>
    <s v="26Feb005"/>
    <s v="CORE DG"/>
    <x v="0"/>
    <s v="Arrival Plan-SPIT"/>
    <s v="CIF"/>
    <x v="4"/>
    <s v="U4"/>
    <x v="2"/>
    <m/>
    <m/>
    <s v="n/a"/>
    <d v="2026-03-30T00:00:00"/>
    <x v="2"/>
    <x v="5"/>
    <s v="SPR-P7-555-COM-S"/>
    <s v="EVO2A"/>
    <s v="±1400mm"/>
    <n v="555"/>
    <n v="3300"/>
    <n v="1.8314999999999999"/>
    <n v="100"/>
    <n v="5"/>
    <x v="1"/>
    <s v="COMPLETED"/>
    <s v="W14- (4.3货好)"/>
    <d v="2026-04-05T00:00:00"/>
    <n v="14"/>
    <s v="POPV260413025"/>
    <m/>
    <s v="SHANGHAI NTR"/>
    <x v="1"/>
    <x v="14"/>
    <d v="2026-04-12T00:00:00"/>
    <d v="2026-04-13T00:00:00"/>
    <d v="2026-04-13T00:00:00"/>
    <d v="2026-05-25T00:00:00"/>
    <d v="2026-06-09T00:00:00"/>
    <d v="2026-06-09T00:00:00"/>
    <s v="CIF"/>
    <s v="CSCL URANUS 108W"/>
    <s v="COSCO"/>
    <s v="TPVB20260314013"/>
    <x v="244"/>
    <s v="COSU6449453200"/>
    <n v="57"/>
    <m/>
    <d v="2026-06-09T00:00:00"/>
    <s v="In Stock-Approved"/>
    <d v="2026-06-29T00:00:00"/>
    <n v="10"/>
    <d v="2026-06-19T00:00:00"/>
    <n v="2026"/>
    <n v="6"/>
    <n v="25"/>
    <n v="33"/>
    <n v="660"/>
    <s v="White glazing"/>
    <s v="AEM"/>
  </r>
  <r>
    <s v="26Feb022.06"/>
    <s v="Tianjin"/>
    <s v="26Feb022"/>
    <s v="CORE DG"/>
    <x v="0"/>
    <s v="Arrival Plan-SPTN"/>
    <s v="CIF"/>
    <x v="0"/>
    <s v="U5"/>
    <x v="2"/>
    <m/>
    <m/>
    <s v="n/a"/>
    <d v="2026-03-30T00:00:00"/>
    <x v="0"/>
    <x v="8"/>
    <s v="HSM-ND48-DR455_CFP"/>
    <s v="EVO2A"/>
    <s v="±1200mm"/>
    <n v="455"/>
    <n v="1872"/>
    <n v="0.85175999999999996"/>
    <n v="52"/>
    <n v="2"/>
    <x v="0"/>
    <s v="COMPLETED"/>
    <s v="W13-BW (3.22货好)"/>
    <d v="2026-03-30T00:00:00"/>
    <n v="14"/>
    <s v="POPV260403013"/>
    <m/>
    <s v="TIANJIN BW"/>
    <x v="0"/>
    <x v="0"/>
    <d v="2026-04-04T00:00:00"/>
    <d v="2026-04-04T00:00:00"/>
    <d v="2026-04-05T00:00:00"/>
    <d v="2026-06-08T00:00:00"/>
    <d v="2026-05-29T00:00:00"/>
    <d v="2026-06-02T00:00:00"/>
    <s v="CIF"/>
    <s v="COSCO SHIPPING VIRGO 035W"/>
    <s v="COSCO"/>
    <s v="TPVB20260314001"/>
    <x v="245"/>
    <s v="COSU9506626340"/>
    <n v="58"/>
    <m/>
    <d v="2026-06-02T00:00:00"/>
    <s v="In Stock-Approved"/>
    <d v="2026-06-15T00:00:00"/>
    <n v="8"/>
    <d v="2026-06-10T00:00:00"/>
    <n v="2026"/>
    <n v="6"/>
    <n v="24"/>
    <n v="36"/>
    <n v="936"/>
    <s v="Transparent"/>
    <s v="AEM"/>
  </r>
  <r>
    <s v="26Feb022.07"/>
    <s v="Tianjin"/>
    <s v="26Feb022"/>
    <s v="CORE DG"/>
    <x v="0"/>
    <s v="Arrival Plan-SPTN"/>
    <s v="CIF"/>
    <x v="0"/>
    <s v="U5"/>
    <x v="2"/>
    <m/>
    <m/>
    <s v="n/a"/>
    <d v="2026-03-30T00:00:00"/>
    <x v="0"/>
    <x v="8"/>
    <s v="HSM-ND48-DR455_CFP"/>
    <s v="EVO2A"/>
    <s v="±1200mm"/>
    <n v="455"/>
    <n v="3744"/>
    <n v="1.7035199999999999"/>
    <n v="104"/>
    <n v="4"/>
    <x v="0"/>
    <s v="COMPLETED"/>
    <s v="W13-BW (3.22货好)"/>
    <d v="2026-03-30T00:00:00"/>
    <n v="14"/>
    <s v="POPV260403012"/>
    <m/>
    <s v="TIANJIN BW"/>
    <x v="0"/>
    <x v="0"/>
    <d v="2026-04-04T00:00:00"/>
    <d v="2026-04-04T00:00:00"/>
    <d v="2026-04-05T00:00:00"/>
    <d v="2026-06-08T00:00:00"/>
    <d v="2026-06-08T00:00:00"/>
    <d v="2026-06-06T00:00:00"/>
    <s v="CIF"/>
    <s v="COSCO SHIPPING VIRGO 035W"/>
    <s v="COSCO"/>
    <s v="TPVB20260314002"/>
    <x v="246"/>
    <s v="COSU9506626360"/>
    <n v="62"/>
    <m/>
    <d v="2026-06-06T00:00:00"/>
    <s v="In Stock-Approved"/>
    <d v="2026-06-19T00:00:00"/>
    <n v="8"/>
    <d v="2026-06-14T00:00:00"/>
    <n v="2026"/>
    <n v="6"/>
    <n v="24"/>
    <n v="36"/>
    <n v="936"/>
    <s v="Transparent"/>
    <s v="AEM"/>
  </r>
  <r>
    <s v="26Feb021.03"/>
    <s v="Tianjin"/>
    <s v="26Feb021"/>
    <s v="CORE DG"/>
    <x v="0"/>
    <s v="Arrival Plan-SPTN"/>
    <s v="CIF"/>
    <x v="0"/>
    <s v="U2"/>
    <x v="2"/>
    <m/>
    <m/>
    <s v="n/a"/>
    <d v="2026-03-30T00:00:00"/>
    <x v="0"/>
    <x v="1"/>
    <s v="HSM-ND48-DR450_CFP"/>
    <s v="EVO2A"/>
    <s v="±1200mm"/>
    <n v="450"/>
    <n v="936"/>
    <n v="0.42120000000000002"/>
    <n v="26"/>
    <n v="1"/>
    <x v="0"/>
    <s v="COMPLETED"/>
    <s v="W14-BW (3.27货好)"/>
    <d v="2026-03-30T00:00:00"/>
    <n v="14"/>
    <s v="POPV260403011"/>
    <m/>
    <s v="TIANJIN BW"/>
    <x v="0"/>
    <x v="5"/>
    <d v="2026-04-04T00:00:00"/>
    <d v="2026-04-04T00:00:00"/>
    <d v="2026-04-05T00:00:00"/>
    <d v="2026-05-26T00:00:00"/>
    <d v="2026-05-28T00:00:00"/>
    <d v="2026-05-28T00:00:00"/>
    <s v="CIF"/>
    <s v="COSCO SHIPPING VIRGO 035W"/>
    <s v="COSCO"/>
    <s v="TPVB20260314003"/>
    <x v="247"/>
    <s v="COSU6448648040"/>
    <n v="53"/>
    <m/>
    <d v="2026-05-28T00:00:00"/>
    <s v="In Stock-Approved"/>
    <d v="2026-06-11T00:00:00"/>
    <n v="10"/>
    <d v="2026-06-07T00:00:00"/>
    <n v="2026"/>
    <n v="6"/>
    <n v="23"/>
    <n v="36"/>
    <n v="936"/>
    <s v="Transparent"/>
    <s v="AEU"/>
  </r>
  <r>
    <s v="26Feb019.13"/>
    <s v="Quzhou"/>
    <s v="26Feb019"/>
    <s v="CORE DG"/>
    <x v="1"/>
    <s v="SPTN Offstore in Transit WH"/>
    <s v="CIF"/>
    <x v="12"/>
    <s v="U1"/>
    <x v="111"/>
    <s v="PL0126031000017"/>
    <m/>
    <s v="Yes"/>
    <d v="2026-03-09T00:00:00"/>
    <x v="0"/>
    <x v="0"/>
    <s v="HSM-ND54-DR500"/>
    <s v="EVO2A"/>
    <s v="±1200mm"/>
    <n v="500"/>
    <n v="3456"/>
    <n v="1.728"/>
    <n v="96"/>
    <n v="4"/>
    <x v="0"/>
    <s v="COMPLETED"/>
    <s v="W12(3.19/20起)"/>
    <d v="2026-04-06T00:00:00"/>
    <n v="15"/>
    <s v="POPV260410008"/>
    <m/>
    <s v="Quzhou BW"/>
    <x v="1"/>
    <x v="9"/>
    <d v="2026-04-11T00:00:00"/>
    <d v="2026-04-11T00:00:00"/>
    <d v="2026-04-11T00:00:00"/>
    <d v="2026-06-04T00:00:00"/>
    <d v="2026-06-01T00:00:00"/>
    <d v="2026-06-03T00:00:00"/>
    <s v="CIF"/>
    <s v="ONE INTEGRITY 009W"/>
    <s v="OTHER"/>
    <s v="TPVB20260415003"/>
    <x v="248"/>
    <s v="ONEYSH6FV6597400"/>
    <n v="53"/>
    <m/>
    <d v="2026-06-03T00:00:00"/>
    <s v="In Stock-Approved"/>
    <d v="2026-06-22T00:00:00"/>
    <n v="0"/>
    <d v="2026-06-03T00:00:00"/>
    <n v="2026"/>
    <n v="6"/>
    <n v="23"/>
    <n v="36"/>
    <n v="864"/>
    <s v="Black glazing"/>
    <s v="AEU"/>
  </r>
  <r>
    <s v="26Feb019.09"/>
    <s v="Quzhou"/>
    <s v="26Feb019"/>
    <s v="CORE DG"/>
    <x v="1"/>
    <s v="SPTN Offstore in Transit WH"/>
    <s v="CIF"/>
    <x v="12"/>
    <s v="U1"/>
    <x v="111"/>
    <s v="PL0126031100011"/>
    <m/>
    <s v="Yes"/>
    <d v="2026-03-09T00:00:00"/>
    <x v="0"/>
    <x v="0"/>
    <s v="HSM-ND54-DR500"/>
    <s v="EVO2A"/>
    <s v="±1200mm"/>
    <n v="500"/>
    <n v="4320"/>
    <n v="2.16"/>
    <n v="120"/>
    <n v="5"/>
    <x v="0"/>
    <s v="COMPLETED"/>
    <s v="W12(3.19/20起)"/>
    <d v="2026-04-06T00:00:00"/>
    <n v="15"/>
    <s v="POPV260410014"/>
    <m/>
    <s v="Quzhou BW"/>
    <x v="1"/>
    <x v="9"/>
    <d v="2026-04-11T00:00:00"/>
    <d v="2026-04-11T00:00:00"/>
    <d v="2026-04-11T00:00:00"/>
    <d v="2026-06-04T00:00:00"/>
    <d v="2026-06-01T00:00:00"/>
    <d v="2026-06-03T00:00:00"/>
    <s v="CIF"/>
    <s v="ONE INTEGRITY 009W"/>
    <s v="OTHER"/>
    <s v="TPVB20260415003"/>
    <x v="249"/>
    <s v="ONEYSH6FV6597400"/>
    <n v="53"/>
    <m/>
    <d v="2026-06-03T00:00:00"/>
    <s v="In Stock-Approved"/>
    <d v="2026-06-22T00:00:00"/>
    <n v="0"/>
    <d v="2026-06-03T00:00:00"/>
    <n v="2026"/>
    <n v="6"/>
    <n v="23"/>
    <n v="36"/>
    <n v="864"/>
    <s v="Black glazing"/>
    <s v="AEU"/>
  </r>
  <r>
    <s v="26Feb019.08"/>
    <s v="Quzhou"/>
    <s v="26Feb019"/>
    <s v="CORE DG"/>
    <x v="1"/>
    <s v="SPTN Offstore in Transit WH"/>
    <s v="CIF"/>
    <x v="12"/>
    <s v="U1"/>
    <x v="111"/>
    <s v="PL0126031600019"/>
    <m/>
    <s v="Yes"/>
    <d v="2026-03-09T00:00:00"/>
    <x v="0"/>
    <x v="0"/>
    <s v="HSM-ND54-DR500"/>
    <s v="EVO2A"/>
    <s v="±1200mm"/>
    <n v="500"/>
    <n v="4320"/>
    <n v="2.16"/>
    <n v="120"/>
    <n v="5"/>
    <x v="0"/>
    <s v="COMPLETED"/>
    <s v="W12(3.18/19起)"/>
    <d v="2026-04-06T00:00:00"/>
    <n v="15"/>
    <s v="POPV260410013"/>
    <m/>
    <s v="Quzhou BW"/>
    <x v="1"/>
    <x v="9"/>
    <d v="2026-04-11T00:00:00"/>
    <d v="2026-04-11T00:00:00"/>
    <d v="2026-04-11T00:00:00"/>
    <d v="2026-06-04T00:00:00"/>
    <d v="2026-06-01T00:00:00"/>
    <d v="2026-06-03T00:00:00"/>
    <s v="CIF"/>
    <s v="ONE INTEGRITY 009W"/>
    <s v="OTHER"/>
    <s v="TPVB20260415003"/>
    <x v="249"/>
    <s v="ONEYSH6FV6597400"/>
    <n v="53"/>
    <m/>
    <d v="2026-06-03T00:00:00"/>
    <s v="In Stock-Approved"/>
    <d v="2026-06-22T00:00:00"/>
    <n v="0"/>
    <d v="2026-06-03T00:00:00"/>
    <n v="2026"/>
    <n v="6"/>
    <n v="23"/>
    <n v="36"/>
    <n v="864"/>
    <s v="Black glazing"/>
    <s v="AEU"/>
  </r>
  <r>
    <s v="26Feb020.12"/>
    <s v="Quzhou"/>
    <s v="26Feb020"/>
    <s v="CORE DG"/>
    <x v="0"/>
    <s v="Arrival Plan-SPUK"/>
    <s v="CIF"/>
    <x v="6"/>
    <s v="U1"/>
    <x v="118"/>
    <m/>
    <m/>
    <s v="n/a"/>
    <d v="2026-03-23T00:00:00"/>
    <x v="0"/>
    <x v="43"/>
    <s v="HSM-ND54-DR505"/>
    <s v="EVO2A"/>
    <s v="±1200mm"/>
    <n v="505"/>
    <n v="3456"/>
    <n v="1.7452799999999999"/>
    <n v="96"/>
    <n v="4"/>
    <x v="0"/>
    <s v="COMPLETED"/>
    <s v="? W12 (3.16/17)"/>
    <d v="2026-04-11T00:00:00"/>
    <n v="15"/>
    <s v="POPV260413029"/>
    <m/>
    <s v="Quzhou BW"/>
    <x v="1"/>
    <x v="6"/>
    <d v="2026-04-13T00:00:00"/>
    <d v="2026-04-13T00:00:00"/>
    <d v="2026-04-14T00:00:00"/>
    <d v="2026-05-29T00:00:00"/>
    <d v="2026-06-03T00:00:00"/>
    <d v="2026-06-05T00:00:00"/>
    <s v="CIF"/>
    <s v="HMM PROMISE / 0047W"/>
    <s v="OTHER"/>
    <s v="TPVB20260415005"/>
    <x v="250"/>
    <s v="HDMUSHAZU8M06200"/>
    <n v="52"/>
    <m/>
    <d v="2026-06-05T00:00:00"/>
    <s v="In Stock-Approved"/>
    <d v="2026-06-19T00:00:00"/>
    <n v="7"/>
    <d v="2026-06-12T00:00:00"/>
    <n v="2026"/>
    <n v="6"/>
    <n v="24"/>
    <n v="36"/>
    <n v="864"/>
    <s v="Black glazing"/>
    <s v="AEU"/>
  </r>
  <r>
    <s v="26Feb017.17"/>
    <s v="Lianyungang"/>
    <s v="26Feb017"/>
    <s v="CORE DG"/>
    <x v="0"/>
    <s v="Arrival Plan-SPUK"/>
    <s v="CIF"/>
    <x v="6"/>
    <s v="U1"/>
    <x v="2"/>
    <m/>
    <m/>
    <s v="n/a"/>
    <d v="2026-03-30T00:00:00"/>
    <x v="0"/>
    <x v="7"/>
    <s v="HSM-ND48-DR450"/>
    <s v="EVO2A"/>
    <s v="±1200mm"/>
    <n v="450"/>
    <n v="1872"/>
    <n v="0.84240000000000004"/>
    <n v="52"/>
    <n v="2"/>
    <x v="0"/>
    <s v="COMPLETED"/>
    <s v="W14-BW (已入)"/>
    <d v="2026-04-11T00:00:00"/>
    <n v="15"/>
    <s v="POPV260413030"/>
    <m/>
    <s v="Lianyungang BW"/>
    <x v="1"/>
    <x v="6"/>
    <d v="2026-04-13T00:00:00"/>
    <d v="2026-04-13T00:00:00"/>
    <d v="2026-04-14T00:00:00"/>
    <d v="2026-05-29T00:00:00"/>
    <d v="2026-06-03T00:00:00"/>
    <d v="2026-06-05T00:00:00"/>
    <s v="CIF"/>
    <s v="HMM PROMISE / 0047W"/>
    <s v="OTHER"/>
    <s v="TPVB20260415006"/>
    <x v="251"/>
    <s v="HDMUSHAZSA910000"/>
    <n v="52"/>
    <m/>
    <d v="2026-06-05T00:00:00"/>
    <s v="In Stock-Approved"/>
    <d v="2026-06-19T00:00:00"/>
    <n v="7"/>
    <d v="2026-06-12T00:00:00"/>
    <n v="2026"/>
    <n v="6"/>
    <n v="24"/>
    <n v="36"/>
    <n v="936"/>
    <s v="Black glazing"/>
    <s v="AEU"/>
  </r>
  <r>
    <s v="26Feb020.11"/>
    <s v="Quzhou"/>
    <s v="26Feb020"/>
    <s v="CORE DG"/>
    <x v="0"/>
    <s v="Arrival Plan-SPUK"/>
    <s v="CIF"/>
    <x v="6"/>
    <s v="U1"/>
    <x v="118"/>
    <m/>
    <m/>
    <s v="n/a"/>
    <d v="2026-03-23T00:00:00"/>
    <x v="0"/>
    <x v="43"/>
    <s v="HSM-ND54-DR505"/>
    <s v="EVO2A"/>
    <s v="±1200mm"/>
    <n v="505"/>
    <n v="4320"/>
    <n v="2.1816"/>
    <n v="120"/>
    <n v="5"/>
    <x v="0"/>
    <s v="COMPLETED"/>
    <s v="? W12 (3.16/17)"/>
    <d v="2026-04-09T00:00:00"/>
    <n v="15"/>
    <s v="POPV260413032"/>
    <m/>
    <s v="Quzhou BW"/>
    <x v="1"/>
    <x v="6"/>
    <d v="2026-04-12T00:00:00"/>
    <d v="2026-04-13T00:00:00"/>
    <d v="2026-04-13T00:00:00"/>
    <d v="2026-05-23T00:00:00"/>
    <d v="2026-05-23T00:00:00"/>
    <d v="2026-05-26T00:00:00"/>
    <s v="CIF"/>
    <s v="CSCL GLOBE 075W"/>
    <s v="COSCO"/>
    <s v="TPVB20260415004"/>
    <x v="252"/>
    <s v="COSU6449726380"/>
    <n v="43"/>
    <m/>
    <d v="2026-05-26T00:00:00"/>
    <s v="In Stock-Approved"/>
    <d v="2026-06-08T00:00:00"/>
    <n v="7"/>
    <d v="2026-06-02T00:00:00"/>
    <n v="2026"/>
    <n v="6"/>
    <n v="23"/>
    <n v="36"/>
    <n v="864"/>
    <s v="Black glazing"/>
    <s v="AEU"/>
  </r>
  <r>
    <s v="26Feb034.02"/>
    <s v="Guangde广德市"/>
    <s v="26Feb034"/>
    <s v="UPP"/>
    <x v="1"/>
    <s v="SPTN Offstore in Transit WH"/>
    <s v="CIF"/>
    <x v="23"/>
    <s v="U3"/>
    <x v="124"/>
    <s v="AT0126030200004"/>
    <m/>
    <s v="Yes"/>
    <d v="2026-03-23T00:00:00"/>
    <x v="0"/>
    <x v="65"/>
    <s v="HSM-ND66-GK720"/>
    <s v="H4(Com)"/>
    <s v="+400mm/-200mm"/>
    <n v="720"/>
    <n v="2970"/>
    <n v="2.1383999999999999"/>
    <n v="90"/>
    <n v="5"/>
    <x v="0"/>
    <s v="COMPLETED"/>
    <s v="W13-BW (3.21/22)"/>
    <d v="2026-04-09T00:00:00"/>
    <n v="15"/>
    <s v="POPV260413028"/>
    <m/>
    <s v="SHANGHAI BW"/>
    <x v="1"/>
    <x v="1"/>
    <d v="2026-04-12T00:00:00"/>
    <d v="2026-04-13T00:00:00"/>
    <d v="2026-04-13T00:00:00"/>
    <d v="2026-05-27T00:00:00"/>
    <d v="2026-05-30T00:00:00"/>
    <d v="2026-05-28T00:00:00"/>
    <s v="CIF"/>
    <s v="CSCL GLOBE 075W"/>
    <s v="COSCO"/>
    <s v="TPVB20260415010"/>
    <x v="253"/>
    <s v="COSU6449724180"/>
    <n v="45"/>
    <m/>
    <d v="2026-05-28T00:00:00"/>
    <s v="In Stock-Approved"/>
    <d v="2026-06-04T00:00:00"/>
    <n v="0"/>
    <d v="2026-05-28T00:00:00"/>
    <n v="2026"/>
    <n v="5"/>
    <n v="22"/>
    <n v="33"/>
    <n v="594"/>
    <s v="Transparent"/>
    <s v="AEU"/>
  </r>
  <r>
    <s v="26Feb017.04"/>
    <s v="Lianyungang"/>
    <s v="26Feb017"/>
    <s v="CORE DG"/>
    <x v="1"/>
    <s v="SPTN Offstore in Transit WH"/>
    <s v="CIF"/>
    <x v="23"/>
    <s v="U1"/>
    <x v="125"/>
    <s v="AT0126042100006"/>
    <n v="3"/>
    <s v="Yes"/>
    <d v="2026-03-23T00:00:00"/>
    <x v="0"/>
    <x v="7"/>
    <s v="HSM-ND48-DR450"/>
    <s v="EVO2A"/>
    <s v="±1200mm"/>
    <n v="450"/>
    <n v="10296"/>
    <n v="4.6332000000000004"/>
    <n v="286"/>
    <n v="11"/>
    <x v="0"/>
    <s v="COMPLETED"/>
    <s v="W13-BW (3.23货好)"/>
    <d v="2026-04-08T00:00:00"/>
    <n v="15"/>
    <s v="POPV260427057"/>
    <m/>
    <s v="Lianyungang BW"/>
    <x v="1"/>
    <x v="1"/>
    <d v="2026-04-12T00:00:00"/>
    <d v="2026-04-15T00:00:00"/>
    <d v="2026-04-15T00:00:00"/>
    <d v="2026-05-19T00:00:00"/>
    <d v="2026-05-30T00:00:00"/>
    <d v="2026-06-01T00:00:00"/>
    <s v="CIF"/>
    <s v="COSCO SHIPPING VIRGO 035W"/>
    <s v="COSCO"/>
    <s v="TPVB20260415011"/>
    <x v="254"/>
    <s v="COSU6449724960"/>
    <n v="47"/>
    <m/>
    <d v="2026-06-01T00:00:00"/>
    <s v="In Stock-Approved"/>
    <d v="2026-05-26T00:00:00"/>
    <n v="0"/>
    <d v="2026-06-01T00:00:00"/>
    <n v="2026"/>
    <n v="6"/>
    <n v="23"/>
    <n v="36"/>
    <n v="936"/>
    <s v="Black glazing"/>
    <s v="AEU"/>
  </r>
  <r>
    <s v="26Feb017.05"/>
    <s v="Lianyungang"/>
    <s v="26Feb017"/>
    <s v="CORE DG"/>
    <x v="1"/>
    <s v="SPTN Offstore in Transit WH"/>
    <s v="CIF"/>
    <x v="23"/>
    <s v="U1"/>
    <x v="125"/>
    <s v="AT0126042100006"/>
    <n v="4"/>
    <s v="Yes"/>
    <d v="2026-03-23T00:00:00"/>
    <x v="0"/>
    <x v="7"/>
    <s v="HSM-ND48-DR450"/>
    <s v="EVO2A"/>
    <s v="±1200mm"/>
    <n v="450"/>
    <n v="2808"/>
    <n v="1.2636000000000001"/>
    <n v="78"/>
    <n v="3"/>
    <x v="0"/>
    <s v="COMPLETED"/>
    <s v="W13-BW (3.23货好)"/>
    <d v="2026-04-09T00:00:00"/>
    <n v="15"/>
    <s v="POPV260427058"/>
    <m/>
    <s v="Lianyungang BW"/>
    <x v="1"/>
    <x v="1"/>
    <d v="2026-04-12T00:00:00"/>
    <d v="2026-04-13T00:00:00"/>
    <d v="2026-04-13T00:00:00"/>
    <d v="2026-05-27T00:00:00"/>
    <d v="2026-05-30T00:00:00"/>
    <d v="2026-05-28T00:00:00"/>
    <s v="CIF"/>
    <s v="CSCL GLOBE 075W"/>
    <s v="COSCO"/>
    <s v="TPVB20260415012"/>
    <x v="255"/>
    <s v="COSU6449723690"/>
    <n v="45"/>
    <m/>
    <d v="2026-05-28T00:00:00"/>
    <s v="In Stock-Approved"/>
    <d v="2026-06-11T00:00:00"/>
    <n v="0"/>
    <d v="2026-05-28T00:00:00"/>
    <n v="2026"/>
    <n v="5"/>
    <n v="22"/>
    <n v="36"/>
    <n v="936"/>
    <s v="Black glazing"/>
    <s v="AEU"/>
  </r>
  <r>
    <s v="26Feb017.25"/>
    <s v="Lianyungang"/>
    <s v="26Feb017"/>
    <s v="CORE DG"/>
    <x v="0"/>
    <s v="Arrival Plan-SPNL"/>
    <s v="CIF"/>
    <x v="0"/>
    <s v="U1"/>
    <x v="23"/>
    <m/>
    <m/>
    <s v="n/a"/>
    <d v="2026-03-23T00:00:00"/>
    <x v="0"/>
    <x v="7"/>
    <s v="HSM-ND48-DR450"/>
    <s v="EVO2A"/>
    <s v="±1200mm"/>
    <n v="450"/>
    <n v="936"/>
    <n v="0.42120000000000002"/>
    <n v="26"/>
    <n v="1"/>
    <x v="0"/>
    <s v="COMPLETED"/>
    <s v="W13-BW (3.23货好)"/>
    <d v="2026-04-08T00:00:00"/>
    <n v="15"/>
    <s v="POPV260413023"/>
    <m/>
    <s v="Lianyungang BW"/>
    <x v="1"/>
    <x v="1"/>
    <d v="2026-04-12T00:00:00"/>
    <d v="2026-04-13T00:00:00"/>
    <d v="2026-04-13T00:00:00"/>
    <d v="2026-05-23T00:00:00"/>
    <d v="2026-05-23T00:00:00"/>
    <d v="2026-05-24T00:00:00"/>
    <s v="CIF"/>
    <s v="CMA CGM CONCORDE _x000a_0FMGDW1MA"/>
    <s v="COSCO"/>
    <s v="TPVB20260415013"/>
    <x v="256"/>
    <s v="COSU6449725540"/>
    <n v="41"/>
    <m/>
    <d v="2026-05-24T00:00:00"/>
    <s v="In Stock-Approved"/>
    <d v="2026-06-08T00:00:00"/>
    <n v="7"/>
    <d v="2026-05-31T00:00:00"/>
    <n v="2026"/>
    <n v="5"/>
    <n v="22"/>
    <n v="36"/>
    <n v="936"/>
    <s v="Black glazing"/>
    <s v="AEU"/>
  </r>
  <r>
    <s v="26Feb017.24"/>
    <s v="Lianyungang"/>
    <s v="26Feb017"/>
    <s v="CORE DG"/>
    <x v="0"/>
    <s v="Arrival Plan-SPNL"/>
    <s v="CIF"/>
    <x v="0"/>
    <s v="U1"/>
    <x v="23"/>
    <m/>
    <m/>
    <s v="n/a"/>
    <d v="2026-03-30T00:00:00"/>
    <x v="0"/>
    <x v="7"/>
    <s v="HSM-ND48-DR450"/>
    <s v="EVO2A"/>
    <s v="±1200mm"/>
    <n v="450"/>
    <n v="936"/>
    <n v="0.42120000000000002"/>
    <n v="26"/>
    <n v="1"/>
    <x v="0"/>
    <s v="COMPLETED"/>
    <m/>
    <d v="2026-04-08T00:00:00"/>
    <n v="15"/>
    <s v="POPV260413022"/>
    <m/>
    <s v="Lianyungang BW"/>
    <x v="1"/>
    <x v="1"/>
    <d v="2026-04-12T00:00:00"/>
    <d v="2026-04-13T00:00:00"/>
    <d v="2026-04-13T00:00:00"/>
    <d v="2026-05-23T00:00:00"/>
    <d v="2026-05-23T00:00:00"/>
    <d v="2026-05-24T00:00:00"/>
    <s v="CIF"/>
    <s v="CMA CGM CONCORDE _x000a_0FMGDW1MA"/>
    <s v="COSCO"/>
    <s v="TPVB20260415013"/>
    <x v="256"/>
    <s v="COSU6449725540"/>
    <n v="41"/>
    <m/>
    <d v="2026-05-24T00:00:00"/>
    <s v="In Stock-Approved"/>
    <d v="2026-06-08T00:00:00"/>
    <n v="7"/>
    <d v="2026-05-31T00:00:00"/>
    <n v="2026"/>
    <n v="5"/>
    <n v="22"/>
    <n v="36"/>
    <n v="936"/>
    <s v="Black glazing"/>
    <s v="AEU"/>
  </r>
  <r>
    <s v="26Feb014"/>
    <s v="Yixing"/>
    <s v="Main Line"/>
    <s v="CORE DG"/>
    <x v="1"/>
    <s v="SPTN Offstore in Transit WH"/>
    <s v="CIF"/>
    <x v="9"/>
    <s v="U1"/>
    <x v="126"/>
    <s v="ES0126032700026"/>
    <m/>
    <s v="Yes"/>
    <d v="2026-03-30T00:00:00"/>
    <x v="1"/>
    <x v="66"/>
    <s v="TCL-MI560DT182-70NS"/>
    <s v="EVO2A"/>
    <s v="±1400mm"/>
    <n v="560"/>
    <n v="2640"/>
    <n v="1.4783999999999999"/>
    <n v="80"/>
    <n v="4"/>
    <x v="1"/>
    <s v="COMPLETED"/>
    <s v="W13-BW (3.22货好)"/>
    <d v="2026-04-07T00:00:00"/>
    <n v="15"/>
    <s v="POPV260410004"/>
    <m/>
    <s v="SHANGHAI BW"/>
    <x v="1"/>
    <x v="2"/>
    <d v="2026-04-10T00:00:00"/>
    <d v="2026-04-10T00:00:00"/>
    <d v="2026-04-12T00:00:00"/>
    <d v="2026-06-04T00:00:00"/>
    <d v="2026-07-04T00:00:00"/>
    <d v="2026-07-04T00:00:00"/>
    <s v="CIF"/>
    <s v="EVER GOODS 0747-034W"/>
    <s v="COSCO"/>
    <s v="TPVB20260415009"/>
    <x v="257"/>
    <s v="COSU6449762550"/>
    <n v="83"/>
    <m/>
    <d v="2026-07-04T00:00:00"/>
    <s v="In Stock-Approved"/>
    <d v="2026-06-18T00:00:00"/>
    <n v="0"/>
    <d v="2026-07-04T00:00:00"/>
    <n v="2026"/>
    <n v="7"/>
    <n v="27"/>
    <n v="33"/>
    <n v="660"/>
    <s v="White glazing"/>
    <s v="AEM"/>
  </r>
  <r>
    <s v="26Feb005.02"/>
    <s v="Yixing"/>
    <s v="26Feb005"/>
    <s v="CORE DG"/>
    <x v="0"/>
    <s v="Arrival Plan-SPIT"/>
    <s v="CIF"/>
    <x v="4"/>
    <s v="U4"/>
    <x v="2"/>
    <m/>
    <m/>
    <s v="n/a"/>
    <d v="2026-03-30T00:00:00"/>
    <x v="2"/>
    <x v="5"/>
    <s v="SPR-P7-555-COM-S"/>
    <s v="EVO2A"/>
    <s v="±1400mm"/>
    <n v="555"/>
    <n v="2640"/>
    <n v="1.4652000000000001"/>
    <n v="80"/>
    <n v="4"/>
    <x v="0"/>
    <s v="COMPLETED"/>
    <s v="W14- (4.4货好)"/>
    <d v="2026-04-05T00:00:00"/>
    <n v="14"/>
    <s v="POPV260413031"/>
    <m/>
    <s v="SHANGHAI NTR"/>
    <x v="1"/>
    <x v="4"/>
    <d v="2026-04-10T00:00:00"/>
    <d v="2026-04-10T00:00:00"/>
    <d v="2026-04-12T00:00:00"/>
    <d v="2026-05-27T00:00:00"/>
    <d v="2026-05-27T00:00:00"/>
    <d v="2026-06-02T00:00:00"/>
    <s v="CIF"/>
    <s v="EVER GOODS 0747-034W"/>
    <s v="COSCO"/>
    <s v="TPVB20260415007"/>
    <x v="258"/>
    <s v="COSU6449758260"/>
    <n v="51"/>
    <m/>
    <d v="2026-06-02T00:00:00"/>
    <s v="In Stock-Approved"/>
    <d v="2026-06-17T00:00:00"/>
    <n v="10"/>
    <d v="2026-06-12T00:00:00"/>
    <n v="2026"/>
    <n v="6"/>
    <n v="24"/>
    <n v="33"/>
    <n v="660"/>
    <s v="White glazing"/>
    <s v="AEM"/>
  </r>
  <r>
    <s v="26Feb005.07"/>
    <s v="Yixing"/>
    <s v="26Feb005"/>
    <s v="CORE DG"/>
    <x v="0"/>
    <s v="Arrival Plan-SPIT"/>
    <s v="CIF"/>
    <x v="4"/>
    <s v="U4"/>
    <x v="2"/>
    <m/>
    <m/>
    <s v="n/a"/>
    <d v="2026-03-30T00:00:00"/>
    <x v="2"/>
    <x v="5"/>
    <s v="SPR-P7-555-COM-S"/>
    <s v="EVO2A"/>
    <s v="±1400mm"/>
    <n v="555"/>
    <n v="660"/>
    <n v="0.36630000000000001"/>
    <n v="20"/>
    <n v="1"/>
    <x v="0"/>
    <s v="COMPLETED"/>
    <s v="W14- (4.5货好)"/>
    <d v="2026-04-05T00:00:00"/>
    <n v="14"/>
    <s v="POPV260413042"/>
    <m/>
    <s v="SHANGHAI NTR"/>
    <x v="1"/>
    <x v="14"/>
    <d v="2026-04-10T00:00:00"/>
    <d v="2026-04-10T00:00:00"/>
    <d v="2026-04-12T00:00:00"/>
    <d v="2026-05-24T00:00:00"/>
    <d v="2026-06-01T00:00:00"/>
    <d v="2026-06-01T00:00:00"/>
    <s v="CIF"/>
    <s v="EVER GOODS 0747-034W"/>
    <s v="COSCO"/>
    <s v="TPVB20260415008"/>
    <x v="259"/>
    <s v="COSU6449758960"/>
    <n v="50"/>
    <m/>
    <d v="2026-06-01T00:00:00"/>
    <s v="In Stock-Approved"/>
    <d v="2026-06-16T00:00:00"/>
    <n v="10"/>
    <d v="2026-06-11T00:00:00"/>
    <n v="2026"/>
    <n v="6"/>
    <n v="24"/>
    <n v="33"/>
    <n v="660"/>
    <s v="White glazing"/>
    <s v="AEM"/>
  </r>
  <r>
    <s v="26Feb023.01"/>
    <s v="Tianjin"/>
    <s v="26Feb023"/>
    <s v="CORE DG"/>
    <x v="0"/>
    <s v="Arrival Plan-SPTN"/>
    <s v="CIF"/>
    <x v="0"/>
    <s v="U6"/>
    <x v="2"/>
    <m/>
    <m/>
    <s v="n/a"/>
    <d v="2026-03-30T00:00:00"/>
    <x v="0"/>
    <x v="27"/>
    <s v="HSM-ND54-DR500 CFP"/>
    <s v="EVO2A"/>
    <s v="±1200mm"/>
    <n v="500"/>
    <n v="3456"/>
    <n v="1.728"/>
    <n v="96"/>
    <n v="4"/>
    <x v="1"/>
    <s v="COMPLETED"/>
    <s v="W14-BW (3.30货好)"/>
    <d v="2026-04-07T00:00:00"/>
    <n v="15"/>
    <s v="POPV260413040"/>
    <m/>
    <s v="TIANJIN BW"/>
    <x v="0"/>
    <x v="0"/>
    <d v="2026-04-11T00:00:00"/>
    <d v="2026-04-11T00:00:00"/>
    <d v="2026-04-10T00:00:00"/>
    <d v="2026-06-15T00:00:00"/>
    <d v="2026-06-20T00:00:00"/>
    <d v="2026-06-22T00:00:00"/>
    <s v="CIF"/>
    <s v="COSCO EUROPE 112E"/>
    <s v="COSCO"/>
    <s v="TPVB20260415001"/>
    <x v="260"/>
    <s v="COSU9506746670"/>
    <n v="73"/>
    <m/>
    <d v="2026-06-22T00:00:00"/>
    <s v="In Stock-Approved"/>
    <d v="2026-07-03T00:00:00"/>
    <n v="8"/>
    <d v="2026-06-30T00:00:00"/>
    <n v="2026"/>
    <n v="6"/>
    <n v="27"/>
    <n v="36"/>
    <n v="864"/>
    <s v="Black glazing"/>
    <s v="AEM"/>
  </r>
  <r>
    <s v="26Feb021.12"/>
    <s v="Tianjin"/>
    <s v="26Feb021"/>
    <s v="CORE DG"/>
    <x v="0"/>
    <s v="Arrival Plan-SPTN"/>
    <s v="CIF"/>
    <x v="0"/>
    <s v="U2"/>
    <x v="2"/>
    <m/>
    <m/>
    <s v="n/a"/>
    <d v="2026-03-30T00:00:00"/>
    <x v="0"/>
    <x v="1"/>
    <s v="HSM-ND48-DR450_CFP"/>
    <s v="EVO2A"/>
    <s v="±1200mm"/>
    <n v="450"/>
    <n v="936"/>
    <n v="0.42120000000000002"/>
    <n v="26"/>
    <n v="1"/>
    <x v="0"/>
    <s v="COMPLETED"/>
    <s v="W14-BW (3.27货好)"/>
    <d v="2026-04-07T00:00:00"/>
    <n v="15"/>
    <s v="POPV260413038"/>
    <m/>
    <s v="TIANJIN BW"/>
    <x v="0"/>
    <x v="5"/>
    <d v="2026-04-11T00:00:00"/>
    <d v="2026-04-11T00:00:00"/>
    <d v="2026-04-10T00:00:00"/>
    <d v="2026-06-02T00:00:00"/>
    <d v="2026-06-01T00:00:00"/>
    <d v="2026-06-02T00:00:00"/>
    <s v="CIF"/>
    <s v="COSCO EUROPE 112E"/>
    <s v="COSCO"/>
    <s v="TPVB20260415002"/>
    <x v="261"/>
    <s v="COSU6449619540"/>
    <n v="53"/>
    <m/>
    <d v="2026-06-02T00:00:00"/>
    <s v="In Stock-Approved"/>
    <d v="2026-06-16T00:00:00"/>
    <n v="10"/>
    <d v="2026-06-12T00:00:00"/>
    <n v="2026"/>
    <n v="6"/>
    <n v="24"/>
    <n v="36"/>
    <n v="936"/>
    <s v="Transparent"/>
    <s v="AEU"/>
  </r>
  <r>
    <s v="26Feb023.02"/>
    <s v="Tianjin"/>
    <s v="26Feb023"/>
    <s v="CORE DG"/>
    <x v="0"/>
    <s v="Arrival Plan-SPTN"/>
    <s v="CIF"/>
    <x v="0"/>
    <s v="U6"/>
    <x v="2"/>
    <m/>
    <m/>
    <s v="n/a"/>
    <d v="2026-03-30T00:00:00"/>
    <x v="0"/>
    <x v="27"/>
    <s v="HSM-ND54-DR500 CFP"/>
    <s v="EVO2A"/>
    <s v="±1200mm"/>
    <n v="500"/>
    <n v="864"/>
    <n v="0.432"/>
    <n v="24"/>
    <n v="1"/>
    <x v="1"/>
    <s v="COMPLETED"/>
    <s v="W14-BW (3.30货好)"/>
    <d v="2026-04-09T00:00:00"/>
    <n v="15"/>
    <s v="POPV260421025"/>
    <m/>
    <s v="TIANJIN BW"/>
    <x v="0"/>
    <x v="5"/>
    <d v="2026-04-16T00:00:00"/>
    <d v="2026-04-24T00:00:00"/>
    <d v="2026-04-24T00:00:00"/>
    <d v="2026-06-09T00:00:00"/>
    <d v="2026-06-23T00:00:00"/>
    <d v="2026-06-30T00:00:00"/>
    <s v="CIF"/>
    <s v="CNC PEARL  0BYORS1MA"/>
    <s v="OTHER"/>
    <s v="TPVB20260416002"/>
    <x v="262"/>
    <s v="TJN0925265"/>
    <n v="67"/>
    <m/>
    <d v="2026-06-30T00:00:00"/>
    <s v="In Stock-Approved"/>
    <d v="2026-07-07T00:00:00"/>
    <n v="10"/>
    <d v="2026-07-10T00:00:00"/>
    <n v="2026"/>
    <n v="7"/>
    <n v="28"/>
    <n v="36"/>
    <n v="864"/>
    <s v="Black glazing"/>
    <s v="AEU"/>
  </r>
  <r>
    <s v="26Feb021.01"/>
    <s v="Tianjin"/>
    <s v="26Feb021"/>
    <s v="CORE DG"/>
    <x v="0"/>
    <s v="Arrival Plan-SPTN"/>
    <s v="CIF"/>
    <x v="0"/>
    <s v="U4"/>
    <x v="2"/>
    <m/>
    <m/>
    <s v="n/a"/>
    <d v="2026-03-23T00:00:00"/>
    <x v="0"/>
    <x v="1"/>
    <s v="HSM-ND48-DR450_CFP"/>
    <s v="EVO2A"/>
    <s v="±1200mm"/>
    <n v="450"/>
    <n v="0"/>
    <n v="0"/>
    <n v="0"/>
    <n v="0"/>
    <x v="1"/>
    <s v="COMPLETED"/>
    <s v="W13-BW (3.24货好)"/>
    <d v="2026-04-09T00:00:00"/>
    <n v="15"/>
    <s v="POPV260421026"/>
    <m/>
    <s v="TIANJIN BW"/>
    <x v="0"/>
    <x v="5"/>
    <d v="2026-04-16T00:00:00"/>
    <d v="2026-04-24T00:00:00"/>
    <d v="2026-04-24T00:00:00"/>
    <d v="2026-06-09T00:00:00"/>
    <d v="2026-06-23T00:00:00"/>
    <d v="2026-06-30T00:00:00"/>
    <s v="CIF"/>
    <s v="CNC PEARL  0BYORS1MA"/>
    <s v="OTHER"/>
    <s v="TPVB20260416002"/>
    <x v="262"/>
    <s v="TJN0925265"/>
    <n v="67"/>
    <m/>
    <d v="2026-06-30T00:00:00"/>
    <s v="In Stock-Approved"/>
    <d v="2026-07-06T00:00:00"/>
    <n v="10"/>
    <d v="2026-07-10T00:00:00"/>
    <n v="2026"/>
    <n v="7"/>
    <n v="28"/>
    <n v="36"/>
    <n v="936"/>
    <s v="Transparent"/>
    <s v="AEU"/>
  </r>
  <r>
    <s v="26Feb022.08"/>
    <s v="Tianjin"/>
    <s v="26Feb022"/>
    <s v="CORE DG"/>
    <x v="0"/>
    <s v="Arrival Plan-SPTN"/>
    <s v="CIF"/>
    <x v="0"/>
    <s v="U5"/>
    <x v="2"/>
    <m/>
    <m/>
    <s v="n/a"/>
    <d v="2026-03-30T00:00:00"/>
    <x v="0"/>
    <x v="8"/>
    <s v="HSM-ND48-DR455_CFP"/>
    <s v="EVO2A"/>
    <s v="±1200mm"/>
    <n v="455"/>
    <n v="3744"/>
    <n v="1.7035199999999999"/>
    <n v="104"/>
    <n v="4"/>
    <x v="1"/>
    <s v="COMPLETED"/>
    <s v="W13-BW (3.22货好)"/>
    <d v="2026-04-14T00:00:00"/>
    <n v="16"/>
    <s v="POPV260417014"/>
    <m/>
    <s v="TIANJIN BW"/>
    <x v="0"/>
    <x v="5"/>
    <d v="2026-04-19T00:00:00"/>
    <d v="2026-04-19T00:00:00"/>
    <d v="2026-04-19T00:00:00"/>
    <d v="2026-06-09T00:00:00"/>
    <d v="2026-06-23T00:00:00"/>
    <d v="2026-06-17T00:00:00"/>
    <s v="CIF"/>
    <s v="MAERSK SHIVLING / 616W"/>
    <s v="OTHER"/>
    <s v="TPVB20260417001"/>
    <x v="263"/>
    <n v="273285267"/>
    <n v="59"/>
    <m/>
    <d v="2026-06-17T00:00:00"/>
    <s v="In Stock-Approved"/>
    <d v="2026-06-30T00:00:00"/>
    <n v="10"/>
    <d v="2026-06-27T00:00:00"/>
    <n v="2026"/>
    <n v="6"/>
    <n v="26"/>
    <n v="36"/>
    <n v="936"/>
    <s v="Transparent"/>
    <s v="AEU"/>
  </r>
  <r>
    <s v="26Feb022.05"/>
    <s v="Tianjin"/>
    <s v="26Feb022"/>
    <s v="CORE DG"/>
    <x v="0"/>
    <s v="Arrival Plan-SPTN"/>
    <s v="CIF"/>
    <x v="0"/>
    <s v="U4"/>
    <x v="2"/>
    <m/>
    <m/>
    <s v="n/a"/>
    <d v="2026-03-30T00:00:00"/>
    <x v="0"/>
    <x v="8"/>
    <s v="HSM-ND48-DR455_CFP"/>
    <s v="EVO2A"/>
    <s v="±1200mm"/>
    <n v="455"/>
    <n v="5616"/>
    <n v="2.5552800000000002"/>
    <n v="156"/>
    <n v="6"/>
    <x v="1"/>
    <s v="COMPLETED"/>
    <s v="W13-BW (3.22货好)"/>
    <d v="2026-04-14T00:00:00"/>
    <n v="16"/>
    <s v="POPV260417013"/>
    <m/>
    <s v="TIANJIN BW"/>
    <x v="0"/>
    <x v="5"/>
    <d v="2026-04-19T00:00:00"/>
    <d v="2026-04-19T00:00:00"/>
    <d v="2026-04-19T00:00:00"/>
    <d v="2026-06-09T00:00:00"/>
    <d v="2026-06-23T00:00:00"/>
    <d v="2026-06-17T00:00:00"/>
    <s v="CIF"/>
    <s v="MAERSK SHIVLING / 616W"/>
    <s v="OTHER"/>
    <s v="TPVB20260417001"/>
    <x v="263"/>
    <n v="273285267"/>
    <n v="59"/>
    <m/>
    <d v="2026-06-17T00:00:00"/>
    <s v="In Stock-Approved"/>
    <d v="2026-06-30T00:00:00"/>
    <n v="10"/>
    <d v="2026-06-27T00:00:00"/>
    <n v="2026"/>
    <n v="6"/>
    <n v="26"/>
    <n v="36"/>
    <n v="936"/>
    <s v="Transparent"/>
    <s v="AEU"/>
  </r>
  <r>
    <s v="26Feb017.15"/>
    <s v="Lianyungang"/>
    <s v="26Feb017"/>
    <s v="CORE DG"/>
    <x v="1"/>
    <s v="SPTN Offstore in Transit WH"/>
    <s v="CIF"/>
    <x v="8"/>
    <s v="U1"/>
    <x v="100"/>
    <s v="IE0126030500026"/>
    <m/>
    <s v="Yes"/>
    <d v="2026-02-23T00:00:00"/>
    <x v="0"/>
    <x v="7"/>
    <s v="HSM-ND48-DR450"/>
    <s v="EVO2A"/>
    <s v="±1200mm"/>
    <n v="450"/>
    <n v="936"/>
    <n v="0.42120000000000002"/>
    <n v="26"/>
    <n v="1"/>
    <x v="1"/>
    <s v="COMPLETED"/>
    <s v="W13-BW (3.21货好)"/>
    <d v="2026-04-16T00:00:00"/>
    <n v="16"/>
    <s v="POPV260417012"/>
    <m/>
    <s v="Lianyungang BW"/>
    <x v="1"/>
    <x v="8"/>
    <d v="2026-04-19T00:00:00"/>
    <d v="2026-04-29T00:00:00"/>
    <d v="2026-04-29T00:00:00"/>
    <d v="2026-06-19T00:00:00"/>
    <d v="2026-06-15T00:00:00"/>
    <d v="2026-06-17T00:00:00"/>
    <s v="CIF"/>
    <s v="COSCO EXCELLENCE 076W"/>
    <s v="COSCO"/>
    <s v="TPVB20260416007"/>
    <x v="264"/>
    <s v="COSU6450390090"/>
    <n v="49"/>
    <m/>
    <d v="2026-06-17T00:00:00"/>
    <s v="In Stock-Approved"/>
    <d v="2026-06-19T00:00:00"/>
    <n v="0"/>
    <d v="2026-06-17T00:00:00"/>
    <n v="2026"/>
    <n v="6"/>
    <n v="25"/>
    <n v="36"/>
    <n v="936"/>
    <s v="Black glazing"/>
    <s v="AEU"/>
  </r>
  <r>
    <s v="26Feb017.12"/>
    <s v="Lianyungang"/>
    <s v="26Feb017"/>
    <s v="CORE DG"/>
    <x v="1"/>
    <s v="SPTN Offstore in Transit WH"/>
    <s v="CIF"/>
    <x v="8"/>
    <s v="U1"/>
    <x v="100"/>
    <s v="IE0126030500026"/>
    <m/>
    <s v="Yes"/>
    <d v="2026-02-16T00:00:00"/>
    <x v="0"/>
    <x v="7"/>
    <s v="HSM-ND48-DR450"/>
    <s v="EVO2A"/>
    <s v="±1200mm"/>
    <n v="450"/>
    <n v="4680"/>
    <n v="2.1059999999999999"/>
    <n v="130"/>
    <n v="5"/>
    <x v="1"/>
    <s v="COMPLETED"/>
    <s v="W13-BW (3.21货好)"/>
    <d v="2026-04-16T00:00:00"/>
    <n v="16"/>
    <s v="POPV260417011"/>
    <m/>
    <s v="Lianyungang BW"/>
    <x v="1"/>
    <x v="8"/>
    <d v="2026-04-19T00:00:00"/>
    <d v="2026-04-29T00:00:00"/>
    <d v="2026-04-29T00:00:00"/>
    <d v="2026-06-19T00:00:00"/>
    <d v="2026-06-15T00:00:00"/>
    <d v="2026-06-17T00:00:00"/>
    <s v="CIF"/>
    <s v="COSCO EXCELLENCE 076W"/>
    <s v="COSCO"/>
    <s v="TPVB20260416007"/>
    <x v="264"/>
    <s v="COSU6450390090"/>
    <n v="49"/>
    <m/>
    <d v="2026-06-17T00:00:00"/>
    <s v="In Stock-Approved"/>
    <d v="2026-06-19T00:00:00"/>
    <n v="0"/>
    <d v="2026-06-17T00:00:00"/>
    <n v="2026"/>
    <n v="6"/>
    <n v="25"/>
    <n v="36"/>
    <n v="936"/>
    <s v="Black glazing"/>
    <s v="AEU"/>
  </r>
  <r>
    <s v="26Feb017.19.01"/>
    <s v="Lianyungang"/>
    <s v="26Feb017"/>
    <s v="CORE DG"/>
    <x v="0"/>
    <s v="Arrival Plan-SPNL"/>
    <s v="CIF"/>
    <x v="0"/>
    <s v="U1"/>
    <x v="2"/>
    <m/>
    <m/>
    <s v="Yes"/>
    <d v="2026-03-30T00:00:00"/>
    <x v="0"/>
    <x v="7"/>
    <s v="HSM-ND48-DR450"/>
    <s v="EVO2A"/>
    <s v="±1200mm"/>
    <n v="450"/>
    <n v="1872"/>
    <n v="0.84240000000000004"/>
    <n v="52"/>
    <n v="2"/>
    <x v="0"/>
    <s v="COMPLETED"/>
    <s v="W14-BW (已入)"/>
    <d v="2026-04-13T00:00:00"/>
    <n v="16"/>
    <s v="POPV260512042"/>
    <m/>
    <s v="Lianyungang BW"/>
    <x v="1"/>
    <x v="1"/>
    <d v="2026-04-17T00:00:00"/>
    <d v="2026-04-18T00:00:00"/>
    <d v="2026-04-17T00:00:00"/>
    <d v="2026-05-30T00:00:00"/>
    <d v="2026-06-06T00:00:00"/>
    <d v="2026-06-07T00:00:00"/>
    <s v="CIF"/>
    <s v="ONE TRUST 031W"/>
    <s v="OTHER"/>
    <s v="TPVB20260415014-1"/>
    <x v="265"/>
    <s v="HDMUSHAZZZ529800"/>
    <n v="51"/>
    <m/>
    <d v="2026-06-07T00:00:00"/>
    <s v="In Stock-Approved"/>
    <d v="2026-06-22T00:00:00"/>
    <n v="7"/>
    <d v="2026-06-14T00:00:00"/>
    <n v="2026"/>
    <n v="6"/>
    <n v="24"/>
    <n v="36"/>
    <n v="936"/>
    <s v="Black glazing"/>
    <s v="AEU"/>
  </r>
  <r>
    <s v="26Feb017.19.02"/>
    <s v="Lianyungang"/>
    <s v="26Feb017"/>
    <s v="CORE DG"/>
    <x v="1"/>
    <s v="SPTN Offstore in Transit WH"/>
    <s v="CIF"/>
    <x v="23"/>
    <s v="U1"/>
    <x v="127"/>
    <s v="AT0126042100006"/>
    <n v="1"/>
    <s v="Yes"/>
    <d v="2026-03-30T00:00:00"/>
    <x v="0"/>
    <x v="7"/>
    <s v="HSM-ND48-DR450"/>
    <s v="EVO2A"/>
    <s v="±1200mm"/>
    <n v="450"/>
    <n v="4680"/>
    <n v="2.1059999999999999"/>
    <n v="130"/>
    <n v="5"/>
    <x v="0"/>
    <s v="COMPLETED"/>
    <s v="W14-BW (已入)"/>
    <d v="2026-04-13T00:00:00"/>
    <n v="16"/>
    <s v="POPV260512043"/>
    <m/>
    <s v="Lianyungang BW"/>
    <x v="1"/>
    <x v="1"/>
    <d v="2026-04-17T00:00:00"/>
    <d v="2026-04-18T00:00:00"/>
    <d v="2026-04-17T00:00:00"/>
    <d v="2026-05-30T00:00:00"/>
    <d v="2026-06-06T00:00:00"/>
    <d v="2026-06-07T00:00:00"/>
    <s v="CIF"/>
    <s v="ONE TRUST 031W"/>
    <s v="OTHER"/>
    <s v="TPVB20260415014"/>
    <x v="266"/>
    <s v="HDMUSHAZZZ529800"/>
    <n v="51"/>
    <m/>
    <d v="2026-06-07T00:00:00"/>
    <s v="In Stock-Approved"/>
    <d v="2026-06-05T00:00:00"/>
    <n v="0"/>
    <d v="2026-06-07T00:00:00"/>
    <n v="2026"/>
    <n v="6"/>
    <n v="23"/>
    <n v="36"/>
    <n v="936"/>
    <s v="Black glazing"/>
    <s v="AEU"/>
  </r>
  <r>
    <s v="26Feb017.20"/>
    <s v="Lianyungang"/>
    <s v="26Feb017"/>
    <s v="CORE DG"/>
    <x v="1"/>
    <s v="SPTN Offstore in Transit WH"/>
    <s v="CIF"/>
    <x v="23"/>
    <s v="U1"/>
    <x v="127"/>
    <s v="AT0126042100006"/>
    <n v="2"/>
    <s v="Yes"/>
    <d v="2026-03-30T00:00:00"/>
    <x v="0"/>
    <x v="7"/>
    <s v="HSM-ND48-DR450"/>
    <s v="EVO2A"/>
    <s v="±1200mm"/>
    <n v="450"/>
    <n v="4680"/>
    <n v="2.1059999999999999"/>
    <n v="130"/>
    <n v="5"/>
    <x v="0"/>
    <s v="COMPLETED"/>
    <s v="W14-BW (已入)"/>
    <d v="2026-04-13T00:00:00"/>
    <n v="16"/>
    <s v="POPV260512044"/>
    <m/>
    <s v="Lianyungang BW"/>
    <x v="1"/>
    <x v="1"/>
    <d v="2026-04-17T00:00:00"/>
    <d v="2026-04-18T00:00:00"/>
    <d v="2026-04-17T00:00:00"/>
    <d v="2026-05-30T00:00:00"/>
    <d v="2026-06-06T00:00:00"/>
    <d v="2026-06-07T00:00:00"/>
    <s v="CIF"/>
    <s v="ONE TRUST 031W"/>
    <s v="OTHER"/>
    <s v="TPVB20260415014"/>
    <x v="266"/>
    <s v="HDMUSHAZZZ529800"/>
    <n v="51"/>
    <m/>
    <d v="2026-06-07T00:00:00"/>
    <s v="In Stock-Approved"/>
    <d v="2026-06-05T00:00:00"/>
    <n v="0"/>
    <d v="2026-06-07T00:00:00"/>
    <n v="2026"/>
    <n v="6"/>
    <n v="23"/>
    <n v="36"/>
    <n v="936"/>
    <s v="Black glazing"/>
    <s v="AEU"/>
  </r>
  <r>
    <s v="26Apr006.01"/>
    <s v="Tianjin(Transport to Yixing for shipment)"/>
    <s v="26Apr006"/>
    <s v="CORE DG"/>
    <x v="0"/>
    <s v="Arrival Plan-SPNL"/>
    <s v="CIF"/>
    <x v="0"/>
    <m/>
    <x v="2"/>
    <m/>
    <m/>
    <s v="n/a"/>
    <s v="n/a"/>
    <x v="6"/>
    <x v="69"/>
    <s v="SPR-P7-515-BLK-P"/>
    <s v="EVO2A"/>
    <s v="±1350mm"/>
    <n v="515"/>
    <n v="792"/>
    <n v="0.40788000000000002"/>
    <n v="22"/>
    <n v="1"/>
    <x v="0"/>
    <s v="COMPLETED"/>
    <m/>
    <d v="2026-04-14T00:00:00"/>
    <n v="16"/>
    <s v="POPV260417008"/>
    <m/>
    <s v="SHANGHAI"/>
    <x v="1"/>
    <x v="1"/>
    <d v="2026-04-19T00:00:00"/>
    <d v="2026-04-18T00:00:00"/>
    <d v="2026-04-18T00:00:00"/>
    <d v="2026-05-30T00:00:00"/>
    <d v="2026-06-02T00:00:00"/>
    <d v="2026-06-02T00:00:00"/>
    <s v="CIF"/>
    <s v="CMA CGM TROCADERO  0FMGRW1MA"/>
    <s v="COSCO"/>
    <s v="TPVB20260416006"/>
    <x v="267"/>
    <s v="COSU6450392670"/>
    <n v="45"/>
    <m/>
    <d v="2026-06-02T00:00:00"/>
    <s v="In Stock-Approved"/>
    <d v="2026-06-16T00:00:00"/>
    <n v="7"/>
    <d v="2026-06-09T00:00:00"/>
    <n v="2026"/>
    <n v="6"/>
    <n v="24"/>
    <n v="36"/>
    <n v="792"/>
    <s v="Black glazing"/>
    <s v="AEU"/>
  </r>
  <r>
    <s v="26Feb005.04"/>
    <s v="Yixing"/>
    <s v="26Feb005"/>
    <s v="CORE DG"/>
    <x v="0"/>
    <s v="Arrival Plan-SPIT"/>
    <s v="CIF"/>
    <x v="4"/>
    <s v="U2"/>
    <x v="2"/>
    <m/>
    <m/>
    <s v="n/a"/>
    <d v="2026-03-30T00:00:00"/>
    <x v="2"/>
    <x v="5"/>
    <s v="SPR-P7-555-COM-S"/>
    <s v="EVO2A"/>
    <s v="±1400mm"/>
    <n v="555"/>
    <n v="3960"/>
    <n v="2.1978"/>
    <n v="120"/>
    <n v="6"/>
    <x v="1"/>
    <s v="COMPLETED"/>
    <s v="W14- (4.5货好)"/>
    <d v="2026-04-10T00:00:00"/>
    <n v="15"/>
    <s v="POPV260417007"/>
    <m/>
    <s v="SHANGHAI NTR"/>
    <x v="1"/>
    <x v="4"/>
    <d v="2026-04-17T00:00:00"/>
    <d v="2026-04-17T00:00:00"/>
    <d v="2026-04-19T00:00:00"/>
    <d v="2026-06-03T00:00:00"/>
    <d v="2026-06-09T00:00:00"/>
    <d v="2026-06-09T00:00:00"/>
    <s v="CIF"/>
    <s v="COSCO SHIPPING PISCES 032W"/>
    <s v="COSCO"/>
    <s v="TPVB20260416005"/>
    <x v="268"/>
    <s v="COSU6450114670"/>
    <n v="51"/>
    <m/>
    <d v="2026-06-09T00:00:00"/>
    <s v="In Stock-Approved"/>
    <d v="2026-06-23T00:00:00"/>
    <n v="10"/>
    <d v="2026-06-19T00:00:00"/>
    <n v="2026"/>
    <n v="6"/>
    <n v="25"/>
    <n v="33"/>
    <n v="660"/>
    <s v="White glazing"/>
    <s v="AEM"/>
  </r>
  <r>
    <s v="26Feb006.02"/>
    <s v="Yixing"/>
    <s v="26Feb006"/>
    <s v="CORE DG"/>
    <x v="0"/>
    <s v="Arrival Plan-SPIT"/>
    <s v="CIF"/>
    <x v="4"/>
    <s v="U2"/>
    <x v="2"/>
    <m/>
    <m/>
    <s v="n/a"/>
    <d v="2026-03-30T00:00:00"/>
    <x v="2"/>
    <x v="68"/>
    <s v="SPR-P7-560-COM-S"/>
    <s v="EVO2A"/>
    <s v="±1400mm"/>
    <n v="560"/>
    <n v="1320"/>
    <n v="0.73919999999999997"/>
    <n v="40"/>
    <n v="2"/>
    <x v="1"/>
    <s v="COMPLETED"/>
    <s v="W14-BW (4.3货好)"/>
    <d v="2026-04-10T00:00:00"/>
    <n v="15"/>
    <s v="POPV260417006"/>
    <m/>
    <s v="SHANGHAI NTR"/>
    <x v="1"/>
    <x v="4"/>
    <d v="2026-04-17T00:00:00"/>
    <d v="2026-04-17T00:00:00"/>
    <d v="2026-04-19T00:00:00"/>
    <d v="2026-06-03T00:00:00"/>
    <d v="2026-06-09T00:00:00"/>
    <d v="2026-06-09T00:00:00"/>
    <s v="CIF"/>
    <s v="COSCO SHIPPING PISCES 032W"/>
    <s v="COSCO"/>
    <s v="TPVB20260416005"/>
    <x v="268"/>
    <s v="COSU6450114670"/>
    <n v="51"/>
    <m/>
    <d v="2026-06-09T00:00:00"/>
    <s v="In Stock-Approved"/>
    <d v="2026-06-23T00:00:00"/>
    <n v="10"/>
    <d v="2026-06-19T00:00:00"/>
    <n v="2026"/>
    <n v="6"/>
    <n v="25"/>
    <n v="33"/>
    <n v="660"/>
    <s v="White glazing"/>
    <s v="AEM"/>
  </r>
  <r>
    <s v="26Apr005.01"/>
    <s v="Tianjin(Transport to Yixing for shipment)"/>
    <s v="26Apr005"/>
    <s v="CORE DG"/>
    <x v="0"/>
    <s v="Arrival Plan-SPTN"/>
    <s v="CIF"/>
    <x v="0"/>
    <m/>
    <x v="2"/>
    <m/>
    <m/>
    <s v="n/a"/>
    <s v="n/a"/>
    <x v="6"/>
    <x v="21"/>
    <s v="SPR-P7-510-BLK-P"/>
    <s v="EVO2A"/>
    <s v="±1350mm"/>
    <n v="510"/>
    <n v="792"/>
    <n v="0.40392"/>
    <n v="22"/>
    <n v="1"/>
    <x v="1"/>
    <s v="COMPLETED"/>
    <s v="w16 PICK-UP"/>
    <d v="2026-04-17T00:00:00"/>
    <n v="16"/>
    <s v="POPV260422003"/>
    <m/>
    <s v="SHANGHAI"/>
    <x v="1"/>
    <x v="0"/>
    <d v="2026-04-22T00:00:00"/>
    <d v="2026-04-24T00:00:00"/>
    <d v="2026-04-26T00:00:00"/>
    <d v="2026-06-02T00:00:00"/>
    <d v="2026-06-15T00:00:00"/>
    <d v="2026-06-18T00:00:00"/>
    <s v="CIF"/>
    <s v="CMA CGM BIG SUR 0MENLW1MA"/>
    <s v="COSCO"/>
    <s v="TPVB20260416008"/>
    <x v="269"/>
    <s v="COSU6450390480"/>
    <n v="53"/>
    <m/>
    <d v="2026-06-18T00:00:00"/>
    <s v="In Stock-Approved"/>
    <d v="2026-07-02T00:00:00"/>
    <n v="8"/>
    <d v="2026-06-26T00:00:00"/>
    <n v="2026"/>
    <n v="6"/>
    <n v="26"/>
    <n v="36"/>
    <n v="792"/>
    <s v="Black glazing"/>
    <s v="AEM"/>
  </r>
  <r>
    <s v="26Apr006.02"/>
    <s v="Tianjin(Transport to Yixing for shipment)"/>
    <s v="26Apr006"/>
    <s v="CORE DG"/>
    <x v="0"/>
    <s v="Arrival Plan-SPTN"/>
    <s v="CIF"/>
    <x v="0"/>
    <m/>
    <x v="2"/>
    <m/>
    <m/>
    <s v="n/a"/>
    <s v="n/a"/>
    <x v="6"/>
    <x v="69"/>
    <s v="SPR-P7-515-BLK-P"/>
    <s v="EVO2A"/>
    <s v="±1350mm"/>
    <n v="515"/>
    <n v="792"/>
    <n v="0.40788000000000002"/>
    <n v="22"/>
    <n v="1"/>
    <x v="1"/>
    <s v="COMPLETED"/>
    <s v="w16 PICK-UP"/>
    <d v="2026-04-16T00:00:00"/>
    <n v="16"/>
    <s v="POPV260422002"/>
    <s v="ra"/>
    <s v="SHANGHAI"/>
    <x v="1"/>
    <x v="0"/>
    <d v="2026-04-22T00:00:00"/>
    <d v="2026-04-24T00:00:00"/>
    <d v="2026-04-26T00:00:00"/>
    <d v="2026-06-02T00:00:00"/>
    <d v="2026-06-15T00:00:00"/>
    <d v="2026-06-18T00:00:00"/>
    <s v="CIF"/>
    <s v="CMA CGM BIG SUR 0MENLW1MA"/>
    <s v="COSCO"/>
    <s v="TPVB20260416008"/>
    <x v="269"/>
    <s v="COSU6450390480"/>
    <n v="53"/>
    <m/>
    <d v="2026-06-18T00:00:00"/>
    <s v="In Stock-Approved"/>
    <d v="2026-07-02T00:00:00"/>
    <n v="8"/>
    <d v="2026-06-26T00:00:00"/>
    <n v="2026"/>
    <n v="6"/>
    <n v="26"/>
    <n v="36"/>
    <n v="792"/>
    <s v="Black glazing"/>
    <s v="AEM"/>
  </r>
  <r>
    <s v="26Feb021.02"/>
    <s v="Tianjin"/>
    <s v="26Feb021"/>
    <s v="CORE DG"/>
    <x v="0"/>
    <s v="Arrival Plan-SPTN"/>
    <s v="CIF"/>
    <x v="0"/>
    <s v="U4"/>
    <x v="2"/>
    <m/>
    <m/>
    <s v="n/a"/>
    <d v="2026-03-30T00:00:00"/>
    <x v="0"/>
    <x v="1"/>
    <s v="HSM-ND48-DR450_CFP"/>
    <s v="EVO2A"/>
    <s v="±1200mm"/>
    <n v="450"/>
    <n v="7488"/>
    <n v="3.3696000000000002"/>
    <n v="208"/>
    <n v="8"/>
    <x v="1"/>
    <s v="COMPLETED"/>
    <s v="W14-BW (3.27货好)"/>
    <d v="2026-04-15T00:00:00"/>
    <n v="16"/>
    <s v="POPV260417005"/>
    <m/>
    <s v="TIANJIN BW"/>
    <x v="0"/>
    <x v="5"/>
    <d v="2026-04-19T00:00:00"/>
    <d v="2026-04-19T00:00:00"/>
    <d v="2026-04-19T00:00:00"/>
    <d v="2026-06-09T00:00:00"/>
    <d v="2026-06-23T00:00:00"/>
    <d v="2026-06-17T00:00:00"/>
    <s v="CIF"/>
    <s v="MAERSK SHIVLING / 616W"/>
    <s v="OTHER"/>
    <s v="TPVB20260417002"/>
    <x v="270"/>
    <n v="273285266"/>
    <n v="59"/>
    <m/>
    <d v="2026-06-17T00:00:00"/>
    <s v="In Stock-Approved"/>
    <d v="2026-07-01T00:00:00"/>
    <n v="10"/>
    <d v="2026-06-27T00:00:00"/>
    <n v="2026"/>
    <n v="6"/>
    <n v="26"/>
    <n v="36"/>
    <n v="936"/>
    <s v="Transparent"/>
    <s v="AEU"/>
  </r>
  <r>
    <s v="26Feb021.13"/>
    <s v="Tianjin"/>
    <s v="26Feb021"/>
    <s v="CORE DG"/>
    <x v="0"/>
    <s v="Arrival Plan-SPTN"/>
    <s v="CIF"/>
    <x v="0"/>
    <s v="U2"/>
    <x v="2"/>
    <m/>
    <m/>
    <s v="n/a"/>
    <d v="2026-03-30T00:00:00"/>
    <x v="0"/>
    <x v="1"/>
    <s v="HSM-ND48-DR450_CFP"/>
    <s v="EVO2A"/>
    <s v="±1200mm"/>
    <n v="450"/>
    <n v="1872"/>
    <n v="0.84240000000000004"/>
    <n v="52"/>
    <n v="2"/>
    <x v="1"/>
    <s v="COMPLETED"/>
    <s v="W14-BW (3.27货好)"/>
    <d v="2026-04-15T00:00:00"/>
    <n v="16"/>
    <s v="POPV260417004"/>
    <m/>
    <s v="TIANJIN BW"/>
    <x v="0"/>
    <x v="5"/>
    <d v="2026-04-19T00:00:00"/>
    <d v="2026-04-19T00:00:00"/>
    <d v="2026-04-19T00:00:00"/>
    <d v="2026-06-09T00:00:00"/>
    <d v="2026-06-23T00:00:00"/>
    <d v="2026-06-17T00:00:00"/>
    <s v="CIF"/>
    <s v="MAERSK SHIVLING / 616W"/>
    <s v="OTHER"/>
    <s v="TPVB20260417002"/>
    <x v="270"/>
    <n v="273285266"/>
    <n v="59"/>
    <m/>
    <d v="2026-06-17T00:00:00"/>
    <s v="In Stock-Approved"/>
    <d v="2026-07-01T00:00:00"/>
    <n v="10"/>
    <d v="2026-06-27T00:00:00"/>
    <n v="2026"/>
    <n v="6"/>
    <n v="26"/>
    <n v="36"/>
    <n v="936"/>
    <s v="Transparent"/>
    <s v="AEU"/>
  </r>
  <r>
    <s v="26Feb023.03"/>
    <s v="Tianjin"/>
    <s v="26Feb023"/>
    <s v="CORE DG"/>
    <x v="0"/>
    <s v="Arrival Plan-SPTN"/>
    <s v="CIF"/>
    <x v="0"/>
    <s v="U6"/>
    <x v="2"/>
    <m/>
    <m/>
    <s v="n/a"/>
    <d v="2026-03-30T00:00:00"/>
    <x v="0"/>
    <x v="27"/>
    <s v="HSM-ND54-DR500 CFP"/>
    <s v="EVO2A"/>
    <s v="±1200mm"/>
    <n v="500"/>
    <n v="864"/>
    <n v="0.432"/>
    <n v="24"/>
    <n v="1"/>
    <x v="1"/>
    <s v="COMPLETED"/>
    <s v="W14-BW (3.30货好)"/>
    <d v="2026-04-13T00:00:00"/>
    <n v="16"/>
    <s v="POPV260417002"/>
    <m/>
    <s v="TIANJIN BW"/>
    <x v="0"/>
    <x v="5"/>
    <d v="2026-04-17T00:00:00"/>
    <d v="2026-04-17T00:00:00"/>
    <d v="2026-04-16T00:00:00"/>
    <d v="2026-06-09T00:00:00"/>
    <d v="2026-06-10T00:00:00"/>
    <d v="2026-06-09T00:00:00"/>
    <s v="CIF"/>
    <s v="COSCO AFRICA 101E"/>
    <s v="COSCO"/>
    <s v="TPVB20260416001"/>
    <x v="271"/>
    <s v="COSU6449793280"/>
    <n v="54"/>
    <m/>
    <d v="2026-06-09T00:00:00"/>
    <s v="In Stock-Approved"/>
    <d v="2026-06-25T00:00:00"/>
    <n v="10"/>
    <d v="2026-06-19T00:00:00"/>
    <n v="2026"/>
    <n v="6"/>
    <n v="25"/>
    <n v="36"/>
    <n v="864"/>
    <s v="Black glazing"/>
    <s v="AEU"/>
  </r>
  <r>
    <s v="26Feb024.01"/>
    <s v="Tianjin"/>
    <s v="26Feb024"/>
    <s v="CORE DG"/>
    <x v="0"/>
    <s v="Arrival Plan-SPTN"/>
    <s v="CIF"/>
    <x v="0"/>
    <s v="U2"/>
    <x v="2"/>
    <m/>
    <m/>
    <s v="n/a"/>
    <d v="2026-03-30T00:00:00"/>
    <x v="0"/>
    <x v="26"/>
    <s v="HSM-ND54-DR505 CFP"/>
    <s v="EVO2A"/>
    <s v="±1200mm"/>
    <n v="505"/>
    <n v="3456"/>
    <n v="1.7452799999999999"/>
    <n v="96"/>
    <n v="4"/>
    <x v="1"/>
    <s v="COMPLETED"/>
    <s v="W14-BW (3.30货好)"/>
    <d v="2026-04-16T00:00:00"/>
    <n v="16"/>
    <s v="POPV260421027"/>
    <m/>
    <s v="TIANJIN BW"/>
    <x v="0"/>
    <x v="0"/>
    <d v="2026-04-21T00:00:00"/>
    <d v="2026-04-22T00:00:00"/>
    <d v="2026-04-21T00:00:00"/>
    <d v="2026-06-22T00:00:00"/>
    <d v="2026-06-27T00:00:00"/>
    <d v="2026-06-30T00:00:00"/>
    <s v="CIF"/>
    <s v="COSCO SHIPPING GALAXY 029W"/>
    <s v="COSCO"/>
    <s v="TPVB20260416004"/>
    <x v="272"/>
    <s v="COSU9506800640"/>
    <n v="70"/>
    <m/>
    <d v="2026-06-30T00:00:00"/>
    <s v="In Stock-Approved"/>
    <d v="2026-07-13T00:00:00"/>
    <n v="8"/>
    <d v="2026-07-08T00:00:00"/>
    <n v="2026"/>
    <n v="7"/>
    <n v="28"/>
    <n v="36"/>
    <n v="864"/>
    <s v="Black glazing"/>
    <s v="AEM"/>
  </r>
  <r>
    <s v="26Feb024.02"/>
    <s v="Tianjin"/>
    <s v="26Feb024"/>
    <s v="CORE DG"/>
    <x v="0"/>
    <s v="Arrival Plan-SPTN"/>
    <s v="CIF"/>
    <x v="0"/>
    <s v="U2"/>
    <x v="2"/>
    <m/>
    <m/>
    <s v="n/a"/>
    <d v="2026-03-30T00:00:00"/>
    <x v="0"/>
    <x v="26"/>
    <s v="HSM-ND54-DR505 CFP"/>
    <s v="EVO2A"/>
    <s v="±1200mm"/>
    <n v="505"/>
    <n v="1728"/>
    <n v="0.87263999999999997"/>
    <n v="48"/>
    <n v="2"/>
    <x v="1"/>
    <s v="COMPLETED"/>
    <s v="W14-BW (3.30货好)"/>
    <d v="2026-04-13T00:00:00"/>
    <n v="16"/>
    <s v="POPV260417003"/>
    <m/>
    <s v="TIANJIN BW"/>
    <x v="0"/>
    <x v="0"/>
    <d v="2026-04-17T00:00:00"/>
    <d v="2026-04-17T00:00:00"/>
    <d v="2026-04-16T00:00:00"/>
    <d v="2026-06-16T00:00:00"/>
    <d v="2026-06-11T00:00:00"/>
    <d v="2026-06-11T00:00:00"/>
    <s v="CIF"/>
    <s v="CMA CGM JULES VERNE 0MENNW1MA"/>
    <s v="COSCO"/>
    <s v="TPVB20260416003"/>
    <x v="273"/>
    <s v="COSU6449882020"/>
    <n v="56"/>
    <m/>
    <d v="2026-06-11T00:00:00"/>
    <s v="In Stock-Approved"/>
    <d v="2026-06-24T00:00:00"/>
    <n v="8"/>
    <d v="2026-06-19T00:00:00"/>
    <n v="2026"/>
    <n v="6"/>
    <n v="25"/>
    <n v="36"/>
    <n v="864"/>
    <s v="Black glazing"/>
    <s v="AEM"/>
  </r>
  <r>
    <s v="26Apr005.03"/>
    <s v="Tianjin(Transport to Yixing for shipment)"/>
    <s v="26Apr005"/>
    <s v="CORE DG"/>
    <x v="0"/>
    <s v="Arrival Plan-SPNL"/>
    <s v="CIF"/>
    <x v="0"/>
    <s v="U4"/>
    <x v="2"/>
    <m/>
    <m/>
    <s v="n/a"/>
    <s v="n/a"/>
    <x v="6"/>
    <x v="21"/>
    <s v="SPR-P7-510-BLK-P"/>
    <s v="EVO2A"/>
    <s v="±1350mm"/>
    <n v="510"/>
    <n v="1584"/>
    <n v="0.80784"/>
    <n v="44"/>
    <n v="2"/>
    <x v="0"/>
    <s v="COMPLETED"/>
    <s v="四月22日"/>
    <d v="2026-04-23T00:00:00"/>
    <n v="17"/>
    <s v="POPV260423031"/>
    <m/>
    <s v="SHANGHAI"/>
    <x v="1"/>
    <x v="1"/>
    <d v="2026-04-27T00:00:00"/>
    <d v="2026-04-29T00:00:00"/>
    <d v="2026-04-29T00:00:00"/>
    <d v="2026-06-02T00:00:00"/>
    <d v="2026-06-06T00:00:00"/>
    <d v="2026-06-07T00:00:00"/>
    <s v="CIF"/>
    <s v="COSCO SHIPPING GALAXY 029W"/>
    <s v="COSCO"/>
    <s v="TPVB20260417009"/>
    <x v="274"/>
    <s v="COSU6450707610"/>
    <n v="39"/>
    <m/>
    <d v="2026-06-07T00:00:00"/>
    <s v="In Stock-Approved"/>
    <d v="2026-06-19T00:00:00"/>
    <n v="7"/>
    <d v="2026-06-14T00:00:00"/>
    <n v="2026"/>
    <n v="6"/>
    <n v="24"/>
    <n v="36"/>
    <n v="792"/>
    <s v="Black glazing"/>
    <s v="AEU"/>
  </r>
  <r>
    <s v="26Apr006.04"/>
    <s v="Tianjin(Transport to Yixing for shipment)"/>
    <s v="26Apr006"/>
    <s v="CORE DG"/>
    <x v="0"/>
    <s v="Arrival Plan-SPNL"/>
    <s v="CIF"/>
    <x v="0"/>
    <s v="U1"/>
    <x v="2"/>
    <m/>
    <m/>
    <s v="n/a"/>
    <s v="n/a"/>
    <x v="6"/>
    <x v="69"/>
    <s v="SPR-P7-515-BLK-P"/>
    <s v="EVO2A"/>
    <s v="±1350mm"/>
    <n v="515"/>
    <n v="2376"/>
    <n v="1.2236400000000001"/>
    <n v="66"/>
    <n v="3"/>
    <x v="0"/>
    <s v="COMPLETED"/>
    <s v="四月22日"/>
    <d v="2026-04-23T00:00:00"/>
    <n v="17"/>
    <s v="POPV260423030"/>
    <m/>
    <s v="SHANGHAI"/>
    <x v="1"/>
    <x v="1"/>
    <d v="2026-04-27T00:00:00"/>
    <d v="2026-04-29T00:00:00"/>
    <d v="2026-04-29T00:00:00"/>
    <d v="2026-06-02T00:00:00"/>
    <d v="2026-06-06T00:00:00"/>
    <d v="2026-06-07T00:00:00"/>
    <s v="CIF"/>
    <s v="COSCO SHIPPING GALAXY 029W"/>
    <s v="COSCO"/>
    <s v="TPVB20260417009"/>
    <x v="274"/>
    <s v="COSU6450707610"/>
    <n v="39"/>
    <m/>
    <d v="2026-06-07T00:00:00"/>
    <s v="In Stock-Approved"/>
    <d v="2026-06-19T00:00:00"/>
    <n v="7"/>
    <d v="2026-06-14T00:00:00"/>
    <n v="2026"/>
    <n v="6"/>
    <n v="24"/>
    <n v="36"/>
    <n v="792"/>
    <s v="Black glazing"/>
    <s v="AEU"/>
  </r>
  <r>
    <s v="26Apr004.06"/>
    <s v="Yixing"/>
    <s v="26Apr004"/>
    <s v="CORE DG"/>
    <x v="0"/>
    <s v="Arrival Plan-SPNL"/>
    <s v="CIF"/>
    <x v="0"/>
    <m/>
    <x v="2"/>
    <m/>
    <m/>
    <s v="n/a"/>
    <d v="2026-04-27T00:00:00"/>
    <x v="5"/>
    <x v="19"/>
    <s v="SPR-P7-460-BLK-1500"/>
    <s v="EVO2A"/>
    <s v="±1200mm"/>
    <n v="460"/>
    <n v="6912"/>
    <n v="3.1795200000000001"/>
    <n v="192"/>
    <n v="8"/>
    <x v="1"/>
    <s v="COMPLETED"/>
    <s v="四月22日 w17 PICK-UP"/>
    <d v="2026-04-22T00:00:00"/>
    <n v="17"/>
    <s v="POPV260423014"/>
    <m/>
    <s v="SHANGHAI"/>
    <x v="1"/>
    <x v="1"/>
    <d v="2026-04-26T00:00:00"/>
    <d v="2026-04-26T00:00:00"/>
    <d v="2026-04-27T00:00:00"/>
    <d v="2026-06-15T00:00:00"/>
    <d v="2026-06-15T00:00:00"/>
    <d v="2026-06-22T00:00:00"/>
    <m/>
    <m/>
    <s v="COSCO"/>
    <s v="TPVB20260417015"/>
    <x v="275"/>
    <s v="COSU6451575620"/>
    <n v="56"/>
    <m/>
    <d v="2026-06-22T00:00:00"/>
    <s v="In Stock-Approved"/>
    <d v="2026-06-30T00:00:00"/>
    <n v="7"/>
    <d v="2026-06-29T00:00:00"/>
    <n v="2026"/>
    <n v="6"/>
    <n v="27"/>
    <n v="36"/>
    <n v="864"/>
    <s v="Black glazing"/>
    <s v="AEU"/>
  </r>
  <r>
    <s v="26Apr006.09"/>
    <s v="Tianjin(Transport to Yixing for shipment)"/>
    <s v="26Apr006"/>
    <s v="CORE DG"/>
    <x v="0"/>
    <s v="Arrival Plan-SPUK"/>
    <s v="CIF"/>
    <x v="6"/>
    <s v="U1"/>
    <x v="2"/>
    <m/>
    <m/>
    <s v="n/a"/>
    <s v="n/a"/>
    <x v="6"/>
    <x v="69"/>
    <s v="SPR-P7-515-BLK-P"/>
    <s v="EVO2A"/>
    <s v="±1350mm"/>
    <n v="515"/>
    <n v="3168"/>
    <n v="1.6315200000000001"/>
    <n v="88"/>
    <n v="4"/>
    <x v="1"/>
    <s v="COMPLETED"/>
    <s v="四月22日"/>
    <d v="2026-04-23T00:00:00"/>
    <n v="17"/>
    <s v="POPV260423013"/>
    <m/>
    <s v="SHANGHAI"/>
    <x v="1"/>
    <x v="6"/>
    <d v="2026-04-27T00:00:00"/>
    <d v="2026-04-28T00:00:00"/>
    <d v="2026-04-29T00:00:00"/>
    <d v="2026-06-07T00:00:00"/>
    <d v="2026-06-17T00:00:00"/>
    <d v="2026-06-21T00:00:00"/>
    <s v="CIF"/>
    <s v="EVER ATOP 1398-013W"/>
    <s v="COSCO"/>
    <s v="TPVB20260417010"/>
    <x v="276"/>
    <s v="COSU6451231180"/>
    <n v="53"/>
    <m/>
    <d v="2026-06-21T00:00:00"/>
    <s v="In Stock-Approved"/>
    <d v="2026-07-02T00:00:00"/>
    <n v="7"/>
    <d v="2026-06-28T00:00:00"/>
    <n v="2026"/>
    <n v="6"/>
    <n v="26"/>
    <n v="36"/>
    <n v="792"/>
    <s v="Black glazing"/>
    <s v="AEU"/>
  </r>
  <r>
    <s v="26Apr005.02"/>
    <s v="Tianjin(Transport to Yixing for shipment)"/>
    <s v="26Apr005"/>
    <s v="CORE DG"/>
    <x v="0"/>
    <s v="Arrival Plan-SPIT"/>
    <s v="CIF"/>
    <x v="4"/>
    <s v="U4"/>
    <x v="2"/>
    <m/>
    <m/>
    <s v="n/a"/>
    <s v="n/a"/>
    <x v="6"/>
    <x v="21"/>
    <s v="SPR-P7-510-BLK-P"/>
    <s v="EVO2A"/>
    <s v="±1350mm"/>
    <n v="510"/>
    <n v="792"/>
    <n v="0.40392"/>
    <n v="22"/>
    <n v="1"/>
    <x v="1"/>
    <s v="COMPLETED"/>
    <s v="四月18日w17 PICK-UP"/>
    <d v="2026-04-19T00:00:00"/>
    <n v="16"/>
    <s v="POPV260423012"/>
    <m/>
    <s v="SHANGHAI"/>
    <x v="1"/>
    <x v="4"/>
    <d v="2026-04-24T00:00:00"/>
    <d v="2026-04-24T00:00:00"/>
    <d v="2026-04-26T00:00:00"/>
    <d v="2026-06-10T00:00:00"/>
    <d v="2026-06-17T00:00:00"/>
    <d v="2026-06-17T00:00:00"/>
    <s v="CIF"/>
    <s v="COSCO SHIPPING SCORPIO 034W"/>
    <s v="COSCO"/>
    <s v="TPVB20260417011"/>
    <x v="277"/>
    <s v="COSU6450703930"/>
    <n v="52"/>
    <m/>
    <d v="2026-06-17T00:00:00"/>
    <s v="In Stock-Approved"/>
    <d v="2026-07-01T00:00:00"/>
    <n v="10"/>
    <d v="2026-06-27T00:00:00"/>
    <n v="2026"/>
    <n v="6"/>
    <n v="26"/>
    <n v="36"/>
    <n v="792"/>
    <s v="Black glazing"/>
    <s v="AEM"/>
  </r>
  <r>
    <s v="26Apr006.03"/>
    <s v="Tianjin(Transport to Yixing for shipment)"/>
    <s v="26Apr006"/>
    <s v="CORE DG"/>
    <x v="0"/>
    <s v="Arrival Plan-SPIT"/>
    <s v="CIF"/>
    <x v="4"/>
    <s v="U4"/>
    <x v="2"/>
    <m/>
    <m/>
    <s v="n/a"/>
    <s v="n/a"/>
    <x v="6"/>
    <x v="69"/>
    <s v="SPR-P7-515-BLK-P"/>
    <s v="EVO2A"/>
    <s v="±1350mm"/>
    <n v="515"/>
    <n v="1584"/>
    <n v="0.81576000000000004"/>
    <n v="44"/>
    <n v="2"/>
    <x v="1"/>
    <s v="COMPLETED"/>
    <s v="四月18日w17 PICK-UP"/>
    <d v="2026-04-18T00:00:00"/>
    <n v="16"/>
    <s v="POPV260423010"/>
    <m/>
    <s v="SHANGHAI"/>
    <x v="1"/>
    <x v="4"/>
    <d v="2026-04-24T00:00:00"/>
    <d v="2026-04-24T00:00:00"/>
    <d v="2026-04-26T00:00:00"/>
    <d v="2026-06-10T00:00:00"/>
    <d v="2026-06-17T00:00:00"/>
    <d v="2026-06-17T00:00:00"/>
    <s v="CIF"/>
    <s v="COSCO SHIPPING SCORPIO 034W"/>
    <s v="COSCO"/>
    <s v="TPVB20260417011"/>
    <x v="277"/>
    <s v="COSU6450703930"/>
    <n v="52"/>
    <m/>
    <d v="2026-06-17T00:00:00"/>
    <s v="In Stock-Approved"/>
    <d v="2026-07-01T00:00:00"/>
    <n v="10"/>
    <d v="2026-06-27T00:00:00"/>
    <n v="2026"/>
    <n v="6"/>
    <n v="26"/>
    <n v="36"/>
    <n v="792"/>
    <s v="Black glazing"/>
    <s v="AEM"/>
  </r>
  <r>
    <s v="26Apr006.06"/>
    <s v="Tianjin(Transport to Yixing for shipment)"/>
    <s v="26Apr006"/>
    <s v="CORE DG"/>
    <x v="0"/>
    <s v="Arrival Plan-SPIT"/>
    <s v="CIF"/>
    <x v="4"/>
    <s v="U3"/>
    <x v="2"/>
    <m/>
    <m/>
    <s v="n/a"/>
    <s v="n/a"/>
    <x v="6"/>
    <x v="69"/>
    <s v="SPR-P7-515-BLK-P"/>
    <s v="EVO2A"/>
    <s v="±1350mm"/>
    <n v="515"/>
    <n v="3960"/>
    <n v="2.0394000000000001"/>
    <n v="110"/>
    <n v="5"/>
    <x v="1"/>
    <s v="COMPLETED"/>
    <s v="四月19日w17 PICK-UP"/>
    <d v="2026-04-18T00:00:00"/>
    <n v="16"/>
    <s v="POPV260423011"/>
    <m/>
    <s v="SHANGHAI"/>
    <x v="1"/>
    <x v="4"/>
    <d v="2026-04-24T00:00:00"/>
    <d v="2026-04-24T00:00:00"/>
    <d v="2026-04-26T00:00:00"/>
    <d v="2026-06-10T00:00:00"/>
    <d v="2026-06-17T00:00:00"/>
    <d v="2026-06-17T00:00:00"/>
    <s v="CIF"/>
    <s v="COSCO SHIPPING SCORPIO 034W"/>
    <s v="COSCO"/>
    <s v="TPVB20260417011"/>
    <x v="277"/>
    <s v="COSU6450703930"/>
    <n v="52"/>
    <m/>
    <d v="2026-06-17T00:00:00"/>
    <s v="In Stock-Approved"/>
    <d v="2026-07-01T00:00:00"/>
    <n v="10"/>
    <d v="2026-06-27T00:00:00"/>
    <n v="2026"/>
    <n v="6"/>
    <n v="26"/>
    <n v="36"/>
    <n v="792"/>
    <s v="Black glazing"/>
    <s v="AEM"/>
  </r>
  <r>
    <s v="26Apr006.05"/>
    <s v="Tianjin(Transport to Yixing for shipment)"/>
    <s v="26Apr006"/>
    <s v="CORE DG"/>
    <x v="0"/>
    <s v="Arrival Plan-SPTN"/>
    <s v="CIF"/>
    <x v="0"/>
    <s v="U1"/>
    <x v="2"/>
    <m/>
    <m/>
    <s v="n/a"/>
    <s v="n/a"/>
    <x v="6"/>
    <x v="69"/>
    <s v="SPR-P7-515-BLK-P"/>
    <s v="EVO2A"/>
    <s v="±1350mm"/>
    <n v="515"/>
    <n v="3168"/>
    <n v="1.6315200000000001"/>
    <n v="88"/>
    <n v="4"/>
    <x v="1"/>
    <s v="COMPLETED"/>
    <s v="四月23日"/>
    <d v="2026-04-24T00:00:00"/>
    <n v="17"/>
    <s v="POPV260427005"/>
    <m/>
    <s v="SHANGHAI"/>
    <x v="1"/>
    <x v="0"/>
    <d v="2026-04-24T00:00:00"/>
    <d v="2026-04-28T00:00:00"/>
    <d v="2026-04-28T00:00:00"/>
    <d v="2026-06-15T00:00:00"/>
    <d v="2026-06-11T00:00:00"/>
    <d v="2026-06-11T00:00:00"/>
    <s v="CIF"/>
    <s v="COSCO SHIPPING SCORPIO 034W"/>
    <s v="COSCO"/>
    <s v="TPVB20260417012"/>
    <x v="278"/>
    <s v="COSU6450706480"/>
    <n v="44"/>
    <m/>
    <d v="2026-06-11T00:00:00"/>
    <s v="In Stock-Approved"/>
    <d v="2026-06-26T00:00:00"/>
    <n v="8"/>
    <d v="2026-06-19T00:00:00"/>
    <n v="2026"/>
    <n v="6"/>
    <n v="25"/>
    <n v="36"/>
    <n v="792"/>
    <s v="Black glazing"/>
    <s v="AEM"/>
  </r>
  <r>
    <s v="26Apr006.07"/>
    <s v="Tianjin(Transport to Yixing for shipment)"/>
    <s v="26Apr006"/>
    <s v="CORE DG"/>
    <x v="0"/>
    <s v="Arrival Plan-SPIT"/>
    <s v="CIF"/>
    <x v="4"/>
    <s v="U1"/>
    <x v="2"/>
    <m/>
    <m/>
    <s v="n/a"/>
    <s v="n/a"/>
    <x v="6"/>
    <x v="69"/>
    <s v="SPR-P7-515-BLK-P"/>
    <s v="EVO2A"/>
    <s v="±1350mm"/>
    <n v="515"/>
    <n v="2376"/>
    <n v="1.2236400000000001"/>
    <n v="66"/>
    <n v="3"/>
    <x v="1"/>
    <s v="COMPLETED"/>
    <s v="四月22日"/>
    <d v="2026-04-24T00:00:00"/>
    <n v="17"/>
    <s v="POPV260427004"/>
    <m/>
    <s v="SHANGHAI"/>
    <x v="1"/>
    <x v="14"/>
    <d v="2026-04-28T00:00:00"/>
    <d v="2026-04-28T00:00:00"/>
    <d v="2026-04-28T00:00:00"/>
    <d v="2026-06-26T00:00:00"/>
    <d v="2026-06-28T00:00:00"/>
    <d v="2026-06-25T00:00:00"/>
    <s v="CIF"/>
    <s v="CSCL MERCURY 099W"/>
    <s v="COSCO"/>
    <s v="TPVB20260417013"/>
    <x v="279"/>
    <s v="COSU6451090390"/>
    <n v="58"/>
    <m/>
    <d v="2026-06-25T00:00:00"/>
    <s v="In Stock-Approved"/>
    <d v="2026-07-09T00:00:00"/>
    <n v="10"/>
    <d v="2026-07-05T00:00:00"/>
    <n v="2026"/>
    <n v="7"/>
    <n v="27"/>
    <n v="36"/>
    <n v="792"/>
    <s v="Black glazing"/>
    <s v="AEM"/>
  </r>
  <r>
    <s v="26Apr006.08"/>
    <s v="Tianjin(Transport to Yixing for shipment)"/>
    <s v="26Apr006"/>
    <s v="CORE DG"/>
    <x v="0"/>
    <s v="Arrival Plan-SPES"/>
    <s v="CIF"/>
    <x v="1"/>
    <s v="U1"/>
    <x v="2"/>
    <m/>
    <m/>
    <s v="n/a"/>
    <s v="n/a"/>
    <x v="6"/>
    <x v="69"/>
    <s v="SPR-P7-515-BLK-P"/>
    <s v="EVO2A"/>
    <s v="±1350mm"/>
    <n v="515"/>
    <n v="1584"/>
    <n v="0.81576000000000004"/>
    <n v="44"/>
    <n v="2"/>
    <x v="0"/>
    <s v="COMPLETED"/>
    <s v="四月22日"/>
    <d v="2026-04-24T00:00:00"/>
    <n v="17"/>
    <s v="POPV260427003"/>
    <m/>
    <s v="SHANGHAI"/>
    <x v="1"/>
    <x v="2"/>
    <d v="2026-04-27T00:00:00"/>
    <d v="2026-04-28T00:00:00"/>
    <d v="2026-04-28T00:00:00"/>
    <d v="2026-06-11T00:00:00"/>
    <d v="2026-06-04T00:00:00"/>
    <d v="2026-06-05T00:00:00"/>
    <s v="CIF"/>
    <s v="CMA CGM JULES VERNE 0MENNW1MA"/>
    <s v="COSCO"/>
    <s v="TPVB20260417014"/>
    <x v="280"/>
    <s v="COSU6451089790"/>
    <n v="38"/>
    <m/>
    <d v="2026-06-05T00:00:00"/>
    <s v="In Stock-Approved"/>
    <d v="2026-06-18T00:00:00"/>
    <n v="9"/>
    <d v="2026-06-14T00:00:00"/>
    <n v="2026"/>
    <n v="6"/>
    <n v="24"/>
    <n v="36"/>
    <n v="792"/>
    <s v="Black glazing"/>
    <s v="AEM"/>
  </r>
  <r>
    <s v="26Feb021.07"/>
    <s v="Tianjin"/>
    <s v="26Feb021"/>
    <s v="CORE DG"/>
    <x v="0"/>
    <s v="Arrival Plan-SPTN"/>
    <s v="CIF"/>
    <x v="0"/>
    <s v="U4"/>
    <x v="2"/>
    <m/>
    <m/>
    <s v="n/a"/>
    <d v="2026-03-23T00:00:00"/>
    <x v="0"/>
    <x v="1"/>
    <s v="HSM-ND48-DR450_CFP"/>
    <s v="EVO2A"/>
    <s v="±1200mm"/>
    <n v="450"/>
    <n v="1872"/>
    <n v="0.84240000000000004"/>
    <n v="52"/>
    <n v="2"/>
    <x v="1"/>
    <s v="COMPLETED"/>
    <s v="W13-BW (3.24货好)"/>
    <d v="2026-04-22T00:00:00"/>
    <n v="17"/>
    <s v="POPV260423015"/>
    <m/>
    <s v="TIANJIN BW"/>
    <x v="0"/>
    <x v="0"/>
    <d v="2026-04-26T00:00:00"/>
    <d v="2026-04-26T00:00:00"/>
    <d v="2026-04-26T00:00:00"/>
    <d v="2026-06-23T00:00:00"/>
    <d v="2026-07-04T00:00:00"/>
    <d v="2026-07-04T00:00:00"/>
    <s v="CIF"/>
    <s v="COSCO SHIPPING LIBRA 035W"/>
    <s v="COSCO"/>
    <s v="TPVB20260417005"/>
    <x v="281"/>
    <s v="COSU9506918160"/>
    <n v="69"/>
    <m/>
    <d v="2026-07-04T00:00:00"/>
    <s v="In Stock-Approved"/>
    <d v="2026-07-17T00:00:00"/>
    <n v="8"/>
    <d v="2026-07-12T00:00:00"/>
    <n v="2026"/>
    <n v="7"/>
    <n v="28"/>
    <n v="36"/>
    <n v="936"/>
    <s v="Transparent"/>
    <s v="AEM"/>
  </r>
  <r>
    <s v="26Feb021.04"/>
    <s v="Tianjin"/>
    <s v="26Feb021"/>
    <s v="CORE DG"/>
    <x v="0"/>
    <s v="Arrival Plan-SPTN"/>
    <s v="CIF"/>
    <x v="0"/>
    <s v="U2"/>
    <x v="2"/>
    <m/>
    <m/>
    <s v="n/a"/>
    <d v="2026-03-30T00:00:00"/>
    <x v="0"/>
    <x v="1"/>
    <s v="HSM-ND48-DR450_CFP"/>
    <s v="EVO2A"/>
    <s v="±1200mm"/>
    <n v="450"/>
    <n v="3744"/>
    <n v="1.6848000000000001"/>
    <n v="104"/>
    <n v="4"/>
    <x v="1"/>
    <s v="COMPLETED"/>
    <s v="W14-BW (3.27货好)"/>
    <d v="2026-04-16T00:00:00"/>
    <n v="16"/>
    <s v="POPV260423029"/>
    <m/>
    <s v="TIANJIN BW"/>
    <x v="0"/>
    <x v="5"/>
    <d v="2026-04-24T00:00:00"/>
    <d v="2026-04-24T00:00:00"/>
    <d v="2026-04-24T00:00:00"/>
    <d v="2026-06-19T00:00:00"/>
    <d v="2026-06-23T00:00:00"/>
    <d v="2026-06-25T00:00:00"/>
    <s v="CIF"/>
    <s v="MSC LENI GT616W"/>
    <s v="OTHER"/>
    <s v="TPVB20260417003"/>
    <x v="282"/>
    <s v="TSNE78647800"/>
    <n v="62"/>
    <m/>
    <d v="2026-06-25T00:00:00"/>
    <s v="In Stock-Approved"/>
    <d v="2026-07-06T00:00:00"/>
    <n v="10"/>
    <d v="2026-07-05T00:00:00"/>
    <n v="2026"/>
    <n v="7"/>
    <n v="27"/>
    <n v="36"/>
    <n v="936"/>
    <s v="Transparent"/>
    <s v="AEU"/>
  </r>
  <r>
    <s v="26Feb021.08"/>
    <s v="Tianjin"/>
    <s v="26Feb021"/>
    <s v="CORE DG"/>
    <x v="0"/>
    <s v="Arrival Plan-SPTN"/>
    <s v="CIF"/>
    <x v="0"/>
    <s v="U2"/>
    <x v="2"/>
    <m/>
    <m/>
    <s v="n/a"/>
    <d v="2026-03-30T00:00:00"/>
    <x v="0"/>
    <x v="1"/>
    <s v="HSM-ND48-DR450_CFP"/>
    <s v="EVO2A"/>
    <s v="±1200mm"/>
    <n v="450"/>
    <n v="1872"/>
    <n v="0.84240000000000004"/>
    <n v="52"/>
    <n v="2"/>
    <x v="1"/>
    <s v="COMPLETED"/>
    <s v="W14-BW (3.27货好)"/>
    <d v="2026-04-17T00:00:00"/>
    <n v="16"/>
    <s v="POPV260423028"/>
    <m/>
    <s v="TIANJIN BW"/>
    <x v="0"/>
    <x v="5"/>
    <d v="2026-04-24T00:00:00"/>
    <d v="2026-04-24T00:00:00"/>
    <d v="2026-04-24T00:00:00"/>
    <d v="2026-06-19T00:00:00"/>
    <d v="2026-06-23T00:00:00"/>
    <d v="2026-06-25T00:00:00"/>
    <s v="CIF"/>
    <s v="MSC LENI GT616W"/>
    <s v="OTHER"/>
    <s v="TPVB20260417003"/>
    <x v="282"/>
    <s v="TSNE78647800"/>
    <n v="62"/>
    <m/>
    <d v="2026-06-25T00:00:00"/>
    <s v="In Stock-Approved"/>
    <d v="2026-07-07T00:00:00"/>
    <n v="10"/>
    <d v="2026-07-05T00:00:00"/>
    <n v="2026"/>
    <n v="7"/>
    <n v="27"/>
    <n v="36"/>
    <n v="936"/>
    <s v="Transparent"/>
    <s v="AEU"/>
  </r>
  <r>
    <s v="26Feb021.09"/>
    <s v="Tianjin"/>
    <s v="26Feb021"/>
    <s v="CORE DG"/>
    <x v="0"/>
    <s v="Arrival Plan-SPTN"/>
    <s v="CIF"/>
    <x v="0"/>
    <s v="U2"/>
    <x v="2"/>
    <m/>
    <m/>
    <s v="n/a"/>
    <d v="2026-03-30T00:00:00"/>
    <x v="0"/>
    <x v="1"/>
    <s v="HSM-ND48-DR450_CFP"/>
    <s v="EVO2A"/>
    <s v="±1200mm"/>
    <n v="450"/>
    <n v="936"/>
    <n v="0.42120000000000002"/>
    <n v="26"/>
    <n v="1"/>
    <x v="1"/>
    <s v="COMPLETED"/>
    <s v="W14-BW (3.27货好)"/>
    <d v="2026-04-17T00:00:00"/>
    <n v="16"/>
    <s v="POPV260423026"/>
    <m/>
    <s v="TIANJIN BW"/>
    <x v="0"/>
    <x v="5"/>
    <d v="2026-04-24T00:00:00"/>
    <d v="2026-04-24T00:00:00"/>
    <d v="2026-04-24T00:00:00"/>
    <d v="2026-06-19T00:00:00"/>
    <d v="2026-06-23T00:00:00"/>
    <d v="2026-06-25T00:00:00"/>
    <s v="CIF"/>
    <s v="MSC LENI GT616W"/>
    <s v="OTHER"/>
    <s v="TPVB20260417003"/>
    <x v="282"/>
    <s v="TSNE78647800"/>
    <n v="62"/>
    <m/>
    <d v="2026-06-25T00:00:00"/>
    <s v="In Stock-Approved"/>
    <d v="2026-07-07T00:00:00"/>
    <n v="10"/>
    <d v="2026-07-05T00:00:00"/>
    <n v="2026"/>
    <n v="7"/>
    <n v="27"/>
    <n v="36"/>
    <n v="936"/>
    <s v="Transparent"/>
    <s v="AEU"/>
  </r>
  <r>
    <s v="26Feb021.10"/>
    <s v="Tianjin"/>
    <s v="26Feb021"/>
    <s v="CORE DG"/>
    <x v="0"/>
    <s v="Arrival Plan-SPTN"/>
    <s v="CIF"/>
    <x v="0"/>
    <s v="U2"/>
    <x v="2"/>
    <m/>
    <m/>
    <s v="n/a"/>
    <d v="2026-03-30T00:00:00"/>
    <x v="0"/>
    <x v="1"/>
    <s v="HSM-ND48-DR450_CFP"/>
    <s v="EVO2A"/>
    <s v="±1200mm"/>
    <n v="450"/>
    <n v="936"/>
    <n v="0.42120000000000002"/>
    <n v="26"/>
    <n v="1"/>
    <x v="1"/>
    <s v="COMPLETED"/>
    <s v="W14-BW (3.27货好)"/>
    <d v="2026-04-17T00:00:00"/>
    <n v="16"/>
    <s v="POPV260423027"/>
    <m/>
    <s v="TIANJIN BW"/>
    <x v="0"/>
    <x v="5"/>
    <d v="2026-04-24T00:00:00"/>
    <d v="2026-04-24T00:00:00"/>
    <d v="2026-04-24T00:00:00"/>
    <d v="2026-06-19T00:00:00"/>
    <d v="2026-06-23T00:00:00"/>
    <d v="2026-06-25T00:00:00"/>
    <s v="CIF"/>
    <s v="MSC LENI GT616W"/>
    <s v="OTHER"/>
    <s v="TPVB20260417003"/>
    <x v="282"/>
    <s v="TSNE78647800"/>
    <n v="62"/>
    <m/>
    <d v="2026-06-25T00:00:00"/>
    <s v="In Stock-Approved"/>
    <d v="2026-07-07T00:00:00"/>
    <n v="10"/>
    <d v="2026-07-05T00:00:00"/>
    <n v="2026"/>
    <n v="7"/>
    <n v="27"/>
    <n v="36"/>
    <n v="936"/>
    <s v="Transparent"/>
    <s v="AEU"/>
  </r>
  <r>
    <s v="26Feb021.11"/>
    <s v="Tianjin"/>
    <s v="26Feb021"/>
    <s v="CORE DG"/>
    <x v="0"/>
    <s v="Arrival Plan-SPTN"/>
    <s v="CIF"/>
    <x v="0"/>
    <s v="U2"/>
    <x v="2"/>
    <m/>
    <m/>
    <s v="n/a"/>
    <d v="2026-03-30T00:00:00"/>
    <x v="0"/>
    <x v="1"/>
    <s v="HSM-ND48-DR450_CFP"/>
    <s v="EVO2A"/>
    <s v="±1200mm"/>
    <n v="450"/>
    <n v="936"/>
    <n v="0.42120000000000002"/>
    <n v="26"/>
    <n v="1"/>
    <x v="1"/>
    <s v="COMPLETED"/>
    <s v="W14-BW (3.27货好)"/>
    <d v="2026-04-17T00:00:00"/>
    <n v="16"/>
    <s v="POPV260423025"/>
    <m/>
    <s v="TIANJIN BW"/>
    <x v="0"/>
    <x v="5"/>
    <d v="2026-04-24T00:00:00"/>
    <d v="2026-04-24T00:00:00"/>
    <d v="2026-04-24T00:00:00"/>
    <d v="2026-06-19T00:00:00"/>
    <d v="2026-06-23T00:00:00"/>
    <d v="2026-06-25T00:00:00"/>
    <s v="CIF"/>
    <s v="MSC LENI GT616W"/>
    <s v="OTHER"/>
    <s v="TPVB20260417003"/>
    <x v="282"/>
    <s v="TSNE78647800"/>
    <n v="62"/>
    <m/>
    <d v="2026-06-25T00:00:00"/>
    <s v="In Stock-Approved"/>
    <d v="2026-07-07T00:00:00"/>
    <n v="10"/>
    <d v="2026-07-05T00:00:00"/>
    <n v="2026"/>
    <n v="7"/>
    <n v="27"/>
    <n v="36"/>
    <n v="936"/>
    <s v="Transparent"/>
    <s v="AEU"/>
  </r>
  <r>
    <s v="26Feb021.05"/>
    <s v="Tianjin"/>
    <s v="26Feb021"/>
    <s v="CORE DG"/>
    <x v="0"/>
    <s v="Arrival Plan-SPTN"/>
    <s v="CIF"/>
    <x v="0"/>
    <s v="U2"/>
    <x v="2"/>
    <m/>
    <m/>
    <s v="n/a"/>
    <d v="2026-03-30T00:00:00"/>
    <x v="0"/>
    <x v="1"/>
    <s v="HSM-ND48-DR450_CFP"/>
    <s v="EVO2A"/>
    <s v="±1200mm"/>
    <n v="450"/>
    <n v="2808"/>
    <n v="1.2636000000000001"/>
    <n v="78"/>
    <n v="3"/>
    <x v="1"/>
    <s v="COMPLETED"/>
    <s v="W14-BW (3.27货好)"/>
    <d v="2026-04-17T00:00:00"/>
    <n v="16"/>
    <s v="POPV260423024"/>
    <m/>
    <s v="TIANJIN BW"/>
    <x v="0"/>
    <x v="5"/>
    <d v="2026-04-24T00:00:00"/>
    <d v="2026-04-24T00:00:00"/>
    <d v="2026-04-24T00:00:00"/>
    <d v="2026-06-19T00:00:00"/>
    <d v="2026-06-23T00:00:00"/>
    <d v="2026-06-25T00:00:00"/>
    <s v="CIF"/>
    <s v="MSC LENI GT616W"/>
    <s v="OTHER"/>
    <s v="TPVB20260417003"/>
    <x v="282"/>
    <s v="TSNE78647800"/>
    <n v="62"/>
    <m/>
    <d v="2026-06-25T00:00:00"/>
    <s v="In Stock-Approved"/>
    <d v="2026-07-07T00:00:00"/>
    <n v="10"/>
    <d v="2026-07-05T00:00:00"/>
    <n v="2026"/>
    <n v="7"/>
    <n v="27"/>
    <n v="36"/>
    <n v="936"/>
    <s v="Transparent"/>
    <s v="AEU"/>
  </r>
  <r>
    <s v="26Feb017.18"/>
    <s v="Lianyungang"/>
    <s v="26Feb017"/>
    <s v="CORE DG"/>
    <x v="0"/>
    <s v="Arrival Plan-SPUK"/>
    <s v="CIF"/>
    <x v="6"/>
    <s v="U1"/>
    <x v="2"/>
    <m/>
    <m/>
    <s v="n/a"/>
    <d v="2026-03-30T00:00:00"/>
    <x v="0"/>
    <x v="7"/>
    <s v="HSM-ND48-DR450"/>
    <s v="EVO2A"/>
    <s v="±1200mm"/>
    <n v="450"/>
    <n v="1872"/>
    <n v="0.84240000000000004"/>
    <n v="52"/>
    <n v="2"/>
    <x v="1"/>
    <s v="COMPLETED"/>
    <s v="W14-BW (已入)"/>
    <d v="2026-04-18T00:00:00"/>
    <n v="16"/>
    <s v="POPV260423019"/>
    <m/>
    <s v="Lianyungang BW"/>
    <x v="1"/>
    <x v="6"/>
    <d v="2026-04-20T00:00:00"/>
    <d v="2026-04-21T00:00:00"/>
    <d v="2026-04-22T00:00:00"/>
    <d v="2026-06-10T00:00:00"/>
    <d v="2026-06-16T00:00:00"/>
    <d v="2026-06-18T00:00:00"/>
    <s v="CIF"/>
    <s v="SEASPAN BREEZE 0063W"/>
    <s v="OTHER"/>
    <s v="TPVB20260415015"/>
    <x v="283"/>
    <s v="HDMUSHAZL4413800"/>
    <n v="57"/>
    <m/>
    <d v="2026-06-18T00:00:00"/>
    <s v="In Stock-Approved"/>
    <d v="2026-07-01T00:00:00"/>
    <n v="7"/>
    <d v="2026-06-25T00:00:00"/>
    <n v="2026"/>
    <n v="6"/>
    <n v="26"/>
    <n v="36"/>
    <n v="936"/>
    <s v="Black glazing"/>
    <s v="AEU"/>
  </r>
  <r>
    <s v="26Feb017.23"/>
    <s v="Lianyungang"/>
    <s v="26Feb017"/>
    <s v="CORE DG"/>
    <x v="1"/>
    <s v="SPTN Offstore in Transit WH"/>
    <s v="CIF"/>
    <x v="15"/>
    <s v="U1"/>
    <x v="128"/>
    <s v="BE0126031900007"/>
    <n v="1"/>
    <s v="Yes"/>
    <d v="2026-03-30T00:00:00"/>
    <x v="0"/>
    <x v="7"/>
    <s v="HSM-ND48-DR450"/>
    <s v="EVO2A"/>
    <s v="±1200mm"/>
    <n v="450"/>
    <n v="1872"/>
    <n v="0.84240000000000004"/>
    <n v="52"/>
    <n v="2"/>
    <x v="1"/>
    <s v="COMPLETED"/>
    <s v="W14-BW (已入)"/>
    <d v="2026-04-20T00:00:00"/>
    <n v="17"/>
    <s v="POPV260423018"/>
    <m/>
    <s v="Lianyungang BW"/>
    <x v="1"/>
    <x v="12"/>
    <d v="2026-04-25T00:00:00"/>
    <d v="2026-04-25T00:00:00"/>
    <d v="2026-04-26T00:00:00"/>
    <d v="2026-06-09T00:00:00"/>
    <d v="2026-06-09T00:00:00"/>
    <d v="2026-06-20T00:00:00"/>
    <s v="CIF"/>
    <s v="ONE INFINITY/009W"/>
    <s v="OTHER"/>
    <s v="TPVB20260417004"/>
    <x v="284"/>
    <s v="N237079554"/>
    <n v="55"/>
    <m/>
    <d v="2026-06-20T00:00:00"/>
    <s v="In Stock-Approved"/>
    <d v="2026-06-05T00:00:00"/>
    <n v="0"/>
    <d v="2026-06-20T00:00:00"/>
    <n v="2026"/>
    <n v="6"/>
    <n v="25"/>
    <n v="36"/>
    <n v="936"/>
    <s v="Black glazing"/>
    <s v="AEU"/>
  </r>
  <r>
    <s v="26Apr014.02"/>
    <s v="Tianjin"/>
    <s v="26Apr014"/>
    <s v="CORE DG"/>
    <x v="0"/>
    <s v="Arrival Plan-SPUK"/>
    <s v="CIF"/>
    <x v="6"/>
    <s v="U6"/>
    <x v="118"/>
    <m/>
    <m/>
    <s v="n/a"/>
    <s v="n/a"/>
    <x v="0"/>
    <x v="43"/>
    <s v="HSM-ND54-DR505"/>
    <s v="EVO2A"/>
    <s v="±1200mm"/>
    <n v="505"/>
    <n v="4320"/>
    <n v="2.1816"/>
    <n v="120"/>
    <n v="5"/>
    <x v="1"/>
    <s v="COMPLETED"/>
    <s v="四月19日"/>
    <d v="2026-04-18T00:00:00"/>
    <n v="16"/>
    <s v="POPV260423017"/>
    <m/>
    <s v="TIANJIN"/>
    <x v="0"/>
    <x v="6"/>
    <d v="2026-04-25T00:00:00"/>
    <d v="2026-04-25T00:00:00"/>
    <d v="2026-04-25T00:00:00"/>
    <d v="2026-06-14T00:00:00"/>
    <d v="2026-06-20T00:00:00"/>
    <d v="2026-06-22T00:00:00"/>
    <s v="CIF"/>
    <s v="MSC LIVORNO GA617W"/>
    <s v="OTHER"/>
    <s v="TPVB20260417007"/>
    <x v="285"/>
    <s v="177KVBXYXVNN1753"/>
    <n v="58"/>
    <m/>
    <d v="2026-06-22T00:00:00"/>
    <s v="In Stock-Approved"/>
    <d v="2026-07-03T00:00:00"/>
    <n v="7"/>
    <d v="2026-06-29T00:00:00"/>
    <n v="2026"/>
    <n v="6"/>
    <n v="27"/>
    <n v="36"/>
    <n v="864"/>
    <s v="Black glazing"/>
    <s v="AEU"/>
  </r>
  <r>
    <s v="26Apr013.04"/>
    <s v="Tianjin"/>
    <s v="26Apr013"/>
    <s v="CORE DG"/>
    <x v="0"/>
    <s v="Arrival Plan-SPNL"/>
    <s v="CIF"/>
    <x v="0"/>
    <s v="U4"/>
    <x v="26"/>
    <m/>
    <m/>
    <s v="n/a"/>
    <s v="n/a"/>
    <x v="0"/>
    <x v="0"/>
    <s v="HSM-ND54-DR500"/>
    <s v="EVO2A"/>
    <s v="±1200mm"/>
    <n v="500"/>
    <n v="5184"/>
    <n v="2.5920000000000001"/>
    <n v="144"/>
    <n v="6"/>
    <x v="1"/>
    <s v="COMPLETED"/>
    <s v="四月21日"/>
    <d v="2026-04-21T00:00:00"/>
    <n v="17"/>
    <s v="POPV260423021"/>
    <m/>
    <s v="TIANJIN"/>
    <x v="0"/>
    <x v="1"/>
    <d v="2026-04-26T00:00:00"/>
    <d v="2026-04-26T00:00:00"/>
    <d v="2026-04-26T00:00:00"/>
    <d v="2026-06-13T00:00:00"/>
    <d v="2026-06-13T00:00:00"/>
    <d v="2026-06-16T00:00:00"/>
    <s v="CIF"/>
    <s v="HMM DREAM 0061W"/>
    <s v="OTHER"/>
    <s v="TPVB20260417008"/>
    <x v="286"/>
    <s v="TSNE60118800"/>
    <n v="51"/>
    <m/>
    <d v="2026-06-16T00:00:00"/>
    <s v="In Stock-Approved"/>
    <d v="2026-06-29T00:00:00"/>
    <n v="7"/>
    <d v="2026-06-23T00:00:00"/>
    <n v="2026"/>
    <n v="6"/>
    <n v="26"/>
    <n v="36"/>
    <n v="864"/>
    <s v="Black glazing"/>
    <s v="AEU"/>
  </r>
  <r>
    <s v="26Apr014.01"/>
    <s v="Tianjin"/>
    <s v="26Apr014"/>
    <s v="CORE DG"/>
    <x v="0"/>
    <s v="Arrival Plan-SPNL"/>
    <s v="CIF"/>
    <x v="0"/>
    <s v="U2"/>
    <x v="2"/>
    <m/>
    <m/>
    <s v="n/a"/>
    <s v="n/a"/>
    <x v="0"/>
    <x v="43"/>
    <s v="HSM-ND54-DR505"/>
    <s v="EVO2A"/>
    <s v="±1200mm"/>
    <n v="505"/>
    <n v="4320"/>
    <n v="2.1816"/>
    <n v="120"/>
    <n v="5"/>
    <x v="1"/>
    <s v="COMPLETED"/>
    <s v="四月18日"/>
    <d v="2026-04-21T00:00:00"/>
    <n v="17"/>
    <s v="POPV260423020"/>
    <m/>
    <s v="TIANJIN"/>
    <x v="0"/>
    <x v="1"/>
    <d v="2026-04-26T00:00:00"/>
    <d v="2026-04-26T00:00:00"/>
    <d v="2026-04-26T00:00:00"/>
    <d v="2026-06-09T00:00:00"/>
    <d v="2026-06-12T00:00:00"/>
    <d v="2026-06-16T00:00:00"/>
    <s v="CIF"/>
    <s v="COSCO SHIPPING LIBRA 035W"/>
    <s v="COSCO"/>
    <s v="TPVB20260417006"/>
    <x v="287"/>
    <s v="COSU9506929530"/>
    <n v="51"/>
    <m/>
    <d v="2026-06-16T00:00:00"/>
    <s v="In Stock-Approved"/>
    <d v="2026-06-30T00:00:00"/>
    <n v="7"/>
    <d v="2026-06-23T00:00:00"/>
    <n v="2026"/>
    <n v="6"/>
    <n v="26"/>
    <n v="36"/>
    <n v="864"/>
    <s v="Black glazing"/>
    <s v="AEU"/>
  </r>
  <r>
    <s v="26Apr014.08"/>
    <s v="Tianjin"/>
    <s v="26Apr014"/>
    <s v="CORE DG"/>
    <x v="0"/>
    <s v="Arrival Plan-SPNL"/>
    <s v="CIF"/>
    <x v="0"/>
    <s v="U2"/>
    <x v="2"/>
    <m/>
    <m/>
    <s v="n/a"/>
    <s v="n/a"/>
    <x v="0"/>
    <x v="43"/>
    <s v="HSM-ND54-DR505"/>
    <s v="EVO2A"/>
    <s v="±1200mm"/>
    <n v="505"/>
    <n v="5184"/>
    <n v="2.6179199999999998"/>
    <n v="144"/>
    <n v="6"/>
    <x v="1"/>
    <s v="COMPLETED"/>
    <s v="四月22日"/>
    <d v="2026-04-23T00:00:00"/>
    <n v="17"/>
    <s v="POPV260423022"/>
    <m/>
    <s v="TIANJIN"/>
    <x v="0"/>
    <x v="1"/>
    <d v="2026-04-27T00:00:00"/>
    <d v="2026-04-29T00:00:00"/>
    <d v="2026-04-28T00:00:00"/>
    <d v="2026-07-04T00:00:00"/>
    <d v="2026-06-27T00:00:00"/>
    <d v="2026-06-27T00:00:00"/>
    <s v="CIF"/>
    <s v="ONE TRADITION-029W"/>
    <s v="OTHER"/>
    <s v="TPVB20260418007"/>
    <x v="288"/>
    <s v="N235183753 "/>
    <n v="60"/>
    <m/>
    <d v="2026-06-27T00:00:00"/>
    <s v="In Stock-Approved"/>
    <d v="2026-07-10T00:00:00"/>
    <n v="7"/>
    <d v="2026-07-04T00:00:00"/>
    <n v="2026"/>
    <n v="7"/>
    <n v="27"/>
    <n v="36"/>
    <n v="864"/>
    <s v="Black glazing"/>
    <s v="AEU"/>
  </r>
  <r>
    <s v="26Apr011.03.02"/>
    <s v="Tianjin"/>
    <s v="26Apr011"/>
    <s v="CORE DG"/>
    <x v="1"/>
    <s v="SPTN Offstore in Transit WH"/>
    <s v="CIF"/>
    <x v="0"/>
    <s v="U1"/>
    <x v="129"/>
    <s v="BE0126050400008"/>
    <m/>
    <s v="Yes"/>
    <d v="2026-04-13T00:00:00"/>
    <x v="0"/>
    <x v="7"/>
    <s v="HSM-ND48-DR450"/>
    <s v="EVO2A"/>
    <s v="±1200mm"/>
    <n v="450"/>
    <n v="2808"/>
    <n v="1.2636000000000001"/>
    <n v="78"/>
    <n v="3"/>
    <x v="1"/>
    <s v="COMPLETED"/>
    <m/>
    <d v="2026-04-23T00:00:00"/>
    <n v="17"/>
    <s v="POPV260626094"/>
    <m/>
    <s v="TIANJIN"/>
    <x v="0"/>
    <x v="1"/>
    <d v="2026-04-27T00:00:00"/>
    <d v="2026-04-29T00:00:00"/>
    <d v="2026-04-28T00:00:00"/>
    <d v="2026-07-04T00:00:00"/>
    <d v="2026-06-27T00:00:00"/>
    <d v="2026-06-27T00:00:00"/>
    <s v="CIF"/>
    <s v="ONE TRADITION-029W"/>
    <s v="OTHER"/>
    <s v="TPVB20260418006"/>
    <x v="289"/>
    <s v="N235183752"/>
    <n v="60"/>
    <m/>
    <d v="2026-06-27T00:00:00"/>
    <s v="In Stock-Approved"/>
    <d v="2026-07-10T00:00:00"/>
    <n v="0"/>
    <d v="2026-06-27T00:00:00"/>
    <n v="2026"/>
    <n v="6"/>
    <n v="26"/>
    <n v="36"/>
    <n v="936"/>
    <s v="Black glazing"/>
    <s v="AEU"/>
  </r>
  <r>
    <s v="26Apr011.03.01"/>
    <s v="Tianjin"/>
    <s v="26Apr011"/>
    <s v="CORE DG"/>
    <x v="0"/>
    <s v="Arrival Plan-SPNL"/>
    <s v="CIF"/>
    <x v="0"/>
    <s v="U1"/>
    <x v="2"/>
    <m/>
    <m/>
    <s v="n/a"/>
    <d v="2026-04-13T00:00:00"/>
    <x v="0"/>
    <x v="7"/>
    <s v="HSM-ND48-DR450"/>
    <s v="EVO2A"/>
    <s v="±1200mm"/>
    <n v="450"/>
    <n v="11232"/>
    <n v="5.0544000000000002"/>
    <n v="312"/>
    <n v="12"/>
    <x v="1"/>
    <s v="COMPLETED"/>
    <m/>
    <d v="2026-04-23T00:00:00"/>
    <n v="17"/>
    <s v="POPV260626095"/>
    <m/>
    <s v="TIANJIN"/>
    <x v="0"/>
    <x v="1"/>
    <d v="2026-04-27T00:00:00"/>
    <d v="2026-04-29T00:00:00"/>
    <d v="2026-04-28T00:00:00"/>
    <d v="2026-07-04T00:00:00"/>
    <d v="2026-06-27T00:00:00"/>
    <d v="2026-06-27T00:00:00"/>
    <s v="CIF"/>
    <s v="ONE TRADITION-029W"/>
    <s v="OTHER"/>
    <s v="TPVB20260418006"/>
    <x v="290"/>
    <s v="N235183752"/>
    <n v="60"/>
    <m/>
    <d v="2026-06-27T00:00:00"/>
    <s v="In Stock-Approved"/>
    <d v="2026-07-10T00:00:00"/>
    <n v="7"/>
    <d v="2026-07-04T00:00:00"/>
    <n v="2026"/>
    <n v="7"/>
    <n v="27"/>
    <n v="36"/>
    <n v="936"/>
    <s v="Black glazing"/>
    <s v="AEU"/>
  </r>
  <r>
    <s v="26Apr002.01"/>
    <s v="Yixing"/>
    <s v="26Apr002"/>
    <s v="UPP"/>
    <x v="0"/>
    <n v="0"/>
    <s v="CIF"/>
    <x v="6"/>
    <s v="U3"/>
    <x v="130"/>
    <m/>
    <m/>
    <s v="n/a"/>
    <d v="2026-04-20T00:00:00"/>
    <x v="0"/>
    <x v="70"/>
    <s v="HSM-ND66-GK730"/>
    <s v="EVO2A"/>
    <s v="+400mm/-200mm"/>
    <n v="730"/>
    <n v="4752"/>
    <n v="3.46896"/>
    <n v="144"/>
    <n v="8"/>
    <x v="1"/>
    <s v="COMPLETED"/>
    <s v="四月21日"/>
    <d v="2026-04-26T00:00:00"/>
    <n v="17"/>
    <s v="POPV260506016"/>
    <m/>
    <s v="SHANGHAI"/>
    <x v="1"/>
    <x v="16"/>
    <d v="2026-05-02T00:00:00"/>
    <d v="2026-05-02T00:00:00"/>
    <d v="2026-05-02T00:00:00"/>
    <d v="2026-06-24T00:00:00"/>
    <d v="2026-07-11T00:00:00"/>
    <d v="2026-07-10T00:00:00"/>
    <s v="CIF"/>
    <s v="ONE INNOVATION V.010W"/>
    <s v="OTHER"/>
    <s v="TPVB20260418008"/>
    <x v="291"/>
    <s v="N237081978"/>
    <n v="69"/>
    <m/>
    <d v="2026-07-10T00:00:00"/>
    <s v="In Stock-Approved"/>
    <d v="2026-07-28T00:00:00"/>
    <n v="7"/>
    <d v="2026-07-17T00:00:00"/>
    <n v="2026"/>
    <n v="7"/>
    <n v="29"/>
    <n v="33"/>
    <n v="594"/>
    <s v="Transparent"/>
    <s v="AEU"/>
  </r>
  <r>
    <s v="26Apr001.01"/>
    <s v="Yixing"/>
    <s v="26Apr001"/>
    <s v="UPP"/>
    <x v="0"/>
    <n v="0"/>
    <s v="CIF"/>
    <x v="6"/>
    <s v="U3"/>
    <x v="130"/>
    <m/>
    <m/>
    <s v="n/a"/>
    <d v="2026-04-20T00:00:00"/>
    <x v="0"/>
    <x v="71"/>
    <s v="HSM-ND66-GK725"/>
    <s v="EVO2A"/>
    <s v="+400mm/-200mm"/>
    <n v="725"/>
    <n v="1188"/>
    <n v="0.86129999999999995"/>
    <n v="36"/>
    <n v="2"/>
    <x v="1"/>
    <s v="COMPLETED"/>
    <s v="四月21日"/>
    <d v="2026-04-26T00:00:00"/>
    <n v="17"/>
    <s v="POPV260506015"/>
    <m/>
    <s v="SHANGHAI"/>
    <x v="1"/>
    <x v="16"/>
    <d v="2026-05-02T00:00:00"/>
    <d v="2026-05-02T00:00:00"/>
    <d v="2026-05-02T00:00:00"/>
    <d v="2026-06-24T00:00:00"/>
    <d v="2026-07-11T00:00:00"/>
    <d v="2026-07-10T00:00:00"/>
    <s v="CIF"/>
    <s v="ONE INNOVATION V.010W"/>
    <s v="OTHER"/>
    <s v="TPVB20260418008"/>
    <x v="291"/>
    <s v="N237081978"/>
    <n v="69"/>
    <m/>
    <d v="2026-07-10T00:00:00"/>
    <s v="In Stock-Approved"/>
    <d v="2026-07-28T00:00:00"/>
    <n v="7"/>
    <d v="2026-07-17T00:00:00"/>
    <n v="2026"/>
    <n v="7"/>
    <n v="29"/>
    <n v="33"/>
    <n v="594"/>
    <s v="Transparent"/>
    <s v="AEU"/>
  </r>
  <r>
    <s v="26Apr001.02"/>
    <s v="Yixing"/>
    <s v="26Apr001"/>
    <s v="UPP"/>
    <x v="0"/>
    <n v="0"/>
    <s v="CIF"/>
    <x v="6"/>
    <s v="U3"/>
    <x v="130"/>
    <m/>
    <m/>
    <s v="n/a"/>
    <d v="2026-04-20T00:00:00"/>
    <x v="0"/>
    <x v="71"/>
    <s v="HSM-ND66-GK725"/>
    <s v="EVO2A"/>
    <s v="+400mm/-200mm"/>
    <n v="725"/>
    <n v="2970"/>
    <n v="2.1532499999999999"/>
    <n v="90"/>
    <n v="5"/>
    <x v="1"/>
    <s v="COMPLETED"/>
    <m/>
    <d v="2026-04-30T00:00:00"/>
    <n v="18"/>
    <s v="POPV260506029"/>
    <m/>
    <s v="SHANGHAI"/>
    <x v="1"/>
    <x v="16"/>
    <d v="2026-05-06T00:00:00"/>
    <d v="2026-05-06T00:00:00"/>
    <d v="2026-05-06T00:00:00"/>
    <d v="2026-06-26T00:00:00"/>
    <d v="2026-07-07T00:00:00"/>
    <d v="2026-07-08T00:00:00"/>
    <s v="CIF"/>
    <s v="MSC CATANIA/QB618W"/>
    <s v="OTHER"/>
    <s v="TPVB20260519001"/>
    <x v="292"/>
    <s v="177FBOBOS86688"/>
    <n v="63"/>
    <m/>
    <d v="2026-07-08T00:00:00"/>
    <s v="In Stock-Approved"/>
    <d v="2026-07-28T00:00:00"/>
    <n v="7"/>
    <d v="2026-07-15T00:00:00"/>
    <n v="2026"/>
    <n v="7"/>
    <n v="29"/>
    <n v="33"/>
    <n v="594"/>
    <s v="Transparent"/>
    <s v="AEU"/>
  </r>
  <r>
    <s v="26Apr002.02"/>
    <s v="Yixing"/>
    <s v="26Apr002"/>
    <s v="UPP"/>
    <x v="0"/>
    <n v="0"/>
    <s v="CIF"/>
    <x v="6"/>
    <s v="U3"/>
    <x v="130"/>
    <m/>
    <m/>
    <s v="n/a"/>
    <d v="2026-04-20T00:00:00"/>
    <x v="0"/>
    <x v="70"/>
    <s v="HSM-ND66-GK730"/>
    <s v="EVO2A"/>
    <s v="+400mm/-200mm"/>
    <n v="730"/>
    <n v="2970"/>
    <n v="2.1680999999999999"/>
    <n v="90"/>
    <n v="5"/>
    <x v="1"/>
    <s v="COMPLETED"/>
    <m/>
    <d v="2026-04-30T00:00:00"/>
    <n v="18"/>
    <s v="POPV260506028"/>
    <m/>
    <s v="SHANGHAI"/>
    <x v="1"/>
    <x v="16"/>
    <d v="2026-05-06T00:00:00"/>
    <d v="2026-05-06T00:00:00"/>
    <d v="2026-05-06T00:00:00"/>
    <d v="2026-06-26T00:00:00"/>
    <d v="2026-07-07T00:00:00"/>
    <d v="2026-07-08T00:00:00"/>
    <s v="CIF"/>
    <s v="MSC CATANIA/QB618W"/>
    <s v="OTHER"/>
    <s v="TPVB20260519001"/>
    <x v="292"/>
    <s v="177FBOBOS86688"/>
    <n v="63"/>
    <m/>
    <d v="2026-07-08T00:00:00"/>
    <s v="In Stock-Approved"/>
    <d v="2026-07-28T00:00:00"/>
    <n v="7"/>
    <d v="2026-07-15T00:00:00"/>
    <n v="2026"/>
    <n v="7"/>
    <n v="29"/>
    <n v="33"/>
    <n v="594"/>
    <s v="Transparent"/>
    <s v="AEU"/>
  </r>
  <r>
    <s v="26Apr005.10"/>
    <s v="Tianjin(Transport to Yixing for shipment)"/>
    <s v="26Apr005"/>
    <s v="CORE DG"/>
    <x v="0"/>
    <s v="Arrival Plan-SPTN"/>
    <s v="CIF"/>
    <x v="0"/>
    <s v="U4"/>
    <x v="2"/>
    <m/>
    <m/>
    <s v="n/a"/>
    <s v="n/a"/>
    <x v="6"/>
    <x v="21"/>
    <s v="SPR-P7-510-BLK-P"/>
    <s v="EVO2A"/>
    <s v="±1350mm"/>
    <n v="510"/>
    <n v="3168"/>
    <n v="1.61568"/>
    <n v="88"/>
    <n v="4"/>
    <x v="1"/>
    <s v="COMPLETED"/>
    <s v="四月26日"/>
    <d v="2026-04-28T00:00:00"/>
    <n v="18"/>
    <s v="POPV260506027"/>
    <m/>
    <s v="SHANGHAI"/>
    <x v="1"/>
    <x v="5"/>
    <d v="2026-05-02T00:00:00"/>
    <d v="2026-05-03T00:00:00"/>
    <d v="2026-05-03T00:00:00"/>
    <d v="2026-06-08T00:00:00"/>
    <d v="2026-06-10T00:00:00"/>
    <d v="2026-06-10T00:00:00"/>
    <s v="CIF"/>
    <s v="CMA CGM ZHENG HE 0FMGJW1MA"/>
    <s v="OTHER"/>
    <s v="TPVB20260418009"/>
    <x v="293"/>
    <s v="CHN3323507"/>
    <n v="38"/>
    <m/>
    <d v="2026-06-10T00:00:00"/>
    <s v="In Stock-Approved"/>
    <d v="2026-06-25T00:00:00"/>
    <n v="10"/>
    <d v="2026-06-20T00:00:00"/>
    <n v="2026"/>
    <n v="6"/>
    <n v="25"/>
    <n v="36"/>
    <n v="792"/>
    <s v="Black glazing"/>
    <s v="AEU"/>
  </r>
  <r>
    <s v="26Feb017"/>
    <s v="Lianyungang"/>
    <s v="Main Line"/>
    <s v="CORE DG"/>
    <x v="0"/>
    <s v="Arrival Plan-SPNL"/>
    <s v="CIF"/>
    <x v="0"/>
    <s v="U1"/>
    <x v="2"/>
    <m/>
    <m/>
    <s v="n/a"/>
    <d v="2026-03-30T00:00:00"/>
    <x v="0"/>
    <x v="7"/>
    <s v="HSM-ND48-DR450"/>
    <s v="EVO2A"/>
    <s v="±1200mm"/>
    <n v="450"/>
    <n v="3744"/>
    <n v="1.6848000000000001"/>
    <n v="104"/>
    <n v="4"/>
    <x v="1"/>
    <s v="COMPLETED"/>
    <s v="W14-BW (已入)"/>
    <d v="2026-04-27T00:00:00"/>
    <n v="18"/>
    <s v="POPV260506026"/>
    <m/>
    <s v="Lianyungang BW"/>
    <x v="1"/>
    <x v="1"/>
    <d v="2026-05-02T00:00:00"/>
    <d v="2026-05-05T00:00:00"/>
    <d v="2026-05-05T00:00:00"/>
    <d v="2026-06-13T00:00:00"/>
    <d v="2026-06-27T00:00:00"/>
    <d v="2026-06-28T00:00:00"/>
    <s v="CIF"/>
    <s v="ONE INNOVATION V.010W"/>
    <s v="OTHER"/>
    <s v="TPVB20260418010"/>
    <x v="294"/>
    <s v="ONEYSHAGC9297600"/>
    <n v="54"/>
    <m/>
    <d v="2026-06-28T00:00:00"/>
    <s v="In Stock-Approved"/>
    <d v="2026-07-10T00:00:00"/>
    <n v="7"/>
    <d v="2026-07-05T00:00:00"/>
    <n v="2026"/>
    <n v="7"/>
    <n v="27"/>
    <n v="36"/>
    <n v="936"/>
    <s v="Black glazing"/>
    <s v="AEU"/>
  </r>
  <r>
    <s v="26Apr005.09"/>
    <s v="Tianjin(Transport to Yixing for shipment)"/>
    <s v="26Apr005"/>
    <s v="CORE DG"/>
    <x v="0"/>
    <s v="Arrival Plan-SPNL"/>
    <s v="CIF"/>
    <x v="0"/>
    <s v="U2"/>
    <x v="2"/>
    <m/>
    <m/>
    <s v="n/a"/>
    <s v="n/a"/>
    <x v="6"/>
    <x v="21"/>
    <s v="SPR-P7-510-BLK-P"/>
    <s v="EVO2A"/>
    <s v="±1350mm"/>
    <n v="510"/>
    <n v="1584"/>
    <n v="0.80784"/>
    <n v="44"/>
    <n v="2"/>
    <x v="1"/>
    <s v="COMPLETED"/>
    <s v="四月27日"/>
    <d v="2026-04-27T00:00:00"/>
    <n v="18"/>
    <s v="POPV260506025"/>
    <m/>
    <s v="SHANGHAI"/>
    <x v="1"/>
    <x v="1"/>
    <d v="2026-05-02T00:00:00"/>
    <d v="2026-05-05T00:00:00"/>
    <d v="2026-05-05T00:00:00"/>
    <d v="2026-06-13T00:00:00"/>
    <d v="2026-06-27T00:00:00"/>
    <d v="2026-06-28T00:00:00"/>
    <s v="CIF"/>
    <s v="ONE INNOVATION V.010W"/>
    <s v="OTHER"/>
    <s v="TPVB20260418011"/>
    <x v="295"/>
    <s v="ONEYSHAGD7113600"/>
    <n v="54"/>
    <m/>
    <d v="2026-06-28T00:00:00"/>
    <s v="In Stock-Approved"/>
    <d v="2026-07-10T00:00:00"/>
    <n v="7"/>
    <d v="2026-07-05T00:00:00"/>
    <n v="2026"/>
    <n v="7"/>
    <n v="27"/>
    <n v="36"/>
    <n v="792"/>
    <s v="Black glazing"/>
    <s v="AEU"/>
  </r>
  <r>
    <s v="26Apr006.10"/>
    <s v="Tianjin(Transport to Yixing for shipment)"/>
    <s v="26Apr006"/>
    <s v="CORE DG"/>
    <x v="0"/>
    <s v="Arrival Plan-SPNL"/>
    <s v="CIF"/>
    <x v="0"/>
    <s v="U4"/>
    <x v="2"/>
    <m/>
    <m/>
    <s v="n/a"/>
    <s v="n/a"/>
    <x v="6"/>
    <x v="69"/>
    <s v="SPR-P7-515-BLK-P"/>
    <s v="EVO2A"/>
    <s v="±1350mm"/>
    <n v="515"/>
    <n v="1584"/>
    <n v="0.81576000000000004"/>
    <n v="44"/>
    <n v="2"/>
    <x v="1"/>
    <s v="COMPLETED"/>
    <s v="四月27日"/>
    <d v="2026-04-27T00:00:00"/>
    <n v="18"/>
    <s v="POPV260506023"/>
    <m/>
    <s v="SHANGHAI"/>
    <x v="1"/>
    <x v="1"/>
    <d v="2026-05-02T00:00:00"/>
    <d v="2026-05-05T00:00:00"/>
    <d v="2026-05-05T00:00:00"/>
    <d v="2026-06-13T00:00:00"/>
    <d v="2026-06-27T00:00:00"/>
    <d v="2026-06-28T00:00:00"/>
    <s v="CIF"/>
    <s v="ONE INNOVATION V.010W"/>
    <s v="OTHER"/>
    <s v="TPVB20260418011"/>
    <x v="295"/>
    <s v="ONEYSHAGD7113600"/>
    <n v="54"/>
    <m/>
    <d v="2026-06-28T00:00:00"/>
    <s v="In Stock-Approved"/>
    <d v="2026-07-10T00:00:00"/>
    <n v="7"/>
    <d v="2026-07-05T00:00:00"/>
    <n v="2026"/>
    <n v="7"/>
    <n v="27"/>
    <n v="36"/>
    <n v="792"/>
    <s v="Black glazing"/>
    <s v="AEU"/>
  </r>
  <r>
    <s v="26Apr004.02"/>
    <s v="Yixing"/>
    <s v="26Apr004"/>
    <s v="CORE DG"/>
    <x v="0"/>
    <s v="Arrival Plan-SPNL"/>
    <s v="CIF"/>
    <x v="0"/>
    <s v="U1"/>
    <x v="2"/>
    <m/>
    <m/>
    <s v="n/a"/>
    <d v="2026-04-27T00:00:00"/>
    <x v="5"/>
    <x v="19"/>
    <s v="SPR-P7-460-BLK-1500"/>
    <s v="EVO2A"/>
    <s v="±1200mm"/>
    <n v="460"/>
    <n v="1728"/>
    <n v="0.79488000000000003"/>
    <n v="48"/>
    <n v="2"/>
    <x v="1"/>
    <s v="COMPLETED"/>
    <s v="四月22日"/>
    <d v="2026-04-26T00:00:00"/>
    <n v="17"/>
    <s v="POPV260506014"/>
    <m/>
    <s v="SHANGHAI"/>
    <x v="1"/>
    <x v="1"/>
    <d v="2026-05-02T00:00:00"/>
    <d v="2026-05-05T00:00:00"/>
    <d v="2026-05-05T00:00:00"/>
    <d v="2026-06-13T00:00:00"/>
    <d v="2026-06-27T00:00:00"/>
    <d v="2026-06-28T00:00:00"/>
    <s v="CIF"/>
    <s v="ONE INNOVATION V.010W"/>
    <s v="OTHER"/>
    <s v="TPVB20260418012"/>
    <x v="296"/>
    <s v="ONEYSH6FV9392700"/>
    <n v="54"/>
    <m/>
    <d v="2026-06-28T00:00:00"/>
    <s v="In Stock-Approved"/>
    <d v="2026-07-10T00:00:00"/>
    <n v="7"/>
    <d v="2026-07-05T00:00:00"/>
    <n v="2026"/>
    <n v="7"/>
    <n v="27"/>
    <n v="36"/>
    <n v="864"/>
    <s v="Black glazing"/>
    <s v="AEU"/>
  </r>
  <r>
    <s v="26Apr004.05"/>
    <s v="Yixing"/>
    <s v="26Apr004"/>
    <s v="CORE DG"/>
    <x v="0"/>
    <s v="Arrival Plan-SPNL"/>
    <s v="CIF"/>
    <x v="0"/>
    <s v="U1"/>
    <x v="2"/>
    <m/>
    <m/>
    <s v="n/a"/>
    <d v="2026-04-27T00:00:00"/>
    <x v="5"/>
    <x v="19"/>
    <s v="SPR-P7-460-BLK-1500"/>
    <s v="EVO2A"/>
    <s v="±1200mm"/>
    <n v="460"/>
    <n v="1728"/>
    <n v="0.79488000000000003"/>
    <n v="48"/>
    <n v="2"/>
    <x v="1"/>
    <s v="COMPLETED"/>
    <s v="四月22日"/>
    <d v="2026-04-26T00:00:00"/>
    <n v="17"/>
    <s v="POPV260506012"/>
    <m/>
    <s v="SHANGHAI"/>
    <x v="1"/>
    <x v="1"/>
    <d v="2026-05-02T00:00:00"/>
    <d v="2026-05-05T00:00:00"/>
    <d v="2026-05-05T00:00:00"/>
    <d v="2026-06-13T00:00:00"/>
    <d v="2026-06-27T00:00:00"/>
    <d v="2026-06-28T00:00:00"/>
    <s v="CIF"/>
    <s v="ONE INNOVATION V.010W"/>
    <s v="OTHER"/>
    <s v="TPVB20260418012"/>
    <x v="296"/>
    <s v="ONEYSH6FV9392700"/>
    <n v="54"/>
    <m/>
    <d v="2026-06-28T00:00:00"/>
    <s v="In Stock-Approved"/>
    <d v="2026-07-10T00:00:00"/>
    <n v="7"/>
    <d v="2026-07-05T00:00:00"/>
    <n v="2026"/>
    <n v="7"/>
    <n v="27"/>
    <n v="36"/>
    <n v="864"/>
    <s v="Black glazing"/>
    <s v="AEU"/>
  </r>
  <r>
    <s v="26Apr004.01"/>
    <s v="Yixing"/>
    <s v="26Apr004"/>
    <s v="CORE DG"/>
    <x v="0"/>
    <s v="Arrival Plan-SPNL"/>
    <s v="CIF"/>
    <x v="0"/>
    <s v="U1"/>
    <x v="2"/>
    <m/>
    <m/>
    <s v="n/a"/>
    <d v="2026-04-27T00:00:00"/>
    <x v="5"/>
    <x v="19"/>
    <s v="SPR-P7-460-BLK-1500"/>
    <s v="EVO2A"/>
    <s v="±1200mm"/>
    <n v="460"/>
    <n v="2592"/>
    <n v="1.19232"/>
    <n v="72"/>
    <n v="3"/>
    <x v="1"/>
    <s v="COMPLETED"/>
    <m/>
    <d v="2026-04-26T00:00:00"/>
    <n v="17"/>
    <s v="POPV260506013"/>
    <m/>
    <s v="SHANGHAI"/>
    <x v="1"/>
    <x v="1"/>
    <d v="2026-05-02T00:00:00"/>
    <d v="2026-05-05T00:00:00"/>
    <d v="2026-05-05T00:00:00"/>
    <d v="2026-06-13T00:00:00"/>
    <d v="2026-06-27T00:00:00"/>
    <d v="2026-06-28T00:00:00"/>
    <s v="CIF"/>
    <s v="ONE INNOVATION V.010W"/>
    <s v="OTHER"/>
    <s v="TPVB20260418012"/>
    <x v="296"/>
    <s v="ONEYSH6FV9392700"/>
    <n v="54"/>
    <m/>
    <d v="2026-06-28T00:00:00"/>
    <s v="In Stock-Approved"/>
    <d v="2026-07-10T00:00:00"/>
    <n v="7"/>
    <d v="2026-07-05T00:00:00"/>
    <n v="2026"/>
    <n v="7"/>
    <n v="27"/>
    <n v="36"/>
    <n v="864"/>
    <s v="Black glazing"/>
    <s v="AEU"/>
  </r>
  <r>
    <s v="26Apr005.04"/>
    <s v="Tianjin(Transport to Yixing for shipment)"/>
    <s v="26Apr005"/>
    <s v="CORE DG"/>
    <x v="0"/>
    <s v="Arrival Plan-SPTN"/>
    <s v="CIF"/>
    <x v="0"/>
    <s v="U2"/>
    <x v="2"/>
    <m/>
    <m/>
    <s v="n/a"/>
    <s v="n/a"/>
    <x v="6"/>
    <x v="21"/>
    <s v="SPR-P7-510-BLK-P"/>
    <s v="EVO2A"/>
    <s v="±1350mm"/>
    <n v="510"/>
    <n v="1584"/>
    <n v="0.80784"/>
    <n v="44"/>
    <n v="2"/>
    <x v="1"/>
    <s v="COMPLETED"/>
    <s v="四月28日"/>
    <d v="2026-04-29T00:00:00"/>
    <n v="18"/>
    <s v="POPV260506024"/>
    <m/>
    <s v="SHANGHAI"/>
    <x v="1"/>
    <x v="0"/>
    <d v="2026-05-05T00:00:00"/>
    <d v="2026-05-05T00:00:00"/>
    <d v="2026-05-05T00:00:00"/>
    <d v="2026-06-16T00:00:00"/>
    <d v="2026-06-23T00:00:00"/>
    <d v="2026-06-23T00:00:00"/>
    <s v="CIF"/>
    <s v="CMA CGM GEORG FORSTER _x000a_0MENPW1MA"/>
    <s v="COSCO"/>
    <s v="TPVB20260418016"/>
    <x v="297"/>
    <s v="COSU6451369150"/>
    <n v="49"/>
    <m/>
    <d v="2026-06-23T00:00:00"/>
    <s v="In Stock-Approved"/>
    <d v="2026-07-06T00:00:00"/>
    <n v="8"/>
    <d v="2026-07-01T00:00:00"/>
    <n v="2026"/>
    <n v="7"/>
    <n v="27"/>
    <n v="36"/>
    <n v="792"/>
    <s v="Black glazing"/>
    <s v="AEM"/>
  </r>
  <r>
    <s v="26Apr006.12"/>
    <s v="Tianjin(Transport to Yixing for shipment)"/>
    <s v="26Apr006"/>
    <s v="CORE DG"/>
    <x v="0"/>
    <s v="Arrival Plan-SPIT"/>
    <s v="CIF"/>
    <x v="4"/>
    <s v="U3"/>
    <x v="2"/>
    <m/>
    <m/>
    <s v="n/a"/>
    <s v="n/a"/>
    <x v="6"/>
    <x v="69"/>
    <s v="SPR-P7-515-BLK-P"/>
    <s v="EVO2A"/>
    <s v="±1350mm"/>
    <n v="515"/>
    <n v="792"/>
    <n v="0.40788000000000002"/>
    <n v="22"/>
    <n v="1"/>
    <x v="1"/>
    <s v="COMPLETED"/>
    <s v="四月25日"/>
    <d v="2026-04-26T00:00:00"/>
    <n v="17"/>
    <s v="POPV260506011"/>
    <m/>
    <s v="SHANGHAI"/>
    <x v="1"/>
    <x v="4"/>
    <d v="2026-05-01T00:00:00"/>
    <d v="2026-05-04T00:00:00"/>
    <d v="2026-05-04T00:00:00"/>
    <d v="2026-06-17T00:00:00"/>
    <d v="2026-06-24T00:00:00"/>
    <d v="2026-06-25T00:00:00"/>
    <s v="CIF"/>
    <s v="EVER GOLDEN 0750-032W"/>
    <s v="COSCO"/>
    <s v="TPVB20260418017"/>
    <x v="298"/>
    <s v="COSU6451366460"/>
    <n v="52"/>
    <m/>
    <d v="2026-06-25T00:00:00"/>
    <s v="In Stock-Approved"/>
    <d v="2026-07-09T00:00:00"/>
    <n v="10"/>
    <d v="2026-07-05T00:00:00"/>
    <n v="2026"/>
    <n v="7"/>
    <n v="27"/>
    <n v="36"/>
    <n v="792"/>
    <s v="Black glazing"/>
    <s v="AEM"/>
  </r>
  <r>
    <s v="26Apr005.11"/>
    <s v="Tianjin(Transport to Yixing for shipment)"/>
    <s v="26Apr005"/>
    <s v="CORE DG"/>
    <x v="0"/>
    <s v="Arrival Plan-SPIT"/>
    <s v="CIF"/>
    <x v="4"/>
    <s v="U3"/>
    <x v="2"/>
    <m/>
    <m/>
    <s v="n/a"/>
    <s v="n/a"/>
    <x v="6"/>
    <x v="21"/>
    <s v="SPR-P7-510-BLK-P"/>
    <s v="EVO2A"/>
    <s v="±1350mm"/>
    <n v="510"/>
    <n v="2376"/>
    <n v="1.2117599999999999"/>
    <n v="66"/>
    <n v="3"/>
    <x v="1"/>
    <s v="COMPLETED"/>
    <s v="四月25日"/>
    <d v="2026-04-26T00:00:00"/>
    <n v="17"/>
    <s v="POPV260506010"/>
    <m/>
    <s v="SHANGHAI"/>
    <x v="1"/>
    <x v="4"/>
    <d v="2026-05-01T00:00:00"/>
    <d v="2026-05-04T00:00:00"/>
    <d v="2026-05-04T00:00:00"/>
    <d v="2026-06-17T00:00:00"/>
    <d v="2026-06-24T00:00:00"/>
    <d v="2026-06-25T00:00:00"/>
    <s v="CIF"/>
    <s v="EVER GOLDEN 0750-032W"/>
    <s v="COSCO"/>
    <s v="TPVB20260418017"/>
    <x v="298"/>
    <s v="COSU6451366460"/>
    <n v="52"/>
    <m/>
    <d v="2026-06-25T00:00:00"/>
    <s v="In Stock-Approved"/>
    <d v="2026-07-09T00:00:00"/>
    <n v="10"/>
    <d v="2026-07-05T00:00:00"/>
    <n v="2026"/>
    <n v="7"/>
    <n v="27"/>
    <n v="36"/>
    <n v="792"/>
    <s v="Black glazing"/>
    <s v="AEM"/>
  </r>
  <r>
    <s v="26Apr005.06"/>
    <s v="Tianjin(Transport to Yixing for shipment)"/>
    <s v="26Apr005"/>
    <s v="CORE DG"/>
    <x v="0"/>
    <s v="Arrival Plan-SPIT"/>
    <s v="CIF"/>
    <x v="4"/>
    <s v="U4"/>
    <x v="2"/>
    <m/>
    <m/>
    <s v="n/a"/>
    <s v="n/a"/>
    <x v="6"/>
    <x v="21"/>
    <s v="SPR-P7-510-BLK-P"/>
    <s v="EVO2A"/>
    <s v="±1350mm"/>
    <n v="510"/>
    <n v="1584"/>
    <n v="0.80784"/>
    <n v="44"/>
    <n v="2"/>
    <x v="1"/>
    <s v="COMPLETED"/>
    <s v="四月29日"/>
    <d v="2026-04-29T00:00:00"/>
    <n v="18"/>
    <s v="POPV260506022"/>
    <m/>
    <s v="SHANGHAI"/>
    <x v="1"/>
    <x v="14"/>
    <d v="2026-05-05T00:00:00"/>
    <d v="2026-05-07T00:00:00"/>
    <d v="2026-05-07T00:00:00"/>
    <d v="2026-07-03T00:00:00"/>
    <m/>
    <d v="2026-07-02T00:00:00"/>
    <s v="CIF"/>
    <s v="TITAN 043W"/>
    <s v="COSCO"/>
    <s v="TPVB20260418018"/>
    <x v="299"/>
    <s v="COSU6451880280"/>
    <n v="56"/>
    <m/>
    <d v="2026-07-02T00:00:00"/>
    <s v="In Stock-Approved"/>
    <d v="2026-07-16T00:00:00"/>
    <n v="10"/>
    <d v="2026-07-12T00:00:00"/>
    <n v="2026"/>
    <n v="7"/>
    <n v="28"/>
    <n v="36"/>
    <n v="792"/>
    <s v="Black glazing"/>
    <s v="AEM"/>
  </r>
  <r>
    <s v="26Apr005.07"/>
    <s v="Tianjin(Transport to Yixing for shipment)"/>
    <s v="26Apr005"/>
    <s v="CORE DG"/>
    <x v="0"/>
    <s v="Arrival Plan-SPES"/>
    <s v="CIF"/>
    <x v="1"/>
    <s v="U2"/>
    <x v="2"/>
    <m/>
    <m/>
    <s v="n/a"/>
    <s v="n/a"/>
    <x v="6"/>
    <x v="21"/>
    <s v="SPR-P7-510-BLK-P"/>
    <s v="EVO2A"/>
    <s v="±1350mm"/>
    <n v="510"/>
    <n v="1584"/>
    <n v="0.80784"/>
    <n v="44"/>
    <n v="2"/>
    <x v="1"/>
    <s v="COMPLETED"/>
    <s v="四月28日"/>
    <d v="2026-04-29T00:00:00"/>
    <n v="18"/>
    <s v="POPV260506021"/>
    <m/>
    <s v="SHANGHAI"/>
    <x v="1"/>
    <x v="2"/>
    <d v="2026-05-05T00:00:00"/>
    <d v="2026-05-05T00:00:00"/>
    <d v="2026-05-05T00:00:00"/>
    <d v="2026-06-11T00:00:00"/>
    <d v="2026-06-12T00:00:00"/>
    <d v="2026-06-19T00:00:00"/>
    <s v="CIF"/>
    <s v="CMA CGM GEORG FORSTER _x000a_0MENPW1MA"/>
    <s v="COSCO"/>
    <s v="TPVB20260418019"/>
    <x v="300"/>
    <s v="COSU6451371990"/>
    <n v="45"/>
    <m/>
    <d v="2026-06-19T00:00:00"/>
    <s v="In Stock-Approved"/>
    <d v="2026-07-03T00:00:00"/>
    <n v="9"/>
    <d v="2026-06-28T00:00:00"/>
    <n v="2026"/>
    <n v="6"/>
    <n v="26"/>
    <n v="36"/>
    <n v="792"/>
    <s v="Black glazing"/>
    <s v="AEM"/>
  </r>
  <r>
    <s v="26Apr014.03"/>
    <s v="Tianjin"/>
    <s v="26Apr014"/>
    <s v="CORE DG"/>
    <x v="0"/>
    <s v="Arrival Plan-SPNL"/>
    <s v="CIF"/>
    <x v="0"/>
    <s v="U2"/>
    <x v="2"/>
    <m/>
    <m/>
    <s v="n/a"/>
    <s v="n/a"/>
    <x v="0"/>
    <x v="43"/>
    <s v="HSM-ND54-DR505"/>
    <s v="EVO2A"/>
    <s v="±1200mm"/>
    <n v="505"/>
    <n v="864"/>
    <n v="0.43631999999999999"/>
    <n v="24"/>
    <n v="1"/>
    <x v="1"/>
    <s v="COMPLETED"/>
    <s v="四月22日"/>
    <d v="2026-04-29T00:00:00"/>
    <n v="18"/>
    <s v="POPV260506019"/>
    <m/>
    <s v="TIANJIN"/>
    <x v="0"/>
    <x v="1"/>
    <d v="2026-05-04T00:00:00"/>
    <d v="2026-05-04T00:00:00"/>
    <d v="2026-05-04T00:00:00"/>
    <d v="2026-06-27T00:00:00"/>
    <d v="2026-06-27T00:00:00"/>
    <d v="2026-06-29T00:00:00"/>
    <s v="CIF"/>
    <s v="COSCO SHIPPING SOLAR 036W"/>
    <s v="COSCO"/>
    <s v="TPVB20260418003"/>
    <x v="301"/>
    <s v="COSU9507036360"/>
    <n v="56"/>
    <m/>
    <d v="2026-06-29T00:00:00"/>
    <s v="In Stock-Approved"/>
    <d v="2026-07-13T00:00:00"/>
    <n v="7"/>
    <d v="2026-07-06T00:00:00"/>
    <n v="2026"/>
    <n v="7"/>
    <n v="28"/>
    <n v="36"/>
    <n v="864"/>
    <s v="Black glazing"/>
    <s v="AEU"/>
  </r>
  <r>
    <s v="26Apr012"/>
    <s v="Tianjin"/>
    <s v="Main Line"/>
    <s v="CORE DG"/>
    <x v="0"/>
    <s v="Arrival Plan-SPNL"/>
    <s v="CIF"/>
    <x v="0"/>
    <s v="U4"/>
    <x v="131"/>
    <m/>
    <m/>
    <s v="n/a"/>
    <d v="2026-04-13T00:00:00"/>
    <x v="0"/>
    <x v="35"/>
    <s v="HSM-ND48-DR455"/>
    <s v="EVO2A"/>
    <s v="±1200mm"/>
    <n v="455"/>
    <n v="4680"/>
    <n v="2.1294"/>
    <n v="130"/>
    <n v="5"/>
    <x v="1"/>
    <s v="COMPLETED"/>
    <s v="四月15日"/>
    <d v="2026-04-29T00:00:00"/>
    <n v="18"/>
    <s v="POPV260506017"/>
    <m/>
    <s v="TIANJIN"/>
    <x v="0"/>
    <x v="1"/>
    <d v="2026-05-04T00:00:00"/>
    <d v="2026-05-04T00:00:00"/>
    <d v="2026-05-04T00:00:00"/>
    <d v="2026-06-16T00:00:00"/>
    <d v="2026-06-24T00:00:00"/>
    <d v="2026-06-24T00:00:00"/>
    <s v="CIF"/>
    <s v="COSCO SHIPPING SOLAR 036W"/>
    <s v="COSCO"/>
    <s v="TPVB20260418005"/>
    <x v="302"/>
    <s v="COSU9507037880"/>
    <n v="51"/>
    <m/>
    <d v="2026-06-24T00:00:00"/>
    <s v="In Stock-Approved"/>
    <d v="2026-07-08T00:00:00"/>
    <n v="7"/>
    <d v="2026-07-01T00:00:00"/>
    <n v="2026"/>
    <n v="7"/>
    <n v="27"/>
    <n v="36"/>
    <n v="936"/>
    <s v="Black glazing"/>
    <s v="AEU"/>
  </r>
  <r>
    <s v="26Apr014.04.01"/>
    <s v="Tianjin"/>
    <s v="26Apr014"/>
    <s v="CORE DG"/>
    <x v="0"/>
    <s v="Arrival Plan-SPTN"/>
    <s v="CIF"/>
    <x v="0"/>
    <s v="U6"/>
    <x v="2"/>
    <m/>
    <m/>
    <s v="n/a"/>
    <s v="n/a"/>
    <x v="0"/>
    <x v="43"/>
    <s v="HSM-ND54-DR505"/>
    <s v="EVO2A"/>
    <s v="±1200mm"/>
    <n v="505"/>
    <n v="1728"/>
    <n v="0.87263999999999997"/>
    <n v="48"/>
    <n v="2"/>
    <x v="1"/>
    <s v="COMPLETED"/>
    <s v="四月22日"/>
    <d v="2026-04-29T00:00:00"/>
    <n v="18"/>
    <s v="POPV260629098"/>
    <m/>
    <s v="TIANJIN"/>
    <x v="0"/>
    <x v="0"/>
    <d v="2026-05-04T00:00:00"/>
    <d v="2026-05-04T00:00:00"/>
    <d v="2026-05-04T00:00:00"/>
    <d v="2026-07-06T00:00:00"/>
    <d v="2026-07-06T00:00:00"/>
    <d v="2026-07-07T00:00:00"/>
    <s v="CIF"/>
    <s v="COSCO SHIPPING SOLAR 036W"/>
    <s v="COSCO"/>
    <s v="TPVB20260418002"/>
    <x v="303"/>
    <s v="COSU9507017710"/>
    <n v="64"/>
    <m/>
    <d v="2026-07-07T00:00:00"/>
    <s v="In Stock-Approved"/>
    <d v="2026-07-20T00:00:00"/>
    <n v="8"/>
    <d v="2026-07-15T00:00:00"/>
    <n v="2026"/>
    <n v="7"/>
    <n v="29"/>
    <n v="36"/>
    <n v="864"/>
    <s v="Black glazing"/>
    <s v="AEM"/>
  </r>
  <r>
    <s v="26Apr014.04.02"/>
    <s v="Tianjin"/>
    <s v="26Apr014"/>
    <s v="CORE DG"/>
    <x v="1"/>
    <s v="SPTN Offstore in Transit WH"/>
    <s v="CIP"/>
    <x v="26"/>
    <s v="U6"/>
    <x v="132"/>
    <s v="FR0126062200027"/>
    <s v="1,2"/>
    <s v="Yes"/>
    <s v="n/a"/>
    <x v="0"/>
    <x v="43"/>
    <s v="HSM-ND54-DR505"/>
    <s v="EVO2A"/>
    <s v="±1200mm"/>
    <n v="505"/>
    <n v="1728"/>
    <n v="0.87263999999999997"/>
    <n v="48"/>
    <n v="2"/>
    <x v="1"/>
    <s v="COMPLETED"/>
    <s v="四月22日"/>
    <d v="2026-04-29T00:00:00"/>
    <n v="18"/>
    <s v="POPV260629099"/>
    <m/>
    <s v="TIANJIN"/>
    <x v="0"/>
    <x v="0"/>
    <d v="2026-05-04T00:00:00"/>
    <d v="2026-05-04T00:00:00"/>
    <d v="2026-05-04T00:00:00"/>
    <d v="2026-07-06T00:00:00"/>
    <d v="2026-07-06T00:00:00"/>
    <d v="2026-07-07T00:00:00"/>
    <s v="CIF"/>
    <s v="COSCO SHIPPING SOLAR 036W"/>
    <s v="COSCO"/>
    <s v="TPVB20260418002"/>
    <x v="304"/>
    <s v="COSU9507017710"/>
    <n v="64"/>
    <m/>
    <d v="2026-07-07T00:00:00"/>
    <s v="In Stock-Approved"/>
    <d v="2026-07-20T00:00:00"/>
    <n v="0"/>
    <d v="2026-07-07T00:00:00"/>
    <n v="2026"/>
    <n v="7"/>
    <n v="28"/>
    <n v="36"/>
    <n v="864"/>
    <s v="Black glazing"/>
    <s v="AEM"/>
  </r>
  <r>
    <s v="26Apr013.06"/>
    <s v="Tianjin"/>
    <s v="26Apr013"/>
    <s v="CORE DG"/>
    <x v="1"/>
    <s v="SPTN Offstore in Transit WH"/>
    <s v="CIF"/>
    <x v="14"/>
    <s v="U1"/>
    <x v="133"/>
    <s v="PL0126041700017"/>
    <n v="1"/>
    <s v="Yes"/>
    <s v="n/a"/>
    <x v="0"/>
    <x v="0"/>
    <s v="HSM-ND54-DR500"/>
    <s v="EVO2A"/>
    <s v="±1200mm"/>
    <n v="500"/>
    <n v="864"/>
    <n v="0.432"/>
    <n v="24"/>
    <n v="1"/>
    <x v="1"/>
    <s v="COMPLETED"/>
    <m/>
    <d v="2026-04-29T00:00:00"/>
    <n v="18"/>
    <s v="POPV260506020"/>
    <m/>
    <s v="TIANJIN"/>
    <x v="0"/>
    <x v="9"/>
    <d v="2026-05-04T00:00:00"/>
    <d v="2026-05-04T00:00:00"/>
    <d v="2026-05-04T00:00:00"/>
    <d v="2026-07-01T00:00:00"/>
    <d v="2026-07-08T00:00:00"/>
    <d v="2026-07-08T00:00:00"/>
    <s v="CIF"/>
    <s v="COSCO SHIPPING SOLAR 036W"/>
    <s v="COSCO"/>
    <s v="TPVB20260418004"/>
    <x v="305"/>
    <s v="COSU9507036320"/>
    <n v="65"/>
    <m/>
    <d v="2026-07-08T00:00:00"/>
    <s v="In Stock-Approved"/>
    <d v="2026-07-01T00:00:00"/>
    <n v="0"/>
    <d v="2026-07-08T00:00:00"/>
    <n v="2026"/>
    <n v="7"/>
    <n v="28"/>
    <n v="36"/>
    <n v="864"/>
    <s v="Black glazing"/>
    <s v="AEU"/>
  </r>
  <r>
    <s v="26Apr013.01"/>
    <s v="Tianjin"/>
    <s v="26Apr013"/>
    <s v="CORE DG"/>
    <x v="1"/>
    <s v="SPTN Offstore in Transit WH"/>
    <s v="CIF"/>
    <x v="27"/>
    <s v="U1"/>
    <x v="134"/>
    <s v="PL0126041000007"/>
    <m/>
    <s v="Yes"/>
    <s v="n/a"/>
    <x v="0"/>
    <x v="0"/>
    <s v="HSM-ND54-DR500"/>
    <s v="EVO2A"/>
    <s v="±1200mm"/>
    <n v="500"/>
    <n v="5184"/>
    <n v="2.5920000000000001"/>
    <n v="144"/>
    <n v="6"/>
    <x v="1"/>
    <s v="COMPLETED"/>
    <m/>
    <d v="2026-04-24T00:00:00"/>
    <n v="17"/>
    <s v="POPV260506009"/>
    <m/>
    <s v="TIANJIN"/>
    <x v="0"/>
    <x v="9"/>
    <d v="2026-05-02T00:00:00"/>
    <d v="2026-05-07T00:00:00"/>
    <d v="2026-05-07T00:00:00"/>
    <d v="2026-07-05T00:00:00"/>
    <d v="2026-07-03T00:00:00"/>
    <d v="2026-07-04T00:00:00"/>
    <s v="CIF"/>
    <s v="MSC KALINA GA618W"/>
    <s v="OTHER"/>
    <s v="TPVB20260418014"/>
    <x v="306"/>
    <s v="177KVBXYXVNN1856"/>
    <n v="58"/>
    <m/>
    <d v="2026-07-04T00:00:00"/>
    <s v="In Stock-Approved"/>
    <d v="2026-06-30T00:00:00"/>
    <n v="0"/>
    <d v="2026-07-04T00:00:00"/>
    <n v="2026"/>
    <n v="7"/>
    <n v="27"/>
    <n v="36"/>
    <n v="864"/>
    <s v="Black glazing"/>
    <s v="AEU"/>
  </r>
  <r>
    <s v="26Apr013.05"/>
    <s v="Tianjin"/>
    <s v="26Apr013"/>
    <s v="CORE DG"/>
    <x v="1"/>
    <s v="SPTN Offstore in Transit WH"/>
    <s v="CIF"/>
    <x v="14"/>
    <s v="U1"/>
    <x v="133"/>
    <s v="PL0126041700017"/>
    <n v="1"/>
    <s v="Yes"/>
    <s v="n/a"/>
    <x v="0"/>
    <x v="0"/>
    <s v="HSM-ND54-DR500"/>
    <s v="EVO2A"/>
    <s v="±1200mm"/>
    <n v="500"/>
    <n v="4320"/>
    <n v="2.16"/>
    <n v="120"/>
    <n v="5"/>
    <x v="1"/>
    <s v="COMPLETED"/>
    <m/>
    <d v="2026-04-24T00:00:00"/>
    <n v="17"/>
    <s v="POPV260506008"/>
    <m/>
    <s v="TIANJIN"/>
    <x v="0"/>
    <x v="9"/>
    <d v="2026-05-02T00:00:00"/>
    <d v="2026-05-07T00:00:00"/>
    <d v="2026-05-07T00:00:00"/>
    <d v="2026-07-05T00:00:00"/>
    <d v="2026-07-03T00:00:00"/>
    <d v="2026-07-04T00:00:00"/>
    <s v="CIF"/>
    <s v="MSC KALINA GA618W"/>
    <s v="OTHER"/>
    <s v="TPVB20260418015"/>
    <x v="307"/>
    <s v="177KVBXYXVNN1855"/>
    <n v="58"/>
    <m/>
    <d v="2026-07-04T00:00:00"/>
    <s v="In Stock-Approved"/>
    <d v="2026-06-30T00:00:00"/>
    <n v="0"/>
    <d v="2026-07-04T00:00:00"/>
    <n v="2026"/>
    <n v="7"/>
    <n v="27"/>
    <n v="36"/>
    <n v="864"/>
    <s v="Black glazing"/>
    <s v="AEU"/>
  </r>
  <r>
    <s v="26Feb017.22"/>
    <s v="Lianyungang"/>
    <s v="26Feb017"/>
    <s v="CORE DG"/>
    <x v="1"/>
    <s v="SPTN Offstore in Transit WH"/>
    <s v="CIF"/>
    <x v="15"/>
    <s v="U1"/>
    <x v="135"/>
    <s v="BE0126031900007"/>
    <n v="2"/>
    <s v="Yes"/>
    <d v="2026-03-30T00:00:00"/>
    <x v="0"/>
    <x v="7"/>
    <s v="HSM-ND48-DR450"/>
    <s v="EVO2A"/>
    <s v="±1200mm"/>
    <n v="450"/>
    <n v="1872"/>
    <n v="0.84240000000000004"/>
    <n v="52"/>
    <n v="2"/>
    <x v="1"/>
    <s v="COMPLETED"/>
    <s v="W14-BW (已入)"/>
    <d v="2026-05-04T00:00:00"/>
    <n v="19"/>
    <s v="POPV260508019"/>
    <m/>
    <s v="Lianyungang BW"/>
    <x v="1"/>
    <x v="12"/>
    <d v="2026-05-08T00:00:00"/>
    <d v="2026-05-13T00:00:00"/>
    <d v="2026-05-13T00:00:00"/>
    <d v="2026-06-18T00:00:00"/>
    <d v="2026-06-23T00:00:00"/>
    <d v="2026-06-23T00:00:00"/>
    <s v="CIF"/>
    <s v="EVER GREET 0811-026W"/>
    <s v="OTHER"/>
    <s v="TPVB20260418001"/>
    <x v="308"/>
    <s v="EGLV145699556667"/>
    <n v="41"/>
    <m/>
    <d v="2026-06-23T00:00:00"/>
    <s v="In Stock-Approved"/>
    <d v="2026-06-18T00:00:00"/>
    <n v="0"/>
    <d v="2026-06-23T00:00:00"/>
    <n v="2026"/>
    <n v="6"/>
    <n v="26"/>
    <n v="36"/>
    <n v="936"/>
    <s v="Black glazing"/>
    <s v="AEU"/>
  </r>
  <r>
    <s v="26May001.03"/>
    <s v="Tianjin"/>
    <s v="26May001"/>
    <s v="CORE DG"/>
    <x v="0"/>
    <s v="Arrival Plan-SPTN"/>
    <s v="CIF"/>
    <x v="0"/>
    <s v="U4"/>
    <x v="2"/>
    <m/>
    <m/>
    <s v="n/a"/>
    <d v="2026-04-27T00:00:00"/>
    <x v="6"/>
    <x v="21"/>
    <s v="SPR-P7-510-BLK-P"/>
    <s v="EVO2A"/>
    <s v="±1350mm"/>
    <n v="510"/>
    <n v="3168"/>
    <n v="1.61568"/>
    <n v="88"/>
    <n v="4"/>
    <x v="1"/>
    <s v="COMPLETED"/>
    <s v="五月6日"/>
    <d v="2026-05-11T00:00:00"/>
    <n v="20"/>
    <s v="POPV260515045"/>
    <m/>
    <s v="SHANGHAI"/>
    <x v="1"/>
    <x v="5"/>
    <d v="2026-05-16T00:00:00"/>
    <d v="2026-05-16T00:00:00"/>
    <d v="2026-05-16T00:00:00"/>
    <d v="2026-07-11T00:00:00"/>
    <m/>
    <d v="2026-07-14T00:00:00"/>
    <s v="CIF"/>
    <s v="ONE TRADITION 0029W"/>
    <s v="OTHER"/>
    <s v="TPVB20260519009"/>
    <x v="309"/>
    <s v="HDMUSHAZ9TA99500"/>
    <n v="59"/>
    <m/>
    <d v="2026-07-14T00:00:00"/>
    <s v="In Stock-Approved"/>
    <d v="2026-07-24T00:00:00"/>
    <n v="10"/>
    <d v="2026-07-24T00:00:00"/>
    <n v="2026"/>
    <n v="7"/>
    <n v="30"/>
    <n v="36"/>
    <n v="792"/>
    <s v="Black glazing"/>
    <s v="AEU"/>
  </r>
  <r>
    <s v="26Apr010.02"/>
    <s v="Yixing"/>
    <s v="26Apr010"/>
    <s v="CORE DG"/>
    <x v="0"/>
    <s v="Arrival Plan-SPNL"/>
    <s v="CIF"/>
    <x v="0"/>
    <s v="U1"/>
    <x v="2"/>
    <m/>
    <m/>
    <s v="n/a"/>
    <d v="2026-05-04T00:00:00"/>
    <x v="1"/>
    <x v="39"/>
    <s v="TCL-MR470DT182-58NS"/>
    <s v="EVO2A"/>
    <s v="±1200mm"/>
    <n v="470"/>
    <n v="6912"/>
    <n v="3.24864"/>
    <n v="192"/>
    <n v="8"/>
    <x v="1"/>
    <s v="COMPLETED"/>
    <s v="五月5日"/>
    <d v="2026-05-05T00:00:00"/>
    <n v="19"/>
    <s v="POPV260508018"/>
    <m/>
    <s v="SHANGHAI"/>
    <x v="1"/>
    <x v="1"/>
    <d v="2026-05-10T00:00:00"/>
    <d v="2026-05-13T00:00:00"/>
    <d v="2026-05-13T00:00:00"/>
    <d v="2026-06-16T00:00:00"/>
    <d v="2026-06-24T00:00:00"/>
    <d v="2026-06-24T00:00:00"/>
    <s v="CIF"/>
    <s v="COSCO SHIPPING SOLAR 036W"/>
    <s v="COSCO"/>
    <s v="TPVB20260519012"/>
    <x v="310"/>
    <s v="COSU6452080850"/>
    <n v="42"/>
    <m/>
    <d v="2026-06-24T00:00:00"/>
    <s v="In Stock-Approved"/>
    <d v="2026-07-08T00:00:00"/>
    <n v="7"/>
    <d v="2026-07-01T00:00:00"/>
    <n v="2026"/>
    <n v="7"/>
    <n v="27"/>
    <n v="36"/>
    <n v="864"/>
    <s v="White glazing"/>
    <s v="AEU"/>
  </r>
  <r>
    <s v="26Apr010.07"/>
    <s v="Yixing"/>
    <s v="26Apr010"/>
    <s v="CORE DG"/>
    <x v="0"/>
    <s v="Arrival Plan-SPUK"/>
    <s v="CIF"/>
    <x v="6"/>
    <s v="U1"/>
    <x v="2"/>
    <m/>
    <m/>
    <s v="n/a"/>
    <d v="2026-05-04T00:00:00"/>
    <x v="1"/>
    <x v="39"/>
    <s v="TCL-MR470DT182-58NS"/>
    <s v="EVO2A"/>
    <s v="±1200mm"/>
    <n v="470"/>
    <n v="1728"/>
    <n v="0.81215999999999999"/>
    <n v="48"/>
    <n v="2"/>
    <x v="1"/>
    <s v="COMPLETED"/>
    <s v="五月7日"/>
    <d v="2026-05-10T00:00:00"/>
    <n v="19"/>
    <s v="POPV260515047"/>
    <m/>
    <s v="SHANGHAI"/>
    <x v="1"/>
    <x v="6"/>
    <d v="2026-05-14T00:00:00"/>
    <d v="2026-05-13T00:00:00"/>
    <d v="2026-05-12T00:00:00"/>
    <d v="2026-06-20T00:00:00"/>
    <d v="2026-07-09T00:00:00"/>
    <d v="2026-07-10T00:00:00"/>
    <s v="CIF"/>
    <s v="MSC MARIE/QB619W"/>
    <s v="OTHER"/>
    <s v="TPVB20260519011"/>
    <x v="311"/>
    <s v="177FBOBOS86898"/>
    <n v="59"/>
    <m/>
    <d v="2026-07-10T00:00:00"/>
    <s v="In Transit-Approved"/>
    <d v="2026-07-23T00:00:00"/>
    <n v="7"/>
    <d v="2026-07-17T00:00:00"/>
    <n v="2026"/>
    <n v="7"/>
    <n v="29"/>
    <n v="36"/>
    <n v="864"/>
    <s v="White glazing"/>
    <s v="AEU"/>
  </r>
  <r>
    <s v="26Apr004.04"/>
    <s v="Yixing"/>
    <s v="26Apr004"/>
    <s v="CORE DG"/>
    <x v="0"/>
    <s v="Arrival Plan-SPUK"/>
    <s v="CIF"/>
    <x v="6"/>
    <s v="U1"/>
    <x v="2"/>
    <m/>
    <m/>
    <s v="n/a"/>
    <d v="2026-04-27T00:00:00"/>
    <x v="5"/>
    <x v="19"/>
    <s v="SPR-P7-460-BLK-1500"/>
    <s v="EVO2A"/>
    <s v="±1200mm"/>
    <n v="460"/>
    <n v="1728"/>
    <n v="0.79488000000000003"/>
    <n v="48"/>
    <n v="2"/>
    <x v="1"/>
    <s v="COMPLETED"/>
    <s v="五月5日"/>
    <d v="2026-05-10T00:00:00"/>
    <n v="19"/>
    <s v="POPV260515046"/>
    <m/>
    <s v="SHANGHAI"/>
    <x v="1"/>
    <x v="6"/>
    <d v="2026-05-14T00:00:00"/>
    <d v="2026-05-13T00:00:00"/>
    <d v="2026-05-12T00:00:00"/>
    <d v="2026-06-20T00:00:00"/>
    <d v="2026-07-09T00:00:00"/>
    <d v="2026-07-10T00:00:00"/>
    <s v="CIF"/>
    <s v="MSC MARIE/QB619W"/>
    <s v="OTHER"/>
    <s v="TPVB20260519011"/>
    <x v="311"/>
    <s v="177FBOBOS86898"/>
    <n v="59"/>
    <m/>
    <d v="2026-07-10T00:00:00"/>
    <s v="In Stock-Approved"/>
    <d v="2026-07-23T00:00:00"/>
    <n v="7"/>
    <d v="2026-07-17T00:00:00"/>
    <n v="2026"/>
    <n v="7"/>
    <n v="29"/>
    <n v="36"/>
    <n v="864"/>
    <s v="Black glazing"/>
    <s v="AEU"/>
  </r>
  <r>
    <s v="26Apr008.01"/>
    <s v="Tianjin(Transport to Yixing for shipment)"/>
    <s v="26Apr008"/>
    <s v="CORE DG"/>
    <x v="0"/>
    <s v="Arrival Plan-SPIT"/>
    <s v="CIF"/>
    <x v="4"/>
    <s v="U2"/>
    <x v="2"/>
    <m/>
    <m/>
    <s v="n/a"/>
    <d v="2026-05-04T00:00:00"/>
    <x v="2"/>
    <x v="68"/>
    <s v="SPR-P7-560-COM-S"/>
    <s v="EVO2A"/>
    <s v="±1400mm"/>
    <n v="560"/>
    <n v="5280"/>
    <n v="2.9567999999999999"/>
    <n v="160"/>
    <n v="8"/>
    <x v="1"/>
    <s v="COMPLETED"/>
    <s v="五月8日"/>
    <d v="2026-05-08T00:00:00"/>
    <n v="19"/>
    <s v="POPV260509008"/>
    <m/>
    <s v="SHANGHAI"/>
    <x v="1"/>
    <x v="4"/>
    <d v="2026-05-15T00:00:00"/>
    <d v="2026-05-15T00:00:00"/>
    <d v="2026-05-15T00:00:00"/>
    <d v="2026-07-01T00:00:00"/>
    <d v="2026-07-02T00:00:00"/>
    <d v="2026-07-02T00:00:00"/>
    <s v="CIF"/>
    <s v="OOCL HONG KONG 039W"/>
    <s v="COSCO"/>
    <s v="TPVB20260519013"/>
    <x v="312"/>
    <s v="COSU6452081790"/>
    <n v="48"/>
    <m/>
    <d v="2026-07-02T00:00:00"/>
    <s v="In Stock-Approved"/>
    <d v="2026-07-16T00:00:00"/>
    <n v="10"/>
    <d v="2026-07-12T00:00:00"/>
    <n v="2026"/>
    <n v="7"/>
    <n v="28"/>
    <n v="33"/>
    <n v="660"/>
    <s v="White glazing"/>
    <s v="AEM"/>
  </r>
  <r>
    <s v="26May002.02"/>
    <s v="Tianjin"/>
    <s v="26May002"/>
    <s v="CORE DG"/>
    <x v="0"/>
    <s v="Arrival Plan-SPIT"/>
    <s v="CIF"/>
    <x v="4"/>
    <s v="U4"/>
    <x v="2"/>
    <m/>
    <m/>
    <s v="n/a"/>
    <d v="2026-04-27T00:00:00"/>
    <x v="6"/>
    <x v="69"/>
    <s v="SPR-P7-515-BLK-P"/>
    <s v="EVO2A"/>
    <s v="±1350mm"/>
    <n v="515"/>
    <n v="3960"/>
    <n v="2.0394000000000001"/>
    <n v="110"/>
    <n v="5"/>
    <x v="1"/>
    <s v="COMPLETED"/>
    <s v="五月6日"/>
    <d v="2026-05-08T00:00:00"/>
    <n v="19"/>
    <s v="POPV260509009"/>
    <m/>
    <s v="SHANGHAI"/>
    <x v="1"/>
    <x v="4"/>
    <d v="2026-05-15T00:00:00"/>
    <d v="2026-05-15T00:00:00"/>
    <d v="2026-05-15T00:00:00"/>
    <d v="2026-07-01T00:00:00"/>
    <d v="2026-07-02T00:00:00"/>
    <d v="2026-07-02T00:00:00"/>
    <s v="CIF"/>
    <s v="OOCL HONG KONG 039W"/>
    <s v="COSCO"/>
    <s v="TPVB20260519013"/>
    <x v="312"/>
    <s v="COSU6452081790"/>
    <n v="48"/>
    <m/>
    <d v="2026-07-02T00:00:00"/>
    <s v="In Stock-Approved"/>
    <d v="2026-07-16T00:00:00"/>
    <n v="10"/>
    <d v="2026-07-12T00:00:00"/>
    <n v="2026"/>
    <n v="7"/>
    <n v="28"/>
    <n v="36"/>
    <n v="792"/>
    <s v="Black glazing"/>
    <s v="AEM"/>
  </r>
  <r>
    <s v="26May001.01"/>
    <s v="Tianjin"/>
    <s v="26May001"/>
    <s v="CORE DG"/>
    <x v="0"/>
    <s v="Arrival Plan-SPTN"/>
    <s v="CIF"/>
    <x v="0"/>
    <s v="U4"/>
    <x v="2"/>
    <m/>
    <m/>
    <s v="n/a"/>
    <d v="2026-04-27T00:00:00"/>
    <x v="6"/>
    <x v="21"/>
    <s v="SPR-P7-510-BLK-P"/>
    <s v="EVO2A"/>
    <s v="±1350mm"/>
    <n v="510"/>
    <n v="792"/>
    <n v="0.40392"/>
    <n v="22"/>
    <n v="1"/>
    <x v="1"/>
    <s v="COMPLETED"/>
    <m/>
    <d v="2026-04-30T00:00:00"/>
    <n v="18"/>
    <s v="POPV260509007"/>
    <m/>
    <s v="TIANJIN"/>
    <x v="0"/>
    <x v="5"/>
    <d v="2026-05-13T00:00:00"/>
    <d v="2026-05-13T00:00:00"/>
    <d v="2026-05-13T00:00:00"/>
    <d v="2026-06-30T00:00:00"/>
    <m/>
    <d v="2026-06-29T00:00:00"/>
    <s v="CIF"/>
    <s v="COSCO SHIPPING UNIVERSE 035W"/>
    <s v="COSCO"/>
    <s v="TPVB20260519002"/>
    <x v="313"/>
    <s v="COSU6452282800"/>
    <n v="47"/>
    <m/>
    <d v="2026-06-29T00:00:00"/>
    <s v="In Stock-Approved"/>
    <d v="2026-07-14T00:00:00"/>
    <n v="10"/>
    <d v="2026-07-09T00:00:00"/>
    <n v="2026"/>
    <n v="7"/>
    <n v="28"/>
    <n v="36"/>
    <n v="792"/>
    <s v="Black glazing"/>
    <s v="AEU"/>
  </r>
  <r>
    <s v="26May002.01"/>
    <s v="Tianjin"/>
    <s v="26May002"/>
    <s v="CORE DG"/>
    <x v="0"/>
    <s v="Arrival Plan-SPUK"/>
    <s v="CIF"/>
    <x v="6"/>
    <s v="U4"/>
    <x v="2"/>
    <m/>
    <m/>
    <s v="n/a"/>
    <d v="2026-04-27T00:00:00"/>
    <x v="6"/>
    <x v="69"/>
    <s v="SPR-P7-515-BLK-P"/>
    <s v="EVO2A"/>
    <s v="±1350mm"/>
    <n v="515"/>
    <n v="792"/>
    <n v="0.40788000000000002"/>
    <n v="22"/>
    <n v="1"/>
    <x v="1"/>
    <s v="COMPLETED"/>
    <m/>
    <d v="2026-04-30T00:00:00"/>
    <n v="18"/>
    <s v="POPV260508017"/>
    <m/>
    <s v="TIANJIN"/>
    <x v="0"/>
    <x v="6"/>
    <d v="2026-05-06T00:00:00"/>
    <d v="2026-05-08T00:00:00"/>
    <d v="2026-05-08T00:00:00"/>
    <d v="2026-06-28T00:00:00"/>
    <d v="2026-07-05T00:00:00"/>
    <d v="2026-07-05T00:00:00"/>
    <s v="CIF"/>
    <s v="XIN CANG ZHOU 306S"/>
    <s v="COSCO"/>
    <s v="TPVB20260519003"/>
    <x v="314"/>
    <s v="COSU6452259000"/>
    <n v="58"/>
    <m/>
    <d v="2026-07-05T00:00:00"/>
    <s v="In Stock-Approved"/>
    <d v="2026-07-20T00:00:00"/>
    <n v="7"/>
    <d v="2026-07-12T00:00:00"/>
    <n v="2026"/>
    <n v="7"/>
    <n v="28"/>
    <n v="36"/>
    <n v="792"/>
    <s v="Black glazing"/>
    <s v="AEU"/>
  </r>
  <r>
    <s v="26May002.04"/>
    <s v="Tianjin"/>
    <s v="26May002"/>
    <s v="CORE DG"/>
    <x v="0"/>
    <s v="Arrival Plan-SPNL"/>
    <s v="CIF"/>
    <x v="0"/>
    <s v="U4"/>
    <x v="2"/>
    <m/>
    <m/>
    <s v="n/a"/>
    <d v="2026-04-27T00:00:00"/>
    <x v="6"/>
    <x v="69"/>
    <s v="SPR-P7-515-BLK-P"/>
    <s v="EVO2A"/>
    <s v="±1350mm"/>
    <n v="515"/>
    <n v="3960"/>
    <n v="2.0394000000000001"/>
    <n v="110"/>
    <n v="5"/>
    <x v="1"/>
    <s v="COMPLETED"/>
    <m/>
    <d v="2026-04-30T00:00:00"/>
    <n v="18"/>
    <s v="POPV260509005"/>
    <m/>
    <s v="TIANJIN"/>
    <x v="0"/>
    <x v="1"/>
    <d v="2026-05-13T00:00:00"/>
    <d v="2026-05-13T00:00:00"/>
    <d v="2026-05-13T00:00:00"/>
    <d v="2026-06-23T00:00:00"/>
    <m/>
    <d v="2026-06-30T00:00:00"/>
    <s v="CIF"/>
    <s v="COSCO SHIPPING UNIVERSE 035W"/>
    <s v="COSCO"/>
    <s v="TPVB20260519004"/>
    <x v="315"/>
    <s v="COSU9507118140"/>
    <n v="48"/>
    <m/>
    <d v="2026-06-30T00:00:00"/>
    <s v="In Stock-Approved"/>
    <d v="2026-07-14T00:00:00"/>
    <n v="7"/>
    <d v="2026-07-07T00:00:00"/>
    <n v="2026"/>
    <n v="7"/>
    <n v="28"/>
    <n v="36"/>
    <n v="792"/>
    <s v="Black glazing"/>
    <s v="AEU"/>
  </r>
  <r>
    <s v="26May001.02"/>
    <s v="Tianjin"/>
    <s v="26May001"/>
    <s v="CORE DG"/>
    <x v="0"/>
    <s v="Arrival Plan-SPTN"/>
    <s v="CIF"/>
    <x v="0"/>
    <s v="U4"/>
    <x v="2"/>
    <m/>
    <m/>
    <s v="n/a"/>
    <d v="2026-04-27T00:00:00"/>
    <x v="6"/>
    <x v="21"/>
    <s v="SPR-P7-510-BLK-P"/>
    <s v="EVO2A"/>
    <s v="±1350mm"/>
    <n v="510"/>
    <n v="3168"/>
    <n v="1.61568"/>
    <n v="88"/>
    <n v="4"/>
    <x v="1"/>
    <s v="COMPLETED"/>
    <m/>
    <d v="2026-04-30T00:00:00"/>
    <n v="18"/>
    <s v="POPV260509004"/>
    <m/>
    <s v="TIANJIN"/>
    <x v="0"/>
    <x v="0"/>
    <d v="2026-05-13T00:00:00"/>
    <d v="2026-05-13T00:00:00"/>
    <d v="2026-05-13T00:00:00"/>
    <d v="2026-07-13T00:00:00"/>
    <m/>
    <d v="2026-07-12T00:00:00"/>
    <s v="CIF"/>
    <s v="COSCO SHIPPING UNIVERSE 035W"/>
    <s v="COSCO"/>
    <s v="TPVB20260519005"/>
    <x v="316"/>
    <s v="COSU9507123270"/>
    <n v="60"/>
    <m/>
    <d v="2026-07-12T00:00:00"/>
    <s v="In Stock-Approved"/>
    <d v="2026-07-27T00:00:00"/>
    <n v="8"/>
    <d v="2026-07-20T00:00:00"/>
    <n v="2026"/>
    <n v="7"/>
    <n v="30"/>
    <n v="36"/>
    <n v="792"/>
    <s v="Black glazing"/>
    <s v="AEM"/>
  </r>
  <r>
    <s v="26May001.04"/>
    <s v="Tianjin"/>
    <s v="26May001"/>
    <s v="CORE DG"/>
    <x v="0"/>
    <s v="Arrival Plan-SPTN"/>
    <s v="CIF"/>
    <x v="0"/>
    <s v="U4"/>
    <x v="2"/>
    <m/>
    <m/>
    <s v="n/a"/>
    <d v="2026-04-27T00:00:00"/>
    <x v="6"/>
    <x v="21"/>
    <s v="SPR-P7-510-BLK-P"/>
    <s v="EVO2A"/>
    <s v="±1350mm"/>
    <n v="510"/>
    <n v="792"/>
    <n v="0.40392"/>
    <n v="22"/>
    <n v="1"/>
    <x v="1"/>
    <s v="COMPLETED"/>
    <m/>
    <d v="2026-04-30T00:00:00"/>
    <n v="18"/>
    <s v="POPV260509006"/>
    <m/>
    <s v="TIANJIN"/>
    <x v="0"/>
    <x v="0"/>
    <d v="2026-05-13T00:00:00"/>
    <d v="2026-05-13T00:00:00"/>
    <d v="2026-05-13T00:00:00"/>
    <d v="2026-07-07T00:00:00"/>
    <m/>
    <d v="2026-07-08T00:00:00"/>
    <s v="CIF"/>
    <s v="COSCO SHIPPING UNIVERSE 035W"/>
    <s v="COSCO"/>
    <s v="TPVB20260519006"/>
    <x v="317"/>
    <s v="COSU9507123300"/>
    <n v="56"/>
    <m/>
    <d v="2026-07-08T00:00:00"/>
    <s v="In Stock-Approved"/>
    <d v="2026-07-22T00:00:00"/>
    <n v="8"/>
    <d v="2026-07-16T00:00:00"/>
    <n v="2026"/>
    <n v="7"/>
    <n v="29"/>
    <n v="36"/>
    <n v="792"/>
    <s v="Black glazing"/>
    <s v="AEM"/>
  </r>
  <r>
    <s v="26May002.03"/>
    <s v="Tianjin"/>
    <s v="26May002"/>
    <s v="CORE DG"/>
    <x v="0"/>
    <s v="Arrival Plan-SPES"/>
    <s v="CIF"/>
    <x v="1"/>
    <s v="U4"/>
    <x v="2"/>
    <m/>
    <m/>
    <s v="n/a"/>
    <d v="2026-04-27T00:00:00"/>
    <x v="6"/>
    <x v="69"/>
    <s v="SPR-P7-515-BLK-P"/>
    <s v="EVO2A"/>
    <s v="±1350mm"/>
    <n v="515"/>
    <n v="792"/>
    <n v="0.40788000000000002"/>
    <n v="22"/>
    <n v="1"/>
    <x v="1"/>
    <s v="COMPLETED"/>
    <m/>
    <d v="2026-04-30T00:00:00"/>
    <n v="18"/>
    <s v="POPV260509003"/>
    <m/>
    <s v="TIANJIN"/>
    <x v="0"/>
    <x v="2"/>
    <d v="2026-05-13T00:00:00"/>
    <d v="2026-05-13T00:00:00"/>
    <d v="2026-05-13T00:00:00"/>
    <d v="2026-07-01T00:00:00"/>
    <m/>
    <d v="2026-07-01T00:00:00"/>
    <s v="CIF"/>
    <s v="COSCO SHIPPING UNIVERSE 035W"/>
    <s v="COSCO"/>
    <s v="TPVB20260519007"/>
    <x v="318"/>
    <s v="COSU9507124020"/>
    <n v="49"/>
    <m/>
    <d v="2026-07-01T00:00:00"/>
    <s v="In Stock-Approved"/>
    <d v="2026-07-15T00:00:00"/>
    <n v="9"/>
    <d v="2026-07-10T00:00:00"/>
    <n v="2026"/>
    <n v="7"/>
    <n v="28"/>
    <n v="36"/>
    <n v="792"/>
    <s v="Black glazing"/>
    <s v="AEM"/>
  </r>
  <r>
    <s v="26May002.06"/>
    <s v="Tianjin"/>
    <s v="26May002"/>
    <s v="CORE DG"/>
    <x v="0"/>
    <s v="Arrival Plan-SPES"/>
    <s v="CIF"/>
    <x v="1"/>
    <s v="U4"/>
    <x v="2"/>
    <m/>
    <m/>
    <s v="n/a"/>
    <d v="2026-04-27T00:00:00"/>
    <x v="6"/>
    <x v="69"/>
    <s v="SPR-P7-515-BLK-P"/>
    <s v="EVO2A"/>
    <s v="±1350mm"/>
    <n v="515"/>
    <n v="792"/>
    <n v="0.40788000000000002"/>
    <n v="22"/>
    <n v="1"/>
    <x v="1"/>
    <s v="COMPLETED"/>
    <m/>
    <d v="2026-04-30T00:00:00"/>
    <n v="18"/>
    <s v="POPV260508016"/>
    <m/>
    <s v="TIANJIN"/>
    <x v="0"/>
    <x v="2"/>
    <d v="2026-05-06T00:00:00"/>
    <d v="2026-05-08T00:00:00"/>
    <d v="2026-05-08T00:00:00"/>
    <d v="2026-07-02T00:00:00"/>
    <m/>
    <d v="2026-07-02T00:00:00"/>
    <s v="CIF"/>
    <s v="XIN CANG ZHOU 306S"/>
    <s v="COSCO"/>
    <s v="TPVB20260519008"/>
    <x v="319"/>
    <s v="COSU9507124040"/>
    <n v="55"/>
    <m/>
    <d v="2026-07-02T00:00:00"/>
    <s v="In Stock-Approved"/>
    <d v="2026-07-15T00:00:00"/>
    <n v="9"/>
    <d v="2026-07-11T00:00:00"/>
    <n v="2026"/>
    <n v="7"/>
    <n v="28"/>
    <n v="36"/>
    <n v="792"/>
    <s v="Black glazing"/>
    <s v="AEM"/>
  </r>
  <r>
    <s v="26Apr001.03"/>
    <s v="Yixing"/>
    <s v="26Apr001"/>
    <s v="UPP"/>
    <x v="0"/>
    <n v="0"/>
    <s v="CIF"/>
    <x v="6"/>
    <s v="U3"/>
    <x v="130"/>
    <m/>
    <m/>
    <s v="n/a"/>
    <d v="2026-04-20T00:00:00"/>
    <x v="0"/>
    <x v="71"/>
    <s v="HSM-ND66-GK725"/>
    <s v="EVO2A"/>
    <s v="+400mm/-200mm"/>
    <n v="725"/>
    <n v="2970"/>
    <n v="2.1532499999999999"/>
    <n v="90"/>
    <n v="5"/>
    <x v="1"/>
    <s v="COMPLETED"/>
    <s v="SZ BW"/>
    <d v="2026-05-10T00:00:00"/>
    <n v="19"/>
    <s v="POPV260515023"/>
    <m/>
    <s v="SHANGHAI"/>
    <x v="1"/>
    <x v="16"/>
    <d v="2026-05-13T00:00:00"/>
    <d v="2026-05-12T00:00:00"/>
    <d v="2026-05-12T00:00:00"/>
    <d v="2026-07-05T00:00:00"/>
    <d v="2026-07-09T00:00:00"/>
    <d v="2026-07-09T00:00:00"/>
    <s v="CIF"/>
    <s v="EVER EDIT / 0812-001W"/>
    <s v="OTHER"/>
    <s v="TPVB20260520001"/>
    <x v="320"/>
    <s v="EGLV142650276020"/>
    <n v="58"/>
    <m/>
    <d v="2026-07-09T00:00:00"/>
    <s v="In Stock-Approved"/>
    <d v="2026-08-05T00:00:00"/>
    <n v="7"/>
    <d v="2026-07-16T00:00:00"/>
    <n v="2026"/>
    <n v="7"/>
    <n v="29"/>
    <n v="33"/>
    <n v="594"/>
    <s v="Transparent"/>
    <s v="AEU"/>
  </r>
  <r>
    <s v="26Apr002.03"/>
    <s v="Yixing"/>
    <s v="26Apr002"/>
    <s v="UPP"/>
    <x v="0"/>
    <n v="0"/>
    <s v="CIF"/>
    <x v="6"/>
    <s v="U3"/>
    <x v="130"/>
    <m/>
    <m/>
    <s v="n/a"/>
    <d v="2026-04-20T00:00:00"/>
    <x v="0"/>
    <x v="70"/>
    <s v="HSM-ND66-GK730"/>
    <s v="EVO2A"/>
    <s v="+400mm/-200mm"/>
    <n v="730"/>
    <n v="1188"/>
    <n v="0.86724000000000001"/>
    <n v="36"/>
    <n v="2"/>
    <x v="1"/>
    <s v="COMPLETED"/>
    <s v="SZ BW"/>
    <d v="2026-05-10T00:00:00"/>
    <n v="19"/>
    <s v="POPV260515024"/>
    <m/>
    <s v="SHANGHAI"/>
    <x v="1"/>
    <x v="16"/>
    <d v="2026-05-13T00:00:00"/>
    <d v="2026-05-12T00:00:00"/>
    <d v="2026-05-12T00:00:00"/>
    <d v="2026-07-05T00:00:00"/>
    <d v="2026-07-09T00:00:00"/>
    <d v="2026-07-09T00:00:00"/>
    <s v="CIF"/>
    <s v="EVER EDIT / 0812-001W"/>
    <s v="OTHER"/>
    <s v="TPVB20260520001"/>
    <x v="320"/>
    <s v="EGLV142650276020"/>
    <n v="58"/>
    <m/>
    <d v="2026-07-09T00:00:00"/>
    <s v="In Stock-Approved"/>
    <d v="2026-08-05T00:00:00"/>
    <n v="7"/>
    <d v="2026-07-16T00:00:00"/>
    <n v="2026"/>
    <n v="7"/>
    <n v="29"/>
    <n v="33"/>
    <n v="594"/>
    <s v="Transparent"/>
    <s v="AEU"/>
  </r>
  <r>
    <s v="26Apr002.05"/>
    <s v="Yixing"/>
    <s v="26Apr002"/>
    <s v="UPP"/>
    <x v="0"/>
    <n v="0"/>
    <s v="CIF"/>
    <x v="6"/>
    <s v="U3"/>
    <x v="130"/>
    <m/>
    <m/>
    <s v="n/a"/>
    <d v="2026-04-20T00:00:00"/>
    <x v="0"/>
    <x v="70"/>
    <s v="HSM-ND66-GK730"/>
    <s v="EVO2A"/>
    <s v="+400mm/-200mm"/>
    <n v="730"/>
    <n v="1782"/>
    <n v="1.3008599999999999"/>
    <n v="54"/>
    <n v="3"/>
    <x v="1"/>
    <s v="COMPLETED"/>
    <s v="五月6日"/>
    <d v="2026-05-10T00:00:00"/>
    <n v="19"/>
    <s v="POPV260515025"/>
    <m/>
    <s v="SHANGHAI"/>
    <x v="1"/>
    <x v="16"/>
    <d v="2026-05-13T00:00:00"/>
    <d v="2026-05-13T00:00:00"/>
    <d v="2026-05-13T00:00:00"/>
    <d v="2026-07-05T00:00:00"/>
    <d v="2026-07-09T00:00:00"/>
    <d v="2026-07-09T00:00:00"/>
    <s v="CIF"/>
    <s v="EVER EDIT / 0812-001W"/>
    <s v="OTHER"/>
    <s v="TPVB20260520002"/>
    <x v="321"/>
    <s v="EGLV142650276038"/>
    <n v="57"/>
    <m/>
    <d v="2026-07-09T00:00:00"/>
    <s v="In Stock-Approved"/>
    <d v="2026-08-05T00:00:00"/>
    <n v="7"/>
    <d v="2026-07-16T00:00:00"/>
    <n v="2026"/>
    <n v="7"/>
    <n v="29"/>
    <n v="33"/>
    <n v="594"/>
    <s v="Transparent"/>
    <s v="AEU"/>
  </r>
  <r>
    <s v="26Apr010.01"/>
    <s v="Yixing"/>
    <s v="26Apr010"/>
    <s v="CORE DG"/>
    <x v="0"/>
    <s v="Arrival Plan-SPUK"/>
    <s v="CIF"/>
    <x v="6"/>
    <s v="U1"/>
    <x v="2"/>
    <m/>
    <m/>
    <s v="n/a"/>
    <d v="2026-05-04T00:00:00"/>
    <x v="1"/>
    <x v="39"/>
    <s v="TCL-MR470DT182-58NS"/>
    <s v="EVO2A"/>
    <s v="±1200mm"/>
    <n v="470"/>
    <n v="2592"/>
    <n v="1.21824"/>
    <n v="72"/>
    <n v="3"/>
    <x v="1"/>
    <s v="COMPLETED"/>
    <s v="五月7日"/>
    <d v="2026-05-11T00:00:00"/>
    <n v="20"/>
    <s v="POPV260515026"/>
    <m/>
    <s v="SHANGHAI"/>
    <x v="1"/>
    <x v="6"/>
    <d v="2026-05-18T00:00:00"/>
    <d v="2026-05-17T00:00:00"/>
    <d v="2026-05-17T00:00:00"/>
    <d v="2026-06-28T00:00:00"/>
    <m/>
    <d v="2026-06-27T00:00:00"/>
    <s v="CIF"/>
    <s v="OOCL SPAIN 012W"/>
    <s v="COSCO"/>
    <s v="TPVB20260520003"/>
    <x v="322"/>
    <s v="COSU6500579050"/>
    <n v="41"/>
    <m/>
    <d v="2026-06-27T00:00:00"/>
    <s v="In Stock-Approved"/>
    <d v="2026-07-13T00:00:00"/>
    <n v="7"/>
    <d v="2026-07-04T00:00:00"/>
    <n v="2026"/>
    <n v="7"/>
    <n v="27"/>
    <n v="36"/>
    <n v="864"/>
    <s v="White glazing"/>
    <s v="AEU"/>
  </r>
  <r>
    <s v="26May002.05"/>
    <s v="Tianjin"/>
    <s v="26May002"/>
    <s v="CORE DG"/>
    <x v="0"/>
    <s v="Arrival Plan-SPUK"/>
    <s v="CIF"/>
    <x v="6"/>
    <s v="U4"/>
    <x v="2"/>
    <m/>
    <m/>
    <s v="n/a"/>
    <d v="2026-04-27T00:00:00"/>
    <x v="6"/>
    <x v="69"/>
    <s v="SPR-P7-515-BLK-P"/>
    <s v="EVO2A"/>
    <s v="±1350mm"/>
    <n v="515"/>
    <n v="1584"/>
    <n v="0.81576000000000004"/>
    <n v="44"/>
    <n v="2"/>
    <x v="1"/>
    <s v="COMPLETED"/>
    <s v="五月6日"/>
    <d v="2026-05-11T00:00:00"/>
    <n v="20"/>
    <s v="POPV260515028"/>
    <m/>
    <s v="SHANGHAI"/>
    <x v="1"/>
    <x v="6"/>
    <d v="2026-05-16T00:00:00"/>
    <d v="2026-05-17T00:00:00"/>
    <d v="2026-05-17T00:00:00"/>
    <d v="2026-06-26T00:00:00"/>
    <m/>
    <d v="2026-06-29T00:00:00"/>
    <s v="CIF"/>
    <s v="OOCL UNITED KINGDOM"/>
    <s v="COSCO"/>
    <s v="TPVB20260520010"/>
    <x v="323"/>
    <s v="COSU6500580760"/>
    <n v="43"/>
    <m/>
    <d v="2026-06-29T00:00:00"/>
    <s v="In Stock-Approved"/>
    <d v="2026-07-14T00:00:00"/>
    <n v="7"/>
    <d v="2026-07-06T00:00:00"/>
    <n v="2026"/>
    <n v="7"/>
    <n v="28"/>
    <n v="36"/>
    <n v="792"/>
    <s v="Black glazing"/>
    <s v="AEU"/>
  </r>
  <r>
    <s v="26Apr008.11"/>
    <s v="Tianjin(Transport to Yixing for shipment)"/>
    <s v="26Apr008"/>
    <s v="CORE DG"/>
    <x v="0"/>
    <s v="Arrival Plan-SPNL"/>
    <s v="CIF"/>
    <x v="0"/>
    <s v="U1"/>
    <x v="2"/>
    <m/>
    <m/>
    <s v="n/a"/>
    <d v="2026-05-04T00:00:00"/>
    <x v="2"/>
    <x v="68"/>
    <s v="SPR-P7-560-COM-S"/>
    <s v="EVO2A"/>
    <s v="±1400mm"/>
    <n v="560"/>
    <n v="1980"/>
    <n v="1.1088"/>
    <n v="60"/>
    <n v="3"/>
    <x v="1"/>
    <s v="COMPLETED"/>
    <s v="五月11日"/>
    <d v="2026-05-14T00:00:00"/>
    <n v="20"/>
    <s v="POPV260515029"/>
    <m/>
    <s v="SHANGHAI"/>
    <x v="1"/>
    <x v="1"/>
    <d v="2026-05-19T00:00:00"/>
    <d v="2026-05-21T00:00:00"/>
    <d v="2026-05-21T00:00:00"/>
    <d v="2026-06-23T00:00:00"/>
    <m/>
    <d v="2026-06-30T00:00:00"/>
    <s v="CIF"/>
    <s v="COSCO SHIPPING UNIVERSE 035W"/>
    <s v="COSCO"/>
    <s v="TPVB20260520004"/>
    <x v="324"/>
    <s v="COSU6452554090"/>
    <n v="40"/>
    <m/>
    <d v="2026-06-30T00:00:00"/>
    <s v="In Stock-Approved"/>
    <d v="2026-07-14T00:00:00"/>
    <n v="7"/>
    <d v="2026-07-07T00:00:00"/>
    <n v="2026"/>
    <n v="7"/>
    <n v="28"/>
    <n v="33"/>
    <n v="660"/>
    <s v="White glazing"/>
    <s v="AEU"/>
  </r>
  <r>
    <s v="26May006.07"/>
    <s v="Yixing"/>
    <s v="26May006"/>
    <s v="CORE DG"/>
    <x v="0"/>
    <s v="Arrival Plan-SPNL"/>
    <s v="CIF"/>
    <x v="0"/>
    <s v="U1"/>
    <x v="2"/>
    <m/>
    <m/>
    <s v="n/a"/>
    <d v="2026-05-18T00:00:00"/>
    <x v="1"/>
    <x v="39"/>
    <s v="TCL-MR470DT182-58NS"/>
    <s v="EVO2A"/>
    <s v="±1200mm"/>
    <n v="470"/>
    <n v="4320"/>
    <n v="2.0304000000000002"/>
    <n v="120"/>
    <n v="5"/>
    <x v="1"/>
    <s v="COMPLETED"/>
    <m/>
    <d v="2026-05-14T00:00:00"/>
    <n v="20"/>
    <s v="POPV260515030"/>
    <m/>
    <s v="SHANGHAI"/>
    <x v="1"/>
    <x v="1"/>
    <d v="2026-05-19T00:00:00"/>
    <d v="2026-05-21T00:00:00"/>
    <d v="2026-05-21T00:00:00"/>
    <d v="2026-06-23T00:00:00"/>
    <m/>
    <d v="2026-06-30T00:00:00"/>
    <m/>
    <s v="COSCO SHIPPING UNIVERSE 035W"/>
    <s v="COSCO"/>
    <s v="TPVB20260520004"/>
    <x v="324"/>
    <s v="COSU6452554090"/>
    <n v="40"/>
    <m/>
    <d v="2026-06-30T00:00:00"/>
    <s v="In Stock-Approved"/>
    <d v="2026-07-14T00:00:00"/>
    <n v="7"/>
    <d v="2026-07-07T00:00:00"/>
    <n v="2026"/>
    <n v="7"/>
    <n v="28"/>
    <n v="36"/>
    <n v="864"/>
    <s v="White glazing"/>
    <s v="AEU"/>
  </r>
  <r>
    <s v="26Apr010.04"/>
    <s v="Yixing"/>
    <s v="26Apr010"/>
    <s v="CORE DG"/>
    <x v="0"/>
    <s v="Arrival Plan-SPNL"/>
    <s v="CIF"/>
    <x v="0"/>
    <s v="U1"/>
    <x v="2"/>
    <m/>
    <m/>
    <s v="n/a"/>
    <d v="2026-05-04T00:00:00"/>
    <x v="1"/>
    <x v="39"/>
    <s v="TCL-MR470DT182-58NS"/>
    <s v="EVO2A"/>
    <s v="±1200mm"/>
    <n v="470"/>
    <n v="5184"/>
    <n v="2.43648"/>
    <n v="144"/>
    <n v="6"/>
    <x v="1"/>
    <s v="COMPLETED"/>
    <s v="五月8日"/>
    <d v="2026-05-10T00:00:00"/>
    <n v="19"/>
    <s v="POPV260515031"/>
    <m/>
    <s v="SHANGHAI"/>
    <x v="1"/>
    <x v="1"/>
    <d v="2026-05-16T00:00:00"/>
    <d v="2026-05-31T00:00:00"/>
    <d v="2026-05-31T00:00:00"/>
    <d v="2026-06-29T00:00:00"/>
    <d v="2026-07-07T00:00:00"/>
    <d v="2026-07-08T00:00:00"/>
    <s v="CIF"/>
    <s v="OOCL UNITED KINGDOM 037W"/>
    <s v="COSCO"/>
    <s v="TPVB20260520005"/>
    <x v="325"/>
    <s v="COSU6452556510"/>
    <n v="38"/>
    <m/>
    <d v="2026-07-08T00:00:00"/>
    <s v="In Stock-Approved"/>
    <d v="2026-07-22T00:00:00"/>
    <n v="7"/>
    <d v="2026-07-15T00:00:00"/>
    <n v="2026"/>
    <n v="7"/>
    <n v="29"/>
    <n v="36"/>
    <n v="864"/>
    <s v="White glazing"/>
    <s v="AEU"/>
  </r>
  <r>
    <s v="26May015.03"/>
    <s v="Yixing"/>
    <s v="26May015"/>
    <s v="CORE DG"/>
    <x v="0"/>
    <s v="Arrival Plan-SPNL"/>
    <s v="CIF"/>
    <x v="0"/>
    <s v="U5"/>
    <x v="2"/>
    <m/>
    <m/>
    <s v="n/a"/>
    <s v="n/a"/>
    <x v="9"/>
    <x v="72"/>
    <s v="HSM-NT66-GH640"/>
    <s v="EVO2A"/>
    <s v="±1400mm"/>
    <n v="640"/>
    <n v="720"/>
    <n v="0.46079999999999999"/>
    <n v="20"/>
    <n v="1"/>
    <x v="1"/>
    <s v="COMPLETED"/>
    <m/>
    <d v="2026-05-14T00:00:00"/>
    <n v="20"/>
    <s v="POPV260515032"/>
    <m/>
    <s v="SHANGHAI NTR"/>
    <x v="1"/>
    <x v="1"/>
    <d v="2026-05-18T00:00:00"/>
    <d v="2026-05-21T00:00:00"/>
    <d v="2026-05-21T00:00:00"/>
    <d v="2026-06-23T00:00:00"/>
    <m/>
    <d v="2026-06-30T00:00:00"/>
    <s v="CIF"/>
    <s v="COSCO SHIPPING UNIVERSE 035W"/>
    <s v="COSCO"/>
    <s v="TPVB20260520020"/>
    <x v="326"/>
    <s v="COSU6500776920"/>
    <n v="40"/>
    <m/>
    <d v="2026-06-30T00:00:00"/>
    <s v="In Stock-Approved"/>
    <d v="2026-07-14T00:00:00"/>
    <n v="7"/>
    <d v="2026-07-07T00:00:00"/>
    <n v="2026"/>
    <n v="7"/>
    <n v="28"/>
    <n v="36"/>
    <n v="720"/>
    <s v="Transparent"/>
    <s v="AEU"/>
  </r>
  <r>
    <s v="26Apr009.01"/>
    <s v="Yixing"/>
    <s v="26Apr009"/>
    <s v="CORE DG"/>
    <x v="0"/>
    <s v="Arrival Plan-SPTN"/>
    <s v="CIF"/>
    <x v="0"/>
    <s v="U1"/>
    <x v="2"/>
    <m/>
    <m/>
    <s v="n/a"/>
    <d v="2026-05-04T00:00:00"/>
    <x v="1"/>
    <x v="6"/>
    <s v="TCL-MR465DT182-58NS"/>
    <s v="EVO2A"/>
    <s v="±1200mm"/>
    <n v="465"/>
    <n v="5184"/>
    <n v="2.4105599999999998"/>
    <n v="144"/>
    <n v="6"/>
    <x v="1"/>
    <s v="COMPLETED"/>
    <s v="五月15日"/>
    <d v="2026-05-15T00:00:00"/>
    <n v="20"/>
    <s v="POPV260522017"/>
    <m/>
    <s v="SHANGHAI"/>
    <x v="1"/>
    <x v="0"/>
    <d v="2026-05-22T00:00:00"/>
    <d v="2026-05-23T00:00:00"/>
    <d v="2026-05-23T00:00:00"/>
    <d v="2026-07-13T00:00:00"/>
    <m/>
    <d v="2026-07-12T00:00:00"/>
    <s v="CIF"/>
    <s v="EVER GIFTED 0753-029W"/>
    <s v="COSCO"/>
    <s v="TPVB20260520006"/>
    <x v="327"/>
    <s v="COSU6452564640"/>
    <n v="50"/>
    <m/>
    <d v="2026-07-12T00:00:00"/>
    <s v="In Stock-Approved"/>
    <d v="2026-07-27T00:00:00"/>
    <n v="8"/>
    <d v="2026-07-20T00:00:00"/>
    <n v="2026"/>
    <n v="7"/>
    <n v="30"/>
    <n v="36"/>
    <n v="864"/>
    <s v="White glazing"/>
    <s v="AEM"/>
  </r>
  <r>
    <s v="26Apr010.06"/>
    <s v="Yixing"/>
    <s v="26Apr010"/>
    <s v="CORE DG"/>
    <x v="0"/>
    <s v="Arrival Plan-SPTN"/>
    <s v="CIF"/>
    <x v="0"/>
    <s v="U1"/>
    <x v="2"/>
    <m/>
    <m/>
    <s v="n/a"/>
    <d v="2026-05-04T00:00:00"/>
    <x v="1"/>
    <x v="39"/>
    <s v="TCL-MR470DT182-58NS"/>
    <s v="EVO2A"/>
    <s v="±1200mm"/>
    <n v="470"/>
    <n v="864"/>
    <n v="0.40608"/>
    <n v="24"/>
    <n v="1"/>
    <x v="1"/>
    <s v="COMPLETED"/>
    <s v="五月8日"/>
    <d v="2026-05-16T00:00:00"/>
    <n v="20"/>
    <s v="POPV260522018"/>
    <m/>
    <s v="SHANGHAI"/>
    <x v="1"/>
    <x v="0"/>
    <d v="2026-05-22T00:00:00"/>
    <d v="2026-05-23T00:00:00"/>
    <d v="2026-05-23T00:00:00"/>
    <d v="2026-07-13T00:00:00"/>
    <m/>
    <d v="2026-07-12T00:00:00"/>
    <s v="CIF"/>
    <s v="EVER GIFTED 0753-029W"/>
    <s v="COSCO"/>
    <s v="TPVB20260520006"/>
    <x v="327"/>
    <s v="COSU6452564640"/>
    <n v="50"/>
    <m/>
    <d v="2026-07-12T00:00:00"/>
    <s v="In Stock-Approved"/>
    <d v="2026-07-27T00:00:00"/>
    <n v="8"/>
    <d v="2026-07-20T00:00:00"/>
    <n v="2026"/>
    <n v="7"/>
    <n v="30"/>
    <n v="36"/>
    <n v="864"/>
    <s v="White glazing"/>
    <s v="AEM"/>
  </r>
  <r>
    <s v="26Apr010.03"/>
    <s v="Yixing"/>
    <s v="26Apr010"/>
    <s v="CORE DG"/>
    <x v="0"/>
    <s v="Arrival Plan-SPTN"/>
    <s v="CIF"/>
    <x v="0"/>
    <s v="U1"/>
    <x v="2"/>
    <m/>
    <m/>
    <s v="n/a"/>
    <d v="2026-05-04T00:00:00"/>
    <x v="1"/>
    <x v="39"/>
    <s v="TCL-MR470DT182-58NS"/>
    <s v="EVO2A"/>
    <s v="±1200mm"/>
    <n v="470"/>
    <n v="5184"/>
    <n v="2.43648"/>
    <n v="144"/>
    <n v="6"/>
    <x v="1"/>
    <s v="COMPLETED"/>
    <s v="五月10日"/>
    <d v="2026-05-14T00:00:00"/>
    <n v="20"/>
    <s v="POPV260515034"/>
    <m/>
    <s v="SHANGHAI"/>
    <x v="1"/>
    <x v="0"/>
    <d v="2026-05-19T00:00:00"/>
    <d v="2026-05-18T00:00:00"/>
    <d v="2026-05-18T00:00:00"/>
    <d v="2026-06-30T00:00:00"/>
    <d v="2026-07-04T00:00:00"/>
    <d v="2026-07-04T00:00:00"/>
    <s v="CIF"/>
    <s v="CMA CGM VASCO DE GAMA _x000a_0MENTW1MA"/>
    <s v="COSCO"/>
    <s v="TPVB20260520007"/>
    <x v="328"/>
    <s v="COSU6452565360"/>
    <n v="47"/>
    <m/>
    <d v="2026-07-04T00:00:00"/>
    <s v="In Stock-Approved"/>
    <d v="2026-07-17T00:00:00"/>
    <n v="8"/>
    <d v="2026-07-12T00:00:00"/>
    <n v="2026"/>
    <n v="7"/>
    <n v="28"/>
    <n v="36"/>
    <n v="864"/>
    <s v="White glazing"/>
    <s v="AEM"/>
  </r>
  <r>
    <s v="26Apr010.05"/>
    <s v="Yixing"/>
    <s v="26Apr010"/>
    <s v="CORE DG"/>
    <x v="0"/>
    <s v="Arrival Plan-SPTN"/>
    <s v="CIF"/>
    <x v="0"/>
    <s v="U1"/>
    <x v="2"/>
    <m/>
    <m/>
    <s v="n/a"/>
    <d v="2026-05-04T00:00:00"/>
    <x v="1"/>
    <x v="39"/>
    <s v="TCL-MR470DT182-58NS"/>
    <s v="EVO2A"/>
    <s v="±1200mm"/>
    <n v="470"/>
    <n v="864"/>
    <n v="0.40608"/>
    <n v="24"/>
    <n v="1"/>
    <x v="1"/>
    <s v="COMPLETED"/>
    <s v="五月12日"/>
    <d v="2026-05-15T00:00:00"/>
    <n v="20"/>
    <s v="POPV260515049"/>
    <m/>
    <s v="SHANGHAI"/>
    <x v="1"/>
    <x v="0"/>
    <d v="2026-05-19T00:00:00"/>
    <d v="2026-05-18T00:00:00"/>
    <d v="2026-05-18T00:00:00"/>
    <d v="2026-06-30T00:00:00"/>
    <d v="2026-07-04T00:00:00"/>
    <d v="2026-07-04T00:00:00"/>
    <s v="CIF"/>
    <s v="CMA CGM VASCO DE GAMA _x000a_0MENTW1MA"/>
    <s v="COSCO"/>
    <s v="TPVB20260520007"/>
    <x v="328"/>
    <s v="COSU6452565360"/>
    <n v="47"/>
    <m/>
    <d v="2026-07-04T00:00:00"/>
    <s v="In Stock-Approved"/>
    <d v="2026-07-17T00:00:00"/>
    <n v="8"/>
    <d v="2026-07-12T00:00:00"/>
    <n v="2026"/>
    <n v="7"/>
    <n v="28"/>
    <n v="36"/>
    <n v="864"/>
    <s v="White glazing"/>
    <s v="AEM"/>
  </r>
  <r>
    <s v="26Apr003.01"/>
    <s v="Yixing"/>
    <s v="26Apr003"/>
    <s v="CORE DG"/>
    <x v="0"/>
    <s v="Arrival Plan-SPIT"/>
    <s v="CIF"/>
    <x v="4"/>
    <s v="U1"/>
    <x v="2"/>
    <m/>
    <m/>
    <s v="n/a"/>
    <d v="2026-04-27T00:00:00"/>
    <x v="5"/>
    <x v="20"/>
    <s v="SPR-P7-455-BLK-1500"/>
    <s v="EVO2A"/>
    <s v="±1200mm"/>
    <n v="455"/>
    <n v="6048"/>
    <n v="2.7518400000000001"/>
    <n v="168"/>
    <n v="7"/>
    <x v="1"/>
    <s v="COMPLETED"/>
    <s v="五月5日"/>
    <d v="2026-05-09T00:00:00"/>
    <n v="19"/>
    <s v="POPV260515035"/>
    <m/>
    <s v="SHANGHAI"/>
    <x v="1"/>
    <x v="4"/>
    <d v="2026-05-22T00:00:00"/>
    <d v="2026-05-23T00:00:00"/>
    <d v="2026-05-23T00:00:00"/>
    <d v="2026-07-08T00:00:00"/>
    <d v="2026-07-15T00:00:00"/>
    <d v="2026-07-14T00:00:00"/>
    <s v="CIF"/>
    <s v="EVER GIFTED 0753-029W"/>
    <s v="COSCO"/>
    <s v="TPVB20260520008"/>
    <x v="329"/>
    <s v="COSU6452560540"/>
    <n v="52"/>
    <m/>
    <d v="2026-07-14T00:00:00"/>
    <s v="In Stock-Approved"/>
    <d v="2026-07-29T00:00:00"/>
    <n v="10"/>
    <d v="2026-07-24T00:00:00"/>
    <n v="2026"/>
    <n v="7"/>
    <n v="30"/>
    <n v="36"/>
    <n v="864"/>
    <s v="Black glazing"/>
    <s v="AEM"/>
  </r>
  <r>
    <s v="26Apr008.07"/>
    <s v="Tianjin(Transport to Yixing for shipment)"/>
    <s v="26Apr008"/>
    <s v="CORE DG"/>
    <x v="0"/>
    <s v="Arrival Plan-SPIT"/>
    <s v="CIF"/>
    <x v="4"/>
    <s v="U1"/>
    <x v="2"/>
    <m/>
    <m/>
    <s v="n/a"/>
    <d v="2026-05-04T00:00:00"/>
    <x v="2"/>
    <x v="68"/>
    <s v="SPR-P7-560-COM-S"/>
    <s v="EVO2A"/>
    <s v="±1400mm"/>
    <n v="560"/>
    <n v="3960"/>
    <n v="2.2176"/>
    <n v="120"/>
    <n v="6"/>
    <x v="1"/>
    <s v="COMPLETED"/>
    <s v="五月15日"/>
    <d v="2026-05-16T00:00:00"/>
    <n v="20"/>
    <s v="POPV260522022"/>
    <m/>
    <s v="SHANGHAI"/>
    <x v="1"/>
    <x v="4"/>
    <d v="2026-05-22T00:00:00"/>
    <d v="2026-05-23T00:00:00"/>
    <d v="2026-05-23T00:00:00"/>
    <d v="2026-07-08T00:00:00"/>
    <d v="2026-07-15T00:00:00"/>
    <d v="2026-07-14T00:00:00"/>
    <s v="CIF"/>
    <s v="EVER GIFTED 0753-029W"/>
    <s v="COSCO"/>
    <s v="TPVB20260520009"/>
    <x v="330"/>
    <s v="COSU6452561470"/>
    <n v="52"/>
    <m/>
    <d v="2026-07-14T00:00:00"/>
    <s v="In Stock-Approved"/>
    <d v="2026-07-29T00:00:00"/>
    <n v="10"/>
    <d v="2026-07-24T00:00:00"/>
    <n v="2026"/>
    <n v="7"/>
    <n v="30"/>
    <n v="33"/>
    <n v="660"/>
    <s v="White glazing"/>
    <s v="AEM"/>
  </r>
  <r>
    <s v="26May016.01"/>
    <s v="Yixing"/>
    <s v="26May016"/>
    <s v="CORE DG"/>
    <x v="1"/>
    <s v="SPTN Offstore in Transit WH"/>
    <s v="CIF"/>
    <x v="9"/>
    <s v="U5"/>
    <x v="136"/>
    <s v="ES0126050700030"/>
    <m/>
    <s v="Yes"/>
    <s v="n/a"/>
    <x v="9"/>
    <x v="73"/>
    <s v="HSM-NT66-GH645"/>
    <s v="EVO2A"/>
    <s v="±1400mm"/>
    <n v="645"/>
    <n v="2160"/>
    <n v="1.3932"/>
    <n v="60"/>
    <n v="3"/>
    <x v="1"/>
    <s v="COMPLETED"/>
    <m/>
    <d v="2026-05-15T00:00:00"/>
    <n v="20"/>
    <s v="POPV260515036"/>
    <m/>
    <s v="SHANGHAI NTR"/>
    <x v="1"/>
    <x v="2"/>
    <d v="2026-05-19T00:00:00"/>
    <d v="2026-05-20T00:00:00"/>
    <d v="2026-05-20T00:00:00"/>
    <d v="2026-07-02T00:00:00"/>
    <m/>
    <d v="2026-07-02T00:00:00"/>
    <s v="CIF"/>
    <s v="COSCO SHIPPING SAKURA 035W"/>
    <s v="COSCO"/>
    <s v="TPVB20260520021"/>
    <x v="331"/>
    <s v="COSU6500305100"/>
    <n v="43"/>
    <m/>
    <d v="2026-07-02T00:00:00"/>
    <s v="In Stock-Approved"/>
    <d v="2026-07-02T00:00:00"/>
    <n v="0"/>
    <d v="2026-07-02T00:00:00"/>
    <n v="2026"/>
    <n v="7"/>
    <n v="27"/>
    <n v="36"/>
    <n v="720"/>
    <s v="Transparent"/>
    <s v="AEM"/>
  </r>
  <r>
    <s v="26Apr004.03"/>
    <s v="Yixing"/>
    <s v="26Apr004"/>
    <s v="CORE DG"/>
    <x v="0"/>
    <s v="Arrival Plan-SPES"/>
    <s v="CIF"/>
    <x v="1"/>
    <s v="U1"/>
    <x v="2"/>
    <m/>
    <m/>
    <s v="n/a"/>
    <d v="2026-04-27T00:00:00"/>
    <x v="5"/>
    <x v="19"/>
    <s v="SPR-P7-460-BLK-1500"/>
    <s v="EVO2A"/>
    <s v="±1200mm"/>
    <n v="460"/>
    <n v="1728"/>
    <n v="0.79488000000000003"/>
    <n v="48"/>
    <n v="2"/>
    <x v="1"/>
    <s v="COMPLETED"/>
    <s v="五月5日"/>
    <d v="2026-05-12T00:00:00"/>
    <n v="20"/>
    <s v="POPV260515037"/>
    <m/>
    <s v="SHANGHAI"/>
    <x v="1"/>
    <x v="2"/>
    <d v="2026-05-19T00:00:00"/>
    <d v="2026-05-20T00:00:00"/>
    <d v="2026-05-20T00:00:00"/>
    <d v="2026-07-02T00:00:00"/>
    <m/>
    <d v="2026-07-02T00:00:00"/>
    <s v="CIF"/>
    <s v="COSCO SHIPPING SAKURA 035W"/>
    <s v="COSCO"/>
    <s v="TPVB20260520011"/>
    <x v="332"/>
    <s v="COSU6500301740"/>
    <n v="43"/>
    <m/>
    <d v="2026-07-02T00:00:00"/>
    <s v="In Stock-Approved"/>
    <d v="2026-07-16T00:00:00"/>
    <n v="9"/>
    <d v="2026-07-11T00:00:00"/>
    <n v="2026"/>
    <n v="7"/>
    <n v="28"/>
    <n v="36"/>
    <n v="864"/>
    <s v="Black glazing"/>
    <s v="AEM"/>
  </r>
  <r>
    <s v="26May010.05"/>
    <s v="Tianjin"/>
    <s v="26May010"/>
    <s v="CORE DG"/>
    <x v="0"/>
    <s v="Arrival Plan-SPUK"/>
    <s v="CIF"/>
    <x v="6"/>
    <s v="U1"/>
    <x v="118"/>
    <m/>
    <m/>
    <s v="n/a"/>
    <d v="2026-05-11T00:00:00"/>
    <x v="0"/>
    <x v="43"/>
    <s v="HSM-ND54-DR505"/>
    <s v="EVO2A"/>
    <s v="±1200mm"/>
    <n v="505"/>
    <n v="864"/>
    <n v="0.43631999999999999"/>
    <n v="24"/>
    <n v="1"/>
    <x v="1"/>
    <s v="COMPLETED"/>
    <s v="五月9日"/>
    <d v="2026-05-13T00:00:00"/>
    <n v="20"/>
    <s v="POPV260515038"/>
    <m/>
    <s v="TIANJIN"/>
    <x v="0"/>
    <x v="6"/>
    <d v="2026-05-22T00:00:00"/>
    <d v="2026-05-22T00:00:00"/>
    <d v="2026-05-22T00:00:00"/>
    <d v="2026-07-13T00:00:00"/>
    <m/>
    <d v="2026-07-12T00:00:00"/>
    <s v="CIF"/>
    <s v="COSCO SHIPPING STAR 029W"/>
    <s v="COSCO"/>
    <s v="TPVB20260520012"/>
    <x v="333"/>
    <s v="COSU6500419700"/>
    <n v="51"/>
    <m/>
    <d v="2026-07-12T00:00:00"/>
    <s v="In Stock-Approved"/>
    <d v="2026-07-27T00:00:00"/>
    <n v="7"/>
    <d v="2026-07-19T00:00:00"/>
    <n v="2026"/>
    <n v="7"/>
    <n v="29"/>
    <n v="36"/>
    <n v="864"/>
    <s v="Black glazing"/>
    <s v="AEU"/>
  </r>
  <r>
    <s v="26May010.04"/>
    <s v="Tianjin"/>
    <s v="26May010"/>
    <s v="CORE DG"/>
    <x v="0"/>
    <s v="Arrival Plan-SPNL"/>
    <s v="CIF"/>
    <x v="0"/>
    <s v="U1"/>
    <x v="2"/>
    <m/>
    <m/>
    <s v="n/a"/>
    <s v="n/a"/>
    <x v="0"/>
    <x v="43"/>
    <s v="HSM-ND54-DR505"/>
    <s v="EVO2A"/>
    <s v="±1200mm"/>
    <n v="505"/>
    <n v="4320"/>
    <n v="2.1816"/>
    <n v="120"/>
    <n v="5"/>
    <x v="1"/>
    <s v="COMPLETED"/>
    <s v="五月10日"/>
    <d v="2026-05-13T00:00:00"/>
    <n v="20"/>
    <s v="POPV260515039"/>
    <m/>
    <s v="TIANJIN"/>
    <x v="0"/>
    <x v="1"/>
    <d v="2026-05-22T00:00:00"/>
    <d v="2026-05-22T00:00:00"/>
    <d v="2026-05-22T00:00:00"/>
    <d v="2026-06-30T00:00:00"/>
    <d v="2026-07-07T00:00:00"/>
    <d v="2026-07-08T00:00:00"/>
    <s v="CIF"/>
    <s v="COSCO SHIPPING STAR 029W"/>
    <s v="COSCO"/>
    <s v="TPVB20260520013"/>
    <x v="334"/>
    <s v="COSU6500506790"/>
    <n v="47"/>
    <m/>
    <d v="2026-07-08T00:00:00"/>
    <s v="In Stock-Approved"/>
    <d v="2026-07-22T00:00:00"/>
    <n v="7"/>
    <d v="2026-07-15T00:00:00"/>
    <n v="2026"/>
    <n v="7"/>
    <n v="29"/>
    <n v="36"/>
    <n v="864"/>
    <s v="Black glazing"/>
    <s v="AEU"/>
  </r>
  <r>
    <s v="26Apr011.23"/>
    <s v="Tianjin"/>
    <s v="26Apr011"/>
    <s v="CORE DG"/>
    <x v="0"/>
    <s v="Arrival Plan-SPNL"/>
    <s v="CIF"/>
    <x v="0"/>
    <s v="U1"/>
    <x v="2"/>
    <m/>
    <m/>
    <s v="n/a"/>
    <d v="2026-04-13T00:00:00"/>
    <x v="0"/>
    <x v="7"/>
    <s v="HSM-ND48-DR450"/>
    <s v="EVO2A"/>
    <s v="±1200mm"/>
    <n v="450"/>
    <n v="3744"/>
    <n v="1.6848000000000001"/>
    <n v="104"/>
    <n v="4"/>
    <x v="1"/>
    <s v="COMPLETED"/>
    <s v="五月1日"/>
    <d v="2026-05-13T00:00:00"/>
    <n v="20"/>
    <s v="POPV260515041"/>
    <m/>
    <s v="TIANJIN"/>
    <x v="0"/>
    <x v="1"/>
    <d v="2026-05-22T00:00:00"/>
    <d v="2026-05-22T00:00:00"/>
    <d v="2026-05-22T00:00:00"/>
    <d v="2026-06-30T00:00:00"/>
    <d v="2026-07-07T00:00:00"/>
    <d v="2026-07-08T00:00:00"/>
    <s v="CIF"/>
    <s v="COSCO SHIPPING STAR 029W"/>
    <s v="COSCO"/>
    <s v="TPVB20260520013"/>
    <x v="334"/>
    <s v="COSU6500506790"/>
    <n v="47"/>
    <m/>
    <d v="2026-07-08T00:00:00"/>
    <s v="In Stock-Approved"/>
    <d v="2026-07-22T00:00:00"/>
    <n v="7"/>
    <d v="2026-07-15T00:00:00"/>
    <n v="2026"/>
    <n v="7"/>
    <n v="29"/>
    <n v="36"/>
    <n v="936"/>
    <s v="Black glazing"/>
    <s v="AEU"/>
  </r>
  <r>
    <s v="26May009.08"/>
    <s v="Tianjin"/>
    <s v="26May009"/>
    <s v="CORE DG"/>
    <x v="1"/>
    <s v="SPTN Offstore in Transit WH"/>
    <s v="CIF"/>
    <x v="14"/>
    <s v="U1"/>
    <x v="137"/>
    <s v="PL0126041700017"/>
    <n v="2"/>
    <s v="Yes"/>
    <d v="2026-05-11T00:00:00"/>
    <x v="0"/>
    <x v="0"/>
    <s v="HSM-ND54-DR500"/>
    <s v="EVO2A"/>
    <s v="±1200mm"/>
    <n v="500"/>
    <n v="864"/>
    <n v="0.432"/>
    <n v="24"/>
    <n v="1"/>
    <x v="1"/>
    <s v="COMPLETED"/>
    <s v="五月14日"/>
    <d v="2026-05-15T00:00:00"/>
    <n v="20"/>
    <s v="POPV260515040"/>
    <m/>
    <s v="TIANJIN"/>
    <x v="0"/>
    <x v="9"/>
    <d v="2026-05-22T00:00:00"/>
    <d v="2026-05-22T00:00:00"/>
    <d v="2026-05-22T00:00:00"/>
    <d v="2026-07-22T00:00:00"/>
    <d v="2026-07-23T00:00:00"/>
    <d v="2026-07-22T00:00:00"/>
    <s v="CIF"/>
    <s v="COSCO SHIPPING STAR 029W"/>
    <s v="COSCO"/>
    <s v="TPVB20260520014"/>
    <x v="335"/>
    <s v="COSU9507226040"/>
    <n v="61"/>
    <m/>
    <d v="2026-07-22T00:00:00"/>
    <s v="In Stock-Approved"/>
    <d v="2026-07-22T00:00:00"/>
    <n v="0"/>
    <d v="2026-07-22T00:00:00"/>
    <n v="2026"/>
    <n v="7"/>
    <n v="30"/>
    <n v="36"/>
    <n v="864"/>
    <s v="Black glazing"/>
    <s v="AEU"/>
  </r>
  <r>
    <s v="26Apr014.07"/>
    <s v="Tianjin"/>
    <s v="26Apr014"/>
    <s v="CORE DG"/>
    <x v="1"/>
    <s v="SPTN Offstore in Transit WH"/>
    <s v="CIP"/>
    <x v="26"/>
    <s v="U6"/>
    <x v="132"/>
    <s v="FR0126062300010"/>
    <n v="1"/>
    <s v="Yes"/>
    <s v="n/a"/>
    <x v="0"/>
    <x v="43"/>
    <s v="HSM-ND54-DR505"/>
    <s v="EVO2A"/>
    <s v="±1200mm"/>
    <n v="505"/>
    <n v="864"/>
    <n v="0.43631999999999999"/>
    <n v="24"/>
    <n v="1"/>
    <x v="1"/>
    <s v="COMPLETED"/>
    <s v="TJ BW"/>
    <d v="2026-05-11T00:00:00"/>
    <n v="20"/>
    <s v="POPV260629100"/>
    <m/>
    <s v="TIANJIN"/>
    <x v="0"/>
    <x v="0"/>
    <d v="2026-05-22T00:00:00"/>
    <d v="2026-05-22T00:00:00"/>
    <d v="2026-05-22T00:00:00"/>
    <d v="2026-07-20T00:00:00"/>
    <d v="2026-08-01T00:00:00"/>
    <d v="2026-08-02T05:44:59"/>
    <s v="CIF"/>
    <s v="COSCO SHIPPING STAR 029W"/>
    <s v="COSCO"/>
    <s v="TPVB20260520015"/>
    <x v="336"/>
    <s v="COSU9507244150"/>
    <n v="72.239571759258979"/>
    <m/>
    <d v="2026-08-02T05:44:59"/>
    <s v="In Stock-Approved"/>
    <d v="2026-08-10T00:00:00"/>
    <n v="0"/>
    <d v="2026-08-02T05:44:59"/>
    <n v="2026"/>
    <n v="8"/>
    <n v="31"/>
    <n v="36"/>
    <n v="864"/>
    <s v="Black glazing"/>
    <s v="AEM"/>
  </r>
  <r>
    <s v="26Apr014.06"/>
    <s v="Tianjin"/>
    <s v="26Apr014"/>
    <s v="CORE DG"/>
    <x v="1"/>
    <s v="SPTN Offstore in Transit WH"/>
    <s v="CIP"/>
    <x v="26"/>
    <s v="U6"/>
    <x v="132"/>
    <s v="FR0126062300009"/>
    <s v="1,2,3"/>
    <s v="Yes"/>
    <s v="n/a"/>
    <x v="0"/>
    <x v="43"/>
    <s v="HSM-ND54-DR505"/>
    <s v="EVO2A"/>
    <s v="±1200mm"/>
    <n v="505"/>
    <n v="2592"/>
    <n v="1.3089599999999999"/>
    <n v="72"/>
    <n v="3"/>
    <x v="1"/>
    <s v="COMPLETED"/>
    <s v="TJ BW"/>
    <d v="2026-05-11T00:00:00"/>
    <n v="20"/>
    <s v="POPV260629101"/>
    <m/>
    <s v="TIANJIN"/>
    <x v="0"/>
    <x v="0"/>
    <d v="2026-05-22T00:00:00"/>
    <d v="2026-05-22T00:00:00"/>
    <d v="2026-05-22T00:00:00"/>
    <d v="2026-07-20T00:00:00"/>
    <d v="2026-08-01T00:00:00"/>
    <d v="2026-08-02T05:44:59"/>
    <s v="CIF"/>
    <s v="COSCO SHIPPING STAR 029W"/>
    <s v="COSCO"/>
    <s v="TPVB20260520015"/>
    <x v="336"/>
    <s v="COSU9507244150"/>
    <n v="72.239571759258979"/>
    <m/>
    <d v="2026-08-02T05:44:59"/>
    <s v="In Stock-Approved"/>
    <d v="2026-08-10T00:00:00"/>
    <n v="0"/>
    <d v="2026-08-02T05:44:59"/>
    <n v="2026"/>
    <n v="8"/>
    <n v="31"/>
    <n v="36"/>
    <n v="864"/>
    <s v="Black glazing"/>
    <s v="AEM"/>
  </r>
  <r>
    <s v="26Apr008.03"/>
    <s v="Tianjin(Transport to Yixing for shipment)"/>
    <s v="26Apr008"/>
    <s v="CORE DG"/>
    <x v="0"/>
    <s v="Arrival Plan-SPES"/>
    <s v="CIF"/>
    <x v="1"/>
    <s v="U1"/>
    <x v="2"/>
    <m/>
    <m/>
    <s v="n/a"/>
    <d v="2026-05-04T00:00:00"/>
    <x v="2"/>
    <x v="68"/>
    <s v="SPR-P7-560-COM-S"/>
    <s v="EVO2A"/>
    <s v="±1400mm"/>
    <n v="560"/>
    <n v="1320"/>
    <n v="0.73919999999999997"/>
    <n v="40"/>
    <n v="2"/>
    <x v="1"/>
    <s v="COMPLETED"/>
    <s v="五月13日"/>
    <d v="2026-05-15T00:00:00"/>
    <n v="20"/>
    <s v="POPV260515043"/>
    <m/>
    <s v="TIANJIN"/>
    <x v="0"/>
    <x v="2"/>
    <d v="2026-05-22T00:00:00"/>
    <d v="2026-05-22T00:00:00"/>
    <d v="2026-05-22T00:00:00"/>
    <d v="2026-07-15T00:00:00"/>
    <d v="2026-07-17T00:00:00"/>
    <d v="2026-07-18T00:00:00"/>
    <s v="CIF"/>
    <s v="COSCO SHIPPING STAR 029W"/>
    <s v="COSCO"/>
    <s v="TPVB20260520016"/>
    <x v="337"/>
    <s v="COSU9507244520"/>
    <n v="57"/>
    <m/>
    <d v="2026-07-18T00:00:00"/>
    <s v="In Stock-Approved"/>
    <d v="2026-07-31T00:00:00"/>
    <n v="9"/>
    <d v="2026-07-27T00:00:00"/>
    <n v="2026"/>
    <n v="7"/>
    <n v="31"/>
    <n v="33"/>
    <n v="660"/>
    <s v="White glazing"/>
    <s v="AEM"/>
  </r>
  <r>
    <s v="26Apr008.10"/>
    <s v="Tianjin(Transport to Yixing for shipment)"/>
    <s v="26Apr008"/>
    <s v="CORE DG"/>
    <x v="0"/>
    <s v="Arrival Plan-SPES"/>
    <s v="CIF"/>
    <x v="1"/>
    <s v="U1"/>
    <x v="2"/>
    <m/>
    <m/>
    <s v="n/a"/>
    <d v="2026-05-04T00:00:00"/>
    <x v="2"/>
    <x v="68"/>
    <s v="SPR-P7-560-COM-S"/>
    <s v="EVO2A"/>
    <s v="±1400mm"/>
    <n v="560"/>
    <n v="660"/>
    <n v="0.36959999999999998"/>
    <n v="20"/>
    <n v="1"/>
    <x v="1"/>
    <s v="COMPLETED"/>
    <s v="五月13日"/>
    <d v="2026-05-15T00:00:00"/>
    <n v="20"/>
    <s v="POPV260515044"/>
    <m/>
    <s v="TIANJIN"/>
    <x v="0"/>
    <x v="2"/>
    <d v="2026-05-22T00:00:00"/>
    <d v="2026-05-22T00:00:00"/>
    <d v="2026-05-22T00:00:00"/>
    <d v="2026-07-16T00:00:00"/>
    <m/>
    <d v="2026-07-16T00:00:00"/>
    <s v="CIF"/>
    <s v="COSCO SHIPPING STAR 029W"/>
    <s v="COSCO"/>
    <s v="TPVB20260520017"/>
    <x v="338"/>
    <s v="COSU6500591410"/>
    <n v="55"/>
    <m/>
    <d v="2026-07-16T00:00:00"/>
    <s v="In Stock-Approved"/>
    <d v="2026-07-30T00:00:00"/>
    <n v="9"/>
    <d v="2026-07-25T00:00:00"/>
    <n v="2026"/>
    <n v="7"/>
    <n v="30"/>
    <n v="33"/>
    <n v="660"/>
    <s v="White glazing"/>
    <s v="AEM"/>
  </r>
  <r>
    <s v="26Apr002.04"/>
    <s v="Yixing"/>
    <s v="26Apr002"/>
    <s v="UPP"/>
    <x v="0"/>
    <n v="0"/>
    <s v="CIF"/>
    <x v="6"/>
    <s v="U3"/>
    <x v="130"/>
    <m/>
    <m/>
    <s v="n/a"/>
    <d v="2026-04-20T00:00:00"/>
    <x v="0"/>
    <x v="70"/>
    <s v="HSM-ND66-GK730"/>
    <s v="EVO2A"/>
    <s v="+400mm/-200mm"/>
    <n v="730"/>
    <n v="297"/>
    <n v="0.21681"/>
    <n v="9"/>
    <n v="0.5"/>
    <x v="1"/>
    <s v="COMPLETED"/>
    <s v="SZ BW"/>
    <d v="2026-05-16T00:00:00"/>
    <n v="20"/>
    <s v="POPV260522025"/>
    <m/>
    <s v="SHANGHAI"/>
    <x v="1"/>
    <x v="16"/>
    <d v="2026-05-20T00:00:00"/>
    <d v="2026-05-19T00:00:00"/>
    <d v="2026-05-19T00:00:00"/>
    <d v="2026-07-09T00:00:00"/>
    <d v="2026-08-01T00:00:00"/>
    <d v="2026-08-01T00:00:00"/>
    <s v="CIF"/>
    <s v="MSC VENICE/QB620W"/>
    <s v="OTHER"/>
    <s v="TPVB20260521001"/>
    <x v="339"/>
    <s v="177FBOBOS86984"/>
    <n v="74"/>
    <m/>
    <d v="2026-08-01T00:00:00"/>
    <s v="In Stock-Approved"/>
    <d v="2026-08-14T00:00:00"/>
    <n v="7"/>
    <d v="2026-08-08T00:00:00"/>
    <n v="2026"/>
    <n v="8"/>
    <n v="32"/>
    <n v="33"/>
    <n v="594"/>
    <s v="Transparent"/>
    <s v="AEU"/>
  </r>
  <r>
    <s v="26Apr001.04"/>
    <s v="Yixing"/>
    <s v="26Apr001"/>
    <s v="UPP"/>
    <x v="0"/>
    <n v="0"/>
    <s v="CIF"/>
    <x v="6"/>
    <s v="U3"/>
    <x v="130"/>
    <m/>
    <m/>
    <s v="n/a"/>
    <d v="2026-04-20T00:00:00"/>
    <x v="0"/>
    <x v="71"/>
    <s v="HSM-ND66-GK725"/>
    <s v="EVO2A"/>
    <s v="+400mm/-200mm"/>
    <n v="725"/>
    <n v="3861"/>
    <n v="2.7992249999999999"/>
    <n v="117"/>
    <n v="6.5"/>
    <x v="1"/>
    <s v="COMPLETED"/>
    <s v="SZ BW"/>
    <d v="2026-05-16T00:00:00"/>
    <n v="20"/>
    <s v="POPV260522026"/>
    <m/>
    <s v="SHANGHAI"/>
    <x v="1"/>
    <x v="16"/>
    <d v="2026-05-20T00:00:00"/>
    <d v="2026-05-19T00:00:00"/>
    <d v="2026-05-19T00:00:00"/>
    <d v="2026-07-09T00:00:00"/>
    <d v="2026-08-01T00:00:00"/>
    <d v="2026-08-01T00:00:00"/>
    <s v="CIF"/>
    <s v="MSC VENICE/QB620W"/>
    <s v="OTHER"/>
    <s v="TPVB20260521001"/>
    <x v="339"/>
    <s v="177FBOBOS86984"/>
    <n v="74"/>
    <m/>
    <d v="2026-08-01T00:00:00"/>
    <s v="In Stock-Approved"/>
    <d v="2026-08-14T00:00:00"/>
    <n v="7"/>
    <d v="2026-08-08T00:00:00"/>
    <n v="2026"/>
    <n v="8"/>
    <n v="32"/>
    <n v="33"/>
    <n v="594"/>
    <s v="Transparent"/>
    <s v="AEU"/>
  </r>
  <r>
    <s v="26May006.01"/>
    <s v="Yixing"/>
    <s v="26May006"/>
    <s v="CORE DG"/>
    <x v="0"/>
    <s v="Arrival Plan-SPUK"/>
    <s v="CIF"/>
    <x v="6"/>
    <s v="U5"/>
    <x v="138"/>
    <m/>
    <m/>
    <s v="n/a"/>
    <d v="2026-05-18T00:00:00"/>
    <x v="1"/>
    <x v="39"/>
    <s v="TCL-MR470DT182-58NS"/>
    <s v="EVO2A"/>
    <s v="±1200mm"/>
    <n v="470"/>
    <n v="2592"/>
    <n v="1.21824"/>
    <n v="72"/>
    <n v="3"/>
    <x v="1"/>
    <s v="COMPLETED"/>
    <s v="五月16日"/>
    <d v="2026-05-20T00:00:00"/>
    <n v="21"/>
    <s v="POPV260522028"/>
    <m/>
    <s v="SHANGHAI"/>
    <x v="1"/>
    <x v="6"/>
    <d v="2026-05-26T00:00:00"/>
    <d v="2026-05-26T00:00:00"/>
    <d v="2026-05-26T00:00:00"/>
    <d v="2026-07-05T00:00:00"/>
    <m/>
    <d v="2026-07-05T00:00:00"/>
    <s v="CIF"/>
    <s v="OOCL VALENCIA 010W"/>
    <s v="COSCO"/>
    <s v="TPVB20260521002"/>
    <x v="340"/>
    <s v="COSU6500936270"/>
    <n v="40"/>
    <m/>
    <d v="2026-07-05T00:00:00"/>
    <s v="In Stock-Approved"/>
    <d v="2026-07-20T00:00:00"/>
    <n v="7"/>
    <d v="2026-07-12T00:00:00"/>
    <n v="2026"/>
    <n v="7"/>
    <n v="28"/>
    <n v="36"/>
    <n v="864"/>
    <s v="White glazing"/>
    <s v="AEU"/>
  </r>
  <r>
    <s v="26May006.05"/>
    <s v="Yixing"/>
    <s v="26May006"/>
    <s v="CORE DG"/>
    <x v="0"/>
    <s v="Arrival Plan-SPNL"/>
    <s v="CIF"/>
    <x v="0"/>
    <s v="U1"/>
    <x v="2"/>
    <m/>
    <m/>
    <s v="n/a"/>
    <d v="2026-05-18T00:00:00"/>
    <x v="1"/>
    <x v="39"/>
    <s v="TCL-MR470DT182-58NS"/>
    <s v="EVO2A"/>
    <s v="±1200mm"/>
    <n v="470"/>
    <n v="3456"/>
    <n v="1.62432"/>
    <n v="96"/>
    <n v="4"/>
    <x v="1"/>
    <s v="COMPLETED"/>
    <s v="五月16日"/>
    <d v="2026-05-20T00:00:00"/>
    <n v="21"/>
    <s v="POPV260522027"/>
    <m/>
    <s v="SHANGHAI"/>
    <x v="1"/>
    <x v="1"/>
    <d v="2026-05-28T00:00:00"/>
    <d v="2026-05-31T00:00:00"/>
    <d v="2026-05-31T00:00:00"/>
    <d v="2026-06-30T00:00:00"/>
    <d v="2026-07-08T00:00:00"/>
    <d v="2026-07-08T00:00:00"/>
    <s v="CIF"/>
    <s v="COSCO SHIPPING STAR 029W"/>
    <s v="COSCO"/>
    <s v="TPVB20260521003"/>
    <x v="341"/>
    <s v="COSU6500933440"/>
    <n v="38"/>
    <m/>
    <d v="2026-07-08T00:00:00"/>
    <s v="In Stock-Approved"/>
    <d v="2026-07-22T00:00:00"/>
    <n v="7"/>
    <d v="2026-07-15T00:00:00"/>
    <n v="2026"/>
    <n v="7"/>
    <n v="29"/>
    <n v="36"/>
    <n v="864"/>
    <s v="White glazing"/>
    <s v="AEU"/>
  </r>
  <r>
    <s v="26May015.04"/>
    <s v="Yixing"/>
    <s v="26May015"/>
    <s v="CORE DG"/>
    <x v="0"/>
    <s v="Arrival Plan-SPNL"/>
    <s v="CIF"/>
    <x v="0"/>
    <s v="U5"/>
    <x v="2"/>
    <m/>
    <m/>
    <s v="n/a"/>
    <s v="n/a"/>
    <x v="9"/>
    <x v="72"/>
    <s v="HSM-NT66-GH640"/>
    <s v="EVO2A"/>
    <s v="±1400mm"/>
    <n v="640"/>
    <n v="1440"/>
    <n v="0.92159999999999997"/>
    <n v="40"/>
    <n v="2"/>
    <x v="1"/>
    <s v="COMPLETED"/>
    <m/>
    <d v="2026-05-20T00:00:00"/>
    <n v="21"/>
    <s v="POPV260522029"/>
    <m/>
    <s v="SHANGHAI NTR"/>
    <x v="1"/>
    <x v="1"/>
    <d v="2026-05-28T00:00:00"/>
    <d v="2026-05-31T00:00:00"/>
    <d v="2026-05-31T00:00:00"/>
    <d v="2026-06-30T00:00:00"/>
    <d v="2026-07-08T00:00:00"/>
    <d v="2026-07-08T00:00:00"/>
    <s v="CIF"/>
    <s v="COSCO SHIPPING STAR 029W"/>
    <s v="COSCO"/>
    <s v="TPVB20260521003"/>
    <x v="341"/>
    <s v="COSU6500933440"/>
    <n v="38"/>
    <m/>
    <d v="2026-07-08T00:00:00"/>
    <s v="In Stock-Approved"/>
    <d v="2026-07-22T00:00:00"/>
    <n v="7"/>
    <d v="2026-07-15T00:00:00"/>
    <n v="2026"/>
    <n v="7"/>
    <n v="29"/>
    <n v="36"/>
    <n v="720"/>
    <s v="Transparent"/>
    <s v="AEU"/>
  </r>
  <r>
    <s v="26May011.01"/>
    <s v="Yixing"/>
    <s v="26May011"/>
    <s v="CORE DG"/>
    <x v="1"/>
    <s v="SPTN Offstore in Transit WH"/>
    <s v="CIF"/>
    <x v="23"/>
    <s v="U1"/>
    <x v="139"/>
    <s v="AT0126042100006"/>
    <n v="12"/>
    <s v="Yes"/>
    <d v="2026-05-04T00:00:00"/>
    <x v="0"/>
    <x v="74"/>
    <s v="HSM-ND66-GR625"/>
    <s v="H4(Com)"/>
    <s v="+400mm/-200mm"/>
    <n v="625"/>
    <n v="2160"/>
    <n v="1.35"/>
    <n v="60"/>
    <n v="3"/>
    <x v="1"/>
    <s v="COMPLETED"/>
    <m/>
    <d v="2026-05-19T00:00:00"/>
    <n v="21"/>
    <s v="POPV260522030"/>
    <m/>
    <s v="SHANGHAI"/>
    <x v="1"/>
    <x v="1"/>
    <d v="2026-05-28T00:00:00"/>
    <d v="2026-05-31T00:00:00"/>
    <d v="2026-05-31T00:00:00"/>
    <d v="2026-06-30T00:00:00"/>
    <d v="2026-07-07T00:00:00"/>
    <d v="2026-07-08T00:00:00"/>
    <s v="CIF"/>
    <s v="COSCO SHIPPING STAR 029W"/>
    <s v="COSCO"/>
    <s v="TPVB20260521004"/>
    <x v="342"/>
    <s v="COSU6500933990"/>
    <n v="38"/>
    <m/>
    <d v="2026-07-08T00:00:00"/>
    <s v="In Stock-Approved"/>
    <d v="2026-06-30T00:00:00"/>
    <n v="0"/>
    <d v="2026-07-08T00:00:00"/>
    <n v="2026"/>
    <n v="7"/>
    <n v="28"/>
    <n v="36"/>
    <n v="720"/>
    <s v="Transparent"/>
    <s v="AEU"/>
  </r>
  <r>
    <s v="26May012.08"/>
    <s v="Yixing"/>
    <s v="26May012"/>
    <s v="CORE DG"/>
    <x v="1"/>
    <s v="SPTN Offstore in Transit WH"/>
    <s v="CIF"/>
    <x v="23"/>
    <s v="U1"/>
    <x v="139"/>
    <s v="AT0126042100006"/>
    <n v="11"/>
    <s v="Yes"/>
    <d v="2026-05-04T00:00:00"/>
    <x v="0"/>
    <x v="75"/>
    <s v="HSM-ND66-GR630"/>
    <s v="H4(Com)"/>
    <s v="+400mm/-200mm"/>
    <n v="630"/>
    <n v="1440"/>
    <n v="0.90720000000000001"/>
    <n v="40"/>
    <n v="2"/>
    <x v="1"/>
    <s v="COMPLETED"/>
    <m/>
    <d v="2026-05-19T00:00:00"/>
    <n v="21"/>
    <s v="POPV260522031"/>
    <m/>
    <s v="SHANGHAI"/>
    <x v="1"/>
    <x v="1"/>
    <d v="2026-05-28T00:00:00"/>
    <d v="2026-05-31T00:00:00"/>
    <d v="2026-05-31T00:00:00"/>
    <d v="2026-06-30T00:00:00"/>
    <d v="2026-07-07T00:00:00"/>
    <d v="2026-07-08T00:00:00"/>
    <s v="CIF"/>
    <s v="COSCO SHIPPING STAR 029W"/>
    <s v="COSCO"/>
    <s v="TPVB20260521004"/>
    <x v="342"/>
    <s v="COSU6500933990"/>
    <n v="38"/>
    <m/>
    <d v="2026-07-08T00:00:00"/>
    <s v="In Stock-Approved"/>
    <d v="2026-06-30T00:00:00"/>
    <n v="0"/>
    <d v="2026-07-08T00:00:00"/>
    <n v="2026"/>
    <n v="7"/>
    <n v="28"/>
    <n v="36"/>
    <n v="720"/>
    <s v="Transparent"/>
    <s v="AEU"/>
  </r>
  <r>
    <s v="26May011.02"/>
    <s v="Yixing"/>
    <s v="26May011"/>
    <s v="CORE DG"/>
    <x v="1"/>
    <s v="SPTN Offstore in Transit WH"/>
    <s v="CIF"/>
    <x v="23"/>
    <s v="U1"/>
    <x v="139"/>
    <s v="AT0126042100006"/>
    <n v="9"/>
    <s v="Yes"/>
    <d v="2026-05-11T00:00:00"/>
    <x v="0"/>
    <x v="74"/>
    <s v="HSM-ND66-GR625"/>
    <s v="H4(Com)"/>
    <s v="+400mm/-200mm"/>
    <n v="625"/>
    <n v="2160"/>
    <n v="1.35"/>
    <n v="60"/>
    <n v="3"/>
    <x v="1"/>
    <s v="COMPLETED"/>
    <m/>
    <d v="2026-05-17T00:00:00"/>
    <n v="20"/>
    <s v="POPV260522032"/>
    <m/>
    <s v="SHANGHAI"/>
    <x v="1"/>
    <x v="1"/>
    <d v="2026-05-25T00:00:00"/>
    <d v="2026-06-01T00:00:00"/>
    <d v="2026-06-01T00:00:00"/>
    <d v="2026-07-01T00:00:00"/>
    <d v="2026-07-23T00:00:00"/>
    <d v="2026-07-24T00:00:00"/>
    <s v="CIF"/>
    <s v="EVER AIM 1402-017W"/>
    <s v="COSCO"/>
    <s v="TPVB20260521005"/>
    <x v="343"/>
    <s v="COSU6500935690"/>
    <n v="53"/>
    <m/>
    <d v="2026-07-24T00:00:00"/>
    <s v="In Stock-Approved"/>
    <d v="2026-07-01T00:00:00"/>
    <n v="0"/>
    <d v="2026-07-24T00:00:00"/>
    <n v="2026"/>
    <n v="7"/>
    <n v="30"/>
    <n v="36"/>
    <n v="720"/>
    <s v="Transparent"/>
    <s v="AEU"/>
  </r>
  <r>
    <s v="26May012.09"/>
    <s v="Yixing"/>
    <s v="26May012"/>
    <s v="CORE DG"/>
    <x v="1"/>
    <s v="SPTN Offstore in Transit WH"/>
    <s v="CIF"/>
    <x v="23"/>
    <s v="U1"/>
    <x v="139"/>
    <s v="AT0126042100006"/>
    <n v="8"/>
    <s v="Yes"/>
    <d v="2026-05-11T00:00:00"/>
    <x v="0"/>
    <x v="75"/>
    <s v="HSM-ND66-GR630"/>
    <s v="H4(Com)"/>
    <s v="+400mm/-200mm"/>
    <n v="630"/>
    <n v="1440"/>
    <n v="0.90720000000000001"/>
    <n v="40"/>
    <n v="2"/>
    <x v="1"/>
    <s v="COMPLETED"/>
    <m/>
    <d v="2026-05-17T00:00:00"/>
    <n v="20"/>
    <s v="POPV260522033"/>
    <m/>
    <s v="SHANGHAI"/>
    <x v="1"/>
    <x v="1"/>
    <d v="2026-05-25T00:00:00"/>
    <d v="2026-06-01T00:00:00"/>
    <d v="2026-06-01T00:00:00"/>
    <d v="2026-07-01T00:00:00"/>
    <d v="2026-07-23T00:00:00"/>
    <d v="2026-07-24T00:00:00"/>
    <s v="CIF"/>
    <s v="EVER AIM 1402-017W"/>
    <s v="COSCO"/>
    <s v="TPVB20260521005"/>
    <x v="343"/>
    <s v="COSU6500935690"/>
    <n v="53"/>
    <m/>
    <d v="2026-07-24T00:00:00"/>
    <s v="In Stock-Approved"/>
    <d v="2026-07-01T00:00:00"/>
    <n v="0"/>
    <d v="2026-07-24T00:00:00"/>
    <n v="2026"/>
    <n v="7"/>
    <n v="30"/>
    <n v="36"/>
    <n v="720"/>
    <s v="Transparent"/>
    <s v="AEU"/>
  </r>
  <r>
    <s v="26May012.01"/>
    <s v="Yixing"/>
    <s v="26May012"/>
    <s v="CORE DG"/>
    <x v="1"/>
    <s v="SPTN Offstore in Transit WH"/>
    <s v="CIF"/>
    <x v="23"/>
    <s v="U1"/>
    <x v="139"/>
    <s v="AT0126042100006"/>
    <n v="13"/>
    <s v="Yes"/>
    <d v="2026-05-04T00:00:00"/>
    <x v="0"/>
    <x v="75"/>
    <s v="HSM-ND66-GR630"/>
    <s v="H4(Com)"/>
    <s v="+400mm/-200mm"/>
    <n v="630"/>
    <n v="5760"/>
    <n v="3.6288"/>
    <n v="160"/>
    <n v="8"/>
    <x v="2"/>
    <s v="COMPLETED"/>
    <m/>
    <d v="2026-05-24T00:00:00"/>
    <n v="21"/>
    <s v="POPV260528017"/>
    <m/>
    <s v="SHANGHAI"/>
    <x v="1"/>
    <x v="1"/>
    <d v="2026-05-31T00:00:00"/>
    <d v="2026-06-17T00:00:00"/>
    <d v="2026-06-17T00:00:00"/>
    <d v="2026-07-20T00:00:00"/>
    <d v="2026-07-31T00:00:00"/>
    <d v="2026-07-31T00:00:00"/>
    <s v="CIF"/>
    <s v="COSCO SHIPPING ALPS 048W"/>
    <s v="COSCO"/>
    <s v="TPVB20260521006"/>
    <x v="344"/>
    <s v="COSU6500934940"/>
    <n v="44"/>
    <m/>
    <d v="2026-07-31T00:00:00"/>
    <s v="In Stock-Approved"/>
    <d v="2026-07-20T00:00:00"/>
    <n v="0"/>
    <d v="2026-07-31T00:00:00"/>
    <n v="2026"/>
    <n v="7"/>
    <n v="31"/>
    <n v="36"/>
    <n v="720"/>
    <s v="Transparent"/>
    <s v="AEU"/>
  </r>
  <r>
    <s v="26May012.06"/>
    <s v="Yixing"/>
    <s v="26May012"/>
    <s v="CORE DG"/>
    <x v="1"/>
    <s v="SPTN Offstore in Transit WH"/>
    <s v="CIF"/>
    <x v="23"/>
    <s v="U1"/>
    <x v="139"/>
    <s v="AT0126042100006"/>
    <n v="15"/>
    <s v="Yes"/>
    <d v="2026-05-11T00:00:00"/>
    <x v="0"/>
    <x v="75"/>
    <s v="HSM-ND66-GR630"/>
    <s v="H4(Com)"/>
    <s v="+400mm/-200mm"/>
    <n v="630"/>
    <n v="5040"/>
    <n v="3.1751999999999998"/>
    <n v="140"/>
    <n v="7"/>
    <x v="2"/>
    <s v="COMPLETED"/>
    <m/>
    <d v="2026-05-25T00:00:00"/>
    <n v="22"/>
    <s v="POPV260528016"/>
    <m/>
    <s v="SHANGHAI"/>
    <x v="1"/>
    <x v="1"/>
    <d v="2026-05-31T00:00:00"/>
    <d v="2026-06-17T00:00:00"/>
    <d v="2026-06-17T00:00:00"/>
    <d v="2026-07-20T00:00:00"/>
    <d v="2026-07-31T00:00:00"/>
    <d v="2026-07-31T00:00:00"/>
    <s v="CIF"/>
    <s v="COSCO SHIPPING ALPS 048W"/>
    <s v="COSCO"/>
    <s v="TPVB20260521007"/>
    <x v="345"/>
    <s v="COSU6501272360"/>
    <n v="44"/>
    <m/>
    <d v="2026-07-31T00:00:00"/>
    <s v="In Stock-Approved"/>
    <d v="2026-07-20T00:00:00"/>
    <n v="0"/>
    <d v="2026-07-31T00:00:00"/>
    <n v="2026"/>
    <n v="7"/>
    <n v="31"/>
    <n v="36"/>
    <n v="720"/>
    <s v="Transparent"/>
    <s v="AEU"/>
  </r>
  <r>
    <s v="26May012.02"/>
    <s v="Yixing"/>
    <s v="26May012"/>
    <s v="CORE DG"/>
    <x v="1"/>
    <s v="SPTN Offstore in Transit WH"/>
    <s v="CIF"/>
    <x v="23"/>
    <s v="U1"/>
    <x v="139"/>
    <s v="AT0126042100006"/>
    <n v="14"/>
    <s v="Yes"/>
    <d v="2026-05-11T00:00:00"/>
    <x v="0"/>
    <x v="75"/>
    <s v="HSM-ND66-GR630"/>
    <s v="H4(Com)"/>
    <s v="+400mm/-200mm"/>
    <n v="630"/>
    <n v="5760"/>
    <n v="3.6288"/>
    <n v="160"/>
    <n v="8"/>
    <x v="2"/>
    <s v="COMPLETED"/>
    <m/>
    <d v="2026-05-26T00:00:00"/>
    <n v="22"/>
    <s v="POPV260528015"/>
    <m/>
    <s v="SHANGHAI"/>
    <x v="1"/>
    <x v="1"/>
    <d v="2026-05-31T00:00:00"/>
    <d v="2026-06-17T00:00:00"/>
    <d v="2026-06-17T00:00:00"/>
    <d v="2026-07-20T00:00:00"/>
    <d v="2026-07-31T00:00:00"/>
    <d v="2026-07-31T00:00:00"/>
    <s v="CIF"/>
    <s v="COSCO SHIPPING ALPS 048W"/>
    <s v="COSCO"/>
    <s v="TPVB20260521007"/>
    <x v="345"/>
    <s v="COSU6501272360"/>
    <n v="44"/>
    <m/>
    <d v="2026-07-31T00:00:00"/>
    <s v="In Stock-Approved"/>
    <d v="2026-07-20T00:00:00"/>
    <n v="0"/>
    <d v="2026-07-31T00:00:00"/>
    <n v="2026"/>
    <n v="7"/>
    <n v="31"/>
    <n v="36"/>
    <n v="720"/>
    <s v="Transparent"/>
    <s v="AEU"/>
  </r>
  <r>
    <s v="26May005.02"/>
    <s v="Yixing"/>
    <s v="26May005"/>
    <s v="CORE DG"/>
    <x v="1"/>
    <s v="SPTN Offstore in Transit WH"/>
    <s v="CIF"/>
    <x v="23"/>
    <s v="U1"/>
    <x v="140"/>
    <s v="AT0126042700018"/>
    <n v="2"/>
    <s v="Yes"/>
    <d v="2026-05-18T00:00:00"/>
    <x v="1"/>
    <x v="6"/>
    <s v="TCL-MR465DT182-58NS"/>
    <s v="EVO2A"/>
    <s v="±1200mm"/>
    <n v="465"/>
    <n v="12960"/>
    <n v="6.0263999999999998"/>
    <n v="360"/>
    <n v="15"/>
    <x v="2"/>
    <s v="COMPLETED"/>
    <s v="五月27日"/>
    <d v="2026-05-26T00:00:00"/>
    <n v="22"/>
    <s v="POPV260528014"/>
    <m/>
    <s v="SHANGHAI"/>
    <x v="1"/>
    <x v="1"/>
    <d v="2026-05-31T00:00:00"/>
    <d v="2026-06-17T00:00:00"/>
    <d v="2026-06-17T00:00:00"/>
    <d v="2026-07-20T00:00:00"/>
    <d v="2026-07-31T00:00:00"/>
    <d v="2026-07-31T00:00:00"/>
    <s v="CIF"/>
    <s v="COSCO SHIPPING ALPS 048W"/>
    <s v="COSCO"/>
    <s v="TPVB20260521008"/>
    <x v="346"/>
    <s v="COSU6501271780"/>
    <n v="44"/>
    <m/>
    <d v="2026-07-31T00:00:00"/>
    <s v="In Stock-Approved"/>
    <d v="2026-07-23T00:00:00"/>
    <n v="0"/>
    <d v="2026-07-31T00:00:00"/>
    <n v="2026"/>
    <n v="7"/>
    <n v="31"/>
    <n v="36"/>
    <n v="864"/>
    <s v="White glazing"/>
    <s v="AEU"/>
  </r>
  <r>
    <s v="26Apr007.01"/>
    <s v="Tianjin(Transport to Yixing for shipment)"/>
    <s v="26Apr007"/>
    <s v="CORE DG"/>
    <x v="0"/>
    <s v="Arrival Plan-SPIT"/>
    <s v="CIF"/>
    <x v="4"/>
    <s v="U1"/>
    <x v="2"/>
    <m/>
    <m/>
    <s v="n/a"/>
    <d v="2026-05-04T00:00:00"/>
    <x v="2"/>
    <x v="5"/>
    <s v="SPR-P7-555-COM-S"/>
    <s v="EVO2A"/>
    <s v="±1400mm"/>
    <n v="555"/>
    <n v="3960"/>
    <n v="2.1978"/>
    <n v="120"/>
    <n v="6"/>
    <x v="1"/>
    <s v="COMPLETED"/>
    <s v="五月22日"/>
    <d v="2026-05-22T00:00:00"/>
    <n v="21"/>
    <s v="POPV260528013"/>
    <m/>
    <s v="SHANGHAI"/>
    <x v="1"/>
    <x v="4"/>
    <d v="2026-05-29T00:00:00"/>
    <d v="2026-05-30T00:00:00"/>
    <d v="2026-05-30T00:00:00"/>
    <d v="2026-07-15T00:00:00"/>
    <d v="2026-07-22T00:00:00"/>
    <d v="2026-07-22T00:00:00"/>
    <s v="CIF"/>
    <s v="OOCL INDONESIA 036W"/>
    <s v="COSCO"/>
    <s v="TPVB20260521009"/>
    <x v="347"/>
    <s v="COSU6500939350"/>
    <n v="53"/>
    <m/>
    <d v="2026-07-22T00:00:00"/>
    <s v="In Stock-Approved"/>
    <d v="2026-08-05T00:00:00"/>
    <n v="10"/>
    <d v="2026-08-01T00:00:00"/>
    <n v="2026"/>
    <n v="8"/>
    <n v="31"/>
    <n v="33"/>
    <n v="660"/>
    <s v="White glazing"/>
    <s v="AEM"/>
  </r>
  <r>
    <s v="26Apr008.09"/>
    <s v="Tianjin(Transport to Yixing for shipment)"/>
    <s v="26Apr008"/>
    <s v="CORE DG"/>
    <x v="0"/>
    <s v="Arrival Plan-SPIT"/>
    <s v="CIF"/>
    <x v="4"/>
    <s v="U1"/>
    <x v="2"/>
    <m/>
    <m/>
    <s v="n/a"/>
    <d v="2026-05-04T00:00:00"/>
    <x v="2"/>
    <x v="68"/>
    <s v="SPR-P7-560-COM-S"/>
    <s v="EVO2A"/>
    <s v="±1400mm"/>
    <n v="560"/>
    <n v="660"/>
    <n v="0.36959999999999998"/>
    <n v="20"/>
    <n v="1"/>
    <x v="1"/>
    <s v="COMPLETED"/>
    <s v="五月22日"/>
    <d v="2026-05-23T00:00:00"/>
    <n v="21"/>
    <s v="POPV260528012"/>
    <m/>
    <s v="SHANGHAI"/>
    <x v="1"/>
    <x v="4"/>
    <d v="2026-05-29T00:00:00"/>
    <d v="2026-05-30T00:00:00"/>
    <d v="2026-05-30T00:00:00"/>
    <d v="2026-07-15T00:00:00"/>
    <d v="2026-07-22T00:00:00"/>
    <d v="2026-07-22T00:00:00"/>
    <s v="CIF"/>
    <s v="OOCL INDONESIA 036W"/>
    <s v="COSCO"/>
    <s v="TPVB20260521009"/>
    <x v="347"/>
    <s v="COSU6500939350"/>
    <n v="53"/>
    <m/>
    <d v="2026-07-22T00:00:00"/>
    <s v="In Stock-Approved"/>
    <d v="2026-08-05T00:00:00"/>
    <n v="10"/>
    <d v="2026-08-01T00:00:00"/>
    <n v="2026"/>
    <n v="8"/>
    <n v="31"/>
    <n v="33"/>
    <n v="660"/>
    <s v="White glazing"/>
    <s v="AEM"/>
  </r>
  <r>
    <s v="26Apr008.08"/>
    <s v="Tianjin(Transport to Yixing for shipment)"/>
    <s v="26Apr008"/>
    <s v="CORE DG"/>
    <x v="0"/>
    <s v="Arrival Plan-SPIT"/>
    <s v="CIF"/>
    <x v="4"/>
    <s v="U2"/>
    <x v="2"/>
    <m/>
    <m/>
    <s v="n/a"/>
    <d v="2026-05-04T00:00:00"/>
    <x v="2"/>
    <x v="68"/>
    <s v="SPR-P7-560-COM-S"/>
    <s v="EVO2A"/>
    <s v="±1400mm"/>
    <n v="560"/>
    <n v="1980"/>
    <n v="1.1088"/>
    <n v="60"/>
    <n v="3"/>
    <x v="1"/>
    <s v="COMPLETED"/>
    <s v="五月22日"/>
    <d v="2026-05-23T00:00:00"/>
    <n v="21"/>
    <s v="POPV260528011"/>
    <m/>
    <s v="SHANGHAI"/>
    <x v="1"/>
    <x v="14"/>
    <d v="2026-05-29T00:00:00"/>
    <d v="2026-05-30T00:00:00"/>
    <d v="2026-05-30T00:00:00"/>
    <d v="2026-07-17T00:00:00"/>
    <d v="2026-07-28T00:00:00"/>
    <d v="2026-07-24T00:00:00"/>
    <s v="CIF"/>
    <s v="OOCL INDONESIA 036W"/>
    <s v="COSCO"/>
    <s v="TPVB20260521010"/>
    <x v="348"/>
    <s v="COSU6500939570"/>
    <n v="55"/>
    <m/>
    <d v="2026-07-24T00:00:00"/>
    <s v="In Stock-Approved"/>
    <d v="2026-08-07T00:00:00"/>
    <n v="10"/>
    <d v="2026-08-03T00:00:00"/>
    <n v="2026"/>
    <n v="8"/>
    <n v="32"/>
    <n v="33"/>
    <n v="660"/>
    <s v="White glazing"/>
    <s v="AEM"/>
  </r>
  <r>
    <s v="26Apr008.02"/>
    <s v="Tianjin(Transport to Yixing for shipment)"/>
    <s v="26Apr008"/>
    <s v="CORE DG"/>
    <x v="0"/>
    <s v="Arrival Plan-SPIT"/>
    <s v="CIF"/>
    <x v="4"/>
    <s v="U2"/>
    <x v="2"/>
    <m/>
    <m/>
    <s v="n/a"/>
    <d v="2026-05-04T00:00:00"/>
    <x v="2"/>
    <x v="68"/>
    <s v="SPR-P7-560-COM-S"/>
    <s v="EVO2A"/>
    <s v="±1400mm"/>
    <n v="560"/>
    <n v="1320"/>
    <n v="0.73919999999999997"/>
    <n v="40"/>
    <n v="2"/>
    <x v="1"/>
    <s v="COMPLETED"/>
    <s v="五月22日"/>
    <d v="2026-05-23T00:00:00"/>
    <n v="21"/>
    <s v="POPV260528010"/>
    <m/>
    <s v="SHANGHAI"/>
    <x v="1"/>
    <x v="14"/>
    <d v="2026-05-29T00:00:00"/>
    <d v="2026-05-30T00:00:00"/>
    <d v="2026-05-30T00:00:00"/>
    <d v="2026-07-17T00:00:00"/>
    <d v="2026-07-28T00:00:00"/>
    <d v="2026-07-24T00:00:00"/>
    <s v="CIF"/>
    <s v="OOCL INDONESIA 036W"/>
    <s v="COSCO"/>
    <s v="TPVB20260521010"/>
    <x v="348"/>
    <s v="COSU6500939570"/>
    <n v="55"/>
    <m/>
    <d v="2026-07-24T00:00:00"/>
    <s v="In Stock-Approved"/>
    <d v="2026-08-07T00:00:00"/>
    <n v="10"/>
    <d v="2026-08-03T00:00:00"/>
    <n v="2026"/>
    <n v="8"/>
    <n v="32"/>
    <n v="33"/>
    <n v="660"/>
    <s v="White glazing"/>
    <s v="AEM"/>
  </r>
  <r>
    <s v="26Apr007.03"/>
    <s v="Tianjin(Transport to Yixing for shipment)"/>
    <s v="26Apr007"/>
    <s v="CORE DG"/>
    <x v="0"/>
    <s v="Arrival Plan-SPIT"/>
    <s v="CIF"/>
    <x v="4"/>
    <s v="U2"/>
    <x v="2"/>
    <m/>
    <m/>
    <s v="n/a"/>
    <d v="2026-05-04T00:00:00"/>
    <x v="2"/>
    <x v="5"/>
    <s v="SPR-P7-555-COM-S"/>
    <s v="EVO2A"/>
    <s v="±1400mm"/>
    <n v="555"/>
    <n v="1980"/>
    <n v="1.0989"/>
    <n v="60"/>
    <n v="3"/>
    <x v="1"/>
    <s v="COMPLETED"/>
    <s v="五月22日"/>
    <d v="2026-05-23T00:00:00"/>
    <n v="21"/>
    <s v="POPV260528009"/>
    <m/>
    <s v="SHANGHAI"/>
    <x v="1"/>
    <x v="14"/>
    <d v="2026-05-29T00:00:00"/>
    <d v="2026-05-30T00:00:00"/>
    <d v="2026-05-30T00:00:00"/>
    <d v="2026-07-17T00:00:00"/>
    <d v="2026-07-28T00:00:00"/>
    <d v="2026-07-24T00:00:00"/>
    <s v="CIF"/>
    <s v="OOCL INDONESIA 036W"/>
    <s v="COSCO"/>
    <s v="TPVB20260521010"/>
    <x v="348"/>
    <s v="COSU6500939570"/>
    <n v="55"/>
    <m/>
    <d v="2026-07-24T00:00:00"/>
    <s v="In Stock-Approved"/>
    <d v="2026-08-07T00:00:00"/>
    <n v="10"/>
    <d v="2026-08-03T00:00:00"/>
    <n v="2026"/>
    <n v="8"/>
    <n v="32"/>
    <n v="33"/>
    <n v="660"/>
    <s v="White glazing"/>
    <s v="AEM"/>
  </r>
  <r>
    <s v="26May016.04"/>
    <s v="Yixing"/>
    <s v="26May016"/>
    <s v="CORE DG"/>
    <x v="1"/>
    <s v="SPTN Offstore in Transit WH"/>
    <s v="CIF"/>
    <x v="9"/>
    <s v="U5"/>
    <x v="141"/>
    <s v="ES0126050700030"/>
    <m/>
    <s v="Yes"/>
    <s v="n/a"/>
    <x v="9"/>
    <x v="73"/>
    <s v="HSM-NT66-GH645"/>
    <s v="EVO2A"/>
    <s v="±1400mm"/>
    <n v="645"/>
    <n v="720"/>
    <n v="0.46439999999999998"/>
    <n v="20"/>
    <n v="1"/>
    <x v="1"/>
    <s v="COMPLETED"/>
    <m/>
    <d v="2026-05-20T00:00:00"/>
    <n v="21"/>
    <s v="POPV260522035"/>
    <m/>
    <s v="SHANGHAI NTR"/>
    <x v="1"/>
    <x v="2"/>
    <d v="2026-05-26T00:00:00"/>
    <d v="2026-05-26T00:00:00"/>
    <d v="2026-05-26T00:00:00"/>
    <d v="2026-07-01T00:00:00"/>
    <m/>
    <d v="2026-07-01T00:00:00"/>
    <s v="CIF"/>
    <s v="CMA CGM ALEXANDER VON HUMBOLDT 0MENVW1MA"/>
    <s v="COSCO"/>
    <s v="TPVB20260521011"/>
    <x v="349"/>
    <s v="COSU6500952590"/>
    <n v="36"/>
    <m/>
    <d v="2026-07-01T00:00:00"/>
    <s v="In Stock-Approved"/>
    <d v="2026-07-01T00:00:00"/>
    <n v="0"/>
    <d v="2026-07-01T00:00:00"/>
    <n v="2026"/>
    <n v="7"/>
    <n v="27"/>
    <n v="36"/>
    <n v="720"/>
    <s v="Transparent"/>
    <s v="AEM"/>
  </r>
  <r>
    <s v="26May006.09"/>
    <s v="Yixing"/>
    <s v="26May006"/>
    <s v="CORE DG"/>
    <x v="0"/>
    <s v="Arrival Plan-SPES"/>
    <s v="CIF"/>
    <x v="1"/>
    <s v="U5"/>
    <x v="142"/>
    <m/>
    <m/>
    <s v="n/a"/>
    <d v="2026-05-18T00:00:00"/>
    <x v="1"/>
    <x v="39"/>
    <s v="TCL-MR470DT182-58NS"/>
    <s v="EVO2A"/>
    <s v="±1200mm"/>
    <n v="470"/>
    <n v="864"/>
    <n v="0.40608"/>
    <n v="24"/>
    <n v="1"/>
    <x v="1"/>
    <s v="COMPLETED"/>
    <s v="五月16日"/>
    <d v="2026-05-20T00:00:00"/>
    <n v="21"/>
    <s v="POPV260701005"/>
    <m/>
    <s v="SHANGHAI"/>
    <x v="1"/>
    <x v="2"/>
    <d v="2026-05-26T00:00:00"/>
    <d v="2026-05-26T00:00:00"/>
    <d v="2026-05-26T00:00:00"/>
    <d v="2026-07-01T00:00:00"/>
    <m/>
    <d v="2026-07-01T00:00:00"/>
    <s v="CIF"/>
    <s v="CMA CGM ALEXANDER VON HUMBOLDT 0MENVW1MA"/>
    <s v="COSCO"/>
    <s v="TPVB20260521011-1"/>
    <x v="350"/>
    <s v="COSU6500952590"/>
    <n v="36"/>
    <m/>
    <d v="2026-07-01T00:00:00"/>
    <s v="In Stock-Approved"/>
    <d v="2026-07-15T00:00:00"/>
    <n v="9"/>
    <d v="2026-07-10T00:00:00"/>
    <n v="2026"/>
    <n v="7"/>
    <n v="28"/>
    <n v="36"/>
    <n v="864"/>
    <s v="White glazing"/>
    <s v="AEM"/>
  </r>
  <r>
    <s v="26Apr009.02"/>
    <s v="Yixing"/>
    <s v="26Apr009"/>
    <s v="CORE DG"/>
    <x v="0"/>
    <s v="Arrival Plan-SPES"/>
    <s v="CIF"/>
    <x v="1"/>
    <s v="U5"/>
    <x v="142"/>
    <m/>
    <m/>
    <s v="n/a"/>
    <d v="2026-05-04T00:00:00"/>
    <x v="1"/>
    <x v="6"/>
    <s v="TCL-MR465DT182-58NS"/>
    <s v="EVO2A"/>
    <s v="±1200mm"/>
    <n v="465"/>
    <n v="3456"/>
    <n v="1.60704"/>
    <n v="96"/>
    <n v="4"/>
    <x v="1"/>
    <s v="COMPLETED"/>
    <s v="五月18日"/>
    <d v="2026-05-20T00:00:00"/>
    <n v="21"/>
    <s v="POPV260701006"/>
    <m/>
    <s v="SHANGHAI"/>
    <x v="1"/>
    <x v="2"/>
    <d v="2026-05-26T00:00:00"/>
    <d v="2026-05-26T00:00:00"/>
    <d v="2026-05-26T00:00:00"/>
    <d v="2026-07-01T00:00:00"/>
    <m/>
    <d v="2026-07-01T00:00:00"/>
    <s v="CIF"/>
    <s v="CMA CGM ALEXANDER VON HUMBOLDT 0MENVW1MA"/>
    <s v="COSCO"/>
    <s v="TPVB20260521011-1"/>
    <x v="350"/>
    <s v="COSU6500952590"/>
    <n v="36"/>
    <m/>
    <d v="2026-07-01T00:00:00"/>
    <s v="In Stock-Approved"/>
    <d v="2026-07-15T00:00:00"/>
    <n v="9"/>
    <d v="2026-07-10T00:00:00"/>
    <n v="2026"/>
    <n v="7"/>
    <n v="28"/>
    <n v="36"/>
    <n v="864"/>
    <s v="White glazing"/>
    <s v="AEM"/>
  </r>
  <r>
    <s v="26May005.01"/>
    <s v="Yixing"/>
    <s v="26May005"/>
    <s v="CORE DG"/>
    <x v="0"/>
    <s v="Arrival Plan-SPES"/>
    <s v="CIF"/>
    <x v="1"/>
    <s v="U5"/>
    <x v="142"/>
    <m/>
    <m/>
    <s v="n/a"/>
    <d v="2026-05-18T00:00:00"/>
    <x v="1"/>
    <x v="6"/>
    <s v="TCL-MR465DT182-58NS"/>
    <s v="EVO2A"/>
    <s v="±1200mm"/>
    <n v="465"/>
    <n v="864"/>
    <n v="0.40176000000000001"/>
    <n v="24"/>
    <n v="1"/>
    <x v="1"/>
    <s v="COMPLETED"/>
    <s v="五月18日"/>
    <d v="2026-05-20T00:00:00"/>
    <n v="21"/>
    <s v="POPV260701007"/>
    <m/>
    <s v="SHANGHAI"/>
    <x v="1"/>
    <x v="2"/>
    <d v="2026-05-26T00:00:00"/>
    <d v="2026-05-26T00:00:00"/>
    <d v="2026-05-26T00:00:00"/>
    <d v="2026-07-01T00:00:00"/>
    <m/>
    <d v="2026-07-01T00:00:00"/>
    <s v="CIF"/>
    <s v="CMA CGM ALEXANDER VON HUMBOLDT 0MENVW1MA"/>
    <s v="COSCO"/>
    <s v="TPVB20260521011-1"/>
    <x v="350"/>
    <s v="COSU6500952590"/>
    <n v="36"/>
    <m/>
    <d v="2026-07-01T00:00:00"/>
    <s v="In Stock-Approved"/>
    <d v="2026-07-12T00:00:00"/>
    <n v="9"/>
    <d v="2026-07-10T00:00:00"/>
    <n v="2026"/>
    <n v="7"/>
    <n v="28"/>
    <n v="36"/>
    <n v="864"/>
    <s v="White glazing"/>
    <s v="AEM"/>
  </r>
  <r>
    <s v="26May009.01"/>
    <s v="Tianjin"/>
    <s v="26May009"/>
    <s v="CORE DG"/>
    <x v="1"/>
    <s v="SPTN Offstore in Transit WH"/>
    <s v="CIF"/>
    <x v="14"/>
    <s v="U1"/>
    <x v="137"/>
    <s v="PL0126041700017"/>
    <n v="2"/>
    <s v="Yes"/>
    <d v="2026-05-11T00:00:00"/>
    <x v="0"/>
    <x v="0"/>
    <s v="HSM-ND54-DR500"/>
    <s v="EVO2A"/>
    <s v="±1200mm"/>
    <n v="500"/>
    <n v="4320"/>
    <n v="2.16"/>
    <n v="120"/>
    <n v="5"/>
    <x v="1"/>
    <s v="COMPLETED"/>
    <s v="五月18日"/>
    <d v="2026-05-18T00:00:00"/>
    <n v="21"/>
    <s v="POPV260522021"/>
    <m/>
    <s v="TIANJIN"/>
    <x v="0"/>
    <x v="9"/>
    <d v="2026-05-22T00:00:00"/>
    <d v="2026-05-22T00:00:00"/>
    <d v="2026-05-22T00:00:00"/>
    <d v="2026-07-22T00:00:00"/>
    <m/>
    <d v="2026-07-22T00:00:00"/>
    <s v="CIF"/>
    <s v="COSCO SHIPPING STAR 029W"/>
    <s v="COSCO"/>
    <s v="TPVB20260520019"/>
    <x v="351"/>
    <s v="COSU6500853600"/>
    <n v="61"/>
    <m/>
    <d v="2026-07-22T00:00:00"/>
    <s v="In Stock-Approved"/>
    <d v="2026-07-22T00:00:00"/>
    <n v="0"/>
    <d v="2026-07-22T00:00:00"/>
    <n v="2026"/>
    <n v="7"/>
    <n v="30"/>
    <n v="36"/>
    <n v="864"/>
    <s v="Black glazing"/>
    <s v="AEU"/>
  </r>
  <r>
    <s v="26May009.13"/>
    <s v="Tianjin"/>
    <s v="26May009"/>
    <s v="CORE DG"/>
    <x v="0"/>
    <s v="Arrival Plan-SPNL"/>
    <s v="CIF"/>
    <x v="0"/>
    <s v="U1"/>
    <x v="2"/>
    <m/>
    <m/>
    <s v="n/a"/>
    <s v="n/a"/>
    <x v="0"/>
    <x v="0"/>
    <s v="HSM-ND54-DR500"/>
    <s v="EVO2A"/>
    <s v="±1200mm"/>
    <n v="500"/>
    <n v="1728"/>
    <n v="0.86399999999999999"/>
    <n v="48"/>
    <n v="2"/>
    <x v="1"/>
    <s v="COMPLETED"/>
    <s v="五月18日"/>
    <d v="2026-05-18T00:00:00"/>
    <n v="21"/>
    <s v="POPV260522023"/>
    <m/>
    <s v="TIANJIN"/>
    <x v="0"/>
    <x v="1"/>
    <d v="2026-05-22T00:00:00"/>
    <d v="2026-05-22T00:00:00"/>
    <d v="2026-05-22T00:00:00"/>
    <d v="2026-07-11T00:00:00"/>
    <m/>
    <d v="2026-07-15T00:00:00"/>
    <s v="CIF"/>
    <s v="COSCO SHIPPING STAR 029W"/>
    <s v="COSCO"/>
    <s v="TPVB20260520022"/>
    <x v="352"/>
    <s v="COSU6500844150"/>
    <n v="54"/>
    <m/>
    <d v="2026-07-15T00:00:00"/>
    <s v="In Stock-Approved"/>
    <d v="2026-07-27T00:00:00"/>
    <n v="7"/>
    <d v="2026-07-22T00:00:00"/>
    <n v="2026"/>
    <n v="7"/>
    <n v="30"/>
    <n v="36"/>
    <n v="864"/>
    <s v="Black glazing"/>
    <s v="AEU"/>
  </r>
  <r>
    <s v="26May010.01"/>
    <s v="Tianjin"/>
    <s v="26May010"/>
    <s v="CORE DG"/>
    <x v="0"/>
    <s v="Arrival Plan-SPNL"/>
    <s v="CIF"/>
    <x v="0"/>
    <s v="U1"/>
    <x v="2"/>
    <m/>
    <m/>
    <s v="n/a"/>
    <s v="n/a"/>
    <x v="0"/>
    <x v="43"/>
    <s v="HSM-ND54-DR505"/>
    <s v="EVO2A"/>
    <s v="±1200mm"/>
    <n v="505"/>
    <n v="1728"/>
    <n v="0.87263999999999997"/>
    <n v="48"/>
    <n v="2"/>
    <x v="1"/>
    <s v="COMPLETED"/>
    <s v="五月16日"/>
    <d v="2026-05-18T00:00:00"/>
    <n v="21"/>
    <s v="POPV260522036"/>
    <m/>
    <s v="TIANJIN"/>
    <x v="0"/>
    <x v="1"/>
    <d v="2026-05-22T00:00:00"/>
    <d v="2026-05-22T00:00:00"/>
    <d v="2026-05-22T00:00:00"/>
    <d v="2026-07-11T00:00:00"/>
    <m/>
    <d v="2026-07-15T00:00:00"/>
    <s v="CIF"/>
    <s v="COSCO SHIPPING STAR 029W"/>
    <s v="COSCO"/>
    <s v="TPVB20260520022"/>
    <x v="352"/>
    <s v="COSU6500844150"/>
    <n v="54"/>
    <m/>
    <d v="2026-07-15T00:00:00"/>
    <s v="In Stock-Approved"/>
    <d v="2026-07-27T00:00:00"/>
    <n v="7"/>
    <d v="2026-07-22T00:00:00"/>
    <n v="2026"/>
    <n v="7"/>
    <n v="30"/>
    <n v="36"/>
    <n v="864"/>
    <s v="Black glazing"/>
    <s v="AEU"/>
  </r>
  <r>
    <s v="26May009.06.01"/>
    <s v="Tianjin"/>
    <s v="26May009"/>
    <s v="CORE DG"/>
    <x v="0"/>
    <s v="Arrival Plan-SPNL"/>
    <s v="CIF"/>
    <x v="0"/>
    <s v="U1"/>
    <x v="2"/>
    <m/>
    <m/>
    <s v="n/a"/>
    <s v="n/a"/>
    <x v="0"/>
    <x v="0"/>
    <s v="HSM-ND54-DR500"/>
    <s v="EVO2A"/>
    <s v="±1200mm"/>
    <n v="500"/>
    <n v="4320"/>
    <n v="2.16"/>
    <n v="120"/>
    <n v="5"/>
    <x v="1"/>
    <s v="COMPLETED"/>
    <s v="五月19日"/>
    <d v="2026-05-22T00:00:00"/>
    <n v="21"/>
    <s v="POPV260522037"/>
    <m/>
    <s v="TIANJIN"/>
    <x v="0"/>
    <x v="1"/>
    <d v="2026-05-31T00:00:00"/>
    <d v="2026-05-30T00:00:00"/>
    <d v="2026-05-30T00:00:00"/>
    <d v="2026-07-11T00:00:00"/>
    <m/>
    <d v="2026-07-15T00:00:00"/>
    <s v="CIF"/>
    <s v="COSCO SHIPPING ARIES 037W"/>
    <s v="COSCO"/>
    <s v="TPVB20260521016"/>
    <x v="353"/>
    <s v="COSU6501834110"/>
    <n v="46"/>
    <m/>
    <d v="2026-07-15T00:00:00"/>
    <s v="In Stock-Approved"/>
    <d v="2026-07-27T00:00:00"/>
    <n v="7"/>
    <d v="2026-07-22T00:00:00"/>
    <n v="2026"/>
    <n v="7"/>
    <n v="30"/>
    <n v="36"/>
    <n v="864"/>
    <s v="Black glazing"/>
    <s v="AEU"/>
  </r>
  <r>
    <s v="26Apr014.05"/>
    <s v="Tianjin"/>
    <s v="26Apr014"/>
    <s v="CORE DG"/>
    <x v="1"/>
    <s v="SPTN Offstore in Transit WH"/>
    <s v="CIF"/>
    <x v="3"/>
    <s v="U1"/>
    <x v="7"/>
    <s v="LT0126041300027"/>
    <m/>
    <s v="Yes"/>
    <s v="n/a"/>
    <x v="0"/>
    <x v="43"/>
    <s v="HSM-ND54-DR505"/>
    <s v="EVO2A"/>
    <s v="±1200mm"/>
    <n v="505"/>
    <n v="2592"/>
    <n v="1.3089599999999999"/>
    <n v="72"/>
    <n v="3"/>
    <x v="1"/>
    <s v="COMPLETED"/>
    <s v="TJ BW"/>
    <d v="2026-05-15T00:00:00"/>
    <n v="20"/>
    <s v="POPV260522038"/>
    <m/>
    <s v="TIANJIN"/>
    <x v="0"/>
    <x v="3"/>
    <d v="2026-05-23T00:00:00"/>
    <d v="2026-05-25T00:00:00"/>
    <d v="2026-05-25T00:00:00"/>
    <d v="2026-07-23T00:00:00"/>
    <d v="2026-07-28T00:00:00"/>
    <d v="2026-07-26T00:00:00"/>
    <s v="CIF"/>
    <s v="MSC JOSEFINA/GA621W"/>
    <s v="OTHER"/>
    <s v="TPVB20260520018"/>
    <x v="354"/>
    <s v="177KACACXVNN2110"/>
    <n v="62"/>
    <m/>
    <d v="2026-07-26T00:00:00"/>
    <s v="In Stock-Approved"/>
    <d v="2026-07-03T00:00:00"/>
    <n v="0"/>
    <d v="2026-07-26T00:00:00"/>
    <n v="2026"/>
    <n v="7"/>
    <n v="30"/>
    <n v="36"/>
    <n v="864"/>
    <s v="Black glazing"/>
    <s v="AEU"/>
  </r>
  <r>
    <s v="26Apr008.05"/>
    <s v="Tianjin(Transport to Yixing for shipment)"/>
    <s v="26Apr008"/>
    <s v="CORE DG"/>
    <x v="0"/>
    <s v="Arrival Plan-SPIT"/>
    <s v="CIF"/>
    <x v="4"/>
    <s v="U1"/>
    <x v="2"/>
    <m/>
    <m/>
    <s v="n/a"/>
    <d v="2026-05-04T00:00:00"/>
    <x v="2"/>
    <x v="68"/>
    <s v="SPR-P7-560-COM-S"/>
    <s v="EVO2A"/>
    <s v="±1400mm"/>
    <n v="560"/>
    <n v="2640"/>
    <n v="1.4783999999999999"/>
    <n v="80"/>
    <n v="4"/>
    <x v="1"/>
    <s v="COMPLETED"/>
    <s v="五月14日"/>
    <d v="2026-05-21T00:00:00"/>
    <n v="21"/>
    <s v="POPV260522039"/>
    <m/>
    <s v="TIANJIN"/>
    <x v="0"/>
    <x v="4"/>
    <d v="2026-05-31T00:00:00"/>
    <d v="2026-05-30T00:00:00"/>
    <d v="2026-05-30T00:00:00"/>
    <d v="2026-07-29T00:00:00"/>
    <d v="2026-08-05T12:00:00"/>
    <d v="2026-08-05T10:59:00"/>
    <s v="CIF"/>
    <s v="COSCO SHIPPING ARIES 037W"/>
    <s v="COSCO"/>
    <s v="TPVB20260521012"/>
    <x v="355"/>
    <s v="COSU9507394940"/>
    <n v="67.457638888889051"/>
    <m/>
    <d v="2026-08-05T10:59:00"/>
    <s v="In Stock-Approved"/>
    <d v="2026-08-12T00:00:00"/>
    <n v="10"/>
    <d v="2026-08-15T10:59:00"/>
    <n v="2026"/>
    <n v="8"/>
    <n v="33"/>
    <n v="33"/>
    <n v="660"/>
    <s v="White glazing"/>
    <s v="AEM"/>
  </r>
  <r>
    <s v="26May009.07.01"/>
    <s v="Tianjin"/>
    <s v="26May009"/>
    <s v="CORE DG"/>
    <x v="0"/>
    <s v="Arrival Plan-SPTN"/>
    <s v="CIF"/>
    <x v="0"/>
    <s v="U1"/>
    <x v="2"/>
    <m/>
    <m/>
    <s v="n/a"/>
    <d v="2026-05-11T00:00:00"/>
    <x v="0"/>
    <x v="0"/>
    <s v="HSM-ND54-DR500"/>
    <s v="EVO2A"/>
    <s v="±1200mm"/>
    <n v="500"/>
    <n v="1728"/>
    <n v="0.86399999999999999"/>
    <n v="48"/>
    <n v="2"/>
    <x v="1"/>
    <s v="COMPLETED"/>
    <s v="五月20日"/>
    <d v="2026-05-22T00:00:00"/>
    <n v="21"/>
    <s v="POPV260522040"/>
    <m/>
    <s v="TIANJIN"/>
    <x v="0"/>
    <x v="0"/>
    <d v="2026-05-31T00:00:00"/>
    <d v="2026-05-30T00:00:00"/>
    <d v="2026-05-30T00:00:00"/>
    <d v="2026-07-28T00:00:00"/>
    <d v="2026-07-31T00:00:00"/>
    <d v="2026-08-01T04:12:33"/>
    <s v="CIF"/>
    <s v="COSCO SHIPPING ARIES 037W"/>
    <s v="COSCO"/>
    <s v="TPVB20260521013"/>
    <x v="356"/>
    <s v="COSU9507394750"/>
    <n v="63.175381944442051"/>
    <m/>
    <d v="2026-08-01T04:12:33"/>
    <s v="In Stock-Approved"/>
    <d v="2026-08-13T00:00:00"/>
    <n v="8"/>
    <d v="2026-08-09T04:12:33"/>
    <n v="2026"/>
    <n v="8"/>
    <n v="32"/>
    <n v="36"/>
    <n v="864"/>
    <s v="Black glazing"/>
    <s v="AEM"/>
  </r>
  <r>
    <s v="26May010.11"/>
    <s v="Tianjin"/>
    <s v="26May010"/>
    <s v="CORE DG"/>
    <x v="0"/>
    <s v="Arrival Plan-SPUK"/>
    <s v="CIF"/>
    <x v="6"/>
    <s v="U1"/>
    <x v="118"/>
    <m/>
    <m/>
    <s v="n/a"/>
    <d v="2026-05-11T00:00:00"/>
    <x v="0"/>
    <x v="43"/>
    <s v="HSM-ND54-DR505"/>
    <s v="EVO2A"/>
    <s v="±1200mm"/>
    <n v="505"/>
    <n v="864"/>
    <n v="0.43631999999999999"/>
    <n v="24"/>
    <n v="1"/>
    <x v="1"/>
    <s v="COMPLETED"/>
    <s v="五月16日"/>
    <d v="2026-05-22T00:00:00"/>
    <n v="21"/>
    <s v="POPV260522041"/>
    <m/>
    <s v="TIANJIN"/>
    <x v="0"/>
    <x v="6"/>
    <d v="2026-05-31T00:00:00"/>
    <d v="2026-05-30T00:00:00"/>
    <d v="2026-05-30T00:00:00"/>
    <d v="2026-07-19T00:00:00"/>
    <d v="2026-07-21T00:00:00"/>
    <d v="2026-07-21T00:00:00"/>
    <s v="CIF"/>
    <s v="COSCO SHIPPING ARIES 037W"/>
    <s v="COSCO"/>
    <s v="TPVB20260521014"/>
    <x v="357"/>
    <s v="COSU6501671340"/>
    <n v="52"/>
    <m/>
    <d v="2026-07-21T00:00:00"/>
    <s v="In Stock-Approved"/>
    <d v="2026-08-04T00:00:00"/>
    <n v="7"/>
    <d v="2026-07-28T00:00:00"/>
    <n v="2026"/>
    <n v="7"/>
    <n v="31"/>
    <n v="36"/>
    <n v="864"/>
    <s v="Black glazing"/>
    <s v="AEU"/>
  </r>
  <r>
    <s v="26May010.09"/>
    <s v="Tianjin"/>
    <s v="26May010"/>
    <s v="CORE DG"/>
    <x v="1"/>
    <s v="SPTN Offstore in Transit WH"/>
    <s v="CIF"/>
    <x v="5"/>
    <s v="U3"/>
    <x v="143"/>
    <s v="ES0126051100016"/>
    <n v="2"/>
    <s v="Yes"/>
    <s v="n/a"/>
    <x v="0"/>
    <x v="43"/>
    <s v="HSM-ND54-DR505"/>
    <s v="EVO2A"/>
    <s v="±1200mm"/>
    <n v="505"/>
    <n v="864"/>
    <n v="0.43631999999999999"/>
    <n v="24"/>
    <n v="1"/>
    <x v="1"/>
    <s v="COMPLETED"/>
    <s v="五月16日"/>
    <d v="2026-05-22T00:00:00"/>
    <n v="21"/>
    <s v="POPV260522042"/>
    <m/>
    <s v="TIANJIN"/>
    <x v="0"/>
    <x v="2"/>
    <d v="2026-05-31T00:00:00"/>
    <d v="2026-05-30T00:00:00"/>
    <d v="2026-05-30T00:00:00"/>
    <d v="2026-07-23T00:00:00"/>
    <d v="2026-07-26T00:00:00"/>
    <d v="2026-07-26T00:00:00"/>
    <s v="CIF"/>
    <s v="COSCO SHIPPING ARIES 037W"/>
    <s v="COSCO"/>
    <s v="TPVB20260521015"/>
    <x v="358"/>
    <s v="COSU9507395030"/>
    <n v="57"/>
    <m/>
    <d v="2026-07-26T00:00:00"/>
    <s v="In Stock-Approved"/>
    <d v="2026-07-23T00:00:00"/>
    <n v="0"/>
    <d v="2026-07-26T00:00:00"/>
    <n v="2026"/>
    <n v="7"/>
    <n v="30"/>
    <n v="36"/>
    <n v="864"/>
    <s v="Black glazing"/>
    <s v="AEM"/>
  </r>
  <r>
    <s v="26May015.01"/>
    <s v="Yixing"/>
    <s v="26May015"/>
    <s v="CORE DG"/>
    <x v="0"/>
    <s v="Arrival Plan-SPNL"/>
    <s v="CIF"/>
    <x v="0"/>
    <s v="U5"/>
    <x v="2"/>
    <m/>
    <m/>
    <s v="n/a"/>
    <s v="n/a"/>
    <x v="9"/>
    <x v="72"/>
    <s v="HSM-NT66-GH640"/>
    <s v="EVO2A"/>
    <s v="±1400mm"/>
    <n v="640"/>
    <n v="1440"/>
    <n v="0.92159999999999997"/>
    <n v="40"/>
    <n v="2"/>
    <x v="1"/>
    <s v="COMPLETED"/>
    <s v="五月23日"/>
    <d v="2026-05-30T00:00:00"/>
    <n v="22"/>
    <s v="POPV260602013"/>
    <m/>
    <s v="SHANGHAI NTR"/>
    <x v="1"/>
    <x v="1"/>
    <d v="2026-06-06T00:00:00"/>
    <m/>
    <d v="2026-06-06T00:00:00"/>
    <d v="2026-07-11T00:00:00"/>
    <m/>
    <d v="2026-07-15T00:00:00"/>
    <s v="CIF"/>
    <s v="COSCO SHIPPING ARIES 037W"/>
    <s v="COSCO"/>
    <s v="TPVB20260522008"/>
    <x v="359"/>
    <s v="COSU6501611330"/>
    <n v="39"/>
    <m/>
    <d v="2026-07-15T00:00:00"/>
    <s v="In Stock-Approved"/>
    <d v="2026-07-29T00:00:00"/>
    <n v="7"/>
    <d v="2026-07-22T00:00:00"/>
    <n v="2026"/>
    <n v="7"/>
    <n v="30"/>
    <n v="36"/>
    <n v="720"/>
    <s v="Transparent"/>
    <s v="AEU"/>
  </r>
  <r>
    <s v="26May016.03"/>
    <s v="Yixing"/>
    <s v="26May016"/>
    <s v="CORE DG"/>
    <x v="0"/>
    <s v="Arrival Plan-SPNL"/>
    <s v="CIF"/>
    <x v="0"/>
    <s v="U5"/>
    <x v="2"/>
    <m/>
    <m/>
    <s v="n/a"/>
    <s v="n/a"/>
    <x v="9"/>
    <x v="73"/>
    <s v="HSM-NT66-GH645"/>
    <s v="EVO2A"/>
    <s v="±1400mm"/>
    <n v="645"/>
    <n v="4320"/>
    <n v="2.7864"/>
    <n v="120"/>
    <n v="6"/>
    <x v="1"/>
    <s v="COMPLETED"/>
    <s v="五月23日"/>
    <d v="2026-05-30T00:00:00"/>
    <n v="22"/>
    <s v="POPV260608053"/>
    <m/>
    <s v="SHANGHAI NTR"/>
    <x v="1"/>
    <x v="1"/>
    <d v="2026-06-06T00:00:00"/>
    <m/>
    <d v="2026-06-06T00:00:00"/>
    <d v="2026-07-11T00:00:00"/>
    <m/>
    <d v="2026-07-15T00:00:00"/>
    <s v="CIF"/>
    <s v="COSCO SHIPPING ARIES 037W"/>
    <s v="COSCO"/>
    <s v="TPVB20260522008"/>
    <x v="359"/>
    <s v="COSU6501611330"/>
    <n v="39"/>
    <m/>
    <d v="2026-07-15T00:00:00"/>
    <s v="In Stock-Approved"/>
    <d v="2026-07-29T00:00:00"/>
    <n v="7"/>
    <d v="2026-07-22T00:00:00"/>
    <n v="2026"/>
    <n v="7"/>
    <n v="30"/>
    <n v="36"/>
    <n v="720"/>
    <s v="Transparent"/>
    <s v="AEU"/>
  </r>
  <r>
    <s v="26May006.14"/>
    <s v="Yixing"/>
    <s v="26May006"/>
    <s v="CORE DG"/>
    <x v="1"/>
    <s v="SPTN Offstore in Transit WH"/>
    <s v="CIF"/>
    <x v="23"/>
    <s v="U1"/>
    <x v="140"/>
    <s v="AT0126042700018"/>
    <n v="3"/>
    <s v="Yes"/>
    <d v="2026-05-18T00:00:00"/>
    <x v="1"/>
    <x v="39"/>
    <s v="TCL-MR470DT182-58NS"/>
    <s v="EVO2A"/>
    <s v="±1200mm"/>
    <n v="470"/>
    <n v="2592"/>
    <n v="1.21824"/>
    <n v="72"/>
    <n v="3"/>
    <x v="1"/>
    <s v="COMPLETED"/>
    <s v="五月23日"/>
    <d v="2026-05-30T00:00:00"/>
    <n v="22"/>
    <s v="POPV260608051"/>
    <m/>
    <s v="SHANGHAI"/>
    <x v="1"/>
    <x v="1"/>
    <d v="2026-06-06T00:00:00"/>
    <m/>
    <d v="2026-06-06T00:00:00"/>
    <d v="2026-07-11T00:00:00"/>
    <m/>
    <d v="2026-07-15T00:00:00"/>
    <s v="CIF"/>
    <s v="COSCO SHIPPING ARIES 037W"/>
    <s v="COSCO"/>
    <s v="TPVB20260522009"/>
    <x v="360"/>
    <s v="COSU6501612640"/>
    <n v="39"/>
    <m/>
    <d v="2026-07-15T00:00:00"/>
    <s v="In Stock-Approved"/>
    <d v="2026-07-11T00:00:00"/>
    <n v="0"/>
    <d v="2026-07-15T00:00:00"/>
    <n v="2026"/>
    <n v="7"/>
    <n v="29"/>
    <n v="36"/>
    <n v="864"/>
    <s v="White glazing"/>
    <s v="AEU"/>
  </r>
  <r>
    <s v="26Apr008.04"/>
    <s v="Tianjin(Transport to Yixing for shipment)"/>
    <s v="26Apr008"/>
    <s v="CORE DG"/>
    <x v="0"/>
    <s v="Arrival Plan-SPNL"/>
    <s v="CIF"/>
    <x v="0"/>
    <s v="U1"/>
    <x v="2"/>
    <m/>
    <m/>
    <s v="n/a"/>
    <d v="2026-05-04T00:00:00"/>
    <x v="2"/>
    <x v="68"/>
    <s v="SPR-P7-560-COM-S"/>
    <s v="EVO2A"/>
    <s v="±1400mm"/>
    <n v="560"/>
    <n v="3300"/>
    <n v="1.8480000000000001"/>
    <n v="100"/>
    <n v="5"/>
    <x v="1"/>
    <s v="COMPLETED"/>
    <s v="五月28日"/>
    <d v="2026-05-27T00:00:00"/>
    <n v="22"/>
    <s v="POPV260602005"/>
    <m/>
    <s v="SHANGHAI"/>
    <x v="1"/>
    <x v="1"/>
    <d v="2026-06-01T00:00:00"/>
    <d v="2026-06-02T00:00:00"/>
    <d v="2026-06-02T00:00:00"/>
    <d v="2026-07-08T00:00:00"/>
    <d v="2026-07-18T00:00:00"/>
    <d v="2026-07-19T00:00:00"/>
    <s v="CIF"/>
    <s v="EVER ALLY 1403-003W"/>
    <s v="COSCO"/>
    <s v="TPVB20260522010"/>
    <x v="361"/>
    <s v="COSU6501606860"/>
    <n v="47"/>
    <m/>
    <d v="2026-07-19T00:00:00"/>
    <s v="In Stock-Approved"/>
    <d v="2026-08-03T00:00:00"/>
    <n v="7"/>
    <d v="2026-07-26T00:00:00"/>
    <n v="2026"/>
    <n v="7"/>
    <n v="30"/>
    <n v="33"/>
    <n v="660"/>
    <s v="White glazing"/>
    <s v="AEU"/>
  </r>
  <r>
    <s v="26May006.13"/>
    <s v="Yixing"/>
    <s v="26May006"/>
    <s v="CORE DG"/>
    <x v="0"/>
    <s v="Arrival Plan-SPNL"/>
    <s v="CIF"/>
    <x v="0"/>
    <s v="U1"/>
    <x v="2"/>
    <m/>
    <m/>
    <s v="n/a"/>
    <d v="2026-05-18T00:00:00"/>
    <x v="1"/>
    <x v="39"/>
    <s v="TCL-MR470DT182-58NS"/>
    <s v="EVO2A"/>
    <s v="±1200mm"/>
    <n v="470"/>
    <n v="1728"/>
    <n v="0.81215999999999999"/>
    <n v="48"/>
    <n v="2"/>
    <x v="1"/>
    <s v="COMPLETED"/>
    <s v="五月23日"/>
    <d v="2026-06-01T00:00:00"/>
    <n v="23"/>
    <s v="POPV260608050"/>
    <m/>
    <s v="SHANGHAI"/>
    <x v="1"/>
    <x v="1"/>
    <d v="2026-06-07T00:00:00"/>
    <d v="2026-06-09T00:00:00"/>
    <d v="2026-06-09T00:00:00"/>
    <d v="2026-07-18T00:00:00"/>
    <d v="2026-07-26T00:00:00"/>
    <d v="2026-07-25T00:00:00"/>
    <s v="CIF"/>
    <s v="COSCO FORTUNE 083W"/>
    <s v="COSCO"/>
    <s v="TPVB20260522011"/>
    <x v="362"/>
    <s v="COSU6501614610"/>
    <n v="46"/>
    <m/>
    <d v="2026-07-25T00:00:00"/>
    <s v="In Stock-Approved"/>
    <d v="2026-08-07T00:00:00"/>
    <n v="7"/>
    <d v="2026-08-01T00:00:00"/>
    <n v="2026"/>
    <n v="8"/>
    <n v="31"/>
    <n v="36"/>
    <n v="864"/>
    <s v="White glazing"/>
    <s v="AEU"/>
  </r>
  <r>
    <s v="26May003.02"/>
    <s v="Tianjin(Transport to Yixing for shipment)"/>
    <s v="26May003"/>
    <s v="CORE DG"/>
    <x v="0"/>
    <s v="Arrival Plan-SPNL"/>
    <s v="CIF"/>
    <x v="0"/>
    <s v="U1"/>
    <x v="2"/>
    <m/>
    <m/>
    <s v="n/a"/>
    <d v="2026-05-18T00:00:00"/>
    <x v="2"/>
    <x v="5"/>
    <s v="SPR-P7-555-COM-S"/>
    <s v="EVO2A"/>
    <s v="±1400mm"/>
    <n v="555"/>
    <n v="3960"/>
    <n v="2.1978"/>
    <n v="120"/>
    <n v="6"/>
    <x v="1"/>
    <s v="COMPLETED"/>
    <s v="五月28日"/>
    <d v="2026-06-01T00:00:00"/>
    <n v="23"/>
    <s v="POPV260608049"/>
    <m/>
    <s v="SHANGHAI"/>
    <x v="1"/>
    <x v="1"/>
    <d v="2026-06-07T00:00:00"/>
    <d v="2026-06-09T00:00:00"/>
    <d v="2026-06-09T00:00:00"/>
    <d v="2026-07-18T00:00:00"/>
    <d v="2026-07-26T00:00:00"/>
    <d v="2026-07-25T00:00:00"/>
    <s v="CIF"/>
    <s v="COSCO FORTUNE 083W"/>
    <s v="COSCO"/>
    <s v="TPVB20260522011"/>
    <x v="362"/>
    <s v="COSU6501614610"/>
    <n v="46"/>
    <m/>
    <d v="2026-07-25T00:00:00"/>
    <s v="In Stock-Approved"/>
    <d v="2026-08-07T00:00:00"/>
    <n v="7"/>
    <d v="2026-08-01T00:00:00"/>
    <n v="2026"/>
    <n v="8"/>
    <n v="31"/>
    <n v="33"/>
    <n v="660"/>
    <s v="White glazing"/>
    <s v="AEU"/>
  </r>
  <r>
    <s v="26May006.08"/>
    <s v="Yixing"/>
    <s v="26May006"/>
    <s v="CORE DG"/>
    <x v="0"/>
    <s v="Arrival Plan-SPTN"/>
    <s v="CIF"/>
    <x v="0"/>
    <s v="U1"/>
    <x v="2"/>
    <m/>
    <m/>
    <s v="n/a"/>
    <d v="2026-05-18T00:00:00"/>
    <x v="1"/>
    <x v="39"/>
    <s v="TCL-MR470DT182-58NS"/>
    <s v="EVO2A"/>
    <s v="±1200mm"/>
    <n v="470"/>
    <n v="7776"/>
    <n v="3.6547200000000002"/>
    <n v="216"/>
    <n v="9"/>
    <x v="1"/>
    <s v="COMPLETED"/>
    <s v="五月23日"/>
    <d v="2026-05-29T00:00:00"/>
    <n v="22"/>
    <s v="POPV260608047"/>
    <m/>
    <s v="SHANGHAI"/>
    <x v="1"/>
    <x v="0"/>
    <d v="2026-06-05T00:00:00"/>
    <d v="2026-06-10T00:00:00"/>
    <d v="2026-06-10T00:00:00"/>
    <d v="2026-07-27T00:00:00"/>
    <d v="2026-08-01T00:00:00"/>
    <d v="2026-08-02T05:44:59"/>
    <s v="CIF"/>
    <s v="CSCL PACIFIC OCEAN 066W"/>
    <s v="COSCO"/>
    <s v="TPVB20260522012"/>
    <x v="363"/>
    <s v="COSU6501935710"/>
    <n v="53.239571759258979"/>
    <m/>
    <d v="2026-08-02T05:44:59"/>
    <s v="In Stock-Approved"/>
    <d v="2026-08-14T00:00:00"/>
    <n v="8"/>
    <d v="2026-08-10T05:44:59"/>
    <n v="2026"/>
    <n v="8"/>
    <n v="33"/>
    <n v="36"/>
    <n v="864"/>
    <s v="White glazing"/>
    <s v="AEM"/>
  </r>
  <r>
    <s v="26Apr007.02"/>
    <s v="Tianjin(Transport to Yixing for shipment)"/>
    <s v="26Apr007"/>
    <s v="CORE DG"/>
    <x v="0"/>
    <s v="Arrival Plan-SPIT"/>
    <s v="CIF"/>
    <x v="4"/>
    <s v="U1"/>
    <x v="2"/>
    <m/>
    <m/>
    <s v="n/a"/>
    <d v="2026-05-04T00:00:00"/>
    <x v="2"/>
    <x v="5"/>
    <s v="SPR-P7-555-COM-S"/>
    <s v="EVO2A"/>
    <s v="±1400mm"/>
    <n v="555"/>
    <n v="3960"/>
    <n v="2.1978"/>
    <n v="120"/>
    <n v="6"/>
    <x v="1"/>
    <s v="COMPLETED"/>
    <s v="五月29日"/>
    <d v="2026-05-29T00:00:00"/>
    <n v="22"/>
    <s v="POPV260602004"/>
    <m/>
    <s v="SHANGHAI"/>
    <x v="1"/>
    <x v="4"/>
    <d v="2026-06-05T00:00:00"/>
    <d v="2026-06-10T00:00:00"/>
    <d v="2026-06-10T00:00:00"/>
    <d v="2026-07-22T00:00:00"/>
    <d v="2026-08-02T00:00:00"/>
    <d v="2026-07-29T00:00:00"/>
    <s v="CIF"/>
    <s v="CSCL PACIFIC OCEAN 066W"/>
    <s v="COSCO"/>
    <s v="TPVB20260522013"/>
    <x v="364"/>
    <s v="COSU6501936780"/>
    <n v="49"/>
    <m/>
    <d v="2026-07-29T00:00:00"/>
    <s v="In Stock-Approved"/>
    <d v="2026-08-12T00:00:00"/>
    <n v="10"/>
    <d v="2026-08-08T00:00:00"/>
    <n v="2026"/>
    <n v="8"/>
    <n v="32"/>
    <n v="33"/>
    <n v="660"/>
    <s v="White glazing"/>
    <s v="AEM"/>
  </r>
  <r>
    <s v="26May003.01.01"/>
    <s v="Tianjin(Transport to Yixing for shipment)"/>
    <s v="26May003"/>
    <s v="CORE DG"/>
    <x v="0"/>
    <s v="Arrival Plan-SPIT"/>
    <s v="CIF"/>
    <x v="4"/>
    <s v="U1"/>
    <x v="2"/>
    <m/>
    <m/>
    <s v="n/a"/>
    <d v="2026-05-18T00:00:00"/>
    <x v="2"/>
    <x v="5"/>
    <s v="SPR-P7-555-COM-S"/>
    <s v="EVO2A"/>
    <s v="±1400mm"/>
    <n v="555"/>
    <n v="1980"/>
    <n v="1.0989"/>
    <n v="60"/>
    <n v="3"/>
    <x v="1"/>
    <s v="COMPLETED"/>
    <s v="五月29日"/>
    <d v="2026-05-29T00:00:00"/>
    <n v="22"/>
    <s v="POPV260608046"/>
    <m/>
    <s v="SHANGHAI"/>
    <x v="1"/>
    <x v="4"/>
    <d v="2026-06-05T00:00:00"/>
    <d v="2026-06-10T00:00:00"/>
    <d v="2026-06-10T00:00:00"/>
    <d v="2026-07-22T00:00:00"/>
    <d v="2026-08-02T00:00:00"/>
    <d v="2026-07-29T00:00:00"/>
    <s v="CIF"/>
    <s v="CSCL PACIFIC OCEAN 066W"/>
    <s v="COSCO"/>
    <s v="TPVB20260522013"/>
    <x v="364"/>
    <s v="COSU6501936780"/>
    <n v="49"/>
    <m/>
    <d v="2026-07-29T00:00:00"/>
    <s v="In Stock-Approved"/>
    <d v="2026-08-12T00:00:00"/>
    <n v="10"/>
    <d v="2026-08-08T00:00:00"/>
    <n v="2026"/>
    <n v="8"/>
    <n v="32"/>
    <n v="33"/>
    <n v="660"/>
    <s v="White glazing"/>
    <s v="AEM"/>
  </r>
  <r>
    <s v="26May006.10"/>
    <s v="Yixing"/>
    <s v="26May006"/>
    <s v="CORE DG"/>
    <x v="1"/>
    <s v="SPTN Offstore in Transit WH"/>
    <s v="CIF"/>
    <x v="5"/>
    <s v="U5"/>
    <x v="143"/>
    <s v="ES0126051100016"/>
    <n v="3"/>
    <s v="Yes"/>
    <d v="2026-05-18T00:00:00"/>
    <x v="1"/>
    <x v="39"/>
    <s v="TCL-MR470DT182-58NS"/>
    <s v="EVO2A"/>
    <s v="±1200mm"/>
    <n v="470"/>
    <n v="1728"/>
    <n v="0.81215999999999999"/>
    <n v="48"/>
    <n v="2"/>
    <x v="1"/>
    <s v="COMPLETED"/>
    <s v="五月23日"/>
    <d v="2026-05-28T00:00:00"/>
    <n v="22"/>
    <s v="POPV260602012"/>
    <m/>
    <s v="SHANGHAI"/>
    <x v="1"/>
    <x v="2"/>
    <d v="2026-06-02T00:00:00"/>
    <d v="2026-06-04T00:00:00"/>
    <d v="2026-06-05T00:00:00"/>
    <d v="2026-07-16T00:00:00"/>
    <m/>
    <d v="2026-07-16T00:00:00"/>
    <s v="CIF"/>
    <s v="COSCO SHIPPING ROSE 046W"/>
    <s v="COSCO"/>
    <s v="TPVB20260522014"/>
    <x v="365"/>
    <s v="COSU6502257250"/>
    <n v="41"/>
    <m/>
    <d v="2026-07-16T00:00:00"/>
    <s v="In Stock-Approved"/>
    <d v="2026-07-16T00:00:00"/>
    <n v="0"/>
    <d v="2026-07-16T00:00:00"/>
    <n v="2026"/>
    <n v="7"/>
    <n v="29"/>
    <n v="36"/>
    <n v="864"/>
    <s v="White glazing"/>
    <s v="AEM"/>
  </r>
  <r>
    <s v="26May015.02"/>
    <s v="Yixing"/>
    <s v="26May015"/>
    <s v="CORE DG"/>
    <x v="0"/>
    <s v="Arrival Plan-SPES"/>
    <s v="CIF"/>
    <x v="1"/>
    <s v="U5"/>
    <x v="2"/>
    <m/>
    <m/>
    <s v="n/a"/>
    <s v="n/a"/>
    <x v="9"/>
    <x v="72"/>
    <s v="HSM-NT66-GH640"/>
    <s v="EVO2A"/>
    <s v="±1400mm"/>
    <n v="640"/>
    <n v="2160"/>
    <n v="1.3824000000000001"/>
    <n v="60"/>
    <n v="3"/>
    <x v="1"/>
    <s v="COMPLETED"/>
    <s v="五月23日"/>
    <d v="2026-05-28T00:00:00"/>
    <n v="22"/>
    <s v="POPV260602011"/>
    <m/>
    <s v="SHANGHAI"/>
    <x v="1"/>
    <x v="2"/>
    <d v="2026-06-02T00:00:00"/>
    <m/>
    <d v="2026-06-05T00:00:00"/>
    <d v="2026-07-16T00:00:00"/>
    <m/>
    <d v="2026-07-16T00:00:00"/>
    <s v="CIF"/>
    <s v="COSCO SHIPPING ROSE 046W"/>
    <s v="COSCO"/>
    <s v="TPVB20260522015"/>
    <x v="366"/>
    <s v="COSU6501615690"/>
    <n v="41"/>
    <m/>
    <d v="2026-07-16T00:00:00"/>
    <s v="In Stock-Approved"/>
    <d v="2026-07-30T00:00:00"/>
    <n v="9"/>
    <d v="2026-07-25T00:00:00"/>
    <n v="2026"/>
    <n v="7"/>
    <n v="30"/>
    <n v="36"/>
    <n v="720"/>
    <s v="Transparent"/>
    <s v="AEM"/>
  </r>
  <r>
    <s v="26May010.03"/>
    <s v="Tianjin"/>
    <s v="26May010"/>
    <s v="CORE DG"/>
    <x v="0"/>
    <s v="Arrival Plan-SPUK"/>
    <s v="CIF"/>
    <x v="6"/>
    <s v="U1"/>
    <x v="118"/>
    <m/>
    <m/>
    <s v="n/a"/>
    <d v="2026-05-11T00:00:00"/>
    <x v="0"/>
    <x v="43"/>
    <s v="HSM-ND54-DR505"/>
    <s v="EVO2A"/>
    <s v="±1200mm"/>
    <n v="505"/>
    <n v="3456"/>
    <n v="1.7452799999999999"/>
    <n v="96"/>
    <n v="4"/>
    <x v="3"/>
    <s v="COMPLETED"/>
    <s v="五月16日"/>
    <d v="2026-06-09T00:00:00"/>
    <n v="24"/>
    <s v="POPV260615016"/>
    <m/>
    <s v="TIANJIN"/>
    <x v="0"/>
    <x v="6"/>
    <d v="2026-06-10T00:00:00"/>
    <d v="2026-06-17T00:00:00"/>
    <d v="2026-06-16T00:00:00"/>
    <d v="2026-08-02T00:00:00"/>
    <d v="2026-08-19T00:00:00"/>
    <d v="2026-08-24T00:00:00"/>
    <s v="CIF"/>
    <s v="CMA CGM EIFFEL/0BYP8S1MA/0BYP8S"/>
    <s v="OTHER"/>
    <s v="TPVB20260522002"/>
    <x v="367"/>
    <s v="TJN0963377"/>
    <n v="69"/>
    <m/>
    <d v="2026-08-24T00:00:00"/>
    <s v="In Stock-Approved"/>
    <d v="2026-09-02T00:00:00"/>
    <n v="7"/>
    <d v="2026-08-31T00:00:00"/>
    <n v="2026"/>
    <n v="8"/>
    <n v="36"/>
    <n v="36"/>
    <n v="864"/>
    <s v="Black glazing"/>
    <s v="AEU"/>
  </r>
  <r>
    <s v="26May009.06"/>
    <s v="Tianjin"/>
    <s v="26May009"/>
    <s v="CORE DG"/>
    <x v="0"/>
    <s v="Arrival Plan-SPNL"/>
    <s v="CIF"/>
    <x v="0"/>
    <s v="U1"/>
    <x v="2"/>
    <m/>
    <m/>
    <s v="n/a"/>
    <s v="n/a"/>
    <x v="0"/>
    <x v="0"/>
    <s v="HSM-ND54-DR500"/>
    <s v="EVO2A"/>
    <s v="±1200mm"/>
    <n v="500"/>
    <n v="2592"/>
    <n v="1.296"/>
    <n v="72"/>
    <n v="3"/>
    <x v="1"/>
    <s v="COMPLETED"/>
    <s v="五月19日"/>
    <d v="2026-05-29T00:00:00"/>
    <n v="22"/>
    <s v="POPV260602010"/>
    <m/>
    <s v="TIANJIN"/>
    <x v="0"/>
    <x v="1"/>
    <d v="2026-06-04T00:00:00"/>
    <d v="2026-06-05T00:00:00"/>
    <d v="2026-06-05T00:00:00"/>
    <d v="2026-07-14T00:00:00"/>
    <d v="2026-07-20T00:00:00"/>
    <d v="2026-07-20T00:00:00"/>
    <s v="CIF"/>
    <s v="COSCO SHIPPING LEO 036W"/>
    <s v="COSCO"/>
    <s v="TPVB20260522003"/>
    <x v="368"/>
    <s v="COSU9507498230"/>
    <n v="45"/>
    <m/>
    <d v="2026-07-20T00:00:00"/>
    <s v="In Stock-Approved"/>
    <d v="2026-08-03T00:00:00"/>
    <n v="7"/>
    <d v="2026-07-27T00:00:00"/>
    <n v="2026"/>
    <n v="7"/>
    <n v="31"/>
    <n v="36"/>
    <n v="864"/>
    <s v="Black glazing"/>
    <s v="AEU"/>
  </r>
  <r>
    <s v="26May008.01"/>
    <s v="Tianjin"/>
    <s v="26May008"/>
    <s v="CORE DG"/>
    <x v="0"/>
    <s v="Arrival Plan-SPNL"/>
    <s v="CIF"/>
    <x v="0"/>
    <s v="U1"/>
    <x v="2"/>
    <m/>
    <m/>
    <s v="n/a"/>
    <d v="2025-06-01T00:00:00"/>
    <x v="0"/>
    <x v="35"/>
    <s v="HSM-ND48-DR455"/>
    <s v="EVO2A"/>
    <s v="±1200mm"/>
    <n v="455"/>
    <n v="1872"/>
    <n v="0.85175999999999996"/>
    <n v="52"/>
    <n v="2"/>
    <x v="1"/>
    <s v="COMPLETED"/>
    <s v="五月29日"/>
    <d v="2026-05-29T00:00:00"/>
    <n v="22"/>
    <s v="POPV260602008"/>
    <m/>
    <s v="TIANJIN"/>
    <x v="0"/>
    <x v="1"/>
    <d v="2026-06-04T00:00:00"/>
    <d v="2026-06-05T00:00:00"/>
    <d v="2026-06-05T00:00:00"/>
    <d v="2026-07-14T00:00:00"/>
    <d v="2026-07-20T00:00:00"/>
    <d v="2026-07-20T00:00:00"/>
    <s v="CIF"/>
    <s v="COSCO SHIPPING LEO 036W"/>
    <s v="COSCO"/>
    <s v="TPVB20260522003"/>
    <x v="368"/>
    <s v="COSU9507498230"/>
    <n v="45"/>
    <m/>
    <d v="2026-07-20T00:00:00"/>
    <s v="In Stock-Approved"/>
    <d v="2026-08-03T00:00:00"/>
    <n v="7"/>
    <d v="2026-07-27T00:00:00"/>
    <n v="2026"/>
    <n v="7"/>
    <n v="31"/>
    <n v="36"/>
    <n v="936"/>
    <s v="Black glazing"/>
    <s v="AEU"/>
  </r>
  <r>
    <s v="26Apr008.06.01"/>
    <s v="Tianjin(Transport to Yixing for shipment)"/>
    <s v="26Apr008"/>
    <s v="CORE DG"/>
    <x v="0"/>
    <s v="Arrival Plan-SPES"/>
    <s v="CIF"/>
    <x v="1"/>
    <s v="U1"/>
    <x v="2"/>
    <m/>
    <m/>
    <s v="n/a"/>
    <d v="2026-05-04T00:00:00"/>
    <x v="2"/>
    <x v="68"/>
    <s v="SPR-P7-560-COM-S"/>
    <s v="EVO2A"/>
    <s v="±1400mm"/>
    <n v="560"/>
    <n v="660"/>
    <n v="0.36959999999999998"/>
    <n v="20"/>
    <n v="1"/>
    <x v="1"/>
    <s v="COMPLETED"/>
    <m/>
    <d v="2026-05-28T00:00:00"/>
    <n v="22"/>
    <s v="POPV260602009"/>
    <m/>
    <s v="TIANJIN"/>
    <x v="0"/>
    <x v="2"/>
    <d v="2026-06-04T00:00:00"/>
    <d v="2026-06-05T00:00:00"/>
    <d v="2026-06-05T00:00:00"/>
    <d v="2026-07-30T00:00:00"/>
    <m/>
    <d v="2026-07-30T00:00:00"/>
    <s v="CIF"/>
    <s v="COSCO SHIPPING LEO 036W"/>
    <s v="COSCO"/>
    <s v="TPVB20260522004"/>
    <x v="369"/>
    <s v="COSU9507497710"/>
    <n v="55"/>
    <m/>
    <d v="2026-07-30T00:00:00"/>
    <s v="In Stock-Approved"/>
    <d v="2026-08-13T00:00:00"/>
    <n v="9"/>
    <d v="2026-08-08T00:00:00"/>
    <n v="2026"/>
    <n v="8"/>
    <n v="32"/>
    <n v="33"/>
    <n v="660"/>
    <s v="White glazing"/>
    <s v="AEM"/>
  </r>
  <r>
    <s v="26Apr008.06"/>
    <s v="Tianjin(Transport to Yixing for shipment)"/>
    <s v="26Apr008"/>
    <s v="CORE DG"/>
    <x v="0"/>
    <s v="Arrival Plan-SPES"/>
    <s v="CIF"/>
    <x v="1"/>
    <s v="U1"/>
    <x v="2"/>
    <m/>
    <m/>
    <s v="n/a"/>
    <d v="2026-05-04T00:00:00"/>
    <x v="2"/>
    <x v="68"/>
    <s v="SPR-P7-560-COM-S"/>
    <s v="EVO2A"/>
    <s v="±1400mm"/>
    <n v="560"/>
    <n v="2640"/>
    <n v="1.4783999999999999"/>
    <n v="80"/>
    <n v="4"/>
    <x v="1"/>
    <s v="COMPLETED"/>
    <m/>
    <d v="2026-05-28T00:00:00"/>
    <n v="22"/>
    <s v="POPV260602007"/>
    <m/>
    <s v="TIANJIN"/>
    <x v="0"/>
    <x v="2"/>
    <d v="2026-06-04T00:00:00"/>
    <d v="2026-06-05T00:00:00"/>
    <d v="2026-06-05T00:00:00"/>
    <d v="2026-08-13T00:00:00"/>
    <d v="2026-08-28T00:00:00"/>
    <d v="2026-08-28T00:00:00"/>
    <s v="CIF"/>
    <s v="COSCO SHIPPING LEO 036W"/>
    <s v="COSCO"/>
    <s v="TPVB20260522005"/>
    <x v="370"/>
    <s v="COSU9507509280"/>
    <n v="84"/>
    <m/>
    <d v="2026-08-28T00:00:00"/>
    <s v="In Stock-Approved"/>
    <d v="2026-09-09T00:00:00"/>
    <n v="9"/>
    <d v="2026-09-06T00:00:00"/>
    <n v="2026"/>
    <n v="9"/>
    <n v="36"/>
    <n v="33"/>
    <n v="660"/>
    <s v="White glazing"/>
    <s v="AEM"/>
  </r>
  <r>
    <s v="26May010.07"/>
    <s v="Tianjin"/>
    <s v="26May010"/>
    <s v="CORE DG"/>
    <x v="1"/>
    <s v="SPTN Offstore in Transit WH"/>
    <s v="CIF"/>
    <x v="9"/>
    <s v="U3"/>
    <x v="136"/>
    <s v="ES0126050600033"/>
    <n v="1"/>
    <s v="Yes"/>
    <s v="n/a"/>
    <x v="0"/>
    <x v="43"/>
    <s v="HSM-ND54-DR505"/>
    <s v="EVO2A"/>
    <s v="±1200mm"/>
    <n v="505"/>
    <n v="1728"/>
    <n v="0.87263999999999997"/>
    <n v="48"/>
    <n v="2"/>
    <x v="1"/>
    <s v="COMPLETED"/>
    <s v="五月12日"/>
    <d v="2026-05-28T00:00:00"/>
    <n v="22"/>
    <s v="POPV260602006"/>
    <m/>
    <s v="TIANJIN"/>
    <x v="0"/>
    <x v="2"/>
    <d v="2026-06-04T00:00:00"/>
    <d v="2026-06-05T00:00:00"/>
    <d v="2026-06-05T00:00:00"/>
    <d v="2026-07-29T00:00:00"/>
    <d v="2026-08-01T00:00:00"/>
    <d v="2026-08-02T10:04:44"/>
    <s v="CIF"/>
    <s v="COSCO SHIPPING LEO 036W"/>
    <s v="COSCO"/>
    <s v="TPVB20260522006"/>
    <x v="371"/>
    <s v="COSU6502492780"/>
    <n v="58.419953703705687"/>
    <m/>
    <d v="2026-08-02T10:04:44"/>
    <s v="In Stock-Approved"/>
    <d v="2026-07-29T00:00:00"/>
    <n v="0"/>
    <d v="2026-08-02T10:04:44"/>
    <n v="2026"/>
    <n v="8"/>
    <n v="31"/>
    <n v="36"/>
    <n v="864"/>
    <s v="Black glazing"/>
    <s v="AEM"/>
  </r>
  <r>
    <s v="26May009.12"/>
    <s v="Tianjin"/>
    <s v="26May009"/>
    <s v="CORE DG"/>
    <x v="1"/>
    <s v="SPTN Offstore in Transit WH"/>
    <s v="CIF"/>
    <x v="14"/>
    <s v="U1"/>
    <x v="144"/>
    <s v="PL0126041700017"/>
    <n v="3"/>
    <s v="Yes"/>
    <d v="2026-05-11T00:00:00"/>
    <x v="0"/>
    <x v="0"/>
    <s v="HSM-ND54-DR500"/>
    <s v="EVO2A"/>
    <s v="±1200mm"/>
    <n v="500"/>
    <n v="5184"/>
    <n v="2.5920000000000001"/>
    <n v="144"/>
    <n v="6"/>
    <x v="1"/>
    <s v="COMPLETED"/>
    <s v="五月24日"/>
    <d v="2026-06-01T00:00:00"/>
    <n v="23"/>
    <s v="POPV260608048"/>
    <m/>
    <s v="TIANJIN"/>
    <x v="0"/>
    <x v="9"/>
    <d v="2026-06-05T00:00:00"/>
    <d v="2026-06-07T00:00:00"/>
    <d v="2026-06-07T00:00:00"/>
    <d v="2026-08-03T00:00:00"/>
    <d v="2026-08-11T00:00:00"/>
    <d v="2026-08-13T00:00:00"/>
    <s v="CIF"/>
    <s v="CMA CGM CORAL/0BYP6S1MA/0BYP6S"/>
    <s v="OTHER"/>
    <s v="TPVB20260522001"/>
    <x v="372"/>
    <s v="TJN0953002"/>
    <n v="67"/>
    <m/>
    <d v="2026-08-13T00:00:00"/>
    <s v="In Stock-Approved"/>
    <d v="2026-08-03T00:00:00"/>
    <n v="0"/>
    <d v="2026-08-13T00:00:00"/>
    <n v="2026"/>
    <n v="8"/>
    <n v="33"/>
    <n v="36"/>
    <n v="864"/>
    <s v="Black glazing"/>
    <s v="AEU"/>
  </r>
  <r>
    <s v="26May011.09"/>
    <s v="Yixing"/>
    <s v="26May011"/>
    <s v="CORE DG"/>
    <x v="1"/>
    <s v="SPTN Offstore in Transit WH"/>
    <s v="n/a"/>
    <x v="13"/>
    <s v="n/a"/>
    <x v="145"/>
    <m/>
    <m/>
    <s v="n/a"/>
    <d v="2026-05-25T00:00:00"/>
    <x v="0"/>
    <x v="74"/>
    <s v="HSM-ND66-GR625"/>
    <s v="H4(Com)"/>
    <s v="+400mm/-200mm"/>
    <n v="625"/>
    <n v="2160"/>
    <n v="1.35"/>
    <n v="60"/>
    <n v="3"/>
    <x v="0"/>
    <s v="COMPLETED"/>
    <s v="五月17日"/>
    <d v="2026-06-02T00:00:00"/>
    <n v="23"/>
    <s v="TPVO2026050901"/>
    <m/>
    <s v="SHANGHAI"/>
    <x v="1"/>
    <x v="17"/>
    <d v="2026-06-01T00:00:00"/>
    <d v="2026-06-07T00:00:00"/>
    <d v="2026-06-06T00:00:00"/>
    <d v="2026-06-10T00:00:00"/>
    <d v="2026-06-14T00:00:00"/>
    <d v="2026-06-15T00:00:00"/>
    <s v="CIF"/>
    <s v="YM CAPACITY 070S"/>
    <s v="OTHER"/>
    <s v="TPVO2026050902"/>
    <x v="373"/>
    <s v="I237112512"/>
    <n v="9"/>
    <m/>
    <d v="2026-06-15T00:00:00"/>
    <s v="-"/>
    <s v=""/>
    <n v="0"/>
    <d v="2026-06-15T00:00:00"/>
    <n v="2026"/>
    <n v="6"/>
    <n v="25"/>
    <n v="36"/>
    <n v="720"/>
    <s v="Transparent"/>
    <s v="n/a"/>
  </r>
  <r>
    <s v="26May006.02"/>
    <s v="Yixing"/>
    <s v="26May006"/>
    <s v="CORE DG"/>
    <x v="0"/>
    <s v="Arrival Plan-SPUK"/>
    <s v="CIF"/>
    <x v="6"/>
    <s v="U3"/>
    <x v="146"/>
    <m/>
    <m/>
    <s v="n/a"/>
    <d v="2026-05-18T00:00:00"/>
    <x v="1"/>
    <x v="39"/>
    <s v="TCL-MR470DT182-58NS"/>
    <s v="EVO2A"/>
    <s v="±1200mm"/>
    <n v="470"/>
    <n v="1728"/>
    <n v="0.81215999999999999"/>
    <n v="48"/>
    <n v="2"/>
    <x v="1"/>
    <s v="COMPLETED"/>
    <s v="五月23日"/>
    <d v="2026-06-02T00:00:00"/>
    <n v="23"/>
    <s v="POPV260608043"/>
    <m/>
    <s v="SHANGHAI"/>
    <x v="1"/>
    <x v="6"/>
    <d v="2026-06-08T00:00:00"/>
    <d v="2026-06-10T00:00:00"/>
    <d v="2026-06-10T00:00:00"/>
    <d v="2026-07-19T00:00:00"/>
    <d v="2026-07-21T00:00:00"/>
    <d v="2026-07-21T00:00:00"/>
    <s v="CIF"/>
    <s v="OOCL TURKIYE 011W"/>
    <s v="COSCO"/>
    <s v="TPVB20260523014"/>
    <x v="374"/>
    <s v="COSU6502493430"/>
    <n v="41"/>
    <m/>
    <d v="2026-07-21T00:00:00"/>
    <s v="In Stock-Approved"/>
    <d v="2026-08-04T00:00:00"/>
    <n v="7"/>
    <d v="2026-07-28T00:00:00"/>
    <n v="2026"/>
    <n v="7"/>
    <n v="31"/>
    <n v="36"/>
    <n v="864"/>
    <s v="White glazing"/>
    <s v="AEU"/>
  </r>
  <r>
    <s v="26May011.03"/>
    <s v="Yixing"/>
    <s v="26May011"/>
    <s v="CORE DG"/>
    <x v="1"/>
    <s v="SPTN Offstore in Transit WH"/>
    <s v="CIF"/>
    <x v="23"/>
    <s v="U1"/>
    <x v="139"/>
    <s v="AT0126042100006"/>
    <n v="16"/>
    <s v="Yes"/>
    <d v="2026-05-18T00:00:00"/>
    <x v="0"/>
    <x v="74"/>
    <s v="HSM-ND66-GR625"/>
    <s v="H4(Com)"/>
    <s v="+400mm/-200mm"/>
    <n v="625"/>
    <n v="6480"/>
    <n v="4.05"/>
    <n v="180"/>
    <n v="9"/>
    <x v="4"/>
    <s v="COMPLETED"/>
    <m/>
    <d v="2026-06-03T00:00:00"/>
    <n v="23"/>
    <s v="POPV260608041"/>
    <m/>
    <s v="SHANGHAI"/>
    <x v="1"/>
    <x v="1"/>
    <d v="2026-06-11T00:00:00"/>
    <m/>
    <d v="2026-06-13T00:00:00"/>
    <d v="2026-07-14T00:00:00"/>
    <d v="2026-07-20T00:00:00"/>
    <d v="2026-07-20T00:00:00"/>
    <s v="CIF"/>
    <s v="COSCO SHIPPING LEO 036W"/>
    <s v="COSCO"/>
    <s v="TPVB20260523015"/>
    <x v="375"/>
    <s v="COSU6503351170"/>
    <n v="37"/>
    <m/>
    <d v="2026-07-20T00:00:00"/>
    <s v="In Stock-Approved"/>
    <d v="2026-07-14T00:00:00"/>
    <n v="0"/>
    <d v="2026-07-20T00:00:00"/>
    <n v="2026"/>
    <n v="7"/>
    <n v="30"/>
    <n v="36"/>
    <n v="720"/>
    <s v="Transparent"/>
    <s v="AEU"/>
  </r>
  <r>
    <s v="26May011.11"/>
    <s v="Yixing"/>
    <s v="26May011"/>
    <s v="CORE DG"/>
    <x v="1"/>
    <s v="SPTN Offstore in Transit WH"/>
    <s v="CIF"/>
    <x v="23"/>
    <s v="U1"/>
    <x v="139"/>
    <s v="AT0126042100006"/>
    <n v="18"/>
    <s v="Yes"/>
    <d v="2026-05-18T00:00:00"/>
    <x v="0"/>
    <x v="74"/>
    <s v="HSM-ND66-GR625"/>
    <s v="H4(Com)"/>
    <s v="+400mm/-200mm"/>
    <n v="625"/>
    <n v="720"/>
    <n v="0.45"/>
    <n v="20"/>
    <n v="1"/>
    <x v="4"/>
    <s v="COMPLETED"/>
    <m/>
    <d v="2026-06-03T00:00:00"/>
    <n v="23"/>
    <s v="POPV260608040"/>
    <m/>
    <s v="SHANGHAI"/>
    <x v="1"/>
    <x v="1"/>
    <d v="2026-06-11T00:00:00"/>
    <m/>
    <d v="2026-06-12T00:00:00"/>
    <d v="2026-07-14T00:00:00"/>
    <d v="2026-07-23T00:00:00"/>
    <d v="2026-07-23T00:00:00"/>
    <s v="CIF"/>
    <s v="COSCO SHIPPING LEO 036W"/>
    <s v="OTHER"/>
    <s v="TPVB20260523007"/>
    <x v="296"/>
    <s v="149604293721"/>
    <n v="41"/>
    <m/>
    <d v="2026-07-23T00:00:00"/>
    <s v="In Stock-Approved"/>
    <d v="2026-07-14T00:00:00"/>
    <n v="0"/>
    <d v="2026-07-23T00:00:00"/>
    <n v="2026"/>
    <n v="7"/>
    <n v="30"/>
    <n v="36"/>
    <n v="720"/>
    <s v="Transparent"/>
    <s v="AEU"/>
  </r>
  <r>
    <s v="26May012.03"/>
    <s v="Yixing"/>
    <s v="26May012"/>
    <s v="CORE DG"/>
    <x v="1"/>
    <s v="SPTN Offstore in Transit WH"/>
    <s v="CIF"/>
    <x v="23"/>
    <s v="U1"/>
    <x v="139"/>
    <s v="AT0126042100006"/>
    <n v="17"/>
    <s v="Yes"/>
    <d v="2026-05-18T00:00:00"/>
    <x v="0"/>
    <x v="75"/>
    <s v="HSM-ND66-GR630"/>
    <s v="H4(Com)"/>
    <s v="+400mm/-200mm"/>
    <n v="630"/>
    <n v="2880"/>
    <n v="1.8144"/>
    <n v="80"/>
    <n v="4"/>
    <x v="4"/>
    <s v="COMPLETED"/>
    <m/>
    <d v="2026-06-04T00:00:00"/>
    <n v="23"/>
    <s v="POPV260608042"/>
    <m/>
    <s v="SHANGHAI"/>
    <x v="1"/>
    <x v="1"/>
    <d v="2026-06-10T00:00:00"/>
    <d v="2026-06-11T00:00:00"/>
    <d v="2026-06-13T00:00:00"/>
    <d v="2026-07-30T00:00:00"/>
    <d v="2026-08-01T00:00:00"/>
    <d v="2026-08-06T00:00:00"/>
    <s v="CIF"/>
    <s v="EVER ECO 0816-003W"/>
    <s v="OTHER"/>
    <s v="TPVB20260523004"/>
    <x v="296"/>
    <s v="149604089333"/>
    <n v="54"/>
    <m/>
    <d v="2026-08-06T00:00:00"/>
    <s v="In Stock-Approved"/>
    <d v="2026-07-30T00:00:00"/>
    <n v="0"/>
    <d v="2026-08-06T00:00:00"/>
    <n v="2026"/>
    <n v="8"/>
    <n v="32"/>
    <n v="36"/>
    <n v="720"/>
    <s v="Transparent"/>
    <s v="AEU"/>
  </r>
  <r>
    <s v="26May004.04"/>
    <s v="Tianjin(Transport to Yixing for shipment)"/>
    <s v="26May004"/>
    <s v="CORE DG"/>
    <x v="0"/>
    <s v="Arrival Plan-SPTN"/>
    <s v="CIF"/>
    <x v="0"/>
    <s v="U1"/>
    <x v="2"/>
    <m/>
    <m/>
    <s v="n/a"/>
    <d v="2026-05-18T00:00:00"/>
    <x v="2"/>
    <x v="68"/>
    <s v="SPR-P7-560-COM-S"/>
    <s v="EVO2A"/>
    <s v="±1400mm"/>
    <n v="560"/>
    <n v="1320"/>
    <n v="0.73919999999999997"/>
    <n v="40"/>
    <n v="2"/>
    <x v="1"/>
    <s v="COMPLETED"/>
    <s v="六月2日"/>
    <d v="2026-06-05T00:00:00"/>
    <n v="23"/>
    <s v="POPV260608032"/>
    <m/>
    <s v="SHANGHAI"/>
    <x v="1"/>
    <x v="0"/>
    <d v="2026-06-12T00:00:00"/>
    <m/>
    <d v="2026-06-16T00:00:00"/>
    <d v="2026-08-03T00:00:00"/>
    <d v="2026-08-05T12:00:00"/>
    <d v="2026-08-11T19:43:32"/>
    <s v="CIF"/>
    <s v="EVER GRADE 0756-028W"/>
    <s v="COSCO"/>
    <s v="TPVB20260523016"/>
    <x v="376"/>
    <s v="COSU6502941500"/>
    <n v="56.821898148147739"/>
    <m/>
    <d v="2026-08-11T19:43:32"/>
    <s v="In Stock-Approved"/>
    <d v="2026-08-25T00:00:00"/>
    <n v="8"/>
    <d v="2026-08-19T19:43:32"/>
    <n v="2026"/>
    <n v="8"/>
    <n v="34"/>
    <n v="33"/>
    <n v="660"/>
    <s v="White glazing"/>
    <s v="AEM"/>
  </r>
  <r>
    <s v="26May012.11"/>
    <s v="Yixing"/>
    <s v="26May012"/>
    <s v="CORE DG"/>
    <x v="0"/>
    <s v="Arrival Plan-SPTN"/>
    <s v="CIF"/>
    <x v="0"/>
    <s v="U1"/>
    <x v="2"/>
    <m/>
    <m/>
    <s v="n/a"/>
    <d v="2026-05-25T00:00:00"/>
    <x v="0"/>
    <x v="75"/>
    <s v="HSM-ND66-GR630"/>
    <s v="H4(Com)"/>
    <s v="+400mm/-200mm"/>
    <n v="630"/>
    <n v="2160"/>
    <n v="1.3608"/>
    <n v="60"/>
    <n v="3"/>
    <x v="4"/>
    <s v="COMPLETED"/>
    <m/>
    <d v="2026-06-02T00:00:00"/>
    <n v="23"/>
    <s v="POPV260608030"/>
    <m/>
    <s v="SHANGHAI"/>
    <x v="1"/>
    <x v="0"/>
    <d v="2026-06-09T00:00:00"/>
    <d v="2026-06-19T00:00:00"/>
    <d v="2026-06-19T00:00:00"/>
    <d v="2026-07-21T00:00:00"/>
    <d v="2026-07-31T00:00:00"/>
    <d v="2026-08-01T04:12:33"/>
    <s v="CIF"/>
    <s v="CMA CGM PATAGONIA 0MENZW1MA"/>
    <s v="COSCO"/>
    <s v="TPVB20260523017"/>
    <x v="377"/>
    <s v="COSU6503034790"/>
    <n v="43.175381944442051"/>
    <m/>
    <d v="2026-08-01T04:12:33"/>
    <s v="In Stock-Approved"/>
    <d v="2026-08-12T00:00:00"/>
    <n v="8"/>
    <d v="2026-08-09T04:12:33"/>
    <n v="2026"/>
    <n v="8"/>
    <n v="32"/>
    <n v="36"/>
    <n v="720"/>
    <s v="Transparent"/>
    <s v="AEM"/>
  </r>
  <r>
    <s v="26May003.01"/>
    <s v="Tianjin(Transport to Yixing for shipment)"/>
    <s v="26May003"/>
    <s v="CORE DG"/>
    <x v="0"/>
    <s v="Arrival Plan-SPIT"/>
    <s v="CIF"/>
    <x v="4"/>
    <s v="U1"/>
    <x v="2"/>
    <m/>
    <m/>
    <s v="n/a"/>
    <d v="2026-05-18T00:00:00"/>
    <x v="2"/>
    <x v="5"/>
    <s v="SPR-P7-555-COM-S"/>
    <s v="EVO2A"/>
    <s v="±1400mm"/>
    <n v="555"/>
    <n v="1980"/>
    <n v="1.0989"/>
    <n v="60"/>
    <n v="3"/>
    <x v="1"/>
    <s v="COMPLETED"/>
    <s v="五月29日"/>
    <d v="2026-06-06T00:00:00"/>
    <n v="23"/>
    <s v="POPV260608031"/>
    <m/>
    <s v="SHANGHAI"/>
    <x v="1"/>
    <x v="4"/>
    <d v="2026-06-12T00:00:00"/>
    <m/>
    <d v="2026-06-16T00:00:00"/>
    <d v="2026-07-29T00:00:00"/>
    <d v="2026-08-05T12:00:00"/>
    <d v="2026-08-05T10:59:00"/>
    <s v="CIF"/>
    <s v="EVER GRADE 0756-028W"/>
    <s v="COSCO"/>
    <s v="TPVB20260523018"/>
    <x v="378"/>
    <s v="COSU6502940030"/>
    <n v="50.457638888889051"/>
    <m/>
    <d v="2026-08-05T10:59:00"/>
    <s v="In Stock-Approved"/>
    <d v="2026-08-19T00:00:00"/>
    <n v="10"/>
    <d v="2026-08-15T10:59:00"/>
    <n v="2026"/>
    <n v="8"/>
    <n v="33"/>
    <n v="33"/>
    <n v="660"/>
    <s v="White glazing"/>
    <s v="AEM"/>
  </r>
  <r>
    <s v="26May004.03"/>
    <s v="Tianjin(Transport to Yixing for shipment)"/>
    <s v="26May004"/>
    <s v="CORE DG"/>
    <x v="0"/>
    <s v="Arrival Plan-SPIT"/>
    <s v="CIF"/>
    <x v="4"/>
    <s v="U1"/>
    <x v="2"/>
    <m/>
    <m/>
    <s v="n/a"/>
    <d v="2026-05-18T00:00:00"/>
    <x v="2"/>
    <x v="68"/>
    <s v="SPR-P7-560-COM-S"/>
    <s v="EVO2A"/>
    <s v="±1400mm"/>
    <n v="560"/>
    <n v="4620"/>
    <n v="2.5872000000000002"/>
    <n v="140"/>
    <n v="7"/>
    <x v="1"/>
    <s v="COMPLETED"/>
    <s v="六月4日"/>
    <d v="2026-06-06T00:00:00"/>
    <n v="23"/>
    <s v="POPV260608033"/>
    <m/>
    <s v="SHANGHAI"/>
    <x v="1"/>
    <x v="4"/>
    <d v="2026-06-12T00:00:00"/>
    <m/>
    <d v="2026-06-16T00:00:00"/>
    <d v="2026-07-29T00:00:00"/>
    <d v="2026-08-05T12:00:00"/>
    <d v="2026-08-05T10:59:00"/>
    <s v="CIF"/>
    <s v="EVER GRADE 0756-028W"/>
    <s v="COSCO"/>
    <s v="TPVB20260523018"/>
    <x v="378"/>
    <s v="COSU6502940030"/>
    <n v="50.457638888889051"/>
    <m/>
    <d v="2026-08-05T10:59:00"/>
    <s v="In Stock-Approved"/>
    <d v="2026-08-19T00:00:00"/>
    <n v="10"/>
    <d v="2026-08-15T10:59:00"/>
    <n v="2026"/>
    <n v="8"/>
    <n v="33"/>
    <n v="33"/>
    <n v="660"/>
    <s v="White glazing"/>
    <s v="AEM"/>
  </r>
  <r>
    <s v="26May004.02"/>
    <s v="Tianjin(Transport to Yixing for shipment)"/>
    <s v="26May004"/>
    <s v="CORE DG"/>
    <x v="0"/>
    <s v="Arrival Plan-SPIT"/>
    <s v="CIF"/>
    <x v="4"/>
    <s v="U1"/>
    <x v="2"/>
    <m/>
    <m/>
    <s v="n/a"/>
    <d v="2026-05-18T00:00:00"/>
    <x v="2"/>
    <x v="68"/>
    <s v="SPR-P7-560-COM-S"/>
    <s v="EVO2A"/>
    <s v="±1400mm"/>
    <n v="560"/>
    <n v="2640"/>
    <n v="1.4783999999999999"/>
    <n v="80"/>
    <n v="4"/>
    <x v="1"/>
    <s v="COMPLETED"/>
    <s v="六月2日"/>
    <d v="2026-06-02T00:00:00"/>
    <n v="23"/>
    <s v="POPV260608062"/>
    <m/>
    <s v="SHANGHAI"/>
    <x v="1"/>
    <x v="14"/>
    <d v="2026-06-09T00:00:00"/>
    <d v="2026-06-11T00:00:00"/>
    <d v="2026-06-13T00:00:00"/>
    <d v="2026-08-07T00:00:00"/>
    <d v="2026-08-20T18:00:00"/>
    <d v="2026-08-20T00:00:00"/>
    <s v="CIF"/>
    <s v="TEXAS TRIUMPH 038W"/>
    <s v="COSCO"/>
    <s v="TPVB20260523019"/>
    <x v="379"/>
    <s v="COSU6502586240"/>
    <n v="68"/>
    <m/>
    <d v="2026-08-20T00:00:00"/>
    <s v="In Stock-Approved"/>
    <d v="2026-09-03T00:00:00"/>
    <n v="10"/>
    <d v="2026-08-30T00:00:00"/>
    <n v="2026"/>
    <n v="8"/>
    <n v="35"/>
    <n v="33"/>
    <n v="660"/>
    <s v="White glazing"/>
    <s v="AEM"/>
  </r>
  <r>
    <s v="26May016.02"/>
    <s v="Yixing"/>
    <s v="26May016"/>
    <s v="CORE DG"/>
    <x v="0"/>
    <s v="Arrival Plan-SPES"/>
    <s v="CIF"/>
    <x v="1"/>
    <s v="U5"/>
    <x v="147"/>
    <s v="ES0126050700031"/>
    <n v="1"/>
    <s v="Yes"/>
    <d v="2026-05-11T00:00:00"/>
    <x v="9"/>
    <x v="73"/>
    <s v="HSM-NT66-GH645"/>
    <s v="EVO2A"/>
    <s v="±1400mm"/>
    <n v="645"/>
    <n v="2160"/>
    <n v="1.3932"/>
    <n v="60"/>
    <n v="3"/>
    <x v="1"/>
    <s v="COMPLETED"/>
    <m/>
    <d v="2026-06-03T00:00:00"/>
    <n v="23"/>
    <s v="POPV260720038"/>
    <m/>
    <s v="SHANGHAI"/>
    <x v="1"/>
    <x v="2"/>
    <d v="2026-06-12T00:00:00"/>
    <m/>
    <d v="2026-06-16T00:00:00"/>
    <d v="2026-08-06T00:00:00"/>
    <m/>
    <d v="2026-08-16T10:44:12"/>
    <s v="CIF"/>
    <s v="EVER GRADE 0756-028W"/>
    <s v="COSCO"/>
    <s v="TPVB20260523020"/>
    <x v="380"/>
    <s v="COSU6502958530"/>
    <n v="61.447361111109785"/>
    <m/>
    <d v="2026-08-16T10:44:12"/>
    <s v="In Stock-Approved"/>
    <d v="2026-08-31T00:00:00"/>
    <n v="9"/>
    <d v="2026-08-25T10:44:12"/>
    <n v="2026"/>
    <n v="8"/>
    <n v="35"/>
    <n v="36"/>
    <n v="720"/>
    <s v="Transparent"/>
    <s v="AEM"/>
  </r>
  <r>
    <s v="26May015.05"/>
    <s v="Yixing"/>
    <s v="26May015"/>
    <s v="CORE DG"/>
    <x v="0"/>
    <s v="Arrival Plan-SPES"/>
    <s v="CIF"/>
    <x v="1"/>
    <s v="U5"/>
    <x v="2"/>
    <m/>
    <m/>
    <s v="n/a"/>
    <d v="2026-05-11T00:00:00"/>
    <x v="9"/>
    <x v="72"/>
    <s v="HSM-NT66-GH640"/>
    <s v="EVO2A"/>
    <s v="±1400mm"/>
    <n v="640"/>
    <n v="720"/>
    <n v="0.46079999999999999"/>
    <n v="20"/>
    <n v="1"/>
    <x v="1"/>
    <s v="COMPLETED"/>
    <m/>
    <d v="2026-06-03T00:00:00"/>
    <n v="23"/>
    <s v="POPV260608034"/>
    <m/>
    <s v="SHANGHAI"/>
    <x v="1"/>
    <x v="2"/>
    <d v="2026-06-12T00:00:00"/>
    <m/>
    <d v="2026-06-16T00:00:00"/>
    <d v="2026-08-06T00:00:00"/>
    <m/>
    <d v="2026-08-16T10:44:12"/>
    <s v="CIF"/>
    <s v="EVER GRADE 0756-028W"/>
    <s v="COSCO"/>
    <s v="TPVB20260523021"/>
    <x v="381"/>
    <s v="COSU6502959080"/>
    <n v="61.447361111109785"/>
    <m/>
    <d v="2026-08-16T10:44:12"/>
    <s v="In Stock-Approved"/>
    <d v="2026-08-31T00:00:00"/>
    <n v="9"/>
    <d v="2026-08-25T10:44:12"/>
    <n v="2026"/>
    <n v="8"/>
    <n v="35"/>
    <n v="36"/>
    <n v="720"/>
    <s v="Transparent"/>
    <s v="AEM"/>
  </r>
  <r>
    <s v="26May006.12.01"/>
    <s v="Yixing"/>
    <s v="26May006"/>
    <s v="CORE DG"/>
    <x v="0"/>
    <s v="Arrival Plan-SPES"/>
    <s v="CIF"/>
    <x v="1"/>
    <s v="U5"/>
    <x v="2"/>
    <m/>
    <m/>
    <s v="n/a"/>
    <d v="2026-05-18T00:00:00"/>
    <x v="1"/>
    <x v="39"/>
    <s v="TCL-MR470DT182-58NS"/>
    <s v="EVO2A"/>
    <s v="±1200mm"/>
    <n v="470"/>
    <n v="1728"/>
    <n v="0.81215999999999999"/>
    <n v="48"/>
    <n v="2"/>
    <x v="1"/>
    <s v="COMPLETED"/>
    <s v="五月23日"/>
    <d v="2026-06-07T00:00:00"/>
    <n v="23"/>
    <s v="POPV260608054"/>
    <m/>
    <s v="SHANGHAI"/>
    <x v="1"/>
    <x v="2"/>
    <d v="2026-06-12T00:00:00"/>
    <m/>
    <d v="2026-06-16T00:00:00"/>
    <d v="2026-08-06T00:00:00"/>
    <m/>
    <d v="2026-08-16T10:44:12"/>
    <s v="CIF"/>
    <s v="EVER GRADE 0756-028W"/>
    <s v="COSCO"/>
    <s v="TPVB20260523022"/>
    <x v="382"/>
    <s v="COSU6502940840"/>
    <n v="61.447361111109785"/>
    <m/>
    <d v="2026-08-16T10:44:12"/>
    <s v="In Stock-Approved"/>
    <d v="2026-08-31T00:00:00"/>
    <n v="9"/>
    <d v="2026-08-25T10:44:12"/>
    <n v="2026"/>
    <n v="8"/>
    <n v="35"/>
    <n v="36"/>
    <n v="864"/>
    <s v="White glazing"/>
    <s v="AEM"/>
  </r>
  <r>
    <s v="26May006.12.02"/>
    <s v="Yixing"/>
    <s v="26May006"/>
    <s v="CORE DG"/>
    <x v="0"/>
    <s v="Arrival Plan-SPES"/>
    <s v="CIF"/>
    <x v="1"/>
    <s v="U5"/>
    <x v="143"/>
    <m/>
    <m/>
    <s v="n/a"/>
    <d v="2026-05-18T00:00:00"/>
    <x v="1"/>
    <x v="39"/>
    <s v="TCL-MR470DT182-58NS"/>
    <s v="EVO2A"/>
    <s v="±1200mm"/>
    <n v="470"/>
    <n v="1728"/>
    <n v="0.81215999999999999"/>
    <n v="48"/>
    <n v="2"/>
    <x v="1"/>
    <s v="COMPLETED"/>
    <s v="五月23日"/>
    <d v="2026-06-07T00:00:00"/>
    <n v="23"/>
    <s v="POPV260608055"/>
    <m/>
    <s v="SHANGHAI"/>
    <x v="1"/>
    <x v="2"/>
    <d v="2026-06-12T00:00:00"/>
    <m/>
    <d v="2026-06-16T00:00:00"/>
    <d v="2026-08-06T00:00:00"/>
    <m/>
    <d v="2026-08-16T10:44:12"/>
    <s v="CIF"/>
    <s v="EVER GRADE 0756-028W"/>
    <s v="COSCO"/>
    <s v="TPVB20260523022"/>
    <x v="382"/>
    <s v="COSU6502940840"/>
    <n v="61.447361111109785"/>
    <m/>
    <d v="2026-08-16T10:44:12"/>
    <s v="In Stock-Approved"/>
    <d v="2026-08-31T00:00:00"/>
    <n v="9"/>
    <d v="2026-08-25T10:44:12"/>
    <n v="2026"/>
    <n v="8"/>
    <n v="35"/>
    <n v="36"/>
    <n v="864"/>
    <s v="White glazing"/>
    <s v="AEM"/>
  </r>
  <r>
    <s v="26May006.11"/>
    <s v="Yixing"/>
    <s v="26May006"/>
    <s v="CORE DG"/>
    <x v="0"/>
    <s v="Arrival Plan-SPES"/>
    <s v="CIF"/>
    <x v="1"/>
    <s v="U5"/>
    <x v="142"/>
    <m/>
    <n v="1"/>
    <s v="n/a"/>
    <d v="2026-05-18T00:00:00"/>
    <x v="1"/>
    <x v="39"/>
    <s v="TCL-MR470DT182-58NS"/>
    <s v="EVO2A"/>
    <s v="±1200mm"/>
    <n v="470"/>
    <n v="3456"/>
    <n v="1.62432"/>
    <n v="96"/>
    <n v="4"/>
    <x v="1"/>
    <s v="COMPLETED"/>
    <s v="五月23日"/>
    <d v="2026-06-02T00:00:00"/>
    <n v="23"/>
    <s v="POPV260727038"/>
    <m/>
    <s v="SHANGHAI"/>
    <x v="1"/>
    <x v="2"/>
    <d v="2026-06-09T00:00:00"/>
    <d v="2026-06-12T00:00:00"/>
    <d v="2026-06-12T00:00:00"/>
    <d v="2026-07-15T00:00:00"/>
    <d v="2026-07-17T00:00:00"/>
    <d v="2026-07-18T00:00:00"/>
    <s v="CIF"/>
    <s v="CMA CGM PATAGONIA 0MENZW1MA"/>
    <s v="COSCO"/>
    <s v="TPVB20260523023"/>
    <x v="383"/>
    <s v="COSU6502627700"/>
    <n v="36"/>
    <m/>
    <d v="2026-07-18T00:00:00"/>
    <s v="In Stock-Approved"/>
    <d v="2026-08-04T00:00:00"/>
    <n v="9"/>
    <d v="2026-07-27T00:00:00"/>
    <n v="2026"/>
    <n v="7"/>
    <n v="31"/>
    <n v="36"/>
    <n v="864"/>
    <s v="White glazing"/>
    <s v="AEM"/>
  </r>
  <r>
    <s v="26May009.03"/>
    <s v="Tianjin"/>
    <s v="26May009"/>
    <s v="CORE DG"/>
    <x v="1"/>
    <s v="SPTN Offstore in Transit WH"/>
    <s v="CIF"/>
    <x v="12"/>
    <s v="U1"/>
    <x v="134"/>
    <s v="PL0126041000006"/>
    <n v="1"/>
    <s v="Yes"/>
    <d v="2026-05-11T00:00:00"/>
    <x v="0"/>
    <x v="0"/>
    <s v="HSM-ND54-DR500"/>
    <s v="EVO2A"/>
    <s v="±1200mm"/>
    <n v="500"/>
    <n v="5184"/>
    <n v="2.5920000000000001"/>
    <n v="144"/>
    <n v="6"/>
    <x v="1"/>
    <s v="COMPLETED"/>
    <s v="五月22日"/>
    <d v="2026-06-03T00:00:00"/>
    <n v="23"/>
    <s v="POPV260608060"/>
    <m/>
    <s v="TIANJIN"/>
    <x v="0"/>
    <x v="9"/>
    <d v="2026-06-14T00:00:00"/>
    <m/>
    <d v="2026-06-09T00:00:00"/>
    <d v="2026-08-06T00:00:00"/>
    <d v="2026-08-08T00:00:00"/>
    <d v="2026-08-06T00:00:00"/>
    <s v="CIF"/>
    <s v="SEASPAN PRIDE/624W"/>
    <s v="OTHER"/>
    <s v="TPVB20260523006"/>
    <x v="384"/>
    <n v="271458329"/>
    <n v="58"/>
    <m/>
    <d v="2026-08-06T00:00:00"/>
    <s v="In Stock-Approved"/>
    <d v="2026-08-06T00:00:00"/>
    <n v="0"/>
    <d v="2026-08-06T00:00:00"/>
    <n v="2026"/>
    <n v="8"/>
    <n v="32"/>
    <n v="36"/>
    <n v="864"/>
    <s v="Black glazing"/>
    <s v="AEU"/>
  </r>
  <r>
    <s v="26May009.14"/>
    <s v="Tianjin"/>
    <s v="26May009"/>
    <s v="CORE DG"/>
    <x v="1"/>
    <s v="SPTN Offstore in Transit WH"/>
    <s v="CIF"/>
    <x v="27"/>
    <s v="U1"/>
    <x v="134"/>
    <s v="PL0126041700033"/>
    <n v="1"/>
    <s v="Yes"/>
    <d v="2026-05-11T00:00:00"/>
    <x v="0"/>
    <x v="0"/>
    <s v="HSM-ND54-DR500"/>
    <s v="EVO2A"/>
    <s v="±1200mm"/>
    <n v="500"/>
    <n v="5184"/>
    <n v="2.5920000000000001"/>
    <n v="144"/>
    <n v="6"/>
    <x v="1"/>
    <s v="COMPLETED"/>
    <s v="五月29日"/>
    <d v="2026-06-08T00:00:00"/>
    <n v="24"/>
    <s v="POPV260608061"/>
    <m/>
    <s v="TIANJIN"/>
    <x v="0"/>
    <x v="9"/>
    <d v="2026-06-14T00:00:00"/>
    <m/>
    <d v="2026-06-14T00:00:00"/>
    <d v="2026-08-04T00:00:00"/>
    <d v="2026-08-06T00:00:00"/>
    <d v="2026-08-09T00:00:00"/>
    <s v="CIF"/>
    <s v="Santa Viola /624S"/>
    <s v="OTHER"/>
    <s v="TPVB20260522007"/>
    <x v="385"/>
    <n v="273285179"/>
    <n v="56"/>
    <m/>
    <d v="2026-08-09T00:00:00"/>
    <s v="In Stock-Approved"/>
    <d v="2026-08-04T00:00:00"/>
    <n v="0"/>
    <d v="2026-08-09T00:00:00"/>
    <n v="2026"/>
    <n v="8"/>
    <n v="32"/>
    <n v="36"/>
    <n v="864"/>
    <s v="Black glazing"/>
    <s v="AEU"/>
  </r>
  <r>
    <s v="26May008.04"/>
    <s v="Tianjin"/>
    <s v="26May008"/>
    <s v="CORE DG"/>
    <x v="1"/>
    <s v="SPTN Offstore in Transit WH"/>
    <s v="CIF"/>
    <x v="15"/>
    <s v="U1"/>
    <x v="148"/>
    <s v="BE0126031900007"/>
    <n v="6"/>
    <s v="Yes"/>
    <d v="2026-03-30T00:00:00"/>
    <x v="0"/>
    <x v="35"/>
    <s v="HSM-ND48-DR455"/>
    <s v="EVO2A"/>
    <s v="±1200mm"/>
    <n v="455"/>
    <n v="1872"/>
    <n v="0.85175999999999996"/>
    <n v="52"/>
    <n v="2"/>
    <x v="4"/>
    <s v="COMPLETED"/>
    <s v="五月31日"/>
    <d v="2026-06-09T00:00:00"/>
    <n v="24"/>
    <s v="POPV260624007"/>
    <m/>
    <s v="TIANJIN"/>
    <x v="0"/>
    <x v="12"/>
    <d v="2026-06-09T00:00:00"/>
    <d v="2026-06-17T00:00:00"/>
    <d v="2026-06-16T00:00:00"/>
    <d v="2026-08-16T00:00:00"/>
    <d v="2026-08-26T00:00:00"/>
    <d v="2026-08-27T00:00:00"/>
    <s v="CIF"/>
    <s v="CMA CGM EIFFEL/0BYP8S1MA/0BYP8S"/>
    <s v="OTHER"/>
    <s v="TPVB20260523001"/>
    <x v="386"/>
    <s v="TJN0958275"/>
    <n v="72"/>
    <m/>
    <d v="2026-08-27T00:00:00"/>
    <s v="In Stock-Approved"/>
    <d v="2026-08-17T00:00:00"/>
    <n v="0"/>
    <d v="2026-08-27T00:00:00"/>
    <n v="2026"/>
    <n v="8"/>
    <n v="35"/>
    <n v="36"/>
    <n v="936"/>
    <s v="Black glazing"/>
    <s v="AEU"/>
  </r>
  <r>
    <s v="26May007.06"/>
    <s v="Tianjin"/>
    <s v="26May007"/>
    <s v="CORE DG"/>
    <x v="0"/>
    <s v="Arrival Plan-SPUK"/>
    <s v="CIF"/>
    <x v="6"/>
    <s v="U1"/>
    <x v="2"/>
    <m/>
    <m/>
    <s v="n/a"/>
    <d v="2025-06-01T00:00:00"/>
    <x v="0"/>
    <x v="7"/>
    <s v="HSM-ND48-DR450"/>
    <s v="EVO2A"/>
    <s v="±1200mm"/>
    <n v="450"/>
    <n v="3744"/>
    <n v="1.6848000000000001"/>
    <n v="104"/>
    <n v="4"/>
    <x v="4"/>
    <s v="COMPLETED"/>
    <s v="六月4日"/>
    <d v="2026-06-05T00:00:00"/>
    <n v="23"/>
    <s v="POPV260624006"/>
    <m/>
    <s v="TIANJIN"/>
    <x v="0"/>
    <x v="6"/>
    <d v="2026-06-11T00:00:00"/>
    <d v="2026-06-19T00:00:00"/>
    <d v="2026-06-20T00:00:00"/>
    <d v="2026-07-28T00:00:00"/>
    <d v="2026-08-04T00:00:00"/>
    <d v="2026-08-14T00:00:00"/>
    <s v="CIF"/>
    <s v="EVER ECHO/0SCKRW1MA/002W"/>
    <s v="OTHER"/>
    <s v="TPVB20260523003"/>
    <x v="387"/>
    <s v="TJN0963177"/>
    <n v="55"/>
    <m/>
    <d v="2026-08-14T00:00:00"/>
    <s v="In Stock-Approved"/>
    <d v="2026-08-28T00:00:00"/>
    <n v="7"/>
    <d v="2026-08-21T00:00:00"/>
    <n v="2026"/>
    <n v="8"/>
    <n v="34"/>
    <n v="36"/>
    <n v="936"/>
    <s v="Black glazing"/>
    <s v="AEU"/>
  </r>
  <r>
    <s v="26May009.02"/>
    <s v="Tianjin"/>
    <s v="26May009"/>
    <s v="CORE DG"/>
    <x v="1"/>
    <s v="SPTN Offstore in Transit WH"/>
    <s v="CIF"/>
    <x v="14"/>
    <s v="U1"/>
    <x v="149"/>
    <s v="PL0126041700017"/>
    <n v="4"/>
    <s v="Yes"/>
    <d v="2026-05-11T00:00:00"/>
    <x v="0"/>
    <x v="0"/>
    <s v="HSM-ND54-DR500"/>
    <s v="EVO2A"/>
    <s v="±1200mm"/>
    <n v="500"/>
    <n v="5184"/>
    <n v="2.5920000000000001"/>
    <n v="144"/>
    <n v="6"/>
    <x v="1"/>
    <s v="COMPLETED"/>
    <s v="五月26日"/>
    <d v="2026-06-08T00:00:00"/>
    <n v="24"/>
    <s v="POPV260608027"/>
    <m/>
    <s v="TIANJIN"/>
    <x v="0"/>
    <x v="9"/>
    <d v="2026-06-14T00:00:00"/>
    <m/>
    <d v="2026-06-14T00:00:00"/>
    <d v="2026-08-04T00:00:00"/>
    <d v="2026-08-06T00:00:00"/>
    <d v="2026-08-09T00:00:00"/>
    <s v="CIF"/>
    <s v="Santa Viola /624S"/>
    <s v="OTHER"/>
    <s v="TPVB20260523005"/>
    <x v="388"/>
    <n v="273285179"/>
    <n v="56"/>
    <m/>
    <d v="2026-08-09T00:00:00"/>
    <s v="In Stock-Approved"/>
    <d v="2026-08-04T00:00:00"/>
    <n v="0"/>
    <d v="2026-08-09T00:00:00"/>
    <n v="2026"/>
    <n v="8"/>
    <n v="32"/>
    <n v="36"/>
    <n v="864"/>
    <s v="Black glazing"/>
    <s v="AEU"/>
  </r>
  <r>
    <s v="26May009.15"/>
    <s v="Tianjin"/>
    <s v="26May009"/>
    <s v="CORE DG"/>
    <x v="1"/>
    <s v="SPTN Offstore in Transit WH"/>
    <s v="CIF"/>
    <x v="14"/>
    <s v="U1"/>
    <x v="150"/>
    <s v="PL0126052000013"/>
    <n v="1"/>
    <s v="Yes"/>
    <d v="2026-05-11T00:00:00"/>
    <x v="0"/>
    <x v="0"/>
    <s v="HSM-ND54-DR500"/>
    <s v="EVO2A"/>
    <s v="±1200mm"/>
    <n v="500"/>
    <n v="6912"/>
    <n v="3.456"/>
    <n v="192"/>
    <n v="8"/>
    <x v="1"/>
    <s v="COMPLETED"/>
    <s v="五月29日"/>
    <d v="2026-06-08T00:00:00"/>
    <n v="24"/>
    <s v="POPV260608029"/>
    <m/>
    <s v="TIANJIN"/>
    <x v="0"/>
    <x v="9"/>
    <d v="2026-06-14T00:00:00"/>
    <m/>
    <d v="2026-06-14T00:00:00"/>
    <d v="2026-08-04T00:00:00"/>
    <d v="2026-08-06T00:00:00"/>
    <d v="2026-08-09T00:00:00"/>
    <s v="CIF"/>
    <s v="Santa Viola /624S"/>
    <s v="OTHER"/>
    <s v="TPVB20260523005"/>
    <x v="388"/>
    <n v="273285179"/>
    <n v="56"/>
    <m/>
    <d v="2026-08-09T00:00:00"/>
    <s v="In Stock-Approved"/>
    <d v="2026-08-04T00:00:00"/>
    <n v="0"/>
    <d v="2026-08-09T00:00:00"/>
    <n v="2026"/>
    <n v="8"/>
    <n v="32"/>
    <n v="36"/>
    <n v="864"/>
    <s v="Black glazing"/>
    <s v="AEU"/>
  </r>
  <r>
    <s v="26May007.01.01"/>
    <s v="Tianjin"/>
    <s v="26May007"/>
    <s v="CORE DG"/>
    <x v="1"/>
    <s v="SPTN Offstore in Transit WH"/>
    <s v="CIF"/>
    <x v="23"/>
    <s v="U1"/>
    <x v="140"/>
    <s v="AT0126042700018"/>
    <n v="1"/>
    <s v="Yes"/>
    <d v="2025-06-01T00:00:00"/>
    <x v="0"/>
    <x v="7"/>
    <s v="HSM-ND48-DR450"/>
    <s v="EVO2A"/>
    <s v="±1200mm"/>
    <n v="450"/>
    <n v="936"/>
    <n v="0.42120000000000002"/>
    <n v="26"/>
    <n v="1"/>
    <x v="1"/>
    <s v="COMPLETED"/>
    <s v="六月6日"/>
    <d v="2026-06-07T00:00:00"/>
    <n v="23"/>
    <s v="POPV260608058"/>
    <m/>
    <s v="TIANJIN"/>
    <x v="0"/>
    <x v="1"/>
    <d v="2026-06-13T00:00:00"/>
    <m/>
    <d v="2026-06-14T00:00:00"/>
    <d v="2026-08-01T00:00:00"/>
    <d v="2026-08-08T01:00:00"/>
    <d v="2026-08-07T20:55:08"/>
    <s v="CIF"/>
    <s v="OSCO SHIPPING GEMINI 036W"/>
    <s v="COSCO"/>
    <s v="TPVB20260523008"/>
    <x v="389"/>
    <s v="COSU9507638470"/>
    <n v="54.871620370373421"/>
    <m/>
    <d v="2026-08-07T20:55:08"/>
    <s v="In Stock-Approved"/>
    <d v="2026-08-01T00:00:00"/>
    <n v="0"/>
    <d v="2026-08-07T20:55:08"/>
    <n v="2026"/>
    <n v="8"/>
    <n v="32"/>
    <n v="36"/>
    <n v="936"/>
    <s v="Black glazing"/>
    <s v="AEU"/>
  </r>
  <r>
    <s v="26May007.01.02"/>
    <s v="Tianjin"/>
    <s v="26May007"/>
    <s v="CORE DG"/>
    <x v="1"/>
    <s v="SPTN Offstore in Transit WH"/>
    <s v="CIF"/>
    <x v="23"/>
    <s v="U1"/>
    <x v="140"/>
    <s v="AT0126042700018"/>
    <n v="1"/>
    <s v="Yes"/>
    <d v="2025-06-01T00:00:00"/>
    <x v="0"/>
    <x v="7"/>
    <s v="HSM-ND48-DR450"/>
    <s v="EVO2A"/>
    <s v="±1200mm"/>
    <n v="450"/>
    <n v="4680"/>
    <n v="2.1059999999999999"/>
    <n v="130"/>
    <n v="5"/>
    <x v="1"/>
    <s v="COMPLETED"/>
    <s v="六月8日"/>
    <d v="2026-06-07T00:00:00"/>
    <n v="23"/>
    <s v="POPV260608039"/>
    <m/>
    <s v="TIANJIN"/>
    <x v="0"/>
    <x v="1"/>
    <d v="2026-06-13T00:00:00"/>
    <m/>
    <d v="2026-06-14T00:00:00"/>
    <d v="2026-07-23T00:00:00"/>
    <d v="2026-07-30T00:00:00"/>
    <d v="2026-07-30T00:00:00"/>
    <s v="CIF"/>
    <s v="OSCO SHIPPING GEMINI 036W"/>
    <s v="COSCO"/>
    <s v="TPVB20260523009"/>
    <x v="390"/>
    <s v="COSU9507649120"/>
    <n v="46"/>
    <m/>
    <d v="2026-07-30T00:00:00"/>
    <s v="In Stock-Approved"/>
    <d v="2026-07-23T00:00:00"/>
    <n v="0"/>
    <d v="2026-07-30T00:00:00"/>
    <n v="2026"/>
    <n v="7"/>
    <n v="31"/>
    <n v="36"/>
    <n v="936"/>
    <s v="Black glazing"/>
    <s v="AEU"/>
  </r>
  <r>
    <s v="26May007.03"/>
    <s v="Tianjin"/>
    <s v="26May007"/>
    <s v="CORE DG"/>
    <x v="0"/>
    <s v="Arrival Plan-SPNL"/>
    <s v="CIF"/>
    <x v="0"/>
    <s v="U1"/>
    <x v="151"/>
    <m/>
    <m/>
    <s v="n/a"/>
    <d v="2025-06-01T00:00:00"/>
    <x v="0"/>
    <x v="7"/>
    <s v="HSM-ND48-DR450"/>
    <s v="EVO2A"/>
    <s v="±1200mm"/>
    <n v="450"/>
    <n v="1872"/>
    <n v="0.84240000000000004"/>
    <n v="52"/>
    <n v="2"/>
    <x v="4"/>
    <s v="COMPLETED"/>
    <s v="五月31日"/>
    <d v="2026-06-07T00:00:00"/>
    <n v="23"/>
    <s v="POPV260624005"/>
    <m/>
    <s v="TIANJIN"/>
    <x v="0"/>
    <x v="1"/>
    <d v="2026-06-13T00:00:00"/>
    <d v="2026-06-24T00:00:00"/>
    <d v="2026-06-24T00:00:00"/>
    <d v="2026-07-23T00:00:00"/>
    <d v="2026-08-09T00:00:00"/>
    <d v="2026-08-12T00:00:00"/>
    <s v="CIF"/>
    <s v="COSCO SHIPPING GEMINI/0FAN9W1MA/036W"/>
    <s v="OTHER"/>
    <s v="TPVB20260523002"/>
    <x v="391"/>
    <s v="TJN0963380"/>
    <n v="49"/>
    <m/>
    <d v="2026-08-12T00:00:00"/>
    <s v="In Stock-Approved"/>
    <d v="2026-08-24T00:00:00"/>
    <n v="7"/>
    <d v="2026-08-19T00:00:00"/>
    <n v="2026"/>
    <n v="8"/>
    <n v="34"/>
    <n v="36"/>
    <n v="936"/>
    <s v="Black glazing"/>
    <s v="AEU"/>
  </r>
  <r>
    <s v="26May008.03"/>
    <s v="Tianjin"/>
    <s v="26May008"/>
    <s v="CORE DG"/>
    <x v="0"/>
    <s v="Arrival Plan-SPNL"/>
    <s v="CIF"/>
    <x v="0"/>
    <s v="U1"/>
    <x v="151"/>
    <m/>
    <m/>
    <s v="n/a"/>
    <d v="2025-06-01T00:00:00"/>
    <x v="0"/>
    <x v="35"/>
    <s v="HSM-ND48-DR455"/>
    <s v="EVO2A"/>
    <s v="±1200mm"/>
    <n v="455"/>
    <n v="1872"/>
    <n v="0.85175999999999996"/>
    <n v="52"/>
    <n v="2"/>
    <x v="4"/>
    <s v="COMPLETED"/>
    <s v="五月31日"/>
    <d v="2026-06-07T00:00:00"/>
    <n v="23"/>
    <s v="POPV260624004"/>
    <m/>
    <s v="TIANJIN"/>
    <x v="0"/>
    <x v="1"/>
    <d v="2026-06-13T00:00:00"/>
    <d v="2026-06-24T00:00:00"/>
    <d v="2026-06-24T00:00:00"/>
    <d v="2026-07-23T00:00:00"/>
    <d v="2026-08-09T00:00:00"/>
    <d v="2026-08-12T00:00:00"/>
    <s v="CIF"/>
    <s v="COSCO SHIPPING GEMINI/0FAN9W1MA/036W"/>
    <s v="OTHER"/>
    <s v="TPVB20260523002"/>
    <x v="391"/>
    <s v="TJN0963380"/>
    <n v="49"/>
    <m/>
    <d v="2026-08-12T00:00:00"/>
    <s v="In Stock-Approved"/>
    <d v="2026-08-24T00:00:00"/>
    <n v="7"/>
    <d v="2026-08-19T00:00:00"/>
    <n v="2026"/>
    <n v="8"/>
    <n v="34"/>
    <n v="36"/>
    <n v="936"/>
    <s v="Black glazing"/>
    <s v="AEU"/>
  </r>
  <r>
    <s v="26May009.11,01"/>
    <s v="Tianjin"/>
    <s v="26May009"/>
    <s v="CORE DG"/>
    <x v="0"/>
    <s v="Arrival Plan-SPTN"/>
    <s v="CIF"/>
    <x v="0"/>
    <s v="U1"/>
    <x v="2"/>
    <m/>
    <m/>
    <s v="n/a"/>
    <d v="2026-05-11T00:00:00"/>
    <x v="0"/>
    <x v="0"/>
    <s v="HSM-ND54-DR500"/>
    <s v="EVO2A"/>
    <s v="±1200mm"/>
    <n v="500"/>
    <n v="3456"/>
    <n v="1.728"/>
    <n v="96"/>
    <n v="4"/>
    <x v="1"/>
    <s v="COMPLETED"/>
    <s v="五月26日"/>
    <d v="2026-06-05T00:00:00"/>
    <n v="23"/>
    <s v="POPV260608036"/>
    <m/>
    <s v="TIANJIN"/>
    <x v="0"/>
    <x v="0"/>
    <d v="2026-06-13T00:00:00"/>
    <m/>
    <d v="2026-06-14T00:00:00"/>
    <d v="2026-08-17T00:00:00"/>
    <d v="2026-08-25T06:00:00"/>
    <d v="2026-08-25T05:43:49"/>
    <s v="CIF"/>
    <s v="OSCO SHIPPING GEMINI 036W"/>
    <s v="COSCO"/>
    <s v="TPVB20260523010"/>
    <x v="392"/>
    <s v="COSU9507636070"/>
    <n v="72.238761574073578"/>
    <m/>
    <d v="2026-08-25T05:43:49"/>
    <s v="In Stock-Approved"/>
    <d v="2026-09-07T00:00:00"/>
    <n v="8"/>
    <d v="2026-09-02T05:43:49"/>
    <n v="2026"/>
    <n v="9"/>
    <n v="36"/>
    <n v="36"/>
    <n v="864"/>
    <s v="Black glazing"/>
    <s v="AEM"/>
  </r>
  <r>
    <s v="26May009.11"/>
    <s v="Tianjin"/>
    <s v="26May009"/>
    <s v="CORE DG"/>
    <x v="0"/>
    <s v="Arrival Plan-SPTN"/>
    <s v="CIF"/>
    <x v="0"/>
    <s v="U1"/>
    <x v="2"/>
    <m/>
    <m/>
    <s v="n/a"/>
    <d v="2026-05-11T00:00:00"/>
    <x v="0"/>
    <x v="0"/>
    <s v="HSM-ND54-DR500"/>
    <s v="EVO2A"/>
    <s v="±1200mm"/>
    <n v="500"/>
    <n v="864"/>
    <n v="0.432"/>
    <n v="24"/>
    <n v="1"/>
    <x v="1"/>
    <s v="COMPLETED"/>
    <s v="五月26日"/>
    <d v="2026-06-05T00:00:00"/>
    <n v="23"/>
    <s v="POPV260608037"/>
    <m/>
    <s v="TIANJIN"/>
    <x v="0"/>
    <x v="0"/>
    <d v="2026-06-13T00:00:00"/>
    <m/>
    <d v="2026-06-14T00:00:00"/>
    <d v="2026-08-11T00:00:00"/>
    <d v="2026-08-19T13:00:00"/>
    <d v="2026-08-19T11:23:00"/>
    <s v="CIF"/>
    <s v="OSCO SHIPPING GEMINI 036W"/>
    <s v="COSCO"/>
    <s v="TPVB20260523011"/>
    <x v="393"/>
    <s v="COSU9507639060"/>
    <n v="66.474305555559113"/>
    <m/>
    <d v="2026-08-19T11:23:00"/>
    <s v="In Stock-Approved"/>
    <d v="2026-09-02T00:00:00"/>
    <n v="8"/>
    <d v="2026-08-27T11:23:00"/>
    <n v="2026"/>
    <n v="8"/>
    <n v="35"/>
    <n v="36"/>
    <n v="864"/>
    <s v="Black glazing"/>
    <s v="AEM"/>
  </r>
  <r>
    <s v="26May010.12.01"/>
    <s v="Tianjin"/>
    <s v="26May010"/>
    <s v="CORE DG"/>
    <x v="1"/>
    <s v="SPTN Offstore in Transit WH"/>
    <s v="CIF"/>
    <x v="9"/>
    <s v="U1"/>
    <x v="136"/>
    <s v="ES0126052500537"/>
    <n v="2"/>
    <s v="Yes"/>
    <d v="2026-05-11T00:00:00"/>
    <x v="0"/>
    <x v="43"/>
    <s v="HSM-ND54-DR505"/>
    <s v="EVO2A"/>
    <s v="±1200mm"/>
    <n v="505"/>
    <n v="864"/>
    <n v="0.43631999999999999"/>
    <n v="24"/>
    <n v="1"/>
    <x v="1"/>
    <s v="COMPLETED"/>
    <m/>
    <d v="2026-06-05T00:00:00"/>
    <n v="23"/>
    <s v="POPV260608038"/>
    <m/>
    <s v="TIANJIN"/>
    <x v="0"/>
    <x v="2"/>
    <d v="2026-06-13T00:00:00"/>
    <m/>
    <d v="2026-06-14T00:00:00"/>
    <d v="2026-08-05T00:00:00"/>
    <d v="2026-08-13T02:00:00"/>
    <s v="2026-08-13"/>
    <s v="CIF"/>
    <s v="OSCO SHIPPING GEMINI 036W"/>
    <s v="COSCO"/>
    <s v="TPVB20260523012"/>
    <x v="394"/>
    <s v="COSU9507639000"/>
    <n v="60"/>
    <m/>
    <s v="2026-08-13"/>
    <s v="In Stock-Approved"/>
    <d v="2026-08-05T00:00:00"/>
    <n v="0"/>
    <d v="2026-08-13T00:00:00"/>
    <n v="2026"/>
    <n v="8"/>
    <n v="33"/>
    <n v="36"/>
    <n v="864"/>
    <s v="Black glazing"/>
    <s v="AEM"/>
  </r>
  <r>
    <s v="26May010.12"/>
    <s v="Tianjin"/>
    <s v="26May010"/>
    <s v="CORE DG"/>
    <x v="1"/>
    <s v="SPTN Offstore in Transit WH"/>
    <s v="CIF"/>
    <x v="9"/>
    <s v="U1"/>
    <x v="136"/>
    <s v="ES0126052500537"/>
    <n v="2"/>
    <s v="Yes"/>
    <d v="2026-05-11T00:00:00"/>
    <x v="0"/>
    <x v="43"/>
    <s v="HSM-ND54-DR505"/>
    <s v="EVO2A"/>
    <s v="±1200mm"/>
    <n v="505"/>
    <n v="864"/>
    <n v="0.43631999999999999"/>
    <n v="24"/>
    <n v="1"/>
    <x v="1"/>
    <s v="COMPLETED"/>
    <m/>
    <d v="2026-06-05T00:00:00"/>
    <n v="23"/>
    <s v="POPV260608059"/>
    <m/>
    <s v="TIANJIN"/>
    <x v="0"/>
    <x v="2"/>
    <d v="2026-06-13T00:00:00"/>
    <m/>
    <d v="2026-06-14T00:00:00"/>
    <d v="2026-08-06T00:00:00"/>
    <d v="2026-08-13T09:00:00"/>
    <s v="2026-08-13"/>
    <s v="CIF"/>
    <s v="OSCO SHIPPING GEMINI 036W"/>
    <s v="COSCO"/>
    <s v="TPVB20260523013"/>
    <x v="395"/>
    <s v="COSU9507638950"/>
    <n v="60"/>
    <m/>
    <s v="2026-08-13"/>
    <s v="In Stock-Approved"/>
    <d v="2026-08-06T00:00:00"/>
    <n v="0"/>
    <d v="2026-08-13T00:00:00"/>
    <n v="2026"/>
    <n v="8"/>
    <n v="33"/>
    <n v="36"/>
    <n v="864"/>
    <s v="Black glazing"/>
    <s v="AEM"/>
  </r>
  <r>
    <s v="26May010.06.01"/>
    <s v="Tianjin (transport to YIXING for shipment)"/>
    <s v="26May010"/>
    <s v="CORE DG"/>
    <x v="0"/>
    <s v="Arrival Plan-SPUK"/>
    <s v="CIF"/>
    <x v="6"/>
    <s v="U1"/>
    <x v="118"/>
    <m/>
    <m/>
    <s v="n/a"/>
    <d v="2026-05-11T00:00:00"/>
    <x v="0"/>
    <x v="43"/>
    <s v="HSM-ND54-DR505"/>
    <s v="EVO2A"/>
    <s v="±1200mm"/>
    <n v="505"/>
    <n v="864"/>
    <n v="0.43631999999999999"/>
    <n v="24"/>
    <n v="1"/>
    <x v="5"/>
    <s v="COMPLETED"/>
    <m/>
    <d v="2026-06-12T00:00:00"/>
    <n v="24"/>
    <s v="POPV260618043"/>
    <m/>
    <s v="SHANGHAI"/>
    <x v="1"/>
    <x v="6"/>
    <d v="2026-06-15T00:00:00"/>
    <d v="2026-06-17T00:00:00"/>
    <d v="2026-06-17T00:00:00"/>
    <d v="2026-07-26T00:00:00"/>
    <d v="2026-07-29T00:00:00"/>
    <d v="2026-07-29T00:00:00"/>
    <s v="CIF"/>
    <s v="OOCL GDYNIA 010W"/>
    <s v="COSCO"/>
    <s v="TPVB20260624009"/>
    <x v="396"/>
    <s v="COSU6503989170"/>
    <n v="42"/>
    <m/>
    <d v="2026-07-29T00:00:00"/>
    <s v="In Stock-Approved"/>
    <d v="2026-08-11T00:00:00"/>
    <n v="7"/>
    <d v="2026-08-05T00:00:00"/>
    <n v="2026"/>
    <n v="8"/>
    <n v="32"/>
    <n v="36"/>
    <n v="864"/>
    <s v="Black glazing"/>
    <s v="AEU"/>
  </r>
  <r>
    <s v="26May011.13"/>
    <s v="Yixing"/>
    <s v="26May011"/>
    <s v="CORE DG"/>
    <x v="0"/>
    <s v="Arrival Plan-SPUK"/>
    <s v="CIF"/>
    <x v="6"/>
    <s v="U1"/>
    <x v="2"/>
    <m/>
    <m/>
    <s v="n/a"/>
    <d v="2026-05-25T00:00:00"/>
    <x v="0"/>
    <x v="74"/>
    <s v="HSM-ND66-GR625"/>
    <s v="H4(Com)"/>
    <s v="+400mm/-200mm"/>
    <n v="625"/>
    <n v="1440"/>
    <n v="0.9"/>
    <n v="40"/>
    <n v="2"/>
    <x v="5"/>
    <s v="COMPLETED"/>
    <m/>
    <d v="2026-06-08T00:00:00"/>
    <n v="24"/>
    <s v="POPV260615014"/>
    <m/>
    <s v="SHANGHAI"/>
    <x v="1"/>
    <x v="6"/>
    <d v="2026-06-15T00:00:00"/>
    <d v="2026-06-17T00:00:00"/>
    <d v="2026-06-17T00:00:00"/>
    <d v="2026-07-26T00:00:00"/>
    <d v="2026-07-29T00:00:00"/>
    <d v="2026-07-29T00:00:00"/>
    <s v="CIF"/>
    <s v="OOCL GDYNIA 010W"/>
    <s v="COSCO"/>
    <s v="TPVB20260624002"/>
    <x v="397"/>
    <s v="COSU6503863610"/>
    <n v="42"/>
    <m/>
    <d v="2026-07-29T00:00:00"/>
    <s v="In Stock-Approved"/>
    <d v="2026-08-11T00:00:00"/>
    <n v="7"/>
    <d v="2026-08-05T00:00:00"/>
    <n v="2026"/>
    <n v="8"/>
    <n v="32"/>
    <n v="36"/>
    <n v="720"/>
    <s v="Transparent"/>
    <s v="AEU"/>
  </r>
  <r>
    <s v="26May006.06"/>
    <s v="Yixing"/>
    <s v="26May006"/>
    <s v="CORE DG"/>
    <x v="1"/>
    <s v="SPTN Offstore in Transit WH"/>
    <s v="CIF"/>
    <x v="23"/>
    <s v="U1"/>
    <x v="140"/>
    <s v="AT0126042700018"/>
    <n v="3"/>
    <s v="Yes"/>
    <d v="2026-05-18T00:00:00"/>
    <x v="1"/>
    <x v="39"/>
    <s v="TCL-MR470DT182-58NS"/>
    <s v="EVO2A"/>
    <s v="±1200mm"/>
    <n v="470"/>
    <n v="6048"/>
    <n v="2.8425600000000002"/>
    <n v="168"/>
    <n v="7"/>
    <x v="5"/>
    <s v="COMPLETED"/>
    <s v="五月23日"/>
    <d v="2026-06-09T00:00:00"/>
    <n v="24"/>
    <s v="POPV260615012"/>
    <m/>
    <s v="SHANGHAI"/>
    <x v="1"/>
    <x v="1"/>
    <d v="2026-06-19T00:00:00"/>
    <m/>
    <d v="2026-06-22T00:00:00"/>
    <d v="2026-07-23T00:00:00"/>
    <d v="2026-07-30T00:00:00"/>
    <d v="2026-07-30T00:00:00"/>
    <s v="CIF"/>
    <s v="COSCO SHIPPING GEMINI 036W"/>
    <s v="COSCO"/>
    <s v="TPVB20260624003"/>
    <x v="398"/>
    <s v="COSU6503246610"/>
    <n v="38"/>
    <m/>
    <d v="2026-07-30T00:00:00"/>
    <s v="In Stock-Approved"/>
    <d v="2026-07-23T00:00:00"/>
    <n v="0"/>
    <d v="2026-07-30T00:00:00"/>
    <n v="2026"/>
    <n v="7"/>
    <n v="31"/>
    <n v="36"/>
    <n v="864"/>
    <s v="White glazing"/>
    <s v="AEU"/>
  </r>
  <r>
    <s v="26May011.04"/>
    <s v="Yixing"/>
    <s v="26May011"/>
    <s v="CORE DG"/>
    <x v="1"/>
    <s v="SPTN Offstore in Transit WH"/>
    <s v="CIF"/>
    <x v="23"/>
    <s v="U1"/>
    <x v="139"/>
    <s v="AT0126042100006"/>
    <n v="20"/>
    <s v="Yes"/>
    <d v="2026-05-25T00:00:00"/>
    <x v="0"/>
    <x v="74"/>
    <s v="HSM-ND66-GR625"/>
    <s v="H4(Com)"/>
    <s v="+400mm/-200mm"/>
    <n v="625"/>
    <n v="3600"/>
    <n v="2.25"/>
    <n v="100"/>
    <n v="5"/>
    <x v="4"/>
    <s v="COMPLETED"/>
    <m/>
    <d v="2026-06-07T00:00:00"/>
    <n v="23"/>
    <s v="POPV260615013"/>
    <m/>
    <s v="SHANGHAI"/>
    <x v="1"/>
    <x v="1"/>
    <d v="2026-06-14T00:00:00"/>
    <d v="2026-06-16T00:00:00"/>
    <d v="2026-06-16T00:00:00"/>
    <d v="2026-08-03T00:00:00"/>
    <m/>
    <d v="2026-08-05T04:53:44"/>
    <s v="CIF"/>
    <s v="COSCO DENMARK 069W"/>
    <s v="COSCO"/>
    <s v="TPVB20260624004"/>
    <x v="399"/>
    <s v="COSU6503114070"/>
    <n v="50.203981481477967"/>
    <m/>
    <d v="2026-08-05T04:53:44"/>
    <s v="In Stock-Approved"/>
    <d v="2026-08-03T00:00:00"/>
    <n v="0"/>
    <d v="2026-08-05T04:53:44"/>
    <n v="2026"/>
    <n v="8"/>
    <n v="32"/>
    <n v="36"/>
    <n v="720"/>
    <s v="Transparent"/>
    <s v="AEU"/>
  </r>
  <r>
    <s v="26May011.14"/>
    <s v="Yixing"/>
    <s v="26May011"/>
    <s v="CORE DG"/>
    <x v="1"/>
    <s v="SPTN Offstore in Transit WH"/>
    <s v="CIF"/>
    <x v="23"/>
    <s v="U1"/>
    <x v="139"/>
    <s v="AT0126042100006"/>
    <n v="21"/>
    <s v="Yes"/>
    <d v="2026-05-25T00:00:00"/>
    <x v="0"/>
    <x v="74"/>
    <s v="HSM-ND66-GR625"/>
    <s v="H4(Com)"/>
    <s v="+400mm/-200mm"/>
    <n v="625"/>
    <n v="3600"/>
    <n v="2.25"/>
    <n v="100"/>
    <n v="5"/>
    <x v="4"/>
    <s v="COMPLETED"/>
    <m/>
    <d v="2026-06-07T00:00:00"/>
    <n v="23"/>
    <s v="POPV260615011"/>
    <m/>
    <s v="SHANGHAI"/>
    <x v="1"/>
    <x v="1"/>
    <d v="2026-06-15T00:00:00"/>
    <d v="2026-06-17T00:00:00"/>
    <d v="2026-06-17T00:00:00"/>
    <d v="2026-07-22T00:00:00"/>
    <d v="2026-07-30T00:00:00"/>
    <d v="2026-07-31T00:00:00"/>
    <s v="CIF"/>
    <s v="EVER AEON 1405-008W"/>
    <s v="COSCO"/>
    <s v="TPVB20260624005"/>
    <x v="400"/>
    <s v="COSU6503119910"/>
    <n v="44"/>
    <m/>
    <d v="2026-07-31T00:00:00"/>
    <s v="In Stock-Approved"/>
    <d v="2026-07-22T00:00:00"/>
    <n v="0"/>
    <d v="2026-07-31T00:00:00"/>
    <n v="2026"/>
    <n v="7"/>
    <n v="31"/>
    <n v="36"/>
    <n v="720"/>
    <s v="Transparent"/>
    <s v="AEU"/>
  </r>
  <r>
    <s v="26May012.04"/>
    <s v="Yixing"/>
    <s v="26May012"/>
    <s v="CORE DG"/>
    <x v="1"/>
    <s v="SPTN Offstore in Transit WH"/>
    <s v="CIF"/>
    <x v="23"/>
    <s v="U1"/>
    <x v="139"/>
    <s v="AT0126042100006"/>
    <n v="22"/>
    <s v="Yes"/>
    <d v="2026-05-25T00:00:00"/>
    <x v="0"/>
    <x v="75"/>
    <s v="HSM-ND66-GR630"/>
    <s v="H4(Com)"/>
    <s v="+400mm/-200mm"/>
    <n v="630"/>
    <n v="2160"/>
    <n v="1.3608"/>
    <n v="60"/>
    <n v="3"/>
    <x v="4"/>
    <s v="COMPLETED"/>
    <m/>
    <d v="2026-06-09T00:00:00"/>
    <n v="24"/>
    <s v="POPV260616013"/>
    <m/>
    <s v="SHANGHAI"/>
    <x v="1"/>
    <x v="1"/>
    <d v="2026-06-15T00:00:00"/>
    <d v="2026-06-17T00:00:00"/>
    <d v="2026-06-17T00:00:00"/>
    <d v="2026-07-22T00:00:00"/>
    <d v="2026-07-30T00:00:00"/>
    <d v="2026-07-31T00:00:00"/>
    <s v="CIF"/>
    <s v="EVER AEON 1405-008W"/>
    <s v="OTHER"/>
    <s v="TPVB20260624010"/>
    <x v="401"/>
    <s v="COSU6503991880"/>
    <n v="44"/>
    <m/>
    <d v="2026-07-31T00:00:00"/>
    <s v="In Stock-Approved"/>
    <d v="2026-07-22T00:00:00"/>
    <n v="0"/>
    <d v="2026-07-31T00:00:00"/>
    <n v="2026"/>
    <n v="7"/>
    <n v="31"/>
    <n v="36"/>
    <n v="720"/>
    <s v="Transparent"/>
    <s v="AEU"/>
  </r>
  <r>
    <s v="26May012.12"/>
    <s v="Yixing"/>
    <s v="26May012"/>
    <s v="CORE DG"/>
    <x v="1"/>
    <s v="SPTN Offstore in Transit WH"/>
    <s v="CIF"/>
    <x v="23"/>
    <s v="U1"/>
    <x v="139"/>
    <s v="AT0126042100006"/>
    <n v="36"/>
    <s v="Yes"/>
    <d v="2026-05-18T00:00:00"/>
    <x v="0"/>
    <x v="75"/>
    <s v="HSM-ND66-GR630"/>
    <s v="H4(Com)"/>
    <s v="+400mm/-200mm"/>
    <n v="630"/>
    <n v="4320"/>
    <n v="2.7216"/>
    <n v="120"/>
    <n v="6"/>
    <x v="4"/>
    <s v="COMPLETED"/>
    <m/>
    <d v="2026-06-11T00:00:00"/>
    <n v="24"/>
    <s v="POPV260616012"/>
    <m/>
    <s v="SHANGHAI"/>
    <x v="1"/>
    <x v="1"/>
    <d v="2026-06-15T00:00:00"/>
    <m/>
    <d v="2026-06-16T00:00:00"/>
    <d v="2026-07-22T00:00:00"/>
    <d v="2026-07-31T00:00:00"/>
    <d v="2026-08-03T00:00:00"/>
    <s v="CIF"/>
    <s v="EVER AEON 1405-008W"/>
    <s v="OTHER"/>
    <s v="TPVB20260624001"/>
    <x v="402"/>
    <s v="EGLV149604457902"/>
    <n v="48"/>
    <m/>
    <d v="2026-08-03T00:00:00"/>
    <s v="In Stock-Approved"/>
    <d v="2026-07-22T00:00:00"/>
    <n v="0"/>
    <d v="2026-08-03T00:00:00"/>
    <n v="2026"/>
    <n v="8"/>
    <n v="32"/>
    <n v="36"/>
    <n v="720"/>
    <s v="Transparent"/>
    <s v="AEU"/>
  </r>
  <r>
    <s v="26May012.14"/>
    <s v="Yixing"/>
    <s v="26May012"/>
    <s v="CORE DG"/>
    <x v="1"/>
    <s v="SPTN Offstore in Transit WH"/>
    <s v="CIF"/>
    <x v="23"/>
    <s v="U1"/>
    <x v="139"/>
    <s v="AT0126042100006"/>
    <n v="37"/>
    <s v="Yes"/>
    <d v="2026-05-25T00:00:00"/>
    <x v="0"/>
    <x v="75"/>
    <s v="HSM-ND66-GR630"/>
    <s v="H4(Com)"/>
    <s v="+400mm/-200mm"/>
    <n v="630"/>
    <n v="720"/>
    <n v="0.4536"/>
    <n v="20"/>
    <n v="1"/>
    <x v="4"/>
    <s v="COMPLETED"/>
    <m/>
    <d v="2026-06-11T00:00:00"/>
    <n v="24"/>
    <s v="POPV260616011"/>
    <m/>
    <s v="SHANGHAI"/>
    <x v="1"/>
    <x v="1"/>
    <d v="2026-06-15T00:00:00"/>
    <m/>
    <d v="2026-06-16T00:00:00"/>
    <d v="2026-07-22T00:00:00"/>
    <d v="2026-07-31T00:00:00"/>
    <d v="2026-08-03T00:00:00"/>
    <s v="CIF"/>
    <s v="EVER AEON 1405-008W"/>
    <s v="OTHER"/>
    <s v="TPVB20260624001"/>
    <x v="402"/>
    <s v="EGLV149604457902"/>
    <n v="48"/>
    <m/>
    <d v="2026-08-03T00:00:00"/>
    <s v="In Stock-Approved"/>
    <d v="2026-07-22T00:00:00"/>
    <n v="0"/>
    <d v="2026-08-03T00:00:00"/>
    <n v="2026"/>
    <n v="8"/>
    <n v="32"/>
    <n v="36"/>
    <n v="720"/>
    <s v="Transparent"/>
    <s v="AEU"/>
  </r>
  <r>
    <s v="26May004.01"/>
    <s v="Tianjin(Transport to Yixing for shipment)"/>
    <s v="26May004"/>
    <s v="CORE DG"/>
    <x v="0"/>
    <s v="Arrival Plan-SPTN"/>
    <s v="CIF"/>
    <x v="0"/>
    <s v="U1"/>
    <x v="2"/>
    <m/>
    <m/>
    <s v="n/a"/>
    <d v="2026-05-18T00:00:00"/>
    <x v="2"/>
    <x v="68"/>
    <s v="SPR-P7-560-COM-S"/>
    <s v="EVO2A"/>
    <s v="±1400mm"/>
    <n v="560"/>
    <n v="1320"/>
    <n v="0.73919999999999997"/>
    <n v="40"/>
    <n v="2"/>
    <x v="5"/>
    <s v="COMPLETED"/>
    <m/>
    <d v="2026-06-08T00:00:00"/>
    <n v="24"/>
    <s v="POPV260615010"/>
    <m/>
    <s v="SHANGHAI"/>
    <x v="1"/>
    <x v="0"/>
    <d v="2026-06-16T00:00:00"/>
    <d v="2026-06-19T00:00:00"/>
    <d v="2026-06-19T00:00:00"/>
    <d v="2026-07-28T00:00:00"/>
    <d v="2026-07-31T00:00:00"/>
    <d v="2026-08-01T04:12:33"/>
    <s v="CIF"/>
    <s v="CMA CGM KERGUELEN 0MEO1W1MA"/>
    <s v="COSCO"/>
    <s v="TPVB20260624006"/>
    <x v="403"/>
    <s v="COSU6503364860"/>
    <n v="43.175381944442051"/>
    <m/>
    <d v="2026-08-01T04:12:33"/>
    <s v="In Stock-Approved"/>
    <d v="2026-08-12T00:00:00"/>
    <n v="8"/>
    <d v="2026-08-09T04:12:33"/>
    <n v="2026"/>
    <n v="8"/>
    <n v="32"/>
    <n v="33"/>
    <n v="660"/>
    <s v="White glazing"/>
    <s v="AEM"/>
  </r>
  <r>
    <s v="26May009.07.02"/>
    <s v="Tianjin(Transport to Yixing for shipment)"/>
    <s v="26May009"/>
    <s v="CORE DG"/>
    <x v="0"/>
    <s v="Arrival Plan-SPTN"/>
    <s v="CIF"/>
    <x v="0"/>
    <s v="U1"/>
    <x v="2"/>
    <m/>
    <m/>
    <s v="n/a"/>
    <d v="2026-05-11T00:00:00"/>
    <x v="0"/>
    <x v="0"/>
    <s v="HSM-ND54-DR500"/>
    <s v="EVO2A"/>
    <s v="±1200mm"/>
    <n v="500"/>
    <n v="3456"/>
    <n v="1.728"/>
    <n v="96"/>
    <n v="4"/>
    <x v="5"/>
    <s v="COMPLETED"/>
    <s v="五月21日"/>
    <d v="2026-06-08T00:00:00"/>
    <n v="24"/>
    <s v="POPV260724039"/>
    <m/>
    <s v="SHANGHAI"/>
    <x v="1"/>
    <x v="0"/>
    <d v="2026-06-16T00:00:00"/>
    <d v="2026-06-19T00:00:00"/>
    <d v="2026-06-19T00:00:00"/>
    <d v="2026-07-28T00:00:00"/>
    <d v="2026-07-31T00:00:00"/>
    <d v="2026-08-01T04:12:33"/>
    <s v="CIF"/>
    <s v="CMA CGM KERGUELEN 0MEO1W1MA"/>
    <s v="COSCO"/>
    <s v="TPVB20260624006"/>
    <x v="403"/>
    <s v="COSU6503364860"/>
    <n v="43.175381944442051"/>
    <m/>
    <d v="2026-08-01T04:12:33"/>
    <s v="In Stock-Approved"/>
    <d v="2026-08-12T00:00:00"/>
    <n v="8"/>
    <d v="2026-08-09T04:12:33"/>
    <n v="2026"/>
    <n v="8"/>
    <n v="32"/>
    <n v="36"/>
    <n v="864"/>
    <s v="Black glazing"/>
    <s v="AEM"/>
  </r>
  <r>
    <s v="26May009.07.04"/>
    <s v="Tianjin(Transport to Yixing for shipment)"/>
    <s v="26May009"/>
    <s v="CORE DG"/>
    <x v="1"/>
    <s v="SPTN Offstore in Transit WH"/>
    <s v="CIP"/>
    <x v="28"/>
    <s v="U1"/>
    <x v="152"/>
    <s v="FR0126071600020"/>
    <n v="1"/>
    <s v="Yes"/>
    <d v="2026-05-11T00:00:00"/>
    <x v="0"/>
    <x v="0"/>
    <s v="HSM-ND54-DR500"/>
    <s v="EVO2A"/>
    <s v="±1200mm"/>
    <n v="500"/>
    <n v="864"/>
    <n v="0.432"/>
    <n v="24"/>
    <n v="1"/>
    <x v="5"/>
    <s v="COMPLETED"/>
    <s v="五月21日"/>
    <d v="2026-06-08T00:00:00"/>
    <n v="24"/>
    <s v="POPV260724040"/>
    <m/>
    <s v="SHANGHAI"/>
    <x v="1"/>
    <x v="0"/>
    <d v="2026-06-16T00:00:00"/>
    <d v="2026-06-19T00:00:00"/>
    <d v="2026-06-19T00:00:00"/>
    <d v="2026-07-28T00:00:00"/>
    <d v="2026-07-31T00:00:00"/>
    <d v="2026-08-01T04:12:33"/>
    <s v="CIF"/>
    <s v="CMA CGM KERGUELEN 0MEO1W1MA"/>
    <s v="COSCO"/>
    <s v="TPVB20260624006-1"/>
    <x v="404"/>
    <s v="COSU6503364860"/>
    <n v="43.175381944442051"/>
    <m/>
    <d v="2026-08-01T04:12:33"/>
    <s v="In Stock-Approved"/>
    <d v="2026-08-12T00:00:00"/>
    <n v="0"/>
    <d v="2026-08-01T04:12:33"/>
    <n v="2026"/>
    <n v="8"/>
    <n v="31"/>
    <n v="36"/>
    <n v="864"/>
    <s v="Black glazing"/>
    <s v="AEM"/>
  </r>
  <r>
    <s v="26May010.02"/>
    <s v="Tianjin(Transport to Yixing for shipment)"/>
    <s v="26May010"/>
    <s v="CORE DG"/>
    <x v="0"/>
    <s v="Arrival Plan-SPTN"/>
    <s v="CIF"/>
    <x v="0"/>
    <s v="U1"/>
    <x v="2"/>
    <m/>
    <m/>
    <s v="n/a"/>
    <d v="2026-05-11T00:00:00"/>
    <x v="0"/>
    <x v="43"/>
    <s v="HSM-ND54-DR505"/>
    <s v="EVO2A"/>
    <s v="±1200mm"/>
    <n v="505"/>
    <n v="3456"/>
    <n v="1.7452799999999999"/>
    <n v="96"/>
    <n v="4"/>
    <x v="5"/>
    <s v="COMPLETED"/>
    <s v="五月12日"/>
    <d v="2026-06-12T00:00:00"/>
    <n v="24"/>
    <s v="POPV260618041"/>
    <m/>
    <s v="SHANGHAI"/>
    <x v="1"/>
    <x v="0"/>
    <d v="2026-06-22T00:00:00"/>
    <d v="2026-06-27T00:00:00"/>
    <d v="2026-06-27T00:00:00"/>
    <d v="2026-08-10T00:00:00"/>
    <m/>
    <d v="2026-08-16T20:22:18"/>
    <s v="CIF"/>
    <s v="OOCL SCANDINAVIA 037W"/>
    <s v="COSCO"/>
    <s v="TPVB20260624007"/>
    <x v="405"/>
    <s v="COSU6503741610"/>
    <n v="50.848819444443507"/>
    <m/>
    <d v="2026-08-16T20:22:18"/>
    <s v="In Stock-Approved"/>
    <d v="2026-08-31T00:00:00"/>
    <n v="8"/>
    <d v="2026-08-24T20:22:18"/>
    <n v="2026"/>
    <n v="8"/>
    <n v="35"/>
    <n v="36"/>
    <n v="864"/>
    <s v="Black glazing"/>
    <s v="AEM"/>
  </r>
  <r>
    <s v="26May012.13"/>
    <s v="Yixing"/>
    <s v="26May012"/>
    <s v="CORE DG"/>
    <x v="0"/>
    <s v="Arrival Plan-SPTN"/>
    <s v="CIF"/>
    <x v="0"/>
    <s v="U1"/>
    <x v="2"/>
    <m/>
    <m/>
    <s v="n/a"/>
    <d v="2026-05-25T00:00:00"/>
    <x v="0"/>
    <x v="75"/>
    <s v="HSM-ND66-GR630"/>
    <s v="H4(Com)"/>
    <s v="+400mm/-200mm"/>
    <n v="630"/>
    <n v="6480"/>
    <n v="4.0823999999999998"/>
    <n v="180"/>
    <n v="9"/>
    <x v="5"/>
    <s v="COMPLETED"/>
    <s v="六月10日"/>
    <d v="2026-06-13T00:00:00"/>
    <n v="24"/>
    <s v="POPV260618039"/>
    <m/>
    <s v="SHANGHAI"/>
    <x v="1"/>
    <x v="0"/>
    <d v="2026-06-22T00:00:00"/>
    <d v="2026-06-27T00:00:00"/>
    <d v="2026-06-27T00:00:00"/>
    <d v="2026-08-10T00:00:00"/>
    <m/>
    <d v="2026-08-16T20:22:18"/>
    <s v="CIF"/>
    <s v="OOCL SCANDINAVIA 037W"/>
    <s v="COSCO"/>
    <s v="TPVB20260624007"/>
    <x v="405"/>
    <s v="COSU6503741610"/>
    <n v="50.848819444443507"/>
    <m/>
    <d v="2026-08-16T20:22:18"/>
    <s v="In Stock-Approved"/>
    <d v="2026-08-31T00:00:00"/>
    <n v="8"/>
    <d v="2026-08-24T20:22:18"/>
    <n v="2026"/>
    <n v="8"/>
    <n v="35"/>
    <n v="36"/>
    <n v="720"/>
    <s v="Transparent"/>
    <s v="AEM"/>
  </r>
  <r>
    <s v="26May011.12"/>
    <s v="Yixing"/>
    <s v="26May011"/>
    <s v="CORE DG"/>
    <x v="0"/>
    <s v="Arrival Plan-SPIT"/>
    <s v="CIF"/>
    <x v="4"/>
    <s v="U1"/>
    <x v="2"/>
    <m/>
    <m/>
    <s v="n/a"/>
    <d v="2026-05-25T00:00:00"/>
    <x v="0"/>
    <x v="74"/>
    <s v="HSM-ND66-GR625"/>
    <s v="H4(Com)"/>
    <s v="+400mm/-200mm"/>
    <n v="625"/>
    <n v="2160"/>
    <n v="1.35"/>
    <n v="60"/>
    <n v="3"/>
    <x v="5"/>
    <s v="COMPLETED"/>
    <s v="ITALY LABEL"/>
    <d v="2026-06-08T00:00:00"/>
    <n v="24"/>
    <s v="POPV260615005"/>
    <m/>
    <s v="SHANGHAI"/>
    <x v="1"/>
    <x v="14"/>
    <d v="2026-06-16T00:00:00"/>
    <d v="2026-06-18T00:00:00"/>
    <d v="2026-06-18T00:00:00"/>
    <d v="2026-08-14T00:00:00"/>
    <d v="2026-08-20T18:00:00"/>
    <d v="2026-08-20T00:00:00"/>
    <s v="CIF"/>
    <s v="CSCL VENUS 089W"/>
    <s v="COSCO"/>
    <s v="TPVB20260624008"/>
    <x v="406"/>
    <s v="COSU6503527860"/>
    <n v="63"/>
    <m/>
    <d v="2026-08-20T00:00:00"/>
    <s v="In Stock-Approved"/>
    <d v="2026-09-03T00:00:00"/>
    <n v="10"/>
    <d v="2026-08-30T00:00:00"/>
    <n v="2026"/>
    <n v="8"/>
    <n v="35"/>
    <n v="36"/>
    <n v="720"/>
    <s v="Transparent"/>
    <s v="AEM"/>
  </r>
  <r>
    <s v="26May011.15"/>
    <s v="Yixing"/>
    <s v="26May011"/>
    <s v="CORE DG"/>
    <x v="0"/>
    <s v="Arrival Plan-SPIT"/>
    <s v="CIF"/>
    <x v="4"/>
    <s v="U1"/>
    <x v="2"/>
    <m/>
    <m/>
    <s v="n/a"/>
    <d v="2026-05-25T00:00:00"/>
    <x v="0"/>
    <x v="74"/>
    <s v="HSM-ND66-GR625"/>
    <s v="H4(Com)"/>
    <s v="+400mm/-200mm"/>
    <n v="625"/>
    <n v="720"/>
    <n v="0.45"/>
    <n v="20"/>
    <n v="1"/>
    <x v="5"/>
    <s v="COMPLETED"/>
    <s v="ITALY LABEL"/>
    <d v="2026-06-09T00:00:00"/>
    <n v="24"/>
    <s v="_x000a_POPV260615007"/>
    <m/>
    <s v="SHANGHAI"/>
    <x v="1"/>
    <x v="14"/>
    <d v="2026-06-16T00:00:00"/>
    <d v="2026-06-18T00:00:00"/>
    <d v="2026-06-18T00:00:00"/>
    <d v="2026-08-14T00:00:00"/>
    <d v="2026-08-20T18:00:00"/>
    <d v="2026-08-20T00:00:00"/>
    <s v="CIF"/>
    <s v="CSCL VENUS 089W"/>
    <s v="COSCO"/>
    <s v="TPVB20260624018"/>
    <x v="407"/>
    <s v="COSU6503527860"/>
    <n v="63"/>
    <m/>
    <d v="2026-08-20T00:00:00"/>
    <s v="-"/>
    <s v=""/>
    <n v="10"/>
    <d v="2026-08-30T00:00:00"/>
    <n v="2026"/>
    <n v="8"/>
    <n v="35"/>
    <n v="36"/>
    <n v="720"/>
    <s v="Transparent"/>
    <s v="AEM"/>
  </r>
  <r>
    <s v="26Jun024"/>
    <s v="Yixing"/>
    <s v="Main Line"/>
    <s v="CORE DG"/>
    <x v="0"/>
    <s v="Arrival Plan-SPIT"/>
    <s v="CIF"/>
    <x v="4"/>
    <s v="U1"/>
    <x v="2"/>
    <m/>
    <m/>
    <s v="n/a"/>
    <d v="2026-06-01T00:00:00"/>
    <x v="2"/>
    <x v="46"/>
    <s v="SPR-P7-545-COM-S"/>
    <s v="EVO2A"/>
    <s v="±1500mm"/>
    <n v="545"/>
    <n v="660"/>
    <n v="0.35970000000000002"/>
    <n v="20"/>
    <n v="1"/>
    <x v="5"/>
    <s v="COMPLETED"/>
    <s v="old stock"/>
    <d v="2026-06-09T00:00:00"/>
    <n v="24"/>
    <s v="POPV260615022"/>
    <m/>
    <s v="SHANGHAI"/>
    <x v="1"/>
    <x v="14"/>
    <d v="2026-06-16T00:00:00"/>
    <d v="2026-06-18T00:00:00"/>
    <d v="2026-06-18T00:00:00"/>
    <d v="2026-08-14T00:00:00"/>
    <d v="2026-08-20T18:00:00"/>
    <d v="2026-08-20T00:00:00"/>
    <s v="CIF"/>
    <s v="CSCL VENUS 089W"/>
    <s v="COSCO"/>
    <s v="TPVB20260624018"/>
    <x v="407"/>
    <s v="COSU6503527860"/>
    <n v="63"/>
    <m/>
    <d v="2026-08-20T00:00:00"/>
    <s v="In Stock-Approved"/>
    <d v="2026-09-03T00:00:00"/>
    <n v="10"/>
    <d v="2026-08-30T00:00:00"/>
    <n v="2026"/>
    <n v="8"/>
    <n v="35"/>
    <n v="33"/>
    <n v="660"/>
    <s v="White glazing"/>
    <s v="AEM"/>
  </r>
  <r>
    <s v="26May009.11.02"/>
    <s v="Tianjin"/>
    <s v="26May009"/>
    <s v="CORE DG"/>
    <x v="0"/>
    <s v="Arrival Plan-SPTN"/>
    <s v="CIF"/>
    <x v="0"/>
    <s v="U1"/>
    <x v="2"/>
    <m/>
    <m/>
    <s v="n/a"/>
    <d v="2026-05-11T00:00:00"/>
    <x v="0"/>
    <x v="0"/>
    <s v="HSM-ND54-DR500"/>
    <s v="EVO2A"/>
    <s v="±1200mm"/>
    <n v="500"/>
    <n v="1728"/>
    <n v="0.86399999999999999"/>
    <n v="48"/>
    <n v="2"/>
    <x v="5"/>
    <s v="COMPLETED"/>
    <s v="五月26日"/>
    <d v="2026-06-12T00:00:00"/>
    <n v="24"/>
    <s v="POPV260618040"/>
    <m/>
    <s v="TIANJIN"/>
    <x v="0"/>
    <x v="0"/>
    <d v="2026-06-20T00:00:00"/>
    <m/>
    <d v="2026-06-22T00:00:00"/>
    <d v="2026-08-18T00:00:00"/>
    <d v="2026-08-27T06:00:00"/>
    <d v="2026-08-27T00:00:00"/>
    <s v="CIF"/>
    <s v="COSCO SHIPPING SAGITTARIUS  034W"/>
    <s v="COSCO"/>
    <s v="TPVB20260624011"/>
    <x v="408"/>
    <s v="COSU9507807450"/>
    <n v="66"/>
    <m/>
    <d v="2026-08-27T00:00:00"/>
    <s v="In Transit-Approved"/>
    <d v="2026-09-08T00:00:00"/>
    <n v="8"/>
    <d v="2026-09-04T00:00:00"/>
    <n v="2026"/>
    <n v="9"/>
    <n v="36"/>
    <n v="36"/>
    <n v="864"/>
    <s v="Black glazing"/>
    <s v="AEM"/>
  </r>
  <r>
    <s v="26May009.07.03"/>
    <s v="Tianjin"/>
    <s v="26May009"/>
    <s v="CORE DG"/>
    <x v="0"/>
    <s v="Arrival Plan-SPTN"/>
    <s v="CIF"/>
    <x v="0"/>
    <s v="U1"/>
    <x v="2"/>
    <m/>
    <m/>
    <s v="n/a"/>
    <d v="2026-05-11T00:00:00"/>
    <x v="0"/>
    <x v="0"/>
    <s v="HSM-ND54-DR500"/>
    <s v="EVO2A"/>
    <s v="±1200mm"/>
    <n v="500"/>
    <n v="2592"/>
    <n v="1.296"/>
    <n v="72"/>
    <n v="3"/>
    <x v="5"/>
    <s v="COMPLETED"/>
    <s v="五月21日"/>
    <d v="2026-06-12T00:00:00"/>
    <n v="24"/>
    <s v="POPV260618037"/>
    <m/>
    <s v="TIANJIN"/>
    <x v="0"/>
    <x v="0"/>
    <d v="2026-06-20T00:00:00"/>
    <m/>
    <d v="2026-06-22T00:00:00"/>
    <d v="2026-08-24T00:00:00"/>
    <d v="2026-09-06T06:00:00"/>
    <d v="2026-09-06T06:41:53"/>
    <s v="CIF"/>
    <s v="COSCO SHIPPING SAGITTARIUS  034W"/>
    <s v="COSCO"/>
    <s v="TPVB20260624012"/>
    <x v="409"/>
    <s v="COSU9507807520"/>
    <n v="76.279085648151522"/>
    <m/>
    <d v="2026-09-06T06:41:53"/>
    <s v="In Transit-Approved"/>
    <d v="2026-09-18T00:00:00"/>
    <n v="8"/>
    <d v="2026-09-14T06:41:53"/>
    <n v="2026"/>
    <n v="9"/>
    <n v="38"/>
    <n v="36"/>
    <n v="864"/>
    <s v="Black glazing"/>
    <s v="AEM"/>
  </r>
  <r>
    <s v="26May007.01.03"/>
    <s v="Tianjin"/>
    <s v="26May007"/>
    <s v="CORE DG"/>
    <x v="1"/>
    <s v="SPTN Offstore in Transit WH"/>
    <s v="CIF"/>
    <x v="23"/>
    <s v="U1"/>
    <x v="140"/>
    <s v="AT0126042700018"/>
    <n v="1"/>
    <s v="Yes"/>
    <d v="2025-06-01T00:00:00"/>
    <x v="0"/>
    <x v="7"/>
    <s v="HSM-ND48-DR450"/>
    <s v="EVO2A"/>
    <s v="±1200mm"/>
    <n v="450"/>
    <n v="4680"/>
    <n v="2.1059999999999999"/>
    <n v="130"/>
    <n v="5"/>
    <x v="1"/>
    <s v="COMPLETED"/>
    <s v="六月8日"/>
    <d v="2026-06-09T00:00:00"/>
    <n v="24"/>
    <s v="POPV260624003"/>
    <m/>
    <s v="TIANJIN"/>
    <x v="0"/>
    <x v="1"/>
    <d v="2026-06-13T00:00:00"/>
    <m/>
    <d v="2026-06-14T00:00:00"/>
    <d v="2026-08-04T00:00:00"/>
    <s v=""/>
    <d v="2026-08-10T00:00:00"/>
    <s v="CIF"/>
    <s v="COSCO SHIPPING GEMINI 036W"/>
    <s v="OTHER"/>
    <s v="TPVB20260523024"/>
    <x v="410"/>
    <s v="COSU6503809510"/>
    <n v="57"/>
    <m/>
    <d v="2026-08-10T00:00:00"/>
    <s v="In Stock-Approved"/>
    <d v="2026-08-04T00:00:00"/>
    <n v="0"/>
    <d v="2026-08-10T00:00:00"/>
    <n v="2026"/>
    <n v="8"/>
    <n v="33"/>
    <n v="36"/>
    <n v="936"/>
    <s v="Black glazing"/>
    <s v="AEU"/>
  </r>
  <r>
    <s v="26May007.11"/>
    <s v="Tianjin"/>
    <s v="26May007"/>
    <s v="CORE DG"/>
    <x v="0"/>
    <s v="Arrival Plan-SPUK"/>
    <s v="CIF"/>
    <x v="6"/>
    <s v="U1"/>
    <x v="2"/>
    <m/>
    <m/>
    <s v="n/a"/>
    <d v="2025-06-01T00:00:00"/>
    <x v="0"/>
    <x v="7"/>
    <s v="HSM-ND48-DR450"/>
    <s v="EVO2A"/>
    <s v="±1200mm"/>
    <n v="450"/>
    <n v="936"/>
    <n v="0.42120000000000002"/>
    <n v="26"/>
    <n v="1"/>
    <x v="5"/>
    <s v="COMPLETED"/>
    <s v="六月8日"/>
    <d v="2026-06-11T00:00:00"/>
    <n v="24"/>
    <s v="POPV260615017"/>
    <m/>
    <s v="TIANJIN"/>
    <x v="0"/>
    <x v="6"/>
    <d v="2026-06-20T00:00:00"/>
    <m/>
    <d v="2026-06-22T00:00:00"/>
    <d v="2026-08-09T00:00:00"/>
    <d v="2026-08-10T09:45:00"/>
    <d v="2026-08-10T09:44:20"/>
    <s v="CIF"/>
    <s v="COSCO SHIPPING SAGITTARIUS  034W"/>
    <s v="COSCO"/>
    <s v="TPVB20260624013"/>
    <x v="411"/>
    <s v="COSU6504041890"/>
    <n v="49.405787037037953"/>
    <m/>
    <d v="2026-08-10T09:44:20"/>
    <s v="In Stock-Approved"/>
    <d v="2026-08-24T00:00:00"/>
    <n v="7"/>
    <d v="2026-08-17T09:44:20"/>
    <n v="2026"/>
    <n v="8"/>
    <n v="34"/>
    <n v="36"/>
    <n v="936"/>
    <s v="Black glazing"/>
    <s v="AEU"/>
  </r>
  <r>
    <s v="26May007.01"/>
    <s v="Tianjin"/>
    <s v="26May007"/>
    <s v="CORE DG"/>
    <x v="1"/>
    <s v="SPTN Offstore in Transit WH"/>
    <s v="CIF"/>
    <x v="23"/>
    <s v="U1"/>
    <x v="140"/>
    <s v="AT0126042700018"/>
    <n v="1"/>
    <s v="Yes"/>
    <d v="2025-06-01T00:00:00"/>
    <x v="0"/>
    <x v="7"/>
    <s v="HSM-ND48-DR450"/>
    <s v="EVO2A"/>
    <s v="±1200mm"/>
    <n v="450"/>
    <n v="3744"/>
    <n v="1.6848000000000001"/>
    <n v="104"/>
    <n v="4"/>
    <x v="4"/>
    <s v="COMPLETED"/>
    <s v="六月8日"/>
    <d v="2026-06-11T00:00:00"/>
    <n v="24"/>
    <s v="POPV260615018"/>
    <m/>
    <s v="TIANJIN"/>
    <x v="0"/>
    <x v="1"/>
    <d v="2026-06-20T00:00:00"/>
    <m/>
    <d v="2026-06-22T00:00:00"/>
    <d v="2026-07-29T00:00:00"/>
    <d v="2026-08-06T00:30:00"/>
    <d v="2026-08-06T00:59:22"/>
    <s v="CIF"/>
    <s v="COSCO SHIPPING SAGITTARIUS  034W"/>
    <s v="COSCO"/>
    <s v="TPVB20260624014"/>
    <x v="412"/>
    <s v="COSU6504191030"/>
    <n v="45.041226851848478"/>
    <m/>
    <d v="2026-08-06T00:59:22"/>
    <s v="In Stock-Approved"/>
    <d v="2026-07-29T00:00:00"/>
    <n v="0"/>
    <d v="2026-08-06T00:59:22"/>
    <n v="2026"/>
    <n v="8"/>
    <n v="32"/>
    <n v="36"/>
    <n v="936"/>
    <s v="Black glazing"/>
    <s v="AEU"/>
  </r>
  <r>
    <s v="26May007.05.01"/>
    <s v="Tianjin"/>
    <s v="26May007"/>
    <s v="CORE DG"/>
    <x v="0"/>
    <s v="Arrival Plan-SPNL"/>
    <s v="CIF"/>
    <x v="0"/>
    <s v="U1"/>
    <x v="2"/>
    <m/>
    <m/>
    <s v="n/a"/>
    <m/>
    <x v="0"/>
    <x v="7"/>
    <s v="HSM-ND48-DR450"/>
    <s v="EVO2A"/>
    <s v="±1200mm"/>
    <n v="450"/>
    <n v="936"/>
    <n v="0.42120000000000002"/>
    <n v="26"/>
    <n v="1"/>
    <x v="4"/>
    <s v="COMPLETED"/>
    <s v="六月8日"/>
    <d v="2026-06-11T00:00:00"/>
    <n v="24"/>
    <s v="POPV260615020"/>
    <m/>
    <s v="TIANJIN"/>
    <x v="0"/>
    <x v="1"/>
    <d v="2026-06-20T00:00:00"/>
    <m/>
    <d v="2026-06-22T00:00:00"/>
    <d v="2026-07-29T00:00:00"/>
    <d v="2026-08-06T00:30:00"/>
    <d v="2026-08-06T00:59:22"/>
    <s v="CIF"/>
    <s v="COSCO SHIPPING SAGITTARIUS  034W"/>
    <s v="COSCO"/>
    <s v="TPVB20260624015"/>
    <x v="413"/>
    <s v="COSU6504047380"/>
    <n v="45.041226851848478"/>
    <m/>
    <d v="2026-08-06T00:59:22"/>
    <s v="In Stock-Approved"/>
    <d v="2026-08-19T00:00:00"/>
    <n v="7"/>
    <d v="2026-08-13T00:59:22"/>
    <n v="2026"/>
    <n v="8"/>
    <n v="33"/>
    <n v="36"/>
    <n v="936"/>
    <s v="Black glazing"/>
    <s v="AEU"/>
  </r>
  <r>
    <s v="26May010.08.01"/>
    <s v="Tianjin"/>
    <s v="26May010"/>
    <s v="CORE DG"/>
    <x v="0"/>
    <s v="Arrival Plan-SPES"/>
    <s v="CIF"/>
    <x v="1"/>
    <s v="U3"/>
    <x v="153"/>
    <m/>
    <m/>
    <s v="n/a"/>
    <m/>
    <x v="0"/>
    <x v="43"/>
    <s v="HSM-ND54-DR505"/>
    <s v="EVO2A"/>
    <s v="±1200mm"/>
    <n v="505"/>
    <n v="864"/>
    <n v="0.43631999999999999"/>
    <n v="24"/>
    <n v="1"/>
    <x v="5"/>
    <s v="COMPLETED"/>
    <s v="五月16日"/>
    <d v="2026-06-12T00:00:00"/>
    <n v="24"/>
    <s v="POPV260720039"/>
    <m/>
    <s v="TIANJIN"/>
    <x v="0"/>
    <x v="2"/>
    <d v="2026-06-20T00:00:00"/>
    <m/>
    <d v="2026-06-22T00:00:00"/>
    <d v="2026-08-15T00:00:00"/>
    <d v="2026-08-24T09:00:00"/>
    <d v="2026-08-24T06:56:56"/>
    <s v="CIF"/>
    <s v="COSCO SHIPPING SAGITTARIUS  034W"/>
    <s v="COSCO"/>
    <s v="TPVB20260624016"/>
    <x v="414"/>
    <s v="COSU9507807610"/>
    <n v="63.289537037038826"/>
    <m/>
    <d v="2026-08-24T06:56:56"/>
    <s v="In Stock-Approved"/>
    <d v="2026-09-07T00:00:00"/>
    <n v="9"/>
    <d v="2026-09-02T06:56:56"/>
    <n v="2026"/>
    <n v="9"/>
    <n v="36"/>
    <n v="36"/>
    <n v="864"/>
    <s v="Black glazing"/>
    <s v="AEM"/>
  </r>
  <r>
    <s v="26May010.08"/>
    <s v="Tianjin"/>
    <s v="26May010"/>
    <s v="CORE DG"/>
    <x v="0"/>
    <s v="Arrival Plan-SPES"/>
    <s v="CIF"/>
    <x v="1"/>
    <s v="U3"/>
    <x v="153"/>
    <m/>
    <m/>
    <s v="n/a"/>
    <m/>
    <x v="0"/>
    <x v="43"/>
    <s v="HSM-ND54-DR505"/>
    <s v="EVO2A"/>
    <s v="±1200mm"/>
    <n v="505"/>
    <n v="864"/>
    <n v="0.43631999999999999"/>
    <n v="24"/>
    <n v="1"/>
    <x v="5"/>
    <s v="COMPLETED"/>
    <s v="五月16日"/>
    <d v="2026-06-11T00:00:00"/>
    <n v="24"/>
    <s v="POPV260720040"/>
    <m/>
    <s v="TIANJIN"/>
    <x v="0"/>
    <x v="2"/>
    <d v="2026-06-20T00:00:00"/>
    <m/>
    <d v="2026-06-22T00:00:00"/>
    <d v="2026-08-21T00:00:00"/>
    <d v="2026-09-10T02:00:00"/>
    <d v="2026-09-10T01:06:14"/>
    <s v="CIF"/>
    <s v="COSCO SHIPPING SAGITTARIUS  034W"/>
    <s v="COSCO"/>
    <s v="TPVB20260624017"/>
    <x v="415"/>
    <s v="COSU9507770280"/>
    <n v="80.045995370368473"/>
    <m/>
    <d v="2026-09-10T01:06:14"/>
    <s v="In Transit-Approved"/>
    <d v="2026-09-18T00:00:00"/>
    <n v="9"/>
    <d v="2026-09-19T01:06:14"/>
    <n v="2026"/>
    <n v="9"/>
    <n v="38"/>
    <n v="36"/>
    <n v="864"/>
    <s v="Black glazing"/>
    <s v="AEM"/>
  </r>
  <r>
    <s v="26Apr015"/>
    <s v="Yixing"/>
    <s v="Main Line"/>
    <s v="CORE DG"/>
    <x v="1"/>
    <s v="SPTN Offstore in Transit WH"/>
    <s v="n/a"/>
    <x v="22"/>
    <s v="n/a"/>
    <x v="49"/>
    <m/>
    <m/>
    <s v="n/a"/>
    <s v="n/a"/>
    <x v="0"/>
    <x v="76"/>
    <s v="HSM-ND66-GR615"/>
    <s v="EVO2A"/>
    <s v="±1400mm"/>
    <n v="615"/>
    <n v="720"/>
    <n v="0.44280000000000003"/>
    <n v="20"/>
    <n v="1"/>
    <x v="0"/>
    <s v="COMPLETED"/>
    <m/>
    <d v="2026-04-12T00:00:00"/>
    <n v="15"/>
    <s v="TPVO2026032501"/>
    <s v="TPVO2026032501"/>
    <s v="SHANGHAI"/>
    <x v="1"/>
    <x v="18"/>
    <d v="2026-04-16T00:00:00"/>
    <d v="2026-04-19T00:00:00"/>
    <d v="2026-04-18T00:00:00"/>
    <d v="2026-05-21T00:00:00"/>
    <d v="2026-05-21T00:00:00"/>
    <d v="2026-05-24T00:00:00"/>
    <s v="FOB"/>
    <s v="WILHELMSHAVEN EXPRESS/616W"/>
    <s v="OTHER"/>
    <s v="TPVO2026032501"/>
    <x v="416"/>
    <n v="269217776"/>
    <n v="36"/>
    <m/>
    <d v="2026-05-24T00:00:00"/>
    <s v="-"/>
    <s v=""/>
    <n v="0"/>
    <d v="2026-05-24T00:00:00"/>
    <n v="2026"/>
    <n v="5"/>
    <n v="21"/>
    <n v="36"/>
    <n v="720"/>
    <s v="Transparent"/>
    <s v="n/a"/>
  </r>
  <r>
    <s v="26Jun011.08"/>
    <s v="Quzhou"/>
    <s v="26Jun011"/>
    <s v="CORE DG"/>
    <x v="0"/>
    <s v="Arrival Plan-SPTN"/>
    <s v="CIF"/>
    <x v="0"/>
    <s v="U1"/>
    <x v="2"/>
    <m/>
    <m/>
    <s v="n/a"/>
    <d v="2026-06-22T00:00:00"/>
    <x v="0"/>
    <x v="0"/>
    <s v="HSM-ND54-DR500"/>
    <s v="EVO2A"/>
    <s v="±1200mm"/>
    <n v="500"/>
    <n v="5184"/>
    <n v="2.5920000000000001"/>
    <n v="144"/>
    <n v="6"/>
    <x v="6"/>
    <s v="COMPLETED"/>
    <s v="六月20日505换"/>
    <d v="2026-06-21T00:00:00"/>
    <n v="25"/>
    <s v="POPV260626052"/>
    <m/>
    <s v="SHANGHAI / QUZHOU"/>
    <x v="1"/>
    <x v="0"/>
    <d v="2026-06-25T00:00:00"/>
    <m/>
    <d v="2026-06-26T00:00:00"/>
    <d v="2026-08-12T00:00:00"/>
    <m/>
    <d v="2026-08-12T00:00:00"/>
    <s v="CIF"/>
    <s v="MILAN MAERSK 625W"/>
    <s v="OTHER"/>
    <s v="TPVB20260626001 "/>
    <x v="417"/>
    <n v="271866464"/>
    <n v="47"/>
    <m/>
    <d v="2026-08-12T00:00:00"/>
    <s v="In Stock-Approved"/>
    <d v="2026-08-26T00:00:00"/>
    <n v="8"/>
    <d v="2026-08-20T00:00:00"/>
    <n v="2026"/>
    <n v="8"/>
    <n v="34"/>
    <n v="36"/>
    <n v="864"/>
    <s v="Black glazing"/>
    <s v="AEM"/>
  </r>
  <r>
    <s v="26Jun012.05"/>
    <s v="Quzhou"/>
    <s v="26Jun012"/>
    <s v="CORE DG"/>
    <x v="0"/>
    <s v="Arrival Plan-SPTN"/>
    <s v="CIF"/>
    <x v="0"/>
    <s v="U1"/>
    <x v="2"/>
    <m/>
    <m/>
    <s v="n/a"/>
    <d v="2026-06-22T00:00:00"/>
    <x v="0"/>
    <x v="43"/>
    <s v="HSM-ND54-DR505"/>
    <s v="EVO2A"/>
    <s v="±1200mm"/>
    <n v="505"/>
    <n v="5184"/>
    <n v="2.6179199999999998"/>
    <n v="144"/>
    <n v="6"/>
    <x v="7"/>
    <s v="COMPLETED"/>
    <s v="六月20日"/>
    <d v="2026-06-21T00:00:00"/>
    <n v="25"/>
    <s v="POPV260626051"/>
    <m/>
    <s v="SHANGHAI / QUZHOU"/>
    <x v="1"/>
    <x v="0"/>
    <d v="2026-06-25T00:00:00"/>
    <m/>
    <d v="2026-06-26T00:00:00"/>
    <d v="2026-08-12T00:00:00"/>
    <m/>
    <d v="2026-08-12T00:00:00"/>
    <s v="CIF"/>
    <s v="MILAN MAERSK 625W"/>
    <s v="OTHER"/>
    <s v="TPVB20260626001 "/>
    <x v="417"/>
    <n v="271866464"/>
    <n v="47"/>
    <m/>
    <d v="2026-08-12T00:00:00"/>
    <s v="In Stock-Approved"/>
    <d v="2026-08-26T00:00:00"/>
    <n v="8"/>
    <d v="2026-08-20T00:00:00"/>
    <n v="2026"/>
    <n v="8"/>
    <n v="34"/>
    <n v="36"/>
    <n v="864"/>
    <s v="Black glazing"/>
    <s v="AEM"/>
  </r>
  <r>
    <s v="26May013.07"/>
    <s v="Yixing"/>
    <s v="26May013"/>
    <s v="CORE DG"/>
    <x v="1"/>
    <s v="SPTN Offstore in Transit WH"/>
    <s v="CIF"/>
    <x v="23"/>
    <s v="U3"/>
    <x v="139"/>
    <s v="AT0126042100006"/>
    <n v="24"/>
    <s v="Yes"/>
    <d v="2026-06-08T00:00:00"/>
    <x v="0"/>
    <x v="77"/>
    <s v="HSM-ND66-GK720"/>
    <s v="H4(Com)"/>
    <s v="+400mm/-200mm"/>
    <n v="720"/>
    <n v="2970"/>
    <n v="2.1383999999999999"/>
    <n v="90"/>
    <n v="5"/>
    <x v="5"/>
    <s v="COMPLETED"/>
    <s v="六月19日"/>
    <d v="2026-06-17T00:00:00"/>
    <n v="25"/>
    <s v="POPV260623008"/>
    <m/>
    <s v="SHANGHAI"/>
    <x v="1"/>
    <x v="1"/>
    <d v="2026-06-21T00:00:00"/>
    <d v="2026-06-24T00:00:00"/>
    <d v="2026-06-24T00:00:00"/>
    <d v="2026-07-29T00:00:00"/>
    <d v="2026-08-07T00:00:00"/>
    <d v="2026-08-11T00:00:00"/>
    <s v="CIF"/>
    <s v="EVER AEON 1405-008W"/>
    <s v="OTHER"/>
    <s v="TPVB20260625001 "/>
    <x v="418"/>
    <s v="EGLV149604804547"/>
    <n v="48"/>
    <m/>
    <d v="2026-08-11T00:00:00"/>
    <s v="In Stock-Approved"/>
    <d v="2026-07-29T00:00:00"/>
    <n v="0"/>
    <d v="2026-08-11T00:00:00"/>
    <n v="2026"/>
    <n v="8"/>
    <n v="33"/>
    <n v="33"/>
    <n v="594"/>
    <s v="Transparent"/>
    <s v="AEU"/>
  </r>
  <r>
    <s v="26May013.01"/>
    <s v="Yixing"/>
    <s v="26May013"/>
    <s v="CORE DG"/>
    <x v="1"/>
    <s v="SPTN Offstore in Transit WH"/>
    <s v="CIF"/>
    <x v="23"/>
    <s v="U3"/>
    <x v="139"/>
    <s v="AT0126042100006"/>
    <n v="25"/>
    <s v="Yes"/>
    <d v="2026-06-08T00:00:00"/>
    <x v="0"/>
    <x v="77"/>
    <s v="HSM-ND66-GK720"/>
    <s v="H4(Com)"/>
    <s v="+400mm/-200mm"/>
    <n v="720"/>
    <n v="1188"/>
    <n v="0.85536000000000001"/>
    <n v="36"/>
    <n v="2"/>
    <x v="5"/>
    <s v="COMPLETED"/>
    <s v="六月12日"/>
    <d v="2026-06-17T00:00:00"/>
    <n v="25"/>
    <s v="POPV260618034"/>
    <m/>
    <s v="SHANGHAI"/>
    <x v="1"/>
    <x v="1"/>
    <d v="2026-06-21T00:00:00"/>
    <d v="2026-06-24T00:00:00"/>
    <d v="2026-06-24T00:00:00"/>
    <d v="2026-07-29T00:00:00"/>
    <d v="2026-08-07T00:00:00"/>
    <d v="2026-08-11T00:00:00"/>
    <s v="CIF"/>
    <s v="EVER AEON 1405-008W"/>
    <s v="OTHER"/>
    <s v="TPVB20260625001 "/>
    <x v="418"/>
    <s v="EGLV149604804547"/>
    <n v="48"/>
    <m/>
    <d v="2026-08-11T00:00:00"/>
    <s v="In Stock-Approved"/>
    <d v="2026-07-29T00:00:00"/>
    <n v="0"/>
    <d v="2026-08-11T00:00:00"/>
    <n v="2026"/>
    <n v="8"/>
    <n v="33"/>
    <n v="33"/>
    <n v="594"/>
    <s v="Transparent"/>
    <s v="AEU"/>
  </r>
  <r>
    <s v="26May013.08"/>
    <s v="Yixing"/>
    <s v="26May013"/>
    <s v="CORE DG"/>
    <x v="1"/>
    <s v="SPTN Offstore in Transit WH"/>
    <s v="CIF"/>
    <x v="23"/>
    <s v="U3"/>
    <x v="139"/>
    <s v="AT0126042100006"/>
    <n v="26"/>
    <s v="Yes"/>
    <d v="2026-06-08T00:00:00"/>
    <x v="0"/>
    <x v="77"/>
    <s v="HSM-ND66-GK720"/>
    <s v="H4(Com)"/>
    <s v="+400mm/-200mm"/>
    <n v="720"/>
    <n v="1188"/>
    <n v="0.85536000000000001"/>
    <n v="36"/>
    <n v="2"/>
    <x v="5"/>
    <s v="COMPLETED"/>
    <s v="六月11日"/>
    <d v="2026-06-12T00:00:00"/>
    <n v="24"/>
    <s v="POPV260618035"/>
    <m/>
    <s v="SHANGHAI"/>
    <x v="1"/>
    <x v="1"/>
    <d v="2026-06-21T00:00:00"/>
    <d v="2026-06-23T00:00:00"/>
    <d v="2026-06-23T00:00:00"/>
    <d v="2026-08-03T00:00:00"/>
    <m/>
    <d v="2026-08-15T00:00:00"/>
    <s v="CIF"/>
    <s v="COSCO SHIPPING ANDES 048W"/>
    <s v="OTHER"/>
    <s v="TPVB20260625002"/>
    <x v="419"/>
    <s v="COSU6504473320"/>
    <n v="53"/>
    <m/>
    <d v="2026-08-15T00:00:00"/>
    <s v="In Stock-Approved"/>
    <d v="2026-08-03T00:00:00"/>
    <n v="0"/>
    <d v="2026-08-15T00:00:00"/>
    <n v="2026"/>
    <n v="8"/>
    <n v="33"/>
    <n v="33"/>
    <n v="594"/>
    <s v="Transparent"/>
    <s v="AEU"/>
  </r>
  <r>
    <s v="26May014.02.01"/>
    <s v="Yixing"/>
    <s v="26May014"/>
    <s v="CORE DG"/>
    <x v="1"/>
    <s v="SPTN Offstore in Transit WH"/>
    <s v="CIF"/>
    <x v="23"/>
    <s v="U1"/>
    <x v="139"/>
    <s v="AT0126042100006"/>
    <n v="30"/>
    <s v="Yes"/>
    <d v="2026-06-08T00:00:00"/>
    <x v="0"/>
    <x v="78"/>
    <s v="HSM-ND66-GK725"/>
    <s v="H4(Com)"/>
    <s v="+400mm/-200mm"/>
    <n v="725"/>
    <n v="1782"/>
    <n v="1.2919499999999999"/>
    <n v="54"/>
    <n v="3"/>
    <x v="6"/>
    <s v="COMPLETED"/>
    <s v="六月13日"/>
    <d v="2026-06-16T00:00:00"/>
    <n v="25"/>
    <s v="POPV260618032"/>
    <m/>
    <s v="SHANGHAI"/>
    <x v="1"/>
    <x v="1"/>
    <d v="2026-06-25T00:00:00"/>
    <d v="2026-06-30T00:00:00"/>
    <d v="2026-06-30T00:00:00"/>
    <d v="2026-07-29T00:00:00"/>
    <d v="2026-08-06T00:30:00"/>
    <d v="2026-08-06T00:00:00"/>
    <s v="CIF"/>
    <s v="COSCO SHIPPING _x000a_SAGITTARIUS 034W"/>
    <s v="COSCO"/>
    <s v="TPVB20260625013"/>
    <x v="420"/>
    <s v="COSU6504129580"/>
    <n v="37"/>
    <m/>
    <d v="2026-08-06T00:00:00"/>
    <s v="In Stock-Approved"/>
    <d v="2026-07-29T00:00:00"/>
    <n v="0"/>
    <d v="2026-08-06T00:00:00"/>
    <n v="2026"/>
    <n v="8"/>
    <n v="32"/>
    <n v="33"/>
    <n v="594"/>
    <s v="Transparent"/>
    <s v="AEU"/>
  </r>
  <r>
    <s v="26May014.02"/>
    <s v="Yixing"/>
    <s v="26May014"/>
    <s v="CORE DG"/>
    <x v="1"/>
    <s v="SPTN Offstore in Transit WH"/>
    <s v="CIF"/>
    <x v="23"/>
    <s v="U1"/>
    <x v="139"/>
    <s v="AT0126042100006"/>
    <n v="31"/>
    <s v="Yes"/>
    <d v="2026-06-08T00:00:00"/>
    <x v="0"/>
    <x v="78"/>
    <s v="HSM-ND66-GK725"/>
    <s v="H4(Com)"/>
    <s v="+400mm/-200mm"/>
    <n v="725"/>
    <n v="4158"/>
    <n v="3.0145499999999998"/>
    <n v="126"/>
    <n v="7"/>
    <x v="6"/>
    <s v="COMPLETED"/>
    <s v="六月13日"/>
    <d v="2026-06-16T00:00:00"/>
    <n v="25"/>
    <s v="POPV260618031"/>
    <m/>
    <s v="SHANGHAI"/>
    <x v="1"/>
    <x v="1"/>
    <d v="2026-06-25T00:00:00"/>
    <d v="2026-06-30T00:00:00"/>
    <d v="2026-06-30T00:00:00"/>
    <d v="2026-07-29T00:00:00"/>
    <d v="2026-08-06T00:30:00"/>
    <d v="2026-08-06T00:59:22"/>
    <s v="CIF"/>
    <s v="COSCO SHIPPING _x000a_SAGITTARIUS 034W"/>
    <s v="COSCO"/>
    <s v="TPVB20260625013"/>
    <x v="420"/>
    <s v="COSU6504129580"/>
    <n v="37.041226851848478"/>
    <m/>
    <d v="2026-08-06T00:59:22"/>
    <s v="In Stock-Approved"/>
    <d v="2026-07-29T00:00:00"/>
    <n v="0"/>
    <d v="2026-08-06T00:59:22"/>
    <n v="2026"/>
    <n v="8"/>
    <n v="32"/>
    <n v="33"/>
    <n v="594"/>
    <s v="Transparent"/>
    <s v="AEU"/>
  </r>
  <r>
    <s v="26May011.07.02"/>
    <s v="Yixing"/>
    <s v="26May011"/>
    <s v="CORE DG"/>
    <x v="1"/>
    <s v="SPTN Offstore in Transit WH"/>
    <s v="CIF"/>
    <x v="23"/>
    <s v="U1"/>
    <x v="139"/>
    <s v="AT0126042100006"/>
    <n v="45"/>
    <s v="Yes"/>
    <d v="2026-05-25T00:00:00"/>
    <x v="0"/>
    <x v="74"/>
    <s v="HSM-ND66-GR625"/>
    <s v="H4(Com)"/>
    <s v="+400mm/-200mm"/>
    <n v="625"/>
    <n v="720"/>
    <n v="0.45"/>
    <n v="20"/>
    <n v="1"/>
    <x v="6"/>
    <s v="COMPLETED"/>
    <m/>
    <d v="2026-06-14T00:00:00"/>
    <n v="24"/>
    <s v="POPV260618030"/>
    <m/>
    <s v="SHANGHAI"/>
    <x v="1"/>
    <x v="1"/>
    <d v="2026-06-22T00:00:00"/>
    <d v="2026-06-24T00:00:00"/>
    <d v="2026-06-24T00:00:00"/>
    <d v="2026-07-29T00:00:00"/>
    <d v="2026-08-08T10:00:00"/>
    <d v="2026-08-08T09:59:14"/>
    <s v="CIF"/>
    <s v="EVER ACE 1406-019W"/>
    <s v="COSCO"/>
    <s v="TPVB20260625010"/>
    <x v="421"/>
    <s v="COSU6503985850"/>
    <n v="45.416134259256069"/>
    <m/>
    <d v="2026-08-08T09:59:14"/>
    <s v="In Stock-Approved"/>
    <d v="2026-07-29T00:00:00"/>
    <n v="0"/>
    <d v="2026-08-08T09:59:14"/>
    <n v="2026"/>
    <n v="8"/>
    <n v="32"/>
    <n v="36"/>
    <n v="720"/>
    <s v="Transparent"/>
    <s v="AEU"/>
  </r>
  <r>
    <s v="26May011.07"/>
    <s v="Yixing"/>
    <s v="26May011"/>
    <s v="CORE DG"/>
    <x v="1"/>
    <s v="SPTN Offstore in Transit WH"/>
    <s v="CIF"/>
    <x v="23"/>
    <s v="U1"/>
    <x v="139"/>
    <s v="AT0126042100006"/>
    <n v="46"/>
    <s v="Yes"/>
    <d v="2026-05-25T00:00:00"/>
    <x v="0"/>
    <x v="74"/>
    <s v="HSM-ND66-GR625"/>
    <s v="H4(Com)"/>
    <s v="+400mm/-200mm"/>
    <n v="625"/>
    <n v="5760"/>
    <n v="3.6"/>
    <n v="160"/>
    <n v="8"/>
    <x v="6"/>
    <s v="COMPLETED"/>
    <m/>
    <d v="2026-06-12T00:00:00"/>
    <n v="24"/>
    <s v="POPV260618029"/>
    <m/>
    <s v="SHANGHAI"/>
    <x v="1"/>
    <x v="1"/>
    <d v="2026-06-21T00:00:00"/>
    <d v="2026-06-23T00:00:00"/>
    <d v="2026-06-23T00:00:00"/>
    <d v="2026-08-10T00:00:00"/>
    <m/>
    <d v="2026-08-15T11:44:28"/>
    <s v="CIF"/>
    <s v="COSCO SHIPPING ANDES _x000a_048W"/>
    <s v="COSCO"/>
    <s v="TPVB20260625009"/>
    <x v="422"/>
    <s v="COSU6503980090"/>
    <n v="53.489212962966121"/>
    <m/>
    <d v="2026-08-15T11:44:28"/>
    <s v="In Stock-Approved"/>
    <d v="2026-08-10T00:00:00"/>
    <n v="0"/>
    <d v="2026-08-15T11:44:28"/>
    <n v="2026"/>
    <n v="8"/>
    <n v="33"/>
    <n v="36"/>
    <n v="720"/>
    <s v="Transparent"/>
    <s v="AEU"/>
  </r>
  <r>
    <s v="26May012.10"/>
    <s v="Yixing"/>
    <s v="26May012"/>
    <s v="CORE DG"/>
    <x v="0"/>
    <s v="Arrival Plan-SPTN"/>
    <s v="CIF"/>
    <x v="0"/>
    <s v="U1"/>
    <x v="2"/>
    <m/>
    <m/>
    <s v="n/a"/>
    <d v="2026-05-25T00:00:00"/>
    <x v="0"/>
    <x v="75"/>
    <s v="HSM-ND66-GR630"/>
    <s v="H4(Com)"/>
    <s v="+400mm/-200mm"/>
    <n v="630"/>
    <n v="2880"/>
    <n v="1.8144"/>
    <n v="80"/>
    <n v="4"/>
    <x v="6"/>
    <s v="COMPLETED"/>
    <s v="六月10日"/>
    <d v="2026-06-14T00:00:00"/>
    <n v="24"/>
    <s v="POPV260618028"/>
    <m/>
    <s v="SHANGHAI"/>
    <x v="1"/>
    <x v="0"/>
    <d v="2026-06-23T00:00:00"/>
    <m/>
    <d v="2026-06-25T00:00:00"/>
    <d v="2026-08-04T00:00:00"/>
    <d v="2026-08-08T06:00:00"/>
    <d v="2026-08-08T05:44:13"/>
    <s v="CIF"/>
    <s v="CMA CGM MARCO POLO_x000a_0MEO3W1MA"/>
    <s v="COSCO"/>
    <s v="TPVB20260625011"/>
    <x v="423"/>
    <s v="COSU6504140950"/>
    <n v="44.239039351850806"/>
    <m/>
    <d v="2026-08-08T05:44:13"/>
    <s v="In Stock-Approved"/>
    <d v="2026-08-20T00:00:00"/>
    <n v="8"/>
    <d v="2026-08-16T05:44:13"/>
    <n v="2026"/>
    <n v="8"/>
    <n v="33"/>
    <n v="36"/>
    <n v="720"/>
    <s v="Transparent"/>
    <s v="AEM"/>
  </r>
  <r>
    <s v="26May012.05.01"/>
    <s v="Yixing"/>
    <s v="26May012"/>
    <s v="CORE DG"/>
    <x v="0"/>
    <s v="Arrival Plan-SPTN"/>
    <s v="CIF"/>
    <x v="0"/>
    <s v="U1"/>
    <x v="2"/>
    <m/>
    <m/>
    <s v="n/a"/>
    <d v="2026-05-25T00:00:00"/>
    <x v="0"/>
    <x v="75"/>
    <s v="HSM-ND66-GR630"/>
    <s v="H4(Com)"/>
    <s v="+400mm/-200mm"/>
    <n v="630"/>
    <n v="2160"/>
    <n v="1.3608"/>
    <n v="60"/>
    <n v="3"/>
    <x v="5"/>
    <s v="COMPLETED"/>
    <s v="6月10日"/>
    <d v="2026-06-14T00:00:00"/>
    <n v="24"/>
    <s v="POPV260618027"/>
    <m/>
    <s v="SHANGHAI"/>
    <x v="1"/>
    <x v="0"/>
    <d v="2026-06-23T00:00:00"/>
    <m/>
    <d v="2026-06-25T00:00:00"/>
    <d v="2026-08-04T00:00:00"/>
    <d v="2026-08-08T06:00:00"/>
    <d v="2026-08-08T05:44:13"/>
    <s v="CIF"/>
    <s v="CMA CGM MARCO POLO_x000a_0MEO3W1MA"/>
    <s v="COSCO"/>
    <s v="TPVB20260625011"/>
    <x v="423"/>
    <s v="COSU6504140950"/>
    <n v="44.239039351850806"/>
    <m/>
    <d v="2026-08-08T05:44:13"/>
    <s v="In Stock-Approved"/>
    <d v="2026-08-20T00:00:00"/>
    <n v="8"/>
    <d v="2026-08-16T05:44:13"/>
    <n v="2026"/>
    <n v="8"/>
    <n v="33"/>
    <n v="36"/>
    <n v="720"/>
    <s v="Transparent"/>
    <s v="AEM"/>
  </r>
  <r>
    <s v="26May012.05"/>
    <s v="Yixing"/>
    <s v="26May012"/>
    <s v="CORE DG"/>
    <x v="0"/>
    <s v="Arrival Plan-SPTN"/>
    <s v="CIF"/>
    <x v="0"/>
    <s v="U1"/>
    <x v="2"/>
    <m/>
    <m/>
    <s v="n/a"/>
    <d v="2026-05-25T00:00:00"/>
    <x v="0"/>
    <x v="75"/>
    <s v="HSM-ND66-GR630"/>
    <s v="H4(Com)"/>
    <s v="+400mm/-200mm"/>
    <n v="630"/>
    <n v="2160"/>
    <n v="1.3608"/>
    <n v="60"/>
    <n v="3"/>
    <x v="5"/>
    <s v="COMPLETED"/>
    <s v="6月10日"/>
    <d v="2026-06-14T00:00:00"/>
    <n v="24"/>
    <s v="POPV260618026"/>
    <m/>
    <s v="SHANGHAI"/>
    <x v="1"/>
    <x v="0"/>
    <d v="2026-06-26T00:00:00"/>
    <d v="2026-06-28T00:00:00"/>
    <d v="2026-06-28T00:00:00"/>
    <d v="2026-08-17T00:00:00"/>
    <m/>
    <d v="2026-08-25T05:43:49"/>
    <s v="CIF"/>
    <s v="EVER GLORY 0758-029W"/>
    <s v="COSCO"/>
    <s v="TPVB20260625012"/>
    <x v="424"/>
    <s v="COSU6504372270"/>
    <n v="58.238761574073578"/>
    <m/>
    <d v="2026-08-25T05:43:49"/>
    <s v="In Stock-Approved"/>
    <d v="2026-09-07T00:00:00"/>
    <n v="8"/>
    <d v="2026-09-02T05:43:49"/>
    <n v="2026"/>
    <n v="9"/>
    <n v="36"/>
    <n v="36"/>
    <n v="720"/>
    <s v="Transparent"/>
    <s v="AEM"/>
  </r>
  <r>
    <s v="26Jun008.05"/>
    <s v="Tianjin (transport to YIXING for shipment)"/>
    <s v="26Jun008"/>
    <s v="CORE DG"/>
    <x v="0"/>
    <s v="Arrival Plan-SPTN"/>
    <s v="CIF"/>
    <x v="0"/>
    <s v="U1"/>
    <x v="56"/>
    <m/>
    <m/>
    <s v="n/a"/>
    <d v="2026-06-15T00:00:00"/>
    <x v="0"/>
    <x v="79"/>
    <s v="HSM-ND66-GR625"/>
    <s v="H4(Com)"/>
    <s v="±1400mm"/>
    <n v="625"/>
    <n v="720"/>
    <n v="0.45"/>
    <n v="20"/>
    <n v="1"/>
    <x v="6"/>
    <s v="COMPLETED"/>
    <s v="to fill 1/3 gap sh-fos w25-6月20日"/>
    <d v="2026-06-20T00:00:00"/>
    <n v="25"/>
    <s v="POPV260626061"/>
    <m/>
    <s v="SHANGHAI"/>
    <x v="1"/>
    <x v="0"/>
    <d v="2026-06-26T00:00:00"/>
    <d v="2026-06-28T00:00:00"/>
    <d v="2026-06-28T00:00:00"/>
    <d v="2026-08-17T00:00:00"/>
    <m/>
    <d v="2026-08-25T05:43:49"/>
    <s v="CIF"/>
    <s v="EVER GLORY 0758-029W"/>
    <s v="COSCO"/>
    <s v="TPVB20260625014"/>
    <x v="425"/>
    <s v="COSU6504374270"/>
    <n v="58.238761574073578"/>
    <m/>
    <d v="2026-08-25T05:43:49"/>
    <s v="In Stock-Approved"/>
    <d v="2026-09-07T00:00:00"/>
    <n v="8"/>
    <d v="2026-09-02T05:43:49"/>
    <n v="2026"/>
    <n v="9"/>
    <n v="36"/>
    <n v="36"/>
    <n v="720"/>
    <s v="Transparent"/>
    <s v="AEM"/>
  </r>
  <r>
    <s v="26Jun008.01"/>
    <s v="Tianjin(Transport to Yixing for shipment)"/>
    <s v="26Jun008"/>
    <s v="CORE DG"/>
    <x v="0"/>
    <s v="Arrival Plan-SPTN"/>
    <s v="CIF"/>
    <x v="0"/>
    <s v="U1"/>
    <x v="56"/>
    <m/>
    <m/>
    <s v="n/a"/>
    <d v="2026-06-15T00:00:00"/>
    <x v="0"/>
    <x v="79"/>
    <s v="HSM-ND66-GR625"/>
    <s v="H4(Com)"/>
    <s v="±1400mm"/>
    <n v="625"/>
    <n v="1440"/>
    <n v="0.9"/>
    <n v="40"/>
    <n v="2"/>
    <x v="6"/>
    <s v="COMPLETED"/>
    <s v="to fill 2/3 gap sh-fos w25-6月20日"/>
    <d v="2026-06-20T00:00:00"/>
    <n v="25"/>
    <s v="POPV260626050"/>
    <m/>
    <s v="SHANGHAI"/>
    <x v="1"/>
    <x v="0"/>
    <d v="2026-06-26T00:00:00"/>
    <d v="2026-06-28T00:00:00"/>
    <d v="2026-06-28T00:00:00"/>
    <d v="2026-08-17T00:00:00"/>
    <m/>
    <d v="2026-08-25T05:43:49"/>
    <s v="CIF"/>
    <s v="EVER GLORY 0758-029W"/>
    <s v="COSCO"/>
    <s v="TPVB20260625014"/>
    <x v="425"/>
    <s v="COSU6504374270"/>
    <n v="58.238761574073578"/>
    <m/>
    <d v="2026-08-25T05:43:49"/>
    <s v="In Stock-Approved"/>
    <d v="2026-09-07T00:00:00"/>
    <n v="8"/>
    <d v="2026-09-02T05:43:49"/>
    <n v="2026"/>
    <n v="9"/>
    <n v="36"/>
    <n v="36"/>
    <n v="720"/>
    <s v="Transparent"/>
    <s v="AEM"/>
  </r>
  <r>
    <s v="26Jun003.02"/>
    <s v="Yixing"/>
    <s v="26Jun003"/>
    <s v="CORE DG"/>
    <x v="0"/>
    <s v="Arrival Plan-SPTN"/>
    <s v="CIF"/>
    <x v="0"/>
    <s v="U1"/>
    <x v="2"/>
    <m/>
    <m/>
    <s v="n/a"/>
    <d v="2026-06-15T00:00:00"/>
    <x v="1"/>
    <x v="6"/>
    <s v="TCL-MR465DT182-58NS"/>
    <s v="EVO2A"/>
    <s v="±1200mm"/>
    <n v="465"/>
    <n v="4320"/>
    <n v="2.0087999999999999"/>
    <n v="120"/>
    <n v="5"/>
    <x v="6"/>
    <s v="COMPLETED"/>
    <s v="六月20日"/>
    <d v="2026-06-19T00:00:00"/>
    <n v="25"/>
    <s v="POPV260626049"/>
    <m/>
    <s v="SHANGHAI"/>
    <x v="1"/>
    <x v="0"/>
    <d v="2026-06-26T00:00:00"/>
    <d v="2026-06-28T00:00:00"/>
    <d v="2026-06-28T00:00:00"/>
    <d v="2026-08-17T00:00:00"/>
    <m/>
    <d v="2026-08-25T05:43:49"/>
    <s v="CIF"/>
    <s v="EVER GLORY 0758-029W"/>
    <s v="COSCO"/>
    <s v="TPVB20260625014"/>
    <x v="425"/>
    <s v="COSU6504374270"/>
    <n v="58.238761574073578"/>
    <m/>
    <d v="2026-08-25T05:43:49"/>
    <s v="In Stock-Approved"/>
    <d v="2026-09-07T00:00:00"/>
    <n v="8"/>
    <d v="2026-09-02T05:43:49"/>
    <n v="2026"/>
    <n v="9"/>
    <n v="36"/>
    <n v="36"/>
    <n v="864"/>
    <s v="White glazing"/>
    <s v="AEM"/>
  </r>
  <r>
    <s v="26Jun007.01"/>
    <s v="Tianjin(Transport to Yixing for shipment)"/>
    <s v="26Jun007"/>
    <s v="CORE DG"/>
    <x v="0"/>
    <s v="Arrival Plan-SPTN"/>
    <s v="CIF"/>
    <x v="0"/>
    <s v="U1"/>
    <x v="56"/>
    <m/>
    <m/>
    <s v="n/a"/>
    <d v="2026-06-15T00:00:00"/>
    <x v="0"/>
    <x v="80"/>
    <s v="HSM-ND66-GR620"/>
    <s v="H4(Com)"/>
    <s v="±1400mm"/>
    <n v="620"/>
    <n v="4320"/>
    <n v="2.6783999999999999"/>
    <n v="120"/>
    <n v="6"/>
    <x v="6"/>
    <s v="COMPLETED"/>
    <s v="六月20日"/>
    <d v="2026-06-21T00:00:00"/>
    <n v="25"/>
    <s v="POPV260626047"/>
    <m/>
    <s v="SHANGHAI"/>
    <x v="1"/>
    <x v="0"/>
    <d v="2026-06-26T00:00:00"/>
    <d v="2026-06-28T00:00:00"/>
    <d v="2026-06-28T00:00:00"/>
    <d v="2026-08-17T00:00:00"/>
    <m/>
    <d v="2026-08-25T05:43:49"/>
    <s v="CIF"/>
    <s v="EVER GLORY 0758-029W"/>
    <s v="COSCO"/>
    <s v="TPVB20260625017"/>
    <x v="426"/>
    <s v="COSU6505411160"/>
    <n v="58.238761574073578"/>
    <m/>
    <d v="2026-08-25T05:43:49"/>
    <s v="In Stock-Approved"/>
    <d v="2026-09-07T00:00:00"/>
    <n v="8"/>
    <d v="2026-09-02T05:43:49"/>
    <n v="2026"/>
    <n v="9"/>
    <n v="36"/>
    <n v="36"/>
    <n v="720"/>
    <s v="Transparent"/>
    <s v="AEM"/>
  </r>
  <r>
    <s v="26Jun004.04"/>
    <s v="Yixing"/>
    <s v="26Jun004"/>
    <s v="CORE DG"/>
    <x v="0"/>
    <s v="Arrival Plan-SPTN"/>
    <s v="CIF"/>
    <x v="0"/>
    <s v="U1"/>
    <x v="2"/>
    <m/>
    <m/>
    <s v="n/a"/>
    <d v="2026-06-15T00:00:00"/>
    <x v="1"/>
    <x v="39"/>
    <s v="TCL-MR470DT182-58NS"/>
    <s v="EVO2A"/>
    <s v="±1200mm"/>
    <n v="470"/>
    <n v="2592"/>
    <n v="1.21824"/>
    <n v="72"/>
    <n v="3"/>
    <x v="6"/>
    <s v="COMPLETED"/>
    <s v="替26Jun001.01 六月12日"/>
    <d v="2026-06-18T00:00:00"/>
    <n v="25"/>
    <s v="POPV260618025"/>
    <m/>
    <s v="SHANGHAI"/>
    <x v="1"/>
    <x v="0"/>
    <d v="2026-06-26T00:00:00"/>
    <d v="2026-06-28T00:00:00"/>
    <d v="2026-06-28T00:00:00"/>
    <d v="2026-08-17T00:00:00"/>
    <m/>
    <d v="2026-08-25T05:43:49"/>
    <s v="CIF"/>
    <s v="EVER GLORY 0758-029W"/>
    <s v="COSCO"/>
    <s v="TPVB20260625015"/>
    <x v="427"/>
    <s v="COSU6504378210"/>
    <n v="58.238761574073578"/>
    <m/>
    <d v="2026-08-25T05:43:49"/>
    <s v="In Stock-Approved"/>
    <d v="2026-09-07T00:00:00"/>
    <n v="8"/>
    <d v="2026-09-02T05:43:49"/>
    <n v="2026"/>
    <n v="9"/>
    <n v="36"/>
    <n v="36"/>
    <n v="864"/>
    <s v="White glazing"/>
    <s v="AEM"/>
  </r>
  <r>
    <s v="26May011.08"/>
    <s v="Yixing"/>
    <s v="26May011"/>
    <s v="CORE DG"/>
    <x v="0"/>
    <s v="Arrival Plan-SPIT"/>
    <s v="CIF"/>
    <x v="4"/>
    <s v="U1"/>
    <x v="2"/>
    <m/>
    <m/>
    <s v="n/a"/>
    <d v="2026-05-25T00:00:00"/>
    <x v="0"/>
    <x v="74"/>
    <s v="HSM-ND66-GR625"/>
    <s v="H4(Com)"/>
    <s v="+400mm/-200mm"/>
    <n v="625"/>
    <n v="2160"/>
    <n v="1.35"/>
    <n v="60"/>
    <n v="3"/>
    <x v="6"/>
    <s v="COMPLETED"/>
    <s v="ITALY LABEL"/>
    <d v="2026-06-19T00:00:00"/>
    <n v="25"/>
    <s v="POPV260626046"/>
    <m/>
    <s v="SHANGHAI"/>
    <x v="1"/>
    <x v="14"/>
    <d v="2026-06-28T00:00:00"/>
    <d v="2026-07-02T00:00:00"/>
    <d v="2026-07-02T00:00:00"/>
    <d v="2026-08-16T00:00:00"/>
    <d v="2026-08-30T00:00:00"/>
    <d v="2026-08-30T00:00:00"/>
    <s v="CIF"/>
    <s v="CSCL JUPITER 094W"/>
    <s v="COSCO"/>
    <s v="TPVB20260625016"/>
    <x v="428"/>
    <s v="COSU6504138100"/>
    <n v="59"/>
    <m/>
    <d v="2026-08-30T00:00:00"/>
    <s v="In Transit-Approved"/>
    <d v="2026-09-14T00:00:00"/>
    <n v="10"/>
    <d v="2026-09-09T00:00:00"/>
    <n v="2026"/>
    <n v="9"/>
    <n v="37"/>
    <n v="36"/>
    <n v="720"/>
    <s v="Transparent"/>
    <s v="AEM"/>
  </r>
  <r>
    <s v="26Jun028.02"/>
    <s v="Yixing"/>
    <s v="26Jun028"/>
    <s v="CORE DG"/>
    <x v="0"/>
    <s v="Arrival Plan-SPIT"/>
    <s v="CIF"/>
    <x v="4"/>
    <s v="U1"/>
    <x v="2"/>
    <m/>
    <m/>
    <m/>
    <d v="2026-06-01T00:00:00"/>
    <x v="1"/>
    <x v="4"/>
    <s v="TCL-MG720DT210-68NS"/>
    <s v="EVO2A"/>
    <s v="±1400mm"/>
    <n v="720"/>
    <n v="1188"/>
    <n v="0.85536000000000001"/>
    <n v="36"/>
    <n v="2"/>
    <x v="6"/>
    <s v="COMPLETED"/>
    <s v="old stock-IT importer label"/>
    <d v="2026-06-19T00:00:00"/>
    <n v="25"/>
    <s v="POPV260626045"/>
    <m/>
    <s v="SHANGHAI"/>
    <x v="1"/>
    <x v="14"/>
    <d v="2026-06-28T00:00:00"/>
    <d v="2026-07-02T00:00:00"/>
    <d v="2026-07-02T00:00:00"/>
    <d v="2026-08-16T00:00:00"/>
    <d v="2026-08-30T06:00:00"/>
    <d v="2026-08-30T00:00:00"/>
    <s v="CIF"/>
    <s v="CSCL JUPITER 094W"/>
    <s v="COSCO"/>
    <s v="TPVB20260625016"/>
    <x v="428"/>
    <s v="COSU6504138100"/>
    <n v="59"/>
    <m/>
    <d v="2026-08-30T00:00:00"/>
    <s v="In Transit-Approved"/>
    <d v="2026-09-14T00:00:00"/>
    <n v="10"/>
    <d v="2026-09-09T00:00:00"/>
    <n v="2026"/>
    <n v="9"/>
    <n v="37"/>
    <n v="33"/>
    <n v="594"/>
    <s v="White glazing"/>
    <s v="AEM"/>
  </r>
  <r>
    <s v="26May007.05.02"/>
    <s v="Tianjin"/>
    <s v="26May007"/>
    <s v="CORE DG"/>
    <x v="0"/>
    <s v="Arrival Plan-SPNL"/>
    <s v="CIF"/>
    <x v="0"/>
    <s v="U1"/>
    <x v="2"/>
    <m/>
    <m/>
    <s v="n/a"/>
    <d v="2025-06-01T00:00:00"/>
    <x v="0"/>
    <x v="7"/>
    <s v="HSM-ND48-DR450"/>
    <s v="EVO2A"/>
    <s v="±1200mm"/>
    <n v="450"/>
    <n v="936"/>
    <n v="0.42120000000000002"/>
    <n v="26"/>
    <n v="1"/>
    <x v="4"/>
    <s v="COMPLETED"/>
    <s v="六月8日"/>
    <d v="2026-06-17T00:00:00"/>
    <n v="25"/>
    <s v="POPV260618024"/>
    <m/>
    <s v="TIANJIN"/>
    <x v="0"/>
    <x v="1"/>
    <d v="2026-06-24T00:00:00"/>
    <m/>
    <d v="2026-06-24T00:00:00"/>
    <d v="2026-08-22T00:00:00"/>
    <d v="2026-08-28T04:30:00"/>
    <d v="2026-08-28T00:00:00"/>
    <s v="CIF"/>
    <s v="OOCL SWEDEN 008W"/>
    <s v="COSCO"/>
    <s v="TPVB20260625008"/>
    <x v="429"/>
    <s v="COSU9507886950"/>
    <n v="65"/>
    <m/>
    <d v="2026-08-28T00:00:00"/>
    <s v="In Stock-Approved"/>
    <d v="2026-09-11T00:00:00"/>
    <n v="7"/>
    <d v="2026-09-04T00:00:00"/>
    <n v="2026"/>
    <n v="9"/>
    <n v="36"/>
    <n v="36"/>
    <n v="936"/>
    <s v="Black glazing"/>
    <s v="AEU"/>
  </r>
  <r>
    <s v="26May007.09"/>
    <s v="Tianjin"/>
    <s v="26May007"/>
    <s v="CORE DG"/>
    <x v="0"/>
    <s v="Arrival Plan-SPNL"/>
    <s v="CIF"/>
    <x v="0"/>
    <s v="U1"/>
    <x v="2"/>
    <m/>
    <m/>
    <s v="n/a"/>
    <d v="2025-06-01T00:00:00"/>
    <x v="0"/>
    <x v="7"/>
    <s v="HSM-ND48-DR450"/>
    <s v="EVO2A"/>
    <s v="±1200mm"/>
    <n v="450"/>
    <n v="4680"/>
    <n v="2.1059999999999999"/>
    <n v="130"/>
    <n v="5"/>
    <x v="6"/>
    <s v="COMPLETED"/>
    <s v="六月14日"/>
    <d v="2026-06-16T00:00:00"/>
    <n v="25"/>
    <s v="POPV260618042"/>
    <m/>
    <s v="TIANJIN"/>
    <x v="0"/>
    <x v="1"/>
    <d v="2026-06-24T00:00:00"/>
    <m/>
    <d v="2026-06-24T00:00:00"/>
    <d v="2026-08-04T00:00:00"/>
    <d v="2026-08-10T07:00:00"/>
    <d v="2026-08-10T08:22:30"/>
    <s v="CIF"/>
    <s v="OOCL SWEDEN 008W"/>
    <s v="COSCO"/>
    <s v="TPVB20260625003"/>
    <x v="430"/>
    <s v="COSU9507829660"/>
    <n v="47.348958333335759"/>
    <m/>
    <d v="2026-08-10T08:22:30"/>
    <s v="In Stock-Approved"/>
    <d v="2026-08-25T00:00:00"/>
    <n v="7"/>
    <d v="2026-08-17T08:22:30"/>
    <n v="2026"/>
    <n v="8"/>
    <n v="34"/>
    <n v="36"/>
    <n v="936"/>
    <s v="Black glazing"/>
    <s v="AEU"/>
  </r>
  <r>
    <s v="26Jun023"/>
    <s v="Tianjin"/>
    <s v="Main Line"/>
    <s v="CORE DG"/>
    <x v="0"/>
    <s v="Arrival Plan-SPTN"/>
    <s v="CIF"/>
    <x v="0"/>
    <s v="U1"/>
    <x v="2"/>
    <m/>
    <m/>
    <s v="n/a"/>
    <d v="2026-06-01T00:00:00"/>
    <x v="6"/>
    <x v="21"/>
    <s v="SPR-P7-510-BLK-P"/>
    <s v="EVO2A"/>
    <s v="±1350mm"/>
    <n v="510"/>
    <n v="3168"/>
    <n v="1.61568"/>
    <n v="88"/>
    <n v="4"/>
    <x v="6"/>
    <s v="COMPLETED"/>
    <s v="old stock"/>
    <d v="2026-06-17T00:00:00"/>
    <n v="25"/>
    <s v="POPV260618044"/>
    <m/>
    <s v="TIANJIN"/>
    <x v="0"/>
    <x v="0"/>
    <d v="2026-06-24T00:00:00"/>
    <m/>
    <d v="2026-06-24T00:00:00"/>
    <d v="2026-08-31T00:00:00"/>
    <d v="2026-09-13T02:00:00"/>
    <d v="2026-09-13T04:29:03"/>
    <s v="CIF"/>
    <s v="OOCL SWEDEN 008W"/>
    <s v="COSCO"/>
    <s v="TPVB20260625004"/>
    <x v="431"/>
    <s v="COSU9507886600"/>
    <n v="81.186840277776355"/>
    <m/>
    <d v="2026-09-13T04:29:03"/>
    <s v="In Transit-Approved"/>
    <d v="2026-09-25T00:00:00"/>
    <n v="8"/>
    <d v="2026-09-21T04:29:03"/>
    <n v="2026"/>
    <n v="9"/>
    <n v="39"/>
    <n v="36"/>
    <n v="792"/>
    <s v="Black glazing"/>
    <s v="AEM"/>
  </r>
  <r>
    <s v="26Jun030"/>
    <s v="Tianjin"/>
    <s v="Main Line"/>
    <s v="CORE DG"/>
    <x v="0"/>
    <s v="Arrival Plan-SPTN"/>
    <s v="CIF"/>
    <x v="0"/>
    <s v="U1"/>
    <x v="2"/>
    <m/>
    <m/>
    <s v="n/a"/>
    <d v="2026-06-01T00:00:00"/>
    <x v="0"/>
    <x v="40"/>
    <s v="HSM-ND66-GR620"/>
    <s v="EVO2A"/>
    <s v="±1400mm"/>
    <n v="620"/>
    <n v="1440"/>
    <n v="0.89280000000000004"/>
    <n v="40"/>
    <n v="2"/>
    <x v="6"/>
    <s v="COMPLETED"/>
    <s v="old stock"/>
    <d v="2026-06-17T00:00:00"/>
    <n v="25"/>
    <s v="POPV260618045"/>
    <m/>
    <s v="TIANJIN"/>
    <x v="0"/>
    <x v="0"/>
    <d v="2026-06-24T00:00:00"/>
    <m/>
    <d v="2026-06-24T00:00:00"/>
    <d v="2026-08-25T00:00:00"/>
    <d v="2026-09-07T20:00:00"/>
    <d v="2026-09-07T00:00:00"/>
    <s v="CIF"/>
    <s v="OOCL SWEDEN 008W"/>
    <s v="COSCO"/>
    <s v="TPVB20260625005"/>
    <x v="432"/>
    <s v="COSU9507886780"/>
    <n v="75"/>
    <m/>
    <d v="2026-09-07T00:00:00"/>
    <s v="In Transit-Approved"/>
    <d v="2026-09-24T00:00:00"/>
    <n v="8"/>
    <d v="2026-09-15T00:00:00"/>
    <n v="2026"/>
    <n v="9"/>
    <n v="38"/>
    <n v="36"/>
    <n v="720"/>
    <s v="White glazing"/>
    <s v="AEM"/>
  </r>
  <r>
    <s v="26May010.06.02"/>
    <s v="Tianjin"/>
    <s v="26May010"/>
    <s v="CORE DG"/>
    <x v="0"/>
    <s v="Arrival Plan-SPUK"/>
    <s v="CIF"/>
    <x v="6"/>
    <s v="U1"/>
    <x v="118"/>
    <m/>
    <m/>
    <s v="n/a"/>
    <d v="2026-05-11T00:00:00"/>
    <x v="0"/>
    <x v="43"/>
    <s v="HSM-ND54-DR505"/>
    <s v="EVO2A"/>
    <s v="±1200mm"/>
    <n v="505"/>
    <n v="864"/>
    <n v="0.43631999999999999"/>
    <n v="24"/>
    <n v="1"/>
    <x v="6"/>
    <s v="COMPLETED"/>
    <m/>
    <d v="2026-06-17T00:00:00"/>
    <n v="25"/>
    <s v="POPV260618046"/>
    <m/>
    <s v="TIANJIN"/>
    <x v="0"/>
    <x v="6"/>
    <d v="2026-06-24T00:00:00"/>
    <m/>
    <d v="2026-06-24T00:00:00"/>
    <d v="2026-08-16T00:00:00"/>
    <d v="2026-08-19T18:00:00"/>
    <d v="2026-08-19T17:44:24"/>
    <s v="CIF"/>
    <s v="OOCL SWEDEN 008W"/>
    <s v="COSCO"/>
    <s v="TPVB20260625007"/>
    <x v="433"/>
    <s v="COSU6504801500"/>
    <n v="56.739166666666279"/>
    <m/>
    <d v="2026-08-19T17:44:24"/>
    <s v="In Stock-Approved"/>
    <d v="2026-09-02T00:00:00"/>
    <n v="7"/>
    <d v="2026-08-26T17:44:24"/>
    <n v="2026"/>
    <n v="8"/>
    <n v="35"/>
    <n v="36"/>
    <n v="864"/>
    <s v="Black glazing"/>
    <s v="AEU"/>
  </r>
  <r>
    <s v="26Jun007.03.01"/>
    <s v="Tianjin"/>
    <s v="26Jun007"/>
    <s v="CORE DG"/>
    <x v="0"/>
    <s v="Arrival Plan-SPTN"/>
    <s v="CIF"/>
    <x v="0"/>
    <s v="U1"/>
    <x v="56"/>
    <m/>
    <m/>
    <s v="n/a"/>
    <d v="2026-06-15T00:00:00"/>
    <x v="0"/>
    <x v="80"/>
    <s v="HSM-ND66-GR620"/>
    <s v="H4(Com)"/>
    <s v="±1400mm"/>
    <n v="620"/>
    <n v="720"/>
    <n v="0.44640000000000002"/>
    <n v="20"/>
    <n v="1"/>
    <x v="6"/>
    <s v="COMPLETED"/>
    <m/>
    <d v="2026-06-18T00:00:00"/>
    <n v="25"/>
    <s v="POPV260618047"/>
    <m/>
    <s v="TIANJIN"/>
    <x v="0"/>
    <x v="0"/>
    <d v="2026-06-24T00:00:00"/>
    <m/>
    <d v="2026-06-24T00:00:00"/>
    <d v="2026-08-20T00:00:00"/>
    <d v="2026-09-07T20:00:00"/>
    <d v="2026-09-07T00:00:00"/>
    <s v="CIF"/>
    <s v="OOCL SWEDEN 008W"/>
    <s v="COSCO"/>
    <s v="TPVB20260625006"/>
    <x v="434"/>
    <s v="COSU9507886860"/>
    <n v="75"/>
    <m/>
    <d v="2026-09-07T00:00:00"/>
    <s v="In Transit-Approved"/>
    <d v="2026-09-21T00:00:00"/>
    <n v="8"/>
    <d v="2026-09-15T00:00:00"/>
    <n v="2026"/>
    <n v="9"/>
    <n v="38"/>
    <n v="36"/>
    <n v="720"/>
    <s v="Transparent"/>
    <s v="AEM"/>
  </r>
  <r>
    <s v="26Jun011.03"/>
    <s v="Quzhou"/>
    <s v="26Jun011"/>
    <s v="CORE DG"/>
    <x v="1"/>
    <s v="SPTN Offstore in Transit WH"/>
    <s v="CIF"/>
    <x v="14"/>
    <s v="U1"/>
    <x v="154"/>
    <s v="PL0126052000013"/>
    <n v="2"/>
    <s v="Yes"/>
    <d v="2026-06-22T00:00:00"/>
    <x v="0"/>
    <x v="0"/>
    <s v="HSM-ND54-DR500"/>
    <s v="EVO2A"/>
    <s v="±1200mm"/>
    <n v="500"/>
    <n v="3456"/>
    <n v="1.728"/>
    <n v="96"/>
    <n v="4"/>
    <x v="7"/>
    <s v="COMPLETED"/>
    <s v="六月23日"/>
    <d v="2026-06-23T00:00:00"/>
    <n v="26"/>
    <s v="POPV260626043"/>
    <m/>
    <s v="NINGBO / QUZHOU"/>
    <x v="3"/>
    <x v="9"/>
    <d v="2026-06-28T00:00:00"/>
    <d v="2026-06-29T00:00:00"/>
    <d v="2026-06-30T00:00:00"/>
    <d v="2026-08-23T00:00:00"/>
    <m/>
    <d v="2026-08-26T00:00:00"/>
    <m/>
    <s v="AL NEFUD / 626W"/>
    <s v="OTHER"/>
    <s v="TPVB20260626002"/>
    <x v="435"/>
    <s v="264892542B"/>
    <n v="57"/>
    <m/>
    <d v="2026-08-26T00:00:00"/>
    <s v="In Stock-Approved"/>
    <d v="2026-08-23T00:00:00"/>
    <n v="0"/>
    <d v="2026-08-26T00:00:00"/>
    <n v="2026"/>
    <n v="8"/>
    <n v="35"/>
    <n v="36"/>
    <n v="864"/>
    <s v="Black glazing"/>
    <s v="AEU"/>
  </r>
  <r>
    <s v="26Jun011.04"/>
    <s v="Quzhou"/>
    <s v="26Jun011"/>
    <s v="CORE DG"/>
    <x v="1"/>
    <s v="SPTN Offstore in Transit WH"/>
    <s v="CIF"/>
    <x v="14"/>
    <s v="U1"/>
    <x v="155"/>
    <s v="PL0126052000013"/>
    <n v="3"/>
    <s v="Yes"/>
    <d v="2026-06-22T00:00:00"/>
    <x v="0"/>
    <x v="0"/>
    <s v="HSM-ND54-DR500"/>
    <s v="EVO2A"/>
    <s v="±1200mm"/>
    <n v="500"/>
    <n v="4320"/>
    <n v="2.16"/>
    <n v="120"/>
    <n v="5"/>
    <x v="7"/>
    <s v="COMPLETED"/>
    <s v="六月23日"/>
    <d v="2026-06-25T00:00:00"/>
    <n v="26"/>
    <s v="POPV260626044"/>
    <m/>
    <s v="NINGBO / QUZHOU"/>
    <x v="3"/>
    <x v="9"/>
    <d v="2026-06-30T00:00:00"/>
    <m/>
    <d v="2026-06-30T00:00:00"/>
    <d v="2026-08-15T00:00:00"/>
    <d v="2026-08-23T00:00:00"/>
    <d v="2026-08-18T00:00:00"/>
    <m/>
    <s v="SANTA CRUZ/ 627W"/>
    <s v="OTHER"/>
    <s v="TPVB20260626004"/>
    <x v="436"/>
    <s v="802344475B"/>
    <n v="49"/>
    <m/>
    <d v="2026-08-18T00:00:00"/>
    <s v="In Stock-Approved"/>
    <d v="2026-08-15T00:00:00"/>
    <n v="0"/>
    <d v="2026-08-18T00:00:00"/>
    <n v="2026"/>
    <n v="8"/>
    <n v="34"/>
    <n v="36"/>
    <n v="864"/>
    <s v="Black glazing"/>
    <s v="AEU"/>
  </r>
  <r>
    <s v="26Jun012.12"/>
    <s v="Quzhou"/>
    <s v="26Jun012"/>
    <s v="CORE DG"/>
    <x v="0"/>
    <s v="Arrival Plan-SPUK"/>
    <s v="CIF"/>
    <x v="6"/>
    <s v="U1"/>
    <x v="118"/>
    <m/>
    <m/>
    <s v="n/a"/>
    <d v="2026-06-22T00:00:00"/>
    <x v="0"/>
    <x v="43"/>
    <s v="HSM-ND54-DR505"/>
    <s v="EVO2A"/>
    <s v="±1200mm"/>
    <n v="505"/>
    <n v="864"/>
    <n v="0.43631999999999999"/>
    <n v="24"/>
    <n v="1"/>
    <x v="7"/>
    <s v="COMPLETED"/>
    <s v="六月23日"/>
    <d v="2026-06-25T00:00:00"/>
    <n v="26"/>
    <s v="POPV260626042"/>
    <m/>
    <s v="SHANGHAI / QUZHOU"/>
    <x v="1"/>
    <x v="6"/>
    <d v="2026-06-29T00:00:00"/>
    <d v="2026-07-01T00:00:00"/>
    <d v="2026-07-01T00:00:00"/>
    <d v="2026-08-09T00:00:00"/>
    <m/>
    <d v="2026-08-22T11:33:54"/>
    <m/>
    <s v="COSCO SPAIN 079W"/>
    <s v="COSCO"/>
    <s v="TPVB20260626010"/>
    <x v="437"/>
    <s v="COSU6505324630"/>
    <n v="52.481874999997672"/>
    <m/>
    <d v="2026-08-22T11:33:54"/>
    <s v="In Stock-Approved"/>
    <d v="2026-09-04T00:00:00"/>
    <n v="7"/>
    <d v="2026-08-29T11:33:54"/>
    <n v="2026"/>
    <n v="8"/>
    <n v="35"/>
    <n v="36"/>
    <n v="864"/>
    <s v="Black glazing"/>
    <s v="AEU"/>
  </r>
  <r>
    <s v="26Jun002.01"/>
    <s v="Yixing"/>
    <s v="26Jun002"/>
    <s v="CORE DG"/>
    <x v="0"/>
    <s v="Arrival Plan-SPUK"/>
    <s v="CIF"/>
    <x v="6"/>
    <s v="U1"/>
    <x v="2"/>
    <m/>
    <m/>
    <s v="n/a"/>
    <d v="2026-06-19T00:00:00"/>
    <x v="6"/>
    <x v="69"/>
    <s v="SPR-P7-515-BLK-P"/>
    <s v="EVO2A"/>
    <s v="±1350mm"/>
    <n v="515"/>
    <n v="1584"/>
    <n v="0.81576000000000004"/>
    <n v="44"/>
    <n v="2"/>
    <x v="7"/>
    <s v="COMPLETED"/>
    <s v="六月26日"/>
    <d v="2026-06-25T00:00:00"/>
    <n v="26"/>
    <s v="POPV260626041"/>
    <m/>
    <s v="SHANGHAI"/>
    <x v="1"/>
    <x v="6"/>
    <d v="2026-06-29T00:00:00"/>
    <d v="2026-07-01T00:00:00"/>
    <d v="2026-07-01T00:00:00"/>
    <d v="2026-08-09T00:00:00"/>
    <m/>
    <d v="2026-08-22T11:33:54"/>
    <m/>
    <s v="COSCO SPAIN 079W"/>
    <s v="COSCO"/>
    <s v="TPVB20260626014"/>
    <x v="438"/>
    <s v="COSU6503833660"/>
    <n v="52.481874999997672"/>
    <m/>
    <d v="2026-08-22T11:33:54"/>
    <s v="In Stock-Approved"/>
    <d v="2026-09-04T00:00:00"/>
    <n v="7"/>
    <d v="2026-08-29T11:33:54"/>
    <n v="2026"/>
    <n v="8"/>
    <n v="35"/>
    <n v="36"/>
    <n v="792"/>
    <s v="Black glazing"/>
    <s v="AEU"/>
  </r>
  <r>
    <s v="26May013.01.01"/>
    <s v="Yixing"/>
    <s v="26May013"/>
    <s v="CORE DG"/>
    <x v="1"/>
    <s v="SPTN Offstore in Transit WH"/>
    <s v="CIF"/>
    <x v="23"/>
    <s v="U3"/>
    <x v="139"/>
    <s v="AT0126042100006"/>
    <n v="27"/>
    <s v="Yes"/>
    <d v="2026-06-08T00:00:00"/>
    <x v="0"/>
    <x v="77"/>
    <s v="HSM-ND66-GK720"/>
    <s v="H4(Com)"/>
    <s v="+400mm/-200mm"/>
    <n v="720"/>
    <n v="594"/>
    <n v="0.42768"/>
    <n v="18"/>
    <n v="1"/>
    <x v="5"/>
    <s v="COMPLETED"/>
    <s v="六月20日"/>
    <d v="2026-06-26T00:00:00"/>
    <n v="26"/>
    <s v="POPV260626040"/>
    <m/>
    <s v="SHANGHAI"/>
    <x v="1"/>
    <x v="1"/>
    <d v="2026-07-01T00:00:00"/>
    <d v="2026-07-03T00:00:00"/>
    <d v="2026-07-03T00:00:00"/>
    <d v="2026-08-04T00:00:00"/>
    <d v="2026-08-10T07:00:00"/>
    <d v="2026-08-10T08:22:30"/>
    <m/>
    <s v="OOCL SWEDEN 008W"/>
    <s v="COSCO"/>
    <s v="TPVB20260626020"/>
    <x v="439"/>
    <s v="COSU6505377920"/>
    <n v="38.348958333335759"/>
    <m/>
    <d v="2026-08-10T08:22:30"/>
    <s v="In Stock-Approved"/>
    <d v="2026-08-04T00:00:00"/>
    <n v="0"/>
    <d v="2026-08-10T08:22:30"/>
    <n v="2026"/>
    <n v="8"/>
    <n v="33"/>
    <n v="33"/>
    <n v="594"/>
    <s v="Transparent"/>
    <s v="AEU"/>
  </r>
  <r>
    <s v="26May013.02"/>
    <s v="Yixing"/>
    <s v="26May013"/>
    <s v="CORE DG"/>
    <x v="1"/>
    <s v="SPTN Offstore in Transit WH"/>
    <s v="CIF"/>
    <x v="23"/>
    <s v="U3"/>
    <x v="139"/>
    <s v="AT0126042100006"/>
    <n v="28"/>
    <s v="Yes"/>
    <d v="2026-06-08T00:00:00"/>
    <x v="0"/>
    <x v="77"/>
    <s v="HSM-ND66-GK720"/>
    <s v="H4(Com)"/>
    <s v="+400mm/-200mm"/>
    <n v="720"/>
    <n v="5940"/>
    <n v="4.2767999999999997"/>
    <n v="180"/>
    <n v="10"/>
    <x v="6"/>
    <s v="COMPLETED"/>
    <s v="六月20日"/>
    <d v="2026-06-26T00:00:00"/>
    <n v="26"/>
    <s v="POPV260629040"/>
    <m/>
    <s v="SHANGHAI"/>
    <x v="1"/>
    <x v="1"/>
    <d v="2026-07-01T00:00:00"/>
    <d v="2026-07-03T00:00:00"/>
    <d v="2026-07-03T00:00:00"/>
    <d v="2026-08-04T00:00:00"/>
    <d v="2026-08-10T07:00:00"/>
    <d v="2026-08-10T08:22:30"/>
    <m/>
    <s v="OOCL SWEDEN 008W"/>
    <s v="COSCO"/>
    <s v="TPVB20260626020"/>
    <x v="439"/>
    <s v="COSU6505377920"/>
    <n v="38.348958333335759"/>
    <m/>
    <d v="2026-08-10T08:22:30"/>
    <s v="In Stock-Approved"/>
    <d v="2026-08-04T00:00:00"/>
    <n v="0"/>
    <d v="2026-08-10T08:22:30"/>
    <n v="2026"/>
    <n v="8"/>
    <n v="33"/>
    <n v="33"/>
    <n v="594"/>
    <s v="Transparent"/>
    <s v="AEU"/>
  </r>
  <r>
    <s v="26May014.07"/>
    <s v="Yixing"/>
    <s v="26May014"/>
    <s v="CORE DG"/>
    <x v="1"/>
    <s v="SPTN Offstore in Transit WH"/>
    <s v="CIF"/>
    <x v="23"/>
    <s v="U1"/>
    <x v="139"/>
    <s v="AT0126042100006"/>
    <n v="32"/>
    <s v="Yes"/>
    <d v="2026-06-08T00:00:00"/>
    <x v="0"/>
    <x v="78"/>
    <s v="HSM-ND66-GK725"/>
    <s v="H4(Com)"/>
    <s v="+400mm/-200mm"/>
    <n v="725"/>
    <n v="2970"/>
    <n v="2.1532499999999999"/>
    <n v="90"/>
    <n v="5"/>
    <x v="5"/>
    <s v="COMPLETED"/>
    <s v="六月13日"/>
    <d v="2026-06-21T00:00:00"/>
    <n v="25"/>
    <s v="POPV260626039"/>
    <m/>
    <s v="SHANGHAI"/>
    <x v="1"/>
    <x v="1"/>
    <d v="2026-06-30T00:00:00"/>
    <d v="2026-07-17T00:00:00"/>
    <d v="2026-07-17T00:00:00"/>
    <d v="2026-08-05T00:00:00"/>
    <d v="2026-08-26T12:00:00"/>
    <d v="2026-08-26T00:00:00"/>
    <m/>
    <s v="EVER ART 1407-015W"/>
    <s v="COSCO"/>
    <s v="TPVB20260626009"/>
    <x v="440"/>
    <s v="COSU6505017200"/>
    <n v="40"/>
    <m/>
    <d v="2026-08-26T00:00:00"/>
    <s v="In Stock-Approved"/>
    <d v="2026-08-05T00:00:00"/>
    <n v="0"/>
    <d v="2026-08-26T00:00:00"/>
    <n v="2026"/>
    <n v="8"/>
    <n v="35"/>
    <n v="33"/>
    <n v="594"/>
    <s v="Transparent"/>
    <s v="AEU"/>
  </r>
  <r>
    <s v="26May014.03.01"/>
    <s v="Yixing"/>
    <s v="26May014"/>
    <s v="CORE DG"/>
    <x v="1"/>
    <s v="SPTN Offstore in Transit WH"/>
    <s v="CIF"/>
    <x v="23"/>
    <s v="U1"/>
    <x v="139"/>
    <s v="AT0126042100006"/>
    <n v="33"/>
    <s v="Yes"/>
    <d v="2026-06-08T00:00:00"/>
    <x v="0"/>
    <x v="78"/>
    <s v="HSM-ND66-GK725"/>
    <s v="H4(Com)"/>
    <s v="+400mm/-200mm"/>
    <n v="725"/>
    <n v="594"/>
    <n v="0.43064999999999998"/>
    <n v="18"/>
    <n v="1"/>
    <x v="7"/>
    <s v="COMPLETED"/>
    <s v="六月13日"/>
    <d v="2026-06-23T00:00:00"/>
    <n v="26"/>
    <s v="POPV260626037"/>
    <m/>
    <s v="SHANGHAI"/>
    <x v="1"/>
    <x v="1"/>
    <d v="2026-07-01T00:00:00"/>
    <d v="2026-07-03T00:00:00"/>
    <d v="2026-07-03T00:00:00"/>
    <d v="2026-08-15T00:00:00"/>
    <d v="2026-08-10T07:00:00"/>
    <d v="2026-08-10T08:22:30"/>
    <m/>
    <s v="COSCO SPAIN 079W"/>
    <s v="COSCO"/>
    <s v="TPVB20260626008"/>
    <x v="441"/>
    <s v="COSU6504983950"/>
    <n v="38.348958333335759"/>
    <m/>
    <d v="2026-08-10T08:22:30"/>
    <s v="In Stock-Approved"/>
    <d v="2026-08-15T00:00:00"/>
    <n v="0"/>
    <d v="2026-08-10T08:22:30"/>
    <n v="2026"/>
    <n v="8"/>
    <n v="33"/>
    <n v="33"/>
    <n v="594"/>
    <s v="Transparent"/>
    <s v="AEU"/>
  </r>
  <r>
    <s v="26May014.01"/>
    <s v="Yixing"/>
    <s v="26May014"/>
    <s v="CORE DG"/>
    <x v="1"/>
    <s v="SPTN Offstore in Transit WH"/>
    <s v="CIF"/>
    <x v="23"/>
    <s v="U1"/>
    <x v="139"/>
    <s v="AT0126042100006"/>
    <n v="34"/>
    <s v="Yes"/>
    <d v="2026-06-08T00:00:00"/>
    <x v="0"/>
    <x v="78"/>
    <s v="HSM-ND66-GK725"/>
    <s v="H4(Com)"/>
    <s v="+400mm/-200mm"/>
    <n v="725"/>
    <n v="2970"/>
    <n v="2.1532499999999999"/>
    <n v="90"/>
    <n v="5"/>
    <x v="5"/>
    <s v="COMPLETED"/>
    <s v="六月13日"/>
    <d v="2026-06-23T00:00:00"/>
    <n v="26"/>
    <s v="POPV260626036"/>
    <m/>
    <s v="SHANGHAI"/>
    <x v="1"/>
    <x v="1"/>
    <d v="2026-07-01T00:00:00"/>
    <d v="2026-07-03T00:00:00"/>
    <d v="2026-07-03T00:00:00"/>
    <d v="2026-08-15T00:00:00"/>
    <d v="2026-08-10T07:00:00"/>
    <d v="2026-08-10T08:22:30"/>
    <m/>
    <s v="COSCO SPAIN 079W"/>
    <s v="COSCO"/>
    <s v="TPVB20260626008"/>
    <x v="441"/>
    <s v="COSU6504983950"/>
    <n v="38.348958333335759"/>
    <m/>
    <d v="2026-08-10T08:22:30"/>
    <s v="In Stock-Approved"/>
    <d v="2026-08-15T00:00:00"/>
    <n v="0"/>
    <d v="2026-08-10T08:22:30"/>
    <n v="2026"/>
    <n v="8"/>
    <n v="33"/>
    <n v="33"/>
    <n v="594"/>
    <s v="Transparent"/>
    <s v="AEU"/>
  </r>
  <r>
    <s v="26May013.03.01"/>
    <s v="Yixing"/>
    <s v="26May013"/>
    <s v="CORE DG"/>
    <x v="1"/>
    <s v="SPTN Offstore in Transit WH"/>
    <s v="CIF"/>
    <x v="23"/>
    <s v="U3"/>
    <x v="139"/>
    <s v="AT0126042100006"/>
    <n v="50"/>
    <s v="Yes"/>
    <d v="2026-06-08T00:00:00"/>
    <x v="0"/>
    <x v="77"/>
    <s v="HSM-ND66-GK720"/>
    <s v="H4(Com)"/>
    <s v="+400mm/-200mm"/>
    <n v="720"/>
    <n v="1188"/>
    <n v="0.85536000000000001"/>
    <n v="36"/>
    <n v="2"/>
    <x v="7"/>
    <s v="COMPLETED"/>
    <s v="六月20日"/>
    <d v="2026-06-26T00:00:00"/>
    <n v="26"/>
    <s v="POPV260626035"/>
    <m/>
    <s v="SHANGHAI"/>
    <x v="1"/>
    <x v="1"/>
    <d v="2026-07-01T00:00:00"/>
    <d v="2026-07-03T00:00:00"/>
    <d v="2026-07-03T00:00:00"/>
    <d v="2026-08-04T00:00:00"/>
    <d v="2026-08-10T07:00:00"/>
    <d v="2026-08-10T08:22:30"/>
    <m/>
    <s v="OOCL SWEDEN 008W"/>
    <s v="COSCO"/>
    <s v="TPVB20260626015"/>
    <x v="442"/>
    <s v="COSU6505404590"/>
    <n v="38.348958333335759"/>
    <m/>
    <d v="2026-08-10T08:22:30"/>
    <s v="In Stock-Approved"/>
    <d v="2026-08-04T00:00:00"/>
    <n v="0"/>
    <d v="2026-08-10T08:22:30"/>
    <n v="2026"/>
    <n v="8"/>
    <n v="33"/>
    <n v="33"/>
    <n v="594"/>
    <s v="Transparent"/>
    <s v="AEU"/>
  </r>
  <r>
    <s v="26Jun004.04.01"/>
    <s v="Yixing"/>
    <s v="26Jun004"/>
    <s v="CORE DG"/>
    <x v="0"/>
    <s v="Arrival Plan-SPTN"/>
    <s v="CIF"/>
    <x v="0"/>
    <s v="U1"/>
    <x v="2"/>
    <m/>
    <m/>
    <s v="n/a"/>
    <d v="2026-06-15T00:00:00"/>
    <x v="1"/>
    <x v="39"/>
    <s v="TCL-MR470DT182-58NS"/>
    <s v="EVO2A"/>
    <s v="±1200mm"/>
    <n v="470"/>
    <n v="1728"/>
    <n v="0.81215999999999999"/>
    <n v="48"/>
    <n v="2"/>
    <x v="7"/>
    <s v="COMPLETED"/>
    <s v="替26Jun015.03(六月14日)"/>
    <d v="2026-06-24T00:00:00"/>
    <n v="26"/>
    <s v="POPV260626053"/>
    <m/>
    <s v="SHANGHAI"/>
    <x v="1"/>
    <x v="0"/>
    <d v="2026-06-30T00:00:00"/>
    <d v="2026-07-06T00:00:00"/>
    <d v="2026-07-06T00:00:00"/>
    <d v="2026-08-12T00:00:00"/>
    <m/>
    <d v="2026-08-19T11:23:00"/>
    <m/>
    <s v="CMA CGM SORBONNE"/>
    <s v="COSCO"/>
    <s v="TPVB20260626013"/>
    <x v="443"/>
    <s v="COSU6504989080"/>
    <n v="44.474305555559113"/>
    <m/>
    <d v="2026-08-19T11:23:00"/>
    <s v="In Stock-Approved"/>
    <d v="2026-09-02T00:00:00"/>
    <n v="8"/>
    <d v="2026-08-27T11:23:00"/>
    <n v="2026"/>
    <n v="8"/>
    <n v="35"/>
    <n v="36"/>
    <n v="864"/>
    <s v="White glazing"/>
    <s v="AEM"/>
  </r>
  <r>
    <s v="26Jun004.03"/>
    <s v="Yixing"/>
    <s v="26Jun004"/>
    <s v="CORE DG"/>
    <x v="0"/>
    <s v="Arrival Plan-SPTN"/>
    <s v="CIF"/>
    <x v="0"/>
    <s v="U1"/>
    <x v="2"/>
    <m/>
    <m/>
    <s v="n/a"/>
    <d v="2026-06-15T00:00:00"/>
    <x v="1"/>
    <x v="39"/>
    <s v="TCL-MR470DT182-58NS"/>
    <s v="EVO2A"/>
    <s v="±1200mm"/>
    <n v="470"/>
    <n v="4320"/>
    <n v="2.0304000000000002"/>
    <n v="120"/>
    <n v="5"/>
    <x v="7"/>
    <s v="COMPLETED"/>
    <s v="六月20日"/>
    <d v="2026-06-24T00:00:00"/>
    <n v="26"/>
    <s v="POPV260626034"/>
    <m/>
    <s v="SHANGHAI"/>
    <x v="1"/>
    <x v="0"/>
    <d v="2026-06-30T00:00:00"/>
    <d v="2026-07-06T00:00:00"/>
    <d v="2026-07-06T00:00:00"/>
    <d v="2026-08-12T00:00:00"/>
    <m/>
    <d v="2026-08-19T11:23:00"/>
    <m/>
    <s v="CMA CGM SORBONNE"/>
    <s v="COSCO"/>
    <s v="TPVB20260626013"/>
    <x v="443"/>
    <s v="COSU6504989080"/>
    <n v="44.474305555559113"/>
    <m/>
    <d v="2026-08-19T11:23:00"/>
    <s v="In Stock-Approved"/>
    <d v="2026-09-02T00:00:00"/>
    <n v="8"/>
    <d v="2026-08-27T11:23:00"/>
    <n v="2026"/>
    <n v="8"/>
    <n v="35"/>
    <n v="36"/>
    <n v="864"/>
    <s v="White glazing"/>
    <s v="AEM"/>
  </r>
  <r>
    <s v="26Jun008.02"/>
    <s v="Tianjin (transport to YIXING for shipment)"/>
    <s v="26Jun008"/>
    <s v="CORE DG"/>
    <x v="0"/>
    <s v="Arrival Plan-SPTN"/>
    <s v="CIF"/>
    <x v="0"/>
    <s v="U1"/>
    <x v="56"/>
    <m/>
    <m/>
    <s v="n/a"/>
    <d v="2026-06-15T00:00:00"/>
    <x v="0"/>
    <x v="79"/>
    <s v="HSM-ND66-GR625"/>
    <s v="H4(Com)"/>
    <s v="±1400mm"/>
    <n v="625"/>
    <n v="1440"/>
    <n v="0.9"/>
    <n v="40"/>
    <n v="2"/>
    <x v="7"/>
    <s v="COMPLETED"/>
    <s v="六月27日"/>
    <d v="2026-06-28T00:00:00"/>
    <n v="26"/>
    <s v="POPV260629026"/>
    <m/>
    <s v="SHANGHAI"/>
    <x v="1"/>
    <x v="0"/>
    <d v="2026-07-04T00:00:00"/>
    <d v="2026-07-08T00:00:00"/>
    <d v="2026-07-08T00:00:00"/>
    <d v="2026-08-24T00:00:00"/>
    <d v="2026-09-06T06:00:00"/>
    <d v="2026-09-06T06:41:53"/>
    <m/>
    <s v="COSCO SHIPPING TAURUS 037W"/>
    <s v="COSCO"/>
    <s v="TPVB20260626021"/>
    <x v="444"/>
    <s v="COSU6505067030"/>
    <n v="60.279085648151522"/>
    <m/>
    <d v="2026-09-06T06:41:53"/>
    <s v="In Transit-Approved"/>
    <d v="2026-09-18T00:00:00"/>
    <n v="8"/>
    <d v="2026-09-14T06:41:53"/>
    <n v="2026"/>
    <n v="9"/>
    <n v="38"/>
    <n v="36"/>
    <n v="720"/>
    <s v="Transparent"/>
    <s v="AEM"/>
  </r>
  <r>
    <s v="26Jun001.02"/>
    <s v="Yixing"/>
    <s v="26Jun001"/>
    <s v="CORE DG"/>
    <x v="0"/>
    <s v="Arrival Plan-SPTN"/>
    <s v="CIF"/>
    <x v="0"/>
    <s v="U1"/>
    <x v="2"/>
    <m/>
    <m/>
    <s v="n/a"/>
    <d v="2026-06-16T00:00:00"/>
    <x v="6"/>
    <x v="21"/>
    <s v="SPR-P7-510-BLK-P"/>
    <s v="EVO2A"/>
    <s v="±1350mm"/>
    <n v="510"/>
    <n v="1584"/>
    <n v="0.80784"/>
    <n v="44"/>
    <n v="2"/>
    <x v="7"/>
    <s v="COMPLETED"/>
    <s v="六月27日"/>
    <d v="2026-06-28T00:00:00"/>
    <n v="26"/>
    <s v="POPV260629025"/>
    <m/>
    <s v="SHANGHAI"/>
    <x v="1"/>
    <x v="0"/>
    <d v="2026-07-04T00:00:00"/>
    <d v="2026-07-08T00:00:00"/>
    <d v="2026-07-08T00:00:00"/>
    <d v="2026-08-24T00:00:00"/>
    <d v="2026-09-06T06:00:00"/>
    <d v="2026-09-06T06:41:53"/>
    <m/>
    <s v="COSCO SHIPPING TAURUS_x000a_037W"/>
    <s v="COSCO"/>
    <s v="TPVB20260626021"/>
    <x v="444"/>
    <s v="COSU6505067030"/>
    <n v="60.279085648151522"/>
    <m/>
    <d v="2026-09-06T06:41:53"/>
    <s v="In Transit-Approved"/>
    <d v="2026-09-18T00:00:00"/>
    <n v="8"/>
    <d v="2026-09-14T06:41:53"/>
    <n v="2026"/>
    <n v="9"/>
    <n v="38"/>
    <n v="36"/>
    <n v="792"/>
    <s v="Black glazing"/>
    <s v="AEM"/>
  </r>
  <r>
    <s v="26Jun011.09"/>
    <s v="Quzhou"/>
    <s v="26Jun011"/>
    <s v="CORE DG"/>
    <x v="0"/>
    <s v="Arrival Plan-SPTN"/>
    <s v="CIF"/>
    <x v="0"/>
    <s v="U1"/>
    <x v="2"/>
    <m/>
    <m/>
    <s v="n/a"/>
    <d v="2026-06-22T00:00:00"/>
    <x v="0"/>
    <x v="0"/>
    <s v="HSM-ND54-DR500"/>
    <s v="EVO2A"/>
    <s v="±1200mm"/>
    <n v="500"/>
    <n v="2592"/>
    <n v="1.296"/>
    <n v="72"/>
    <n v="3"/>
    <x v="7"/>
    <s v="COMPLETED"/>
    <s v="六月23日"/>
    <d v="2026-06-29T00:00:00"/>
    <n v="27"/>
    <s v="POPV260629024"/>
    <m/>
    <s v="SHANGHAI / QUZHOU"/>
    <x v="1"/>
    <x v="0"/>
    <d v="2026-07-04T00:00:00"/>
    <d v="2026-07-08T00:00:00"/>
    <d v="2026-07-08T00:00:00"/>
    <d v="2026-08-24T00:00:00"/>
    <d v="2026-09-06T06:00:00"/>
    <d v="2026-09-06T06:41:53"/>
    <m/>
    <s v="COSCO SHIPPING TAURUS_x000a_037W"/>
    <s v="COSCO"/>
    <s v="TPVB20260626011"/>
    <x v="445"/>
    <s v="COSU6505066450"/>
    <n v="60.279085648151522"/>
    <m/>
    <d v="2026-09-06T06:41:53"/>
    <s v="In Transit-Approved"/>
    <d v="2026-09-18T00:00:00"/>
    <n v="8"/>
    <d v="2026-09-14T06:41:53"/>
    <n v="2026"/>
    <n v="9"/>
    <n v="38"/>
    <n v="36"/>
    <n v="864"/>
    <s v="Black glazing"/>
    <s v="AEM"/>
  </r>
  <r>
    <s v="26Jun012.08"/>
    <s v="Quzhou"/>
    <s v="26Jun012"/>
    <s v="CORE DG"/>
    <x v="0"/>
    <s v="Arrival Plan-SPTN"/>
    <s v="CIF"/>
    <x v="0"/>
    <s v="U1"/>
    <x v="2"/>
    <m/>
    <m/>
    <s v="n/a"/>
    <d v="2026-06-22T00:00:00"/>
    <x v="0"/>
    <x v="43"/>
    <s v="HSM-ND54-DR505"/>
    <s v="EVO2A"/>
    <s v="±1200mm"/>
    <n v="505"/>
    <n v="5184"/>
    <n v="2.6179199999999998"/>
    <n v="144"/>
    <n v="6"/>
    <x v="7"/>
    <s v="COMPLETED"/>
    <s v="六月23日"/>
    <d v="2026-06-29T00:00:00"/>
    <n v="27"/>
    <s v="POPV260629062"/>
    <m/>
    <s v="SHANGHAI / QUZHOU"/>
    <x v="1"/>
    <x v="0"/>
    <d v="2026-07-04T00:00:00"/>
    <d v="2026-07-08T00:00:00"/>
    <d v="2026-07-08T00:00:00"/>
    <d v="2026-08-24T00:00:00"/>
    <d v="2026-09-06T06:00:00"/>
    <d v="2026-09-06T06:41:53"/>
    <m/>
    <s v="COSCO SHIPPING TAURUS_x000a_037W"/>
    <s v="COSCO"/>
    <s v="TPVB20260626011"/>
    <x v="445"/>
    <s v="COSU6505066450"/>
    <n v="60.279085648151522"/>
    <m/>
    <d v="2026-09-06T06:41:53"/>
    <s v="In Transit-Approved"/>
    <d v="2026-09-18T00:00:00"/>
    <n v="8"/>
    <d v="2026-09-14T06:41:53"/>
    <n v="2026"/>
    <n v="9"/>
    <n v="38"/>
    <n v="36"/>
    <n v="864"/>
    <s v="Black glazing"/>
    <s v="AEM"/>
  </r>
  <r>
    <s v="26Jun011.09.01"/>
    <s v="Quzhou"/>
    <s v="26Jun011"/>
    <s v="CORE DG"/>
    <x v="0"/>
    <s v="Arrival Plan-SPTN"/>
    <s v="CIF"/>
    <x v="0"/>
    <s v="U1"/>
    <x v="2"/>
    <m/>
    <m/>
    <s v="n/a"/>
    <d v="2026-06-22T00:00:00"/>
    <x v="0"/>
    <x v="0"/>
    <s v="HSM-ND54-DR500"/>
    <s v="EVO2A"/>
    <s v="±1200mm"/>
    <n v="500"/>
    <n v="2592"/>
    <n v="1.296"/>
    <n v="72"/>
    <n v="3"/>
    <x v="7"/>
    <s v="COMPLETED"/>
    <s v="六月23日"/>
    <d v="2026-06-28T00:00:00"/>
    <n v="26"/>
    <s v="POPV260629027"/>
    <m/>
    <s v="SHANGHAI / QUZHOU"/>
    <x v="1"/>
    <x v="0"/>
    <d v="2026-07-04T00:00:00"/>
    <d v="2026-07-08T00:00:00"/>
    <d v="2026-07-08T00:00:00"/>
    <d v="2026-08-24T00:00:00"/>
    <d v="2026-09-06T06:00:00"/>
    <d v="2026-09-06T06:41:53"/>
    <m/>
    <s v="COSCO SHIPPING TAURUS_x000a_037W"/>
    <s v="COSCO"/>
    <s v="TPVB20260626012"/>
    <x v="446"/>
    <s v="COSU6505066890"/>
    <n v="60.279085648151522"/>
    <m/>
    <d v="2026-09-06T06:41:53"/>
    <s v="In Transit-Approved"/>
    <d v="2026-09-18T00:00:00"/>
    <n v="8"/>
    <d v="2026-09-14T06:41:53"/>
    <n v="2026"/>
    <n v="9"/>
    <n v="38"/>
    <n v="36"/>
    <n v="864"/>
    <s v="Black glazing"/>
    <s v="AEM"/>
  </r>
  <r>
    <s v="26Jun012.07.01"/>
    <s v="Quzhou"/>
    <s v="26Jun012"/>
    <s v="CORE DG"/>
    <x v="0"/>
    <s v="Arrival Plan-SPTN"/>
    <s v="CIF"/>
    <x v="0"/>
    <s v="U1"/>
    <x v="2"/>
    <m/>
    <m/>
    <s v="n/a"/>
    <d v="2026-06-22T00:00:00"/>
    <x v="0"/>
    <x v="43"/>
    <s v="HSM-ND54-DR505"/>
    <s v="EVO2A"/>
    <s v="±1200mm"/>
    <n v="505"/>
    <n v="2592"/>
    <n v="1.3089599999999999"/>
    <n v="72"/>
    <n v="3"/>
    <x v="7"/>
    <s v="COMPLETED"/>
    <s v="六月25日"/>
    <d v="2026-06-28T00:00:00"/>
    <n v="26"/>
    <s v="POPV260629063"/>
    <m/>
    <s v="SHANGHAI / QUZHOU"/>
    <x v="1"/>
    <x v="0"/>
    <d v="2026-07-04T00:00:00"/>
    <d v="2026-07-08T00:00:00"/>
    <d v="2026-07-08T00:00:00"/>
    <d v="2026-08-24T00:00:00"/>
    <d v="2026-09-06T06:00:00"/>
    <d v="2026-09-06T06:41:53"/>
    <m/>
    <s v="COSCO SHIPPING TAURUS_x000a_037W"/>
    <s v="COSCO"/>
    <s v="TPVB20260626012"/>
    <x v="446"/>
    <s v="COSU6505066890"/>
    <n v="60.279085648151522"/>
    <m/>
    <d v="2026-09-06T06:41:53"/>
    <s v="In Transit-Approved"/>
    <d v="2026-09-18T00:00:00"/>
    <n v="8"/>
    <d v="2026-09-14T06:41:53"/>
    <n v="2026"/>
    <n v="9"/>
    <n v="38"/>
    <n v="36"/>
    <n v="864"/>
    <s v="Black glazing"/>
    <s v="AEM"/>
  </r>
  <r>
    <s v="26Jun012.07.02"/>
    <s v="Quzhou"/>
    <s v="26Jun012"/>
    <s v="CORE DG"/>
    <x v="0"/>
    <s v="Arrival Plan-SPTN"/>
    <s v="CIF"/>
    <x v="0"/>
    <s v="U1"/>
    <x v="2"/>
    <m/>
    <m/>
    <s v="n/a"/>
    <d v="2026-06-22T00:00:00"/>
    <x v="0"/>
    <x v="43"/>
    <s v="HSM-ND54-DR505"/>
    <s v="EVO2A"/>
    <s v="±1200mm"/>
    <n v="505"/>
    <n v="864"/>
    <n v="0.43631999999999999"/>
    <n v="24"/>
    <n v="1"/>
    <x v="7"/>
    <s v="COMPLETED"/>
    <m/>
    <d v="2026-06-28T00:00:00"/>
    <n v="26"/>
    <s v="POPV260629065"/>
    <m/>
    <s v="SHANGHAI / QUZHOU"/>
    <x v="1"/>
    <x v="0"/>
    <d v="2026-07-04T00:00:00"/>
    <d v="2026-07-08T00:00:00"/>
    <d v="2026-07-08T00:00:00"/>
    <d v="2026-08-24T00:00:00"/>
    <d v="2026-09-06T06:00:00"/>
    <d v="2026-09-06T06:41:53"/>
    <m/>
    <s v="COSCO SHIPPING TAURUS_x000a_037W"/>
    <s v="COSCO"/>
    <s v="TPVB20260626012"/>
    <x v="446"/>
    <s v="COSU6505066890"/>
    <n v="60.279085648151522"/>
    <m/>
    <d v="2026-09-06T06:41:53"/>
    <s v="In Transit-Approved"/>
    <d v="2026-09-18T00:00:00"/>
    <n v="8"/>
    <d v="2026-09-14T06:41:53"/>
    <n v="2026"/>
    <n v="9"/>
    <n v="38"/>
    <n v="36"/>
    <n v="864"/>
    <s v="Black glazing"/>
    <s v="AEM"/>
  </r>
  <r>
    <s v="26Jun002.03"/>
    <s v="Yixing"/>
    <s v="26Jun002"/>
    <s v="CORE DG"/>
    <x v="0"/>
    <s v="Arrival Plan-SPES"/>
    <s v="CIF"/>
    <x v="1"/>
    <s v="U1"/>
    <x v="2"/>
    <m/>
    <m/>
    <s v="n/a"/>
    <d v="2026-06-21T00:00:00"/>
    <x v="6"/>
    <x v="69"/>
    <s v="SPR-P7-515-BLK-P"/>
    <s v="EVO2A"/>
    <s v="±1350mm"/>
    <n v="515"/>
    <n v="792"/>
    <n v="0.40788000000000002"/>
    <n v="22"/>
    <n v="1"/>
    <x v="7"/>
    <s v="COMPLETED"/>
    <s v="六月25日"/>
    <d v="2026-06-26T00:00:00"/>
    <n v="26"/>
    <s v="POPV260626032"/>
    <m/>
    <s v="SHANGHAI"/>
    <x v="1"/>
    <x v="2"/>
    <d v="2026-07-01T00:00:00"/>
    <d v="2026-07-04T00:00:00"/>
    <d v="2026-07-04T00:00:00"/>
    <d v="2026-08-15T00:00:00"/>
    <m/>
    <d v="2026-08-24T06:56:56"/>
    <m/>
    <s v="CSCL ATLANTIC OCEAN 066W"/>
    <s v="COSCO"/>
    <s v="TPVB20260626017"/>
    <x v="447"/>
    <s v="COSU6504142070"/>
    <n v="51.289537037038826"/>
    <m/>
    <d v="2026-08-24T06:56:56"/>
    <s v="In Stock-Approved"/>
    <d v="2026-09-07T00:00:00"/>
    <n v="9"/>
    <d v="2026-09-02T06:56:56"/>
    <n v="2026"/>
    <n v="9"/>
    <n v="36"/>
    <n v="36"/>
    <n v="792"/>
    <s v="Black glazing"/>
    <s v="AEM"/>
  </r>
  <r>
    <s v="26Jun002.03.01"/>
    <s v="Yixing"/>
    <s v="26Jun002"/>
    <s v="CORE DG"/>
    <x v="0"/>
    <s v="Arrival Plan-SPES"/>
    <s v="CIF"/>
    <x v="1"/>
    <s v="U1"/>
    <x v="2"/>
    <m/>
    <m/>
    <s v="n/a"/>
    <d v="2026-06-21T00:00:00"/>
    <x v="6"/>
    <x v="69"/>
    <s v="SPR-P7-515-BLK-P"/>
    <s v="EVO2A"/>
    <s v="±1350mm"/>
    <n v="515"/>
    <n v="648"/>
    <n v="0.33372000000000002"/>
    <n v="18"/>
    <n v="0.82"/>
    <x v="7"/>
    <s v="COMPLETED"/>
    <s v="六月25日"/>
    <d v="2026-06-26T00:00:00"/>
    <n v="26"/>
    <s v="POPV260626033"/>
    <m/>
    <s v="SHANGHAI"/>
    <x v="1"/>
    <x v="2"/>
    <d v="2026-07-01T00:00:00"/>
    <d v="2026-07-04T00:00:00"/>
    <d v="2026-07-04T00:00:00"/>
    <d v="2026-08-15T00:00:00"/>
    <m/>
    <d v="2026-08-24T06:56:56"/>
    <m/>
    <s v="CSCL ATLANTIC OCEAN 066W"/>
    <s v="COSCO"/>
    <s v="TPVB20260626017"/>
    <x v="447"/>
    <s v="COSU6504142070"/>
    <n v="51.289537037038826"/>
    <m/>
    <d v="2026-08-24T06:56:56"/>
    <s v="In Stock-Approved"/>
    <d v="2026-09-07T00:00:00"/>
    <n v="9"/>
    <d v="2026-09-02T06:56:56"/>
    <n v="2026"/>
    <n v="9"/>
    <n v="36"/>
    <n v="36"/>
    <n v="792"/>
    <s v="Black glazing"/>
    <s v="AEM"/>
  </r>
  <r>
    <s v="26Jun037"/>
    <s v="Yixing"/>
    <s v="Main Line"/>
    <s v="CORE DG"/>
    <x v="0"/>
    <s v="Arrival Plan-SPES"/>
    <s v="CIF"/>
    <x v="1"/>
    <s v="U1"/>
    <x v="2"/>
    <m/>
    <m/>
    <s v="n/a"/>
    <m/>
    <x v="0"/>
    <x v="3"/>
    <s v="HSM-ND78-GF640"/>
    <s v="EVO2A"/>
    <s v="±1400mm"/>
    <n v="640"/>
    <n v="144"/>
    <n v="9.2160000000000006E-2"/>
    <n v="4"/>
    <n v="0.25"/>
    <x v="7"/>
    <s v="COMPLETED"/>
    <s v="六月25日"/>
    <d v="2026-06-26T00:00:00"/>
    <n v="26"/>
    <s v="POPV260626031"/>
    <m/>
    <s v="SHANGHAI"/>
    <x v="1"/>
    <x v="2"/>
    <d v="2026-07-01T00:00:00"/>
    <d v="2026-07-04T00:00:00"/>
    <d v="2026-07-04T00:00:00"/>
    <d v="2026-08-15T00:00:00"/>
    <m/>
    <d v="2026-08-24T06:56:56"/>
    <m/>
    <s v="CSCL ATLANTIC OCEAN 066W"/>
    <s v="COSCO"/>
    <s v="TPVB20260626017"/>
    <x v="447"/>
    <s v="COSU6504142070"/>
    <n v="51.289537037038826"/>
    <m/>
    <d v="2026-08-24T06:56:56"/>
    <s v="In Stock-Approved"/>
    <d v="2026-09-07T00:00:00"/>
    <n v="9"/>
    <d v="2026-09-02T06:56:56"/>
    <n v="2026"/>
    <n v="9"/>
    <n v="36"/>
    <n v="36"/>
    <n v="576"/>
    <s v="Redirection Film"/>
    <s v="AEM"/>
  </r>
  <r>
    <s v="26Jun002.05"/>
    <s v="Yixing"/>
    <s v="26Jun002"/>
    <s v="CORE DG"/>
    <x v="0"/>
    <s v="Arrival Plan-SPIT"/>
    <s v="CIF"/>
    <x v="4"/>
    <s v="U1"/>
    <x v="2"/>
    <m/>
    <m/>
    <s v="n/a"/>
    <d v="2026-06-25T00:00:00"/>
    <x v="6"/>
    <x v="69"/>
    <s v="SPR-P7-515-BLK-P"/>
    <s v="EVO2A"/>
    <s v="±1350mm"/>
    <n v="515"/>
    <n v="1584"/>
    <n v="0.81576000000000004"/>
    <n v="44"/>
    <n v="2"/>
    <x v="7"/>
    <s v="COMPLETED"/>
    <s v="六月25日"/>
    <d v="2026-06-26T00:00:00"/>
    <n v="26"/>
    <s v="POPV260626030"/>
    <m/>
    <s v="SHANGHAI"/>
    <x v="1"/>
    <x v="14"/>
    <d v="2026-07-01T00:00:00"/>
    <d v="2026-07-04T00:00:00"/>
    <d v="2026-07-04T00:00:00"/>
    <d v="2026-08-23T00:00:00"/>
    <d v="2026-09-07T06:00:00"/>
    <d v="2026-09-07T06:02:05"/>
    <m/>
    <s v="CSCL ATLANTIC OCEAN 066W"/>
    <s v="COSCO"/>
    <s v="TPVB20260626016"/>
    <x v="448"/>
    <s v="COSU6504385010"/>
    <n v="65.251446759262762"/>
    <m/>
    <d v="2026-09-07T06:02:05"/>
    <s v="In Transit-Approved"/>
    <d v="2026-10-05T00:00:00"/>
    <n v="10"/>
    <d v="2026-09-17T06:02:05"/>
    <n v="2026"/>
    <n v="9"/>
    <n v="38"/>
    <n v="36"/>
    <n v="792"/>
    <s v="Black glazing"/>
    <s v="AEM"/>
  </r>
  <r>
    <s v="26Jun028.03"/>
    <s v="Yixing"/>
    <s v="26Jun028"/>
    <s v="CORE DG"/>
    <x v="0"/>
    <s v="Arrival Plan-SPIT"/>
    <s v="CIF"/>
    <x v="4"/>
    <s v="U1"/>
    <x v="2"/>
    <m/>
    <m/>
    <m/>
    <d v="2026-06-01T00:00:00"/>
    <x v="1"/>
    <x v="4"/>
    <s v="TCL-MG720DT210-68NS"/>
    <s v="EVO2A"/>
    <s v="±1400mm"/>
    <n v="720"/>
    <n v="594"/>
    <n v="0.42768"/>
    <n v="18"/>
    <n v="1"/>
    <x v="7"/>
    <s v="COMPLETED"/>
    <s v="old stock-IT importer label"/>
    <d v="2026-06-26T00:00:00"/>
    <n v="26"/>
    <s v="POPV260626055"/>
    <m/>
    <s v="SHANGHAI"/>
    <x v="1"/>
    <x v="14"/>
    <d v="2026-07-01T00:00:00"/>
    <d v="2026-07-04T00:00:00"/>
    <d v="2026-07-04T00:00:00"/>
    <d v="2026-08-23T00:00:00"/>
    <d v="2026-09-07T06:00:00"/>
    <d v="2026-09-07T06:02:05"/>
    <m/>
    <s v="CSCL ATLANTIC OCEAN 066W"/>
    <s v="COSCO"/>
    <s v="TPVB20260626016"/>
    <x v="448"/>
    <s v="COSU6504385010"/>
    <n v="65.251446759262762"/>
    <m/>
    <d v="2026-09-07T06:02:05"/>
    <s v="In Transit-Approved"/>
    <d v="2026-10-05T00:00:00"/>
    <n v="10"/>
    <d v="2026-09-17T06:02:05"/>
    <n v="2026"/>
    <n v="9"/>
    <n v="38"/>
    <n v="33"/>
    <n v="594"/>
    <s v="White glazing"/>
    <s v="AEM"/>
  </r>
  <r>
    <s v="26May007.08"/>
    <s v="Tianjin"/>
    <s v="26May007"/>
    <s v="CORE DG"/>
    <x v="0"/>
    <s v="Arrival Plan-SPUK"/>
    <s v="CIF"/>
    <x v="6"/>
    <s v="U1"/>
    <x v="2"/>
    <m/>
    <m/>
    <s v="n/a"/>
    <d v="2025-06-01T00:00:00"/>
    <x v="0"/>
    <x v="7"/>
    <s v="HSM-ND48-DR450"/>
    <s v="EVO2A"/>
    <s v="±1200mm"/>
    <n v="450"/>
    <n v="936"/>
    <n v="0.42120000000000002"/>
    <n v="26"/>
    <n v="1"/>
    <x v="7"/>
    <s v="COMPLETED"/>
    <m/>
    <d v="2026-06-28T00:00:00"/>
    <n v="26"/>
    <s v="POPV260629028"/>
    <m/>
    <s v="TIANJIN"/>
    <x v="0"/>
    <x v="6"/>
    <d v="2026-07-03T00:00:00"/>
    <d v="2026-07-07T00:00:00"/>
    <d v="2026-07-07T00:00:00"/>
    <d v="2026-08-23T00:00:00"/>
    <d v="2026-08-30T01:00:00"/>
    <d v="2026-08-29T23:44:46"/>
    <m/>
    <s v="CSCL ATLANTIC OCEAN 066W"/>
    <s v="COSCO"/>
    <s v="TPVB20260626018"/>
    <x v="449"/>
    <s v="COSU6505756530"/>
    <n v="53.989421296297223"/>
    <m/>
    <d v="2026-08-29T23:44:46"/>
    <s v="In Stock-Approved"/>
    <d v="2026-09-11T00:00:00"/>
    <n v="7"/>
    <d v="2026-09-05T23:44:46"/>
    <n v="2026"/>
    <n v="9"/>
    <n v="36"/>
    <n v="36"/>
    <n v="936"/>
    <s v="Black glazing"/>
    <s v="AEU"/>
  </r>
  <r>
    <s v="26Jun014.01.01"/>
    <s v="Tianjin"/>
    <s v="26Jun014"/>
    <s v="CORE DG"/>
    <x v="0"/>
    <s v="Arrival Plan-SPTN"/>
    <s v="CIF"/>
    <x v="0"/>
    <s v="U1"/>
    <x v="2"/>
    <m/>
    <m/>
    <s v="n/a"/>
    <d v="2026-07-06T00:00:00"/>
    <x v="0"/>
    <x v="26"/>
    <s v="HSM-ND54-DR505 CFP"/>
    <s v="EVO2A"/>
    <s v="±1200mm"/>
    <n v="505"/>
    <n v="864"/>
    <n v="0.43631999999999999"/>
    <n v="24"/>
    <n v="1"/>
    <x v="7"/>
    <s v="COMPLETED"/>
    <m/>
    <d v="2026-06-28T00:00:00"/>
    <n v="26"/>
    <s v="POPV260629030"/>
    <m/>
    <s v="TIANJIN"/>
    <x v="0"/>
    <x v="5"/>
    <d v="2026-07-03T00:00:00"/>
    <d v="2026-07-07T00:00:00"/>
    <d v="2026-07-07T00:00:00"/>
    <d v="2026-08-26T00:00:00"/>
    <d v="2026-09-10T07:00:00"/>
    <d v="2026-09-10T05:53:06"/>
    <m/>
    <s v="CSCL ATLANTIC OCEAN 066W"/>
    <s v="COSCO"/>
    <s v="TPVB20260626019"/>
    <x v="450"/>
    <s v="COSU6505906290"/>
    <n v="65.245208333333721"/>
    <m/>
    <d v="2026-09-10T05:53:06"/>
    <s v="In Transit-Approved"/>
    <d v="2026-09-21T00:00:00"/>
    <n v="10"/>
    <d v="2026-09-20T05:53:06"/>
    <n v="2026"/>
    <n v="9"/>
    <n v="38"/>
    <n v="36"/>
    <n v="864"/>
    <s v="Black glazing"/>
    <s v="AEU"/>
  </r>
  <r>
    <s v="26May007.05"/>
    <s v="Tianjin"/>
    <s v="26May007"/>
    <s v="CORE DG"/>
    <x v="0"/>
    <s v="Arrival Plan-SPNL"/>
    <s v="CIF"/>
    <x v="0"/>
    <s v="U1"/>
    <x v="2"/>
    <m/>
    <m/>
    <s v="n/a"/>
    <d v="2025-06-01T00:00:00"/>
    <x v="0"/>
    <x v="7"/>
    <s v="HSM-ND48-DR450"/>
    <s v="EVO2A"/>
    <s v="±1200mm"/>
    <n v="450"/>
    <n v="3744"/>
    <n v="1.6848000000000001"/>
    <n v="104"/>
    <n v="4"/>
    <x v="4"/>
    <s v="COMPLETED"/>
    <s v="六月8日"/>
    <d v="2026-06-23T00:00:00"/>
    <n v="26"/>
    <s v="POPV260626054"/>
    <m/>
    <s v="TIANJIN"/>
    <x v="0"/>
    <x v="1"/>
    <d v="2026-06-28T00:00:00"/>
    <m/>
    <d v="2026-06-29T00:00:00"/>
    <d v="2026-08-11T00:00:00"/>
    <m/>
    <d v="2026-08-19T11:29:51"/>
    <m/>
    <s v="OOCL PORTUGAL 007W"/>
    <s v="COSCO"/>
    <s v="TPVB20260626005"/>
    <x v="451"/>
    <s v="COSU9507951690"/>
    <n v="51.479062500002328"/>
    <m/>
    <d v="2026-08-19T11:29:51"/>
    <s v="In Stock-Approved"/>
    <d v="2026-09-07T00:00:00"/>
    <n v="7"/>
    <d v="2026-08-26T11:29:51"/>
    <n v="2026"/>
    <n v="8"/>
    <n v="35"/>
    <n v="36"/>
    <n v="936"/>
    <s v="Black glazing"/>
    <s v="AEU"/>
  </r>
  <r>
    <s v="26May007.07.01"/>
    <s v="Tianjin"/>
    <s v="26May007"/>
    <s v="CORE DG"/>
    <x v="0"/>
    <s v="Arrival Plan-SPNL"/>
    <s v="CIF"/>
    <x v="0"/>
    <s v="U1"/>
    <x v="2"/>
    <m/>
    <m/>
    <s v="n/a"/>
    <d v="2025-06-01T00:00:00"/>
    <x v="0"/>
    <x v="7"/>
    <s v="HSM-ND48-DR450"/>
    <s v="EVO2A"/>
    <s v="±1200mm"/>
    <n v="450"/>
    <n v="936"/>
    <n v="0.42120000000000002"/>
    <n v="26"/>
    <n v="1"/>
    <x v="5"/>
    <s v="COMPLETED"/>
    <s v="六月11日"/>
    <d v="2026-06-23T00:00:00"/>
    <n v="26"/>
    <s v="POPV260626056"/>
    <m/>
    <s v="TIANJIN"/>
    <x v="0"/>
    <x v="1"/>
    <d v="2026-06-28T00:00:00"/>
    <m/>
    <d v="2026-06-29T00:00:00"/>
    <d v="2026-08-11T00:00:00"/>
    <m/>
    <d v="2026-08-19T11:29:51"/>
    <m/>
    <s v="OOCL PORTUGAL 007W"/>
    <s v="COSCO"/>
    <s v="TPVB20260626005"/>
    <x v="451"/>
    <s v="COSU9507951690"/>
    <n v="51.479062500002328"/>
    <m/>
    <d v="2026-08-19T11:29:51"/>
    <s v="In Stock-Approved"/>
    <d v="2026-09-07T00:00:00"/>
    <n v="7"/>
    <d v="2026-08-26T11:29:51"/>
    <n v="2026"/>
    <n v="8"/>
    <n v="35"/>
    <n v="36"/>
    <n v="936"/>
    <s v="Black glazing"/>
    <s v="AEU"/>
  </r>
  <r>
    <s v="26May007.10.01"/>
    <s v="Tianjin"/>
    <s v="26May007"/>
    <s v="CORE DG"/>
    <x v="0"/>
    <s v="Arrival Plan-SPNL"/>
    <s v="CIF"/>
    <x v="0"/>
    <s v="U1"/>
    <x v="156"/>
    <s v="BE0126050400008"/>
    <m/>
    <s v="n/a"/>
    <d v="2026-03-30T00:00:00"/>
    <x v="0"/>
    <x v="7"/>
    <s v="HSM-ND48-DR450"/>
    <s v="EVO2A"/>
    <s v="±1200mm"/>
    <n v="450"/>
    <n v="936"/>
    <n v="0.42120000000000002"/>
    <n v="26"/>
    <n v="1"/>
    <x v="4"/>
    <s v="COMPLETED"/>
    <s v="六月11日"/>
    <d v="2026-06-23T00:00:00"/>
    <n v="26"/>
    <s v="POPV260626057"/>
    <m/>
    <s v="TIANJIN"/>
    <x v="0"/>
    <x v="1"/>
    <d v="2026-06-28T00:00:00"/>
    <m/>
    <d v="2026-06-29T00:00:00"/>
    <d v="2026-08-29T00:00:00"/>
    <d v="2026-09-28T02:00:00"/>
    <d v="2026-09-27T23:11:55"/>
    <m/>
    <s v="OOCL PORTUGAL 007W"/>
    <s v="COSCO"/>
    <s v="TPVB20260626006"/>
    <x v="452"/>
    <s v="COSU9507977520"/>
    <n v="90.966608796297805"/>
    <m/>
    <d v="2026-09-27T23:11:55"/>
    <s v="In Transit-Approved"/>
    <d v="2026-10-02T00:00:00"/>
    <n v="7"/>
    <d v="2026-10-04T23:11:55"/>
    <n v="2026"/>
    <n v="10"/>
    <n v="40"/>
    <n v="36"/>
    <n v="936"/>
    <s v="Black glazing"/>
    <s v="AEU"/>
  </r>
  <r>
    <s v="26May010.06"/>
    <s v="Tianjin"/>
    <s v="26May010"/>
    <s v="CORE DG"/>
    <x v="0"/>
    <s v="Arrival Plan-SPUK"/>
    <s v="CIF"/>
    <x v="6"/>
    <s v="U1"/>
    <x v="118"/>
    <m/>
    <m/>
    <s v="n/a"/>
    <d v="2026-05-11T00:00:00"/>
    <x v="0"/>
    <x v="43"/>
    <s v="HSM-ND54-DR505"/>
    <s v="EVO2A"/>
    <s v="±1200mm"/>
    <n v="505"/>
    <n v="864"/>
    <n v="0.43631999999999999"/>
    <n v="24"/>
    <n v="1"/>
    <x v="7"/>
    <s v="COMPLETED"/>
    <m/>
    <d v="2026-06-23T00:00:00"/>
    <n v="26"/>
    <s v="POPV260626058"/>
    <m/>
    <s v="TIANJIN"/>
    <x v="0"/>
    <x v="6"/>
    <d v="2026-06-28T00:00:00"/>
    <m/>
    <d v="2026-06-29T00:00:00"/>
    <d v="2026-08-30T00:00:00"/>
    <d v="2026-09-09T23:59:00"/>
    <d v="2026-09-10T00:13:43"/>
    <m/>
    <s v="OOCL PORTUGAL 007W"/>
    <s v="COSCO"/>
    <s v="TPVB20260626007"/>
    <x v="453"/>
    <s v="COSU6505349280"/>
    <n v="73.009525462963211"/>
    <m/>
    <d v="2026-09-10T00:13:43"/>
    <s v="In Transit-Approved"/>
    <d v="2026-09-23T00:00:00"/>
    <n v="7"/>
    <d v="2026-09-17T00:13:43"/>
    <n v="2026"/>
    <n v="9"/>
    <n v="38"/>
    <n v="36"/>
    <n v="864"/>
    <s v="Black glazing"/>
    <s v="AEU"/>
  </r>
  <r>
    <s v="26May011.16"/>
    <s v="Yixing"/>
    <s v="26May011"/>
    <s v="CORE DG"/>
    <x v="1"/>
    <s v="SPTN Offstore in Transit WH"/>
    <s v="CIF"/>
    <x v="29"/>
    <s v="U1"/>
    <x v="157"/>
    <s v="KV0126062300007"/>
    <m/>
    <s v="Yes"/>
    <d v="2026-05-25T00:00:00"/>
    <x v="0"/>
    <x v="74"/>
    <s v="HSM-ND66-GR625"/>
    <s v="H4(Com)"/>
    <s v="+400mm/-200mm"/>
    <n v="625"/>
    <n v="3600"/>
    <n v="2.25"/>
    <n v="100"/>
    <n v="5"/>
    <x v="8"/>
    <s v="COMPLETED"/>
    <s v="with 1250 H4 Connector"/>
    <d v="2026-06-29T00:00:00"/>
    <n v="27"/>
    <s v="POPV260629029_x000a_/POPV260629088"/>
    <m/>
    <s v="NINGBO"/>
    <x v="1"/>
    <x v="19"/>
    <d v="2026-07-05T00:00:00"/>
    <d v="2026-07-06T00:00:00"/>
    <d v="2026-07-06T00:00:00"/>
    <d v="2026-09-04T00:00:00"/>
    <m/>
    <d v="2026-08-30T00:00:00"/>
    <m/>
    <s v="ADRIAN MAERSK 626W"/>
    <s v="OTHER"/>
    <s v="TPVB20260627001"/>
    <x v="454"/>
    <n v="272152398"/>
    <n v="55"/>
    <m/>
    <d v="2026-08-30T00:00:00"/>
    <s v="-"/>
    <s v=""/>
    <n v="0"/>
    <d v="2026-08-30T00:00:00"/>
    <n v="2026"/>
    <n v="8"/>
    <n v="35"/>
    <n v="36"/>
    <n v="720"/>
    <s v="Transparent"/>
    <e v="#N/A"/>
  </r>
  <r>
    <s v="26Jun011.04.01"/>
    <s v="Quzhou"/>
    <s v="26Jun011"/>
    <s v="CORE DG"/>
    <x v="1"/>
    <s v="SPTN Offstore in Transit WH"/>
    <s v="CIF"/>
    <x v="14"/>
    <s v="U1"/>
    <x v="155"/>
    <s v="PL0126052000013"/>
    <n v="4"/>
    <s v="Yes"/>
    <d v="2026-06-22T00:00:00"/>
    <x v="0"/>
    <x v="0"/>
    <s v="HSM-ND54-DR500"/>
    <s v="EVO2A"/>
    <s v="±1200mm"/>
    <n v="500"/>
    <n v="2592"/>
    <n v="1.296"/>
    <n v="72"/>
    <n v="3"/>
    <x v="9"/>
    <s v="COMPLETED"/>
    <s v="六月24日"/>
    <d v="2026-06-29T00:00:00"/>
    <n v="27"/>
    <s v="POPV260629064"/>
    <m/>
    <s v="SHANGHAI / QUZHOU"/>
    <x v="1"/>
    <x v="9"/>
    <d v="2026-07-06T00:00:00"/>
    <d v="2026-07-16T00:00:00"/>
    <d v="2026-07-16T00:00:00"/>
    <d v="2026-08-26T00:00:00"/>
    <d v="2026-08-30T13:00:00"/>
    <d v="2026-08-30T00:00:00"/>
    <m/>
    <s v="OOCL WISDOM 001W"/>
    <s v="COSCO"/>
    <s v="TPVB20260627002"/>
    <x v="455"/>
    <s v="COSU6505925840"/>
    <n v="45"/>
    <m/>
    <d v="2026-08-30T00:00:00"/>
    <s v="In Stock-Approved"/>
    <d v="2026-08-26T00:00:00"/>
    <n v="0"/>
    <d v="2026-08-30T00:00:00"/>
    <n v="2026"/>
    <n v="8"/>
    <n v="35"/>
    <n v="36"/>
    <n v="864"/>
    <s v="Black glazing"/>
    <s v="AEU"/>
  </r>
  <r>
    <s v="26May013.04"/>
    <s v="Yixing"/>
    <s v="26May013"/>
    <s v="CORE DG"/>
    <x v="1"/>
    <s v="SPTN Offstore in Transit WH"/>
    <s v="CIF"/>
    <x v="23"/>
    <s v="U3"/>
    <x v="139"/>
    <s v="AT0126042100006"/>
    <n v="51"/>
    <s v="Yes"/>
    <d v="2026-06-08T00:00:00"/>
    <x v="0"/>
    <x v="77"/>
    <s v="HSM-ND66-GK720"/>
    <s v="H4(Com)"/>
    <s v="+400mm/-200mm"/>
    <n v="720"/>
    <n v="1188"/>
    <n v="0.85536000000000001"/>
    <n v="36"/>
    <n v="2"/>
    <x v="9"/>
    <s v="COMPLETED"/>
    <m/>
    <d v="2026-06-29T00:00:00"/>
    <n v="27"/>
    <s v="POPV260629032"/>
    <m/>
    <s v="SHANGHAI"/>
    <x v="1"/>
    <x v="1"/>
    <d v="2026-07-05T00:00:00"/>
    <d v="2026-07-09T00:00:00"/>
    <d v="2026-07-09T00:00:00"/>
    <d v="2026-08-11T00:00:00"/>
    <m/>
    <d v="2026-08-19T11:29:51"/>
    <m/>
    <s v="OOCL PORTUGAL 007W"/>
    <s v="COSCO"/>
    <s v="TPVB20260627003"/>
    <x v="456"/>
    <s v="COSU6505587010"/>
    <n v="41.479062500002328"/>
    <m/>
    <d v="2026-08-19T11:29:51"/>
    <s v="In Stock-Approved"/>
    <d v="2026-08-11T00:00:00"/>
    <n v="0"/>
    <d v="2026-08-19T11:29:51"/>
    <n v="2026"/>
    <n v="8"/>
    <n v="34"/>
    <n v="33"/>
    <n v="594"/>
    <s v="Transparent"/>
    <s v="AEU"/>
  </r>
  <r>
    <s v="26May014.03"/>
    <s v="Yixing"/>
    <s v="26May014"/>
    <s v="CORE DG"/>
    <x v="1"/>
    <s v="SPTN Offstore in Transit WH"/>
    <s v="CIF"/>
    <x v="23"/>
    <s v="U1"/>
    <x v="139"/>
    <s v="AT0126042100006"/>
    <n v="35"/>
    <s v="Yes"/>
    <d v="2026-06-08T00:00:00"/>
    <x v="0"/>
    <x v="78"/>
    <s v="HSM-ND66-GK725"/>
    <s v="H4(Com)"/>
    <s v="+400mm/-200mm"/>
    <n v="725"/>
    <n v="5346"/>
    <n v="3.8758499999999998"/>
    <n v="162"/>
    <n v="9"/>
    <x v="7"/>
    <s v="COMPLETED"/>
    <s v="六月13日"/>
    <d v="2026-06-29T00:00:00"/>
    <n v="27"/>
    <s v="POPV260629041"/>
    <m/>
    <s v="SHANGHAI"/>
    <x v="1"/>
    <x v="1"/>
    <d v="2026-07-05T00:00:00"/>
    <d v="2026-07-09T00:00:00"/>
    <d v="2026-07-09T00:00:00"/>
    <d v="2026-08-11T00:00:00"/>
    <m/>
    <d v="2026-08-19T11:29:51"/>
    <m/>
    <s v="OOCL PORTUGAL 007W"/>
    <s v="COSCO"/>
    <s v="TPVB20260627003"/>
    <x v="456"/>
    <s v="COSU6505587010"/>
    <n v="41.479062500002328"/>
    <m/>
    <d v="2026-08-19T11:29:51"/>
    <s v="In Stock-Approved"/>
    <d v="2026-08-11T00:00:00"/>
    <n v="0"/>
    <d v="2026-08-19T11:29:51"/>
    <n v="2026"/>
    <n v="8"/>
    <n v="34"/>
    <n v="33"/>
    <n v="594"/>
    <s v="Transparent"/>
    <s v="AEU"/>
  </r>
  <r>
    <s v="26May013.03"/>
    <s v="Yixing"/>
    <s v="26May013"/>
    <s v="CORE DG"/>
    <x v="1"/>
    <s v="SPTN Offstore in Transit WH"/>
    <s v="CIF"/>
    <x v="23"/>
    <s v="U3"/>
    <x v="139"/>
    <s v="AT0126042100006"/>
    <n v="29"/>
    <s v="Yes"/>
    <d v="2026-06-08T00:00:00"/>
    <x v="0"/>
    <x v="77"/>
    <s v="HSM-ND66-GK720"/>
    <s v="H4(Com)"/>
    <s v="+400mm/-200mm"/>
    <n v="720"/>
    <n v="4752"/>
    <n v="3.42144"/>
    <n v="144"/>
    <n v="8"/>
    <x v="7"/>
    <s v="COMPLETED"/>
    <s v="六月20日"/>
    <d v="2026-06-27T00:00:00"/>
    <n v="26"/>
    <s v="POPV260629038"/>
    <m/>
    <s v="SHANGHAI"/>
    <x v="1"/>
    <x v="1"/>
    <d v="2026-07-05T00:00:00"/>
    <d v="2026-07-09T00:00:00"/>
    <d v="2026-07-09T00:00:00"/>
    <d v="2026-08-22T00:00:00"/>
    <m/>
    <d v="2026-08-19T11:29:51"/>
    <m/>
    <s v="COSCO SHIPPING PLANET 048W"/>
    <s v="COSCO"/>
    <s v="TPVB20260627004"/>
    <x v="457"/>
    <s v="COSU6505608500"/>
    <n v="41.479062500002328"/>
    <m/>
    <d v="2026-08-19T11:29:51"/>
    <s v="In Stock-Approved"/>
    <d v="2026-08-22T00:00:00"/>
    <n v="0"/>
    <d v="2026-08-19T11:29:51"/>
    <n v="2026"/>
    <n v="8"/>
    <n v="34"/>
    <n v="33"/>
    <n v="594"/>
    <s v="Transparent"/>
    <s v="AEU"/>
  </r>
  <r>
    <s v="26May013.04.01"/>
    <s v="Yixing"/>
    <s v="26May013"/>
    <s v="CORE DG"/>
    <x v="1"/>
    <s v="SPTN Offstore in Transit WH"/>
    <s v="CIF"/>
    <x v="23"/>
    <s v="U3"/>
    <x v="139"/>
    <s v="AT0126042100006"/>
    <n v="38"/>
    <s v="Yes"/>
    <d v="2026-06-08T00:00:00"/>
    <x v="0"/>
    <x v="77"/>
    <s v="HSM-ND66-GK720"/>
    <s v="H4(Com)"/>
    <s v="+400mm/-200mm"/>
    <n v="720"/>
    <n v="2970"/>
    <n v="2.1383999999999999"/>
    <n v="90"/>
    <n v="5"/>
    <x v="9"/>
    <s v="COMPLETED"/>
    <m/>
    <d v="2026-06-28T00:00:00"/>
    <n v="26"/>
    <s v="POPV260629039"/>
    <m/>
    <s v="SHANGHAI"/>
    <x v="1"/>
    <x v="1"/>
    <d v="2026-07-06T00:00:00"/>
    <d v="2026-07-16T00:00:00"/>
    <d v="2026-07-16T00:00:00"/>
    <d v="2026-08-12T00:00:00"/>
    <d v="2026-08-26T12:00:00"/>
    <d v="2026-08-26T00:00:00"/>
    <m/>
    <s v="EVER ACME 1408-013W"/>
    <s v="COSCO"/>
    <s v="TPVB20260627005"/>
    <x v="458"/>
    <s v="COSU6505588390"/>
    <n v="41"/>
    <m/>
    <d v="2026-08-26T00:00:00"/>
    <s v="In Stock-Approved"/>
    <d v="2026-08-12T00:00:00"/>
    <n v="0"/>
    <d v="2026-08-26T00:00:00"/>
    <n v="2026"/>
    <n v="8"/>
    <n v="35"/>
    <n v="33"/>
    <n v="594"/>
    <s v="Transparent"/>
    <s v="AEU"/>
  </r>
  <r>
    <s v="26Jun002.07"/>
    <s v="Yixing"/>
    <s v="26Jun002"/>
    <s v="CORE DG"/>
    <x v="0"/>
    <s v="Arrival Plan-SPIT"/>
    <s v="CIF"/>
    <x v="4"/>
    <s v="U1"/>
    <x v="2"/>
    <m/>
    <m/>
    <s v="n/a"/>
    <d v="2026-06-24T00:00:00"/>
    <x v="6"/>
    <x v="69"/>
    <s v="SPR-P7-515-BLK-P"/>
    <s v="EVO2A"/>
    <s v="±1350mm"/>
    <n v="515"/>
    <n v="1584"/>
    <n v="0.81576000000000004"/>
    <n v="44"/>
    <n v="2"/>
    <x v="9"/>
    <s v="COMPLETED"/>
    <s v="六月28日"/>
    <d v="2026-07-05T00:00:00"/>
    <n v="27"/>
    <s v="POPV260710039"/>
    <m/>
    <s v="SHANGHAI"/>
    <x v="1"/>
    <x v="4"/>
    <d v="2026-07-14T00:00:00"/>
    <d v="2026-07-23T00:00:00"/>
    <d v="2026-07-24T00:00:00"/>
    <d v="2026-08-26T00:00:00"/>
    <d v="2026-09-09T08:00:00"/>
    <d v="2026-09-09T09:59:06"/>
    <m/>
    <s v="COSCO SHIPPING NEBULA 033W"/>
    <s v="COSCO"/>
    <s v="TPVB20260627006"/>
    <x v="459"/>
    <s v="COSU6505914680"/>
    <n v="47.416041666663659"/>
    <m/>
    <d v="2026-09-09T09:59:06"/>
    <s v="In Transit-Approved"/>
    <d v="2026-09-23T00:00:00"/>
    <n v="10"/>
    <d v="2026-09-19T09:59:06"/>
    <n v="2026"/>
    <n v="9"/>
    <n v="38"/>
    <n v="36"/>
    <n v="792"/>
    <s v="Black glazing"/>
    <s v="AEM"/>
  </r>
  <r>
    <s v="26Jun002.06"/>
    <s v="Yixing"/>
    <s v="26Jun002"/>
    <s v="CORE DG"/>
    <x v="0"/>
    <s v="Arrival Plan-SPIT"/>
    <s v="CIF"/>
    <x v="4"/>
    <s v="U1"/>
    <x v="2"/>
    <m/>
    <m/>
    <s v="n/a"/>
    <d v="2026-06-23T00:00:00"/>
    <x v="6"/>
    <x v="69"/>
    <s v="SPR-P7-515-BLK-P"/>
    <s v="EVO2A"/>
    <s v="±1350mm"/>
    <n v="515"/>
    <n v="2376"/>
    <n v="1.2236400000000001"/>
    <n v="66"/>
    <n v="3"/>
    <x v="9"/>
    <s v="COMPLETED"/>
    <s v="六月29日"/>
    <d v="2026-07-05T00:00:00"/>
    <n v="27"/>
    <s v="POPV260710037"/>
    <m/>
    <s v="SHANGHAI"/>
    <x v="1"/>
    <x v="4"/>
    <d v="2026-07-14T00:00:00"/>
    <d v="2026-07-23T00:00:00"/>
    <d v="2026-07-24T00:00:00"/>
    <d v="2026-08-26T00:00:00"/>
    <d v="2026-09-09T08:00:00"/>
    <d v="2026-09-09T09:59:06"/>
    <m/>
    <s v="COSCO SHIPPING NEBULA 033W"/>
    <s v="COSCO"/>
    <s v="TPVB20260627006"/>
    <x v="459"/>
    <s v="COSU6505914680"/>
    <n v="47.416041666663659"/>
    <m/>
    <d v="2026-09-09T09:59:06"/>
    <s v="In Transit-Approved"/>
    <d v="2026-09-23T00:00:00"/>
    <n v="10"/>
    <d v="2026-09-19T09:59:06"/>
    <n v="2026"/>
    <n v="9"/>
    <n v="38"/>
    <n v="36"/>
    <n v="792"/>
    <s v="Black glazing"/>
    <s v="AEM"/>
  </r>
  <r>
    <s v="26Jun007.02"/>
    <s v="Tianjin (transport to YIXING for shipment)"/>
    <s v="26Jun007"/>
    <s v="CORE DG"/>
    <x v="0"/>
    <s v="Arrival Plan-SPTN"/>
    <s v="CIF"/>
    <x v="0"/>
    <s v="U1"/>
    <x v="56"/>
    <m/>
    <m/>
    <s v="n/a"/>
    <d v="2026-06-15T00:00:00"/>
    <x v="0"/>
    <x v="80"/>
    <s v="HSM-ND66-GR620"/>
    <s v="H4(Com)"/>
    <s v="±1400mm"/>
    <n v="620"/>
    <n v="4320"/>
    <n v="2.6783999999999999"/>
    <n v="120"/>
    <n v="6"/>
    <x v="9"/>
    <s v="COMPLETED"/>
    <s v="七月8日"/>
    <d v="2026-07-07T00:00:00"/>
    <n v="28"/>
    <s v="POPV260710038"/>
    <m/>
    <s v="SHANGHAI"/>
    <x v="1"/>
    <x v="0"/>
    <d v="2026-07-14T00:00:00"/>
    <d v="2026-07-23T00:00:00"/>
    <d v="2026-07-24T00:00:00"/>
    <d v="2026-08-31T00:00:00"/>
    <d v="2026-09-13T02:00:00"/>
    <d v="2026-09-13T04:29:03"/>
    <m/>
    <s v="COSCO SHIPPING NEBULA 033W"/>
    <s v="COSCO"/>
    <s v="TPVB20260627007"/>
    <x v="460"/>
    <s v="COSU6505913620"/>
    <n v="51.186840277776355"/>
    <m/>
    <d v="2026-09-13T04:29:03"/>
    <s v="In Transit-Approved"/>
    <d v="2026-09-25T00:00:00"/>
    <n v="8"/>
    <d v="2026-09-21T04:29:03"/>
    <n v="2026"/>
    <n v="9"/>
    <n v="39"/>
    <n v="36"/>
    <n v="720"/>
    <s v="Transparent"/>
    <s v="AEM"/>
  </r>
  <r>
    <s v="26Jun007.03"/>
    <s v="Tianjin (transport to YIXING for shipment)"/>
    <s v="26Jun007"/>
    <s v="CORE DG"/>
    <x v="0"/>
    <s v="Arrival Plan-SPTN"/>
    <s v="CIF"/>
    <x v="0"/>
    <s v="U1"/>
    <x v="56"/>
    <m/>
    <m/>
    <s v="n/a"/>
    <d v="2026-06-15T00:00:00"/>
    <x v="0"/>
    <x v="80"/>
    <s v="HSM-ND66-GR620"/>
    <s v="H4(Com)"/>
    <s v="±1400mm"/>
    <n v="620"/>
    <n v="2880"/>
    <n v="1.7856000000000001"/>
    <n v="80"/>
    <n v="4"/>
    <x v="7"/>
    <s v="COMPLETED"/>
    <s v="七月8日"/>
    <d v="2026-07-07T00:00:00"/>
    <n v="28"/>
    <s v="POPV260710034"/>
    <m/>
    <s v="SHANGHAI"/>
    <x v="1"/>
    <x v="0"/>
    <d v="2026-07-14T00:00:00"/>
    <d v="2026-07-23T00:00:00"/>
    <d v="2026-07-24T00:00:00"/>
    <d v="2026-08-31T00:00:00"/>
    <d v="2026-09-13T02:00:00"/>
    <d v="2026-09-13T04:29:03"/>
    <m/>
    <s v="COSCO SHIPPING NEBULA 033W"/>
    <s v="COSCO"/>
    <s v="TPVB20260627007"/>
    <x v="460"/>
    <s v="COSU6505913620"/>
    <n v="51.186840277776355"/>
    <m/>
    <d v="2026-09-13T04:29:03"/>
    <s v="In Transit-Approved"/>
    <d v="2026-09-25T00:00:00"/>
    <n v="8"/>
    <d v="2026-09-21T04:29:03"/>
    <n v="2026"/>
    <n v="9"/>
    <n v="39"/>
    <n v="36"/>
    <n v="720"/>
    <s v="Transparent"/>
    <s v="AEM"/>
  </r>
  <r>
    <s v="26Jul001.01.01"/>
    <s v="Yixing"/>
    <s v="26Jul001"/>
    <s v="CORE DG"/>
    <x v="0"/>
    <s v="Arrival Plan-SPTN"/>
    <s v="CIF"/>
    <x v="0"/>
    <s v="U2"/>
    <x v="2"/>
    <m/>
    <m/>
    <s v="n/a"/>
    <d v="2026-07-06T00:00:00"/>
    <x v="6"/>
    <x v="21"/>
    <s v="SPR-P7-510-BLK-P"/>
    <s v="EVO2A"/>
    <s v="±1350mm"/>
    <n v="510"/>
    <n v="792"/>
    <n v="0.40392"/>
    <n v="22"/>
    <n v="1"/>
    <x v="10"/>
    <s v="COMPLETED"/>
    <m/>
    <d v="2026-07-08T00:00:00"/>
    <n v="28"/>
    <s v="POPV260710041"/>
    <m/>
    <s v="SHANGHAI"/>
    <x v="1"/>
    <x v="0"/>
    <d v="2026-07-14T00:00:00"/>
    <d v="2026-07-23T00:00:00"/>
    <d v="2026-07-24T00:00:00"/>
    <d v="2026-08-31T00:00:00"/>
    <d v="2026-09-13T02:00:00"/>
    <d v="2026-09-13T04:29:03"/>
    <m/>
    <s v="COSCO SHIPPING NEBULA 033W"/>
    <s v="COSCO"/>
    <s v="TPVB20260627007"/>
    <x v="460"/>
    <s v="COSU6505913620"/>
    <n v="51.186840277776355"/>
    <m/>
    <d v="2026-09-13T04:29:03"/>
    <s v="In Transit-Approved"/>
    <d v="2026-09-25T00:00:00"/>
    <n v="8"/>
    <d v="2026-09-21T04:29:03"/>
    <n v="2026"/>
    <n v="9"/>
    <n v="39"/>
    <n v="36"/>
    <n v="792"/>
    <s v="Black glazing"/>
    <s v="AEM"/>
  </r>
  <r>
    <s v="26Jun001.02.01"/>
    <s v="Yixing"/>
    <s v="26Jun001"/>
    <s v="CORE DG"/>
    <x v="0"/>
    <s v="Arrival Plan-SPTN"/>
    <s v="CIF"/>
    <x v="0"/>
    <s v="U1"/>
    <x v="2"/>
    <m/>
    <m/>
    <s v="n/a"/>
    <d v="2026-06-16T00:00:00"/>
    <x v="6"/>
    <x v="21"/>
    <s v="SPR-P7-510-BLK-P"/>
    <s v="EVO2A"/>
    <s v="±1350mm"/>
    <n v="510"/>
    <n v="1584"/>
    <n v="0.80784"/>
    <n v="44"/>
    <n v="2"/>
    <x v="9"/>
    <s v="COMPLETED"/>
    <s v="六月29日"/>
    <d v="2026-07-05T00:00:00"/>
    <n v="27"/>
    <s v="POPV260710040"/>
    <m/>
    <s v="SHANGHAI"/>
    <x v="1"/>
    <x v="0"/>
    <d v="2026-07-14T00:00:00"/>
    <d v="2026-07-23T00:00:00"/>
    <d v="2026-07-24T00:00:00"/>
    <d v="2026-08-31T00:00:00"/>
    <d v="2026-09-13T02:00:00"/>
    <d v="2026-09-13T04:29:03"/>
    <m/>
    <s v="COSCO SHIPPING NEBULA 033W"/>
    <s v="COSCO"/>
    <s v="TPVB20260627007"/>
    <x v="460"/>
    <s v="COSU6505913620"/>
    <n v="51.186840277776355"/>
    <m/>
    <d v="2026-09-13T04:29:03"/>
    <s v="In Transit-Approved"/>
    <d v="2026-09-25T00:00:00"/>
    <n v="8"/>
    <d v="2026-09-21T04:29:03"/>
    <n v="2026"/>
    <n v="9"/>
    <n v="39"/>
    <n v="36"/>
    <n v="792"/>
    <s v="Black glazing"/>
    <s v="AEM"/>
  </r>
  <r>
    <s v="26Jun013.10"/>
    <s v="Tianjin(Transport to Yixing for shipment TBC)"/>
    <s v="26Jun013"/>
    <s v="CORE DG"/>
    <x v="1"/>
    <s v="SPTN Offstore in Transit WH"/>
    <s v="CIP"/>
    <x v="30"/>
    <s v="U4"/>
    <x v="158"/>
    <s v="FR0126052100039"/>
    <s v="1"/>
    <s v="Yes"/>
    <d v="2026-07-06T00:00:00"/>
    <x v="0"/>
    <x v="27"/>
    <s v="HSM-ND54-DR500 CFP"/>
    <s v="EVO2A"/>
    <s v="±1200mm"/>
    <n v="500"/>
    <n v="864"/>
    <n v="0.432"/>
    <n v="24"/>
    <n v="1"/>
    <x v="8"/>
    <s v="COMPLETED"/>
    <d v="2026-07-07T00:00:00"/>
    <d v="2026-07-08T00:00:00"/>
    <n v="28"/>
    <s v="POPV260710031"/>
    <m/>
    <s v="SHANGHAI"/>
    <x v="1"/>
    <x v="0"/>
    <d v="2026-07-14T00:00:00"/>
    <d v="2026-07-23T00:00:00"/>
    <d v="2026-07-24T00:00:00"/>
    <d v="2026-08-31T00:00:00"/>
    <d v="2026-09-13T02:00:00"/>
    <d v="2026-09-13T04:29:03"/>
    <m/>
    <s v="COSCO SHIPPING NEBULA 033W"/>
    <s v="COSCO"/>
    <s v="TPVB20260627015"/>
    <x v="461"/>
    <s v="COSU6507195960"/>
    <n v="51.186840277776355"/>
    <m/>
    <d v="2026-09-13T04:29:03"/>
    <s v="In Stock-Approved"/>
    <d v="2026-08-31T00:00:00"/>
    <n v="0"/>
    <d v="2026-09-13T04:29:03"/>
    <n v="2026"/>
    <n v="9"/>
    <n v="37"/>
    <n v="36"/>
    <n v="864"/>
    <s v="Black glazing"/>
    <s v="AEM"/>
  </r>
  <r>
    <s v="26Jun001.03"/>
    <s v="Yixing"/>
    <s v="26Jun001"/>
    <s v="CORE DG"/>
    <x v="0"/>
    <s v="Arrival Plan-SPTN"/>
    <s v="CIF"/>
    <x v="0"/>
    <s v="U1"/>
    <x v="2"/>
    <m/>
    <m/>
    <s v="n/a"/>
    <d v="2026-06-17T00:00:00"/>
    <x v="6"/>
    <x v="21"/>
    <s v="SPR-P7-510-BLK-P"/>
    <s v="EVO2A"/>
    <s v="±1350mm"/>
    <n v="510"/>
    <n v="2376"/>
    <n v="1.2117599999999999"/>
    <n v="66"/>
    <n v="3"/>
    <x v="9"/>
    <s v="COMPLETED"/>
    <s v="七月1日"/>
    <d v="2026-07-01T00:00:00"/>
    <n v="27"/>
    <s v="POPV260703008"/>
    <m/>
    <s v="SHANGHAI"/>
    <x v="1"/>
    <x v="0"/>
    <d v="2026-07-07T00:00:00"/>
    <d v="2026-07-29T00:00:00"/>
    <d v="2026-07-29T00:00:00"/>
    <d v="2026-08-19T00:00:00"/>
    <d v="2026-09-07T20:00:00"/>
    <d v="2026-09-07T06:02:05"/>
    <m/>
    <s v="CMA CGM BERENICE 0MEO7W1MA"/>
    <s v="COSCO"/>
    <s v="TPVB20260627008"/>
    <x v="462"/>
    <s v="COSU6505912480"/>
    <n v="40.251446759262762"/>
    <m/>
    <d v="2026-09-07T06:02:05"/>
    <s v="In Transit-Approved"/>
    <d v="2026-09-21T00:00:00"/>
    <n v="8"/>
    <d v="2026-09-15T06:02:05"/>
    <n v="2026"/>
    <n v="9"/>
    <n v="38"/>
    <n v="36"/>
    <n v="792"/>
    <s v="Black glazing"/>
    <s v="AEM"/>
  </r>
  <r>
    <s v="26Jun001.01"/>
    <s v="Yixing"/>
    <s v="26Jun001"/>
    <s v="CORE DG"/>
    <x v="0"/>
    <s v="Arrival Plan-SPTN"/>
    <s v="CIF"/>
    <x v="0"/>
    <s v="U1"/>
    <x v="2"/>
    <m/>
    <m/>
    <s v="n/a"/>
    <d v="2026-06-15T00:00:00"/>
    <x v="6"/>
    <x v="21"/>
    <s v="SPR-P7-510-BLK-P"/>
    <s v="EVO2A"/>
    <s v="±1350mm"/>
    <n v="510"/>
    <n v="2376"/>
    <n v="1.2117599999999999"/>
    <n v="66"/>
    <n v="3"/>
    <x v="9"/>
    <s v="COMPLETED"/>
    <s v="七月1日"/>
    <d v="2026-07-01T00:00:00"/>
    <n v="27"/>
    <s v="POPV260703007"/>
    <m/>
    <s v="SHANGHAI"/>
    <x v="1"/>
    <x v="0"/>
    <d v="2026-07-07T00:00:00"/>
    <d v="2026-07-29T00:00:00"/>
    <d v="2026-07-29T00:00:00"/>
    <d v="2026-08-19T00:00:00"/>
    <d v="2026-09-07T20:00:00"/>
    <d v="2026-09-07T06:02:05"/>
    <m/>
    <s v="CMA CGM BERENICE 0MEO7W1MA"/>
    <s v="COSCO"/>
    <s v="TPVB20260627008"/>
    <x v="462"/>
    <s v="COSU6505912480"/>
    <n v="40.251446759262762"/>
    <m/>
    <d v="2026-09-07T06:02:05"/>
    <s v="In Transit-Approved"/>
    <d v="2026-09-21T00:00:00"/>
    <n v="8"/>
    <d v="2026-09-15T06:02:05"/>
    <n v="2026"/>
    <n v="9"/>
    <n v="38"/>
    <n v="36"/>
    <n v="792"/>
    <s v="Black glazing"/>
    <s v="AEM"/>
  </r>
  <r>
    <s v="26Jul013.01 "/>
    <s v="Yixing"/>
    <s v="26Jul013"/>
    <s v="CORE DG"/>
    <x v="0"/>
    <s v="Arrival Plan-SPES"/>
    <s v="CIF"/>
    <x v="1"/>
    <s v="U1"/>
    <x v="159"/>
    <s v="ES0126060900043"/>
    <n v="1"/>
    <s v="Yes"/>
    <d v="2026-06-29T00:00:00"/>
    <x v="10"/>
    <x v="81"/>
    <s v="HSM-NT60-GH580"/>
    <s v="EVO2A"/>
    <s v="±1400mm"/>
    <n v="580"/>
    <n v="3600"/>
    <n v="2.0880000000000001"/>
    <n v="100"/>
    <n v="5"/>
    <x v="9"/>
    <s v="COMPLETED"/>
    <s v="六月30日"/>
    <d v="2026-07-04T00:00:00"/>
    <n v="27"/>
    <s v="POPV260818037"/>
    <m/>
    <s v="SHANGHAI"/>
    <x v="1"/>
    <x v="2"/>
    <d v="2026-07-14T00:00:00"/>
    <d v="2026-07-14T00:00:00"/>
    <d v="2026-07-14T00:00:00"/>
    <d v="2026-08-20T00:00:00"/>
    <d v="2026-09-02T19:00:00"/>
    <d v="2026-09-03T06:44:28"/>
    <m/>
    <s v="COSCO SHIPPING KILIMANJARO 045W"/>
    <s v="COSCO"/>
    <s v="TPVB20260627009"/>
    <x v="463"/>
    <s v="COSU6505915770"/>
    <n v="51.280879629630363"/>
    <m/>
    <d v="2026-09-03T06:44:28"/>
    <s v="In Transit-Approved"/>
    <d v="2026-09-02T00:00:00"/>
    <n v="9"/>
    <d v="2026-09-12T06:44:28"/>
    <n v="2026"/>
    <n v="9"/>
    <n v="37"/>
    <n v="36"/>
    <n v="720"/>
    <s v="Transparent"/>
    <s v="AEM"/>
  </r>
  <r>
    <s v="26Jun022.01"/>
    <s v="Tianjin"/>
    <s v="26Jun022"/>
    <s v="CORE DG"/>
    <x v="0"/>
    <s v="Arrival Plan-SPIT"/>
    <s v="CIF"/>
    <x v="4"/>
    <s v="U1"/>
    <x v="2"/>
    <m/>
    <m/>
    <s v="n/a"/>
    <d v="2026-06-29T00:00:00"/>
    <x v="3"/>
    <x v="82"/>
    <s v="HSM-BD66-GR655"/>
    <s v="EVO2A"/>
    <s v="±1400mm"/>
    <n v="655"/>
    <n v="720"/>
    <n v="0.47160000000000002"/>
    <n v="20"/>
    <n v="1"/>
    <x v="9"/>
    <s v="COMPLETED"/>
    <s v="forgot Italy importer label"/>
    <d v="2026-07-03T00:00:00"/>
    <n v="27"/>
    <s v="POPV260703010"/>
    <m/>
    <s v="TIANJIN"/>
    <x v="0"/>
    <x v="14"/>
    <d v="2026-07-09T00:00:00"/>
    <d v="2026-07-10T00:00:00"/>
    <d v="2026-07-10T00:00:00"/>
    <d v="2026-09-18T00:00:00"/>
    <d v="2026-10-04T21:00:00"/>
    <d v="2026-10-04T00:00:00"/>
    <m/>
    <s v="COSCO SHIPPING AZALEA 036E"/>
    <s v="COSCO"/>
    <s v="TPVB20260627010"/>
    <x v="464"/>
    <s v="COSU9508140760"/>
    <n v="86"/>
    <m/>
    <d v="2026-10-04T00:00:00"/>
    <s v="In Transit-Approved"/>
    <d v="2026-10-12T00:00:00"/>
    <n v="10"/>
    <d v="2026-10-14T00:00:00"/>
    <n v="2026"/>
    <n v="10"/>
    <n v="42"/>
    <n v="36"/>
    <n v="720"/>
    <s v="White glazing"/>
    <s v="AEM"/>
  </r>
  <r>
    <s v="26Jun013.02"/>
    <s v="Tianjin"/>
    <s v="26Jun013"/>
    <s v="CORE DG"/>
    <x v="1"/>
    <s v="SPTN Offstore in Transit WH"/>
    <s v="CIF"/>
    <x v="26"/>
    <s v="U4"/>
    <x v="132"/>
    <s v="FR0126062200030"/>
    <n v="1"/>
    <s v="Yes"/>
    <d v="2026-07-06T00:00:00"/>
    <x v="0"/>
    <x v="27"/>
    <s v="HSM-ND54-DR500 CFP"/>
    <s v="EVO2A"/>
    <s v="±1200mm"/>
    <n v="500"/>
    <n v="2592"/>
    <n v="1.296"/>
    <n v="72"/>
    <n v="3"/>
    <x v="7"/>
    <s v="COMPLETED"/>
    <m/>
    <d v="2026-07-03T00:00:00"/>
    <n v="27"/>
    <s v="POPV260703009"/>
    <m/>
    <s v="TIANJIN"/>
    <x v="0"/>
    <x v="0"/>
    <d v="2026-07-09T00:00:00"/>
    <d v="2026-07-10T00:00:00"/>
    <d v="2026-07-10T00:00:00"/>
    <d v="2026-09-14T00:00:00"/>
    <d v="2026-09-20T01:00:00"/>
    <d v="2026-09-19T22:07:15"/>
    <m/>
    <s v="COSCO SHIPPING AZALEA 036E"/>
    <s v="COSCO"/>
    <s v="TPVB20260627011"/>
    <x v="465"/>
    <s v="COSU9508147070"/>
    <n v="71.921701388891961"/>
    <m/>
    <d v="2026-09-19T22:07:15"/>
    <s v="In Stock-Approved"/>
    <d v="2026-09-14T00:00:00"/>
    <n v="0"/>
    <d v="2026-09-19T22:07:15"/>
    <n v="2026"/>
    <n v="9"/>
    <n v="38"/>
    <n v="36"/>
    <n v="864"/>
    <s v="Black glazing"/>
    <s v="AEM"/>
  </r>
  <r>
    <s v="26Jun013.01"/>
    <s v="Tianjin"/>
    <s v="26Jun013"/>
    <s v="CORE DG"/>
    <x v="1"/>
    <s v="SPTN Offstore in Transit WH"/>
    <s v="CIP"/>
    <x v="30"/>
    <s v="U1"/>
    <x v="158"/>
    <s v="FR0126052000015"/>
    <n v="1"/>
    <s v="Yes"/>
    <d v="2026-07-06T00:00:00"/>
    <x v="0"/>
    <x v="27"/>
    <s v="HSM-ND54-DR500 CFP"/>
    <s v="EVO2A"/>
    <s v="±1200mm"/>
    <n v="500"/>
    <n v="864"/>
    <n v="0.432"/>
    <n v="24"/>
    <n v="1"/>
    <x v="7"/>
    <s v="COMPLETED"/>
    <m/>
    <d v="2026-07-03T00:00:00"/>
    <n v="27"/>
    <s v="POPV260703006"/>
    <m/>
    <s v="TIANJIN"/>
    <x v="0"/>
    <x v="0"/>
    <d v="2026-07-09T00:00:00"/>
    <d v="2026-07-10T00:00:00"/>
    <d v="2026-07-10T00:00:00"/>
    <d v="2026-09-14T00:00:00"/>
    <d v="2026-09-20T01:00:00"/>
    <d v="2026-09-19T22:07:15"/>
    <m/>
    <s v="COSCO SHIPPING AZALEA 036E"/>
    <s v="COSCO"/>
    <s v="TPVB20260627012"/>
    <x v="466"/>
    <s v="COSU9508147071"/>
    <n v="71.921701388891961"/>
    <m/>
    <d v="2026-09-19T22:07:15"/>
    <s v="In Stock-Approved"/>
    <d v="2026-09-14T00:00:00"/>
    <n v="0"/>
    <d v="2026-09-19T22:07:15"/>
    <n v="2026"/>
    <n v="9"/>
    <n v="38"/>
    <n v="36"/>
    <n v="864"/>
    <s v="Black glazing"/>
    <s v="AEM"/>
  </r>
  <r>
    <s v="26Jun013.03"/>
    <s v="Tianjin"/>
    <s v="26Jun013"/>
    <s v="CORE DG"/>
    <x v="1"/>
    <s v="SPTN Offstore in Transit WH"/>
    <s v="CIP"/>
    <x v="30"/>
    <s v="U1"/>
    <x v="158"/>
    <s v="FR0126052100037"/>
    <s v="1"/>
    <s v="Yes"/>
    <d v="2026-07-06T00:00:00"/>
    <x v="0"/>
    <x v="27"/>
    <s v="HSM-ND54-DR500 CFP"/>
    <s v="EVO2A"/>
    <s v="±1200mm"/>
    <n v="500"/>
    <n v="864"/>
    <n v="0.432"/>
    <n v="24"/>
    <n v="1"/>
    <x v="7"/>
    <s v="COMPLETED"/>
    <m/>
    <d v="2026-07-03T00:00:00"/>
    <n v="27"/>
    <s v="POPV260703004"/>
    <m/>
    <s v="TIANJIN"/>
    <x v="0"/>
    <x v="0"/>
    <d v="2026-07-09T00:00:00"/>
    <d v="2026-07-10T00:00:00"/>
    <d v="2026-07-10T00:00:00"/>
    <d v="2026-09-09T00:00:00"/>
    <d v="2026-09-25T06:00:00"/>
    <d v="2026-09-25T05:35:14"/>
    <m/>
    <s v="COSCO SHIPPING AZALEA 036E"/>
    <s v="COSCO"/>
    <s v="TPVB20260627013"/>
    <x v="467"/>
    <s v="COSU9508147081"/>
    <n v="77.232800925929041"/>
    <m/>
    <d v="2026-09-25T05:35:14"/>
    <s v="In Stock-Approved"/>
    <d v="2026-09-09T00:00:00"/>
    <n v="0"/>
    <d v="2026-09-25T05:35:14"/>
    <n v="2026"/>
    <n v="9"/>
    <n v="39"/>
    <n v="36"/>
    <n v="864"/>
    <s v="Black glazing"/>
    <s v="AEM"/>
  </r>
  <r>
    <s v="26Jun013.05"/>
    <s v="Tianjin"/>
    <s v="26Jun013"/>
    <s v="CORE DG"/>
    <x v="1"/>
    <s v="SPTN Offstore in Transit WH"/>
    <s v="CIP"/>
    <x v="30"/>
    <s v="U1"/>
    <x v="158"/>
    <s v="FR0126052100033"/>
    <s v="1"/>
    <s v="Yes"/>
    <d v="2026-07-06T00:00:00"/>
    <x v="0"/>
    <x v="27"/>
    <s v="HSM-ND54-DR500 CFP"/>
    <s v="EVO2A"/>
    <s v="±1200mm"/>
    <n v="500"/>
    <n v="864"/>
    <n v="0.432"/>
    <n v="24"/>
    <n v="1"/>
    <x v="7"/>
    <s v="COMPLETED"/>
    <m/>
    <d v="2026-07-03T00:00:00"/>
    <n v="27"/>
    <s v="POPV260703005"/>
    <m/>
    <s v="TIANJIN"/>
    <x v="0"/>
    <x v="0"/>
    <d v="2026-07-09T00:00:00"/>
    <d v="2026-07-10T00:00:00"/>
    <d v="2026-07-10T00:00:00"/>
    <d v="2026-09-09T00:00:00"/>
    <d v="2026-09-25T06:00:00"/>
    <d v="2026-09-25T05:35:14"/>
    <m/>
    <s v="COSCO SHIPPING AZALEA 036E"/>
    <s v="COSCO"/>
    <s v="TPVB20260627014"/>
    <x v="468"/>
    <s v="COSU9508147080"/>
    <n v="77.232800925929041"/>
    <m/>
    <d v="2026-09-25T05:35:14"/>
    <s v="In Stock-Approved"/>
    <d v="2026-09-09T00:00:00"/>
    <n v="0"/>
    <d v="2026-09-25T05:35:14"/>
    <n v="2026"/>
    <n v="9"/>
    <n v="39"/>
    <n v="36"/>
    <n v="864"/>
    <s v="Black glazing"/>
    <s v="AEM"/>
  </r>
  <r>
    <s v="26Jun011.05"/>
    <s v="Quzhou"/>
    <s v="26Jun011"/>
    <s v="CORE DG"/>
    <x v="1"/>
    <s v="SPTN Offstore in Transit WH"/>
    <s v="CIF"/>
    <x v="14"/>
    <s v="U1"/>
    <x v="160"/>
    <s v="PL0126052000013"/>
    <n v="5"/>
    <s v="Yes"/>
    <d v="2026-06-22T00:00:00"/>
    <x v="0"/>
    <x v="0"/>
    <s v="HSM-ND54-DR500"/>
    <s v="EVO2A"/>
    <s v="±1200mm"/>
    <n v="500"/>
    <n v="3456"/>
    <n v="1.728"/>
    <n v="96"/>
    <n v="4"/>
    <x v="8"/>
    <s v="COMPLETED"/>
    <d v="2026-07-03T00:00:00"/>
    <d v="2026-07-09T00:00:00"/>
    <n v="28"/>
    <s v="POPV260710033"/>
    <m/>
    <s v="SHANGHAI / QUZHOU"/>
    <x v="1"/>
    <x v="9"/>
    <d v="2026-07-16T00:00:00"/>
    <d v="2026-07-17T00:00:00"/>
    <d v="2026-07-20T00:00:00"/>
    <d v="2026-09-02T00:00:00"/>
    <d v="2026-09-19T22:00:00"/>
    <d v="2026-09-20T06:13:59"/>
    <m/>
    <s v="OOCL DENMARK 009W"/>
    <s v="COSCO"/>
    <s v="TPVB20260628001"/>
    <x v="469"/>
    <s v="COSU6506450380"/>
    <n v="62.25971064814803"/>
    <m/>
    <d v="2026-09-20T06:13:59"/>
    <s v="In Stock-Approved"/>
    <d v="2026-09-02T00:00:00"/>
    <n v="0"/>
    <d v="2026-09-20T06:13:59"/>
    <n v="2026"/>
    <n v="9"/>
    <n v="38"/>
    <n v="36"/>
    <n v="864"/>
    <s v="Black glazing"/>
    <s v="AEU"/>
  </r>
  <r>
    <s v="26Jun016.01.01"/>
    <s v="Yixing"/>
    <s v="26Jun016"/>
    <s v="CORE DG"/>
    <x v="0"/>
    <s v="Arrival Plan-SPUK"/>
    <s v="CIF"/>
    <x v="0"/>
    <s v="U1"/>
    <x v="2"/>
    <m/>
    <m/>
    <s v="n/a"/>
    <d v="2026-06-29T00:00:00"/>
    <x v="11"/>
    <x v="83"/>
    <s v="HSM-NT48-HH470"/>
    <s v="EVO2A"/>
    <s v="±1200mm"/>
    <n v="470"/>
    <n v="936"/>
    <n v="0.43991999999999998"/>
    <n v="26"/>
    <n v="1"/>
    <x v="8"/>
    <s v="COMPLETED"/>
    <d v="2026-06-28T00:00:00"/>
    <d v="2026-07-05T00:00:00"/>
    <n v="27"/>
    <s v="POPV260710023"/>
    <m/>
    <s v="SHANGHAI"/>
    <x v="1"/>
    <x v="6"/>
    <d v="2026-07-17T00:00:00"/>
    <d v="2026-07-16T00:00:00"/>
    <d v="2026-07-16T00:00:00"/>
    <d v="2026-08-23T00:00:00"/>
    <m/>
    <d v="2026-08-19T17:44:24"/>
    <m/>
    <s v="OOCL DENMARK 009W"/>
    <s v="COSCO"/>
    <s v="TPVB20260628002"/>
    <x v="470"/>
    <s v="COSU6507018050"/>
    <n v="34.739166666666279"/>
    <m/>
    <d v="2026-08-19T17:44:24"/>
    <s v="In Stock-Approved"/>
    <d v="2026-09-02T00:00:00"/>
    <n v="7"/>
    <d v="2026-08-26T17:44:24"/>
    <n v="2026"/>
    <n v="8"/>
    <n v="35"/>
    <n v="36"/>
    <n v="936"/>
    <s v="Black glazing"/>
    <s v="AEU"/>
  </r>
  <r>
    <s v="26Jun008.03"/>
    <s v="Tianjin(Transport to Yixing for shipment)"/>
    <s v="26Jun008"/>
    <s v="CORE DG"/>
    <x v="0"/>
    <s v="Arrival Plan-SPNL"/>
    <s v="CIF"/>
    <x v="0"/>
    <s v="U4"/>
    <x v="56"/>
    <m/>
    <m/>
    <s v="n/a"/>
    <d v="2026-06-15T00:00:00"/>
    <x v="0"/>
    <x v="79"/>
    <s v="HSM-ND66-GR625"/>
    <s v="H4(Com)"/>
    <s v="±1400mm"/>
    <n v="625"/>
    <n v="7920"/>
    <n v="4.95"/>
    <n v="220"/>
    <n v="11"/>
    <x v="9"/>
    <s v="COMPLETED"/>
    <s v="七月15日"/>
    <d v="2026-07-14T00:00:00"/>
    <n v="29"/>
    <s v="POPV260729022"/>
    <m/>
    <s v="SHANGHAI"/>
    <x v="1"/>
    <x v="1"/>
    <d v="2026-07-25T00:00:00"/>
    <d v="2026-07-26T00:00:00"/>
    <d v="2026-07-28T00:00:00"/>
    <d v="2026-08-22T00:00:00"/>
    <d v="2026-09-01T00:00:00"/>
    <d v="2026-08-31T23:18:34"/>
    <m/>
    <s v="COSCO SHIPPING CAPRICORN 041W"/>
    <s v="COSCO"/>
    <s v="TPVB20260628003"/>
    <x v="471"/>
    <s v="COSU6507790480"/>
    <n v="34.971226851848769"/>
    <m/>
    <d v="2026-08-31T23:18:34"/>
    <s v="In Transit-Approved"/>
    <d v="2026-09-14T00:00:00"/>
    <n v="7"/>
    <d v="2026-09-07T23:18:34"/>
    <n v="2026"/>
    <n v="9"/>
    <n v="37"/>
    <n v="36"/>
    <n v="720"/>
    <s v="Transparent"/>
    <s v="AEU"/>
  </r>
  <r>
    <s v="26May011.05.01"/>
    <s v="Yixing"/>
    <s v="26May011"/>
    <s v="CORE DG"/>
    <x v="1"/>
    <s v="SPTN Offstore in Transit WH"/>
    <s v="CIF"/>
    <x v="10"/>
    <s v="U4"/>
    <x v="161"/>
    <s v="DE0126070200004"/>
    <n v="1"/>
    <s v="Yes"/>
    <d v="2026-05-25T00:00:00"/>
    <x v="0"/>
    <x v="74"/>
    <s v="HSM-ND66-GR625"/>
    <s v="H4(Com)"/>
    <s v="+400mm/-200mm"/>
    <n v="625"/>
    <n v="3600"/>
    <n v="2.25"/>
    <n v="100"/>
    <n v="5"/>
    <x v="9"/>
    <s v="COMPLETED"/>
    <s v="BW JUN"/>
    <d v="2026-07-22T00:00:00"/>
    <n v="30"/>
    <s v="POPV260724031"/>
    <m/>
    <s v="SHANGHAI"/>
    <x v="1"/>
    <x v="1"/>
    <d v="2026-07-25T00:00:00"/>
    <d v="2026-07-26T00:00:00"/>
    <d v="2026-07-28T00:00:00"/>
    <d v="2026-08-22T00:00:00"/>
    <d v="2026-09-01T00:00:00"/>
    <d v="2026-08-31T23:18:34"/>
    <m/>
    <s v="COSCO SHIPPING CAPRICORN 041W"/>
    <s v="COSCO"/>
    <s v="TPVB20260628016"/>
    <x v="472"/>
    <s v="COSU6507666250"/>
    <n v="34.971226851848769"/>
    <m/>
    <d v="2026-08-31T23:18:34"/>
    <s v="In Stock-Approved"/>
    <d v="2026-08-28T00:00:00"/>
    <n v="0"/>
    <d v="2026-08-31T23:18:34"/>
    <n v="2026"/>
    <n v="8"/>
    <n v="36"/>
    <n v="36"/>
    <n v="720"/>
    <s v="Transparent"/>
    <s v="AEU"/>
  </r>
  <r>
    <s v="26Jun015.06.01"/>
    <s v="Yixing"/>
    <s v="26Jun015"/>
    <s v="CORE DG"/>
    <x v="1"/>
    <s v="SPTN Offstore in Transit WH"/>
    <s v="CIF"/>
    <x v="15"/>
    <s v="U6"/>
    <x v="162"/>
    <s v="BE0126061200010"/>
    <n v="1"/>
    <s v="Yes"/>
    <d v="2026-06-29T00:00:00"/>
    <x v="11"/>
    <x v="84"/>
    <s v="HSM-NT48-HH465"/>
    <s v="EVO2A"/>
    <s v="±1200mm"/>
    <n v="465"/>
    <n v="3744"/>
    <n v="1.7409600000000001"/>
    <n v="104"/>
    <n v="4"/>
    <x v="10"/>
    <s v="COMPLETED"/>
    <s v="七月12日"/>
    <d v="2026-07-22T00:00:00"/>
    <n v="30"/>
    <s v="POPV260724034"/>
    <m/>
    <s v="SHANGHAI"/>
    <x v="1"/>
    <x v="1"/>
    <d v="2026-07-25T00:00:00"/>
    <d v="2026-07-26T00:00:00"/>
    <d v="2026-07-28T00:00:00"/>
    <d v="2026-08-22T00:00:00"/>
    <d v="2026-09-01T00:00:00"/>
    <d v="2026-08-31T23:18:34"/>
    <m/>
    <s v="COSCO SHIPPING CAPRICORN 041W"/>
    <s v="COSCO"/>
    <s v="TPVB20260628017"/>
    <x v="473"/>
    <s v="COSU6508738520"/>
    <n v="34.971226851848769"/>
    <s v="Y"/>
    <d v="2026-08-31T23:18:34"/>
    <s v="In Stock-Approved"/>
    <d v="2026-08-28T00:00:00"/>
    <n v="0"/>
    <d v="2026-08-31T23:18:34"/>
    <n v="2026"/>
    <n v="8"/>
    <n v="36"/>
    <n v="36"/>
    <n v="936"/>
    <s v="Black glazing"/>
    <s v="AEU"/>
  </r>
  <r>
    <s v="26May013.09"/>
    <s v="Yixing"/>
    <s v="26May013"/>
    <s v="CORE DG"/>
    <x v="1"/>
    <s v="SPTN Offstore in Transit WH"/>
    <s v="CIF"/>
    <x v="23"/>
    <s v="U3"/>
    <x v="139"/>
    <s v="AT0126042100006"/>
    <n v="39"/>
    <s v="Yes"/>
    <d v="2026-06-08T00:00:00"/>
    <x v="0"/>
    <x v="77"/>
    <s v="HSM-ND66-GK720"/>
    <s v="H4(Com)"/>
    <s v="+400mm/-200mm"/>
    <n v="720"/>
    <n v="1782"/>
    <n v="1.28304"/>
    <n v="54"/>
    <n v="3"/>
    <x v="9"/>
    <s v="COMPLETED"/>
    <s v="BW JUN √"/>
    <d v="2026-07-10T00:00:00"/>
    <n v="28"/>
    <s v="POPV260710044"/>
    <m/>
    <s v="SHANGHAI"/>
    <x v="1"/>
    <x v="1"/>
    <d v="2026-07-13T00:00:00"/>
    <d v="2026-07-17T00:00:00"/>
    <d v="2026-07-17T00:00:00"/>
    <d v="2026-08-19T00:00:00"/>
    <d v="2026-08-26T12:00:00"/>
    <d v="2026-08-26T00:00:00"/>
    <m/>
    <s v="EVER ALP 1409-017W"/>
    <s v="COSCO"/>
    <s v="TPVB20260628004"/>
    <x v="474"/>
    <s v="COSU6506729920"/>
    <n v="40"/>
    <m/>
    <d v="2026-08-26T00:00:00"/>
    <s v="In Stock-Approved"/>
    <d v="2026-08-19T00:00:00"/>
    <n v="0"/>
    <d v="2026-08-26T00:00:00"/>
    <n v="2026"/>
    <n v="8"/>
    <n v="35"/>
    <n v="33"/>
    <n v="594"/>
    <s v="Transparent"/>
    <s v="AEU"/>
  </r>
  <r>
    <s v="26May013.10"/>
    <s v="Yixing"/>
    <s v="26May013"/>
    <s v="CORE DG"/>
    <x v="1"/>
    <s v="SPTN Offstore in Transit WH"/>
    <s v="CIF"/>
    <x v="23"/>
    <s v="U3"/>
    <x v="139"/>
    <s v="AT0126042100006"/>
    <n v="40"/>
    <s v="Yes"/>
    <d v="2026-06-08T00:00:00"/>
    <x v="0"/>
    <x v="77"/>
    <s v="HSM-ND66-GK720"/>
    <s v="H4(Com)"/>
    <s v="+400mm/-200mm"/>
    <n v="720"/>
    <n v="1188"/>
    <n v="0.85536000000000001"/>
    <n v="36"/>
    <n v="2"/>
    <x v="8"/>
    <s v="COMPLETED"/>
    <s v="BW JUN √"/>
    <d v="2026-07-10T00:00:00"/>
    <n v="28"/>
    <s v="POPV260713004"/>
    <m/>
    <s v="SHANGHAI"/>
    <x v="1"/>
    <x v="1"/>
    <d v="2026-07-13T00:00:00"/>
    <d v="2026-07-17T00:00:00"/>
    <d v="2026-07-17T00:00:00"/>
    <d v="2026-08-19T00:00:00"/>
    <d v="2026-08-26T12:00:00"/>
    <d v="2026-08-26T00:00:00"/>
    <m/>
    <s v="EVER ALP 1409-017W"/>
    <s v="COSCO"/>
    <s v="TPVB20260628004"/>
    <x v="474"/>
    <s v="COSU6506729920"/>
    <n v="40"/>
    <m/>
    <d v="2026-08-26T00:00:00"/>
    <s v="In Stock-Approved"/>
    <d v="2026-08-19T00:00:00"/>
    <n v="0"/>
    <d v="2026-08-26T00:00:00"/>
    <n v="2026"/>
    <n v="8"/>
    <n v="35"/>
    <n v="33"/>
    <n v="594"/>
    <s v="Transparent"/>
    <s v="AEU"/>
  </r>
  <r>
    <s v="26Jun003.01"/>
    <s v="Yixing"/>
    <s v="26Jun003"/>
    <s v="CORE DG"/>
    <x v="0"/>
    <s v="Arrival Plan-SPNL"/>
    <s v="CIF"/>
    <x v="0"/>
    <s v="U4"/>
    <x v="2"/>
    <m/>
    <m/>
    <s v="n/a"/>
    <d v="2026-06-15T00:00:00"/>
    <x v="1"/>
    <x v="6"/>
    <s v="TCL-MR465DT182-58NS"/>
    <s v="EVO2A"/>
    <s v="±1200mm"/>
    <n v="465"/>
    <n v="3456"/>
    <n v="1.60704"/>
    <n v="96"/>
    <n v="4"/>
    <x v="8"/>
    <s v="COMPLETED"/>
    <m/>
    <d v="2026-07-09T00:00:00"/>
    <n v="28"/>
    <s v="POPV260710035"/>
    <m/>
    <s v="SHANGHAI"/>
    <x v="1"/>
    <x v="1"/>
    <d v="2026-07-12T00:00:00"/>
    <d v="2026-07-17T00:00:00"/>
    <d v="2026-07-20T00:00:00"/>
    <d v="2026-08-29T00:00:00"/>
    <d v="2026-09-09T07:00:00"/>
    <d v="2026-09-09T08:07:08"/>
    <m/>
    <s v="COSCO SHIPPING PLANET _x000a_048W"/>
    <s v="COSCO"/>
    <s v="TPVB20260628005"/>
    <x v="475"/>
    <s v="COSU6506730240"/>
    <n v="51.338287037040573"/>
    <m/>
    <d v="2026-09-09T08:07:08"/>
    <s v="In Transit-Approved"/>
    <d v="2026-09-21T00:00:00"/>
    <n v="7"/>
    <d v="2026-09-16T08:07:08"/>
    <n v="2026"/>
    <n v="9"/>
    <n v="38"/>
    <n v="36"/>
    <n v="864"/>
    <s v="White glazing"/>
    <s v="AEU"/>
  </r>
  <r>
    <s v="26Jun002.04"/>
    <s v="Yixing"/>
    <s v="26Jun002"/>
    <s v="CORE DG"/>
    <x v="0"/>
    <s v="Arrival Plan-SPNL"/>
    <s v="CIF"/>
    <x v="0"/>
    <s v="U4"/>
    <x v="2"/>
    <m/>
    <m/>
    <s v="n/a"/>
    <d v="2026-06-22T00:00:00"/>
    <x v="6"/>
    <x v="69"/>
    <s v="SPR-P7-515-BLK-P"/>
    <s v="EVO2A"/>
    <s v="±1350mm"/>
    <n v="515"/>
    <n v="1584"/>
    <n v="0.81576000000000004"/>
    <n v="44"/>
    <n v="2"/>
    <x v="8"/>
    <s v="COMPLETED"/>
    <m/>
    <d v="2026-07-09T00:00:00"/>
    <n v="28"/>
    <s v="POPV260710036"/>
    <m/>
    <s v="SHANGHAI"/>
    <x v="1"/>
    <x v="1"/>
    <d v="2026-07-12T00:00:00"/>
    <d v="2026-07-17T00:00:00"/>
    <d v="2026-07-20T00:00:00"/>
    <d v="2026-08-29T00:00:00"/>
    <d v="2026-09-09T07:00:00"/>
    <d v="2026-09-09T08:07:08"/>
    <m/>
    <s v="COSCO SHIPPING PLANET _x000a_048W"/>
    <s v="COSCO"/>
    <s v="TPVB20260628005"/>
    <x v="475"/>
    <s v="COSU6506730240"/>
    <n v="51.338287037040573"/>
    <m/>
    <d v="2026-09-09T08:07:08"/>
    <s v="In Transit-Approved"/>
    <d v="2026-09-21T00:00:00"/>
    <n v="7"/>
    <d v="2026-09-16T08:07:08"/>
    <n v="2026"/>
    <n v="9"/>
    <n v="38"/>
    <n v="36"/>
    <n v="792"/>
    <s v="Black glazing"/>
    <s v="AEU"/>
  </r>
  <r>
    <s v="26Jun016.02"/>
    <s v="Yixing"/>
    <s v="26Jun016"/>
    <s v="CORE DG"/>
    <x v="0"/>
    <s v="Arrival Plan-SPNL"/>
    <s v="CIF"/>
    <x v="0"/>
    <s v="U1"/>
    <x v="2"/>
    <m/>
    <m/>
    <s v="n/a"/>
    <d v="2026-06-29T00:00:00"/>
    <x v="11"/>
    <x v="83"/>
    <s v="HSM-NT48-HH470"/>
    <s v="EVO2A"/>
    <s v="±1200mm"/>
    <n v="470"/>
    <n v="1872"/>
    <n v="0.87983999999999996"/>
    <n v="52"/>
    <n v="2"/>
    <x v="10"/>
    <s v="COMPLETED"/>
    <s v="七月5日"/>
    <d v="2026-07-09T00:00:00"/>
    <n v="28"/>
    <s v="POPV260710042"/>
    <m/>
    <s v="SHANGHAI"/>
    <x v="1"/>
    <x v="1"/>
    <d v="2026-07-12T00:00:00"/>
    <d v="2026-07-17T00:00:00"/>
    <d v="2026-07-20T00:00:00"/>
    <d v="2026-08-29T00:00:00"/>
    <d v="2026-09-09T07:00:00"/>
    <d v="2026-09-09T08:07:08"/>
    <m/>
    <s v="COSCO SHIPPING PLANET _x000a_048W"/>
    <s v="COSCO"/>
    <s v="TPVB20260628005"/>
    <x v="475"/>
    <s v="COSU6506730240"/>
    <n v="51.338287037040573"/>
    <m/>
    <d v="2026-09-09T08:07:08"/>
    <s v="In Transit-Approved"/>
    <d v="2026-09-21T00:00:00"/>
    <n v="7"/>
    <d v="2026-09-16T08:07:08"/>
    <n v="2026"/>
    <n v="9"/>
    <n v="38"/>
    <n v="36"/>
    <n v="936"/>
    <s v="Black glazing"/>
    <s v="AEU"/>
  </r>
  <r>
    <s v="26Jun012.09"/>
    <s v="Quzhou"/>
    <s v="26Jun012"/>
    <s v="CORE DG"/>
    <x v="0"/>
    <s v="Arrival Plan-SPNL"/>
    <s v="CIF"/>
    <x v="0"/>
    <s v="U6"/>
    <x v="2"/>
    <m/>
    <m/>
    <s v="n/a"/>
    <d v="2026-06-22T00:00:00"/>
    <x v="0"/>
    <x v="43"/>
    <s v="HSM-ND54-DR505"/>
    <s v="EVO2A"/>
    <s v="±1200mm"/>
    <n v="505"/>
    <n v="4320"/>
    <n v="2.1816"/>
    <n v="120"/>
    <n v="5"/>
    <x v="7"/>
    <s v="COMPLETED"/>
    <m/>
    <d v="2026-07-10T00:00:00"/>
    <n v="28"/>
    <s v="POPV260717021"/>
    <m/>
    <s v="SHANGHAI / QUZHOU"/>
    <x v="1"/>
    <x v="1"/>
    <d v="2026-07-18T00:00:00"/>
    <d v="2026-07-24T00:00:00"/>
    <d v="2026-07-24T00:00:00"/>
    <d v="2026-08-29T00:00:00"/>
    <m/>
    <d v="2026-09-02T00:00:00"/>
    <m/>
    <s v="ONE TRIUMPH/0031W "/>
    <s v="OTHER"/>
    <s v="TPVB20260628014"/>
    <x v="476"/>
    <s v="HDMUSHAZF7T21600"/>
    <n v="40"/>
    <m/>
    <d v="2026-09-02T00:00:00"/>
    <s v="In Transit-Approved"/>
    <d v="2026-09-14T00:00:00"/>
    <n v="7"/>
    <d v="2026-09-09T00:00:00"/>
    <n v="2026"/>
    <n v="9"/>
    <n v="37"/>
    <n v="36"/>
    <n v="864"/>
    <s v="Black glazing"/>
    <s v="AEU"/>
  </r>
  <r>
    <s v="26Jun012.09.01"/>
    <s v="Quzhou"/>
    <s v="26Jun012"/>
    <s v="CORE DG"/>
    <x v="0"/>
    <s v="Arrival Plan-SPNL"/>
    <s v="CIF"/>
    <x v="0"/>
    <s v="U6"/>
    <x v="2"/>
    <m/>
    <m/>
    <s v="n/a"/>
    <d v="2026-06-22T00:00:00"/>
    <x v="0"/>
    <x v="43"/>
    <s v="HSM-ND54-DR505"/>
    <s v="EVO2A"/>
    <s v="±1200mm"/>
    <n v="505"/>
    <n v="2592"/>
    <n v="1.3089599999999999"/>
    <n v="72"/>
    <n v="3"/>
    <x v="7"/>
    <s v="COMPLETED"/>
    <m/>
    <d v="2026-07-13T00:00:00"/>
    <n v="29"/>
    <s v="POPV260717020"/>
    <m/>
    <s v="SHANGHAI / QUZHOU"/>
    <x v="1"/>
    <x v="1"/>
    <d v="2026-07-18T00:00:00"/>
    <d v="2026-07-24T00:00:00"/>
    <d v="2026-07-24T00:00:00"/>
    <d v="2026-08-29T00:00:00"/>
    <m/>
    <d v="2026-09-02T00:00:00"/>
    <m/>
    <s v="ONE TRIUMPH V.031W"/>
    <s v="OTHER"/>
    <s v="TPVB20260628015"/>
    <x v="477"/>
    <s v="N237102092"/>
    <n v="40"/>
    <m/>
    <d v="2026-09-02T00:00:00"/>
    <s v="In Transit-Approved"/>
    <d v="2026-09-14T00:00:00"/>
    <n v="7"/>
    <d v="2026-09-09T00:00:00"/>
    <n v="2026"/>
    <n v="9"/>
    <n v="37"/>
    <n v="36"/>
    <n v="864"/>
    <s v="Black glazing"/>
    <s v="AEU"/>
  </r>
  <r>
    <s v="26Jun012.04"/>
    <s v="Quzhou"/>
    <s v="26Jun012"/>
    <s v="CORE DG"/>
    <x v="0"/>
    <s v="Arrival Plan-SPNL"/>
    <s v="CIF"/>
    <x v="0"/>
    <s v="U6"/>
    <x v="2"/>
    <m/>
    <m/>
    <s v="n/a"/>
    <d v="2026-06-22T00:00:00"/>
    <x v="0"/>
    <x v="43"/>
    <s v="HSM-ND54-DR505"/>
    <s v="EVO2A"/>
    <s v="±1200mm"/>
    <n v="505"/>
    <n v="5184"/>
    <n v="2.6179199999999998"/>
    <n v="144"/>
    <n v="6"/>
    <x v="9"/>
    <s v="COMPLETED"/>
    <m/>
    <d v="2026-07-13T00:00:00"/>
    <n v="29"/>
    <s v="POPV260717019"/>
    <m/>
    <s v="SHANGHAI / QUZHOU"/>
    <x v="1"/>
    <x v="1"/>
    <d v="2026-07-18T00:00:00"/>
    <d v="2026-07-24T00:00:00"/>
    <d v="2026-07-24T00:00:00"/>
    <d v="2026-08-29T00:00:00"/>
    <m/>
    <d v="2026-09-02T00:00:00"/>
    <m/>
    <s v="ONE TRIUMPH V.031W"/>
    <s v="OTHER"/>
    <s v="TPVB20260628015"/>
    <x v="477"/>
    <s v="N237102092"/>
    <n v="40"/>
    <m/>
    <d v="2026-09-02T00:00:00"/>
    <s v="In Transit-Approved"/>
    <d v="2026-09-14T00:00:00"/>
    <n v="7"/>
    <d v="2026-09-09T00:00:00"/>
    <n v="2026"/>
    <n v="9"/>
    <n v="37"/>
    <n v="36"/>
    <n v="864"/>
    <s v="Black glazing"/>
    <s v="AEU"/>
  </r>
  <r>
    <s v="26Jun015.03"/>
    <s v="Yixing"/>
    <s v="26Jun015"/>
    <s v="CORE DG"/>
    <x v="0"/>
    <s v="Arrival Plan-SPTN"/>
    <s v="CIF"/>
    <x v="0"/>
    <s v="U1"/>
    <x v="2"/>
    <m/>
    <m/>
    <s v="n/a"/>
    <d v="2026-06-29T00:00:00"/>
    <x v="11"/>
    <x v="84"/>
    <s v="HSM-NT48-HH465"/>
    <s v="EVO2A"/>
    <s v="±1200mm"/>
    <n v="465"/>
    <n v="4680"/>
    <n v="2.1762000000000001"/>
    <n v="130"/>
    <n v="5"/>
    <x v="8"/>
    <s v="COMPLETED"/>
    <s v="√"/>
    <d v="2026-07-10T00:00:00"/>
    <n v="28"/>
    <s v="POPV260717027"/>
    <m/>
    <s v="SHANGHAI"/>
    <x v="1"/>
    <x v="0"/>
    <d v="2026-07-19T00:00:00"/>
    <d v="2026-07-23T00:00:00"/>
    <d v="2026-07-24T00:00:00"/>
    <d v="2026-09-07T00:00:00"/>
    <d v="2026-09-13T02:00:00"/>
    <d v="2026-09-13T04:29:03"/>
    <m/>
    <s v="EVER GOODS 0761-035W"/>
    <s v="COSCO"/>
    <s v="TPVB20260628006"/>
    <x v="478"/>
    <s v="COSU6506929700"/>
    <n v="51.186840277776355"/>
    <m/>
    <d v="2026-09-13T04:29:03"/>
    <s v="In Transit-Approved"/>
    <d v="2026-09-25T00:00:00"/>
    <n v="8"/>
    <d v="2026-09-21T04:29:03"/>
    <n v="2026"/>
    <n v="9"/>
    <n v="39"/>
    <n v="36"/>
    <n v="936"/>
    <s v="Black glazing"/>
    <s v="AEM"/>
  </r>
  <r>
    <s v="26Jun015.03.01"/>
    <s v="Yixing"/>
    <s v="26Jun015"/>
    <s v="CORE DG"/>
    <x v="0"/>
    <s v="Arrival Plan-SPTN"/>
    <s v="CIF"/>
    <x v="0"/>
    <s v="U1"/>
    <x v="2"/>
    <m/>
    <m/>
    <s v="n/a"/>
    <d v="2026-06-29T00:00:00"/>
    <x v="11"/>
    <x v="84"/>
    <s v="HSM-NT48-HH465"/>
    <s v="EVO2A"/>
    <s v="±1200mm"/>
    <n v="465"/>
    <n v="936"/>
    <n v="0.43524000000000002"/>
    <n v="26"/>
    <n v="1"/>
    <x v="8"/>
    <s v="COMPLETED"/>
    <s v="√"/>
    <d v="2026-07-10T00:00:00"/>
    <n v="28"/>
    <s v="POPV260717026"/>
    <m/>
    <s v="SHANGHAI"/>
    <x v="1"/>
    <x v="0"/>
    <d v="2026-07-19T00:00:00"/>
    <d v="2026-07-23T00:00:00"/>
    <d v="2026-07-24T00:00:00"/>
    <d v="2026-09-07T00:00:00"/>
    <d v="2026-09-13T02:00:00"/>
    <d v="2026-09-13T04:29:03"/>
    <m/>
    <s v="EVER GOODS 0761-035W"/>
    <s v="COSCO"/>
    <s v="TPVB20260628006"/>
    <x v="478"/>
    <s v="COSU6506929700"/>
    <n v="51.186840277776355"/>
    <m/>
    <d v="2026-09-13T04:29:03"/>
    <s v="In Transit-Approved"/>
    <d v="2026-09-25T00:00:00"/>
    <n v="8"/>
    <d v="2026-09-21T04:29:03"/>
    <n v="2026"/>
    <n v="9"/>
    <n v="39"/>
    <n v="36"/>
    <n v="936"/>
    <s v="Black glazing"/>
    <s v="AEM"/>
  </r>
  <r>
    <s v="26Jun014.05"/>
    <s v="Tianjin(Transport to Yixing for shipment TBC)"/>
    <s v="26Jun014"/>
    <s v="CORE DG"/>
    <x v="0"/>
    <s v="Arrival Plan-SPTN"/>
    <s v="CIF"/>
    <x v="0"/>
    <s v="U1"/>
    <x v="2"/>
    <m/>
    <m/>
    <s v="n/a"/>
    <d v="2026-07-06T00:00:00"/>
    <x v="0"/>
    <x v="26"/>
    <s v="HSM-ND54-DR505 CFP"/>
    <s v="EVO2A"/>
    <s v="±1200mm"/>
    <n v="505"/>
    <n v="5184"/>
    <n v="2.6179199999999998"/>
    <n v="144"/>
    <n v="6"/>
    <x v="8"/>
    <s v="COMPLETED"/>
    <d v="2026-07-07T00:00:00"/>
    <d v="2026-07-11T00:00:00"/>
    <n v="28"/>
    <s v="POPV260717013"/>
    <m/>
    <s v="SHANGHAI"/>
    <x v="1"/>
    <x v="0"/>
    <d v="2026-07-19T00:00:00"/>
    <d v="2026-07-23T00:00:00"/>
    <d v="2026-07-24T00:00:00"/>
    <d v="2026-09-07T00:00:00"/>
    <d v="2026-09-13T02:00:00"/>
    <d v="2026-09-13T04:29:03"/>
    <m/>
    <s v="EVER GOODS 0761-035W"/>
    <s v="COSCO"/>
    <s v="TPVB20260628007"/>
    <x v="479"/>
    <s v="COSU6506899540"/>
    <n v="51.186840277776355"/>
    <m/>
    <d v="2026-09-13T04:29:03"/>
    <s v="In Transit-Approved"/>
    <d v="2026-09-25T00:00:00"/>
    <n v="8"/>
    <d v="2026-09-21T04:29:03"/>
    <n v="2026"/>
    <n v="9"/>
    <n v="39"/>
    <n v="36"/>
    <n v="864"/>
    <s v="Black glazing"/>
    <s v="AEM"/>
  </r>
  <r>
    <s v="26Jun013.12"/>
    <s v="Tianjin(Transport to Yixing for shipment TBC)"/>
    <s v="26Jun013"/>
    <s v="CORE DG"/>
    <x v="0"/>
    <s v="Arrival Plan-SPTN"/>
    <s v="CIF"/>
    <x v="0"/>
    <s v="U1"/>
    <x v="2"/>
    <m/>
    <m/>
    <s v="n/a"/>
    <d v="2026-07-06T00:00:00"/>
    <x v="0"/>
    <x v="27"/>
    <s v="HSM-ND54-DR500 CFP"/>
    <s v="EVO2A"/>
    <s v="±1200mm"/>
    <n v="500"/>
    <n v="864"/>
    <n v="0.432"/>
    <n v="24"/>
    <n v="1"/>
    <x v="10"/>
    <s v="COMPLETED"/>
    <d v="2026-07-08T00:00:00"/>
    <d v="2026-07-11T00:00:00"/>
    <n v="28"/>
    <s v="POPV260717018"/>
    <m/>
    <s v="SHANGHAI"/>
    <x v="1"/>
    <x v="0"/>
    <d v="2026-07-19T00:00:00"/>
    <d v="2026-07-23T00:00:00"/>
    <d v="2026-07-24T00:00:00"/>
    <d v="2026-09-07T00:00:00"/>
    <d v="2026-09-13T02:00:00"/>
    <d v="2026-09-13T04:29:03"/>
    <m/>
    <s v="EVER GOODS 0761-035W"/>
    <s v="COSCO"/>
    <s v="TPVB20260628007"/>
    <x v="479"/>
    <s v="COSU6506899540"/>
    <n v="51.186840277776355"/>
    <m/>
    <d v="2026-09-13T04:29:03"/>
    <s v="In Transit-Approved"/>
    <d v="2026-09-25T00:00:00"/>
    <n v="8"/>
    <d v="2026-09-21T04:29:03"/>
    <n v="2026"/>
    <n v="9"/>
    <n v="39"/>
    <n v="36"/>
    <n v="864"/>
    <s v="Black glazing"/>
    <s v="AEM"/>
  </r>
  <r>
    <s v="26Jun014.06"/>
    <s v="Tianjin(Transport to Yixing for shipment TBC)"/>
    <s v="26Jun014"/>
    <s v="CORE DG"/>
    <x v="0"/>
    <s v="Arrival Plan-SPTN"/>
    <s v="CIF"/>
    <x v="0"/>
    <s v="U1"/>
    <x v="2"/>
    <m/>
    <m/>
    <s v="n/a"/>
    <d v="2026-07-06T00:00:00"/>
    <x v="0"/>
    <x v="26"/>
    <s v="HSM-ND54-DR505 CFP"/>
    <s v="EVO2A"/>
    <s v="±1200mm"/>
    <n v="505"/>
    <n v="2592"/>
    <n v="1.3089599999999999"/>
    <n v="72"/>
    <n v="3"/>
    <x v="10"/>
    <s v="COMPLETED"/>
    <d v="2026-07-09T00:00:00"/>
    <d v="2026-07-11T00:00:00"/>
    <n v="28"/>
    <s v="POPV260717012"/>
    <m/>
    <s v="SHANGHAI"/>
    <x v="1"/>
    <x v="0"/>
    <d v="2026-07-19T00:00:00"/>
    <d v="2026-07-23T00:00:00"/>
    <d v="2026-07-24T00:00:00"/>
    <d v="2026-09-07T00:00:00"/>
    <d v="2026-09-13T02:00:00"/>
    <d v="2026-09-13T04:29:03"/>
    <m/>
    <s v="EVER GOODS 0761-035W"/>
    <s v="COSCO"/>
    <s v="TPVB20260628007"/>
    <x v="479"/>
    <s v="COSU6506899540"/>
    <n v="51.186840277776355"/>
    <m/>
    <d v="2026-09-13T04:29:03"/>
    <s v="In Transit-Approved"/>
    <d v="2026-09-25T00:00:00"/>
    <n v="8"/>
    <d v="2026-09-21T04:29:03"/>
    <n v="2026"/>
    <n v="9"/>
    <n v="39"/>
    <n v="36"/>
    <n v="864"/>
    <s v="Black glazing"/>
    <s v="AEM"/>
  </r>
  <r>
    <s v="26Jun013.11"/>
    <s v="Tianjin(Transport to Yixing for shipment TBC)"/>
    <s v="26Jun013"/>
    <s v="CORE DG"/>
    <x v="1"/>
    <s v="SPTN Offstore in Transit WH"/>
    <s v="CIF"/>
    <x v="26"/>
    <s v="U4"/>
    <x v="132"/>
    <s v="FR0126062200029"/>
    <n v="1"/>
    <s v="Yes"/>
    <d v="2026-07-06T00:00:00"/>
    <x v="0"/>
    <x v="27"/>
    <s v="HSM-ND54-DR500 CFP"/>
    <s v="EVO2A"/>
    <s v="±1200mm"/>
    <n v="500"/>
    <n v="2592"/>
    <n v="1.296"/>
    <n v="72"/>
    <n v="3"/>
    <x v="8"/>
    <s v="COMPLETED"/>
    <d v="2026-07-08T00:00:00"/>
    <d v="2026-07-11T00:00:00"/>
    <n v="28"/>
    <s v="POPV260717016"/>
    <m/>
    <s v="SHANGHAI"/>
    <x v="1"/>
    <x v="0"/>
    <d v="2026-07-19T00:00:00"/>
    <d v="2026-07-23T00:00:00"/>
    <d v="2026-07-24T00:00:00"/>
    <d v="2026-09-07T00:00:00"/>
    <d v="2026-09-13T02:00:00"/>
    <d v="2026-09-13T04:29:03"/>
    <m/>
    <s v="EVER GOODS 0761-035W"/>
    <s v="COSCO"/>
    <s v="TPVB20260628008"/>
    <x v="480"/>
    <s v="COSU6506928990"/>
    <n v="51.186840277776355"/>
    <m/>
    <d v="2026-09-13T04:29:03"/>
    <s v="In Stock-Approved"/>
    <d v="2026-09-07T00:00:00"/>
    <n v="0"/>
    <d v="2026-09-13T04:29:03"/>
    <n v="2026"/>
    <n v="9"/>
    <n v="37"/>
    <n v="36"/>
    <n v="864"/>
    <s v="Black glazing"/>
    <s v="AEM"/>
  </r>
  <r>
    <s v="26Jun013.13"/>
    <s v="Tianjin(Transport to Yixing for shipment TBC)"/>
    <s v="26Jun013"/>
    <s v="CORE DG"/>
    <x v="1"/>
    <s v="SPTN Offstore in Transit WH"/>
    <s v="CIF"/>
    <x v="26"/>
    <s v="U4"/>
    <x v="132"/>
    <s v="FR0126062200031"/>
    <n v="4"/>
    <s v="Yes"/>
    <d v="2026-07-06T00:00:00"/>
    <x v="0"/>
    <x v="27"/>
    <s v="HSM-ND54-DR500 CFP"/>
    <s v="EVO2A"/>
    <s v="±1200mm"/>
    <n v="500"/>
    <n v="864"/>
    <n v="0.432"/>
    <n v="24"/>
    <n v="1"/>
    <x v="8"/>
    <s v="COMPLETED"/>
    <d v="2026-07-08T00:00:00"/>
    <d v="2026-07-11T00:00:00"/>
    <n v="28"/>
    <s v="POPV260717014"/>
    <m/>
    <s v="SHANGHAI"/>
    <x v="1"/>
    <x v="0"/>
    <d v="2026-07-19T00:00:00"/>
    <d v="2026-07-23T00:00:00"/>
    <d v="2026-07-24T00:00:00"/>
    <d v="2026-09-07T00:00:00"/>
    <d v="2026-09-13T02:00:00"/>
    <d v="2026-09-13T04:29:03"/>
    <m/>
    <s v="EVER GOODS 0761-035W"/>
    <s v="COSCO"/>
    <s v="TPVB20260628008"/>
    <x v="480"/>
    <s v="COSU6506928990"/>
    <n v="51.186840277776355"/>
    <m/>
    <d v="2026-09-13T04:29:03"/>
    <s v="In Stock-Approved"/>
    <d v="2026-09-07T00:00:00"/>
    <n v="0"/>
    <d v="2026-09-13T04:29:03"/>
    <n v="2026"/>
    <n v="9"/>
    <n v="37"/>
    <n v="36"/>
    <n v="864"/>
    <s v="Black glazing"/>
    <s v="AEM"/>
  </r>
  <r>
    <s v="26Jun013.04"/>
    <s v="Tianjin(Transport to Yixing for shipment TBC)"/>
    <s v="26Jun013"/>
    <s v="CORE DG"/>
    <x v="1"/>
    <s v="SPTN Offstore in Transit WH"/>
    <s v="CIF"/>
    <x v="26"/>
    <s v="U4"/>
    <x v="132"/>
    <s v="FR0126062200031"/>
    <n v="1"/>
    <s v="Yes"/>
    <d v="2026-07-06T00:00:00"/>
    <x v="0"/>
    <x v="27"/>
    <s v="HSM-ND54-DR500 CFP"/>
    <s v="EVO2A"/>
    <s v="±1200mm"/>
    <n v="500"/>
    <n v="1728"/>
    <n v="0.86399999999999999"/>
    <n v="48"/>
    <n v="2"/>
    <x v="8"/>
    <s v="COMPLETED"/>
    <d v="2026-07-08T00:00:00"/>
    <d v="2026-07-08T00:00:00"/>
    <n v="28"/>
    <s v="POPV260710030"/>
    <m/>
    <s v="SHANGHAI"/>
    <x v="1"/>
    <x v="0"/>
    <d v="2026-07-13T00:00:00"/>
    <d v="2026-07-29T00:00:00"/>
    <d v="2026-07-29T00:00:00"/>
    <d v="2026-08-26T00:00:00"/>
    <d v="2026-09-07T20:00:00"/>
    <d v="2026-09-07T15:27:54"/>
    <m/>
    <s v="CMA CGM ZEPHYR 0MEO9W1MA"/>
    <s v="COSCO"/>
    <s v="TPVB20260628009"/>
    <x v="481"/>
    <s v="COSU6506932230"/>
    <n v="40.644375000003492"/>
    <m/>
    <d v="2026-09-07T15:27:54"/>
    <s v="In Stock-Approved"/>
    <d v="2026-08-26T00:00:00"/>
    <n v="0"/>
    <d v="2026-09-07T15:27:54"/>
    <n v="2026"/>
    <n v="9"/>
    <n v="37"/>
    <n v="36"/>
    <n v="864"/>
    <s v="Black glazing"/>
    <s v="AEM"/>
  </r>
  <r>
    <s v="26Jun013.06"/>
    <s v="Tianjin(Transport to Yixing for shipment TBC)"/>
    <s v="26Jun013"/>
    <s v="CORE DG"/>
    <x v="1"/>
    <s v="SPTN Offstore in Transit WH"/>
    <s v="CIP"/>
    <x v="30"/>
    <s v="U4"/>
    <x v="158"/>
    <s v="FR0126052100034"/>
    <s v="1"/>
    <s v="Yes"/>
    <d v="2026-07-06T00:00:00"/>
    <x v="0"/>
    <x v="27"/>
    <s v="HSM-ND54-DR500 CFP"/>
    <s v="EVO2A"/>
    <s v="±1200mm"/>
    <n v="500"/>
    <n v="864"/>
    <n v="0.432"/>
    <n v="24"/>
    <n v="1"/>
    <x v="8"/>
    <s v="COMPLETED"/>
    <d v="2026-07-08T00:00:00"/>
    <d v="2026-07-08T00:00:00"/>
    <n v="28"/>
    <s v="POPV260710029"/>
    <m/>
    <s v="SHANGHAI"/>
    <x v="1"/>
    <x v="0"/>
    <d v="2026-07-13T00:00:00"/>
    <d v="2026-07-29T00:00:00"/>
    <d v="2026-07-29T00:00:00"/>
    <d v="2026-08-26T00:00:00"/>
    <d v="2026-09-07T20:00:00"/>
    <d v="2026-09-07T15:27:54"/>
    <m/>
    <s v="CMA CGM ZEPHYR _x000a_0MEO9W1MA"/>
    <s v="COSCO"/>
    <s v="TPVB20260628010"/>
    <x v="482"/>
    <s v="COSU6506596440"/>
    <n v="40.644375000003492"/>
    <m/>
    <d v="2026-09-07T15:27:54"/>
    <s v="In Stock-Approved"/>
    <d v="2026-08-26T00:00:00"/>
    <n v="0"/>
    <d v="2026-09-07T15:27:54"/>
    <n v="2026"/>
    <n v="9"/>
    <n v="37"/>
    <n v="36"/>
    <n v="864"/>
    <s v="Black glazing"/>
    <s v="AEM"/>
  </r>
  <r>
    <s v="26Jun013.07"/>
    <s v="Tianjin(Transport to Yixing for shipment TBC)"/>
    <s v="26Jun013"/>
    <s v="CORE DG"/>
    <x v="1"/>
    <s v="SPTN Offstore in Transit WH"/>
    <s v="CIP"/>
    <x v="30"/>
    <s v="U4"/>
    <x v="158"/>
    <s v="FR0126052100035"/>
    <s v="1"/>
    <s v="Yes"/>
    <d v="2026-07-06T00:00:00"/>
    <x v="0"/>
    <x v="27"/>
    <s v="HSM-ND54-DR500 CFP"/>
    <s v="EVO2A"/>
    <s v="±1200mm"/>
    <n v="500"/>
    <n v="864"/>
    <n v="0.432"/>
    <n v="24"/>
    <n v="1"/>
    <x v="8"/>
    <s v="COMPLETED"/>
    <d v="2026-07-08T00:00:00"/>
    <d v="2026-07-08T00:00:00"/>
    <n v="28"/>
    <s v="POPV260710028"/>
    <m/>
    <s v="SHANGHAI"/>
    <x v="1"/>
    <x v="0"/>
    <d v="2026-07-13T00:00:00"/>
    <d v="2026-07-29T00:00:00"/>
    <d v="2026-07-29T00:00:00"/>
    <d v="2026-08-26T00:00:00"/>
    <d v="2026-09-07T20:00:00"/>
    <d v="2026-09-07T15:27:54"/>
    <m/>
    <s v="CMA CGM ZEPHYR _x000a_0MEO9W1MA"/>
    <s v="COSCO"/>
    <s v="TPVB20260628010"/>
    <x v="482"/>
    <s v="COSU6506596440"/>
    <n v="40.644375000003492"/>
    <m/>
    <d v="2026-09-07T15:27:54"/>
    <s v="In Stock-Approved"/>
    <d v="2026-08-26T00:00:00"/>
    <n v="0"/>
    <d v="2026-09-07T15:27:54"/>
    <n v="2026"/>
    <n v="9"/>
    <n v="37"/>
    <n v="36"/>
    <n v="864"/>
    <s v="Black glazing"/>
    <s v="AEM"/>
  </r>
  <r>
    <s v="26Jun013.08"/>
    <s v="Tianjin(Transport to Yixing for shipment TBC)"/>
    <s v="26Jun013"/>
    <s v="CORE DG"/>
    <x v="1"/>
    <s v="SPTN Offstore in Transit WH"/>
    <s v="CIP"/>
    <x v="30"/>
    <s v="U4"/>
    <x v="158"/>
    <s v="FR0126052100036"/>
    <s v="1"/>
    <s v="Yes"/>
    <d v="2026-07-06T00:00:00"/>
    <x v="0"/>
    <x v="27"/>
    <s v="HSM-ND54-DR500 CFP"/>
    <s v="EVO2A"/>
    <s v="±1200mm"/>
    <n v="500"/>
    <n v="864"/>
    <n v="0.432"/>
    <n v="24"/>
    <n v="1"/>
    <x v="8"/>
    <s v="COMPLETED"/>
    <d v="2026-07-08T00:00:00"/>
    <d v="2026-07-08T00:00:00"/>
    <n v="28"/>
    <s v="POPV260710027"/>
    <m/>
    <s v="SHANGHAI"/>
    <x v="1"/>
    <x v="0"/>
    <d v="2026-07-13T00:00:00"/>
    <d v="2026-07-29T00:00:00"/>
    <d v="2026-07-29T00:00:00"/>
    <d v="2026-08-26T00:00:00"/>
    <d v="2026-09-07T20:00:00"/>
    <d v="2026-09-07T15:27:54"/>
    <m/>
    <s v="CMA CGM ZEPHYR _x000a_0MEO9W1MA"/>
    <s v="COSCO"/>
    <s v="TPVB20260628010"/>
    <x v="482"/>
    <s v="COSU6506596440"/>
    <n v="40.644375000003492"/>
    <m/>
    <d v="2026-09-07T15:27:54"/>
    <s v="In Stock-Approved"/>
    <d v="2026-08-26T00:00:00"/>
    <n v="0"/>
    <d v="2026-09-07T15:27:54"/>
    <n v="2026"/>
    <n v="9"/>
    <n v="37"/>
    <n v="36"/>
    <n v="864"/>
    <s v="Black glazing"/>
    <s v="AEM"/>
  </r>
  <r>
    <s v="26Jun013.09"/>
    <s v="Tianjin(Transport to Yixing for shipment TBC)"/>
    <s v="26Jun013"/>
    <s v="CORE DG"/>
    <x v="1"/>
    <s v="SPTN Offstore in Transit WH"/>
    <s v="CIP"/>
    <x v="30"/>
    <s v="U4"/>
    <x v="158"/>
    <s v="FR0126052100038"/>
    <s v="1"/>
    <s v="Yes"/>
    <d v="2026-07-06T00:00:00"/>
    <x v="0"/>
    <x v="27"/>
    <s v="HSM-ND54-DR500 CFP"/>
    <s v="EVO2A"/>
    <s v="±1200mm"/>
    <n v="500"/>
    <n v="864"/>
    <n v="0.432"/>
    <n v="24"/>
    <n v="1"/>
    <x v="8"/>
    <s v="COMPLETED"/>
    <d v="2026-07-08T00:00:00"/>
    <d v="2026-07-08T00:00:00"/>
    <n v="28"/>
    <s v="POPV260710026"/>
    <m/>
    <s v="SHANGHAI"/>
    <x v="1"/>
    <x v="0"/>
    <d v="2026-07-13T00:00:00"/>
    <d v="2026-07-29T00:00:00"/>
    <d v="2026-07-29T00:00:00"/>
    <d v="2026-08-26T00:00:00"/>
    <d v="2026-09-07T20:00:00"/>
    <d v="2026-09-07T15:27:54"/>
    <m/>
    <s v="CMA CGM ZEPHYR _x000a_0MEO9W1MA"/>
    <s v="COSCO"/>
    <s v="TPVB20260628010"/>
    <x v="482"/>
    <s v="COSU6506596440"/>
    <n v="40.644375000003492"/>
    <m/>
    <d v="2026-09-07T15:27:54"/>
    <s v="In Stock-Approved"/>
    <d v="2026-08-26T00:00:00"/>
    <n v="0"/>
    <d v="2026-09-07T15:27:54"/>
    <n v="2026"/>
    <n v="9"/>
    <n v="37"/>
    <n v="36"/>
    <n v="864"/>
    <s v="Black glazing"/>
    <s v="AEM"/>
  </r>
  <r>
    <s v="26Jun014.04"/>
    <s v="Tianjin"/>
    <s v="26Jun014"/>
    <s v="CORE DG"/>
    <x v="0"/>
    <s v="Arrival Plan-SPTN"/>
    <s v="CIF"/>
    <x v="0"/>
    <s v="U1"/>
    <x v="2"/>
    <m/>
    <m/>
    <s v="n/a"/>
    <d v="2026-07-06T00:00:00"/>
    <x v="0"/>
    <x v="26"/>
    <s v="HSM-ND54-DR505 CFP"/>
    <s v="EVO2A"/>
    <s v="±1200mm"/>
    <n v="505"/>
    <n v="3456"/>
    <n v="1.7452799999999999"/>
    <n v="96"/>
    <n v="4"/>
    <x v="8"/>
    <s v="COMPLETED"/>
    <m/>
    <d v="2026-07-08T00:00:00"/>
    <n v="28"/>
    <s v="POPV260710025"/>
    <m/>
    <s v="TIANJIN"/>
    <x v="0"/>
    <x v="0"/>
    <d v="2026-07-15T00:00:00"/>
    <d v="2026-07-16T00:00:00"/>
    <d v="2026-07-16T00:00:00"/>
    <d v="2026-09-21T00:00:00"/>
    <d v="2026-10-05T09:00:00"/>
    <d v="2026-10-04T00:00:00"/>
    <m/>
    <s v="COSCO SHIPPING CAPRICORN 041W_x000a_041W"/>
    <s v="COSCO"/>
    <s v="TPVB20260628011"/>
    <x v="483"/>
    <s v="COSU9508260330"/>
    <n v="80"/>
    <m/>
    <d v="2026-10-04T00:00:00"/>
    <s v="In Transit-Approved"/>
    <d v="2026-10-05T00:00:00"/>
    <n v="8"/>
    <d v="2026-10-12T00:00:00"/>
    <n v="2026"/>
    <n v="10"/>
    <n v="42"/>
    <n v="36"/>
    <n v="864"/>
    <s v="Black glazing"/>
    <s v="AEM"/>
  </r>
  <r>
    <s v="26Jun014.04.01"/>
    <s v="Tianjin"/>
    <s v="26Jun014"/>
    <s v="CORE DG"/>
    <x v="0"/>
    <s v="Arrival Plan-SPTN"/>
    <s v="CIF"/>
    <x v="0"/>
    <s v="U1"/>
    <x v="2"/>
    <m/>
    <m/>
    <s v="n/a"/>
    <d v="2026-07-06T00:00:00"/>
    <x v="0"/>
    <x v="26"/>
    <s v="HSM-ND54-DR505 CFP"/>
    <s v="EVO2A"/>
    <s v="±1200mm"/>
    <n v="505"/>
    <n v="1728"/>
    <n v="0.87263999999999997"/>
    <n v="48"/>
    <n v="2"/>
    <x v="8"/>
    <s v="COMPLETED"/>
    <m/>
    <d v="2026-07-08T00:00:00"/>
    <n v="28"/>
    <s v="POPV260710024"/>
    <m/>
    <s v="TIANJIN"/>
    <x v="0"/>
    <x v="0"/>
    <d v="2026-07-15T00:00:00"/>
    <d v="2026-07-16T00:00:00"/>
    <d v="2026-07-16T00:00:00"/>
    <d v="2026-09-16T00:00:00"/>
    <d v="2026-09-18T10:00:00"/>
    <d v="2026-09-18T10:29:37"/>
    <m/>
    <s v="COSCO SHIPPING CAPRICORN 041W_x000a_041W"/>
    <s v="COSCO"/>
    <s v="TPVB20260628012"/>
    <x v="484"/>
    <s v="COSU9508260600"/>
    <n v="64.437233796299552"/>
    <m/>
    <d v="2026-09-18T10:29:37"/>
    <s v="In Transit-Approved"/>
    <d v="2026-09-30T00:00:00"/>
    <n v="8"/>
    <d v="2026-09-26T10:29:37"/>
    <n v="2026"/>
    <n v="9"/>
    <n v="39"/>
    <n v="36"/>
    <n v="864"/>
    <s v="Black glazing"/>
    <s v="AEM"/>
  </r>
  <r>
    <s v="26Jun009.01.01"/>
    <s v="Tianjin"/>
    <s v="26Jun009"/>
    <s v="CORE DG"/>
    <x v="0"/>
    <s v="Arrival Plan-SPNL"/>
    <s v="CIF"/>
    <x v="0"/>
    <s v="U1"/>
    <x v="2"/>
    <m/>
    <m/>
    <s v="n/a"/>
    <d v="2026-06-15T00:00:00"/>
    <x v="0"/>
    <x v="7"/>
    <s v="HSM-ND48-DR450"/>
    <s v="EVO2A"/>
    <s v="±1200mm"/>
    <n v="450"/>
    <n v="4680"/>
    <n v="2.1059999999999999"/>
    <n v="130"/>
    <n v="5"/>
    <x v="9"/>
    <s v="COMPLETED"/>
    <m/>
    <d v="2026-07-08T00:00:00"/>
    <n v="28"/>
    <s v="POPV260710032"/>
    <m/>
    <s v="TIANJIN"/>
    <x v="0"/>
    <x v="1"/>
    <d v="2026-07-15T00:00:00"/>
    <d v="2026-07-16T00:00:00"/>
    <d v="2026-07-16T00:00:00"/>
    <d v="2026-08-18T00:00:00"/>
    <d v="2026-09-01T00:00:00"/>
    <d v="2026-08-31T00:00:00"/>
    <m/>
    <s v="COSCO SHIPPING CAPRICORN 041W_x000a_041W"/>
    <s v="COSCO"/>
    <s v="TPVB20260628013"/>
    <x v="485"/>
    <s v="COSU9508255560"/>
    <n v="46"/>
    <m/>
    <d v="2026-08-31T00:00:00"/>
    <s v="In Transit-Approved"/>
    <d v="2026-09-14T00:00:00"/>
    <n v="7"/>
    <d v="2026-09-07T00:00:00"/>
    <n v="2026"/>
    <n v="9"/>
    <n v="37"/>
    <n v="36"/>
    <n v="936"/>
    <s v="Black glazing"/>
    <s v="AEU"/>
  </r>
  <r>
    <s v="26Jul012.02"/>
    <s v="Tianjin"/>
    <s v="26Jul012"/>
    <s v="CORE DG"/>
    <x v="0"/>
    <s v="Arrival Plan-SPIT"/>
    <s v="CIF"/>
    <x v="4"/>
    <s v="U1"/>
    <x v="2"/>
    <m/>
    <m/>
    <s v="n/a"/>
    <d v="2026-06-29T00:00:00"/>
    <x v="3"/>
    <x v="85"/>
    <s v="HSM-BD66-GR655"/>
    <s v="H4(Com)"/>
    <s v="±1400mm"/>
    <n v="655"/>
    <n v="720"/>
    <n v="0.47160000000000002"/>
    <n v="20"/>
    <n v="1"/>
    <x v="10"/>
    <s v="COMPLETED"/>
    <s v="七月3日,Italy importer label"/>
    <d v="2026-07-10T00:00:00"/>
    <n v="28"/>
    <s v="POPV260717030"/>
    <m/>
    <s v="TIANJIN"/>
    <x v="0"/>
    <x v="14"/>
    <d v="2026-07-15T00:00:00"/>
    <d v="2026-07-16T00:00:00"/>
    <d v="2026-07-16T00:00:00"/>
    <d v="2026-09-13T00:00:00"/>
    <d v="2026-10-18T21:00:00"/>
    <d v="2026-10-18T14:58:46"/>
    <m/>
    <s v="COSCO SHIPPING CAPRICORN 041W_x000a_041W"/>
    <s v="COSCO"/>
    <s v="TPVB20260628014"/>
    <x v="486"/>
    <s v="COSU9508259840"/>
    <n v="94.624143518522033"/>
    <m/>
    <d v="2026-10-18T14:58:46"/>
    <s v="In Transit-Approved"/>
    <d v="2026-09-25T00:00:00"/>
    <n v="10"/>
    <d v="2026-10-28T14:58:46"/>
    <n v="2026"/>
    <n v="10"/>
    <n v="44"/>
    <n v="36"/>
    <n v="720"/>
    <s v="White glazing"/>
    <s v="AEM"/>
  </r>
  <r>
    <s v="26Jun016.01"/>
    <s v="Yixing"/>
    <s v="26Jun016"/>
    <s v="CORE DG"/>
    <x v="0"/>
    <s v="Arrival Plan-SPUK"/>
    <s v="CIF"/>
    <x v="0"/>
    <s v="U4"/>
    <x v="2"/>
    <m/>
    <m/>
    <s v="n/a"/>
    <d v="2026-06-29T00:00:00"/>
    <x v="11"/>
    <x v="83"/>
    <s v="HSM-NT48-HH470"/>
    <s v="EVO2A"/>
    <s v="±1200mm"/>
    <n v="470"/>
    <n v="1872"/>
    <n v="0.87983999999999996"/>
    <n v="52"/>
    <n v="2"/>
    <x v="10"/>
    <s v="COMPLETED"/>
    <s v="七月5日"/>
    <d v="2026-07-12T00:00:00"/>
    <n v="28"/>
    <s v="POPV260717028"/>
    <m/>
    <s v="SHANGHAI"/>
    <x v="1"/>
    <x v="6"/>
    <d v="2026-07-21T00:00:00"/>
    <d v="2026-07-25T00:00:00"/>
    <d v="2026-07-25T00:00:00"/>
    <d v="2026-08-30T00:00:00"/>
    <d v="2026-09-09T23:59:00"/>
    <d v="2026-09-10T00:13:43"/>
    <m/>
    <s v="OOCL PIRAEUS 012W"/>
    <s v="COSCO"/>
    <s v="TPVB20260729005"/>
    <x v="487"/>
    <s v="COSU6507754600"/>
    <n v="47.009525462963211"/>
    <m/>
    <d v="2026-09-10T00:13:43"/>
    <s v="In Transit-Approved"/>
    <d v="2026-09-23T00:00:00"/>
    <n v="7"/>
    <d v="2026-09-17T00:13:43"/>
    <n v="2026"/>
    <n v="9"/>
    <n v="38"/>
    <n v="36"/>
    <n v="936"/>
    <s v="Black glazing"/>
    <s v="AEU"/>
  </r>
  <r>
    <s v="26Jun012.02"/>
    <s v="Quzhou"/>
    <s v="26Jun012"/>
    <s v="CORE DG"/>
    <x v="0"/>
    <s v="Arrival Plan-SPUK"/>
    <s v="CIF"/>
    <x v="6"/>
    <s v="U4"/>
    <x v="118"/>
    <m/>
    <m/>
    <s v="n/a"/>
    <d v="2026-06-22T00:00:00"/>
    <x v="0"/>
    <x v="43"/>
    <s v="HSM-ND54-DR505"/>
    <s v="EVO2A"/>
    <s v="±1200mm"/>
    <n v="505"/>
    <n v="2592"/>
    <n v="1.3089599999999999"/>
    <n v="72"/>
    <n v="3"/>
    <x v="10"/>
    <s v="COMPLETED"/>
    <m/>
    <d v="2026-07-18T00:00:00"/>
    <n v="29"/>
    <s v="POPV260729016"/>
    <m/>
    <s v="SHANGHAI / QUZHOU"/>
    <x v="1"/>
    <x v="6"/>
    <d v="2026-07-21T00:00:00"/>
    <d v="2026-07-25T00:00:00"/>
    <d v="2026-07-25T00:00:00"/>
    <d v="2026-08-30T00:00:00"/>
    <d v="2026-09-09T23:59:00"/>
    <d v="2026-09-10T00:13:43"/>
    <m/>
    <s v="OOCL PIRAEUS 012W"/>
    <s v="COSCO"/>
    <s v="TPVB20260729006"/>
    <x v="488"/>
    <s v="COSU6507727180"/>
    <n v="47.009525462963211"/>
    <m/>
    <d v="2026-09-10T00:13:43"/>
    <s v="In Transit-Approved"/>
    <d v="2026-09-23T00:00:00"/>
    <n v="7"/>
    <d v="2026-09-17T00:13:43"/>
    <n v="2026"/>
    <n v="9"/>
    <n v="38"/>
    <n v="36"/>
    <n v="864"/>
    <s v="Black glazing"/>
    <s v="AEU"/>
  </r>
  <r>
    <s v="26Jun008.04.01"/>
    <s v="Tianjin(Transport to Yixing for shipment)"/>
    <s v="26Jun008"/>
    <s v="CORE DG"/>
    <x v="0"/>
    <s v="Arrival Plan-SPNL"/>
    <s v="CIF"/>
    <x v="0"/>
    <s v="U2"/>
    <x v="56"/>
    <m/>
    <m/>
    <s v="n/a"/>
    <d v="2026-06-15T00:00:00"/>
    <x v="0"/>
    <x v="79"/>
    <s v="HSM-ND66-GR625"/>
    <s v="H4(Com)"/>
    <s v="±1400mm"/>
    <n v="625"/>
    <n v="2880"/>
    <n v="1.8"/>
    <n v="80"/>
    <n v="4"/>
    <x v="8"/>
    <s v="COMPLETED"/>
    <s v="七月14日"/>
    <d v="2026-07-14T00:00:00"/>
    <n v="29"/>
    <s v="POPV260717025"/>
    <m/>
    <s v="SHANGHAI"/>
    <x v="1"/>
    <x v="1"/>
    <d v="2026-07-20T00:00:00"/>
    <d v="2026-07-22T00:00:00"/>
    <d v="2026-07-22T00:00:00"/>
    <d v="2026-08-26T00:00:00"/>
    <d v="2026-09-05T20:00:00"/>
    <d v="2026-09-05T20:59:27"/>
    <m/>
    <s v="EVER ARIA 1410-015W"/>
    <s v="COSCO"/>
    <s v="TPVB20260729007"/>
    <x v="489"/>
    <s v="COSU6507885650"/>
    <n v="45.874618055553583"/>
    <m/>
    <d v="2026-09-05T20:59:27"/>
    <s v="In Transit-Approved"/>
    <d v="2026-09-17T00:00:00"/>
    <n v="7"/>
    <d v="2026-09-12T20:59:27"/>
    <n v="2026"/>
    <n v="9"/>
    <n v="37"/>
    <n v="36"/>
    <n v="720"/>
    <s v="Transparent"/>
    <s v="AEU"/>
  </r>
  <r>
    <s v="26Jun008.03.01"/>
    <s v="Tianjin(Transport to Yixing for shipment)"/>
    <s v="26Jun008"/>
    <s v="CORE DG"/>
    <x v="0"/>
    <s v="Arrival Plan-SPNL"/>
    <s v="CIF"/>
    <x v="0"/>
    <s v="U4"/>
    <x v="56"/>
    <m/>
    <m/>
    <s v="n/a"/>
    <d v="2026-06-15T00:00:00"/>
    <x v="0"/>
    <x v="79"/>
    <s v="HSM-ND66-GR625"/>
    <s v="H4(Com)"/>
    <s v="±1400mm"/>
    <n v="625"/>
    <n v="720"/>
    <n v="0.45"/>
    <n v="20"/>
    <n v="1"/>
    <x v="9"/>
    <s v="COMPLETED"/>
    <s v="七月14日"/>
    <d v="2026-07-14T00:00:00"/>
    <n v="29"/>
    <s v="POPV260717024"/>
    <m/>
    <s v="SHANGHAI"/>
    <x v="1"/>
    <x v="1"/>
    <d v="2026-07-20T00:00:00"/>
    <d v="2026-07-22T00:00:00"/>
    <d v="2026-07-22T00:00:00"/>
    <d v="2026-08-26T00:00:00"/>
    <d v="2026-09-05T20:00:00"/>
    <d v="2026-09-05T20:59:27"/>
    <m/>
    <s v="EVER ARIA 1410-015W"/>
    <s v="COSCO"/>
    <s v="TPVB20260729007"/>
    <x v="489"/>
    <s v="COSU6507885650"/>
    <n v="45.874618055553583"/>
    <m/>
    <d v="2026-09-05T20:59:27"/>
    <s v="In Transit-Approved"/>
    <d v="2026-09-17T00:00:00"/>
    <n v="7"/>
    <d v="2026-09-12T20:59:27"/>
    <n v="2026"/>
    <n v="9"/>
    <n v="37"/>
    <n v="36"/>
    <n v="720"/>
    <s v="Transparent"/>
    <s v="AEU"/>
  </r>
  <r>
    <s v="26Jul002.01"/>
    <s v="Yixing"/>
    <s v="26Jul002"/>
    <s v="CORE DG"/>
    <x v="0"/>
    <s v="Arrival Plan-SPIT"/>
    <s v="CIF"/>
    <x v="4"/>
    <s v="U1"/>
    <x v="2"/>
    <m/>
    <m/>
    <s v="n/a"/>
    <d v="2026-07-06T00:00:00"/>
    <x v="6"/>
    <x v="69"/>
    <s v="SPR-P7-515-BLK-P"/>
    <s v="EVO2A"/>
    <s v="±1350mm"/>
    <n v="515"/>
    <n v="2376"/>
    <n v="1.2236400000000001"/>
    <n v="66"/>
    <n v="3"/>
    <x v="10"/>
    <s v="COMPLETED"/>
    <m/>
    <d v="2026-07-24T00:00:00"/>
    <n v="30"/>
    <s v="POPV260806017"/>
    <m/>
    <s v="SHANGHAI"/>
    <x v="1"/>
    <x v="4"/>
    <d v="2026-07-27T00:00:00"/>
    <d v="2026-08-02T00:00:00"/>
    <d v="2026-08-02T00:00:00"/>
    <d v="2026-09-09T00:00:00"/>
    <d v="2026-09-23T16:00:00"/>
    <d v="2026-09-23T19:00:49"/>
    <m/>
    <s v="COSCO SHIPPING PISCES 033W"/>
    <s v="COSCO"/>
    <s v="TPVB20260729008"/>
    <x v="490"/>
    <s v="COSU6507266890"/>
    <n v="52.792233796295477"/>
    <m/>
    <d v="2026-09-23T19:00:49"/>
    <s v="In Transit-Approved"/>
    <d v="2026-09-28T00:00:00"/>
    <n v="10"/>
    <d v="2026-10-03T19:00:49"/>
    <n v="2026"/>
    <n v="10"/>
    <n v="40"/>
    <n v="36"/>
    <n v="792"/>
    <s v="Black glazing"/>
    <s v="AEM"/>
  </r>
  <r>
    <s v="26Jul008.02"/>
    <s v="Quzhou"/>
    <s v="26Jul008"/>
    <s v="CORE DG"/>
    <x v="0"/>
    <s v="Arrival Plan-SPTN"/>
    <s v="CIF"/>
    <x v="0"/>
    <s v="U1"/>
    <x v="2"/>
    <m/>
    <m/>
    <s v="n/a"/>
    <d v="2026-07-06T00:00:00"/>
    <x v="0"/>
    <x v="43"/>
    <s v="HSM-ND54-DR505"/>
    <s v="EVO2A"/>
    <s v="±1200mm"/>
    <n v="505"/>
    <n v="4320"/>
    <n v="2.1816"/>
    <n v="120"/>
    <n v="5"/>
    <x v="10"/>
    <s v="COMPLETED"/>
    <s v="七月10日"/>
    <d v="2026-07-22T00:00:00"/>
    <n v="30"/>
    <s v="POPV260729008"/>
    <m/>
    <s v="SHANGHAI/Quzhou"/>
    <x v="1"/>
    <x v="0"/>
    <d v="2026-07-27T00:00:00"/>
    <d v="2026-08-02T00:00:00"/>
    <d v="2026-08-02T00:00:00"/>
    <d v="2026-09-14T00:00:00"/>
    <d v="2026-09-20T01:00:00"/>
    <d v="2026-09-19T22:07:15"/>
    <m/>
    <s v="COSCO SHIPPING PISCES 033W"/>
    <s v="COSCO"/>
    <s v="TPVB20260729009"/>
    <x v="491"/>
    <s v="COSU6507883400"/>
    <n v="48.921701388891961"/>
    <m/>
    <d v="2026-09-19T22:07:15"/>
    <s v="In Transit-Approved"/>
    <d v="2026-10-02T00:00:00"/>
    <n v="8"/>
    <d v="2026-09-27T22:07:15"/>
    <n v="2026"/>
    <n v="9"/>
    <n v="39"/>
    <n v="36"/>
    <n v="864"/>
    <s v="Black glazing"/>
    <s v="AEM"/>
  </r>
  <r>
    <s v="26Jun011.12.01"/>
    <s v="Quzhou"/>
    <s v="26Jun011"/>
    <s v="CORE DG"/>
    <x v="0"/>
    <s v="Arrival Plan-SPTN"/>
    <s v="CIF"/>
    <x v="0"/>
    <s v="U1"/>
    <x v="2"/>
    <m/>
    <m/>
    <s v="n/a"/>
    <d v="2026-06-22T00:00:00"/>
    <x v="0"/>
    <x v="0"/>
    <s v="HSM-ND54-DR500"/>
    <s v="EVO2A"/>
    <s v="±1200mm"/>
    <n v="500"/>
    <n v="1728"/>
    <n v="0.86399999999999999"/>
    <n v="48"/>
    <n v="2"/>
    <x v="11"/>
    <s v="COMPLETED"/>
    <m/>
    <d v="2026-07-22T00:00:00"/>
    <n v="30"/>
    <s v="POPV260729021"/>
    <m/>
    <s v="SHANGHAI / QUZHOU"/>
    <x v="1"/>
    <x v="0"/>
    <d v="2026-07-27T00:00:00"/>
    <d v="2026-08-02T00:00:00"/>
    <d v="2026-08-02T00:00:00"/>
    <d v="2026-09-14T00:00:00"/>
    <d v="2026-09-20T01:00:00"/>
    <d v="2026-09-19T22:07:15"/>
    <m/>
    <s v="COSCO SHIPPING PISCES 033W"/>
    <s v="COSCO"/>
    <s v="TPVB20260729009"/>
    <x v="491"/>
    <s v="COSU6507883400"/>
    <n v="48.921701388891961"/>
    <m/>
    <d v="2026-09-19T22:07:15"/>
    <s v="In Transit-Approved"/>
    <d v="2026-10-02T00:00:00"/>
    <n v="8"/>
    <d v="2026-09-27T22:07:15"/>
    <n v="2026"/>
    <n v="9"/>
    <n v="39"/>
    <n v="36"/>
    <n v="864"/>
    <s v="Black glazing"/>
    <s v="AEM"/>
  </r>
  <r>
    <s v="26Jun012.07"/>
    <s v="Quzhou"/>
    <s v="26Jun012"/>
    <s v="CORE DG"/>
    <x v="0"/>
    <s v="Arrival Plan-SPTN"/>
    <s v="CIF"/>
    <x v="0"/>
    <s v="U2"/>
    <x v="2"/>
    <m/>
    <m/>
    <s v="n/a"/>
    <d v="2026-06-22T00:00:00"/>
    <x v="0"/>
    <x v="43"/>
    <s v="HSM-ND54-DR505"/>
    <s v="EVO2A"/>
    <s v="±1200mm"/>
    <n v="505"/>
    <n v="1728"/>
    <n v="0.87263999999999997"/>
    <n v="48"/>
    <n v="2"/>
    <x v="10"/>
    <s v="COMPLETED"/>
    <s v="七月10日"/>
    <d v="2026-07-22T00:00:00"/>
    <n v="30"/>
    <s v="POPV260729015"/>
    <m/>
    <s v="SHANGHAI / QUZHOU"/>
    <x v="1"/>
    <x v="0"/>
    <d v="2026-07-27T00:00:00"/>
    <d v="2026-08-02T00:00:00"/>
    <d v="2026-08-02T00:00:00"/>
    <d v="2026-09-14T00:00:00"/>
    <d v="2026-09-20T01:00:00"/>
    <d v="2026-09-19T22:07:15"/>
    <m/>
    <s v="COSCO SHIPPING PISCES 033W"/>
    <s v="COSCO"/>
    <s v="TPVB20260729009"/>
    <x v="491"/>
    <s v="COSU6507883400"/>
    <n v="48.921701388891961"/>
    <m/>
    <d v="2026-09-19T22:07:15"/>
    <s v="In Transit-Approved"/>
    <d v="2026-10-02T00:00:00"/>
    <n v="8"/>
    <d v="2026-09-27T22:07:15"/>
    <n v="2026"/>
    <n v="9"/>
    <n v="39"/>
    <n v="36"/>
    <n v="864"/>
    <s v="Black glazing"/>
    <s v="AEM"/>
  </r>
  <r>
    <s v="26Jun007.03.02"/>
    <s v="Tianjin (transport to YIXING for shipment)"/>
    <s v="26Jun007"/>
    <s v="CORE DG"/>
    <x v="0"/>
    <s v="Arrival Plan-SPTN"/>
    <s v="CIF"/>
    <x v="0"/>
    <s v="U5"/>
    <x v="56"/>
    <m/>
    <m/>
    <s v="n/a"/>
    <d v="2026-06-15T00:00:00"/>
    <x v="0"/>
    <x v="80"/>
    <s v="HSM-ND66-GR620"/>
    <s v="H4(Com)"/>
    <s v="±1400mm"/>
    <n v="620"/>
    <n v="720"/>
    <n v="0.44640000000000002"/>
    <n v="20"/>
    <n v="1"/>
    <x v="10"/>
    <s v="COMPLETED"/>
    <s v="七月16日"/>
    <d v="2026-07-23T00:00:00"/>
    <n v="30"/>
    <s v="POPV260729023"/>
    <m/>
    <s v="SHANGHAI"/>
    <x v="1"/>
    <x v="0"/>
    <d v="2026-07-27T00:00:00"/>
    <d v="2026-08-02T00:00:00"/>
    <d v="2026-08-02T00:00:00"/>
    <d v="2026-09-14T00:00:00"/>
    <d v="2026-09-20T01:00:00"/>
    <d v="2026-09-19T22:07:15"/>
    <m/>
    <s v="COSCO SHIPPING PISCES 033W"/>
    <s v="COSCO"/>
    <s v="TPVB20260729010"/>
    <x v="492"/>
    <s v="COSU6508803190"/>
    <n v="48.921701388891961"/>
    <m/>
    <d v="2026-09-19T22:07:15"/>
    <s v="In Transit-Approved"/>
    <d v="2026-10-02T00:00:00"/>
    <n v="8"/>
    <d v="2026-09-27T22:07:15"/>
    <n v="2026"/>
    <n v="9"/>
    <n v="39"/>
    <n v="36"/>
    <n v="720"/>
    <s v="Transparent"/>
    <s v="AEM"/>
  </r>
  <r>
    <s v="26Jun005.03"/>
    <s v="Tianjin(Transport to Yixing for shipment TBC)"/>
    <s v="26Jun005"/>
    <s v="CORE DG"/>
    <x v="0"/>
    <s v="Arrival Plan-SPTN"/>
    <s v="CIF"/>
    <x v="0"/>
    <s v="U1"/>
    <x v="2"/>
    <m/>
    <m/>
    <s v="n/a"/>
    <d v="2026-06-15T00:00:00"/>
    <x v="0"/>
    <x v="57"/>
    <s v="HSM-ND66-GR620"/>
    <s v="EVO2A"/>
    <s v="±1400mm"/>
    <n v="620"/>
    <n v="720"/>
    <n v="0.44640000000000002"/>
    <n v="20"/>
    <n v="1"/>
    <x v="10"/>
    <s v="COMPLETED"/>
    <s v="七月16日"/>
    <d v="2026-07-23T00:00:00"/>
    <n v="30"/>
    <s v="POPV260729024"/>
    <m/>
    <s v="SHANGHAI"/>
    <x v="1"/>
    <x v="0"/>
    <d v="2026-07-27T00:00:00"/>
    <d v="2026-08-02T00:00:00"/>
    <d v="2026-08-02T00:00:00"/>
    <d v="2026-09-14T00:00:00"/>
    <d v="2026-09-20T01:00:00"/>
    <d v="2026-09-19T22:07:15"/>
    <m/>
    <s v="COSCO SHIPPING PISCES 033W"/>
    <s v="COSCO"/>
    <s v="TPVB20260729010"/>
    <x v="492"/>
    <s v="COSU6508803190"/>
    <n v="48.921701388891961"/>
    <m/>
    <d v="2026-09-19T22:07:15"/>
    <s v="In Transit-Approved"/>
    <d v="2026-10-02T00:00:00"/>
    <n v="8"/>
    <d v="2026-09-27T22:07:15"/>
    <n v="2026"/>
    <n v="9"/>
    <n v="39"/>
    <n v="36"/>
    <n v="720"/>
    <s v="Redirection Film"/>
    <s v="AEM"/>
  </r>
  <r>
    <s v="26Jun014.07"/>
    <s v="Tianjin(Transport to Yixing for shipment TBC)"/>
    <s v="26Jun014"/>
    <s v="CORE DG"/>
    <x v="0"/>
    <s v="Arrival Plan-SPTN"/>
    <s v="CIF"/>
    <x v="0"/>
    <s v="U4"/>
    <x v="2"/>
    <m/>
    <m/>
    <s v="n/a"/>
    <d v="2026-07-06T00:00:00"/>
    <x v="0"/>
    <x v="26"/>
    <s v="HSM-ND54-DR505 CFP"/>
    <s v="EVO2A"/>
    <s v="±1200mm"/>
    <n v="505"/>
    <n v="2592"/>
    <n v="1.3089599999999999"/>
    <n v="72"/>
    <n v="3"/>
    <x v="8"/>
    <s v="COMPLETED"/>
    <s v="七月9日"/>
    <d v="2026-07-23T00:00:00"/>
    <n v="30"/>
    <s v="POPV260729007"/>
    <m/>
    <s v="SHANGHAI"/>
    <x v="1"/>
    <x v="0"/>
    <d v="2026-07-27T00:00:00"/>
    <d v="2026-08-02T00:00:00"/>
    <d v="2026-08-02T00:00:00"/>
    <d v="2026-09-14T00:00:00"/>
    <d v="2026-09-20T01:00:00"/>
    <d v="2026-09-19T22:07:15"/>
    <m/>
    <s v="COSCO SHIPPING PISCES 033W"/>
    <s v="COSCO"/>
    <s v="TPVB20260729010"/>
    <x v="492"/>
    <s v="COSU6508803190"/>
    <n v="48.921701388891961"/>
    <m/>
    <d v="2026-09-19T22:07:15"/>
    <s v="In Transit-Approved"/>
    <d v="2026-10-02T00:00:00"/>
    <n v="8"/>
    <d v="2026-09-27T22:07:15"/>
    <n v="2026"/>
    <n v="9"/>
    <n v="39"/>
    <n v="36"/>
    <n v="864"/>
    <s v="Black glazing"/>
    <s v="AEM"/>
  </r>
  <r>
    <s v="26Jun025"/>
    <s v="Yixing"/>
    <s v="Main Line"/>
    <s v="CORE DG"/>
    <x v="0"/>
    <s v="Arrival Plan-SPES"/>
    <s v="CIF"/>
    <x v="1"/>
    <s v="U2"/>
    <x v="2"/>
    <m/>
    <m/>
    <s v="n/a"/>
    <d v="2026-06-01T00:00:00"/>
    <x v="1"/>
    <x v="86"/>
    <s v="TCL-MI550DT182-70NS"/>
    <s v="EVO2A"/>
    <s v="±1400mm"/>
    <n v="550"/>
    <n v="660"/>
    <n v="0.36299999999999999"/>
    <n v="20"/>
    <n v="1"/>
    <x v="6"/>
    <s v="COMPLETED"/>
    <s v="old stock"/>
    <d v="2026-07-24T00:00:00"/>
    <n v="30"/>
    <s v="POPV260806044"/>
    <m/>
    <s v="SHANGHAI"/>
    <x v="1"/>
    <x v="2"/>
    <d v="2026-07-27T00:00:00"/>
    <d v="2026-08-02T00:00:00"/>
    <d v="2026-08-02T00:00:00"/>
    <d v="2026-09-17T00:00:00"/>
    <d v="2026-10-01T06:00:00"/>
    <d v="2026-09-30T00:00:00"/>
    <m/>
    <s v="COSCO SHIPPING PISCES 033W"/>
    <s v="COSCO"/>
    <s v="TPVB20260729011"/>
    <x v="493"/>
    <s v="COSU6507751580"/>
    <n v="59"/>
    <m/>
    <d v="2026-09-30T00:00:00"/>
    <s v="In Transit-Approved"/>
    <d v="2026-10-05T00:00:00"/>
    <n v="9"/>
    <d v="2026-10-09T00:00:00"/>
    <n v="2026"/>
    <n v="10"/>
    <n v="41"/>
    <n v="33"/>
    <n v="660"/>
    <s v="White glazing"/>
    <s v="AEM"/>
  </r>
  <r>
    <s v="26Jul013.05"/>
    <s v="Yixing"/>
    <s v="26Jul013"/>
    <s v="CORE DG"/>
    <x v="1"/>
    <s v="SPTN Offstore in Transit WH"/>
    <s v="CIF"/>
    <x v="25"/>
    <s v="U4"/>
    <x v="163"/>
    <s v="ES0126060900044"/>
    <n v="3"/>
    <s v="Yes"/>
    <d v="2026-06-29T00:00:00"/>
    <x v="10"/>
    <x v="81"/>
    <s v="HSM-NT60-GH580"/>
    <s v="EVO2A"/>
    <s v="±1400mm"/>
    <n v="580"/>
    <n v="720"/>
    <n v="0.41760000000000003"/>
    <n v="20"/>
    <n v="1"/>
    <x v="10"/>
    <s v="COMPLETED"/>
    <s v="六月30日"/>
    <d v="2026-07-17T00:00:00"/>
    <n v="29"/>
    <s v="POPV260724032"/>
    <m/>
    <s v="SHANGHAI"/>
    <x v="1"/>
    <x v="2"/>
    <d v="2026-07-26T00:00:00"/>
    <d v="2026-07-30T00:00:00"/>
    <d v="2026-07-30T00:00:00"/>
    <d v="2026-09-03T00:00:00"/>
    <d v="2026-09-15T13:00:00"/>
    <d v="2026-09-15T13:00:00"/>
    <m/>
    <s v="CSCL URANUS 109W"/>
    <s v="COSCO"/>
    <s v="TPVB20260729012"/>
    <x v="494"/>
    <s v="COSU6507752990"/>
    <n v="47.541666666664241"/>
    <m/>
    <d v="2026-09-15T13:00:00"/>
    <s v="In Stock-Approved"/>
    <d v="2026-09-03T00:00:00"/>
    <n v="0"/>
    <d v="2026-09-15T13:00:00"/>
    <n v="2026"/>
    <n v="9"/>
    <n v="38"/>
    <n v="36"/>
    <n v="720"/>
    <s v="Transparent"/>
    <s v="AEM"/>
  </r>
  <r>
    <s v="26Jul014.01"/>
    <s v="Yixing"/>
    <s v="26Jul014"/>
    <s v="CORE DG"/>
    <x v="1"/>
    <s v="SPTN Offstore in Transit WH"/>
    <s v="CIF"/>
    <x v="25"/>
    <s v="U4"/>
    <x v="163"/>
    <s v="ES0126060900044"/>
    <n v="2"/>
    <s v="Yes"/>
    <d v="2026-06-29T00:00:00"/>
    <x v="10"/>
    <x v="87"/>
    <s v="HSM-NT60-GH585"/>
    <s v="EVO2A"/>
    <s v="±1400mm"/>
    <n v="580"/>
    <n v="720"/>
    <n v="0.41760000000000003"/>
    <n v="20"/>
    <n v="1"/>
    <x v="10"/>
    <s v="COMPLETED"/>
    <m/>
    <d v="2026-07-17T00:00:00"/>
    <n v="29"/>
    <s v="POPV260724033"/>
    <m/>
    <s v="SHANGHAI"/>
    <x v="1"/>
    <x v="2"/>
    <d v="2026-07-26T00:00:00"/>
    <d v="2026-07-30T00:00:00"/>
    <d v="2026-07-30T00:00:00"/>
    <d v="2026-09-03T00:00:00"/>
    <d v="2026-09-15T13:00:00"/>
    <d v="2026-09-15T13:00:00"/>
    <m/>
    <s v="CSCL URANUS 109W"/>
    <s v="COSCO"/>
    <s v="TPVB20260729012"/>
    <x v="494"/>
    <s v="COSU6507752990"/>
    <n v="47.541666666664241"/>
    <m/>
    <d v="2026-09-15T13:00:00"/>
    <s v="In Stock-Approved"/>
    <d v="2026-09-03T00:00:00"/>
    <n v="0"/>
    <d v="2026-09-15T13:00:00"/>
    <n v="2026"/>
    <n v="9"/>
    <n v="38"/>
    <n v="36"/>
    <n v="720"/>
    <s v="Transparent"/>
    <s v="AEM"/>
  </r>
  <r>
    <s v="26Jun002.03.02"/>
    <s v="Yixing"/>
    <s v="26Jun002"/>
    <s v="CORE DG"/>
    <x v="0"/>
    <s v="Arrival Plan-SPES"/>
    <s v="CIF"/>
    <x v="1"/>
    <s v="U1"/>
    <x v="2"/>
    <m/>
    <m/>
    <s v="n/a"/>
    <d v="2026-06-21T00:00:00"/>
    <x v="6"/>
    <x v="69"/>
    <s v="SPR-P7-515-BLK-P"/>
    <s v="EVO2A"/>
    <s v="±1350mm"/>
    <n v="515"/>
    <n v="144"/>
    <n v="7.4160000000000004E-2"/>
    <n v="4"/>
    <n v="0.18"/>
    <x v="10"/>
    <s v="COMPLETED"/>
    <s v="W29"/>
    <d v="2026-07-17T00:00:00"/>
    <n v="29"/>
    <s v="POPV260729027"/>
    <m/>
    <s v="SHANGHAI"/>
    <x v="1"/>
    <x v="2"/>
    <d v="2026-07-26T00:00:00"/>
    <d v="2026-07-30T00:00:00"/>
    <d v="2026-07-30T00:00:00"/>
    <d v="2026-09-03T00:00:00"/>
    <d v="2026-09-15T13:00:00"/>
    <d v="2026-09-15T13:00:00"/>
    <m/>
    <s v="CSCL URANUS 109W"/>
    <s v="COSCO"/>
    <s v="TPVB20260729013"/>
    <x v="495"/>
    <s v="COSU6507753540"/>
    <n v="47.541666666664241"/>
    <m/>
    <d v="2026-09-15T13:00:00"/>
    <s v="In Transit-Approved"/>
    <d v="2026-09-29T00:00:00"/>
    <n v="9"/>
    <d v="2026-09-24T13:00:00"/>
    <n v="2026"/>
    <n v="9"/>
    <n v="39"/>
    <n v="36"/>
    <n v="792"/>
    <s v="Black glazing"/>
    <s v="AEM"/>
  </r>
  <r>
    <s v="26Jul002.03"/>
    <s v="Yixing"/>
    <s v="26Jul002"/>
    <s v="CORE DG"/>
    <x v="0"/>
    <s v="Arrival Plan-SPES"/>
    <s v="CIF"/>
    <x v="1"/>
    <s v="U1"/>
    <x v="2"/>
    <m/>
    <m/>
    <s v="n/a"/>
    <d v="2026-07-06T00:00:00"/>
    <x v="6"/>
    <x v="69"/>
    <s v="SPR-P7-515-BLK-P"/>
    <s v="EVO2A"/>
    <s v="±1350mm"/>
    <n v="515"/>
    <n v="2232"/>
    <n v="1.1494800000000001"/>
    <n v="62"/>
    <n v="2.8181818181818183"/>
    <x v="10"/>
    <s v="COMPLETED"/>
    <s v="W29"/>
    <d v="2026-07-17T00:00:00"/>
    <n v="29"/>
    <s v="POPV260729028"/>
    <m/>
    <s v="SHANGHAI"/>
    <x v="1"/>
    <x v="2"/>
    <d v="2026-07-26T00:00:00"/>
    <d v="2026-07-30T00:00:00"/>
    <d v="2026-07-30T00:00:00"/>
    <d v="2026-09-03T00:00:00"/>
    <d v="2026-09-15T13:00:00"/>
    <d v="2026-09-15T13:00:00"/>
    <m/>
    <s v="CSCL URANUS 109W"/>
    <s v="COSCO"/>
    <s v="TPVB20260729013"/>
    <x v="495"/>
    <s v="COSU6507753540"/>
    <n v="47.541666666664241"/>
    <m/>
    <d v="2026-09-15T13:00:00"/>
    <s v="In Transit-Approved"/>
    <d v="2026-09-29T00:00:00"/>
    <n v="9"/>
    <d v="2026-09-24T13:00:00"/>
    <n v="2026"/>
    <n v="9"/>
    <n v="39"/>
    <n v="36"/>
    <n v="792"/>
    <s v="Black glazing"/>
    <s v="AEM"/>
  </r>
  <r>
    <s v="26Jun014.03"/>
    <s v="Tianjin"/>
    <s v="26Jun014"/>
    <s v="CORE DG"/>
    <x v="0"/>
    <s v="Arrival Plan-SPTN"/>
    <s v="CIF"/>
    <x v="0"/>
    <s v="U2"/>
    <x v="2"/>
    <m/>
    <m/>
    <s v="n/a"/>
    <d v="2026-07-06T00:00:00"/>
    <x v="0"/>
    <x v="26"/>
    <s v="HSM-ND54-DR505 CFP"/>
    <s v="EVO2A"/>
    <s v="±1200mm"/>
    <n v="505"/>
    <n v="3456"/>
    <n v="1.7452799999999999"/>
    <n v="96"/>
    <n v="4"/>
    <x v="10"/>
    <s v="COMPLETED"/>
    <m/>
    <d v="2026-07-13T00:00:00"/>
    <n v="29"/>
    <s v="POPV260717011"/>
    <m/>
    <s v="TIANJIN"/>
    <x v="0"/>
    <x v="0"/>
    <d v="2026-07-19T11:00:00"/>
    <d v="2026-07-22T00:00:00"/>
    <d v="2026-07-22T00:00:00"/>
    <d v="2026-09-28T00:00:00"/>
    <d v="2026-10-25T15:30:00"/>
    <d v="2026-10-25T17:07:11"/>
    <m/>
    <s v="COSCO FRANCE 075W"/>
    <s v="COSCO"/>
    <s v="TPVB20260729003"/>
    <x v="496"/>
    <s v="COSU9508345820"/>
    <n v="95.71332175925636"/>
    <m/>
    <d v="2026-10-25T17:07:11"/>
    <s v="In Transit-Approved"/>
    <d v="2026-10-19T00:00:00"/>
    <n v="8"/>
    <d v="2026-11-02T17:07:11"/>
    <n v="2026"/>
    <n v="11"/>
    <n v="45"/>
    <n v="36"/>
    <n v="864"/>
    <s v="Black glazing"/>
    <s v="AEM"/>
  </r>
  <r>
    <s v="26Jun014.03.01"/>
    <s v="Tianjin"/>
    <s v="26Jun014"/>
    <s v="CORE DG"/>
    <x v="0"/>
    <s v="Arrival Plan-SPTN"/>
    <s v="CIF"/>
    <x v="0"/>
    <s v="U2"/>
    <x v="2"/>
    <m/>
    <m/>
    <s v="n/a"/>
    <d v="2026-07-06T00:00:00"/>
    <x v="0"/>
    <x v="26"/>
    <s v="HSM-ND54-DR505 CFP"/>
    <s v="EVO2A"/>
    <s v="±1200mm"/>
    <n v="505"/>
    <n v="864"/>
    <n v="0.43631999999999999"/>
    <n v="24"/>
    <n v="1"/>
    <x v="10"/>
    <s v="COMPLETED"/>
    <m/>
    <d v="2026-07-13T00:00:00"/>
    <n v="29"/>
    <s v="POPV260717010"/>
    <m/>
    <s v="TIANJIN"/>
    <x v="0"/>
    <x v="0"/>
    <d v="2026-07-19T11:00:00"/>
    <d v="2026-07-22T00:00:00"/>
    <d v="2026-07-22T00:00:00"/>
    <d v="2026-09-23T00:00:00"/>
    <d v="2026-09-25T06:00:00"/>
    <d v="2026-09-25T05:35:14"/>
    <m/>
    <s v="COSCO FRANCE 075W"/>
    <s v="COSCO"/>
    <s v="TPVB20260729002"/>
    <x v="497"/>
    <s v="COSU9508345960"/>
    <n v="65.232800925929041"/>
    <m/>
    <d v="2026-09-25T05:35:14"/>
    <s v="In Transit-Approved"/>
    <d v="2026-10-19T00:00:00"/>
    <n v="8"/>
    <d v="2026-10-03T05:35:14"/>
    <n v="2026"/>
    <n v="10"/>
    <n v="40"/>
    <n v="36"/>
    <n v="864"/>
    <s v="Black glazing"/>
    <s v="AEM"/>
  </r>
  <r>
    <s v="26Jun014.01"/>
    <s v="Tianjin"/>
    <s v="26Jun014"/>
    <s v="CORE DG"/>
    <x v="0"/>
    <s v="Arrival Plan-SPTN"/>
    <s v="CIF"/>
    <x v="0"/>
    <s v="U2"/>
    <x v="2"/>
    <m/>
    <m/>
    <s v="n/a"/>
    <d v="2026-07-06T00:00:00"/>
    <x v="0"/>
    <x v="26"/>
    <s v="HSM-ND54-DR505 CFP"/>
    <s v="EVO2A"/>
    <s v="±1200mm"/>
    <n v="505"/>
    <n v="864"/>
    <n v="0.43631999999999999"/>
    <n v="24"/>
    <n v="1"/>
    <x v="10"/>
    <s v="COMPLETED"/>
    <m/>
    <d v="2026-07-13T00:00:00"/>
    <n v="29"/>
    <s v="POPV260717009"/>
    <m/>
    <s v="TIANJIN"/>
    <x v="0"/>
    <x v="0"/>
    <d v="2026-07-19T00:00:00"/>
    <d v="2026-07-22T00:00:00"/>
    <d v="2026-07-22T00:00:00"/>
    <d v="2026-09-23T00:00:00"/>
    <d v="2026-09-25T06:00:00"/>
    <d v="2026-09-25T05:35:14"/>
    <m/>
    <s v="COSCO FRANCE 075W"/>
    <s v="COSCO"/>
    <s v="TPVB20260729002"/>
    <x v="497"/>
    <s v="COSU9508345960"/>
    <n v="65.232800925929041"/>
    <m/>
    <d v="2026-09-25T05:35:14"/>
    <s v="In Transit-Approved"/>
    <d v="2026-10-19T00:00:00"/>
    <n v="8"/>
    <d v="2026-10-03T05:35:14"/>
    <n v="2026"/>
    <n v="10"/>
    <n v="40"/>
    <n v="36"/>
    <n v="864"/>
    <s v="Black glazing"/>
    <s v="AEM"/>
  </r>
  <r>
    <s v="26Jun009.01"/>
    <s v="Tianjin"/>
    <s v="26Jun009"/>
    <s v="CORE DG"/>
    <x v="0"/>
    <s v="Arrival Plan-SPNL"/>
    <s v="CIF"/>
    <x v="0"/>
    <s v="U2"/>
    <x v="2"/>
    <m/>
    <m/>
    <s v="n/a"/>
    <d v="2026-06-15T00:00:00"/>
    <x v="0"/>
    <x v="7"/>
    <s v="HSM-ND48-DR450"/>
    <s v="EVO2A"/>
    <s v="±1200mm"/>
    <n v="450"/>
    <n v="2808"/>
    <n v="1.2636000000000001"/>
    <n v="78"/>
    <n v="3"/>
    <x v="9"/>
    <s v="COMPLETED"/>
    <m/>
    <d v="2026-07-13T00:00:00"/>
    <n v="29"/>
    <s v="POPV260717023"/>
    <m/>
    <s v="TIANJIN"/>
    <x v="0"/>
    <x v="1"/>
    <d v="2026-07-19T00:00:00"/>
    <d v="2026-07-22T00:00:00"/>
    <d v="2026-07-22T00:00:00"/>
    <d v="2026-09-01T00:00:00"/>
    <d v="2026-09-05T15:30:00"/>
    <d v="2026-09-05T15:53:50"/>
    <m/>
    <s v="COSCO FRANCE 075W"/>
    <s v="COSCO"/>
    <s v="TPVB20260729001"/>
    <x v="498"/>
    <s v="COSU9508353580"/>
    <n v="45.662384259259852"/>
    <m/>
    <d v="2026-09-05T15:53:50"/>
    <s v="In Transit-Approved"/>
    <d v="2026-09-18T00:00:00"/>
    <n v="7"/>
    <d v="2026-09-12T15:53:50"/>
    <n v="2026"/>
    <n v="9"/>
    <n v="37"/>
    <n v="36"/>
    <n v="936"/>
    <s v="Black glazing"/>
    <s v="AEU"/>
  </r>
  <r>
    <s v="26Jun009.02.01"/>
    <s v="Tianjin"/>
    <s v="26Jun009"/>
    <s v="CORE DG"/>
    <x v="0"/>
    <s v="Arrival Plan-SPNL"/>
    <s v="CIF"/>
    <x v="0"/>
    <s v="U1"/>
    <x v="2"/>
    <m/>
    <m/>
    <s v="n/a"/>
    <d v="2026-06-15T00:00:00"/>
    <x v="0"/>
    <x v="7"/>
    <s v="HSM-ND48-DR450"/>
    <s v="EVO2A"/>
    <s v="±1200mm"/>
    <n v="450"/>
    <n v="936"/>
    <n v="0.42120000000000002"/>
    <n v="26"/>
    <n v="1"/>
    <x v="8"/>
    <s v="COMPLETED"/>
    <m/>
    <d v="2026-07-13T00:00:00"/>
    <n v="29"/>
    <s v="POPV260717022"/>
    <m/>
    <s v="TIANJIN"/>
    <x v="0"/>
    <x v="1"/>
    <d v="2026-07-19T00:00:00"/>
    <d v="2026-07-22T00:00:00"/>
    <d v="2026-07-22T00:00:00"/>
    <d v="2026-09-01T00:00:00"/>
    <d v="2026-09-05T15:30:00"/>
    <d v="2026-09-05T15:53:50"/>
    <m/>
    <s v="COSCO FRANCE 075W"/>
    <s v="COSCO"/>
    <s v="TPVB20260729001"/>
    <x v="498"/>
    <s v="COSU9508353580"/>
    <n v="45.662384259259852"/>
    <m/>
    <d v="2026-09-05T15:53:50"/>
    <s v="In Transit-Approved"/>
    <d v="2026-09-18T00:00:00"/>
    <n v="7"/>
    <d v="2026-09-12T15:53:50"/>
    <n v="2026"/>
    <n v="9"/>
    <n v="37"/>
    <n v="36"/>
    <n v="936"/>
    <s v="Black glazing"/>
    <s v="AEU"/>
  </r>
  <r>
    <s v="26Jul011.05"/>
    <s v="Tianjin"/>
    <s v="26Jul011"/>
    <s v="CORE DG"/>
    <x v="0"/>
    <s v="Arrival Plan-SPIT"/>
    <s v="CIF"/>
    <x v="4"/>
    <s v="U1"/>
    <x v="2"/>
    <m/>
    <m/>
    <s v="n/a"/>
    <d v="2026-06-29T00:00:00"/>
    <x v="3"/>
    <x v="88"/>
    <s v="HSM-BD66-GR650"/>
    <s v="H4(Com)"/>
    <s v="±1400mm"/>
    <n v="650"/>
    <n v="720"/>
    <n v="0.46800000000000003"/>
    <n v="20"/>
    <n v="1"/>
    <x v="10"/>
    <s v="COMPLETED"/>
    <s v="七月3日,Italy importer label"/>
    <d v="2026-07-14T00:00:00"/>
    <n v="29"/>
    <s v="POPV260717029"/>
    <m/>
    <s v="TIANJIN"/>
    <x v="0"/>
    <x v="14"/>
    <d v="2026-07-19T11:00:00"/>
    <d v="2026-07-22T00:00:00"/>
    <d v="2026-07-22T00:00:00"/>
    <d v="2026-09-06T00:00:00"/>
    <d v="2026-10-04T21:00:00"/>
    <d v="2026-10-04T00:00:00"/>
    <m/>
    <s v="COSCO FRANCE 075W"/>
    <s v="COSCO"/>
    <s v="TPVB20260729004"/>
    <x v="499"/>
    <s v="COSU9508346010"/>
    <n v="74"/>
    <m/>
    <d v="2026-10-04T00:00:00"/>
    <s v="In Transit-Approved"/>
    <d v="2026-10-09T00:00:00"/>
    <n v="10"/>
    <d v="2026-10-14T00:00:00"/>
    <n v="2026"/>
    <n v="10"/>
    <n v="42"/>
    <n v="36"/>
    <n v="720"/>
    <s v="White glazing"/>
    <s v="AEM"/>
  </r>
  <r>
    <s v="26Jun012.10.11"/>
    <s v="Quzhou"/>
    <s v="26Jun012"/>
    <s v="CORE DG"/>
    <x v="0"/>
    <s v="Arrival Plan-SPNL"/>
    <s v="CIF"/>
    <x v="0"/>
    <s v="U4"/>
    <x v="2"/>
    <m/>
    <m/>
    <s v="n/a"/>
    <d v="2026-06-22T00:00:00"/>
    <x v="0"/>
    <x v="43"/>
    <s v="HSM-ND54-DR505"/>
    <s v="EVO2A"/>
    <s v="±1200mm"/>
    <n v="505"/>
    <n v="1728"/>
    <n v="0.87263999999999997"/>
    <n v="48"/>
    <n v="2"/>
    <x v="10"/>
    <s v="COMPLETED"/>
    <m/>
    <d v="2026-07-21T00:00:00"/>
    <n v="30"/>
    <s v="POPV260729014"/>
    <m/>
    <s v="SHANGHAI / QUZHOU"/>
    <x v="1"/>
    <x v="1"/>
    <d v="2026-07-29T00:00:00"/>
    <d v="2026-07-28T00:00:00"/>
    <d v="2026-07-28T00:00:00"/>
    <d v="2026-09-12T00:00:00"/>
    <d v="2026-09-01T00:00:00"/>
    <d v="2026-08-31T00:00:00"/>
    <m/>
    <s v="CSCL GLOBE 076W"/>
    <s v="COSCO"/>
    <s v="TPVB20260730012"/>
    <x v="500"/>
    <s v="COSU6507915250"/>
    <n v="34"/>
    <m/>
    <d v="2026-08-31T00:00:00"/>
    <s v="In Transit-Approved"/>
    <d v="2026-09-14T00:00:00"/>
    <n v="7"/>
    <d v="2026-09-07T00:00:00"/>
    <n v="2026"/>
    <n v="9"/>
    <n v="37"/>
    <n v="36"/>
    <n v="864"/>
    <s v="Black glazing"/>
    <s v="AEU"/>
  </r>
  <r>
    <s v="26Jun012.06.01"/>
    <s v="Quzhou"/>
    <s v="26Jun012"/>
    <s v="CORE DG"/>
    <x v="0"/>
    <s v="Arrival Plan-SPNL"/>
    <s v="CIF"/>
    <x v="0"/>
    <s v="U6"/>
    <x v="2"/>
    <m/>
    <m/>
    <s v="n/a"/>
    <d v="2026-06-22T00:00:00"/>
    <x v="0"/>
    <x v="43"/>
    <s v="HSM-ND54-DR505"/>
    <s v="EVO2A"/>
    <s v="±1200mm"/>
    <n v="505"/>
    <n v="1728"/>
    <n v="0.87263999999999997"/>
    <n v="48"/>
    <n v="2"/>
    <x v="10"/>
    <s v="COMPLETED"/>
    <m/>
    <d v="2026-07-21T00:00:00"/>
    <n v="30"/>
    <s v="POPV260729013"/>
    <m/>
    <s v="SHANGHAI / QUZHOU"/>
    <x v="1"/>
    <x v="1"/>
    <d v="2026-07-29T00:00:00"/>
    <d v="2026-07-28T00:00:00"/>
    <d v="2026-07-28T00:00:00"/>
    <d v="2026-09-12T00:00:00"/>
    <d v="2026-09-01T00:00:00"/>
    <d v="2026-08-31T00:00:00"/>
    <m/>
    <s v="CSCL GLOBE 076W"/>
    <s v="COSCO"/>
    <s v="TPVB20260730012"/>
    <x v="500"/>
    <s v="COSU6507915250"/>
    <n v="34"/>
    <m/>
    <d v="2026-08-31T00:00:00"/>
    <s v="In Transit-Approved"/>
    <d v="2026-09-14T00:00:00"/>
    <n v="7"/>
    <d v="2026-09-07T00:00:00"/>
    <n v="2026"/>
    <n v="9"/>
    <n v="37"/>
    <n v="36"/>
    <n v="864"/>
    <s v="Black glazing"/>
    <s v="AEU"/>
  </r>
  <r>
    <s v="26Jun012.06"/>
    <s v="Quzhou"/>
    <s v="26Jun012"/>
    <s v="CORE DG"/>
    <x v="0"/>
    <s v="Arrival Plan-SPNL"/>
    <s v="CIF"/>
    <x v="0"/>
    <s v="U6"/>
    <x v="2"/>
    <m/>
    <m/>
    <s v="n/a"/>
    <d v="2026-06-22T00:00:00"/>
    <x v="0"/>
    <x v="43"/>
    <s v="HSM-ND54-DR505"/>
    <s v="EVO2A"/>
    <s v="±1200mm"/>
    <n v="505"/>
    <n v="3456"/>
    <n v="1.7452799999999999"/>
    <n v="96"/>
    <n v="4"/>
    <x v="10"/>
    <s v="COMPLETED"/>
    <m/>
    <d v="2026-07-23T00:00:00"/>
    <n v="30"/>
    <s v="POPV260729011"/>
    <m/>
    <s v="SHANGHAI / QUZHOU"/>
    <x v="1"/>
    <x v="1"/>
    <d v="2026-07-29T00:00:00"/>
    <d v="2026-07-28T00:00:00"/>
    <d v="2026-07-28T00:00:00"/>
    <d v="2026-09-12T00:00:00"/>
    <d v="2026-09-01T00:00:00"/>
    <d v="2026-08-31T00:00:00"/>
    <m/>
    <s v="CSCL GLOBE 076W"/>
    <s v="COSCO"/>
    <s v="TPVB20260730012"/>
    <x v="500"/>
    <s v="COSU6507915250"/>
    <n v="34"/>
    <m/>
    <d v="2026-08-31T00:00:00"/>
    <s v="In Transit-Approved"/>
    <d v="2026-09-14T00:00:00"/>
    <n v="7"/>
    <d v="2026-09-07T00:00:00"/>
    <n v="2026"/>
    <n v="9"/>
    <n v="37"/>
    <n v="36"/>
    <n v="864"/>
    <s v="Black glazing"/>
    <s v="AEU"/>
  </r>
  <r>
    <s v="26Jun008.04"/>
    <s v="Tianjin(Transport to Yixing for shipment)"/>
    <s v="26Jun008"/>
    <s v="CORE DG"/>
    <x v="0"/>
    <s v="Arrival Plan-SPNL"/>
    <s v="CIF"/>
    <x v="0"/>
    <s v="U2"/>
    <x v="56"/>
    <m/>
    <m/>
    <s v="n/a"/>
    <d v="2026-06-15T00:00:00"/>
    <x v="0"/>
    <x v="79"/>
    <s v="HSM-ND66-GR625"/>
    <s v="H4(Com)"/>
    <s v="±1400mm"/>
    <n v="625"/>
    <n v="4320"/>
    <n v="2.7"/>
    <n v="120"/>
    <n v="6"/>
    <x v="8"/>
    <s v="COMPLETED"/>
    <s v="七月26日"/>
    <d v="2026-07-28T00:00:00"/>
    <n v="31"/>
    <s v="POPV260806034"/>
    <m/>
    <s v="SHANGHAI"/>
    <x v="1"/>
    <x v="1"/>
    <d v="2026-08-02T00:00:00"/>
    <d v="2026-08-07T00:00:00"/>
    <d v="2026-08-05T00:00:00"/>
    <d v="2026-09-08T00:00:00"/>
    <d v="2026-09-14T12:00:00"/>
    <d v="2026-09-19T00:00:00"/>
    <m/>
    <s v="COSCO SHIPPING VIRGO 036W"/>
    <s v="OTHER"/>
    <s v="TPVB20260730001"/>
    <x v="501"/>
    <s v="EGLV149605819327"/>
    <n v="45"/>
    <m/>
    <d v="2026-09-19T00:00:00"/>
    <s v="In Transit-Approved"/>
    <d v="2026-09-22T00:00:00"/>
    <n v="7"/>
    <d v="2026-09-26T00:00:00"/>
    <n v="2026"/>
    <n v="9"/>
    <n v="39"/>
    <n v="36"/>
    <n v="720"/>
    <s v="Transparent"/>
    <s v="AEU"/>
  </r>
  <r>
    <s v="26Jun015.01.01"/>
    <s v="Yixing"/>
    <s v="26Jun015"/>
    <s v="CORE DG"/>
    <x v="0"/>
    <s v="Arrival Plan-SPNL"/>
    <s v="CIF"/>
    <x v="0"/>
    <s v="U6"/>
    <x v="2"/>
    <m/>
    <m/>
    <s v="n/a"/>
    <d v="2026-06-29T00:00:00"/>
    <x v="11"/>
    <x v="84"/>
    <s v="HSM-NT48-HH465"/>
    <s v="EVO2A"/>
    <s v="±1200mm"/>
    <n v="465"/>
    <n v="936"/>
    <n v="0.43524000000000002"/>
    <n v="26"/>
    <n v="1"/>
    <x v="8"/>
    <s v="COMPLETED"/>
    <m/>
    <d v="2026-07-28T00:00:00"/>
    <n v="31"/>
    <s v="POPV260806039"/>
    <m/>
    <s v="SHANGHAI"/>
    <x v="1"/>
    <x v="1"/>
    <d v="2026-08-02T00:00:00"/>
    <d v="2026-08-07T00:00:00"/>
    <d v="2026-08-05T00:00:00"/>
    <d v="2026-09-08T00:00:00"/>
    <d v="2026-09-14T12:00:00"/>
    <d v="2026-09-19T00:00:00"/>
    <m/>
    <s v="COSCO SHIPPING VIRGO 036W"/>
    <s v="OTHER"/>
    <s v="TPVB20260730001"/>
    <x v="501"/>
    <s v="EGLV149605819327"/>
    <n v="45"/>
    <m/>
    <d v="2026-09-19T00:00:00"/>
    <s v="In Transit-Approved"/>
    <d v="2026-09-22T00:00:00"/>
    <n v="7"/>
    <d v="2026-09-26T00:00:00"/>
    <n v="2026"/>
    <n v="9"/>
    <n v="39"/>
    <n v="36"/>
    <n v="936"/>
    <s v="Black glazing"/>
    <s v="AEU"/>
  </r>
  <r>
    <s v="26May011.05"/>
    <s v="Yixing"/>
    <s v="26May011"/>
    <s v="CORE DG"/>
    <x v="1"/>
    <s v="SPTN Offstore in Transit WH"/>
    <s v="CIF"/>
    <x v="10"/>
    <s v="U6"/>
    <x v="161"/>
    <s v="DE0126070200004"/>
    <n v="3"/>
    <s v="Yes"/>
    <d v="2026-05-25T00:00:00"/>
    <x v="0"/>
    <x v="74"/>
    <s v="HSM-ND66-GR625"/>
    <s v="H4(Com)"/>
    <s v="+400mm/-200mm"/>
    <n v="625"/>
    <n v="3600"/>
    <n v="2.25"/>
    <n v="100"/>
    <n v="5"/>
    <x v="9"/>
    <s v="COMPLETED"/>
    <s v="BW JUN"/>
    <d v="2026-07-24T00:00:00"/>
    <n v="30"/>
    <s v="POPV260729034"/>
    <m/>
    <s v="SHANGHAI"/>
    <x v="1"/>
    <x v="1"/>
    <d v="2026-07-31T00:00:00"/>
    <d v="2026-07-29T00:00:00"/>
    <d v="2026-07-29T00:00:00"/>
    <d v="2026-09-12T00:00:00"/>
    <d v="2026-09-14T02:00:00"/>
    <d v="2026-09-14T03:20:55"/>
    <m/>
    <s v="CSCL GLOBE 076W"/>
    <s v="COSCO"/>
    <s v="TPVB20260730013"/>
    <x v="502"/>
    <s v="COSU6508479150"/>
    <n v="47.139525462960592"/>
    <m/>
    <d v="2026-09-14T03:20:55"/>
    <s v="In Stock-Approved"/>
    <d v="2026-09-11T00:00:00"/>
    <n v="0"/>
    <d v="2026-09-14T03:20:55"/>
    <n v="2026"/>
    <n v="9"/>
    <n v="38"/>
    <n v="36"/>
    <n v="720"/>
    <s v="Transparent"/>
    <s v="AEU"/>
  </r>
  <r>
    <s v="26Jul001.01.02"/>
    <s v="Yixing"/>
    <s v="26Jul001"/>
    <s v="CORE DG"/>
    <x v="0"/>
    <s v="Arrival Plan-SPTN"/>
    <s v="CIF"/>
    <x v="0"/>
    <s v="U2"/>
    <x v="2"/>
    <m/>
    <m/>
    <s v="n/a"/>
    <d v="2026-07-06T00:00:00"/>
    <x v="6"/>
    <x v="21"/>
    <s v="SPR-P7-510-BLK-P"/>
    <s v="EVO2A"/>
    <s v="±1350mm"/>
    <n v="510"/>
    <n v="2376"/>
    <n v="1.2117599999999999"/>
    <n v="66"/>
    <n v="3"/>
    <x v="11"/>
    <s v="COMPLETED"/>
    <s v="七月10日"/>
    <d v="2026-07-21T00:00:00"/>
    <n v="30"/>
    <s v="POPV260729025"/>
    <m/>
    <s v="SHANGHAI"/>
    <x v="1"/>
    <x v="0"/>
    <d v="2026-07-28T00:00:00"/>
    <d v="2026-07-29T00:00:00"/>
    <d v="2026-07-29T00:00:00"/>
    <d v="2026-09-09T00:00:00"/>
    <d v="2026-09-07T20:00:00"/>
    <d v="2026-09-07T20:00:00"/>
    <m/>
    <s v="CMA CGM JULES VERNE 0MEODW1MA"/>
    <s v="COSCO"/>
    <s v="TPVB20260730014"/>
    <x v="503"/>
    <s v="COSU6508016810"/>
    <n v="40.833333333335759"/>
    <m/>
    <d v="2026-09-07T20:00:00"/>
    <s v="In Transit-Approved"/>
    <d v="2026-09-17T00:00:00"/>
    <n v="8"/>
    <d v="2026-09-15T20:00:00"/>
    <n v="2026"/>
    <n v="9"/>
    <n v="38"/>
    <n v="36"/>
    <n v="792"/>
    <s v="Black glazing"/>
    <s v="AEM"/>
  </r>
  <r>
    <s v="26Jun012.03"/>
    <s v="Quzhou"/>
    <s v="26Jun012"/>
    <s v="CORE DG"/>
    <x v="0"/>
    <s v="Arrival Plan-SPUK"/>
    <s v="CIF"/>
    <x v="6"/>
    <s v="U4"/>
    <x v="118"/>
    <m/>
    <m/>
    <s v="n/a"/>
    <d v="2026-06-22T00:00:00"/>
    <x v="0"/>
    <x v="43"/>
    <s v="HSM-ND54-DR505"/>
    <s v="EVO2A"/>
    <s v="±1200mm"/>
    <n v="505"/>
    <n v="1728"/>
    <n v="0.87263999999999997"/>
    <n v="48"/>
    <n v="2"/>
    <x v="12"/>
    <s v="COMPLETED"/>
    <s v="W30"/>
    <d v="2026-07-18T00:00:00"/>
    <n v="29"/>
    <s v="POPV260729010"/>
    <m/>
    <s v="NINGBO"/>
    <x v="3"/>
    <x v="6"/>
    <d v="2026-07-22T00:00:00"/>
    <d v="2026-07-30T00:00:00"/>
    <d v="2026-07-31T00:00:00"/>
    <d v="2026-08-26T00:00:00"/>
    <d v="2026-09-09T23:59:00"/>
    <d v="2026-09-10T00:13:43"/>
    <m/>
    <s v="OOCL PIRAEUS 012W"/>
    <s v="COSCO"/>
    <s v="TPVB20260730003"/>
    <x v="504"/>
    <s v="COSU9508462360"/>
    <n v="41.009525462963211"/>
    <m/>
    <d v="2026-09-10T00:13:43"/>
    <s v="In Transit-Approved"/>
    <d v="2026-09-23T00:00:00"/>
    <n v="7"/>
    <d v="2026-09-17T00:13:43"/>
    <n v="2026"/>
    <n v="9"/>
    <n v="38"/>
    <n v="36"/>
    <n v="864"/>
    <s v="Black glazing"/>
    <s v="AEU"/>
  </r>
  <r>
    <s v="26Jul007.03"/>
    <s v="Quzhou"/>
    <s v="26Jul007"/>
    <s v="CORE DG"/>
    <x v="0"/>
    <s v="Arrival Plan-SPNL"/>
    <s v="CIF"/>
    <x v="0"/>
    <s v="U4"/>
    <x v="2"/>
    <m/>
    <m/>
    <s v="n/a"/>
    <d v="2026-07-06T00:00:00"/>
    <x v="0"/>
    <x v="0"/>
    <s v="HSM-ND54-DR500"/>
    <s v="EVO2A"/>
    <s v="±1200mm"/>
    <n v="500"/>
    <n v="4320"/>
    <n v="2.16"/>
    <n v="120"/>
    <n v="5"/>
    <x v="11"/>
    <s v="COMPLETED"/>
    <s v="W30"/>
    <d v="2026-07-22T00:00:00"/>
    <n v="30"/>
    <s v="POPV260729018"/>
    <m/>
    <s v="NINGBO"/>
    <x v="3"/>
    <x v="1"/>
    <d v="2026-07-28T00:00:00"/>
    <d v="2026-07-29T00:00:00"/>
    <d v="2026-07-29T00:00:00"/>
    <d v="2026-09-01T00:00:00"/>
    <d v="2026-09-05T15:30:00"/>
    <d v="2026-09-05T15:53:50"/>
    <m/>
    <s v="COSCO FRANCE 075W"/>
    <s v="COSCO"/>
    <s v="TPVB20260730006"/>
    <x v="505"/>
    <s v="COSU9508463160"/>
    <n v="38.662384259259852"/>
    <m/>
    <d v="2026-09-05T15:53:50"/>
    <s v="In Transit-Approved"/>
    <d v="2026-09-18T00:00:00"/>
    <n v="7"/>
    <d v="2026-09-12T15:53:50"/>
    <n v="2026"/>
    <n v="9"/>
    <n v="37"/>
    <n v="36"/>
    <n v="864"/>
    <s v="Black glazing"/>
    <s v="AEU"/>
  </r>
  <r>
    <s v="26Jun012.10"/>
    <s v="Quzhou"/>
    <s v="26Jun012"/>
    <s v="CORE DG"/>
    <x v="0"/>
    <s v="Arrival Plan-SPNL"/>
    <s v="CIF"/>
    <x v="0"/>
    <s v="U4"/>
    <x v="2"/>
    <m/>
    <m/>
    <s v="n/a"/>
    <d v="2026-06-22T00:00:00"/>
    <x v="0"/>
    <x v="43"/>
    <s v="HSM-ND54-DR505"/>
    <s v="EVO2A"/>
    <s v="±1200mm"/>
    <n v="505"/>
    <n v="1728"/>
    <n v="0.87263999999999997"/>
    <n v="48"/>
    <n v="2"/>
    <x v="10"/>
    <s v="COMPLETED"/>
    <s v="W30"/>
    <d v="2026-07-18T00:00:00"/>
    <n v="29"/>
    <s v="POPV260729009"/>
    <m/>
    <s v="NINGBO"/>
    <x v="3"/>
    <x v="1"/>
    <d v="2026-07-22T00:00:00"/>
    <d v="2026-07-31T00:00:00"/>
    <d v="2026-07-31T00:00:00"/>
    <d v="2026-08-26T00:00:00"/>
    <d v="2026-09-10T02:00:00"/>
    <d v="2026-09-10T02:07:59"/>
    <m/>
    <s v="EVER ARIA 1410W"/>
    <s v="COSCO"/>
    <s v="TPVB20260730002"/>
    <x v="506"/>
    <s v="COSU9508462510"/>
    <n v="41.088877314818092"/>
    <m/>
    <d v="2026-09-10T02:07:59"/>
    <s v="In Transit-Approved"/>
    <d v="2026-09-21T00:00:00"/>
    <n v="7"/>
    <d v="2026-09-17T02:07:59"/>
    <n v="2026"/>
    <n v="9"/>
    <n v="38"/>
    <n v="36"/>
    <n v="864"/>
    <s v="Black glazing"/>
    <s v="AEU"/>
  </r>
  <r>
    <s v="26Jul007.03.01"/>
    <s v="Quzhou"/>
    <s v="26Jul007"/>
    <s v="CORE DG"/>
    <x v="0"/>
    <s v="Arrival Plan-SPNL"/>
    <s v="CIF"/>
    <x v="0"/>
    <s v="U4"/>
    <x v="2"/>
    <m/>
    <m/>
    <s v="n/a"/>
    <d v="2026-07-06T00:00:00"/>
    <x v="0"/>
    <x v="0"/>
    <s v="HSM-ND54-DR500"/>
    <s v="EVO2A"/>
    <s v="±1200mm"/>
    <n v="500"/>
    <n v="864"/>
    <n v="0.432"/>
    <n v="24"/>
    <n v="1"/>
    <x v="11"/>
    <s v="COMPLETED"/>
    <s v="W30"/>
    <d v="2026-07-18T00:00:00"/>
    <n v="29"/>
    <s v="POPV260729017"/>
    <m/>
    <s v="NINGBO"/>
    <x v="3"/>
    <x v="1"/>
    <d v="2026-07-22T00:00:00"/>
    <d v="2026-07-31T00:00:00"/>
    <d v="2026-07-31T00:00:00"/>
    <d v="2026-08-26T00:00:00"/>
    <d v="2026-09-10T02:00:00"/>
    <d v="2026-09-10T02:07:59"/>
    <m/>
    <s v="EVER ARIA 1410W"/>
    <s v="COSCO"/>
    <s v="TPVB20260730002"/>
    <x v="506"/>
    <s v="COSU9508462510"/>
    <n v="41.088877314818092"/>
    <m/>
    <d v="2026-09-10T02:07:59"/>
    <s v="In Transit-Approved"/>
    <d v="2026-09-21T00:00:00"/>
    <n v="7"/>
    <d v="2026-09-17T02:07:59"/>
    <n v="2026"/>
    <n v="9"/>
    <n v="38"/>
    <n v="36"/>
    <n v="864"/>
    <s v="Black glazing"/>
    <s v="AEU"/>
  </r>
  <r>
    <s v="26Jun011.12.02"/>
    <s v="Quzhou"/>
    <s v="26Jun011"/>
    <s v="CORE DG"/>
    <x v="0"/>
    <s v="Arrival Plan-SPTN"/>
    <s v="CIF"/>
    <x v="0"/>
    <s v="U1"/>
    <x v="2"/>
    <m/>
    <m/>
    <s v="n/a"/>
    <d v="2026-06-22T00:00:00"/>
    <x v="0"/>
    <x v="0"/>
    <s v="HSM-ND54-DR500"/>
    <s v="EVO2A"/>
    <s v="±1200mm"/>
    <n v="500"/>
    <n v="864"/>
    <n v="0.432"/>
    <n v="24"/>
    <n v="1"/>
    <x v="11"/>
    <s v="COMPLETED"/>
    <s v="w30-32"/>
    <d v="2026-07-25T00:00:00"/>
    <n v="30"/>
    <s v="POPV260729035"/>
    <m/>
    <s v="NINGBO"/>
    <x v="3"/>
    <x v="0"/>
    <d v="2026-07-30T00:00:00"/>
    <d v="2026-07-30T00:00:00"/>
    <d v="2026-07-29T00:00:00"/>
    <d v="2026-09-09T00:00:00"/>
    <d v="2026-09-11T15:00:00"/>
    <d v="2026-09-11T16:21:18"/>
    <m/>
    <s v="CMA CGM JULES VERNE 0MEODW"/>
    <s v="COSCO"/>
    <s v="TPVB20260730004"/>
    <x v="507"/>
    <s v="COSU9508444890"/>
    <n v="44.681458333332557"/>
    <m/>
    <d v="2026-09-11T16:21:18"/>
    <s v="In Transit-Approved"/>
    <d v="2026-09-23T00:00:00"/>
    <n v="8"/>
    <d v="2026-09-19T16:21:18"/>
    <n v="2026"/>
    <n v="9"/>
    <n v="38"/>
    <n v="36"/>
    <n v="864"/>
    <s v="Black glazing"/>
    <s v="AEM"/>
  </r>
  <r>
    <s v="26Jun011.12.03"/>
    <s v="Quzhou"/>
    <s v="26Jun011"/>
    <s v="CORE DG"/>
    <x v="0"/>
    <s v="Arrival Plan-SPTN"/>
    <s v="CIF"/>
    <x v="0"/>
    <s v="U1"/>
    <x v="2"/>
    <m/>
    <m/>
    <s v="n/a"/>
    <d v="2026-06-22T00:00:00"/>
    <x v="0"/>
    <x v="0"/>
    <s v="HSM-ND54-DR500"/>
    <s v="EVO2A"/>
    <s v="±1200mm"/>
    <n v="500"/>
    <n v="864"/>
    <n v="0.432"/>
    <n v="24"/>
    <n v="1"/>
    <x v="11"/>
    <s v="COMPLETED"/>
    <s v="w30-32"/>
    <d v="2026-07-25T00:00:00"/>
    <n v="30"/>
    <s v="POPV260806035"/>
    <m/>
    <s v="NINGBO"/>
    <x v="3"/>
    <x v="0"/>
    <d v="2026-07-31T00:00:00"/>
    <s v=""/>
    <d v="2026-08-06T19:59:53"/>
    <d v="2026-09-14T00:00:00"/>
    <d v="2026-09-20T01:00:00"/>
    <d v="2026-09-19T22:07:15"/>
    <m/>
    <s v="COSCO SHIPPING PISCES 033W"/>
    <s v="COSCO"/>
    <s v="TPVB20260730005"/>
    <x v="508"/>
    <s v="COSU9508457230"/>
    <n v="44.088449074079108"/>
    <m/>
    <d v="2026-09-19T22:07:15"/>
    <s v="In Transit-Approved"/>
    <d v="2026-10-02T00:00:00"/>
    <n v="8"/>
    <d v="2026-09-27T22:07:15"/>
    <n v="2026"/>
    <n v="9"/>
    <n v="39"/>
    <n v="36"/>
    <n v="864"/>
    <s v="Black glazing"/>
    <s v="AEM"/>
  </r>
  <r>
    <s v="26Jun011.12.04"/>
    <s v="Quzhou"/>
    <s v="26Jun011"/>
    <s v="CORE DG"/>
    <x v="0"/>
    <s v="Arrival Plan-SPTN"/>
    <s v="CIF"/>
    <x v="0"/>
    <s v="U1"/>
    <x v="2"/>
    <m/>
    <m/>
    <s v="n/a"/>
    <d v="2026-06-22T00:00:00"/>
    <x v="0"/>
    <x v="0"/>
    <s v="HSM-ND54-DR500"/>
    <s v="EVO2A"/>
    <s v="±1200mm"/>
    <n v="500"/>
    <n v="864"/>
    <n v="0.432"/>
    <n v="24"/>
    <n v="1"/>
    <x v="11"/>
    <s v="COMPLETED"/>
    <s v="w30-32"/>
    <d v="2026-07-30T00:00:00"/>
    <n v="31"/>
    <s v="POPV260806036"/>
    <m/>
    <s v="NINGBO"/>
    <x v="3"/>
    <x v="0"/>
    <d v="2026-08-01T00:00:00"/>
    <m/>
    <d v="2026-08-21T21:14:29"/>
    <d v="2026-09-21T00:00:00"/>
    <d v="2026-10-25T15:30:00"/>
    <d v="2026-10-25T17:07:11"/>
    <m/>
    <s v="COSCO SHIPPING SCORPIO 035W换EVER GOLDEN 033W"/>
    <s v="COSCO"/>
    <s v="TPVB20260730007"/>
    <x v="509"/>
    <s v="COSU9508475300"/>
    <n v="64.828263888884976"/>
    <m/>
    <d v="2026-10-25T17:07:11"/>
    <s v="In Transit-Approved"/>
    <d v="2026-10-26T00:00:00"/>
    <n v="8"/>
    <d v="2026-11-02T17:07:11"/>
    <n v="2026"/>
    <n v="11"/>
    <n v="45"/>
    <n v="36"/>
    <n v="864"/>
    <s v="Black glazing"/>
    <s v="AEM"/>
  </r>
  <r>
    <s v="26Jun011.12.05"/>
    <s v="Quzhou"/>
    <s v="26Jun011"/>
    <s v="CORE DG"/>
    <x v="0"/>
    <s v="Arrival Plan-SPTN"/>
    <s v="CIF"/>
    <x v="0"/>
    <s v="U1"/>
    <x v="2"/>
    <m/>
    <m/>
    <s v="n/a"/>
    <d v="2026-06-22T00:00:00"/>
    <x v="0"/>
    <x v="0"/>
    <s v="HSM-ND54-DR500"/>
    <s v="EVO2A"/>
    <s v="±1200mm"/>
    <n v="500"/>
    <n v="864"/>
    <n v="0.432"/>
    <n v="24"/>
    <n v="1"/>
    <x v="11"/>
    <s v="COMPLETED"/>
    <s v="w30-32"/>
    <d v="2026-07-18T00:00:00"/>
    <n v="29"/>
    <s v="POPV260729020"/>
    <m/>
    <s v="NINGBO"/>
    <x v="3"/>
    <x v="0"/>
    <d v="2026-07-24T00:00:00"/>
    <d v="2026-07-27T00:00:00"/>
    <d v="2026-07-27T00:00:00"/>
    <d v="2026-09-07T00:00:00"/>
    <d v="2026-10-01T22:00:00"/>
    <d v="2026-10-01T00:00:00"/>
    <m/>
    <s v="EVER GOODS 035W"/>
    <s v="COSCO"/>
    <s v="TPVB20260730008"/>
    <x v="510"/>
    <s v="COSU6508263600"/>
    <n v="66"/>
    <m/>
    <d v="2026-10-01T00:00:00"/>
    <s v="In Transit-Approved"/>
    <d v="2026-09-28T00:00:00"/>
    <n v="8"/>
    <d v="2026-10-09T00:00:00"/>
    <n v="2026"/>
    <n v="10"/>
    <n v="41"/>
    <n v="36"/>
    <n v="864"/>
    <s v="Black glazing"/>
    <s v="AEM"/>
  </r>
  <r>
    <s v="26Jul013.04"/>
    <s v="Yixing"/>
    <s v="26Jul013"/>
    <s v="CORE DG"/>
    <x v="0"/>
    <s v="Arrival Plan-SPES"/>
    <s v="CIF"/>
    <x v="1"/>
    <s v="U1"/>
    <x v="2"/>
    <m/>
    <m/>
    <s v="n/a"/>
    <d v="2026-06-29T00:00:00"/>
    <x v="10"/>
    <x v="81"/>
    <s v="HSM-NT60-GH580"/>
    <s v="EVO2A"/>
    <s v="±1400mm"/>
    <n v="580"/>
    <n v="720"/>
    <n v="0.41760000000000003"/>
    <n v="20"/>
    <n v="1"/>
    <x v="10"/>
    <s v="COMPLETED"/>
    <s v="七月3日"/>
    <d v="2026-07-29T00:00:00"/>
    <n v="31"/>
    <s v="POPV260806050"/>
    <m/>
    <s v="NINGBO"/>
    <x v="3"/>
    <x v="2"/>
    <d v="2026-07-24T00:00:00"/>
    <d v="2026-08-03T13:30:00"/>
    <d v="2026-08-03T00:00:00"/>
    <d v="2026-09-03T00:00:00"/>
    <d v="2026-09-15T13:00:00"/>
    <d v="2026-09-15T13:00:00"/>
    <m/>
    <s v="CSCL URANUS 109W"/>
    <s v="COSCO"/>
    <s v="TPVB20260730011"/>
    <x v="511"/>
    <s v="COSU9508539600"/>
    <n v="43.541666666664241"/>
    <m/>
    <d v="2026-09-15T13:00:00"/>
    <s v="In Transit-Approved"/>
    <d v="2026-09-29T00:00:00"/>
    <n v="9"/>
    <d v="2026-09-24T13:00:00"/>
    <n v="2026"/>
    <n v="9"/>
    <n v="39"/>
    <n v="36"/>
    <n v="720"/>
    <s v="Transparent"/>
    <s v="AEM"/>
  </r>
  <r>
    <s v="26May007.12"/>
    <s v="Tianjin"/>
    <s v="26May007"/>
    <s v="CORE DG"/>
    <x v="0"/>
    <s v="Arrival Plan-SPUK"/>
    <s v="CIF"/>
    <x v="6"/>
    <s v="U1"/>
    <x v="2"/>
    <m/>
    <m/>
    <s v="n/a"/>
    <d v="2025-06-01T00:00:00"/>
    <x v="0"/>
    <x v="7"/>
    <s v="HSM-ND48-DR450"/>
    <s v="EVO2A"/>
    <s v="±1200mm"/>
    <n v="450"/>
    <n v="936"/>
    <n v="0.42120000000000002"/>
    <n v="26"/>
    <n v="1"/>
    <x v="8"/>
    <s v="COMPLETED"/>
    <s v="W29+W30 slot"/>
    <d v="2026-07-21T00:00:00"/>
    <n v="30"/>
    <s v="POPV260729005"/>
    <m/>
    <s v="TIANJIN"/>
    <x v="0"/>
    <x v="6"/>
    <d v="2026-07-26T00:00:00"/>
    <d v="2026-07-26T00:00:00"/>
    <d v="2026-07-26T00:00:00"/>
    <d v="2026-09-13T00:00:00"/>
    <d v="2026-09-25T01:00:00"/>
    <d v="2026-09-25T02:06:26"/>
    <m/>
    <s v="COSCO SHIPPING VIRGO 036W"/>
    <s v="COSCO"/>
    <s v="TPVB20260730009"/>
    <x v="512"/>
    <s v="COSU6507918470"/>
    <n v="61.087800925924967"/>
    <m/>
    <d v="2026-09-25T02:06:26"/>
    <s v="In Transit-Approved"/>
    <d v="2027-10-08T00:00:00"/>
    <n v="7"/>
    <d v="2026-10-02T02:06:26"/>
    <n v="2026"/>
    <n v="10"/>
    <n v="40"/>
    <n v="36"/>
    <n v="936"/>
    <s v="Black glazing"/>
    <s v="AEU"/>
  </r>
  <r>
    <s v="26Jul011.01"/>
    <s v="Tianjin"/>
    <s v="26Jul011"/>
    <s v="CORE DG"/>
    <x v="0"/>
    <s v="Arrival Plan-SPNL"/>
    <s v="CIF"/>
    <x v="0"/>
    <s v="U2"/>
    <x v="2"/>
    <m/>
    <m/>
    <s v="n/a"/>
    <d v="2026-07-06T00:00:00"/>
    <x v="3"/>
    <x v="88"/>
    <s v="HSM-BD66-GR650"/>
    <s v="H4(Com)"/>
    <s v="±1400mm"/>
    <n v="650"/>
    <n v="5040"/>
    <n v="3.2759999999999998"/>
    <n v="140"/>
    <n v="7"/>
    <x v="10"/>
    <s v="COMPLETED"/>
    <m/>
    <d v="2026-07-21T00:00:00"/>
    <n v="30"/>
    <s v="POPV260729026"/>
    <m/>
    <s v="TIANJIN"/>
    <x v="0"/>
    <x v="1"/>
    <d v="2026-07-26T00:00:00"/>
    <d v="2026-07-26T00:00:00"/>
    <d v="2026-07-26T00:00:00"/>
    <d v="2026-09-06T00:00:00"/>
    <d v="2026-09-14T23:00:00"/>
    <d v="2026-09-14T00:00:00"/>
    <m/>
    <s v="COSCO SHIPPING VIRGO 036W"/>
    <s v="COSCO"/>
    <s v="TPVB20260730010"/>
    <x v="513"/>
    <s v="COSU9508471420"/>
    <n v="50"/>
    <m/>
    <d v="2026-09-14T00:00:00"/>
    <s v="In Transit-Approved"/>
    <d v="2026-09-28T00:00:00"/>
    <n v="7"/>
    <d v="2026-09-21T00:00:00"/>
    <n v="2026"/>
    <n v="9"/>
    <n v="39"/>
    <n v="36"/>
    <n v="720"/>
    <s v="White glazing"/>
    <s v="AEU"/>
  </r>
  <r>
    <s v="26May007.10.02"/>
    <s v="Tianjin"/>
    <s v="26May007"/>
    <s v="CORE DG"/>
    <x v="0"/>
    <s v="Arrival Plan-SPNL"/>
    <s v="CIF"/>
    <x v="0"/>
    <s v="U1"/>
    <x v="164"/>
    <m/>
    <m/>
    <s v="n/a"/>
    <d v="2026-03-30T00:00:00"/>
    <x v="0"/>
    <x v="7"/>
    <s v="HSM-ND48-DR450"/>
    <s v="EVO2A"/>
    <s v="±1200mm"/>
    <n v="450"/>
    <n v="936"/>
    <n v="0.42120000000000002"/>
    <n v="26"/>
    <n v="1"/>
    <x v="10"/>
    <s v="COMPLETED"/>
    <s v="六月11日"/>
    <d v="2026-07-21T00:00:00"/>
    <n v="30"/>
    <s v="POPV260729019"/>
    <m/>
    <s v="TIANJIN"/>
    <x v="0"/>
    <x v="1"/>
    <d v="2026-07-26T00:00:00"/>
    <d v="2026-07-26T00:00:00"/>
    <d v="2026-07-26T00:00:00"/>
    <d v="2026-09-06T00:00:00"/>
    <d v="2026-09-14T23:00:00"/>
    <d v="2026-09-14T00:00:00"/>
    <m/>
    <s v="COSCO SHIPPING VIRGO 036W"/>
    <s v="COSCO"/>
    <s v="TPVB20260730010"/>
    <x v="513"/>
    <s v="COSU9508471420"/>
    <n v="50"/>
    <m/>
    <d v="2026-09-14T00:00:00"/>
    <s v="In Transit-Approved"/>
    <d v="2026-09-28T00:00:00"/>
    <n v="7"/>
    <d v="2026-09-21T00:00:00"/>
    <n v="2026"/>
    <n v="9"/>
    <n v="39"/>
    <n v="36"/>
    <n v="936"/>
    <s v="Black glazing"/>
    <s v="AEU"/>
  </r>
  <r>
    <s v="26Jul008.01"/>
    <s v="Quzhou"/>
    <s v="26Jul008"/>
    <s v="CORE DG"/>
    <x v="0"/>
    <s v="Arrival Plan-SPUK"/>
    <s v="CIF"/>
    <x v="6"/>
    <s v="U2"/>
    <x v="165"/>
    <m/>
    <m/>
    <s v="n/a"/>
    <d v="2026-07-06T00:00:00"/>
    <x v="0"/>
    <x v="43"/>
    <s v="HSM-ND54-DR505"/>
    <s v="EVO2A"/>
    <s v="±1200mm"/>
    <n v="505"/>
    <n v="2592"/>
    <n v="1.3089599999999999"/>
    <n v="72"/>
    <n v="3"/>
    <x v="13"/>
    <s v="COMPLETED"/>
    <s v="W31"/>
    <d v="2026-07-31T00:00:00"/>
    <n v="31"/>
    <s v="POPV260806031"/>
    <m/>
    <s v="SHANGHAI / QUZHOU"/>
    <x v="1"/>
    <x v="6"/>
    <d v="2026-08-05T00:00:00"/>
    <m/>
    <d v="2026-08-05T00:00:00"/>
    <d v="2026-09-13T00:00:00"/>
    <d v="2026-09-21T06:30:00"/>
    <d v="2026-09-21T06:36:07"/>
    <m/>
    <s v="OOCL FELIXSTOWE 011W"/>
    <s v="COSCO"/>
    <s v="TPVB20260731013"/>
    <x v="514"/>
    <s v="COSU6508644310"/>
    <n v="47.275081018517085"/>
    <m/>
    <d v="2026-09-21T06:36:07"/>
    <s v="In Transit-Approved"/>
    <d v="2026-09-23T00:00:00"/>
    <n v="7"/>
    <d v="2026-09-28T06:36:07"/>
    <n v="2026"/>
    <n v="9"/>
    <n v="40"/>
    <n v="36"/>
    <n v="864"/>
    <s v="Black glazing"/>
    <s v="AEU"/>
  </r>
  <r>
    <s v="26Jun002.02"/>
    <s v="Yixing"/>
    <s v="26Jun002"/>
    <s v="CORE DG"/>
    <x v="0"/>
    <s v="Arrival Plan-SPUK"/>
    <s v="CIF"/>
    <x v="6"/>
    <s v="U2"/>
    <x v="2"/>
    <m/>
    <m/>
    <s v="n/a"/>
    <d v="2026-06-20T00:00:00"/>
    <x v="6"/>
    <x v="69"/>
    <s v="SPR-P7-515-BLK-P"/>
    <s v="EVO2A"/>
    <s v="±1350mm"/>
    <n v="515"/>
    <n v="792"/>
    <n v="0.40788000000000002"/>
    <n v="22"/>
    <n v="1"/>
    <x v="12"/>
    <s v="COMPLETED"/>
    <m/>
    <d v="2026-07-31T00:00:00"/>
    <n v="31"/>
    <s v="POPV260806022"/>
    <m/>
    <s v="SHANGHAI"/>
    <x v="1"/>
    <x v="6"/>
    <d v="2026-08-05T00:00:00"/>
    <m/>
    <d v="2026-08-05T00:00:00"/>
    <d v="2026-09-13T00:00:00"/>
    <d v="2026-09-21T06:30:00"/>
    <d v="2026-09-21T06:36:07"/>
    <m/>
    <s v="OOCL FELIXSTOWE 011W"/>
    <s v="COSCO"/>
    <s v="TPVB20260731014"/>
    <x v="515"/>
    <s v="COSU6508646060"/>
    <n v="47.275081018517085"/>
    <m/>
    <d v="2026-09-21T06:36:07"/>
    <s v="In Transit-Approved"/>
    <d v="2026-09-23T00:00:00"/>
    <n v="7"/>
    <d v="2026-09-28T06:36:07"/>
    <n v="2026"/>
    <n v="9"/>
    <n v="40"/>
    <n v="36"/>
    <n v="792"/>
    <s v="Black glazing"/>
    <s v="AEU"/>
  </r>
  <r>
    <s v="26Jun002.08"/>
    <s v="Yixing"/>
    <s v="26Jun002"/>
    <s v="CORE DG"/>
    <x v="0"/>
    <s v="Arrival Plan-SPUK"/>
    <s v="CIF"/>
    <x v="6"/>
    <s v="U2"/>
    <x v="2"/>
    <m/>
    <m/>
    <s v="n/a"/>
    <d v="2026-06-20T00:00:00"/>
    <x v="6"/>
    <x v="69"/>
    <s v="SPR-P7-515-BLK-P"/>
    <s v="EVO2A"/>
    <s v="±1350mm"/>
    <n v="515"/>
    <n v="792"/>
    <n v="0.40788000000000002"/>
    <n v="22"/>
    <n v="1"/>
    <x v="14"/>
    <s v="COMPLETED"/>
    <m/>
    <d v="2026-07-31T00:00:00"/>
    <n v="31"/>
    <s v="POPV260806019"/>
    <m/>
    <s v="SHANGHAI"/>
    <x v="1"/>
    <x v="6"/>
    <d v="2026-08-05T00:00:00"/>
    <m/>
    <d v="2026-08-05T00:00:00"/>
    <d v="2026-09-13T00:00:00"/>
    <d v="2026-09-21T06:30:00"/>
    <d v="2026-09-21T06:36:07"/>
    <m/>
    <s v="OOCL FELIXSTOWE 011W"/>
    <s v="COSCO"/>
    <s v="TPVB20260731014"/>
    <x v="515"/>
    <s v="COSU6508646060"/>
    <n v="47.275081018517085"/>
    <m/>
    <d v="2026-09-21T06:36:07"/>
    <s v="In Transit-Approved"/>
    <d v="2026-09-23T00:00:00"/>
    <n v="7"/>
    <d v="2026-09-28T06:36:07"/>
    <n v="2026"/>
    <n v="9"/>
    <n v="40"/>
    <n v="36"/>
    <n v="792"/>
    <s v="Black glazing"/>
    <s v="AEU"/>
  </r>
  <r>
    <s v="26Jun004.01"/>
    <s v="Yixing"/>
    <s v="26Jun004"/>
    <s v="CORE DG"/>
    <x v="0"/>
    <s v="Arrival Plan-SPNL"/>
    <s v="CIF"/>
    <x v="0"/>
    <s v="U2"/>
    <x v="2"/>
    <m/>
    <m/>
    <s v="n/a"/>
    <d v="2026-06-15T00:00:00"/>
    <x v="1"/>
    <x v="39"/>
    <s v="TCL-MR470DT182-58NS"/>
    <s v="EVO2A"/>
    <s v="±1200mm"/>
    <n v="470"/>
    <n v="4320"/>
    <n v="2.0304000000000002"/>
    <n v="120"/>
    <n v="5"/>
    <x v="10"/>
    <s v="COMPLETED"/>
    <s v="六月12日"/>
    <d v="2026-07-29T00:00:00"/>
    <n v="31"/>
    <s v="POPV260806018"/>
    <m/>
    <s v="SHANGHAI"/>
    <x v="1"/>
    <x v="1"/>
    <d v="2026-08-01T00:00:00"/>
    <d v="2026-08-04T00:00:00"/>
    <d v="2026-08-04T00:00:00"/>
    <d v="2026-09-12T00:00:00"/>
    <d v="2026-09-20T00:00:00"/>
    <d v="2026-09-20T00:00:00"/>
    <m/>
    <s v="ONE TRUST 032W"/>
    <s v="OTHER"/>
    <s v="TPVB20260731011"/>
    <x v="516"/>
    <s v="ONEYSH6YSH016600"/>
    <n v="47"/>
    <m/>
    <d v="2026-09-20T00:00:00"/>
    <s v="In Transit-Approved"/>
    <d v="2026-09-25T00:00:00"/>
    <n v="7"/>
    <d v="2026-09-27T00:00:00"/>
    <n v="2026"/>
    <n v="9"/>
    <n v="39"/>
    <n v="36"/>
    <n v="864"/>
    <s v="White glazing"/>
    <s v="AEU"/>
  </r>
  <r>
    <s v="26Jun016.03"/>
    <s v="Yixing"/>
    <s v="26Jun016"/>
    <s v="CORE DG"/>
    <x v="0"/>
    <s v="Arrival Plan-SPNL"/>
    <s v="CIF"/>
    <x v="0"/>
    <s v="U3"/>
    <x v="2"/>
    <m/>
    <m/>
    <s v="n/a"/>
    <d v="2026-06-29T00:00:00"/>
    <x v="11"/>
    <x v="83"/>
    <s v="HSM-NT48-HH470"/>
    <s v="EVO2A"/>
    <s v="±1200mm"/>
    <n v="470"/>
    <n v="936"/>
    <n v="0.43991999999999998"/>
    <n v="26"/>
    <n v="1"/>
    <x v="10"/>
    <s v="COMPLETED"/>
    <s v="七月5日"/>
    <d v="2026-07-29T00:00:00"/>
    <n v="31"/>
    <s v="POPV260806038"/>
    <m/>
    <s v="SHANGHAI"/>
    <x v="1"/>
    <x v="1"/>
    <d v="2026-08-01T00:00:00"/>
    <d v="2026-08-04T00:00:00"/>
    <d v="2026-08-04T00:00:00"/>
    <d v="2026-09-12T00:00:00"/>
    <d v="2026-09-20T00:00:00"/>
    <d v="2026-09-20T00:00:00"/>
    <m/>
    <s v="ONE TRUST 032W"/>
    <s v="OTHER"/>
    <s v="TPVB20260731011"/>
    <x v="516"/>
    <s v="ONEYSH6YSH016600"/>
    <n v="47"/>
    <m/>
    <d v="2026-09-20T00:00:00"/>
    <s v="In Transit-Approved"/>
    <d v="2026-09-25T00:00:00"/>
    <n v="7"/>
    <d v="2026-09-27T00:00:00"/>
    <n v="2026"/>
    <n v="9"/>
    <n v="39"/>
    <n v="36"/>
    <n v="936"/>
    <s v="Black glazing"/>
    <s v="AEU"/>
  </r>
  <r>
    <s v="26Jun004.02"/>
    <s v="Yixing"/>
    <s v="26Jun004"/>
    <s v="CORE DG"/>
    <x v="0"/>
    <s v="Arrival Plan-SPNL"/>
    <s v="CIF"/>
    <x v="0"/>
    <s v="U2"/>
    <x v="2"/>
    <m/>
    <m/>
    <s v="n/a"/>
    <d v="2026-06-15T00:00:00"/>
    <x v="1"/>
    <x v="39"/>
    <s v="TCL-MR470DT182-58NS"/>
    <s v="EVO2A"/>
    <s v="±1200mm"/>
    <n v="470"/>
    <n v="1728"/>
    <n v="0.81215999999999999"/>
    <n v="48"/>
    <n v="2"/>
    <x v="9"/>
    <s v="COMPLETED"/>
    <m/>
    <d v="2026-07-29T00:00:00"/>
    <n v="31"/>
    <s v="POPV260806045"/>
    <m/>
    <s v="SHANGHAI"/>
    <x v="1"/>
    <x v="1"/>
    <d v="2026-08-01T00:00:00"/>
    <d v="2026-08-04T00:00:00"/>
    <d v="2026-08-04T00:00:00"/>
    <d v="2026-09-12T00:00:00"/>
    <d v="2026-09-20T00:00:00"/>
    <d v="2026-09-20T00:00:00"/>
    <m/>
    <s v="ONE TRUST 032W"/>
    <s v="OTHER"/>
    <s v="TPVB20260731011"/>
    <x v="516"/>
    <s v="ONEYSH6YSH016600"/>
    <n v="47"/>
    <m/>
    <d v="2026-09-20T00:00:00"/>
    <s v="In Transit-Approved"/>
    <d v="2026-09-18T00:00:00"/>
    <n v="7"/>
    <d v="2026-09-27T00:00:00"/>
    <n v="2026"/>
    <n v="9"/>
    <n v="39"/>
    <n v="36"/>
    <n v="864"/>
    <s v="White glazing"/>
    <s v="AEU"/>
  </r>
  <r>
    <s v="26Jun016.04"/>
    <s v="Yixing"/>
    <s v="26Jun016"/>
    <s v="CORE DG"/>
    <x v="0"/>
    <s v="Arrival Plan-SPNL"/>
    <s v="CIF"/>
    <x v="0"/>
    <s v="U2"/>
    <x v="2"/>
    <m/>
    <m/>
    <s v="n/a"/>
    <d v="2026-06-29T00:00:00"/>
    <x v="11"/>
    <x v="83"/>
    <s v="HSM-NT48-HH470"/>
    <s v="EVO2A"/>
    <s v="±1200mm"/>
    <n v="470"/>
    <n v="1872"/>
    <n v="0.87983999999999996"/>
    <n v="52"/>
    <n v="2"/>
    <x v="10"/>
    <s v="COMPLETED"/>
    <s v="七月15日"/>
    <d v="2026-07-29T00:00:00"/>
    <n v="31"/>
    <s v="POPV260806041"/>
    <m/>
    <s v="SHANGHAI"/>
    <x v="1"/>
    <x v="1"/>
    <d v="2026-08-01T00:00:00"/>
    <d v="2026-08-04T00:00:00"/>
    <d v="2026-08-04T00:00:00"/>
    <d v="2026-09-12T00:00:00"/>
    <d v="2026-09-20T00:00:00"/>
    <d v="2026-09-20T00:00:00"/>
    <m/>
    <s v="ONE TRUST 032W"/>
    <s v="OTHER"/>
    <s v="TPVB20260731011"/>
    <x v="516"/>
    <s v="ONEYSH6YSH016600"/>
    <n v="47"/>
    <m/>
    <d v="2026-09-20T00:00:00"/>
    <s v="In Transit-Approved"/>
    <d v="2026-09-25T00:00:00"/>
    <n v="7"/>
    <d v="2026-09-27T00:00:00"/>
    <n v="2026"/>
    <n v="9"/>
    <n v="39"/>
    <n v="36"/>
    <n v="936"/>
    <s v="Black glazing"/>
    <s v="AEU"/>
  </r>
  <r>
    <s v="26Jul002.09"/>
    <s v="Yixing"/>
    <s v="26Jul002"/>
    <s v="CORE DG"/>
    <x v="0"/>
    <s v="Arrival Plan-SPNL"/>
    <s v="CIF"/>
    <x v="0"/>
    <s v="U2"/>
    <x v="2"/>
    <m/>
    <m/>
    <s v="n/a"/>
    <d v="2026-07-06T00:00:00"/>
    <x v="6"/>
    <x v="69"/>
    <s v="SPR-P7-515-BLK-P"/>
    <s v="EVO2A"/>
    <s v="±1350mm"/>
    <n v="515"/>
    <n v="1584"/>
    <n v="0.81576000000000004"/>
    <n v="44"/>
    <n v="2"/>
    <x v="11"/>
    <s v="COMPLETED"/>
    <m/>
    <d v="2026-07-29T00:00:00"/>
    <n v="31"/>
    <s v="POPV260806016"/>
    <m/>
    <s v="SHANGHAI"/>
    <x v="1"/>
    <x v="1"/>
    <d v="2026-08-01T00:00:00"/>
    <d v="2026-08-04T00:00:00"/>
    <d v="2026-08-04T00:00:00"/>
    <d v="2026-09-12T00:00:00"/>
    <d v="2026-09-20T00:00:00"/>
    <d v="2026-09-20T00:00:00"/>
    <m/>
    <s v="ONE TRUST 032W"/>
    <s v="OTHER"/>
    <s v="TPVB20260731011"/>
    <x v="516"/>
    <s v="ONEYSH6YSH016600"/>
    <n v="47"/>
    <m/>
    <d v="2026-09-20T00:00:00"/>
    <s v="In Transit-Approved"/>
    <d v="2026-09-18T00:00:00"/>
    <n v="7"/>
    <d v="2026-09-27T00:00:00"/>
    <n v="2026"/>
    <n v="9"/>
    <n v="39"/>
    <n v="36"/>
    <n v="792"/>
    <s v="Black glazing"/>
    <s v="AEU"/>
  </r>
  <r>
    <s v="26Jun004.07"/>
    <s v="Yixing"/>
    <s v="26Jun004"/>
    <s v="CORE DG"/>
    <x v="0"/>
    <s v="Arrival Plan-SPNL"/>
    <s v="CIF"/>
    <x v="0"/>
    <s v="U2"/>
    <x v="2"/>
    <m/>
    <m/>
    <s v="n/a"/>
    <d v="2026-06-15T00:00:00"/>
    <x v="1"/>
    <x v="39"/>
    <s v="TCL-MR470DT182-58NS"/>
    <s v="EVO2A"/>
    <s v="±1200mm"/>
    <n v="470"/>
    <n v="2592"/>
    <n v="1.21824"/>
    <n v="72"/>
    <n v="3"/>
    <x v="9"/>
    <s v="COMPLETED"/>
    <m/>
    <d v="2026-07-29T00:00:00"/>
    <n v="31"/>
    <s v="POPV260806020"/>
    <m/>
    <s v="SHANGHAI"/>
    <x v="1"/>
    <x v="1"/>
    <d v="2026-08-01T00:00:00"/>
    <d v="2026-08-04T00:00:00"/>
    <d v="2026-08-04T00:00:00"/>
    <d v="2026-09-12T00:00:00"/>
    <d v="2026-09-20T00:00:00"/>
    <d v="2026-09-20T00:00:00"/>
    <m/>
    <s v="ONE TRUST 032W"/>
    <s v="OTHER"/>
    <s v="TPVB20260731011"/>
    <x v="516"/>
    <s v="ONEYSH6YSH016600"/>
    <n v="47"/>
    <m/>
    <d v="2026-09-20T00:00:00"/>
    <s v="In Transit-Approved"/>
    <d v="2026-09-25T00:00:00"/>
    <n v="7"/>
    <d v="2026-09-27T00:00:00"/>
    <n v="2026"/>
    <n v="9"/>
    <n v="39"/>
    <n v="36"/>
    <n v="864"/>
    <s v="White glazing"/>
    <s v="AEU"/>
  </r>
  <r>
    <s v="26May014.04"/>
    <s v="Yixing"/>
    <s v="26May014"/>
    <s v="CORE DG"/>
    <x v="1"/>
    <s v="SPTN Offstore in Transit WH"/>
    <s v="CIF"/>
    <x v="23"/>
    <s v="U1"/>
    <x v="139"/>
    <s v="AT0126042100006"/>
    <n v="43"/>
    <s v="Yes"/>
    <d v="2026-06-08T00:00:00"/>
    <x v="0"/>
    <x v="78"/>
    <s v="HSM-ND66-GK725"/>
    <s v="H4(Com)"/>
    <s v="+400mm/-200mm"/>
    <n v="725"/>
    <n v="2376"/>
    <n v="1.7225999999999999"/>
    <n v="72"/>
    <n v="4"/>
    <x v="9"/>
    <s v="COMPLETED"/>
    <s v="BW JUN √"/>
    <d v="2026-07-30T00:00:00"/>
    <n v="31"/>
    <s v="POPV260729048"/>
    <m/>
    <s v="SHANGHAI"/>
    <x v="1"/>
    <x v="1"/>
    <d v="2026-08-01T00:00:00"/>
    <d v="2026-08-04T00:00:00"/>
    <d v="2026-08-04T00:00:00"/>
    <d v="2026-09-12T00:00:00"/>
    <d v="2026-09-20T00:00:00"/>
    <d v="2026-09-20T00:00:00"/>
    <m/>
    <s v="ONE TRUST 032W"/>
    <s v="OTHER"/>
    <s v="TPVB20260731012"/>
    <x v="517"/>
    <s v="ONEYSH6YSH016601"/>
    <n v="47"/>
    <m/>
    <d v="2026-09-20T00:00:00"/>
    <s v="In Stock-Approved"/>
    <d v="2026-09-12T00:00:00"/>
    <n v="0"/>
    <d v="2026-09-20T00:00:00"/>
    <n v="2026"/>
    <n v="9"/>
    <n v="38"/>
    <n v="33"/>
    <n v="594"/>
    <s v="Transparent"/>
    <s v="AEU"/>
  </r>
  <r>
    <s v="26May014.04.01"/>
    <s v="Yixing"/>
    <s v="26May014"/>
    <s v="CORE DG"/>
    <x v="1"/>
    <s v="SPTN Offstore in Transit WH"/>
    <s v="CIF"/>
    <x v="23"/>
    <s v="U1"/>
    <x v="139"/>
    <s v="AT0126042100006"/>
    <n v="54"/>
    <s v="Yes"/>
    <d v="2026-06-08T00:00:00"/>
    <x v="0"/>
    <x v="78"/>
    <s v="HSM-ND66-GK725"/>
    <s v="H4(Com)"/>
    <s v="+400mm/-200mm"/>
    <n v="725"/>
    <n v="3564"/>
    <n v="2.5838999999999999"/>
    <n v="108"/>
    <n v="6"/>
    <x v="9"/>
    <s v="COMPLETED"/>
    <s v="BW JUN √"/>
    <d v="2026-07-30T00:00:00"/>
    <n v="31"/>
    <s v="POPV260729049"/>
    <m/>
    <s v="SHANGHAI"/>
    <x v="1"/>
    <x v="1"/>
    <d v="2026-08-01T00:00:00"/>
    <d v="2026-08-04T00:00:00"/>
    <d v="2026-08-04T00:00:00"/>
    <d v="2026-09-12T00:00:00"/>
    <d v="2026-09-20T00:00:00"/>
    <d v="2026-09-20T00:00:00"/>
    <m/>
    <s v="ONE TRUST 032W"/>
    <s v="OTHER"/>
    <s v="TPVB20260731012"/>
    <x v="517"/>
    <s v="ONEYSH6YSH016601"/>
    <n v="47"/>
    <m/>
    <d v="2026-09-20T00:00:00"/>
    <s v="In Stock-Approved"/>
    <d v="2026-09-11T00:00:00"/>
    <n v="0"/>
    <d v="2026-09-20T00:00:00"/>
    <n v="2026"/>
    <n v="9"/>
    <n v="38"/>
    <n v="33"/>
    <n v="594"/>
    <s v="Transparent"/>
    <s v="AEU"/>
  </r>
  <r>
    <s v="26May013.05.01"/>
    <s v="Yixing"/>
    <s v="26May013"/>
    <s v="CORE DG"/>
    <x v="1"/>
    <s v="SPTN Offstore in Transit WH"/>
    <s v="CIF"/>
    <x v="23"/>
    <s v="U3"/>
    <x v="139"/>
    <s v="AT0126042100006"/>
    <n v="52"/>
    <s v="Yes"/>
    <d v="2026-06-08T00:00:00"/>
    <x v="0"/>
    <x v="77"/>
    <s v="HSM-ND66-GK720"/>
    <s v="H4(Com)"/>
    <s v="+400mm/-200mm"/>
    <n v="720"/>
    <n v="2970"/>
    <n v="2.1383999999999999"/>
    <n v="90"/>
    <n v="5"/>
    <x v="8"/>
    <s v="COMPLETED"/>
    <s v="BW JUN √"/>
    <d v="2026-07-30T00:00:00"/>
    <n v="31"/>
    <s v="POPV260729047"/>
    <m/>
    <s v="SHANGHAI"/>
    <x v="1"/>
    <x v="1"/>
    <d v="2026-08-01T00:00:00"/>
    <d v="2026-08-04T00:00:00"/>
    <d v="2026-08-04T00:00:00"/>
    <d v="2026-09-12T00:00:00"/>
    <d v="2026-09-20T00:00:00"/>
    <d v="2026-09-20T00:00:00"/>
    <m/>
    <s v="ONE TRUST 032W"/>
    <s v="OTHER"/>
    <s v="TPVB20260731012"/>
    <x v="517"/>
    <s v="ONEYSH6YSH016601"/>
    <n v="47"/>
    <m/>
    <d v="2026-09-20T00:00:00"/>
    <s v="In Stock-Approved"/>
    <d v="2026-09-12T00:00:00"/>
    <n v="0"/>
    <d v="2026-09-20T00:00:00"/>
    <n v="2026"/>
    <n v="9"/>
    <n v="38"/>
    <n v="33"/>
    <n v="594"/>
    <s v="Transparent"/>
    <s v="AEU"/>
  </r>
  <r>
    <s v="26May011.06"/>
    <s v="Yixing"/>
    <s v="26May011"/>
    <s v="CORE DG"/>
    <x v="1"/>
    <s v="SPTN Offstore in Transit WH"/>
    <s v="CIF"/>
    <x v="10"/>
    <s v="U6"/>
    <x v="161"/>
    <s v="DE0126070200004"/>
    <n v="5"/>
    <s v="Yes"/>
    <d v="2026-05-25T00:00:00"/>
    <x v="0"/>
    <x v="74"/>
    <s v="HSM-ND66-GR625"/>
    <s v="H4(Com)"/>
    <s v="+400mm/-200mm"/>
    <n v="625"/>
    <n v="4320"/>
    <n v="2.7"/>
    <n v="120"/>
    <n v="6"/>
    <x v="9"/>
    <s v="COMPLETED"/>
    <s v="BW JUN"/>
    <d v="2026-08-03T00:00:00"/>
    <n v="32"/>
    <s v="POPV260806030"/>
    <m/>
    <s v="SHANGHAI"/>
    <x v="1"/>
    <x v="1"/>
    <d v="2026-08-05T00:00:00"/>
    <d v="2026-08-07T00:00:00"/>
    <d v="2026-08-06T05:31:46"/>
    <d v="2026-09-09T00:00:00"/>
    <d v="2026-09-14T23:00:00"/>
    <d v="2026-09-14T23:00:00"/>
    <m/>
    <s v="COSCO SHIPPING VIRGO 036W"/>
    <s v="COSCO"/>
    <s v="TPVB20260731027"/>
    <x v="518"/>
    <s v="COSU6508616170"/>
    <n v="39.727939814816636"/>
    <m/>
    <d v="2026-09-14T23:00:00"/>
    <s v="In Stock-Approved"/>
    <d v="2026-09-15T00:00:00"/>
    <n v="0"/>
    <d v="2026-09-14T23:00:00"/>
    <n v="2026"/>
    <n v="9"/>
    <n v="38"/>
    <n v="36"/>
    <n v="720"/>
    <s v="Transparent"/>
    <s v="AEU"/>
  </r>
  <r>
    <s v="26Jun015.06"/>
    <s v="Yixing"/>
    <s v="26Jun015"/>
    <s v="CORE DG"/>
    <x v="1"/>
    <s v="SPTN Offstore in Transit WH"/>
    <s v="CIF"/>
    <x v="15"/>
    <s v="U6"/>
    <x v="162"/>
    <s v="BE0126061200010"/>
    <n v="2"/>
    <s v="Yes"/>
    <d v="2026-06-29T00:00:00"/>
    <x v="11"/>
    <x v="84"/>
    <s v="HSM-NT48-HH465"/>
    <s v="EVO2A"/>
    <s v="±1200mm"/>
    <n v="465"/>
    <n v="3744"/>
    <n v="1.7409600000000001"/>
    <n v="104"/>
    <n v="4"/>
    <x v="10"/>
    <s v="COMPLETED"/>
    <s v="七月12日"/>
    <d v="2026-07-28T00:00:00"/>
    <n v="31"/>
    <s v="POPV260730008"/>
    <m/>
    <s v="SHANGHAI"/>
    <x v="1"/>
    <x v="1"/>
    <d v="2026-08-05T00:00:00"/>
    <d v="2026-08-06T08:00:00"/>
    <d v="2026-08-06T05:31:46"/>
    <d v="2026-09-09T00:00:00"/>
    <d v="2026-09-14T23:00:00"/>
    <d v="2026-09-14T22:26:58"/>
    <m/>
    <s v="COSCO SHIPPING VIRGO 036W"/>
    <s v="COSCO"/>
    <s v="TPVB20260731016"/>
    <x v="519"/>
    <s v="COSU6508644840"/>
    <n v="39.705000000001746"/>
    <s v="Y"/>
    <d v="2026-09-14T22:26:58"/>
    <s v="In Stock-Approved"/>
    <d v="2026-09-09T00:00:00"/>
    <n v="0"/>
    <d v="2026-09-14T22:26:58"/>
    <n v="2026"/>
    <n v="9"/>
    <n v="38"/>
    <n v="36"/>
    <n v="936"/>
    <s v="Black glazing"/>
    <s v="AEU"/>
  </r>
  <r>
    <s v="26Jun016.03.01"/>
    <s v="Yixing"/>
    <s v="26Jun016"/>
    <s v="CORE DG"/>
    <x v="0"/>
    <s v="Arrival Plan-SPNL"/>
    <s v="CIF"/>
    <x v="0"/>
    <s v="U3"/>
    <x v="2"/>
    <m/>
    <m/>
    <s v="n/a"/>
    <d v="2026-06-29T00:00:00"/>
    <x v="11"/>
    <x v="83"/>
    <s v="HSM-NT48-HH470"/>
    <s v="EVO2A"/>
    <s v="±1200mm"/>
    <n v="470"/>
    <n v="936"/>
    <n v="0.43991999999999998"/>
    <n v="26"/>
    <n v="1"/>
    <x v="10"/>
    <s v="COMPLETED"/>
    <s v="七月5日"/>
    <d v="2026-07-28T00:00:00"/>
    <n v="31"/>
    <s v="POPV260806042"/>
    <m/>
    <s v="SHANGHAI"/>
    <x v="1"/>
    <x v="1"/>
    <d v="2026-08-05T00:00:00"/>
    <d v="2026-08-06T08:00:00"/>
    <d v="2026-08-06T05:31:46"/>
    <d v="2026-09-09T00:00:00"/>
    <d v="2026-09-14T23:00:00"/>
    <d v="2026-09-14T22:26:58"/>
    <m/>
    <s v="COSCO SHIPPING VIRGO 036W"/>
    <s v="COSCO"/>
    <s v="TPVB20260731017"/>
    <x v="520"/>
    <s v="COSU6508644840"/>
    <n v="39.705000000001746"/>
    <m/>
    <d v="2026-09-14T22:26:58"/>
    <s v="In Transit-Approved"/>
    <d v="2026-09-28T00:00:00"/>
    <n v="7"/>
    <d v="2026-09-21T22:26:58"/>
    <n v="2026"/>
    <n v="9"/>
    <n v="39"/>
    <n v="36"/>
    <n v="936"/>
    <s v="Black glazing"/>
    <s v="AEU"/>
  </r>
  <r>
    <s v="26Jun015.01"/>
    <s v="Yixing"/>
    <s v="26Jun015"/>
    <s v="CORE DG"/>
    <x v="0"/>
    <s v="Arrival Plan-SPNL"/>
    <s v="CIF"/>
    <x v="0"/>
    <s v="U6"/>
    <x v="2"/>
    <m/>
    <m/>
    <s v="n/a"/>
    <d v="2026-06-29T00:00:00"/>
    <x v="11"/>
    <x v="84"/>
    <s v="HSM-NT48-HH465"/>
    <s v="EVO2A"/>
    <s v="±1200mm"/>
    <n v="465"/>
    <n v="1872"/>
    <n v="0.87048000000000003"/>
    <n v="52"/>
    <n v="2"/>
    <x v="8"/>
    <s v="COMPLETED"/>
    <s v="七月13日"/>
    <d v="2026-07-27T00:00:00"/>
    <n v="31"/>
    <s v="POPV260806040"/>
    <m/>
    <s v="SHANGHAI"/>
    <x v="1"/>
    <x v="1"/>
    <d v="2026-08-03T00:00:00"/>
    <d v="2026-08-06T21:00:00"/>
    <d v="2026-08-06T20:59:55"/>
    <d v="2026-09-09T00:00:00"/>
    <d v="2026-09-18T21:00:00"/>
    <d v="2026-09-18T21:54:11"/>
    <m/>
    <s v="EVER ARM 1412-016W"/>
    <s v="COSCO"/>
    <s v="TPVB20260731018"/>
    <x v="521"/>
    <s v="COSU6508515860"/>
    <n v="43.037685185183364"/>
    <m/>
    <d v="2026-09-18T21:54:11"/>
    <s v="In Transit-Approved"/>
    <d v="2026-10-01T00:00:00"/>
    <n v="7"/>
    <d v="2026-09-25T21:54:11"/>
    <n v="2026"/>
    <n v="9"/>
    <n v="39"/>
    <n v="36"/>
    <n v="936"/>
    <s v="Black glazing"/>
    <s v="AEU"/>
  </r>
  <r>
    <s v="26Jun004.02.01"/>
    <s v="Yixing"/>
    <s v="26Jun004"/>
    <s v="CORE DG"/>
    <x v="0"/>
    <s v="Arrival Plan-SPNL"/>
    <s v="CIF"/>
    <x v="0"/>
    <s v="U2"/>
    <x v="2"/>
    <m/>
    <m/>
    <s v="n/a"/>
    <d v="2026-06-15T00:00:00"/>
    <x v="1"/>
    <x v="39"/>
    <s v="TCL-MR470DT182-58NS"/>
    <s v="EVO2A"/>
    <s v="±1200mm"/>
    <n v="470"/>
    <n v="2592"/>
    <n v="1.21824"/>
    <n v="72"/>
    <n v="3"/>
    <x v="9"/>
    <s v="COMPLETED"/>
    <m/>
    <d v="2026-07-27T00:00:00"/>
    <n v="31"/>
    <s v="POPV260806021"/>
    <m/>
    <s v="SHANGHAI"/>
    <x v="1"/>
    <x v="1"/>
    <d v="2026-08-03T00:00:00"/>
    <d v="2026-08-06T21:00:00"/>
    <d v="2026-08-06T20:59:55"/>
    <d v="2026-09-09T00:00:00"/>
    <d v="2026-09-18T21:00:00"/>
    <d v="2026-09-18T21:54:11"/>
    <m/>
    <s v="EVER ARM 1412-016W"/>
    <s v="COSCO"/>
    <s v="TPVB20260731018"/>
    <x v="521"/>
    <s v="COSU6508515860"/>
    <n v="43.037685185183364"/>
    <m/>
    <d v="2026-09-18T21:54:11"/>
    <s v="In Transit-Approved"/>
    <d v="2026-10-01T00:00:00"/>
    <n v="7"/>
    <d v="2026-09-25T21:54:11"/>
    <n v="2026"/>
    <n v="9"/>
    <n v="39"/>
    <n v="36"/>
    <n v="864"/>
    <s v="White glazing"/>
    <s v="AEU"/>
  </r>
  <r>
    <s v="26Jul002.02"/>
    <s v="Yixing"/>
    <s v="26Jul002"/>
    <s v="CORE DG"/>
    <x v="0"/>
    <s v="Arrival Plan-SPIT"/>
    <s v="CIF"/>
    <x v="4"/>
    <s v="U1"/>
    <x v="2"/>
    <m/>
    <m/>
    <s v="n/a"/>
    <d v="2026-07-06T00:00:00"/>
    <x v="6"/>
    <x v="69"/>
    <s v="SPR-P7-515-BLK-P"/>
    <s v="EVO2A"/>
    <s v="±1350mm"/>
    <n v="515"/>
    <n v="2376"/>
    <n v="1.2236400000000001"/>
    <n v="66"/>
    <n v="3"/>
    <x v="11"/>
    <s v="COMPLETED"/>
    <m/>
    <d v="2026-08-18T00:00:00"/>
    <n v="34"/>
    <s v="POPV260821040"/>
    <s v="POPV260821040"/>
    <s v="SHANGHAI"/>
    <x v="1"/>
    <x v="4"/>
    <d v="2026-08-14T00:00:00"/>
    <d v="2026-08-29T00:00:00"/>
    <d v="2026-08-29T11:36:00"/>
    <d v="2026-09-30T00:00:00"/>
    <d v="2026-10-28T06:00:00"/>
    <d v="2026-10-28T12:14:51"/>
    <m/>
    <s v="EVER GOLDEN 0765-033W"/>
    <s v="COSCO"/>
    <s v="TPVB20260731019"/>
    <x v="522"/>
    <s v="COSU6509178440"/>
    <n v="60.02697916667239"/>
    <m/>
    <d v="2026-10-28T12:14:51"/>
    <s v="In Transit-Approved"/>
    <d v="2026-10-26T00:00:00"/>
    <n v="10"/>
    <d v="2026-11-07T12:14:51"/>
    <n v="2026"/>
    <n v="11"/>
    <n v="45"/>
    <n v="36"/>
    <n v="792"/>
    <s v="Black glazing"/>
    <s v="AEM"/>
  </r>
  <r>
    <s v="26Jun015.05"/>
    <s v="Yixing"/>
    <s v="26Jun015"/>
    <s v="CORE DG"/>
    <x v="0"/>
    <s v="Arrival Plan-SPTN"/>
    <s v="CIF"/>
    <x v="0"/>
    <s v="U4"/>
    <x v="2"/>
    <m/>
    <m/>
    <s v="n/a"/>
    <d v="2026-06-29T00:00:00"/>
    <x v="11"/>
    <x v="84"/>
    <s v="HSM-NT48-HH465"/>
    <s v="EVO2A"/>
    <s v="±1200mm"/>
    <n v="465"/>
    <n v="4680"/>
    <n v="2.1762000000000001"/>
    <n v="130"/>
    <n v="5"/>
    <x v="12"/>
    <s v="COMPLETED"/>
    <s v="七月10日"/>
    <d v="2026-08-18T00:00:00"/>
    <n v="34"/>
    <s v="POPV260821053"/>
    <s v="POPV260821053"/>
    <s v="SHANGHAI"/>
    <x v="1"/>
    <x v="0"/>
    <d v="2026-08-14T00:00:00"/>
    <d v="2026-08-29T00:00:00"/>
    <d v="2026-08-29T11:36:00"/>
    <d v="2026-10-05T00:00:00"/>
    <d v="2026-10-23T07:15:00"/>
    <d v="2026-10-23T08:59:39"/>
    <m/>
    <s v="EVER GOLDEN 0765-033W"/>
    <s v="COSCO"/>
    <s v="TPVB20260731020"/>
    <x v="523"/>
    <s v="COSU6509176590"/>
    <n v="54.891423611115897"/>
    <m/>
    <d v="2026-10-23T08:59:39"/>
    <s v="In Transit-Approved"/>
    <d v="2026-10-27T00:00:00"/>
    <n v="8"/>
    <d v="2026-10-31T08:59:39"/>
    <n v="2026"/>
    <n v="10"/>
    <n v="44"/>
    <n v="36"/>
    <n v="936"/>
    <s v="Black glazing"/>
    <s v="AEM"/>
  </r>
  <r>
    <s v="26Jul001.01.03"/>
    <s v="Yixing"/>
    <s v="26Jul001"/>
    <s v="CORE DG"/>
    <x v="0"/>
    <s v="Arrival Plan-SPTN"/>
    <s v="CIF"/>
    <x v="0"/>
    <s v="U2"/>
    <x v="2"/>
    <m/>
    <m/>
    <s v="n/a"/>
    <d v="2026-07-06T00:00:00"/>
    <x v="6"/>
    <x v="21"/>
    <s v="SPR-P7-510-BLK-P"/>
    <s v="EVO2A"/>
    <s v="±1350mm"/>
    <n v="510"/>
    <n v="792"/>
    <n v="0.40392"/>
    <n v="22"/>
    <n v="1"/>
    <x v="11"/>
    <s v="COMPLETED"/>
    <s v="七月10日"/>
    <d v="2026-08-18T00:00:00"/>
    <n v="34"/>
    <s v="POPV260821037"/>
    <s v="POPV260821037"/>
    <s v="SHANGHAI"/>
    <x v="1"/>
    <x v="0"/>
    <d v="2026-08-14T00:00:00"/>
    <d v="2026-08-29T00:00:00"/>
    <d v="2026-08-29T11:36:00"/>
    <d v="2026-10-05T00:00:00"/>
    <d v="2026-10-23T07:15:00"/>
    <d v="2026-10-23T08:59:39"/>
    <m/>
    <s v="EVER GOLDEN 0765-033W"/>
    <s v="COSCO"/>
    <s v="TPVB20260731020"/>
    <x v="523"/>
    <s v="COSU6509176590"/>
    <n v="54.891423611115897"/>
    <m/>
    <d v="2026-10-23T08:59:39"/>
    <s v="In Transit-Approved"/>
    <d v="2026-10-27T00:00:00"/>
    <n v="8"/>
    <d v="2026-10-31T08:59:39"/>
    <n v="2026"/>
    <n v="10"/>
    <n v="44"/>
    <n v="36"/>
    <n v="792"/>
    <s v="Black glazing"/>
    <s v="AEM"/>
  </r>
  <r>
    <s v="26Jul016.09.01"/>
    <s v="Yixing"/>
    <s v="26Jul016"/>
    <s v="CORE DG"/>
    <x v="0"/>
    <s v="Arrival Plan-SPTN"/>
    <s v="CIF"/>
    <x v="0"/>
    <s v="U1"/>
    <x v="2"/>
    <m/>
    <m/>
    <s v="n/a"/>
    <d v="2026-08-03T00:00:00"/>
    <x v="11"/>
    <x v="89"/>
    <s v="HSM-NT48-JH475 CFP"/>
    <s v="EVO2A"/>
    <s v="±1200mm"/>
    <n v="475"/>
    <n v="936"/>
    <n v="0.4446"/>
    <n v="26"/>
    <n v="1"/>
    <x v="13"/>
    <s v="COMPLETED"/>
    <m/>
    <d v="2026-08-18T00:00:00"/>
    <n v="34"/>
    <s v="POPV260821047"/>
    <s v="POPV260821047"/>
    <s v="SHANGHAI"/>
    <x v="1"/>
    <x v="0"/>
    <d v="2026-08-14T00:00:00"/>
    <d v="2026-08-29T00:00:00"/>
    <d v="2026-08-29T11:36:00"/>
    <d v="2026-10-05T00:00:00"/>
    <d v="2026-10-23T07:15:00"/>
    <d v="2026-10-23T08:59:39"/>
    <m/>
    <s v="EVER GOLDEN 0765-033W"/>
    <s v="COSCO"/>
    <s v="TPVB20260731020"/>
    <x v="523"/>
    <s v="COSU6509176590"/>
    <n v="54.891423611115897"/>
    <m/>
    <d v="2026-10-23T08:59:39"/>
    <s v="In Transit-Approved"/>
    <d v="2026-10-27T00:00:00"/>
    <n v="8"/>
    <d v="2026-10-31T08:59:39"/>
    <n v="2026"/>
    <n v="10"/>
    <n v="44"/>
    <n v="36"/>
    <n v="936"/>
    <s v="White glazing"/>
    <s v="AEM"/>
  </r>
  <r>
    <s v="26Jul001.01.04"/>
    <s v="Yixing"/>
    <s v="26Jul001"/>
    <s v="CORE DG"/>
    <x v="0"/>
    <s v="Arrival Plan-SPTN"/>
    <s v="CIF"/>
    <x v="0"/>
    <s v="U2"/>
    <x v="2"/>
    <m/>
    <m/>
    <s v="n/a"/>
    <d v="2026-07-06T00:00:00"/>
    <x v="6"/>
    <x v="21"/>
    <s v="SPR-P7-510-BLK-P"/>
    <s v="EVO2A"/>
    <s v="±1350mm"/>
    <n v="510"/>
    <n v="1584"/>
    <n v="0.80784"/>
    <n v="44"/>
    <n v="2"/>
    <x v="11"/>
    <s v="COMPLETED"/>
    <m/>
    <d v="2026-07-27T00:00:00"/>
    <n v="31"/>
    <s v="POPV260806046"/>
    <m/>
    <s v="SHANGHAI"/>
    <x v="1"/>
    <x v="0"/>
    <d v="2026-08-04T00:00:00"/>
    <d v="2026-08-07T18:30:00"/>
    <d v="2026-08-07T19:29:37"/>
    <d v="2026-09-16T00:00:00"/>
    <d v="2026-09-18T10:00:00"/>
    <d v="2026-09-18T10:29:37"/>
    <m/>
    <s v="CMA CGM GEORG FORSTER 0MEOFW1MA"/>
    <s v="COSCO"/>
    <s v="TPVB20260731021"/>
    <x v="524"/>
    <s v="COSU6508944020"/>
    <n v="41.625"/>
    <m/>
    <d v="2026-09-18T10:29:37"/>
    <s v="In Transit-Approved"/>
    <d v="2026-09-24T00:00:00"/>
    <n v="8"/>
    <d v="2026-09-26T10:29:37"/>
    <n v="2026"/>
    <n v="9"/>
    <n v="39"/>
    <n v="36"/>
    <n v="792"/>
    <s v="Black glazing"/>
    <s v="AEM"/>
  </r>
  <r>
    <s v="26Jul013.02"/>
    <s v="Yixing"/>
    <s v="26Jul013"/>
    <s v="CORE DG"/>
    <x v="0"/>
    <s v="Arrival Plan-SPES"/>
    <s v="CIF"/>
    <x v="1"/>
    <s v="U1"/>
    <x v="2"/>
    <m/>
    <m/>
    <s v="n/a"/>
    <d v="2026-06-29T00:00:00"/>
    <x v="10"/>
    <x v="81"/>
    <s v="HSM-NT60-GH580"/>
    <s v="EVO2A"/>
    <s v="±1400mm"/>
    <n v="580"/>
    <n v="1440"/>
    <n v="0.83520000000000005"/>
    <n v="40"/>
    <n v="2"/>
    <x v="12"/>
    <s v="COMPLETED"/>
    <s v="W31"/>
    <d v="2026-08-03T00:00:00"/>
    <n v="32"/>
    <s v="POPV260807042"/>
    <m/>
    <s v="SHANGHAI"/>
    <x v="1"/>
    <x v="2"/>
    <d v="2026-08-07T00:00:00"/>
    <d v="2026-08-07T18:30:00"/>
    <d v="2026-08-07T19:29:37"/>
    <d v="2026-09-17T00:00:00"/>
    <d v="2026-10-11T00:00:00"/>
    <d v="2026-10-09T17:51:30"/>
    <m/>
    <s v="COSCO NETHERLANDS 077W"/>
    <s v="COSCO"/>
    <s v="TPVB20260731022"/>
    <x v="525"/>
    <s v="COSU6508516880"/>
    <n v="62.931863425925258"/>
    <m/>
    <d v="2026-10-09T17:51:30"/>
    <s v="In Transit-Approved"/>
    <d v="2026-10-08T00:00:00"/>
    <n v="9"/>
    <d v="2026-10-18T17:51:30"/>
    <n v="2026"/>
    <n v="10"/>
    <n v="42"/>
    <n v="36"/>
    <n v="720"/>
    <s v="Transparent"/>
    <s v="AEM"/>
  </r>
  <r>
    <s v="26Jun033.02.01"/>
    <s v="Yixing"/>
    <s v="26Jun033"/>
    <s v="CORE DG"/>
    <x v="0"/>
    <s v="Arrival Plan-SPNL"/>
    <s v="CIF"/>
    <x v="0"/>
    <s v="U1"/>
    <x v="2"/>
    <m/>
    <m/>
    <s v="n/a"/>
    <d v="2026-07-06T00:00:00"/>
    <x v="0"/>
    <x v="90"/>
    <s v="HSM-ND66-GK725"/>
    <s v="EVO2A"/>
    <s v="±1400mm"/>
    <n v="725"/>
    <n v="1188"/>
    <n v="0.86129999999999995"/>
    <n v="36"/>
    <n v="2"/>
    <x v="15"/>
    <s v="COMPLETED"/>
    <s v="七月28日"/>
    <d v="2026-08-01T00:00:00"/>
    <n v="31"/>
    <s v="POPV260807022"/>
    <m/>
    <s v="SHANGHAI"/>
    <x v="1"/>
    <x v="1"/>
    <d v="2026-08-08T00:00:00"/>
    <d v="2026-08-15T00:00:00"/>
    <d v="2026-08-15T00:00:00"/>
    <d v="2026-09-19T00:00:00"/>
    <d v="2026-09-28T00:00:00"/>
    <d v="2026-09-28T00:00:00"/>
    <m/>
    <s v="ONE INFINITY/010W"/>
    <s v="OTHER"/>
    <s v="TPVB20260731026"/>
    <x v="526"/>
    <s v="N237106207"/>
    <n v="44"/>
    <m/>
    <d v="2026-09-28T00:00:00"/>
    <s v="In Transit-Approved"/>
    <d v="2026-09-25T00:00:00"/>
    <n v="7"/>
    <d v="2026-10-05T00:00:00"/>
    <n v="2026"/>
    <n v="10"/>
    <n v="41"/>
    <n v="33"/>
    <n v="594"/>
    <s v="Transparent"/>
    <s v="AEU"/>
  </r>
  <r>
    <s v="26Jun034.01"/>
    <s v="Yixing"/>
    <s v="26Jun034"/>
    <s v="CORE DG"/>
    <x v="0"/>
    <s v="Arrival Plan-SPNL"/>
    <s v="CIF"/>
    <x v="0"/>
    <s v="U1"/>
    <x v="2"/>
    <m/>
    <m/>
    <s v="n/a"/>
    <d v="2026-07-06T00:00:00"/>
    <x v="0"/>
    <x v="64"/>
    <s v="HSM-ND66-GK730"/>
    <s v="EVO2A"/>
    <s v="±1400mm"/>
    <n v="730"/>
    <n v="1782"/>
    <n v="1.3008599999999999"/>
    <n v="54"/>
    <n v="3"/>
    <x v="14"/>
    <s v="COMPLETED"/>
    <m/>
    <d v="2026-08-01T00:00:00"/>
    <n v="31"/>
    <s v="POPV260807017"/>
    <m/>
    <s v="SHANGHAI"/>
    <x v="1"/>
    <x v="1"/>
    <d v="2026-08-08T00:00:00"/>
    <d v="2026-08-15T00:00:00"/>
    <d v="2026-08-15T00:00:00"/>
    <d v="2026-09-19T00:00:00"/>
    <d v="2026-09-28T00:00:00"/>
    <d v="2026-09-28T00:00:00"/>
    <m/>
    <s v="ONE INFINITY/010W"/>
    <s v="OTHER"/>
    <s v="TPVB20260731026"/>
    <x v="526"/>
    <s v="N237106207"/>
    <n v="44"/>
    <m/>
    <d v="2026-09-28T00:00:00"/>
    <s v="In Transit-Approved"/>
    <d v="2026-09-25T00:00:00"/>
    <n v="7"/>
    <d v="2026-10-05T00:00:00"/>
    <n v="2026"/>
    <n v="10"/>
    <n v="41"/>
    <n v="33"/>
    <n v="594"/>
    <s v="Transparent"/>
    <s v="AEU"/>
  </r>
  <r>
    <s v="26Jul004.04"/>
    <s v="Yixing"/>
    <s v="26Jul004"/>
    <s v="CORE DG"/>
    <x v="0"/>
    <s v="Arrival Plan-SPNL"/>
    <s v="CIF"/>
    <x v="0"/>
    <s v="U2"/>
    <x v="2"/>
    <m/>
    <m/>
    <s v="n/a"/>
    <d v="2026-07-20T00:00:00"/>
    <x v="1"/>
    <x v="39"/>
    <s v="TCL-MR470DT182-58NS"/>
    <s v="EVO2A"/>
    <s v="±1200mm"/>
    <n v="470"/>
    <n v="2592"/>
    <n v="1.21824"/>
    <n v="72"/>
    <n v="3"/>
    <x v="16"/>
    <s v="COMPLETED"/>
    <m/>
    <d v="2026-07-31T00:00:00"/>
    <n v="31"/>
    <s v="POPV260806033"/>
    <m/>
    <s v="SHANGHAI"/>
    <x v="1"/>
    <x v="1"/>
    <d v="2026-08-08T00:00:00"/>
    <d v="2026-08-15T00:00:00"/>
    <d v="2026-08-15T00:00:00"/>
    <d v="2026-09-19T00:00:00"/>
    <d v="2026-09-28T00:00:00"/>
    <d v="2026-09-28T00:00:00"/>
    <m/>
    <s v="ONE INFINITY/010W"/>
    <s v="OTHER"/>
    <s v="TPVB20260731026"/>
    <x v="526"/>
    <s v="N237106207"/>
    <n v="44"/>
    <m/>
    <d v="2026-09-28T00:00:00"/>
    <s v="In Transit-Approved"/>
    <d v="2026-09-25T00:00:00"/>
    <n v="7"/>
    <d v="2026-10-05T00:00:00"/>
    <n v="2026"/>
    <n v="10"/>
    <n v="41"/>
    <n v="36"/>
    <n v="864"/>
    <s v="White glazing"/>
    <s v="AEU"/>
  </r>
  <r>
    <s v="26Jun012.11"/>
    <s v="Quzhou"/>
    <s v="26Jun012"/>
    <s v="CORE DG"/>
    <x v="0"/>
    <s v="Arrival Plan-SPNL"/>
    <s v="CIF"/>
    <x v="0"/>
    <s v="U4"/>
    <x v="2"/>
    <m/>
    <m/>
    <s v="n/a"/>
    <d v="2026-06-22T00:00:00"/>
    <x v="0"/>
    <x v="43"/>
    <s v="HSM-ND54-DR505"/>
    <s v="EVO2A"/>
    <s v="±1200mm"/>
    <n v="505"/>
    <n v="4320"/>
    <n v="2.1816"/>
    <n v="120"/>
    <n v="5"/>
    <x v="10"/>
    <s v="COMPLETED"/>
    <s v="W31"/>
    <d v="2026-07-30T00:00:00"/>
    <n v="31"/>
    <s v="POPV260806024"/>
    <m/>
    <s v="NINGBO"/>
    <x v="3"/>
    <x v="1"/>
    <d v="2026-08-04T00:00:00"/>
    <d v="2026-08-12T09:00:00"/>
    <d v="2026-08-12T10:09:33"/>
    <d v="2026-09-09T00:00:00"/>
    <d v="2026-09-14T23:00:00"/>
    <d v="2026-09-14T23:00:00"/>
    <m/>
    <s v="COSCO SHIPPING VIRGO 036W"/>
    <s v="COSCO"/>
    <s v="TPVB20260731002"/>
    <x v="527"/>
    <s v="COSU9508541790"/>
    <n v="33.535034722226555"/>
    <m/>
    <d v="2026-09-14T23:00:00"/>
    <s v="In Transit-Approved"/>
    <d v="2026-09-28T00:00:00"/>
    <n v="7"/>
    <d v="2026-09-21T23:00:00"/>
    <n v="2026"/>
    <n v="9"/>
    <n v="39"/>
    <n v="36"/>
    <n v="864"/>
    <s v="Black glazing"/>
    <s v="AEU"/>
  </r>
  <r>
    <s v="26Jul008.04.01"/>
    <s v="Quzhou"/>
    <s v="26Jul008"/>
    <s v="CORE DG"/>
    <x v="0"/>
    <s v="Arrival Plan-SPTN"/>
    <s v="CIF"/>
    <x v="0"/>
    <s v="U2"/>
    <x v="2"/>
    <m/>
    <m/>
    <s v="n/a"/>
    <d v="2026-07-06T00:00:00"/>
    <x v="0"/>
    <x v="43"/>
    <s v="HSM-ND54-DR505"/>
    <s v="EVO2A"/>
    <s v="±1200mm"/>
    <n v="505"/>
    <n v="864"/>
    <n v="0.43631999999999999"/>
    <n v="24"/>
    <n v="1"/>
    <x v="12"/>
    <s v="COMPLETED"/>
    <m/>
    <d v="2026-07-31T00:00:00"/>
    <n v="31"/>
    <s v="POPV260806032"/>
    <m/>
    <s v="NINGBO"/>
    <x v="3"/>
    <x v="0"/>
    <d v="2026-08-04T00:00:00"/>
    <d v="2026-08-05T18:00:00"/>
    <d v="2026-08-05T00:00:00"/>
    <d v="2026-09-16T00:00:00"/>
    <d v="2026-09-18T10:00:00"/>
    <d v="2026-09-18T10:29:37"/>
    <m/>
    <s v="CMA CGM GEORG FORSTER "/>
    <s v="COSCO"/>
    <s v="TPVB20260731023"/>
    <x v="528"/>
    <s v="COSU6509574920"/>
    <n v="44.437233796299552"/>
    <m/>
    <d v="2026-09-18T10:29:37"/>
    <s v="In Transit-Approved"/>
    <d v="2026-09-30T00:00:00"/>
    <n v="8"/>
    <d v="2026-09-26T10:29:37"/>
    <n v="2026"/>
    <n v="9"/>
    <n v="39"/>
    <n v="36"/>
    <n v="864"/>
    <s v="Black glazing"/>
    <s v="AEM"/>
  </r>
  <r>
    <s v="26Jul014.02"/>
    <s v="Yixing"/>
    <s v="26Jul014"/>
    <s v="CORE DG"/>
    <x v="0"/>
    <s v="Arrival Plan-SPES"/>
    <s v="CIF"/>
    <x v="1"/>
    <s v="U1"/>
    <x v="2"/>
    <m/>
    <m/>
    <s v="n/a"/>
    <d v="2026-06-29T00:00:00"/>
    <x v="10"/>
    <x v="87"/>
    <s v="HSM-NT60-GH585"/>
    <s v="EVO2A"/>
    <s v="±1400mm"/>
    <n v="585"/>
    <n v="720"/>
    <n v="0.42120000000000002"/>
    <n v="20"/>
    <n v="1"/>
    <x v="12"/>
    <s v="COMPLETED"/>
    <s v="七月3日"/>
    <d v="2026-08-04T00:00:00"/>
    <n v="32"/>
    <s v="POPV260807043"/>
    <m/>
    <s v="NINGBO"/>
    <x v="3"/>
    <x v="2"/>
    <d v="2026-08-11T00:00:00"/>
    <d v="2026-08-07T13:00:00"/>
    <d v="2026-08-07T13:22:26"/>
    <d v="2026-09-17T00:00:00"/>
    <d v="2026-09-19T00:00:00"/>
    <d v="2026-09-19T01:15:56"/>
    <m/>
    <s v="COSCO NETHERLANDS 077W"/>
    <s v="COSCO"/>
    <s v="TPVB20260731001"/>
    <x v="529"/>
    <s v="COSU9508762540"/>
    <n v="42.495486111110949"/>
    <m/>
    <d v="2026-09-19T01:15:56"/>
    <s v="In Transit-Approved"/>
    <d v="2026-10-01T00:00:00"/>
    <n v="9"/>
    <d v="2026-09-28T01:15:56"/>
    <n v="2026"/>
    <n v="9"/>
    <n v="40"/>
    <n v="36"/>
    <n v="720"/>
    <s v="Transparent"/>
    <s v="AEM"/>
  </r>
  <r>
    <s v="26Jul006.01"/>
    <s v="Bengbu"/>
    <s v="26Jul006"/>
    <s v="CORE DG"/>
    <x v="1"/>
    <s v="SPTN Offstore in Transit WH"/>
    <s v="FOB"/>
    <x v="31"/>
    <s v="U4"/>
    <x v="166"/>
    <s v="FR0126072100016"/>
    <n v="1"/>
    <s v="Yes"/>
    <d v="2026-07-20T00:00:00"/>
    <x v="0"/>
    <x v="35"/>
    <s v="HSM-ND48-DR455"/>
    <s v="EVO2A"/>
    <s v="±1200mm"/>
    <n v="455"/>
    <n v="936"/>
    <n v="0.42587999999999998"/>
    <n v="26"/>
    <n v="1"/>
    <x v="14"/>
    <s v="COMPLETED"/>
    <m/>
    <d v="2026-08-04T00:00:00"/>
    <n v="32"/>
    <s v="POPV260807044"/>
    <m/>
    <s v="NINGBO"/>
    <x v="3"/>
    <x v="20"/>
    <d v="2026-08-10T00:00:00"/>
    <m/>
    <d v="2026-08-12T00:00:00"/>
    <d v="2026-09-14T00:00:00"/>
    <d v="2026-09-14T00:00:00"/>
    <d v="2026-09-17T00:00:00"/>
    <m/>
    <s v="CMA CGM PETRA/0K13NW"/>
    <s v="OTHER"/>
    <s v="TPVB20260731010"/>
    <x v="530"/>
    <s v="CN107433226"/>
    <n v="36"/>
    <m/>
    <d v="2026-09-17T00:00:00"/>
    <s v="In Stock-Approved"/>
    <d v="2026-09-14T00:00:00"/>
    <n v="0"/>
    <d v="2026-09-17T00:00:00"/>
    <n v="2026"/>
    <n v="9"/>
    <n v="38"/>
    <n v="36"/>
    <n v="936"/>
    <s v="Black glazing"/>
    <s v="n/a"/>
  </r>
  <r>
    <s v="26Jun010.02"/>
    <s v="Tianjin"/>
    <s v="26Jun010"/>
    <s v="CORE DG"/>
    <x v="1"/>
    <s v="SPTN Offstore in Transit WH"/>
    <s v="CIF"/>
    <x v="32"/>
    <s v="U1"/>
    <x v="167"/>
    <s v="CY0126071000001"/>
    <n v="2"/>
    <s v="Yes"/>
    <d v="2026-06-15T00:00:00"/>
    <x v="0"/>
    <x v="35"/>
    <s v="HSM-ND48-DR455"/>
    <s v="EVO2A"/>
    <s v="±1200mm"/>
    <n v="455"/>
    <n v="1872"/>
    <n v="0.85175999999999996"/>
    <n v="52"/>
    <n v="2"/>
    <x v="12"/>
    <s v="IN-TRANSIT"/>
    <s v="六月3日"/>
    <d v="2026-07-29T00:00:00"/>
    <n v="31"/>
    <s v="POPV260730010"/>
    <m/>
    <s v="TIANJIN"/>
    <x v="0"/>
    <x v="21"/>
    <d v="2026-08-06T00:00:00"/>
    <m/>
    <d v="2026-08-09T00:00:00"/>
    <d v="2026-10-12T00:00:00"/>
    <d v="2026-11-06T00:00:00"/>
    <m/>
    <m/>
    <s v="MSC LONDON V.GT631W"/>
    <s v="OTHER"/>
    <s v="TPVB20260731004"/>
    <x v="531"/>
    <s v="M235130273"/>
    <n v="89"/>
    <m/>
    <d v="2026-11-06T00:00:00"/>
    <s v="In Stock-Approved"/>
    <d v="2026-10-12T00:00:00"/>
    <n v="0"/>
    <d v="2026-11-06T00:00:00"/>
    <n v="2026"/>
    <n v="11"/>
    <n v="45"/>
    <n v="36"/>
    <n v="936"/>
    <s v="Black glazing"/>
    <s v="n/a"/>
  </r>
  <r>
    <s v="26May008.05"/>
    <s v="Tianjin"/>
    <s v="26May008"/>
    <s v="CORE DG"/>
    <x v="1"/>
    <s v="SPTN Offstore in Transit WH"/>
    <s v="CIF"/>
    <x v="15"/>
    <s v="U4"/>
    <x v="168"/>
    <s v="BE0126031900007"/>
    <n v="5"/>
    <s v="Yes"/>
    <d v="2026-03-30T00:00:00"/>
    <x v="0"/>
    <x v="35"/>
    <s v="HSM-ND48-DR455"/>
    <s v="EVO2A"/>
    <s v="±1200mm"/>
    <n v="455"/>
    <n v="1872"/>
    <n v="0.85175999999999996"/>
    <n v="52"/>
    <n v="2"/>
    <x v="12"/>
    <s v="COMPLETED"/>
    <m/>
    <d v="2026-07-29T00:00:00"/>
    <n v="31"/>
    <s v="POPV260730009"/>
    <m/>
    <s v="TIANJIN"/>
    <x v="0"/>
    <x v="12"/>
    <d v="2026-08-05T00:00:00"/>
    <d v="2026-08-06T00:00:00"/>
    <d v="2026-08-06T00:00:00"/>
    <d v="2026-09-29T00:00:00"/>
    <d v="2026-10-22T00:00:00"/>
    <d v="2026-10-23T00:00:00"/>
    <s v="CIF"/>
    <s v="MSC LORETO / QS632A"/>
    <s v="OTHER"/>
    <s v="TPVB20260731003"/>
    <x v="532"/>
    <s v="177KVBXYXVNN3251"/>
    <n v="78"/>
    <m/>
    <d v="2026-10-23T00:00:00"/>
    <s v="In Stock-Approved"/>
    <d v="2026-09-29T00:00:00"/>
    <n v="0"/>
    <d v="2026-10-23T00:00:00"/>
    <n v="2026"/>
    <n v="10"/>
    <n v="43"/>
    <n v="36"/>
    <n v="936"/>
    <s v="Black glazing"/>
    <s v="AEU"/>
  </r>
  <r>
    <s v="26May007.12.01"/>
    <s v="Tianjin"/>
    <s v="26May007"/>
    <s v="CORE DG"/>
    <x v="0"/>
    <s v="Arrival Plan-SPUK"/>
    <s v="CIF"/>
    <x v="6"/>
    <s v="U1"/>
    <x v="2"/>
    <m/>
    <m/>
    <s v="n/a"/>
    <d v="2025-06-01T00:00:00"/>
    <x v="0"/>
    <x v="7"/>
    <s v="HSM-ND48-DR450"/>
    <s v="EVO2A"/>
    <s v="±1200mm"/>
    <n v="450"/>
    <n v="936"/>
    <n v="0.42120000000000002"/>
    <n v="26"/>
    <n v="1"/>
    <x v="8"/>
    <s v="COMPLETED"/>
    <s v="W29+W30 slot"/>
    <d v="2026-07-28T00:00:00"/>
    <n v="31"/>
    <s v="POPV260806026"/>
    <m/>
    <s v="TIANJIN"/>
    <x v="0"/>
    <x v="6"/>
    <d v="2026-08-02T00:00:00"/>
    <m/>
    <d v="2026-08-02T04:05:37"/>
    <d v="2026-09-20T00:00:00"/>
    <d v="2026-10-04T04:00:00"/>
    <d v="2026-10-04T00:00:00"/>
    <s v="CIF"/>
    <s v="COSCO SHIPPING GALAXY 030W"/>
    <s v="COSCO"/>
    <s v="TPVB20260731006"/>
    <x v="533"/>
    <s v="COSU6508495770"/>
    <n v="62.82943287037051"/>
    <m/>
    <d v="2026-10-04T00:00:00"/>
    <s v="In Transit-Approved"/>
    <d v="2026-10-13T00:00:00"/>
    <n v="7"/>
    <d v="2026-10-11T00:00:00"/>
    <n v="2026"/>
    <n v="10"/>
    <n v="41"/>
    <n v="36"/>
    <n v="936"/>
    <s v="Black glazing"/>
    <s v="AEU"/>
  </r>
  <r>
    <s v="26May010.10"/>
    <s v="Tianjin"/>
    <s v="26May010"/>
    <s v="CORE DG"/>
    <x v="0"/>
    <s v="Arrival Plan-SPUK"/>
    <s v="CIF"/>
    <x v="6"/>
    <s v="U1"/>
    <x v="2"/>
    <m/>
    <m/>
    <s v="n/a"/>
    <d v="2025-06-01T00:00:00"/>
    <x v="0"/>
    <x v="43"/>
    <s v="HSM-ND54-DR505"/>
    <s v="EVO2A"/>
    <s v="±1200mm"/>
    <n v="505"/>
    <n v="864"/>
    <n v="0.43631999999999999"/>
    <n v="24"/>
    <n v="1"/>
    <x v="12"/>
    <s v="COMPLETED"/>
    <m/>
    <d v="2026-07-28T00:00:00"/>
    <n v="31"/>
    <s v="POPV260806023"/>
    <m/>
    <s v="TIANJIN"/>
    <x v="0"/>
    <x v="6"/>
    <d v="2026-08-03T00:00:00"/>
    <d v="2026-08-02T03:30:00"/>
    <d v="2026-08-02T04:05:37"/>
    <d v="2026-09-27T00:00:00"/>
    <d v="2026-10-04T04:00:00"/>
    <d v="2026-10-04T00:00:00"/>
    <s v="CIF"/>
    <s v="COSCO SHIPPING GALAXY 030W"/>
    <s v="COSCO"/>
    <s v="TPVB20260731007"/>
    <x v="534"/>
    <s v="COSU6508664430"/>
    <n v="62.82943287037051"/>
    <m/>
    <d v="2026-10-04T00:00:00"/>
    <s v="In Transit-Approved"/>
    <d v="2026-10-13T00:00:00"/>
    <n v="7"/>
    <d v="2026-10-11T00:00:00"/>
    <n v="2026"/>
    <n v="10"/>
    <n v="41"/>
    <n v="36"/>
    <n v="864"/>
    <s v="Black glazing"/>
    <s v="AEU"/>
  </r>
  <r>
    <s v="26Jun009.02.02"/>
    <s v="Tianjin"/>
    <s v="26Jun009"/>
    <s v="CORE DG"/>
    <x v="0"/>
    <s v="Arrival Plan-SPNL"/>
    <s v="CIF"/>
    <x v="0"/>
    <s v="U1"/>
    <x v="2"/>
    <m/>
    <m/>
    <s v="n/a"/>
    <d v="2026-06-15T00:00:00"/>
    <x v="0"/>
    <x v="7"/>
    <s v="HSM-ND48-DR450"/>
    <s v="EVO2A"/>
    <s v="±1200mm"/>
    <n v="450"/>
    <n v="5616"/>
    <n v="2.5272000000000001"/>
    <n v="156"/>
    <n v="6"/>
    <x v="8"/>
    <s v="COMPLETED"/>
    <m/>
    <d v="2026-07-25T00:00:00"/>
    <n v="30"/>
    <s v="POPV260729066"/>
    <m/>
    <s v="TIANJIN"/>
    <x v="0"/>
    <x v="1"/>
    <d v="2026-08-08T00:00:00"/>
    <d v="2026-08-08T00:00:00"/>
    <d v="2026-08-08T00:00:00"/>
    <d v="2026-09-19T00:00:00"/>
    <d v="2026-10-13T00:00:00"/>
    <d v="2026-10-13T00:00:00"/>
    <s v="CIF"/>
    <s v="ONE INFINITY 010W"/>
    <s v="OTHER"/>
    <s v="TPVB20260731005"/>
    <x v="296"/>
    <s v="TS6NC4254400"/>
    <n v="66"/>
    <m/>
    <d v="2026-10-13T00:00:00"/>
    <s v="In Transit-Approved"/>
    <d v="2026-09-28T00:00:00"/>
    <n v="7"/>
    <d v="2026-10-20T00:00:00"/>
    <n v="2026"/>
    <n v="10"/>
    <n v="43"/>
    <n v="36"/>
    <n v="936"/>
    <s v="Black glazing"/>
    <s v="AEU"/>
  </r>
  <r>
    <s v="26Jul011.08"/>
    <s v="Tianjin"/>
    <s v="26Jul011"/>
    <s v="CORE DG"/>
    <x v="0"/>
    <s v="Arrival Plan-SPNL"/>
    <s v="CIF"/>
    <x v="0"/>
    <s v="U2"/>
    <x v="2"/>
    <m/>
    <m/>
    <s v="n/a"/>
    <d v="2026-07-06T00:00:00"/>
    <x v="3"/>
    <x v="88"/>
    <s v="HSM-BD66-GR650"/>
    <s v="H4(Com)"/>
    <s v="±1400mm"/>
    <n v="650"/>
    <n v="3600"/>
    <n v="2.34"/>
    <n v="100"/>
    <n v="5"/>
    <x v="12"/>
    <s v="COMPLETED"/>
    <m/>
    <d v="2026-07-25T00:00:00"/>
    <n v="30"/>
    <s v="POPV260729065"/>
    <m/>
    <s v="TIANJIN"/>
    <x v="0"/>
    <x v="1"/>
    <d v="2026-08-08T00:00:00"/>
    <d v="2026-08-08T00:00:00"/>
    <d v="2026-08-08T00:00:00"/>
    <d v="2026-09-19T00:00:00"/>
    <d v="2026-10-13T00:00:00"/>
    <d v="2026-10-13T00:00:00"/>
    <s v="CIF"/>
    <s v="ONE INFINITY 010W"/>
    <s v="OTHER"/>
    <s v="TPVB20260731005"/>
    <x v="296"/>
    <s v="TS6NC4254400"/>
    <n v="66"/>
    <m/>
    <d v="2026-10-13T00:00:00"/>
    <s v="In Transit-Approved"/>
    <d v="2026-09-28T00:00:00"/>
    <n v="7"/>
    <d v="2026-10-20T00:00:00"/>
    <n v="2026"/>
    <n v="10"/>
    <n v="43"/>
    <n v="36"/>
    <n v="720"/>
    <s v="White glazing"/>
    <s v="AEU"/>
  </r>
  <r>
    <s v="26May007.10"/>
    <s v="Tianjin"/>
    <s v="26May007"/>
    <s v="CORE DG"/>
    <x v="0"/>
    <s v="Arrival Plan-SPNL"/>
    <s v="CIF"/>
    <x v="0"/>
    <s v="U1"/>
    <x v="164"/>
    <m/>
    <m/>
    <s v="n/a"/>
    <d v="2026-03-30T00:00:00"/>
    <x v="0"/>
    <x v="7"/>
    <s v="HSM-ND48-DR450"/>
    <s v="EVO2A"/>
    <s v="±1200mm"/>
    <n v="450"/>
    <n v="1872"/>
    <n v="0.84240000000000004"/>
    <n v="52"/>
    <n v="2"/>
    <x v="10"/>
    <s v="COMPLETED"/>
    <s v="六月11日"/>
    <d v="2026-07-26T00:00:00"/>
    <n v="30"/>
    <s v="POPV260806025"/>
    <m/>
    <s v="TIANJIN"/>
    <x v="0"/>
    <x v="1"/>
    <d v="2026-08-01T00:00:00"/>
    <d v="2026-08-02T00:00:00"/>
    <d v="2026-08-02T04:05:37"/>
    <d v="2026-09-16T00:00:00"/>
    <d v="2026-09-19T21:00:00"/>
    <d v="2026-09-20T03:14:20"/>
    <s v="CIF"/>
    <s v="COSCO SHIPPING GALAXY 030W"/>
    <s v="COSCO"/>
    <s v="TPVB20260730015"/>
    <x v="535"/>
    <s v="COSU9508614640"/>
    <n v="48.964386574072705"/>
    <m/>
    <d v="2026-09-20T03:14:20"/>
    <s v="In Transit-Approved"/>
    <d v="2026-10-05T00:00:00"/>
    <n v="7"/>
    <d v="2026-09-27T03:14:20"/>
    <n v="2026"/>
    <n v="9"/>
    <n v="39"/>
    <n v="36"/>
    <n v="936"/>
    <s v="Black glazing"/>
    <s v="AEU"/>
  </r>
  <r>
    <s v="26Jul011.02"/>
    <s v="Tianjin"/>
    <s v="26Jul011"/>
    <s v="CORE DG"/>
    <x v="0"/>
    <s v="Arrival Plan-SPNL"/>
    <s v="CIF"/>
    <x v="0"/>
    <s v="U3"/>
    <x v="2"/>
    <m/>
    <m/>
    <s v="n/a"/>
    <d v="2026-07-06T00:00:00"/>
    <x v="3"/>
    <x v="88"/>
    <s v="HSM-BD66-GR650"/>
    <s v="H4(Com)"/>
    <s v="±1400mm"/>
    <n v="650"/>
    <n v="4320"/>
    <n v="2.8079999999999998"/>
    <n v="120"/>
    <n v="6"/>
    <x v="11"/>
    <s v="COMPLETED"/>
    <m/>
    <d v="2026-07-26T00:00:00"/>
    <n v="30"/>
    <s v="POPV260806047"/>
    <m/>
    <s v="TIANJIN"/>
    <x v="0"/>
    <x v="1"/>
    <d v="2026-08-01T00:00:00"/>
    <d v="2026-08-02T00:00:00"/>
    <d v="2026-08-02T04:05:37"/>
    <d v="2026-09-16T00:00:00"/>
    <d v="2026-09-19T21:00:00"/>
    <d v="2026-09-20T03:14:20"/>
    <s v="CIF"/>
    <s v="COSCO SHIPPING GALAXY 030W"/>
    <s v="COSCO"/>
    <s v="TPVB20260730015"/>
    <x v="535"/>
    <s v="COSU9508614640"/>
    <n v="48.964386574072705"/>
    <m/>
    <d v="2026-09-20T03:14:20"/>
    <s v="In Transit-Approved"/>
    <d v="2026-10-05T00:00:00"/>
    <n v="7"/>
    <d v="2026-09-27T03:14:20"/>
    <n v="2026"/>
    <n v="9"/>
    <n v="39"/>
    <n v="36"/>
    <n v="720"/>
    <s v="White glazing"/>
    <s v="AEU"/>
  </r>
  <r>
    <s v="26Jun014.02.01"/>
    <s v="Tianjin"/>
    <s v="26Jun014"/>
    <s v="CORE DG"/>
    <x v="0"/>
    <s v="Arrival Plan-SPTN"/>
    <s v="CIF"/>
    <x v="0"/>
    <s v="U2"/>
    <x v="2"/>
    <m/>
    <m/>
    <s v="n/a"/>
    <d v="2026-07-06T00:00:00"/>
    <x v="0"/>
    <x v="26"/>
    <s v="HSM-ND54-DR505 CFP"/>
    <s v="EVO2A"/>
    <s v="±1200mm"/>
    <n v="505"/>
    <n v="864"/>
    <n v="0.43631999999999999"/>
    <n v="24"/>
    <n v="1"/>
    <x v="12"/>
    <s v="COMPLETED"/>
    <m/>
    <d v="2026-07-26T00:00:00"/>
    <n v="30"/>
    <s v="POPV260806037"/>
    <m/>
    <s v="TIANJIN"/>
    <x v="0"/>
    <x v="0"/>
    <d v="2026-08-01T00:00:00"/>
    <d v="2026-08-02T00:00:00"/>
    <d v="2026-08-02T04:05:37"/>
    <d v="2026-10-15T00:00:00"/>
    <d v="2026-10-23T07:15:00"/>
    <d v="2026-10-23T08:59:39"/>
    <s v="CIF"/>
    <s v="COSCO SHIPPING GALAXY 030W"/>
    <s v="COSCO"/>
    <s v="TPVB20260730016"/>
    <x v="536"/>
    <s v="COSU9508583080"/>
    <n v="82.204189814816345"/>
    <m/>
    <d v="2026-10-23T08:59:39"/>
    <s v="In Transit-Approved"/>
    <d v="2026-10-29T00:00:00"/>
    <n v="8"/>
    <d v="2026-10-31T08:59:39"/>
    <n v="2026"/>
    <n v="10"/>
    <n v="44"/>
    <n v="36"/>
    <n v="864"/>
    <s v="Black glazing"/>
    <s v="AEM"/>
  </r>
  <r>
    <s v="26Jun014.02"/>
    <s v="Tianjin"/>
    <s v="26Jun014"/>
    <s v="CORE DG"/>
    <x v="0"/>
    <s v="Arrival Plan-SPTN"/>
    <s v="CIF"/>
    <x v="0"/>
    <s v="U2"/>
    <x v="2"/>
    <m/>
    <m/>
    <s v="n/a"/>
    <d v="2026-07-06T00:00:00"/>
    <x v="0"/>
    <x v="26"/>
    <s v="HSM-ND54-DR505 CFP"/>
    <s v="EVO2A"/>
    <s v="±1200mm"/>
    <n v="505"/>
    <n v="1728"/>
    <n v="0.87263999999999997"/>
    <n v="48"/>
    <n v="2"/>
    <x v="12"/>
    <s v="COMPLETED"/>
    <m/>
    <d v="2026-07-26T00:00:00"/>
    <n v="30"/>
    <s v="POPV260806043"/>
    <m/>
    <s v="TIANJIN"/>
    <x v="0"/>
    <x v="0"/>
    <d v="2026-08-01T00:00:00"/>
    <d v="2026-08-02T00:00:00"/>
    <d v="2026-08-02T04:05:37"/>
    <d v="2026-09-30T00:00:00"/>
    <d v="2026-10-01T22:00:00"/>
    <d v="2026-10-01T00:00:00"/>
    <s v="CIF"/>
    <s v="COSCO SHIPPING GALAXY 030W"/>
    <s v="COSCO"/>
    <s v="TPVB20260730017"/>
    <x v="537"/>
    <s v="COSU9508583110"/>
    <n v="59.82943287037051"/>
    <m/>
    <d v="2026-10-01T00:00:00"/>
    <s v="In Transit-Approved"/>
    <d v="2026-10-14T00:00:00"/>
    <n v="8"/>
    <d v="2026-10-09T00:00:00"/>
    <n v="2026"/>
    <n v="10"/>
    <n v="41"/>
    <n v="36"/>
    <n v="864"/>
    <s v="Black glazing"/>
    <s v="AEM"/>
  </r>
  <r>
    <s v="26Jul011.03"/>
    <s v="Tianjin"/>
    <s v="26Jul011"/>
    <s v="CORE DG"/>
    <x v="0"/>
    <s v="Arrival Plan-SPIT"/>
    <s v="CIF"/>
    <x v="4"/>
    <s v="U1"/>
    <x v="2"/>
    <m/>
    <m/>
    <s v="n/a"/>
    <d v="2026-06-29T00:00:00"/>
    <x v="3"/>
    <x v="88"/>
    <s v="HSM-BD66-GR650"/>
    <s v="H4(Com)"/>
    <s v="±1400mm"/>
    <n v="650"/>
    <n v="2160"/>
    <n v="1.4039999999999999"/>
    <n v="60"/>
    <n v="3"/>
    <x v="11"/>
    <s v="COMPLETED"/>
    <s v="七月3日,Italy importer label"/>
    <d v="2026-07-26T00:00:00"/>
    <n v="30"/>
    <s v="POPV260806048"/>
    <m/>
    <s v="TIANJIN"/>
    <x v="0"/>
    <x v="14"/>
    <d v="2026-08-01T00:00:00"/>
    <d v="2026-08-02T00:00:00"/>
    <d v="2026-08-02T04:05:37"/>
    <d v="2026-09-27T00:00:00"/>
    <d v="2026-10-27T16:00:00"/>
    <d v="2026-10-27T16:33:16"/>
    <s v="CIF"/>
    <s v="COSCO SHIPPING GALAXY 030W"/>
    <s v="COSCO"/>
    <s v="TPVB20260730018"/>
    <x v="538"/>
    <s v="COSU6508687400"/>
    <n v="86.519201388888177"/>
    <m/>
    <d v="2026-10-27T16:33:16"/>
    <s v="In Transit-Approved"/>
    <d v="2026-10-19T00:00:00"/>
    <n v="10"/>
    <d v="2026-11-06T16:33:16"/>
    <n v="2026"/>
    <n v="11"/>
    <n v="45"/>
    <n v="36"/>
    <n v="720"/>
    <s v="White glazing"/>
    <s v="AEM"/>
  </r>
  <r>
    <s v="26Jul011.07"/>
    <s v="Tianjin"/>
    <s v="26Jul011"/>
    <s v="CORE DG"/>
    <x v="0"/>
    <s v="Arrival Plan-SPIT"/>
    <s v="CIF"/>
    <x v="4"/>
    <s v="U1"/>
    <x v="2"/>
    <m/>
    <m/>
    <s v="n/a"/>
    <d v="2026-06-29T00:00:00"/>
    <x v="3"/>
    <x v="88"/>
    <s v="HSM-BD66-GR650"/>
    <s v="H4(Com)"/>
    <s v="±1400mm"/>
    <n v="650"/>
    <n v="720"/>
    <n v="0.46800000000000003"/>
    <n v="20"/>
    <n v="1"/>
    <x v="12"/>
    <s v="COMPLETED"/>
    <s v="七月3日,Italy importer label"/>
    <d v="2026-07-26T00:00:00"/>
    <n v="30"/>
    <s v="POPV260806049"/>
    <m/>
    <s v="TIANJIN"/>
    <x v="0"/>
    <x v="14"/>
    <d v="2026-08-01T00:00:00"/>
    <d v="2026-08-02T00:00:00"/>
    <d v="2026-08-02T04:05:37"/>
    <d v="2026-10-04T00:00:00"/>
    <d v="2026-10-18T21:00:00"/>
    <d v="2026-10-18T14:58:46"/>
    <s v="CIF"/>
    <s v="COSCO SHIPPING GALAXY 030W"/>
    <s v="COSCO"/>
    <s v="TPVB20260730019"/>
    <x v="539"/>
    <s v="COSU9508582980"/>
    <n v="77.453576388892543"/>
    <m/>
    <d v="2026-10-18T14:58:46"/>
    <s v="In Transit-Approved"/>
    <d v="2026-10-20T00:00:00"/>
    <n v="10"/>
    <d v="2026-10-28T14:58:46"/>
    <n v="2026"/>
    <n v="10"/>
    <n v="44"/>
    <n v="36"/>
    <n v="720"/>
    <s v="White glazing"/>
    <s v="AEM"/>
  </r>
  <r>
    <s v="26May012.19"/>
    <s v="Yixing"/>
    <s v="26May012"/>
    <s v="CORE DG"/>
    <x v="1"/>
    <s v="SPTN Offstore in Transit WH"/>
    <s v="CIF"/>
    <x v="32"/>
    <s v="U1"/>
    <x v="167"/>
    <s v="CY0126071000001"/>
    <n v="1"/>
    <s v="Yes"/>
    <d v="2026-05-25T00:00:00"/>
    <x v="0"/>
    <x v="75"/>
    <s v="HSM-ND66-GR630"/>
    <s v="H4(Com)"/>
    <s v="+400mm/-200mm"/>
    <n v="630"/>
    <n v="720"/>
    <n v="0.4536"/>
    <n v="20"/>
    <n v="1"/>
    <x v="12"/>
    <s v="COMPLETED"/>
    <s v="BW JUN"/>
    <d v="2026-08-13T00:00:00"/>
    <n v="33"/>
    <s v="POPV260814048"/>
    <m/>
    <s v="SHANGHAI"/>
    <x v="1"/>
    <x v="21"/>
    <d v="2026-08-14T00:00:00"/>
    <d v="2026-08-20T00:00:00"/>
    <d v="2026-08-17T00:00:00"/>
    <d v="2026-10-13T00:00:00"/>
    <d v="2026-10-20T00:00:00"/>
    <d v="2026-10-20T00:00:00"/>
    <m/>
    <s v="YM WILLPOWER 002W"/>
    <s v="OTHER"/>
    <s v="TPVB20260731015"/>
    <x v="540"/>
    <s v="177TLHLHS204857"/>
    <n v="64"/>
    <m/>
    <d v="2026-10-20T00:00:00"/>
    <s v="In Stock-Approved"/>
    <d v="2026-10-20T00:00:00"/>
    <n v="0"/>
    <d v="2026-10-20T00:00:00"/>
    <n v="2026"/>
    <n v="10"/>
    <n v="43"/>
    <n v="36"/>
    <n v="720"/>
    <s v="Transparent"/>
    <s v="n/a"/>
  </r>
  <r>
    <s v="26Jul007.07.01"/>
    <s v="Quzhou"/>
    <s v="26Jul007"/>
    <s v="CORE DG"/>
    <x v="1"/>
    <s v="SPTN Offstore in Transit WH"/>
    <s v="CIF"/>
    <x v="14"/>
    <s v="U4"/>
    <x v="169"/>
    <s v="PL0126080300008"/>
    <n v="1"/>
    <s v="Yes"/>
    <d v="2026-07-06T00:00:00"/>
    <x v="0"/>
    <x v="0"/>
    <s v="HSM-ND54-DR500"/>
    <s v="EVO2A"/>
    <s v="±1200mm"/>
    <n v="500"/>
    <n v="3456"/>
    <n v="1.728"/>
    <n v="96"/>
    <n v="4"/>
    <x v="14"/>
    <s v="COMPLETED"/>
    <m/>
    <d v="2026-08-11T00:00:00"/>
    <n v="33"/>
    <s v="POPV260814021"/>
    <m/>
    <s v="SHANGHAI / QUZHOU"/>
    <x v="1"/>
    <x v="9"/>
    <d v="2026-08-15T00:00:00"/>
    <m/>
    <d v="2026-08-17T03:03:50"/>
    <d v="2026-09-30T00:00:00"/>
    <d v="2026-10-06T05:30:00"/>
    <d v="2026-10-06T00:00:00"/>
    <m/>
    <s v="OOCL GERMANY 039W"/>
    <s v="COSCO"/>
    <s v="TPVB20260832020"/>
    <x v="541"/>
    <s v="COSU6509534810"/>
    <n v="49.872337962966412"/>
    <m/>
    <d v="2026-10-06T00:00:00"/>
    <s v="In Stock-Approved"/>
    <d v="2026-10-01T00:00:00"/>
    <n v="0"/>
    <d v="2026-10-06T00:00:00"/>
    <n v="2026"/>
    <n v="10"/>
    <n v="41"/>
    <n v="36"/>
    <n v="864"/>
    <s v="Black glazing"/>
    <s v="AEU"/>
  </r>
  <r>
    <s v="26Jul017.03.01"/>
    <s v="Quzhou"/>
    <s v="26Jul017"/>
    <s v="CORE DG"/>
    <x v="0"/>
    <s v="Arrival Plan-SPUK"/>
    <s v="CIF"/>
    <x v="6"/>
    <s v="U2"/>
    <x v="170"/>
    <m/>
    <m/>
    <s v="n/a"/>
    <d v="2026-07-27T00:00:00"/>
    <x v="3"/>
    <x v="91"/>
    <s v="HSM-BE54-DD485"/>
    <s v="EVO2A"/>
    <s v="±1200mm"/>
    <n v="485"/>
    <n v="936"/>
    <n v="0.45395999999999997"/>
    <n v="26"/>
    <n v="1"/>
    <x v="12"/>
    <s v="COMPLETED"/>
    <s v="ready"/>
    <d v="2026-08-09T00:00:00"/>
    <n v="32"/>
    <s v="POPV260814052"/>
    <m/>
    <s v="SHANGHAI/Quzhou"/>
    <x v="1"/>
    <x v="6"/>
    <d v="2026-08-15T00:00:00"/>
    <m/>
    <d v="2026-08-17T03:03:50"/>
    <d v="2026-09-20T00:00:00"/>
    <d v="2026-09-25T01:00:00"/>
    <d v="2026-09-25T02:06:26"/>
    <m/>
    <s v="OOCL GERMANY 039W"/>
    <s v="COSCO"/>
    <s v="TPVB20260832021"/>
    <x v="542"/>
    <s v="COSU6462068440"/>
    <n v="38.960138888891379"/>
    <m/>
    <d v="2026-09-25T02:06:26"/>
    <s v="In Transit-Approved"/>
    <d v="2026-10-08T00:00:00"/>
    <n v="7"/>
    <d v="2026-10-02T02:06:26"/>
    <n v="2026"/>
    <n v="10"/>
    <n v="40"/>
    <n v="36"/>
    <n v="936"/>
    <s v="Black glazing"/>
    <s v="AEU"/>
  </r>
  <r>
    <s v="26Jun015.02.02"/>
    <s v="Yixing"/>
    <s v="26Jun015"/>
    <s v="CORE DG"/>
    <x v="0"/>
    <s v="Arrival Plan-SPNL"/>
    <s v="CIF"/>
    <x v="0"/>
    <s v="U4"/>
    <x v="2"/>
    <m/>
    <m/>
    <s v="n/a"/>
    <d v="2026-06-29T00:00:00"/>
    <x v="11"/>
    <x v="84"/>
    <s v="HSM-NT48-HH465"/>
    <s v="EVO2A"/>
    <s v="±1200mm"/>
    <n v="465"/>
    <n v="1872"/>
    <n v="0.87048000000000003"/>
    <n v="52"/>
    <n v="2"/>
    <x v="14"/>
    <s v="COMPLETED"/>
    <s v="七月10日"/>
    <d v="2026-08-05T00:00:00"/>
    <n v="32"/>
    <s v="POPV260807033"/>
    <m/>
    <s v="SHANGHAI"/>
    <x v="1"/>
    <x v="1"/>
    <d v="2026-08-11T00:00:00"/>
    <m/>
    <d v="2026-08-14T00:00:00"/>
    <d v="2026-09-16T00:00:00"/>
    <d v="2026-09-19T21:00:00"/>
    <d v="2026-09-20T03:14:20"/>
    <m/>
    <s v="COSCO SHIPPING GALAXY 030W"/>
    <s v="COSCO"/>
    <s v="TPVB20260832022"/>
    <x v="543"/>
    <s v="COSU6462001750"/>
    <n v="37.134953703702195"/>
    <m/>
    <d v="2026-09-20T03:14:20"/>
    <s v="In Transit-Approved"/>
    <d v="2026-10-05T00:00:00"/>
    <n v="7"/>
    <d v="2026-09-27T03:14:20"/>
    <n v="2026"/>
    <n v="9"/>
    <n v="39"/>
    <n v="36"/>
    <n v="936"/>
    <s v="Black glazing"/>
    <s v="AEU"/>
  </r>
  <r>
    <s v="26Jul002.06"/>
    <s v="Yixing"/>
    <s v="26Jul002"/>
    <s v="CORE DG"/>
    <x v="0"/>
    <s v="Arrival Plan-SPNL"/>
    <s v="CIF"/>
    <x v="0"/>
    <s v="U2"/>
    <x v="2"/>
    <m/>
    <m/>
    <s v="n/a"/>
    <d v="2026-07-06T00:00:00"/>
    <x v="6"/>
    <x v="69"/>
    <s v="SPR-P7-515-BLK-P"/>
    <s v="EVO2A"/>
    <s v="±1350mm"/>
    <n v="515"/>
    <n v="1584"/>
    <n v="0.81576000000000004"/>
    <n v="44"/>
    <n v="2"/>
    <x v="14"/>
    <s v="COMPLETED"/>
    <m/>
    <d v="2026-08-04T00:00:00"/>
    <n v="32"/>
    <s v="POPV260807018"/>
    <m/>
    <s v="SHANGHAI"/>
    <x v="1"/>
    <x v="1"/>
    <d v="2026-08-11T00:00:00"/>
    <m/>
    <d v="2026-08-14T00:00:00"/>
    <d v="2026-09-16T00:00:00"/>
    <d v="2026-09-19T21:00:00"/>
    <d v="2026-09-20T03:14:20"/>
    <m/>
    <s v="COSCO SHIPPING GALAXY 030W"/>
    <s v="COSCO"/>
    <s v="TPVB20260832014"/>
    <x v="544"/>
    <s v="COSU6509599960"/>
    <n v="37.134953703702195"/>
    <m/>
    <d v="2026-09-20T03:14:20"/>
    <s v="In Transit-Approved"/>
    <d v="2026-10-05T00:00:00"/>
    <n v="7"/>
    <d v="2026-09-27T03:14:20"/>
    <n v="2026"/>
    <n v="9"/>
    <n v="39"/>
    <n v="36"/>
    <n v="792"/>
    <s v="Black glazing"/>
    <s v="AEU"/>
  </r>
  <r>
    <s v="26Jun004.05"/>
    <s v="Yixing"/>
    <s v="26Jun004"/>
    <s v="CORE DG"/>
    <x v="0"/>
    <s v="Arrival Plan-SPNL"/>
    <s v="CIF"/>
    <x v="0"/>
    <s v="U1"/>
    <x v="2"/>
    <m/>
    <m/>
    <s v="n/a"/>
    <d v="2026-06-15T00:00:00"/>
    <x v="1"/>
    <x v="39"/>
    <s v="TCL-MR470DT182-58NS"/>
    <s v="EVO2A"/>
    <s v="±1200mm"/>
    <n v="470"/>
    <n v="4320"/>
    <n v="2.0304000000000002"/>
    <n v="120"/>
    <n v="5"/>
    <x v="10"/>
    <s v="COMPLETED"/>
    <m/>
    <d v="2026-08-04T00:00:00"/>
    <n v="32"/>
    <s v="POPV260807036"/>
    <m/>
    <s v="SHANGHAI"/>
    <x v="1"/>
    <x v="1"/>
    <d v="2026-08-11T00:00:00"/>
    <m/>
    <d v="2026-08-14T00:00:00"/>
    <d v="2026-09-16T00:00:00"/>
    <d v="2026-09-19T21:00:00"/>
    <d v="2026-09-20T03:14:20"/>
    <m/>
    <s v="COSCO SHIPPING GALAXY 030W"/>
    <s v="COSCO"/>
    <s v="TPVB20260832014"/>
    <x v="544"/>
    <s v="COSU6509599960"/>
    <n v="37.134953703702195"/>
    <m/>
    <d v="2026-09-20T03:14:20"/>
    <s v="In Transit-Approved"/>
    <d v="2026-10-05T00:00:00"/>
    <n v="7"/>
    <d v="2026-09-27T03:14:20"/>
    <n v="2026"/>
    <n v="9"/>
    <n v="39"/>
    <n v="36"/>
    <n v="864"/>
    <s v="White glazing"/>
    <s v="AEU"/>
  </r>
  <r>
    <s v="26Jun028"/>
    <s v="Yixing"/>
    <s v="Main Line"/>
    <s v="CORE DG"/>
    <x v="0"/>
    <s v="Arrival Plan-SPNL"/>
    <s v="CIF"/>
    <x v="0"/>
    <s v="U1"/>
    <x v="171"/>
    <m/>
    <m/>
    <s v="n/a"/>
    <d v="2026-06-01T00:00:00"/>
    <x v="1"/>
    <x v="4"/>
    <s v="TCL-MG720DT210-68NS"/>
    <s v="EVO2A"/>
    <s v="±1400mm"/>
    <n v="720"/>
    <n v="594"/>
    <n v="0.42768"/>
    <n v="18"/>
    <n v="1"/>
    <x v="11"/>
    <s v="COMPLETED"/>
    <s v="old stock"/>
    <d v="2026-08-04T00:00:00"/>
    <n v="32"/>
    <s v="POPV260807027"/>
    <m/>
    <s v="Yixing"/>
    <x v="1"/>
    <x v="1"/>
    <d v="2026-08-11T00:00:00"/>
    <m/>
    <d v="2026-08-14T00:00:00"/>
    <d v="2026-09-16T00:00:00"/>
    <d v="2026-09-19T21:00:00"/>
    <d v="2026-09-20T03:14:20"/>
    <m/>
    <s v="COSCO SHIPPING GALAXY 030W"/>
    <s v="COSCO"/>
    <s v="TPVB20260832014"/>
    <x v="544"/>
    <s v="COSU6509599960"/>
    <n v="37.134953703702195"/>
    <m/>
    <d v="2026-09-20T03:14:20"/>
    <s v="In Transit-Approved"/>
    <d v="2026-10-05T00:00:00"/>
    <n v="7"/>
    <d v="2026-09-27T03:14:20"/>
    <n v="2026"/>
    <n v="9"/>
    <n v="39"/>
    <n v="33"/>
    <n v="594"/>
    <s v="White glazing"/>
    <s v="AEU"/>
  </r>
  <r>
    <s v="26Jun026"/>
    <s v="Yixing"/>
    <s v="Main Line"/>
    <s v="CORE DG"/>
    <x v="0"/>
    <s v="Arrival Plan-SPNL"/>
    <s v="CIF"/>
    <x v="0"/>
    <s v="U1"/>
    <x v="172"/>
    <m/>
    <m/>
    <s v="n/a"/>
    <d v="2026-06-01T00:00:00"/>
    <x v="1"/>
    <x v="92"/>
    <s v="TCL-MG715DT210-68NS"/>
    <s v="EVO2A"/>
    <s v="±1400mm"/>
    <n v="715"/>
    <n v="594"/>
    <n v="0.42470999999999998"/>
    <n v="18"/>
    <n v="1"/>
    <x v="11"/>
    <s v="COMPLETED"/>
    <s v="old stock"/>
    <d v="2026-08-04T00:00:00"/>
    <n v="32"/>
    <s v="POPV260807028"/>
    <m/>
    <s v="Yixing"/>
    <x v="1"/>
    <x v="1"/>
    <d v="2026-08-11T00:00:00"/>
    <m/>
    <d v="2026-08-14T00:00:00"/>
    <d v="2026-09-16T00:00:00"/>
    <d v="2026-09-19T21:00:00"/>
    <d v="2026-09-20T03:14:20"/>
    <m/>
    <s v="COSCO SHIPPING GALAXY 030W"/>
    <s v="COSCO"/>
    <s v="TPVB20260832014"/>
    <x v="544"/>
    <s v="COSU6509599960"/>
    <n v="37.134953703702195"/>
    <m/>
    <d v="2026-09-20T03:14:20"/>
    <s v="In Transit-Approved"/>
    <d v="2026-09-23T00:00:00"/>
    <n v="7"/>
    <d v="2026-09-27T03:14:20"/>
    <n v="2026"/>
    <n v="9"/>
    <n v="39"/>
    <n v="33"/>
    <n v="594"/>
    <s v="White glazing"/>
    <s v="AEU"/>
  </r>
  <r>
    <s v="26Jul002.05"/>
    <s v="Yixing"/>
    <s v="26Jul002"/>
    <s v="CORE DG"/>
    <x v="0"/>
    <s v="Arrival Plan-SPNL"/>
    <s v="CIF"/>
    <x v="0"/>
    <s v="U1"/>
    <x v="2"/>
    <m/>
    <m/>
    <s v="n/a"/>
    <d v="2026-07-06T00:00:00"/>
    <x v="6"/>
    <x v="69"/>
    <s v="SPR-P7-515-BLK-P"/>
    <s v="EVO2A"/>
    <s v="±1350mm"/>
    <n v="515"/>
    <n v="2376"/>
    <n v="1.2236400000000001"/>
    <n v="66"/>
    <n v="3"/>
    <x v="14"/>
    <s v="COMPLETED"/>
    <m/>
    <d v="2026-08-04T00:00:00"/>
    <n v="32"/>
    <s v="POPV260807019"/>
    <m/>
    <s v="SHANGHAI"/>
    <x v="1"/>
    <x v="1"/>
    <d v="2026-08-14T00:00:00"/>
    <m/>
    <d v="2026-08-14T00:00:00"/>
    <d v="2026-09-26T00:00:00"/>
    <d v="2026-09-19T21:00:00"/>
    <d v="2026-09-20T03:14:20"/>
    <m/>
    <s v="COSCO EXCELLENCE 077W"/>
    <s v="COSCO"/>
    <s v="TPVB20260832015"/>
    <x v="545"/>
    <s v="COSU6509605690"/>
    <n v="37.134953703702195"/>
    <m/>
    <d v="2026-09-20T03:14:20"/>
    <s v="In Transit-Approved"/>
    <d v="2026-10-05T00:00:00"/>
    <n v="7"/>
    <d v="2026-09-27T03:14:20"/>
    <n v="2026"/>
    <n v="9"/>
    <n v="39"/>
    <n v="36"/>
    <n v="792"/>
    <s v="Black glazing"/>
    <s v="AEU"/>
  </r>
  <r>
    <s v="26Jun015.02.01"/>
    <s v="Yixing"/>
    <s v="26Jun015"/>
    <s v="CORE DG"/>
    <x v="0"/>
    <s v="Arrival Plan-SPNL"/>
    <s v="CIF"/>
    <x v="0"/>
    <s v="U2"/>
    <x v="2"/>
    <m/>
    <m/>
    <s v="n/a"/>
    <d v="2026-06-29T00:00:00"/>
    <x v="11"/>
    <x v="84"/>
    <s v="HSM-NT48-HH465"/>
    <s v="EVO2A"/>
    <s v="±1200mm"/>
    <n v="465"/>
    <n v="4680"/>
    <n v="2.1762000000000001"/>
    <n v="130"/>
    <n v="5"/>
    <x v="14"/>
    <s v="COMPLETED"/>
    <s v="七月10日"/>
    <d v="2026-08-04T00:00:00"/>
    <n v="32"/>
    <s v="POPV260807031"/>
    <m/>
    <s v="SHANGHAI"/>
    <x v="1"/>
    <x v="1"/>
    <d v="2026-08-14T00:00:00"/>
    <m/>
    <d v="2026-08-14T00:00:00"/>
    <d v="2026-09-26T00:00:00"/>
    <d v="2026-09-19T21:00:00"/>
    <d v="2026-09-20T03:14:20"/>
    <m/>
    <s v="COSCO EXCELLENCE 077W"/>
    <s v="COSCO"/>
    <s v="TPVB20260832015"/>
    <x v="545"/>
    <s v="COSU6509605690"/>
    <n v="37.134953703702195"/>
    <m/>
    <d v="2026-09-20T03:14:20"/>
    <s v="In Transit-Approved"/>
    <d v="2026-10-05T00:00:00"/>
    <n v="7"/>
    <d v="2026-09-27T03:14:20"/>
    <n v="2026"/>
    <n v="9"/>
    <n v="39"/>
    <n v="36"/>
    <n v="936"/>
    <s v="Black glazing"/>
    <s v="AEU"/>
  </r>
  <r>
    <s v="26Jun015.02"/>
    <s v="Yixing"/>
    <s v="26Jun015"/>
    <s v="CORE DG"/>
    <x v="0"/>
    <s v="Arrival Plan-SPNL"/>
    <s v="CIF"/>
    <x v="0"/>
    <s v="U2"/>
    <x v="2"/>
    <m/>
    <m/>
    <s v="n/a"/>
    <d v="2026-06-29T00:00:00"/>
    <x v="11"/>
    <x v="84"/>
    <s v="HSM-NT48-HH465"/>
    <s v="EVO2A"/>
    <s v="±1200mm"/>
    <n v="465"/>
    <n v="2808"/>
    <n v="1.30572"/>
    <n v="78"/>
    <n v="3"/>
    <x v="14"/>
    <s v="COMPLETED"/>
    <s v="七月10日"/>
    <d v="2026-08-03T00:00:00"/>
    <n v="32"/>
    <s v="POPV260807029"/>
    <m/>
    <s v="SHANGHAI"/>
    <x v="1"/>
    <x v="1"/>
    <d v="2026-08-10T00:00:00"/>
    <m/>
    <d v="2026-08-15T18:06:13"/>
    <d v="2026-09-16T00:00:00"/>
    <d v="2026-10-05T10:30:00"/>
    <d v="2026-10-05T00:00:00"/>
    <m/>
    <s v="EVER ALOT 1413-015W"/>
    <s v="COSCO"/>
    <s v="TPVB20260832016"/>
    <x v="546"/>
    <s v="COSU6509601100"/>
    <n v="50.245682870372548"/>
    <m/>
    <d v="2026-10-05T00:00:00"/>
    <s v="In Transit-Approved"/>
    <d v="2026-09-23T00:00:00"/>
    <n v="7"/>
    <d v="2026-10-12T00:00:00"/>
    <n v="2026"/>
    <n v="10"/>
    <n v="42"/>
    <n v="36"/>
    <n v="936"/>
    <s v="Black glazing"/>
    <s v="AEU"/>
  </r>
  <r>
    <s v="26Jul002.09.01 "/>
    <s v="Yixing"/>
    <s v="26Jul002"/>
    <s v="CORE DG"/>
    <x v="0"/>
    <s v="Arrival Plan-SPNL"/>
    <s v="CIF"/>
    <x v="0"/>
    <s v="U2"/>
    <x v="2"/>
    <m/>
    <m/>
    <s v="n/a"/>
    <d v="2026-07-06T00:00:00"/>
    <x v="6"/>
    <x v="69"/>
    <s v="SPR-P7-515-BLK-P"/>
    <s v="EVO2A"/>
    <s v="±1350mm"/>
    <n v="515"/>
    <n v="1584"/>
    <n v="0.81576000000000004"/>
    <n v="44"/>
    <n v="2"/>
    <x v="11"/>
    <s v="COMPLETED"/>
    <m/>
    <d v="2026-08-03T00:00:00"/>
    <n v="32"/>
    <s v="POPV260807020"/>
    <m/>
    <s v="SHANGHAI"/>
    <x v="1"/>
    <x v="1"/>
    <d v="2026-08-10T00:00:00"/>
    <m/>
    <d v="2026-08-15T18:06:13"/>
    <d v="2026-09-16T00:00:00"/>
    <d v="2026-10-05T10:30:00"/>
    <d v="2026-10-05T00:00:00"/>
    <m/>
    <s v="EVER ALOT 1413-015W"/>
    <s v="COSCO"/>
    <s v="TPVB20260832016"/>
    <x v="546"/>
    <s v="COSU6509601100"/>
    <n v="50.245682870372548"/>
    <m/>
    <d v="2026-10-05T00:00:00"/>
    <s v="In Transit-Approved"/>
    <d v="2026-10-14T00:00:00"/>
    <n v="7"/>
    <d v="2026-10-12T00:00:00"/>
    <n v="2026"/>
    <n v="10"/>
    <n v="42"/>
    <n v="36"/>
    <n v="792"/>
    <s v="Black glazing"/>
    <s v="AEU"/>
  </r>
  <r>
    <s v="26May012.07.01"/>
    <s v="Yixing"/>
    <s v="26May012"/>
    <s v="CORE DG"/>
    <x v="1"/>
    <s v="SPTN Offstore in Transit WH"/>
    <s v="CIF"/>
    <x v="10"/>
    <s v="U2"/>
    <x v="173"/>
    <s v="DE0126080400009"/>
    <n v="24"/>
    <s v="Yes"/>
    <d v="2026-05-25T00:00:00"/>
    <x v="0"/>
    <x v="75"/>
    <s v="HSM-ND66-GR630"/>
    <s v="H4(Com)"/>
    <s v="+400mm/-200mm"/>
    <n v="630"/>
    <n v="2160"/>
    <n v="1.3608"/>
    <n v="60"/>
    <n v="3"/>
    <x v="14"/>
    <s v="COMPLETED"/>
    <s v="BW JUN"/>
    <d v="2026-08-04T00:00:00"/>
    <n v="32"/>
    <s v="POPV260903007"/>
    <m/>
    <s v="SHANGHAI"/>
    <x v="1"/>
    <x v="1"/>
    <d v="2026-08-03T00:00:00"/>
    <d v="2026-08-06T00:00:00"/>
    <d v="2026-08-06T00:00:00"/>
    <d v="2026-09-09T00:00:00"/>
    <d v="2026-09-19T00:00:00"/>
    <d v="2026-09-22T00:00:00"/>
    <m/>
    <s v="EVER ARM 1412-016W"/>
    <s v="OTHER"/>
    <s v="TPVB20260731025-1"/>
    <x v="547"/>
    <s v="EGLV149606435972"/>
    <n v="47"/>
    <m/>
    <d v="2026-09-22T00:00:00"/>
    <s v="In Stock-Approved"/>
    <d v="2026-09-11T00:00:00"/>
    <n v="0"/>
    <d v="2026-09-22T00:00:00"/>
    <n v="2026"/>
    <n v="9"/>
    <n v="39"/>
    <n v="36"/>
    <n v="720"/>
    <s v="Transparent"/>
    <s v="AEU"/>
  </r>
  <r>
    <s v="26May011.18"/>
    <s v="Yixing"/>
    <s v="26May011"/>
    <s v="CORE DG"/>
    <x v="0"/>
    <s v="Arrival Plan-SPNL"/>
    <s v="CIF"/>
    <x v="0"/>
    <s v="U1"/>
    <x v="174"/>
    <m/>
    <m/>
    <s v="n/a"/>
    <d v="2026-05-25T00:00:00"/>
    <x v="0"/>
    <x v="74"/>
    <s v="HSM-ND66-GR625"/>
    <s v="H4(Com)"/>
    <s v="+400mm/-200mm"/>
    <n v="625"/>
    <n v="1440"/>
    <n v="0.9"/>
    <n v="40"/>
    <n v="2"/>
    <x v="9"/>
    <s v="COMPLETED"/>
    <s v="BW JUN"/>
    <d v="2026-08-04T00:00:00"/>
    <n v="32"/>
    <s v="POPV260806028"/>
    <m/>
    <s v="SHANGHAI"/>
    <x v="1"/>
    <x v="1"/>
    <d v="2026-08-03T00:00:00"/>
    <d v="2026-08-06T00:00:00"/>
    <d v="2026-08-06T00:00:00"/>
    <d v="2026-09-09T00:00:00"/>
    <d v="2026-09-19T00:00:00"/>
    <d v="2026-09-22T00:00:00"/>
    <m/>
    <s v="EVER ARM 1412-016W"/>
    <s v="OTHER"/>
    <s v="TPVB20260731025"/>
    <x v="548"/>
    <s v="EGLV149606435972"/>
    <n v="47"/>
    <m/>
    <d v="2026-09-22T00:00:00"/>
    <s v="In Transit-Approved"/>
    <d v="2026-09-30T00:00:00"/>
    <n v="7"/>
    <d v="2026-09-29T00:00:00"/>
    <n v="2026"/>
    <n v="9"/>
    <n v="40"/>
    <n v="36"/>
    <n v="720"/>
    <s v="Transparent"/>
    <s v="AEU"/>
  </r>
  <r>
    <s v="26May012.18"/>
    <s v="Yixing"/>
    <s v="26May012"/>
    <s v="CORE DG"/>
    <x v="1"/>
    <s v="SPTN Offstore in Transit WH"/>
    <s v="CIF"/>
    <x v="10"/>
    <s v="U2"/>
    <x v="173"/>
    <s v="DE0126080400009"/>
    <n v="25"/>
    <s v="Yes"/>
    <d v="2026-05-25T00:00:00"/>
    <x v="0"/>
    <x v="75"/>
    <s v="HSM-ND66-GR630"/>
    <s v="H4(Com)"/>
    <s v="+400mm/-200mm"/>
    <n v="630"/>
    <n v="2160"/>
    <n v="1.3608"/>
    <n v="60"/>
    <n v="3"/>
    <x v="14"/>
    <s v="COMPLETED"/>
    <s v="BW JUN"/>
    <d v="2026-08-04T00:00:00"/>
    <n v="32"/>
    <s v="_x000a_POPV260903008"/>
    <m/>
    <s v="SHANGHAI"/>
    <x v="1"/>
    <x v="1"/>
    <d v="2026-08-03T00:00:00"/>
    <d v="2026-08-06T00:00:00"/>
    <d v="2026-08-06T00:00:00"/>
    <d v="2026-09-09T00:00:00"/>
    <d v="2026-09-19T00:00:00"/>
    <d v="2026-09-22T00:00:00"/>
    <m/>
    <s v="EVER ARM 1412-016W"/>
    <s v="OTHER"/>
    <s v="TPVB20260731025-1"/>
    <x v="547"/>
    <s v="EGLV149606435972"/>
    <n v="47"/>
    <m/>
    <d v="2026-09-22T00:00:00"/>
    <s v="-"/>
    <s v=""/>
    <n v="0"/>
    <d v="2026-09-22T00:00:00"/>
    <n v="2026"/>
    <n v="9"/>
    <n v="39"/>
    <n v="36"/>
    <n v="720"/>
    <s v="Transparent"/>
    <s v="AEU"/>
  </r>
  <r>
    <s v="26May012.18.01"/>
    <s v="Yixing"/>
    <s v="26May012"/>
    <s v="CORE DG"/>
    <x v="1"/>
    <s v="SPTN Offstore in Transit WH"/>
    <s v="CIF"/>
    <x v="10"/>
    <s v="U2"/>
    <x v="173"/>
    <s v="DE0126080400009"/>
    <n v="26"/>
    <s v="Yes"/>
    <d v="2026-05-25T00:00:00"/>
    <x v="0"/>
    <x v="75"/>
    <s v="HSM-ND66-GR630"/>
    <s v="H4(Com)"/>
    <s v="+400mm/-200mm"/>
    <n v="630"/>
    <n v="1440"/>
    <n v="0.90720000000000001"/>
    <n v="40"/>
    <n v="2"/>
    <x v="14"/>
    <s v="COMPLETED"/>
    <s v="BW JUN"/>
    <d v="2026-08-04T00:00:00"/>
    <n v="32"/>
    <s v="_x000a_POPV260903009"/>
    <m/>
    <s v="SHANGHAI"/>
    <x v="1"/>
    <x v="1"/>
    <d v="2026-08-03T00:00:00"/>
    <d v="2026-08-06T00:00:00"/>
    <d v="2026-08-21T00:00:00"/>
    <d v="2026-09-09T00:00:00"/>
    <d v="2026-10-10T00:00:00"/>
    <d v="2026-10-12T00:00:00"/>
    <m/>
    <s v="COSCO SHIPPING HIMALAYAS 048W"/>
    <s v="OTHER"/>
    <s v="TPVB20260731028"/>
    <x v="549"/>
    <s v="EGLV149607068982"/>
    <n v="52"/>
    <m/>
    <d v="2026-10-12T00:00:00"/>
    <s v="-"/>
    <s v=""/>
    <n v="0"/>
    <d v="2026-10-12T00:00:00"/>
    <n v="2026"/>
    <n v="10"/>
    <n v="42"/>
    <n v="36"/>
    <n v="720"/>
    <s v="Transparent"/>
    <s v="AEU"/>
  </r>
  <r>
    <s v="26May011.07.01"/>
    <s v="Yixing"/>
    <s v="26May011"/>
    <s v="CORE DG"/>
    <x v="1"/>
    <s v="SPTN Offstore in Transit WH"/>
    <s v="CIF"/>
    <x v="10"/>
    <s v="U4"/>
    <x v="161"/>
    <s v="DE0126070200004"/>
    <n v="2"/>
    <s v="Yes"/>
    <d v="2026-05-25T00:00:00"/>
    <x v="0"/>
    <x v="74"/>
    <s v="HSM-ND66-GR625"/>
    <s v="H4(Com)"/>
    <s v="+400mm/-200mm"/>
    <n v="625"/>
    <n v="2880"/>
    <n v="1.8"/>
    <n v="80"/>
    <n v="4"/>
    <x v="9"/>
    <s v="COMPLETED"/>
    <s v="BW JUN"/>
    <d v="2026-08-04T00:00:00"/>
    <n v="32"/>
    <s v="POPV260806029"/>
    <m/>
    <s v="SHANGHAI"/>
    <x v="1"/>
    <x v="1"/>
    <d v="2026-08-03T00:00:00"/>
    <d v="2026-08-06T00:00:00"/>
    <d v="2026-08-06T00:00:00"/>
    <d v="2026-09-09T00:00:00"/>
    <d v="2026-09-19T00:00:00"/>
    <d v="2026-09-22T00:00:00"/>
    <m/>
    <s v="EVER ARM 1412-016W"/>
    <s v="OTHER"/>
    <s v="TPVB20260731024"/>
    <x v="550"/>
    <s v="EGLV149606435972"/>
    <n v="47"/>
    <m/>
    <d v="2026-09-22T00:00:00"/>
    <s v="In Stock-Approved"/>
    <d v="2026-09-09T00:00:00"/>
    <n v="0"/>
    <d v="2026-09-22T00:00:00"/>
    <n v="2026"/>
    <n v="9"/>
    <n v="39"/>
    <n v="36"/>
    <n v="720"/>
    <s v="Transparent"/>
    <s v="AEU"/>
  </r>
  <r>
    <s v="26May011.05.02"/>
    <s v="Yixing"/>
    <s v="26May011"/>
    <s v="CORE DG"/>
    <x v="1"/>
    <s v="SPTN Offstore in Transit WH"/>
    <s v="CIF"/>
    <x v="10"/>
    <s v="U6"/>
    <x v="161"/>
    <s v="DE0126070200004"/>
    <n v="4"/>
    <s v="Yes"/>
    <d v="2026-05-25T00:00:00"/>
    <x v="0"/>
    <x v="74"/>
    <s v="HSM-ND66-GR625"/>
    <s v="H4(Com)"/>
    <s v="+400mm/-200mm"/>
    <n v="625"/>
    <n v="720"/>
    <n v="0.45"/>
    <n v="20"/>
    <n v="1"/>
    <x v="9"/>
    <s v="COMPLETED"/>
    <s v="BW JUN"/>
    <d v="2026-08-04T00:00:00"/>
    <n v="32"/>
    <s v="POPV260806027"/>
    <m/>
    <s v="SHANGHAI"/>
    <x v="1"/>
    <x v="1"/>
    <d v="2026-08-03T00:00:00"/>
    <d v="2026-08-06T00:00:00"/>
    <d v="2026-08-06T00:00:00"/>
    <d v="2026-09-09T00:00:00"/>
    <d v="2026-09-19T00:00:00"/>
    <d v="2026-09-22T00:00:00"/>
    <m/>
    <s v="EVER ARM 1412-016W"/>
    <s v="OTHER"/>
    <s v="TPVB20260731024"/>
    <x v="550"/>
    <s v="EGLV149606435972"/>
    <n v="47"/>
    <m/>
    <d v="2026-09-22T00:00:00"/>
    <s v="In Stock-Approved"/>
    <d v="2026-09-09T00:00:00"/>
    <n v="0"/>
    <d v="2026-09-22T00:00:00"/>
    <n v="2026"/>
    <n v="9"/>
    <n v="39"/>
    <n v="36"/>
    <n v="720"/>
    <s v="Transparent"/>
    <s v="AEU"/>
  </r>
  <r>
    <s v="26Jun029"/>
    <s v="Yixing"/>
    <s v="Main Line"/>
    <s v="CORE DG"/>
    <x v="0"/>
    <s v="Arrival Plan-SPNL"/>
    <s v="CIF"/>
    <x v="0"/>
    <s v="U1"/>
    <x v="2"/>
    <m/>
    <m/>
    <s v="n/a"/>
    <d v="2026-06-01T00:00:00"/>
    <x v="0"/>
    <x v="93"/>
    <s v="HSM-ND66-GK720"/>
    <s v="EVO2A"/>
    <s v="±1400mm"/>
    <n v="720"/>
    <n v="594"/>
    <n v="0.42768"/>
    <n v="18"/>
    <n v="1"/>
    <x v="14"/>
    <s v="COMPLETED"/>
    <s v="old stock"/>
    <d v="2026-08-04T00:00:00"/>
    <n v="32"/>
    <s v="POPV260807025"/>
    <m/>
    <s v="Yixing"/>
    <x v="1"/>
    <x v="1"/>
    <d v="2026-08-10T00:00:00"/>
    <d v="2026-08-14T00:00:00"/>
    <d v="2026-08-15T00:00:00"/>
    <d v="2026-09-16T00:00:00"/>
    <d v="2026-10-04T06:00:00"/>
    <d v="2026-10-05T00:00:00"/>
    <m/>
    <s v="EVER ALOT 1413-015W"/>
    <s v="OTHER"/>
    <s v="TPVB20260832007"/>
    <x v="551"/>
    <s v="EGLV149606436090"/>
    <n v="51"/>
    <m/>
    <d v="2026-10-05T00:00:00"/>
    <s v="In Transit-Approved"/>
    <d v="2026-10-14T00:00:00"/>
    <n v="7"/>
    <d v="2026-10-12T00:00:00"/>
    <n v="2026"/>
    <n v="10"/>
    <n v="42"/>
    <n v="33"/>
    <n v="594"/>
    <s v="Redirection Film"/>
    <s v="AEU"/>
  </r>
  <r>
    <s v="26Jul004.07"/>
    <s v="Yixing"/>
    <s v="26Jul004"/>
    <s v="CORE DG"/>
    <x v="0"/>
    <s v="Arrival Plan-SPNL"/>
    <s v="CIF"/>
    <x v="0"/>
    <s v="U1"/>
    <x v="2"/>
    <m/>
    <m/>
    <s v="n/a"/>
    <d v="2026-07-20T00:00:00"/>
    <x v="1"/>
    <x v="39"/>
    <s v="TCL-MR470DT182-58NS"/>
    <s v="EVO2A"/>
    <s v="±1200mm"/>
    <n v="470"/>
    <n v="3456"/>
    <n v="1.62432"/>
    <n v="96"/>
    <n v="4"/>
    <x v="16"/>
    <s v="COMPLETED"/>
    <m/>
    <d v="2026-08-04T00:00:00"/>
    <n v="32"/>
    <s v="POPV260807034"/>
    <m/>
    <s v="SHANGHAI"/>
    <x v="1"/>
    <x v="1"/>
    <d v="2026-08-10T00:00:00"/>
    <d v="2026-08-14T00:00:00"/>
    <d v="2026-08-15T00:00:00"/>
    <d v="2026-09-16T00:00:00"/>
    <d v="2026-10-04T06:00:00"/>
    <d v="2026-10-05T00:00:00"/>
    <m/>
    <s v="EVER ALOT 1413-015W"/>
    <s v="OTHER"/>
    <s v="TPVB20260832007"/>
    <x v="551"/>
    <s v="EGLV149606436090"/>
    <n v="51"/>
    <m/>
    <d v="2026-10-05T00:00:00"/>
    <s v="In Transit-Approved"/>
    <d v="2026-10-14T00:00:00"/>
    <n v="7"/>
    <d v="2026-10-12T00:00:00"/>
    <n v="2026"/>
    <n v="10"/>
    <n v="42"/>
    <n v="36"/>
    <n v="864"/>
    <s v="White glazing"/>
    <s v="AEU"/>
  </r>
  <r>
    <s v="26Jun033.01"/>
    <s v="Yixing"/>
    <s v="26Jun033"/>
    <s v="CORE DG"/>
    <x v="0"/>
    <s v="Arrival Plan-SPNL"/>
    <s v="CIF"/>
    <x v="0"/>
    <s v="U1"/>
    <x v="2"/>
    <m/>
    <m/>
    <s v="n/a"/>
    <d v="2026-07-06T00:00:00"/>
    <x v="0"/>
    <x v="90"/>
    <s v="HSM-ND66-GK725"/>
    <s v="EVO2A"/>
    <s v="±1400mm"/>
    <n v="725"/>
    <n v="5940"/>
    <n v="4.3064999999999998"/>
    <n v="180"/>
    <n v="10"/>
    <x v="16"/>
    <s v="COMPLETED"/>
    <m/>
    <d v="2026-08-04T00:00:00"/>
    <n v="32"/>
    <s v="POPV260807024"/>
    <m/>
    <s v="SHANGHAI"/>
    <x v="1"/>
    <x v="1"/>
    <d v="2026-08-10T00:00:00"/>
    <d v="2026-08-14T00:00:00"/>
    <d v="2026-08-15T00:00:00"/>
    <d v="2026-09-16T00:00:00"/>
    <d v="2026-10-04T06:00:00"/>
    <d v="2026-10-05T00:00:00"/>
    <m/>
    <s v="EVER ALOT 1413-015W"/>
    <s v="OTHER"/>
    <s v="TPVB20260832007"/>
    <x v="551"/>
    <s v="EGLV149606436090"/>
    <n v="51"/>
    <m/>
    <d v="2026-10-05T00:00:00"/>
    <s v="In Transit-Approved"/>
    <d v="2026-10-14T00:00:00"/>
    <n v="7"/>
    <d v="2026-10-12T00:00:00"/>
    <n v="2026"/>
    <n v="10"/>
    <n v="42"/>
    <n v="33"/>
    <n v="594"/>
    <s v="Transparent"/>
    <s v="AEU"/>
  </r>
  <r>
    <s v="26Jul001.01"/>
    <s v="Yixing"/>
    <s v="26Jul001"/>
    <s v="CORE DG"/>
    <x v="0"/>
    <s v="Arrival Plan-SPTN"/>
    <s v="CIF"/>
    <x v="0"/>
    <s v="U2"/>
    <x v="2"/>
    <m/>
    <m/>
    <s v="n/a"/>
    <d v="2026-07-06T00:00:00"/>
    <x v="6"/>
    <x v="21"/>
    <s v="SPR-P7-510-BLK-P"/>
    <s v="EVO2A"/>
    <s v="±1350mm"/>
    <n v="510"/>
    <n v="1584"/>
    <n v="0.80784"/>
    <n v="44"/>
    <n v="2"/>
    <x v="11"/>
    <s v="COMPLETED"/>
    <m/>
    <d v="2026-08-12T00:00:00"/>
    <n v="33"/>
    <s v="POPV260814017"/>
    <m/>
    <s v="SHANGHAI"/>
    <x v="1"/>
    <x v="0"/>
    <d v="2026-08-12T00:00:00"/>
    <m/>
    <d v="2026-08-19T23:28:51"/>
    <d v="2026-09-23T00:00:00"/>
    <d v="2026-09-25T06:00:00"/>
    <d v="2026-09-25T05:35:14"/>
    <m/>
    <s v="CMA CGM OSIRIS 0MEOHW1MA"/>
    <s v="COSCO"/>
    <s v="TPVB20260832017"/>
    <x v="552"/>
    <s v="COSU6509607500"/>
    <n v="36.254432870373421"/>
    <m/>
    <d v="2026-09-25T05:35:14"/>
    <s v="In Transit-Approved"/>
    <d v="2026-10-07T00:00:00"/>
    <n v="8"/>
    <d v="2026-10-03T05:35:14"/>
    <n v="2026"/>
    <n v="10"/>
    <n v="40"/>
    <n v="36"/>
    <n v="792"/>
    <s v="Black glazing"/>
    <s v="AEM"/>
  </r>
  <r>
    <s v="26Jul013.03"/>
    <s v="Yixing"/>
    <s v="26Jul013"/>
    <s v="CORE DG"/>
    <x v="1"/>
    <s v="SPTN Offstore in Transit WH"/>
    <s v="CIF"/>
    <x v="25"/>
    <s v="U4"/>
    <x v="163"/>
    <s v="ES0126060900044"/>
    <n v="1"/>
    <s v="Yes"/>
    <d v="2026-06-29T00:00:00"/>
    <x v="10"/>
    <x v="81"/>
    <s v="HSM-NT60-GH580"/>
    <s v="EVO2A"/>
    <s v="±1400mm"/>
    <n v="580"/>
    <n v="2160"/>
    <n v="1.2527999999999999"/>
    <n v="60"/>
    <n v="3"/>
    <x v="14"/>
    <s v="COMPLETED"/>
    <s v="W31"/>
    <d v="2026-08-12T00:00:00"/>
    <n v="33"/>
    <s v="POPV260814051"/>
    <m/>
    <s v="SHANGHAI"/>
    <x v="1"/>
    <x v="2"/>
    <d v="2026-08-12T00:00:00"/>
    <m/>
    <d v="2026-08-19T23:28:51"/>
    <d v="2026-09-17T00:00:00"/>
    <d v="2026-09-19T08:00:00"/>
    <d v="2026-09-19T09:58:40"/>
    <m/>
    <s v="CMA CGM OSIRIS 0MEOHW1MA"/>
    <s v="COSCO"/>
    <s v="TPVB20260832018"/>
    <x v="553"/>
    <s v="COSU6509607090"/>
    <n v="30.437372685184528"/>
    <m/>
    <d v="2026-09-19T09:58:40"/>
    <s v="In Stock-Approved"/>
    <d v="2026-09-17T00:00:00"/>
    <n v="0"/>
    <d v="2026-09-19T09:58:40"/>
    <n v="2026"/>
    <n v="9"/>
    <n v="38"/>
    <n v="36"/>
    <n v="720"/>
    <s v="Transparent"/>
    <s v="AEM"/>
  </r>
  <r>
    <s v="26Jul002.04"/>
    <s v="Yixing"/>
    <s v="26Jul002"/>
    <s v="CORE DG"/>
    <x v="0"/>
    <s v="Arrival Plan-SPIT"/>
    <s v="CIF"/>
    <x v="4"/>
    <s v="U1"/>
    <x v="2"/>
    <m/>
    <m/>
    <s v="n/a"/>
    <d v="2026-07-06T00:00:00"/>
    <x v="6"/>
    <x v="69"/>
    <s v="SPR-P7-515-BLK-P"/>
    <s v="EVO2A"/>
    <s v="±1350mm"/>
    <n v="515"/>
    <n v="1584"/>
    <n v="0.81576000000000004"/>
    <n v="44"/>
    <n v="2"/>
    <x v="14"/>
    <s v="COMPLETED"/>
    <s v="ready，from genova to naples"/>
    <d v="2026-08-03T00:00:00"/>
    <n v="32"/>
    <s v="POPV260807021"/>
    <m/>
    <s v="SHANGHAI"/>
    <x v="1"/>
    <x v="14"/>
    <d v="2026-08-11T00:00:00"/>
    <d v="2026-08-07T18:30:00"/>
    <d v="2026-08-07T19:29:37"/>
    <d v="2026-10-09T00:00:00"/>
    <d v="2026-10-04T21:00:00"/>
    <d v="2026-10-04T00:00:00"/>
    <m/>
    <s v="TITAN 044W"/>
    <s v="COSCO"/>
    <s v="TPVB20260832019"/>
    <x v="554"/>
    <s v="COSU6509607950"/>
    <n v="57.187766203700448"/>
    <m/>
    <d v="2026-10-04T00:00:00"/>
    <s v="In Transit-Approved"/>
    <d v="2026-10-05T00:00:00"/>
    <n v="10"/>
    <d v="2026-10-14T00:00:00"/>
    <n v="2026"/>
    <n v="10"/>
    <n v="42"/>
    <n v="36"/>
    <n v="792"/>
    <s v="Black glazing"/>
    <s v="AEM"/>
  </r>
  <r>
    <s v="26Jul004.06"/>
    <s v="Yixing"/>
    <s v="26Jul004"/>
    <s v="CORE DG"/>
    <x v="0"/>
    <s v="Arrival Plan-SPTN"/>
    <s v="CIF"/>
    <x v="0"/>
    <s v="U2"/>
    <x v="2"/>
    <m/>
    <m/>
    <s v="n/a"/>
    <d v="2026-07-20T00:00:00"/>
    <x v="1"/>
    <x v="39"/>
    <s v="TCL-MR470DT182-58NS"/>
    <s v="EVO2A"/>
    <s v="±1200mm"/>
    <n v="470"/>
    <n v="1728"/>
    <n v="0.81215999999999999"/>
    <n v="48"/>
    <n v="2"/>
    <x v="12"/>
    <s v="COMPLETED"/>
    <m/>
    <d v="2026-08-14T00:00:00"/>
    <n v="33"/>
    <s v="POPV260821019"/>
    <s v="POPV260821019"/>
    <s v="SHANGHAI"/>
    <x v="1"/>
    <x v="0"/>
    <d v="2026-08-15T00:00:00"/>
    <d v="2026-08-18T00:00:00"/>
    <d v="2026-08-23T00:00:00"/>
    <d v="2026-09-30T00:00:00"/>
    <d v="2026-10-01T18:00:00"/>
    <d v="2026-10-01T00:00:00"/>
    <m/>
    <s v="MOSCOW MAERSK  632W"/>
    <s v="OTHER"/>
    <s v="TPVB20260832001"/>
    <x v="555"/>
    <n v="274946111"/>
    <n v="39"/>
    <m/>
    <d v="2026-10-01T00:00:00"/>
    <s v="In Transit-Approved"/>
    <d v="2026-10-14T00:00:00"/>
    <n v="8"/>
    <d v="2026-10-09T00:00:00"/>
    <n v="2026"/>
    <n v="10"/>
    <n v="41"/>
    <n v="36"/>
    <n v="864"/>
    <s v="White glazing"/>
    <s v="AEM"/>
  </r>
  <r>
    <s v="26Jul015.04"/>
    <s v="Yixing"/>
    <s v="26Jul015"/>
    <s v="CORE DG"/>
    <x v="0"/>
    <s v="Arrival Plan-SPTN"/>
    <s v="CIF"/>
    <x v="0"/>
    <s v="U4"/>
    <x v="2"/>
    <m/>
    <m/>
    <s v="n/a"/>
    <d v="2026-08-03T00:00:00"/>
    <x v="11"/>
    <x v="94"/>
    <s v="HSM-NT48-JH470 CFP"/>
    <s v="EVO2A"/>
    <s v="±1200mm"/>
    <n v="470"/>
    <n v="5616"/>
    <n v="2.6395200000000001"/>
    <n v="156"/>
    <n v="6"/>
    <x v="12"/>
    <s v="COMPLETED"/>
    <m/>
    <d v="2026-08-14T00:00:00"/>
    <n v="33"/>
    <s v="POPV260821028"/>
    <m/>
    <s v="SHANGHAI"/>
    <x v="1"/>
    <x v="0"/>
    <d v="2026-08-15T00:00:00"/>
    <d v="2026-08-18T00:00:00"/>
    <d v="2026-08-23T00:00:00"/>
    <d v="2026-09-30T00:00:00"/>
    <d v="2026-10-01T18:00:00"/>
    <d v="2026-10-01T00:00:00"/>
    <m/>
    <s v="MOSCOW MAERSK  632W"/>
    <s v="OTHER"/>
    <s v="TPVB20260832001"/>
    <x v="555"/>
    <n v="274946111"/>
    <n v="39"/>
    <m/>
    <d v="2026-10-01T00:00:00"/>
    <s v="In Transit-Approved"/>
    <d v="2026-10-14T00:00:00"/>
    <n v="8"/>
    <d v="2026-10-09T00:00:00"/>
    <n v="2026"/>
    <n v="10"/>
    <n v="41"/>
    <n v="36"/>
    <n v="936"/>
    <s v="White glazing"/>
    <s v="AEM"/>
  </r>
  <r>
    <s v="26Jul007.01"/>
    <s v="Quzhou"/>
    <s v="26Jul007"/>
    <s v="CORE DG"/>
    <x v="0"/>
    <s v="Arrival Plan-SPTN"/>
    <s v="CIF"/>
    <x v="0"/>
    <s v="U1"/>
    <x v="2"/>
    <m/>
    <m/>
    <s v="n/a"/>
    <d v="2026-07-06T00:00:00"/>
    <x v="0"/>
    <x v="0"/>
    <s v="HSM-ND54-DR500"/>
    <s v="EVO2A"/>
    <s v="±1200mm"/>
    <n v="500"/>
    <n v="5184"/>
    <n v="2.5920000000000001"/>
    <n v="144"/>
    <n v="6"/>
    <x v="14"/>
    <s v="COMPLETED"/>
    <m/>
    <d v="2026-08-15T00:00:00"/>
    <n v="33"/>
    <s v="POPV260821022"/>
    <s v="POPV260821022"/>
    <s v="SHANGHAI / QUZHOU"/>
    <x v="1"/>
    <x v="0"/>
    <d v="2026-08-15T00:00:00"/>
    <d v="2026-08-22T00:00:00"/>
    <d v="2026-08-23T00:00:00"/>
    <d v="2026-09-30T00:00:00"/>
    <d v="2026-10-01T18:00:00"/>
    <d v="2026-10-01T00:00:00"/>
    <m/>
    <s v="MOSCOW MAERSK 632W"/>
    <s v="OTHER"/>
    <s v="TPVB20260832002"/>
    <x v="556"/>
    <n v="274945948"/>
    <n v="39"/>
    <m/>
    <d v="2026-10-01T00:00:00"/>
    <s v="In Transit-Approved"/>
    <d v="2026-10-14T00:00:00"/>
    <n v="8"/>
    <d v="2026-10-09T00:00:00"/>
    <n v="2026"/>
    <n v="10"/>
    <n v="41"/>
    <n v="36"/>
    <n v="864"/>
    <s v="Black glazing"/>
    <s v="AEM"/>
  </r>
  <r>
    <s v="26Jul011.11"/>
    <s v="Tianjin"/>
    <s v="26Jul011"/>
    <s v="CORE DG"/>
    <x v="0"/>
    <s v="Arrival Plan-SPTN"/>
    <s v="CIF"/>
    <x v="0"/>
    <s v="U4"/>
    <x v="2"/>
    <m/>
    <m/>
    <s v="n/a"/>
    <d v="2026-07-06T00:00:00"/>
    <x v="3"/>
    <x v="88"/>
    <s v="HSM-BD66-GR650"/>
    <s v="H4(Com)"/>
    <s v="±1400mm"/>
    <n v="650"/>
    <n v="720"/>
    <n v="0.46800000000000003"/>
    <n v="20"/>
    <n v="1"/>
    <x v="14"/>
    <s v="IN-TRANSIT"/>
    <m/>
    <d v="2026-08-04T00:00:00"/>
    <n v="32"/>
    <s v="POPV260807030"/>
    <m/>
    <s v="TIANJIN"/>
    <x v="0"/>
    <x v="0"/>
    <d v="2026-08-09T00:00:00"/>
    <d v="2026-08-09T04:00:00"/>
    <d v="2026-08-09T04:37:17"/>
    <d v="2026-10-19T00:00:00"/>
    <d v="2026-11-16T06:00:00"/>
    <s v=""/>
    <m/>
    <s v="COSCO SHIPPING LIBRA 036W"/>
    <s v="COSCO"/>
    <s v="TPVB20260832008"/>
    <x v="557"/>
    <s v="COSU9508771470"/>
    <n v="99.057442129625997"/>
    <m/>
    <d v="2026-11-16T06:00:00"/>
    <s v="In Transit-Approved"/>
    <d v="2026-11-16T00:00:00"/>
    <n v="8"/>
    <d v="2026-11-24T06:00:00"/>
    <n v="2026"/>
    <n v="11"/>
    <n v="48"/>
    <n v="36"/>
    <n v="720"/>
    <s v="White glazing"/>
    <s v="AEM"/>
  </r>
  <r>
    <s v="26Jul011.04.01"/>
    <s v="Tianjin"/>
    <s v="26Jul011"/>
    <s v="CORE DG"/>
    <x v="0"/>
    <s v="Arrival Plan-SPIT"/>
    <s v="CIF"/>
    <x v="4"/>
    <s v="U4"/>
    <x v="2"/>
    <m/>
    <m/>
    <s v="n/a"/>
    <d v="2026-06-29T00:00:00"/>
    <x v="3"/>
    <x v="88"/>
    <s v="HSM-BD66-GR650"/>
    <s v="H4(Com)"/>
    <s v="±1400mm"/>
    <n v="650"/>
    <n v="720"/>
    <n v="0.46800000000000003"/>
    <n v="20"/>
    <n v="1"/>
    <x v="14"/>
    <s v="IN-TRANSIT"/>
    <s v="七月3日,Italy importer label"/>
    <d v="2026-08-04T00:00:00"/>
    <n v="32"/>
    <s v="POPV260807032"/>
    <m/>
    <s v="TIANJIN"/>
    <x v="0"/>
    <x v="14"/>
    <d v="2026-08-09T00:00:00"/>
    <d v="2026-08-09T04:00:00"/>
    <d v="2026-08-09T04:37:17"/>
    <d v="2026-10-11T00:00:00"/>
    <d v="2026-11-04T18:00:00"/>
    <s v=""/>
    <m/>
    <s v="COSCO SHIPPING LIBRA 036W"/>
    <s v="COSCO"/>
    <s v="TPVB20260832009"/>
    <x v="558"/>
    <s v="COSU9508769100"/>
    <n v="87.557442129625997"/>
    <m/>
    <d v="2026-11-04T18:00:00"/>
    <s v="In Transit-Approved"/>
    <d v="2026-10-26T00:00:00"/>
    <n v="10"/>
    <d v="2026-11-14T18:00:00"/>
    <n v="2026"/>
    <n v="11"/>
    <n v="46"/>
    <n v="36"/>
    <n v="720"/>
    <s v="White glazing"/>
    <s v="AEM"/>
  </r>
  <r>
    <s v="26Jul011.04"/>
    <s v="Tianjin"/>
    <s v="26Jul011"/>
    <s v="CORE DG"/>
    <x v="0"/>
    <s v="Arrival Plan-SPIT"/>
    <s v="CIF"/>
    <x v="4"/>
    <s v="U4"/>
    <x v="2"/>
    <m/>
    <m/>
    <s v="n/a"/>
    <d v="2026-06-29T00:00:00"/>
    <x v="3"/>
    <x v="88"/>
    <s v="HSM-BD66-GR650"/>
    <s v="H4(Com)"/>
    <s v="±1400mm"/>
    <n v="650"/>
    <n v="2160"/>
    <n v="1.4039999999999999"/>
    <n v="60"/>
    <n v="3"/>
    <x v="14"/>
    <s v="IN-TRANSIT"/>
    <s v="七月3日,Italy importer label"/>
    <d v="2026-08-04T00:00:00"/>
    <n v="32"/>
    <s v="POPV260807037"/>
    <m/>
    <s v="TIANJIN"/>
    <x v="0"/>
    <x v="14"/>
    <d v="2026-08-09T00:00:00"/>
    <d v="2026-08-09T04:00:00"/>
    <d v="2026-08-09T04:37:17"/>
    <d v="2026-10-11T00:00:00"/>
    <d v="2026-11-12T18:00:00"/>
    <s v=""/>
    <m/>
    <s v="COSCO SHIPPING LIBRA 036W"/>
    <s v="COSCO"/>
    <s v="TPVB20260832010"/>
    <x v="559"/>
    <s v="COSU9508771330"/>
    <n v="95.557442129625997"/>
    <m/>
    <d v="2026-11-12T18:00:00"/>
    <s v="In Transit-Approved"/>
    <d v="2026-11-05T00:00:00"/>
    <n v="10"/>
    <d v="2026-11-22T18:00:00"/>
    <n v="2026"/>
    <n v="11"/>
    <n v="47"/>
    <n v="36"/>
    <n v="720"/>
    <s v="White glazing"/>
    <s v="AEM"/>
  </r>
  <r>
    <s v="26Jul011.09.01"/>
    <s v="Tianjin"/>
    <s v="26Jul011"/>
    <s v="CORE DG"/>
    <x v="0"/>
    <s v="Arrival Plan-SPNL"/>
    <s v="CIF"/>
    <x v="0"/>
    <s v="U4"/>
    <x v="2"/>
    <m/>
    <m/>
    <s v="n/a"/>
    <d v="2026-07-06T00:00:00"/>
    <x v="3"/>
    <x v="88"/>
    <s v="HSM-BD66-GR650"/>
    <s v="H4(Com)"/>
    <s v="±1400mm"/>
    <n v="650"/>
    <n v="2160"/>
    <n v="1.4039999999999999"/>
    <n v="60"/>
    <n v="3"/>
    <x v="14"/>
    <s v="COMPLETED"/>
    <m/>
    <d v="2026-08-04T00:00:00"/>
    <n v="32"/>
    <s v="POPV260807040"/>
    <m/>
    <s v="TIANJIN"/>
    <x v="0"/>
    <x v="1"/>
    <d v="2026-08-09T00:00:00"/>
    <d v="2026-08-09T04:00:00"/>
    <d v="2026-08-09T04:37:17"/>
    <d v="2026-09-22T00:00:00"/>
    <d v="2026-09-24T23:00:00"/>
    <d v="2026-09-25T04:19:42"/>
    <m/>
    <s v="COSCO SHIPPING LIBRA 036W"/>
    <s v="COSCO"/>
    <s v="TPVB20260832011"/>
    <x v="560"/>
    <s v="COSU9508803730"/>
    <n v="46.987789351849642"/>
    <m/>
    <d v="2026-09-25T04:19:42"/>
    <s v="In Transit-Approved"/>
    <d v="2026-10-08T00:00:00"/>
    <n v="7"/>
    <d v="2026-10-02T04:19:42"/>
    <n v="2026"/>
    <n v="10"/>
    <n v="40"/>
    <n v="36"/>
    <n v="720"/>
    <s v="White glazing"/>
    <s v="AEU"/>
  </r>
  <r>
    <s v="26Jul011.09"/>
    <s v="Tianjin"/>
    <s v="26Jul011"/>
    <s v="CORE DG"/>
    <x v="0"/>
    <s v="Arrival Plan-SPNL"/>
    <s v="CIF"/>
    <x v="0"/>
    <s v="U4"/>
    <x v="2"/>
    <m/>
    <m/>
    <s v="n/a"/>
    <d v="2026-07-06T00:00:00"/>
    <x v="3"/>
    <x v="88"/>
    <s v="HSM-BD66-GR650"/>
    <s v="H4(Com)"/>
    <s v="±1400mm"/>
    <n v="650"/>
    <n v="1440"/>
    <n v="0.93600000000000005"/>
    <n v="40"/>
    <n v="2"/>
    <x v="14"/>
    <s v="COMPLETED"/>
    <m/>
    <d v="2026-08-04T00:00:00"/>
    <n v="32"/>
    <s v="POPV260807041"/>
    <m/>
    <s v="TIANJIN"/>
    <x v="0"/>
    <x v="1"/>
    <d v="2026-08-09T00:00:00"/>
    <d v="2026-08-09T04:00:00"/>
    <d v="2026-08-09T04:37:17"/>
    <d v="2026-09-22T00:00:00"/>
    <d v="2026-09-24T23:00:00"/>
    <d v="2026-09-25T04:19:42"/>
    <m/>
    <s v="COSCO SHIPPING LIBRA 036W"/>
    <s v="COSCO"/>
    <s v="TPVB20260832012"/>
    <x v="561"/>
    <s v="COSU9508876530"/>
    <n v="46.987789351849642"/>
    <m/>
    <d v="2026-09-25T04:19:42"/>
    <s v="In Transit-Approved"/>
    <d v="2026-10-08T00:00:00"/>
    <n v="7"/>
    <d v="2026-10-02T04:19:42"/>
    <n v="2026"/>
    <n v="10"/>
    <n v="40"/>
    <n v="36"/>
    <n v="720"/>
    <s v="White glazing"/>
    <s v="AEU"/>
  </r>
  <r>
    <s v="26May007.02"/>
    <s v="Tianjin"/>
    <s v="26May007"/>
    <s v="CORE DG"/>
    <x v="0"/>
    <s v="Arrival Plan-SPNL"/>
    <s v="CIF"/>
    <x v="0"/>
    <s v="U1"/>
    <x v="2"/>
    <m/>
    <m/>
    <s v="n/a"/>
    <d v="2025-06-01T00:00:00"/>
    <x v="0"/>
    <x v="7"/>
    <s v="HSM-ND48-DR450"/>
    <s v="EVO2A"/>
    <s v="±1200mm"/>
    <n v="450"/>
    <n v="2808"/>
    <n v="1.2636000000000001"/>
    <n v="78"/>
    <n v="3"/>
    <x v="11"/>
    <s v="COMPLETED"/>
    <s v="六月8日"/>
    <d v="2026-08-04T00:00:00"/>
    <n v="32"/>
    <s v="POPV260807035"/>
    <m/>
    <s v="TIANJIN"/>
    <x v="0"/>
    <x v="1"/>
    <d v="2026-08-09T00:00:00"/>
    <d v="2026-08-09T04:00:00"/>
    <d v="2026-08-09T04:37:17"/>
    <d v="2026-09-22T00:00:00"/>
    <d v="2026-09-24T23:00:00"/>
    <d v="2026-09-25T04:19:42"/>
    <m/>
    <s v="COSCO SHIPPING LIBRA 036W"/>
    <s v="COSCO"/>
    <s v="TPVB20260832013"/>
    <x v="562"/>
    <s v="COSU6461689400"/>
    <n v="46.987789351849642"/>
    <m/>
    <d v="2026-09-25T04:19:42"/>
    <s v="In Transit-Approved"/>
    <d v="2026-10-08T00:00:00"/>
    <n v="7"/>
    <d v="2026-10-02T04:19:42"/>
    <n v="2026"/>
    <n v="10"/>
    <n v="40"/>
    <n v="36"/>
    <n v="936"/>
    <s v="Black glazing"/>
    <s v="AEU"/>
  </r>
  <r>
    <s v="26Jul008.01.01"/>
    <s v="Quzhou"/>
    <s v="26Jul008"/>
    <s v="CORE DG"/>
    <x v="0"/>
    <s v="Arrival Plan-SPUK"/>
    <s v="CIF"/>
    <x v="6"/>
    <s v="U2"/>
    <x v="165"/>
    <m/>
    <m/>
    <s v="n/a"/>
    <d v="2026-07-06T00:00:00"/>
    <x v="0"/>
    <x v="43"/>
    <s v="HSM-ND54-DR505"/>
    <s v="EVO2A"/>
    <s v="±1200mm"/>
    <n v="505"/>
    <n v="1728"/>
    <n v="0.87263999999999997"/>
    <n v="48"/>
    <n v="2"/>
    <x v="16"/>
    <s v="COMPLETED"/>
    <s v="W32"/>
    <d v="2026-08-05T00:00:00"/>
    <n v="32"/>
    <s v="POPV260807026"/>
    <m/>
    <s v="NINGBO"/>
    <x v="3"/>
    <x v="6"/>
    <d v="2026-08-09T00:00:00"/>
    <d v="2026-08-12T05:00:00"/>
    <d v="2026-08-12T05:45:18"/>
    <d v="2026-09-14T00:00:00"/>
    <d v="2026-09-21T06:30:00"/>
    <d v="2026-09-21T06:36:07"/>
    <m/>
    <s v="OOCL FELIXSTOWE 011W"/>
    <s v="COSCO"/>
    <s v="TPVB20260832003"/>
    <x v="563"/>
    <s v="COSU9508762190"/>
    <n v="40.035289351850224"/>
    <m/>
    <d v="2026-09-21T06:36:07"/>
    <s v="In Transit-Approved"/>
    <d v="2026-10-05T00:00:00"/>
    <n v="7"/>
    <d v="2026-09-28T06:36:07"/>
    <n v="2026"/>
    <n v="9"/>
    <n v="40"/>
    <n v="36"/>
    <n v="864"/>
    <s v="Black glazing"/>
    <s v="AEU"/>
  </r>
  <r>
    <s v="26Jul007.04"/>
    <s v="Quzhou"/>
    <s v="26Jul007"/>
    <s v="CORE DG"/>
    <x v="0"/>
    <s v="Arrival Plan-SPNL"/>
    <s v="CIF"/>
    <x v="0"/>
    <s v="U2"/>
    <x v="2"/>
    <m/>
    <m/>
    <s v="n/a"/>
    <d v="2026-07-06T00:00:00"/>
    <x v="0"/>
    <x v="0"/>
    <s v="HSM-ND54-DR500"/>
    <s v="EVO2A"/>
    <s v="±1200mm"/>
    <n v="500"/>
    <n v="2592"/>
    <n v="1.296"/>
    <n v="72"/>
    <n v="3"/>
    <x v="14"/>
    <s v="COMPLETED"/>
    <m/>
    <d v="2026-08-06T00:00:00"/>
    <n v="32"/>
    <s v="POPV260807023"/>
    <m/>
    <s v="NINGBO"/>
    <x v="3"/>
    <x v="1"/>
    <d v="2026-08-05T00:00:00"/>
    <m/>
    <d v="2026-08-15T20:01:35"/>
    <d v="2026-09-09T00:00:00"/>
    <d v="2026-09-18T21:00:00"/>
    <d v="2026-09-18T21:54:11"/>
    <m/>
    <s v="EVER ARM 1412W"/>
    <s v="COSCO"/>
    <s v="TPVB20260832004"/>
    <x v="564"/>
    <s v="COSU9508766060"/>
    <n v="34.078194444446126"/>
    <m/>
    <d v="2026-09-18T21:54:11"/>
    <s v="In Transit-Approved"/>
    <d v="2026-10-01T00:00:00"/>
    <n v="7"/>
    <d v="2026-09-25T21:54:11"/>
    <n v="2026"/>
    <n v="9"/>
    <n v="39"/>
    <n v="36"/>
    <n v="864"/>
    <s v="Black glazing"/>
    <s v="AEU"/>
  </r>
  <r>
    <s v="26Jun012.10.01"/>
    <s v="Quzhou"/>
    <s v="26Jun012"/>
    <s v="CORE DG"/>
    <x v="0"/>
    <s v="Arrival Plan-SPNL"/>
    <s v="CIF"/>
    <x v="0"/>
    <s v="U4"/>
    <x v="2"/>
    <m/>
    <m/>
    <s v="n/a"/>
    <d v="2026-06-22T00:00:00"/>
    <x v="0"/>
    <x v="43"/>
    <s v="HSM-ND54-DR505"/>
    <s v="EVO2A"/>
    <s v="±1200mm"/>
    <n v="505"/>
    <n v="864"/>
    <n v="0.43631999999999999"/>
    <n v="24"/>
    <n v="1"/>
    <x v="10"/>
    <s v="COMPLETED"/>
    <s v="W31"/>
    <d v="2026-08-07T00:00:00"/>
    <n v="32"/>
    <s v="POPV260814042"/>
    <m/>
    <s v="NINGBO"/>
    <x v="3"/>
    <x v="1"/>
    <d v="2026-08-12T00:00:00"/>
    <m/>
    <d v="2026-08-25T08:33:41"/>
    <d v="2026-09-16T00:00:00"/>
    <d v="2026-10-05T10:30:00"/>
    <d v="2026-10-05T00:00:00"/>
    <m/>
    <s v="EVER ALOT 1413W"/>
    <s v="COSCO"/>
    <s v="TPVB20260832005"/>
    <x v="565"/>
    <s v="COSU9508766070"/>
    <n v="40.643275462964084"/>
    <m/>
    <d v="2026-10-05T00:00:00"/>
    <s v="In Transit-Approved"/>
    <d v="2026-10-14T00:00:00"/>
    <n v="7"/>
    <d v="2026-10-12T00:00:00"/>
    <n v="2026"/>
    <n v="10"/>
    <n v="42"/>
    <n v="36"/>
    <n v="864"/>
    <s v="Black glazing"/>
    <s v="AEU"/>
  </r>
  <r>
    <s v="26Jun012.11.01"/>
    <s v="Quzhou"/>
    <s v="26Jun012"/>
    <s v="CORE DG"/>
    <x v="0"/>
    <s v="Arrival Plan-SPNL"/>
    <s v="CIF"/>
    <x v="0"/>
    <s v="U4"/>
    <x v="2"/>
    <m/>
    <m/>
    <s v="n/a"/>
    <d v="2026-06-22T00:00:00"/>
    <x v="0"/>
    <x v="43"/>
    <s v="HSM-ND54-DR505"/>
    <s v="EVO2A"/>
    <s v="±1200mm"/>
    <n v="505"/>
    <n v="864"/>
    <n v="0.43631999999999999"/>
    <n v="24"/>
    <n v="1"/>
    <x v="10"/>
    <s v="COMPLETED"/>
    <s v="W31"/>
    <d v="2026-08-07T00:00:00"/>
    <n v="32"/>
    <s v="POPV260814041"/>
    <m/>
    <s v="NINGBO"/>
    <x v="3"/>
    <x v="1"/>
    <d v="2026-08-12T00:00:00"/>
    <m/>
    <d v="2026-08-25T08:33:41"/>
    <d v="2026-09-16T00:00:00"/>
    <d v="2026-10-05T10:30:00"/>
    <d v="2026-10-05T00:00:00"/>
    <m/>
    <s v="EVER ALOT 1413W"/>
    <s v="COSCO"/>
    <s v="TPVB20260832005"/>
    <x v="565"/>
    <s v="COSU9508766070"/>
    <n v="40.643275462964084"/>
    <m/>
    <d v="2026-10-05T00:00:00"/>
    <s v="In Transit-Approved"/>
    <d v="2026-10-14T00:00:00"/>
    <n v="7"/>
    <d v="2026-10-12T00:00:00"/>
    <n v="2026"/>
    <n v="10"/>
    <n v="42"/>
    <n v="36"/>
    <n v="864"/>
    <s v="Black glazing"/>
    <s v="AEU"/>
  </r>
  <r>
    <s v="26Jul017.01.01"/>
    <s v="Quzhou"/>
    <s v="26Jul017"/>
    <s v="CORE DG"/>
    <x v="0"/>
    <s v="Arrival Plan-SPNL"/>
    <s v="CIF"/>
    <x v="0"/>
    <s v="U3"/>
    <x v="2"/>
    <m/>
    <m/>
    <s v="n/a"/>
    <d v="2026-07-27T00:00:00"/>
    <x v="3"/>
    <x v="91"/>
    <s v="HSM-BE54-DD485"/>
    <s v="EVO2A"/>
    <s v="±1200mm"/>
    <n v="485"/>
    <n v="936"/>
    <n v="0.45395999999999997"/>
    <n v="26"/>
    <n v="1"/>
    <x v="14"/>
    <s v="COMPLETED"/>
    <s v="ready"/>
    <d v="2026-08-07T00:00:00"/>
    <n v="32"/>
    <s v="POPV260814053"/>
    <m/>
    <s v="NINGBO"/>
    <x v="3"/>
    <x v="1"/>
    <d v="2026-08-12T00:00:00"/>
    <m/>
    <d v="2026-08-25T08:33:41"/>
    <d v="2026-09-16T00:00:00"/>
    <d v="2026-10-05T10:30:00"/>
    <d v="2026-10-05T00:00:00"/>
    <m/>
    <s v="EVER ALOT 1413W"/>
    <s v="COSCO"/>
    <s v="TPVB20260832005"/>
    <x v="565"/>
    <s v="COSU9508766070"/>
    <n v="40.643275462964084"/>
    <m/>
    <d v="2026-10-05T00:00:00"/>
    <s v="In Transit-Approved"/>
    <d v="2026-10-14T00:00:00"/>
    <n v="7"/>
    <d v="2026-10-12T00:00:00"/>
    <n v="2026"/>
    <n v="10"/>
    <n v="42"/>
    <n v="36"/>
    <n v="936"/>
    <s v="Black glazing"/>
    <s v="AEU"/>
  </r>
  <r>
    <s v="26Jul008.04.02"/>
    <s v="Quzhou"/>
    <s v="26Jul008"/>
    <s v="CORE DG"/>
    <x v="0"/>
    <s v="Arrival Plan-SPTN"/>
    <s v="CIF"/>
    <x v="0"/>
    <s v="U2"/>
    <x v="2"/>
    <m/>
    <m/>
    <s v="n/a"/>
    <d v="2026-07-06T00:00:00"/>
    <x v="0"/>
    <x v="43"/>
    <s v="HSM-ND54-DR505"/>
    <s v="EVO2A"/>
    <s v="±1200mm"/>
    <n v="505"/>
    <n v="864"/>
    <n v="0.43631999999999999"/>
    <n v="24"/>
    <n v="1"/>
    <x v="12"/>
    <s v="COMPLETED"/>
    <m/>
    <d v="2026-08-07T00:00:00"/>
    <n v="32"/>
    <s v="POPV260814039"/>
    <m/>
    <s v="NINGBO"/>
    <x v="3"/>
    <x v="0"/>
    <d v="2026-08-14T00:00:00"/>
    <m/>
    <d v="2026-08-20T00:19:33"/>
    <d v="2026-09-23T00:00:00"/>
    <d v="2026-10-01T22:00:00"/>
    <d v="2026-10-01T00:00:00"/>
    <m/>
    <s v="CMA CGM OSIRIS 0MEOHW"/>
    <s v="COSCO"/>
    <s v="TPVB20260832007"/>
    <x v="566"/>
    <s v="COSU9508804610"/>
    <n v="41.986423611109785"/>
    <m/>
    <d v="2026-10-01T00:00:00"/>
    <s v="In Transit-Approved"/>
    <d v="2026-10-14T00:00:00"/>
    <n v="8"/>
    <d v="2026-10-09T00:00:00"/>
    <n v="2026"/>
    <n v="10"/>
    <n v="41"/>
    <n v="36"/>
    <n v="864"/>
    <s v="Black glazing"/>
    <s v="AEM"/>
  </r>
  <r>
    <s v="26Jun015.07.01"/>
    <s v="Yixing"/>
    <s v="26Jun015"/>
    <s v="CORE DG"/>
    <x v="1"/>
    <s v="SPTN Offstore in Transit WH"/>
    <s v="CIF"/>
    <x v="15"/>
    <s v="U1"/>
    <x v="162"/>
    <s v="BE0126061200010"/>
    <m/>
    <s v="Yes"/>
    <d v="2026-06-29T00:00:00"/>
    <x v="11"/>
    <x v="84"/>
    <s v="HSM-NT48-HH465"/>
    <s v="EVO2A"/>
    <s v="±1200mm"/>
    <n v="465"/>
    <n v="936"/>
    <n v="0.43524000000000002"/>
    <n v="26"/>
    <n v="1"/>
    <x v="13"/>
    <s v="COMPLETED"/>
    <s v="Cargo damage"/>
    <d v="2026-08-14T00:00:00"/>
    <n v="33"/>
    <m/>
    <m/>
    <s v="SHANGHAI"/>
    <x v="1"/>
    <x v="1"/>
    <d v="2026-08-19T00:00:00"/>
    <d v="2026-08-20T00:00:00"/>
    <d v="2026-08-20T00:00:00"/>
    <d v="2026-09-22T00:00:00"/>
    <d v="2026-09-24T23:00:00"/>
    <d v="2026-09-25T04:19:42"/>
    <m/>
    <s v="COSCO SHIPPING LIBRA 036W"/>
    <s v="COSCO"/>
    <s v="TPVB20260833024-1"/>
    <x v="567"/>
    <s v="COSU6463190630"/>
    <n v="36.180347222223645"/>
    <m/>
    <d v="2026-09-25T04:19:42"/>
    <s v="-"/>
    <s v=""/>
    <n v="0"/>
    <d v="2026-09-25T04:19:42"/>
    <n v="2026"/>
    <n v="9"/>
    <n v="39"/>
    <n v="36"/>
    <n v="936"/>
    <s v="Black glazing"/>
    <s v="AEU"/>
  </r>
  <r>
    <s v="26Jun015.07.02"/>
    <s v="Yixing"/>
    <s v="26Jun015"/>
    <s v="CORE DG"/>
    <x v="1"/>
    <s v="SPTN Offstore in Transit WH"/>
    <s v="CIF"/>
    <x v="15"/>
    <s v="U1"/>
    <x v="162"/>
    <s v="BE0126061200010"/>
    <n v="5"/>
    <s v="Yes"/>
    <d v="2026-06-29T00:00:00"/>
    <x v="11"/>
    <x v="84"/>
    <s v="HSM-NT48-HH465"/>
    <s v="EVO2A"/>
    <s v="±1200mm"/>
    <n v="465"/>
    <n v="936"/>
    <n v="0.43524000000000002"/>
    <n v="26"/>
    <n v="1"/>
    <x v="13"/>
    <s v="COMPLETED"/>
    <s v="ready"/>
    <d v="2026-08-14T00:00:00"/>
    <n v="33"/>
    <s v="POPV260819018"/>
    <s v="POPV260819018"/>
    <s v="SHANGHAI"/>
    <x v="1"/>
    <x v="1"/>
    <d v="2026-08-19T00:00:00"/>
    <m/>
    <d v="2026-08-20T05:33:53"/>
    <d v="2026-09-22T00:00:00"/>
    <d v="2026-09-24T23:00:00"/>
    <d v="2026-09-25T04:19:42"/>
    <m/>
    <s v="COSCO SHIPPING LIBRA 036W"/>
    <s v="COSCO"/>
    <s v="TPVB20260833029"/>
    <x v="568"/>
    <s v="COSU6463190630"/>
    <n v="35.948483796295477"/>
    <s v="Y"/>
    <d v="2026-09-25T04:19:42"/>
    <s v="In Stock-Approved"/>
    <d v="2026-09-22T00:00:00"/>
    <n v="0"/>
    <d v="2026-09-25T04:19:42"/>
    <n v="2026"/>
    <n v="9"/>
    <n v="39"/>
    <n v="36"/>
    <n v="936"/>
    <s v="Black glazing"/>
    <s v="AEU"/>
  </r>
  <r>
    <s v="26May013.06"/>
    <s v="Yixing"/>
    <s v="26May013"/>
    <s v="CORE DG"/>
    <x v="0"/>
    <s v="Arrival Plan-SPNL"/>
    <s v="CIF"/>
    <x v="0"/>
    <s v="U1"/>
    <x v="2"/>
    <m/>
    <m/>
    <s v="n/a"/>
    <d v="2026-06-08T00:00:00"/>
    <x v="0"/>
    <x v="77"/>
    <s v="HSM-ND66-GK720"/>
    <s v="H4(Com)"/>
    <s v="+400mm/-200mm"/>
    <n v="720"/>
    <n v="5346"/>
    <n v="3.8491200000000001"/>
    <n v="162"/>
    <n v="9"/>
    <x v="10"/>
    <s v="COMPLETED"/>
    <s v="BW JUN"/>
    <d v="2026-08-15T00:00:00"/>
    <n v="33"/>
    <s v="POPV260821045"/>
    <s v="POPV260821045"/>
    <s v="SHANGHAI"/>
    <x v="1"/>
    <x v="1"/>
    <d v="2026-08-19T00:00:00"/>
    <m/>
    <d v="2026-08-19T04:58:10"/>
    <d v="2026-09-22T00:00:00"/>
    <d v="2026-10-03T08:00:00"/>
    <d v="2026-10-03T00:00:00"/>
    <m/>
    <s v="COSCO SHIPPING LIBRA 036W"/>
    <s v="COSCO"/>
    <s v="TPVB20260833014"/>
    <x v="569"/>
    <s v="COSU6461909030"/>
    <n v="44.792939814811689"/>
    <m/>
    <d v="2026-10-03T00:00:00"/>
    <s v="In Transit-Approved"/>
    <d v="2026-10-16T00:00:00"/>
    <n v="7"/>
    <d v="2026-10-10T00:00:00"/>
    <n v="2026"/>
    <n v="10"/>
    <n v="41"/>
    <n v="33"/>
    <n v="594"/>
    <s v="Transparent"/>
    <s v="AEU"/>
  </r>
  <r>
    <s v="26Jul002.08"/>
    <s v="Yixing"/>
    <s v="26Jul002"/>
    <s v="CORE DG"/>
    <x v="0"/>
    <s v="Arrival Plan-SPNL"/>
    <s v="CIF"/>
    <x v="0"/>
    <s v="U2"/>
    <x v="2"/>
    <m/>
    <m/>
    <s v="n/a"/>
    <d v="2026-07-06T00:00:00"/>
    <x v="6"/>
    <x v="69"/>
    <s v="SPR-P7-515-BLK-P"/>
    <s v="EVO2A"/>
    <s v="±1350mm"/>
    <n v="515"/>
    <n v="3960"/>
    <n v="2.0394000000000001"/>
    <n v="110"/>
    <n v="5"/>
    <x v="16"/>
    <s v="COMPLETED"/>
    <s v="ready"/>
    <d v="2026-08-15T00:00:00"/>
    <n v="33"/>
    <s v="POPV260821041"/>
    <s v="POPV260821041"/>
    <s v="SHANGHAI"/>
    <x v="1"/>
    <x v="1"/>
    <d v="2026-08-17T00:00:00"/>
    <m/>
    <d v="2026-08-20T05:33:53"/>
    <d v="2026-09-23T00:00:00"/>
    <d v="2026-09-24T23:00:00"/>
    <d v="2026-09-25T04:19:42"/>
    <m/>
    <s v="EVER GOVERN 1414-029W"/>
    <s v="COSCO"/>
    <s v="TPVB20260833015"/>
    <x v="570"/>
    <s v="COSU6461896790"/>
    <n v="35.948483796295477"/>
    <m/>
    <d v="2026-09-25T04:19:42"/>
    <s v="In Transit-Approved"/>
    <d v="2026-10-08T00:00:00"/>
    <n v="7"/>
    <d v="2026-10-02T04:19:42"/>
    <n v="2026"/>
    <n v="10"/>
    <n v="40"/>
    <n v="36"/>
    <n v="792"/>
    <s v="Black glazing"/>
    <s v="AEU"/>
  </r>
  <r>
    <s v="26Jul002.11"/>
    <s v="Yixing"/>
    <s v="26Jul002"/>
    <s v="CORE DG"/>
    <x v="0"/>
    <s v="Arrival Plan-SPNL"/>
    <s v="CIF"/>
    <x v="0"/>
    <s v="U1"/>
    <x v="2"/>
    <m/>
    <m/>
    <s v="n/a"/>
    <d v="2026-07-06T00:00:00"/>
    <x v="6"/>
    <x v="69"/>
    <s v="SPR-P7-515-BLK-P"/>
    <s v="EVO2A"/>
    <s v="±1350mm"/>
    <n v="515"/>
    <n v="1584"/>
    <n v="0.81576000000000004"/>
    <n v="44"/>
    <n v="2"/>
    <x v="14"/>
    <s v="COMPLETED"/>
    <s v="ready"/>
    <d v="2026-08-08T00:00:00"/>
    <n v="32"/>
    <s v="POPV260814013"/>
    <m/>
    <s v="SHANGHAI"/>
    <x v="1"/>
    <x v="1"/>
    <d v="2026-08-16T00:00:00"/>
    <d v="2026-08-16T00:00:00"/>
    <d v="2026-08-14T00:00:00"/>
    <d v="2026-10-03T00:00:00"/>
    <d v="2026-09-19T21:00:00"/>
    <d v="2026-09-20T03:14:20"/>
    <m/>
    <s v="COSCO SHIPPING GALAXY _x000a_030W"/>
    <s v="COSCO"/>
    <s v="TPVB20260833016"/>
    <x v="571"/>
    <s v="COSU6461897910"/>
    <n v="37.134953703702195"/>
    <m/>
    <d v="2026-09-20T03:14:20"/>
    <s v="In Transit-Approved"/>
    <d v="2026-10-08T00:00:00"/>
    <n v="7"/>
    <d v="2026-09-27T03:14:20"/>
    <n v="2026"/>
    <n v="9"/>
    <n v="39"/>
    <n v="36"/>
    <n v="792"/>
    <s v="Black glazing"/>
    <s v="AEU"/>
  </r>
  <r>
    <s v="26Jul004.05"/>
    <s v="Yixing"/>
    <s v="26Jul004"/>
    <s v="CORE DG"/>
    <x v="0"/>
    <s v="Arrival Plan-SPNL"/>
    <s v="CIF"/>
    <x v="0"/>
    <s v="U2"/>
    <x v="2"/>
    <m/>
    <m/>
    <s v="n/a"/>
    <d v="2026-07-20T00:00:00"/>
    <x v="1"/>
    <x v="39"/>
    <s v="TCL-MR470DT182-58NS"/>
    <s v="EVO2A"/>
    <s v="±1200mm"/>
    <n v="470"/>
    <n v="2592"/>
    <n v="1.21824"/>
    <n v="72"/>
    <n v="3"/>
    <x v="15"/>
    <s v="COMPLETED"/>
    <s v="八月1日"/>
    <d v="2026-08-08T00:00:00"/>
    <n v="32"/>
    <s v="POPV260814050"/>
    <m/>
    <s v="SHANGHAI"/>
    <x v="1"/>
    <x v="1"/>
    <d v="2026-08-16T00:00:00"/>
    <d v="2026-08-16T00:00:00"/>
    <d v="2026-08-14T00:00:00"/>
    <d v="2026-10-03T00:00:00"/>
    <d v="2026-09-19T21:00:00"/>
    <d v="2026-09-20T03:14:20"/>
    <m/>
    <s v="COSCO SHIPPING GALAXY _x000a_030W"/>
    <s v="COSCO"/>
    <s v="TPVB20260833016"/>
    <x v="571"/>
    <s v="COSU6461897910"/>
    <n v="37.134953703702195"/>
    <m/>
    <d v="2026-09-20T03:14:20"/>
    <s v="In Transit-Approved"/>
    <d v="2026-10-08T00:00:00"/>
    <n v="7"/>
    <d v="2026-09-27T03:14:20"/>
    <n v="2026"/>
    <n v="9"/>
    <n v="39"/>
    <n v="36"/>
    <n v="864"/>
    <s v="White glazing"/>
    <s v="AEU"/>
  </r>
  <r>
    <s v="26Jul002.14.01"/>
    <s v="Yixing"/>
    <s v="26Jul002"/>
    <s v="CORE DG"/>
    <x v="0"/>
    <s v="Arrival Plan-SPNL"/>
    <s v="CIF"/>
    <x v="0"/>
    <s v="U1"/>
    <x v="2"/>
    <m/>
    <m/>
    <s v="n/a"/>
    <d v="2026-07-06T00:00:00"/>
    <x v="6"/>
    <x v="69"/>
    <s v="SPR-P7-515-BLK-P"/>
    <s v="EVO2A"/>
    <s v="±1350mm"/>
    <n v="515"/>
    <n v="1584"/>
    <n v="0.81576000000000004"/>
    <n v="44"/>
    <n v="2"/>
    <x v="13"/>
    <s v="COMPLETED"/>
    <m/>
    <d v="2026-08-08T00:00:00"/>
    <n v="32"/>
    <s v="POPV260814015"/>
    <m/>
    <s v="SHANGHAI"/>
    <x v="1"/>
    <x v="1"/>
    <d v="2026-08-16T00:00:00"/>
    <d v="2026-08-16T00:00:00"/>
    <d v="2026-08-14T00:00:00"/>
    <d v="2026-10-03T00:00:00"/>
    <d v="2026-09-19T21:00:00"/>
    <d v="2026-09-20T03:14:20"/>
    <m/>
    <s v="COSCO SHIPPING GALAXY _x000a_030W"/>
    <s v="COSCO"/>
    <s v="TPVB20260833016"/>
    <x v="571"/>
    <s v="COSU6461897910"/>
    <n v="37.134953703702195"/>
    <m/>
    <d v="2026-09-20T03:14:20"/>
    <s v="In Transit-Approved"/>
    <d v="2026-10-08T00:00:00"/>
    <n v="7"/>
    <d v="2026-09-27T03:14:20"/>
    <n v="2026"/>
    <n v="9"/>
    <n v="39"/>
    <n v="36"/>
    <n v="792"/>
    <s v="Black glazing"/>
    <s v="AEU"/>
  </r>
  <r>
    <s v="26May014.08"/>
    <s v="Yixing"/>
    <s v="26May014"/>
    <s v="CORE DG"/>
    <x v="0"/>
    <s v="Arrival Plan-SPNL"/>
    <s v="CIF"/>
    <x v="0"/>
    <s v="U1"/>
    <x v="2"/>
    <s v="AT0126042100006"/>
    <n v="42"/>
    <s v="n/a"/>
    <d v="2026-06-08T00:00:00"/>
    <x v="0"/>
    <x v="78"/>
    <s v="HSM-ND66-GK725"/>
    <s v="H4(Com)"/>
    <s v="+400mm/-200mm"/>
    <n v="725"/>
    <n v="594"/>
    <n v="0.43064999999999998"/>
    <n v="18"/>
    <n v="1"/>
    <x v="8"/>
    <s v="COMPLETED"/>
    <s v="BW JUN"/>
    <d v="2026-08-07T00:00:00"/>
    <n v="32"/>
    <s v="POPV260814044"/>
    <m/>
    <s v="SHANGHAI"/>
    <x v="1"/>
    <x v="1"/>
    <d v="2026-08-16T00:00:00"/>
    <d v="2026-08-15T00:00:00"/>
    <d v="2026-08-14T00:00:00"/>
    <d v="2026-10-03T00:00:00"/>
    <d v="2026-09-19T21:00:00"/>
    <d v="2026-09-20T03:14:20"/>
    <m/>
    <s v="COSCO SHIPPING GALAXY _x000a_030W"/>
    <s v="COSCO"/>
    <s v="TPVB20260833017"/>
    <x v="572"/>
    <s v="COSU6461909570"/>
    <n v="37.134953703702195"/>
    <m/>
    <d v="2026-09-20T03:14:20"/>
    <s v="In Transit-Approved"/>
    <d v="2026-10-05T00:00:00"/>
    <n v="7"/>
    <d v="2026-09-27T03:14:20"/>
    <n v="2026"/>
    <n v="9"/>
    <n v="39"/>
    <n v="33"/>
    <n v="594"/>
    <s v="Transparent"/>
    <s v="AEU"/>
  </r>
  <r>
    <s v="26May014.06.01"/>
    <s v="Yixing"/>
    <s v="26May014"/>
    <s v="CORE DG"/>
    <x v="0"/>
    <s v="Arrival Plan-SPNL"/>
    <s v="CIF"/>
    <x v="0"/>
    <s v="U1"/>
    <x v="2"/>
    <s v="AT0126042100006"/>
    <n v="53"/>
    <s v="n/a"/>
    <d v="2026-06-08T00:00:00"/>
    <x v="0"/>
    <x v="78"/>
    <s v="HSM-ND66-GK725"/>
    <s v="H4(Com)"/>
    <s v="+400mm/-200mm"/>
    <n v="725"/>
    <n v="594"/>
    <n v="0.43064999999999998"/>
    <n v="18"/>
    <n v="1"/>
    <x v="10"/>
    <s v="COMPLETED"/>
    <s v="BW JUN"/>
    <d v="2026-08-07T00:00:00"/>
    <n v="32"/>
    <s v="POPV260814045"/>
    <m/>
    <s v="SHANGHAI"/>
    <x v="1"/>
    <x v="1"/>
    <d v="2026-08-16T00:00:00"/>
    <d v="2026-08-15T00:00:00"/>
    <d v="2026-08-14T00:00:00"/>
    <d v="2026-10-03T00:00:00"/>
    <d v="2026-09-19T21:00:00"/>
    <d v="2026-09-20T03:14:20"/>
    <m/>
    <s v="COSCO SHIPPING GALAXY 030W"/>
    <s v="COSCO"/>
    <s v="TPVB20260833017"/>
    <x v="572"/>
    <s v="COSU6461909570"/>
    <n v="37.134953703702195"/>
    <m/>
    <d v="2026-09-20T03:14:20"/>
    <s v="In Transit-Approved"/>
    <d v="2026-10-05T00:00:00"/>
    <n v="7"/>
    <d v="2026-09-27T03:14:20"/>
    <n v="2026"/>
    <n v="9"/>
    <n v="39"/>
    <n v="33"/>
    <n v="594"/>
    <s v="Transparent"/>
    <s v="AEU"/>
  </r>
  <r>
    <s v="26May011.10.02"/>
    <s v="Yixing"/>
    <s v="26May011"/>
    <s v="CORE DG"/>
    <x v="0"/>
    <s v="Arrival Plan-SPNL"/>
    <s v="CIF"/>
    <x v="0"/>
    <s v="U1"/>
    <x v="2"/>
    <m/>
    <m/>
    <s v="n/a"/>
    <d v="2026-05-25T00:00:00"/>
    <x v="0"/>
    <x v="74"/>
    <s v="HSM-ND66-GR625"/>
    <s v="H4(Com)"/>
    <s v="+400mm/-200mm"/>
    <n v="625"/>
    <n v="720"/>
    <n v="0.45"/>
    <n v="20"/>
    <n v="1"/>
    <x v="13"/>
    <s v="COMPLETED"/>
    <s v="BW JUN"/>
    <d v="2026-08-07T00:00:00"/>
    <n v="32"/>
    <s v="POPV260814049"/>
    <m/>
    <s v="SHANGHAI"/>
    <x v="1"/>
    <x v="1"/>
    <d v="2026-08-16T00:00:00"/>
    <d v="2026-08-15T00:00:00"/>
    <d v="2026-08-14T00:00:00"/>
    <d v="2026-10-03T00:00:00"/>
    <d v="2026-09-19T21:00:00"/>
    <d v="2026-09-20T03:14:20"/>
    <m/>
    <s v="COSCO SHIPPING GALAXY _x000a_030W"/>
    <s v="COSCO"/>
    <s v="TPVB20260833017"/>
    <x v="572"/>
    <s v="COSU6461909570"/>
    <n v="37.134953703702195"/>
    <m/>
    <d v="2026-09-20T03:14:20"/>
    <s v="In Transit-Approved"/>
    <d v="2026-10-05T00:00:00"/>
    <n v="7"/>
    <d v="2026-09-27T03:14:20"/>
    <n v="2026"/>
    <n v="9"/>
    <n v="39"/>
    <n v="36"/>
    <n v="720"/>
    <s v="Transparent"/>
    <s v="AEU"/>
  </r>
  <r>
    <s v="26May014.05.01"/>
    <s v="Yixing"/>
    <s v="26May014"/>
    <s v="CORE DG"/>
    <x v="0"/>
    <s v="Arrival Plan-SPNL"/>
    <s v="CIF"/>
    <x v="0"/>
    <s v="U1"/>
    <x v="2"/>
    <s v="AT0126042100006"/>
    <n v="44"/>
    <s v="n/a"/>
    <d v="2026-06-08T00:00:00"/>
    <x v="0"/>
    <x v="78"/>
    <s v="HSM-ND66-GK725"/>
    <s v="H4(Com)"/>
    <s v="+400mm/-200mm"/>
    <n v="725"/>
    <n v="2970"/>
    <n v="2.1532499999999999"/>
    <n v="90"/>
    <n v="5"/>
    <x v="8"/>
    <s v="COMPLETED"/>
    <s v="BW JUN"/>
    <d v="2026-08-21T00:00:00"/>
    <n v="34"/>
    <s v="POPV260825017"/>
    <m/>
    <s v="SHANGHAI"/>
    <x v="1"/>
    <x v="1"/>
    <d v="2026-08-24T00:00:00"/>
    <d v="2026-09-02T00:00:00"/>
    <d v="2026-09-02T00:00:00"/>
    <d v="2026-09-30T00:00:00"/>
    <d v="2026-10-27T00:00:00"/>
    <d v="2026-10-29T00:00:00"/>
    <m/>
    <s v="EVER EON 0826-003W "/>
    <s v="OTHER"/>
    <s v="TPVB20260834010"/>
    <x v="573"/>
    <s v="EGLV149606936262"/>
    <n v="57"/>
    <m/>
    <d v="2026-10-29T00:00:00"/>
    <s v="In Transit-Approved"/>
    <d v="2026-10-07T00:00:00"/>
    <n v="7"/>
    <d v="2026-11-05T00:00:00"/>
    <n v="2026"/>
    <n v="11"/>
    <n v="45"/>
    <n v="33"/>
    <n v="594"/>
    <s v="Transparent"/>
    <s v="AEU"/>
  </r>
  <r>
    <s v="26May014.05.02"/>
    <s v="Yixing"/>
    <s v="26May014"/>
    <s v="CORE DG"/>
    <x v="0"/>
    <s v="Arrival Plan-SPNL"/>
    <s v="CIF"/>
    <x v="0"/>
    <s v="U1"/>
    <x v="2"/>
    <s v="AT0126042100006"/>
    <n v="44"/>
    <s v="n/a"/>
    <d v="2026-06-08T00:00:00"/>
    <x v="0"/>
    <x v="78"/>
    <s v="HSM-ND66-GK725"/>
    <s v="H4(Com)"/>
    <s v="+400mm/-200mm"/>
    <n v="725"/>
    <n v="1188"/>
    <n v="0.86129999999999995"/>
    <n v="36"/>
    <n v="2"/>
    <x v="8"/>
    <s v="COMPLETED"/>
    <s v="BW JUN"/>
    <d v="2026-08-21T00:00:00"/>
    <n v="34"/>
    <s v="POPV260825016"/>
    <m/>
    <s v="SHANGHAI"/>
    <x v="1"/>
    <x v="1"/>
    <d v="2026-08-24T00:00:00"/>
    <d v="2026-09-02T00:00:00"/>
    <d v="2026-09-02T00:00:00"/>
    <d v="2026-09-30T00:00:00"/>
    <d v="2026-10-27T00:00:00"/>
    <d v="2026-10-29T00:00:00"/>
    <m/>
    <s v="EVER EON 0826-003W "/>
    <s v="OTHER"/>
    <s v="TPVB20260834010"/>
    <x v="573"/>
    <s v="EGLV149607114339"/>
    <n v="57"/>
    <m/>
    <d v="2026-10-29T00:00:00"/>
    <s v="In Transit-Approved"/>
    <d v="2026-10-07T00:00:00"/>
    <n v="7"/>
    <d v="2026-11-05T00:00:00"/>
    <n v="2026"/>
    <n v="11"/>
    <n v="45"/>
    <n v="33"/>
    <n v="594"/>
    <s v="Transparent"/>
    <s v="AEU"/>
  </r>
  <r>
    <s v="26May011.10.01"/>
    <s v="Yixing"/>
    <s v="26May011"/>
    <s v="CORE DG"/>
    <x v="0"/>
    <s v="Arrival Plan-SPNL"/>
    <s v="CIF"/>
    <x v="0"/>
    <s v="U6"/>
    <x v="2"/>
    <m/>
    <m/>
    <s v="n/a"/>
    <d v="2026-05-25T00:00:00"/>
    <x v="0"/>
    <x v="74"/>
    <s v="HSM-ND66-GR625"/>
    <s v="H4(Com)"/>
    <s v="+400mm/-200mm"/>
    <n v="625"/>
    <n v="720"/>
    <n v="0.45"/>
    <n v="20"/>
    <n v="1"/>
    <x v="9"/>
    <s v="COMPLETED"/>
    <s v="BW JUN"/>
    <d v="2026-08-21T00:00:00"/>
    <n v="34"/>
    <s v="POPV260825020"/>
    <m/>
    <s v="SHANGHAI"/>
    <x v="1"/>
    <x v="1"/>
    <d v="2026-08-24T00:00:00"/>
    <d v="2026-09-02T00:00:00"/>
    <d v="2026-09-02T00:00:00"/>
    <d v="2026-09-30T00:00:00"/>
    <d v="2026-10-27T00:00:00"/>
    <d v="2026-10-29T00:00:00"/>
    <m/>
    <s v="EVER ATOP 1415-014W"/>
    <s v="OTHER"/>
    <s v="TPVB20260834010"/>
    <x v="573"/>
    <s v="EGLV149607114339"/>
    <n v="57"/>
    <m/>
    <d v="2026-10-29T00:00:00"/>
    <s v="In Transit-Approved"/>
    <d v="2026-10-07T00:00:00"/>
    <n v="7"/>
    <d v="2026-11-05T00:00:00"/>
    <n v="2026"/>
    <n v="11"/>
    <n v="45"/>
    <n v="36"/>
    <n v="720"/>
    <s v="Transparent"/>
    <s v="AEU"/>
  </r>
  <r>
    <s v="26May014.06"/>
    <s v="Yixing"/>
    <s v="26May014"/>
    <s v="CORE DG"/>
    <x v="0"/>
    <s v="Arrival Plan-SPNL"/>
    <s v="CIF"/>
    <x v="0"/>
    <s v="U1"/>
    <x v="2"/>
    <s v="AT0126042100006"/>
    <n v="53"/>
    <s v="n/a"/>
    <d v="2026-06-08T00:00:00"/>
    <x v="0"/>
    <x v="78"/>
    <s v="HSM-ND66-GK725"/>
    <s v="H4(Com)"/>
    <s v="+400mm/-200mm"/>
    <n v="725"/>
    <n v="4752"/>
    <n v="3.4451999999999998"/>
    <n v="144"/>
    <n v="8"/>
    <x v="10"/>
    <s v="COMPLETED"/>
    <s v="BW JUN"/>
    <d v="2026-08-12T00:00:00"/>
    <n v="33"/>
    <s v="POPV260824017"/>
    <m/>
    <s v="SHANGHAI"/>
    <x v="1"/>
    <x v="1"/>
    <d v="2026-08-15T00:00:00"/>
    <m/>
    <d v="2026-08-14T00:00:00"/>
    <d v="2026-09-17T00:00:00"/>
    <d v="2026-09-19T21:00:00"/>
    <d v="2026-09-20T03:14:20"/>
    <m/>
    <s v="COSCO SHIPPING GALAXY 030W"/>
    <s v="COSCO"/>
    <s v="TPVB20260833018"/>
    <x v="574"/>
    <s v="COSU6462349090"/>
    <n v="37.134953703702195"/>
    <m/>
    <d v="2026-09-20T03:14:20"/>
    <s v="In Transit-Approved"/>
    <d v="2026-10-05T00:00:00"/>
    <n v="7"/>
    <d v="2026-09-27T03:14:20"/>
    <n v="2026"/>
    <n v="9"/>
    <n v="39"/>
    <n v="33"/>
    <n v="594"/>
    <s v="Transparent"/>
    <s v="AEU"/>
  </r>
  <r>
    <s v="26May014.05"/>
    <s v="Yixing"/>
    <s v="26May014"/>
    <s v="CORE DG"/>
    <x v="0"/>
    <s v="Arrival Plan-SPNL"/>
    <s v="CIF"/>
    <x v="0"/>
    <s v="U1"/>
    <x v="2"/>
    <s v="AT0126042100006"/>
    <n v="44"/>
    <s v="n/a"/>
    <d v="2026-06-08T00:00:00"/>
    <x v="0"/>
    <x v="78"/>
    <s v="HSM-ND66-GK725"/>
    <s v="H4(Com)"/>
    <s v="+400mm/-200mm"/>
    <n v="725"/>
    <n v="1188"/>
    <n v="0.86129999999999995"/>
    <n v="36"/>
    <n v="2"/>
    <x v="8"/>
    <s v="COMPLETED"/>
    <s v="BW JUN"/>
    <d v="2026-08-12T00:00:00"/>
    <n v="33"/>
    <s v="POPV260824018"/>
    <m/>
    <s v="SHANGHAI"/>
    <x v="1"/>
    <x v="1"/>
    <d v="2026-08-15T00:00:00"/>
    <m/>
    <d v="2026-08-14T00:00:00"/>
    <d v="2026-09-17T00:00:00"/>
    <d v="2026-09-19T21:00:00"/>
    <d v="2026-09-20T03:14:20"/>
    <m/>
    <s v="COSCO SHIPPING GALAXY 030W"/>
    <s v="COSCO"/>
    <s v="TPVB20260833018"/>
    <x v="574"/>
    <s v="COSU6462349090"/>
    <n v="37.134953703702195"/>
    <m/>
    <d v="2026-09-20T03:14:20"/>
    <s v="In Transit-Approved"/>
    <d v="2026-09-04T00:00:00"/>
    <n v="7"/>
    <d v="2026-09-27T03:14:20"/>
    <n v="2026"/>
    <n v="9"/>
    <n v="39"/>
    <n v="33"/>
    <n v="594"/>
    <s v="Transparent"/>
    <s v="AEU"/>
  </r>
  <r>
    <s v="26May013.05"/>
    <s v="Yixing"/>
    <s v="26May013"/>
    <s v="CORE DG"/>
    <x v="0"/>
    <s v="Arrival Plan-SPNL"/>
    <s v="CIF"/>
    <x v="0"/>
    <s v="U1"/>
    <x v="2"/>
    <s v="AT0126042100006"/>
    <n v="52"/>
    <s v="n/a"/>
    <d v="2026-06-08T00:00:00"/>
    <x v="0"/>
    <x v="77"/>
    <s v="HSM-ND66-GK720"/>
    <s v="H4(Com)"/>
    <s v="+400mm/-200mm"/>
    <n v="720"/>
    <n v="1782"/>
    <n v="1.28304"/>
    <n v="54"/>
    <n v="3"/>
    <x v="8"/>
    <s v="COMPLETED"/>
    <s v="BW JUN"/>
    <d v="2026-08-11T00:00:00"/>
    <n v="33"/>
    <s v="POPV260814046"/>
    <m/>
    <s v="SHANGHAI"/>
    <x v="1"/>
    <x v="1"/>
    <d v="2026-08-15T00:00:00"/>
    <m/>
    <d v="2026-08-14T00:00:00"/>
    <d v="2026-09-17T00:00:00"/>
    <d v="2026-09-19T21:00:00"/>
    <d v="2026-09-20T03:14:20"/>
    <m/>
    <s v="COSCO SHIPPING GALAXY 030W"/>
    <s v="COSCO"/>
    <s v="TPVB20260833019"/>
    <x v="575"/>
    <s v="COSU6462350050"/>
    <n v="37.134953703702195"/>
    <m/>
    <d v="2026-09-20T03:14:20"/>
    <s v="In Transit-Approved"/>
    <d v="2026-10-05T00:00:00"/>
    <n v="7"/>
    <d v="2026-09-27T03:14:20"/>
    <n v="2026"/>
    <n v="9"/>
    <n v="39"/>
    <n v="33"/>
    <n v="594"/>
    <s v="Transparent"/>
    <s v="AEU"/>
  </r>
  <r>
    <s v="26May012.07"/>
    <s v="Yixing"/>
    <s v="26May012"/>
    <s v="CORE DG"/>
    <x v="1"/>
    <s v="SPTN Offstore in Transit WH"/>
    <s v="CIF"/>
    <x v="10"/>
    <s v="U2"/>
    <x v="173"/>
    <s v="DE0126080400009"/>
    <n v="27"/>
    <s v="Yes"/>
    <d v="2026-05-25T00:00:00"/>
    <x v="0"/>
    <x v="75"/>
    <s v="HSM-ND66-GR630"/>
    <s v="H4(Com)"/>
    <s v="+400mm/-200mm"/>
    <n v="630"/>
    <n v="4320"/>
    <n v="2.7216"/>
    <n v="120"/>
    <n v="6"/>
    <x v="14"/>
    <s v="COMPLETED"/>
    <s v="BW JUN"/>
    <d v="2026-08-11T00:00:00"/>
    <n v="33"/>
    <s v="POPV260901007"/>
    <m/>
    <s v="SHANGHAI"/>
    <x v="1"/>
    <x v="1"/>
    <d v="2026-08-15T00:00:00"/>
    <m/>
    <d v="2026-08-14T00:00:00"/>
    <d v="2026-09-17T00:00:00"/>
    <d v="2026-09-19T21:00:00"/>
    <d v="2026-09-20T03:14:20"/>
    <m/>
    <s v="COSCO SHIPPING GALAXY 030W"/>
    <s v="COSCO"/>
    <s v="TPVB20260833019-1"/>
    <x v="576"/>
    <s v="COSU6462350050"/>
    <n v="37.134953703702195"/>
    <m/>
    <d v="2026-09-20T03:14:20"/>
    <s v="In Stock-Approved"/>
    <d v="2026-10-05T00:00:00"/>
    <n v="0"/>
    <d v="2026-09-20T03:14:20"/>
    <n v="2026"/>
    <n v="9"/>
    <n v="38"/>
    <n v="36"/>
    <n v="720"/>
    <s v="Transparent"/>
    <s v="AEU"/>
  </r>
  <r>
    <s v="26Jul003.02.02"/>
    <s v="Yixing"/>
    <s v="26Jul003"/>
    <s v="CORE DG"/>
    <x v="0"/>
    <s v="Arrival Plan-SPTN"/>
    <s v="CIF"/>
    <x v="0"/>
    <s v="U1"/>
    <x v="2"/>
    <m/>
    <m/>
    <s v="n/a"/>
    <d v="2026-07-20T00:00:00"/>
    <x v="1"/>
    <x v="6"/>
    <s v="TCL-MR465DT182-58NS"/>
    <s v="EVO2A"/>
    <s v="±1200mm"/>
    <n v="465"/>
    <n v="864"/>
    <n v="0.40176000000000001"/>
    <n v="24"/>
    <n v="1"/>
    <x v="16"/>
    <s v="COMPLETED"/>
    <m/>
    <d v="2026-08-13T00:00:00"/>
    <n v="33"/>
    <s v="POPV260814018"/>
    <m/>
    <s v="SHANGHAI"/>
    <x v="1"/>
    <x v="0"/>
    <d v="2026-08-20T00:00:00"/>
    <m/>
    <d v="2026-08-19T23:28:51"/>
    <d v="2026-09-30T00:00:00"/>
    <d v="2026-09-25T06:00:00"/>
    <d v="2026-09-25T05:35:14"/>
    <m/>
    <s v="CMA CGM VASCO DE GAMA 0MEOJW1MA"/>
    <s v="COSCO"/>
    <s v="TPVB20260833020"/>
    <x v="577"/>
    <s v="COSU6461814320"/>
    <n v="36.254432870373421"/>
    <m/>
    <d v="2026-09-25T05:35:14"/>
    <s v="In Transit-Approved"/>
    <d v="2026-10-07T00:00:00"/>
    <n v="8"/>
    <d v="2026-10-03T05:35:14"/>
    <n v="2026"/>
    <n v="10"/>
    <n v="40"/>
    <n v="36"/>
    <n v="864"/>
    <s v="White glazing"/>
    <s v="AEM"/>
  </r>
  <r>
    <s v="26Jul003.01"/>
    <s v="Yixing"/>
    <s v="26Jul003"/>
    <s v="CORE DG"/>
    <x v="0"/>
    <s v="Arrival Plan-SPTN"/>
    <s v="CIF"/>
    <x v="0"/>
    <s v="U2"/>
    <x v="2"/>
    <m/>
    <m/>
    <s v="n/a"/>
    <d v="2026-07-20T00:00:00"/>
    <x v="1"/>
    <x v="6"/>
    <s v="TCL-MR465DT182-58NS"/>
    <s v="EVO2A"/>
    <s v="±1200mm"/>
    <n v="465"/>
    <n v="2592"/>
    <n v="1.2052799999999999"/>
    <n v="72"/>
    <n v="3"/>
    <x v="12"/>
    <s v="COMPLETED"/>
    <m/>
    <d v="2026-08-13T00:00:00"/>
    <n v="33"/>
    <s v="POPV260814020"/>
    <m/>
    <s v="SHANGHAI"/>
    <x v="1"/>
    <x v="0"/>
    <d v="2026-08-20T00:00:00"/>
    <m/>
    <d v="2026-08-19T23:28:51"/>
    <d v="2026-09-30T00:00:00"/>
    <d v="2026-09-25T06:00:00"/>
    <d v="2026-09-25T05:35:14"/>
    <m/>
    <s v="CMA CGM VASCO DE GAMA 0MEOJW1MA"/>
    <s v="COSCO"/>
    <s v="TPVB20260833020"/>
    <x v="577"/>
    <s v="COSU6461814320"/>
    <n v="36.254432870373421"/>
    <m/>
    <d v="2026-09-25T05:35:14"/>
    <s v="In Transit-Approved"/>
    <d v="2026-10-07T00:00:00"/>
    <n v="8"/>
    <d v="2026-10-03T05:35:14"/>
    <n v="2026"/>
    <n v="10"/>
    <n v="40"/>
    <n v="36"/>
    <n v="864"/>
    <s v="White glazing"/>
    <s v="AEM"/>
  </r>
  <r>
    <s v="26Jul004.02"/>
    <s v="Yixing"/>
    <s v="26Jul004"/>
    <s v="CORE DG"/>
    <x v="0"/>
    <s v="Arrival Plan-SPTN"/>
    <s v="CIF"/>
    <x v="0"/>
    <s v="U1"/>
    <x v="2"/>
    <m/>
    <m/>
    <s v="n/a"/>
    <d v="2026-07-20T00:00:00"/>
    <x v="1"/>
    <x v="39"/>
    <s v="TCL-MR470DT182-58NS"/>
    <s v="EVO2A"/>
    <s v="±1200mm"/>
    <n v="470"/>
    <n v="2592"/>
    <n v="1.21824"/>
    <n v="72"/>
    <n v="3"/>
    <x v="16"/>
    <s v="COMPLETED"/>
    <m/>
    <d v="2026-08-19T00:00:00"/>
    <n v="34"/>
    <s v="POPV260821020"/>
    <s v="POPV260821020"/>
    <s v="SHANGHAI"/>
    <x v="1"/>
    <x v="0"/>
    <d v="2026-08-25T00:00:00"/>
    <d v="2026-08-29T00:00:00"/>
    <d v="2026-08-29T11:36:00"/>
    <d v="2026-10-12T00:00:00"/>
    <d v="2026-10-23T07:15:00"/>
    <d v="2026-10-23T08:59:39"/>
    <m/>
    <s v="OOCL HONG KONG 040W"/>
    <s v="COSCO"/>
    <s v="TPVB20260833021"/>
    <x v="578"/>
    <s v="COSU6461816750"/>
    <n v="54.891423611115897"/>
    <m/>
    <d v="2026-10-23T08:59:39"/>
    <s v="In Transit-Approved"/>
    <d v="2026-10-21T00:00:00"/>
    <n v="8"/>
    <d v="2026-10-31T08:59:39"/>
    <n v="2026"/>
    <n v="10"/>
    <n v="44"/>
    <n v="36"/>
    <n v="864"/>
    <s v="White glazing"/>
    <s v="AEM"/>
  </r>
  <r>
    <s v="26Jul001.02"/>
    <s v="Yixing"/>
    <s v="26Jul001"/>
    <s v="CORE DG"/>
    <x v="0"/>
    <s v="Arrival Plan-SPTN"/>
    <s v="CIF"/>
    <x v="0"/>
    <s v="U2"/>
    <x v="2"/>
    <m/>
    <m/>
    <s v="n/a"/>
    <d v="2026-07-06T00:00:00"/>
    <x v="6"/>
    <x v="21"/>
    <s v="SPR-P7-510-BLK-P"/>
    <s v="EVO2A"/>
    <s v="±1350mm"/>
    <n v="510"/>
    <n v="1584"/>
    <n v="0.80784"/>
    <n v="44"/>
    <n v="2"/>
    <x v="12"/>
    <s v="COMPLETED"/>
    <m/>
    <d v="2026-08-19T00:00:00"/>
    <n v="34"/>
    <s v="POPV260821038"/>
    <s v="POPV260821038"/>
    <s v="SHANGHAI"/>
    <x v="1"/>
    <x v="0"/>
    <d v="2026-08-25T00:00:00"/>
    <d v="2026-08-29T00:00:00"/>
    <d v="2026-08-29T11:36:00"/>
    <d v="2026-10-12T00:00:00"/>
    <d v="2026-10-23T07:15:00"/>
    <d v="2026-10-23T08:59:39"/>
    <m/>
    <s v="OOCL HONG KONG 040W"/>
    <s v="COSCO"/>
    <s v="TPVB20260833021"/>
    <x v="578"/>
    <s v="COSU6461816750"/>
    <n v="54.891423611115897"/>
    <m/>
    <d v="2026-10-23T08:59:39"/>
    <s v="In Transit-Approved"/>
    <d v="2026-10-21T00:00:00"/>
    <n v="8"/>
    <d v="2026-10-31T08:59:39"/>
    <n v="2026"/>
    <n v="10"/>
    <n v="44"/>
    <n v="36"/>
    <n v="792"/>
    <s v="Black glazing"/>
    <s v="AEM"/>
  </r>
  <r>
    <s v="26Jun011.11"/>
    <s v="Quzhou"/>
    <s v="26Jun011"/>
    <s v="CORE DG"/>
    <x v="0"/>
    <s v="Arrival Plan-SPTN"/>
    <s v="CIF"/>
    <x v="0"/>
    <s v="U1"/>
    <x v="2"/>
    <m/>
    <m/>
    <s v="n/a"/>
    <d v="2026-06-22T00:00:00"/>
    <x v="0"/>
    <x v="0"/>
    <s v="HSM-ND54-DR500"/>
    <s v="EVO2A"/>
    <s v="±1200mm"/>
    <n v="500"/>
    <n v="864"/>
    <n v="0.432"/>
    <n v="24"/>
    <n v="1"/>
    <x v="10"/>
    <s v="COMPLETED"/>
    <s v="六月23日"/>
    <d v="2026-08-23T00:00:00"/>
    <n v="34"/>
    <s v="POPV260825013"/>
    <m/>
    <s v="SHANGHAI / QUZHOU"/>
    <x v="1"/>
    <x v="0"/>
    <d v="2026-08-19T00:00:00"/>
    <d v="2026-09-02T00:00:00"/>
    <d v="2026-09-02T00:00:00"/>
    <d v="2026-10-14T00:00:00"/>
    <m/>
    <d v="2026-10-14T00:00:00"/>
    <m/>
    <s v="ANGELICA MAERSK 632W"/>
    <s v="OTHER"/>
    <s v="TPVB20260833002"/>
    <x v="579"/>
    <n v="275125721"/>
    <n v="42"/>
    <m/>
    <d v="2026-10-14T00:00:00"/>
    <s v="In Transit-Approved"/>
    <d v="2026-10-15T00:00:00"/>
    <n v="8"/>
    <d v="2026-10-22T00:00:00"/>
    <n v="2026"/>
    <n v="10"/>
    <n v="43"/>
    <n v="36"/>
    <n v="864"/>
    <s v="Black glazing"/>
    <s v="AEM"/>
  </r>
  <r>
    <s v="26Jul007.02"/>
    <s v="Quzhou"/>
    <s v="26Jul007"/>
    <s v="CORE DG"/>
    <x v="0"/>
    <s v="Arrival Plan-SPTN"/>
    <s v="CIF"/>
    <x v="0"/>
    <s v="U1"/>
    <x v="2"/>
    <m/>
    <m/>
    <s v="n/a"/>
    <d v="2026-07-06T00:00:00"/>
    <x v="0"/>
    <x v="0"/>
    <s v="HSM-ND54-DR500"/>
    <s v="EVO2A"/>
    <s v="±1200mm"/>
    <n v="500"/>
    <n v="3456"/>
    <n v="1.728"/>
    <n v="96"/>
    <n v="4"/>
    <x v="11"/>
    <s v="COMPLETED"/>
    <m/>
    <d v="2026-08-23T00:00:00"/>
    <n v="34"/>
    <s v="POPV260825014"/>
    <m/>
    <s v="SHANGHAI / QUZHOU"/>
    <x v="1"/>
    <x v="0"/>
    <d v="2026-08-19T00:00:00"/>
    <d v="2026-09-02T00:00:00"/>
    <d v="2026-09-02T00:00:00"/>
    <d v="2026-10-14T00:00:00"/>
    <m/>
    <d v="2026-10-14T00:00:00"/>
    <m/>
    <s v="ANGELICA MAERSK 632W"/>
    <s v="OTHER"/>
    <s v="TPVB20260833002"/>
    <x v="579"/>
    <n v="275125721"/>
    <n v="42"/>
    <m/>
    <d v="2026-10-14T00:00:00"/>
    <s v="In Transit-Approved"/>
    <d v="2026-10-15T00:00:00"/>
    <n v="8"/>
    <d v="2026-10-22T00:00:00"/>
    <n v="2026"/>
    <n v="10"/>
    <n v="43"/>
    <n v="36"/>
    <n v="864"/>
    <s v="Black glazing"/>
    <s v="AEM"/>
  </r>
  <r>
    <s v="26Jul016.01"/>
    <s v="Yixing"/>
    <s v="26Jul016"/>
    <s v="CORE DG"/>
    <x v="0"/>
    <s v="Arrival Plan-SPTN"/>
    <s v="CIF"/>
    <x v="0"/>
    <s v="U2"/>
    <x v="2"/>
    <m/>
    <m/>
    <s v="n/a"/>
    <d v="2026-07-31T00:00:00"/>
    <x v="11"/>
    <x v="89"/>
    <s v="HSM-NT48-JH475 CFP"/>
    <s v="EVO2A"/>
    <s v="±1200mm"/>
    <n v="475"/>
    <n v="11232"/>
    <n v="5.3352000000000004"/>
    <n v="312"/>
    <n v="12"/>
    <x v="14"/>
    <s v="COMPLETED"/>
    <m/>
    <d v="2026-08-23T00:00:00"/>
    <n v="34"/>
    <s v="POPV260825025"/>
    <m/>
    <s v="SHANGHAI"/>
    <x v="1"/>
    <x v="0"/>
    <d v="2026-08-19T00:00:00"/>
    <d v="2026-09-02T00:00:00"/>
    <d v="2026-09-02T00:00:00"/>
    <d v="2026-10-14T00:00:00"/>
    <m/>
    <d v="2026-10-14T00:00:00"/>
    <m/>
    <s v="ANGELICA MAERSK 632W"/>
    <s v="OTHER"/>
    <s v="TPVB20260833003"/>
    <x v="580"/>
    <n v="274886721"/>
    <n v="42"/>
    <m/>
    <d v="2026-10-14T00:00:00"/>
    <s v="In Transit-Approved"/>
    <d v="2026-10-15T00:00:00"/>
    <n v="8"/>
    <d v="2026-10-22T00:00:00"/>
    <n v="2026"/>
    <n v="10"/>
    <n v="43"/>
    <n v="36"/>
    <n v="936"/>
    <s v="White glazing"/>
    <s v="AEM"/>
  </r>
  <r>
    <s v="26Jul004.06.01"/>
    <s v="Yixing"/>
    <s v="26Jul004"/>
    <s v="CORE DG"/>
    <x v="0"/>
    <s v="Arrival Plan-SPTN"/>
    <s v="CIF"/>
    <x v="0"/>
    <s v="U2"/>
    <x v="2"/>
    <m/>
    <m/>
    <s v="n/a"/>
    <d v="2026-07-20T00:00:00"/>
    <x v="1"/>
    <x v="39"/>
    <s v="TCL-MR470DT182-58NS"/>
    <s v="EVO2A"/>
    <s v="±1200mm"/>
    <n v="470"/>
    <n v="864"/>
    <n v="0.40608"/>
    <n v="24"/>
    <n v="1"/>
    <x v="12"/>
    <s v="COMPLETED"/>
    <m/>
    <d v="2026-08-25T00:00:00"/>
    <n v="35"/>
    <s v="POPV260828030"/>
    <m/>
    <s v="SHANGHAI"/>
    <x v="1"/>
    <x v="0"/>
    <d v="2026-08-22T00:00:00"/>
    <d v="2026-08-31T00:00:00"/>
    <d v="2026-08-31T00:00:00"/>
    <d v="2026-10-08T00:00:00"/>
    <m/>
    <d v="2026-10-08T00:00:00"/>
    <m/>
    <s v="MERETE MAERSK 633W"/>
    <s v="OTHER"/>
    <s v="TPVB20260833001"/>
    <x v="581"/>
    <n v="275075026"/>
    <n v="38"/>
    <m/>
    <d v="2026-10-08T00:00:00"/>
    <s v="In Transit-Approved"/>
    <d v="2026-10-15T00:00:00"/>
    <n v="8"/>
    <d v="2026-10-16T00:00:00"/>
    <n v="2026"/>
    <n v="10"/>
    <n v="42"/>
    <n v="36"/>
    <n v="864"/>
    <s v="White glazing"/>
    <s v="AEM"/>
  </r>
  <r>
    <s v="26Jul001.02.01"/>
    <s v="Yixing"/>
    <s v="26Jul001"/>
    <s v="CORE DG"/>
    <x v="0"/>
    <s v="Arrival Plan-SPTN"/>
    <s v="CIF"/>
    <x v="0"/>
    <s v="U2"/>
    <x v="2"/>
    <m/>
    <m/>
    <s v="n/a"/>
    <d v="2026-07-06T00:00:00"/>
    <x v="6"/>
    <x v="21"/>
    <s v="SPR-P7-510-BLK-P"/>
    <s v="EVO2A"/>
    <s v="±1350mm"/>
    <n v="510"/>
    <n v="3168"/>
    <n v="1.61568"/>
    <n v="88"/>
    <n v="4"/>
    <x v="12"/>
    <s v="COMPLETED"/>
    <m/>
    <d v="2026-08-25T00:00:00"/>
    <n v="35"/>
    <s v="POPV260828025"/>
    <m/>
    <s v="SHANGHAI"/>
    <x v="1"/>
    <x v="0"/>
    <d v="2026-08-22T00:00:00"/>
    <d v="2026-08-31T00:00:00"/>
    <d v="2026-08-31T00:00:00"/>
    <d v="2026-10-08T00:00:00"/>
    <m/>
    <d v="2026-10-08T00:00:00"/>
    <m/>
    <s v="MERETE MAERSK 633W"/>
    <s v="OTHER"/>
    <s v="TPVB20260833001"/>
    <x v="581"/>
    <n v="275075026"/>
    <n v="38"/>
    <m/>
    <d v="2026-10-08T00:00:00"/>
    <s v="In Transit-Approved"/>
    <d v="2026-10-15T00:00:00"/>
    <n v="8"/>
    <d v="2026-10-16T00:00:00"/>
    <n v="2026"/>
    <n v="10"/>
    <n v="42"/>
    <n v="36"/>
    <n v="792"/>
    <s v="Black glazing"/>
    <s v="AEM"/>
  </r>
  <r>
    <s v="26Jul013.06"/>
    <s v="Yixing"/>
    <s v="26Jul013"/>
    <s v="CORE DG"/>
    <x v="0"/>
    <s v="Arrival Plan-SPES"/>
    <s v="CIF"/>
    <x v="1"/>
    <s v="U4"/>
    <x v="2"/>
    <m/>
    <m/>
    <s v="n/a"/>
    <d v="2026-06-29T00:00:00"/>
    <x v="10"/>
    <x v="81"/>
    <s v="HSM-NT60-GH580"/>
    <s v="EVO2A"/>
    <s v="±1400mm"/>
    <n v="580"/>
    <n v="720"/>
    <n v="0.41760000000000003"/>
    <n v="20"/>
    <n v="1"/>
    <x v="14"/>
    <s v="IN-TRANSIT"/>
    <s v="七月3日"/>
    <d v="2026-08-19T00:00:00"/>
    <n v="34"/>
    <s v="POPV260821027"/>
    <s v="POPV260821027"/>
    <s v="SHANGHAI"/>
    <x v="1"/>
    <x v="2"/>
    <d v="2026-08-25T00:00:00"/>
    <d v="2026-08-29T00:00:00"/>
    <d v="2026-08-29T11:36:00"/>
    <d v="2026-10-15T00:00:00"/>
    <d v="2026-11-03T14:00:00"/>
    <s v=""/>
    <m/>
    <s v="OOCL HONG KONG 040W"/>
    <s v="COSCO"/>
    <s v="TPVB20260833022"/>
    <x v="582"/>
    <s v="COSU6461817600"/>
    <n v="66.100000000005821"/>
    <m/>
    <d v="2026-11-03T14:00:00"/>
    <s v="In Transit-Approved"/>
    <d v="2026-10-25T00:00:00"/>
    <n v="9"/>
    <d v="2026-11-12T14:00:00"/>
    <n v="2026"/>
    <n v="11"/>
    <n v="46"/>
    <n v="36"/>
    <n v="720"/>
    <s v="Transparent"/>
    <s v="AEM"/>
  </r>
  <r>
    <s v="26Jul013.06.01"/>
    <s v="Yixing"/>
    <s v="26Jul013"/>
    <s v="CORE DG"/>
    <x v="0"/>
    <s v="Arrival Plan-SPES"/>
    <s v="CIF"/>
    <x v="1"/>
    <s v="U4"/>
    <x v="2"/>
    <m/>
    <m/>
    <s v="n/a"/>
    <d v="2026-06-29T00:00:00"/>
    <x v="10"/>
    <x v="81"/>
    <s v="HSM-NT60-GH580"/>
    <s v="EVO2A"/>
    <s v="±1400mm"/>
    <n v="580"/>
    <n v="720"/>
    <n v="0.41760000000000003"/>
    <n v="20"/>
    <n v="1"/>
    <x v="14"/>
    <s v="IN-TRANSIT"/>
    <s v="七月3日"/>
    <d v="2026-08-19T00:00:00"/>
    <n v="34"/>
    <s v="POPV260821025"/>
    <s v="POPV260821025"/>
    <s v="SHANGHAI"/>
    <x v="1"/>
    <x v="2"/>
    <d v="2026-08-25T00:00:00"/>
    <d v="2026-08-29T00:00:00"/>
    <d v="2026-08-29T11:36:00"/>
    <d v="2026-10-15T00:00:00"/>
    <d v="2026-11-03T14:00:00"/>
    <s v=""/>
    <m/>
    <s v="OOCL HONG KONG 040W"/>
    <s v="COSCO"/>
    <s v="TPVB20260833022"/>
    <x v="582"/>
    <s v="COSU6461817600"/>
    <n v="66.100000000005821"/>
    <m/>
    <d v="2026-11-03T14:00:00"/>
    <s v="In Transit-Approved"/>
    <d v="2026-10-25T00:00:00"/>
    <n v="9"/>
    <d v="2026-11-12T14:00:00"/>
    <n v="2026"/>
    <n v="11"/>
    <n v="46"/>
    <n v="36"/>
    <n v="720"/>
    <s v="Transparent"/>
    <s v="AEM"/>
  </r>
  <r>
    <s v="26Jul014.03"/>
    <s v="Yixing"/>
    <s v="26Jul014"/>
    <s v="CORE DG"/>
    <x v="0"/>
    <s v="Arrival Plan-SPES"/>
    <s v="CIF"/>
    <x v="1"/>
    <s v="U2"/>
    <x v="2"/>
    <m/>
    <m/>
    <s v="n/a"/>
    <d v="2026-06-29T00:00:00"/>
    <x v="10"/>
    <x v="87"/>
    <s v="HSM-NT60-GH585"/>
    <s v="EVO2A"/>
    <s v="±1400mm"/>
    <n v="585"/>
    <n v="1440"/>
    <n v="0.84240000000000004"/>
    <n v="40"/>
    <n v="2"/>
    <x v="16"/>
    <s v="IN-TRANSIT"/>
    <s v="七月3日"/>
    <d v="2026-08-19T00:00:00"/>
    <n v="34"/>
    <s v="POPV260821026"/>
    <s v="POPV260821026"/>
    <s v="SHANGHAI"/>
    <x v="1"/>
    <x v="2"/>
    <d v="2026-08-25T00:00:00"/>
    <d v="2026-08-29T00:00:00"/>
    <d v="2026-08-29T11:36:00"/>
    <d v="2026-10-15T00:00:00"/>
    <d v="2026-11-03T14:00:00"/>
    <s v=""/>
    <m/>
    <s v="OOCL HONG KONG 040W"/>
    <s v="COSCO"/>
    <s v="TPVB20260833022"/>
    <x v="582"/>
    <s v="COSU6461817600"/>
    <n v="66.100000000005821"/>
    <m/>
    <d v="2026-11-03T14:00:00"/>
    <s v="In Transit-Approved"/>
    <d v="2026-10-25T00:00:00"/>
    <n v="9"/>
    <d v="2026-11-12T14:00:00"/>
    <n v="2026"/>
    <n v="11"/>
    <n v="46"/>
    <n v="36"/>
    <n v="720"/>
    <s v="Transparent"/>
    <s v="AEM"/>
  </r>
  <r>
    <s v="26Jul002.12"/>
    <s v="Yixing"/>
    <s v="26Jul002"/>
    <s v="CORE DG"/>
    <x v="0"/>
    <s v="Arrival Plan-SPES"/>
    <s v="CIF"/>
    <x v="1"/>
    <s v="U1"/>
    <x v="2"/>
    <m/>
    <m/>
    <s v="n/a"/>
    <d v="2026-07-06T00:00:00"/>
    <x v="6"/>
    <x v="69"/>
    <s v="SPR-P7-515-BLK-P"/>
    <s v="EVO2A"/>
    <s v="±1350mm"/>
    <n v="515"/>
    <n v="792"/>
    <n v="0.40788000000000002"/>
    <n v="22"/>
    <n v="1"/>
    <x v="16"/>
    <s v="IN-TRANSIT"/>
    <s v="ready"/>
    <d v="2026-08-19T00:00:00"/>
    <n v="34"/>
    <s v="POPV260821036"/>
    <s v="POPV260821036"/>
    <s v="SHANGHAI"/>
    <x v="1"/>
    <x v="2"/>
    <d v="2026-08-25T00:00:00"/>
    <d v="2026-08-29T00:00:00"/>
    <d v="2026-08-29T11:36:00"/>
    <d v="2026-10-15T00:00:00"/>
    <d v="2026-11-03T14:00:00"/>
    <s v=""/>
    <m/>
    <s v="OOCL HONG KONG 040W"/>
    <s v="COSCO"/>
    <s v="TPVB20260833022"/>
    <x v="582"/>
    <s v="COSU6461817600"/>
    <n v="66.100000000005821"/>
    <m/>
    <d v="2026-11-03T14:00:00"/>
    <s v="In Transit-Approved"/>
    <d v="2026-10-26T00:00:00"/>
    <n v="9"/>
    <d v="2026-11-12T14:00:00"/>
    <n v="2026"/>
    <n v="11"/>
    <n v="46"/>
    <n v="36"/>
    <n v="792"/>
    <s v="Black glazing"/>
    <s v="AEM"/>
  </r>
  <r>
    <s v="26Jul002.07"/>
    <s v="Yixing"/>
    <s v="26Jul002"/>
    <s v="CORE DG"/>
    <x v="0"/>
    <s v="Arrival Plan-SPIT"/>
    <s v="CIF"/>
    <x v="4"/>
    <s v="U1"/>
    <x v="2"/>
    <m/>
    <m/>
    <s v="n/a"/>
    <d v="2026-07-06T00:00:00"/>
    <x v="6"/>
    <x v="69"/>
    <s v="SPR-P7-515-BLK-P"/>
    <s v="EVO2A"/>
    <s v="±1350mm"/>
    <n v="515"/>
    <n v="792"/>
    <n v="0.40788000000000002"/>
    <n v="22"/>
    <n v="1"/>
    <x v="16"/>
    <s v="COMPLETED"/>
    <s v="ready，from genova to naples"/>
    <d v="2026-08-12T00:00:00"/>
    <n v="33"/>
    <s v="POPV260814014"/>
    <m/>
    <s v="SHANGHAI"/>
    <x v="1"/>
    <x v="14"/>
    <d v="2026-08-18T00:00:00"/>
    <d v="2026-08-17T19:00:00"/>
    <d v="2026-08-17T12:50:07"/>
    <d v="2026-10-16T00:00:00"/>
    <d v="2026-10-18T21:00:00"/>
    <d v="2026-10-18T14:58:46"/>
    <m/>
    <s v="CSCL MERCURY 100W"/>
    <s v="COSCO"/>
    <s v="TPVB20260833023"/>
    <x v="583"/>
    <s v="COSU6461905820"/>
    <n v="62.089340277780138"/>
    <m/>
    <d v="2026-10-18T14:58:46"/>
    <s v="In Transit-Approved"/>
    <d v="2026-10-20T00:00:00"/>
    <n v="10"/>
    <d v="2026-10-28T14:58:46"/>
    <n v="2026"/>
    <n v="10"/>
    <n v="44"/>
    <n v="36"/>
    <n v="792"/>
    <s v="Black glazing"/>
    <s v="AEM"/>
  </r>
  <r>
    <s v="26Jul002.10"/>
    <s v="Yixing"/>
    <s v="26Jul002"/>
    <s v="CORE DG"/>
    <x v="0"/>
    <s v="Arrival Plan-SPIT"/>
    <s v="CIF"/>
    <x v="4"/>
    <s v="U1"/>
    <x v="2"/>
    <m/>
    <m/>
    <s v="n/a"/>
    <d v="2026-07-06T00:00:00"/>
    <x v="6"/>
    <x v="69"/>
    <s v="SPR-P7-515-BLK-P"/>
    <s v="EVO2A"/>
    <s v="±1350mm"/>
    <n v="515"/>
    <n v="792"/>
    <n v="0.40788000000000002"/>
    <n v="22"/>
    <n v="1"/>
    <x v="14"/>
    <s v="COMPLETED"/>
    <s v="ready，from genova to naples"/>
    <d v="2026-08-12T00:00:00"/>
    <n v="33"/>
    <s v="POPV260814016"/>
    <m/>
    <s v="SHANGHAI"/>
    <x v="1"/>
    <x v="14"/>
    <d v="2026-08-18T00:00:00"/>
    <d v="2026-08-17T19:00:00"/>
    <d v="2026-08-17T12:50:07"/>
    <d v="2026-10-16T00:00:00"/>
    <d v="2026-10-18T21:00:00"/>
    <d v="2026-10-18T14:58:46"/>
    <m/>
    <s v="CSCL MERCURY 100W"/>
    <s v="COSCO"/>
    <s v="TPVB20260833023"/>
    <x v="583"/>
    <s v="COSU6461905820"/>
    <n v="62.089340277780138"/>
    <m/>
    <d v="2026-10-18T14:58:46"/>
    <s v="In Transit-Approved"/>
    <d v="2026-10-20T00:00:00"/>
    <n v="10"/>
    <d v="2026-10-28T14:58:46"/>
    <n v="2026"/>
    <n v="10"/>
    <n v="44"/>
    <n v="36"/>
    <n v="792"/>
    <s v="Black glazing"/>
    <s v="AEM"/>
  </r>
  <r>
    <s v="26Jul005.04"/>
    <s v="Bengbu"/>
    <s v="26Jul005"/>
    <s v="CORE DG"/>
    <x v="0"/>
    <s v="Arrival Plan-SPNL"/>
    <s v="CIF"/>
    <x v="0"/>
    <s v="U1"/>
    <x v="2"/>
    <m/>
    <m/>
    <s v="n/a"/>
    <d v="2026-07-20T00:00:00"/>
    <x v="0"/>
    <x v="7"/>
    <s v="HSM-ND48-DR450"/>
    <s v="EVO2A"/>
    <s v="±1200mm"/>
    <n v="450"/>
    <n v="3744"/>
    <n v="1.6848000000000001"/>
    <n v="104"/>
    <n v="4"/>
    <x v="14"/>
    <s v="COMPLETED"/>
    <s v="八月4日"/>
    <d v="2026-08-10T00:00:00"/>
    <n v="33"/>
    <s v="POPV260814034"/>
    <m/>
    <s v="Shanghai/Bengbu"/>
    <x v="1"/>
    <x v="1"/>
    <d v="2026-08-15T00:00:00"/>
    <d v="2026-08-22T00:00:00"/>
    <d v="2026-08-22T00:00:00"/>
    <d v="2026-09-27T00:00:00"/>
    <d v="2026-10-04T00:00:00"/>
    <d v="2026-10-05T00:00:00"/>
    <m/>
    <s v="ONE INNOVATION 011W"/>
    <s v="OTHER"/>
    <s v="TPVB20260833008"/>
    <x v="584"/>
    <s v="ONEYSH6ACAA72300"/>
    <n v="44"/>
    <m/>
    <d v="2026-10-05T00:00:00"/>
    <s v="In Transit-Approved"/>
    <d v="2026-10-14T00:00:00"/>
    <n v="7"/>
    <d v="2026-10-12T00:00:00"/>
    <n v="2026"/>
    <n v="10"/>
    <n v="42"/>
    <n v="36"/>
    <n v="936"/>
    <s v="Black glazing"/>
    <s v="AEU"/>
  </r>
  <r>
    <s v="26Jul005.01"/>
    <s v="Bengbu"/>
    <s v="26Jul005"/>
    <s v="CORE DG"/>
    <x v="0"/>
    <s v="Arrival Plan-SPNL"/>
    <s v="CIF"/>
    <x v="0"/>
    <s v="U1"/>
    <x v="2"/>
    <m/>
    <m/>
    <s v="n/a"/>
    <d v="2026-07-20T00:00:00"/>
    <x v="0"/>
    <x v="7"/>
    <s v="HSM-ND48-DR450"/>
    <s v="EVO2A"/>
    <s v="±1200mm"/>
    <n v="450"/>
    <n v="3744"/>
    <n v="1.6848000000000001"/>
    <n v="104"/>
    <n v="4"/>
    <x v="14"/>
    <s v="COMPLETED"/>
    <s v="七月30日"/>
    <d v="2026-08-09T00:00:00"/>
    <n v="32"/>
    <s v="POPV260814033"/>
    <m/>
    <s v="Shanghai/Bengbu"/>
    <x v="1"/>
    <x v="1"/>
    <d v="2026-08-15T00:00:00"/>
    <d v="2026-08-22T00:00:00"/>
    <d v="2026-08-22T00:00:00"/>
    <d v="2026-09-27T00:00:00"/>
    <d v="2026-10-04T00:00:00"/>
    <d v="2026-10-05T00:00:00"/>
    <m/>
    <s v="ONE INNOVATION 011W"/>
    <s v="OTHER"/>
    <s v="TPVB20260833008"/>
    <x v="584"/>
    <s v="ONEYSH6ACAA72300"/>
    <n v="44"/>
    <m/>
    <d v="2026-10-05T00:00:00"/>
    <s v="In Transit-Approved"/>
    <d v="2026-10-14T00:00:00"/>
    <n v="7"/>
    <d v="2026-10-12T00:00:00"/>
    <n v="2026"/>
    <n v="10"/>
    <n v="42"/>
    <n v="36"/>
    <n v="936"/>
    <s v="Black glazing"/>
    <s v="AEU"/>
  </r>
  <r>
    <s v="26Jul005.01.01"/>
    <s v="Bengbu"/>
    <s v="26Jul005"/>
    <s v="CORE DG"/>
    <x v="0"/>
    <s v="Arrival Plan-SPNL"/>
    <s v="CIF"/>
    <x v="0"/>
    <s v="U1"/>
    <x v="2"/>
    <m/>
    <m/>
    <s v="n/a"/>
    <d v="2026-07-20T00:00:00"/>
    <x v="0"/>
    <x v="7"/>
    <s v="HSM-ND48-DR450"/>
    <s v="EVO2A"/>
    <s v="±1200mm"/>
    <n v="450"/>
    <n v="936"/>
    <n v="0.42120000000000002"/>
    <n v="26"/>
    <n v="1"/>
    <x v="14"/>
    <s v="COMPLETED"/>
    <s v="七月30日"/>
    <d v="2026-08-09T00:00:00"/>
    <n v="32"/>
    <s v="POPV260814032"/>
    <m/>
    <s v="Shanghai/Bengbu"/>
    <x v="1"/>
    <x v="1"/>
    <d v="2026-08-15T00:00:00"/>
    <d v="2026-08-22T00:00:00"/>
    <d v="2026-08-22T00:00:00"/>
    <d v="2026-09-27T00:00:00"/>
    <d v="2026-10-04T00:00:00"/>
    <d v="2026-10-05T00:00:00"/>
    <m/>
    <s v="ONE INNOVATION 011W"/>
    <s v="OTHER"/>
    <s v="TPVB20260833008"/>
    <x v="584"/>
    <s v="ONEYSH6ACAA72300"/>
    <n v="44"/>
    <m/>
    <d v="2026-10-05T00:00:00"/>
    <s v="In Transit-Approved"/>
    <d v="2026-10-14T00:00:00"/>
    <n v="7"/>
    <d v="2026-10-12T00:00:00"/>
    <n v="2026"/>
    <n v="10"/>
    <n v="42"/>
    <n v="36"/>
    <n v="936"/>
    <s v="Black glazing"/>
    <s v="AEU"/>
  </r>
  <r>
    <s v="26Jul005.02"/>
    <s v="Bengbu"/>
    <s v="26Jul005"/>
    <s v="CORE DG"/>
    <x v="0"/>
    <s v="Arrival Plan-SPNL"/>
    <s v="CIF"/>
    <x v="0"/>
    <s v="U1"/>
    <x v="2"/>
    <m/>
    <m/>
    <s v="n/a"/>
    <d v="2026-07-20T00:00:00"/>
    <x v="0"/>
    <x v="7"/>
    <s v="HSM-ND48-DR450"/>
    <s v="EVO2A"/>
    <s v="±1200mm"/>
    <n v="450"/>
    <n v="1872"/>
    <n v="0.84240000000000004"/>
    <n v="52"/>
    <n v="2"/>
    <x v="16"/>
    <s v="COMPLETED"/>
    <s v="八月1日"/>
    <d v="2026-08-09T00:00:00"/>
    <n v="32"/>
    <s v="POPV260814031"/>
    <m/>
    <s v="Shanghai/Bengbu"/>
    <x v="1"/>
    <x v="1"/>
    <d v="2026-08-15T00:00:00"/>
    <d v="2026-08-22T00:00:00"/>
    <d v="2026-08-22T00:00:00"/>
    <d v="2026-09-27T00:00:00"/>
    <d v="2026-10-04T00:00:00"/>
    <d v="2026-10-05T00:00:00"/>
    <m/>
    <s v="ONE INNOVATION 011W"/>
    <s v="OTHER"/>
    <s v="TPVB20260833009"/>
    <x v="585"/>
    <s v="ONEYSH6ACAA71900"/>
    <n v="44"/>
    <m/>
    <d v="2026-10-05T00:00:00"/>
    <s v="In Transit-Approved"/>
    <d v="2026-10-14T00:00:00"/>
    <n v="7"/>
    <d v="2026-10-12T00:00:00"/>
    <n v="2026"/>
    <n v="10"/>
    <n v="42"/>
    <n v="36"/>
    <n v="936"/>
    <s v="Black glazing"/>
    <s v="AEU"/>
  </r>
  <r>
    <s v="26Jul005.02.01"/>
    <s v="Bengbu"/>
    <s v="26Jul005"/>
    <s v="CORE DG"/>
    <x v="0"/>
    <s v="Arrival Plan-SPNL"/>
    <s v="CIF"/>
    <x v="0"/>
    <s v="U1"/>
    <x v="2"/>
    <m/>
    <m/>
    <s v="n/a"/>
    <d v="2026-07-20T00:00:00"/>
    <x v="0"/>
    <x v="7"/>
    <s v="HSM-ND48-DR450"/>
    <s v="EVO2A"/>
    <s v="±1200mm"/>
    <n v="450"/>
    <n v="2808"/>
    <n v="1.2636000000000001"/>
    <n v="78"/>
    <n v="3"/>
    <x v="16"/>
    <s v="COMPLETED"/>
    <s v="八月1日"/>
    <d v="2026-08-09T00:00:00"/>
    <n v="32"/>
    <s v="POPV260814030"/>
    <m/>
    <s v="Shanghai/Bengbu"/>
    <x v="1"/>
    <x v="1"/>
    <d v="2026-08-15T00:00:00"/>
    <d v="2026-08-22T00:00:00"/>
    <d v="2026-08-22T00:00:00"/>
    <d v="2026-09-27T00:00:00"/>
    <d v="2026-10-04T00:00:00"/>
    <d v="2026-10-05T00:00:00"/>
    <m/>
    <s v="ONE INNOVATION 011W"/>
    <s v="OTHER"/>
    <s v="TPVB20260833009"/>
    <x v="585"/>
    <s v="ONEYSH6ACAA71900"/>
    <n v="44"/>
    <m/>
    <d v="2026-10-05T00:00:00"/>
    <s v="In Transit-Approved"/>
    <d v="2026-10-14T00:00:00"/>
    <n v="7"/>
    <d v="2026-10-12T00:00:00"/>
    <n v="2026"/>
    <n v="10"/>
    <n v="42"/>
    <n v="36"/>
    <n v="936"/>
    <s v="Black glazing"/>
    <s v="AEU"/>
  </r>
  <r>
    <s v="26Jul005.03"/>
    <s v="Bengbu"/>
    <s v="26Jul005"/>
    <s v="CORE DG"/>
    <x v="0"/>
    <s v="Arrival Plan-SPNL"/>
    <s v="CIF"/>
    <x v="0"/>
    <s v="U1"/>
    <x v="2"/>
    <m/>
    <m/>
    <s v="n/a"/>
    <d v="2026-07-20T00:00:00"/>
    <x v="0"/>
    <x v="7"/>
    <s v="HSM-ND48-DR450"/>
    <s v="EVO2A"/>
    <s v="±1200mm"/>
    <n v="450"/>
    <n v="4680"/>
    <n v="2.1059999999999999"/>
    <n v="130"/>
    <n v="5"/>
    <x v="13"/>
    <s v="COMPLETED"/>
    <s v="八月3日"/>
    <d v="2026-08-09T00:00:00"/>
    <n v="32"/>
    <s v="POPV260814029"/>
    <m/>
    <s v="Shanghai/Bengbu"/>
    <x v="1"/>
    <x v="1"/>
    <d v="2026-08-15T00:00:00"/>
    <d v="2026-08-22T00:00:00"/>
    <d v="2026-08-22T00:00:00"/>
    <d v="2026-09-27T00:00:00"/>
    <d v="2026-10-04T00:00:00"/>
    <d v="2026-10-05T00:00:00"/>
    <m/>
    <s v="ONE INNOVATION 011W"/>
    <s v="OTHER"/>
    <s v="TPVB20260833009"/>
    <x v="585"/>
    <s v="ONEYSH6ACAA71900"/>
    <n v="44"/>
    <m/>
    <d v="2026-10-05T00:00:00"/>
    <s v="In Transit-Approved"/>
    <d v="2026-10-14T00:00:00"/>
    <n v="7"/>
    <d v="2026-10-12T00:00:00"/>
    <n v="2026"/>
    <n v="10"/>
    <n v="42"/>
    <n v="36"/>
    <n v="936"/>
    <s v="Black glazing"/>
    <s v="AEU"/>
  </r>
  <r>
    <s v="26Jun011.12.06"/>
    <s v="Quzhou"/>
    <s v="26Jun011"/>
    <s v="CORE DG"/>
    <x v="0"/>
    <s v="Arrival Plan-SPTN"/>
    <s v="CIF"/>
    <x v="0"/>
    <s v="U1"/>
    <x v="2"/>
    <m/>
    <m/>
    <s v="n/a"/>
    <d v="2026-06-22T00:00:00"/>
    <x v="0"/>
    <x v="0"/>
    <s v="HSM-ND54-DR500"/>
    <s v="EVO2A"/>
    <s v="±1200mm"/>
    <n v="500"/>
    <n v="864"/>
    <n v="0.432"/>
    <n v="24"/>
    <n v="1"/>
    <x v="11"/>
    <s v="COMPLETED"/>
    <s v="w30-32"/>
    <d v="2026-08-07T00:00:00"/>
    <n v="32"/>
    <s v="POPV260814022"/>
    <m/>
    <s v="NINGBO"/>
    <x v="3"/>
    <x v="0"/>
    <d v="2026-08-15T00:00:00"/>
    <s v=""/>
    <d v="2026-08-21T21:14:29"/>
    <d v="2026-10-05T00:00:00"/>
    <d v="2026-10-25T15:30:00"/>
    <d v="2026-10-25T17:07:11"/>
    <m/>
    <s v="EVER GOLDEN 033W"/>
    <s v="COSCO"/>
    <s v="TPVB20260833007"/>
    <x v="586"/>
    <s v="COSU9508902260"/>
    <n v="64.828263888884976"/>
    <m/>
    <d v="2026-10-25T17:07:11"/>
    <s v="In Transit-Approved"/>
    <d v="2026-10-19T00:00:00"/>
    <n v="8"/>
    <d v="2026-11-02T17:07:11"/>
    <n v="2026"/>
    <n v="11"/>
    <n v="45"/>
    <n v="36"/>
    <n v="864"/>
    <s v="Black glazing"/>
    <s v="AEM"/>
  </r>
  <r>
    <s v="26Jul002.07.01"/>
    <s v="Yixing"/>
    <s v="26Jul002"/>
    <s v="CORE DG"/>
    <x v="0"/>
    <s v="Arrival Plan-SPIT"/>
    <s v="CIF"/>
    <x v="4"/>
    <s v="U1"/>
    <x v="2"/>
    <m/>
    <m/>
    <s v="n/a"/>
    <d v="2026-07-06T00:00:00"/>
    <x v="6"/>
    <x v="69"/>
    <s v="SPR-P7-515-BLK-P"/>
    <s v="EVO2A"/>
    <s v="±1350mm"/>
    <n v="515"/>
    <n v="792"/>
    <n v="0.40788000000000002"/>
    <n v="22"/>
    <n v="1"/>
    <x v="16"/>
    <s v="COMPLETED"/>
    <s v="ready，from genova to naples"/>
    <d v="2026-08-18T00:00:00"/>
    <n v="34"/>
    <s v="POPV260821035"/>
    <s v="POPV260821035"/>
    <s v="NINGBO"/>
    <x v="3"/>
    <x v="14"/>
    <d v="2026-08-13T00:00:00"/>
    <d v="2026-08-23T07:00:00"/>
    <d v="2026-08-23T03:44:41"/>
    <d v="2026-10-08T00:00:00"/>
    <d v="2026-10-18T21:00:00"/>
    <d v="2026-10-18T14:58:46"/>
    <m/>
    <s v="TITAN 044W"/>
    <s v="COSCO"/>
    <s v="TPVB20260833005"/>
    <x v="587"/>
    <s v="COSU9508904380"/>
    <n v="56.468113425929914"/>
    <m/>
    <d v="2026-10-18T14:58:46"/>
    <s v="In Transit-Approved"/>
    <d v="2026-10-15T00:00:00"/>
    <n v="10"/>
    <d v="2026-10-28T14:58:46"/>
    <n v="2026"/>
    <n v="10"/>
    <n v="44"/>
    <n v="36"/>
    <n v="792"/>
    <s v="Black glazing"/>
    <s v="AEM"/>
  </r>
  <r>
    <s v="26Jul017.02"/>
    <s v="Quzhou"/>
    <s v="26Jul017"/>
    <s v="CORE DG"/>
    <x v="0"/>
    <s v="Arrival Plan-SPNL"/>
    <s v="CIF"/>
    <x v="0"/>
    <s v="U2"/>
    <x v="2"/>
    <m/>
    <m/>
    <s v="n/a"/>
    <d v="2026-07-27T00:00:00"/>
    <x v="3"/>
    <x v="91"/>
    <s v="HSM-BE54-DD485"/>
    <s v="EVO2A"/>
    <s v="±1200mm"/>
    <n v="485"/>
    <n v="4680"/>
    <n v="2.2698"/>
    <n v="130"/>
    <n v="5"/>
    <x v="16"/>
    <s v="COMPLETED"/>
    <s v="ready"/>
    <d v="2026-08-07T00:00:00"/>
    <n v="32"/>
    <s v="POPV260814054"/>
    <m/>
    <s v="NINGBO"/>
    <x v="3"/>
    <x v="1"/>
    <d v="2026-08-14T00:00:00"/>
    <d v="2026-08-18T00:00:00"/>
    <d v="2026-08-23T20:21:16"/>
    <d v="2026-09-16T00:00:00"/>
    <d v="2026-09-24T23:00:00"/>
    <d v="2026-09-25T04:19:42"/>
    <m/>
    <s v="COSCO SHIPPING GALAXY 030W转 COSCO SHIPPING LIBRA 036W"/>
    <s v="COSCO"/>
    <s v="TPVB20260833006"/>
    <x v="588"/>
    <s v="COSU9508762590"/>
    <n v="32.33224537037313"/>
    <m/>
    <d v="2026-09-25T04:19:42"/>
    <s v="In Transit-Approved"/>
    <d v="2026-10-08T00:00:00"/>
    <n v="7"/>
    <d v="2026-10-02T04:19:42"/>
    <n v="2026"/>
    <n v="10"/>
    <n v="40"/>
    <n v="36"/>
    <n v="936"/>
    <s v="Black glazing"/>
    <s v="AEU"/>
  </r>
  <r>
    <s v="26Jun006.02"/>
    <s v="Tianjin"/>
    <s v="26Jun006"/>
    <s v="CORE DG"/>
    <x v="0"/>
    <s v="Arrival Plan-SPNL"/>
    <s v="CIF"/>
    <x v="0"/>
    <s v="U1"/>
    <x v="2"/>
    <m/>
    <m/>
    <s v="n/a"/>
    <d v="2026-06-15T00:00:00"/>
    <x v="0"/>
    <x v="36"/>
    <s v="HSM-ND66-GR625"/>
    <s v="EVO2A"/>
    <s v="±1400mm"/>
    <n v="625"/>
    <n v="3600"/>
    <n v="2.25"/>
    <n v="100"/>
    <n v="5"/>
    <x v="12"/>
    <s v="IN-TRANSIT"/>
    <m/>
    <d v="2026-08-12T00:00:00"/>
    <n v="33"/>
    <s v="POPV260814025"/>
    <m/>
    <s v="TIANJIN"/>
    <x v="0"/>
    <x v="1"/>
    <d v="2026-08-19T00:00:00"/>
    <d v="2026-08-23T00:00:00"/>
    <d v="2026-08-23T00:00:00"/>
    <d v="2026-10-19T00:00:00"/>
    <d v="2026-11-12T00:00:00"/>
    <m/>
    <m/>
    <s v="ZHONG GU JI NAN ( 0BYPQS1MA)"/>
    <s v="OTHER"/>
    <s v="TPVB20260833013"/>
    <x v="296"/>
    <s v="TJN0504226"/>
    <n v="81"/>
    <m/>
    <d v="2026-11-12T00:00:00"/>
    <s v="In Transit-Approved"/>
    <d v="2026-10-26T00:00:00"/>
    <n v="7"/>
    <d v="2026-11-19T00:00:00"/>
    <n v="2026"/>
    <n v="11"/>
    <n v="47"/>
    <n v="36"/>
    <n v="720"/>
    <s v="Redirection Film"/>
    <s v="AEU"/>
  </r>
  <r>
    <s v="26May007.07"/>
    <s v="Tianjin"/>
    <s v="26May007"/>
    <s v="CORE DG"/>
    <x v="0"/>
    <s v="Arrival Plan-SPNL"/>
    <s v="CIF"/>
    <x v="0"/>
    <s v="U1"/>
    <x v="2"/>
    <m/>
    <m/>
    <s v="n/a"/>
    <d v="2025-06-01T00:00:00"/>
    <x v="0"/>
    <x v="7"/>
    <s v="HSM-ND48-DR450"/>
    <s v="EVO2A"/>
    <s v="±1200mm"/>
    <n v="450"/>
    <n v="3744"/>
    <n v="1.6848000000000001"/>
    <n v="104"/>
    <n v="4"/>
    <x v="11"/>
    <s v="COMPLETED"/>
    <s v="六月11日"/>
    <d v="2026-08-07T00:00:00"/>
    <n v="32"/>
    <s v="POPV260814040"/>
    <m/>
    <s v="TIANJIN"/>
    <x v="0"/>
    <x v="1"/>
    <d v="2026-08-12T00:00:00"/>
    <d v="2026-08-18T00:00:00"/>
    <d v="2026-08-18T00:00:00"/>
    <d v="2026-10-12T00:00:00"/>
    <d v="2026-10-13T00:00:00"/>
    <d v="2026-10-13T00:00:00"/>
    <m/>
    <s v="MSC GULSUN VQS633A"/>
    <s v="OTHER"/>
    <s v="TPVB20260833010"/>
    <x v="296"/>
    <s v="177KVBTTXVNN3314"/>
    <n v="56"/>
    <m/>
    <d v="2026-10-13T00:00:00"/>
    <s v="In Transit-Approved"/>
    <d v="2026-10-16T00:00:00"/>
    <n v="7"/>
    <d v="2026-10-20T00:00:00"/>
    <n v="2026"/>
    <n v="10"/>
    <n v="43"/>
    <n v="36"/>
    <n v="936"/>
    <s v="Black glazing"/>
    <s v="AEU"/>
  </r>
  <r>
    <s v="26May007.07.02"/>
    <s v="Tianjin"/>
    <s v="26May007"/>
    <s v="CORE DG"/>
    <x v="0"/>
    <s v="Arrival Plan-SPNL"/>
    <s v="CIF"/>
    <x v="0"/>
    <s v="U1"/>
    <x v="2"/>
    <m/>
    <m/>
    <s v="n/a"/>
    <d v="2025-06-01T00:00:00"/>
    <x v="0"/>
    <x v="7"/>
    <s v="HSM-ND48-DR450"/>
    <s v="EVO2A"/>
    <s v="±1200mm"/>
    <n v="450"/>
    <n v="3744"/>
    <n v="1.6848000000000001"/>
    <n v="104"/>
    <n v="4"/>
    <x v="11"/>
    <s v="COMPLETED"/>
    <s v="六月11日"/>
    <d v="2026-08-07T00:00:00"/>
    <n v="32"/>
    <s v="POPV260814038"/>
    <m/>
    <s v="TIANJIN"/>
    <x v="0"/>
    <x v="1"/>
    <d v="2026-08-15T00:00:00"/>
    <d v="2026-08-15T00:00:00"/>
    <d v="2026-08-15T00:00:00"/>
    <d v="2026-10-14T00:00:00"/>
    <m/>
    <d v="2026-10-13T00:00:00"/>
    <m/>
    <s v="MSC GENOVA GT632W"/>
    <s v="OTHER"/>
    <s v="TPVB20260833011"/>
    <x v="296"/>
    <s v="TSNE38532300"/>
    <n v="59"/>
    <m/>
    <d v="2026-10-13T00:00:00"/>
    <s v="In Transit-Approved"/>
    <d v="2026-10-10T00:00:00"/>
    <n v="7"/>
    <d v="2026-10-20T00:00:00"/>
    <n v="2026"/>
    <n v="10"/>
    <n v="43"/>
    <n v="36"/>
    <n v="936"/>
    <s v="Black glazing"/>
    <s v="AEU"/>
  </r>
  <r>
    <s v="26May007.13"/>
    <s v="Tianjin"/>
    <s v="26May007"/>
    <s v="CORE DG"/>
    <x v="0"/>
    <s v="Arrival Plan-SPNL"/>
    <s v="CIF"/>
    <x v="0"/>
    <s v="U2"/>
    <x v="2"/>
    <m/>
    <m/>
    <s v="n/a"/>
    <d v="2025-06-01T00:00:00"/>
    <x v="0"/>
    <x v="7"/>
    <s v="HSM-ND48-DR450"/>
    <s v="EVO2A"/>
    <s v="±1200mm"/>
    <n v="450"/>
    <n v="4680"/>
    <n v="2.1059999999999999"/>
    <n v="130"/>
    <n v="5"/>
    <x v="10"/>
    <s v="COMPLETED"/>
    <m/>
    <d v="2026-08-07T00:00:00"/>
    <n v="32"/>
    <s v="POPV260814037"/>
    <m/>
    <s v="TIANJIN"/>
    <x v="0"/>
    <x v="1"/>
    <d v="2026-08-15T00:00:00"/>
    <d v="2026-08-15T00:00:00"/>
    <d v="2026-08-15T00:00:00"/>
    <d v="2026-10-14T00:00:00"/>
    <m/>
    <d v="2026-10-13T00:00:00"/>
    <m/>
    <s v="MSC GENOVA GT632W"/>
    <s v="OTHER"/>
    <s v="TPVB20260833011"/>
    <x v="296"/>
    <s v="TSNE38532300"/>
    <n v="59"/>
    <m/>
    <d v="2026-10-13T00:00:00"/>
    <s v="In Transit-Approved"/>
    <d v="2026-10-10T00:00:00"/>
    <n v="7"/>
    <d v="2026-10-20T00:00:00"/>
    <n v="2026"/>
    <n v="10"/>
    <n v="43"/>
    <n v="36"/>
    <n v="936"/>
    <s v="Black glazing"/>
    <s v="AEU"/>
  </r>
  <r>
    <s v="26Jun009.02"/>
    <s v="Tianjin"/>
    <s v="26Jun009"/>
    <s v="CORE DG"/>
    <x v="0"/>
    <s v="Arrival Plan-SPNL"/>
    <s v="CIF"/>
    <x v="0"/>
    <s v="U2"/>
    <x v="2"/>
    <m/>
    <m/>
    <s v="n/a"/>
    <d v="2026-06-15T00:00:00"/>
    <x v="0"/>
    <x v="7"/>
    <s v="HSM-ND48-DR450"/>
    <s v="EVO2A"/>
    <s v="±1200mm"/>
    <n v="450"/>
    <n v="936"/>
    <n v="0.42120000000000002"/>
    <n v="26"/>
    <n v="1"/>
    <x v="8"/>
    <s v="COMPLETED"/>
    <m/>
    <d v="2026-08-07T00:00:00"/>
    <n v="32"/>
    <s v="POPV260814036"/>
    <m/>
    <s v="TIANJIN"/>
    <x v="0"/>
    <x v="1"/>
    <d v="2026-08-15T00:00:00"/>
    <d v="2026-08-15T00:00:00"/>
    <d v="2026-08-15T00:00:00"/>
    <d v="2026-10-14T00:00:00"/>
    <m/>
    <d v="2026-10-13T00:00:00"/>
    <m/>
    <s v="MSC GENOVA GT632W"/>
    <s v="OTHER"/>
    <s v="TPVB20260833011"/>
    <x v="296"/>
    <s v="TSNE38532300"/>
    <n v="59"/>
    <m/>
    <d v="2026-10-13T00:00:00"/>
    <s v="In Transit-Approved"/>
    <d v="2026-10-10T00:00:00"/>
    <n v="7"/>
    <d v="2026-10-20T00:00:00"/>
    <n v="2026"/>
    <n v="10"/>
    <n v="43"/>
    <n v="36"/>
    <n v="936"/>
    <s v="Black glazing"/>
    <s v="AEU"/>
  </r>
  <r>
    <s v="26Jun021.09"/>
    <s v="Tianjin"/>
    <s v="26Jun021"/>
    <s v="CORE DG"/>
    <x v="0"/>
    <s v="Arrival Plan-SPNL"/>
    <s v="CIF"/>
    <x v="0"/>
    <s v="U1"/>
    <x v="2"/>
    <m/>
    <m/>
    <s v="n/a"/>
    <d v="2026-06-29T00:00:00"/>
    <x v="3"/>
    <x v="95"/>
    <s v="HSM-BD66-GR650"/>
    <s v="EVO2A"/>
    <s v="±1400mm"/>
    <n v="650"/>
    <n v="1440"/>
    <n v="0.93600000000000005"/>
    <n v="40"/>
    <n v="2"/>
    <x v="16"/>
    <s v="COMPLETED"/>
    <m/>
    <d v="2026-08-07T00:00:00"/>
    <n v="32"/>
    <s v="POPV260814019"/>
    <m/>
    <s v="TIANJIN"/>
    <x v="0"/>
    <x v="1"/>
    <d v="2026-08-15T00:00:00"/>
    <d v="2026-08-15T00:00:00"/>
    <d v="2026-08-15T00:00:00"/>
    <d v="2026-10-14T00:00:00"/>
    <m/>
    <d v="2026-10-13T00:00:00"/>
    <m/>
    <s v="MSC GENOVA GT632W"/>
    <s v="OTHER"/>
    <s v="TPVB20260833011"/>
    <x v="296"/>
    <s v="TSNE38532300"/>
    <n v="59"/>
    <m/>
    <d v="2026-10-13T00:00:00"/>
    <s v="In Transit-Approved"/>
    <d v="2026-10-10T00:00:00"/>
    <n v="7"/>
    <d v="2026-10-20T00:00:00"/>
    <n v="2026"/>
    <n v="10"/>
    <n v="43"/>
    <n v="36"/>
    <n v="720"/>
    <s v="White glazing"/>
    <s v="AEU"/>
  </r>
  <r>
    <s v="26Jun010.01"/>
    <s v="Tianjin"/>
    <s v="26Jun010"/>
    <s v="CORE DG"/>
    <x v="0"/>
    <s v="Arrival Plan-SPNL"/>
    <s v="CIF"/>
    <x v="0"/>
    <s v="U1"/>
    <x v="2"/>
    <m/>
    <m/>
    <s v="n/a"/>
    <d v="2026-06-15T00:00:00"/>
    <x v="0"/>
    <x v="35"/>
    <s v="HSM-ND48-DR455"/>
    <s v="EVO2A"/>
    <s v="±1200mm"/>
    <n v="455"/>
    <n v="2808"/>
    <n v="1.2776400000000001"/>
    <n v="78"/>
    <n v="3"/>
    <x v="11"/>
    <s v="COMPLETED"/>
    <s v="六月3日"/>
    <d v="2026-08-09T00:00:00"/>
    <n v="32"/>
    <s v="POPV260814027"/>
    <m/>
    <s v="TIANJIN"/>
    <x v="0"/>
    <x v="1"/>
    <d v="2026-08-15T00:00:00"/>
    <d v="2026-08-15T00:00:00"/>
    <d v="2026-08-15T00:00:00"/>
    <d v="2026-10-10T00:00:00"/>
    <d v="2026-10-19T00:00:00"/>
    <d v="2026-10-21T00:00:00"/>
    <m/>
    <s v="ONE EAGLE 039E"/>
    <s v="OTHER"/>
    <s v="TPVB20260833012"/>
    <x v="589"/>
    <s v="TS6NDD803500"/>
    <n v="67"/>
    <m/>
    <d v="2026-10-21T00:00:00"/>
    <s v="In Transit-Approved"/>
    <d v="2026-10-17T00:00:00"/>
    <n v="7"/>
    <d v="2026-10-28T00:00:00"/>
    <n v="2026"/>
    <n v="10"/>
    <n v="44"/>
    <n v="36"/>
    <n v="936"/>
    <s v="Black glazing"/>
    <s v="AEU"/>
  </r>
  <r>
    <s v="26Jun009.03"/>
    <s v="Tianjin"/>
    <s v="26Jun009"/>
    <s v="CORE DG"/>
    <x v="0"/>
    <s v="Arrival Plan-SPNL"/>
    <s v="CIF"/>
    <x v="0"/>
    <s v="U1"/>
    <x v="2"/>
    <m/>
    <m/>
    <s v="n/a"/>
    <d v="2026-06-15T00:00:00"/>
    <x v="0"/>
    <x v="7"/>
    <s v="HSM-ND48-DR450"/>
    <s v="EVO2A"/>
    <s v="±1200mm"/>
    <n v="450"/>
    <n v="2808"/>
    <n v="1.2636000000000001"/>
    <n v="78"/>
    <n v="3"/>
    <x v="10"/>
    <s v="COMPLETED"/>
    <m/>
    <d v="2026-08-09T00:00:00"/>
    <n v="32"/>
    <s v="POPV260814035"/>
    <m/>
    <s v="TIANJIN"/>
    <x v="0"/>
    <x v="1"/>
    <d v="2026-08-15T00:00:00"/>
    <d v="2026-08-15T00:00:00"/>
    <d v="2026-08-15T00:00:00"/>
    <d v="2026-10-10T00:00:00"/>
    <d v="2026-10-19T00:00:00"/>
    <d v="2026-10-21T00:00:00"/>
    <m/>
    <s v="ONE EAGLE 039E"/>
    <s v="OTHER"/>
    <s v="TPVB20260833012"/>
    <x v="589"/>
    <s v="TS6NDD803500"/>
    <n v="67"/>
    <m/>
    <d v="2026-10-21T00:00:00"/>
    <s v="In Transit-Approved"/>
    <d v="2026-10-17T00:00:00"/>
    <n v="7"/>
    <d v="2026-10-28T00:00:00"/>
    <n v="2026"/>
    <n v="10"/>
    <n v="44"/>
    <n v="36"/>
    <n v="936"/>
    <s v="Black glazing"/>
    <s v="AEU"/>
  </r>
  <r>
    <s v="26Jun032"/>
    <s v="Tianjin"/>
    <s v="Main Line"/>
    <s v="CORE DG"/>
    <x v="0"/>
    <s v="Arrival Plan-SPNL"/>
    <s v="CIF"/>
    <x v="0"/>
    <s v="U1"/>
    <x v="2"/>
    <m/>
    <m/>
    <s v="n/a"/>
    <d v="2026-06-01T00:00:00"/>
    <x v="0"/>
    <x v="13"/>
    <s v="HSM-ND66-GR625"/>
    <s v="H4(Com)"/>
    <s v="±1400mm"/>
    <n v="625"/>
    <n v="3600"/>
    <n v="2.25"/>
    <n v="100"/>
    <n v="5"/>
    <x v="11"/>
    <s v="COMPLETED"/>
    <s v="old stock"/>
    <d v="2026-08-09T00:00:00"/>
    <n v="32"/>
    <s v="POPV260824010"/>
    <m/>
    <s v="TIANJIN"/>
    <x v="0"/>
    <x v="1"/>
    <d v="2026-08-15T00:00:00"/>
    <d v="2026-08-15T00:00:00"/>
    <d v="2026-08-15T00:00:00"/>
    <d v="2026-10-10T00:00:00"/>
    <d v="2026-10-19T00:00:00"/>
    <d v="2026-10-21T00:00:00"/>
    <m/>
    <s v="ONE EAGLE 039E"/>
    <s v="OTHER"/>
    <s v="TPVB20260833012"/>
    <x v="589"/>
    <s v="TS6NDD803500"/>
    <n v="67"/>
    <m/>
    <d v="2026-10-21T00:00:00"/>
    <s v="In Transit-Approved"/>
    <d v="2026-10-17T00:00:00"/>
    <n v="7"/>
    <d v="2026-10-28T00:00:00"/>
    <n v="2026"/>
    <n v="10"/>
    <n v="44"/>
    <n v="36"/>
    <n v="720"/>
    <s v="Redirection Film"/>
    <s v="AEU"/>
  </r>
  <r>
    <s v="26Jun006.01"/>
    <s v="Tianjin"/>
    <s v="26Jun006"/>
    <s v="CORE DG"/>
    <x v="0"/>
    <s v="Arrival Plan-SPNL"/>
    <s v="CIF"/>
    <x v="0"/>
    <s v="U1"/>
    <x v="2"/>
    <m/>
    <m/>
    <s v="n/a"/>
    <d v="2026-06-15T00:00:00"/>
    <x v="0"/>
    <x v="36"/>
    <s v="HSM-ND66-GR625"/>
    <s v="EVO2A"/>
    <s v="±1400mm"/>
    <n v="625"/>
    <n v="1440"/>
    <n v="0.9"/>
    <n v="40"/>
    <n v="2"/>
    <x v="10"/>
    <s v="COMPLETED"/>
    <m/>
    <d v="2026-08-09T00:00:00"/>
    <n v="32"/>
    <s v="POPV260814024"/>
    <m/>
    <s v="TIANJIN"/>
    <x v="0"/>
    <x v="1"/>
    <d v="2026-08-15T00:00:00"/>
    <d v="2026-08-15T00:00:00"/>
    <d v="2026-08-15T00:00:00"/>
    <d v="2026-10-10T00:00:00"/>
    <d v="2026-10-19T00:00:00"/>
    <d v="2026-10-21T00:00:00"/>
    <m/>
    <s v="ONE EAGLE 039E"/>
    <s v="OTHER"/>
    <s v="TPVB20260833012"/>
    <x v="589"/>
    <s v="TS6NDD803500"/>
    <n v="67"/>
    <m/>
    <d v="2026-10-21T00:00:00"/>
    <s v="In Transit-Approved"/>
    <d v="2026-10-17T00:00:00"/>
    <n v="7"/>
    <d v="2026-10-28T00:00:00"/>
    <n v="2026"/>
    <n v="10"/>
    <n v="44"/>
    <n v="36"/>
    <n v="720"/>
    <s v="Redirection Film"/>
    <s v="AEU"/>
  </r>
  <r>
    <s v="26Jul011.12"/>
    <s v="Tianjin"/>
    <s v="26Jul011"/>
    <s v="CORE DG"/>
    <x v="0"/>
    <s v="Arrival Plan-SPNL"/>
    <s v="CIF"/>
    <x v="0"/>
    <s v="U3"/>
    <x v="2"/>
    <m/>
    <m/>
    <s v="n/a"/>
    <d v="2026-07-06T00:00:00"/>
    <x v="3"/>
    <x v="88"/>
    <s v="HSM-BD66-GR650"/>
    <s v="H4(Com)"/>
    <s v="±1400mm"/>
    <n v="650"/>
    <n v="4320"/>
    <n v="2.8079999999999998"/>
    <n v="120"/>
    <n v="6"/>
    <x v="14"/>
    <s v="COMPLETED"/>
    <m/>
    <d v="2026-08-14T00:00:00"/>
    <n v="33"/>
    <s v="POPV260821030"/>
    <s v="POPV260821030"/>
    <s v="TIANJIN"/>
    <x v="0"/>
    <x v="1"/>
    <d v="2026-08-20T00:00:00"/>
    <m/>
    <d v="2026-08-20T11:47:19"/>
    <d v="2026-10-03T00:00:00"/>
    <d v="2026-10-09T00:30:00"/>
    <d v="2026-10-09T00:05:39"/>
    <s v="CIF"/>
    <s v="COSCO SHIPPING SOLAR 037W"/>
    <s v="COSCO"/>
    <s v="TPVB20260833028"/>
    <x v="590"/>
    <s v="COSU9508944650"/>
    <n v="49.512731481481751"/>
    <m/>
    <d v="2026-10-09T00:05:39"/>
    <s v="In Transit-Approved"/>
    <d v="2026-10-10T00:00:00"/>
    <n v="7"/>
    <d v="2026-10-16T00:05:39"/>
    <n v="2026"/>
    <n v="10"/>
    <n v="42"/>
    <n v="36"/>
    <n v="720"/>
    <s v="White glazing"/>
    <s v="AEU"/>
  </r>
  <r>
    <s v="26Jun006.01.01"/>
    <s v="Tianjin"/>
    <s v="26Jun006"/>
    <s v="CORE DG"/>
    <x v="0"/>
    <s v="Arrival Plan-SPNL"/>
    <s v="CIF"/>
    <x v="0"/>
    <s v="U1"/>
    <x v="2"/>
    <m/>
    <m/>
    <s v="n/a"/>
    <d v="2026-06-15T00:00:00"/>
    <x v="0"/>
    <x v="36"/>
    <s v="HSM-ND66-GR625"/>
    <s v="EVO2A"/>
    <s v="±1400mm"/>
    <n v="625"/>
    <n v="1440"/>
    <n v="0.9"/>
    <n v="40"/>
    <n v="2"/>
    <x v="10"/>
    <s v="COMPLETED"/>
    <s v="ready"/>
    <d v="2026-08-14T00:00:00"/>
    <n v="33"/>
    <s v="POPV260821056"/>
    <s v="POPV260821056"/>
    <s v="TIANJIN"/>
    <x v="0"/>
    <x v="1"/>
    <d v="2026-08-20T00:00:00"/>
    <m/>
    <d v="2026-08-20T11:47:19"/>
    <d v="2026-10-03T00:00:00"/>
    <d v="2026-10-09T00:30:00"/>
    <d v="2026-10-09T00:05:39"/>
    <s v="CIF"/>
    <s v="COSCO SHIPPING SOLAR 037W"/>
    <s v="COSCO"/>
    <s v="TPVB20260833028"/>
    <x v="590"/>
    <s v="COSU9508944650"/>
    <n v="49.512731481481751"/>
    <m/>
    <d v="2026-10-09T00:05:39"/>
    <s v="In Transit-Approved"/>
    <d v="2026-10-16T00:00:00"/>
    <n v="7"/>
    <d v="2026-10-16T00:05:39"/>
    <n v="2026"/>
    <n v="10"/>
    <n v="42"/>
    <n v="36"/>
    <n v="720"/>
    <s v="Redirection Film"/>
    <s v="AEU"/>
  </r>
  <r>
    <s v="26Jun021.07.01"/>
    <s v="Tianjin"/>
    <s v="26Jun021"/>
    <s v="CORE DG"/>
    <x v="0"/>
    <s v="Arrival Plan-SPTN"/>
    <s v="CIF"/>
    <x v="0"/>
    <s v="U4"/>
    <x v="2"/>
    <m/>
    <m/>
    <s v="n/a"/>
    <d v="2026-06-29T00:00:00"/>
    <x v="3"/>
    <x v="95"/>
    <s v="HSM-BD66-GR650"/>
    <s v="EVO2A"/>
    <s v="±1400mm"/>
    <n v="650"/>
    <n v="2160"/>
    <n v="1.4039999999999999"/>
    <n v="60"/>
    <n v="3"/>
    <x v="12"/>
    <s v="IN-TRANSIT"/>
    <m/>
    <d v="2026-08-14T00:00:00"/>
    <n v="33"/>
    <s v="POPV260821048"/>
    <s v="POPV260821048"/>
    <s v="TIANJIN"/>
    <x v="0"/>
    <x v="0"/>
    <d v="2026-08-20T00:00:00"/>
    <d v="2026-08-20T16:00:00"/>
    <d v="2026-08-20T11:47:19"/>
    <d v="2026-10-26T00:00:00"/>
    <d v="2026-11-04T22:00:00"/>
    <s v=""/>
    <s v="CIF"/>
    <s v="COSCO SHIPPING SOLAR 037W"/>
    <s v="COSCO"/>
    <s v="TPVB20260833025"/>
    <x v="591"/>
    <s v="COSU9508943650"/>
    <n v="76.425474537034461"/>
    <m/>
    <d v="2026-11-04T22:00:00"/>
    <s v="In Transit-Approved"/>
    <d v="2026-11-02T00:00:00"/>
    <n v="8"/>
    <d v="2026-11-12T22:00:00"/>
    <n v="2026"/>
    <n v="11"/>
    <n v="46"/>
    <n v="36"/>
    <n v="720"/>
    <s v="White glazing"/>
    <s v="AEM"/>
  </r>
  <r>
    <s v="26Jul012.03.01"/>
    <s v="Tianjin"/>
    <s v="26Jul012"/>
    <s v="CORE DG"/>
    <x v="0"/>
    <s v="Arrival Plan-SPTN"/>
    <s v="CIF"/>
    <x v="0"/>
    <s v="U4"/>
    <x v="2"/>
    <m/>
    <m/>
    <s v="n/a"/>
    <d v="2026-07-06T00:00:00"/>
    <x v="3"/>
    <x v="85"/>
    <s v="HSM-BD66-GR655"/>
    <s v="H4(Com)"/>
    <s v="±1400mm"/>
    <n v="655"/>
    <n v="720"/>
    <n v="0.47160000000000002"/>
    <n v="20"/>
    <n v="1"/>
    <x v="12"/>
    <s v="IN-TRANSIT"/>
    <m/>
    <d v="2026-08-14T00:00:00"/>
    <n v="33"/>
    <s v="POPV260821029"/>
    <s v="POPV260821029"/>
    <s v="TIANJIN"/>
    <x v="0"/>
    <x v="0"/>
    <d v="2026-08-20T00:00:00"/>
    <d v="2026-08-20T16:00:00"/>
    <d v="2026-08-20T11:47:19"/>
    <d v="2026-10-26T00:00:00"/>
    <d v="2026-11-04T22:00:00"/>
    <s v=""/>
    <s v="CIF"/>
    <s v="COSCO SHIPPING SOLAR 037W"/>
    <s v="COSCO"/>
    <s v="TPVB20260833025"/>
    <x v="591"/>
    <s v="COSU9508943650"/>
    <n v="76.425474537034461"/>
    <m/>
    <d v="2026-11-04T22:00:00"/>
    <s v="In Transit-Approved"/>
    <d v="2026-11-02T00:00:00"/>
    <n v="8"/>
    <d v="2026-11-12T22:00:00"/>
    <n v="2026"/>
    <n v="11"/>
    <n v="46"/>
    <n v="36"/>
    <n v="720"/>
    <s v="White glazing"/>
    <s v="AEM"/>
  </r>
  <r>
    <s v="26Jul012.03"/>
    <s v="Tianjin"/>
    <s v="26Jul012"/>
    <s v="CORE DG"/>
    <x v="0"/>
    <s v="Arrival Plan-SPTN"/>
    <s v="CIF"/>
    <x v="0"/>
    <s v="U4"/>
    <x v="2"/>
    <m/>
    <m/>
    <s v="n/a"/>
    <d v="2026-07-06T00:00:00"/>
    <x v="3"/>
    <x v="85"/>
    <s v="HSM-BD66-GR655"/>
    <s v="H4(Com)"/>
    <s v="±1400mm"/>
    <n v="655"/>
    <n v="1440"/>
    <n v="0.94320000000000004"/>
    <n v="40"/>
    <n v="2"/>
    <x v="12"/>
    <s v="COMPLETED"/>
    <m/>
    <d v="2026-08-14T00:00:00"/>
    <n v="33"/>
    <s v="POPV260821023"/>
    <s v="POPV260821023"/>
    <s v="TIANJIN"/>
    <x v="0"/>
    <x v="0"/>
    <d v="2026-08-20T00:00:00"/>
    <d v="2026-08-20T16:00:00"/>
    <d v="2026-08-20T11:47:19"/>
    <d v="2026-10-14T00:00:00"/>
    <d v="2026-10-27T16:00:00"/>
    <d v="2026-10-27T18:53:49"/>
    <s v="CIF"/>
    <s v="COSCO SHIPPING SOLAR 037W"/>
    <s v="COSCO"/>
    <s v="TPVB20260833026"/>
    <x v="592"/>
    <s v="COSU9508943400"/>
    <n v="68.296180555553292"/>
    <m/>
    <d v="2026-10-27T18:53:49"/>
    <s v="In Transit-Approved"/>
    <d v="2026-11-02T00:00:00"/>
    <n v="8"/>
    <d v="2026-11-04T18:53:49"/>
    <n v="2026"/>
    <n v="11"/>
    <n v="45"/>
    <n v="36"/>
    <n v="720"/>
    <s v="White glazing"/>
    <s v="AEM"/>
  </r>
  <r>
    <s v="26Jun021.07.02"/>
    <s v="Tianjin"/>
    <s v="26Jun021"/>
    <s v="CORE DG"/>
    <x v="0"/>
    <s v="Arrival Plan-SPIT"/>
    <s v="CIF"/>
    <x v="4"/>
    <s v="U4"/>
    <x v="2"/>
    <m/>
    <m/>
    <s v="n/a"/>
    <d v="2026-06-29T00:00:00"/>
    <x v="3"/>
    <x v="95"/>
    <s v="HSM-BD66-GR650"/>
    <s v="EVO2A"/>
    <s v="±1400mm"/>
    <n v="650"/>
    <n v="720"/>
    <n v="0.46800000000000003"/>
    <n v="20"/>
    <n v="1"/>
    <x v="11"/>
    <s v="IN-TRANSIT"/>
    <s v="七月3日,Italy importer label"/>
    <d v="2026-08-14T00:00:00"/>
    <n v="33"/>
    <s v="POPV260821043"/>
    <s v="POPV260821043"/>
    <s v="TIANJIN"/>
    <x v="0"/>
    <x v="14"/>
    <d v="2026-08-20T00:00:00"/>
    <d v="2026-08-20T16:00:00"/>
    <d v="2026-08-20T11:47:19"/>
    <d v="2026-11-01T00:00:00"/>
    <d v="2026-11-04T18:00:00"/>
    <s v=""/>
    <s v="CIF"/>
    <s v="COSCO SHIPPING SOLAR 037W"/>
    <s v="COSCO"/>
    <s v="TPVB20260833027"/>
    <x v="593"/>
    <s v="COSU9508944110"/>
    <n v="76.258807870370219"/>
    <m/>
    <d v="2026-11-04T18:00:00"/>
    <s v="In Transit-Approved"/>
    <d v="2026-11-02T00:00:00"/>
    <n v="10"/>
    <d v="2026-11-14T18:00:00"/>
    <n v="2026"/>
    <n v="11"/>
    <n v="46"/>
    <n v="36"/>
    <n v="720"/>
    <s v="White glazing"/>
    <s v="AEM"/>
  </r>
  <r>
    <s v="26Aug004.01"/>
    <s v="Tianjin"/>
    <s v="26Aug004"/>
    <s v="CORE DG"/>
    <x v="0"/>
    <s v="Arrival Plan-SPUK"/>
    <s v="CIF"/>
    <x v="6"/>
    <s v="U1"/>
    <x v="165"/>
    <m/>
    <m/>
    <s v="n/a"/>
    <d v="2026-08-03T00:00:00"/>
    <x v="0"/>
    <x v="43"/>
    <s v="HSM-ND54-DR505"/>
    <s v="EVO2A"/>
    <s v="±1200mm"/>
    <n v="505"/>
    <n v="864"/>
    <n v="0.43631999999999999"/>
    <n v="24"/>
    <n v="1"/>
    <x v="15"/>
    <s v="COMPLETED"/>
    <s v="八月14日"/>
    <d v="2026-08-14T00:00:00"/>
    <n v="33"/>
    <s v="POPV260821069"/>
    <s v="POPV260821069"/>
    <s v="TIANJIN"/>
    <x v="0"/>
    <x v="6"/>
    <d v="2026-08-20T00:00:00"/>
    <d v="2026-08-20T16:00:00"/>
    <d v="2026-08-20T11:47:19"/>
    <d v="2026-10-11T00:00:00"/>
    <d v="2026-10-17T14:00:00"/>
    <d v="2026-10-17T14:25:06"/>
    <s v="CIF"/>
    <s v="COSCO SHIPPING SOLAR 037W"/>
    <s v="COSCO"/>
    <s v="TPVB20260833024"/>
    <x v="594"/>
    <s v="COSU6462455040"/>
    <n v="58.109571759261598"/>
    <m/>
    <d v="2026-10-17T14:25:06"/>
    <s v="In Transit-Approved"/>
    <d v="2026-11-02T00:00:00"/>
    <n v="7"/>
    <d v="2026-10-24T14:25:06"/>
    <n v="2026"/>
    <n v="10"/>
    <n v="43"/>
    <n v="36"/>
    <n v="864"/>
    <s v="Black glazing"/>
    <s v="AEU"/>
  </r>
  <r>
    <s v="26Aug007.01"/>
    <s v="Quzhou"/>
    <s v="26Aug007"/>
    <s v="CORE DG"/>
    <x v="1"/>
    <s v="SPTN Offstore in Transit WH"/>
    <s v="CIF"/>
    <x v="8"/>
    <s v="U1"/>
    <x v="25"/>
    <s v="IE0126051800020"/>
    <n v="2"/>
    <s v="Yes"/>
    <s v="Aug"/>
    <x v="3"/>
    <x v="91"/>
    <s v="HSM-BE54-DD485"/>
    <s v="EVO2A"/>
    <s v="±1200mm"/>
    <n v="485"/>
    <n v="10296"/>
    <n v="4.9935600000000004"/>
    <n v="286"/>
    <n v="11"/>
    <x v="16"/>
    <s v="COMPLETED"/>
    <s v="ready"/>
    <d v="2026-08-22T00:00:00"/>
    <n v="34"/>
    <s v="POPV260825027"/>
    <m/>
    <s v="SHANGHAI/Quzhou"/>
    <x v="1"/>
    <x v="8"/>
    <d v="2026-08-29T00:00:00"/>
    <d v="2026-08-30T13:30:00"/>
    <d v="2026-08-30T00:00:00"/>
    <d v="2026-10-09T00:00:00"/>
    <d v="2026-10-21T06:00:00"/>
    <d v="2026-10-21T01:06:10"/>
    <m/>
    <s v="COSCO SHIPPING SOLAR _x000a_037W"/>
    <s v="COSCO"/>
    <s v="TPVB20260834022"/>
    <x v="595"/>
    <s v="COSU6463115620"/>
    <n v="52.045949074075907"/>
    <m/>
    <d v="2026-10-21T01:06:10"/>
    <s v="In Stock-Approved"/>
    <d v="2026-10-09T00:00:00"/>
    <n v="0"/>
    <d v="2026-10-21T01:06:10"/>
    <n v="2026"/>
    <n v="10"/>
    <n v="43"/>
    <n v="36"/>
    <n v="936"/>
    <s v="Black glazing"/>
    <s v="AEU"/>
  </r>
  <r>
    <s v="26Aug008.03"/>
    <s v="Quzhou"/>
    <s v="26Aug008"/>
    <s v="CORE DG"/>
    <x v="0"/>
    <s v="Arrival Plan-SPUK"/>
    <s v="CIF"/>
    <x v="6"/>
    <s v="U4"/>
    <x v="175"/>
    <m/>
    <m/>
    <s v="n/a"/>
    <s v="Aug"/>
    <x v="3"/>
    <x v="96"/>
    <s v="HSM-BE54-DD490"/>
    <s v="EVO2A"/>
    <s v="±1200mm"/>
    <n v="490"/>
    <n v="936"/>
    <n v="0.45863999999999999"/>
    <n v="26"/>
    <n v="1"/>
    <x v="13"/>
    <s v="COMPLETED"/>
    <s v="ready"/>
    <d v="2026-08-20T00:00:00"/>
    <n v="34"/>
    <s v="POPV260821065"/>
    <s v="POPV260821065"/>
    <s v="SHANGHAI/Quzhou"/>
    <x v="1"/>
    <x v="6"/>
    <d v="2026-08-24T00:00:00"/>
    <m/>
    <d v="2026-08-23T23:36:47"/>
    <d v="2026-10-04T00:00:00"/>
    <d v="2026-10-04T04:00:00"/>
    <d v="2026-10-04T00:00:00"/>
    <m/>
    <s v="OOCL ABU DHABI 009W"/>
    <s v="COSCO"/>
    <s v="TPVB20260834037"/>
    <x v="596"/>
    <s v="COSU6463847410"/>
    <n v="41.01612268518511"/>
    <m/>
    <d v="2026-10-04T00:00:00"/>
    <s v="In Transit-Approved"/>
    <d v="2026-10-11T00:00:00"/>
    <n v="7"/>
    <d v="2026-10-11T00:00:00"/>
    <n v="2026"/>
    <n v="10"/>
    <n v="41"/>
    <n v="36"/>
    <n v="936"/>
    <s v="Black glazing"/>
    <s v="AEU"/>
  </r>
  <r>
    <s v="26Jul018.01"/>
    <s v="Quzhou"/>
    <s v="26Jul018"/>
    <s v="CORE DG"/>
    <x v="0"/>
    <s v="Arrival Plan-SPUK"/>
    <s v="CIF"/>
    <x v="6"/>
    <s v="U2"/>
    <x v="176"/>
    <m/>
    <m/>
    <s v="n/a"/>
    <d v="2026-07-27T00:00:00"/>
    <x v="3"/>
    <x v="96"/>
    <s v="HSM-BE54-DD490"/>
    <s v="EVO2A"/>
    <s v="±1200mm"/>
    <n v="490"/>
    <n v="1872"/>
    <n v="0.91727999999999998"/>
    <n v="52"/>
    <n v="2"/>
    <x v="12"/>
    <s v="COMPLETED"/>
    <s v="ready"/>
    <d v="2026-08-20T00:00:00"/>
    <n v="34"/>
    <s v="POPV260821064"/>
    <s v="POPV260821064"/>
    <s v="SHANGHAI/Quzhou"/>
    <x v="1"/>
    <x v="6"/>
    <d v="2026-08-24T00:00:00"/>
    <m/>
    <d v="2026-08-23T23:36:47"/>
    <d v="2026-10-04T00:00:00"/>
    <d v="2026-10-04T04:00:00"/>
    <d v="2026-10-04T00:00:00"/>
    <m/>
    <s v="OOCL ABU DHABI 009W"/>
    <s v="COSCO"/>
    <s v="TPVB20260834037"/>
    <x v="596"/>
    <s v="COSU6463847410"/>
    <n v="41.01612268518511"/>
    <m/>
    <d v="2026-10-04T00:00:00"/>
    <s v="In Transit-Approved"/>
    <d v="2026-10-11T00:00:00"/>
    <n v="7"/>
    <d v="2026-10-11T00:00:00"/>
    <n v="2026"/>
    <n v="10"/>
    <n v="41"/>
    <n v="36"/>
    <n v="936"/>
    <s v="Black glazing"/>
    <s v="AEU"/>
  </r>
  <r>
    <s v="26Jul017.01.03"/>
    <s v="Quzhou"/>
    <s v="26Jul017"/>
    <s v="CORE DG"/>
    <x v="0"/>
    <s v="Arrival Plan-SPUK"/>
    <s v="CIF"/>
    <x v="6"/>
    <s v="U2"/>
    <x v="177"/>
    <m/>
    <m/>
    <s v="n/a"/>
    <s v="Aug"/>
    <x v="3"/>
    <x v="91"/>
    <s v="HSM-BE54-DD485"/>
    <s v="EVO2A"/>
    <s v="±1200mm"/>
    <n v="485"/>
    <n v="936"/>
    <n v="0.45395999999999997"/>
    <n v="26"/>
    <n v="1"/>
    <x v="16"/>
    <s v="COMPLETED"/>
    <d v="2026-08-19T00:00:00"/>
    <d v="2026-08-20T00:00:00"/>
    <n v="34"/>
    <s v="POPV260821054"/>
    <s v="POPV260821054"/>
    <s v="SHANGHAI/Quzhou"/>
    <x v="1"/>
    <x v="6"/>
    <d v="2026-08-24T00:00:00"/>
    <m/>
    <d v="2026-08-23T23:36:47"/>
    <d v="2026-10-04T00:00:00"/>
    <d v="2026-10-04T04:00:00"/>
    <d v="2026-10-04T00:00:00"/>
    <m/>
    <s v="OOCL ABU DHABI 009W"/>
    <s v="COSCO"/>
    <s v="TPVB20260834037"/>
    <x v="596"/>
    <s v="COSU6463847410"/>
    <n v="41.01612268518511"/>
    <m/>
    <d v="2026-10-04T00:00:00"/>
    <s v="In Transit-Approved"/>
    <d v="2026-10-11T00:00:00"/>
    <n v="7"/>
    <d v="2026-10-11T00:00:00"/>
    <n v="2026"/>
    <n v="10"/>
    <n v="41"/>
    <n v="36"/>
    <n v="936"/>
    <s v="Black glazing"/>
    <s v="AEU"/>
  </r>
  <r>
    <s v="26Jul017.03"/>
    <s v="Quzhou"/>
    <s v="26Jul017"/>
    <s v="CORE DG"/>
    <x v="0"/>
    <s v="Arrival Plan-SPUK"/>
    <s v="CIF"/>
    <x v="6"/>
    <s v="U2"/>
    <x v="170"/>
    <m/>
    <m/>
    <s v="n/a"/>
    <d v="2026-07-27T00:00:00"/>
    <x v="3"/>
    <x v="91"/>
    <s v="HSM-BE54-DD485"/>
    <s v="EVO2A"/>
    <s v="±1200mm"/>
    <n v="485"/>
    <n v="936"/>
    <n v="0.45395999999999997"/>
    <n v="26"/>
    <n v="1"/>
    <x v="12"/>
    <s v="COMPLETED"/>
    <d v="2026-08-19T00:00:00"/>
    <d v="2026-08-20T00:00:00"/>
    <n v="34"/>
    <s v="POPV260821055"/>
    <s v="POPV260821055"/>
    <s v="SHANGHAI/Quzhou"/>
    <x v="1"/>
    <x v="6"/>
    <d v="2026-08-24T00:00:00"/>
    <m/>
    <d v="2026-08-23T23:36:47"/>
    <d v="2026-10-04T00:00:00"/>
    <d v="2026-10-04T04:00:00"/>
    <d v="2026-10-04T00:00:00"/>
    <m/>
    <s v="OOCL ABU DHABI 009W"/>
    <s v="COSCO"/>
    <s v="TPVB20260834037"/>
    <x v="596"/>
    <s v="COSU6463847410"/>
    <n v="41.01612268518511"/>
    <m/>
    <d v="2026-10-04T00:00:00"/>
    <s v="In Transit-Approved"/>
    <d v="2026-10-11T00:00:00"/>
    <n v="7"/>
    <d v="2026-10-11T00:00:00"/>
    <n v="2026"/>
    <n v="10"/>
    <n v="41"/>
    <n v="36"/>
    <n v="936"/>
    <s v="Black glazing"/>
    <s v="AEU"/>
  </r>
  <r>
    <s v="26Aug007.02.01"/>
    <s v="Quzhou"/>
    <s v="26Aug007"/>
    <s v="CORE DG"/>
    <x v="1"/>
    <s v="SPTN Offstore in Transit WH"/>
    <s v="CIF"/>
    <x v="8"/>
    <s v="U1"/>
    <x v="25"/>
    <s v="IE0126051800021"/>
    <n v="4"/>
    <s v="Yes"/>
    <s v="Aug"/>
    <x v="3"/>
    <x v="91"/>
    <s v="HSM-BE54-DD485"/>
    <s v="EVO2A"/>
    <s v="±1200mm"/>
    <n v="485"/>
    <n v="4680"/>
    <n v="2.2698"/>
    <n v="130"/>
    <n v="5"/>
    <x v="13"/>
    <s v="COMPLETED"/>
    <d v="2026-08-18T00:00:00"/>
    <d v="2026-08-17T00:00:00"/>
    <n v="34"/>
    <s v="POPV260821059"/>
    <s v="POPV260821059"/>
    <s v="SHANGHAI/Quzhou"/>
    <x v="1"/>
    <x v="6"/>
    <d v="2026-08-24T00:00:00"/>
    <m/>
    <d v="2026-08-23T23:36:47"/>
    <d v="2026-10-04T00:00:00"/>
    <d v="2026-10-04T04:00:00"/>
    <d v="2026-10-04T00:00:00"/>
    <m/>
    <s v="EVER ATOP 1415-014W"/>
    <s v="COSCO"/>
    <s v="TPVB20260834024"/>
    <x v="597"/>
    <s v="COSU6463255210"/>
    <n v="41.01612268518511"/>
    <m/>
    <d v="2026-10-04T00:00:00"/>
    <s v="In Stock-Approved"/>
    <d v="2026-09-29T00:00:00"/>
    <n v="0"/>
    <d v="2026-10-04T00:00:00"/>
    <n v="2026"/>
    <n v="10"/>
    <n v="40"/>
    <n v="36"/>
    <n v="936"/>
    <s v="Black glazing"/>
    <s v="AEU"/>
  </r>
  <r>
    <s v="26Jun015.07"/>
    <s v="Yixing"/>
    <s v="26Jun015"/>
    <s v="CORE DG"/>
    <x v="1"/>
    <s v="SPTN Offstore in Transit WH"/>
    <s v="CIF"/>
    <x v="15"/>
    <s v="U1"/>
    <x v="162"/>
    <s v="BE0126061200010"/>
    <n v="3"/>
    <s v="Yes"/>
    <d v="2026-06-29T00:00:00"/>
    <x v="11"/>
    <x v="84"/>
    <s v="HSM-NT48-HH465"/>
    <s v="EVO2A"/>
    <s v="±1200mm"/>
    <n v="465"/>
    <n v="1872"/>
    <n v="0.87048000000000003"/>
    <n v="52"/>
    <n v="2"/>
    <x v="13"/>
    <s v="COMPLETED"/>
    <s v="ready"/>
    <d v="2026-08-16T00:00:00"/>
    <n v="33"/>
    <s v="POPV260821052"/>
    <s v="POPV260821052"/>
    <s v="SHANGHAI"/>
    <x v="1"/>
    <x v="1"/>
    <d v="2026-08-22T00:00:00"/>
    <m/>
    <d v="2026-08-22T09:59:45"/>
    <d v="2026-10-10T00:00:00"/>
    <d v="2026-10-11T19:00:00"/>
    <d v="2026-10-11T20:39:22"/>
    <m/>
    <s v="COSCO SHIPPING HIMALAYAS _x000a_048W"/>
    <s v="COSCO"/>
    <s v="TPVB20260834025"/>
    <x v="598"/>
    <s v="COSU6462717070"/>
    <n v="50.444178240737529"/>
    <m/>
    <d v="2026-10-11T20:39:22"/>
    <s v="In Stock-Approved"/>
    <d v="2026-10-10T00:00:00"/>
    <n v="0"/>
    <d v="2026-10-11T20:39:22"/>
    <n v="2026"/>
    <n v="10"/>
    <n v="41"/>
    <n v="36"/>
    <n v="936"/>
    <s v="Black glazing"/>
    <s v="AEU"/>
  </r>
  <r>
    <s v="26Aug010.02.01"/>
    <s v="Yixing"/>
    <s v="26Aug010"/>
    <s v="UPP"/>
    <x v="1"/>
    <s v="SPTN Offstore in Transit WH"/>
    <s v="CIF"/>
    <x v="10"/>
    <s v="U2"/>
    <x v="178"/>
    <s v="DE0126080400009"/>
    <n v="16"/>
    <s v="Yes"/>
    <m/>
    <x v="0"/>
    <x v="97"/>
    <s v="HSM-ND66-GR625"/>
    <s v="H4(Com)"/>
    <s v="+400mm/-200mm"/>
    <n v="625"/>
    <n v="4320"/>
    <n v="2.7"/>
    <n v="120"/>
    <n v="6"/>
    <x v="15"/>
    <s v="COMPLETED"/>
    <d v="2026-08-17T00:00:00"/>
    <d v="2026-08-16T00:00:00"/>
    <n v="33"/>
    <s v="POPV260821017"/>
    <s v="POPV260821017"/>
    <s v="SHANGHAI"/>
    <x v="1"/>
    <x v="1"/>
    <d v="2026-08-22T00:00:00"/>
    <m/>
    <d v="2026-08-22T09:59:45"/>
    <d v="2026-10-10T00:00:00"/>
    <d v="2026-10-11T19:00:00"/>
    <d v="2026-10-11T20:39:22"/>
    <m/>
    <s v="COSCO SHIPPING HIMALAYAS _x000a_048W"/>
    <s v="COSCO"/>
    <s v="TPVB20260834026"/>
    <x v="599"/>
    <s v="COSU6462717070"/>
    <n v="50.444178240737529"/>
    <m/>
    <d v="2026-10-11T20:39:22"/>
    <s v="In Stock-Approved"/>
    <d v="2026-10-10T00:00:00"/>
    <n v="0"/>
    <d v="2026-10-11T20:39:22"/>
    <n v="2026"/>
    <n v="10"/>
    <n v="41"/>
    <n v="36"/>
    <n v="720"/>
    <s v="Redirection Film"/>
    <s v="AEU"/>
  </r>
  <r>
    <s v="26May011.10.03"/>
    <s v="Yixing"/>
    <s v="26May011"/>
    <s v="CORE DG"/>
    <x v="0"/>
    <s v="Arrival Plan-SPNL"/>
    <s v="CIF"/>
    <x v="0"/>
    <s v="U6"/>
    <x v="2"/>
    <m/>
    <m/>
    <s v="n/a"/>
    <d v="2026-05-25T00:00:00"/>
    <x v="0"/>
    <x v="74"/>
    <s v="HSM-ND66-GR625"/>
    <s v="H4(Com)"/>
    <s v="+400mm/-200mm"/>
    <n v="625"/>
    <n v="720"/>
    <n v="0.45"/>
    <n v="20"/>
    <n v="1"/>
    <x v="9"/>
    <s v="COMPLETED"/>
    <s v="BW JUN"/>
    <d v="2026-08-21T00:00:00"/>
    <n v="34"/>
    <s v="POPV260825019"/>
    <m/>
    <s v="SHANGHAI"/>
    <x v="1"/>
    <x v="1"/>
    <d v="2026-08-23T00:00:00"/>
    <d v="2026-08-27T00:00:00"/>
    <d v="2026-08-25T00:00:00"/>
    <d v="2026-10-03T00:00:00"/>
    <d v="2026-10-13T00:00:00"/>
    <d v="2026-10-13T00:00:00"/>
    <m/>
    <s v="CMA CGM ANTOINE DE SAINT"/>
    <s v="OTHER"/>
    <s v="TPVB20260834027"/>
    <x v="600"/>
    <s v="CHN3862363"/>
    <n v="49"/>
    <m/>
    <d v="2026-10-13T00:00:00"/>
    <s v="In Transit-Approved"/>
    <d v="2026-10-10T00:00:00"/>
    <n v="7"/>
    <d v="2026-10-20T00:00:00"/>
    <n v="2026"/>
    <n v="10"/>
    <n v="43"/>
    <n v="36"/>
    <n v="720"/>
    <s v="Transparent"/>
    <s v="AEU"/>
  </r>
  <r>
    <s v="26Jul002.14"/>
    <s v="Yixing"/>
    <s v="26Jul002"/>
    <s v="CORE DG"/>
    <x v="0"/>
    <s v="Arrival Plan-SPNL"/>
    <s v="CIF"/>
    <x v="0"/>
    <s v="U1"/>
    <x v="2"/>
    <m/>
    <m/>
    <s v="n/a"/>
    <d v="2026-07-06T00:00:00"/>
    <x v="6"/>
    <x v="69"/>
    <s v="SPR-P7-515-BLK-P"/>
    <s v="EVO2A"/>
    <s v="±1350mm"/>
    <n v="515"/>
    <n v="792"/>
    <n v="0.40788000000000002"/>
    <n v="22"/>
    <n v="1"/>
    <x v="13"/>
    <s v="COMPLETED"/>
    <s v="ready"/>
    <d v="2026-08-21T00:00:00"/>
    <n v="34"/>
    <s v="POPV260825012"/>
    <m/>
    <s v="SHANGHAI"/>
    <x v="1"/>
    <x v="1"/>
    <d v="2026-08-23T00:00:00"/>
    <d v="2026-08-27T00:00:00"/>
    <d v="2026-08-25T00:00:00"/>
    <d v="2026-10-03T00:00:00"/>
    <d v="2026-10-13T00:00:00"/>
    <d v="2026-10-13T00:00:00"/>
    <m/>
    <s v="CMA CGM ANTOINE DE SAINT"/>
    <s v="OTHER"/>
    <s v="TPVB20260834027"/>
    <x v="600"/>
    <s v="CHN3907969"/>
    <n v="49"/>
    <m/>
    <d v="2026-10-13T00:00:00"/>
    <s v="In Transit-Approved"/>
    <d v="2026-10-09T00:00:00"/>
    <n v="7"/>
    <d v="2026-10-20T00:00:00"/>
    <n v="2026"/>
    <n v="10"/>
    <n v="43"/>
    <n v="36"/>
    <n v="792"/>
    <s v="Black glazing"/>
    <s v="AEU"/>
  </r>
  <r>
    <s v="26Jul017.04"/>
    <s v="Quzhou"/>
    <s v="26Jul017"/>
    <s v="CORE DG"/>
    <x v="0"/>
    <s v="Arrival Plan-SPNL"/>
    <s v="CIF"/>
    <x v="0"/>
    <s v="U2"/>
    <x v="2"/>
    <m/>
    <m/>
    <s v="n/a"/>
    <d v="2026-07-27T00:00:00"/>
    <x v="3"/>
    <x v="91"/>
    <s v="HSM-BE54-DD485"/>
    <s v="EVO2A"/>
    <s v="±1200mm"/>
    <n v="485"/>
    <n v="2808"/>
    <n v="1.36188"/>
    <n v="78"/>
    <n v="3"/>
    <x v="16"/>
    <s v="COMPLETED"/>
    <d v="2026-08-17T00:00:00"/>
    <d v="2026-08-19T00:00:00"/>
    <n v="34"/>
    <s v="POPV260821050"/>
    <s v="POPV260821050"/>
    <s v="SHANGHAI/Quzhou"/>
    <x v="1"/>
    <x v="1"/>
    <d v="2026-08-23T00:00:00"/>
    <d v="2026-08-25T00:00:00"/>
    <d v="2026-08-25T00:00:00"/>
    <d v="2026-10-03T00:00:00"/>
    <d v="2026-10-13T00:00:00"/>
    <d v="2026-10-13T00:00:00"/>
    <m/>
    <s v="CMA CGM ANTOINE DE SAINT_x000a_EXUPERY / 0FMMSW1MA"/>
    <s v="OTHER"/>
    <s v="TPVB20260834008"/>
    <x v="601"/>
    <s v="CHN3801647"/>
    <n v="49"/>
    <m/>
    <d v="2026-10-13T00:00:00"/>
    <s v="In Transit-Approved"/>
    <d v="2026-10-10T00:00:00"/>
    <n v="7"/>
    <d v="2026-10-20T00:00:00"/>
    <n v="2026"/>
    <n v="10"/>
    <n v="43"/>
    <n v="36"/>
    <n v="936"/>
    <s v="Black glazing"/>
    <s v="AEU"/>
  </r>
  <r>
    <s v="26Aug007.04.01"/>
    <s v="Quzhou"/>
    <s v="26Aug007"/>
    <s v="CORE DG"/>
    <x v="0"/>
    <s v="Arrival Plan-SPNL"/>
    <s v="CIF"/>
    <x v="0"/>
    <s v="U4"/>
    <x v="2"/>
    <m/>
    <m/>
    <s v="n/a"/>
    <s v="Aug"/>
    <x v="3"/>
    <x v="91"/>
    <s v="HSM-BE54-DD485"/>
    <s v="EVO2A"/>
    <s v="±1200mm"/>
    <n v="485"/>
    <n v="1872"/>
    <n v="0.90791999999999995"/>
    <n v="52"/>
    <n v="2"/>
    <x v="14"/>
    <s v="COMPLETED"/>
    <d v="2026-08-16T00:00:00"/>
    <d v="2026-08-19T00:00:00"/>
    <n v="34"/>
    <s v="POPV260821058"/>
    <s v="POPV260821058"/>
    <s v="SHANGHAI/Quzhou"/>
    <x v="1"/>
    <x v="1"/>
    <d v="2026-08-23T00:00:00"/>
    <d v="2026-08-25T00:00:00"/>
    <d v="2026-08-25T00:00:00"/>
    <d v="2026-10-03T00:00:00"/>
    <d v="2026-10-13T00:00:00"/>
    <d v="2026-10-13T00:00:00"/>
    <m/>
    <s v="CMA CGM ANTOINE DE SAINT_x000a_EXUPERY / 0FMMSW1MA"/>
    <s v="OTHER"/>
    <s v="TPVB20260834008"/>
    <x v="601"/>
    <s v="CHN3801647"/>
    <n v="49"/>
    <m/>
    <d v="2026-10-13T00:00:00"/>
    <s v="In Transit-Approved"/>
    <d v="2026-10-10T00:00:00"/>
    <n v="7"/>
    <d v="2026-10-20T00:00:00"/>
    <n v="2026"/>
    <n v="10"/>
    <n v="43"/>
    <n v="36"/>
    <n v="936"/>
    <s v="Black glazing"/>
    <s v="AEU"/>
  </r>
  <r>
    <s v="26Aug007.03"/>
    <s v="Quzhou"/>
    <s v="26Aug007"/>
    <s v="CORE DG"/>
    <x v="0"/>
    <s v="Arrival Plan-SPNL"/>
    <s v="CIF"/>
    <x v="0"/>
    <s v="U4"/>
    <x v="2"/>
    <m/>
    <m/>
    <s v="n/a"/>
    <d v="2026-07-27T00:00:00"/>
    <x v="3"/>
    <x v="91"/>
    <s v="HSM-BE54-DD485"/>
    <s v="EVO2A"/>
    <s v="±1200mm"/>
    <n v="485"/>
    <n v="2808"/>
    <n v="1.36188"/>
    <n v="78"/>
    <n v="3"/>
    <x v="14"/>
    <s v="COMPLETED"/>
    <d v="2026-08-15T00:00:00"/>
    <d v="2026-08-19T00:00:00"/>
    <n v="34"/>
    <s v="POPV260821062"/>
    <s v="POPV260821062"/>
    <s v="SHANGHAI/Quzhou"/>
    <x v="1"/>
    <x v="1"/>
    <d v="2026-08-23T00:00:00"/>
    <d v="2026-08-25T00:00:00"/>
    <d v="2026-08-25T00:00:00"/>
    <d v="2026-10-03T00:00:00"/>
    <d v="2026-10-13T00:00:00"/>
    <d v="2026-10-13T00:00:00"/>
    <m/>
    <s v="CMA CGM ANTOINE DE SAINT_x000a_EXUPERY / 0FMMSW1MA"/>
    <s v="OTHER"/>
    <s v="TPVB20260834008"/>
    <x v="601"/>
    <s v="CHN3801659"/>
    <n v="49"/>
    <m/>
    <d v="2026-10-13T00:00:00"/>
    <s v="In Transit-Approved"/>
    <d v="2026-10-10T00:00:00"/>
    <n v="7"/>
    <d v="2026-10-20T00:00:00"/>
    <n v="2026"/>
    <n v="10"/>
    <n v="43"/>
    <n v="36"/>
    <n v="936"/>
    <s v="Black glazing"/>
    <s v="AEU"/>
  </r>
  <r>
    <s v="26Aug007.04"/>
    <s v="Quzhou"/>
    <s v="26Aug007"/>
    <s v="CORE DG"/>
    <x v="0"/>
    <s v="Arrival Plan-SPNL"/>
    <s v="CIF"/>
    <x v="0"/>
    <s v="U4"/>
    <x v="2"/>
    <m/>
    <m/>
    <s v="n/a"/>
    <s v="Aug"/>
    <x v="3"/>
    <x v="91"/>
    <s v="HSM-BE54-DD485"/>
    <s v="EVO2A"/>
    <s v="±1200mm"/>
    <n v="485"/>
    <n v="1872"/>
    <n v="0.90791999999999995"/>
    <n v="52"/>
    <n v="2"/>
    <x v="14"/>
    <s v="COMPLETED"/>
    <d v="2026-08-16T00:00:00"/>
    <d v="2026-08-19T00:00:00"/>
    <n v="34"/>
    <s v="POPV260821063"/>
    <s v="POPV260821063"/>
    <s v="SHANGHAI/Quzhou"/>
    <x v="1"/>
    <x v="1"/>
    <d v="2026-08-23T00:00:00"/>
    <d v="2026-08-25T00:00:00"/>
    <d v="2026-08-25T00:00:00"/>
    <d v="2026-10-03T00:00:00"/>
    <d v="2026-10-13T00:00:00"/>
    <d v="2026-10-13T00:00:00"/>
    <m/>
    <s v="CMA CGM ANTOINE DE SAINT_x000a_EXUPERY / 0FMMSW1MA"/>
    <s v="OTHER"/>
    <s v="TPVB20260834008"/>
    <x v="601"/>
    <s v="CHN3801659"/>
    <n v="49"/>
    <m/>
    <d v="2026-10-13T00:00:00"/>
    <s v="In Transit-Approved"/>
    <d v="2026-10-10T00:00:00"/>
    <n v="7"/>
    <d v="2026-10-20T00:00:00"/>
    <n v="2026"/>
    <n v="10"/>
    <n v="43"/>
    <n v="36"/>
    <n v="936"/>
    <s v="Black glazing"/>
    <s v="AEU"/>
  </r>
  <r>
    <s v="26Aug010.01"/>
    <s v="Yixing"/>
    <s v="26Aug010"/>
    <s v="UPP"/>
    <x v="1"/>
    <s v="SPTN Offstore in Transit WH"/>
    <s v="CIF"/>
    <x v="10"/>
    <s v="U2"/>
    <x v="178"/>
    <s v="DE0126080400009"/>
    <n v="10"/>
    <s v="Yes"/>
    <m/>
    <x v="0"/>
    <x v="97"/>
    <s v="HSM-ND66-GR625"/>
    <s v="H4(Com)"/>
    <s v="+400mm/-200mm"/>
    <n v="625"/>
    <n v="3600"/>
    <n v="2.25"/>
    <n v="100"/>
    <n v="5"/>
    <x v="13"/>
    <s v="COMPLETED"/>
    <d v="2026-08-17T00:00:00"/>
    <d v="2026-08-19T00:00:00"/>
    <n v="34"/>
    <s v="POPV260821032"/>
    <s v="POPV260821032"/>
    <s v="SHANGHAI"/>
    <x v="1"/>
    <x v="1"/>
    <d v="2026-08-23T00:00:00"/>
    <d v="2026-08-25T00:00:00"/>
    <d v="2026-08-25T00:00:00"/>
    <d v="2026-10-03T00:00:00"/>
    <d v="2026-10-13T00:00:00"/>
    <d v="2026-10-13T00:00:00"/>
    <m/>
    <s v="CMA CGM ANTOINE DE SAINT_x000a_EXUPERY / 0FMMSW1MA"/>
    <s v="OTHER"/>
    <s v="TPVB20260834007"/>
    <x v="602"/>
    <s v="CHN3801256"/>
    <n v="49"/>
    <m/>
    <d v="2026-10-13T00:00:00"/>
    <s v="In Stock-Approved"/>
    <d v="2026-10-03T00:00:00"/>
    <n v="0"/>
    <d v="2026-10-13T00:00:00"/>
    <n v="2026"/>
    <n v="10"/>
    <n v="42"/>
    <n v="36"/>
    <n v="720"/>
    <s v="Redirection Film"/>
    <s v="AEU"/>
  </r>
  <r>
    <s v="26Aug010.05"/>
    <s v="Yixing"/>
    <s v="26Aug010"/>
    <s v="UPP"/>
    <x v="1"/>
    <s v="SPTN Offstore in Transit WH"/>
    <s v="CIF"/>
    <x v="10"/>
    <s v="U2"/>
    <x v="178"/>
    <s v="DE0126080400009"/>
    <n v="11"/>
    <s v="Yes"/>
    <m/>
    <x v="0"/>
    <x v="97"/>
    <s v="HSM-ND66-GR625"/>
    <s v="H4(Com)"/>
    <s v="+400mm/-200mm"/>
    <n v="625"/>
    <n v="3600"/>
    <n v="2.25"/>
    <n v="100"/>
    <n v="5"/>
    <x v="13"/>
    <s v="COMPLETED"/>
    <d v="2026-08-17T00:00:00"/>
    <d v="2026-08-20T00:00:00"/>
    <n v="34"/>
    <s v="POPV260821021"/>
    <s v="POPV260821021"/>
    <s v="SHANGHAI"/>
    <x v="1"/>
    <x v="1"/>
    <d v="2026-08-23T00:00:00"/>
    <d v="2026-08-25T00:00:00"/>
    <d v="2026-08-25T00:00:00"/>
    <d v="2026-10-03T00:00:00"/>
    <d v="2026-10-13T00:00:00"/>
    <d v="2026-10-13T00:00:00"/>
    <m/>
    <s v="CMA CGM ANTOINE DE SAINT"/>
    <s v="OTHER"/>
    <s v="TPVB20260834007"/>
    <x v="602"/>
    <s v="CHN3801266"/>
    <n v="49"/>
    <m/>
    <d v="2026-10-13T00:00:00"/>
    <s v="In Stock-Approved"/>
    <d v="2026-10-03T00:00:00"/>
    <n v="0"/>
    <d v="2026-10-13T00:00:00"/>
    <n v="2026"/>
    <n v="10"/>
    <n v="42"/>
    <n v="36"/>
    <n v="720"/>
    <s v="Redirection Film"/>
    <s v="AEU"/>
  </r>
  <r>
    <s v="26Jul003.02"/>
    <s v="Yixing"/>
    <s v="26Jul003"/>
    <s v="CORE DG"/>
    <x v="0"/>
    <s v="Arrival Plan-SPTN"/>
    <s v="CIF"/>
    <x v="0"/>
    <s v="U1"/>
    <x v="2"/>
    <m/>
    <m/>
    <s v="n/a"/>
    <d v="2026-07-20T00:00:00"/>
    <x v="1"/>
    <x v="6"/>
    <s v="TCL-MR465DT182-58NS"/>
    <s v="EVO2A"/>
    <s v="±1200mm"/>
    <n v="465"/>
    <n v="1728"/>
    <n v="0.80352000000000001"/>
    <n v="48"/>
    <n v="2"/>
    <x v="16"/>
    <s v="IN-TRANSIT"/>
    <m/>
    <d v="2026-08-22T00:00:00"/>
    <n v="34"/>
    <s v="POPV260825015"/>
    <m/>
    <s v="SHANGHAI"/>
    <x v="1"/>
    <x v="0"/>
    <d v="2026-08-30T00:00:00"/>
    <d v="2026-09-04T04:00:00"/>
    <d v="2026-09-04T02:19:57"/>
    <d v="2026-10-19T00:00:00"/>
    <d v="2026-11-04T22:00:00"/>
    <s v=""/>
    <m/>
    <s v="EVER GIFTED 0767-030W"/>
    <s v="COSCO"/>
    <s v="TPVB20260834028"/>
    <x v="603"/>
    <s v="COSU6463259170"/>
    <n v="61.81947916666104"/>
    <m/>
    <d v="2026-11-04T22:00:00"/>
    <s v="In Transit-Approved"/>
    <d v="2026-10-27T00:00:00"/>
    <n v="8"/>
    <d v="2026-11-12T22:00:00"/>
    <n v="2026"/>
    <n v="11"/>
    <n v="46"/>
    <n v="36"/>
    <n v="864"/>
    <s v="White glazing"/>
    <s v="AEM"/>
  </r>
  <r>
    <s v="26Aug007.08.01"/>
    <s v="Quzhou"/>
    <s v="26Aug007"/>
    <s v="CORE DG"/>
    <x v="1"/>
    <s v="SPTN Offstore in Transit WH"/>
    <s v="CIF"/>
    <x v="8"/>
    <s v="U4"/>
    <x v="25"/>
    <s v="IE0126051800020"/>
    <n v="5"/>
    <s v="Yes"/>
    <s v="Aug"/>
    <x v="3"/>
    <x v="91"/>
    <s v="HSM-BE54-DD485"/>
    <s v="EVO2A"/>
    <s v="±1200mm"/>
    <n v="485"/>
    <n v="936"/>
    <n v="0.45395999999999997"/>
    <n v="26"/>
    <n v="1"/>
    <x v="13"/>
    <s v="COMPLETED"/>
    <s v="ready"/>
    <d v="2026-08-30T00:00:00"/>
    <n v="35"/>
    <s v="POPV260830019"/>
    <m/>
    <s v="NINGBO"/>
    <x v="3"/>
    <x v="8"/>
    <d v="2026-08-19T00:00:00"/>
    <d v="2026-09-03T00:00:00"/>
    <d v="2026-09-04T02:25:40"/>
    <d v="2026-10-09T00:00:00"/>
    <d v="2026-10-21T06:00:00"/>
    <d v="2026-10-21T01:06:10"/>
    <m/>
    <s v="EVER GOVERN 1414W"/>
    <s v="COSCO"/>
    <s v="TPVB20260834005"/>
    <x v="604"/>
    <s v="COSU9508974980"/>
    <n v="46.944791666668607"/>
    <m/>
    <d v="2026-10-21T01:06:10"/>
    <s v="In Stock-Approved"/>
    <d v="2026-10-09T00:00:00"/>
    <n v="0"/>
    <d v="2026-10-21T01:06:10"/>
    <n v="2026"/>
    <n v="10"/>
    <n v="43"/>
    <n v="36"/>
    <n v="936"/>
    <s v="Black glazing"/>
    <s v="AEU"/>
  </r>
  <r>
    <s v="26Jul019.01"/>
    <s v="Yixing"/>
    <s v="26Jul019"/>
    <s v="CORE DG"/>
    <x v="0"/>
    <s v="Arrival Plan-SPTN"/>
    <s v="CIF"/>
    <x v="0"/>
    <s v="U2"/>
    <x v="2"/>
    <m/>
    <m/>
    <s v="n/a"/>
    <d v="2026-08-03T00:00:00"/>
    <x v="11"/>
    <x v="98"/>
    <s v="HSM-NT48-JH480 CFP"/>
    <s v="EVO2A"/>
    <s v="±1200mm"/>
    <n v="480"/>
    <n v="3744"/>
    <n v="1.7971200000000001"/>
    <n v="104"/>
    <n v="4"/>
    <x v="14"/>
    <s v="COMPLETED"/>
    <m/>
    <d v="2026-08-25T00:00:00"/>
    <n v="35"/>
    <s v="POPV260828031"/>
    <m/>
    <s v="SHANGHAI"/>
    <x v="1"/>
    <x v="0"/>
    <d v="2026-08-22T00:00:00"/>
    <d v="2026-08-31T00:00:00"/>
    <d v="2026-08-31T00:00:00"/>
    <d v="2026-10-07T00:00:00"/>
    <d v="2026-10-08T00:00:00"/>
    <d v="2026-10-08T00:00:00"/>
    <m/>
    <s v="MERETE MAERSK 633W"/>
    <s v="OTHER"/>
    <s v="TPVB20260834012"/>
    <x v="605"/>
    <n v="274975766"/>
    <n v="38"/>
    <m/>
    <d v="2026-10-08T00:00:00"/>
    <s v="In Transit-Approved"/>
    <d v="2026-10-15T00:00:00"/>
    <n v="8"/>
    <d v="2026-10-16T00:00:00"/>
    <n v="2026"/>
    <n v="10"/>
    <n v="42"/>
    <n v="36"/>
    <n v="936"/>
    <s v="White glazing"/>
    <s v="AEM"/>
  </r>
  <r>
    <s v="26Jul016.06"/>
    <s v="Yixing"/>
    <s v="26Jul016"/>
    <s v="CORE DG"/>
    <x v="0"/>
    <s v="Arrival Plan-SPTN"/>
    <s v="CIF"/>
    <x v="0"/>
    <s v="U1"/>
    <x v="2"/>
    <m/>
    <m/>
    <s v="n/a"/>
    <d v="2026-08-03T00:00:00"/>
    <x v="11"/>
    <x v="89"/>
    <s v="HSM-NT48-JH475 CFP"/>
    <s v="EVO2A"/>
    <s v="±1200mm"/>
    <n v="475"/>
    <n v="2808"/>
    <n v="1.3338000000000001"/>
    <n v="78"/>
    <n v="3"/>
    <x v="13"/>
    <s v="COMPLETED"/>
    <m/>
    <d v="2026-08-25T00:00:00"/>
    <n v="35"/>
    <s v="POPV260828026"/>
    <m/>
    <s v="SHANGHAI"/>
    <x v="1"/>
    <x v="0"/>
    <d v="2026-08-22T00:00:00"/>
    <d v="2026-08-31T00:00:00"/>
    <d v="2026-08-31T00:00:00"/>
    <d v="2026-10-07T00:00:00"/>
    <d v="2026-10-08T00:00:00"/>
    <d v="2026-10-08T00:00:00"/>
    <m/>
    <s v="MERETE MAERSK 633W"/>
    <s v="OTHER"/>
    <s v="TPVB20260834012"/>
    <x v="605"/>
    <n v="274975766"/>
    <n v="38"/>
    <m/>
    <d v="2026-10-08T00:00:00"/>
    <s v="In Transit-Approved"/>
    <d v="2026-10-15T00:00:00"/>
    <n v="8"/>
    <d v="2026-10-16T00:00:00"/>
    <n v="2026"/>
    <n v="10"/>
    <n v="42"/>
    <n v="36"/>
    <n v="936"/>
    <s v="White glazing"/>
    <s v="AEM"/>
  </r>
  <r>
    <s v="26Jul014.04"/>
    <s v="Yixing"/>
    <s v="26Jul014"/>
    <s v="CORE DG"/>
    <x v="0"/>
    <s v="Arrival Plan-SPES"/>
    <s v="CIF"/>
    <x v="1"/>
    <s v="U2"/>
    <x v="2"/>
    <m/>
    <m/>
    <s v="n/a"/>
    <d v="2026-06-29T00:00:00"/>
    <x v="10"/>
    <x v="87"/>
    <s v="HSM-NT60-GH585"/>
    <s v="EVO2A"/>
    <s v="±1400mm"/>
    <n v="585"/>
    <n v="1440"/>
    <n v="0.84240000000000004"/>
    <n v="40"/>
    <n v="2"/>
    <x v="13"/>
    <s v="IN-TRANSIT"/>
    <s v="七月3日"/>
    <d v="2026-08-22T00:00:00"/>
    <n v="34"/>
    <s v="POPV260825023"/>
    <m/>
    <s v="SHANGHAI"/>
    <x v="1"/>
    <x v="2"/>
    <d v="2026-08-30T00:00:00"/>
    <d v="2026-09-04T04:00:00"/>
    <d v="2026-09-04T02:19:57"/>
    <d v="2026-10-22T00:00:00"/>
    <d v="2026-11-10T14:00:00"/>
    <s v=""/>
    <m/>
    <s v="EVER GIFTED 0767-030W"/>
    <s v="COSCO"/>
    <s v="TPVB20260834029"/>
    <x v="606"/>
    <s v="COSU6463257360"/>
    <n v="67.486145833332557"/>
    <m/>
    <d v="2026-11-10T14:00:00"/>
    <s v="In Transit-Approved"/>
    <d v="2026-10-31T00:00:00"/>
    <n v="9"/>
    <d v="2026-11-19T14:00:00"/>
    <n v="2026"/>
    <n v="11"/>
    <n v="47"/>
    <n v="36"/>
    <n v="720"/>
    <s v="Transparent"/>
    <s v="AEM"/>
  </r>
  <r>
    <s v="26Jul013.07"/>
    <s v="Yixing"/>
    <s v="26Jul013"/>
    <s v="CORE DG"/>
    <x v="0"/>
    <s v="Arrival Plan-SPES"/>
    <s v="CIF"/>
    <x v="1"/>
    <s v="U1"/>
    <x v="2"/>
    <m/>
    <m/>
    <s v="n/a"/>
    <d v="2026-06-29T00:00:00"/>
    <x v="10"/>
    <x v="81"/>
    <s v="HSM-NT60-GH580"/>
    <s v="EVO2A"/>
    <s v="±1400mm"/>
    <n v="580"/>
    <n v="1440"/>
    <n v="0.83520000000000005"/>
    <n v="40"/>
    <n v="2"/>
    <x v="13"/>
    <s v="IN-TRANSIT"/>
    <d v="2026-07-03T00:00:00"/>
    <d v="2026-08-22T00:00:00"/>
    <n v="34"/>
    <s v="POPV260825022"/>
    <m/>
    <s v="SHANGHAI"/>
    <x v="1"/>
    <x v="2"/>
    <d v="2026-08-30T00:00:00"/>
    <d v="2026-09-04T04:00:00"/>
    <d v="2026-09-04T02:19:57"/>
    <d v="2026-10-22T00:00:00"/>
    <d v="2026-11-10T14:00:00"/>
    <s v=""/>
    <m/>
    <s v="EVER GIFTED 0767-030W"/>
    <s v="COSCO"/>
    <s v="TPVB20260834029"/>
    <x v="606"/>
    <s v="COSU6463257360"/>
    <n v="67.486145833332557"/>
    <m/>
    <d v="2026-11-10T14:00:00"/>
    <s v="In Transit-Approved"/>
    <d v="2026-10-31T00:00:00"/>
    <n v="9"/>
    <d v="2026-11-19T14:00:00"/>
    <n v="2026"/>
    <n v="11"/>
    <n v="47"/>
    <n v="36"/>
    <n v="720"/>
    <s v="Transparent"/>
    <s v="AEM"/>
  </r>
  <r>
    <s v="26Jul002.13"/>
    <s v="Yixing"/>
    <s v="26Jul002"/>
    <s v="CORE DG"/>
    <x v="0"/>
    <s v="Arrival Plan-SPES"/>
    <s v="CIF"/>
    <x v="1"/>
    <s v="U1"/>
    <x v="2"/>
    <m/>
    <m/>
    <s v="n/a"/>
    <d v="2026-07-06T00:00:00"/>
    <x v="6"/>
    <x v="69"/>
    <s v="SPR-P7-515-BLK-P"/>
    <s v="EVO2A"/>
    <s v="±1350mm"/>
    <n v="515"/>
    <n v="792"/>
    <n v="0.40788000000000002"/>
    <n v="22"/>
    <n v="1"/>
    <x v="13"/>
    <s v="IN-TRANSIT"/>
    <s v="ready"/>
    <d v="2026-08-22T00:00:00"/>
    <n v="34"/>
    <s v="POPV260825011"/>
    <m/>
    <s v="SHANGHAI"/>
    <x v="1"/>
    <x v="2"/>
    <d v="2026-08-30T00:00:00"/>
    <d v="2026-09-04T04:00:00"/>
    <d v="2026-09-04T02:19:57"/>
    <d v="2026-10-22T00:00:00"/>
    <d v="2026-11-10T14:00:00"/>
    <s v=""/>
    <m/>
    <s v="EVER GIFTED 0767-030W"/>
    <s v="COSCO"/>
    <s v="TPVB20260834029"/>
    <x v="606"/>
    <s v="COSU6463257360"/>
    <n v="67.486145833332557"/>
    <m/>
    <d v="2026-11-10T14:00:00"/>
    <s v="In Transit-Approved"/>
    <d v="2026-10-30T00:00:00"/>
    <n v="9"/>
    <d v="2026-11-19T14:00:00"/>
    <n v="2026"/>
    <n v="11"/>
    <n v="47"/>
    <n v="36"/>
    <n v="792"/>
    <s v="Black glazing"/>
    <s v="AEM"/>
  </r>
  <r>
    <s v="26Aug002.02"/>
    <s v="Yixing"/>
    <s v="26Aug002"/>
    <s v="CORE DG"/>
    <x v="0"/>
    <s v="Arrival Plan-SPIT"/>
    <s v="CIF"/>
    <x v="4"/>
    <s v="U1"/>
    <x v="2"/>
    <m/>
    <m/>
    <s v="n/a"/>
    <d v="2026-07-12T00:00:00"/>
    <x v="6"/>
    <x v="69"/>
    <s v="SPR-P7-515-BLK-P"/>
    <s v="EVO2A"/>
    <s v="±1350mm"/>
    <n v="515"/>
    <n v="1584"/>
    <n v="0.81576000000000004"/>
    <n v="44"/>
    <n v="2"/>
    <x v="15"/>
    <s v="IN-TRANSIT"/>
    <s v="ready"/>
    <d v="2026-08-18T00:00:00"/>
    <n v="34"/>
    <s v="POPV260821034"/>
    <s v="POPV260821034"/>
    <s v="SHANGHAI"/>
    <x v="1"/>
    <x v="14"/>
    <d v="2026-08-28T00:00:00"/>
    <d v="2026-09-01T02:00:00"/>
    <d v="2026-09-01T00:00:00"/>
    <d v="2026-10-23T00:00:00"/>
    <d v="2026-11-04T18:00:00"/>
    <s v=""/>
    <m/>
    <s v="COSCO SHIPPING SAKURA _x000a_036W"/>
    <s v="COSCO"/>
    <s v="TPVB20260834030"/>
    <x v="607"/>
    <s v="COSU6462720700"/>
    <n v="64.75"/>
    <m/>
    <d v="2026-11-04T18:00:00"/>
    <s v="In Transit-Approved"/>
    <d v="2026-10-26T00:00:00"/>
    <n v="10"/>
    <d v="2026-11-14T18:00:00"/>
    <n v="2026"/>
    <n v="11"/>
    <n v="46"/>
    <n v="36"/>
    <n v="792"/>
    <s v="Black glazing"/>
    <s v="AEM"/>
  </r>
  <r>
    <s v="26Jul004.03"/>
    <s v="Yixing"/>
    <s v="26Jul004"/>
    <s v="CORE DG"/>
    <x v="0"/>
    <s v="Arrival Plan-SPTN"/>
    <s v="CIF"/>
    <x v="0"/>
    <s v="U1"/>
    <x v="2"/>
    <m/>
    <m/>
    <s v="n/a"/>
    <d v="2026-07-20T00:00:00"/>
    <x v="1"/>
    <x v="39"/>
    <s v="TCL-MR470DT182-58NS"/>
    <s v="EVO2A"/>
    <s v="±1200mm"/>
    <n v="470"/>
    <n v="1728"/>
    <n v="0.81215999999999999"/>
    <n v="48"/>
    <n v="2"/>
    <x v="15"/>
    <s v="COMPLETED"/>
    <s v="ready"/>
    <d v="2026-09-06T00:00:00"/>
    <n v="36"/>
    <s v="POPV260911046"/>
    <m/>
    <s v="SHANGHAI"/>
    <x v="1"/>
    <x v="0"/>
    <d v="2026-08-26T00:00:00"/>
    <d v="2026-09-11T00:00:00"/>
    <d v="2026-09-12T00:00:00"/>
    <d v="2026-10-14T00:00:00"/>
    <d v="2026-10-22T00:00:00"/>
    <d v="2026-10-23T00:00:00"/>
    <m/>
    <s v="MAERSK EL PALOMAR 633W"/>
    <s v="OTHER"/>
    <s v="TPVB20260834011"/>
    <x v="608"/>
    <n v="274975950"/>
    <n v="41"/>
    <m/>
    <d v="2026-10-23T00:00:00"/>
    <s v="-"/>
    <s v=""/>
    <n v="8"/>
    <d v="2026-10-31T00:00:00"/>
    <n v="2026"/>
    <n v="10"/>
    <n v="44"/>
    <n v="36"/>
    <n v="864"/>
    <s v="White glazing"/>
    <s v="AEM"/>
  </r>
  <r>
    <s v="26Jul016.07"/>
    <s v="Yixing"/>
    <s v="26Jul016"/>
    <s v="CORE DG"/>
    <x v="0"/>
    <s v="Arrival Plan-SPTN"/>
    <s v="CIF"/>
    <x v="0"/>
    <s v="U1"/>
    <x v="2"/>
    <m/>
    <m/>
    <s v="n/a"/>
    <d v="2026-08-03T00:00:00"/>
    <x v="11"/>
    <x v="89"/>
    <s v="HSM-NT48-JH475 CFP"/>
    <s v="EVO2A"/>
    <s v="±1200mm"/>
    <n v="475"/>
    <n v="7488"/>
    <n v="3.5568"/>
    <n v="208"/>
    <n v="8"/>
    <x v="13"/>
    <s v="COMPLETED"/>
    <m/>
    <d v="2026-09-06T00:00:00"/>
    <n v="36"/>
    <s v="POPV260911050"/>
    <m/>
    <s v="SHANGHAI"/>
    <x v="1"/>
    <x v="0"/>
    <d v="2026-08-26T00:00:00"/>
    <d v="2026-09-11T00:00:00"/>
    <d v="2026-09-12T00:00:00"/>
    <d v="2026-10-14T00:00:00"/>
    <d v="2026-10-22T00:00:00"/>
    <d v="2026-10-23T00:00:00"/>
    <m/>
    <s v="MAERSK EL PALOMAR 633W"/>
    <s v="OTHER"/>
    <s v="TPVB20260834011"/>
    <x v="608"/>
    <n v="274975950"/>
    <n v="41"/>
    <m/>
    <d v="2026-10-23T00:00:00"/>
    <s v="-"/>
    <s v=""/>
    <n v="8"/>
    <d v="2026-10-31T00:00:00"/>
    <n v="2026"/>
    <n v="10"/>
    <n v="44"/>
    <n v="36"/>
    <n v="936"/>
    <s v="White glazing"/>
    <s v="AEM"/>
  </r>
  <r>
    <s v="26Jul016.10"/>
    <s v="Yixing"/>
    <s v="26Jul016"/>
    <s v="CORE DG"/>
    <x v="0"/>
    <s v="Arrival Plan-SPTN"/>
    <s v="CIF"/>
    <x v="0"/>
    <s v="U1"/>
    <x v="2"/>
    <m/>
    <m/>
    <s v="n/a"/>
    <d v="2026-07-31T00:00:00"/>
    <x v="11"/>
    <x v="89"/>
    <s v="HSM-NT48-JH475 CFP"/>
    <s v="EVO2A"/>
    <s v="±1200mm"/>
    <n v="475"/>
    <n v="936"/>
    <n v="0.4446"/>
    <n v="26"/>
    <n v="1"/>
    <x v="16"/>
    <s v="COMPLETED"/>
    <s v="七月31日"/>
    <d v="2026-09-06T00:00:00"/>
    <n v="36"/>
    <s v="POPV260911053"/>
    <m/>
    <s v="SHANGHAI"/>
    <x v="1"/>
    <x v="0"/>
    <d v="2026-08-26T00:00:00"/>
    <d v="2026-09-12T00:00:00"/>
    <d v="2026-09-12T00:00:00"/>
    <d v="2026-10-14T00:00:00"/>
    <d v="2026-10-22T00:00:00"/>
    <d v="2026-10-23T00:00:00"/>
    <m/>
    <s v="MAERSK EL PALOMAR 633W"/>
    <s v="OTHER"/>
    <s v="TPVB20260834031"/>
    <x v="609"/>
    <n v="275569028"/>
    <n v="41"/>
    <m/>
    <d v="2026-10-23T00:00:00"/>
    <s v="-"/>
    <s v=""/>
    <n v="8"/>
    <d v="2026-10-31T00:00:00"/>
    <n v="2026"/>
    <n v="10"/>
    <n v="44"/>
    <n v="36"/>
    <n v="936"/>
    <s v="White glazing"/>
    <s v="AEM"/>
  </r>
  <r>
    <s v="26Aug001.01"/>
    <s v="Yixing"/>
    <s v="26Aug001"/>
    <s v="CORE DG"/>
    <x v="0"/>
    <s v="Arrival Plan-SPTN"/>
    <s v="CIF"/>
    <x v="0"/>
    <s v="U1"/>
    <x v="2"/>
    <m/>
    <m/>
    <s v="n/a"/>
    <d v="2026-07-12T00:00:00"/>
    <x v="6"/>
    <x v="21"/>
    <s v="SPR-P7-510-BLK-P"/>
    <s v="EVO2A"/>
    <s v="±1350mm"/>
    <n v="510"/>
    <n v="3168"/>
    <n v="1.61568"/>
    <n v="88"/>
    <n v="4"/>
    <x v="16"/>
    <s v="COMPLETED"/>
    <m/>
    <d v="2026-09-06T00:00:00"/>
    <n v="36"/>
    <s v="POPV260911061"/>
    <m/>
    <s v="SHANGHAI"/>
    <x v="1"/>
    <x v="0"/>
    <d v="2026-08-26T00:00:00"/>
    <d v="2026-09-12T00:00:00"/>
    <d v="2026-09-12T00:00:00"/>
    <d v="2026-10-14T00:00:00"/>
    <d v="2026-10-22T00:00:00"/>
    <d v="2026-10-23T00:00:00"/>
    <m/>
    <s v="MAERSK EL PALOMAR 633W"/>
    <s v="OTHER"/>
    <s v="TPVB20260834031"/>
    <x v="609"/>
    <n v="275569028"/>
    <n v="41"/>
    <m/>
    <d v="2026-10-23T00:00:00"/>
    <s v="-"/>
    <s v=""/>
    <n v="8"/>
    <d v="2026-10-31T00:00:00"/>
    <n v="2026"/>
    <n v="10"/>
    <n v="44"/>
    <n v="36"/>
    <n v="792"/>
    <s v="Black glazing"/>
    <s v="AEM"/>
  </r>
  <r>
    <s v="26Jul019.02"/>
    <s v="Yixing"/>
    <s v="26Jul019"/>
    <s v="CORE DG"/>
    <x v="0"/>
    <s v="Arrival Plan-SPTN"/>
    <s v="CIF"/>
    <x v="0"/>
    <s v="U1"/>
    <x v="2"/>
    <m/>
    <m/>
    <s v="n/a"/>
    <d v="2026-07-31T00:00:00"/>
    <x v="11"/>
    <x v="98"/>
    <s v="HSM-NT48-JH480 CFP"/>
    <s v="EVO2A"/>
    <s v="±1200mm"/>
    <n v="480"/>
    <n v="1872"/>
    <n v="0.89856000000000003"/>
    <n v="52"/>
    <n v="2"/>
    <x v="16"/>
    <s v="COMPLETED"/>
    <s v="七月31日"/>
    <d v="2026-09-06T00:00:00"/>
    <n v="36"/>
    <s v="POPV260911054"/>
    <m/>
    <s v="SHANGHAI"/>
    <x v="1"/>
    <x v="0"/>
    <d v="2026-08-26T00:00:00"/>
    <d v="2026-09-12T00:00:00"/>
    <d v="2026-09-12T00:00:00"/>
    <d v="2026-10-14T00:00:00"/>
    <d v="2026-10-22T00:00:00"/>
    <d v="2026-10-23T00:00:00"/>
    <m/>
    <s v="MAERSK EL PALOMAR 633W"/>
    <s v="OTHER"/>
    <s v="TPVB20260834031"/>
    <x v="609"/>
    <n v="275569028"/>
    <n v="41"/>
    <m/>
    <d v="2026-10-23T00:00:00"/>
    <s v="-"/>
    <s v=""/>
    <n v="8"/>
    <d v="2026-10-31T00:00:00"/>
    <n v="2026"/>
    <n v="10"/>
    <n v="44"/>
    <n v="36"/>
    <n v="936"/>
    <s v="White glazing"/>
    <s v="AEM"/>
  </r>
  <r>
    <s v="26Aug002.01"/>
    <s v="Yixing"/>
    <s v="26Aug002"/>
    <s v="CORE DG"/>
    <x v="0"/>
    <s v="Arrival Plan-SPIT"/>
    <s v="CIF"/>
    <x v="4"/>
    <s v="U1"/>
    <x v="2"/>
    <m/>
    <m/>
    <s v="n/a"/>
    <d v="2026-07-12T00:00:00"/>
    <x v="6"/>
    <x v="69"/>
    <s v="SPR-P7-515-BLK-P"/>
    <s v="EVO2A"/>
    <s v="±1350mm"/>
    <n v="515"/>
    <n v="792"/>
    <n v="0.40788000000000002"/>
    <n v="22"/>
    <n v="1"/>
    <x v="13"/>
    <s v="IN-TRANSIT"/>
    <s v="ready"/>
    <d v="2026-09-02T00:00:00"/>
    <n v="36"/>
    <s v="POPV260904017"/>
    <m/>
    <s v="NINGBO"/>
    <x v="3"/>
    <x v="14"/>
    <d v="2026-08-29T00:00:00"/>
    <d v="2026-09-06T00:00:00"/>
    <d v="2026-09-05T23:33:05"/>
    <d v="2026-10-23T00:00:00"/>
    <d v="2026-11-04T18:00:00"/>
    <s v=""/>
    <m/>
    <s v="COSCO SHIPPING SAKURA 036W"/>
    <s v="COSCO"/>
    <s v="TPVB20260834036"/>
    <x v="610"/>
    <s v="COSU9509275040"/>
    <n v="59.768692129626288"/>
    <m/>
    <d v="2026-11-04T18:00:00"/>
    <s v="-"/>
    <s v=""/>
    <n v="10"/>
    <d v="2026-11-14T18:00:00"/>
    <n v="2026"/>
    <n v="11"/>
    <n v="46"/>
    <n v="36"/>
    <n v="792"/>
    <s v="Black glazing"/>
    <s v="AEM"/>
  </r>
  <r>
    <s v="26Aug008.01"/>
    <s v="Quzhou"/>
    <s v="26Aug008"/>
    <s v="CORE DG"/>
    <x v="1"/>
    <s v="SPTN Offstore in Transit WH"/>
    <s v="CIF"/>
    <x v="33"/>
    <s v="U4"/>
    <x v="179"/>
    <s v="GB0126071600014"/>
    <n v="1"/>
    <s v="Yes"/>
    <s v="Aug"/>
    <x v="3"/>
    <x v="96"/>
    <s v="HSM-BE54-DD490"/>
    <s v="EVO2A"/>
    <s v="±1200mm"/>
    <n v="490"/>
    <n v="936"/>
    <n v="0.45863999999999999"/>
    <n v="26"/>
    <n v="1"/>
    <x v="14"/>
    <s v="COMPLETED"/>
    <s v="ready"/>
    <d v="2026-08-30T00:00:00"/>
    <n v="35"/>
    <s v="POPV260902032"/>
    <m/>
    <s v="NINGBO"/>
    <x v="3"/>
    <x v="6"/>
    <d v="2026-08-28T00:00:00"/>
    <d v="2026-09-04T01:00:00"/>
    <d v="2026-09-04T02:25:40"/>
    <d v="2026-10-04T00:00:00"/>
    <d v="2026-10-22T06:00:00"/>
    <d v="2026-10-22T06:46:51"/>
    <m/>
    <s v="EVER ATOP 1415W"/>
    <s v="COSCO"/>
    <s v="TPVB20260834039"/>
    <x v="611"/>
    <s v="COSU9509346010"/>
    <n v="48.181377314816928"/>
    <m/>
    <d v="2026-10-22T06:46:51"/>
    <s v="In Stock-Approved"/>
    <d v="2026-10-12T00:00:00"/>
    <n v="0"/>
    <d v="2026-10-22T06:46:51"/>
    <n v="2026"/>
    <n v="10"/>
    <n v="43"/>
    <n v="36"/>
    <n v="936"/>
    <s v="Black glazing"/>
    <s v="AEU"/>
  </r>
  <r>
    <s v="26Aug008.02.01"/>
    <s v="Quzhou"/>
    <s v="26Aug008"/>
    <s v="CORE DG"/>
    <x v="0"/>
    <s v="Arrival Plan-SPUK"/>
    <s v="CIF"/>
    <x v="6"/>
    <s v="U4"/>
    <x v="180"/>
    <m/>
    <m/>
    <s v="n/a"/>
    <s v="Aug"/>
    <x v="3"/>
    <x v="96"/>
    <s v="HSM-BE54-DD490"/>
    <s v="EVO2A"/>
    <s v="±1200mm"/>
    <n v="490"/>
    <n v="1872"/>
    <n v="0.91727999999999998"/>
    <n v="52"/>
    <n v="2"/>
    <x v="16"/>
    <s v="COMPLETED"/>
    <s v="ready"/>
    <d v="2026-08-30T00:00:00"/>
    <n v="35"/>
    <s v="POPV260902033"/>
    <m/>
    <s v="NINGBO"/>
    <x v="3"/>
    <x v="6"/>
    <d v="2026-08-26T00:00:00"/>
    <d v="2026-09-04T01:00:00"/>
    <d v="2026-09-04T02:25:40"/>
    <d v="2026-10-04T00:00:00"/>
    <d v="2026-10-22T06:00:00"/>
    <d v="2026-10-22T06:46:51"/>
    <m/>
    <s v="EVER ATOP 1415W"/>
    <s v="COSCO"/>
    <s v="TPVB20260834032"/>
    <x v="612"/>
    <s v="COSU9509265660"/>
    <n v="48.181377314816928"/>
    <m/>
    <d v="2026-10-22T06:46:51"/>
    <s v="In Transit-Approved"/>
    <d v="2026-10-19T00:00:00"/>
    <n v="7"/>
    <d v="2026-10-29T06:46:51"/>
    <n v="2026"/>
    <n v="10"/>
    <n v="44"/>
    <n v="36"/>
    <n v="936"/>
    <s v="Black glazing"/>
    <s v="AEU"/>
  </r>
  <r>
    <s v="26Aug002.01.01"/>
    <s v="Yixing"/>
    <s v="26Aug002"/>
    <s v="CORE DG"/>
    <x v="0"/>
    <s v="Arrival Plan-SPIT"/>
    <s v="CIF"/>
    <x v="4"/>
    <s v="U1"/>
    <x v="2"/>
    <m/>
    <m/>
    <s v="n/a"/>
    <d v="2026-07-12T00:00:00"/>
    <x v="6"/>
    <x v="69"/>
    <s v="SPR-P7-515-BLK-P"/>
    <s v="EVO2A"/>
    <s v="±1350mm"/>
    <n v="515"/>
    <n v="792"/>
    <n v="0.40788000000000002"/>
    <n v="22"/>
    <n v="1"/>
    <x v="13"/>
    <s v="COMPLETED"/>
    <s v="ready"/>
    <d v="2026-08-18T00:00:00"/>
    <n v="34"/>
    <s v="POPV260821033"/>
    <s v="POPV260821033"/>
    <s v="NINGBO"/>
    <x v="3"/>
    <x v="14"/>
    <d v="2026-08-20T00:00:00"/>
    <d v="2026-08-23T07:00:00"/>
    <d v="2026-08-23T03:44:41"/>
    <d v="2026-10-13T00:00:00"/>
    <d v="2026-10-18T21:00:00"/>
    <d v="2026-10-18T14:58:46"/>
    <m/>
    <s v="CSCL MERCURY 100W"/>
    <s v="COSCO"/>
    <s v="TPVB20260834009"/>
    <x v="613"/>
    <s v="COSU9509015500"/>
    <n v="56.468113425929914"/>
    <m/>
    <d v="2026-10-18T14:58:46"/>
    <s v="In Transit-Approved"/>
    <d v="2026-10-15T00:00:00"/>
    <n v="10"/>
    <d v="2026-10-28T14:58:46"/>
    <n v="2026"/>
    <n v="10"/>
    <n v="44"/>
    <n v="36"/>
    <n v="792"/>
    <s v="Black glazing"/>
    <s v="AEM"/>
  </r>
  <r>
    <s v="26Jul008.04"/>
    <s v="Quzhou"/>
    <s v="26Jul008"/>
    <s v="CORE DG"/>
    <x v="0"/>
    <s v="Arrival Plan-SPTN"/>
    <s v="CIF"/>
    <x v="0"/>
    <s v="U4"/>
    <x v="181"/>
    <s v="FR0126072800016"/>
    <n v="1"/>
    <s v="n/a"/>
    <d v="2026-07-06T00:00:00"/>
    <x v="0"/>
    <x v="43"/>
    <s v="HSM-ND54-DR505"/>
    <s v="EVO2A"/>
    <s v="±1200mm"/>
    <n v="505"/>
    <n v="864"/>
    <n v="0.43631999999999999"/>
    <n v="24"/>
    <n v="1"/>
    <x v="14"/>
    <s v="COMPLETED"/>
    <m/>
    <d v="2026-09-01T00:00:00"/>
    <n v="36"/>
    <s v="POPV261012034"/>
    <m/>
    <s v="NINGBO"/>
    <x v="3"/>
    <x v="0"/>
    <d v="2026-08-27T00:00:00"/>
    <d v="2026-09-02T00:00:00"/>
    <d v="2026-09-05T01:29:29"/>
    <d v="2026-10-12T00:00:00"/>
    <d v="2026-10-23T07:15:00"/>
    <d v="2026-10-23T08:59:39"/>
    <m/>
    <s v="OOCL HONG KONG 040W"/>
    <s v="COSCO"/>
    <s v="TPVB20260834002"/>
    <x v="614"/>
    <s v="COSU9508973640"/>
    <n v="48.312615740738693"/>
    <m/>
    <d v="2026-10-23T08:59:39"/>
    <s v="-"/>
    <s v=""/>
    <n v="8"/>
    <d v="2026-10-31T08:59:39"/>
    <n v="2026"/>
    <n v="10"/>
    <n v="44"/>
    <n v="36"/>
    <n v="864"/>
    <s v="Black glazing"/>
    <s v="AEM"/>
  </r>
  <r>
    <s v="26Jul008.04.03"/>
    <s v="Quzhou"/>
    <s v="26Jul008"/>
    <s v="CORE DG"/>
    <x v="1"/>
    <s v="SPTN Offstore in Transit WH"/>
    <s v="CIP"/>
    <x v="28"/>
    <s v="U4"/>
    <x v="182"/>
    <s v="FR0126072800016"/>
    <n v="5"/>
    <s v="Yes"/>
    <d v="2026-07-06T00:00:00"/>
    <x v="0"/>
    <x v="43"/>
    <s v="HSM-ND54-DR505"/>
    <s v="EVO2A"/>
    <s v="±1200mm"/>
    <n v="505"/>
    <n v="864"/>
    <n v="0.43631999999999999"/>
    <n v="24"/>
    <n v="1"/>
    <x v="14"/>
    <s v="COMPLETED"/>
    <m/>
    <d v="2026-08-11T00:00:00"/>
    <n v="33"/>
    <s v="POPV260814043"/>
    <m/>
    <s v="NINGBO"/>
    <x v="3"/>
    <x v="0"/>
    <d v="2026-08-17T00:00:00"/>
    <m/>
    <d v="2026-08-20T00:19:33"/>
    <d v="2026-09-30T00:00:00"/>
    <d v="2026-10-01T22:00:00"/>
    <d v="2026-10-01T00:00:00"/>
    <m/>
    <s v="CMA CGM VASCO DE GAMA 0MEOJW"/>
    <s v="COSCO"/>
    <s v="TPVB20260834001"/>
    <x v="615"/>
    <s v="COSU9508973860"/>
    <n v="41.986423611109785"/>
    <m/>
    <d v="2026-10-01T00:00:00"/>
    <s v="In Stock-Approved"/>
    <d v="2026-09-30T00:00:00"/>
    <n v="0"/>
    <d v="2026-10-01T00:00:00"/>
    <n v="2026"/>
    <n v="10"/>
    <n v="40"/>
    <n v="36"/>
    <n v="864"/>
    <s v="Black glazing"/>
    <s v="AEM"/>
  </r>
  <r>
    <s v="26Jun011.12"/>
    <s v="Quzhou"/>
    <s v="26Jun011"/>
    <s v="CORE DG"/>
    <x v="0"/>
    <s v="Arrival Plan-SPTN"/>
    <s v="CIF"/>
    <x v="0"/>
    <s v="U1"/>
    <x v="2"/>
    <m/>
    <m/>
    <s v="n/a"/>
    <d v="2026-06-22T00:00:00"/>
    <x v="0"/>
    <x v="0"/>
    <s v="HSM-ND54-DR500"/>
    <s v="EVO2A"/>
    <s v="±1200mm"/>
    <n v="500"/>
    <n v="864"/>
    <n v="0.432"/>
    <n v="24"/>
    <n v="1"/>
    <x v="11"/>
    <s v="IN-TRANSIT"/>
    <s v="w30-32"/>
    <d v="2026-09-04T00:00:00"/>
    <n v="36"/>
    <s v="POPV260911040"/>
    <m/>
    <s v="NINGBO"/>
    <x v="3"/>
    <x v="0"/>
    <d v="2026-08-31T00:00:00"/>
    <d v="2026-09-10T00:00:00"/>
    <d v="2026-09-10T01:01:39"/>
    <d v="2026-10-19T00:00:00"/>
    <d v="2026-11-04T22:00:00"/>
    <s v=""/>
    <m/>
    <s v="EVER GIFTED 030W"/>
    <s v="COSCO"/>
    <s v="TPVB20260834035"/>
    <x v="616"/>
    <s v="COSU9509256390"/>
    <n v="55.873854166660749"/>
    <m/>
    <d v="2026-11-04T22:00:00"/>
    <s v="-"/>
    <s v=""/>
    <n v="8"/>
    <d v="2026-11-12T22:00:00"/>
    <n v="2026"/>
    <n v="11"/>
    <n v="46"/>
    <n v="36"/>
    <n v="864"/>
    <s v="Black glazing"/>
    <s v="AEM"/>
  </r>
  <r>
    <s v="26Aug007.02.02.01"/>
    <s v="Quzhou"/>
    <s v="26Aug007"/>
    <s v="CORE DG"/>
    <x v="1"/>
    <s v="SPTN Offstore in Transit WH"/>
    <s v="CIF"/>
    <x v="8"/>
    <s v="U1"/>
    <x v="25"/>
    <s v="IE0126051800021"/>
    <n v="7"/>
    <s v="Yes"/>
    <s v="Aug"/>
    <x v="3"/>
    <x v="91"/>
    <s v="HSM-BE54-DD485"/>
    <s v="EVO2A"/>
    <s v="±1200mm"/>
    <n v="485"/>
    <n v="1872"/>
    <n v="0.90791999999999995"/>
    <n v="52"/>
    <n v="2"/>
    <x v="13"/>
    <s v="COMPLETED"/>
    <d v="2026-08-21T00:00:00"/>
    <d v="2026-08-21T00:00:00"/>
    <n v="34"/>
    <s v="POPV260825031"/>
    <m/>
    <s v="NINGBO"/>
    <x v="3"/>
    <x v="6"/>
    <d v="2026-08-25T00:00:00"/>
    <m/>
    <d v="2026-08-26T11:29:23"/>
    <d v="2026-10-01T00:00:00"/>
    <d v="2026-10-10T01:00:00"/>
    <d v="2026-10-10T01:26:05"/>
    <m/>
    <s v="COSCO SHIPPING AQUARIUS "/>
    <s v="COSCO"/>
    <s v="TPVB20260834033"/>
    <x v="617"/>
    <s v="COSU9509256030"/>
    <n v="44.581041666664532"/>
    <m/>
    <d v="2026-10-10T01:26:05"/>
    <s v="In Stock-Approved"/>
    <d v="2026-10-01T00:00:00"/>
    <n v="0"/>
    <d v="2026-10-10T01:26:05"/>
    <n v="2026"/>
    <n v="10"/>
    <n v="41"/>
    <n v="36"/>
    <n v="936"/>
    <s v="Black glazing"/>
    <s v="AEU"/>
  </r>
  <r>
    <s v="26Aug007.08"/>
    <s v="Quzhou"/>
    <s v="26Aug007"/>
    <s v="CORE DG"/>
    <x v="1"/>
    <s v="SPTN Offstore in Transit WH"/>
    <s v="CIF"/>
    <x v="8"/>
    <s v="U4"/>
    <x v="25"/>
    <s v="IE0126051800020"/>
    <n v="4"/>
    <s v="Yes"/>
    <s v="Aug"/>
    <x v="3"/>
    <x v="91"/>
    <s v="HSM-BE54-DD485"/>
    <s v="EVO2A"/>
    <s v="±1200mm"/>
    <n v="485"/>
    <n v="4680"/>
    <n v="2.2698"/>
    <n v="130"/>
    <n v="5"/>
    <x v="13"/>
    <s v="COMPLETED"/>
    <s v="ready"/>
    <d v="2026-08-21T00:00:00"/>
    <n v="34"/>
    <s v="POPV260825028"/>
    <m/>
    <s v="NINGBO"/>
    <x v="3"/>
    <x v="8"/>
    <d v="2026-08-21T00:00:00"/>
    <d v="2026-08-26T00:00:00"/>
    <d v="2026-08-23T20:21:16"/>
    <d v="2026-10-02T00:00:00"/>
    <d v="2026-10-06T20:00:00"/>
    <d v="2026-10-06T00:00:00"/>
    <m/>
    <s v="COSCO SHIPPING LIBRA 036W"/>
    <s v="COSCO"/>
    <s v="TPVB20260834006"/>
    <x v="618"/>
    <s v="COSU9508982210"/>
    <n v="43.151898148149485"/>
    <m/>
    <d v="2026-10-06T00:00:00"/>
    <s v="In Stock-Approved"/>
    <d v="2026-10-02T00:00:00"/>
    <n v="0"/>
    <d v="2026-10-06T00:00:00"/>
    <n v="2026"/>
    <n v="10"/>
    <n v="41"/>
    <n v="36"/>
    <n v="936"/>
    <s v="Black glazing"/>
    <s v="AEU"/>
  </r>
  <r>
    <s v="26Aug007.05"/>
    <s v="Quzhou"/>
    <s v="26Aug007"/>
    <s v="CORE DG"/>
    <x v="1"/>
    <s v="SPTN Offstore in Transit WH"/>
    <s v="CIF"/>
    <x v="8"/>
    <s v="U2"/>
    <x v="25"/>
    <s v="IE0126051800021"/>
    <n v="2"/>
    <s v="Yes"/>
    <s v="Aug"/>
    <x v="3"/>
    <x v="91"/>
    <s v="HSM-BE54-DD485"/>
    <s v="EVO2A"/>
    <s v="±1200mm"/>
    <n v="485"/>
    <n v="1872"/>
    <n v="0.90791999999999995"/>
    <n v="52"/>
    <n v="2"/>
    <x v="16"/>
    <s v="COMPLETED"/>
    <s v="ready"/>
    <d v="2026-08-21T00:00:00"/>
    <n v="34"/>
    <s v="POPV260825030"/>
    <m/>
    <s v="NINGBO"/>
    <x v="3"/>
    <x v="6"/>
    <d v="2026-08-22T00:00:00"/>
    <m/>
    <d v="2026-08-26T11:29:23"/>
    <d v="2026-09-27T00:00:00"/>
    <d v="2026-10-10T01:00:00"/>
    <d v="2026-10-10T01:26:05"/>
    <m/>
    <s v="COSCO SHIPPING AQUARIUS 050W"/>
    <s v="COSCO"/>
    <s v="TPVB20260834003"/>
    <x v="619"/>
    <s v="COSU9508974810"/>
    <n v="44.581041666664532"/>
    <m/>
    <d v="2026-10-10T01:26:05"/>
    <s v="In Stock-Approved"/>
    <d v="2026-10-01T00:00:00"/>
    <n v="0"/>
    <d v="2026-10-10T01:26:05"/>
    <n v="2026"/>
    <n v="10"/>
    <n v="41"/>
    <n v="36"/>
    <n v="936"/>
    <s v="Black glazing"/>
    <s v="AEU"/>
  </r>
  <r>
    <s v="26Aug007.05.01"/>
    <s v="Quzhou"/>
    <s v="26Aug007"/>
    <s v="CORE DG"/>
    <x v="1"/>
    <s v="SPTN Offstore in Transit WH"/>
    <s v="CIF"/>
    <x v="8"/>
    <s v="U2"/>
    <x v="25"/>
    <s v="IE0126051800021"/>
    <n v="6"/>
    <s v="Yes"/>
    <s v="Aug"/>
    <x v="3"/>
    <x v="91"/>
    <s v="HSM-BE54-DD485"/>
    <s v="EVO2A"/>
    <s v="±1200mm"/>
    <n v="485"/>
    <n v="1872"/>
    <n v="0.90791999999999995"/>
    <n v="52"/>
    <n v="2"/>
    <x v="16"/>
    <s v="COMPLETED"/>
    <s v="ready"/>
    <d v="2026-08-21T00:00:00"/>
    <n v="34"/>
    <s v="POPV260825029"/>
    <m/>
    <s v="NINGBO"/>
    <x v="3"/>
    <x v="6"/>
    <d v="2026-08-19T00:00:00"/>
    <m/>
    <d v="2026-08-26T11:29:23"/>
    <d v="2026-09-27T00:00:00"/>
    <d v="2026-10-10T01:00:00"/>
    <d v="2026-10-10T01:26:05"/>
    <m/>
    <s v="COSCO SHIPPING AQUARIUS 050W"/>
    <s v="COSCO"/>
    <s v="TPVB20260834004"/>
    <x v="620"/>
    <s v="COSU9508974740"/>
    <n v="44.581041666664532"/>
    <m/>
    <d v="2026-10-10T01:26:05"/>
    <s v="In Stock-Approved"/>
    <d v="2026-10-01T00:00:00"/>
    <n v="0"/>
    <d v="2026-10-10T01:26:05"/>
    <n v="2026"/>
    <n v="10"/>
    <n v="41"/>
    <n v="36"/>
    <n v="936"/>
    <s v="Black glazing"/>
    <s v="AEU"/>
  </r>
  <r>
    <s v="26Aug007.06"/>
    <s v="Quzhou"/>
    <s v="26Aug007"/>
    <s v="CORE DG"/>
    <x v="1"/>
    <s v="SPTN Offstore in Transit WH"/>
    <s v="CIF"/>
    <x v="8"/>
    <s v="U2"/>
    <x v="25"/>
    <s v="IE0126051800020"/>
    <n v="6"/>
    <s v="Yes"/>
    <s v="Aug"/>
    <x v="3"/>
    <x v="91"/>
    <s v="HSM-BE54-DD485"/>
    <s v="EVO2A"/>
    <s v="±1200mm"/>
    <n v="485"/>
    <n v="4680"/>
    <n v="2.2698"/>
    <n v="130"/>
    <n v="5"/>
    <x v="16"/>
    <s v="COMPLETED"/>
    <s v="ready"/>
    <d v="2026-08-31T00:00:00"/>
    <n v="36"/>
    <s v="POPV260902019"/>
    <m/>
    <s v="NINGBO"/>
    <x v="3"/>
    <x v="8"/>
    <d v="2026-08-25T00:00:00"/>
    <d v="2026-09-04T00:00:00"/>
    <d v="2026-09-04T19:47:21"/>
    <d v="2026-10-09T00:00:00"/>
    <d v="2026-10-21T06:00:00"/>
    <d v="2026-10-21T01:06:10"/>
    <m/>
    <s v="COSCO SHIPPING SOLAR 037W"/>
    <s v="COSCO"/>
    <s v="TPVB20260834034"/>
    <x v="621"/>
    <s v="COSU9509255460"/>
    <n v="46.221400462964084"/>
    <m/>
    <d v="2026-10-21T01:06:10"/>
    <s v="In Stock-Approved"/>
    <d v="2026-10-09T00:00:00"/>
    <n v="0"/>
    <d v="2026-10-21T01:06:10"/>
    <n v="2026"/>
    <n v="10"/>
    <n v="43"/>
    <n v="36"/>
    <n v="936"/>
    <s v="Black glazing"/>
    <s v="AEU"/>
  </r>
  <r>
    <s v="26Jun005.01.02"/>
    <s v="Tianjin"/>
    <s v="26Jun005"/>
    <s v="CORE DG"/>
    <x v="0"/>
    <s v="Arrival Plan-SPNL"/>
    <s v="CIF"/>
    <x v="0"/>
    <s v="U1"/>
    <x v="2"/>
    <m/>
    <m/>
    <s v="n/a"/>
    <d v="2026-06-15T00:00:00"/>
    <x v="0"/>
    <x v="57"/>
    <s v="HSM-ND66-GR620"/>
    <s v="EVO2A"/>
    <s v="±1400mm"/>
    <n v="620"/>
    <n v="720"/>
    <n v="0.44640000000000002"/>
    <n v="20"/>
    <n v="1"/>
    <x v="12"/>
    <s v="COMPLETED"/>
    <s v="ready"/>
    <d v="2026-08-19T00:00:00"/>
    <n v="34"/>
    <s v="POPV260821046"/>
    <s v="POPV260821046"/>
    <s v="TIANJIN"/>
    <x v="0"/>
    <x v="1"/>
    <d v="2026-08-24T00:00:00"/>
    <d v="2026-08-25T00:00:00"/>
    <d v="2026-08-25T08:54:28"/>
    <d v="2026-10-08T00:00:00"/>
    <d v="2026-10-13T02:00:00"/>
    <d v="2026-10-13T02:41:49"/>
    <m/>
    <s v="COSCO SHIPPING UNIVERSE 036W"/>
    <s v="COSCO"/>
    <s v="TPVB20260834019"/>
    <x v="622"/>
    <s v="COSU9509127610"/>
    <n v="48.74121527778334"/>
    <m/>
    <d v="2026-10-13T02:41:49"/>
    <s v="In Transit-Approved"/>
    <d v="2026-10-15T00:00:00"/>
    <n v="7"/>
    <d v="2026-10-20T02:41:49"/>
    <n v="2026"/>
    <n v="10"/>
    <n v="43"/>
    <n v="36"/>
    <n v="720"/>
    <s v="Redirection Film"/>
    <s v="AEU"/>
  </r>
  <r>
    <s v="26Jun021.09.01.01"/>
    <s v="Tianjin"/>
    <s v="26Jun021"/>
    <s v="CORE DG"/>
    <x v="0"/>
    <s v="Arrival Plan-SPNL"/>
    <s v="CIF"/>
    <x v="0"/>
    <s v="U1"/>
    <x v="2"/>
    <m/>
    <m/>
    <s v="n/a"/>
    <d v="2026-06-29T00:00:00"/>
    <x v="3"/>
    <x v="95"/>
    <s v="HSM-BD66-GR650"/>
    <s v="EVO2A"/>
    <s v="±1400mm"/>
    <n v="650"/>
    <n v="720"/>
    <n v="0.46800000000000003"/>
    <n v="20"/>
    <n v="1"/>
    <x v="16"/>
    <s v="COMPLETED"/>
    <m/>
    <d v="2026-08-19T00:00:00"/>
    <n v="34"/>
    <s v="POPV260821051"/>
    <s v="POPV260821051"/>
    <s v="TIANJIN"/>
    <x v="0"/>
    <x v="1"/>
    <d v="2026-08-24T00:00:00"/>
    <d v="2026-08-25T00:00:00"/>
    <d v="2026-08-25T08:54:28"/>
    <d v="2026-10-08T00:00:00"/>
    <d v="2026-10-13T02:00:00"/>
    <d v="2026-10-13T02:41:49"/>
    <m/>
    <s v="COSCO SHIPPING UNIVERSE 036W"/>
    <s v="COSCO"/>
    <s v="TPVB20260834019"/>
    <x v="622"/>
    <s v="COSU9509127610"/>
    <n v="48.74121527778334"/>
    <m/>
    <d v="2026-10-13T02:41:49"/>
    <s v="In Transit-Approved"/>
    <d v="2026-10-15T00:00:00"/>
    <n v="7"/>
    <d v="2026-10-20T02:41:49"/>
    <n v="2026"/>
    <n v="10"/>
    <n v="43"/>
    <n v="36"/>
    <n v="720"/>
    <s v="White glazing"/>
    <s v="AEU"/>
  </r>
  <r>
    <s v="26Aug003.01"/>
    <s v="Tianjin"/>
    <s v="26Aug003"/>
    <s v="CORE DG"/>
    <x v="0"/>
    <s v="Arrival Plan-SPNL"/>
    <s v="CIF"/>
    <x v="0"/>
    <s v="U4"/>
    <x v="2"/>
    <m/>
    <m/>
    <s v="n/a"/>
    <d v="2026-08-03T00:00:00"/>
    <x v="0"/>
    <x v="0"/>
    <s v="HSM-ND54-DR500"/>
    <s v="EVO2A"/>
    <s v="±1200mm"/>
    <n v="500"/>
    <n v="5184"/>
    <n v="2.5920000000000001"/>
    <n v="144"/>
    <n v="6"/>
    <x v="13"/>
    <s v="COMPLETED"/>
    <s v="ready"/>
    <d v="2026-08-19T00:00:00"/>
    <n v="34"/>
    <s v="POPV260821031"/>
    <s v="POPV260821031"/>
    <s v="TIANJIN"/>
    <x v="0"/>
    <x v="1"/>
    <d v="2026-08-24T00:00:00"/>
    <d v="2026-08-25T00:00:00"/>
    <d v="2026-08-25T08:54:28"/>
    <d v="2026-10-08T00:00:00"/>
    <d v="2026-10-13T02:00:00"/>
    <d v="2026-10-13T02:41:49"/>
    <m/>
    <s v="COSCO SHIPPING UNIVERSE 036W"/>
    <s v="COSCO"/>
    <s v="TPVB20260834019"/>
    <x v="622"/>
    <s v="COSU9509127610"/>
    <n v="48.74121527778334"/>
    <m/>
    <d v="2026-10-13T02:41:49"/>
    <s v="In Transit-Approved"/>
    <d v="2026-10-15T00:00:00"/>
    <n v="7"/>
    <d v="2026-10-20T02:41:49"/>
    <n v="2026"/>
    <n v="10"/>
    <n v="43"/>
    <n v="36"/>
    <n v="864"/>
    <s v="Black glazing"/>
    <s v="AEU"/>
  </r>
  <r>
    <s v="26Jun005.01"/>
    <s v="Tianjin"/>
    <s v="26Jun005"/>
    <s v="CORE DG"/>
    <x v="0"/>
    <s v="Arrival Plan-SPNL"/>
    <s v="CIF"/>
    <x v="0"/>
    <s v="U1"/>
    <x v="2"/>
    <m/>
    <m/>
    <s v="n/a"/>
    <d v="2026-06-15T00:00:00"/>
    <x v="0"/>
    <x v="57"/>
    <s v="HSM-ND66-GR620"/>
    <s v="EVO2A"/>
    <s v="±1400mm"/>
    <n v="620"/>
    <n v="1440"/>
    <n v="0.89280000000000004"/>
    <n v="40"/>
    <n v="2"/>
    <x v="12"/>
    <s v="COMPLETED"/>
    <s v="ready"/>
    <d v="2026-08-15T00:00:00"/>
    <n v="33"/>
    <s v="POPV260821061"/>
    <s v="POPV260821061"/>
    <s v="TIANJIN"/>
    <x v="0"/>
    <x v="1"/>
    <d v="2026-08-23T00:00:00"/>
    <d v="2026-08-29T00:00:00"/>
    <d v="2026-08-29T00:00:00"/>
    <d v="2026-10-10T00:00:00"/>
    <d v="2026-10-27T00:00:00"/>
    <d v="2026-10-29T00:00:00"/>
    <s v="CIF"/>
    <s v="BIG GEORGE  26034E"/>
    <s v="OTHER"/>
    <s v="TPVB20260834015"/>
    <x v="623"/>
    <s v="TS6NDD969400"/>
    <n v="61"/>
    <m/>
    <d v="2026-10-29T00:00:00"/>
    <s v="In Transit-Approved"/>
    <d v="2026-10-23T00:00:00"/>
    <n v="7"/>
    <d v="2026-11-05T00:00:00"/>
    <n v="2026"/>
    <n v="11"/>
    <n v="45"/>
    <n v="36"/>
    <n v="720"/>
    <s v="Redirection Film"/>
    <s v="AEU"/>
  </r>
  <r>
    <s v="26Aug004.02"/>
    <s v="Tianjin"/>
    <s v="26Aug004"/>
    <s v="CORE DG"/>
    <x v="0"/>
    <s v="Arrival Plan-SPNL"/>
    <s v="CIF"/>
    <x v="0"/>
    <s v="U2"/>
    <x v="2"/>
    <m/>
    <m/>
    <s v="n/a"/>
    <d v="2026-08-03T00:00:00"/>
    <x v="0"/>
    <x v="43"/>
    <s v="HSM-ND54-DR505"/>
    <s v="EVO2A"/>
    <s v="±1200mm"/>
    <n v="505"/>
    <n v="5184"/>
    <n v="2.6179199999999998"/>
    <n v="144"/>
    <n v="6"/>
    <x v="16"/>
    <s v="COMPLETED"/>
    <s v="八月13日"/>
    <d v="2026-08-15T00:00:00"/>
    <n v="33"/>
    <s v="POPV260821066"/>
    <s v="POPV260821066"/>
    <s v="TIANJIN"/>
    <x v="0"/>
    <x v="1"/>
    <d v="2026-08-23T00:00:00"/>
    <d v="2026-08-29T00:00:00"/>
    <d v="2026-08-29T00:00:00"/>
    <d v="2026-10-10T00:00:00"/>
    <d v="2026-10-27T00:00:00"/>
    <d v="2026-10-29T00:00:00"/>
    <s v="CIF"/>
    <s v="BIG GEORGE  26034E"/>
    <s v="OTHER"/>
    <s v="TPVB20260834015"/>
    <x v="623"/>
    <s v="TS6NDD969400"/>
    <n v="61"/>
    <m/>
    <d v="2026-10-29T00:00:00"/>
    <s v="In Transit-Approved"/>
    <d v="2026-10-23T00:00:00"/>
    <n v="7"/>
    <d v="2026-11-05T00:00:00"/>
    <n v="2026"/>
    <n v="11"/>
    <n v="45"/>
    <n v="36"/>
    <n v="864"/>
    <s v="Black glazing"/>
    <s v="AEU"/>
  </r>
  <r>
    <s v="26Aug004.03"/>
    <s v="Tianjin"/>
    <s v="26Aug004"/>
    <s v="CORE DG"/>
    <x v="0"/>
    <s v="Arrival Plan-SPNL"/>
    <s v="CIF"/>
    <x v="0"/>
    <s v="U2"/>
    <x v="2"/>
    <m/>
    <m/>
    <s v="n/a"/>
    <d v="2026-08-03T00:00:00"/>
    <x v="0"/>
    <x v="43"/>
    <s v="HSM-ND54-DR505"/>
    <s v="EVO2A"/>
    <s v="±1200mm"/>
    <n v="505"/>
    <n v="5184"/>
    <n v="2.6179199999999998"/>
    <n v="144"/>
    <n v="6"/>
    <x v="13"/>
    <s v="COMPLETED"/>
    <s v="八月15日"/>
    <d v="2026-08-15T00:00:00"/>
    <n v="33"/>
    <s v="POPV260821068"/>
    <s v="POPV260821068"/>
    <s v="TIANJIN"/>
    <x v="0"/>
    <x v="1"/>
    <d v="2026-08-23T00:00:00"/>
    <d v="2026-08-29T00:00:00"/>
    <d v="2026-08-29T00:00:00"/>
    <d v="2026-10-10T00:00:00"/>
    <d v="2026-10-27T00:00:00"/>
    <d v="2026-10-29T00:00:00"/>
    <s v="CIF"/>
    <s v="BIG GEORGE  26034E"/>
    <s v="OTHER"/>
    <s v="TPVB20260834015"/>
    <x v="623"/>
    <s v="TS6NDD969400"/>
    <n v="61"/>
    <m/>
    <d v="2026-10-29T00:00:00"/>
    <s v="In Transit-Approved"/>
    <d v="2026-10-23T00:00:00"/>
    <n v="7"/>
    <d v="2026-11-05T00:00:00"/>
    <n v="2026"/>
    <n v="11"/>
    <n v="45"/>
    <n v="36"/>
    <n v="864"/>
    <s v="Black glazing"/>
    <s v="AEU"/>
  </r>
  <r>
    <s v="26Jun005.01.01"/>
    <s v="Tianjin"/>
    <s v="26Jun005"/>
    <s v="CORE DG"/>
    <x v="0"/>
    <s v="Arrival Plan-SPNL"/>
    <s v="CIF"/>
    <x v="0"/>
    <s v="U1"/>
    <x v="2"/>
    <m/>
    <m/>
    <s v="n/a"/>
    <d v="2026-06-15T00:00:00"/>
    <x v="0"/>
    <x v="57"/>
    <s v="HSM-ND66-GR620"/>
    <s v="EVO2A"/>
    <s v="±1400mm"/>
    <n v="620"/>
    <n v="1440"/>
    <n v="0.89280000000000004"/>
    <n v="40"/>
    <n v="2"/>
    <x v="12"/>
    <s v="COMPLETED"/>
    <s v="ready"/>
    <d v="2026-08-13T00:00:00"/>
    <n v="33"/>
    <s v="POPV260814026"/>
    <m/>
    <s v="TIANJIN"/>
    <x v="0"/>
    <x v="1"/>
    <d v="2026-08-19T00:00:00"/>
    <m/>
    <d v="2026-08-20T00:00:00"/>
    <d v="2026-10-10T00:00:00"/>
    <m/>
    <d v="2026-10-10T00:00:00"/>
    <s v="CIF"/>
    <s v="ONE ORPHEUS 078E"/>
    <s v="OTHER"/>
    <s v="TPVB20260834014"/>
    <x v="624"/>
    <s v=" TSNE54420600"/>
    <n v="51"/>
    <m/>
    <d v="2026-10-10T00:00:00"/>
    <s v="In Transit-Approved"/>
    <d v="2026-10-17T00:00:00"/>
    <n v="7"/>
    <d v="2026-10-17T00:00:00"/>
    <n v="2026"/>
    <n v="10"/>
    <n v="42"/>
    <n v="36"/>
    <n v="720"/>
    <s v="Redirection Film"/>
    <s v="AEU"/>
  </r>
  <r>
    <s v="26Jun006"/>
    <s v="Tianjin"/>
    <s v="Main Line"/>
    <s v="CORE DG"/>
    <x v="0"/>
    <s v="Arrival Plan-SPNL"/>
    <s v="CIF"/>
    <x v="0"/>
    <s v="U1"/>
    <x v="2"/>
    <m/>
    <m/>
    <s v="n/a"/>
    <d v="2026-06-15T00:00:00"/>
    <x v="0"/>
    <x v="36"/>
    <s v="HSM-ND66-GR625"/>
    <s v="EVO2A"/>
    <s v="±1400mm"/>
    <n v="625"/>
    <n v="2880"/>
    <n v="1.8"/>
    <n v="80"/>
    <n v="4"/>
    <x v="12"/>
    <s v="COMPLETED"/>
    <s v="ready"/>
    <d v="2026-08-13T00:00:00"/>
    <n v="33"/>
    <s v="POPV260814023"/>
    <m/>
    <s v="TIANJIN"/>
    <x v="0"/>
    <x v="1"/>
    <d v="2026-08-19T00:00:00"/>
    <m/>
    <d v="2026-08-20T00:00:00"/>
    <d v="2026-10-10T00:00:00"/>
    <m/>
    <d v="2026-10-10T00:00:00"/>
    <s v="CIF"/>
    <s v="ONE ORPHEUS 078E"/>
    <s v="OTHER"/>
    <s v="TPVB20260834014"/>
    <x v="624"/>
    <s v=" TSNE54420600"/>
    <n v="51"/>
    <m/>
    <d v="2026-10-10T00:00:00"/>
    <s v="In Transit-Approved"/>
    <d v="2026-10-17T00:00:00"/>
    <n v="7"/>
    <d v="2026-10-17T00:00:00"/>
    <n v="2026"/>
    <n v="10"/>
    <n v="42"/>
    <n v="36"/>
    <n v="720"/>
    <s v="Redirection Film"/>
    <s v="AEU"/>
  </r>
  <r>
    <s v="26Jun005.02"/>
    <s v="Tianjin"/>
    <s v="26Jun005"/>
    <s v="CORE DG"/>
    <x v="0"/>
    <s v="Arrival Plan-SPTN"/>
    <s v="CIF"/>
    <x v="0"/>
    <s v="U1"/>
    <x v="2"/>
    <m/>
    <m/>
    <s v="n/a"/>
    <d v="2026-06-15T00:00:00"/>
    <x v="0"/>
    <x v="57"/>
    <s v="HSM-ND66-GR620"/>
    <s v="EVO2A"/>
    <s v="±1400mm"/>
    <n v="620"/>
    <n v="2160"/>
    <n v="1.3391999999999999"/>
    <n v="60"/>
    <n v="3"/>
    <x v="12"/>
    <s v="IN-TRANSIT"/>
    <s v="ready"/>
    <d v="2026-08-19T00:00:00"/>
    <n v="34"/>
    <s v="POPV260821057"/>
    <s v="POPV260821057"/>
    <s v="TIANJIN"/>
    <x v="0"/>
    <x v="0"/>
    <d v="2026-08-24T00:00:00"/>
    <d v="2026-08-25T00:00:00"/>
    <d v="2026-08-25T08:54:28"/>
    <d v="2026-10-26T00:00:00"/>
    <d v="2026-11-10T06:00:00"/>
    <s v=""/>
    <m/>
    <s v="COSCO SHIPPING UNIVERSE 036W"/>
    <s v="COSCO"/>
    <s v="TPVB20260834017"/>
    <x v="625"/>
    <s v="COSU9509124230"/>
    <n v="76.878842592595902"/>
    <m/>
    <d v="2026-11-10T06:00:00"/>
    <s v="In Transit-Approved"/>
    <d v="2026-11-03T00:00:00"/>
    <n v="8"/>
    <d v="2026-11-18T06:00:00"/>
    <n v="2026"/>
    <n v="11"/>
    <n v="47"/>
    <n v="36"/>
    <n v="720"/>
    <s v="Redirection Film"/>
    <s v="AEM"/>
  </r>
  <r>
    <s v="26Jun021.07.03"/>
    <s v="Tianjin"/>
    <s v="26Jun021"/>
    <s v="CORE DG"/>
    <x v="0"/>
    <s v="Arrival Plan-SPTN"/>
    <s v="CIF"/>
    <x v="0"/>
    <s v="U4"/>
    <x v="2"/>
    <m/>
    <m/>
    <s v="n/a"/>
    <d v="2026-06-29T00:00:00"/>
    <x v="3"/>
    <x v="95"/>
    <s v="HSM-BD66-GR650"/>
    <s v="EVO2A"/>
    <s v="±1400mm"/>
    <n v="650"/>
    <n v="720"/>
    <n v="0.46800000000000003"/>
    <n v="20"/>
    <n v="1"/>
    <x v="11"/>
    <s v="IN-TRANSIT"/>
    <m/>
    <d v="2026-08-19T00:00:00"/>
    <n v="34"/>
    <s v="POPV260821049"/>
    <s v="POPV260821049"/>
    <s v="TIANJIN"/>
    <x v="0"/>
    <x v="0"/>
    <d v="2026-08-24T00:00:00"/>
    <d v="2026-08-25T00:00:00"/>
    <d v="2026-08-25T08:54:28"/>
    <d v="2026-10-26T00:00:00"/>
    <d v="2026-11-10T06:00:00"/>
    <s v=""/>
    <m/>
    <s v="COSCO SHIPPING UNIVERSE 036W"/>
    <s v="COSCO"/>
    <s v="TPVB20260834017"/>
    <x v="625"/>
    <s v="COSU9509124230"/>
    <n v="76.878842592595902"/>
    <m/>
    <d v="2026-11-10T06:00:00"/>
    <s v="In Transit-Approved"/>
    <d v="2026-11-03T00:00:00"/>
    <n v="8"/>
    <d v="2026-11-18T06:00:00"/>
    <n v="2026"/>
    <n v="11"/>
    <n v="47"/>
    <n v="36"/>
    <n v="720"/>
    <s v="White glazing"/>
    <s v="AEM"/>
  </r>
  <r>
    <s v="26Aug004.05"/>
    <s v="Tianjin"/>
    <s v="26Aug004"/>
    <s v="CORE DG"/>
    <x v="1"/>
    <s v="SPTN Offstore in Transit WH"/>
    <s v="CIP"/>
    <x v="28"/>
    <s v="U6"/>
    <x v="182"/>
    <s v="FR0126072800016"/>
    <n v="2"/>
    <s v="Yes"/>
    <d v="2026-08-03T00:00:00"/>
    <x v="0"/>
    <x v="43"/>
    <s v="HSM-ND54-DR505"/>
    <s v="EVO2A"/>
    <s v="±1200mm"/>
    <n v="505"/>
    <n v="1728"/>
    <n v="0.87263999999999997"/>
    <n v="48"/>
    <n v="2"/>
    <x v="16"/>
    <s v="COMPLETED"/>
    <s v="八月11日"/>
    <d v="2026-08-19T00:00:00"/>
    <n v="34"/>
    <s v="POPV260821018"/>
    <s v="POPV260821018"/>
    <s v="TIANJIN"/>
    <x v="0"/>
    <x v="0"/>
    <d v="2026-08-24T00:00:00"/>
    <d v="2026-08-25T00:00:00"/>
    <d v="2026-08-25T08:54:28"/>
    <d v="2026-10-21T00:00:00"/>
    <d v="2026-10-27T16:00:00"/>
    <d v="2026-10-27T18:53:49"/>
    <m/>
    <s v="COSCO SHIPPING UNIVERSE 036W"/>
    <s v="COSCO"/>
    <s v="TPVB20260834018"/>
    <x v="626"/>
    <s v="COSU9509124140"/>
    <n v="63.416215277778974"/>
    <m/>
    <d v="2026-10-27T18:53:49"/>
    <s v="In Stock-Approved"/>
    <d v="2026-10-21T00:00:00"/>
    <n v="0"/>
    <d v="2026-10-27T18:53:49"/>
    <n v="2026"/>
    <n v="10"/>
    <n v="44"/>
    <n v="36"/>
    <n v="864"/>
    <s v="Black glazing"/>
    <s v="AEM"/>
  </r>
  <r>
    <s v="26Aug004.04"/>
    <s v="Tianjin"/>
    <s v="26Aug004"/>
    <s v="CORE DG"/>
    <x v="0"/>
    <s v="Arrival Plan-SPNL"/>
    <s v="CIF"/>
    <x v="0"/>
    <s v="U4"/>
    <x v="2"/>
    <m/>
    <m/>
    <s v="n/a"/>
    <d v="2026-08-03T00:00:00"/>
    <x v="0"/>
    <x v="43"/>
    <s v="HSM-ND54-DR505"/>
    <s v="EVO2A"/>
    <s v="±1200mm"/>
    <n v="505"/>
    <n v="1728"/>
    <n v="0.87263999999999997"/>
    <n v="48"/>
    <n v="2"/>
    <x v="15"/>
    <s v="IN-TRANSIT"/>
    <s v="八月16日"/>
    <d v="2026-08-21T00:00:00"/>
    <n v="34"/>
    <s v="POPV260825026"/>
    <m/>
    <s v="TIANJIN"/>
    <x v="0"/>
    <x v="1"/>
    <d v="2026-08-29T00:00:00"/>
    <d v="2026-09-02T00:00:00"/>
    <d v="2026-09-02T00:00:00"/>
    <d v="2026-10-26T00:00:00"/>
    <d v="2026-11-12T00:00:00"/>
    <m/>
    <s v="CIF"/>
    <s v="MSC DILETTA QS635A"/>
    <s v="OTHER"/>
    <s v="TPVB20260834038"/>
    <x v="627"/>
    <s v="177KVBTTXVNN3512"/>
    <n v="71"/>
    <m/>
    <d v="2026-11-12T00:00:00"/>
    <s v="In Transit-Approved"/>
    <d v="2026-11-02T00:00:00"/>
    <n v="7"/>
    <d v="2026-11-19T00:00:00"/>
    <n v="2026"/>
    <n v="11"/>
    <n v="47"/>
    <n v="36"/>
    <n v="864"/>
    <s v="Black glazing"/>
    <s v="AEU"/>
  </r>
  <r>
    <s v="26Jun021.01.01"/>
    <s v="Tianjin"/>
    <s v="26Jun021"/>
    <s v="CORE DG"/>
    <x v="0"/>
    <s v="Arrival Plan-SPNL"/>
    <s v="CIF"/>
    <x v="0"/>
    <s v="U1"/>
    <x v="2"/>
    <m/>
    <m/>
    <s v="n/a"/>
    <d v="2026-06-29T00:00:00"/>
    <x v="3"/>
    <x v="95"/>
    <s v="HSM-BD66-GR650"/>
    <s v="EVO2A"/>
    <s v="±1400mm"/>
    <n v="650"/>
    <n v="720"/>
    <n v="0.46800000000000003"/>
    <n v="20"/>
    <n v="1"/>
    <x v="14"/>
    <s v="IN-TRANSIT"/>
    <s v="优先500半片"/>
    <d v="2026-08-18T00:00:00"/>
    <n v="34"/>
    <s v="POPV260821042"/>
    <s v="POPV260821042"/>
    <s v="TIANJIN"/>
    <x v="0"/>
    <x v="1"/>
    <d v="2026-08-25T00:00:00"/>
    <d v="2026-08-25T00:00:00"/>
    <d v="2026-08-25T00:00:00"/>
    <d v="2026-10-24T00:00:00"/>
    <d v="2026-11-10T00:00:00"/>
    <m/>
    <s v="CIF"/>
    <s v="CMA CGM PERTH / 0BYPOS1MA / 0BYPOS"/>
    <s v="OTHER"/>
    <s v="TPVB20260834020"/>
    <x v="628"/>
    <s v="TJN0672301"/>
    <n v="77"/>
    <m/>
    <d v="2026-11-10T00:00:00"/>
    <s v="In Transit-Approved"/>
    <d v="2026-11-10T00:00:00"/>
    <n v="7"/>
    <d v="2026-11-17T00:00:00"/>
    <n v="2026"/>
    <n v="11"/>
    <n v="47"/>
    <n v="36"/>
    <n v="720"/>
    <s v="White glazing"/>
    <s v="AEU"/>
  </r>
  <r>
    <s v="26May008.02"/>
    <s v="Tianjin"/>
    <s v="26May008"/>
    <s v="CORE DG"/>
    <x v="0"/>
    <s v="Arrival Plan-SPNL"/>
    <s v="CIF"/>
    <x v="0"/>
    <s v="U1"/>
    <x v="2"/>
    <m/>
    <m/>
    <s v="n/a"/>
    <d v="2025-06-01T00:00:00"/>
    <x v="0"/>
    <x v="35"/>
    <s v="HSM-ND48-DR455"/>
    <s v="EVO2A"/>
    <s v="±1200mm"/>
    <n v="455"/>
    <n v="5616"/>
    <n v="2.5552800000000002"/>
    <n v="156"/>
    <n v="6"/>
    <x v="10"/>
    <s v="COMPLETED"/>
    <s v="六月3日"/>
    <d v="2026-08-12T00:00:00"/>
    <n v="33"/>
    <s v="POPV260814028"/>
    <m/>
    <s v="TIANJIN"/>
    <x v="0"/>
    <x v="1"/>
    <d v="2026-08-19T00:00:00"/>
    <d v="2026-08-26T00:00:00"/>
    <d v="2026-08-26T00:00:00"/>
    <d v="2026-10-18T00:00:00"/>
    <d v="2026-10-27T00:00:00"/>
    <d v="2026-10-29T00:00:00"/>
    <m/>
    <s v="MSC AMELIA QS634A"/>
    <s v="OTHER"/>
    <s v="TPVB20260834013"/>
    <x v="629"/>
    <s v="177KVBTTXVNN3407"/>
    <n v="64"/>
    <m/>
    <d v="2026-10-29T00:00:00"/>
    <s v="In Transit-Approved"/>
    <d v="2026-10-09T00:00:00"/>
    <n v="7"/>
    <d v="2026-11-05T00:00:00"/>
    <n v="2026"/>
    <n v="11"/>
    <n v="45"/>
    <n v="36"/>
    <n v="936"/>
    <s v="Black glazing"/>
    <s v="AEU"/>
  </r>
  <r>
    <s v="26Aug004.01.01"/>
    <s v="Tianjin"/>
    <s v="26Aug004"/>
    <s v="CORE DG"/>
    <x v="0"/>
    <s v="Arrival Plan-SPUK"/>
    <s v="CIF"/>
    <x v="6"/>
    <s v="U1"/>
    <x v="165"/>
    <m/>
    <m/>
    <s v="n/a"/>
    <d v="2026-08-03T00:00:00"/>
    <x v="0"/>
    <x v="43"/>
    <s v="HSM-ND54-DR505"/>
    <s v="EVO2A"/>
    <s v="±1200mm"/>
    <n v="505"/>
    <n v="864"/>
    <n v="0.43631999999999999"/>
    <n v="24"/>
    <n v="1"/>
    <x v="15"/>
    <s v="COMPLETED"/>
    <s v="八月16日"/>
    <d v="2026-08-19T00:00:00"/>
    <n v="34"/>
    <s v="POPV260821070"/>
    <s v="POPV260821070"/>
    <s v="TIANJIN"/>
    <x v="0"/>
    <x v="6"/>
    <d v="2026-08-24T00:00:00"/>
    <d v="2026-08-25T00:00:00"/>
    <d v="2026-08-25T08:54:28"/>
    <d v="2026-10-18T00:00:00"/>
    <d v="2026-10-27T23:00:00"/>
    <d v="2026-10-27T22:07:15"/>
    <s v="CIF"/>
    <s v="COSCO SHIPPING UNIVERSE 036W"/>
    <s v="COSCO"/>
    <s v="TPVB20260834016"/>
    <x v="630"/>
    <s v="COSU6462929130"/>
    <n v="63.550543981487863"/>
    <m/>
    <d v="2026-10-27T22:07:15"/>
    <s v="In Transit-Approved"/>
    <d v="2026-10-26T00:00:00"/>
    <n v="7"/>
    <d v="2026-11-03T22:07:15"/>
    <n v="2026"/>
    <n v="11"/>
    <n v="45"/>
    <n v="36"/>
    <n v="864"/>
    <s v="Black glazing"/>
    <s v="AEU"/>
  </r>
  <r>
    <s v="26Jul019.03"/>
    <s v="Yixing"/>
    <s v="26Jul019"/>
    <s v="CORE DG"/>
    <x v="1"/>
    <s v="SPTN Offstore in Transit WH"/>
    <s v="CIF"/>
    <x v="34"/>
    <s v="U2"/>
    <x v="183"/>
    <s v="FR0126080400008"/>
    <n v="1"/>
    <s v="Yes"/>
    <d v="2026-07-31T00:00:00"/>
    <x v="11"/>
    <x v="98"/>
    <s v="HSM-NT48-JH480 CFP"/>
    <s v="EVO2A"/>
    <s v="±1200mm"/>
    <n v="480"/>
    <n v="1872"/>
    <n v="0.89856000000000003"/>
    <n v="52"/>
    <n v="2"/>
    <x v="16"/>
    <s v="COMPLETED"/>
    <s v="七月31日"/>
    <d v="2026-08-28T00:00:00"/>
    <n v="35"/>
    <s v="POPV260828032"/>
    <m/>
    <s v="SHANGHAI"/>
    <x v="1"/>
    <x v="5"/>
    <d v="2026-09-04T00:00:00"/>
    <d v="2026-09-13T19:30:00"/>
    <d v="2026-09-13T20:07:23"/>
    <d v="2026-10-18T00:00:00"/>
    <d v="2026-10-26T07:00:00"/>
    <d v="2026-10-26T09:55:40"/>
    <m/>
    <s v="OOCL SPAIN 013W"/>
    <s v="COSCO"/>
    <s v="TPVB20260835016"/>
    <x v="631"/>
    <s v="COSU6464353550"/>
    <n v="42.575196759258688"/>
    <m/>
    <d v="2026-10-26T09:55:40"/>
    <s v="In Stock-Approved"/>
    <d v="2026-10-18T00:00:00"/>
    <n v="0"/>
    <d v="2026-10-26T09:55:40"/>
    <n v="2026"/>
    <n v="10"/>
    <n v="44"/>
    <n v="36"/>
    <n v="936"/>
    <s v="White glazing"/>
    <s v="AEU"/>
  </r>
  <r>
    <s v="26Jul017.01.02"/>
    <s v="Quzhou"/>
    <s v="26Jul017"/>
    <s v="CORE DG"/>
    <x v="0"/>
    <s v="Arrival Plan-SPUK"/>
    <s v="CIF"/>
    <x v="6"/>
    <s v="U2"/>
    <x v="177"/>
    <m/>
    <m/>
    <s v="n/a"/>
    <s v="Aug"/>
    <x v="3"/>
    <x v="91"/>
    <s v="HSM-BE54-DD485"/>
    <s v="EVO2A"/>
    <s v="±1200mm"/>
    <n v="485"/>
    <n v="2808"/>
    <n v="1.36188"/>
    <n v="78"/>
    <n v="3"/>
    <x v="16"/>
    <s v="IN-TRANSIT"/>
    <d v="2026-08-23T00:00:00"/>
    <d v="2026-08-28T00:00:00"/>
    <n v="35"/>
    <s v="POPV260902020"/>
    <m/>
    <s v="SHANGHAI/Quzhou"/>
    <x v="1"/>
    <x v="6"/>
    <d v="2026-09-04T00:00:00"/>
    <d v="2026-09-17T09:30:00"/>
    <d v="2026-09-17T06:51:06"/>
    <d v="2026-10-11T00:00:00"/>
    <d v="2026-11-09T06:00:00"/>
    <s v=""/>
    <m/>
    <s v="OOCL SPAIN 013W"/>
    <s v="COSCO"/>
    <s v="TPVB20260835014"/>
    <x v="632"/>
    <s v="COSU6463656670"/>
    <n v="52.964513888888177"/>
    <m/>
    <d v="2026-11-09T06:00:00"/>
    <s v="In Transit-Approved"/>
    <d v="2026-10-19T00:00:00"/>
    <n v="7"/>
    <d v="2026-11-16T06:00:00"/>
    <n v="2026"/>
    <n v="11"/>
    <n v="47"/>
    <n v="36"/>
    <n v="936"/>
    <s v="Black glazing"/>
    <s v="AEU"/>
  </r>
  <r>
    <s v="26Aug002.05"/>
    <s v="Yixing"/>
    <s v="26Aug002"/>
    <s v="CORE DG"/>
    <x v="0"/>
    <s v="Arrival Plan-SPNL"/>
    <s v="CIF"/>
    <x v="0"/>
    <s v="U1"/>
    <x v="2"/>
    <m/>
    <m/>
    <s v="n/a"/>
    <d v="2026-07-12T00:00:00"/>
    <x v="6"/>
    <x v="69"/>
    <s v="SPR-P7-515-BLK-P"/>
    <s v="EVO2A"/>
    <s v="±1350mm"/>
    <n v="515"/>
    <n v="1584"/>
    <n v="0.81576000000000004"/>
    <n v="44"/>
    <n v="2"/>
    <x v="15"/>
    <s v="COMPLETED"/>
    <s v="ready"/>
    <d v="2026-08-25T00:00:00"/>
    <n v="35"/>
    <s v="POPV260902017"/>
    <m/>
    <s v="SHANGHAI"/>
    <x v="1"/>
    <x v="1"/>
    <d v="2026-09-02T00:00:00"/>
    <d v="2026-09-02T12:30:00"/>
    <d v="2026-09-02T09:47:06"/>
    <d v="2026-10-07T00:00:00"/>
    <d v="2026-10-13T02:00:00"/>
    <d v="2026-10-13T02:41:49"/>
    <m/>
    <s v="EVER GREET 1416-027W"/>
    <s v="COSCO"/>
    <s v="TPVB20260835018"/>
    <x v="633"/>
    <s v="COSU6463840480"/>
    <n v="40.704664351855172"/>
    <m/>
    <d v="2026-10-13T02:41:49"/>
    <s v="In Transit-Approved"/>
    <d v="2026-10-16T00:00:00"/>
    <n v="7"/>
    <d v="2026-10-20T02:41:49"/>
    <n v="2026"/>
    <n v="10"/>
    <n v="43"/>
    <n v="36"/>
    <n v="792"/>
    <s v="Black glazing"/>
    <s v="AEU"/>
  </r>
  <r>
    <s v="26Aug010.01.01"/>
    <s v="Yixing"/>
    <s v="26Aug010"/>
    <s v="UPP"/>
    <x v="1"/>
    <s v="SPTN Offstore in Transit WH"/>
    <s v="CIF"/>
    <x v="10"/>
    <s v="U2"/>
    <x v="178"/>
    <s v="DE0126080400009"/>
    <n v="22"/>
    <s v="Yes"/>
    <m/>
    <x v="0"/>
    <x v="97"/>
    <s v="HSM-ND66-GR625"/>
    <s v="H4(Com)"/>
    <s v="+400mm/-200mm"/>
    <n v="625"/>
    <n v="2160"/>
    <n v="1.35"/>
    <n v="60"/>
    <n v="3"/>
    <x v="13"/>
    <s v="COMPLETED"/>
    <d v="2026-08-17T00:00:00"/>
    <d v="2026-08-25T00:00:00"/>
    <n v="35"/>
    <s v="POPV260828033"/>
    <m/>
    <s v="SHANGHAI"/>
    <x v="1"/>
    <x v="1"/>
    <d v="2026-09-02T00:00:00"/>
    <d v="2026-09-02T12:30:00"/>
    <d v="2026-09-02T09:47:06"/>
    <d v="2026-10-07T00:00:00"/>
    <d v="2026-10-13T02:00:00"/>
    <d v="2026-10-13T02:41:49"/>
    <m/>
    <s v="EVER GREET 1416-027W"/>
    <s v="COSCO"/>
    <s v="TPVB20260835022"/>
    <x v="634"/>
    <s v="COSU6463840480"/>
    <n v="40.704664351855172"/>
    <m/>
    <d v="2026-10-13T02:41:49"/>
    <s v="In Stock-Approved"/>
    <d v="2026-10-10T00:00:00"/>
    <n v="0"/>
    <d v="2026-10-13T02:41:49"/>
    <n v="2026"/>
    <n v="10"/>
    <n v="42"/>
    <n v="36"/>
    <n v="720"/>
    <s v="Redirection Film"/>
    <s v="AEU"/>
  </r>
  <r>
    <s v="26Aug010.02.02"/>
    <s v="Yixing"/>
    <s v="26Aug010"/>
    <s v="UPP"/>
    <x v="1"/>
    <s v="SPTN Offstore in Transit WH"/>
    <s v="CIF"/>
    <x v="10"/>
    <s v="U2"/>
    <x v="178"/>
    <s v="DE0126080400009"/>
    <n v="14"/>
    <s v="Yes"/>
    <m/>
    <x v="0"/>
    <x v="97"/>
    <s v="HSM-ND66-GR625"/>
    <s v="H4(Com)"/>
    <s v="+400mm/-200mm"/>
    <n v="625"/>
    <n v="7920"/>
    <n v="4.95"/>
    <n v="220"/>
    <n v="11"/>
    <x v="15"/>
    <s v="COMPLETED"/>
    <d v="2026-08-27T00:00:00"/>
    <d v="2026-08-25T00:00:00"/>
    <n v="35"/>
    <s v="POPV260828034"/>
    <m/>
    <s v="SHANGHAI"/>
    <x v="1"/>
    <x v="1"/>
    <d v="2026-09-03T00:00:00"/>
    <d v="2026-09-02T12:30:00"/>
    <d v="2026-09-02T09:47:06"/>
    <d v="2026-10-08T00:00:00"/>
    <d v="2026-10-13T02:00:00"/>
    <d v="2026-10-13T02:41:49"/>
    <m/>
    <s v="COSCO SHIPPING UNIVERSE 036W"/>
    <s v="COSCO"/>
    <s v="TPVB20260835017"/>
    <x v="635"/>
    <s v="COSU6463656150"/>
    <n v="40.704664351855172"/>
    <m/>
    <d v="2026-10-13T02:41:49"/>
    <s v="In Stock-Approved"/>
    <d v="2026-10-08T00:00:00"/>
    <n v="0"/>
    <d v="2026-10-13T02:41:49"/>
    <n v="2026"/>
    <n v="10"/>
    <n v="42"/>
    <n v="36"/>
    <n v="720"/>
    <s v="Redirection Film"/>
    <s v="AEU"/>
  </r>
  <r>
    <s v="26Aug025.01"/>
    <s v="Yixing"/>
    <s v="26Aug025"/>
    <s v="UPP"/>
    <x v="1"/>
    <s v="SPTN Offstore in Transit WH"/>
    <s v="CIF"/>
    <x v="10"/>
    <s v="U2"/>
    <x v="178"/>
    <s v="DE0126080400009"/>
    <n v="18"/>
    <s v="Yes"/>
    <m/>
    <x v="0"/>
    <x v="99"/>
    <s v="HSM-ND66-GR630"/>
    <s v="H4(Com)"/>
    <s v="+400mm/-200mm"/>
    <n v="630"/>
    <n v="5760"/>
    <n v="3.6288"/>
    <n v="160"/>
    <n v="8"/>
    <x v="13"/>
    <s v="COMPLETED"/>
    <d v="2026-08-17T00:00:00"/>
    <d v="2026-08-29T00:00:00"/>
    <n v="35"/>
    <s v="POPV260830018"/>
    <m/>
    <s v="SHANGHAI"/>
    <x v="1"/>
    <x v="1"/>
    <d v="2026-09-05T00:00:00"/>
    <d v="2026-09-10T00:00:00"/>
    <d v="2026-09-09T00:00:00"/>
    <d v="2026-10-17T00:00:00"/>
    <d v="2026-10-22T00:00:00"/>
    <d v="2026-10-22T00:00:00"/>
    <m/>
    <s v="EVER GREET 1416-027W"/>
    <s v="OTHER"/>
    <s v="TPVB20260835001"/>
    <x v="636"/>
    <s v="EGLV149607263083"/>
    <n v="43"/>
    <m/>
    <d v="2026-10-22T00:00:00"/>
    <s v="In Stock-Approved"/>
    <d v="2026-10-07T00:00:00"/>
    <n v="0"/>
    <d v="2026-10-22T00:00:00"/>
    <n v="2026"/>
    <n v="10"/>
    <n v="43"/>
    <n v="36"/>
    <n v="720"/>
    <s v="Redirection Film"/>
    <s v="AEU"/>
  </r>
  <r>
    <s v="26Aug010.07"/>
    <s v="Yixing"/>
    <s v="26Aug010"/>
    <s v="UPP"/>
    <x v="1"/>
    <s v="SPTN Offstore in Transit WH"/>
    <s v="CIF"/>
    <x v="10"/>
    <s v="U2"/>
    <x v="178"/>
    <s v="DE0126080400009"/>
    <n v="12"/>
    <s v="Yes"/>
    <m/>
    <x v="0"/>
    <x v="97"/>
    <s v="HSM-ND66-GR625"/>
    <s v="H4(Com)"/>
    <s v="+400mm/-200mm"/>
    <n v="625"/>
    <n v="3600"/>
    <n v="2.25"/>
    <n v="100"/>
    <n v="5"/>
    <x v="15"/>
    <s v="COMPLETED"/>
    <d v="2026-08-17T00:00:00"/>
    <d v="2026-08-26T00:00:00"/>
    <n v="35"/>
    <s v="POPV260828035"/>
    <m/>
    <s v="SHANGHAI"/>
    <x v="1"/>
    <x v="1"/>
    <d v="2026-08-30T00:00:00"/>
    <d v="2026-09-04T00:00:00"/>
    <d v="2026-09-07T00:00:00"/>
    <d v="2026-10-10T00:00:00"/>
    <d v="2026-10-19T00:00:00"/>
    <d v="2026-10-19T00:00:00"/>
    <m/>
    <s v="CMA CGM NOTRE DAME / 0FMNAW1MA"/>
    <s v="OTHER"/>
    <s v="TPVB20260835003"/>
    <x v="637"/>
    <s v="CHN3830817"/>
    <n v="42"/>
    <m/>
    <d v="2026-10-19T00:00:00"/>
    <s v="In Stock-Approved"/>
    <d v="2026-10-10T00:00:00"/>
    <n v="0"/>
    <d v="2026-10-19T00:00:00"/>
    <n v="2026"/>
    <n v="10"/>
    <n v="43"/>
    <n v="36"/>
    <n v="720"/>
    <s v="Redirection Film"/>
    <s v="AEU"/>
  </r>
  <r>
    <s v="26Aug010.01.02"/>
    <s v="Yixing"/>
    <s v="26Aug010"/>
    <s v="UPP"/>
    <x v="1"/>
    <s v="SPTN Offstore in Transit WH"/>
    <s v="CIF"/>
    <x v="10"/>
    <s v="U2"/>
    <x v="178"/>
    <s v="DE0126080400009"/>
    <n v="21"/>
    <s v="Yes"/>
    <m/>
    <x v="0"/>
    <x v="97"/>
    <s v="HSM-ND66-GR625"/>
    <s v="H4(Com)"/>
    <s v="+400mm/-200mm"/>
    <n v="625"/>
    <n v="3600"/>
    <n v="2.25"/>
    <n v="100"/>
    <n v="5"/>
    <x v="15"/>
    <s v="COMPLETED"/>
    <d v="2026-08-17T00:00:00"/>
    <d v="2026-08-26T00:00:00"/>
    <n v="35"/>
    <s v="POPV260828036"/>
    <m/>
    <s v="SHANGHAI"/>
    <x v="1"/>
    <x v="1"/>
    <d v="2026-08-30T00:00:00"/>
    <d v="2026-09-04T00:00:00"/>
    <d v="2026-09-07T00:00:00"/>
    <d v="2026-10-10T00:00:00"/>
    <d v="2026-10-19T00:00:00"/>
    <d v="2026-10-19T00:00:00"/>
    <m/>
    <s v="CMA CGM NOTRE DAME / 0FMNAW1MA"/>
    <s v="OTHER"/>
    <s v="TPVB20260835003"/>
    <x v="637"/>
    <s v="CHN3830829"/>
    <n v="42"/>
    <m/>
    <d v="2026-10-19T00:00:00"/>
    <s v="In Stock-Approved"/>
    <d v="2026-10-10T00:00:00"/>
    <n v="0"/>
    <d v="2026-10-19T00:00:00"/>
    <n v="2026"/>
    <n v="10"/>
    <n v="43"/>
    <n v="36"/>
    <n v="720"/>
    <s v="Redirection Film"/>
    <s v="AEU"/>
  </r>
  <r>
    <s v="26Aug010.02.03"/>
    <s v="Yixing"/>
    <s v="26Aug010"/>
    <s v="UPP"/>
    <x v="1"/>
    <s v="SPTN Offstore in Transit WH"/>
    <s v="CIF"/>
    <x v="10"/>
    <s v="U2"/>
    <x v="178"/>
    <s v="DE0126080400009"/>
    <n v="9"/>
    <s v="Yes"/>
    <m/>
    <x v="0"/>
    <x v="97"/>
    <s v="HSM-ND66-GR625"/>
    <s v="H4(Com)"/>
    <s v="+400mm/-200mm"/>
    <n v="625"/>
    <n v="3600"/>
    <n v="2.25"/>
    <n v="100"/>
    <n v="5"/>
    <x v="15"/>
    <s v="COMPLETED"/>
    <d v="2026-08-17T00:00:00"/>
    <d v="2026-08-27T00:00:00"/>
    <n v="35"/>
    <s v="POPV260828037"/>
    <m/>
    <s v="SHANGHAI"/>
    <x v="1"/>
    <x v="1"/>
    <d v="2026-08-30T00:00:00"/>
    <d v="2026-09-04T00:00:00"/>
    <d v="2026-09-07T00:00:00"/>
    <d v="2026-10-10T00:00:00"/>
    <d v="2026-10-19T00:00:00"/>
    <d v="2026-10-19T00:00:00"/>
    <m/>
    <s v="CMA CGM NOTRE DAME / 0FMNAW1MA"/>
    <s v="OTHER"/>
    <s v="TPVB20260835010"/>
    <x v="638"/>
    <s v="CHN3830802"/>
    <n v="42"/>
    <m/>
    <d v="2026-10-19T00:00:00"/>
    <s v="In Stock-Approved"/>
    <d v="2026-10-10T00:00:00"/>
    <n v="0"/>
    <d v="2026-10-19T00:00:00"/>
    <n v="2026"/>
    <n v="10"/>
    <n v="43"/>
    <n v="36"/>
    <n v="720"/>
    <s v="Redirection Film"/>
    <s v="AEU"/>
  </r>
  <r>
    <s v="26Aug025.06"/>
    <s v="Yixing"/>
    <s v="26Aug025"/>
    <s v="UPP"/>
    <x v="1"/>
    <s v="SPTN Offstore in Transit WH"/>
    <s v="CIF"/>
    <x v="10"/>
    <s v="U2"/>
    <x v="178"/>
    <s v="DE0126080400009"/>
    <n v="35"/>
    <s v="Yes"/>
    <m/>
    <x v="0"/>
    <x v="99"/>
    <s v="HSM-ND66-GR630"/>
    <s v="H4(Com)"/>
    <s v="+400mm/-200mm"/>
    <n v="630"/>
    <n v="720"/>
    <n v="0.4536"/>
    <n v="20"/>
    <n v="1"/>
    <x v="15"/>
    <s v="COMPLETED"/>
    <m/>
    <d v="2026-08-27T00:00:00"/>
    <n v="35"/>
    <s v="POPV260828038"/>
    <m/>
    <s v="SHANGHAI"/>
    <x v="1"/>
    <x v="1"/>
    <d v="2026-08-30T00:00:00"/>
    <d v="2026-09-04T00:00:00"/>
    <d v="2026-09-07T00:00:00"/>
    <d v="2026-10-10T00:00:00"/>
    <d v="2026-10-19T00:00:00"/>
    <d v="2026-10-19T00:00:00"/>
    <m/>
    <s v="CMA CGM NOTRE DAME / 0FMNAW1MA"/>
    <s v="OTHER"/>
    <s v="TPVB20260835002"/>
    <x v="639"/>
    <s v="CHN3830701"/>
    <n v="42"/>
    <m/>
    <d v="2026-10-19T00:00:00"/>
    <s v="In Stock-Approved"/>
    <d v="2026-10-10T00:00:00"/>
    <n v="0"/>
    <d v="2026-10-19T00:00:00"/>
    <n v="2026"/>
    <n v="10"/>
    <n v="43"/>
    <n v="36"/>
    <n v="720"/>
    <s v="Redirection Film"/>
    <s v="AEU"/>
  </r>
  <r>
    <s v="26Aug009.05"/>
    <s v="Yixing"/>
    <s v="26Aug009"/>
    <s v="UPP"/>
    <x v="1"/>
    <s v="SPTN Offstore in Transit WH"/>
    <s v="CIF"/>
    <x v="10"/>
    <s v="U2"/>
    <x v="178"/>
    <s v="DE0126080400009"/>
    <n v="31"/>
    <s v="Yes"/>
    <m/>
    <x v="0"/>
    <x v="100"/>
    <s v="HSM-ND66-GR620"/>
    <s v="H4(Com)"/>
    <s v="+400mm/-200mm"/>
    <n v="620"/>
    <n v="1440"/>
    <n v="0.89280000000000004"/>
    <n v="40"/>
    <n v="2"/>
    <x v="15"/>
    <s v="COMPLETED"/>
    <s v="2柜各塞3000pcs连接器，共3000"/>
    <d v="2026-08-27T00:00:00"/>
    <n v="35"/>
    <s v="POPV260828039"/>
    <m/>
    <s v="SHANGHAI"/>
    <x v="1"/>
    <x v="1"/>
    <d v="2026-08-30T00:00:00"/>
    <d v="2026-09-04T00:00:00"/>
    <d v="2026-09-07T00:00:00"/>
    <d v="2026-10-10T00:00:00"/>
    <d v="2026-10-19T00:00:00"/>
    <d v="2026-10-19T00:00:00"/>
    <m/>
    <s v="CMA CGM NOTRE DAME / 0FMNAW1MA"/>
    <s v="OTHER"/>
    <s v="TPVB20260835002"/>
    <x v="639"/>
    <s v="CHN3830701"/>
    <n v="42"/>
    <m/>
    <d v="2026-10-19T00:00:00"/>
    <s v="In Stock-Approved"/>
    <d v="2026-10-10T00:00:00"/>
    <n v="0"/>
    <d v="2026-10-19T00:00:00"/>
    <n v="2026"/>
    <n v="10"/>
    <n v="43"/>
    <n v="36"/>
    <n v="720"/>
    <s v="Redirection Film"/>
    <s v="AEU"/>
  </r>
  <r>
    <s v="26Jul010.01"/>
    <s v="Yixing"/>
    <s v="26Jul010"/>
    <s v="CORE DG"/>
    <x v="0"/>
    <s v="Arrival Plan-SPNL"/>
    <s v="CIF"/>
    <x v="0"/>
    <s v="U4"/>
    <x v="2"/>
    <m/>
    <m/>
    <s v="n/a"/>
    <d v="2026-08-17T00:00:00"/>
    <x v="11"/>
    <x v="83"/>
    <s v="HSM-NT48-HH470"/>
    <s v="EVO2A"/>
    <s v="±1200mm"/>
    <n v="470"/>
    <n v="1872"/>
    <n v="0.87983999999999996"/>
    <n v="52"/>
    <n v="2"/>
    <x v="15"/>
    <s v="COMPLETED"/>
    <d v="2026-08-26T00:00:00"/>
    <d v="2026-08-27T00:00:00"/>
    <n v="35"/>
    <s v="POPV260828027"/>
    <m/>
    <s v="SHANGHAI"/>
    <x v="1"/>
    <x v="1"/>
    <d v="2026-08-30T00:00:00"/>
    <d v="2026-09-04T00:00:00"/>
    <d v="2026-09-07T00:00:00"/>
    <d v="2026-10-10T00:00:00"/>
    <d v="2026-10-19T00:00:00"/>
    <d v="2026-10-19T00:00:00"/>
    <m/>
    <s v="CMA CGM NOTRE DAME / 0FMNAW1MA"/>
    <s v="OTHER"/>
    <s v="TPVB20260835030"/>
    <x v="640"/>
    <s v="CHN3830701"/>
    <n v="42"/>
    <m/>
    <d v="2026-10-19T00:00:00"/>
    <s v="In Transit-Approved"/>
    <d v="2026-10-17T00:00:00"/>
    <n v="7"/>
    <d v="2026-10-26T00:00:00"/>
    <n v="2026"/>
    <n v="10"/>
    <n v="44"/>
    <n v="36"/>
    <n v="936"/>
    <s v="Black glazing"/>
    <s v="AEU"/>
  </r>
  <r>
    <s v="26Aug009.01"/>
    <s v="Yixing"/>
    <s v="26Aug009"/>
    <s v="UPP"/>
    <x v="1"/>
    <s v="SPTN Offstore in Transit WH"/>
    <s v="CIF"/>
    <x v="10"/>
    <s v="U2"/>
    <x v="178"/>
    <s v="DE0126080400009"/>
    <n v="34"/>
    <s v="Yes"/>
    <m/>
    <x v="0"/>
    <x v="100"/>
    <s v="HSM-ND66-GR620"/>
    <s v="H4(Com)"/>
    <s v="+400mm/-200mm"/>
    <n v="620"/>
    <n v="2160"/>
    <n v="1.3391999999999999"/>
    <n v="60"/>
    <n v="3"/>
    <x v="15"/>
    <s v="COMPLETED"/>
    <d v="2026-08-27T00:00:00"/>
    <d v="2026-09-02T00:00:00"/>
    <n v="36"/>
    <s v="POPV260904009"/>
    <m/>
    <s v="SHANGHAI"/>
    <x v="1"/>
    <x v="1"/>
    <d v="2026-09-05T00:00:00"/>
    <d v="2026-09-10T00:00:00"/>
    <d v="2026-09-09T00:00:00"/>
    <d v="2026-10-07T00:00:00"/>
    <d v="2026-10-21T00:00:00"/>
    <d v="2026-10-22T00:00:00"/>
    <m/>
    <s v="EVER GREET 1416-027W"/>
    <s v="OTHER"/>
    <s v="TPVB20260835025"/>
    <x v="641"/>
    <s v="EGLV149606777784"/>
    <n v="43"/>
    <m/>
    <d v="2026-10-22T00:00:00"/>
    <s v="-"/>
    <s v=""/>
    <n v="0"/>
    <d v="2026-10-22T00:00:00"/>
    <n v="2026"/>
    <n v="10"/>
    <n v="43"/>
    <n v="36"/>
    <n v="720"/>
    <s v="Redirection Film"/>
    <s v="AEU"/>
  </r>
  <r>
    <s v="26Aug025.07"/>
    <s v="Yixing"/>
    <s v="26Aug025"/>
    <s v="UPP"/>
    <x v="1"/>
    <s v="SPTN Offstore in Transit WH"/>
    <s v="CIF"/>
    <x v="10"/>
    <s v="U2"/>
    <x v="178"/>
    <s v="DE0126080400009"/>
    <n v="30"/>
    <s v="Yes"/>
    <m/>
    <x v="0"/>
    <x v="99"/>
    <s v="HSM-ND66-GR630"/>
    <s v="H4(Com)"/>
    <s v="+400mm/-200mm"/>
    <n v="630"/>
    <n v="720"/>
    <n v="0.4536"/>
    <n v="20"/>
    <n v="1"/>
    <x v="15"/>
    <s v="COMPLETED"/>
    <m/>
    <d v="2026-09-02T00:00:00"/>
    <n v="36"/>
    <s v="POPV260904015"/>
    <m/>
    <s v="SHANGHAI"/>
    <x v="1"/>
    <x v="1"/>
    <d v="2026-09-05T00:00:00"/>
    <d v="2026-09-10T00:00:00"/>
    <d v="2026-09-09T00:00:00"/>
    <d v="2026-10-07T00:00:00"/>
    <d v="2026-10-21T00:00:00"/>
    <d v="2026-10-22T00:00:00"/>
    <m/>
    <s v="EVER GREET 1416-027W"/>
    <s v="OTHER"/>
    <s v="TPVB20260835025"/>
    <x v="641"/>
    <s v="EGLV149606777784"/>
    <n v="43"/>
    <m/>
    <d v="2026-10-22T00:00:00"/>
    <s v="-"/>
    <s v=""/>
    <n v="0"/>
    <d v="2026-10-22T00:00:00"/>
    <n v="2026"/>
    <n v="10"/>
    <n v="43"/>
    <n v="36"/>
    <n v="720"/>
    <s v="Redirection Film"/>
    <s v="AEU"/>
  </r>
  <r>
    <s v="26Jul010.02"/>
    <s v="Yixing"/>
    <s v="26Jul010"/>
    <s v="CORE DG"/>
    <x v="0"/>
    <s v="Arrival Plan-SPNL"/>
    <s v="CIF"/>
    <x v="0"/>
    <s v="U4"/>
    <x v="2"/>
    <m/>
    <m/>
    <s v="n/a"/>
    <d v="2026-08-17T00:00:00"/>
    <x v="11"/>
    <x v="83"/>
    <s v="HSM-NT48-HH470"/>
    <s v="EVO2A"/>
    <s v="±1200mm"/>
    <n v="470"/>
    <n v="1872"/>
    <n v="0.87983999999999996"/>
    <n v="52"/>
    <n v="2"/>
    <x v="15"/>
    <s v="COMPLETED"/>
    <d v="2026-08-26T00:00:00"/>
    <d v="2026-09-02T00:00:00"/>
    <n v="36"/>
    <s v="POPV260904012"/>
    <m/>
    <s v="SHANGHAI"/>
    <x v="1"/>
    <x v="1"/>
    <d v="2026-09-05T00:00:00"/>
    <d v="2026-09-10T00:00:00"/>
    <d v="2026-09-09T00:00:00"/>
    <d v="2026-10-07T00:00:00"/>
    <d v="2026-10-21T00:00:00"/>
    <d v="2026-10-22T00:00:00"/>
    <m/>
    <s v="EVER GREET 1416-027W"/>
    <s v="OTHER"/>
    <s v="TPVB20260835026"/>
    <x v="642"/>
    <s v="EGLV149606777784"/>
    <n v="43"/>
    <m/>
    <d v="2026-10-22T00:00:00"/>
    <s v="-"/>
    <s v=""/>
    <n v="7"/>
    <d v="2026-10-29T00:00:00"/>
    <n v="2026"/>
    <n v="10"/>
    <n v="44"/>
    <n v="36"/>
    <n v="936"/>
    <s v="Black glazing"/>
    <s v="AEU"/>
  </r>
  <r>
    <s v="26Jun015.07.03"/>
    <s v="Yixing"/>
    <s v="26Jun015"/>
    <s v="CORE DG"/>
    <x v="1"/>
    <s v="SPTN Offstore in Transit WH"/>
    <s v="CIF"/>
    <x v="15"/>
    <s v="U1"/>
    <x v="162"/>
    <s v="BE0126061200010"/>
    <n v="4"/>
    <s v="Yes"/>
    <d v="2026-06-29T00:00:00"/>
    <x v="11"/>
    <x v="84"/>
    <s v="HSM-NT48-HH465"/>
    <s v="EVO2A"/>
    <s v="±1200mm"/>
    <n v="465"/>
    <n v="936"/>
    <n v="0.43524000000000002"/>
    <n v="26"/>
    <n v="1"/>
    <x v="15"/>
    <s v="COMPLETED"/>
    <s v="replacemnet"/>
    <d v="2026-09-02T00:00:00"/>
    <m/>
    <s v="POPV260904014"/>
    <m/>
    <s v="SHANGHAI"/>
    <x v="1"/>
    <x v="1"/>
    <d v="2026-09-05T00:00:00"/>
    <d v="2026-09-10T00:00:00"/>
    <d v="2026-09-09T00:00:00"/>
    <d v="2026-10-07T00:00:00"/>
    <d v="2026-10-21T00:00:00"/>
    <d v="2026-10-22T00:00:00"/>
    <m/>
    <s v="EVER GREET 1416-027W"/>
    <s v="OTHER"/>
    <s v="TPVB20260835027"/>
    <x v="643"/>
    <s v="EGLV149606777784"/>
    <n v="43"/>
    <m/>
    <d v="2026-10-22T00:00:00"/>
    <s v="-"/>
    <s v=""/>
    <n v="0"/>
    <d v="2026-10-22T00:00:00"/>
    <n v="2026"/>
    <n v="10"/>
    <n v="43"/>
    <n v="36"/>
    <n v="936"/>
    <s v="Black glazing"/>
    <s v="AEU"/>
  </r>
  <r>
    <s v="26Aug010.10"/>
    <s v="Yixing"/>
    <s v="26Aug010"/>
    <s v="UPP"/>
    <x v="1"/>
    <s v="SPTN Offstore in Transit WH"/>
    <s v="CIF"/>
    <x v="35"/>
    <s v="U4"/>
    <x v="184"/>
    <s v="GR0126081900006"/>
    <n v="1"/>
    <s v="Yes"/>
    <m/>
    <x v="0"/>
    <x v="97"/>
    <s v="HSM-ND66-GR625"/>
    <s v="H4(Com)"/>
    <s v="+400mm/-200mm"/>
    <n v="625"/>
    <n v="7920"/>
    <n v="4.95"/>
    <n v="220"/>
    <n v="11"/>
    <x v="15"/>
    <s v="IN-TRANSIT"/>
    <d v="2026-08-29T00:00:00"/>
    <d v="2026-08-30T00:00:00"/>
    <n v="35"/>
    <s v="POPV260902027"/>
    <m/>
    <s v="SHANGHAI"/>
    <x v="1"/>
    <x v="22"/>
    <d v="2026-09-11T00:00:00"/>
    <d v="2026-09-08T00:00:00"/>
    <d v="2026-09-08T00:00:00"/>
    <d v="2026-10-19T00:00:00"/>
    <d v="2026-11-02T00:00:00"/>
    <m/>
    <m/>
    <s v="OOCL INDONESIA 037W"/>
    <s v="OTHER"/>
    <s v="TPVB20260835028"/>
    <x v="644"/>
    <s v="COSU6464798030"/>
    <n v="55"/>
    <m/>
    <d v="2026-11-02T00:00:00"/>
    <s v="In Stock-Approved"/>
    <d v="2026-10-19T00:00:00"/>
    <n v="0"/>
    <d v="2026-11-02T00:00:00"/>
    <s v="n/a"/>
    <s v="n/a"/>
    <n v="45"/>
    <n v="36"/>
    <n v="720"/>
    <s v="Redirection Film"/>
    <s v="n/a"/>
  </r>
  <r>
    <s v="26Aug002.03"/>
    <s v="Yixing"/>
    <s v="26Aug002"/>
    <s v="CORE DG"/>
    <x v="0"/>
    <s v="Arrival Plan-SPIT"/>
    <s v="CIF"/>
    <x v="4"/>
    <s v="U1"/>
    <x v="2"/>
    <m/>
    <m/>
    <s v="n/a"/>
    <d v="2026-07-12T00:00:00"/>
    <x v="6"/>
    <x v="69"/>
    <s v="SPR-P7-515-BLK-P"/>
    <s v="EVO2A"/>
    <s v="±1350mm"/>
    <n v="515"/>
    <n v="4752"/>
    <n v="2.4472800000000001"/>
    <n v="132"/>
    <n v="6"/>
    <x v="13"/>
    <s v="IN-TRANSIT"/>
    <s v="ready"/>
    <d v="2026-08-31T00:00:00"/>
    <n v="36"/>
    <s v="POPV260902016"/>
    <m/>
    <s v="SHANGHAI"/>
    <x v="1"/>
    <x v="4"/>
    <d v="2026-09-09T00:00:00"/>
    <d v="2026-09-08T01:00:00"/>
    <d v="2026-09-08T00:00:00"/>
    <d v="2026-10-21T00:00:00"/>
    <d v="2026-11-04T18:00:00"/>
    <s v=""/>
    <m/>
    <s v="OOCL INDONESIA 037W"/>
    <s v="COSCO"/>
    <s v="TPVB20260835019"/>
    <x v="645"/>
    <s v="COSU6464354100"/>
    <n v="57.75"/>
    <m/>
    <d v="2026-11-04T18:00:00"/>
    <s v="In Transit-Approved"/>
    <d v="2026-11-03T00:00:00"/>
    <n v="10"/>
    <d v="2026-11-14T18:00:00"/>
    <n v="2026"/>
    <n v="11"/>
    <n v="46"/>
    <n v="36"/>
    <n v="792"/>
    <s v="Black glazing"/>
    <s v="AEM"/>
  </r>
  <r>
    <s v="26Jul016.09"/>
    <s v="Yixing"/>
    <s v="26Jul016"/>
    <s v="CORE DG"/>
    <x v="0"/>
    <s v="Arrival Plan-SPTN"/>
    <s v="CIF"/>
    <x v="0"/>
    <s v="U1"/>
    <x v="2"/>
    <m/>
    <m/>
    <s v="n/a"/>
    <d v="2026-08-03T00:00:00"/>
    <x v="11"/>
    <x v="89"/>
    <s v="HSM-NT48-JH475 CFP"/>
    <s v="EVO2A"/>
    <s v="±1200mm"/>
    <n v="475"/>
    <n v="2808"/>
    <n v="1.3338000000000001"/>
    <n v="78"/>
    <n v="3"/>
    <x v="13"/>
    <s v="COMPLETED"/>
    <s v="ready"/>
    <d v="2026-08-26T00:00:00"/>
    <n v="35"/>
    <s v="POPV260902021"/>
    <m/>
    <s v="SHANGHAI"/>
    <x v="1"/>
    <x v="0"/>
    <d v="2026-09-03T00:00:00"/>
    <d v="2026-09-06T00:00:00"/>
    <d v="2026-09-05T22:35:39"/>
    <d v="2026-10-14T00:00:00"/>
    <d v="2026-10-15T20:00:00"/>
    <d v="2026-10-15T19:29:57"/>
    <m/>
    <s v="CMA CGM ALEXANDER VON HUMBOLDT 0MEONW1MA"/>
    <s v="COSCO"/>
    <s v="TPVB20260835020"/>
    <x v="646"/>
    <s v="COSU6463662040"/>
    <n v="39.871041666665406"/>
    <m/>
    <d v="2026-10-15T19:29:57"/>
    <s v="In Transit-Approved"/>
    <d v="2026-10-22T00:00:00"/>
    <n v="8"/>
    <d v="2026-10-23T19:29:57"/>
    <n v="2026"/>
    <n v="10"/>
    <n v="43"/>
    <n v="36"/>
    <n v="936"/>
    <s v="White glazing"/>
    <s v="AEM"/>
  </r>
  <r>
    <s v="26Aug001.02"/>
    <s v="Yixing"/>
    <s v="26Aug001"/>
    <s v="CORE DG"/>
    <x v="0"/>
    <s v="Arrival Plan-SPTN"/>
    <s v="CIF"/>
    <x v="0"/>
    <s v="U1"/>
    <x v="2"/>
    <m/>
    <m/>
    <s v="n/a"/>
    <d v="2026-07-12T00:00:00"/>
    <x v="6"/>
    <x v="21"/>
    <s v="SPR-P7-510-BLK-P"/>
    <s v="EVO2A"/>
    <s v="±1350mm"/>
    <n v="510"/>
    <n v="1584"/>
    <n v="0.80784"/>
    <n v="44"/>
    <n v="2"/>
    <x v="13"/>
    <s v="COMPLETED"/>
    <s v="ready"/>
    <d v="2026-09-08T00:00:00"/>
    <n v="37"/>
    <s v="POPV260911060"/>
    <m/>
    <s v="SHANGHAI"/>
    <x v="1"/>
    <x v="0"/>
    <d v="2026-09-06T00:00:00"/>
    <d v="2026-09-10T00:00:00"/>
    <d v="2026-09-10T00:00:00"/>
    <d v="2026-10-21T00:00:00"/>
    <d v="2026-10-22T00:00:00"/>
    <d v="2026-10-23T00:00:00"/>
    <m/>
    <s v="MARY MAERSK 635W"/>
    <s v="OTHER"/>
    <s v="TPVB20260835004"/>
    <x v="647"/>
    <n v="275745289"/>
    <n v="43"/>
    <m/>
    <d v="2026-10-23T00:00:00"/>
    <s v="-"/>
    <s v=""/>
    <n v="8"/>
    <d v="2026-10-31T00:00:00"/>
    <n v="2026"/>
    <n v="10"/>
    <n v="44"/>
    <n v="36"/>
    <n v="792"/>
    <s v="Black glazing"/>
    <s v="AEM"/>
  </r>
  <r>
    <s v="26Jul016.05"/>
    <s v="Yixing"/>
    <s v="26Jul016"/>
    <s v="CORE DG"/>
    <x v="0"/>
    <s v="Arrival Plan-SPTN"/>
    <s v="CIF"/>
    <x v="0"/>
    <s v="U1"/>
    <x v="2"/>
    <m/>
    <m/>
    <s v="n/a"/>
    <d v="2026-07-31T00:00:00"/>
    <x v="11"/>
    <x v="89"/>
    <s v="HSM-NT48-JH475 CFP"/>
    <s v="EVO2A"/>
    <s v="±1200mm"/>
    <n v="475"/>
    <n v="2808"/>
    <n v="1.3338000000000001"/>
    <n v="78"/>
    <n v="3"/>
    <x v="15"/>
    <s v="COMPLETED"/>
    <s v="七月31日"/>
    <d v="2026-09-08T00:00:00"/>
    <n v="37"/>
    <s v="POPV260911049"/>
    <m/>
    <s v="SHANGHAI"/>
    <x v="1"/>
    <x v="0"/>
    <d v="2026-09-06T00:00:00"/>
    <d v="2026-09-10T00:00:00"/>
    <d v="2026-09-10T00:00:00"/>
    <d v="2026-10-21T00:00:00"/>
    <d v="2026-10-22T00:00:00"/>
    <d v="2026-10-23T00:00:00"/>
    <m/>
    <s v="MARY MAERSK 635W"/>
    <s v="OTHER"/>
    <s v="TPVB20260835004"/>
    <x v="647"/>
    <n v="275745289"/>
    <n v="43"/>
    <m/>
    <d v="2026-10-23T00:00:00"/>
    <s v="-"/>
    <s v=""/>
    <n v="8"/>
    <d v="2026-10-31T00:00:00"/>
    <n v="2026"/>
    <n v="10"/>
    <n v="44"/>
    <n v="36"/>
    <n v="936"/>
    <s v="White glazing"/>
    <s v="AEM"/>
  </r>
  <r>
    <s v="26Aug019.03"/>
    <s v="Yixing"/>
    <s v="26Aug019"/>
    <s v="CORE DG"/>
    <x v="0"/>
    <s v="Arrival Plan-SPTN"/>
    <s v="CIF"/>
    <x v="0"/>
    <s v="U1"/>
    <x v="2"/>
    <m/>
    <m/>
    <s v="n/a"/>
    <d v="2026-08-04T00:00:00"/>
    <x v="1"/>
    <x v="6"/>
    <s v="TCL-MR465DT182-58NS"/>
    <s v="EVO2A"/>
    <s v="±1200mm"/>
    <n v="465"/>
    <n v="864"/>
    <n v="0.40176000000000001"/>
    <n v="24"/>
    <n v="1"/>
    <x v="17"/>
    <m/>
    <s v="ready"/>
    <d v="2026-09-08T00:00:00"/>
    <m/>
    <s v="POPV260911057"/>
    <m/>
    <s v="SHANGHAI"/>
    <x v="1"/>
    <x v="0"/>
    <d v="2026-09-06T00:00:00"/>
    <d v="2026-09-10T00:00:00"/>
    <d v="2026-09-10T00:00:00"/>
    <d v="2026-10-21T00:00:00"/>
    <d v="2026-10-22T00:00:00"/>
    <d v="2026-10-23T00:00:00"/>
    <m/>
    <s v="MARY MAERSK 635W"/>
    <s v="OTHER"/>
    <s v="TPVB20260835004"/>
    <x v="647"/>
    <n v="275745289"/>
    <n v="43"/>
    <m/>
    <d v="2026-10-23T00:00:00"/>
    <s v="-"/>
    <s v=""/>
    <n v="8"/>
    <d v="2026-10-31T00:00:00"/>
    <n v="2026"/>
    <n v="10"/>
    <n v="44"/>
    <n v="36"/>
    <n v="864"/>
    <s v="White glazing"/>
    <s v="AEM"/>
  </r>
  <r>
    <s v="26Jul004.03.01"/>
    <s v="Yixing"/>
    <s v="26Jul004"/>
    <s v="CORE DG"/>
    <x v="0"/>
    <s v="Arrival Plan-SPTN"/>
    <s v="CIF"/>
    <x v="0"/>
    <s v="U1"/>
    <x v="2"/>
    <m/>
    <m/>
    <s v="n/a"/>
    <d v="2026-07-20T00:00:00"/>
    <x v="1"/>
    <x v="39"/>
    <s v="TCL-MR470DT182-58NS"/>
    <s v="EVO2A"/>
    <s v="±1200mm"/>
    <n v="470"/>
    <n v="864"/>
    <n v="0.40608"/>
    <n v="24"/>
    <n v="1"/>
    <x v="15"/>
    <s v="IN-TRANSIT"/>
    <s v="ready"/>
    <d v="2026-09-01T00:00:00"/>
    <n v="36"/>
    <s v="POPV260902028"/>
    <m/>
    <s v="SHANGHAI"/>
    <x v="1"/>
    <x v="0"/>
    <d v="2026-09-09T00:00:00"/>
    <d v="2026-09-08T01:00:00"/>
    <d v="2026-09-08T00:00:00"/>
    <d v="2026-10-26T00:00:00"/>
    <d v="2026-11-10T06:00:00"/>
    <s v=""/>
    <m/>
    <s v="OOCL INDONESIA 037W"/>
    <s v="COSCO"/>
    <s v="TPVB20260835029"/>
    <x v="648"/>
    <s v="COSU6464243200"/>
    <n v="63.25"/>
    <m/>
    <d v="2026-11-10T06:00:00"/>
    <s v="In Transit-Approved"/>
    <d v="2026-11-03T00:00:00"/>
    <n v="8"/>
    <d v="2026-11-18T06:00:00"/>
    <n v="2026"/>
    <n v="11"/>
    <n v="47"/>
    <n v="36"/>
    <n v="864"/>
    <s v="White glazing"/>
    <s v="AEM"/>
  </r>
  <r>
    <s v="26Aug019.02"/>
    <s v="Yixing"/>
    <s v="26Aug019"/>
    <s v="CORE DG"/>
    <x v="0"/>
    <s v="Arrival Plan-SPTN"/>
    <s v="CIF"/>
    <x v="0"/>
    <s v="U1"/>
    <x v="2"/>
    <m/>
    <m/>
    <s v="n/a"/>
    <d v="2026-08-04T00:00:00"/>
    <x v="1"/>
    <x v="6"/>
    <s v="TCL-MR465DT182-58NS"/>
    <s v="EVO2A"/>
    <s v="±1200mm"/>
    <n v="465"/>
    <n v="864"/>
    <n v="0.40176000000000001"/>
    <n v="24"/>
    <n v="1"/>
    <x v="17"/>
    <m/>
    <s v="ready"/>
    <d v="2026-09-01T00:00:00"/>
    <m/>
    <s v="POPV260902036"/>
    <m/>
    <s v="SHANGHAI"/>
    <x v="1"/>
    <x v="0"/>
    <d v="2026-09-09T00:00:00"/>
    <d v="2026-09-08T01:00:00"/>
    <d v="2026-09-08T00:00:00"/>
    <d v="2026-10-26T00:00:00"/>
    <d v="2026-11-10T06:00:00"/>
    <s v=""/>
    <m/>
    <s v="OOCL INDONESIA 037W"/>
    <s v="COSCO"/>
    <s v="TPVB20260835029"/>
    <x v="648"/>
    <s v="COSU6464243200"/>
    <n v="63.25"/>
    <m/>
    <d v="2026-11-10T06:00:00"/>
    <s v="In Transit-Approved"/>
    <d v="2026-11-03T00:00:00"/>
    <n v="8"/>
    <d v="2026-11-18T06:00:00"/>
    <n v="2026"/>
    <n v="11"/>
    <n v="47"/>
    <n v="36"/>
    <n v="864"/>
    <s v="White glazing"/>
    <s v="AEM"/>
  </r>
  <r>
    <s v="26Jul014.05"/>
    <s v="Yixing"/>
    <s v="26Jul014"/>
    <s v="CORE DG"/>
    <x v="0"/>
    <s v="Arrival Plan-SPES"/>
    <s v="CIF"/>
    <x v="1"/>
    <s v="U1"/>
    <x v="2"/>
    <m/>
    <m/>
    <s v="n/a"/>
    <d v="2026-06-29T00:00:00"/>
    <x v="10"/>
    <x v="87"/>
    <s v="HSM-NT60-GH585"/>
    <s v="EVO2A"/>
    <s v="±1400mm"/>
    <n v="585"/>
    <n v="1440"/>
    <n v="0.84240000000000004"/>
    <n v="40"/>
    <n v="2"/>
    <x v="15"/>
    <s v="COMPLETED"/>
    <d v="2026-07-03T00:00:00"/>
    <d v="2026-08-27T00:00:00"/>
    <n v="35"/>
    <s v="POPV260902022"/>
    <m/>
    <s v="SHANGHAI"/>
    <x v="1"/>
    <x v="2"/>
    <d v="2026-09-03T00:00:00"/>
    <d v="2026-09-05T00:00:00"/>
    <d v="2026-09-05T22:35:39"/>
    <d v="2026-10-08T00:00:00"/>
    <d v="2026-10-09T08:00:00"/>
    <d v="2026-10-09T07:26:21"/>
    <m/>
    <s v="CMA CGM ALEXANDER VON _x000a_HUMBOLDT 0MEONW1MA"/>
    <s v="COSCO"/>
    <s v="TPVB20260835021"/>
    <x v="649"/>
    <s v="COSU6463660760"/>
    <n v="33.368541666663077"/>
    <m/>
    <d v="2026-10-09T07:26:21"/>
    <s v="In Transit-Approved"/>
    <d v="2026-10-16T00:00:00"/>
    <n v="9"/>
    <d v="2026-10-18T07:26:21"/>
    <n v="2026"/>
    <n v="10"/>
    <n v="42"/>
    <n v="36"/>
    <n v="720"/>
    <s v="Transparent"/>
    <s v="AEM"/>
  </r>
  <r>
    <s v="26Jul017.01"/>
    <s v="Quzhou"/>
    <s v="26Jul017"/>
    <s v="CORE DG"/>
    <x v="0"/>
    <s v="Arrival Plan-SPUK"/>
    <s v="CIF"/>
    <x v="6"/>
    <s v="U2"/>
    <x v="177"/>
    <m/>
    <m/>
    <s v="n/a"/>
    <s v="Aug"/>
    <x v="3"/>
    <x v="91"/>
    <s v="HSM-BE54-DD485"/>
    <s v="EVO2A"/>
    <s v="±1200mm"/>
    <n v="485"/>
    <n v="936"/>
    <n v="0.45395999999999997"/>
    <n v="26"/>
    <n v="1"/>
    <x v="16"/>
    <s v="COMPLETED"/>
    <d v="2026-08-23T00:00:00"/>
    <d v="2026-09-03T00:00:00"/>
    <n v="36"/>
    <s v="POPV260904011"/>
    <m/>
    <s v="NINGBO"/>
    <x v="3"/>
    <x v="6"/>
    <d v="2026-09-02T00:00:00"/>
    <d v="2026-09-08T15:30:00"/>
    <d v="2026-09-08T16:05:13"/>
    <m/>
    <d v="2026-10-17T14:00:00"/>
    <d v="2026-10-17T14:25:06"/>
    <m/>
    <s v="OOCL SPAIN 013W"/>
    <s v="COSCO"/>
    <s v="TPVB20260835005"/>
    <x v="650"/>
    <s v="COSU9509312590"/>
    <n v="38.930474537039117"/>
    <m/>
    <d v="2026-10-17T14:25:06"/>
    <s v="-"/>
    <s v=""/>
    <n v="7"/>
    <d v="2026-10-24T14:25:06"/>
    <n v="2026"/>
    <n v="10"/>
    <n v="43"/>
    <n v="36"/>
    <n v="936"/>
    <s v="Black glazing"/>
    <s v="AEU"/>
  </r>
  <r>
    <s v="26Aug007.02.02"/>
    <s v="Quzhou"/>
    <s v="26Aug007"/>
    <s v="CORE DG"/>
    <x v="1"/>
    <s v="SPTN Offstore in Transit WH"/>
    <s v="CIF"/>
    <x v="8"/>
    <s v="U1"/>
    <x v="25"/>
    <s v="IE0126051800021"/>
    <n v="5"/>
    <s v="Yes"/>
    <s v="Aug"/>
    <x v="3"/>
    <x v="91"/>
    <s v="HSM-BE54-DD485"/>
    <s v="EVO2A"/>
    <s v="±1200mm"/>
    <n v="485"/>
    <n v="936"/>
    <n v="0.45395999999999997"/>
    <n v="26"/>
    <n v="1"/>
    <x v="13"/>
    <s v="COMPLETED"/>
    <d v="2026-08-21T00:00:00"/>
    <d v="2026-09-03T00:00:00"/>
    <n v="36"/>
    <s v="POPV260904007"/>
    <m/>
    <s v="NINGBO"/>
    <x v="3"/>
    <x v="6"/>
    <d v="2026-09-02T00:00:00"/>
    <d v="2026-09-08T15:30:00"/>
    <d v="2026-09-08T16:05:13"/>
    <d v="2026-11-11T00:00:00"/>
    <d v="2026-10-17T14:00:00"/>
    <d v="2026-10-17T14:25:06"/>
    <m/>
    <s v="OOCL SPAIN 013W"/>
    <s v="COSCO"/>
    <s v="TPVB20260835007"/>
    <x v="651"/>
    <s v="COSU9509256240"/>
    <n v="38.930474537039117"/>
    <m/>
    <d v="2026-10-17T14:25:06"/>
    <s v="-"/>
    <s v=""/>
    <n v="0"/>
    <d v="2026-10-17T14:25:06"/>
    <n v="2026"/>
    <n v="10"/>
    <n v="42"/>
    <n v="36"/>
    <n v="936"/>
    <s v="Black glazing"/>
    <s v="AEU"/>
  </r>
  <r>
    <s v="26Aug007.07"/>
    <s v="Quzhou"/>
    <s v="26Aug007"/>
    <s v="CORE DG"/>
    <x v="0"/>
    <s v="Arrival Plan-SPNL"/>
    <s v="CIF"/>
    <x v="0"/>
    <s v="U4"/>
    <x v="2"/>
    <m/>
    <m/>
    <s v="n/a"/>
    <s v="Aug"/>
    <x v="3"/>
    <x v="91"/>
    <s v="HSM-BE54-DD485"/>
    <s v="EVO2A"/>
    <s v="±1200mm"/>
    <n v="485"/>
    <n v="4680"/>
    <n v="2.2698"/>
    <n v="130"/>
    <n v="5"/>
    <x v="16"/>
    <s v="COMPLETED"/>
    <d v="2026-08-22T00:00:00"/>
    <d v="2026-09-03T00:00:00"/>
    <n v="36"/>
    <s v="POPV260904008"/>
    <m/>
    <s v="NINGBO"/>
    <x v="3"/>
    <x v="1"/>
    <d v="2026-09-01T00:00:00"/>
    <d v="2026-09-07T15:00:00"/>
    <d v="2026-09-07T15:30:14"/>
    <d v="2026-10-10T00:00:00"/>
    <d v="2026-10-13T02:00:00"/>
    <d v="2026-10-13T02:41:49"/>
    <m/>
    <s v="COSCO SHIPPING UNIVERSE 036W"/>
    <s v="COSCO"/>
    <s v="TPVB20260835009"/>
    <x v="652"/>
    <s v="COSU9509255750"/>
    <n v="35.46637731482042"/>
    <m/>
    <d v="2026-10-13T02:41:49"/>
    <s v="-"/>
    <s v=""/>
    <n v="7"/>
    <d v="2026-10-20T02:41:49"/>
    <n v="2026"/>
    <n v="10"/>
    <n v="43"/>
    <n v="36"/>
    <n v="936"/>
    <s v="Black glazing"/>
    <s v="AEU"/>
  </r>
  <r>
    <s v="26Aug007.02.02.02"/>
    <s v="Quzhou"/>
    <s v="26Aug007"/>
    <s v="CORE DG"/>
    <x v="1"/>
    <s v="SPTN Offstore in Transit WH"/>
    <s v="CIF"/>
    <x v="8"/>
    <s v="U1"/>
    <x v="25"/>
    <s v="IE0126051800021"/>
    <n v="8"/>
    <s v="Yes"/>
    <s v="Aug"/>
    <x v="3"/>
    <x v="91"/>
    <s v="HSM-BE54-DD485"/>
    <s v="EVO2A"/>
    <s v="±1200mm"/>
    <n v="485"/>
    <n v="1872"/>
    <n v="0.90791999999999995"/>
    <n v="52"/>
    <n v="2"/>
    <x v="13"/>
    <s v="COMPLETED"/>
    <d v="2026-08-21T00:00:00"/>
    <d v="2026-08-31T00:00:00"/>
    <n v="36"/>
    <s v="POPV260902018"/>
    <m/>
    <s v="NINGBO"/>
    <x v="3"/>
    <x v="6"/>
    <d v="2026-09-02T00:00:00"/>
    <d v="2026-09-08T00:00:00"/>
    <d v="2026-09-08T00:00:00"/>
    <d v="2026-10-14T00:00:00"/>
    <d v="2026-10-25T00:00:00"/>
    <d v="2026-10-26T00:00:00"/>
    <m/>
    <s v="ONE FOREVER/010W"/>
    <s v="OTHER"/>
    <s v="TPVB20260835006"/>
    <x v="653"/>
    <s v="N232636432"/>
    <n v="48"/>
    <m/>
    <d v="2026-10-26T00:00:00"/>
    <s v="In Stock-Approved"/>
    <d v="2026-10-14T00:00:00"/>
    <n v="0"/>
    <d v="2026-10-26T00:00:00"/>
    <n v="2026"/>
    <n v="10"/>
    <n v="44"/>
    <n v="36"/>
    <n v="936"/>
    <s v="Black glazing"/>
    <s v="AEU"/>
  </r>
  <r>
    <s v="26Aug008.02"/>
    <s v="Quzhou"/>
    <s v="26Aug008"/>
    <s v="CORE DG"/>
    <x v="0"/>
    <s v="Arrival Plan-SPUK"/>
    <s v="CIF"/>
    <x v="6"/>
    <s v="U4"/>
    <x v="180"/>
    <m/>
    <m/>
    <s v="n/a"/>
    <s v="Aug"/>
    <x v="3"/>
    <x v="96"/>
    <s v="HSM-BE54-DD490"/>
    <s v="EVO2A"/>
    <s v="±1200mm"/>
    <n v="490"/>
    <n v="2808"/>
    <n v="1.37592"/>
    <n v="78"/>
    <n v="3"/>
    <x v="16"/>
    <s v="COMPLETED"/>
    <s v="ready"/>
    <d v="2026-08-30T00:00:00"/>
    <n v="35"/>
    <s v="POPV260902034"/>
    <m/>
    <s v="NINGBO"/>
    <x v="3"/>
    <x v="6"/>
    <d v="2026-09-04T00:00:00"/>
    <d v="2026-09-04T01:00:00"/>
    <d v="2026-09-04T02:25:40"/>
    <d v="2026-10-11T00:00:00"/>
    <d v="2026-10-22T06:00:00"/>
    <d v="2026-10-22T06:46:51"/>
    <m/>
    <s v="EVER GREET 1416W"/>
    <s v="COSCO"/>
    <s v="TPVB20260835011"/>
    <x v="654"/>
    <s v="COSU9509265340"/>
    <n v="48.181377314816928"/>
    <m/>
    <d v="2026-10-22T06:46:51"/>
    <s v="In Transit-Approved"/>
    <d v="2026-10-19T00:00:00"/>
    <n v="7"/>
    <d v="2026-10-29T06:46:51"/>
    <n v="2026"/>
    <n v="10"/>
    <n v="44"/>
    <n v="36"/>
    <n v="936"/>
    <s v="Black glazing"/>
    <s v="AEU"/>
  </r>
  <r>
    <s v="26Jul007.06.01"/>
    <s v="Quzhou"/>
    <s v="26Jul007"/>
    <s v="CORE DG"/>
    <x v="0"/>
    <s v="Arrival Plan-SPTN"/>
    <s v="CIF"/>
    <x v="0"/>
    <s v="U1"/>
    <x v="2"/>
    <m/>
    <m/>
    <s v="n/a"/>
    <d v="2026-07-06T00:00:00"/>
    <x v="0"/>
    <x v="0"/>
    <s v="HSM-ND54-DR500"/>
    <s v="EVO2A"/>
    <s v="±1200mm"/>
    <n v="500"/>
    <n v="864"/>
    <n v="0.432"/>
    <n v="24"/>
    <n v="1"/>
    <x v="16"/>
    <s v="COMPLETED"/>
    <s v="ready"/>
    <d v="2026-08-30T00:00:00"/>
    <n v="35"/>
    <s v="POPV260902024"/>
    <m/>
    <s v="NINGBO"/>
    <x v="3"/>
    <x v="0"/>
    <d v="2026-09-03T00:00:00"/>
    <d v="2026-09-03T00:00:00"/>
    <d v="2026-09-03T08:45:56"/>
    <d v="2026-10-21T00:00:00"/>
    <d v="2026-10-15T20:00:00"/>
    <d v="2026-10-15T19:29:57"/>
    <m/>
    <s v="CMA CGM ALEXANDER VON "/>
    <s v="COSCO"/>
    <s v="TPVB20260835008"/>
    <x v="655"/>
    <s v="COSU9509256340"/>
    <n v="42.447233796294313"/>
    <m/>
    <d v="2026-10-15T19:29:57"/>
    <s v="In Transit-Approved"/>
    <d v="2026-10-22T00:00:00"/>
    <n v="8"/>
    <d v="2026-10-23T19:29:57"/>
    <n v="2026"/>
    <n v="10"/>
    <n v="43"/>
    <n v="36"/>
    <n v="864"/>
    <s v="Black glazing"/>
    <s v="AEM"/>
  </r>
  <r>
    <s v="26Aug003.03"/>
    <s v="Tianjin"/>
    <s v="26Aug003"/>
    <s v="CORE DG"/>
    <x v="0"/>
    <s v="Arrival Plan-SPNL"/>
    <s v="CIF"/>
    <x v="0"/>
    <s v="U4"/>
    <x v="2"/>
    <m/>
    <m/>
    <s v="n/a"/>
    <d v="2026-08-03T00:00:00"/>
    <x v="0"/>
    <x v="0"/>
    <s v="HSM-ND54-DR500"/>
    <s v="EVO2A"/>
    <s v="±1200mm"/>
    <n v="500"/>
    <n v="4320"/>
    <n v="2.16"/>
    <n v="120"/>
    <n v="5"/>
    <x v="14"/>
    <m/>
    <s v="ready"/>
    <d v="2026-08-28T00:00:00"/>
    <n v="35"/>
    <s v="POPV260902023"/>
    <m/>
    <s v="TIANJIN"/>
    <x v="0"/>
    <x v="1"/>
    <d v="2026-09-03T00:00:00"/>
    <d v="2026-09-04T20:00:00"/>
    <d v="2026-09-04T20:29:55"/>
    <d v="2026-10-18T00:00:00"/>
    <d v="2026-10-21T14:00:00"/>
    <d v="2026-10-21T15:15:19"/>
    <s v="CIF"/>
    <s v="COSCO SHIPPING STAR 030W"/>
    <s v="COSCO"/>
    <s v="TPVB20260835012"/>
    <x v="656"/>
    <s v="COSU9509275330"/>
    <n v="46.781527777777228"/>
    <m/>
    <d v="2026-10-21T15:15:19"/>
    <s v="In Transit-Approved"/>
    <d v="2026-10-26T00:00:00"/>
    <n v="7"/>
    <d v="2026-10-28T15:15:19"/>
    <n v="2026"/>
    <n v="10"/>
    <n v="44"/>
    <n v="36"/>
    <n v="864"/>
    <s v="Black glazing"/>
    <s v="AEU"/>
  </r>
  <r>
    <s v="26Aug004.04.01"/>
    <s v="Tianjin"/>
    <s v="26Aug004"/>
    <s v="CORE DG"/>
    <x v="0"/>
    <s v="Arrival Plan-SPNL"/>
    <s v="CIF"/>
    <x v="0"/>
    <s v="U4"/>
    <x v="2"/>
    <m/>
    <m/>
    <s v="n/a"/>
    <d v="2026-08-03T00:00:00"/>
    <x v="0"/>
    <x v="43"/>
    <s v="HSM-ND54-DR505"/>
    <s v="EVO2A"/>
    <s v="±1200mm"/>
    <n v="505"/>
    <n v="2592"/>
    <n v="1.3089599999999999"/>
    <n v="72"/>
    <n v="3"/>
    <x v="15"/>
    <s v="COMPLETED"/>
    <s v="八月16日"/>
    <d v="2026-08-28T00:00:00"/>
    <n v="35"/>
    <s v="POPV260902025"/>
    <m/>
    <s v="TIANJIN"/>
    <x v="0"/>
    <x v="1"/>
    <d v="2026-09-03T00:00:00"/>
    <d v="2026-09-04T20:00:00"/>
    <d v="2026-09-04T20:29:55"/>
    <d v="2026-10-18T00:00:00"/>
    <d v="2026-10-21T14:00:00"/>
    <d v="2026-10-21T15:15:19"/>
    <s v="CIF"/>
    <s v="COSCO SHIPPING STAR 030W"/>
    <s v="COSCO"/>
    <s v="TPVB20260835012"/>
    <x v="656"/>
    <s v="COSU9509275330"/>
    <n v="46.781527777777228"/>
    <m/>
    <d v="2026-10-21T15:15:19"/>
    <s v="In Transit-Approved"/>
    <d v="2026-10-26T00:00:00"/>
    <n v="7"/>
    <d v="2026-10-28T15:15:19"/>
    <n v="2026"/>
    <n v="10"/>
    <n v="44"/>
    <n v="36"/>
    <n v="864"/>
    <s v="Black glazing"/>
    <s v="AEU"/>
  </r>
  <r>
    <s v="26Aug004.06"/>
    <s v="Tianjin"/>
    <s v="26Aug004"/>
    <s v="CORE DG"/>
    <x v="1"/>
    <s v="SPTN Offstore in Transit WH"/>
    <s v="CIP"/>
    <x v="28"/>
    <s v="U6"/>
    <x v="182"/>
    <s v="FR0126072800016"/>
    <n v="3"/>
    <s v="Yes"/>
    <d v="2026-08-03T00:00:00"/>
    <x v="0"/>
    <x v="43"/>
    <s v="HSM-ND54-DR505"/>
    <s v="EVO2A"/>
    <s v="±1200mm"/>
    <n v="505"/>
    <n v="1728"/>
    <n v="0.87263999999999997"/>
    <n v="48"/>
    <n v="2"/>
    <x v="15"/>
    <s v="IN-TRANSIT"/>
    <s v="八月16日"/>
    <d v="2026-08-27T00:00:00"/>
    <n v="35"/>
    <s v="POPV260828028"/>
    <m/>
    <s v="TIANJIN"/>
    <x v="0"/>
    <x v="0"/>
    <d v="2026-09-03T00:00:00"/>
    <d v="2026-09-04T20:00:00"/>
    <d v="2026-09-04T20:29:55"/>
    <d v="2026-10-28T00:00:00"/>
    <d v="2026-10-30T20:00:00"/>
    <s v=""/>
    <s v="CIF"/>
    <s v="COSCO SHIPPING STAR 030W"/>
    <s v="COSCO"/>
    <s v="TPVB20260835023"/>
    <x v="657"/>
    <s v="COSU9509296080"/>
    <n v="55.979224537040864"/>
    <m/>
    <d v="2026-10-30T20:00:00"/>
    <s v="In Stock-Approved"/>
    <d v="2026-10-28T00:00:00"/>
    <n v="0"/>
    <d v="2026-10-30T20:00:00"/>
    <n v="2026"/>
    <n v="10"/>
    <n v="44"/>
    <n v="36"/>
    <n v="864"/>
    <s v="Black glazing"/>
    <s v="AEM"/>
  </r>
  <r>
    <s v="26Aug006.01"/>
    <s v="Tianjin"/>
    <s v="26Aug006"/>
    <s v="CORE DG"/>
    <x v="0"/>
    <s v="Arrival Plan-SPTN"/>
    <s v="CIF"/>
    <x v="0"/>
    <s v="U2"/>
    <x v="2"/>
    <m/>
    <m/>
    <s v="n/a"/>
    <d v="2026-08-24T00:00:00"/>
    <x v="0"/>
    <x v="26"/>
    <s v="HSM-ND54-DR505 CFP"/>
    <s v="EVO2A"/>
    <s v="±1200mm"/>
    <n v="505"/>
    <n v="3456"/>
    <n v="1.7452799999999999"/>
    <n v="96"/>
    <n v="4"/>
    <x v="13"/>
    <s v="IN-TRANSIT"/>
    <s v="八月20日"/>
    <d v="2026-08-28T00:00:00"/>
    <n v="35"/>
    <s v="POPV260902030"/>
    <m/>
    <s v="TIANJIN"/>
    <x v="0"/>
    <x v="0"/>
    <d v="2026-09-03T00:00:00"/>
    <d v="2026-09-04T20:00:00"/>
    <d v="2026-09-04T20:29:55"/>
    <d v="2026-11-09T00:00:00"/>
    <d v="2026-11-24T19:00:00"/>
    <s v=""/>
    <s v="CIF"/>
    <s v="COSCO SHIPPING STAR 030W"/>
    <s v="COSCO"/>
    <s v="TPVB20260835024"/>
    <x v="658"/>
    <s v="COSU9509296500"/>
    <n v="80.937557870369346"/>
    <m/>
    <d v="2026-11-24T19:00:00"/>
    <s v="In Transit-Approved"/>
    <d v="2026-11-17T00:00:00"/>
    <n v="8"/>
    <d v="2026-12-02T19:00:00"/>
    <n v="2026"/>
    <n v="12"/>
    <n v="49"/>
    <n v="36"/>
    <n v="864"/>
    <s v="Black glazing"/>
    <s v="AEM"/>
  </r>
  <r>
    <s v="26Jun021.07.04"/>
    <s v="Tianjin"/>
    <s v="26Jun021"/>
    <s v="CORE DG"/>
    <x v="0"/>
    <s v="Arrival Plan-SPIT"/>
    <s v="CIF"/>
    <x v="4"/>
    <s v="U4"/>
    <x v="2"/>
    <m/>
    <m/>
    <s v="n/a"/>
    <d v="2026-06-29T00:00:00"/>
    <x v="3"/>
    <x v="95"/>
    <s v="HSM-BD66-GR650"/>
    <s v="EVO2A"/>
    <s v="±1400mm"/>
    <n v="650"/>
    <n v="720"/>
    <n v="0.46800000000000003"/>
    <n v="20"/>
    <n v="1"/>
    <x v="11"/>
    <s v="IN-TRANSIT"/>
    <s v="七月3日,Italy importer label"/>
    <d v="2026-08-28T00:00:00"/>
    <n v="35"/>
    <s v="POPV260902029"/>
    <m/>
    <s v="TIANJIN"/>
    <x v="0"/>
    <x v="14"/>
    <d v="2026-09-03T00:00:00"/>
    <d v="2026-09-04T20:00:00"/>
    <d v="2026-09-04T20:29:55"/>
    <d v="2026-11-08T00:00:00"/>
    <d v="2026-11-20T18:00:00"/>
    <s v=""/>
    <s v="CIF"/>
    <s v="COSCO SHIPPING STAR 030W"/>
    <s v="COSCO"/>
    <s v="TPVB20260835013"/>
    <x v="659"/>
    <s v="COSU9509296870"/>
    <n v="76.895891203705105"/>
    <m/>
    <d v="2026-11-20T18:00:00"/>
    <s v="In Transit-Approved"/>
    <d v="2026-11-20T00:00:00"/>
    <n v="10"/>
    <d v="2026-11-30T18:00:00"/>
    <n v="2026"/>
    <n v="11"/>
    <n v="49"/>
    <n v="36"/>
    <n v="720"/>
    <s v="White glazing"/>
    <s v="AEM"/>
  </r>
  <r>
    <s v="26Jun021.10"/>
    <s v="Tianjin"/>
    <s v="26Jun021"/>
    <s v="CORE DG"/>
    <x v="0"/>
    <s v="Arrival Plan-SPNL"/>
    <s v="CIF"/>
    <x v="0"/>
    <s v="U1"/>
    <x v="2"/>
    <m/>
    <m/>
    <s v="n/a"/>
    <d v="2026-06-29T00:00:00"/>
    <x v="3"/>
    <x v="95"/>
    <s v="HSM-BD66-GR650"/>
    <s v="EVO2A"/>
    <s v="±1400mm"/>
    <n v="650"/>
    <n v="1440"/>
    <n v="0.93600000000000005"/>
    <n v="40"/>
    <n v="2"/>
    <x v="13"/>
    <s v="IN-TRANSIT"/>
    <s v="优先500半片"/>
    <d v="2026-08-24T00:00:00"/>
    <n v="35"/>
    <s v="POPV260902031"/>
    <m/>
    <s v="TIANJIN"/>
    <x v="0"/>
    <x v="1"/>
    <d v="2026-09-02T00:00:00"/>
    <d v="2026-09-04T00:00:00"/>
    <d v="2026-09-04T00:00:00"/>
    <d v="2026-11-09T00:00:00"/>
    <m/>
    <m/>
    <s v="CIF"/>
    <s v="MSC AMBRA QS636A"/>
    <s v="OTHER"/>
    <s v="TPVB20260835015"/>
    <x v="660"/>
    <s v="177KVBTTXVNN3613"/>
    <n v="66"/>
    <m/>
    <d v="2026-11-09T00:00:00"/>
    <s v="In Transit-Approved"/>
    <d v="2026-11-16T00:00:00"/>
    <n v="7"/>
    <d v="2026-11-16T00:00:00"/>
    <n v="2026"/>
    <n v="11"/>
    <n v="47"/>
    <n v="36"/>
    <n v="720"/>
    <s v="White glazing"/>
    <s v="AEU"/>
  </r>
  <r>
    <s v="26Aug004.04.02"/>
    <s v="Tianjin"/>
    <s v="26Aug004"/>
    <s v="CORE DG"/>
    <x v="0"/>
    <s v="Arrival Plan-SPNL"/>
    <s v="CIF"/>
    <x v="0"/>
    <s v="U4"/>
    <x v="2"/>
    <m/>
    <m/>
    <s v="n/a"/>
    <d v="2026-08-03T00:00:00"/>
    <x v="0"/>
    <x v="43"/>
    <s v="HSM-ND54-DR505"/>
    <s v="EVO2A"/>
    <s v="±1200mm"/>
    <n v="505"/>
    <n v="864"/>
    <n v="0.43631999999999999"/>
    <n v="24"/>
    <n v="1"/>
    <x v="15"/>
    <s v="IN-TRANSIT"/>
    <s v="八月16日"/>
    <d v="2026-08-24T00:00:00"/>
    <n v="35"/>
    <s v="POPV260902035"/>
    <m/>
    <s v="TIANJIN"/>
    <x v="0"/>
    <x v="1"/>
    <d v="2026-09-02T00:00:00"/>
    <d v="2026-09-04T00:00:00"/>
    <d v="2026-09-04T00:00:00"/>
    <d v="2026-11-09T00:00:00"/>
    <m/>
    <m/>
    <s v="CIF"/>
    <s v="MSC AMBRA QS636A"/>
    <s v="OTHER"/>
    <s v="TPVB20260835015"/>
    <x v="660"/>
    <s v="177KVBTTXVNN3613"/>
    <n v="66"/>
    <m/>
    <d v="2026-11-09T00:00:00"/>
    <s v="In Transit-Approved"/>
    <d v="2026-11-16T00:00:00"/>
    <n v="7"/>
    <d v="2026-11-16T00:00:00"/>
    <n v="2026"/>
    <n v="11"/>
    <n v="47"/>
    <n v="36"/>
    <n v="864"/>
    <s v="Black glazing"/>
    <s v="AEU"/>
  </r>
  <r>
    <s v="26Aug009.01.01"/>
    <s v="Yixing"/>
    <s v="26Aug009"/>
    <s v="UPP"/>
    <x v="1"/>
    <s v="SPTN Offstore in Transit WH"/>
    <s v="CIF"/>
    <x v="10"/>
    <s v="U2"/>
    <x v="178"/>
    <s v="DE0126080400009"/>
    <n v="1"/>
    <s v="Yes"/>
    <m/>
    <x v="0"/>
    <x v="100"/>
    <s v="HSM-ND66-GR620"/>
    <s v="H4(Com)"/>
    <s v="+400mm/-200mm"/>
    <n v="620"/>
    <n v="720"/>
    <n v="0.44640000000000002"/>
    <n v="20"/>
    <n v="1"/>
    <x v="13"/>
    <s v="IN-TRANSIT"/>
    <d v="2026-08-17T00:00:00"/>
    <d v="2026-09-04T00:00:00"/>
    <n v="36"/>
    <s v="POPV260911032"/>
    <m/>
    <s v="SHANGHAI"/>
    <x v="1"/>
    <x v="1"/>
    <d v="2026-09-06T00:00:00"/>
    <d v="2026-09-17T00:00:00"/>
    <d v="2026-09-15T00:00:00"/>
    <d v="2026-10-17T00:00:00"/>
    <d v="2026-10-31T00:00:00"/>
    <m/>
    <m/>
    <s v="CMA CGM CHAMPS ELYSEES / 0FMN4W1MA"/>
    <s v="OTHER"/>
    <s v="TPVB20260936001"/>
    <x v="661"/>
    <s v="CHN3880669"/>
    <n v="46"/>
    <m/>
    <d v="2026-10-31T00:00:00"/>
    <s v="-"/>
    <s v=""/>
    <n v="0"/>
    <d v="2026-10-31T00:00:00"/>
    <n v="2026"/>
    <n v="10"/>
    <n v="44"/>
    <n v="36"/>
    <n v="720"/>
    <s v="Redirection Film"/>
    <s v="AEU"/>
  </r>
  <r>
    <s v="26Aug025.02"/>
    <s v="Yixing"/>
    <s v="26Aug025"/>
    <s v="UPP"/>
    <x v="1"/>
    <s v="SPTN Offstore in Transit WH"/>
    <s v="CIF"/>
    <x v="10"/>
    <s v="U2"/>
    <x v="178"/>
    <s v="DE0126080400009"/>
    <n v="17"/>
    <s v="Yes"/>
    <m/>
    <x v="0"/>
    <x v="99"/>
    <s v="HSM-ND66-GR630"/>
    <s v="H4(Com)"/>
    <s v="+400mm/-200mm"/>
    <n v="630"/>
    <n v="2880"/>
    <n v="1.8144"/>
    <n v="80"/>
    <n v="4"/>
    <x v="15"/>
    <s v="IN-TRANSIT"/>
    <d v="2026-08-27T00:00:00"/>
    <d v="2026-09-04T00:00:00"/>
    <n v="36"/>
    <s v="POPV260911045"/>
    <m/>
    <s v="SHANGHAI"/>
    <x v="1"/>
    <x v="1"/>
    <d v="2026-09-06T00:00:00"/>
    <d v="2026-09-17T00:00:00"/>
    <d v="2026-09-15T00:00:00"/>
    <d v="2026-10-17T00:00:00"/>
    <d v="2026-10-31T00:00:00"/>
    <m/>
    <m/>
    <s v="CMA CGM CHAMPS ELYSEES / 0FMN4W1MA"/>
    <s v="OTHER"/>
    <s v="TPVB20260936001"/>
    <x v="661"/>
    <s v="CHN3880669"/>
    <n v="46"/>
    <m/>
    <d v="2026-10-31T00:00:00"/>
    <s v="-"/>
    <s v=""/>
    <n v="0"/>
    <d v="2026-10-31T00:00:00"/>
    <n v="2026"/>
    <n v="10"/>
    <n v="44"/>
    <n v="36"/>
    <n v="720"/>
    <s v="Redirection Film"/>
    <s v="AEU"/>
  </r>
  <r>
    <s v="26Aug002.06"/>
    <s v="Yixing"/>
    <s v="26Aug002"/>
    <s v="CORE DG"/>
    <x v="0"/>
    <s v="Arrival Plan-SPUK"/>
    <s v="CIF"/>
    <x v="0"/>
    <s v="U1"/>
    <x v="2"/>
    <m/>
    <m/>
    <s v="n/a"/>
    <d v="2026-07-12T00:00:00"/>
    <x v="6"/>
    <x v="69"/>
    <s v="SPR-P7-515-BLK-P"/>
    <s v="EVO2A"/>
    <s v="±1350mm"/>
    <n v="515"/>
    <n v="2376"/>
    <n v="1.2236400000000001"/>
    <n v="66"/>
    <n v="3"/>
    <x v="17"/>
    <s v="COMPLETED"/>
    <m/>
    <d v="2026-09-03T00:00:00"/>
    <n v="36"/>
    <s v="POPV260904016"/>
    <m/>
    <s v="SHANGHAI"/>
    <x v="1"/>
    <x v="6"/>
    <d v="2026-09-08T00:00:00"/>
    <d v="2026-09-09T02:00:00"/>
    <d v="2026-09-09T02:29:06"/>
    <d v="2026-10-18T00:00:00"/>
    <d v="2026-10-27T23:00:00"/>
    <d v="2026-10-27T22:07:15"/>
    <m/>
    <s v="OOCL VALENCIA 011W"/>
    <s v="COSCO"/>
    <s v="TPVB20260936008"/>
    <x v="662"/>
    <s v="COSU6464780390"/>
    <n v="48.818159722228302"/>
    <m/>
    <d v="2026-10-27T22:07:15"/>
    <s v="-"/>
    <s v=""/>
    <n v="7"/>
    <d v="2026-11-03T22:07:15"/>
    <s v="n/a"/>
    <s v="n/a"/>
    <n v="45"/>
    <n v="36"/>
    <n v="792"/>
    <s v="Black glazing"/>
    <s v="AEU"/>
  </r>
  <r>
    <s v="26Aug009.02"/>
    <s v="Yixing"/>
    <s v="26Aug009"/>
    <s v="UPP"/>
    <x v="1"/>
    <s v="SPTN Offstore in Transit WH"/>
    <s v="CIF"/>
    <x v="10"/>
    <s v="U2"/>
    <x v="178"/>
    <s v="DE0126080400009"/>
    <n v="33"/>
    <s v="Yes"/>
    <m/>
    <x v="0"/>
    <x v="100"/>
    <s v="HSM-ND66-GR620"/>
    <s v="H4(Com)"/>
    <s v="+400mm/-200mm"/>
    <n v="620"/>
    <n v="7920"/>
    <n v="4.9104000000000001"/>
    <n v="220"/>
    <n v="11"/>
    <x v="17"/>
    <s v="COMPLETED"/>
    <d v="2026-09-06T00:00:00"/>
    <d v="2026-09-08T00:00:00"/>
    <n v="37"/>
    <s v="POPV260911038"/>
    <m/>
    <s v="SHANGHAI"/>
    <x v="1"/>
    <x v="1"/>
    <d v="2026-09-13T00:00:00"/>
    <d v="2026-09-13T17:00:00"/>
    <d v="2026-09-13T14:05:08"/>
    <d v="2026-10-18T00:00:00"/>
    <d v="2026-10-21T14:00:00"/>
    <d v="2026-10-21T15:15:19"/>
    <m/>
    <s v="COSCO SHIPPING STAR 030W"/>
    <s v="COSCO"/>
    <s v="TPVB20260936009"/>
    <x v="663"/>
    <s v="COSU6464774420"/>
    <n v="38.048738425924967"/>
    <m/>
    <d v="2026-10-21T15:15:19"/>
    <s v="-"/>
    <s v=""/>
    <n v="0"/>
    <d v="2026-10-21T15:15:19"/>
    <n v="2026"/>
    <n v="10"/>
    <n v="43"/>
    <n v="36"/>
    <n v="720"/>
    <s v="Redirection Film"/>
    <s v="AEU"/>
  </r>
  <r>
    <s v="26Aug009.04"/>
    <s v="Yixing"/>
    <s v="26Aug009"/>
    <s v="UPP"/>
    <x v="1"/>
    <s v="SPTN Offstore in Transit WH"/>
    <s v="CIF"/>
    <x v="10"/>
    <s v="U2"/>
    <x v="178"/>
    <s v="DE0126080400009"/>
    <n v="28"/>
    <s v="Yes"/>
    <m/>
    <x v="0"/>
    <x v="100"/>
    <s v="HSM-ND66-GR620"/>
    <s v="H4(Com)"/>
    <s v="+400mm/-200mm"/>
    <n v="620"/>
    <n v="3600"/>
    <n v="2.2320000000000002"/>
    <n v="100"/>
    <n v="5"/>
    <x v="17"/>
    <s v="IN-TRANSIT"/>
    <d v="2026-09-01T00:00:00"/>
    <d v="2026-09-03T00:00:00"/>
    <n v="36"/>
    <s v="POPV260911042"/>
    <m/>
    <s v="SHANGHAI"/>
    <x v="1"/>
    <x v="1"/>
    <d v="2026-09-07T00:00:00"/>
    <d v="2026-09-12T19:30:00"/>
    <d v="2026-09-12T17:11:53"/>
    <d v="2026-10-14T00:00:00"/>
    <d v="2026-10-29T20:00:00"/>
    <s v=""/>
    <m/>
    <s v="EVER APEX 1417-015W"/>
    <s v="COSCO"/>
    <s v="TPVB20260936011"/>
    <x v="664"/>
    <s v="COSU6464775680"/>
    <n v="47.116747685184237"/>
    <m/>
    <d v="2026-10-29T20:00:00"/>
    <s v="-"/>
    <s v=""/>
    <n v="0"/>
    <d v="2026-10-29T20:00:00"/>
    <n v="2026"/>
    <n v="10"/>
    <n v="44"/>
    <n v="36"/>
    <n v="720"/>
    <s v="Redirection Film"/>
    <s v="AEU"/>
  </r>
  <r>
    <s v="26Aug009.06"/>
    <s v="Yixing"/>
    <s v="26Aug009"/>
    <s v="UPP"/>
    <x v="1"/>
    <s v="SPTN Offstore in Transit WH"/>
    <s v="CIF"/>
    <x v="10"/>
    <s v="U2"/>
    <x v="178"/>
    <s v="DE0126080400009"/>
    <n v="29"/>
    <s v="Yes"/>
    <m/>
    <x v="0"/>
    <x v="100"/>
    <s v="HSM-ND66-GR620"/>
    <s v="H4(Com)"/>
    <s v="+400mm/-200mm"/>
    <n v="620"/>
    <n v="5760"/>
    <n v="3.5712000000000002"/>
    <n v="160"/>
    <n v="8"/>
    <x v="17"/>
    <s v="COMPLETED"/>
    <d v="2026-09-04T00:00:00"/>
    <d v="2026-09-05T00:00:00"/>
    <n v="36"/>
    <s v="POPV260911043"/>
    <m/>
    <s v="SHANGHAI"/>
    <x v="1"/>
    <x v="1"/>
    <d v="2026-09-10T00:00:00"/>
    <d v="2026-09-11T12:30:00"/>
    <d v="2026-09-11T12:51:48"/>
    <d v="2026-10-24T00:00:00"/>
    <d v="2026-10-27T20:00:00"/>
    <d v="2026-10-27T18:37:18"/>
    <m/>
    <s v="OOCL UNITED KINGDOM 038W"/>
    <s v="COSCO"/>
    <s v="TPVB20260936012"/>
    <x v="665"/>
    <s v="COSU6464778420"/>
    <n v="46.239930555559113"/>
    <m/>
    <d v="2026-10-27T18:37:18"/>
    <s v="-"/>
    <s v=""/>
    <n v="0"/>
    <d v="2026-10-27T18:37:18"/>
    <n v="2026"/>
    <n v="10"/>
    <n v="44"/>
    <n v="36"/>
    <n v="720"/>
    <s v="Redirection Film"/>
    <s v="AEU"/>
  </r>
  <r>
    <s v="26Aug019.01"/>
    <s v="Yixing"/>
    <s v="26Aug019"/>
    <s v="CORE DG"/>
    <x v="0"/>
    <s v="Arrival Plan-SPTN"/>
    <s v="CIF"/>
    <x v="0"/>
    <s v="U1"/>
    <x v="2"/>
    <m/>
    <m/>
    <s v="n/a"/>
    <d v="2026-08-04T00:00:00"/>
    <x v="1"/>
    <x v="6"/>
    <s v="TCL-MR465DT182-58NS"/>
    <s v="EVO2A"/>
    <s v="±1200mm"/>
    <n v="465"/>
    <n v="3456"/>
    <n v="1.60704"/>
    <n v="96"/>
    <n v="4"/>
    <x v="17"/>
    <m/>
    <s v="ready"/>
    <d v="2026-09-04T00:00:00"/>
    <m/>
    <s v="POPV260911058"/>
    <m/>
    <s v="SHANGHAI"/>
    <x v="1"/>
    <x v="0"/>
    <d v="2026-09-12T00:00:00"/>
    <d v="2026-09-12T19:00:00"/>
    <d v="2026-09-12T19:59:39"/>
    <d v="2026-10-21T00:00:00"/>
    <d v="2026-10-27T16:00:00"/>
    <d v="2026-10-27T18:53:49"/>
    <m/>
    <s v="CMA CGM PATAGONIA 0MEOPW1MA"/>
    <s v="COSCO"/>
    <s v="TPVB20260936013"/>
    <x v="666"/>
    <s v="COSU6464781690"/>
    <n v="44.954282407408755"/>
    <m/>
    <d v="2026-10-27T18:53:49"/>
    <s v="-"/>
    <s v=""/>
    <n v="8"/>
    <d v="2026-11-04T18:53:49"/>
    <n v="2026"/>
    <n v="11"/>
    <n v="45"/>
    <n v="36"/>
    <n v="864"/>
    <s v="White glazing"/>
    <s v="AEM"/>
  </r>
  <r>
    <s v="26Aug005.03"/>
    <s v="Tianjin(transport to yixing for  shipment)"/>
    <s v="26Aug005"/>
    <s v="CORE DG"/>
    <x v="0"/>
    <s v="Arrival Plan-SPTN"/>
    <s v="CIF"/>
    <x v="0"/>
    <s v="U1"/>
    <x v="2"/>
    <m/>
    <m/>
    <s v="n/a"/>
    <d v="2026-08-24T00:00:00"/>
    <x v="0"/>
    <x v="27"/>
    <s v="HSM-ND54-DR500 CFP"/>
    <s v="EVO2A"/>
    <s v="±1200mm"/>
    <n v="500"/>
    <n v="4320"/>
    <n v="2.16"/>
    <n v="120"/>
    <n v="5"/>
    <x v="18"/>
    <s v="IN-TRANSIT"/>
    <s v="Keep for FR"/>
    <d v="2026-09-10T00:00:00"/>
    <n v="37"/>
    <s v="POPV260911062"/>
    <m/>
    <s v="SHANGHAI"/>
    <x v="1"/>
    <x v="0"/>
    <d v="2026-09-15T00:00:00"/>
    <d v="2026-09-19T17:30:00"/>
    <d v="2026-09-19T18:11:22"/>
    <d v="2026-11-02T00:00:00"/>
    <d v="2026-11-16T06:00:00"/>
    <s v=""/>
    <m/>
    <s v="CSCL PACIFIC OCEAN 067W"/>
    <s v="COSCO"/>
    <s v="TPVB20260936014"/>
    <x v="667"/>
    <s v="COSU6464783150"/>
    <n v="57.49210648148437"/>
    <m/>
    <d v="2026-11-16T06:00:00"/>
    <s v="-"/>
    <s v=""/>
    <n v="8"/>
    <d v="2026-11-24T06:00:00"/>
    <n v="2026"/>
    <n v="11"/>
    <n v="48"/>
    <n v="36"/>
    <n v="864"/>
    <s v="Black glazing"/>
    <s v="AEM"/>
  </r>
  <r>
    <s v="26Aug006.03"/>
    <s v="Tianjin (transport to YIXING for shipment)"/>
    <s v="26Aug006"/>
    <s v="CORE DG"/>
    <x v="0"/>
    <s v="Arrival Plan-SPTN"/>
    <s v="CIF"/>
    <x v="0"/>
    <s v="U1"/>
    <x v="2"/>
    <m/>
    <m/>
    <s v="n/a"/>
    <d v="2026-08-24T00:00:00"/>
    <x v="0"/>
    <x v="26"/>
    <s v="HSM-ND54-DR505 CFP"/>
    <s v="EVO2A"/>
    <s v="±1200mm"/>
    <n v="505"/>
    <n v="3456"/>
    <n v="1.7452799999999999"/>
    <n v="96"/>
    <n v="4"/>
    <x v="17"/>
    <s v="IN-TRANSIT"/>
    <s v="Keep for FR"/>
    <d v="2026-09-10T00:00:00"/>
    <n v="37"/>
    <s v="POPV260911065"/>
    <m/>
    <s v="SHANGHAI"/>
    <x v="1"/>
    <x v="0"/>
    <d v="2026-09-15T00:00:00"/>
    <d v="2026-09-19T17:30:00"/>
    <d v="2026-09-19T18:11:22"/>
    <d v="2026-11-02T00:00:00"/>
    <d v="2026-11-16T06:00:00"/>
    <s v=""/>
    <m/>
    <s v="CSCL PACIFIC OCEAN 067W"/>
    <s v="COSCO"/>
    <s v="TPVB20260936014"/>
    <x v="667"/>
    <s v="COSU6464783150"/>
    <n v="57.49210648148437"/>
    <m/>
    <d v="2026-11-16T06:00:00"/>
    <s v="-"/>
    <s v=""/>
    <n v="8"/>
    <d v="2026-11-24T06:00:00"/>
    <n v="2026"/>
    <n v="11"/>
    <n v="48"/>
    <n v="36"/>
    <n v="864"/>
    <s v="Black glazing"/>
    <s v="AEM"/>
  </r>
  <r>
    <s v="26Aug010.13"/>
    <s v="Yixing"/>
    <s v="26Aug010"/>
    <s v="UPP"/>
    <x v="0"/>
    <s v="Arrival Plan-SPES"/>
    <s v="CIF"/>
    <x v="1"/>
    <s v="U4"/>
    <x v="2"/>
    <m/>
    <m/>
    <s v="n/a"/>
    <m/>
    <x v="0"/>
    <x v="97"/>
    <s v="HSM-ND66-GR625"/>
    <s v="H4(Com)"/>
    <s v="+400mm/-200mm"/>
    <n v="625"/>
    <n v="1440"/>
    <n v="0.9"/>
    <n v="40"/>
    <n v="2"/>
    <x v="17"/>
    <s v="IN-TRANSIT"/>
    <s v="ready"/>
    <d v="2026-09-03T00:00:00"/>
    <n v="36"/>
    <s v="POPV260904010"/>
    <m/>
    <s v="SHANGHAI"/>
    <x v="1"/>
    <x v="2"/>
    <d v="2026-09-08T00:00:00"/>
    <d v="2026-09-08T01:00:00"/>
    <d v="2026-09-08T01:51:54"/>
    <d v="2026-10-22T00:00:00"/>
    <d v="2026-11-14T08:00:00"/>
    <s v=""/>
    <m/>
    <s v="COSCO SHIPPING ROSE 047W"/>
    <s v="COSCO"/>
    <s v="TPVB20260936015"/>
    <x v="668"/>
    <s v="COSU6464784160"/>
    <n v="67.255625000005239"/>
    <m/>
    <d v="2026-11-14T08:00:00"/>
    <s v="-"/>
    <s v=""/>
    <n v="9"/>
    <d v="2026-11-23T08:00:00"/>
    <s v="n/a"/>
    <s v="n/a"/>
    <n v="48"/>
    <n v="36"/>
    <n v="720"/>
    <s v="Redirection Film"/>
    <s v="AEM"/>
  </r>
  <r>
    <s v="26Aug010.15"/>
    <s v="Yixing"/>
    <s v="26Aug010"/>
    <s v="UPP"/>
    <x v="0"/>
    <s v="Arrival Plan-SPES"/>
    <s v="CIF"/>
    <x v="1"/>
    <s v="U4"/>
    <x v="2"/>
    <m/>
    <m/>
    <s v="n/a"/>
    <m/>
    <x v="0"/>
    <x v="97"/>
    <s v="HSM-ND66-GR625"/>
    <s v="H4(Com)"/>
    <s v="+400mm/-200mm"/>
    <n v="625"/>
    <n v="720"/>
    <n v="0.45"/>
    <n v="20"/>
    <n v="1"/>
    <x v="17"/>
    <s v="COMPLETED"/>
    <s v="ready"/>
    <d v="2026-09-04T00:00:00"/>
    <n v="36"/>
    <s v="POPV260911044"/>
    <m/>
    <s v="SHANGHAI"/>
    <x v="1"/>
    <x v="2"/>
    <d v="2026-09-12T00:00:00"/>
    <d v="2026-09-12T19:00:00"/>
    <d v="2026-09-12T19:59:39"/>
    <d v="2026-10-15T00:00:00"/>
    <d v="2026-10-20T08:13:00"/>
    <d v="2026-10-20T11:49:05"/>
    <m/>
    <s v="CMA CGM PATAGONIA 0MEOPW1MA"/>
    <s v="COSCO"/>
    <s v="TPVB20260936016"/>
    <x v="669"/>
    <s v="COSU6465498240"/>
    <n v="37.659328703710344"/>
    <m/>
    <d v="2026-10-20T11:49:05"/>
    <s v="-"/>
    <s v=""/>
    <n v="9"/>
    <d v="2026-10-29T11:49:05"/>
    <s v="n/a"/>
    <s v="n/a"/>
    <n v="44"/>
    <n v="36"/>
    <n v="720"/>
    <s v="Redirection Film"/>
    <s v="AEM"/>
  </r>
  <r>
    <s v="26Aug020.01"/>
    <s v="Yixing"/>
    <s v="26Aug020"/>
    <s v="CORE DG"/>
    <x v="0"/>
    <s v="Arrival Plan-SPTN"/>
    <s v="CIF"/>
    <x v="0"/>
    <s v="U1"/>
    <x v="2"/>
    <m/>
    <m/>
    <s v="n/a"/>
    <d v="2026-08-04T00:00:00"/>
    <x v="1"/>
    <x v="39"/>
    <s v="TCL-MR470DT182-58NS"/>
    <s v="EVO2A"/>
    <s v="±1200mm"/>
    <n v="470"/>
    <n v="2592"/>
    <n v="1.21824"/>
    <n v="72"/>
    <n v="3"/>
    <x v="18"/>
    <m/>
    <s v="ready"/>
    <d v="2026-09-09T00:00:00"/>
    <m/>
    <s v="POPV260911051"/>
    <m/>
    <s v="SHANGHAI"/>
    <x v="1"/>
    <x v="0"/>
    <d v="2026-09-13T00:00:00"/>
    <d v="2026-09-14T00:00:00"/>
    <d v="2026-09-14T00:00:00"/>
    <d v="2026-11-04T00:00:00"/>
    <m/>
    <m/>
    <m/>
    <s v="EUGEN MAERSK"/>
    <s v="OTHER"/>
    <s v="TPVB20260936002"/>
    <x v="670"/>
    <n v="276098842"/>
    <n v="51"/>
    <m/>
    <d v="2026-11-04T00:00:00"/>
    <s v="-"/>
    <s v=""/>
    <n v="8"/>
    <d v="2026-11-12T00:00:00"/>
    <n v="2026"/>
    <n v="11"/>
    <n v="46"/>
    <n v="36"/>
    <n v="864"/>
    <s v="White glazing"/>
    <s v="AEM"/>
  </r>
  <r>
    <s v="26Aug010.06"/>
    <s v="Yixing"/>
    <s v="26Aug010"/>
    <s v="UPP"/>
    <x v="1"/>
    <s v="SPTN Offstore in Transit WH"/>
    <s v="CIF"/>
    <x v="36"/>
    <s v="U2"/>
    <x v="185"/>
    <s v="RS0126081900007"/>
    <n v="1"/>
    <s v="Yes"/>
    <m/>
    <x v="0"/>
    <x v="97"/>
    <s v="HSM-ND66-GR625"/>
    <s v="H4(Com)"/>
    <s v="+400mm/-200mm"/>
    <n v="625"/>
    <n v="5760"/>
    <n v="3.6"/>
    <n v="160"/>
    <n v="8"/>
    <x v="17"/>
    <s v="IN-TRANSIT"/>
    <m/>
    <d v="2026-09-12T00:00:00"/>
    <n v="37"/>
    <s v="POPV260918060"/>
    <m/>
    <s v="SHANGHAI"/>
    <x v="1"/>
    <x v="22"/>
    <d v="2026-09-15T00:00:00"/>
    <d v="2026-09-19T00:00:00"/>
    <d v="2026-09-19T00:00:00"/>
    <d v="2026-10-29T00:00:00"/>
    <d v="2026-10-30T00:00:00"/>
    <m/>
    <m/>
    <s v="CSCL PACIFIC OCEAN 067W"/>
    <s v="OTHER"/>
    <s v="TPVB20260836004"/>
    <x v="671"/>
    <s v="EGLV149607783982"/>
    <n v="41"/>
    <m/>
    <d v="2026-10-30T00:00:00"/>
    <s v="-"/>
    <s v=""/>
    <n v="0"/>
    <d v="2026-10-30T00:00:00"/>
    <s v="n/a"/>
    <s v="n/a"/>
    <n v="44"/>
    <n v="36"/>
    <n v="720"/>
    <s v="Redirection Film"/>
    <s v="n/a"/>
  </r>
  <r>
    <s v="26Aug006.01.01"/>
    <s v="Tianjin to Yixing"/>
    <s v="26Aug006"/>
    <s v="CORE DG"/>
    <x v="0"/>
    <s v="Arrival Plan-SPTN"/>
    <s v="CIF"/>
    <x v="0"/>
    <s v="U2"/>
    <x v="2"/>
    <m/>
    <m/>
    <s v="n/a"/>
    <d v="2026-08-24T00:00:00"/>
    <x v="0"/>
    <x v="26"/>
    <s v="HSM-ND54-DR505 CFP"/>
    <s v="EVO2A"/>
    <s v="±1200mm"/>
    <n v="505"/>
    <n v="864"/>
    <n v="0.43631999999999999"/>
    <n v="24"/>
    <n v="1"/>
    <x v="13"/>
    <s v="IN-TRANSIT"/>
    <d v="2026-09-09T00:00:00"/>
    <d v="2026-09-11T00:00:00"/>
    <n v="37"/>
    <s v="POPV260918037"/>
    <m/>
    <s v="NINGBO"/>
    <x v="3"/>
    <x v="0"/>
    <d v="2026-09-15T00:00:00"/>
    <d v="2026-09-16T01:00:00"/>
    <d v="2026-09-16T00:00:00"/>
    <d v="2026-10-28T00:00:00"/>
    <d v="2026-10-30T20:00:00"/>
    <s v=""/>
    <m/>
    <s v="CMA CGM KERGUELEN 0MEORW"/>
    <s v="COSCO"/>
    <s v="TPVB20260936017"/>
    <x v="672"/>
    <s v="COSU9509736950"/>
    <n v="44.833333333335759"/>
    <m/>
    <d v="2026-10-30T20:00:00"/>
    <s v="-"/>
    <s v=""/>
    <n v="8"/>
    <d v="2026-11-07T20:00:00"/>
    <n v="2026"/>
    <n v="11"/>
    <n v="45"/>
    <n v="36"/>
    <n v="864"/>
    <s v="Black glazing"/>
    <s v="AEM"/>
  </r>
  <r>
    <s v="26Aug006.05"/>
    <s v="Tianjin to Yixing"/>
    <s v="26Aug006"/>
    <s v="CORE DG"/>
    <x v="0"/>
    <s v="Arrival Plan-SPTN"/>
    <s v="CIF"/>
    <x v="0"/>
    <s v="U2"/>
    <x v="2"/>
    <m/>
    <m/>
    <s v="n/a"/>
    <d v="2026-08-24T00:00:00"/>
    <x v="0"/>
    <x v="26"/>
    <s v="HSM-ND54-DR505 CFP"/>
    <s v="EVO2A"/>
    <s v="±1200mm"/>
    <n v="505"/>
    <n v="864"/>
    <n v="0.43631999999999999"/>
    <n v="24"/>
    <n v="1"/>
    <x v="15"/>
    <s v="IN-TRANSIT"/>
    <d v="2026-09-14T00:00:00"/>
    <d v="2026-09-21T00:00:00"/>
    <n v="39"/>
    <s v="POPV260924025"/>
    <m/>
    <s v="NINGBO"/>
    <x v="3"/>
    <x v="0"/>
    <d v="2026-09-17T00:00:00"/>
    <d v="2026-09-24T15:00:00"/>
    <d v="2026-09-24T15:59:53"/>
    <d v="2026-11-02T00:00:00"/>
    <d v="2026-11-16T06:00:00"/>
    <s v=""/>
    <m/>
    <s v="CSCL PACIFIC OCEAN 067W"/>
    <s v="COSCO"/>
    <s v="TPVB20260936018"/>
    <x v="673"/>
    <s v="COSU9509736980"/>
    <n v="52.583414351851388"/>
    <m/>
    <d v="2026-11-16T06:00:00"/>
    <s v="-"/>
    <s v=""/>
    <n v="8"/>
    <d v="2026-11-24T06:00:00"/>
    <n v="2026"/>
    <n v="11"/>
    <n v="48"/>
    <n v="36"/>
    <n v="864"/>
    <s v="Black glazing"/>
    <s v="AEM"/>
  </r>
  <r>
    <s v="26Aug005.07"/>
    <s v="Tianjin to Yixing"/>
    <s v="26Aug005"/>
    <s v="CORE DG"/>
    <x v="0"/>
    <s v="Arrival Plan-SPTN"/>
    <s v="CIF"/>
    <x v="0"/>
    <s v="U1"/>
    <x v="2"/>
    <m/>
    <m/>
    <s v="n/a"/>
    <d v="2026-08-24T00:00:00"/>
    <x v="0"/>
    <x v="27"/>
    <s v="HSM-ND54-DR500 CFP"/>
    <s v="EVO2A"/>
    <s v="±1200mm"/>
    <n v="500"/>
    <n v="864"/>
    <n v="0.432"/>
    <n v="24"/>
    <n v="1"/>
    <x v="18"/>
    <s v="IN-TRANSIT"/>
    <d v="2026-09-15T00:00:00"/>
    <d v="2026-09-21T00:00:00"/>
    <n v="39"/>
    <s v="POPV260924018"/>
    <m/>
    <s v="NINGBO"/>
    <x v="3"/>
    <x v="0"/>
    <d v="2026-09-17T00:00:00"/>
    <d v="2026-09-24T15:00:00"/>
    <d v="2026-09-24T15:59:53"/>
    <d v="2026-11-02T00:00:00"/>
    <d v="2026-11-16T06:00:00"/>
    <s v=""/>
    <m/>
    <s v="CSCL PACIFIC OCEAN 067W"/>
    <s v="COSCO"/>
    <s v="TPVB20260936018"/>
    <x v="673"/>
    <s v="COSU9509736980"/>
    <n v="52.583414351851388"/>
    <m/>
    <d v="2026-11-16T06:00:00"/>
    <s v="-"/>
    <s v=""/>
    <n v="8"/>
    <d v="2026-11-24T06:00:00"/>
    <n v="2026"/>
    <n v="11"/>
    <n v="48"/>
    <n v="36"/>
    <n v="864"/>
    <s v="Black glazing"/>
    <s v="AEM"/>
  </r>
  <r>
    <s v="26Aug006.06"/>
    <s v="Tianjin to Yixing"/>
    <s v="26Aug006"/>
    <s v="CORE DG"/>
    <x v="0"/>
    <s v="Arrival Plan-SPTN"/>
    <s v="CIF"/>
    <x v="0"/>
    <s v="U2"/>
    <x v="2"/>
    <m/>
    <m/>
    <s v="n/a"/>
    <d v="2026-08-24T00:00:00"/>
    <x v="0"/>
    <x v="26"/>
    <s v="HSM-ND54-DR505 CFP"/>
    <s v="EVO2A"/>
    <s v="±1200mm"/>
    <n v="505"/>
    <n v="864"/>
    <n v="0.43631999999999999"/>
    <n v="24"/>
    <n v="1"/>
    <x v="15"/>
    <s v="IN-TRANSIT"/>
    <d v="2026-09-15T00:00:00"/>
    <d v="2026-10-04T00:00:00"/>
    <n v="40"/>
    <s v="POPV261010011"/>
    <m/>
    <s v="NINGBO"/>
    <x v="3"/>
    <x v="0"/>
    <d v="2026-09-23T00:00:00"/>
    <d v="2026-10-08T00:00:00"/>
    <d v="2026-10-08T18:41:02"/>
    <d v="2026-11-09T00:00:00"/>
    <d v="2026-11-24T19:00:00"/>
    <s v=""/>
    <m/>
    <s v="EVER GRADE 029W"/>
    <s v="COSCO"/>
    <s v="TPVB20260936019"/>
    <x v="674"/>
    <s v="COSU9509739210"/>
    <n v="47.013171296290238"/>
    <m/>
    <d v="2026-11-24T19:00:00"/>
    <s v="-"/>
    <s v=""/>
    <n v="8"/>
    <d v="2026-12-02T19:00:00"/>
    <n v="2026"/>
    <n v="12"/>
    <n v="49"/>
    <n v="36"/>
    <n v="864"/>
    <s v="Black glazing"/>
    <s v="AEM"/>
  </r>
  <r>
    <s v="26Jul009.02"/>
    <s v="Yixing"/>
    <s v="26Jul009"/>
    <s v="CORE DG"/>
    <x v="0"/>
    <s v="Arrival Plan-SPNL"/>
    <s v="CIF"/>
    <x v="0"/>
    <s v="U1"/>
    <x v="2"/>
    <m/>
    <m/>
    <s v="n/a"/>
    <d v="2026-08-17T00:00:00"/>
    <x v="11"/>
    <x v="101"/>
    <s v="HSM-NT48-HH475"/>
    <s v="EVO2A"/>
    <s v="±1200mm"/>
    <n v="475"/>
    <n v="4680"/>
    <n v="2.2229999999999999"/>
    <n v="130"/>
    <n v="5"/>
    <x v="17"/>
    <s v="COMPLETED"/>
    <d v="2026-08-26T00:00:00"/>
    <d v="2026-09-14T00:00:00"/>
    <n v="38"/>
    <s v="POPV260918046"/>
    <m/>
    <s v="NINGBO"/>
    <x v="3"/>
    <x v="1"/>
    <d v="2026-09-15T00:00:00"/>
    <d v="2026-09-17T14:00:00"/>
    <d v="2026-09-17T14:44:37"/>
    <d v="2026-10-18T00:00:00"/>
    <d v="2026-10-21T14:00:00"/>
    <d v="2026-10-21T15:15:19"/>
    <m/>
    <s v="COSCO SHIPPING STAR 030W"/>
    <s v="COSCO"/>
    <s v="TPVB20260936003"/>
    <x v="675"/>
    <s v="COSU9509606910"/>
    <n v="34.021319444444089"/>
    <m/>
    <d v="2026-10-21T15:15:19"/>
    <s v="-"/>
    <s v=""/>
    <n v="7"/>
    <d v="2026-10-28T15:15:19"/>
    <n v="2026"/>
    <n v="10"/>
    <n v="44"/>
    <n v="36"/>
    <n v="936"/>
    <s v="Black glazing"/>
    <s v="AEU"/>
  </r>
  <r>
    <s v="26Jul009.04"/>
    <s v="Yixing"/>
    <s v="26Jul009"/>
    <s v="CORE DG"/>
    <x v="0"/>
    <s v="Arrival Plan-SPNL"/>
    <s v="CIF"/>
    <x v="0"/>
    <s v="U1"/>
    <x v="2"/>
    <m/>
    <m/>
    <s v="n/a"/>
    <d v="2026-08-17T00:00:00"/>
    <x v="11"/>
    <x v="101"/>
    <s v="HSM-NT48-HH475"/>
    <s v="EVO2A"/>
    <s v="±1200mm"/>
    <n v="475"/>
    <n v="936"/>
    <n v="0.4446"/>
    <n v="26"/>
    <n v="1"/>
    <x v="17"/>
    <s v="IN-TRANSIT"/>
    <d v="2026-08-26T00:00:00"/>
    <d v="2026-09-15T00:00:00"/>
    <n v="38"/>
    <s v="POPV260918045"/>
    <m/>
    <s v="NINGBO"/>
    <x v="3"/>
    <x v="1"/>
    <d v="2026-09-17T00:00:00"/>
    <d v="2026-09-19T09:00:00"/>
    <d v="2026-09-19T09:31:25"/>
    <d v="2026-10-20T00:00:00"/>
    <d v="2026-10-29T20:00:00"/>
    <s v=""/>
    <m/>
    <s v="EVER APEX 1417W"/>
    <s v="COSCO"/>
    <s v="TPVB20260936007"/>
    <x v="676"/>
    <s v="COSU9509606920"/>
    <n v="40.43651620370656"/>
    <m/>
    <d v="2026-10-29T20:00:00"/>
    <s v="-"/>
    <s v=""/>
    <n v="7"/>
    <d v="2026-11-05T20:00:00"/>
    <n v="2026"/>
    <n v="11"/>
    <n v="45"/>
    <n v="36"/>
    <n v="936"/>
    <s v="Black glazing"/>
    <s v="AEU"/>
  </r>
  <r>
    <s v="26Aug010.16"/>
    <s v="Yixing"/>
    <s v="26Aug010"/>
    <s v="UPP"/>
    <x v="0"/>
    <s v="Arrival Plan-SPNL"/>
    <s v="CIF"/>
    <x v="0"/>
    <s v="U1"/>
    <x v="2"/>
    <m/>
    <m/>
    <s v="n/a"/>
    <m/>
    <x v="0"/>
    <x v="97"/>
    <s v="HSM-ND66-GR625"/>
    <s v="H4(Com)"/>
    <s v="+400mm/-200mm"/>
    <n v="625"/>
    <n v="720"/>
    <n v="0.45"/>
    <n v="20"/>
    <n v="1"/>
    <x v="19"/>
    <s v="IN-TRANSIT"/>
    <s v="ready"/>
    <d v="2026-09-15T00:00:00"/>
    <n v="38"/>
    <s v="POPV260918063"/>
    <m/>
    <s v="NINGBO"/>
    <x v="3"/>
    <x v="1"/>
    <d v="2026-09-17T00:00:00"/>
    <d v="2026-09-19T00:00:00"/>
    <d v="2026-09-19T09:31:25"/>
    <d v="2026-10-20T00:00:00"/>
    <d v="2026-10-29T20:00:00"/>
    <s v=""/>
    <m/>
    <s v="EVER APEX 1417W"/>
    <s v="COSCO"/>
    <s v="TPVB20260936007"/>
    <x v="676"/>
    <s v="COSU9509606920"/>
    <n v="40.43651620370656"/>
    <m/>
    <d v="2026-10-29T20:00:00"/>
    <s v="-"/>
    <s v=""/>
    <n v="7"/>
    <d v="2026-11-05T20:00:00"/>
    <s v="n/a"/>
    <s v="n/a"/>
    <n v="45"/>
    <n v="36"/>
    <n v="720"/>
    <s v="Redirection Film"/>
    <s v="AEU"/>
  </r>
  <r>
    <s v="26Aug020.07"/>
    <s v="Yixing"/>
    <s v="26Aug020"/>
    <s v="CORE DG"/>
    <x v="0"/>
    <s v="Arrival Plan-SPNL"/>
    <s v="CIF"/>
    <x v="0"/>
    <s v="U1"/>
    <x v="2"/>
    <m/>
    <m/>
    <s v="n/a"/>
    <d v="2026-08-04T00:00:00"/>
    <x v="1"/>
    <x v="39"/>
    <s v="TCL-MR470DT182-58NS"/>
    <s v="EVO2A"/>
    <s v="±1200mm"/>
    <n v="470"/>
    <n v="864"/>
    <n v="0.40608"/>
    <n v="24"/>
    <n v="1"/>
    <x v="20"/>
    <m/>
    <s v="ready"/>
    <d v="2026-09-15T00:00:00"/>
    <n v="38"/>
    <s v="POPV260918053"/>
    <m/>
    <s v="NINGBO"/>
    <x v="3"/>
    <x v="1"/>
    <d v="2026-09-17T00:00:00"/>
    <d v="2026-09-19T00:00:00"/>
    <d v="2026-09-19T09:31:25"/>
    <d v="2026-10-20T00:00:00"/>
    <d v="2026-10-29T20:00:00"/>
    <s v=""/>
    <m/>
    <s v="EVER APEX 1417W"/>
    <s v="COSCO"/>
    <s v="TPVB20260936007"/>
    <x v="676"/>
    <s v="COSU9509606920"/>
    <n v="40.43651620370656"/>
    <m/>
    <d v="2026-10-29T20:00:00"/>
    <s v="-"/>
    <s v=""/>
    <n v="7"/>
    <d v="2026-11-05T20:00:00"/>
    <n v="2026"/>
    <n v="11"/>
    <n v="45"/>
    <n v="36"/>
    <n v="864"/>
    <s v="White glazing"/>
    <s v="AEU"/>
  </r>
  <r>
    <s v="26Jul007.05"/>
    <s v="Quzhou"/>
    <s v="26Jul007"/>
    <s v="CORE DG"/>
    <x v="1"/>
    <s v="SPTN Offstore in Transit WH"/>
    <s v="CIF"/>
    <x v="14"/>
    <s v="U6"/>
    <x v="169"/>
    <s v="PL0126080300008"/>
    <n v="2"/>
    <s v="Yes"/>
    <d v="2026-07-06T00:00:00"/>
    <x v="0"/>
    <x v="0"/>
    <s v="HSM-ND54-DR500"/>
    <s v="EVO2A"/>
    <s v="±1200mm"/>
    <n v="500"/>
    <n v="1728"/>
    <n v="0.86399999999999999"/>
    <n v="48"/>
    <n v="2"/>
    <x v="17"/>
    <s v="IN-TRANSIT"/>
    <s v="七月18日"/>
    <d v="2026-09-09T00:00:00"/>
    <n v="37"/>
    <s v="POPV260911035"/>
    <m/>
    <s v="NINGBO"/>
    <x v="3"/>
    <x v="9"/>
    <d v="2026-09-09T00:00:00"/>
    <d v="2026-09-13T18:45:00"/>
    <d v="2026-09-13T13:11:41"/>
    <d v="2026-10-28T00:00:00"/>
    <d v="2026-11-05T18:00:00"/>
    <s v=""/>
    <m/>
    <s v="OOCL VALENCIA 011W"/>
    <s v="COSCO"/>
    <s v="TPVB20260936005"/>
    <x v="677"/>
    <s v="COSU9509650560"/>
    <n v="53.200219907404971"/>
    <m/>
    <d v="2026-11-05T18:00:00"/>
    <s v="-"/>
    <s v=""/>
    <n v="0"/>
    <d v="2026-11-05T18:00:00"/>
    <n v="2026"/>
    <n v="11"/>
    <n v="45"/>
    <n v="36"/>
    <n v="864"/>
    <s v="Black glazing"/>
    <s v="AEU"/>
  </r>
  <r>
    <s v="26Jul007.06"/>
    <s v="Quzhou"/>
    <s v="26Jul007"/>
    <s v="CORE DG"/>
    <x v="0"/>
    <s v="Arrival Plan-SPTN"/>
    <s v="CIF"/>
    <x v="0"/>
    <s v="U1"/>
    <x v="2"/>
    <m/>
    <m/>
    <s v="n/a"/>
    <d v="2026-07-06T00:00:00"/>
    <x v="0"/>
    <x v="0"/>
    <s v="HSM-ND54-DR500"/>
    <s v="EVO2A"/>
    <s v="±1200mm"/>
    <n v="500"/>
    <n v="864"/>
    <n v="0.432"/>
    <n v="24"/>
    <n v="1"/>
    <x v="17"/>
    <s v="IN-TRANSIT"/>
    <s v="ready"/>
    <d v="2026-09-09T00:00:00"/>
    <n v="37"/>
    <s v="POPV260911039"/>
    <m/>
    <s v="NINGBO"/>
    <x v="3"/>
    <x v="0"/>
    <d v="2026-09-12T00:00:00"/>
    <d v="2026-09-14T00:00:00"/>
    <d v="2026-09-14T19:21:37"/>
    <d v="2026-10-26T00:00:00"/>
    <d v="2026-11-10T06:00:00"/>
    <s v=""/>
    <m/>
    <s v="OOCL INDONESIA 037W"/>
    <s v="COSCO"/>
    <s v="TPVB20260936006"/>
    <x v="678"/>
    <s v="COSU9509488350"/>
    <n v="56.443321759259561"/>
    <m/>
    <d v="2026-11-10T06:00:00"/>
    <s v="-"/>
    <s v=""/>
    <n v="8"/>
    <d v="2026-11-18T06:00:00"/>
    <n v="2026"/>
    <n v="11"/>
    <n v="47"/>
    <n v="36"/>
    <n v="864"/>
    <s v="Black glazing"/>
    <s v="AEM"/>
  </r>
  <r>
    <s v="26Aug005"/>
    <s v="Tianjin"/>
    <s v="Main Line"/>
    <s v="CORE DG"/>
    <x v="0"/>
    <s v="Arrival Plan-SPTN"/>
    <s v="CIF"/>
    <x v="0"/>
    <s v="U1"/>
    <x v="2"/>
    <m/>
    <m/>
    <s v="n/a"/>
    <d v="2026-08-24T00:00:00"/>
    <x v="0"/>
    <x v="27"/>
    <s v="HSM-ND54-DR500 CFP"/>
    <s v="EVO2A"/>
    <s v="±1200mm"/>
    <n v="500"/>
    <n v="1728"/>
    <n v="0.86399999999999999"/>
    <n v="48"/>
    <n v="2"/>
    <x v="17"/>
    <s v="IN-TRANSIT"/>
    <m/>
    <d v="2026-09-03T00:00:00"/>
    <n v="36"/>
    <s v="POPV260904018"/>
    <m/>
    <s v="TIANJIN"/>
    <x v="0"/>
    <x v="0"/>
    <d v="2026-09-11T00:00:00"/>
    <d v="2026-09-10T20:00:00"/>
    <d v="2026-09-10T20:44:55"/>
    <d v="2026-11-04T00:00:00"/>
    <d v="2026-11-06T20:00:00"/>
    <s v=""/>
    <s v="CIF"/>
    <s v="COSCO SHIPPING ARIES 038W"/>
    <s v="COSCO"/>
    <s v="TPVB20260836005"/>
    <x v="679"/>
    <s v="COSU9509531260"/>
    <n v="56.968807870369346"/>
    <m/>
    <d v="2026-11-06T20:00:00"/>
    <s v="-"/>
    <s v=""/>
    <n v="8"/>
    <d v="2026-11-14T20:00:00"/>
    <n v="2026"/>
    <n v="11"/>
    <n v="46"/>
    <n v="36"/>
    <n v="864"/>
    <s v="Black glazing"/>
    <s v="AEM"/>
  </r>
  <r>
    <s v="26Aug005.04"/>
    <s v="Tianjin"/>
    <s v="26Aug005"/>
    <s v="CORE DG"/>
    <x v="0"/>
    <s v="Arrival Plan-SPTN"/>
    <s v="CIF"/>
    <x v="0"/>
    <s v="U1"/>
    <x v="2"/>
    <m/>
    <m/>
    <s v="n/a"/>
    <d v="2026-08-24T00:00:00"/>
    <x v="0"/>
    <x v="27"/>
    <s v="HSM-ND54-DR500 CFP"/>
    <s v="EVO2A"/>
    <s v="±1200mm"/>
    <n v="500"/>
    <n v="3456"/>
    <n v="1.728"/>
    <n v="96"/>
    <n v="4"/>
    <x v="17"/>
    <s v="IN-TRANSIT"/>
    <m/>
    <d v="2026-09-03T00:00:00"/>
    <n v="36"/>
    <s v="POPV260904019"/>
    <m/>
    <s v="TIANJIN"/>
    <x v="0"/>
    <x v="0"/>
    <d v="2026-09-11T00:00:00"/>
    <d v="2026-09-10T20:00:00"/>
    <d v="2026-09-10T20:44:55"/>
    <d v="2026-11-16T00:00:00"/>
    <d v="2026-11-22T06:00:00"/>
    <s v=""/>
    <s v="CIF"/>
    <s v="COSCO SHIPPING ARIES 038W"/>
    <s v="COSCO"/>
    <s v="TPVB20260836006"/>
    <x v="680"/>
    <s v="COSU9509531180"/>
    <n v="72.385474537033588"/>
    <m/>
    <d v="2026-11-22T06:00:00"/>
    <s v="-"/>
    <s v=""/>
    <n v="8"/>
    <d v="2026-11-30T06:00:00"/>
    <n v="2026"/>
    <n v="11"/>
    <n v="49"/>
    <n v="36"/>
    <n v="864"/>
    <s v="Black glazing"/>
    <s v="AEM"/>
  </r>
  <r>
    <s v="26Jun021.01"/>
    <s v="Tianjin"/>
    <s v="26Jun021"/>
    <s v="CORE DG"/>
    <x v="0"/>
    <s v="Arrival Plan-SPNL"/>
    <s v="CIF"/>
    <x v="0"/>
    <s v="U1"/>
    <x v="2"/>
    <m/>
    <m/>
    <s v="n/a"/>
    <d v="2026-06-29T00:00:00"/>
    <x v="3"/>
    <x v="95"/>
    <s v="HSM-BD66-GR650"/>
    <s v="EVO2A"/>
    <s v="±1400mm"/>
    <n v="650"/>
    <n v="5760"/>
    <n v="3.7440000000000002"/>
    <n v="160"/>
    <n v="8"/>
    <x v="17"/>
    <s v="IN-TRANSIT"/>
    <s v="HC500改FOS 补舱"/>
    <d v="2026-09-03T00:00:00"/>
    <n v="36"/>
    <s v="POPV260904013"/>
    <m/>
    <s v="TIANJIN"/>
    <x v="0"/>
    <x v="1"/>
    <d v="2026-09-11T00:00:00"/>
    <d v="2026-09-10T20:00:00"/>
    <d v="2026-09-10T20:44:55"/>
    <d v="2026-10-26T00:00:00"/>
    <d v="2026-11-01T04:00:00"/>
    <s v=""/>
    <s v="CIF"/>
    <s v="COSCO SHIPPING ARIES 038W"/>
    <s v="COSCO"/>
    <s v="TPVB20260836002"/>
    <x v="681"/>
    <s v="COSU6464983000"/>
    <n v="51.302141203697829"/>
    <m/>
    <d v="2026-11-01T04:00:00"/>
    <s v="-"/>
    <s v=""/>
    <n v="7"/>
    <d v="2026-11-08T04:00:00"/>
    <n v="2026"/>
    <n v="11"/>
    <n v="45"/>
    <n v="36"/>
    <n v="720"/>
    <s v="White glazing"/>
    <s v="AEU"/>
  </r>
  <r>
    <s v="26Jun021.02"/>
    <s v="Tianjin"/>
    <s v="26Jun021"/>
    <s v="CORE DG"/>
    <x v="0"/>
    <s v="Arrival Plan-SPNL"/>
    <s v="CIF"/>
    <x v="0"/>
    <s v="U1"/>
    <x v="2"/>
    <m/>
    <m/>
    <s v="n/a"/>
    <d v="2026-06-29T00:00:00"/>
    <x v="3"/>
    <x v="95"/>
    <s v="HSM-BD66-GR650"/>
    <s v="EVO2A"/>
    <s v="±1400mm"/>
    <n v="650"/>
    <n v="5760"/>
    <n v="3.7440000000000002"/>
    <n v="160"/>
    <n v="8"/>
    <x v="17"/>
    <s v="IN-TRANSIT"/>
    <s v="HC500改FOS 补舱"/>
    <d v="2026-09-04T00:00:00"/>
    <n v="36"/>
    <s v="POPV260911066"/>
    <m/>
    <s v="TIANJIN"/>
    <x v="0"/>
    <x v="1"/>
    <d v="2026-09-11T00:00:00"/>
    <d v="2026-09-10T20:00:00"/>
    <d v="2026-09-10T20:44:55"/>
    <d v="2026-10-26T00:00:00"/>
    <d v="2026-11-01T04:00:00"/>
    <s v=""/>
    <s v="CIF"/>
    <s v="COSCO SHIPPING ARIES 038W"/>
    <s v="COSCO"/>
    <s v="TPVB20260836003"/>
    <x v="682"/>
    <s v="COSU9509511700"/>
    <n v="51.302141203697829"/>
    <m/>
    <d v="2026-11-01T04:00:00"/>
    <s v="-"/>
    <s v=""/>
    <n v="7"/>
    <d v="2026-11-08T04:00:00"/>
    <n v="2026"/>
    <n v="11"/>
    <n v="45"/>
    <n v="36"/>
    <n v="720"/>
    <s v="White glazing"/>
    <s v="AEU"/>
  </r>
  <r>
    <s v="26Aug011.01"/>
    <s v="Tianjin"/>
    <s v="26Aug011"/>
    <s v="UPP"/>
    <x v="1"/>
    <s v="SPTN Offstore in Transit WH"/>
    <s v="FOB"/>
    <x v="10"/>
    <s v="U4"/>
    <x v="178"/>
    <s v="DE0126080600001"/>
    <n v="1"/>
    <s v="Yes"/>
    <m/>
    <x v="3"/>
    <x v="102"/>
    <s v="HSM-BD66-GR650"/>
    <s v="H4(Com)"/>
    <s v="+400mm/-200mm"/>
    <n v="650"/>
    <n v="1440"/>
    <n v="0.93600000000000005"/>
    <n v="40"/>
    <n v="2"/>
    <x v="17"/>
    <s v="IN-TRANSIT"/>
    <d v="2026-09-03T00:00:00"/>
    <d v="2026-09-04T00:00:00"/>
    <n v="36"/>
    <s v="POPV260911029"/>
    <m/>
    <s v="TIANJIN"/>
    <x v="0"/>
    <x v="1"/>
    <d v="2026-09-07T00:00:00"/>
    <d v="2026-09-12T00:00:00"/>
    <d v="2026-09-13T00:00:00"/>
    <d v="2026-10-24T00:00:00"/>
    <d v="2026-10-29T00:00:00"/>
    <m/>
    <s v="FOB"/>
    <s v="MSC OLIVER V.GT636W"/>
    <s v="OTHER"/>
    <s v="TPVB20260836001"/>
    <x v="683"/>
    <s v="N235186781"/>
    <m/>
    <m/>
    <d v="2026-10-29T00:00:00"/>
    <s v="-"/>
    <s v=""/>
    <n v="0"/>
    <d v="2026-10-29T00:00:00"/>
    <n v="2026"/>
    <n v="10"/>
    <n v="44"/>
    <n v="36"/>
    <n v="720"/>
    <s v="White glazing"/>
    <s v="AEU"/>
  </r>
  <r>
    <s v="26Aug012.01"/>
    <s v="Tianjin"/>
    <s v="26Aug012"/>
    <s v="UPP"/>
    <x v="1"/>
    <s v="SPTN Offstore in Transit WH"/>
    <s v="FOB"/>
    <x v="10"/>
    <s v="U4"/>
    <x v="178"/>
    <s v="DE0126080600001"/>
    <n v="2"/>
    <s v="Yes"/>
    <m/>
    <x v="3"/>
    <x v="103"/>
    <s v="HSM-BD66-GR655"/>
    <s v="H4(Com)"/>
    <s v="+400mm/-200mm"/>
    <n v="655"/>
    <n v="2160"/>
    <n v="1.4148000000000001"/>
    <n v="60"/>
    <n v="3"/>
    <x v="17"/>
    <s v="IN-TRANSIT"/>
    <d v="2026-09-12T00:00:00"/>
    <d v="2026-09-04T00:00:00"/>
    <n v="36"/>
    <s v="POPV260911033"/>
    <m/>
    <s v="TIANJIN"/>
    <x v="0"/>
    <x v="1"/>
    <d v="2026-09-07T00:00:00"/>
    <d v="2026-09-12T00:00:00"/>
    <d v="2026-09-13T00:00:00"/>
    <d v="2026-10-24T00:00:00"/>
    <d v="2026-10-29T00:00:00"/>
    <m/>
    <s v="FOB"/>
    <s v="MSC OLIVER V.GT636W"/>
    <s v="OTHER"/>
    <s v="TPVB20260836001"/>
    <x v="683"/>
    <s v="N235186781"/>
    <n v="46"/>
    <m/>
    <d v="2026-10-29T00:00:00"/>
    <s v="-"/>
    <s v=""/>
    <n v="0"/>
    <d v="2026-10-29T00:00:00"/>
    <s v="n/a"/>
    <s v="n/a"/>
    <n v="44"/>
    <n v="36"/>
    <n v="720"/>
    <s v="White glazing"/>
    <s v="AEU"/>
  </r>
  <r>
    <s v="26Aug003.02"/>
    <s v="Tianjin(Transport to Yixing for shipment)"/>
    <s v="26Aug003"/>
    <s v="CORE DG"/>
    <x v="1"/>
    <s v="SPTN Offstore in Transit WH"/>
    <s v="CIF"/>
    <x v="27"/>
    <s v="U4"/>
    <x v="186"/>
    <s v="PL0126090800021"/>
    <n v="1"/>
    <s v="Yes"/>
    <d v="2026-08-03T00:00:00"/>
    <x v="0"/>
    <x v="0"/>
    <s v="HSM-ND54-DR500"/>
    <s v="EVO2A"/>
    <s v="±1200mm"/>
    <n v="500"/>
    <n v="4320"/>
    <n v="2.16"/>
    <n v="120"/>
    <n v="5"/>
    <x v="18"/>
    <m/>
    <s v="Gdasnk"/>
    <d v="2026-09-11T00:00:00"/>
    <n v="37"/>
    <s v="POPV260915017"/>
    <m/>
    <s v="SHANGHAI"/>
    <x v="1"/>
    <x v="9"/>
    <d v="2026-09-14T00:00:00"/>
    <d v="2026-09-14T00:00:00"/>
    <d v="2026-09-14T16:47:44"/>
    <d v="2026-11-04T00:00:00"/>
    <d v="2026-11-12T06:00:00"/>
    <s v=""/>
    <m/>
    <s v="OOCL FINLAND 009W"/>
    <s v="COSCO"/>
    <s v="TPVB20260937012"/>
    <x v="684"/>
    <s v="COSU6465715640"/>
    <n v="58.550185185187729"/>
    <m/>
    <d v="2026-11-12T06:00:00"/>
    <s v="-"/>
    <s v=""/>
    <n v="0"/>
    <d v="2026-11-12T06:00:00"/>
    <n v="2026"/>
    <n v="11"/>
    <n v="46"/>
    <n v="36"/>
    <n v="864"/>
    <s v="Black glazing"/>
    <s v="AEU"/>
  </r>
  <r>
    <s v="26Aug020.05"/>
    <s v="Yixing"/>
    <s v="26Aug020"/>
    <s v="CORE DG"/>
    <x v="0"/>
    <s v="Arrival Plan-SPNL"/>
    <s v="CIF"/>
    <x v="0"/>
    <s v="U1"/>
    <x v="2"/>
    <m/>
    <m/>
    <s v="n/a"/>
    <d v="2026-08-04T00:00:00"/>
    <x v="1"/>
    <x v="39"/>
    <s v="TCL-MR470DT182-58NS"/>
    <s v="EVO2A"/>
    <s v="±1200mm"/>
    <n v="470"/>
    <n v="4320"/>
    <n v="2.0304000000000002"/>
    <n v="120"/>
    <n v="5"/>
    <x v="20"/>
    <m/>
    <s v="ready"/>
    <d v="2026-09-15T00:00:00"/>
    <n v="38"/>
    <s v="POPV260918032"/>
    <m/>
    <s v="SHANGHAI"/>
    <x v="1"/>
    <x v="1"/>
    <d v="2026-09-14T00:00:00"/>
    <d v="2026-09-29T00:00:00"/>
    <d v="2026-09-29T00:00:00"/>
    <d v="2026-10-24T00:00:00"/>
    <d v="2026-11-12T00:00:00"/>
    <m/>
    <m/>
    <s v="EVER ALLY 0LAO1W1MA/1419004W"/>
    <s v="OTHER"/>
    <s v="TPVB20260937001 "/>
    <x v="685"/>
    <s v="CHN3908478"/>
    <n v="44"/>
    <m/>
    <d v="2026-11-12T00:00:00"/>
    <s v="-"/>
    <s v=""/>
    <n v="7"/>
    <d v="2026-11-19T00:00:00"/>
    <n v="2026"/>
    <n v="11"/>
    <n v="47"/>
    <n v="36"/>
    <n v="864"/>
    <s v="White glazing"/>
    <s v="AEU"/>
  </r>
  <r>
    <s v="26Jul009.01"/>
    <s v="Yixing"/>
    <s v="26Jul009"/>
    <s v="CORE DG"/>
    <x v="0"/>
    <s v="Arrival Plan-SPNL"/>
    <s v="CIF"/>
    <x v="0"/>
    <s v="U1"/>
    <x v="2"/>
    <m/>
    <m/>
    <s v="n/a"/>
    <d v="2026-08-17T00:00:00"/>
    <x v="11"/>
    <x v="101"/>
    <s v="HSM-NT48-HH475"/>
    <s v="EVO2A"/>
    <s v="±1200mm"/>
    <n v="475"/>
    <n v="2808"/>
    <n v="1.3338000000000001"/>
    <n v="78"/>
    <n v="3"/>
    <x v="17"/>
    <s v="IN-TRANSIT"/>
    <d v="2026-08-26T00:00:00"/>
    <d v="2026-09-15T00:00:00"/>
    <n v="38"/>
    <s v="POPV260918044"/>
    <m/>
    <s v="SHANGHAI"/>
    <x v="1"/>
    <x v="1"/>
    <d v="2026-09-14T00:00:00"/>
    <d v="2026-09-29T00:00:00"/>
    <d v="2026-09-29T00:00:00"/>
    <d v="2026-10-24T00:00:00"/>
    <d v="2026-11-12T00:00:00"/>
    <s v=""/>
    <m/>
    <s v="EVER ALLY 0LAO1W1MA/1419004W"/>
    <s v="OTHER"/>
    <s v="TPVB20260937001 "/>
    <x v="685"/>
    <s v="CHN3908494"/>
    <n v="44"/>
    <m/>
    <d v="2026-11-12T00:00:00"/>
    <s v="-"/>
    <s v=""/>
    <n v="7"/>
    <d v="2026-11-19T00:00:00"/>
    <n v="2026"/>
    <n v="11"/>
    <n v="47"/>
    <n v="36"/>
    <n v="936"/>
    <s v="Black glazing"/>
    <s v="AEU"/>
  </r>
  <r>
    <s v="26Aug020.04"/>
    <s v="Yixing"/>
    <s v="26Aug020"/>
    <s v="CORE DG"/>
    <x v="0"/>
    <s v="Arrival Plan-SPNL"/>
    <s v="CIF"/>
    <x v="0"/>
    <s v="U1"/>
    <x v="2"/>
    <m/>
    <m/>
    <s v="n/a"/>
    <d v="2026-08-04T00:00:00"/>
    <x v="1"/>
    <x v="39"/>
    <s v="TCL-MR470DT182-58NS"/>
    <s v="EVO2A"/>
    <s v="±1200mm"/>
    <n v="470"/>
    <n v="1728"/>
    <n v="0.81215999999999999"/>
    <n v="48"/>
    <n v="2"/>
    <x v="20"/>
    <m/>
    <s v="ready"/>
    <d v="2026-09-15T00:00:00"/>
    <n v="38"/>
    <s v="POPV260918033"/>
    <m/>
    <s v="SHANGHAI"/>
    <x v="1"/>
    <x v="1"/>
    <d v="2026-09-14T00:00:00"/>
    <d v="2026-09-29T00:00:00"/>
    <d v="2026-09-29T00:00:00"/>
    <d v="2026-10-24T00:00:00"/>
    <d v="2026-11-12T00:00:00"/>
    <s v=""/>
    <m/>
    <s v="EVER ALLY 0LAO1W1MA/1419004W"/>
    <s v="OTHER"/>
    <s v="TPVB20260937001 "/>
    <x v="685"/>
    <s v="CHN3908494"/>
    <n v="44"/>
    <m/>
    <d v="2026-11-12T00:00:00"/>
    <s v="-"/>
    <s v=""/>
    <n v="7"/>
    <d v="2026-11-19T00:00:00"/>
    <n v="2026"/>
    <n v="11"/>
    <n v="47"/>
    <n v="36"/>
    <n v="864"/>
    <s v="White glazing"/>
    <s v="AEU"/>
  </r>
  <r>
    <s v="26Jun033.03"/>
    <s v="Yixing"/>
    <s v="26Jun033"/>
    <s v="CORE DG"/>
    <x v="0"/>
    <s v="Arrival Plan-SPNL"/>
    <s v="CIF"/>
    <x v="0"/>
    <s v="U1"/>
    <x v="2"/>
    <m/>
    <m/>
    <s v="n/a"/>
    <d v="2026-07-06T00:00:00"/>
    <x v="0"/>
    <x v="90"/>
    <s v="HSM-ND66-GK725"/>
    <s v="EVO2A"/>
    <s v="±1400mm"/>
    <n v="725"/>
    <n v="2970"/>
    <n v="2.1532499999999999"/>
    <n v="90"/>
    <n v="5"/>
    <x v="18"/>
    <s v="IN-TRANSIT"/>
    <s v="七月28日"/>
    <d v="2026-09-15T00:00:00"/>
    <n v="38"/>
    <s v="POPV260918049"/>
    <m/>
    <s v="SHANGHAI"/>
    <x v="1"/>
    <x v="1"/>
    <d v="2026-09-14T00:00:00"/>
    <d v="2026-09-20T00:00:00"/>
    <d v="2026-09-21T00:00:00"/>
    <d v="2026-10-24T00:00:00"/>
    <d v="2026-11-05T00:00:00"/>
    <m/>
    <m/>
    <s v="CMA CGM SEINE / 0FMMWW1MA"/>
    <s v="OTHER"/>
    <s v="TPVB20260937002"/>
    <x v="686"/>
    <s v="CHN3908524"/>
    <m/>
    <m/>
    <d v="2026-11-05T00:00:00"/>
    <s v="-"/>
    <s v=""/>
    <n v="7"/>
    <d v="2026-11-12T00:00:00"/>
    <n v="2026"/>
    <n v="11"/>
    <n v="46"/>
    <n v="33"/>
    <n v="594"/>
    <s v="Transparent"/>
    <s v="AEU"/>
  </r>
  <r>
    <s v="26Jul009.05"/>
    <s v="Yixing"/>
    <s v="26Jul009"/>
    <s v="CORE DG"/>
    <x v="0"/>
    <s v="Arrival Plan-SPNL"/>
    <s v="CIF"/>
    <x v="0"/>
    <s v="U1"/>
    <x v="2"/>
    <m/>
    <m/>
    <s v="n/a"/>
    <d v="2026-08-17T00:00:00"/>
    <x v="11"/>
    <x v="101"/>
    <s v="HSM-NT48-HH475"/>
    <s v="EVO2A"/>
    <s v="±1200mm"/>
    <n v="475"/>
    <n v="936"/>
    <n v="0.4446"/>
    <n v="26"/>
    <n v="1"/>
    <x v="17"/>
    <s v="IN-TRANSIT"/>
    <d v="2026-08-26T00:00:00"/>
    <d v="2026-09-15T00:00:00"/>
    <n v="38"/>
    <s v="POPV260918043"/>
    <m/>
    <s v="SHANGHAI"/>
    <x v="1"/>
    <x v="1"/>
    <d v="2026-09-14T00:00:00"/>
    <d v="2026-09-20T00:00:00"/>
    <d v="2026-09-21T00:00:00"/>
    <d v="2026-10-24T00:00:00"/>
    <d v="2026-11-05T00:00:00"/>
    <s v=""/>
    <m/>
    <s v="CMA CGM SEINE / 0FMMWW1MA"/>
    <s v="OTHER"/>
    <s v="TPVB20260937002"/>
    <x v="686"/>
    <s v="CHN3908534"/>
    <n v="45"/>
    <m/>
    <d v="2026-11-05T00:00:00"/>
    <s v="-"/>
    <s v=""/>
    <n v="7"/>
    <d v="2026-11-12T00:00:00"/>
    <n v="2026"/>
    <n v="11"/>
    <n v="46"/>
    <n v="36"/>
    <n v="936"/>
    <s v="Black glazing"/>
    <s v="AEU"/>
  </r>
  <r>
    <s v="26Aug020.02"/>
    <s v="Yixing"/>
    <s v="26Aug020"/>
    <s v="CORE DG"/>
    <x v="0"/>
    <s v="Arrival Plan-SPNL"/>
    <s v="CIF"/>
    <x v="0"/>
    <s v="U1"/>
    <x v="2"/>
    <m/>
    <m/>
    <s v="n/a"/>
    <d v="2026-08-04T00:00:00"/>
    <x v="1"/>
    <x v="39"/>
    <s v="TCL-MR470DT182-58NS"/>
    <s v="EVO2A"/>
    <s v="±1200mm"/>
    <n v="470"/>
    <n v="3456"/>
    <n v="1.62432"/>
    <n v="96"/>
    <n v="4"/>
    <x v="18"/>
    <m/>
    <s v="ready"/>
    <d v="2026-09-15T00:00:00"/>
    <m/>
    <s v="POPV260918041"/>
    <m/>
    <s v="SHANGHAI"/>
    <x v="1"/>
    <x v="1"/>
    <d v="2026-09-14T00:00:00"/>
    <d v="2026-09-20T00:00:00"/>
    <d v="2026-09-21T00:00:00"/>
    <d v="2026-10-24T00:00:00"/>
    <d v="2026-11-05T00:00:00"/>
    <m/>
    <m/>
    <s v="CMA CGM SEINE / 0FMMWW1MA"/>
    <s v="OTHER"/>
    <s v="TPVB20260937002"/>
    <x v="686"/>
    <s v="CHN3908534"/>
    <n v="45"/>
    <m/>
    <d v="2026-11-05T00:00:00"/>
    <s v="-"/>
    <s v=""/>
    <n v="7"/>
    <d v="2026-11-12T00:00:00"/>
    <n v="2026"/>
    <n v="11"/>
    <n v="46"/>
    <n v="36"/>
    <n v="864"/>
    <s v="White glazing"/>
    <s v="AEU"/>
  </r>
  <r>
    <s v="26Aug002.08"/>
    <s v="Yixing"/>
    <s v="26Aug002"/>
    <s v="CORE DG"/>
    <x v="0"/>
    <s v="Arrival Plan-SPNL"/>
    <s v="CIF"/>
    <x v="0"/>
    <s v="U1"/>
    <x v="2"/>
    <m/>
    <m/>
    <s v="n/a"/>
    <d v="2026-07-12T00:00:00"/>
    <x v="6"/>
    <x v="69"/>
    <s v="SPR-P7-515-BLK-P"/>
    <s v="EVO2A"/>
    <s v="±1350mm"/>
    <n v="515"/>
    <n v="1584"/>
    <n v="0.81576000000000004"/>
    <n v="44"/>
    <n v="2"/>
    <x v="18"/>
    <s v="IN-TRANSIT"/>
    <s v="ready"/>
    <d v="2026-09-09T00:00:00"/>
    <n v="37"/>
    <s v="POPV260911059"/>
    <m/>
    <s v="SHANGHAI"/>
    <x v="1"/>
    <x v="1"/>
    <d v="2026-09-14T00:00:00"/>
    <d v="2026-09-21T10:30:00"/>
    <d v="2026-09-21T10:51:05"/>
    <d v="2026-10-24T00:00:00"/>
    <d v="2026-11-07T15:00:00"/>
    <s v=""/>
    <m/>
    <s v="EVER GLOBE 1418-027W"/>
    <s v="COSCO"/>
    <s v="TPVB20260937007"/>
    <x v="687"/>
    <s v="COSU6465717250"/>
    <n v="47.17285879629344"/>
    <m/>
    <d v="2026-11-07T15:00:00"/>
    <s v="-"/>
    <s v=""/>
    <n v="7"/>
    <d v="2026-11-14T15:00:00"/>
    <s v="n/a"/>
    <s v="n/a"/>
    <n v="46"/>
    <n v="36"/>
    <n v="792"/>
    <s v="Black glazing"/>
    <s v="AEU"/>
  </r>
  <r>
    <s v="26Jun033.02"/>
    <s v="Yixing"/>
    <s v="26Jun033"/>
    <s v="CORE DG"/>
    <x v="0"/>
    <s v="Arrival Plan-SPNL"/>
    <s v="CIF"/>
    <x v="0"/>
    <s v="U1"/>
    <x v="2"/>
    <m/>
    <m/>
    <s v="n/a"/>
    <d v="2026-07-06T00:00:00"/>
    <x v="0"/>
    <x v="90"/>
    <s v="HSM-ND66-GK725"/>
    <s v="EVO2A"/>
    <s v="±1400mm"/>
    <n v="725"/>
    <n v="1782"/>
    <n v="1.2919499999999999"/>
    <n v="54"/>
    <n v="3"/>
    <x v="18"/>
    <s v="IN-TRANSIT"/>
    <s v="七月28日"/>
    <d v="2026-09-09T00:00:00"/>
    <n v="37"/>
    <s v="POPV260911034"/>
    <m/>
    <s v="SHANGHAI"/>
    <x v="1"/>
    <x v="1"/>
    <d v="2026-09-14T00:00:00"/>
    <d v="2026-09-21T10:30:00"/>
    <d v="2026-09-21T10:51:05"/>
    <d v="2026-10-24T00:00:00"/>
    <d v="2026-11-07T15:00:00"/>
    <s v=""/>
    <m/>
    <s v="EVER GLOBE 1418-027W"/>
    <s v="COSCO"/>
    <s v="TPVB20260937007"/>
    <x v="687"/>
    <s v="COSU6465717250"/>
    <n v="47.17285879629344"/>
    <m/>
    <d v="2026-11-07T15:00:00"/>
    <s v="-"/>
    <s v=""/>
    <n v="7"/>
    <d v="2026-11-14T15:00:00"/>
    <n v="2026"/>
    <n v="11"/>
    <n v="46"/>
    <n v="33"/>
    <n v="594"/>
    <s v="Transparent"/>
    <s v="AEU"/>
  </r>
  <r>
    <s v="26Jul009.03"/>
    <s v="Yixing"/>
    <s v="26Jul009"/>
    <s v="CORE DG"/>
    <x v="0"/>
    <s v="Arrival Plan-SPNL"/>
    <s v="CIF"/>
    <x v="0"/>
    <s v="U1"/>
    <x v="2"/>
    <m/>
    <m/>
    <s v="n/a"/>
    <d v="2026-08-17T00:00:00"/>
    <x v="11"/>
    <x v="101"/>
    <s v="HSM-NT48-HH475"/>
    <s v="EVO2A"/>
    <s v="±1200mm"/>
    <n v="475"/>
    <n v="1872"/>
    <n v="0.88919999999999999"/>
    <n v="52"/>
    <n v="2"/>
    <x v="17"/>
    <s v="IN-TRANSIT"/>
    <d v="2026-08-26T00:00:00"/>
    <d v="2026-09-06T00:00:00"/>
    <n v="36"/>
    <s v="POPV260911052"/>
    <m/>
    <s v="SHANGHAI"/>
    <x v="1"/>
    <x v="1"/>
    <d v="2026-09-12T00:00:00"/>
    <d v="2026-09-17T09:30:00"/>
    <d v="2026-09-17T06:51:06"/>
    <d v="2026-10-31T00:00:00"/>
    <d v="2026-10-29T19:00:00"/>
    <s v=""/>
    <m/>
    <s v="COSCO FORTUNE 084W"/>
    <s v="COSCO"/>
    <s v="TPVB20260937006"/>
    <x v="688"/>
    <s v="COSU6466066070"/>
    <n v="42.506180555552419"/>
    <m/>
    <d v="2026-10-29T19:00:00"/>
    <s v="-"/>
    <s v=""/>
    <n v="7"/>
    <d v="2026-11-05T19:00:00"/>
    <n v="2026"/>
    <n v="11"/>
    <n v="45"/>
    <n v="36"/>
    <n v="936"/>
    <s v="Black glazing"/>
    <s v="AEU"/>
  </r>
  <r>
    <s v="26Jul020.01"/>
    <s v="Yixing"/>
    <s v="26Jul020"/>
    <s v="CORE DG"/>
    <x v="0"/>
    <s v="Arrival Plan-SPNL"/>
    <s v="CIF"/>
    <x v="0"/>
    <s v="U1"/>
    <x v="2"/>
    <m/>
    <m/>
    <s v="n/a"/>
    <d v="2026-08-17T00:00:00"/>
    <x v="11"/>
    <x v="104"/>
    <s v="HSM-NT48-HH480"/>
    <s v="EVO2A"/>
    <s v="±1200mm"/>
    <n v="480"/>
    <n v="5616"/>
    <n v="2.6956799999999999"/>
    <n v="156"/>
    <n v="6"/>
    <x v="17"/>
    <s v="IN-TRANSIT"/>
    <d v="2026-08-26T00:00:00"/>
    <d v="2026-09-06T00:00:00"/>
    <n v="36"/>
    <s v="POPV260911056"/>
    <m/>
    <s v="SHANGHAI"/>
    <x v="1"/>
    <x v="1"/>
    <d v="2026-09-12T00:00:00"/>
    <d v="2026-09-17T09:30:00"/>
    <d v="2026-09-17T06:51:06"/>
    <d v="2026-10-31T00:00:00"/>
    <d v="2026-10-29T19:00:00"/>
    <s v=""/>
    <m/>
    <s v="COSCO FORTUNE 084W"/>
    <s v="COSCO"/>
    <s v="TPVB20260937006"/>
    <x v="688"/>
    <s v="COSU6466066070"/>
    <n v="42.506180555552419"/>
    <m/>
    <d v="2026-10-29T19:00:00"/>
    <s v="-"/>
    <s v=""/>
    <n v="7"/>
    <d v="2026-11-05T19:00:00"/>
    <n v="2026"/>
    <n v="11"/>
    <n v="45"/>
    <n v="36"/>
    <n v="936"/>
    <s v="Black glazing"/>
    <s v="AEU"/>
  </r>
  <r>
    <s v="26Aug009.08"/>
    <s v="Yixing"/>
    <s v="26Aug009"/>
    <s v="UPP"/>
    <x v="1"/>
    <s v="SPTN Offstore in Transit WH"/>
    <s v="CIF"/>
    <x v="10"/>
    <s v="U2"/>
    <x v="178"/>
    <s v="DE0126080400009"/>
    <n v="8"/>
    <s v="Yes"/>
    <m/>
    <x v="0"/>
    <x v="100"/>
    <s v="HSM-ND66-GR620"/>
    <s v="H4(Com)"/>
    <s v="+400mm/-200mm"/>
    <n v="620"/>
    <n v="7920"/>
    <n v="4.9104000000000001"/>
    <n v="220"/>
    <n v="11"/>
    <x v="18"/>
    <s v="IN-TRANSIT"/>
    <s v="ready"/>
    <d v="2026-09-12T00:00:00"/>
    <n v="37"/>
    <s v="POPV260918035"/>
    <m/>
    <s v="SHANGHAI"/>
    <x v="1"/>
    <x v="1"/>
    <d v="2026-09-20T00:00:00"/>
    <d v="2026-09-16T15:00:00"/>
    <d v="2026-09-16T15:17:43"/>
    <d v="2026-10-26T00:00:00"/>
    <d v="2026-11-01T04:00:00"/>
    <s v=""/>
    <m/>
    <s v="COSCO SHIPPING ARIES 038W"/>
    <s v="COSCO"/>
    <s v="TPVB20260937008"/>
    <x v="689"/>
    <s v="COSU6466067620"/>
    <m/>
    <m/>
    <d v="2026-11-01T04:00:00"/>
    <s v="-"/>
    <s v=""/>
    <n v="0"/>
    <d v="2026-11-01T04:00:00"/>
    <n v="2026"/>
    <n v="11"/>
    <n v="44"/>
    <n v="36"/>
    <n v="720"/>
    <s v="Redirection Film"/>
    <s v="AEU"/>
  </r>
  <r>
    <s v="26Aug009.07"/>
    <s v="Yixing"/>
    <s v="26Aug009"/>
    <s v="UPP"/>
    <x v="1"/>
    <s v="SPTN Offstore in Transit WH"/>
    <s v="CIF"/>
    <x v="10"/>
    <s v="U2"/>
    <x v="178"/>
    <s v="DE0126080400009"/>
    <n v="7"/>
    <s v="Yes"/>
    <m/>
    <x v="0"/>
    <x v="100"/>
    <s v="HSM-ND66-GR620"/>
    <s v="H4(Com)"/>
    <s v="+400mm/-200mm"/>
    <n v="620"/>
    <n v="2880"/>
    <n v="1.7856000000000001"/>
    <n v="80"/>
    <n v="4"/>
    <x v="18"/>
    <s v="IN-TRANSIT"/>
    <s v="ready"/>
    <d v="2026-09-16T00:00:00"/>
    <n v="38"/>
    <s v="POPV260918034"/>
    <m/>
    <s v="SHANGHAI"/>
    <x v="1"/>
    <x v="1"/>
    <d v="2026-09-19T00:00:00"/>
    <d v="2026-09-20T00:00:00"/>
    <d v="2026-09-20T00:00:00"/>
    <d v="2026-10-21T00:00:00"/>
    <d v="2026-11-07T00:00:00"/>
    <m/>
    <m/>
    <s v="EVER GLOBE 1418-027W"/>
    <s v="OTHER"/>
    <s v="TPVB20260937003"/>
    <x v="690"/>
    <s v="EGLV149607770881"/>
    <n v="48"/>
    <m/>
    <d v="2026-11-07T00:00:00"/>
    <s v="-"/>
    <s v=""/>
    <n v="0"/>
    <d v="2026-11-07T00:00:00"/>
    <n v="2026"/>
    <n v="11"/>
    <n v="45"/>
    <n v="36"/>
    <n v="720"/>
    <s v="Redirection Film"/>
    <s v="AEU"/>
  </r>
  <r>
    <s v="26Aug025.03"/>
    <s v="Yixing"/>
    <s v="26Aug025"/>
    <s v="UPP"/>
    <x v="1"/>
    <s v="SPTN Offstore in Transit WH"/>
    <s v="CIF"/>
    <x v="10"/>
    <s v="U4"/>
    <x v="178"/>
    <s v="DE0126080400009"/>
    <n v="19"/>
    <s v="Yes"/>
    <m/>
    <x v="0"/>
    <x v="99"/>
    <s v="HSM-ND66-GR630"/>
    <s v="H4(Com)"/>
    <s v="+400mm/-200mm"/>
    <n v="630"/>
    <n v="4320"/>
    <n v="2.7216"/>
    <n v="120"/>
    <n v="6"/>
    <x v="19"/>
    <s v="IN-TRANSIT"/>
    <s v="ready"/>
    <d v="2026-09-16T00:00:00"/>
    <n v="38"/>
    <s v="POPV260918030"/>
    <m/>
    <s v="SHANGHAI"/>
    <x v="1"/>
    <x v="1"/>
    <d v="2026-09-19T00:00:00"/>
    <d v="2026-09-20T00:00:00"/>
    <d v="2026-09-20T00:00:00"/>
    <d v="2026-10-21T00:00:00"/>
    <d v="2026-11-07T00:00:00"/>
    <m/>
    <m/>
    <s v="EVER GLOBE 1418-027W"/>
    <s v="OTHER"/>
    <s v="TPVB20260937003"/>
    <x v="690"/>
    <s v="EGLV149607770881"/>
    <n v="48"/>
    <m/>
    <d v="2026-11-07T00:00:00"/>
    <s v="-"/>
    <s v=""/>
    <n v="0"/>
    <d v="2026-11-07T00:00:00"/>
    <n v="2026"/>
    <n v="11"/>
    <n v="45"/>
    <n v="36"/>
    <n v="720"/>
    <s v="Redirection Film"/>
    <s v="AEU"/>
  </r>
  <r>
    <s v="26Aug006.02"/>
    <s v="Tianjin to Yixing"/>
    <s v="26Aug006"/>
    <s v="CORE DG"/>
    <x v="0"/>
    <s v="Arrival Plan-SPTN"/>
    <s v="CIF"/>
    <x v="0"/>
    <s v="U2"/>
    <x v="2"/>
    <m/>
    <m/>
    <s v="n/a"/>
    <d v="2026-08-24T00:00:00"/>
    <x v="0"/>
    <x v="26"/>
    <s v="HSM-ND54-DR505 CFP"/>
    <s v="EVO2A"/>
    <s v="±1200mm"/>
    <n v="505"/>
    <n v="4320"/>
    <n v="2.1816"/>
    <n v="120"/>
    <n v="5"/>
    <x v="15"/>
    <s v="IN-TRANSIT"/>
    <d v="2026-09-11T00:00:00"/>
    <d v="2026-09-11T00:00:00"/>
    <n v="37"/>
    <s v="POPV260918039"/>
    <m/>
    <s v="SHANGHAI"/>
    <x v="1"/>
    <x v="0"/>
    <d v="2026-09-17T00:00:00"/>
    <d v="2026-09-14T16:30:00"/>
    <d v="2026-09-14T16:47:44"/>
    <d v="2026-10-28T00:00:00"/>
    <d v="2026-10-30T20:00:00"/>
    <s v=""/>
    <m/>
    <s v="CMA CGM KERGUELEN _x000a_0MEORW1MA"/>
    <s v="COSCO"/>
    <s v="TPVB20260937009"/>
    <x v="691"/>
    <s v="COSU6465719640"/>
    <n v="46.133518518523488"/>
    <m/>
    <d v="2026-10-30T20:00:00"/>
    <s v="-"/>
    <s v=""/>
    <n v="8"/>
    <d v="2026-11-07T20:00:00"/>
    <n v="2026"/>
    <n v="11"/>
    <n v="45"/>
    <n v="36"/>
    <n v="864"/>
    <s v="Black glazing"/>
    <s v="AEM"/>
  </r>
  <r>
    <s v="26Aug010.08"/>
    <s v="Yixing"/>
    <s v="26Aug010"/>
    <s v="UPP"/>
    <x v="1"/>
    <s v="SPTN Offstore in Transit WH"/>
    <s v="CIF"/>
    <x v="36"/>
    <s v="U2"/>
    <x v="185"/>
    <s v="RS0126081900007"/>
    <n v="2"/>
    <s v="Yes"/>
    <m/>
    <x v="0"/>
    <x v="97"/>
    <s v="HSM-ND66-GR625"/>
    <s v="H4(Com)"/>
    <s v="+400mm/-200mm"/>
    <n v="625"/>
    <n v="10080"/>
    <n v="6.3"/>
    <n v="280"/>
    <n v="14"/>
    <x v="18"/>
    <s v="IN-TRANSIT"/>
    <m/>
    <d v="2026-09-15T00:00:00"/>
    <n v="38"/>
    <s v="POPV260918061"/>
    <m/>
    <s v="SHANGHAI"/>
    <x v="1"/>
    <x v="22"/>
    <d v="2026-09-15T00:00:00"/>
    <d v="2026-09-25T00:00:00"/>
    <d v="2026-09-25T00:00:00"/>
    <d v="2026-11-06T00:00:00"/>
    <m/>
    <m/>
    <m/>
    <s v="TEXAS TRIUMPH 039W"/>
    <s v="OTHER"/>
    <s v="TPVB20260837002"/>
    <x v="692"/>
    <s v="EGLV149608078905"/>
    <n v="42"/>
    <m/>
    <d v="2026-11-06T00:00:00"/>
    <s v="-"/>
    <s v=""/>
    <n v="0"/>
    <d v="2026-11-06T00:00:00"/>
    <s v="n/a"/>
    <s v="n/a"/>
    <n v="45"/>
    <n v="36"/>
    <n v="720"/>
    <s v="Redirection Film"/>
    <s v="n/a"/>
  </r>
  <r>
    <s v="26Jul006.02"/>
    <s v="Bengbu"/>
    <s v="26Jul006"/>
    <s v="CORE DG"/>
    <x v="0"/>
    <s v="Arrival Plan-SPNL"/>
    <s v="CIF"/>
    <x v="0"/>
    <s v="U1"/>
    <x v="2"/>
    <m/>
    <m/>
    <s v="n/a"/>
    <d v="2026-07-20T00:00:00"/>
    <x v="0"/>
    <x v="35"/>
    <s v="HSM-ND48-DR455"/>
    <s v="EVO2A"/>
    <s v="±1200mm"/>
    <n v="455"/>
    <n v="3744"/>
    <n v="1.7035199999999999"/>
    <n v="104"/>
    <n v="4"/>
    <x v="18"/>
    <s v="IN-TRANSIT"/>
    <s v="七月30日"/>
    <d v="2026-09-16T00:00:00"/>
    <n v="38"/>
    <s v="POPV260918047"/>
    <m/>
    <s v="NINGBO"/>
    <x v="3"/>
    <x v="1"/>
    <d v="2026-09-22T00:00:00"/>
    <d v="2026-09-20T00:00:00"/>
    <d v="2026-09-20T14:34:11"/>
    <d v="2026-10-24T00:00:00"/>
    <d v="2026-11-01T04:00:00"/>
    <s v=""/>
    <m/>
    <s v="COSCO SHIPPING ARIES 038W"/>
    <s v="COSCO"/>
    <s v="TPVB20260937011"/>
    <x v="693"/>
    <s v="COSU9509811770"/>
    <n v="41.559594907404971"/>
    <m/>
    <d v="2026-11-01T04:00:00"/>
    <s v="-"/>
    <s v=""/>
    <n v="7"/>
    <d v="2026-11-08T04:00:00"/>
    <n v="2026"/>
    <n v="11"/>
    <n v="45"/>
    <n v="36"/>
    <n v="936"/>
    <s v="Black glazing"/>
    <s v="AEU"/>
  </r>
  <r>
    <s v="26Aug020.03"/>
    <s v="Yixing"/>
    <s v="26Aug020"/>
    <s v="CORE DG"/>
    <x v="0"/>
    <s v="Arrival Plan-SPNL"/>
    <s v="CIF"/>
    <x v="0"/>
    <s v="U1"/>
    <x v="2"/>
    <m/>
    <m/>
    <s v="n/a"/>
    <d v="2026-08-04T00:00:00"/>
    <x v="1"/>
    <x v="39"/>
    <s v="TCL-MR470DT182-58NS"/>
    <s v="EVO2A"/>
    <s v="±1200mm"/>
    <n v="470"/>
    <n v="2592"/>
    <n v="1.21824"/>
    <n v="72"/>
    <n v="3"/>
    <x v="19"/>
    <m/>
    <s v="ready"/>
    <d v="2026-09-22T00:00:00"/>
    <m/>
    <s v="POPV260924032"/>
    <m/>
    <s v="NINGBO"/>
    <x v="3"/>
    <x v="1"/>
    <d v="2026-09-19T00:00:00"/>
    <d v="2026-09-26T00:00:00"/>
    <d v="2026-09-26T01:29:25"/>
    <d v="2026-10-23T00:00:00"/>
    <d v="2026-11-07T15:00:00"/>
    <s v=""/>
    <m/>
    <s v="EVER GLOBE 1418W"/>
    <s v="COSCO"/>
    <s v="TPVB20260937010"/>
    <x v="694"/>
    <s v="COSU9509811250"/>
    <n v="42.5629050925927"/>
    <m/>
    <d v="2026-11-07T15:00:00"/>
    <s v="-"/>
    <s v=""/>
    <n v="7"/>
    <d v="2026-11-14T15:00:00"/>
    <n v="2026"/>
    <n v="11"/>
    <n v="46"/>
    <n v="36"/>
    <n v="864"/>
    <s v="White glazing"/>
    <s v="AEU"/>
  </r>
  <r>
    <s v="26Aug020.06"/>
    <s v="Yixing"/>
    <s v="26Aug020"/>
    <s v="CORE DG"/>
    <x v="0"/>
    <s v="Arrival Plan-SPNL"/>
    <s v="CIF"/>
    <x v="0"/>
    <s v="U1"/>
    <x v="2"/>
    <m/>
    <m/>
    <s v="n/a"/>
    <d v="2026-08-04T00:00:00"/>
    <x v="1"/>
    <x v="39"/>
    <s v="TCL-MR470DT182-58NS"/>
    <s v="EVO2A"/>
    <s v="±1200mm"/>
    <n v="470"/>
    <n v="864"/>
    <n v="0.40608"/>
    <n v="24"/>
    <n v="1"/>
    <x v="19"/>
    <m/>
    <s v="ready"/>
    <d v="2026-09-16T00:00:00"/>
    <m/>
    <s v="POPV260918048"/>
    <m/>
    <s v="NINGBO"/>
    <x v="3"/>
    <x v="1"/>
    <d v="2026-09-22T00:00:00"/>
    <d v="2026-09-20T14:00:00"/>
    <d v="2026-09-20T14:34:11"/>
    <d v="2026-10-24T00:00:00"/>
    <d v="2026-11-01T04:00:00"/>
    <s v=""/>
    <m/>
    <s v="COSCO SHIPPING ARIES 038W"/>
    <s v="COSCO"/>
    <s v="TPVB20260937013"/>
    <x v="695"/>
    <s v="COSU9509912990"/>
    <n v="41.559594907404971"/>
    <m/>
    <d v="2026-11-01T04:00:00"/>
    <s v="-"/>
    <s v=""/>
    <n v="7"/>
    <d v="2026-11-08T04:00:00"/>
    <n v="2026"/>
    <n v="11"/>
    <n v="45"/>
    <n v="36"/>
    <n v="864"/>
    <s v="White glazing"/>
    <s v="AEU"/>
  </r>
  <r>
    <s v="26Aug005.01"/>
    <s v="Tianjin"/>
    <s v="26Aug005"/>
    <s v="CORE DG"/>
    <x v="0"/>
    <s v="Arrival Plan-SPTN"/>
    <s v="CIF"/>
    <x v="0"/>
    <s v="U1"/>
    <x v="2"/>
    <m/>
    <m/>
    <s v="n/a"/>
    <d v="2026-08-24T00:00:00"/>
    <x v="0"/>
    <x v="27"/>
    <s v="HSM-ND54-DR500 CFP"/>
    <s v="EVO2A"/>
    <s v="±1200mm"/>
    <n v="500"/>
    <n v="3456"/>
    <n v="1.728"/>
    <n v="96"/>
    <n v="4"/>
    <x v="15"/>
    <s v="IN-TRANSIT"/>
    <s v="八月25日"/>
    <d v="2026-09-09T00:00:00"/>
    <n v="37"/>
    <s v="POPV260911063"/>
    <m/>
    <s v="TIANJIN"/>
    <x v="0"/>
    <x v="0"/>
    <d v="2026-09-14T00:00:00"/>
    <d v="2026-09-14T23:30:00"/>
    <d v="2026-09-14T23:45:19"/>
    <d v="2026-11-23T00:00:00"/>
    <d v="2026-12-03T19:00:00"/>
    <s v=""/>
    <m/>
    <s v="COSCO SHIPPING LEO 037W"/>
    <s v="COSCO"/>
    <s v="TPVB20260937004"/>
    <x v="696"/>
    <s v="COSU9509601430"/>
    <n v="79.801863425920601"/>
    <m/>
    <d v="2026-12-03T19:00:00"/>
    <s v="-"/>
    <s v=""/>
    <n v="8"/>
    <d v="2026-12-11T19:00:00"/>
    <n v="2026"/>
    <n v="12"/>
    <n v="50"/>
    <n v="36"/>
    <n v="864"/>
    <s v="Black glazing"/>
    <s v="AEM"/>
  </r>
  <r>
    <s v="26Aug005.06"/>
    <s v="Tianjin"/>
    <s v="26Aug005"/>
    <s v="CORE DG"/>
    <x v="0"/>
    <s v="Arrival Plan-SPTN"/>
    <s v="CIF"/>
    <x v="0"/>
    <s v="U1"/>
    <x v="2"/>
    <m/>
    <m/>
    <s v="n/a"/>
    <d v="2026-08-24T00:00:00"/>
    <x v="0"/>
    <x v="27"/>
    <s v="HSM-ND54-DR500 CFP"/>
    <s v="EVO2A"/>
    <s v="±1200mm"/>
    <n v="500"/>
    <n v="1728"/>
    <n v="0.86399999999999999"/>
    <n v="48"/>
    <n v="2"/>
    <x v="15"/>
    <s v="IN-TRANSIT"/>
    <s v="八月25日"/>
    <d v="2026-09-09T00:00:00"/>
    <n v="37"/>
    <s v="POPV260911064"/>
    <m/>
    <s v="TIANJIN"/>
    <x v="0"/>
    <x v="0"/>
    <d v="2026-09-14T00:00:00"/>
    <d v="2026-09-14T23:30:00"/>
    <d v="2026-09-14T23:45:19"/>
    <d v="2026-11-11T00:00:00"/>
    <d v="2026-11-11T06:00:00"/>
    <s v=""/>
    <m/>
    <s v="COSCO SHIPPING LEO 037W"/>
    <s v="COSCO"/>
    <s v="TPVB20260937005"/>
    <x v="697"/>
    <s v="COSU9509601740"/>
    <n v="57.26019675925636"/>
    <m/>
    <d v="2026-11-11T06:00:00"/>
    <s v="-"/>
    <s v=""/>
    <n v="8"/>
    <d v="2026-11-19T06:00:00"/>
    <n v="2026"/>
    <n v="11"/>
    <n v="47"/>
    <n v="36"/>
    <n v="864"/>
    <s v="Black glazing"/>
    <s v="AEM"/>
  </r>
  <r>
    <s v="26Aug011.05"/>
    <s v="Tianjin"/>
    <s v="26Aug011"/>
    <s v="UPP"/>
    <x v="1"/>
    <s v="SPTN Offstore in Transit WH"/>
    <s v="FOB"/>
    <x v="10"/>
    <s v="U4"/>
    <x v="178"/>
    <s v="DE0126080600001"/>
    <n v="7"/>
    <s v="Yes"/>
    <m/>
    <x v="3"/>
    <x v="102"/>
    <s v="HSM-BD66-GR650"/>
    <s v="H4(Com)"/>
    <s v="+400mm/-200mm"/>
    <n v="650"/>
    <n v="6480"/>
    <n v="4.2119999999999997"/>
    <n v="180"/>
    <n v="9"/>
    <x v="17"/>
    <s v="IN-TRANSIT"/>
    <d v="2026-09-03T00:00:00"/>
    <d v="2026-09-08T00:00:00"/>
    <n v="37"/>
    <s v="POPV260911030"/>
    <m/>
    <s v="TIANJIN"/>
    <x v="0"/>
    <x v="1"/>
    <d v="2026-09-14T00:00:00"/>
    <d v="2026-09-21T00:00:00"/>
    <d v="2026-09-22T00:00:00"/>
    <d v="2026-11-01T00:00:00"/>
    <m/>
    <m/>
    <s v="FOB"/>
    <s v="BIG GEORGE  26038E"/>
    <s v="OTHER"/>
    <s v="TPVB20260837001"/>
    <x v="698"/>
    <s v="ONEYTSNG80406500"/>
    <n v="40"/>
    <m/>
    <d v="2026-11-01T00:00:00"/>
    <s v="-"/>
    <s v=""/>
    <n v="0"/>
    <d v="2026-11-01T00:00:00"/>
    <s v="n/a"/>
    <s v="n/a"/>
    <n v="44"/>
    <n v="36"/>
    <n v="720"/>
    <s v="White glazing"/>
    <s v="AEU"/>
  </r>
  <r>
    <s v="26Aug012"/>
    <s v="Tianjin"/>
    <s v="Main Line"/>
    <s v="UPP"/>
    <x v="1"/>
    <s v="SPTN Offstore in Transit WH"/>
    <s v="FOB"/>
    <x v="10"/>
    <s v="U4"/>
    <x v="178"/>
    <s v="DE0126080600001"/>
    <n v="5"/>
    <s v="Yes"/>
    <m/>
    <x v="3"/>
    <x v="103"/>
    <s v="HSM-BD66-GR655"/>
    <s v="H4(Com)"/>
    <s v="+400mm/-200mm"/>
    <n v="655"/>
    <n v="7200"/>
    <n v="4.7160000000000002"/>
    <n v="200"/>
    <n v="10"/>
    <x v="20"/>
    <m/>
    <m/>
    <d v="2026-09-08T00:00:00"/>
    <n v="37"/>
    <s v="POPV260911031"/>
    <m/>
    <s v="TIANJIN"/>
    <x v="0"/>
    <x v="1"/>
    <d v="2026-09-14T00:00:00"/>
    <d v="2026-09-21T00:00:00"/>
    <d v="2026-09-22T00:00:00"/>
    <d v="2026-11-01T00:00:00"/>
    <m/>
    <m/>
    <s v="FOB"/>
    <s v="BIG GEORGE  26038E"/>
    <s v="OTHER"/>
    <s v="TPVB20260837001"/>
    <x v="699"/>
    <s v="ONEYTSNG80406500"/>
    <n v="40"/>
    <m/>
    <d v="2026-11-01T00:00:00"/>
    <s v="-"/>
    <s v=""/>
    <n v="0"/>
    <d v="2026-11-01T00:00:00"/>
    <s v="n/a"/>
    <s v="n/a"/>
    <n v="44"/>
    <n v="36"/>
    <n v="720"/>
    <s v="White glazing"/>
    <s v="AEU"/>
  </r>
  <r>
    <s v="26Jul007.08"/>
    <s v="Quzhou"/>
    <s v="26Jul007"/>
    <s v="CORE DG"/>
    <x v="1"/>
    <s v="SPTN Offstore in Transit WH"/>
    <s v="CIF"/>
    <x v="12"/>
    <s v="U4"/>
    <x v="187"/>
    <s v="PL0126090800018"/>
    <n v="2"/>
    <s v="Yes"/>
    <d v="2026-07-06T00:00:00"/>
    <x v="0"/>
    <x v="0"/>
    <s v="HSM-ND54-DR500"/>
    <s v="EVO2A"/>
    <s v="±1200mm"/>
    <n v="500"/>
    <n v="4320"/>
    <n v="2.16"/>
    <n v="120"/>
    <n v="5"/>
    <x v="19"/>
    <s v="IN-TRANSIT"/>
    <s v="Gdasnk"/>
    <d v="2026-09-19T00:00:00"/>
    <n v="38"/>
    <s v="POPV260921025"/>
    <m/>
    <s v="SHANGHAI"/>
    <x v="1"/>
    <x v="9"/>
    <d v="2026-09-30T00:00:00"/>
    <d v="2026-09-30T05:30:00"/>
    <d v="2026-09-30T06:07:33"/>
    <d v="2026-11-12T00:00:00"/>
    <d v="2026-11-18T21:00:00"/>
    <s v=""/>
    <m/>
    <s v="OOCL TURKIYE 012W"/>
    <s v="COSCO"/>
    <s v="TPVB20260938001"/>
    <x v="700"/>
    <s v="COSU6466858750"/>
    <n v="49.619756944441178"/>
    <m/>
    <d v="2026-11-18T21:00:00"/>
    <s v="-"/>
    <s v=""/>
    <n v="0"/>
    <d v="2026-11-18T21:00:00"/>
    <n v="2026"/>
    <n v="11"/>
    <n v="47"/>
    <n v="36"/>
    <n v="864"/>
    <s v="Black glazing"/>
    <s v="AEU"/>
  </r>
  <r>
    <s v="26Aug010.11"/>
    <s v="Yixing"/>
    <s v="26Aug010"/>
    <s v="UPP"/>
    <x v="0"/>
    <s v="Arrival Plan-SPNL"/>
    <s v="CIF"/>
    <x v="0"/>
    <s v="U1"/>
    <x v="2"/>
    <m/>
    <m/>
    <s v="n/a"/>
    <m/>
    <x v="0"/>
    <x v="97"/>
    <s v="HSM-ND66-GR625"/>
    <s v="H4(Com)"/>
    <s v="+400mm/-200mm"/>
    <n v="625"/>
    <n v="3600"/>
    <n v="2.25"/>
    <n v="100"/>
    <n v="5"/>
    <x v="19"/>
    <s v="IN-TRANSIT"/>
    <s v="ready"/>
    <d v="2026-09-14T00:00:00"/>
    <n v="38"/>
    <s v="POPV260918062"/>
    <m/>
    <s v="SHANGHAI"/>
    <x v="1"/>
    <x v="1"/>
    <d v="2026-09-22T00:00:00"/>
    <d v="2026-09-29T04:00:00"/>
    <d v="2026-09-29T00:00:00"/>
    <d v="2026-10-28T00:00:00"/>
    <d v="2026-11-12T21:00:00"/>
    <s v=""/>
    <m/>
    <s v="EVER ALLY 1419-004W"/>
    <s v="COSCO"/>
    <s v="TPVB20260938004"/>
    <x v="701"/>
    <s v="COSU6467013360"/>
    <n v="44.875"/>
    <m/>
    <d v="2026-11-12T21:00:00"/>
    <s v="-"/>
    <s v=""/>
    <n v="7"/>
    <d v="2026-11-19T21:00:00"/>
    <s v="n/a"/>
    <s v="n/a"/>
    <n v="47"/>
    <n v="36"/>
    <n v="720"/>
    <s v="Redirection Film"/>
    <s v="AEU"/>
  </r>
  <r>
    <s v="26Aug013.03"/>
    <s v="Quzhou"/>
    <s v="26Aug013"/>
    <s v="UPP"/>
    <x v="1"/>
    <s v="SPTN Offstore in Transit WH"/>
    <s v="CIF"/>
    <x v="10"/>
    <s v="U4"/>
    <x v="178"/>
    <s v="DE0126080300006"/>
    <n v="1"/>
    <s v="Yes"/>
    <m/>
    <x v="3"/>
    <x v="105"/>
    <s v="S4-DG490-108BC-FB"/>
    <s v="EVO2A"/>
    <s v="±1200mm"/>
    <n v="490"/>
    <n v="8424"/>
    <n v="4.1277600000000003"/>
    <n v="234"/>
    <n v="9"/>
    <x v="19"/>
    <s v="IN-TRANSIT"/>
    <s v="Batch 1-11"/>
    <d v="2026-09-14T00:00:00"/>
    <n v="38"/>
    <s v="POPV260918029"/>
    <m/>
    <s v="SHANGHAI"/>
    <x v="1"/>
    <x v="1"/>
    <d v="2026-09-23T00:00:00"/>
    <d v="2026-09-22T12:00:00"/>
    <d v="2026-09-22T10:15:14"/>
    <d v="2026-10-29T00:00:00"/>
    <d v="2026-11-06T15:00:00"/>
    <s v=""/>
    <m/>
    <s v="COSCO SHIPPING LEO 037W"/>
    <s v="COSCO"/>
    <s v="TPVB20260838005"/>
    <x v="702"/>
    <s v="COSU6466678170"/>
    <n v="45.197754629632982"/>
    <m/>
    <d v="2026-11-06T15:00:00"/>
    <s v="-"/>
    <s v=""/>
    <n v="0"/>
    <d v="2026-11-06T15:00:00"/>
    <n v="2026"/>
    <n v="11"/>
    <n v="45"/>
    <n v="36"/>
    <n v="936"/>
    <s v="Black glazing"/>
    <s v="AEU"/>
  </r>
  <r>
    <s v="26Aug014.07"/>
    <s v="Quzhou"/>
    <s v="26Aug014"/>
    <s v="UPP"/>
    <x v="1"/>
    <s v="SPTN Offstore in Transit WH"/>
    <s v="CIF"/>
    <x v="10"/>
    <s v="U4"/>
    <x v="178"/>
    <s v="DE0126080300006"/>
    <n v="5"/>
    <s v="Yes"/>
    <m/>
    <x v="3"/>
    <x v="106"/>
    <s v="S4-DG485-108BC-FB"/>
    <s v="EVO2A"/>
    <s v="±1200mm"/>
    <n v="485"/>
    <n v="1872"/>
    <n v="0.90791999999999995"/>
    <n v="52"/>
    <n v="2"/>
    <x v="19"/>
    <s v="IN-TRANSIT"/>
    <s v="Batch 1-11"/>
    <d v="2026-09-14T00:00:00"/>
    <n v="38"/>
    <s v="POPV260918028"/>
    <m/>
    <s v="SHANGHAI"/>
    <x v="1"/>
    <x v="1"/>
    <d v="2026-09-23T00:00:00"/>
    <d v="2026-09-22T12:00:00"/>
    <d v="2026-09-22T10:15:14"/>
    <d v="2026-10-29T00:00:00"/>
    <d v="2026-11-06T15:00:00"/>
    <s v=""/>
    <m/>
    <s v="COSCO SHIPPING LEO 037W"/>
    <s v="COSCO"/>
    <s v="TPVB20260838005"/>
    <x v="702"/>
    <s v="COSU6466678170"/>
    <n v="45.197754629632982"/>
    <m/>
    <d v="2026-11-06T15:00:00"/>
    <s v="-"/>
    <s v=""/>
    <n v="0"/>
    <d v="2026-11-06T15:00:00"/>
    <n v="2026"/>
    <n v="11"/>
    <n v="45"/>
    <n v="36"/>
    <n v="936"/>
    <s v="Black glazing"/>
    <s v="AEU"/>
  </r>
  <r>
    <s v="26Aug014.01"/>
    <s v="Quzhou"/>
    <s v="26Aug014"/>
    <s v="UPP"/>
    <x v="1"/>
    <s v="SPTN Offstore in Transit WH"/>
    <s v="CIF"/>
    <x v="10"/>
    <s v="U4"/>
    <x v="178"/>
    <s v="DE0126080300006"/>
    <n v="4"/>
    <s v="Yes"/>
    <m/>
    <x v="3"/>
    <x v="106"/>
    <s v="S4-DG485-108BC-FB"/>
    <s v="EVO2A"/>
    <s v="±1200mm"/>
    <n v="485"/>
    <n v="7488"/>
    <n v="3.6316799999999998"/>
    <n v="208"/>
    <n v="8"/>
    <x v="18"/>
    <s v="IN-TRANSIT"/>
    <s v="Batch 1-8"/>
    <d v="2026-09-18T00:00:00"/>
    <n v="38"/>
    <s v="POPV260921029"/>
    <m/>
    <s v="SHANGHAI"/>
    <x v="1"/>
    <x v="1"/>
    <d v="2026-09-25T00:00:00"/>
    <d v="2026-09-29T04:00:00"/>
    <d v="2026-09-29T00:00:00"/>
    <d v="2026-11-07T00:00:00"/>
    <d v="2026-11-12T21:00:00"/>
    <s v=""/>
    <m/>
    <s v="COSCO SHIPPING ALPS 049W"/>
    <s v="COSCO"/>
    <s v="TPVB20260838006"/>
    <x v="703"/>
    <s v="COSU6466631520"/>
    <n v="44.875"/>
    <m/>
    <d v="2026-11-12T21:00:00"/>
    <s v="-"/>
    <s v=""/>
    <n v="0"/>
    <d v="2026-11-12T21:00:00"/>
    <n v="2026"/>
    <n v="11"/>
    <n v="46"/>
    <n v="36"/>
    <n v="936"/>
    <s v="Black glazing"/>
    <s v="AEU"/>
  </r>
  <r>
    <s v="26Aug016.01"/>
    <s v="Yixing"/>
    <s v="26Aug016"/>
    <s v="CORE DG"/>
    <x v="0"/>
    <s v="Arrival Plan-SPIT"/>
    <s v="CIF"/>
    <x v="4"/>
    <s v="U1"/>
    <x v="2"/>
    <m/>
    <m/>
    <s v="n/a"/>
    <d v="2026-09-17T00:00:00"/>
    <x v="6"/>
    <x v="69"/>
    <s v="SPR-P7-515-BLK-P"/>
    <s v="EVO2A"/>
    <s v="±1350mm"/>
    <n v="515"/>
    <n v="3168"/>
    <n v="1.6315200000000001"/>
    <n v="88"/>
    <n v="4"/>
    <x v="19"/>
    <s v="IN-TRANSIT"/>
    <d v="2026-09-18T00:00:00"/>
    <d v="2026-09-18T00:00:00"/>
    <n v="38"/>
    <s v="POPV260921030"/>
    <m/>
    <s v="SHANGHAI"/>
    <x v="1"/>
    <x v="4"/>
    <d v="2026-09-27T00:00:00"/>
    <d v="2026-09-27T19:00:00"/>
    <d v="2026-09-27T19:27:49"/>
    <d v="2026-11-11T00:00:00"/>
    <d v="2026-11-18T12:00:00"/>
    <s v=""/>
    <m/>
    <s v="OOCL SCANDINAVIA 038W"/>
    <s v="COSCO"/>
    <s v="TPVB20260938005"/>
    <x v="704"/>
    <s v="COSU6467015120"/>
    <n v="51.689016203701613"/>
    <m/>
    <d v="2026-11-18T12:00:00"/>
    <s v="-"/>
    <s v=""/>
    <n v="10"/>
    <d v="2026-11-28T12:00:00"/>
    <s v="n/a"/>
    <s v="n/a"/>
    <n v="48"/>
    <n v="36"/>
    <n v="792"/>
    <s v="Black glazing"/>
    <s v="AEM"/>
  </r>
  <r>
    <s v="26Aug005.05"/>
    <s v="Tianjin to Yixing"/>
    <s v="26Aug005"/>
    <s v="CORE DG"/>
    <x v="0"/>
    <s v="Arrival Plan-SPTN"/>
    <s v="CIF"/>
    <x v="0"/>
    <s v="U1"/>
    <x v="2"/>
    <m/>
    <m/>
    <s v="n/a"/>
    <d v="2026-08-24T00:00:00"/>
    <x v="0"/>
    <x v="27"/>
    <s v="HSM-ND54-DR500 CFP"/>
    <s v="EVO2A"/>
    <s v="±1200mm"/>
    <n v="500"/>
    <n v="3456"/>
    <n v="1.728"/>
    <n v="96"/>
    <n v="4"/>
    <x v="18"/>
    <s v="IN-TRANSIT"/>
    <d v="2026-09-15T00:00:00"/>
    <d v="2026-09-14T00:00:00"/>
    <n v="38"/>
    <s v="POPV260918040"/>
    <m/>
    <s v="SHANGHAI"/>
    <x v="1"/>
    <x v="0"/>
    <d v="2026-09-23T00:00:00"/>
    <d v="2026-09-24T14:00:00"/>
    <d v="2026-09-24T14:00:00"/>
    <d v="2026-11-04T00:00:00"/>
    <d v="2026-11-06T20:00:00"/>
    <s v=""/>
    <m/>
    <s v="CMA CGM MARCO POLO _x000a_0MEOTW1MA"/>
    <s v="COSCO"/>
    <s v="TPVB20260938006"/>
    <x v="705"/>
    <s v="COSU6467017560"/>
    <n v="43.25"/>
    <m/>
    <d v="2026-11-06T20:00:00"/>
    <s v="-"/>
    <s v=""/>
    <n v="8"/>
    <d v="2026-11-14T20:00:00"/>
    <n v="2026"/>
    <n v="11"/>
    <n v="46"/>
    <n v="36"/>
    <n v="864"/>
    <s v="Black glazing"/>
    <s v="AEM"/>
  </r>
  <r>
    <s v="26Aug015.01"/>
    <s v="Yixing"/>
    <s v="26Aug015"/>
    <s v="CORE DG"/>
    <x v="0"/>
    <s v="Arrival Plan-SPTN"/>
    <s v="CIF"/>
    <x v="0"/>
    <s v="U1"/>
    <x v="2"/>
    <m/>
    <m/>
    <s v="n/a"/>
    <d v="2026-09-20T00:00:00"/>
    <x v="6"/>
    <x v="21"/>
    <s v="SPR-P7-510-BLK-P"/>
    <s v="EVO2A"/>
    <s v="±1350mm"/>
    <n v="510"/>
    <n v="3168"/>
    <n v="1.61568"/>
    <n v="88"/>
    <n v="4"/>
    <x v="20"/>
    <s v="IN-TRANSIT"/>
    <d v="2026-09-17T00:00:00"/>
    <d v="2026-09-17T00:00:00"/>
    <n v="38"/>
    <s v="POPV260918027"/>
    <m/>
    <s v="SHANGHAI"/>
    <x v="1"/>
    <x v="0"/>
    <d v="2026-09-27T00:00:00"/>
    <d v="2026-09-27T19:00:00"/>
    <d v="2026-09-27T19:27:49"/>
    <d v="2026-11-16T00:00:00"/>
    <d v="2026-11-22T06:00:00"/>
    <s v=""/>
    <m/>
    <s v="OOCL SCANDINAVIA 038W"/>
    <s v="COSCO"/>
    <s v="TPVB20260938007"/>
    <x v="706"/>
    <s v="COSU6467016280"/>
    <n v="55.439016203701613"/>
    <m/>
    <d v="2026-11-22T06:00:00"/>
    <s v="-"/>
    <s v=""/>
    <n v="8"/>
    <d v="2026-11-30T06:00:00"/>
    <s v="n/a"/>
    <s v="n/a"/>
    <n v="49"/>
    <n v="36"/>
    <n v="792"/>
    <s v="Black glazing"/>
    <s v="AEM"/>
  </r>
  <r>
    <s v="26Aug010.14"/>
    <s v="Yixing"/>
    <s v="26Aug010"/>
    <s v="UPP"/>
    <x v="0"/>
    <s v="Arrival Plan-SPES"/>
    <s v="CIF"/>
    <x v="1"/>
    <s v="U2"/>
    <x v="2"/>
    <m/>
    <m/>
    <s v="n/a"/>
    <m/>
    <x v="0"/>
    <x v="97"/>
    <s v="HSM-ND66-GR625"/>
    <s v="H4(Com)"/>
    <s v="+400mm/-200mm"/>
    <n v="625"/>
    <n v="720"/>
    <n v="0.45"/>
    <n v="20"/>
    <n v="1"/>
    <x v="19"/>
    <s v="IN-TRANSIT"/>
    <s v="ready-10.23快船，300pcs连接器一起出"/>
    <d v="2026-09-17T00:00:00"/>
    <n v="38"/>
    <s v="POPV260918059"/>
    <m/>
    <s v="SHANGHAI"/>
    <x v="1"/>
    <x v="2"/>
    <d v="2026-09-27T00:00:00"/>
    <d v="2026-09-27T19:00:00"/>
    <d v="2026-09-27T19:27:49"/>
    <d v="2026-11-19T00:00:00"/>
    <d v="2026-11-25T08:00:00"/>
    <s v=""/>
    <m/>
    <s v="OOCL SCANDINAVIA 038W"/>
    <s v="COSCO"/>
    <s v="TPVB20260938008"/>
    <x v="707"/>
    <s v="COSU6467090510"/>
    <n v="58.522349537037371"/>
    <m/>
    <d v="2026-11-25T08:00:00"/>
    <s v="-"/>
    <s v=""/>
    <n v="9"/>
    <d v="2026-12-04T08:00:00"/>
    <s v="n/a"/>
    <s v="n/a"/>
    <n v="49"/>
    <n v="36"/>
    <n v="720"/>
    <s v="Redirection Film"/>
    <s v="AEM"/>
  </r>
  <r>
    <s v="26Aug016.03"/>
    <s v="Yixing"/>
    <s v="26Aug016"/>
    <s v="CORE DG"/>
    <x v="0"/>
    <s v="Arrival Plan-SPES"/>
    <s v="CIF"/>
    <x v="1"/>
    <s v="U1"/>
    <x v="2"/>
    <m/>
    <m/>
    <s v="n/a"/>
    <d v="2026-09-17T00:00:00"/>
    <x v="6"/>
    <x v="69"/>
    <s v="SPR-P7-515-BLK-P"/>
    <s v="EVO2A"/>
    <s v="±1350mm"/>
    <n v="515"/>
    <n v="792"/>
    <n v="0.40788000000000002"/>
    <n v="22"/>
    <n v="1"/>
    <x v="21"/>
    <s v="IN-TRANSIT"/>
    <d v="2026-09-18T00:00:00"/>
    <d v="2026-09-17T00:00:00"/>
    <n v="38"/>
    <s v="POPV260918026"/>
    <m/>
    <s v="SHANGHAI"/>
    <x v="1"/>
    <x v="2"/>
    <d v="2026-09-27T00:00:00"/>
    <d v="2026-09-27T19:00:00"/>
    <d v="2026-09-27T19:27:49"/>
    <d v="2026-11-19T00:00:00"/>
    <d v="2026-11-25T08:00:00"/>
    <s v=""/>
    <m/>
    <s v="OOCL SCANDINAVIA 038W"/>
    <s v="COSCO"/>
    <s v="TPVB20260938008"/>
    <x v="707"/>
    <s v="COSU6467090510"/>
    <n v="58.522349537037371"/>
    <m/>
    <d v="2026-11-25T08:00:00"/>
    <s v="-"/>
    <s v=""/>
    <n v="9"/>
    <d v="2026-12-04T08:00:00"/>
    <s v="n/a"/>
    <s v="n/a"/>
    <n v="49"/>
    <n v="36"/>
    <n v="792"/>
    <s v="Black glazing"/>
    <s v="AEM"/>
  </r>
  <r>
    <s v="26Aug010.09"/>
    <s v="Yixing"/>
    <s v="26Aug010"/>
    <s v="UPP"/>
    <x v="1"/>
    <s v="SPTN Offstore in Transit WH"/>
    <s v="CIF"/>
    <x v="36"/>
    <s v="U2"/>
    <x v="185"/>
    <s v="RS0126081900007"/>
    <n v="3"/>
    <s v="Yes"/>
    <m/>
    <x v="0"/>
    <x v="97"/>
    <s v="HSM-ND66-GR625"/>
    <s v="H4(Com)"/>
    <s v="+400mm/-200mm"/>
    <n v="625"/>
    <n v="7920"/>
    <n v="4.95"/>
    <n v="220"/>
    <n v="11"/>
    <x v="19"/>
    <s v="IN-TRANSIT"/>
    <m/>
    <d v="2026-10-06T00:00:00"/>
    <n v="41"/>
    <s v="POPV261010010"/>
    <m/>
    <s v="SHANGHAI"/>
    <x v="1"/>
    <x v="22"/>
    <d v="2026-09-24T00:00:00"/>
    <d v="2026-10-11T00:00:00"/>
    <d v="2026-10-12T00:00:00"/>
    <d v="2026-11-04T00:00:00"/>
    <m/>
    <s v=""/>
    <m/>
    <s v="BRUSSELS MAERSK 639W"/>
    <s v="OTHER"/>
    <s v="TPVB20260938002"/>
    <x v="708"/>
    <n v="276628939"/>
    <n v="23"/>
    <m/>
    <d v="2026-11-04T00:00:00"/>
    <s v="-"/>
    <s v=""/>
    <n v="0"/>
    <d v="2026-11-04T00:00:00"/>
    <s v="n/a"/>
    <s v="n/a"/>
    <n v="45"/>
    <n v="36"/>
    <n v="720"/>
    <s v="Redirection Film"/>
    <s v="n/a"/>
  </r>
  <r>
    <s v="26Aug010.17"/>
    <s v="Yixing"/>
    <s v="26Aug010"/>
    <s v="UPP"/>
    <x v="1"/>
    <s v="SPTN Offstore in Transit WH"/>
    <s v="CIF"/>
    <x v="36"/>
    <s v="U2"/>
    <x v="185"/>
    <s v="RS0126081900007"/>
    <n v="4"/>
    <s v="Yes"/>
    <m/>
    <x v="0"/>
    <x v="97"/>
    <s v="HSM-ND66-GR625"/>
    <s v="H4(Com)"/>
    <s v="+400mm/-200mm"/>
    <n v="625"/>
    <n v="7920"/>
    <n v="4.95"/>
    <n v="220"/>
    <n v="11"/>
    <x v="19"/>
    <s v="IN-TRANSIT"/>
    <m/>
    <d v="2026-10-08T00:00:00"/>
    <n v="41"/>
    <s v="POPV261010009"/>
    <m/>
    <s v="SHANGHAI"/>
    <x v="1"/>
    <x v="22"/>
    <d v="2026-09-24T00:00:00"/>
    <d v="2026-10-11T00:00:00"/>
    <d v="2026-10-12T00:00:00"/>
    <d v="2026-11-04T00:00:00"/>
    <m/>
    <s v=""/>
    <m/>
    <s v="BRUSSELS MAERSK 639W"/>
    <s v="OTHER"/>
    <s v="TPVB20260938003"/>
    <x v="709"/>
    <n v="276629180"/>
    <n v="23"/>
    <m/>
    <d v="2026-11-04T00:00:00"/>
    <s v="-"/>
    <s v=""/>
    <n v="0"/>
    <d v="2026-11-04T00:00:00"/>
    <s v="n/a"/>
    <s v="n/a"/>
    <n v="45"/>
    <n v="36"/>
    <n v="720"/>
    <s v="Redirection Film"/>
    <s v="n/a"/>
  </r>
  <r>
    <s v="26Aug016.10"/>
    <s v="Yixing"/>
    <s v="26Aug016"/>
    <s v="CORE DG"/>
    <x v="0"/>
    <s v="Arrival Plan-SPNL"/>
    <s v="CIF"/>
    <x v="0"/>
    <s v="U1"/>
    <x v="2"/>
    <m/>
    <m/>
    <s v="n/a"/>
    <d v="2026-09-17T00:00:00"/>
    <x v="6"/>
    <x v="69"/>
    <s v="SPR-P7-515-BLK-P"/>
    <s v="EVO2A"/>
    <s v="±1350mm"/>
    <n v="515"/>
    <n v="3960"/>
    <n v="2.0394000000000001"/>
    <n v="110"/>
    <n v="5"/>
    <x v="19"/>
    <s v="IN-TRANSIT"/>
    <d v="2026-09-23T00:00:00"/>
    <d v="2026-09-22T00:00:00"/>
    <n v="39"/>
    <s v="POPV260924027"/>
    <m/>
    <s v="NINGBO"/>
    <x v="3"/>
    <x v="1"/>
    <d v="2026-09-27T00:00:00"/>
    <d v="2026-09-27T14:00:00"/>
    <d v="2026-09-26T20:45:26"/>
    <d v="2026-10-29T00:00:00"/>
    <d v="2026-11-06T15:00:00"/>
    <s v=""/>
    <m/>
    <s v="COSCO SHIPPING LEO 037W"/>
    <s v="COSCO"/>
    <s v="TPVB20260838011"/>
    <x v="710"/>
    <s v="COSU9510012530"/>
    <n v="40.76011574074073"/>
    <m/>
    <d v="2026-11-06T15:00:00"/>
    <s v="-"/>
    <s v=""/>
    <n v="7"/>
    <d v="2026-11-13T15:00:00"/>
    <s v="n/a"/>
    <s v="n/a"/>
    <n v="46"/>
    <n v="36"/>
    <n v="792"/>
    <s v="Black glazing"/>
    <s v="AEU"/>
  </r>
  <r>
    <s v="26Aug015.02"/>
    <s v="Yixing"/>
    <s v="26Aug015"/>
    <s v="CORE DG"/>
    <x v="0"/>
    <s v="Arrival Plan-SPNL"/>
    <s v="CIF"/>
    <x v="0"/>
    <s v="U1"/>
    <x v="2"/>
    <m/>
    <m/>
    <s v="n/a"/>
    <d v="2026-09-20T00:00:00"/>
    <x v="6"/>
    <x v="21"/>
    <s v="SPR-P7-510-BLK-P"/>
    <s v="EVO2A"/>
    <s v="±1350mm"/>
    <n v="510"/>
    <n v="2376"/>
    <n v="1.2117599999999999"/>
    <n v="66"/>
    <n v="3"/>
    <x v="20"/>
    <s v="IN-TRANSIT"/>
    <d v="2026-09-23T00:00:00"/>
    <d v="2026-09-29T00:00:00"/>
    <n v="40"/>
    <s v="POPV260929036"/>
    <m/>
    <s v="NINGBO"/>
    <x v="3"/>
    <x v="1"/>
    <d v="2026-09-25T00:00:00"/>
    <d v="2026-10-05T08:00:00"/>
    <d v="2026-10-05T00:00:00"/>
    <d v="2026-10-31T00:00:00"/>
    <d v="2026-11-12T21:00:00"/>
    <s v=""/>
    <m/>
    <s v="EVER ALLY 1419W"/>
    <s v="COSCO"/>
    <s v="TPVB20260838009"/>
    <x v="711"/>
    <s v="COSU6467892390"/>
    <n v="38.875"/>
    <m/>
    <d v="2026-11-12T21:00:00"/>
    <s v="-"/>
    <s v=""/>
    <n v="7"/>
    <d v="2026-11-19T21:00:00"/>
    <s v="n/a"/>
    <s v="n/a"/>
    <n v="47"/>
    <n v="36"/>
    <n v="792"/>
    <s v="Black glazing"/>
    <s v="AEU"/>
  </r>
  <r>
    <s v="26Aug016.05"/>
    <s v="Yixing"/>
    <s v="26Aug016"/>
    <s v="CORE DG"/>
    <x v="0"/>
    <s v="Arrival Plan-SPIT"/>
    <s v="CIF"/>
    <x v="4"/>
    <s v="U1"/>
    <x v="2"/>
    <m/>
    <m/>
    <s v="n/a"/>
    <d v="2026-09-17T00:00:00"/>
    <x v="6"/>
    <x v="69"/>
    <s v="SPR-P7-515-BLK-P"/>
    <s v="EVO2A"/>
    <s v="±1350mm"/>
    <n v="515"/>
    <n v="1584"/>
    <n v="0.81576000000000004"/>
    <n v="44"/>
    <n v="2"/>
    <x v="22"/>
    <s v="IN-TRANSIT"/>
    <d v="2026-09-23T00:00:00"/>
    <d v="2026-09-27T00:00:00"/>
    <n v="39"/>
    <s v="POPV260929032"/>
    <m/>
    <s v="NINGBO"/>
    <x v="3"/>
    <x v="4"/>
    <d v="2026-09-26T00:00:00"/>
    <d v="2026-10-02T08:00:00"/>
    <d v="2026-10-02T00:00:00"/>
    <d v="2026-11-11T00:00:00"/>
    <d v="2026-11-18T12:00:00"/>
    <s v=""/>
    <m/>
    <s v="OOCL SCANDINAVIA 038W"/>
    <s v="COSCO"/>
    <s v="TPVB20260838010"/>
    <x v="712"/>
    <s v="COSU9510035910"/>
    <n v="47.5"/>
    <m/>
    <d v="2026-11-18T12:00:00"/>
    <s v="-"/>
    <s v=""/>
    <n v="10"/>
    <d v="2026-11-28T12:00:00"/>
    <s v="n/a"/>
    <s v="n/a"/>
    <n v="48"/>
    <n v="36"/>
    <n v="792"/>
    <s v="Black glazing"/>
    <s v="AEM"/>
  </r>
  <r>
    <s v="26Jun021.03"/>
    <s v="Tianjin"/>
    <s v="26Jun021"/>
    <s v="CORE DG"/>
    <x v="0"/>
    <s v="Arrival Plan-SPNL"/>
    <s v="CIF"/>
    <x v="0"/>
    <s v="U1"/>
    <x v="2"/>
    <m/>
    <m/>
    <s v="n/a"/>
    <d v="2026-06-29T00:00:00"/>
    <x v="3"/>
    <x v="95"/>
    <s v="HSM-BD66-GR650"/>
    <s v="EVO2A"/>
    <s v="±1400mm"/>
    <n v="650"/>
    <n v="5760"/>
    <n v="3.7440000000000002"/>
    <n v="160"/>
    <n v="8"/>
    <x v="17"/>
    <s v="IN-TRANSIT"/>
    <s v="优先500半片"/>
    <d v="2026-09-14T00:00:00"/>
    <n v="38"/>
    <s v="POPV260918042"/>
    <m/>
    <s v="TIANJIN"/>
    <x v="0"/>
    <x v="1"/>
    <d v="2026-09-19T00:00:00"/>
    <d v="2026-09-19T23:00:00"/>
    <d v="2026-09-19T23:30:00"/>
    <d v="2026-11-03T00:00:00"/>
    <d v="2026-11-10T17:00:00"/>
    <s v=""/>
    <s v="CIF"/>
    <s v="COSCO SHIPPING GEMINI 037W"/>
    <s v="COSCO"/>
    <s v="TPVB20260838004"/>
    <x v="713"/>
    <s v="COSU9509786940"/>
    <n v="51.729166666671517"/>
    <m/>
    <d v="2026-11-10T17:00:00"/>
    <s v="-"/>
    <s v=""/>
    <n v="7"/>
    <d v="2026-11-17T17:00:00"/>
    <n v="2026"/>
    <n v="11"/>
    <n v="47"/>
    <n v="36"/>
    <n v="720"/>
    <s v="White glazing"/>
    <s v="AEU"/>
  </r>
  <r>
    <s v="26Aug006.07"/>
    <s v="Tianjin"/>
    <s v="26Aug006"/>
    <s v="CORE DG"/>
    <x v="0"/>
    <s v="Arrival Plan-SPTN"/>
    <s v="CIF"/>
    <x v="0"/>
    <s v="U1"/>
    <x v="2"/>
    <m/>
    <m/>
    <s v="n/a"/>
    <d v="2026-08-24T00:00:00"/>
    <x v="0"/>
    <x v="26"/>
    <s v="HSM-ND54-DR505 CFP"/>
    <s v="EVO2A"/>
    <s v="±1200mm"/>
    <n v="505"/>
    <n v="1728"/>
    <n v="0.87263999999999997"/>
    <n v="48"/>
    <n v="2"/>
    <x v="18"/>
    <s v="IN-TRANSIT"/>
    <s v="Keep for FR"/>
    <d v="2026-09-14T00:00:00"/>
    <n v="38"/>
    <s v="POPV260918036"/>
    <m/>
    <s v="TIANJIN"/>
    <x v="0"/>
    <x v="0"/>
    <d v="2026-09-19T00:00:00"/>
    <d v="2026-09-19T23:00:00"/>
    <d v="2026-09-19T23:30:00"/>
    <d v="2026-11-18T00:00:00"/>
    <d v="2026-11-20T06:00:00"/>
    <s v=""/>
    <s v="CIF"/>
    <s v="COSCO SHIPPING GEMINI 037W"/>
    <s v="COSCO"/>
    <s v="TPVB20260838007"/>
    <x v="714"/>
    <s v="COSU9509787370"/>
    <n v="61.270833333335759"/>
    <m/>
    <d v="2026-11-20T06:00:00"/>
    <s v="-"/>
    <s v=""/>
    <n v="8"/>
    <d v="2026-11-28T06:00:00"/>
    <n v="2026"/>
    <n v="11"/>
    <n v="48"/>
    <n v="36"/>
    <n v="864"/>
    <s v="Black glazing"/>
    <s v="AEM"/>
  </r>
  <r>
    <s v="26Aug011.02"/>
    <s v="Tianjin"/>
    <s v="26Aug011"/>
    <s v="UPP"/>
    <x v="1"/>
    <s v="SPTN Offstore in Transit WH"/>
    <s v="FOB"/>
    <x v="10"/>
    <s v="U4"/>
    <x v="178"/>
    <s v="DE0126080600001"/>
    <n v="6"/>
    <s v="Yes"/>
    <m/>
    <x v="3"/>
    <x v="102"/>
    <s v="HSM-BD66-GR650"/>
    <s v="H4(Com)"/>
    <s v="+400mm/-200mm"/>
    <n v="650"/>
    <n v="10800"/>
    <n v="7.02"/>
    <n v="300"/>
    <n v="15"/>
    <x v="18"/>
    <s v="IN-TRANSIT"/>
    <d v="2026-09-07T00:00:00"/>
    <d v="2026-09-13T00:00:00"/>
    <n v="37"/>
    <s v="POPV260918052"/>
    <m/>
    <s v="TIANJIN"/>
    <x v="0"/>
    <x v="1"/>
    <d v="2026-09-22T00:00:00"/>
    <d v="2026-09-30T00:00:00"/>
    <d v="2026-09-28T00:00:00"/>
    <d v="2026-11-07T00:00:00"/>
    <m/>
    <m/>
    <s v="FOB"/>
    <s v="MSC METTE / GT637W"/>
    <s v="OTHER"/>
    <s v="TPVB20260838001"/>
    <x v="715"/>
    <s v="N235186779A"/>
    <n v="40"/>
    <m/>
    <d v="2026-11-07T00:00:00"/>
    <s v="-"/>
    <s v=""/>
    <n v="0"/>
    <d v="2026-11-07T00:00:00"/>
    <s v="n/a"/>
    <s v="n/a"/>
    <n v="45"/>
    <n v="36"/>
    <n v="720"/>
    <s v="White glazing"/>
    <s v="AEU"/>
  </r>
  <r>
    <s v="26Aug011.03"/>
    <s v="Tianjin"/>
    <s v="26Aug011"/>
    <s v="UPP"/>
    <x v="1"/>
    <s v="SPTN Offstore in Transit WH"/>
    <s v="FOB"/>
    <x v="10"/>
    <s v="U4"/>
    <x v="178"/>
    <s v="DE0126080600001"/>
    <n v="9"/>
    <s v="Yes"/>
    <m/>
    <x v="3"/>
    <x v="102"/>
    <s v="HSM-BD66-GR650"/>
    <s v="H4(Com)"/>
    <s v="+400mm/-200mm"/>
    <n v="650"/>
    <n v="5040"/>
    <n v="3.2759999999999998"/>
    <n v="140"/>
    <n v="7"/>
    <x v="19"/>
    <s v="IN-TRANSIT"/>
    <d v="2026-09-10T00:00:00"/>
    <d v="2026-09-13T00:00:00"/>
    <n v="37"/>
    <s v="POPV260918051"/>
    <m/>
    <s v="TIANJIN"/>
    <x v="0"/>
    <x v="1"/>
    <d v="2026-09-22T00:00:00"/>
    <d v="2026-09-30T00:00:00"/>
    <d v="2026-09-28T00:00:00"/>
    <d v="2026-11-07T00:00:00"/>
    <m/>
    <m/>
    <s v="FOB"/>
    <s v="MSC METTE / GT637W"/>
    <s v="OTHER"/>
    <s v="TPVB20260838001"/>
    <x v="715"/>
    <s v="N235186779B"/>
    <m/>
    <m/>
    <d v="2026-11-07T00:00:00"/>
    <s v="-"/>
    <s v=""/>
    <n v="0"/>
    <d v="2026-11-07T00:00:00"/>
    <n v="2026"/>
    <n v="11"/>
    <n v="45"/>
    <n v="36"/>
    <n v="720"/>
    <s v="White glazing"/>
    <s v="AEU"/>
  </r>
  <r>
    <s v="26Aug011.06"/>
    <s v="Tianjin"/>
    <s v="26Aug011"/>
    <s v="UPP"/>
    <x v="1"/>
    <s v="SPTN Offstore in Transit WH"/>
    <s v="FOB"/>
    <x v="10"/>
    <s v="U4"/>
    <x v="178"/>
    <s v="DE0126080600001"/>
    <n v="3"/>
    <s v="Yes"/>
    <m/>
    <x v="3"/>
    <x v="102"/>
    <s v="HSM-BD66-GR650"/>
    <s v="H4(Com)"/>
    <s v="+400mm/-200mm"/>
    <n v="650"/>
    <n v="5760"/>
    <n v="3.7440000000000002"/>
    <n v="160"/>
    <n v="8"/>
    <x v="19"/>
    <s v="IN-TRANSIT"/>
    <d v="2026-09-10T00:00:00"/>
    <d v="2026-09-14T00:00:00"/>
    <n v="38"/>
    <s v="POPV260918050"/>
    <m/>
    <s v="TIANJIN"/>
    <x v="0"/>
    <x v="1"/>
    <d v="2026-09-22T00:00:00"/>
    <d v="2026-09-30T00:00:00"/>
    <d v="2026-09-28T00:00:00"/>
    <d v="2026-11-07T00:00:00"/>
    <m/>
    <m/>
    <s v="FOB"/>
    <s v="MSC METTE / GT637W"/>
    <s v="OTHER"/>
    <s v="TPVB20260838001"/>
    <x v="715"/>
    <s v="N235186779B"/>
    <n v="40"/>
    <m/>
    <d v="2026-11-07T00:00:00"/>
    <s v="-"/>
    <s v=""/>
    <n v="0"/>
    <d v="2026-11-07T00:00:00"/>
    <s v="n/a"/>
    <s v="n/a"/>
    <n v="45"/>
    <n v="36"/>
    <n v="720"/>
    <s v="White glazing"/>
    <s v="AEU"/>
  </r>
  <r>
    <s v="26Aug011.04"/>
    <s v="Tianjin"/>
    <s v="26Aug011"/>
    <s v="UPP"/>
    <x v="1"/>
    <s v="SPTN Offstore in Transit WH"/>
    <s v="FOB"/>
    <x v="10"/>
    <s v="U4"/>
    <x v="178"/>
    <s v="DE0126080600001"/>
    <n v="8"/>
    <s v="Yes"/>
    <m/>
    <x v="3"/>
    <x v="102"/>
    <s v="HSM-BD66-GR650"/>
    <s v="H4(Com)"/>
    <s v="+400mm/-200mm"/>
    <n v="650"/>
    <n v="6480"/>
    <n v="4.2119999999999997"/>
    <n v="180"/>
    <n v="9"/>
    <x v="19"/>
    <s v="IN-TRANSIT"/>
    <d v="2026-09-12T00:00:00"/>
    <d v="2026-09-19T00:00:00"/>
    <n v="38"/>
    <s v="POPV260921022"/>
    <m/>
    <s v="TIANJIN"/>
    <x v="0"/>
    <x v="1"/>
    <d v="2026-09-21T00:00:00"/>
    <d v="2026-10-02T00:00:00"/>
    <d v="2026-10-02T00:00:00"/>
    <d v="2026-11-14T00:00:00"/>
    <d v="2026-11-04T00:00:00"/>
    <m/>
    <s v="FOB"/>
    <s v="MSC METTE  GT638W"/>
    <s v="OTHER"/>
    <s v="TPVB20260838008"/>
    <x v="716"/>
    <s v="N235187239"/>
    <n v="33"/>
    <m/>
    <d v="2026-11-04T00:00:00"/>
    <s v="-"/>
    <s v=""/>
    <n v="0"/>
    <d v="2026-11-04T00:00:00"/>
    <s v="n/a"/>
    <s v="n/a"/>
    <n v="45"/>
    <n v="36"/>
    <n v="720"/>
    <s v="White glazing"/>
    <s v="AEU"/>
  </r>
  <r>
    <s v="26Aug012.02"/>
    <s v="Tianjin"/>
    <s v="26Aug012"/>
    <s v="UPP"/>
    <x v="1"/>
    <s v="SPTN Offstore in Transit WH"/>
    <s v="FOB"/>
    <x v="10"/>
    <s v="U4"/>
    <x v="178"/>
    <s v="DE0126080600001"/>
    <n v="4"/>
    <s v="Yes"/>
    <m/>
    <x v="3"/>
    <x v="103"/>
    <s v="HSM-BD66-GR655"/>
    <s v="H4(Com)"/>
    <s v="+400mm/-200mm"/>
    <n v="655"/>
    <n v="720"/>
    <n v="0.47160000000000002"/>
    <n v="20"/>
    <n v="1"/>
    <x v="20"/>
    <s v="IN-TRANSIT"/>
    <m/>
    <d v="2026-09-19T00:00:00"/>
    <n v="38"/>
    <s v="POPV260921026"/>
    <m/>
    <s v="TIANJIN"/>
    <x v="0"/>
    <x v="1"/>
    <d v="2026-09-21T00:00:00"/>
    <d v="2026-10-02T00:00:00"/>
    <d v="2026-10-02T00:00:00"/>
    <d v="2026-11-14T00:00:00"/>
    <d v="2026-11-04T00:00:00"/>
    <m/>
    <s v="FOB"/>
    <s v="MSC METTE  GT638W"/>
    <s v="OTHER"/>
    <s v="TPVB20260838008"/>
    <x v="716"/>
    <s v="N235187239"/>
    <m/>
    <m/>
    <d v="2026-11-04T00:00:00"/>
    <s v="-"/>
    <s v=""/>
    <n v="0"/>
    <d v="2026-11-04T00:00:00"/>
    <n v="2026"/>
    <n v="11"/>
    <n v="45"/>
    <n v="36"/>
    <n v="720"/>
    <s v="White glazing"/>
    <s v="AEU"/>
  </r>
  <r>
    <s v="26Aug025.04"/>
    <s v="Yixing"/>
    <s v="26Aug025"/>
    <s v="UPP"/>
    <x v="1"/>
    <s v="SPTN Offstore in Transit WH"/>
    <s v="CIF"/>
    <x v="10"/>
    <s v="U4"/>
    <x v="178"/>
    <s v="DE0126080400009"/>
    <n v="20"/>
    <s v="Yes"/>
    <m/>
    <x v="0"/>
    <x v="99"/>
    <s v="HSM-ND66-GR630"/>
    <s v="H4(Com)"/>
    <s v="+400mm/-200mm"/>
    <n v="630"/>
    <n v="7920"/>
    <n v="4.9896000000000003"/>
    <n v="220"/>
    <n v="11"/>
    <x v="20"/>
    <s v="IN-TRANSIT"/>
    <s v="ready"/>
    <d v="2026-09-19T00:00:00"/>
    <n v="38"/>
    <s v="POPV260921023"/>
    <m/>
    <s v="SHANGHAI"/>
    <x v="1"/>
    <x v="1"/>
    <d v="2026-09-23T00:00:00"/>
    <d v="2026-09-28T00:00:00"/>
    <d v="2026-09-28T00:00:00"/>
    <d v="2026-10-31T00:00:00"/>
    <m/>
    <s v=""/>
    <m/>
    <m/>
    <s v="OTHER"/>
    <s v="TPVB20260939001"/>
    <x v="717"/>
    <s v="EGLV149608289604   "/>
    <n v="33"/>
    <m/>
    <d v="2026-10-31T00:00:00"/>
    <s v="-"/>
    <s v=""/>
    <n v="0"/>
    <d v="2026-10-31T00:00:00"/>
    <n v="2026"/>
    <n v="10"/>
    <n v="44"/>
    <n v="36"/>
    <n v="720"/>
    <s v="Redirection Film"/>
    <s v="AEU"/>
  </r>
  <r>
    <s v="26Aug015.10"/>
    <s v="Yixing"/>
    <s v="26Aug015"/>
    <s v="CORE DG"/>
    <x v="0"/>
    <s v="Arrival Plan-SPNL"/>
    <s v="CIF"/>
    <x v="0"/>
    <s v="U1"/>
    <x v="2"/>
    <m/>
    <m/>
    <s v="n/a"/>
    <d v="2026-09-20T00:00:00"/>
    <x v="6"/>
    <x v="21"/>
    <s v="SPR-P7-510-BLK-P"/>
    <s v="EVO2A"/>
    <s v="±1350mm"/>
    <n v="510"/>
    <n v="792"/>
    <n v="0.40392"/>
    <n v="22"/>
    <n v="1"/>
    <x v="22"/>
    <s v="IN-TRANSIT"/>
    <d v="2026-09-17T00:00:00"/>
    <d v="2026-09-20T00:00:00"/>
    <n v="38"/>
    <s v="POPV260921024"/>
    <m/>
    <s v="SHANGHAI"/>
    <x v="1"/>
    <x v="1"/>
    <d v="2026-09-23T00:00:00"/>
    <d v="2026-09-28T00:00:00"/>
    <d v="2026-09-28T00:00:00"/>
    <d v="2026-10-31T00:00:00"/>
    <m/>
    <s v=""/>
    <m/>
    <m/>
    <s v="OTHER"/>
    <s v="TPVB20260939004"/>
    <x v="718"/>
    <s v="EGLV149608289604   "/>
    <n v="33"/>
    <m/>
    <d v="2026-10-31T00:00:00"/>
    <s v="-"/>
    <s v=""/>
    <n v="7"/>
    <d v="2026-11-07T00:00:00"/>
    <s v="n/a"/>
    <s v="n/a"/>
    <n v="45"/>
    <n v="36"/>
    <n v="792"/>
    <s v="Black glazing"/>
    <s v="AEU"/>
  </r>
  <r>
    <s v="26Aug013.02"/>
    <s v="Quzhou"/>
    <s v="26Aug013"/>
    <s v="UPP"/>
    <x v="1"/>
    <s v="SPTN Offstore in Transit WH"/>
    <s v="CIF"/>
    <x v="10"/>
    <s v="U4"/>
    <x v="178"/>
    <s v="DE0126080300006"/>
    <n v="2"/>
    <s v="Yes"/>
    <m/>
    <x v="3"/>
    <x v="105"/>
    <s v="S4-DG490-108BC-FB"/>
    <s v="EVO2A"/>
    <s v="±1200mm"/>
    <n v="490"/>
    <n v="3744"/>
    <n v="1.83456"/>
    <n v="104"/>
    <n v="4"/>
    <x v="18"/>
    <s v="IN-TRANSIT"/>
    <s v="Batch 1-11，9/20"/>
    <d v="2026-09-20T00:00:00"/>
    <n v="38"/>
    <s v="POPV260921027"/>
    <m/>
    <s v="SHANGHAI/Quzhou"/>
    <x v="1"/>
    <x v="1"/>
    <d v="2026-09-29T00:00:00"/>
    <d v="2026-09-27T00:00:00"/>
    <d v="2026-09-27T12:59:51"/>
    <d v="2026-11-03T00:00:00"/>
    <d v="2026-11-10T17:00:00"/>
    <s v=""/>
    <m/>
    <s v="COSCO SHIPPING GEMINI_x000a_037W"/>
    <s v="COSCO"/>
    <s v="TPVB20260939005"/>
    <x v="719"/>
    <s v="COSU6467917120"/>
    <n v="44.16677083333343"/>
    <m/>
    <d v="2026-11-10T17:00:00"/>
    <s v="-"/>
    <s v=""/>
    <n v="0"/>
    <d v="2026-11-10T17:00:00"/>
    <n v="2026"/>
    <n v="11"/>
    <n v="46"/>
    <n v="36"/>
    <n v="936"/>
    <s v="Black glazing"/>
    <s v="AEU"/>
  </r>
  <r>
    <s v="26Aug014.03"/>
    <s v="Quzhou"/>
    <s v="26Aug014"/>
    <s v="UPP"/>
    <x v="1"/>
    <s v="SPTN Offstore in Transit WH"/>
    <s v="CIF"/>
    <x v="10"/>
    <s v="U4"/>
    <x v="178"/>
    <s v="DE0126080300006"/>
    <n v="6"/>
    <s v="Yes"/>
    <m/>
    <x v="3"/>
    <x v="106"/>
    <s v="S4-DG485-108BC-FB"/>
    <s v="EVO2A"/>
    <s v="±1200mm"/>
    <n v="485"/>
    <n v="6552"/>
    <n v="3.1777199999999999"/>
    <n v="182"/>
    <n v="7"/>
    <x v="19"/>
    <s v="IN-TRANSIT"/>
    <s v="Batch 2-8，9/20"/>
    <d v="2026-09-21T00:00:00"/>
    <n v="39"/>
    <s v="POPV260924026"/>
    <m/>
    <s v="SHANGHAI/Quzhou"/>
    <x v="1"/>
    <x v="1"/>
    <d v="2026-09-29T00:00:00"/>
    <d v="2026-09-27T00:00:00"/>
    <d v="2026-09-27T12:59:51"/>
    <d v="2026-11-03T00:00:00"/>
    <d v="2026-11-10T17:00:00"/>
    <s v=""/>
    <m/>
    <s v="COSCO SHIPPING GEMINI_x000a_037W"/>
    <s v="COSCO"/>
    <s v="TPVB20260939005"/>
    <x v="719"/>
    <s v="COSU6467917120"/>
    <n v="44.16677083333343"/>
    <m/>
    <d v="2026-11-10T17:00:00"/>
    <s v="-"/>
    <s v=""/>
    <n v="0"/>
    <d v="2026-11-10T17:00:00"/>
    <n v="2026"/>
    <n v="11"/>
    <n v="46"/>
    <n v="36"/>
    <n v="936"/>
    <s v="Black glazing"/>
    <s v="AEU"/>
  </r>
  <r>
    <s v="26Aug013.06"/>
    <s v="Quzhou"/>
    <s v="26Aug013"/>
    <s v="UPP"/>
    <x v="1"/>
    <s v="SPTN Offstore in Transit WH"/>
    <s v="CIF"/>
    <x v="10"/>
    <s v="U4"/>
    <x v="178"/>
    <s v="DE0126080300006"/>
    <n v="11"/>
    <s v="Yes"/>
    <m/>
    <x v="3"/>
    <x v="105"/>
    <s v="S4-DG490-108BC-FB"/>
    <s v="EVO2A"/>
    <s v="±1200mm"/>
    <n v="490"/>
    <n v="4680"/>
    <n v="2.2932000000000001"/>
    <n v="130"/>
    <n v="5"/>
    <x v="20"/>
    <s v="IN-TRANSIT"/>
    <s v="Batch 3-5，9/26"/>
    <d v="2026-09-26T00:00:00"/>
    <n v="39"/>
    <s v="POPV260929034"/>
    <m/>
    <s v="SHANGHAI/Quzhou"/>
    <x v="1"/>
    <x v="1"/>
    <d v="2026-09-28T00:00:00"/>
    <d v="2026-10-16T00:00:00"/>
    <d v="2026-10-14T06:14:51"/>
    <d v="2026-11-04T00:00:00"/>
    <d v="2026-11-20T03:00:00"/>
    <s v=""/>
    <m/>
    <s v="EVER ACT 1420-019W"/>
    <s v="COSCO"/>
    <s v="TPVB20260939006"/>
    <x v="720"/>
    <s v="COSU6467917960"/>
    <n v="36.864687499997672"/>
    <m/>
    <d v="2026-11-20T03:00:00"/>
    <s v="-"/>
    <s v=""/>
    <n v="0"/>
    <d v="2026-11-20T03:00:00"/>
    <n v="2026"/>
    <n v="11"/>
    <n v="47"/>
    <n v="36"/>
    <n v="936"/>
    <s v="Black glazing"/>
    <s v="AEU"/>
  </r>
  <r>
    <s v="26Aug013.05"/>
    <s v="Quzhou"/>
    <s v="26Aug013"/>
    <s v="UPP"/>
    <x v="1"/>
    <s v="SPTN Offstore in Transit WH"/>
    <s v="CIF"/>
    <x v="10"/>
    <s v="U4"/>
    <x v="178"/>
    <s v="DE0126080300006"/>
    <n v="12"/>
    <s v="Yes"/>
    <m/>
    <x v="3"/>
    <x v="105"/>
    <s v="S4-DG490-108BC-FB"/>
    <s v="EVO2A"/>
    <s v="±1200mm"/>
    <n v="490"/>
    <n v="7488"/>
    <n v="3.6691199999999999"/>
    <n v="208"/>
    <n v="8"/>
    <x v="20"/>
    <s v="IN-TRANSIT"/>
    <s v="Batch 3-8，9/20"/>
    <d v="2026-09-22T00:00:00"/>
    <n v="39"/>
    <s v="POPV260924036"/>
    <m/>
    <s v="SHANGHAI/Quzhou"/>
    <x v="1"/>
    <x v="1"/>
    <d v="2026-10-01T00:00:00"/>
    <d v="2026-10-01T12:00:00"/>
    <d v="2026-10-01T12:14:32"/>
    <d v="2026-11-14T00:00:00"/>
    <d v="2026-11-19T15:00:00"/>
    <s v=""/>
    <m/>
    <s v="COSCO SHIPPING ANDES 049W"/>
    <s v="COSCO"/>
    <s v="TPVB20260939007"/>
    <x v="721"/>
    <s v="COSU6467919240"/>
    <n v="49.114907407405553"/>
    <m/>
    <d v="2026-11-19T15:00:00"/>
    <s v="-"/>
    <s v=""/>
    <n v="0"/>
    <d v="2026-11-19T15:00:00"/>
    <n v="2026"/>
    <n v="11"/>
    <n v="47"/>
    <n v="36"/>
    <n v="936"/>
    <s v="Black glazing"/>
    <s v="AEU"/>
  </r>
  <r>
    <s v="26Aug013.01"/>
    <s v="Quzhou"/>
    <s v="26Aug013"/>
    <s v="UPP"/>
    <x v="1"/>
    <s v="SPTN Offstore in Transit WH"/>
    <s v="CIF"/>
    <x v="10"/>
    <s v="U4"/>
    <x v="178"/>
    <s v="DE0126080300006"/>
    <n v="3"/>
    <s v="Yes"/>
    <m/>
    <x v="3"/>
    <x v="105"/>
    <s v="S4-DG490-108BC-FB"/>
    <s v="EVO2A"/>
    <s v="±1200mm"/>
    <n v="490"/>
    <n v="5616"/>
    <n v="2.7518400000000001"/>
    <n v="156"/>
    <n v="6"/>
    <x v="18"/>
    <s v="IN-TRANSIT"/>
    <s v="Batch 1-11，9/23"/>
    <d v="2026-09-23T00:00:00"/>
    <n v="39"/>
    <s v="POPV260924037"/>
    <m/>
    <s v="SHANGHAI/Quzhou"/>
    <x v="1"/>
    <x v="1"/>
    <d v="2026-10-01T00:00:00"/>
    <d v="2026-10-02T00:00:00"/>
    <d v="2026-10-02T00:00:00"/>
    <d v="2026-11-14T00:00:00"/>
    <d v="2026-11-15T23:30:00"/>
    <s v=""/>
    <m/>
    <s v="COSCO SHIPPING ANDES 049W"/>
    <s v="COSCO"/>
    <s v="TPVB20260939008"/>
    <x v="722"/>
    <s v="COSU6467919750"/>
    <n v="44.979166666664241"/>
    <m/>
    <d v="2026-11-15T23:30:00"/>
    <s v="-"/>
    <s v=""/>
    <n v="0"/>
    <d v="2026-11-15T23:30:00"/>
    <n v="2026"/>
    <n v="11"/>
    <n v="46"/>
    <n v="36"/>
    <n v="936"/>
    <s v="Black glazing"/>
    <s v="AEU"/>
  </r>
  <r>
    <s v="26Aug013.07"/>
    <s v="Quzhou"/>
    <s v="26Aug013"/>
    <s v="UPP"/>
    <x v="1"/>
    <s v="SPTN Offstore in Transit WH"/>
    <s v="CIF"/>
    <x v="10"/>
    <s v="U4"/>
    <x v="178"/>
    <s v="DE0126080300006"/>
    <n v="13"/>
    <s v="Yes"/>
    <m/>
    <x v="3"/>
    <x v="105"/>
    <s v="S4-DG490-108BC-FB"/>
    <s v="EVO2A"/>
    <s v="±1200mm"/>
    <n v="490"/>
    <n v="2808"/>
    <n v="1.37592"/>
    <n v="78"/>
    <n v="3"/>
    <x v="19"/>
    <s v="IN-TRANSIT"/>
    <d v="2026-09-23T00:00:00"/>
    <d v="2026-09-23T00:00:00"/>
    <n v="39"/>
    <s v="POPV260924038"/>
    <m/>
    <s v="SHANGHAI/Quzhou"/>
    <x v="1"/>
    <x v="1"/>
    <d v="2026-10-01T00:00:00"/>
    <d v="2026-10-02T00:00:00"/>
    <d v="2026-10-02T00:00:00"/>
    <d v="2026-11-14T00:00:00"/>
    <d v="2026-11-15T23:30:00"/>
    <s v=""/>
    <m/>
    <s v="COSCO SHIPPING ANDES 049W"/>
    <s v="COSCO"/>
    <s v="TPVB20260939008"/>
    <x v="722"/>
    <s v="COSU6467919750"/>
    <n v="44.979166666664241"/>
    <m/>
    <d v="2026-11-15T23:30:00"/>
    <s v="-"/>
    <s v=""/>
    <n v="0"/>
    <d v="2026-11-15T23:30:00"/>
    <n v="2026"/>
    <n v="11"/>
    <n v="46"/>
    <n v="36"/>
    <n v="936"/>
    <s v="Black glazing"/>
    <s v="AEU"/>
  </r>
  <r>
    <s v="26Aug014.05"/>
    <s v="Quzhou"/>
    <s v="26Aug014"/>
    <s v="UPP"/>
    <x v="1"/>
    <s v="SPTN Offstore in Transit WH"/>
    <s v="CIF"/>
    <x v="10"/>
    <s v="U4"/>
    <x v="178"/>
    <s v="DE0126080300006"/>
    <n v="7"/>
    <s v="Yes"/>
    <m/>
    <x v="3"/>
    <x v="106"/>
    <s v="S4-DG485-108BC-FB"/>
    <s v="EVO2A"/>
    <s v="±1200mm"/>
    <n v="485"/>
    <n v="2808"/>
    <n v="1.36188"/>
    <n v="78"/>
    <n v="3"/>
    <x v="20"/>
    <s v="IN-TRANSIT"/>
    <s v="Batch 3-5，9/23"/>
    <d v="2026-09-23T00:00:00"/>
    <n v="39"/>
    <s v="POPV260924040"/>
    <m/>
    <s v="SHANGHAI/Quzhou"/>
    <x v="1"/>
    <x v="1"/>
    <d v="2026-10-01T00:00:00"/>
    <d v="2026-10-02T00:00:00"/>
    <d v="2026-10-02T00:00:00"/>
    <d v="2026-11-14T00:00:00"/>
    <d v="2026-11-15T23:30:00"/>
    <s v=""/>
    <m/>
    <s v="COSCO SHIPPING ANDES 049W"/>
    <s v="COSCO"/>
    <s v="TPVB20260939008"/>
    <x v="722"/>
    <s v="COSU6467919750"/>
    <n v="44.979166666664241"/>
    <m/>
    <d v="2026-11-15T23:30:00"/>
    <s v="-"/>
    <s v=""/>
    <n v="0"/>
    <d v="2026-11-15T23:30:00"/>
    <n v="2026"/>
    <n v="11"/>
    <n v="46"/>
    <n v="36"/>
    <n v="936"/>
    <s v="Black glazing"/>
    <s v="AEU"/>
  </r>
  <r>
    <s v="26Aug014.04"/>
    <s v="Quzhou"/>
    <s v="26Aug014"/>
    <s v="UPP"/>
    <x v="1"/>
    <s v="SPTN Offstore in Transit WH"/>
    <s v="CIF"/>
    <x v="10"/>
    <s v="U4"/>
    <x v="178"/>
    <s v="DE0126080300006"/>
    <n v="8"/>
    <s v="Yes"/>
    <m/>
    <x v="3"/>
    <x v="106"/>
    <s v="S4-DG485-108BC-FB"/>
    <s v="EVO2A"/>
    <s v="±1200mm"/>
    <n v="485"/>
    <n v="2808"/>
    <n v="1.36188"/>
    <n v="78"/>
    <n v="3"/>
    <x v="20"/>
    <s v="IN-TRANSIT"/>
    <s v="Batch 3-11，9/24"/>
    <d v="2026-09-24T00:00:00"/>
    <n v="39"/>
    <s v="POPV260924041"/>
    <m/>
    <s v="SHANGHAI/Quzhou"/>
    <x v="1"/>
    <x v="1"/>
    <d v="2026-10-01T00:00:00"/>
    <d v="2026-10-02T00:00:00"/>
    <d v="2026-10-02T00:00:00"/>
    <d v="2026-11-14T00:00:00"/>
    <d v="2026-11-15T23:30:00"/>
    <s v=""/>
    <m/>
    <s v="COSCO SHIPPING ANDES 049W"/>
    <s v="COSCO"/>
    <s v="TPVB20260939009"/>
    <x v="723"/>
    <s v="COSU6467920310"/>
    <n v="44.979166666664241"/>
    <m/>
    <d v="2026-11-15T23:30:00"/>
    <s v="-"/>
    <s v=""/>
    <n v="0"/>
    <d v="2026-11-15T23:30:00"/>
    <n v="2026"/>
    <n v="11"/>
    <n v="46"/>
    <n v="36"/>
    <n v="936"/>
    <s v="Black glazing"/>
    <s v="AEU"/>
  </r>
  <r>
    <s v="26Aug013.04"/>
    <s v="Quzhou"/>
    <s v="26Aug013"/>
    <s v="UPP"/>
    <x v="1"/>
    <s v="SPTN Offstore in Transit WH"/>
    <s v="CIF"/>
    <x v="10"/>
    <s v="U4"/>
    <x v="178"/>
    <s v="DE0126080300006"/>
    <n v="10"/>
    <s v="Yes"/>
    <m/>
    <x v="3"/>
    <x v="105"/>
    <s v="S4-DG490-108BC-FB"/>
    <s v="EVO2A"/>
    <s v="±1200mm"/>
    <n v="490"/>
    <n v="4680"/>
    <n v="2.2932000000000001"/>
    <n v="130"/>
    <n v="5"/>
    <x v="19"/>
    <s v="IN-TRANSIT"/>
    <s v="Batch 2-5，9/24"/>
    <d v="2026-09-24T00:00:00"/>
    <n v="39"/>
    <s v="POPV260924039"/>
    <m/>
    <s v="SHANGHAI/Quzhou"/>
    <x v="1"/>
    <x v="1"/>
    <d v="2026-10-01T00:00:00"/>
    <d v="2026-10-02T00:00:00"/>
    <d v="2026-10-02T00:00:00"/>
    <d v="2026-11-14T00:00:00"/>
    <d v="2026-11-15T23:30:00"/>
    <s v=""/>
    <m/>
    <s v="COSCO SHIPPING ANDES 049W"/>
    <s v="COSCO"/>
    <s v="TPVB20260939009"/>
    <x v="723"/>
    <s v="COSU6467920310"/>
    <n v="44.979166666664241"/>
    <m/>
    <d v="2026-11-15T23:30:00"/>
    <s v="-"/>
    <s v=""/>
    <n v="0"/>
    <d v="2026-11-15T23:30:00"/>
    <n v="2026"/>
    <n v="11"/>
    <n v="46"/>
    <n v="36"/>
    <n v="936"/>
    <s v="Black glazing"/>
    <s v="AEU"/>
  </r>
  <r>
    <s v="26Aug002.07"/>
    <s v="Yixing"/>
    <s v="26Aug002"/>
    <s v="CORE DG"/>
    <x v="0"/>
    <s v="Arrival Plan-SPNL"/>
    <s v="CIF"/>
    <x v="0"/>
    <s v="U1"/>
    <x v="2"/>
    <m/>
    <m/>
    <s v="n/a"/>
    <d v="2026-07-12T00:00:00"/>
    <x v="6"/>
    <x v="69"/>
    <s v="SPR-P7-515-BLK-P"/>
    <s v="EVO2A"/>
    <s v="±1350mm"/>
    <n v="515"/>
    <n v="792"/>
    <n v="0.40788000000000002"/>
    <n v="22"/>
    <n v="1"/>
    <x v="18"/>
    <s v="IN-TRANSIT"/>
    <d v="2026-09-28T00:00:00"/>
    <d v="2026-09-27T00:00:00"/>
    <n v="39"/>
    <s v="POPV261010030"/>
    <m/>
    <s v="SHANGHAI"/>
    <x v="1"/>
    <x v="1"/>
    <d v="2026-10-02T00:00:00"/>
    <s v=""/>
    <d v="2026-10-07T00:00:00"/>
    <d v="2026-11-08T00:00:00"/>
    <s v=""/>
    <s v=""/>
    <m/>
    <s v="EVER AEON 1420-009W"/>
    <s v="OTHER"/>
    <s v="TPVB20260939012"/>
    <x v="724"/>
    <s v="EGLV149608598577"/>
    <n v="32"/>
    <m/>
    <d v="2026-11-08T00:00:00"/>
    <s v="-"/>
    <s v=""/>
    <n v="7"/>
    <d v="2026-11-15T00:00:00"/>
    <s v="n/a"/>
    <s v="n/a"/>
    <n v="46"/>
    <n v="36"/>
    <n v="792"/>
    <s v="Black glazing"/>
    <s v="AEU"/>
  </r>
  <r>
    <s v="26Aug016.04"/>
    <s v="Yixing"/>
    <s v="26Aug016"/>
    <s v="CORE DG"/>
    <x v="0"/>
    <s v="Arrival Plan-SPNL"/>
    <s v="CIF"/>
    <x v="0"/>
    <s v="U1"/>
    <x v="2"/>
    <m/>
    <m/>
    <s v="n/a"/>
    <d v="2026-09-17T00:00:00"/>
    <x v="6"/>
    <x v="69"/>
    <s v="SPR-P7-515-BLK-P"/>
    <s v="EVO2A"/>
    <s v="±1350mm"/>
    <n v="515"/>
    <n v="3960"/>
    <n v="2.0394000000000001"/>
    <n v="110"/>
    <n v="5"/>
    <x v="20"/>
    <s v="IN-TRANSIT"/>
    <d v="2026-09-28T00:00:00"/>
    <d v="2026-09-27T00:00:00"/>
    <n v="39"/>
    <s v="POPV261010028"/>
    <m/>
    <s v="SHANGHAI"/>
    <x v="1"/>
    <x v="1"/>
    <d v="2026-10-02T00:00:00"/>
    <s v=""/>
    <d v="2026-10-07T00:00:00"/>
    <d v="2026-11-08T00:00:00"/>
    <m/>
    <s v=""/>
    <m/>
    <s v="EVER AEON 1420-009W"/>
    <s v="OTHER"/>
    <s v="TPVB20260939012"/>
    <x v="724"/>
    <s v="EGLV149608598577"/>
    <n v="32"/>
    <m/>
    <d v="2026-11-08T00:00:00"/>
    <s v="-"/>
    <s v=""/>
    <n v="7"/>
    <d v="2026-11-15T00:00:00"/>
    <s v="n/a"/>
    <s v="n/a"/>
    <n v="46"/>
    <n v="36"/>
    <n v="792"/>
    <s v="Black glazing"/>
    <s v="AEU"/>
  </r>
  <r>
    <s v="26Aug015.04"/>
    <s v="Yixing"/>
    <s v="26Aug015"/>
    <s v="CORE DG"/>
    <x v="0"/>
    <s v="Arrival Plan-SPNL"/>
    <s v="CIF"/>
    <x v="0"/>
    <s v="U1"/>
    <x v="2"/>
    <m/>
    <m/>
    <s v="n/a"/>
    <d v="2026-09-20T00:00:00"/>
    <x v="6"/>
    <x v="21"/>
    <s v="SPR-P7-510-BLK-P"/>
    <s v="EVO2A"/>
    <s v="±1350mm"/>
    <n v="510"/>
    <n v="1584"/>
    <n v="0.80784"/>
    <n v="44"/>
    <n v="2"/>
    <x v="22"/>
    <s v="IN-TRANSIT"/>
    <d v="2026-09-28T00:00:00"/>
    <d v="2026-09-27T00:00:00"/>
    <n v="39"/>
    <s v="POPV261010007"/>
    <m/>
    <s v="SHANGHAI"/>
    <x v="1"/>
    <x v="1"/>
    <d v="2026-10-02T00:00:00"/>
    <s v=""/>
    <d v="2026-10-07T00:00:00"/>
    <d v="2026-11-08T00:00:00"/>
    <m/>
    <s v=""/>
    <m/>
    <s v="EVER AEON 1420-009W"/>
    <s v="OTHER"/>
    <s v="TPVB20260939012"/>
    <x v="724"/>
    <s v="EGLV149608598577"/>
    <n v="32"/>
    <m/>
    <d v="2026-11-08T00:00:00"/>
    <s v="-"/>
    <s v=""/>
    <n v="7"/>
    <d v="2026-11-15T00:00:00"/>
    <s v="n/a"/>
    <s v="n/a"/>
    <n v="46"/>
    <n v="36"/>
    <n v="792"/>
    <s v="Black glazing"/>
    <s v="AEU"/>
  </r>
  <r>
    <s v="26Aug016.06"/>
    <s v="Yixing"/>
    <s v="26Aug016"/>
    <s v="CORE DG"/>
    <x v="0"/>
    <s v="Arrival Plan-SPIT"/>
    <s v="CIF"/>
    <x v="4"/>
    <s v="U1"/>
    <x v="2"/>
    <m/>
    <m/>
    <s v="n/a"/>
    <d v="2026-09-17T00:00:00"/>
    <x v="6"/>
    <x v="69"/>
    <s v="SPR-P7-515-BLK-P"/>
    <s v="EVO2A"/>
    <s v="±1350mm"/>
    <n v="515"/>
    <n v="3168"/>
    <n v="1.6315200000000001"/>
    <n v="88"/>
    <n v="4"/>
    <x v="22"/>
    <s v="IN-TRANSIT"/>
    <d v="2026-09-26T00:00:00"/>
    <d v="2026-09-26T00:00:00"/>
    <n v="39"/>
    <s v="POPV261010027"/>
    <m/>
    <s v="SHANGHAI"/>
    <x v="1"/>
    <x v="4"/>
    <d v="2026-10-02T00:00:00"/>
    <d v="2026-10-11T00:00:00"/>
    <d v="2026-10-11T10:29:29"/>
    <d v="2026-11-18T00:00:00"/>
    <d v="2026-11-28T06:00:00"/>
    <s v=""/>
    <m/>
    <s v="EVER GLORY 0772-030W"/>
    <s v="COSCO"/>
    <s v="TPVB20260939013"/>
    <x v="725"/>
    <s v="COSU6468132880"/>
    <n v="47.812858796292858"/>
    <m/>
    <d v="2026-11-28T06:00:00"/>
    <s v="-"/>
    <s v=""/>
    <n v="10"/>
    <d v="2026-12-08T06:00:00"/>
    <s v="n/a"/>
    <s v="n/a"/>
    <n v="50"/>
    <n v="36"/>
    <n v="792"/>
    <s v="Black glazing"/>
    <s v="AEM"/>
  </r>
  <r>
    <s v="26Aug016.02"/>
    <s v="Yixing"/>
    <s v="26Aug016"/>
    <s v="CORE DG"/>
    <x v="0"/>
    <s v="Arrival Plan-SPIT"/>
    <s v="CIF"/>
    <x v="4"/>
    <s v="U1"/>
    <x v="2"/>
    <m/>
    <m/>
    <s v="n/a"/>
    <d v="2026-09-17T00:00:00"/>
    <x v="6"/>
    <x v="69"/>
    <s v="SPR-P7-515-BLK-P"/>
    <s v="EVO2A"/>
    <s v="±1350mm"/>
    <n v="515"/>
    <n v="3168"/>
    <n v="1.6315200000000001"/>
    <n v="88"/>
    <n v="4"/>
    <x v="20"/>
    <s v="IN-TRANSIT"/>
    <d v="2026-09-26T00:00:00"/>
    <d v="2026-09-26T00:00:00"/>
    <n v="39"/>
    <s v="POPV261010026"/>
    <m/>
    <s v="SHANGHAI"/>
    <x v="1"/>
    <x v="14"/>
    <d v="2026-10-02T00:00:00"/>
    <d v="2026-10-11T00:00:00"/>
    <d v="2026-10-11T10:29:29"/>
    <d v="2026-11-15T00:00:00"/>
    <d v="2026-11-29T18:00:00"/>
    <s v=""/>
    <m/>
    <s v="EVER GLORY 0772-030W"/>
    <s v="COSCO"/>
    <s v="TPVB20260939016"/>
    <x v="726"/>
    <s v="COSU6467810590"/>
    <n v="49.312858796292858"/>
    <m/>
    <d v="2026-11-29T18:00:00"/>
    <s v="-"/>
    <s v=""/>
    <n v="10"/>
    <d v="2026-12-09T18:00:00"/>
    <s v="n/a"/>
    <s v="n/a"/>
    <n v="50"/>
    <n v="36"/>
    <n v="792"/>
    <s v="Black glazing"/>
    <s v="AEM"/>
  </r>
  <r>
    <s v="26Aug015.03"/>
    <s v="Yixing"/>
    <s v="26Aug015"/>
    <s v="CORE DG"/>
    <x v="0"/>
    <s v="Arrival Plan-SPTN"/>
    <s v="CIF"/>
    <x v="0"/>
    <s v="U1"/>
    <x v="2"/>
    <m/>
    <m/>
    <s v="n/a"/>
    <d v="2026-09-20T00:00:00"/>
    <x v="6"/>
    <x v="21"/>
    <s v="SPR-P7-510-BLK-P"/>
    <s v="EVO2A"/>
    <s v="±1350mm"/>
    <n v="510"/>
    <n v="3168"/>
    <n v="1.61568"/>
    <n v="88"/>
    <n v="4"/>
    <x v="22"/>
    <s v="IN-TRANSIT"/>
    <d v="2026-09-26T00:00:00"/>
    <d v="2026-09-28T00:00:00"/>
    <n v="40"/>
    <s v="POPV261010006"/>
    <m/>
    <s v="SHANGHAI"/>
    <x v="1"/>
    <x v="0"/>
    <d v="2026-10-02T00:00:00"/>
    <d v="2026-10-11T00:00:00"/>
    <d v="2026-10-11T10:29:29"/>
    <d v="2026-11-23T00:00:00"/>
    <d v="2026-12-03T19:00:00"/>
    <s v=""/>
    <m/>
    <s v="EVER GLORY 0772-030W"/>
    <s v="COSCO"/>
    <s v="TPVB20260939014"/>
    <x v="727"/>
    <s v="COSU6468136360"/>
    <n v="53.354525462957099"/>
    <m/>
    <d v="2026-12-03T19:00:00"/>
    <s v="-"/>
    <s v=""/>
    <n v="8"/>
    <d v="2026-12-11T19:00:00"/>
    <s v="n/a"/>
    <s v="n/a"/>
    <n v="50"/>
    <n v="36"/>
    <n v="792"/>
    <s v="Black glazing"/>
    <s v="AEM"/>
  </r>
  <r>
    <s v="26Aug016.11"/>
    <s v="Yixing"/>
    <s v="26Aug016"/>
    <s v="CORE DG"/>
    <x v="0"/>
    <s v="Arrival Plan-SPES"/>
    <s v="CIF"/>
    <x v="1"/>
    <s v="U1"/>
    <x v="2"/>
    <m/>
    <m/>
    <s v="n/a"/>
    <d v="2026-09-17T00:00:00"/>
    <x v="6"/>
    <x v="69"/>
    <s v="SPR-P7-515-BLK-P"/>
    <s v="EVO2A"/>
    <s v="±1350mm"/>
    <n v="515"/>
    <n v="792"/>
    <n v="0.40788000000000002"/>
    <n v="22"/>
    <n v="1"/>
    <x v="22"/>
    <s v="IN-TRANSIT"/>
    <d v="2026-09-26T00:00:00"/>
    <d v="2026-09-25T00:00:00"/>
    <n v="39"/>
    <s v="POPV261010023"/>
    <m/>
    <s v="SHANGHAI"/>
    <x v="1"/>
    <x v="2"/>
    <d v="2026-10-02T00:00:00"/>
    <d v="2026-10-04T05:00:00"/>
    <d v="2026-10-04T00:00:00"/>
    <d v="2026-11-05T00:00:00"/>
    <d v="2026-11-14T14:00:00"/>
    <s v=""/>
    <m/>
    <s v="CMA CGM BERENICE MEOVW1MA"/>
    <s v="COSCO"/>
    <s v="TPVB20260939017"/>
    <x v="728"/>
    <s v="COSU6468139070"/>
    <n v="41.583333333335759"/>
    <m/>
    <d v="2026-11-14T14:00:00"/>
    <s v="-"/>
    <s v=""/>
    <n v="9"/>
    <d v="2026-11-23T14:00:00"/>
    <s v="n/a"/>
    <s v="n/a"/>
    <n v="48"/>
    <n v="36"/>
    <n v="792"/>
    <s v="Black glazing"/>
    <s v="AEM"/>
  </r>
  <r>
    <s v="26Aug015.12"/>
    <s v="Yixing"/>
    <s v="26Aug015"/>
    <s v="CORE DG"/>
    <x v="0"/>
    <s v="Arrival Plan-SPTN"/>
    <s v="CIF"/>
    <x v="0"/>
    <s v="U1"/>
    <x v="2"/>
    <m/>
    <m/>
    <s v="n/a"/>
    <d v="2026-09-20T00:00:00"/>
    <x v="6"/>
    <x v="21"/>
    <s v="SPR-P7-510-BLK-P"/>
    <s v="EVO2A"/>
    <s v="±1350mm"/>
    <n v="510"/>
    <n v="2376"/>
    <n v="1.2117599999999999"/>
    <n v="66"/>
    <n v="3"/>
    <x v="22"/>
    <s v="IN-TRANSIT"/>
    <d v="2026-09-26T00:00:00"/>
    <d v="2026-09-25T00:00:00"/>
    <n v="39"/>
    <s v="POPV261010005"/>
    <m/>
    <s v="SHANGHAI"/>
    <x v="1"/>
    <x v="0"/>
    <d v="2026-10-02T00:00:00"/>
    <d v="2026-10-04T05:00:00"/>
    <d v="2026-10-04T00:00:00"/>
    <d v="2026-11-11T00:00:00"/>
    <d v="2026-11-20T06:00:00"/>
    <s v=""/>
    <m/>
    <s v="CMA CGM BERENICE 0MEOVW1MA"/>
    <s v="COSCO"/>
    <s v="TPVB20260939015"/>
    <x v="729"/>
    <s v="COSU6468138550"/>
    <n v="47.25"/>
    <m/>
    <d v="2026-11-20T06:00:00"/>
    <s v="-"/>
    <s v=""/>
    <n v="8"/>
    <d v="2026-11-28T06:00:00"/>
    <s v="n/a"/>
    <s v="n/a"/>
    <n v="48"/>
    <n v="36"/>
    <n v="792"/>
    <s v="Black glazing"/>
    <s v="AEM"/>
  </r>
  <r>
    <s v="26Aug003.09"/>
    <s v="Tianjin"/>
    <s v="26Aug003"/>
    <s v="CORE DG"/>
    <x v="0"/>
    <s v="Arrival Plan-SPTN"/>
    <s v="CIF"/>
    <x v="0"/>
    <s v="U4"/>
    <x v="2"/>
    <m/>
    <m/>
    <s v="n/a"/>
    <d v="2026-08-03T00:00:00"/>
    <x v="0"/>
    <x v="0"/>
    <s v="HSM-ND54-DR500"/>
    <s v="EVO2A"/>
    <s v="±1200mm"/>
    <n v="500"/>
    <n v="1728"/>
    <n v="0.86399999999999999"/>
    <n v="48"/>
    <n v="2"/>
    <x v="18"/>
    <s v="IN-TRANSIT"/>
    <m/>
    <d v="2026-09-24T00:00:00"/>
    <n v="39"/>
    <s v="POPV260924022"/>
    <m/>
    <s v="TIANJIN"/>
    <x v="0"/>
    <x v="0"/>
    <d v="2026-09-30T00:00:00"/>
    <d v="2026-09-30T12:00:00"/>
    <d v="2026-09-30T12:52:36"/>
    <d v="2026-12-09T00:00:00"/>
    <d v="2026-12-09T06:00:00"/>
    <s v=""/>
    <s v="CIF"/>
    <s v="CSCL AUTUMN 075E"/>
    <s v="COSCO"/>
    <s v="TPVB20260939018"/>
    <x v="730"/>
    <s v="COSU9510101310"/>
    <n v="69.713472222225391"/>
    <m/>
    <d v="2026-12-09T06:00:00"/>
    <s v="-"/>
    <s v=""/>
    <n v="8"/>
    <d v="2026-12-17T06:00:00"/>
    <n v="2026"/>
    <n v="12"/>
    <n v="51"/>
    <n v="36"/>
    <n v="864"/>
    <s v="Black glazing"/>
    <s v="AEM"/>
  </r>
  <r>
    <s v="26Aug022.02"/>
    <s v="Tianjin"/>
    <s v="26Aug022"/>
    <s v="CORE DG"/>
    <x v="0"/>
    <s v="Arrival Plan-SPTN"/>
    <s v="CIF"/>
    <x v="0"/>
    <s v="U1"/>
    <x v="2"/>
    <m/>
    <m/>
    <s v="n/a"/>
    <d v="2026-09-07T00:00:00"/>
    <x v="0"/>
    <x v="43"/>
    <s v="HSM-ND54-DR505"/>
    <s v="EVO2A"/>
    <s v="±1200mm"/>
    <n v="505"/>
    <n v="4320"/>
    <n v="2.1816"/>
    <n v="120"/>
    <n v="5"/>
    <x v="20"/>
    <s v="IN-TRANSIT"/>
    <m/>
    <d v="2026-10-13T00:00:00"/>
    <n v="42"/>
    <s v="POPV261016032"/>
    <m/>
    <s v="TIANJIN"/>
    <x v="0"/>
    <x v="0"/>
    <d v="2026-10-18T00:00:00"/>
    <d v="2026-10-18T20:30:00"/>
    <d v="2026-10-18T18:51:12"/>
    <d v="2026-12-28T00:00:00"/>
    <d v="2026-12-28T19:00:00"/>
    <s v=""/>
    <m/>
    <s v="COSCO SHIPPING CAPRICORN_x000a_042W"/>
    <s v="COSCO"/>
    <s v="TPVB20261042002HL"/>
    <x v="731"/>
    <s v="COSU9510260410"/>
    <n v="71.006111111106293"/>
    <m/>
    <d v="2026-12-28T19:00:00"/>
    <s v="-"/>
    <s v=""/>
    <n v="8"/>
    <d v="2027-01-05T19:00:00"/>
    <s v="n/a"/>
    <s v="n/a"/>
    <n v="1"/>
    <n v="36"/>
    <n v="864"/>
    <s v="Black glazing"/>
    <s v="AEM"/>
  </r>
  <r>
    <s v="26Aug022.05"/>
    <s v="Tianjin"/>
    <s v="26Aug022"/>
    <s v="CORE DG"/>
    <x v="0"/>
    <s v="Arrival Plan-SPTN"/>
    <s v="CIF"/>
    <x v="0"/>
    <s v="U1"/>
    <x v="2"/>
    <m/>
    <m/>
    <s v="n/a"/>
    <d v="2026-09-07T00:00:00"/>
    <x v="0"/>
    <x v="43"/>
    <s v="HSM-ND54-DR505"/>
    <s v="EVO2A"/>
    <s v="±1200mm"/>
    <n v="505"/>
    <n v="864"/>
    <n v="0.43631999999999999"/>
    <n v="24"/>
    <n v="1"/>
    <x v="20"/>
    <s v="IN-TRANSIT"/>
    <m/>
    <d v="2026-10-13T00:00:00"/>
    <n v="42"/>
    <s v="POPV261016033"/>
    <m/>
    <s v="TIANJIN"/>
    <x v="0"/>
    <x v="0"/>
    <d v="2026-10-18T00:00:00"/>
    <d v="2026-10-18T20:30:00"/>
    <d v="2026-10-18T18:51:12"/>
    <d v="2026-12-28T00:00:00"/>
    <d v="2026-12-16T06:00:00"/>
    <s v=""/>
    <m/>
    <s v="COSCO SHIPPING CAPRICORN_x000a_042W"/>
    <s v="COSCO"/>
    <s v="TPVB20261042003HL"/>
    <x v="732"/>
    <s v="COSU9510260340"/>
    <n v="58.464444444442051"/>
    <m/>
    <d v="2026-12-16T06:00:00"/>
    <s v="-"/>
    <s v=""/>
    <n v="8"/>
    <d v="2026-12-24T06:00:00"/>
    <s v="n/a"/>
    <s v="n/a"/>
    <n v="52"/>
    <n v="36"/>
    <n v="864"/>
    <s v="Black glazing"/>
    <s v="AEM"/>
  </r>
  <r>
    <s v="26Aug003.10"/>
    <s v="Tianjin"/>
    <s v="26Aug003"/>
    <s v="CORE DG"/>
    <x v="0"/>
    <s v="Arrival Plan-SPTN"/>
    <s v="CIF"/>
    <x v="0"/>
    <s v="U1"/>
    <x v="2"/>
    <m/>
    <m/>
    <s v="n/a"/>
    <d v="2026-08-03T00:00:00"/>
    <x v="0"/>
    <x v="0"/>
    <s v="HSM-ND54-DR500"/>
    <s v="EVO2A"/>
    <s v="±1200mm"/>
    <n v="500"/>
    <n v="864"/>
    <n v="0.432"/>
    <n v="24"/>
    <n v="1"/>
    <x v="18"/>
    <s v="IN-TRANSIT"/>
    <m/>
    <d v="2026-10-13T00:00:00"/>
    <n v="42"/>
    <s v="POPV261016041"/>
    <m/>
    <s v="TIANJIN"/>
    <x v="0"/>
    <x v="0"/>
    <d v="2026-10-18T00:00:00"/>
    <d v="2026-10-18T20:30:00"/>
    <d v="2026-10-18T18:51:12"/>
    <d v="2026-12-16T00:00:00"/>
    <d v="2026-12-16T06:00:00"/>
    <s v=""/>
    <m/>
    <s v="COSCO SHIPPING CAPRICORN_x000a_042W"/>
    <s v="COSCO"/>
    <s v="TPVB20261042003HL"/>
    <x v="732"/>
    <s v="COSU9510260340"/>
    <n v="58.464444444442051"/>
    <m/>
    <d v="2026-12-16T06:00:00"/>
    <s v="-"/>
    <s v=""/>
    <n v="8"/>
    <d v="2026-12-24T06:00:00"/>
    <n v="2026"/>
    <n v="12"/>
    <n v="52"/>
    <n v="36"/>
    <n v="864"/>
    <s v="Black glazing"/>
    <s v="AEM"/>
  </r>
  <r>
    <s v="26Aug003.05"/>
    <s v="Tianjin"/>
    <s v="26Aug003"/>
    <s v="CORE DG"/>
    <x v="0"/>
    <s v="Arrival Plan-SPTN"/>
    <s v="CIF"/>
    <x v="0"/>
    <s v="U4"/>
    <x v="2"/>
    <m/>
    <m/>
    <s v="n/a"/>
    <d v="2026-08-03T00:00:00"/>
    <x v="0"/>
    <x v="0"/>
    <s v="HSM-ND54-DR500"/>
    <s v="EVO2A"/>
    <s v="±1200mm"/>
    <n v="500"/>
    <n v="4320"/>
    <n v="2.16"/>
    <n v="120"/>
    <n v="5"/>
    <x v="20"/>
    <s v="IN-TRANSIT"/>
    <m/>
    <d v="2026-09-24T00:00:00"/>
    <n v="39"/>
    <s v="POPV260924020"/>
    <m/>
    <s v="TIANJIN"/>
    <x v="0"/>
    <x v="0"/>
    <d v="2026-09-30T00:00:00"/>
    <d v="2026-09-30T12:00:00"/>
    <d v="2026-09-30T12:52:36"/>
    <d v="2026-12-14T00:00:00"/>
    <d v="2026-12-07T19:00:00"/>
    <s v=""/>
    <m/>
    <s v="CSCL AUTUMN 075E"/>
    <s v="COSCO"/>
    <s v="TPVB20260939011"/>
    <x v="733"/>
    <s v="COSU9510100890"/>
    <n v="68.255138888889633"/>
    <m/>
    <d v="2026-12-07T19:00:00"/>
    <s v="-"/>
    <s v=""/>
    <n v="8"/>
    <d v="2026-12-15T19:00:00"/>
    <n v="2026"/>
    <n v="12"/>
    <n v="51"/>
    <n v="36"/>
    <n v="864"/>
    <s v="Black glazing"/>
    <s v="AEM"/>
  </r>
  <r>
    <s v="26May009"/>
    <s v="Tianjin"/>
    <s v="Main Line"/>
    <s v="CORE DG"/>
    <x v="2"/>
    <s v="n/a"/>
    <s v="n/a"/>
    <x v="22"/>
    <s v="n/a"/>
    <x v="188"/>
    <m/>
    <m/>
    <s v="n/a"/>
    <d v="2026-05-11T00:00:00"/>
    <x v="0"/>
    <x v="0"/>
    <s v="HSM-ND54-DR500"/>
    <s v="EVO2A"/>
    <s v="±1200mm"/>
    <n v="500"/>
    <n v="0"/>
    <n v="0"/>
    <n v="0"/>
    <n v="0"/>
    <x v="23"/>
    <s v=""/>
    <m/>
    <m/>
    <s v=""/>
    <m/>
    <m/>
    <s v="TIANJIN"/>
    <x v="0"/>
    <x v="23"/>
    <m/>
    <s v=""/>
    <s v=""/>
    <m/>
    <m/>
    <s v=""/>
    <m/>
    <m/>
    <m/>
    <m/>
    <x v="296"/>
    <m/>
    <n v="0"/>
    <m/>
    <s v="n/a"/>
    <s v="-"/>
    <s v=""/>
    <n v="14"/>
    <s v="n/a"/>
    <e v="#VALUE!"/>
    <e v="#VALUE!"/>
    <n v="0"/>
    <n v="36"/>
    <n v="864"/>
    <s v="Black glazing"/>
    <s v="n/a"/>
  </r>
  <r>
    <s v="26Jun021.05"/>
    <s v="Tianjin"/>
    <s v="26Jun021"/>
    <s v="CORE DG"/>
    <x v="0"/>
    <s v="Arrival Plan-SPNL"/>
    <s v="CIF"/>
    <x v="0"/>
    <s v="U1"/>
    <x v="2"/>
    <m/>
    <m/>
    <s v="n/a"/>
    <d v="2026-06-29T00:00:00"/>
    <x v="3"/>
    <x v="95"/>
    <s v="HSM-BD66-GR650"/>
    <s v="EVO2A"/>
    <s v="±1400mm"/>
    <n v="650"/>
    <n v="2880"/>
    <n v="1.8720000000000001"/>
    <n v="80"/>
    <n v="4"/>
    <x v="17"/>
    <s v="IN-TRANSIT"/>
    <s v="优先500半片"/>
    <d v="2026-09-22T00:00:00"/>
    <n v="39"/>
    <s v="POPV260924023"/>
    <m/>
    <s v="TIANJIN"/>
    <x v="0"/>
    <x v="1"/>
    <d v="2026-09-27T00:00:00"/>
    <d v="2026-09-28T08:00:00"/>
    <d v="2026-09-28T09:07:12"/>
    <d v="2026-11-10T00:00:00"/>
    <d v="2026-11-16T02:00:00"/>
    <s v=""/>
    <s v="CIF"/>
    <s v="COSCO SHIPPING SAGITTARIUS_x000a_035W"/>
    <s v="COSCO"/>
    <s v="TPVB20260939003"/>
    <x v="734"/>
    <s v="COSU9509997120"/>
    <n v="48.703333333338378"/>
    <m/>
    <d v="2026-11-16T02:00:00"/>
    <s v="-"/>
    <s v=""/>
    <n v="7"/>
    <d v="2026-11-23T02:00:00"/>
    <n v="2026"/>
    <n v="11"/>
    <n v="48"/>
    <n v="36"/>
    <n v="720"/>
    <s v="White glazing"/>
    <s v="AEU"/>
  </r>
  <r>
    <s v="26Jun022.02"/>
    <s v="Tianjin"/>
    <s v="26Jun022"/>
    <s v="CORE DG"/>
    <x v="0"/>
    <s v="Arrival Plan-SPNL"/>
    <s v="CIF"/>
    <x v="0"/>
    <s v="U1"/>
    <x v="2"/>
    <m/>
    <m/>
    <s v="n/a"/>
    <d v="2026-06-29T00:00:00"/>
    <x v="3"/>
    <x v="82"/>
    <s v="HSM-BD66-GR655"/>
    <s v="EVO2A"/>
    <s v="±1400mm"/>
    <n v="655"/>
    <n v="2880"/>
    <n v="1.8864000000000001"/>
    <n v="80"/>
    <n v="4"/>
    <x v="17"/>
    <s v="IN-TRANSIT"/>
    <s v="优先500半片"/>
    <d v="2026-09-22T00:00:00"/>
    <n v="39"/>
    <s v="POPV260924024"/>
    <m/>
    <s v="TIANJIN"/>
    <x v="0"/>
    <x v="1"/>
    <d v="2026-09-27T00:00:00"/>
    <d v="2026-09-28T00:00:00"/>
    <d v="2026-09-28T09:07:12"/>
    <d v="2026-11-10T00:00:00"/>
    <d v="2026-11-16T02:00:00"/>
    <s v=""/>
    <s v="CIF"/>
    <s v="COSCO SHIPPING SAGITTARIUS_x000a_035W"/>
    <s v="COSCO"/>
    <s v="TPVB20260939003"/>
    <x v="734"/>
    <s v="COSU9509997120"/>
    <n v="48.703333333338378"/>
    <m/>
    <d v="2026-11-16T02:00:00"/>
    <s v="-"/>
    <s v=""/>
    <n v="7"/>
    <d v="2026-11-23T02:00:00"/>
    <n v="2026"/>
    <n v="11"/>
    <n v="48"/>
    <n v="36"/>
    <n v="720"/>
    <s v="White glazing"/>
    <s v="AEU"/>
  </r>
  <r>
    <s v="26Aug024.1"/>
    <s v="Tianjin"/>
    <s v="26Aug024"/>
    <s v="CORE DG"/>
    <x v="0"/>
    <s v="Arrival Plan-SPUK"/>
    <s v="CIF"/>
    <x v="6"/>
    <s v="U2"/>
    <x v="189"/>
    <m/>
    <m/>
    <s v="n/a"/>
    <d v="2026-09-14T00:00:00"/>
    <x v="0"/>
    <x v="107"/>
    <s v="EVO-P-HSM-ND54-DR505"/>
    <s v="EVO2A"/>
    <s v="±1200mm"/>
    <n v="505"/>
    <n v="864"/>
    <n v="0.43631999999999999"/>
    <n v="24"/>
    <n v="1"/>
    <x v="19"/>
    <s v="IN-TRANSIT"/>
    <s v="Dec--to be assured"/>
    <d v="2026-09-22T00:00:00"/>
    <n v="39"/>
    <s v="POPV260924029"/>
    <m/>
    <s v="TIANJIN"/>
    <x v="0"/>
    <x v="6"/>
    <d v="2026-09-27T00:00:00"/>
    <d v="2026-09-28T08:00:00"/>
    <d v="2026-09-28T09:07:12"/>
    <d v="2026-11-22T00:00:00"/>
    <d v="2026-11-24T03:30:00"/>
    <s v=""/>
    <s v="CIF"/>
    <s v="COSCO SHIPPING SAGITTARIUS_x000a_035W"/>
    <s v="COSCO"/>
    <s v="TPVB20260939002"/>
    <x v="735"/>
    <s v="COSU6467723460"/>
    <n v="56.765833333338378"/>
    <m/>
    <d v="2026-11-24T03:30:00"/>
    <s v="-"/>
    <s v=""/>
    <n v="7"/>
    <d v="2026-12-01T03:30:00"/>
    <s v="n/a"/>
    <s v="n/a"/>
    <n v="49"/>
    <n v="36"/>
    <n v="864"/>
    <s v="Black glazing"/>
    <s v="AEU"/>
  </r>
  <r>
    <s v="26Aug003.07"/>
    <s v="Tianjin(Transport to Yixing for shipment)"/>
    <s v="26Aug003"/>
    <s v="CORE DG"/>
    <x v="1"/>
    <s v="SPTN Offstore in Transit WH"/>
    <s v="CIF"/>
    <x v="27"/>
    <s v="U4"/>
    <x v="186"/>
    <s v="PL0126090800022"/>
    <n v="1"/>
    <s v="Yes"/>
    <d v="2026-08-03T00:00:00"/>
    <x v="0"/>
    <x v="0"/>
    <s v="HSM-ND54-DR500"/>
    <s v="EVO2A"/>
    <s v="±1200mm"/>
    <n v="500"/>
    <n v="4320"/>
    <n v="2.16"/>
    <n v="120"/>
    <n v="5"/>
    <x v="20"/>
    <s v="IN-TRANSIT"/>
    <s v="Gdasnk，9/22"/>
    <d v="2026-09-21T00:00:00"/>
    <n v="39"/>
    <s v="POPV260924019"/>
    <m/>
    <s v="SHANGHAI"/>
    <x v="1"/>
    <x v="9"/>
    <d v="2026-09-29T00:00:00"/>
    <d v="2026-10-04T05:00:00"/>
    <d v="2026-10-04T00:00:00"/>
    <d v="2026-11-18T00:00:00"/>
    <d v="2026-11-25T18:00:00"/>
    <s v=""/>
    <m/>
    <s v="OOCL GDYNIA 011W"/>
    <s v="COSCO"/>
    <s v="TPVB20260939010"/>
    <x v="736"/>
    <s v="COSU6467808410"/>
    <n v="52.75"/>
    <m/>
    <d v="2026-11-25T18:00:00"/>
    <s v="-"/>
    <s v=""/>
    <n v="0"/>
    <d v="2026-11-25T18:00:00"/>
    <s v="n/a"/>
    <s v="n/a"/>
    <n v="48"/>
    <n v="36"/>
    <n v="864"/>
    <s v="Black glazing"/>
    <s v="AEU"/>
  </r>
  <r>
    <s v="26Aug014.06"/>
    <s v="Quzhou"/>
    <s v="26Aug014"/>
    <s v="UPP"/>
    <x v="1"/>
    <s v="SPTN Offstore in Transit WH"/>
    <s v="CIF"/>
    <x v="10"/>
    <s v="U4"/>
    <x v="178"/>
    <s v="DE0126080300006"/>
    <n v="9"/>
    <s v="Yes"/>
    <m/>
    <x v="3"/>
    <x v="106"/>
    <s v="S4-DG485-108BC-FB"/>
    <s v="EVO2A"/>
    <s v="±1200mm"/>
    <n v="485"/>
    <n v="8424"/>
    <n v="4.0856399999999997"/>
    <n v="234"/>
    <n v="9"/>
    <x v="22"/>
    <s v="IN-TRANSIT"/>
    <s v="Batch 4-8，9/28"/>
    <d v="2026-10-01T00:00:00"/>
    <n v="40"/>
    <s v="POPV261010008"/>
    <m/>
    <s v="SHANGHAI/Quzhou"/>
    <x v="1"/>
    <x v="1"/>
    <d v="2026-10-06T00:00:00"/>
    <d v="2026-10-05T20:00:00"/>
    <d v="2026-10-05T00:00:00"/>
    <d v="2026-11-10T00:00:00"/>
    <d v="2026-11-16T02:00:00"/>
    <s v=""/>
    <m/>
    <s v="COSCO SHIPPING SAGITTARIUS 035W"/>
    <s v="COSCO"/>
    <s v="TPVB20260940008"/>
    <x v="737"/>
    <s v="COSU6468384010"/>
    <n v="42.083333333335759"/>
    <m/>
    <d v="2026-11-16T02:00:00"/>
    <s v="-"/>
    <s v=""/>
    <n v="0"/>
    <d v="2026-11-16T02:00:00"/>
    <n v="2026"/>
    <n v="11"/>
    <n v="47"/>
    <n v="36"/>
    <n v="936"/>
    <s v="Black glazing"/>
    <s v="AEU"/>
  </r>
  <r>
    <s v="26Aug016.08"/>
    <s v="Yixing"/>
    <s v="26Aug016"/>
    <s v="CORE DG"/>
    <x v="0"/>
    <s v="Arrival Plan-SPNL"/>
    <s v="CIF"/>
    <x v="0"/>
    <s v="U1"/>
    <x v="2"/>
    <m/>
    <m/>
    <s v="n/a"/>
    <d v="2026-09-17T00:00:00"/>
    <x v="6"/>
    <x v="69"/>
    <s v="SPR-P7-515-BLK-P"/>
    <s v="EVO2A"/>
    <s v="±1350mm"/>
    <n v="515"/>
    <n v="3960"/>
    <n v="2.0394000000000001"/>
    <n v="110"/>
    <n v="5"/>
    <x v="22"/>
    <s v="IN-TRANSIT"/>
    <d v="2026-09-30T00:00:00"/>
    <d v="2026-09-30T00:00:00"/>
    <n v="40"/>
    <s v="POPV261010025"/>
    <m/>
    <s v="SHANGHAI"/>
    <x v="1"/>
    <x v="1"/>
    <d v="2026-10-06T00:00:00"/>
    <d v="2026-10-04T00:00:00"/>
    <d v="2026-10-08T00:00:00"/>
    <d v="2026-11-11T00:00:00"/>
    <s v=""/>
    <s v=""/>
    <m/>
    <s v="EVER AEON 1420-009W"/>
    <s v="OTHER"/>
    <s v="TPVB20260940009"/>
    <x v="738"/>
    <s v="EGLV149608894273"/>
    <n v="34"/>
    <m/>
    <d v="2026-11-11T00:00:00"/>
    <s v="-"/>
    <s v=""/>
    <n v="7"/>
    <d v="2026-11-18T00:00:00"/>
    <s v="n/a"/>
    <s v="n/a"/>
    <n v="47"/>
    <n v="36"/>
    <n v="792"/>
    <s v="Black glazing"/>
    <s v="AEU"/>
  </r>
  <r>
    <s v="26Aug014.08"/>
    <s v="Quzhou"/>
    <s v="26Aug014"/>
    <s v="UPP"/>
    <x v="1"/>
    <s v="SPTN Offstore in Transit WH"/>
    <s v="CIF"/>
    <x v="10"/>
    <s v="U4"/>
    <x v="178"/>
    <s v="DE0126080300006"/>
    <n v="14"/>
    <s v="Yes"/>
    <m/>
    <x v="3"/>
    <x v="106"/>
    <s v="S4-DG485-108BC-FB"/>
    <s v="EVO2A"/>
    <s v="±1200mm"/>
    <n v="485"/>
    <n v="7488"/>
    <n v="3.6316799999999998"/>
    <n v="208"/>
    <n v="8"/>
    <x v="20"/>
    <s v="IN-TRANSIT"/>
    <s v="Batch 3-11，9/27"/>
    <d v="2026-09-29T00:00:00"/>
    <n v="40"/>
    <s v="POPV260929033"/>
    <m/>
    <s v="SHANGHAI/Quzhou"/>
    <x v="1"/>
    <x v="1"/>
    <d v="2026-10-07T00:00:00"/>
    <d v="2026-10-06T08:00:00"/>
    <d v="2026-10-05T00:00:00"/>
    <d v="2026-11-21T00:00:00"/>
    <d v="2026-11-18T19:54:00"/>
    <s v=""/>
    <m/>
    <s v="COSCO DENMARK 070W"/>
    <s v="COSCO"/>
    <s v="TPVB20260940010"/>
    <x v="739"/>
    <s v="COSU6468580080"/>
    <n v="44.829166666670062"/>
    <m/>
    <d v="2026-11-18T19:54:00"/>
    <s v="-"/>
    <s v=""/>
    <n v="0"/>
    <d v="2026-11-18T19:54:00"/>
    <n v="2026"/>
    <n v="11"/>
    <n v="47"/>
    <n v="36"/>
    <n v="936"/>
    <s v="Black glazing"/>
    <s v="AEU"/>
  </r>
  <r>
    <s v="26Aug005.08"/>
    <s v="Tianjin to Yixing"/>
    <s v="26Aug005"/>
    <s v="CORE DG"/>
    <x v="0"/>
    <s v="Arrival Plan-SPTN"/>
    <s v="CIF"/>
    <x v="0"/>
    <s v="U1"/>
    <x v="2"/>
    <m/>
    <m/>
    <s v="n/a"/>
    <d v="2026-08-24T00:00:00"/>
    <x v="0"/>
    <x v="27"/>
    <s v="HSM-ND54-DR500 CFP"/>
    <s v="EVO2A"/>
    <s v="±1200mm"/>
    <n v="500"/>
    <n v="864"/>
    <n v="0.432"/>
    <n v="24"/>
    <n v="1"/>
    <x v="18"/>
    <s v="IN-TRANSIT"/>
    <d v="2026-09-15T00:00:00"/>
    <d v="2026-09-30T00:00:00"/>
    <n v="40"/>
    <s v="POPV261010013"/>
    <m/>
    <s v="SHANGHAI"/>
    <x v="1"/>
    <x v="0"/>
    <d v="2026-10-06T00:00:00"/>
    <d v="2026-10-11T12:00:00"/>
    <d v="2026-10-11T04:41:35"/>
    <d v="2026-11-18T00:00:00"/>
    <d v="2026-11-20T06:00:00"/>
    <s v=""/>
    <m/>
    <s v="APL VANDA 0MEOXW1MA"/>
    <s v="COSCO"/>
    <s v="TPVB20260940011"/>
    <x v="740"/>
    <s v="COSU6468731340"/>
    <n v="40.054456018515339"/>
    <m/>
    <d v="2026-11-20T06:00:00"/>
    <s v="-"/>
    <s v=""/>
    <n v="8"/>
    <d v="2026-11-28T06:00:00"/>
    <n v="2026"/>
    <n v="11"/>
    <n v="48"/>
    <n v="36"/>
    <n v="864"/>
    <s v="Black glazing"/>
    <s v="AEM"/>
  </r>
  <r>
    <s v="26Aug015.06"/>
    <s v="Yixing"/>
    <s v="26Aug015"/>
    <s v="CORE DG"/>
    <x v="0"/>
    <s v="Arrival Plan-SPTN"/>
    <s v="CIF"/>
    <x v="0"/>
    <s v="U1"/>
    <x v="2"/>
    <m/>
    <m/>
    <s v="n/a"/>
    <d v="2026-09-20T00:00:00"/>
    <x v="6"/>
    <x v="21"/>
    <s v="SPR-P7-510-BLK-P"/>
    <s v="EVO2A"/>
    <s v="±1350mm"/>
    <n v="510"/>
    <n v="2376"/>
    <n v="1.2117599999999999"/>
    <n v="66"/>
    <n v="3"/>
    <x v="24"/>
    <s v="IN-TRANSIT"/>
    <d v="2026-09-30T00:00:00"/>
    <d v="2026-09-30T00:00:00"/>
    <n v="40"/>
    <s v="POPV261010004"/>
    <m/>
    <s v="SHANGHAI"/>
    <x v="1"/>
    <x v="0"/>
    <d v="2026-10-06T00:00:00"/>
    <d v="2026-10-11T12:00:00"/>
    <d v="2026-10-11T04:41:35"/>
    <d v="2026-11-18T00:00:00"/>
    <d v="2026-11-20T06:00:00"/>
    <s v=""/>
    <m/>
    <s v="APL VANDA 0MEOXW1MA"/>
    <s v="COSCO"/>
    <s v="TPVB20260940011"/>
    <x v="740"/>
    <s v="COSU6468731340"/>
    <n v="40.054456018515339"/>
    <m/>
    <d v="2026-11-20T06:00:00"/>
    <s v="-"/>
    <s v=""/>
    <n v="8"/>
    <d v="2026-11-28T06:00:00"/>
    <s v="n/a"/>
    <s v="n/a"/>
    <n v="48"/>
    <n v="36"/>
    <n v="792"/>
    <s v="Black glazing"/>
    <s v="AEM"/>
  </r>
  <r>
    <s v="26Aug010.18"/>
    <s v="Yixing"/>
    <s v="26Aug010"/>
    <s v="UPP"/>
    <x v="1"/>
    <s v="SPTN Offstore in Transit WH"/>
    <s v="CIF"/>
    <x v="37"/>
    <s v="U1"/>
    <x v="190"/>
    <m/>
    <m/>
    <s v="Yes"/>
    <m/>
    <x v="0"/>
    <x v="97"/>
    <s v="HSM-ND66-GR625"/>
    <s v="H4(Com)"/>
    <s v="+400mm/-200mm"/>
    <n v="625"/>
    <n v="720"/>
    <n v="0.45"/>
    <n v="20"/>
    <n v="1"/>
    <x v="20"/>
    <s v="COMPLETED"/>
    <s v="ready"/>
    <d v="2026-09-18T00:00:00"/>
    <n v="38"/>
    <s v="TPVO2026090401"/>
    <m/>
    <s v="SHANGHAI"/>
    <x v="1"/>
    <x v="24"/>
    <d v="2026-09-23T00:00:00"/>
    <d v="2026-09-23T00:00:00"/>
    <d v="2026-09-20T00:00:00"/>
    <d v="2026-10-03T00:00:00"/>
    <d v="2026-10-12T00:00:00"/>
    <d v="2026-10-12T00:00:00"/>
    <s v="CIF"/>
    <s v="CMA CGM CAIMEP / 0BYPSS"/>
    <s v="OTHER"/>
    <s v="TPVO2026090401"/>
    <x v="741"/>
    <s v="CPL0514940"/>
    <n v="22"/>
    <m/>
    <d v="2026-10-12T00:00:00"/>
    <s v="-"/>
    <s v=""/>
    <n v="0"/>
    <d v="2026-10-12T00:00:00"/>
    <s v="n/a"/>
    <s v="n/a"/>
    <n v="42"/>
    <n v="36"/>
    <n v="720"/>
    <s v="Redirection Film"/>
    <s v="n/a"/>
  </r>
  <r>
    <s v="26Aug015.13"/>
    <s v="Yixing"/>
    <s v="26Aug015"/>
    <s v="CORE DG"/>
    <x v="0"/>
    <s v="Arrival Plan-SPNL"/>
    <s v="CIF"/>
    <x v="0"/>
    <s v="U1"/>
    <x v="2"/>
    <m/>
    <m/>
    <s v="n/a"/>
    <d v="2026-09-20T00:00:00"/>
    <x v="6"/>
    <x v="21"/>
    <s v="SPR-P7-510-BLK-P"/>
    <s v="EVO2A"/>
    <s v="±1350mm"/>
    <n v="510"/>
    <n v="792"/>
    <n v="0.40392"/>
    <n v="22"/>
    <n v="1"/>
    <x v="22"/>
    <s v="IN-TRANSIT"/>
    <d v="2026-09-30T00:00:00"/>
    <d v="2026-10-07T00:00:00"/>
    <n v="41"/>
    <s v="POPV261010003"/>
    <m/>
    <s v="NINGBO"/>
    <x v="3"/>
    <x v="1"/>
    <d v="2026-10-07T00:00:00"/>
    <d v="2026-10-10T00:00:00"/>
    <d v="2026-10-10T08:48:26"/>
    <d v="2026-11-11T00:00:00"/>
    <d v="2026-11-18T21:00:00"/>
    <s v=""/>
    <m/>
    <s v="EVER AEON 1420W"/>
    <s v="COSCO"/>
    <s v="TPVB20260940004"/>
    <x v="742"/>
    <s v="COSU9510012710"/>
    <n v="39.508032407407882"/>
    <m/>
    <d v="2026-11-18T21:00:00"/>
    <s v="-"/>
    <s v=""/>
    <n v="7"/>
    <d v="2026-11-25T21:00:00"/>
    <s v="n/a"/>
    <s v="n/a"/>
    <n v="48"/>
    <n v="36"/>
    <n v="792"/>
    <s v="Black glazing"/>
    <s v="AEU"/>
  </r>
  <r>
    <s v="26Aug015.05"/>
    <s v="Yixing"/>
    <s v="26Aug015"/>
    <s v="CORE DG"/>
    <x v="0"/>
    <s v="Arrival Plan-SPIT"/>
    <s v="CIF"/>
    <x v="0"/>
    <s v="U1"/>
    <x v="2"/>
    <m/>
    <m/>
    <s v="n/a"/>
    <d v="2026-09-20T00:00:00"/>
    <x v="6"/>
    <x v="21"/>
    <s v="SPR-P7-510-BLK-P"/>
    <s v="EVO2A"/>
    <s v="±1350mm"/>
    <n v="510"/>
    <n v="792"/>
    <n v="0.40392"/>
    <n v="22"/>
    <n v="1"/>
    <x v="22"/>
    <s v="IN-TRANSIT"/>
    <d v="2026-09-26T00:00:00"/>
    <d v="2026-10-10T00:00:00"/>
    <n v="41"/>
    <s v="POPV261016037"/>
    <m/>
    <s v="NINGBO"/>
    <x v="3"/>
    <x v="4"/>
    <d v="2026-10-03T00:00:00"/>
    <d v="2026-10-14T18:00:00"/>
    <d v="2026-10-14T18:43:52"/>
    <d v="2026-11-18T00:00:00"/>
    <d v="2026-11-28T06:00:00"/>
    <s v=""/>
    <m/>
    <s v="EVER GLORY 030W"/>
    <s v="COSCO"/>
    <s v="TPVB20260940006"/>
    <x v="743"/>
    <s v="COSU9510036320"/>
    <n v="44.469537037039117"/>
    <m/>
    <d v="2026-11-28T06:00:00"/>
    <s v="-"/>
    <s v=""/>
    <n v="10"/>
    <d v="2026-12-08T06:00:00"/>
    <s v="n/a"/>
    <s v="n/a"/>
    <n v="50"/>
    <n v="36"/>
    <n v="792"/>
    <s v="Black glazing"/>
    <s v="AEM"/>
  </r>
  <r>
    <s v="26Aug015.07"/>
    <s v="Yixing"/>
    <s v="26Aug015"/>
    <s v="CORE DG"/>
    <x v="0"/>
    <s v="Arrival Plan-SPTN"/>
    <s v="CIF"/>
    <x v="0"/>
    <s v="U1"/>
    <x v="2"/>
    <m/>
    <m/>
    <s v="n/a"/>
    <d v="2026-09-20T00:00:00"/>
    <x v="6"/>
    <x v="21"/>
    <s v="SPR-P7-510-BLK-P"/>
    <s v="EVO2A"/>
    <s v="±1350mm"/>
    <n v="510"/>
    <n v="792"/>
    <n v="0.40392"/>
    <n v="22"/>
    <n v="1"/>
    <x v="21"/>
    <s v="IN-TRANSIT"/>
    <d v="2026-09-30T00:00:00"/>
    <d v="2026-10-04T00:00:00"/>
    <n v="40"/>
    <s v="POPV261010002"/>
    <m/>
    <s v="NINGBO"/>
    <x v="3"/>
    <x v="0"/>
    <d v="2026-10-08T00:00:00"/>
    <d v="2026-10-08T06:00:00"/>
    <d v="2026-10-08T00:00:00"/>
    <d v="2026-11-18T00:00:00"/>
    <d v="2026-11-20T06:00:00"/>
    <s v=""/>
    <m/>
    <s v="APL VANDA 0MEOXW"/>
    <s v="COSCO"/>
    <s v="TPVB20261040001XT"/>
    <x v="744"/>
    <s v="COSU9510251200"/>
    <n v="43.25"/>
    <m/>
    <d v="2026-11-20T06:00:00"/>
    <s v="-"/>
    <s v=""/>
    <n v="8"/>
    <d v="2026-11-28T06:00:00"/>
    <s v="n/a"/>
    <s v="n/a"/>
    <n v="48"/>
    <n v="36"/>
    <n v="792"/>
    <s v="Black glazing"/>
    <s v="AEM"/>
  </r>
  <r>
    <s v="26Aug016.12"/>
    <s v="Yixing"/>
    <s v="26Aug016"/>
    <s v="CORE DG"/>
    <x v="0"/>
    <s v="Arrival Plan-SPNL"/>
    <s v="CIF"/>
    <x v="0"/>
    <s v="U1"/>
    <x v="2"/>
    <m/>
    <m/>
    <s v="n/a"/>
    <d v="2026-09-17T00:00:00"/>
    <x v="6"/>
    <x v="69"/>
    <s v="SPR-P7-515-BLK-P"/>
    <s v="EVO2A"/>
    <s v="±1350mm"/>
    <n v="515"/>
    <n v="792"/>
    <n v="0.40788000000000002"/>
    <n v="22"/>
    <n v="1"/>
    <x v="22"/>
    <s v="IN-TRANSIT"/>
    <d v="2026-09-30T00:00:00"/>
    <d v="2026-10-07T00:00:00"/>
    <n v="41"/>
    <s v="POPV261010029"/>
    <m/>
    <s v="NINGBO"/>
    <x v="3"/>
    <x v="1"/>
    <d v="2026-10-07T00:00:00"/>
    <d v="2026-10-10T08:30:00"/>
    <d v="2026-10-10T00:00:00"/>
    <d v="2026-11-11T00:00:00"/>
    <d v="2026-11-18T21:00:00"/>
    <s v=""/>
    <m/>
    <s v="EVER AEON 1420W"/>
    <s v="COSCO"/>
    <s v="TPVB20260940004"/>
    <x v="742"/>
    <s v="COSU9510012710"/>
    <n v="39.875"/>
    <m/>
    <d v="2026-11-18T21:00:00"/>
    <s v="-"/>
    <s v=""/>
    <n v="7"/>
    <d v="2026-11-25T21:00:00"/>
    <s v="n/a"/>
    <s v="n/a"/>
    <n v="48"/>
    <n v="36"/>
    <n v="792"/>
    <s v="Black glazing"/>
    <s v="AEU"/>
  </r>
  <r>
    <s v="26Aug016.09"/>
    <s v="Yixing"/>
    <s v="26Aug016"/>
    <s v="CORE DG"/>
    <x v="0"/>
    <s v="Arrival Plan-SPUK"/>
    <s v="CIF"/>
    <x v="6"/>
    <s v="U1"/>
    <x v="2"/>
    <m/>
    <m/>
    <s v="n/a"/>
    <d v="2026-09-17T00:00:00"/>
    <x v="6"/>
    <x v="69"/>
    <s v="SPR-P7-515-BLK-P"/>
    <s v="EVO2A"/>
    <s v="±1350mm"/>
    <n v="515"/>
    <n v="1584"/>
    <n v="0.81576000000000004"/>
    <n v="44"/>
    <n v="2"/>
    <x v="19"/>
    <s v="IN-TRANSIT"/>
    <d v="2026-09-26T00:00:00"/>
    <d v="2026-10-03T00:00:00"/>
    <n v="40"/>
    <s v="POPV261010024"/>
    <m/>
    <s v="NINGBO"/>
    <x v="3"/>
    <x v="6"/>
    <d v="2026-10-01T00:00:00"/>
    <d v="2026-10-08T07:00:00"/>
    <d v="2026-10-08T00:00:00"/>
    <d v="2026-11-08T00:00:00"/>
    <d v="2026-11-14T13:00:00"/>
    <s v=""/>
    <m/>
    <s v="OOCL GDYNIA 011W"/>
    <s v="COSCO"/>
    <s v="TPVB20260940007"/>
    <x v="745"/>
    <s v="COSU9510030740"/>
    <n v="37.541666666664241"/>
    <m/>
    <d v="2026-11-14T13:00:00"/>
    <s v="-"/>
    <s v=""/>
    <n v="7"/>
    <d v="2026-11-21T13:00:00"/>
    <s v="n/a"/>
    <s v="n/a"/>
    <n v="47"/>
    <n v="36"/>
    <n v="792"/>
    <s v="Black glazing"/>
    <s v="AEU"/>
  </r>
  <r>
    <s v="26Aug022.03"/>
    <s v="Tianjin"/>
    <s v="26Aug022"/>
    <s v="CORE DG"/>
    <x v="0"/>
    <s v="Arrival Plan-SPTN"/>
    <s v="CIF"/>
    <x v="0"/>
    <s v="U1"/>
    <x v="2"/>
    <m/>
    <m/>
    <s v="n/a"/>
    <d v="2026-09-07T00:00:00"/>
    <x v="0"/>
    <x v="43"/>
    <s v="HSM-ND54-DR505"/>
    <s v="EVO2A"/>
    <s v="±1200mm"/>
    <n v="505"/>
    <n v="4320"/>
    <n v="2.1816"/>
    <n v="120"/>
    <n v="5"/>
    <x v="21"/>
    <s v="IN-TRANSIT"/>
    <s v="ready"/>
    <d v="2026-09-30T00:00:00"/>
    <n v="40"/>
    <s v="POPV261010016"/>
    <m/>
    <s v="TIANJIN"/>
    <x v="0"/>
    <x v="0"/>
    <d v="2026-10-05T00:00:00"/>
    <d v="2026-10-06T07:30:00"/>
    <d v="2026-10-06T00:00:00"/>
    <d v="2026-12-07T00:00:00"/>
    <d v="2026-12-07T19:00:00"/>
    <s v=""/>
    <m/>
    <s v="OOCL SWEDEN 009W"/>
    <s v="COSCO"/>
    <s v="TPVB20260940012"/>
    <x v="746"/>
    <s v="COSU9510092930"/>
    <n v="62.791666666664241"/>
    <m/>
    <d v="2026-12-07T19:00:00"/>
    <s v="-"/>
    <s v=""/>
    <n v="8"/>
    <d v="2026-12-15T19:00:00"/>
    <s v="n/a"/>
    <s v="n/a"/>
    <n v="51"/>
    <n v="36"/>
    <n v="864"/>
    <s v="Black glazing"/>
    <s v="AEM"/>
  </r>
  <r>
    <s v="26Aug024.05"/>
    <s v="Tianjin"/>
    <s v="26Aug024"/>
    <s v="CORE DG"/>
    <x v="0"/>
    <s v="Arrival Plan-SPUK"/>
    <s v="CIF"/>
    <x v="6"/>
    <s v="U2"/>
    <x v="189"/>
    <m/>
    <m/>
    <s v="n/a"/>
    <d v="2026-09-14T00:00:00"/>
    <x v="0"/>
    <x v="107"/>
    <s v="EVO-P-HSM-ND54-DR505"/>
    <s v="EVO2A"/>
    <s v="±1200mm"/>
    <n v="505"/>
    <n v="864"/>
    <n v="0.43631999999999999"/>
    <n v="24"/>
    <n v="1"/>
    <x v="20"/>
    <s v="IN-TRANSIT"/>
    <s v="Dec--to be assured"/>
    <d v="2026-09-30T00:00:00"/>
    <n v="40"/>
    <s v="POPV261010033"/>
    <m/>
    <s v="TIANJIN"/>
    <x v="0"/>
    <x v="6"/>
    <d v="2026-10-05T00:00:00"/>
    <d v="2026-10-06T07:30:00"/>
    <d v="2026-10-06T00:00:00"/>
    <d v="2026-11-29T00:00:00"/>
    <d v="2026-11-30T20:00:00"/>
    <s v=""/>
    <m/>
    <s v="OOCL SWEDEN 009W"/>
    <s v="COSCO"/>
    <s v="TPVB20260940015"/>
    <x v="747"/>
    <s v="COSU6468723370"/>
    <n v="55.833333333335759"/>
    <m/>
    <d v="2026-11-30T20:00:00"/>
    <s v="-"/>
    <s v=""/>
    <n v="7"/>
    <d v="2026-12-07T20:00:00"/>
    <s v="n/a"/>
    <s v="n/a"/>
    <n v="50"/>
    <n v="36"/>
    <n v="864"/>
    <s v="Black glazing"/>
    <s v="AEU"/>
  </r>
  <r>
    <s v="26Aug004.07"/>
    <s v="Tianjin"/>
    <s v="26Aug004"/>
    <s v="CORE DG"/>
    <x v="0"/>
    <s v="Arrival Plan-SPTN"/>
    <s v="CIF"/>
    <x v="0"/>
    <s v="U1"/>
    <x v="2"/>
    <m/>
    <m/>
    <s v="n/a"/>
    <d v="2026-08-03T00:00:00"/>
    <x v="0"/>
    <x v="43"/>
    <s v="HSM-ND54-DR505"/>
    <s v="EVO2A"/>
    <s v="±1200mm"/>
    <n v="505"/>
    <n v="1728"/>
    <n v="0.87263999999999997"/>
    <n v="48"/>
    <n v="2"/>
    <x v="18"/>
    <s v="IN-TRANSIT"/>
    <s v="八月16日"/>
    <d v="2026-09-30T00:00:00"/>
    <n v="40"/>
    <s v="POPV261010017"/>
    <m/>
    <s v="TIANJIN"/>
    <x v="0"/>
    <x v="0"/>
    <d v="2026-10-05T00:00:00"/>
    <d v="2026-10-06T07:30:00"/>
    <d v="2026-10-06T00:00:00"/>
    <d v="2026-12-02T00:00:00"/>
    <d v="2026-12-02T06:00:00"/>
    <s v=""/>
    <m/>
    <s v="OOCL SWEDEN 009W"/>
    <s v="COSCO"/>
    <s v="TPVB20260940013"/>
    <x v="748"/>
    <s v="COSU9510092840"/>
    <n v="57.25"/>
    <m/>
    <d v="2026-12-02T06:00:00"/>
    <s v="-"/>
    <s v=""/>
    <n v="8"/>
    <d v="2026-12-10T06:00:00"/>
    <s v="n/a"/>
    <s v="n/a"/>
    <n v="50"/>
    <n v="36"/>
    <n v="864"/>
    <s v="Black glazing"/>
    <s v="AEM"/>
  </r>
  <r>
    <s v="26Aug015.09"/>
    <s v="Yixing"/>
    <s v="26Aug015"/>
    <s v="CORE DG"/>
    <x v="0"/>
    <s v="Arrival Plan-SPTN"/>
    <s v="CIF"/>
    <x v="0"/>
    <s v="U1"/>
    <x v="2"/>
    <m/>
    <m/>
    <s v="n/a"/>
    <d v="2026-09-20T00:00:00"/>
    <x v="6"/>
    <x v="21"/>
    <s v="SPR-P7-510-BLK-P"/>
    <s v="EVO2A"/>
    <s v="±1350mm"/>
    <n v="510"/>
    <n v="792"/>
    <n v="0.40392"/>
    <n v="22"/>
    <n v="1"/>
    <x v="20"/>
    <s v="IN-TRANSIT"/>
    <d v="2026-09-26T00:00:00"/>
    <d v="2026-10-10T00:00:00"/>
    <n v="41"/>
    <s v="POPV261016031"/>
    <m/>
    <s v="NINGBO"/>
    <x v="3"/>
    <x v="0"/>
    <d v="2026-10-03T00:00:00"/>
    <d v="2026-10-14T18:00:00"/>
    <d v="2026-10-14T18:43:52"/>
    <d v="2026-11-23T00:00:00"/>
    <d v="2026-12-03T19:00:00"/>
    <s v=""/>
    <m/>
    <s v="EVER GLORY 030W"/>
    <s v="COSCO"/>
    <s v="TPVB20260940002"/>
    <x v="749"/>
    <s v="COSU9510036150"/>
    <n v="50.011203703703359"/>
    <m/>
    <d v="2026-12-03T19:00:00"/>
    <s v="-"/>
    <s v=""/>
    <n v="8"/>
    <d v="2026-12-11T19:00:00"/>
    <s v="n/a"/>
    <s v="n/a"/>
    <n v="50"/>
    <n v="36"/>
    <n v="792"/>
    <s v="Black glazing"/>
    <s v="AEM"/>
  </r>
  <r>
    <s v="26Aug015.11"/>
    <s v="Yixing"/>
    <s v="26Aug015"/>
    <s v="CORE DG"/>
    <x v="0"/>
    <s v="Arrival Plan-SPTN"/>
    <s v="CIF"/>
    <x v="0"/>
    <s v="U1"/>
    <x v="2"/>
    <m/>
    <m/>
    <s v="n/a"/>
    <d v="2026-09-20T00:00:00"/>
    <x v="6"/>
    <x v="21"/>
    <s v="SPR-P7-510-BLK-P"/>
    <s v="EVO2A"/>
    <s v="±1350mm"/>
    <n v="510"/>
    <n v="792"/>
    <n v="0.40392"/>
    <n v="22"/>
    <n v="1"/>
    <x v="20"/>
    <s v="IN-TRANSIT"/>
    <d v="2026-09-26T00:00:00"/>
    <d v="2026-09-28T00:00:00"/>
    <n v="40"/>
    <s v="POPV261010001"/>
    <m/>
    <s v="NINGBO"/>
    <x v="3"/>
    <x v="0"/>
    <d v="2026-10-01T00:00:00"/>
    <d v="2026-10-02T14:00:00"/>
    <d v="2026-10-02T00:00:00"/>
    <d v="2026-11-11T00:00:00"/>
    <d v="2026-11-11T06:00:00"/>
    <s v=""/>
    <m/>
    <s v="CMA CGM BERENICE 0MEOVW"/>
    <s v="COSCO"/>
    <s v="TPVB20260940003"/>
    <x v="750"/>
    <s v="COSU9510036540"/>
    <n v="40.25"/>
    <m/>
    <d v="2026-11-11T06:00:00"/>
    <s v="-"/>
    <s v=""/>
    <n v="8"/>
    <d v="2026-11-19T06:00:00"/>
    <s v="n/a"/>
    <s v="n/a"/>
    <n v="47"/>
    <n v="36"/>
    <n v="792"/>
    <s v="Black glazing"/>
    <s v="AEM"/>
  </r>
  <r>
    <s v="26Aug003.04"/>
    <s v="Tianjin"/>
    <s v="26Aug003"/>
    <s v="CORE DG"/>
    <x v="0"/>
    <s v="Arrival Plan-SPNL"/>
    <s v="CIF"/>
    <x v="0"/>
    <s v="U4"/>
    <x v="2"/>
    <m/>
    <m/>
    <s v="n/a"/>
    <d v="2026-08-03T00:00:00"/>
    <x v="0"/>
    <x v="0"/>
    <s v="HSM-ND54-DR500"/>
    <s v="EVO2A"/>
    <s v="±1200mm"/>
    <n v="500"/>
    <n v="4320"/>
    <n v="2.16"/>
    <n v="120"/>
    <n v="5"/>
    <x v="19"/>
    <s v="IN-TRANSIT"/>
    <m/>
    <d v="2026-09-29T00:00:00"/>
    <n v="40"/>
    <s v="POPV261010021"/>
    <m/>
    <s v="TIANJIN"/>
    <x v="0"/>
    <x v="1"/>
    <d v="2026-10-05T00:00:00"/>
    <d v="2026-10-06T07:30:00"/>
    <d v="2026-10-06T00:00:00"/>
    <d v="2026-11-20T00:00:00"/>
    <d v="2026-11-20T03:00:00"/>
    <s v=""/>
    <m/>
    <s v="OOCL SWEDEN 009W"/>
    <s v="COSCO"/>
    <s v="TPVB20260940014"/>
    <x v="751"/>
    <s v="COSU9510170300"/>
    <n v="45.125"/>
    <m/>
    <d v="2026-11-20T03:00:00"/>
    <s v="-"/>
    <s v=""/>
    <n v="7"/>
    <d v="2026-11-27T03:00:00"/>
    <n v="2026"/>
    <n v="11"/>
    <n v="48"/>
    <n v="36"/>
    <n v="864"/>
    <s v="Black glazing"/>
    <s v="AEU"/>
  </r>
  <r>
    <s v="26Aug003.06"/>
    <s v="Tianjin"/>
    <s v="26Aug003"/>
    <s v="CORE DG"/>
    <x v="0"/>
    <s v="Arrival Plan-SPNL"/>
    <s v="CIF"/>
    <x v="0"/>
    <s v="U1"/>
    <x v="2"/>
    <m/>
    <m/>
    <s v="n/a"/>
    <d v="2026-08-03T00:00:00"/>
    <x v="0"/>
    <x v="0"/>
    <s v="HSM-ND54-DR500"/>
    <s v="EVO2A"/>
    <s v="±1200mm"/>
    <n v="500"/>
    <n v="1728"/>
    <n v="0.86399999999999999"/>
    <n v="48"/>
    <n v="2"/>
    <x v="18"/>
    <s v="IN-TRANSIT"/>
    <m/>
    <d v="2026-09-29T00:00:00"/>
    <n v="40"/>
    <s v="POPV261010020"/>
    <m/>
    <s v="TIANJIN"/>
    <x v="0"/>
    <x v="1"/>
    <d v="2026-10-05T00:00:00"/>
    <d v="2026-10-06T07:30:00"/>
    <d v="2026-10-06T00:00:00"/>
    <d v="2026-11-20T00:00:00"/>
    <d v="2026-11-20T03:00:00"/>
    <s v=""/>
    <m/>
    <s v="OOCL SWEDEN 009W"/>
    <s v="COSCO"/>
    <s v="TPVB20260940014"/>
    <x v="751"/>
    <s v="COSU9510170300"/>
    <n v="45.125"/>
    <m/>
    <d v="2026-11-20T03:00:00"/>
    <s v="-"/>
    <s v=""/>
    <n v="7"/>
    <d v="2026-11-27T03:00:00"/>
    <n v="2026"/>
    <n v="11"/>
    <n v="48"/>
    <n v="36"/>
    <n v="864"/>
    <s v="Black glazing"/>
    <s v="AEU"/>
  </r>
  <r>
    <s v="26Aug022.01"/>
    <s v="Tianjin"/>
    <s v="26Aug022"/>
    <s v="CORE DG"/>
    <x v="0"/>
    <s v="Arrival Plan-SPNL"/>
    <s v="CIF"/>
    <x v="0"/>
    <s v="U1"/>
    <x v="2"/>
    <m/>
    <m/>
    <s v="n/a"/>
    <d v="2026-09-14T00:00:00"/>
    <x v="0"/>
    <x v="43"/>
    <s v="HSM-ND54-DR505"/>
    <s v="EVO2A"/>
    <s v="±1200mm"/>
    <n v="505"/>
    <n v="864"/>
    <n v="0.43631999999999999"/>
    <n v="24"/>
    <n v="1"/>
    <x v="22"/>
    <s v="IN-TRANSIT"/>
    <s v="ready"/>
    <d v="2026-09-29T00:00:00"/>
    <n v="40"/>
    <s v="POPV261010015"/>
    <m/>
    <s v="TIANJIN"/>
    <x v="0"/>
    <x v="1"/>
    <d v="2026-10-05T00:00:00"/>
    <d v="2026-10-06T07:30:00"/>
    <d v="2026-10-06T00:00:00"/>
    <d v="2026-11-20T00:00:00"/>
    <d v="2026-11-20T03:00:00"/>
    <s v=""/>
    <m/>
    <s v="OOCL SWEDEN 009W"/>
    <s v="COSCO"/>
    <s v="TPVB20260940014"/>
    <x v="751"/>
    <s v="COSU9510170300"/>
    <n v="45.125"/>
    <m/>
    <d v="2026-11-20T03:00:00"/>
    <s v="-"/>
    <s v=""/>
    <n v="7"/>
    <d v="2026-11-27T03:00:00"/>
    <n v="2026"/>
    <n v="11"/>
    <n v="48"/>
    <n v="36"/>
    <n v="864"/>
    <s v="Black glazing"/>
    <s v="AEU"/>
  </r>
  <r>
    <s v="26Oct010.1"/>
    <s v="Quzhou"/>
    <s v="26Oct010"/>
    <s v="CORE DG"/>
    <x v="0"/>
    <s v="Arrival Plan-SPUK"/>
    <s v="CIF"/>
    <x v="6"/>
    <s v="U4"/>
    <x v="2"/>
    <m/>
    <m/>
    <s v="n/a"/>
    <m/>
    <x v="3"/>
    <x v="96"/>
    <s v="HSM-BE54-DD490"/>
    <s v="EVO2A"/>
    <s v="±1200mm"/>
    <n v="490"/>
    <n v="3744"/>
    <n v="1.83456"/>
    <n v="104"/>
    <n v="4"/>
    <x v="21"/>
    <s v="IN-TRANSIT"/>
    <s v="10月9日（TBD）"/>
    <d v="2026-10-09T00:00:00"/>
    <n v="41"/>
    <s v="POPV261016045"/>
    <m/>
    <s v="SHANGHAI"/>
    <x v="1"/>
    <x v="6"/>
    <d v="2026-10-13T00:00:00"/>
    <d v="2026-10-14T17:30:00"/>
    <d v="2026-10-14T18:31:48"/>
    <d v="2026-11-23T00:00:00"/>
    <d v="2026-11-24T03:30:00"/>
    <s v=""/>
    <m/>
    <s v="OOCL ZEEBRUGGE 011W"/>
    <s v="COSCO"/>
    <s v="TPVB20260941001JP"/>
    <x v="752"/>
    <s v="COSU6469843890"/>
    <m/>
    <m/>
    <d v="2026-11-24T03:30:00"/>
    <s v="-"/>
    <s v=""/>
    <n v="7"/>
    <d v="2026-12-01T03:30:00"/>
    <n v="2026"/>
    <n v="12"/>
    <n v="49"/>
    <n v="36"/>
    <n v="936"/>
    <s v="Black glazing"/>
    <s v="AEU"/>
  </r>
  <r>
    <s v="26Oct009.08"/>
    <s v="Quzhou"/>
    <s v="26Oct009"/>
    <s v="CORE DG"/>
    <x v="0"/>
    <s v="Arrival Plan-SPUK"/>
    <s v="CIF"/>
    <x v="6"/>
    <s v="U1"/>
    <x v="2"/>
    <m/>
    <m/>
    <s v="n/a"/>
    <m/>
    <x v="3"/>
    <x v="91"/>
    <s v="HSM-BE54-DD485"/>
    <s v="EVO2A"/>
    <s v="±1200mm"/>
    <n v="485"/>
    <n v="936"/>
    <n v="0.45395999999999997"/>
    <n v="26"/>
    <n v="1"/>
    <x v="21"/>
    <s v="IN-TRANSIT"/>
    <s v="10月9日（TBD）"/>
    <d v="2026-10-09T00:00:00"/>
    <n v="41"/>
    <s v="POPV261016036"/>
    <m/>
    <s v="SHANGHAI"/>
    <x v="1"/>
    <x v="6"/>
    <d v="2026-10-13T00:00:00"/>
    <d v="2026-10-14T17:30:00"/>
    <d v="2026-10-14T18:31:48"/>
    <d v="2026-11-23T00:00:00"/>
    <d v="2026-11-24T03:30:00"/>
    <s v=""/>
    <m/>
    <s v="OOCL ZEEBRUGGE 011W"/>
    <s v="COSCO"/>
    <s v="TPVB20260941001JP"/>
    <x v="752"/>
    <s v="COSU6469843890"/>
    <m/>
    <m/>
    <d v="2026-11-24T03:30:00"/>
    <s v="-"/>
    <s v=""/>
    <n v="7"/>
    <d v="2026-12-01T03:30:00"/>
    <n v="2026"/>
    <n v="12"/>
    <n v="49"/>
    <n v="36"/>
    <n v="936"/>
    <s v="Black glazing"/>
    <s v="AEU"/>
  </r>
  <r>
    <s v="26Oct010.2"/>
    <s v="Quzhou"/>
    <s v="26Oct010"/>
    <s v="CORE DG"/>
    <x v="0"/>
    <s v="Arrival Plan-SPNL"/>
    <s v="CIF"/>
    <x v="0"/>
    <s v="U4"/>
    <x v="2"/>
    <m/>
    <m/>
    <s v="n/a"/>
    <m/>
    <x v="3"/>
    <x v="96"/>
    <s v="HSM-BE54-DD490"/>
    <s v="EVO2A"/>
    <s v="±1200mm"/>
    <n v="490"/>
    <n v="1872"/>
    <n v="0.91727999999999998"/>
    <n v="52"/>
    <n v="2"/>
    <x v="21"/>
    <s v="IN-TRANSIT"/>
    <s v="10月9日（TBD）"/>
    <d v="2026-10-09T00:00:00"/>
    <n v="41"/>
    <s v="POPV261016047"/>
    <m/>
    <s v="SHANGHAI"/>
    <x v="1"/>
    <x v="1"/>
    <d v="2026-10-15T00:00:00"/>
    <d v="2026-10-14T05:00:00"/>
    <d v="2026-10-14T06:14:51"/>
    <d v="2026-11-20T00:00:00"/>
    <d v="2026-11-20T03:00:00"/>
    <s v=""/>
    <m/>
    <s v="OOCL SWEDEN 009W"/>
    <s v="COSCO"/>
    <s v="TPVB20260941002JP"/>
    <x v="753"/>
    <s v="COSU6469843490"/>
    <m/>
    <m/>
    <d v="2026-11-20T03:00:00"/>
    <s v="-"/>
    <s v=""/>
    <n v="7"/>
    <d v="2026-11-27T03:00:00"/>
    <n v="2026"/>
    <n v="11"/>
    <n v="48"/>
    <n v="36"/>
    <n v="936"/>
    <s v="Black glazing"/>
    <s v="AEU"/>
  </r>
  <r>
    <s v="26Oct009.07"/>
    <s v="Quzhou"/>
    <s v="26Oct009"/>
    <s v="CORE DG"/>
    <x v="0"/>
    <s v="Arrival Plan-SPNL"/>
    <s v="CIF"/>
    <x v="0"/>
    <s v="U1"/>
    <x v="2"/>
    <m/>
    <m/>
    <s v="n/a"/>
    <m/>
    <x v="3"/>
    <x v="91"/>
    <s v="HSM-BE54-DD485"/>
    <s v="EVO2A"/>
    <s v="±1200mm"/>
    <n v="485"/>
    <n v="3744"/>
    <n v="1.8158399999999999"/>
    <n v="104"/>
    <n v="4"/>
    <x v="21"/>
    <s v="IN-TRANSIT"/>
    <s v="10月9日（TBD）"/>
    <d v="2026-10-09T00:00:00"/>
    <n v="41"/>
    <s v="POPV261016038"/>
    <m/>
    <s v="SHANGHAI"/>
    <x v="1"/>
    <x v="1"/>
    <d v="2026-10-15T00:00:00"/>
    <d v="2026-10-14T05:00:00"/>
    <d v="2026-10-14T06:14:51"/>
    <d v="2026-11-20T00:00:00"/>
    <d v="2026-11-20T03:00:00"/>
    <s v=""/>
    <m/>
    <s v="OOCL SWEDEN 009W"/>
    <s v="COSCO"/>
    <s v="TPVB20260941002JP"/>
    <x v="753"/>
    <s v="COSU6469843490"/>
    <m/>
    <m/>
    <d v="2026-11-20T03:00:00"/>
    <s v="-"/>
    <s v=""/>
    <n v="7"/>
    <d v="2026-11-27T03:00:00"/>
    <n v="2026"/>
    <n v="11"/>
    <n v="48"/>
    <n v="36"/>
    <n v="936"/>
    <s v="Black glazing"/>
    <s v="AEU"/>
  </r>
  <r>
    <s v="26Aug018.05"/>
    <s v="Yixing"/>
    <s v="26Aug018"/>
    <s v="CORE DG"/>
    <x v="0"/>
    <s v="Arrival Plan-SPNL"/>
    <s v="CIF"/>
    <x v="4"/>
    <s v="U1"/>
    <x v="2"/>
    <m/>
    <m/>
    <s v="n/a"/>
    <d v="2026-10-10T00:00:00"/>
    <x v="2"/>
    <x v="68"/>
    <s v="SPR-P7-560-COM-S"/>
    <s v="EVO2A"/>
    <s v="±1400mm"/>
    <n v="560"/>
    <n v="3300"/>
    <n v="1.8480000000000001"/>
    <n v="100"/>
    <n v="5"/>
    <x v="25"/>
    <m/>
    <s v="不急优先BC"/>
    <d v="2026-10-09T00:00:00"/>
    <m/>
    <s v="POPV261016035"/>
    <m/>
    <s v="SHANGHAI"/>
    <x v="1"/>
    <x v="1"/>
    <d v="2026-10-15T00:00:00"/>
    <d v="2026-10-14T05:00:00"/>
    <d v="2026-10-14T06:14:51"/>
    <d v="2026-11-20T00:00:00"/>
    <d v="2026-11-20T03:00:00"/>
    <s v=""/>
    <m/>
    <s v="OOCL SWEDEN 009W"/>
    <s v="COSCO"/>
    <s v="TPVB20260941003JP"/>
    <x v="754"/>
    <s v="COSU6469220480"/>
    <n v="36.864687499997672"/>
    <m/>
    <d v="2026-11-20T03:00:00"/>
    <s v="-"/>
    <s v=""/>
    <n v="7"/>
    <d v="2026-11-27T03:00:00"/>
    <n v="2026"/>
    <n v="11"/>
    <n v="48"/>
    <n v="33"/>
    <n v="660"/>
    <s v="White glazing"/>
    <s v="AEU"/>
  </r>
  <r>
    <s v="26Aug016.07"/>
    <s v="Yixing"/>
    <s v="26Aug016"/>
    <s v="CORE DG"/>
    <x v="0"/>
    <s v="Arrival Plan-SPIT"/>
    <s v="CIF"/>
    <x v="1"/>
    <s v="U1"/>
    <x v="2"/>
    <m/>
    <m/>
    <s v="n/a"/>
    <d v="2026-09-17T00:00:00"/>
    <x v="6"/>
    <x v="69"/>
    <s v="SPR-P7-515-BLK-P"/>
    <s v="EVO2A"/>
    <s v="±1350mm"/>
    <n v="515"/>
    <n v="3960"/>
    <n v="2.0394000000000001"/>
    <n v="110"/>
    <n v="5"/>
    <x v="21"/>
    <s v="IN-TRANSIT"/>
    <s v="10月4日"/>
    <d v="2026-10-08T00:00:00"/>
    <n v="41"/>
    <s v="POPV261010022"/>
    <m/>
    <s v="SHANGHAI"/>
    <x v="1"/>
    <x v="4"/>
    <d v="2026-10-16T00:00:00"/>
    <d v="2026-10-17T22:30:00"/>
    <d v="2026-10-17T22:51:07"/>
    <d v="2026-12-02T00:00:00"/>
    <d v="2026-12-02T06:00:00"/>
    <s v=""/>
    <m/>
    <s v="COSCO SHIPPING TAURUS 038W"/>
    <s v="COSCO"/>
    <s v="TPVB20260941004JP"/>
    <x v="755"/>
    <s v="COSU6469326980"/>
    <n v="45.297835648147156"/>
    <m/>
    <d v="2026-12-02T06:00:00"/>
    <s v="-"/>
    <s v=""/>
    <n v="10"/>
    <d v="2026-12-12T06:00:00"/>
    <s v="n/a"/>
    <s v="n/a"/>
    <n v="50"/>
    <n v="36"/>
    <n v="792"/>
    <s v="Black glazing"/>
    <s v="AEM"/>
  </r>
  <r>
    <s v="26Aug017.04"/>
    <s v="Yixing"/>
    <s v="26Aug017"/>
    <s v="CORE DG"/>
    <x v="0"/>
    <s v="Arrival Plan-SPES"/>
    <s v="CIF"/>
    <x v="4"/>
    <s v="U1"/>
    <x v="2"/>
    <m/>
    <m/>
    <m/>
    <d v="2026-10-10T00:00:00"/>
    <x v="2"/>
    <x v="5"/>
    <s v="SPR-P7-555-COM-S"/>
    <s v="EVO2A"/>
    <s v="±1400mm"/>
    <n v="555"/>
    <n v="1320"/>
    <n v="0.73260000000000003"/>
    <n v="40"/>
    <n v="2"/>
    <x v="21"/>
    <m/>
    <s v="10月8日"/>
    <d v="2026-10-08T00:00:00"/>
    <m/>
    <s v="POPV261010032"/>
    <m/>
    <s v="SHANGHAI"/>
    <x v="1"/>
    <x v="2"/>
    <d v="2026-10-16T00:00:00"/>
    <d v="2026-10-17T22:30:00"/>
    <d v="2026-10-17T22:51:07"/>
    <d v="2026-12-10T00:00:00"/>
    <d v="2026-12-10T15:00:00"/>
    <s v=""/>
    <m/>
    <s v="COSCO SHIPPING TAURUS 038W"/>
    <s v="COSCO"/>
    <s v="TPVB20260941005JP"/>
    <x v="756"/>
    <s v="COSU6469320380"/>
    <n v="53.672835648147156"/>
    <m/>
    <d v="2026-12-10T15:00:00"/>
    <s v="-"/>
    <s v=""/>
    <n v="9"/>
    <d v="2026-12-19T15:00:00"/>
    <n v="2026"/>
    <n v="12"/>
    <n v="51"/>
    <n v="33"/>
    <n v="660"/>
    <s v="White glazing"/>
    <s v="AEM"/>
  </r>
  <r>
    <s v="26Aug017.01"/>
    <s v="Yixing"/>
    <s v="26Aug017"/>
    <s v="CORE DG"/>
    <x v="0"/>
    <s v="Arrival Plan-SPIT"/>
    <s v="CIF"/>
    <x v="4"/>
    <s v="U1"/>
    <x v="2"/>
    <m/>
    <m/>
    <m/>
    <d v="2026-10-10T00:00:00"/>
    <x v="2"/>
    <x v="5"/>
    <s v="SPR-P7-555-COM-S"/>
    <s v="EVO2A"/>
    <s v="±1400mm"/>
    <n v="555"/>
    <n v="1980"/>
    <n v="1.0989"/>
    <n v="60"/>
    <n v="3"/>
    <x v="21"/>
    <m/>
    <s v="10月8日"/>
    <d v="2026-10-08T00:00:00"/>
    <m/>
    <s v="POPV261010034"/>
    <m/>
    <s v="SHANGHAI"/>
    <x v="1"/>
    <x v="14"/>
    <d v="2026-10-16T00:00:00"/>
    <d v="2026-10-17T22:30:00"/>
    <d v="2026-10-17T22:51:07"/>
    <d v="2026-12-04T00:00:00"/>
    <d v="1899-12-30T00:00:00"/>
    <s v=""/>
    <m/>
    <s v="COSCO SHIPPING TAURUS 038W"/>
    <s v="COSCO"/>
    <s v="TPVB20260941006JP"/>
    <x v="757"/>
    <s v="COSU6469326430"/>
    <n v="-46312.952164351853"/>
    <m/>
    <d v="2026-12-04T00:00:00"/>
    <s v="-"/>
    <s v=""/>
    <n v="10"/>
    <d v="2026-12-14T00:00:00"/>
    <n v="2026"/>
    <n v="12"/>
    <n v="51"/>
    <n v="33"/>
    <n v="660"/>
    <s v="White glazing"/>
    <s v="AEM"/>
  </r>
  <r>
    <s v="26Aug015.15"/>
    <s v="Yixing"/>
    <s v="26Aug015"/>
    <s v="CORE DG"/>
    <x v="0"/>
    <s v="Arrival Plan-SPTN"/>
    <s v="CIF"/>
    <x v="0"/>
    <s v="U1"/>
    <x v="2"/>
    <m/>
    <m/>
    <s v="n/a"/>
    <d v="2026-09-20T00:00:00"/>
    <x v="6"/>
    <x v="21"/>
    <s v="SPR-P7-510-BLK-P"/>
    <s v="EVO2A"/>
    <s v="±1350mm"/>
    <n v="510"/>
    <n v="1584"/>
    <n v="0.80784"/>
    <n v="44"/>
    <n v="2"/>
    <x v="25"/>
    <s v="IN-TRANSIT"/>
    <s v="10月6日"/>
    <d v="2026-10-08T00:00:00"/>
    <n v="41"/>
    <s v="POPV261010031"/>
    <m/>
    <s v="SHANGHAI"/>
    <x v="1"/>
    <x v="0"/>
    <d v="2026-10-16T00:00:00"/>
    <d v="2026-10-16T00:00:00"/>
    <d v="2026-10-17T22:51:07"/>
    <d v="2026-12-07T00:00:00"/>
    <d v="2026-12-07T19:00:00"/>
    <s v=""/>
    <m/>
    <s v="COSCO SHIPPING TAURUS 038W"/>
    <s v="COSCO"/>
    <s v="TPVB20260941007JP"/>
    <x v="758"/>
    <s v="COSU6469323740"/>
    <m/>
    <m/>
    <d v="2026-12-07T19:00:00"/>
    <s v="-"/>
    <s v=""/>
    <n v="8"/>
    <d v="2026-12-15T19:00:00"/>
    <n v="2026"/>
    <n v="12"/>
    <n v="51"/>
    <n v="36"/>
    <n v="792"/>
    <s v="Black glazing"/>
    <s v="AEM"/>
  </r>
  <r>
    <s v="26Oct009.15"/>
    <s v="Quzhou"/>
    <s v="26Oct009"/>
    <s v="CORE DG"/>
    <x v="0"/>
    <s v="Arrival Plan-SPNL"/>
    <s v="CIF"/>
    <x v="0"/>
    <s v="U1"/>
    <x v="2"/>
    <m/>
    <m/>
    <s v="n/a"/>
    <m/>
    <x v="3"/>
    <x v="91"/>
    <s v="HSM-BE54-DD485"/>
    <s v="EVO2A"/>
    <s v="±1200mm"/>
    <n v="485"/>
    <n v="4680"/>
    <n v="2.2698"/>
    <n v="130"/>
    <n v="5"/>
    <x v="24"/>
    <s v="IN-TRANSIT"/>
    <d v="2026-10-14T00:00:00"/>
    <d v="2026-10-14T00:00:00"/>
    <n v="42"/>
    <s v="POPV261016044"/>
    <m/>
    <s v="SHANGHAI"/>
    <x v="3"/>
    <x v="1"/>
    <d v="2026-10-17T00:00:00"/>
    <d v="2026-10-17T08:00:00"/>
    <d v="2026-10-17T09:03:06"/>
    <d v="2026-11-20T00:00:00"/>
    <d v="2026-11-20T03:00:00"/>
    <s v=""/>
    <m/>
    <s v="OOCL SWEDEN 009W"/>
    <s v="COSCO"/>
    <s v="TPVB20261041003XT"/>
    <x v="759"/>
    <s v="COSU9510425590"/>
    <n v="33.747847222221026"/>
    <m/>
    <d v="2026-11-20T03:00:00"/>
    <s v="-"/>
    <s v=""/>
    <n v="7"/>
    <d v="2026-11-27T03:00:00"/>
    <n v="2026"/>
    <n v="11"/>
    <n v="48"/>
    <n v="36"/>
    <n v="936"/>
    <s v="Black glazing"/>
    <s v="AEU"/>
  </r>
  <r>
    <s v="26Aug001.03"/>
    <s v="Yixing"/>
    <s v="26Aug001"/>
    <s v="CORE DG"/>
    <x v="0"/>
    <s v="Arrival Plan-SPIT"/>
    <s v="CIF"/>
    <x v="0"/>
    <s v="U1"/>
    <x v="2"/>
    <m/>
    <m/>
    <s v="n/a"/>
    <d v="2026-07-12T00:00:00"/>
    <x v="6"/>
    <x v="21"/>
    <s v="SPR-P7-510-BLK-P"/>
    <s v="EVO2A"/>
    <s v="±1350mm"/>
    <n v="510"/>
    <n v="792"/>
    <n v="0.40392"/>
    <n v="22"/>
    <n v="1"/>
    <x v="13"/>
    <s v="IN-TRANSIT"/>
    <d v="2026-09-23T00:00:00"/>
    <d v="2026-10-17T00:00:00"/>
    <n v="42"/>
    <s v="POPV261027030"/>
    <m/>
    <s v="NINGBO"/>
    <x v="3"/>
    <x v="4"/>
    <d v="2026-10-17T00:00:00"/>
    <d v="2026-10-18T00:00:00"/>
    <d v="2026-10-22T08:39:16"/>
    <d v="2026-12-02T00:00:00"/>
    <d v="2026-12-09T06:00:00"/>
    <s v=""/>
    <m/>
    <s v="COSCO SHIPPING TAURUS 038W"/>
    <s v="COSCO"/>
    <s v="TPVB20261041001XT"/>
    <x v="760"/>
    <s v="COSU9510418660"/>
    <m/>
    <m/>
    <d v="2026-12-09T06:00:00"/>
    <s v="-"/>
    <s v=""/>
    <n v="10"/>
    <d v="2026-12-19T06:00:00"/>
    <n v="2026"/>
    <n v="12"/>
    <n v="51"/>
    <n v="36"/>
    <n v="792"/>
    <s v="Black glazing"/>
    <s v="AEM"/>
  </r>
  <r>
    <s v="26Aug015.14"/>
    <s v="Yixing"/>
    <s v="26Aug015"/>
    <s v="CORE DG"/>
    <x v="0"/>
    <s v="Arrival Plan-SPTN"/>
    <s v="CIF"/>
    <x v="0"/>
    <s v="U1"/>
    <x v="2"/>
    <m/>
    <m/>
    <s v="n/a"/>
    <d v="2026-09-20T00:00:00"/>
    <x v="6"/>
    <x v="21"/>
    <s v="SPR-P7-510-BLK-P"/>
    <s v="EVO2A"/>
    <s v="±1350mm"/>
    <n v="510"/>
    <n v="792"/>
    <n v="0.40392"/>
    <n v="22"/>
    <n v="1"/>
    <x v="21"/>
    <s v="IN-TRANSIT"/>
    <d v="2026-09-30T00:00:00"/>
    <d v="2026-10-17T00:00:00"/>
    <n v="42"/>
    <s v="POPV261023054"/>
    <m/>
    <s v="NINGBO"/>
    <x v="3"/>
    <x v="0"/>
    <d v="2026-10-17T00:00:00"/>
    <d v="2026-10-21T02:00:00"/>
    <d v="2026-10-21T02:19:20"/>
    <d v="2026-12-07T00:00:00"/>
    <d v="2026-12-07T19:00:00"/>
    <s v=""/>
    <m/>
    <s v="COSCO SHIPPING TAURUS 038W"/>
    <s v="COSCO"/>
    <s v="TPVB20261041002XT"/>
    <x v="761"/>
    <s v="COSU9510418590"/>
    <m/>
    <m/>
    <d v="2026-12-07T19:00:00"/>
    <s v="-"/>
    <s v=""/>
    <n v="8"/>
    <d v="2026-12-15T19:00:00"/>
    <s v="n/a"/>
    <s v="n/a"/>
    <n v="51"/>
    <n v="36"/>
    <n v="792"/>
    <s v="Black glazing"/>
    <s v="AEM"/>
  </r>
  <r>
    <s v="26Aug022.04"/>
    <s v="Tianjin"/>
    <s v="26Aug022"/>
    <s v="CORE DG"/>
    <x v="0"/>
    <s v="Arrival Plan-SPNL"/>
    <s v="CIF"/>
    <x v="0"/>
    <s v="U1"/>
    <x v="2"/>
    <m/>
    <m/>
    <s v="n/a"/>
    <d v="2026-09-14T00:00:00"/>
    <x v="0"/>
    <x v="43"/>
    <s v="HSM-ND54-DR505"/>
    <s v="EVO2A"/>
    <s v="±1200mm"/>
    <n v="505"/>
    <n v="864"/>
    <n v="0.43631999999999999"/>
    <n v="24"/>
    <n v="1"/>
    <x v="22"/>
    <s v="IN-TRANSIT"/>
    <s v="ready"/>
    <d v="2026-10-05T00:00:00"/>
    <n v="41"/>
    <s v="POPV261010014"/>
    <m/>
    <s v="TIANJIN"/>
    <x v="0"/>
    <x v="1"/>
    <d v="2026-10-11T00:00:00"/>
    <d v="2026-10-10T19:30:00"/>
    <d v="2026-10-10T20:11:21"/>
    <d v="2026-11-25T00:00:00"/>
    <d v="2026-11-24T08:00:00"/>
    <s v=""/>
    <s v="CIF"/>
    <s v="OOCL PORTUGAL 008W"/>
    <s v="COSCO"/>
    <s v="TPVB20261041002HL"/>
    <x v="762"/>
    <s v="COSU9510309650"/>
    <m/>
    <m/>
    <d v="2026-11-24T08:00:00"/>
    <s v="-"/>
    <s v=""/>
    <n v="7"/>
    <d v="2026-12-01T08:00:00"/>
    <n v="2026"/>
    <n v="12"/>
    <n v="49"/>
    <n v="36"/>
    <n v="864"/>
    <s v="Black glazing"/>
    <s v="AEU"/>
  </r>
  <r>
    <s v="26Aug003.11"/>
    <s v="Tianjin"/>
    <s v="26Aug003"/>
    <s v="CORE DG"/>
    <x v="0"/>
    <s v="Arrival Plan-SPNL"/>
    <s v="CIF"/>
    <x v="0"/>
    <s v="U1"/>
    <x v="2"/>
    <m/>
    <m/>
    <s v="n/a"/>
    <d v="2026-08-03T00:00:00"/>
    <x v="0"/>
    <x v="0"/>
    <s v="HSM-ND54-DR500"/>
    <s v="EVO2A"/>
    <s v="±1200mm"/>
    <n v="500"/>
    <n v="5184"/>
    <n v="2.5920000000000001"/>
    <n v="144"/>
    <n v="6"/>
    <x v="21"/>
    <s v="IN-TRANSIT"/>
    <m/>
    <d v="2026-10-05T00:00:00"/>
    <n v="41"/>
    <s v="POPV261010019"/>
    <m/>
    <s v="TIANJIN"/>
    <x v="0"/>
    <x v="1"/>
    <d v="2026-10-11T00:00:00"/>
    <d v="2026-10-10T19:30:00"/>
    <d v="2026-10-10T20:11:21"/>
    <d v="2026-11-25T00:00:00"/>
    <d v="2026-11-24T08:00:00"/>
    <s v=""/>
    <s v="CIF"/>
    <s v="OOCL PORTUGAL 008W"/>
    <s v="COSCO"/>
    <s v="TPVB20261041002HL"/>
    <x v="762"/>
    <s v="COSU9510309650"/>
    <n v="44.49211805556115"/>
    <m/>
    <d v="2026-11-24T08:00:00"/>
    <s v="-"/>
    <s v=""/>
    <n v="7"/>
    <d v="2026-12-01T08:00:00"/>
    <s v="n/a"/>
    <s v="n/a"/>
    <n v="49"/>
    <n v="36"/>
    <n v="864"/>
    <s v="Black glazing"/>
    <s v="AEU"/>
  </r>
  <r>
    <s v="26Aug021.1"/>
    <s v="Tianjin"/>
    <s v="26Aug021"/>
    <s v="CORE DG"/>
    <x v="0"/>
    <s v="Arrival Plan-SPNL"/>
    <s v="CIF"/>
    <x v="0"/>
    <s v="U1"/>
    <x v="2"/>
    <m/>
    <m/>
    <s v="n/a"/>
    <d v="2026-09-07T00:00:00"/>
    <x v="0"/>
    <x v="0"/>
    <s v="HSM-ND54-DR500"/>
    <s v="EVO2A"/>
    <s v="±1200mm"/>
    <n v="500"/>
    <n v="864"/>
    <n v="0.432"/>
    <n v="24"/>
    <n v="1"/>
    <x v="21"/>
    <s v="IN-TRANSIT"/>
    <s v="ready"/>
    <d v="2026-10-05T00:00:00"/>
    <n v="41"/>
    <s v="POPV261010018"/>
    <m/>
    <s v="TIANJIN"/>
    <x v="0"/>
    <x v="1"/>
    <d v="2026-10-11T00:00:00"/>
    <d v="2026-10-10T19:30:00"/>
    <d v="2026-10-10T20:11:21"/>
    <d v="2026-11-25T00:00:00"/>
    <d v="2026-11-24T08:00:00"/>
    <s v=""/>
    <s v="CIF"/>
    <s v="OOCL PORTUGAL 008W"/>
    <s v="COSCO"/>
    <s v="TPVB20261041002HL"/>
    <x v="762"/>
    <s v="COSU9510309650"/>
    <n v="44.49211805556115"/>
    <m/>
    <d v="2026-11-24T08:00:00"/>
    <s v="-"/>
    <s v=""/>
    <n v="7"/>
    <d v="2026-12-01T08:00:00"/>
    <s v="n/a"/>
    <s v="n/a"/>
    <n v="49"/>
    <n v="36"/>
    <n v="864"/>
    <s v="Black glazing"/>
    <s v="AEU"/>
  </r>
  <r>
    <s v="26Aug005.02"/>
    <s v="Tianjin"/>
    <s v="26Aug005"/>
    <s v="CORE DG"/>
    <x v="0"/>
    <s v="Arrival Plan-SPTN"/>
    <s v="CIF"/>
    <x v="0"/>
    <s v="U1"/>
    <x v="2"/>
    <m/>
    <m/>
    <s v="n/a"/>
    <d v="2026-08-24T00:00:00"/>
    <x v="0"/>
    <x v="27"/>
    <s v="HSM-ND54-DR500 CFP"/>
    <s v="EVO2A"/>
    <s v="±1200mm"/>
    <n v="500"/>
    <n v="4320"/>
    <n v="2.16"/>
    <n v="120"/>
    <n v="5"/>
    <x v="17"/>
    <s v="IN-TRANSIT"/>
    <m/>
    <d v="2026-10-05T00:00:00"/>
    <n v="41"/>
    <s v="POPV261010012"/>
    <m/>
    <s v="TIANJIN"/>
    <x v="0"/>
    <x v="0"/>
    <d v="2026-10-11T00:00:00"/>
    <d v="2026-10-10T19:30:00"/>
    <d v="2026-10-10T20:11:21"/>
    <d v="2026-12-14T00:00:00"/>
    <d v="2026-12-14T19:00:00"/>
    <s v=""/>
    <m/>
    <s v="OOCL PORTUGAL 008W"/>
    <s v="COSCO"/>
    <s v="TPVB20261041001HL"/>
    <x v="763"/>
    <s v="COSU9510182110"/>
    <n v="64.950451388889633"/>
    <m/>
    <d v="2026-12-14T19:00:00"/>
    <s v="-"/>
    <s v=""/>
    <n v="8"/>
    <d v="2026-12-22T19:00:00"/>
    <n v="2026"/>
    <n v="12"/>
    <n v="52"/>
    <n v="36"/>
    <n v="864"/>
    <s v="Black glazing"/>
    <s v="AEM"/>
  </r>
  <r>
    <s v="26Aug024.1.01"/>
    <s v="Tianjin"/>
    <s v="26Aug024"/>
    <s v="CORE DG"/>
    <x v="0"/>
    <s v="Arrival Plan-SPUK"/>
    <s v="CIF"/>
    <x v="6"/>
    <s v="U2"/>
    <x v="189"/>
    <m/>
    <m/>
    <s v="n/a"/>
    <d v="2026-09-14T00:00:00"/>
    <x v="0"/>
    <x v="107"/>
    <s v="EVO-P-HSM-ND54-DR505"/>
    <s v="EVO2A"/>
    <s v="±1200mm"/>
    <n v="505"/>
    <n v="864"/>
    <n v="0.43631999999999999"/>
    <n v="24"/>
    <n v="1"/>
    <x v="19"/>
    <s v="IN-TRANSIT"/>
    <s v="Dec--to be assured"/>
    <d v="2026-10-05T00:00:00"/>
    <n v="41"/>
    <s v="POPV261010035"/>
    <m/>
    <s v="TIANJIN"/>
    <x v="0"/>
    <x v="6"/>
    <d v="2026-10-11T00:00:00"/>
    <d v="2026-10-10T19:30:00"/>
    <d v="2026-10-10T20:11:21"/>
    <d v="2026-12-06T00:00:00"/>
    <d v="2026-12-20T01:00:00"/>
    <s v=""/>
    <m/>
    <s v="OOCL PORTUGAL 008W"/>
    <s v="COSCO"/>
    <s v="TPVB20261041003HL"/>
    <x v="764"/>
    <s v="COSU6469165090"/>
    <n v="70.200451388889633"/>
    <m/>
    <d v="2026-12-20T01:00:00"/>
    <s v="-"/>
    <s v=""/>
    <n v="7"/>
    <d v="2026-12-27T01:00:00"/>
    <s v="n/a"/>
    <s v="n/a"/>
    <n v="52"/>
    <n v="36"/>
    <n v="864"/>
    <s v="Black glazing"/>
    <s v="AEU"/>
  </r>
  <r>
    <s v="26Aug021.02"/>
    <s v="Tianjin"/>
    <s v="26Aug021"/>
    <s v="CORE DG"/>
    <x v="0"/>
    <s v="Arrival Plan-SPNL"/>
    <s v="CIF"/>
    <x v="0"/>
    <s v="U1"/>
    <x v="2"/>
    <m/>
    <m/>
    <s v="n/a"/>
    <d v="2026-09-07T00:00:00"/>
    <x v="0"/>
    <x v="0"/>
    <s v="HSM-ND54-DR500"/>
    <s v="EVO2A"/>
    <s v="±1200mm"/>
    <n v="500"/>
    <n v="6912"/>
    <n v="3.456"/>
    <n v="192"/>
    <n v="8"/>
    <x v="24"/>
    <s v="IN-TRANSIT"/>
    <s v="ready"/>
    <d v="2026-10-13T00:00:00"/>
    <n v="42"/>
    <s v="POPV261016040"/>
    <m/>
    <s v="TIANJIN"/>
    <x v="0"/>
    <x v="1"/>
    <d v="2026-10-18T00:00:00"/>
    <d v="2026-10-18T20:30:00"/>
    <d v="2026-10-18T18:51:12"/>
    <d v="2026-12-02T00:00:00"/>
    <d v="2026-12-05T05:00:00"/>
    <s v=""/>
    <s v="CIF"/>
    <s v="COSCO SHIPPING CAPRICORN 042W"/>
    <s v="COSCO"/>
    <s v="TPVB20261042001HL"/>
    <x v="765"/>
    <s v="COSU9510309930"/>
    <n v="47.42277777777781"/>
    <m/>
    <d v="2026-12-05T05:00:00"/>
    <s v="-"/>
    <s v=""/>
    <n v="7"/>
    <d v="2026-12-12T05:00:00"/>
    <s v="n/a"/>
    <s v="n/a"/>
    <n v="50"/>
    <n v="36"/>
    <n v="864"/>
    <s v="Black glazing"/>
    <s v="AEU"/>
  </r>
  <r>
    <s v="26Aug025.05"/>
    <s v="Yixing"/>
    <s v="26Aug025"/>
    <s v="UPP"/>
    <x v="1"/>
    <s v="SPTN Offstore in Transit WH"/>
    <s v="FOB"/>
    <x v="13"/>
    <s v="U1"/>
    <x v="191"/>
    <m/>
    <m/>
    <s v="Yes"/>
    <m/>
    <x v="0"/>
    <x v="99"/>
    <s v="HSM-ND66-GR630"/>
    <s v="H4(Com)"/>
    <s v="+400mm/-200mm"/>
    <n v="630"/>
    <n v="720"/>
    <n v="0.4536"/>
    <n v="20"/>
    <n v="1"/>
    <x v="18"/>
    <s v="COMPLETED"/>
    <m/>
    <d v="2026-09-04T00:00:00"/>
    <n v="36"/>
    <m/>
    <m/>
    <s v="SHANGHAI"/>
    <x v="1"/>
    <x v="25"/>
    <d v="2026-09-08T00:00:00"/>
    <d v="2026-09-09T00:00:00"/>
    <d v="2026-09-10T00:00:00"/>
    <d v="2026-09-20T00:00:00"/>
    <d v="2026-10-02T00:00:00"/>
    <d v="2026-10-02T00:00:00"/>
    <s v="FOB"/>
    <s v="AS SERENA/636W"/>
    <s v="OTHER"/>
    <s v="TPVO2026041101"/>
    <x v="766"/>
    <n v="802581991"/>
    <n v="22"/>
    <m/>
    <d v="2026-10-02T00:00:00"/>
    <s v="-"/>
    <s v=""/>
    <n v="0"/>
    <d v="2026-10-02T00:00:00"/>
    <n v="2026"/>
    <n v="10"/>
    <n v="40"/>
    <n v="36"/>
    <n v="720"/>
    <s v="Redirection Film"/>
    <s v="n/a"/>
  </r>
  <r>
    <s v="26Oct007.06"/>
    <s v="Quzhou"/>
    <s v="26Oct007"/>
    <s v="CORE DG"/>
    <x v="0"/>
    <s v="Arrival Plan-SPUK"/>
    <s v="CIF"/>
    <x v="6"/>
    <s v="U2"/>
    <x v="2"/>
    <m/>
    <m/>
    <s v="n/a"/>
    <m/>
    <x v="3"/>
    <x v="108"/>
    <s v="SPR-BE54-DD490"/>
    <s v="EVO2A"/>
    <s v="±1200mm"/>
    <n v="490"/>
    <n v="2808"/>
    <n v="1.37592"/>
    <n v="78"/>
    <n v="3"/>
    <x v="24"/>
    <s v="IN-TRANSIT"/>
    <d v="2026-10-16T00:00:00"/>
    <d v="2026-10-16T00:00:00"/>
    <n v="42"/>
    <s v="POPV261023039"/>
    <m/>
    <s v="SHANGHAI"/>
    <x v="1"/>
    <x v="6"/>
    <d v="2026-10-19T00:00:00"/>
    <d v="2026-10-20T12:30:00"/>
    <d v="2026-10-20T13:28:53"/>
    <d v="2026-11-29T00:00:00"/>
    <d v="2026-11-30T20:00:00"/>
    <s v=""/>
    <m/>
    <s v="OOCL GRACE 001W"/>
    <s v="COSCO"/>
    <s v="TPVB20261042003XT"/>
    <x v="767"/>
    <s v="COSU6471689660"/>
    <n v="41.271608796298096"/>
    <m/>
    <d v="2026-11-30T20:00:00"/>
    <s v="-"/>
    <s v=""/>
    <n v="7"/>
    <d v="2026-12-07T20:00:00"/>
    <n v="2026"/>
    <n v="12"/>
    <n v="50"/>
    <n v="36"/>
    <n v="936"/>
    <s v="Black glazing"/>
    <s v="AEU"/>
  </r>
  <r>
    <s v="26Oct009.01"/>
    <s v="Quzhou"/>
    <s v="26Oct009"/>
    <s v="CORE DG"/>
    <x v="0"/>
    <s v="Arrival Plan-SPNL"/>
    <s v="CIF"/>
    <x v="0"/>
    <s v="U1"/>
    <x v="2"/>
    <m/>
    <m/>
    <s v="n/a"/>
    <m/>
    <x v="3"/>
    <x v="91"/>
    <s v="HSM-BE54-DD485"/>
    <s v="EVO2A"/>
    <s v="±1200mm"/>
    <n v="485"/>
    <n v="10296"/>
    <n v="4.9935600000000004"/>
    <n v="286"/>
    <n v="11"/>
    <x v="24"/>
    <s v="IN-TRANSIT"/>
    <d v="2026-10-16T00:00:00"/>
    <d v="2026-10-14T00:00:00"/>
    <n v="42"/>
    <s v="POPV261016039"/>
    <m/>
    <s v="SHANGHAI"/>
    <x v="1"/>
    <x v="1"/>
    <d v="2026-10-20T00:00:00"/>
    <d v="2026-10-19T15:15:00"/>
    <d v="2026-10-19T15:31:30"/>
    <d v="2026-11-25T00:00:00"/>
    <d v="2026-11-24T08:00:00"/>
    <s v=""/>
    <m/>
    <s v="OOCL PORTUGAL 008W"/>
    <s v="COSCO"/>
    <s v="TPVB20261042002XT"/>
    <x v="768"/>
    <s v="COSU6469938750"/>
    <n v="35.686458333337214"/>
    <m/>
    <d v="2026-11-24T08:00:00"/>
    <s v="-"/>
    <s v=""/>
    <n v="7"/>
    <d v="2026-12-01T08:00:00"/>
    <n v="2026"/>
    <n v="12"/>
    <n v="49"/>
    <n v="36"/>
    <n v="936"/>
    <s v="Black glazing"/>
    <s v="AEU"/>
  </r>
  <r>
    <s v="26Oct007.01"/>
    <s v="Quzhou"/>
    <s v="26Oct007"/>
    <s v="CORE DG"/>
    <x v="0"/>
    <s v="Arrival Plan-SPNL"/>
    <s v="CIF"/>
    <x v="0"/>
    <s v="U2"/>
    <x v="2"/>
    <m/>
    <m/>
    <s v="n/a"/>
    <m/>
    <x v="3"/>
    <x v="108"/>
    <s v="SPR-BE54-DD490"/>
    <s v="EVO2A"/>
    <s v="±1200mm"/>
    <n v="490"/>
    <n v="4680"/>
    <n v="2.2932000000000001"/>
    <n v="130"/>
    <n v="5"/>
    <x v="24"/>
    <s v="IN-TRANSIT"/>
    <d v="2026-10-16T00:00:00"/>
    <d v="2026-10-14T00:00:00"/>
    <n v="42"/>
    <s v="POPV261016034"/>
    <m/>
    <s v="SHANGHAI"/>
    <x v="1"/>
    <x v="1"/>
    <d v="2026-10-19T00:00:00"/>
    <d v="2026-10-20T07:00:00"/>
    <d v="2026-10-20T07:44:40"/>
    <d v="2026-11-25T00:00:00"/>
    <d v="2026-11-29T21:00:00"/>
    <s v=""/>
    <m/>
    <s v="EVER ACE 1423-020W"/>
    <s v="COSCO"/>
    <s v="TPVB20261042004XT"/>
    <x v="769"/>
    <s v="COSU6469939280"/>
    <n v="40.552314814813144"/>
    <m/>
    <d v="2026-11-29T21:00:00"/>
    <s v="-"/>
    <s v=""/>
    <n v="7"/>
    <d v="2026-12-06T21:00:00"/>
    <n v="2026"/>
    <n v="12"/>
    <n v="49"/>
    <n v="36"/>
    <n v="936"/>
    <s v="Black glazing"/>
    <s v="AEU"/>
  </r>
  <r>
    <s v="26Oct009.02"/>
    <s v="Quzhou"/>
    <s v="26Oct009"/>
    <s v="CORE DG"/>
    <x v="0"/>
    <s v="Arrival Plan-SPNL"/>
    <s v="CIF"/>
    <x v="0"/>
    <s v="U1"/>
    <x v="2"/>
    <m/>
    <m/>
    <s v="n/a"/>
    <m/>
    <x v="3"/>
    <x v="91"/>
    <s v="HSM-BE54-DD485"/>
    <s v="EVO2A"/>
    <s v="±1200mm"/>
    <n v="485"/>
    <n v="7488"/>
    <n v="3.6316799999999998"/>
    <n v="208"/>
    <n v="8"/>
    <x v="24"/>
    <s v="IN-TRANSIT"/>
    <d v="2026-10-12T00:00:00"/>
    <d v="2026-10-13T00:00:00"/>
    <n v="42"/>
    <s v="POPV261016042"/>
    <m/>
    <s v="SHANGHAI"/>
    <x v="1"/>
    <x v="1"/>
    <d v="2026-10-18T00:00:00"/>
    <d v="2026-10-19T15:15:00"/>
    <d v="2026-10-19T15:31:30"/>
    <d v="2026-12-05T00:00:00"/>
    <d v="2026-11-24T08:00:00"/>
    <s v=""/>
    <m/>
    <s v="COSCO SHIPPING PANAMA 007W"/>
    <s v="COSCO"/>
    <s v="TPVB20261042001XT"/>
    <x v="770"/>
    <s v="COSU6469939670"/>
    <n v="35.686458333337214"/>
    <m/>
    <d v="2026-11-24T08:00:00"/>
    <s v="-"/>
    <s v=""/>
    <n v="7"/>
    <d v="2026-12-01T08:00:00"/>
    <n v="2026"/>
    <n v="12"/>
    <n v="49"/>
    <n v="36"/>
    <n v="936"/>
    <s v="Black glazing"/>
    <s v="AEU"/>
  </r>
  <r>
    <s v="26Oct016.01"/>
    <s v="Yixing"/>
    <s v="26Oct016"/>
    <s v="UPP"/>
    <x v="0"/>
    <s v="Arrival Plan-SPNL"/>
    <s v="CIF"/>
    <x v="0"/>
    <s v="U1"/>
    <x v="2"/>
    <m/>
    <m/>
    <s v="n/a"/>
    <m/>
    <x v="9"/>
    <x v="109"/>
    <s v="HSM-NT66-GH650 CFP"/>
    <s v="EVO2A"/>
    <s v="±1600mm"/>
    <n v="650"/>
    <n v="5760"/>
    <n v="3.7440000000000002"/>
    <n v="160"/>
    <n v="8"/>
    <x v="25"/>
    <s v="IN-TRANSIT"/>
    <s v="ready"/>
    <d v="2026-10-13T00:00:00"/>
    <n v="42"/>
    <s v="POPV261016046"/>
    <m/>
    <s v="SHANGHAI"/>
    <x v="1"/>
    <x v="1"/>
    <d v="2026-10-19T00:00:00"/>
    <d v="2026-10-19T15:15:00"/>
    <d v="2026-10-19T15:31:30"/>
    <d v="2026-11-25T00:00:00"/>
    <d v="2026-11-24T08:00:00"/>
    <s v=""/>
    <m/>
    <s v="OOCL PORTUGAL 008W"/>
    <s v="COSCO"/>
    <s v=" TPVB20261042001JP"/>
    <x v="771"/>
    <s v="COSU6471068810"/>
    <m/>
    <m/>
    <d v="2026-11-24T08:00:00"/>
    <s v="-"/>
    <s v=""/>
    <n v="7"/>
    <d v="2026-12-01T08:00:00"/>
    <n v="2026"/>
    <n v="12"/>
    <n v="49"/>
    <n v="36"/>
    <n v="720"/>
    <s v="Redirection Film"/>
    <s v="AEU"/>
  </r>
  <r>
    <s v="26Oct009.04"/>
    <s v="Quzhou"/>
    <s v="26Oct009"/>
    <s v="CORE DG"/>
    <x v="0"/>
    <s v="Arrival Plan-SPNL"/>
    <s v="CIF"/>
    <x v="0"/>
    <s v="U2"/>
    <x v="2"/>
    <m/>
    <m/>
    <s v="n/a"/>
    <m/>
    <x v="3"/>
    <x v="91"/>
    <s v="HSM-BE54-DD485"/>
    <s v="EVO2A"/>
    <s v="±1200mm"/>
    <n v="485"/>
    <n v="4680"/>
    <n v="2.2698"/>
    <n v="130"/>
    <n v="5"/>
    <x v="25"/>
    <s v="IN-TRANSIT"/>
    <d v="2026-10-19T00:00:00"/>
    <d v="2026-10-18T00:00:00"/>
    <n v="42"/>
    <s v="POPV261023052"/>
    <m/>
    <s v="SHANGHAI"/>
    <x v="1"/>
    <x v="1"/>
    <d v="2026-10-23T00:00:00"/>
    <d v="2026-10-21T21:00:00"/>
    <d v="2026-10-21T19:29:24"/>
    <d v="2026-11-28T00:00:00"/>
    <d v="2026-12-03T21:00:00"/>
    <s v=""/>
    <m/>
    <s v="EVER GENIUS 1422-032W"/>
    <s v="COSCO"/>
    <s v=" TPVB20261042005JP"/>
    <x v="772"/>
    <s v="COSU6471745060"/>
    <n v="43.06291666666948"/>
    <m/>
    <d v="2026-12-03T21:00:00"/>
    <s v="-"/>
    <s v=""/>
    <n v="7"/>
    <d v="2026-12-10T21:00:00"/>
    <n v="2026"/>
    <n v="12"/>
    <n v="50"/>
    <n v="36"/>
    <n v="936"/>
    <s v="Black glazing"/>
    <s v="AEU"/>
  </r>
  <r>
    <s v="26Aug018.02"/>
    <s v="Yixing"/>
    <s v="26Aug018"/>
    <s v="CORE DG"/>
    <x v="0"/>
    <s v="Arrival Plan-SPIT"/>
    <s v="CIF"/>
    <x v="4"/>
    <s v="U1"/>
    <x v="2"/>
    <m/>
    <m/>
    <m/>
    <d v="2026-10-10T00:00:00"/>
    <x v="2"/>
    <x v="68"/>
    <s v="SPR-P7-560-COM-S"/>
    <s v="EVO2A"/>
    <s v="±1400mm"/>
    <n v="560"/>
    <n v="6600"/>
    <n v="3.6960000000000002"/>
    <n v="200"/>
    <n v="10"/>
    <x v="26"/>
    <m/>
    <d v="2026-10-15T00:00:00"/>
    <d v="2026-10-17T00:00:00"/>
    <m/>
    <s v="POPV261023034"/>
    <m/>
    <s v="SHANGHAI"/>
    <x v="1"/>
    <x v="4"/>
    <d v="2026-10-23T00:00:00"/>
    <d v="2026-10-28T04:30:00"/>
    <d v="2026-10-28T05:17:13"/>
    <d v="2026-12-09T00:00:00"/>
    <d v="2026-12-09T06:00:00"/>
    <s v=""/>
    <m/>
    <s v="COSCO SHIPPING NEBULA 034W"/>
    <s v="COSCO"/>
    <s v=" TPVB20261042002JP"/>
    <x v="773"/>
    <s v="COSU6469942450"/>
    <m/>
    <m/>
    <d v="2026-12-09T06:00:00"/>
    <s v="-"/>
    <s v=""/>
    <n v="10"/>
    <d v="2026-12-19T06:00:00"/>
    <n v="2026"/>
    <n v="12"/>
    <n v="51"/>
    <n v="33"/>
    <n v="660"/>
    <s v="White glazing"/>
    <s v="AEM"/>
  </r>
  <r>
    <s v="26Oct007.05"/>
    <s v="Quzhou"/>
    <s v="26Oct007"/>
    <s v="CORE DG"/>
    <x v="0"/>
    <s v="Arrival Plan-SPES"/>
    <s v="CIF"/>
    <x v="1"/>
    <s v="U4"/>
    <x v="2"/>
    <m/>
    <m/>
    <s v="n/a"/>
    <m/>
    <x v="3"/>
    <x v="108"/>
    <s v="SPR-BE54-DD490"/>
    <s v="EVO2A"/>
    <s v="±1200mm"/>
    <n v="490"/>
    <n v="936"/>
    <n v="0.45863999999999999"/>
    <n v="26"/>
    <n v="1"/>
    <x v="24"/>
    <s v="IN-TRANSIT"/>
    <s v="AEM2 10/17"/>
    <d v="2026-10-17T00:00:00"/>
    <n v="42"/>
    <s v="POPV261023041"/>
    <m/>
    <s v="SHANGHAI"/>
    <x v="1"/>
    <x v="2"/>
    <d v="2026-10-20T00:00:00"/>
    <d v="2026-10-23T06:00:00"/>
    <d v="2026-10-23T02:21:40"/>
    <d v="2026-11-26T00:00:00"/>
    <d v="2026-11-26T20:00:00"/>
    <s v=""/>
    <m/>
    <s v="CMA CGM BOUGAINVILLE MEX020W19"/>
    <s v="COSCO"/>
    <s v=" TPVB20261042003JP"/>
    <x v="774"/>
    <s v="COSU6471104190"/>
    <n v="34.734953703708015"/>
    <m/>
    <d v="2026-11-26T20:00:00"/>
    <s v="-"/>
    <s v=""/>
    <n v="9"/>
    <d v="2026-12-05T20:00:00"/>
    <n v="2026"/>
    <n v="12"/>
    <n v="49"/>
    <n v="36"/>
    <n v="936"/>
    <s v="Black glazing"/>
    <s v="AEM"/>
  </r>
  <r>
    <s v="26Oct014.02"/>
    <s v="Yixing"/>
    <s v="26Oct014"/>
    <s v="CORE DG"/>
    <x v="0"/>
    <s v="Arrival Plan-SPTN"/>
    <s v="CIF"/>
    <x v="0"/>
    <s v="U1"/>
    <x v="2"/>
    <m/>
    <m/>
    <s v="n/a"/>
    <d v="2026-09-27T00:00:00"/>
    <x v="11"/>
    <x v="110"/>
    <s v="HSM-NT48-GH480 CFP"/>
    <s v="EVO2A"/>
    <s v="±1200mm"/>
    <n v="480"/>
    <n v="3744"/>
    <n v="1.7971200000000001"/>
    <n v="104"/>
    <n v="4"/>
    <x v="24"/>
    <s v="IN-TRANSIT"/>
    <s v="ready"/>
    <d v="2026-10-16T00:00:00"/>
    <n v="42"/>
    <s v="POPV261023046"/>
    <m/>
    <s v="SHANGHAI"/>
    <x v="1"/>
    <x v="0"/>
    <d v="2026-10-20T00:00:00"/>
    <d v="2026-10-23T06:00:00"/>
    <d v="2026-10-23T02:21:40"/>
    <d v="2026-12-02T00:00:00"/>
    <d v="2026-12-02T06:00:00"/>
    <s v=""/>
    <m/>
    <s v="CMA CGM BOUGAINVILLE MEX020W19"/>
    <s v="COSCO"/>
    <s v=" TPVB20261042004JP"/>
    <x v="775"/>
    <s v="COSU6469945290"/>
    <m/>
    <m/>
    <d v="2026-12-02T06:00:00"/>
    <s v="-"/>
    <s v=""/>
    <n v="8"/>
    <d v="2026-12-10T06:00:00"/>
    <n v="2026"/>
    <n v="12"/>
    <n v="50"/>
    <n v="36"/>
    <n v="936"/>
    <s v="White glazing"/>
    <s v="AEM"/>
  </r>
  <r>
    <s v="26Oct009.17"/>
    <s v="Quzhou"/>
    <s v="26Oct009"/>
    <s v="CORE DG"/>
    <x v="1"/>
    <s v="SPTN Offstore in Transit WH"/>
    <s v="CIF"/>
    <x v="8"/>
    <s v="U4"/>
    <x v="25"/>
    <s v="IE0126051800021"/>
    <n v="9"/>
    <s v="Yes - GTG"/>
    <m/>
    <x v="3"/>
    <x v="91"/>
    <s v="HSM-BE54-DD485"/>
    <s v="EVO2A"/>
    <s v="±1200mm"/>
    <n v="485"/>
    <n v="5616"/>
    <n v="2.72376"/>
    <n v="156"/>
    <n v="6"/>
    <x v="25"/>
    <s v=""/>
    <d v="2026-10-18T00:00:00"/>
    <d v="2026-10-19T00:00:00"/>
    <m/>
    <s v="POPV261027027"/>
    <m/>
    <s v="SHANGHAI"/>
    <x v="1"/>
    <x v="6"/>
    <d v="2026-10-26T00:00:00"/>
    <d v="2026-10-31T14:00:00"/>
    <s v=""/>
    <d v="2026-12-06T00:00:00"/>
    <d v="2026-12-14T19:00:00"/>
    <s v=""/>
    <m/>
    <s v="OOCL WISDOM 002W"/>
    <s v="COSCO"/>
    <s v=" TPVB20261042004JP"/>
    <x v="776"/>
    <s v="COSU6471467130"/>
    <n v="44.208333333328483"/>
    <m/>
    <d v="2026-12-14T19:00:00"/>
    <s v="-"/>
    <s v=""/>
    <n v="0"/>
    <d v="2026-12-14T19:00:00"/>
    <n v="2026"/>
    <n v="12"/>
    <n v="51"/>
    <n v="36"/>
    <n v="936"/>
    <s v="Black glazing"/>
    <s v="AEU"/>
  </r>
  <r>
    <s v="26Oct009.09"/>
    <s v="Quzhou"/>
    <s v="26Oct009"/>
    <s v="CORE DG"/>
    <x v="0"/>
    <s v="Arrival Plan-SPIT"/>
    <s v="CIF"/>
    <x v="4"/>
    <s v="U1"/>
    <x v="2"/>
    <m/>
    <m/>
    <s v="n/a"/>
    <m/>
    <x v="3"/>
    <x v="91"/>
    <s v="HSM-BE54-DD485"/>
    <s v="EVO2A"/>
    <s v="±1200mm"/>
    <n v="485"/>
    <n v="1872"/>
    <n v="0.90791999999999995"/>
    <n v="52"/>
    <n v="2"/>
    <x v="24"/>
    <s v=""/>
    <s v="IT进口商标签，10/20"/>
    <d v="2026-10-22T00:00:00"/>
    <n v="43"/>
    <s v="POPV261023053"/>
    <m/>
    <s v="NINGBO"/>
    <x v="3"/>
    <x v="4"/>
    <d v="2026-10-24T00:00:00"/>
    <d v="2026-11-01T08:00:00"/>
    <s v=""/>
    <d v="2026-12-09T00:00:00"/>
    <d v="2026-12-09T06:00:00"/>
    <s v=""/>
    <m/>
    <s v="COSCO SHIPPING NEBULA 034W"/>
    <s v="COSCO"/>
    <s v="TPVB20261042005XT"/>
    <x v="777"/>
    <s v="COSU9510624350"/>
    <n v="37.916666666664241"/>
    <m/>
    <d v="2026-12-09T06:00:00"/>
    <s v="-"/>
    <s v=""/>
    <n v="10"/>
    <d v="2026-12-19T06:00:00"/>
    <n v="2026"/>
    <n v="12"/>
    <n v="51"/>
    <n v="36"/>
    <n v="936"/>
    <s v="Black glazing"/>
    <s v="AEM"/>
  </r>
  <r>
    <s v="26Oct009.16"/>
    <s v="Quzhou"/>
    <s v="26Oct009"/>
    <s v="CORE DG"/>
    <x v="0"/>
    <s v="Arrival Plan-SPUK"/>
    <s v="CIF"/>
    <x v="6"/>
    <s v="U2"/>
    <x v="2"/>
    <m/>
    <m/>
    <s v="n/a"/>
    <m/>
    <x v="3"/>
    <x v="91"/>
    <s v="HSM-BE54-DD485"/>
    <s v="EVO2A"/>
    <s v="±1200mm"/>
    <n v="485"/>
    <n v="1872"/>
    <n v="0.90791999999999995"/>
    <n v="52"/>
    <n v="2"/>
    <x v="24"/>
    <s v="IN-TRANSIT"/>
    <d v="2026-10-14T00:00:00"/>
    <d v="2026-10-20T00:00:00"/>
    <n v="43"/>
    <s v="POPV261023050"/>
    <m/>
    <s v="NINGBO"/>
    <x v="3"/>
    <x v="6"/>
    <d v="2026-10-22T00:00:00"/>
    <d v="2026-10-23T13:00:00"/>
    <d v="2026-10-23T13:48:44"/>
    <d v="2026-11-29T00:00:00"/>
    <d v="2026-11-30T15:30:00"/>
    <s v=""/>
    <m/>
    <s v="OOCL GRACE 001W"/>
    <s v="COSCO"/>
    <s v="TPVB20261042006XT"/>
    <x v="778"/>
    <s v="COSU9510603740"/>
    <n v="38.07032407407678"/>
    <m/>
    <d v="2026-11-30T15:30:00"/>
    <s v="-"/>
    <s v=""/>
    <n v="7"/>
    <d v="2026-12-07T15:30:00"/>
    <n v="2026"/>
    <n v="12"/>
    <n v="50"/>
    <n v="36"/>
    <n v="936"/>
    <s v="Black glazing"/>
    <s v="AEU"/>
  </r>
  <r>
    <s v="26Oct009.13"/>
    <s v="Quzhou"/>
    <s v="26Oct009"/>
    <s v="CORE DG"/>
    <x v="0"/>
    <s v="Arrival Plan-SPNL"/>
    <s v="CIF"/>
    <x v="0"/>
    <s v="U1"/>
    <x v="2"/>
    <m/>
    <m/>
    <s v="n/a"/>
    <m/>
    <x v="3"/>
    <x v="91"/>
    <s v="HSM-BE54-DD485"/>
    <s v="EVO2A"/>
    <s v="±1200mm"/>
    <n v="485"/>
    <n v="4680"/>
    <n v="2.2698"/>
    <n v="130"/>
    <n v="5"/>
    <x v="25"/>
    <s v="IN-TRANSIT"/>
    <d v="2026-10-18T00:00:00"/>
    <d v="2026-10-18T00:00:00"/>
    <n v="42"/>
    <s v="POPV261023048"/>
    <m/>
    <s v="NINGBO"/>
    <x v="3"/>
    <x v="1"/>
    <d v="2026-10-24T00:00:00"/>
    <d v="2026-10-22T08:00:00"/>
    <d v="2026-10-22T08:39:16"/>
    <d v="2026-11-25T00:00:00"/>
    <d v="2026-11-24T08:00:00"/>
    <s v=""/>
    <m/>
    <s v="OOCL PORTUGAL 008W"/>
    <s v="COSCO"/>
    <s v="TPVB20261042007XT"/>
    <x v="779"/>
    <s v="COSU9510603630"/>
    <n v="32.972731481480878"/>
    <m/>
    <d v="2026-11-24T08:00:00"/>
    <s v="-"/>
    <s v=""/>
    <n v="7"/>
    <d v="2026-12-01T08:00:00"/>
    <n v="2026"/>
    <n v="12"/>
    <n v="49"/>
    <n v="36"/>
    <n v="936"/>
    <s v="Black glazing"/>
    <s v="AEU"/>
  </r>
  <r>
    <s v="26Oct009.14"/>
    <s v="Quzhou"/>
    <s v="26Oct009"/>
    <s v="CORE DG"/>
    <x v="0"/>
    <s v="Arrival Plan-SPNL"/>
    <s v="CIF"/>
    <x v="0"/>
    <s v="U1"/>
    <x v="2"/>
    <m/>
    <m/>
    <s v="n/a"/>
    <m/>
    <x v="3"/>
    <x v="91"/>
    <s v="HSM-BE54-DD485"/>
    <s v="EVO2A"/>
    <s v="±1200mm"/>
    <n v="485"/>
    <n v="2808"/>
    <n v="1.36188"/>
    <n v="78"/>
    <n v="3"/>
    <x v="25"/>
    <s v="IN-TRANSIT"/>
    <d v="2026-10-18T00:00:00"/>
    <d v="2026-10-19T00:00:00"/>
    <n v="43"/>
    <s v="POPV261023047"/>
    <m/>
    <s v="SHANGHAI"/>
    <x v="3"/>
    <x v="1"/>
    <d v="2026-10-21T00:00:00"/>
    <d v="2026-10-24T03:00:00"/>
    <d v="2026-10-24T03:59:41"/>
    <d v="2026-11-25T00:00:00"/>
    <d v="2026-11-29T21:00:00"/>
    <s v=""/>
    <m/>
    <s v="EVER ACE 1423W"/>
    <s v="COSCO"/>
    <s v="TPVB20261042008XT"/>
    <x v="780"/>
    <s v="COSU6471360750"/>
    <n v="36.70855324074364"/>
    <m/>
    <d v="2026-11-29T21:00:00"/>
    <s v="-"/>
    <s v=""/>
    <n v="7"/>
    <d v="2026-12-06T21:00:00"/>
    <n v="2026"/>
    <n v="12"/>
    <n v="49"/>
    <n v="36"/>
    <n v="936"/>
    <s v="Black glazing"/>
    <s v="AEU"/>
  </r>
  <r>
    <s v="26Oct014.03"/>
    <s v="Yixing"/>
    <s v="26Oct014"/>
    <s v="CORE DG"/>
    <x v="0"/>
    <s v="Arrival Plan-SPTN"/>
    <s v="CIF"/>
    <x v="0"/>
    <s v="U1"/>
    <x v="2"/>
    <m/>
    <m/>
    <s v="n/a"/>
    <d v="2026-09-27T00:00:00"/>
    <x v="11"/>
    <x v="110"/>
    <s v="HSM-NT48-GH480 CFP"/>
    <s v="EVO2A"/>
    <s v="±1200mm"/>
    <n v="480"/>
    <n v="936"/>
    <n v="0.44928000000000001"/>
    <n v="26"/>
    <n v="1"/>
    <x v="26"/>
    <s v="IN-TRANSIT"/>
    <s v="ready"/>
    <d v="2026-10-16T00:00:00"/>
    <n v="42"/>
    <s v="POPV261023045"/>
    <m/>
    <s v="NINGBO"/>
    <x v="3"/>
    <x v="0"/>
    <d v="2026-10-19T00:00:00"/>
    <d v="2026-10-20T03:00:00"/>
    <d v="2026-10-20T05:08:02"/>
    <d v="2026-12-02T00:00:00"/>
    <d v="2026-12-02T06:00:00"/>
    <s v=""/>
    <m/>
    <s v="CMA CGM BOUGAINVILLE MEX020W"/>
    <s v="COSCO"/>
    <s v="TPVB20261042009XT"/>
    <x v="781"/>
    <s v="COSU6471722100"/>
    <m/>
    <m/>
    <d v="2026-12-02T06:00:00"/>
    <s v="-"/>
    <s v=""/>
    <n v="8"/>
    <d v="2026-12-10T06:00:00"/>
    <n v="2026"/>
    <n v="12"/>
    <n v="50"/>
    <n v="36"/>
    <n v="936"/>
    <s v="White glazing"/>
    <s v="AEM"/>
  </r>
  <r>
    <s v="26Oct007.07"/>
    <s v="Quzhou"/>
    <s v="26Oct007"/>
    <s v="CORE DG"/>
    <x v="1"/>
    <s v="SPTN Offstore in Transit WH"/>
    <s v="CIF"/>
    <x v="8"/>
    <s v="U3"/>
    <x v="25"/>
    <s v="IE0126082700021"/>
    <n v="9"/>
    <s v="Yes - GTG"/>
    <m/>
    <x v="3"/>
    <x v="108"/>
    <s v="SPR-BE54-DD490"/>
    <s v="EVO2A"/>
    <s v="±1200mm"/>
    <n v="490"/>
    <n v="9360"/>
    <n v="4.5864000000000003"/>
    <n v="260"/>
    <n v="10"/>
    <x v="25"/>
    <s v="IN-TRANSIT"/>
    <d v="2026-10-18T00:00:00"/>
    <d v="2026-10-18T00:00:00"/>
    <n v="42"/>
    <s v="POPV261023044"/>
    <m/>
    <s v="SHANGHAI"/>
    <x v="1"/>
    <x v="8"/>
    <d v="2026-10-27T00:00:00"/>
    <d v="2026-10-28T13:30:00"/>
    <d v="2026-10-28T02:29:51"/>
    <d v="2026-12-09T00:00:00"/>
    <m/>
    <s v=""/>
    <m/>
    <s v="COSCO SHIPPING CAPRICORN 042W"/>
    <s v="COSCO"/>
    <s v=" TPVB20261043001JP"/>
    <x v="782"/>
    <s v="COSU6471468090"/>
    <n v="41.895937499997672"/>
    <m/>
    <d v="2026-12-09T00:00:00"/>
    <s v="-"/>
    <s v=""/>
    <n v="0"/>
    <d v="2026-12-09T00:00:00"/>
    <n v="2026"/>
    <n v="12"/>
    <n v="50"/>
    <n v="36"/>
    <n v="936"/>
    <s v="Black glazing"/>
    <s v="AEU"/>
  </r>
  <r>
    <s v="26Aug017.07"/>
    <s v="Yixing"/>
    <s v="26Aug017"/>
    <s v="CORE DG"/>
    <x v="0"/>
    <s v="Arrival Plan-SPNL"/>
    <s v="CIF"/>
    <x v="4"/>
    <s v="U4"/>
    <x v="2"/>
    <m/>
    <m/>
    <m/>
    <d v="2026-10-10T00:00:00"/>
    <x v="2"/>
    <x v="5"/>
    <s v="SPR-P7-555-COM-S"/>
    <s v="EVO2A"/>
    <s v="±1400mm"/>
    <n v="555"/>
    <n v="1980"/>
    <n v="1.0989"/>
    <n v="60"/>
    <n v="3"/>
    <x v="24"/>
    <m/>
    <d v="2026-10-19T00:00:00"/>
    <d v="2026-10-18T00:00:00"/>
    <m/>
    <s v="POPV261023040"/>
    <m/>
    <s v="SHANGHAI"/>
    <x v="1"/>
    <x v="1"/>
    <d v="2026-10-23T00:00:00"/>
    <d v="2026-10-21T21:00:00"/>
    <d v="2026-10-21T19:29:24"/>
    <d v="2026-11-28T00:00:00"/>
    <d v="2026-12-03T21:00:00"/>
    <s v=""/>
    <m/>
    <s v="EVER GENIUS 1422-032W"/>
    <s v="COSCO"/>
    <s v=" TPVB20261043002JP"/>
    <x v="783"/>
    <s v="COSU6471748750"/>
    <m/>
    <m/>
    <d v="2026-12-03T21:00:00"/>
    <s v="-"/>
    <s v=""/>
    <n v="7"/>
    <d v="2026-12-10T21:00:00"/>
    <n v="2026"/>
    <n v="12"/>
    <n v="50"/>
    <n v="33"/>
    <n v="660"/>
    <s v="White glazing"/>
    <s v="AEU"/>
  </r>
  <r>
    <s v="26Aug017.06"/>
    <s v="Yixing"/>
    <s v="26Aug017"/>
    <s v="CORE DG"/>
    <x v="0"/>
    <s v="Arrival Plan-SPNL"/>
    <s v="CIF"/>
    <x v="4"/>
    <s v="U4"/>
    <x v="2"/>
    <m/>
    <m/>
    <m/>
    <d v="2026-10-10T00:00:00"/>
    <x v="2"/>
    <x v="5"/>
    <s v="SPR-P7-555-COM-S"/>
    <s v="EVO2A"/>
    <s v="±1400mm"/>
    <n v="555"/>
    <n v="660"/>
    <n v="0.36630000000000001"/>
    <n v="20"/>
    <n v="1"/>
    <x v="24"/>
    <m/>
    <s v="ready"/>
    <d v="2026-10-20T00:00:00"/>
    <m/>
    <s v="POPV261023038"/>
    <m/>
    <s v="SHANGHAI"/>
    <x v="1"/>
    <x v="1"/>
    <d v="2026-10-27T00:00:00"/>
    <d v="2026-10-28T13:30:00"/>
    <d v="2026-10-28T02:29:51"/>
    <d v="2026-12-02T00:00:00"/>
    <d v="2026-12-05T05:00:00"/>
    <s v=""/>
    <m/>
    <s v="COSCO SHIPPING CAPRICORN 042W"/>
    <s v="COSCO"/>
    <s v=" TPVB20261043003JP"/>
    <x v="784"/>
    <s v="COSU6471453340"/>
    <m/>
    <m/>
    <d v="2026-12-05T05:00:00"/>
    <s v="-"/>
    <s v=""/>
    <n v="7"/>
    <d v="2026-12-12T05:00:00"/>
    <n v="2026"/>
    <n v="12"/>
    <n v="50"/>
    <n v="33"/>
    <n v="660"/>
    <s v="White glazing"/>
    <s v="AEU"/>
  </r>
  <r>
    <s v="26Aug017.05"/>
    <s v="Yixing"/>
    <s v="26Aug017"/>
    <s v="CORE DG"/>
    <x v="0"/>
    <s v="Arrival Plan-SPNL"/>
    <s v="CIF"/>
    <x v="4"/>
    <s v="U4"/>
    <x v="2"/>
    <m/>
    <m/>
    <m/>
    <d v="2026-10-10T00:00:00"/>
    <x v="2"/>
    <x v="5"/>
    <s v="SPR-P7-555-COM-S"/>
    <s v="EVO2A"/>
    <s v="±1400mm"/>
    <n v="555"/>
    <n v="3300"/>
    <n v="1.8314999999999999"/>
    <n v="100"/>
    <n v="5"/>
    <x v="21"/>
    <m/>
    <d v="2026-10-20T00:00:00"/>
    <d v="2026-10-20T00:00:00"/>
    <m/>
    <s v="POPV261023036"/>
    <m/>
    <s v="SHANGHAI"/>
    <x v="1"/>
    <x v="1"/>
    <d v="2026-10-26T00:00:00"/>
    <d v="2026-10-29T02:00:00"/>
    <d v="2026-10-29T02:09:23"/>
    <d v="2026-12-02T00:00:00"/>
    <d v="2026-12-02T21:00:00"/>
    <s v=""/>
    <m/>
    <s v="EVER ACT 1424-019W"/>
    <s v="COSCO"/>
    <s v=" TPVB20261043004JP"/>
    <x v="785"/>
    <s v="COSU6471482080"/>
    <m/>
    <m/>
    <d v="2026-12-02T21:00:00"/>
    <s v="-"/>
    <s v=""/>
    <n v="7"/>
    <d v="2026-12-09T21:00:00"/>
    <n v="2026"/>
    <n v="12"/>
    <n v="50"/>
    <n v="33"/>
    <n v="660"/>
    <s v="White glazing"/>
    <s v="AEU"/>
  </r>
  <r>
    <s v="26Oct015.02"/>
    <s v="Yixing"/>
    <s v="26Oct015"/>
    <s v="CORE DG"/>
    <x v="0"/>
    <s v="Arrival Plan-SPTN"/>
    <s v="CIF"/>
    <x v="0"/>
    <s v="U1"/>
    <x v="2"/>
    <m/>
    <m/>
    <s v="n/a"/>
    <d v="2026-09-27T00:00:00"/>
    <x v="11"/>
    <x v="111"/>
    <s v="HSM-NT48-GH485 CFP"/>
    <s v="EVO2A"/>
    <s v="±1200mm"/>
    <n v="485"/>
    <n v="2808"/>
    <n v="1.36188"/>
    <n v="78"/>
    <n v="3"/>
    <x v="25"/>
    <s v=""/>
    <s v="ready"/>
    <d v="2026-10-24T00:00:00"/>
    <n v="43"/>
    <m/>
    <m/>
    <s v="SHANGHAI"/>
    <x v="1"/>
    <x v="0"/>
    <d v="2026-11-03T00:00:00"/>
    <d v="2026-11-05T03:00:00"/>
    <s v=""/>
    <d v="2026-12-21T00:00:00"/>
    <d v="2026-12-21T19:00:00"/>
    <s v=""/>
    <m/>
    <s v="EVER GOODS 0776-036W"/>
    <s v="COSCO"/>
    <s v=" TPVB20261043005JP"/>
    <x v="786"/>
    <s v="COSU6471464390"/>
    <m/>
    <m/>
    <d v="2026-12-21T19:00:00"/>
    <s v="-"/>
    <d v="1899-12-30T00:00:00"/>
    <n v="8"/>
    <d v="2026-12-29T19:00:00"/>
    <n v="2026"/>
    <n v="12"/>
    <n v="53"/>
    <n v="36"/>
    <n v="936"/>
    <s v="White glazing"/>
    <s v="AEM"/>
  </r>
  <r>
    <s v="26Aug015.08"/>
    <s v="Yixing"/>
    <s v="26Aug015"/>
    <s v="CORE DG"/>
    <x v="0"/>
    <s v="Arrival Plan-SPTN"/>
    <s v="CIF"/>
    <x v="0"/>
    <s v="U1"/>
    <x v="2"/>
    <m/>
    <m/>
    <s v="n/a"/>
    <d v="2026-09-20T00:00:00"/>
    <x v="6"/>
    <x v="21"/>
    <s v="SPR-P7-510-BLK-P"/>
    <s v="EVO2A"/>
    <s v="±1350mm"/>
    <n v="510"/>
    <n v="792"/>
    <n v="0.40392"/>
    <n v="22"/>
    <n v="1"/>
    <x v="25"/>
    <s v=""/>
    <s v="ready"/>
    <d v="2026-10-24T00:00:00"/>
    <n v="43"/>
    <m/>
    <m/>
    <s v="SHANGHAI"/>
    <x v="1"/>
    <x v="0"/>
    <d v="2026-11-03T00:00:00"/>
    <d v="2026-11-05T03:00:00"/>
    <s v=""/>
    <d v="2026-12-21T00:00:00"/>
    <d v="2026-12-21T19:00:00"/>
    <s v=""/>
    <m/>
    <s v="EVER GOODS 0776-036W"/>
    <s v="COSCO"/>
    <s v=" TPVB20261043005JP"/>
    <x v="786"/>
    <s v="COSU6471464390"/>
    <m/>
    <m/>
    <d v="2026-12-21T19:00:00"/>
    <s v="-"/>
    <s v=""/>
    <n v="8"/>
    <d v="2026-12-29T19:00:00"/>
    <s v="n/a"/>
    <s v="n/a"/>
    <n v="53"/>
    <n v="36"/>
    <n v="792"/>
    <s v="Black glazing"/>
    <s v="AEM"/>
  </r>
  <r>
    <s v="26Aug015.16"/>
    <s v="Yixing"/>
    <s v="26Aug015"/>
    <s v="CORE DG"/>
    <x v="0"/>
    <s v="Arrival Plan-SPTN"/>
    <s v="CIF"/>
    <x v="0"/>
    <s v="U1"/>
    <x v="2"/>
    <m/>
    <m/>
    <s v="n/a"/>
    <d v="2026-09-20T00:00:00"/>
    <x v="6"/>
    <x v="21"/>
    <s v="SPR-P7-510-BLK-P"/>
    <s v="EVO2A"/>
    <s v="±1350mm"/>
    <n v="510"/>
    <n v="792"/>
    <n v="0.40392"/>
    <n v="22"/>
    <n v="1"/>
    <x v="25"/>
    <s v=""/>
    <s v="ready"/>
    <d v="2026-10-24T00:00:00"/>
    <n v="43"/>
    <m/>
    <m/>
    <s v="SHANGHAI"/>
    <x v="1"/>
    <x v="0"/>
    <d v="2026-11-03T00:00:00"/>
    <d v="2026-11-05T03:00:00"/>
    <s v=""/>
    <d v="2026-12-21T00:00:00"/>
    <d v="2026-12-21T19:00:00"/>
    <s v=""/>
    <m/>
    <s v="EVER GOODS 0776-036W"/>
    <s v="COSCO"/>
    <s v=" TPVB20261043005JP"/>
    <x v="786"/>
    <s v="COSU6471464390"/>
    <m/>
    <m/>
    <d v="2026-12-21T19:00:00"/>
    <s v="-"/>
    <d v="1899-12-30T00:00:00"/>
    <n v="8"/>
    <d v="2026-12-29T19:00:00"/>
    <s v="n/a"/>
    <s v="n/a"/>
    <n v="53"/>
    <n v="36"/>
    <n v="792"/>
    <s v="Black glazing"/>
    <s v="AEM"/>
  </r>
  <r>
    <s v="26Aug017.03"/>
    <s v="Yixing"/>
    <s v="26Aug017"/>
    <s v="CORE DG"/>
    <x v="0"/>
    <s v="Arrival Plan-SPIT"/>
    <s v="CIF"/>
    <x v="4"/>
    <s v="U1"/>
    <x v="2"/>
    <m/>
    <m/>
    <m/>
    <d v="2026-10-10T00:00:00"/>
    <x v="2"/>
    <x v="5"/>
    <s v="SPR-P7-555-COM-S"/>
    <s v="EVO2A"/>
    <s v="±1400mm"/>
    <n v="555"/>
    <n v="3960"/>
    <n v="2.1978"/>
    <n v="120"/>
    <n v="6"/>
    <x v="25"/>
    <m/>
    <d v="2026-10-23T00:00:00"/>
    <d v="2026-10-25T00:00:00"/>
    <m/>
    <m/>
    <m/>
    <s v="SHANGHAI"/>
    <x v="1"/>
    <x v="4"/>
    <d v="2026-11-03T00:00:00"/>
    <d v="2026-11-05T03:00:00"/>
    <s v=""/>
    <d v="2026-12-16T00:00:00"/>
    <d v="2026-12-16T06:00:00"/>
    <s v=""/>
    <m/>
    <s v="EVER GOODS 0776-036W"/>
    <s v="COSCO"/>
    <s v=" TPVB20261043006JP"/>
    <x v="787"/>
    <s v="COSU6471462660"/>
    <m/>
    <m/>
    <d v="2026-12-16T06:00:00"/>
    <s v="-"/>
    <s v=""/>
    <n v="10"/>
    <d v="2026-12-26T06:00:00"/>
    <n v="2026"/>
    <n v="12"/>
    <n v="52"/>
    <n v="33"/>
    <n v="660"/>
    <s v="White glazing"/>
    <s v="AEM"/>
  </r>
  <r>
    <s v="26Oct003.02"/>
    <s v="Yixing"/>
    <s v="26Oct003"/>
    <s v="CORE DG"/>
    <x v="0"/>
    <s v="Arrival Plan-SPES"/>
    <s v="CIF"/>
    <x v="1"/>
    <s v="U4"/>
    <x v="2"/>
    <m/>
    <m/>
    <s v="n/a"/>
    <d v="2026-10-26T00:00:00"/>
    <x v="0"/>
    <x v="112"/>
    <s v="HSM-ND66-GK725"/>
    <s v="H4(Com)"/>
    <s v="±1400mm"/>
    <n v="725"/>
    <n v="1188"/>
    <n v="0.86129999999999995"/>
    <n v="36"/>
    <n v="2"/>
    <x v="25"/>
    <s v="IN-TRANSIT"/>
    <s v="AEM2 10/21"/>
    <d v="2026-10-21T00:00:00"/>
    <n v="43"/>
    <s v="POPV261023035"/>
    <m/>
    <s v="SHANGHAI"/>
    <x v="1"/>
    <x v="2"/>
    <d v="2026-10-26T00:00:00"/>
    <d v="2026-10-29T14:00:00"/>
    <d v="2026-10-29T14:31:23"/>
    <d v="2026-12-03T00:00:00"/>
    <d v="2026-12-03T20:00:00"/>
    <s v=""/>
    <m/>
    <s v="OOCL WISDOM 002W"/>
    <s v="COSCO"/>
    <s v=" TPVB20261043007JP"/>
    <x v="788"/>
    <s v="COSU6471317230"/>
    <m/>
    <m/>
    <d v="2026-12-03T20:00:00"/>
    <s v="-"/>
    <s v=""/>
    <n v="9"/>
    <d v="2026-12-12T20:00:00"/>
    <n v="2026"/>
    <n v="12"/>
    <n v="50"/>
    <n v="33"/>
    <n v="594"/>
    <s v="Redirection Film"/>
    <s v="AEM"/>
  </r>
  <r>
    <s v="26Oct004.02"/>
    <s v="Yixing"/>
    <s v="26Oct004"/>
    <s v="CORE DG"/>
    <x v="0"/>
    <s v="Arrival Plan-SPES"/>
    <s v="CIF"/>
    <x v="1"/>
    <s v="U4"/>
    <x v="2"/>
    <m/>
    <m/>
    <s v="n/a"/>
    <d v="2026-10-26T00:00:00"/>
    <x v="0"/>
    <x v="113"/>
    <s v="HSM-ND66-GK730"/>
    <s v="H4(Com)"/>
    <s v="±1400mm"/>
    <n v="730"/>
    <n v="1782"/>
    <n v="1.3008599999999999"/>
    <n v="54"/>
    <n v="3"/>
    <x v="26"/>
    <s v="IN-TRANSIT"/>
    <s v="AEM2 10/21"/>
    <d v="2026-10-21T00:00:00"/>
    <n v="43"/>
    <s v="POPV261023037"/>
    <m/>
    <s v="SHANGHAI"/>
    <x v="1"/>
    <x v="2"/>
    <d v="2026-10-26T00:00:00"/>
    <d v="2026-10-29T14:00:00"/>
    <d v="2026-10-29T14:31:23"/>
    <d v="2026-12-03T00:00:00"/>
    <d v="2026-12-03T20:00:00"/>
    <s v=""/>
    <m/>
    <s v="OOCL WISDOM 002W"/>
    <s v="COSCO"/>
    <s v=" TPVB20261043007JP"/>
    <x v="788"/>
    <s v="COSU6471317230"/>
    <m/>
    <m/>
    <d v="2026-12-03T20:00:00"/>
    <s v="-"/>
    <s v=""/>
    <n v="9"/>
    <d v="2026-12-12T20:00:00"/>
    <n v="2026"/>
    <n v="12"/>
    <n v="50"/>
    <n v="33"/>
    <n v="594"/>
    <s v="Redirection Film"/>
    <s v="AEM"/>
  </r>
  <r>
    <s v="26Oct007.03"/>
    <s v="Quzhou"/>
    <s v="26Oct007"/>
    <s v="CORE DG"/>
    <x v="0"/>
    <s v="Arrival Plan-SPNL"/>
    <s v="CIF"/>
    <x v="0"/>
    <s v="U2"/>
    <x v="2"/>
    <m/>
    <m/>
    <s v="n/a"/>
    <m/>
    <x v="3"/>
    <x v="108"/>
    <s v="SPR-BE54-DD490"/>
    <s v="EVO2A"/>
    <s v="±1200mm"/>
    <n v="490"/>
    <n v="2808"/>
    <n v="1.37592"/>
    <n v="78"/>
    <n v="3"/>
    <x v="24"/>
    <s v=""/>
    <d v="2026-10-19T00:00:00"/>
    <d v="2026-10-28T00:00:00"/>
    <n v="44"/>
    <m/>
    <m/>
    <s v="NINGBO"/>
    <x v="3"/>
    <x v="1"/>
    <d v="2026-11-04T00:00:00"/>
    <d v="2026-11-04T08:00:00"/>
    <s v=""/>
    <d v="2026-12-09T00:00:00"/>
    <d v="2026-12-09T21:00:00"/>
    <s v=""/>
    <m/>
    <s v="EVER AIM 1425W"/>
    <s v="COSCO"/>
    <s v="TPVB20261043001XT"/>
    <x v="789"/>
    <s v="COSU9510687380"/>
    <n v="35.541666666664241"/>
    <m/>
    <d v="2026-12-09T21:00:00"/>
    <s v="-"/>
    <d v="1899-12-30T00:00:00"/>
    <n v="7"/>
    <d v="2026-12-16T21:00:00"/>
    <n v="2026"/>
    <n v="12"/>
    <n v="51"/>
    <n v="36"/>
    <n v="936"/>
    <s v="Black glazing"/>
    <s v="AEU"/>
  </r>
  <r>
    <s v="26Oct007.04"/>
    <s v="Quzhou"/>
    <s v="26Oct007"/>
    <s v="CORE DG"/>
    <x v="0"/>
    <s v="Arrival Plan-SPNL"/>
    <s v="CIF"/>
    <x v="0"/>
    <s v="U2"/>
    <x v="2"/>
    <m/>
    <m/>
    <s v="n/a"/>
    <m/>
    <x v="3"/>
    <x v="108"/>
    <s v="SPR-BE54-DD490"/>
    <s v="EVO2A"/>
    <s v="±1200mm"/>
    <n v="490"/>
    <n v="3744"/>
    <n v="1.83456"/>
    <n v="104"/>
    <n v="4"/>
    <x v="25"/>
    <s v=""/>
    <d v="2026-10-20T00:00:00"/>
    <d v="2026-10-23T00:00:00"/>
    <n v="43"/>
    <s v="POPV261027028"/>
    <m/>
    <s v="NINGBO"/>
    <x v="3"/>
    <x v="1"/>
    <d v="2026-10-31T00:00:00"/>
    <d v="2026-11-03T10:00:00"/>
    <s v=""/>
    <d v="2026-12-02T00:00:00"/>
    <d v="2026-12-05T05:00:00"/>
    <s v=""/>
    <m/>
    <s v="COSCO SHIPPING CAPRICORN 042W"/>
    <s v="COSCO"/>
    <s v="TPVB20261043006XT"/>
    <x v="790"/>
    <s v="COSU6471721900"/>
    <n v="31.791666666671517"/>
    <m/>
    <d v="2026-12-05T05:00:00"/>
    <s v="-"/>
    <s v=""/>
    <n v="7"/>
    <d v="2026-12-12T05:00:00"/>
    <n v="2026"/>
    <n v="12"/>
    <n v="50"/>
    <n v="36"/>
    <n v="936"/>
    <s v="Black glazing"/>
    <s v="AEU"/>
  </r>
  <r>
    <s v="26Oct006.02"/>
    <s v="Tianjin"/>
    <s v="26Oct006"/>
    <s v="CORE DG"/>
    <x v="0"/>
    <s v="Arrival Plan-SPIT"/>
    <s v="CIF"/>
    <x v="0"/>
    <s v="U1"/>
    <x v="2"/>
    <m/>
    <m/>
    <s v="n/a"/>
    <d v="2026-10-22T00:00:00"/>
    <x v="0"/>
    <x v="43"/>
    <s v="HSM-ND54-DR505"/>
    <s v="EVO2A"/>
    <s v="±1200mm"/>
    <n v="505"/>
    <n v="864"/>
    <n v="0.43631999999999999"/>
    <n v="24"/>
    <n v="1"/>
    <x v="26"/>
    <s v=""/>
    <s v="IT importer label,10/23"/>
    <d v="2026-10-24T00:00:00"/>
    <n v="43"/>
    <s v="POPV261027026"/>
    <m/>
    <s v="TIANJIN"/>
    <x v="0"/>
    <x v="4"/>
    <d v="2026-10-28T00:00:00"/>
    <d v="2026-10-29T23:30:00"/>
    <s v=""/>
    <d v="2026-12-30T00:00:00"/>
    <d v="2026-12-30T06:00:00"/>
    <s v=""/>
    <m/>
    <s v="COSCO SHIPPING PEONY 040E"/>
    <s v="COSCO"/>
    <s v="TPVB20261043006HL"/>
    <x v="791"/>
    <s v="COSU9510879120"/>
    <m/>
    <m/>
    <d v="2026-12-30T06:00:00"/>
    <s v="-"/>
    <s v=""/>
    <n v="10"/>
    <d v="2027-01-09T06:00:00"/>
    <n v="2027"/>
    <n v="1"/>
    <n v="1"/>
    <n v="36"/>
    <n v="864"/>
    <s v="Black glazing"/>
    <s v="AEM"/>
  </r>
  <r>
    <s v="26Oct006.04"/>
    <s v="Tianjin"/>
    <s v="26Oct006"/>
    <s v="CORE DG"/>
    <x v="0"/>
    <s v="Arrival Plan-SPTN"/>
    <s v="CIF"/>
    <x v="0"/>
    <s v="U1"/>
    <x v="2"/>
    <m/>
    <m/>
    <s v="n/a"/>
    <d v="2026-10-22T00:00:00"/>
    <x v="0"/>
    <x v="43"/>
    <s v="HSM-ND54-DR505"/>
    <s v="EVO2A"/>
    <s v="±1200mm"/>
    <n v="505"/>
    <n v="3456"/>
    <n v="1.7452799999999999"/>
    <n v="96"/>
    <n v="4"/>
    <x v="27"/>
    <s v="IN-TRANSIT"/>
    <d v="2026-10-21T00:00:00"/>
    <d v="2026-10-21T00:00:00"/>
    <n v="43"/>
    <s v="POPV261023031"/>
    <m/>
    <s v="TIANJIN"/>
    <x v="0"/>
    <x v="0"/>
    <d v="2026-10-24T00:00:00"/>
    <d v="2026-10-24T20:00:00"/>
    <d v="2026-10-24T20:21:48"/>
    <d v="2027-01-04T00:00:00"/>
    <d v="2027-01-04T19:00:00"/>
    <s v=""/>
    <m/>
    <s v="COSCO FRANCE 076W"/>
    <s v="COSCO"/>
    <s v="TPVB20261043003HL"/>
    <x v="792"/>
    <s v="COSU9510535260"/>
    <m/>
    <m/>
    <d v="2027-01-04T19:00:00"/>
    <s v="-"/>
    <s v=""/>
    <n v="8"/>
    <d v="2027-01-12T19:00:00"/>
    <n v="2027"/>
    <n v="1"/>
    <n v="2"/>
    <n v="36"/>
    <n v="864"/>
    <s v="Black glazing"/>
    <s v="AEM"/>
  </r>
  <r>
    <s v="26Oct009.20"/>
    <s v="Quzhou"/>
    <s v="26Oct009"/>
    <s v="CORE DG"/>
    <x v="0"/>
    <s v="Arrival Plan-SPIT"/>
    <s v="CIF"/>
    <x v="4"/>
    <s v="U1"/>
    <x v="2"/>
    <m/>
    <m/>
    <s v="n/a"/>
    <m/>
    <x v="3"/>
    <x v="91"/>
    <s v="HSM-BE54-DD485"/>
    <s v="EVO2A"/>
    <s v="±1200mm"/>
    <n v="485"/>
    <n v="1872"/>
    <n v="0.90791999999999995"/>
    <n v="52"/>
    <n v="2"/>
    <x v="24"/>
    <s v=""/>
    <s v="IT进口商标签，10/22"/>
    <d v="2026-10-28T00:00:00"/>
    <n v="44"/>
    <m/>
    <m/>
    <s v="NINGBO"/>
    <x v="3"/>
    <x v="4"/>
    <d v="2026-11-04T00:00:00"/>
    <d v="2026-11-07T00:00:00"/>
    <s v=""/>
    <d v="2026-12-16T00:00:00"/>
    <d v="2026-12-16T06:00:00"/>
    <s v=""/>
    <m/>
    <s v="EVER GOODS 036W"/>
    <s v="COSCO"/>
    <s v="TPVB20261043002XT"/>
    <x v="793"/>
    <s v="COSU9510691300"/>
    <n v="39.25"/>
    <m/>
    <d v="2026-12-16T06:00:00"/>
    <s v="-"/>
    <d v="1899-12-30T00:00:00"/>
    <n v="10"/>
    <d v="2026-12-26T06:00:00"/>
    <n v="2026"/>
    <n v="12"/>
    <n v="52"/>
    <n v="36"/>
    <n v="936"/>
    <s v="Black glazing"/>
    <s v="AEM"/>
  </r>
  <r>
    <s v="26Oct003.03"/>
    <s v="Yixing"/>
    <s v="26Oct003"/>
    <s v="CORE DG"/>
    <x v="0"/>
    <s v="Arrival Plan-SPES"/>
    <s v="CIF"/>
    <x v="1"/>
    <s v="U2"/>
    <x v="2"/>
    <m/>
    <m/>
    <s v="n/a"/>
    <d v="2026-10-26T00:00:00"/>
    <x v="0"/>
    <x v="112"/>
    <s v="HSM-ND66-GK725"/>
    <s v="H4(Com)"/>
    <s v="±1400mm"/>
    <n v="725"/>
    <n v="594"/>
    <n v="0.43064999999999998"/>
    <n v="18"/>
    <n v="1"/>
    <x v="26"/>
    <s v=""/>
    <s v="塞支架 AEM2 10/22"/>
    <d v="2026-10-26T00:00:00"/>
    <n v="44"/>
    <s v="POPV261028021，POPV261027025"/>
    <m/>
    <s v="NINGBO"/>
    <x v="3"/>
    <x v="2"/>
    <d v="2026-10-26T00:00:00"/>
    <d v="2026-10-30T17:00:00"/>
    <s v=""/>
    <d v="2026-12-03T00:00:00"/>
    <d v="2026-12-03T20:00:00"/>
    <s v=""/>
    <m/>
    <s v="CMA CGM JULES VERNE MEX040W "/>
    <s v="COSCO"/>
    <s v="TPVB20261043004XT"/>
    <x v="794"/>
    <s v="COSU9510691550"/>
    <m/>
    <m/>
    <d v="2026-12-03T20:00:00"/>
    <s v="-"/>
    <s v=""/>
    <n v="9"/>
    <d v="2026-12-12T20:00:00"/>
    <n v="2026"/>
    <n v="12"/>
    <n v="50"/>
    <n v="33"/>
    <n v="594"/>
    <s v="Redirection Film"/>
    <s v="AEM"/>
  </r>
  <r>
    <s v="26Oct009.18"/>
    <s v="Quzhou"/>
    <s v="26Oct009"/>
    <s v="CORE DG"/>
    <x v="1"/>
    <s v="SPTN Offstore in Transit WH"/>
    <s v="CIF"/>
    <x v="8"/>
    <s v="U4"/>
    <x v="25"/>
    <s v="IE0126051800021"/>
    <n v="10"/>
    <s v="Yes - GTG"/>
    <m/>
    <x v="3"/>
    <x v="91"/>
    <s v="HSM-BE54-DD485"/>
    <s v="EVO2A"/>
    <s v="±1200mm"/>
    <n v="485"/>
    <n v="1872"/>
    <n v="0.90791999999999995"/>
    <n v="52"/>
    <n v="2"/>
    <x v="25"/>
    <s v=""/>
    <d v="2026-10-20T00:00:00"/>
    <d v="2026-10-22T00:00:00"/>
    <m/>
    <s v="POPV261023049"/>
    <m/>
    <s v="NINGBO"/>
    <x v="3"/>
    <x v="6"/>
    <d v="2026-10-29T00:00:00"/>
    <d v="2026-11-02T09:30:00"/>
    <s v=""/>
    <d v="2026-12-06T00:00:00"/>
    <d v="2026-12-08T06:00:00"/>
    <s v=""/>
    <m/>
    <s v="OOCL WISDOM 002W"/>
    <s v="COSCO"/>
    <s v="TPVB20261043005XT"/>
    <x v="795"/>
    <s v="COSU9510687860"/>
    <n v="35.854166666664241"/>
    <m/>
    <d v="2026-12-08T06:00:00"/>
    <s v="-"/>
    <s v=""/>
    <n v="0"/>
    <d v="2026-12-08T06:00:00"/>
    <n v="2026"/>
    <n v="12"/>
    <n v="50"/>
    <n v="36"/>
    <n v="936"/>
    <s v="Black glazing"/>
    <s v="AEU"/>
  </r>
  <r>
    <s v="26Oct010.3"/>
    <s v="Quzhou"/>
    <s v="26Oct010"/>
    <s v="CORE DG"/>
    <x v="0"/>
    <s v="Arrival Plan-SPNL"/>
    <s v="CIF"/>
    <x v="0"/>
    <s v="U4"/>
    <x v="2"/>
    <m/>
    <m/>
    <s v="n/a"/>
    <m/>
    <x v="3"/>
    <x v="96"/>
    <s v="HSM-BE54-DD490"/>
    <s v="EVO2A"/>
    <s v="±1200mm"/>
    <n v="490"/>
    <n v="936"/>
    <n v="0.45863999999999999"/>
    <n v="26"/>
    <n v="1"/>
    <x v="25"/>
    <s v=""/>
    <s v="ready"/>
    <d v="2026-10-23T00:00:00"/>
    <n v="43"/>
    <s v="POPV261027029"/>
    <m/>
    <s v="NINGBO"/>
    <x v="3"/>
    <x v="1"/>
    <d v="2026-10-31T00:00:00"/>
    <d v="2026-11-03T10:00:00"/>
    <s v=""/>
    <d v="2026-12-02T00:00:00"/>
    <d v="2026-12-05T05:00:00"/>
    <s v=""/>
    <m/>
    <s v="COSCO SHIPPING CAPRICORN 042W"/>
    <s v="COSCO"/>
    <s v="TPVB20261043006XT"/>
    <x v="790"/>
    <s v="COSU6471721900"/>
    <n v="31.791666666671517"/>
    <m/>
    <d v="2026-12-05T05:00:00"/>
    <s v="-"/>
    <s v=""/>
    <n v="7"/>
    <d v="2026-12-12T05:00:00"/>
    <n v="2026"/>
    <n v="12"/>
    <n v="50"/>
    <n v="36"/>
    <n v="936"/>
    <s v="Black glazing"/>
    <s v="AEU"/>
  </r>
  <r>
    <s v="26Aug004.1"/>
    <s v="Tianjin"/>
    <s v="26Aug004"/>
    <s v="CORE DG"/>
    <x v="0"/>
    <s v="Arrival Plan-SPNL"/>
    <s v="CIF"/>
    <x v="0"/>
    <s v="U1"/>
    <x v="2"/>
    <m/>
    <m/>
    <s v="n/a"/>
    <d v="2026-08-03T00:00:00"/>
    <x v="0"/>
    <x v="43"/>
    <s v="HSM-ND54-DR505"/>
    <s v="EVO2A"/>
    <s v="±1200mm"/>
    <n v="505"/>
    <n v="864"/>
    <n v="0.43631999999999999"/>
    <n v="24"/>
    <n v="1"/>
    <x v="21"/>
    <s v="IN-TRANSIT"/>
    <s v="八月16日"/>
    <d v="2026-10-19T00:00:00"/>
    <n v="43"/>
    <s v="POPV261023042"/>
    <m/>
    <s v="TIANJIN"/>
    <x v="0"/>
    <x v="1"/>
    <d v="2026-10-24T00:00:00"/>
    <d v="2026-10-24T20:00:00"/>
    <d v="2026-10-24T20:21:48"/>
    <d v="2026-12-08T00:00:00"/>
    <d v="2026-12-08T08:00:00"/>
    <s v=""/>
    <m/>
    <s v="COSCO FRANCE 076W"/>
    <s v="COSCO"/>
    <s v="TPVB20261043002HL"/>
    <x v="796"/>
    <s v="COSU9510581810"/>
    <m/>
    <m/>
    <d v="2026-12-08T08:00:00"/>
    <s v="-"/>
    <s v=""/>
    <n v="7"/>
    <d v="2026-12-15T08:00:00"/>
    <s v="n/a"/>
    <s v="n/a"/>
    <n v="51"/>
    <n v="36"/>
    <n v="864"/>
    <s v="Black glazing"/>
    <s v="AEU"/>
  </r>
  <r>
    <s v="26Aug021.05"/>
    <s v="Tianjin"/>
    <s v="26Aug021"/>
    <s v="CORE DG"/>
    <x v="0"/>
    <s v="Arrival Plan-SPNL"/>
    <s v="CIF"/>
    <x v="0"/>
    <s v="U1"/>
    <x v="2"/>
    <m/>
    <m/>
    <s v="n/a"/>
    <d v="2026-09-07T00:00:00"/>
    <x v="0"/>
    <x v="0"/>
    <s v="HSM-ND54-DR500"/>
    <s v="EVO2A"/>
    <s v="±1200mm"/>
    <n v="500"/>
    <n v="864"/>
    <n v="0.432"/>
    <n v="24"/>
    <n v="1"/>
    <x v="25"/>
    <s v="IN-TRANSIT"/>
    <s v="ready"/>
    <d v="2026-10-19T00:00:00"/>
    <n v="43"/>
    <s v="POPV261023033"/>
    <m/>
    <s v="TIANJIN"/>
    <x v="0"/>
    <x v="1"/>
    <d v="2026-10-24T00:00:00"/>
    <d v="2026-10-24T20:00:00"/>
    <d v="2026-10-24T20:21:48"/>
    <d v="2026-12-08T00:00:00"/>
    <d v="2026-12-08T08:00:00"/>
    <s v=""/>
    <m/>
    <s v="COSCO FRANCE 076W"/>
    <s v="COSCO"/>
    <s v="TPVB20261043002HL"/>
    <x v="796"/>
    <s v="COSU9510581810"/>
    <m/>
    <m/>
    <d v="2026-12-08T08:00:00"/>
    <s v="-"/>
    <s v=""/>
    <n v="7"/>
    <d v="2026-12-15T08:00:00"/>
    <s v="n/a"/>
    <s v="n/a"/>
    <n v="51"/>
    <n v="36"/>
    <n v="864"/>
    <s v="Black glazing"/>
    <s v="AEU"/>
  </r>
  <r>
    <s v="26Aug022.06"/>
    <s v="Tianjin"/>
    <s v="26Aug022"/>
    <s v="CORE DG"/>
    <x v="0"/>
    <s v="Arrival Plan-SPIT"/>
    <s v="CIF"/>
    <x v="0"/>
    <s v="U1"/>
    <x v="2"/>
    <m/>
    <m/>
    <s v="n/a"/>
    <d v="2026-09-07T00:00:00"/>
    <x v="0"/>
    <x v="43"/>
    <s v="HSM-ND54-DR505"/>
    <s v="EVO2A"/>
    <s v="±1200mm"/>
    <n v="505"/>
    <n v="1728"/>
    <n v="0.87263999999999997"/>
    <n v="48"/>
    <n v="2"/>
    <x v="25"/>
    <s v="IN-TRANSIT"/>
    <s v="IT importer label"/>
    <d v="2026-10-19T00:00:00"/>
    <n v="43"/>
    <s v="POPV261023056"/>
    <m/>
    <s v="TIANJIN"/>
    <x v="0"/>
    <x v="4"/>
    <d v="2026-10-24T00:00:00"/>
    <d v="2026-10-24T20:00:00"/>
    <d v="2026-10-24T20:21:48"/>
    <d v="2026-12-16T00:00:00"/>
    <d v="2026-12-16T06:00:00"/>
    <s v=""/>
    <m/>
    <s v="COSCO FRANCE 076W"/>
    <s v="COSCO"/>
    <s v="TPVB20261043005HL"/>
    <x v="797"/>
    <s v="COSU9510536230"/>
    <m/>
    <m/>
    <d v="2026-12-16T06:00:00"/>
    <s v="-"/>
    <s v=""/>
    <n v="10"/>
    <d v="2026-12-26T06:00:00"/>
    <s v="n/a"/>
    <s v="n/a"/>
    <n v="52"/>
    <n v="36"/>
    <n v="864"/>
    <s v="Black glazing"/>
    <s v="AEM"/>
  </r>
  <r>
    <s v="26Aug022.07"/>
    <s v="Tianjin"/>
    <s v="26Aug022"/>
    <s v="CORE DG"/>
    <x v="0"/>
    <s v="Arrival Plan-SPIT"/>
    <s v="CIF"/>
    <x v="0"/>
    <s v="U1"/>
    <x v="2"/>
    <m/>
    <m/>
    <s v="n/a"/>
    <d v="2026-09-07T00:00:00"/>
    <x v="0"/>
    <x v="43"/>
    <s v="HSM-ND54-DR505"/>
    <s v="EVO2A"/>
    <s v="±1200mm"/>
    <n v="505"/>
    <n v="864"/>
    <n v="0.43631999999999999"/>
    <n v="24"/>
    <n v="1"/>
    <x v="25"/>
    <s v="IN-TRANSIT"/>
    <s v="IT importer label"/>
    <d v="2026-10-19T00:00:00"/>
    <n v="43"/>
    <s v="POPV261023055"/>
    <m/>
    <s v="TIANJIN"/>
    <x v="0"/>
    <x v="4"/>
    <d v="2026-10-24T00:00:00"/>
    <d v="2026-10-24T20:00:00"/>
    <d v="2026-10-24T20:21:48"/>
    <d v="2026-12-16T00:00:00"/>
    <d v="2026-12-16T06:00:00"/>
    <s v=""/>
    <m/>
    <s v="COSCO FRANCE 076W"/>
    <s v="COSCO"/>
    <s v="TPVB20261043004HL"/>
    <x v="798"/>
    <s v="COSU9510705970"/>
    <m/>
    <m/>
    <d v="2026-12-16T06:00:00"/>
    <s v="-"/>
    <s v=""/>
    <n v="10"/>
    <d v="2026-12-26T06:00:00"/>
    <s v="n/a"/>
    <s v="n/a"/>
    <n v="52"/>
    <n v="36"/>
    <n v="864"/>
    <s v="Black glazing"/>
    <s v="AEM"/>
  </r>
  <r>
    <s v="26Aug024.1.02"/>
    <s v="Tianjin"/>
    <s v="26Aug024"/>
    <s v="CORE DG"/>
    <x v="0"/>
    <s v="Arrival Plan-SPUK"/>
    <s v="CIF"/>
    <x v="6"/>
    <s v="U2"/>
    <x v="189"/>
    <m/>
    <m/>
    <s v="n/a"/>
    <d v="2026-09-14T00:00:00"/>
    <x v="0"/>
    <x v="107"/>
    <s v="EVO-P-HSM-ND54-DR505"/>
    <s v="EVO2A"/>
    <s v="±1200mm"/>
    <n v="505"/>
    <n v="864"/>
    <n v="0.43631999999999999"/>
    <n v="24"/>
    <n v="1"/>
    <x v="19"/>
    <s v="IN-TRANSIT"/>
    <s v="Dec--to be assured"/>
    <d v="2026-10-19T00:00:00"/>
    <n v="43"/>
    <s v="POPV261023032"/>
    <m/>
    <s v="TIANJIN"/>
    <x v="0"/>
    <x v="6"/>
    <d v="2026-10-24T00:00:00"/>
    <d v="2026-10-24T20:00:00"/>
    <d v="2026-10-24T20:21:48"/>
    <d v="2026-12-20T00:00:00"/>
    <d v="2026-12-20T01:00:00"/>
    <s v=""/>
    <m/>
    <s v="COSCO FRANCE 076W"/>
    <s v="COSCO"/>
    <s v="TPVB20261043001HL"/>
    <x v="799"/>
    <s v="COSU6471146490"/>
    <m/>
    <m/>
    <d v="2026-12-20T01:00:00"/>
    <s v="-"/>
    <s v=""/>
    <n v="7"/>
    <d v="2026-12-27T01:00:00"/>
    <s v="n/a"/>
    <s v="n/a"/>
    <n v="52"/>
    <n v="36"/>
    <n v="864"/>
    <s v="Black glazing"/>
    <s v="AEU"/>
  </r>
  <r>
    <s v="26Oct007.10"/>
    <s v="Quzhou"/>
    <s v="26Oct007"/>
    <s v="CORE DG"/>
    <x v="0"/>
    <s v="Arrival Plan-SPUK"/>
    <s v="CIF"/>
    <x v="6"/>
    <s v="U2"/>
    <x v="2"/>
    <m/>
    <m/>
    <s v="n/a"/>
    <m/>
    <x v="3"/>
    <x v="108"/>
    <s v="SPR-BE54-DD490"/>
    <s v="EVO2A"/>
    <s v="±1200mm"/>
    <n v="490"/>
    <n v="2808"/>
    <n v="1.37592"/>
    <n v="78"/>
    <n v="3"/>
    <x v="25"/>
    <s v=""/>
    <d v="2026-10-23T00:00:00"/>
    <d v="2026-10-28T00:00:00"/>
    <m/>
    <m/>
    <m/>
    <s v="SHANGHAI"/>
    <x v="1"/>
    <x v="6"/>
    <d v="2026-11-02T00:00:00"/>
    <d v="2026-11-02T06:00:00"/>
    <s v=""/>
    <d v="2026-12-13T00:00:00"/>
    <d v="2026-12-13T15:00:00"/>
    <s v=""/>
    <m/>
    <s v="EVER AIM 1425-019W"/>
    <s v="COSCO"/>
    <s v="TPVB20261144002XT"/>
    <x v="800"/>
    <s v="COSU6472442130"/>
    <n v="41.375"/>
    <m/>
    <d v="2026-12-13T15:00:00"/>
    <s v="-"/>
    <d v="1899-12-30T00:00:00"/>
    <n v="7"/>
    <d v="2026-12-20T15:00:00"/>
    <n v="2026"/>
    <n v="12"/>
    <n v="51"/>
    <n v="36"/>
    <n v="936"/>
    <s v="Black glazing"/>
    <s v="AEU"/>
  </r>
  <r>
    <s v="26Oct007.09"/>
    <s v="Quzhou"/>
    <s v="26Oct007"/>
    <s v="CORE DG"/>
    <x v="0"/>
    <s v="Arrival Plan-SPNL"/>
    <s v="CIF"/>
    <x v="0"/>
    <s v="U2"/>
    <x v="2"/>
    <m/>
    <m/>
    <s v="n/a"/>
    <m/>
    <x v="3"/>
    <x v="108"/>
    <s v="SPR-BE54-DD490"/>
    <s v="EVO2A"/>
    <s v="±1200mm"/>
    <n v="490"/>
    <n v="7488"/>
    <n v="3.6691199999999999"/>
    <n v="208"/>
    <n v="8"/>
    <x v="25"/>
    <s v=""/>
    <d v="2026-10-20T00:00:00"/>
    <d v="2026-10-27T00:00:00"/>
    <n v="44"/>
    <m/>
    <m/>
    <s v="SHANGHAI"/>
    <x v="1"/>
    <x v="1"/>
    <d v="2026-11-01T00:00:00"/>
    <d v="2026-10-31T14:00:00"/>
    <s v=""/>
    <d v="2026-12-19T00:00:00"/>
    <d v="2026-12-19T19:00:00"/>
    <s v=""/>
    <m/>
    <s v="COSCO SHIPPING PLANET 049W"/>
    <s v="COSCO"/>
    <s v="TPVB20261144003XT"/>
    <x v="801"/>
    <s v="COSU6472653120"/>
    <n v="49.208333333328483"/>
    <m/>
    <d v="2026-12-19T19:00:00"/>
    <s v="-"/>
    <d v="1899-12-30T00:00:00"/>
    <n v="7"/>
    <d v="2026-12-26T19:00:00"/>
    <n v="2026"/>
    <n v="12"/>
    <n v="52"/>
    <n v="36"/>
    <n v="936"/>
    <s v="Black glazing"/>
    <s v="AEU"/>
  </r>
  <r>
    <s v="26Oct009.21"/>
    <s v="Quzhou"/>
    <s v="26Oct009"/>
    <s v="CORE DG"/>
    <x v="0"/>
    <s v="Arrival Plan-SPNL"/>
    <s v="CIF"/>
    <x v="0"/>
    <s v="U2"/>
    <x v="2"/>
    <m/>
    <m/>
    <s v="n/a"/>
    <m/>
    <x v="3"/>
    <x v="91"/>
    <s v="HSM-BE54-DD485"/>
    <s v="EVO2A"/>
    <s v="±1200mm"/>
    <n v="485"/>
    <n v="1872"/>
    <n v="0.90791999999999995"/>
    <n v="52"/>
    <n v="2"/>
    <x v="25"/>
    <s v=""/>
    <d v="2026-10-22T00:00:00"/>
    <d v="2026-10-28T00:00:00"/>
    <n v="44"/>
    <m/>
    <m/>
    <s v="SHANGHAI"/>
    <x v="1"/>
    <x v="1"/>
    <d v="2026-11-02T00:00:00"/>
    <d v="2026-11-02T06:00:00"/>
    <s v=""/>
    <d v="2026-12-09T00:00:00"/>
    <d v="2026-12-09T21:00:00"/>
    <s v=""/>
    <m/>
    <s v="EVER AIM 1425-019W"/>
    <s v="COSCO"/>
    <s v="TPVB20261144004XT"/>
    <x v="802"/>
    <s v="COSU6472442640"/>
    <n v="37.625"/>
    <m/>
    <d v="2026-12-09T21:00:00"/>
    <s v="-"/>
    <d v="1899-12-30T00:00:00"/>
    <n v="7"/>
    <d v="2026-12-16T21:00:00"/>
    <n v="2026"/>
    <n v="12"/>
    <n v="51"/>
    <n v="36"/>
    <n v="936"/>
    <s v="Black glazing"/>
    <s v="AEU"/>
  </r>
  <r>
    <s v="26Aug017.02"/>
    <s v="Yixing"/>
    <s v="26Aug017"/>
    <s v="CORE DG"/>
    <x v="0"/>
    <s v="Arrival Plan-SPNL"/>
    <s v="CIF"/>
    <x v="4"/>
    <s v="U4"/>
    <x v="2"/>
    <m/>
    <m/>
    <m/>
    <d v="2026-10-10T00:00:00"/>
    <x v="2"/>
    <x v="5"/>
    <s v="SPR-P7-555-COM-S"/>
    <s v="EVO2A"/>
    <s v="±1400mm"/>
    <n v="555"/>
    <n v="1320"/>
    <n v="0.73260000000000003"/>
    <n v="40"/>
    <n v="2"/>
    <x v="24"/>
    <m/>
    <d v="2026-10-22T00:00:00"/>
    <d v="2026-10-27T00:00:00"/>
    <m/>
    <m/>
    <m/>
    <s v="SHANGHAI"/>
    <x v="1"/>
    <x v="1"/>
    <d v="2026-11-03T00:00:00"/>
    <d v="2026-11-03T05:00:00"/>
    <s v=""/>
    <d v="2026-12-08T00:00:00"/>
    <d v="2026-12-08T08:00:00"/>
    <s v=""/>
    <m/>
    <s v="COSCO FRANCE 076W"/>
    <s v="COSCO"/>
    <s v="TPVB20261144001JP"/>
    <x v="803"/>
    <s v="COSU6472581740"/>
    <m/>
    <m/>
    <d v="2026-12-08T08:00:00"/>
    <s v="-"/>
    <d v="1899-12-30T00:00:00"/>
    <n v="7"/>
    <d v="2026-12-15T08:00:00"/>
    <n v="2026"/>
    <n v="12"/>
    <n v="51"/>
    <n v="33"/>
    <n v="660"/>
    <s v="White glazing"/>
    <s v="AEU"/>
  </r>
  <r>
    <s v="26Aug018.06"/>
    <s v="Yixing"/>
    <s v="26Aug018"/>
    <s v="CORE DG"/>
    <x v="0"/>
    <s v="Arrival Plan-SPNL"/>
    <s v="CIF"/>
    <x v="4"/>
    <s v="U1"/>
    <x v="2"/>
    <m/>
    <m/>
    <m/>
    <d v="2026-10-10T00:00:00"/>
    <x v="2"/>
    <x v="68"/>
    <s v="SPR-P7-560-COM-S"/>
    <s v="EVO2A"/>
    <s v="±1400mm"/>
    <n v="560"/>
    <n v="1320"/>
    <n v="0.73919999999999997"/>
    <n v="40"/>
    <n v="2"/>
    <x v="27"/>
    <m/>
    <d v="2026-10-19T00:00:00"/>
    <d v="2026-10-26T00:00:00"/>
    <m/>
    <m/>
    <m/>
    <s v="SHANGHAI"/>
    <x v="1"/>
    <x v="1"/>
    <d v="2026-11-03T00:00:00"/>
    <d v="2026-11-03T05:00:00"/>
    <s v=""/>
    <d v="2026-12-08T00:00:00"/>
    <d v="2026-12-08T08:00:00"/>
    <s v=""/>
    <m/>
    <s v="COSCO FRANCE 076W"/>
    <s v="COSCO"/>
    <s v="TPVB20261144001JP"/>
    <x v="803"/>
    <s v="COSU6472581740"/>
    <m/>
    <m/>
    <d v="2026-12-08T08:00:00"/>
    <s v="-"/>
    <d v="1899-12-30T00:00:00"/>
    <n v="7"/>
    <d v="2026-12-15T08:00:00"/>
    <n v="2026"/>
    <n v="12"/>
    <n v="51"/>
    <n v="33"/>
    <n v="660"/>
    <s v="White glazing"/>
    <s v="AEU"/>
  </r>
  <r>
    <s v="26Aug016.13"/>
    <s v="Yixing"/>
    <s v="26Aug016"/>
    <s v="CORE DG"/>
    <x v="0"/>
    <s v="Arrival Plan-SPIT"/>
    <s v="CIF"/>
    <x v="4"/>
    <s v="U1"/>
    <x v="2"/>
    <m/>
    <m/>
    <s v="n/a"/>
    <d v="2026-09-17T00:00:00"/>
    <x v="6"/>
    <x v="69"/>
    <s v="SPR-P7-515-BLK-P"/>
    <s v="EVO2A"/>
    <s v="±1350mm"/>
    <n v="515"/>
    <n v="3960"/>
    <n v="2.0394000000000001"/>
    <n v="110"/>
    <n v="5"/>
    <x v="26"/>
    <s v=""/>
    <s v="ready"/>
    <d v="2026-10-28T00:00:00"/>
    <n v="44"/>
    <m/>
    <m/>
    <s v="SHANGHAI"/>
    <x v="1"/>
    <x v="4"/>
    <d v="2026-11-06T00:00:00"/>
    <d v="2026-11-06T09:30:00"/>
    <s v=""/>
    <d v="2026-12-23T00:00:00"/>
    <d v="2026-12-23T06:00:00"/>
    <s v=""/>
    <m/>
    <s v="COSCO SHIPPING PISCES 034W"/>
    <s v="COSCO"/>
    <s v="TPVB20261144002JP"/>
    <x v="804"/>
    <s v="COSU6472366380"/>
    <m/>
    <m/>
    <d v="2026-12-23T06:00:00"/>
    <s v="-"/>
    <d v="1899-12-30T00:00:00"/>
    <n v="10"/>
    <d v="2027-01-02T06:00:00"/>
    <s v="n/a"/>
    <s v="n/a"/>
    <n v="53"/>
    <n v="36"/>
    <n v="792"/>
    <s v="Black glazing"/>
    <s v="AEM"/>
  </r>
  <r>
    <s v="26Aug018.07"/>
    <s v="Yixing"/>
    <s v="26Aug018"/>
    <s v="CORE DG"/>
    <x v="0"/>
    <s v="Arrival Plan-SPIT"/>
    <s v="CIF"/>
    <x v="4"/>
    <s v="U1"/>
    <x v="2"/>
    <m/>
    <m/>
    <m/>
    <d v="2026-10-10T00:00:00"/>
    <x v="2"/>
    <x v="68"/>
    <s v="SPR-P7-560-COM-S"/>
    <s v="EVO2A"/>
    <s v="±1400mm"/>
    <n v="560"/>
    <n v="660"/>
    <n v="0.36959999999999998"/>
    <n v="20"/>
    <n v="1"/>
    <x v="28"/>
    <m/>
    <d v="2026-10-21T00:00:00"/>
    <d v="2026-10-28T00:00:00"/>
    <m/>
    <m/>
    <m/>
    <s v="SHANGHAI"/>
    <x v="1"/>
    <x v="4"/>
    <d v="2026-11-06T00:00:00"/>
    <d v="2026-11-06T09:30:00"/>
    <s v=""/>
    <d v="2026-12-23T00:00:00"/>
    <d v="2026-12-23T06:00:00"/>
    <s v=""/>
    <m/>
    <s v="COSCO SHIPPING PISCES 034W"/>
    <s v="COSCO"/>
    <s v="TPVB20261144002JP"/>
    <x v="804"/>
    <s v="COSU6472366380"/>
    <m/>
    <m/>
    <d v="2026-12-23T06:00:00"/>
    <s v="-"/>
    <d v="1899-12-30T00:00:00"/>
    <n v="10"/>
    <d v="2027-01-02T06:00:00"/>
    <n v="2027"/>
    <n v="1"/>
    <n v="53"/>
    <n v="33"/>
    <n v="660"/>
    <s v="White glazing"/>
    <s v="AEM"/>
  </r>
  <r>
    <s v="26Oct009.10"/>
    <s v="Quzhou"/>
    <s v="26Oct009"/>
    <s v="CORE DG"/>
    <x v="0"/>
    <s v="Arrival Plan-SPIT"/>
    <s v="CIF"/>
    <x v="4"/>
    <s v="U1"/>
    <x v="2"/>
    <m/>
    <m/>
    <s v="n/a"/>
    <m/>
    <x v="3"/>
    <x v="91"/>
    <s v="HSM-BE54-DD485"/>
    <s v="EVO2A"/>
    <s v="±1200mm"/>
    <n v="485"/>
    <n v="3744"/>
    <n v="1.8158399999999999"/>
    <n v="104"/>
    <n v="4"/>
    <x v="24"/>
    <s v=""/>
    <s v="IT进口商标签，10/22"/>
    <d v="2026-10-29T00:00:00"/>
    <n v="44"/>
    <m/>
    <m/>
    <s v="SHANGHAI"/>
    <x v="1"/>
    <x v="14"/>
    <d v="2026-11-06T00:00:00"/>
    <d v="2026-11-06T09:30:00"/>
    <s v=""/>
    <d v="2026-12-25T00:00:00"/>
    <m/>
    <s v=""/>
    <m/>
    <s v="COSCO SHIPPING PISCES _x000a_034W"/>
    <s v="COSCO"/>
    <s v="TPVB20261144001XT"/>
    <x v="805"/>
    <s v="COSU6472364000"/>
    <n v="48.604166666664241"/>
    <m/>
    <d v="2026-12-25T00:00:00"/>
    <s v="-"/>
    <d v="1899-12-30T00:00:00"/>
    <n v="10"/>
    <d v="2027-01-04T00:00:00"/>
    <n v="2027"/>
    <n v="1"/>
    <n v="1"/>
    <n v="36"/>
    <n v="936"/>
    <s v="Black glazing"/>
    <s v="AEM"/>
  </r>
  <r>
    <s v="26Oct007.02"/>
    <s v="Quzhou"/>
    <s v="26Oct007"/>
    <s v="CORE DG"/>
    <x v="0"/>
    <s v="Arrival Plan-SPES"/>
    <s v="CIF"/>
    <x v="1"/>
    <s v="U2"/>
    <x v="2"/>
    <m/>
    <m/>
    <s v="n/a"/>
    <m/>
    <x v="3"/>
    <x v="108"/>
    <s v="SPR-BE54-DD490"/>
    <s v="EVO2A"/>
    <s v="±1200mm"/>
    <n v="490"/>
    <n v="936"/>
    <n v="0.45863999999999999"/>
    <n v="26"/>
    <n v="1"/>
    <x v="26"/>
    <s v=""/>
    <s v="多余产出，10/21"/>
    <d v="2026-10-30T00:00:00"/>
    <n v="44"/>
    <m/>
    <m/>
    <s v="NINGBO"/>
    <x v="3"/>
    <x v="2"/>
    <d v="2026-11-02T00:00:00"/>
    <d v="2026-11-02T13:00:00"/>
    <s v=""/>
    <d v="2026-12-10T00:00:00"/>
    <d v="2026-12-10T20:00:00"/>
    <s v=""/>
    <m/>
    <s v="CMA CGM GEORG FORSTER MEX080W"/>
    <s v="COSCO"/>
    <s v="TPVB20261144006XT"/>
    <x v="806"/>
    <s v="COSU6472819950"/>
    <n v="38.291666666671517"/>
    <m/>
    <d v="2026-12-10T20:00:00"/>
    <s v="-"/>
    <d v="1899-12-30T00:00:00"/>
    <n v="9"/>
    <d v="2026-12-19T20:00:00"/>
    <n v="2026"/>
    <n v="12"/>
    <n v="51"/>
    <n v="36"/>
    <n v="936"/>
    <s v="Black glazing"/>
    <s v="AEM"/>
  </r>
  <r>
    <s v="26Oct009.12"/>
    <s v="Quzhou"/>
    <s v="26Oct009"/>
    <s v="CORE DG"/>
    <x v="0"/>
    <s v="Arrival Plan-SPNL"/>
    <s v="CIF"/>
    <x v="0"/>
    <s v="U1"/>
    <x v="2"/>
    <m/>
    <m/>
    <s v="n/a"/>
    <m/>
    <x v="3"/>
    <x v="91"/>
    <s v="HSM-BE54-DD485"/>
    <s v="EVO2A"/>
    <s v="±1200mm"/>
    <n v="485"/>
    <n v="1872"/>
    <n v="0.90791999999999995"/>
    <n v="52"/>
    <n v="2"/>
    <x v="24"/>
    <s v=""/>
    <d v="2026-10-27T00:00:00"/>
    <d v="2026-10-30T00:00:00"/>
    <n v="44"/>
    <m/>
    <m/>
    <s v="NINGBO"/>
    <x v="3"/>
    <x v="1"/>
    <d v="2026-11-07T00:00:00"/>
    <d v="2026-11-07T01:30:00"/>
    <s v=""/>
    <d v="2026-12-08T00:00:00"/>
    <d v="2026-12-08T08:00:00"/>
    <s v=""/>
    <m/>
    <s v="COSCO FRANCE 076W"/>
    <s v="COSCO"/>
    <s v="TPVB20261144005XT"/>
    <x v="807"/>
    <s v="COSU6472656830"/>
    <n v="31.270833333335759"/>
    <m/>
    <d v="2026-12-08T08:00:00"/>
    <s v="-"/>
    <d v="1899-12-30T00:00:00"/>
    <n v="7"/>
    <d v="2026-12-15T08:00:00"/>
    <n v="2026"/>
    <n v="12"/>
    <n v="51"/>
    <n v="36"/>
    <n v="936"/>
    <s v="Black glazing"/>
    <s v="AEU"/>
  </r>
  <r>
    <s v="26Oct007.12"/>
    <s v="Quzhou"/>
    <s v="26Oct007"/>
    <s v="CORE DG"/>
    <x v="0"/>
    <s v="Arrival Plan-SPIT"/>
    <s v="CIF"/>
    <x v="4"/>
    <s v="U1"/>
    <x v="2"/>
    <m/>
    <m/>
    <s v="n/a"/>
    <m/>
    <x v="3"/>
    <x v="108"/>
    <s v="SPR-BE54-DD490"/>
    <s v="EVO2A"/>
    <s v="±1200mm"/>
    <n v="490"/>
    <n v="1872"/>
    <n v="0.91727999999999998"/>
    <n v="52"/>
    <n v="2"/>
    <x v="26"/>
    <s v=""/>
    <s v="多余产出，10/24"/>
    <d v="2026-10-30T00:00:00"/>
    <n v="44"/>
    <m/>
    <m/>
    <s v="NINGBO"/>
    <x v="3"/>
    <x v="4"/>
    <d v="2026-11-07T00:00:00"/>
    <d v="2026-11-07T21:30:00"/>
    <s v=""/>
    <d v="2026-12-23T00:00:00"/>
    <d v="2026-12-23T06:00:00"/>
    <s v=""/>
    <m/>
    <s v="COSCO SHIPPING PISCES 034W"/>
    <s v="COSCO"/>
    <s v="TPVB20261144007XT"/>
    <x v="808"/>
    <s v="COSU9510883610"/>
    <m/>
    <m/>
    <d v="2026-12-23T06:00:00"/>
    <s v="-"/>
    <d v="1899-12-30T00:00:00"/>
    <n v="10"/>
    <d v="2027-01-02T06:00:00"/>
    <n v="2027"/>
    <n v="1"/>
    <n v="53"/>
    <n v="36"/>
    <n v="936"/>
    <s v="Black glazing"/>
    <s v="AEM"/>
  </r>
  <r>
    <s v="26Aug024.02"/>
    <s v="Tianjin"/>
    <s v="26Aug024"/>
    <s v="CORE DG"/>
    <x v="0"/>
    <s v="Arrival Plan-SPUK"/>
    <s v="CIF"/>
    <x v="6"/>
    <s v="U2"/>
    <x v="189"/>
    <m/>
    <m/>
    <s v="n/a"/>
    <d v="2026-09-14T00:00:00"/>
    <x v="0"/>
    <x v="107"/>
    <s v="EVO-P-HSM-ND54-DR505"/>
    <s v="EVO2A"/>
    <s v="±1200mm"/>
    <n v="505"/>
    <n v="5184"/>
    <n v="2.6179199999999998"/>
    <n v="144"/>
    <n v="6"/>
    <x v="21"/>
    <s v=""/>
    <s v="Jan"/>
    <m/>
    <s v=""/>
    <m/>
    <m/>
    <s v="TIANJIN"/>
    <x v="0"/>
    <x v="6"/>
    <d v="2026-11-06T00:00:00"/>
    <d v="2026-11-11T00:00:00"/>
    <m/>
    <d v="2026-01-03T00:00:00"/>
    <s v=""/>
    <s v=""/>
    <s v="CIF"/>
    <s v="CMA CGM EIFFEL / KC20A0S19/KC20A0S"/>
    <s v="OTHER"/>
    <s v="TPVB20261044001HL"/>
    <x v="809"/>
    <s v="TJN1046105"/>
    <m/>
    <m/>
    <d v="2026-01-03T00:00:00"/>
    <s v="-"/>
    <d v="1899-12-30T00:00:00"/>
    <n v="7"/>
    <d v="2026-01-10T00:00:00"/>
    <s v="n/a"/>
    <s v="n/a"/>
    <n v="2"/>
    <n v="36"/>
    <n v="864"/>
    <s v="Black glazing"/>
    <s v="AEU"/>
  </r>
  <r>
    <s v="26Oct005.05"/>
    <s v="Tianjin"/>
    <s v="26Oct005"/>
    <s v="CORE DG"/>
    <x v="1"/>
    <s v="SPTN Offstore in Transit WH"/>
    <s v="CIF"/>
    <x v="27"/>
    <s v="U4"/>
    <x v="186"/>
    <s v="PL0126090800022"/>
    <n v="2"/>
    <s v="Yes - GTG"/>
    <d v="2026-10-22T00:00:00"/>
    <x v="0"/>
    <x v="0"/>
    <s v="HSM-ND54-DR500"/>
    <s v="EVO2A"/>
    <s v="±1200mm"/>
    <n v="500"/>
    <n v="1728"/>
    <n v="0.86399999999999999"/>
    <n v="48"/>
    <n v="2"/>
    <x v="26"/>
    <s v=""/>
    <d v="2026-10-27T00:00:00"/>
    <m/>
    <s v=""/>
    <m/>
    <m/>
    <s v="TIANJIN"/>
    <x v="0"/>
    <x v="9"/>
    <m/>
    <m/>
    <m/>
    <m/>
    <m/>
    <m/>
    <s v="CIF"/>
    <m/>
    <s v="OTHER"/>
    <s v="TPVB20261044003HL"/>
    <x v="296"/>
    <m/>
    <m/>
    <m/>
    <d v="2027-01-15T00:00:00"/>
    <s v="-"/>
    <d v="1899-12-30T00:00:00"/>
    <n v="0"/>
    <d v="2027-01-15T00:00:00"/>
    <n v="2027"/>
    <n v="1"/>
    <n v="2"/>
    <n v="36"/>
    <n v="864"/>
    <s v="Black glazing"/>
    <s v="AEU"/>
  </r>
  <r>
    <s v="26Oct005.06"/>
    <s v="Tianjin"/>
    <s v="26Oct005"/>
    <s v="CORE DG"/>
    <x v="1"/>
    <s v="SPTN Offstore in Transit WH"/>
    <s v="CIF"/>
    <x v="12"/>
    <s v="U4"/>
    <x v="186"/>
    <s v="PL0126102000010"/>
    <n v="1"/>
    <s v="Yes - GTG"/>
    <d v="2026-10-22T00:00:00"/>
    <x v="0"/>
    <x v="0"/>
    <s v="HSM-ND54-DR500"/>
    <s v="EVO2A"/>
    <s v="±1200mm"/>
    <n v="500"/>
    <n v="864"/>
    <n v="0.432"/>
    <n v="24"/>
    <n v="1"/>
    <x v="26"/>
    <s v=""/>
    <d v="2026-10-23T00:00:00"/>
    <m/>
    <s v=""/>
    <m/>
    <m/>
    <s v="TIANJIN"/>
    <x v="0"/>
    <x v="9"/>
    <m/>
    <m/>
    <m/>
    <m/>
    <m/>
    <m/>
    <s v="CIF"/>
    <m/>
    <s v="OTHER"/>
    <s v="TPVB20261044002HL"/>
    <x v="296"/>
    <m/>
    <m/>
    <m/>
    <d v="2027-01-15T00:00:00"/>
    <s v="-"/>
    <d v="1899-12-30T00:00:00"/>
    <n v="0"/>
    <d v="2027-01-15T00:00:00"/>
    <n v="2027"/>
    <n v="1"/>
    <n v="2"/>
    <n v="36"/>
    <n v="864"/>
    <s v="Black glazing"/>
    <s v="AEU"/>
  </r>
  <r>
    <s v="26Oct009.22"/>
    <s v="Quzhou"/>
    <s v="26Oct009"/>
    <s v="CORE DG"/>
    <x v="0"/>
    <s v="Arrival Plan-SPUK"/>
    <s v="CIF"/>
    <x v="6"/>
    <s v="U2"/>
    <x v="2"/>
    <m/>
    <m/>
    <s v="n/a"/>
    <m/>
    <x v="3"/>
    <x v="91"/>
    <s v="HSM-BE54-DD485"/>
    <s v="EVO2A"/>
    <s v="±1200mm"/>
    <n v="485"/>
    <n v="4680"/>
    <n v="2.2698"/>
    <n v="130"/>
    <n v="5"/>
    <x v="26"/>
    <s v=""/>
    <d v="2026-10-27T00:00:00"/>
    <d v="2026-10-31T00:00:00"/>
    <n v="44"/>
    <m/>
    <m/>
    <s v="SHANGHAI"/>
    <x v="1"/>
    <x v="6"/>
    <d v="2026-10-10T00:00:00"/>
    <d v="2026-11-09T02:00:00"/>
    <s v=""/>
    <d v="2026-12-20T00:00:00"/>
    <d v="2026-12-20T01:00:00"/>
    <s v=""/>
    <m/>
    <s v="OOCL DENMARK 010W"/>
    <s v="COSCO"/>
    <s v="TPVB20261145001JP"/>
    <x v="810"/>
    <s v="COSU6472933500"/>
    <n v="40.958333333328483"/>
    <m/>
    <d v="2026-12-20T01:00:00"/>
    <s v="-"/>
    <d v="1899-12-30T00:00:00"/>
    <n v="7"/>
    <d v="2026-12-27T01:00:00"/>
    <n v="2026"/>
    <n v="12"/>
    <n v="52"/>
    <n v="36"/>
    <n v="936"/>
    <s v="Black glazing"/>
    <s v="AEU"/>
  </r>
  <r>
    <s v="26Aug009.09"/>
    <s v="Yixing"/>
    <s v="26Aug009"/>
    <s v="UPP"/>
    <x v="0"/>
    <s v="Arrival Plan-SPNL"/>
    <s v="CIF"/>
    <x v="0"/>
    <s v="U1"/>
    <x v="2"/>
    <m/>
    <m/>
    <s v="n/a"/>
    <m/>
    <x v="0"/>
    <x v="100"/>
    <s v="HSM-ND66-GR620"/>
    <s v="H4(Com)"/>
    <s v="+400mm/-200mm"/>
    <n v="620"/>
    <n v="3600"/>
    <n v="2.2320000000000002"/>
    <n v="100"/>
    <n v="5"/>
    <x v="27"/>
    <s v=""/>
    <s v="ready"/>
    <d v="2026-10-29T00:00:00"/>
    <n v="44"/>
    <m/>
    <m/>
    <s v="SHANGHAI"/>
    <x v="1"/>
    <x v="1"/>
    <d v="2026-11-09T00:00:00"/>
    <d v="2026-11-09T06:00:00"/>
    <s v=""/>
    <d v="2026-12-16T00:00:00"/>
    <d v="2026-12-16T21:00:00"/>
    <s v=""/>
    <m/>
    <s v="EVER ART 1426-016W"/>
    <s v="COSCO"/>
    <s v="TPVB20261145002JP"/>
    <x v="811"/>
    <s v="COSU6472924100"/>
    <m/>
    <m/>
    <d v="2026-12-16T21:00:00"/>
    <s v="-"/>
    <s v=""/>
    <n v="7"/>
    <d v="2026-12-23T21:00:00"/>
    <n v="2026"/>
    <n v="12"/>
    <n v="52"/>
    <n v="36"/>
    <n v="720"/>
    <s v="Redirection Film"/>
    <s v="AEU"/>
  </r>
  <r>
    <s v="26Oct012.2"/>
    <s v="Yixing"/>
    <s v="26Oct012"/>
    <s v="CORE DG"/>
    <x v="0"/>
    <s v="Arrival Plan-SPNL"/>
    <s v="CIF"/>
    <x v="0"/>
    <s v="U1"/>
    <x v="2"/>
    <m/>
    <m/>
    <s v="n/a"/>
    <d v="2026-10-26T00:00:00"/>
    <x v="11"/>
    <x v="104"/>
    <s v="HSM-NT48-HH480"/>
    <s v="EVO2A"/>
    <s v="±1200mm"/>
    <n v="480"/>
    <n v="7488"/>
    <n v="3.5942400000000001"/>
    <n v="208"/>
    <n v="8"/>
    <x v="26"/>
    <s v=""/>
    <d v="2026-10-28T00:00:00"/>
    <d v="2026-10-29T00:00:00"/>
    <n v="44"/>
    <m/>
    <m/>
    <s v="SHANGHAI"/>
    <x v="1"/>
    <x v="1"/>
    <d v="2026-11-08T00:00:00"/>
    <d v="2026-11-08T02:00:00"/>
    <s v=""/>
    <d v="2026-12-26T00:00:00"/>
    <d v="2026-12-26T19:00:00"/>
    <s v=""/>
    <m/>
    <s v="OOCL JAPAN 041W"/>
    <s v="COSCO"/>
    <s v="TPVB20261145003JP"/>
    <x v="812"/>
    <s v="COSU6472926790"/>
    <m/>
    <m/>
    <d v="2026-12-26T19:00:00"/>
    <s v="-"/>
    <d v="1899-12-30T00:00:00"/>
    <n v="7"/>
    <d v="2027-01-02T19:00:00"/>
    <n v="2027"/>
    <n v="1"/>
    <n v="53"/>
    <n v="36"/>
    <n v="936"/>
    <s v="Black glazing"/>
    <s v="AEU"/>
  </r>
  <r>
    <s v="26Oct004.05"/>
    <s v="Yixing"/>
    <s v="26Oct004"/>
    <s v="CORE DG"/>
    <x v="0"/>
    <s v="Arrival Plan-SPES"/>
    <s v="CIF"/>
    <x v="1"/>
    <s v="U1"/>
    <x v="2"/>
    <m/>
    <m/>
    <s v="n/a"/>
    <d v="2026-10-26T00:00:00"/>
    <x v="0"/>
    <x v="113"/>
    <s v="HSM-ND66-GK730"/>
    <s v="H4(Com)"/>
    <s v="±1400mm"/>
    <n v="730"/>
    <n v="2970"/>
    <n v="2.1680999999999999"/>
    <n v="90"/>
    <n v="5"/>
    <x v="27"/>
    <s v=""/>
    <s v="Feb，10/22"/>
    <d v="2026-10-30T00:00:00"/>
    <n v="44"/>
    <m/>
    <m/>
    <s v="SHANGHAI"/>
    <x v="1"/>
    <x v="2"/>
    <d v="2026-11-13T00:00:00"/>
    <m/>
    <m/>
    <d v="2026-01-07T00:00:00"/>
    <d v="2027-01-07T15:00:00"/>
    <s v=""/>
    <m/>
    <s v="COSCO SHIPPING SCORPIO 036W"/>
    <s v="COSCO"/>
    <s v="TPVB20261145004JP"/>
    <x v="813"/>
    <s v="COSU6473400420"/>
    <m/>
    <m/>
    <d v="2027-01-07T15:00:00"/>
    <s v="-"/>
    <d v="1899-12-30T00:00:00"/>
    <n v="9"/>
    <d v="2027-01-16T15:00:00"/>
    <n v="2027"/>
    <n v="1"/>
    <n v="2"/>
    <n v="33"/>
    <n v="594"/>
    <s v="Redirection Film"/>
    <s v="AEM"/>
  </r>
  <r>
    <s v="26Aug018.01"/>
    <s v="Yixing"/>
    <s v="26Aug018"/>
    <s v="CORE DG"/>
    <x v="0"/>
    <s v="Arrival Plan-SPIT"/>
    <s v="CIF"/>
    <x v="4"/>
    <s v="U1"/>
    <x v="2"/>
    <m/>
    <m/>
    <m/>
    <d v="2026-10-10T00:00:00"/>
    <x v="2"/>
    <x v="68"/>
    <s v="SPR-P7-560-COM-S"/>
    <s v="EVO2A"/>
    <s v="±1400mm"/>
    <n v="560"/>
    <n v="2640"/>
    <n v="1.4783999999999999"/>
    <n v="80"/>
    <n v="4"/>
    <x v="27"/>
    <m/>
    <d v="2026-10-17T00:00:00"/>
    <d v="2026-10-31T00:00:00"/>
    <m/>
    <m/>
    <m/>
    <s v="SHANGHAI"/>
    <x v="1"/>
    <x v="14"/>
    <d v="2026-11-13T00:00:00"/>
    <d v="2026-11-13T10:30:00"/>
    <s v=""/>
    <d v="2026-01-01T00:00:00"/>
    <d v="1899-12-30T00:00:00"/>
    <s v=""/>
    <m/>
    <s v="COSCO SHIPPING SCORPIO 036W"/>
    <s v="COSCO"/>
    <s v="TPVB20261145005JP"/>
    <x v="814"/>
    <s v="COSU6473398530"/>
    <m/>
    <m/>
    <d v="2026-01-01T00:00:00"/>
    <s v="-"/>
    <s v=""/>
    <n v="10"/>
    <d v="2026-01-11T00:00:00"/>
    <n v="2026"/>
    <n v="1"/>
    <n v="2"/>
    <n v="33"/>
    <n v="660"/>
    <s v="White glazing"/>
    <s v="AEM"/>
  </r>
  <r>
    <s v="26Aug021.03"/>
    <s v="Tianjin"/>
    <s v="26Aug021"/>
    <s v="CORE DG"/>
    <x v="0"/>
    <s v="Arrival Plan-SPNL"/>
    <s v="CIF"/>
    <x v="0"/>
    <s v="U1"/>
    <x v="2"/>
    <m/>
    <m/>
    <s v="n/a"/>
    <d v="2026-09-07T00:00:00"/>
    <x v="0"/>
    <x v="0"/>
    <s v="HSM-ND54-DR500"/>
    <s v="EVO2A"/>
    <s v="±1200mm"/>
    <n v="500"/>
    <n v="6912"/>
    <n v="3.456"/>
    <n v="192"/>
    <n v="8"/>
    <x v="25"/>
    <s v=""/>
    <s v="ready"/>
    <d v="2026-11-02T00:00:00"/>
    <n v="45"/>
    <m/>
    <m/>
    <s v="TIANJIN"/>
    <x v="0"/>
    <x v="1"/>
    <d v="2026-11-07T00:00:00"/>
    <d v="2026-11-07T21:00:00"/>
    <s v=""/>
    <d v="2026-12-22T00:00:00"/>
    <d v="2026-12-22T08:00:00"/>
    <s v=""/>
    <m/>
    <s v="COSCO SHIPPING VIRGO 037W"/>
    <s v="COSCO"/>
    <s v="TPVB20261045001HL"/>
    <x v="815"/>
    <s v="COSU9510952270"/>
    <m/>
    <m/>
    <d v="2026-12-22T08:00:00"/>
    <s v="-"/>
    <d v="1899-12-30T00:00:00"/>
    <n v="7"/>
    <d v="2026-12-29T08:00:00"/>
    <s v="n/a"/>
    <s v="n/a"/>
    <n v="53"/>
    <n v="36"/>
    <n v="864"/>
    <s v="Black glazing"/>
    <s v="AEU"/>
  </r>
  <r>
    <s v="26Oct012.1"/>
    <s v="Yixing"/>
    <s v="26Oct012"/>
    <s v="CORE DG"/>
    <x v="0"/>
    <s v="Arrival Plan-SPUK"/>
    <s v="CIF"/>
    <x v="6"/>
    <s v="U1"/>
    <x v="2"/>
    <m/>
    <m/>
    <s v="n/a"/>
    <d v="2026-10-26T00:00:00"/>
    <x v="11"/>
    <x v="104"/>
    <s v="HSM-NT48-HH480"/>
    <s v="EVO2A"/>
    <s v="±1200mm"/>
    <n v="480"/>
    <n v="1872"/>
    <n v="0.89856000000000003"/>
    <n v="52"/>
    <n v="2"/>
    <x v="26"/>
    <s v=""/>
    <d v="2026-10-30T00:00:00"/>
    <m/>
    <s v=""/>
    <m/>
    <m/>
    <s v="NINGBO"/>
    <x v="3"/>
    <x v="6"/>
    <d v="2026-11-11T00:00:00"/>
    <d v="2026-11-11T18:00:00"/>
    <s v=""/>
    <d v="2026-12-20T00:00:00"/>
    <d v="2026-12-20T01:00:00"/>
    <s v=""/>
    <m/>
    <s v="OOCL DENMARK 010W"/>
    <s v="COSCO"/>
    <s v="TPVB20261145002XT"/>
    <x v="816"/>
    <s v="COSU9510905140"/>
    <m/>
    <m/>
    <d v="2026-12-20T01:00:00"/>
    <s v="-"/>
    <d v="1899-12-30T00:00:00"/>
    <n v="7"/>
    <d v="2026-12-27T01:00:00"/>
    <n v="2026"/>
    <n v="12"/>
    <n v="52"/>
    <n v="36"/>
    <n v="936"/>
    <s v="Black glazing"/>
    <s v="AEU"/>
  </r>
  <r>
    <s v="26Oct009.11"/>
    <s v="Quzhou"/>
    <s v="26Oct009"/>
    <s v="CORE DG"/>
    <x v="0"/>
    <s v="Arrival Plan-SPNL"/>
    <s v="CIF"/>
    <x v="0"/>
    <s v="U1"/>
    <x v="2"/>
    <m/>
    <m/>
    <s v="n/a"/>
    <m/>
    <x v="3"/>
    <x v="91"/>
    <s v="HSM-BE54-DD485"/>
    <s v="EVO2A"/>
    <s v="±1200mm"/>
    <n v="485"/>
    <n v="2808"/>
    <n v="1.36188"/>
    <n v="78"/>
    <n v="3"/>
    <x v="26"/>
    <s v=""/>
    <d v="2026-10-21T00:00:00"/>
    <m/>
    <s v=""/>
    <m/>
    <m/>
    <s v="NINGBO"/>
    <x v="3"/>
    <x v="1"/>
    <d v="2026-11-11T00:00:00"/>
    <d v="2026-11-11T08:00:00"/>
    <s v=""/>
    <d v="2026-12-16T00:00:00"/>
    <d v="2026-12-16T21:00:00"/>
    <s v=""/>
    <m/>
    <s v="EVER ART 1426W"/>
    <s v="COSCO"/>
    <s v="TPVB20261145003XT"/>
    <x v="817"/>
    <s v="COSU9510905200"/>
    <n v="35.541666666664241"/>
    <m/>
    <d v="2026-12-16T21:00:00"/>
    <s v="-"/>
    <d v="1899-12-30T00:00:00"/>
    <n v="7"/>
    <d v="2026-12-23T21:00:00"/>
    <n v="2026"/>
    <n v="12"/>
    <n v="52"/>
    <n v="36"/>
    <n v="936"/>
    <s v="Black glazing"/>
    <s v="AEU"/>
  </r>
  <r>
    <s v="26Oct007.08"/>
    <s v="Quzhou"/>
    <s v="26Oct007"/>
    <s v="CORE DG"/>
    <x v="0"/>
    <s v="Arrival Plan-SPIT"/>
    <s v="CIF"/>
    <x v="4"/>
    <s v="U1"/>
    <x v="2"/>
    <m/>
    <m/>
    <s v="n/a"/>
    <m/>
    <x v="3"/>
    <x v="108"/>
    <s v="SPR-BE54-DD490"/>
    <s v="EVO2A"/>
    <s v="±1200mm"/>
    <n v="490"/>
    <n v="1872"/>
    <n v="0.91727999999999998"/>
    <n v="52"/>
    <n v="2"/>
    <x v="26"/>
    <s v=""/>
    <s v="多余产出，10/24"/>
    <m/>
    <s v=""/>
    <m/>
    <m/>
    <s v="NINGBO"/>
    <x v="3"/>
    <x v="4"/>
    <d v="2026-11-14T00:00:00"/>
    <d v="2026-11-14T18:30:00"/>
    <s v=""/>
    <d v="2026-12-30T00:00:00"/>
    <d v="2026-12-30T06:00:00"/>
    <s v=""/>
    <m/>
    <s v="COSCO SHIPPING SCORPIO 036W"/>
    <s v="COSCO"/>
    <s v="TPVB20261145001XT"/>
    <x v="818"/>
    <s v="COSU9510905360"/>
    <m/>
    <m/>
    <d v="2026-12-30T06:00:00"/>
    <s v="-"/>
    <d v="1899-12-30T00:00:00"/>
    <n v="10"/>
    <d v="2027-01-09T06:00:00"/>
    <n v="2027"/>
    <n v="1"/>
    <n v="1"/>
    <n v="36"/>
    <n v="936"/>
    <s v="Black glazing"/>
    <s v="AEM"/>
  </r>
  <r>
    <s v="26Oct004.03"/>
    <s v="Yixing"/>
    <s v="26Oct004"/>
    <s v="CORE DG"/>
    <x v="0"/>
    <s v="Arrival Plan-SPES"/>
    <s v="CIF"/>
    <x v="1"/>
    <s v="U4"/>
    <x v="2"/>
    <m/>
    <m/>
    <s v="n/a"/>
    <d v="2026-10-26T00:00:00"/>
    <x v="0"/>
    <x v="113"/>
    <s v="HSM-ND66-GK730"/>
    <s v="H4(Com)"/>
    <s v="±1400mm"/>
    <n v="730"/>
    <n v="1188"/>
    <n v="0.86724000000000001"/>
    <n v="36"/>
    <n v="2"/>
    <x v="26"/>
    <s v=""/>
    <s v="Jan，10/23"/>
    <m/>
    <s v=""/>
    <m/>
    <m/>
    <s v="SHANGHAI"/>
    <x v="1"/>
    <x v="2"/>
    <m/>
    <m/>
    <m/>
    <m/>
    <m/>
    <m/>
    <m/>
    <m/>
    <s v="OTHER"/>
    <m/>
    <x v="296"/>
    <m/>
    <m/>
    <m/>
    <d v="2026-12-25T00:00:00"/>
    <s v="-"/>
    <d v="1899-12-30T00:00:00"/>
    <n v="9"/>
    <d v="2027-01-03T00:00:00"/>
    <n v="2027"/>
    <n v="1"/>
    <n v="53"/>
    <n v="33"/>
    <n v="594"/>
    <s v="Redirection Film"/>
    <s v="AEM"/>
  </r>
  <r>
    <s v="26Oct004.04"/>
    <s v="Yixing"/>
    <s v="26Oct004"/>
    <s v="CORE DG"/>
    <x v="0"/>
    <s v="Arrival Plan-SPES"/>
    <s v="CIF"/>
    <x v="1"/>
    <s v="U1"/>
    <x v="2"/>
    <m/>
    <m/>
    <s v="n/a"/>
    <d v="2026-10-26T00:00:00"/>
    <x v="0"/>
    <x v="113"/>
    <s v="HSM-ND66-GK730"/>
    <s v="H4(Com)"/>
    <s v="±1400mm"/>
    <n v="730"/>
    <n v="1782"/>
    <n v="1.3008599999999999"/>
    <n v="54"/>
    <n v="3"/>
    <x v="27"/>
    <s v=""/>
    <s v="Jan，10/23"/>
    <m/>
    <s v=""/>
    <m/>
    <m/>
    <s v="SHANGHAI"/>
    <x v="1"/>
    <x v="2"/>
    <m/>
    <m/>
    <m/>
    <m/>
    <m/>
    <m/>
    <m/>
    <m/>
    <m/>
    <m/>
    <x v="296"/>
    <m/>
    <m/>
    <m/>
    <d v="2027-01-01T00:00:00"/>
    <s v="-"/>
    <d v="1899-12-30T00:00:00"/>
    <n v="9"/>
    <d v="2027-01-10T00:00:00"/>
    <n v="2027"/>
    <n v="1"/>
    <n v="1"/>
    <n v="33"/>
    <n v="594"/>
    <s v="Redirection Film"/>
    <s v="AEM"/>
  </r>
  <r>
    <s v="26Oct009.31"/>
    <s v="Quzhou"/>
    <s v="26Oct009"/>
    <s v="CORE DG"/>
    <x v="0"/>
    <s v="Arrival Plan-SPNL"/>
    <s v="CIF"/>
    <x v="0"/>
    <s v="U2"/>
    <x v="2"/>
    <m/>
    <m/>
    <s v="n/a"/>
    <m/>
    <x v="3"/>
    <x v="91"/>
    <s v="HSM-BE54-DD485"/>
    <s v="EVO2A"/>
    <s v="±1200mm"/>
    <n v="485"/>
    <n v="4680"/>
    <n v="2.2698"/>
    <n v="130"/>
    <n v="5"/>
    <x v="25"/>
    <s v=""/>
    <d v="2026-10-24T00:00:00"/>
    <m/>
    <s v=""/>
    <m/>
    <m/>
    <s v="NINGBO"/>
    <x v="3"/>
    <x v="1"/>
    <d v="2026-11-17T00:00:00"/>
    <m/>
    <s v=""/>
    <d v="2026-12-26T00:00:00"/>
    <d v="2026-12-22T08:00:00"/>
    <s v=""/>
    <m/>
    <s v="COSCO SHIPPING VIRGO 037W"/>
    <s v="COSCO"/>
    <s v="TPVB20261146001XT"/>
    <x v="819"/>
    <s v="COSU9510974430"/>
    <n v="35.333333333335759"/>
    <m/>
    <d v="2026-12-22T08:00:00"/>
    <s v="-"/>
    <d v="1899-12-30T00:00:00"/>
    <n v="7"/>
    <d v="2026-12-29T08:00:00"/>
    <n v="2026"/>
    <n v="12"/>
    <n v="53"/>
    <n v="36"/>
    <n v="936"/>
    <s v="Black glazing"/>
    <s v="AEU"/>
  </r>
  <r>
    <s v="26Oct009.32"/>
    <s v="Quzhou"/>
    <s v="26Oct009"/>
    <s v="CORE DG"/>
    <x v="0"/>
    <s v="Arrival Plan-SPNL"/>
    <s v="CIF"/>
    <x v="0"/>
    <s v="U2"/>
    <x v="2"/>
    <m/>
    <m/>
    <s v="n/a"/>
    <m/>
    <x v="3"/>
    <x v="91"/>
    <s v="HSM-BE54-DD485"/>
    <s v="EVO2A"/>
    <s v="±1200mm"/>
    <n v="485"/>
    <n v="2808"/>
    <n v="1.36188"/>
    <n v="78"/>
    <n v="3"/>
    <x v="25"/>
    <s v=""/>
    <d v="2026-10-24T00:00:00"/>
    <m/>
    <s v=""/>
    <m/>
    <m/>
    <s v="NINGBO"/>
    <x v="3"/>
    <x v="1"/>
    <d v="2026-11-18T00:00:00"/>
    <d v="2026-11-18T10:00:00"/>
    <s v=""/>
    <d v="2026-12-23T00:00:00"/>
    <d v="2026-12-23T21:00:00"/>
    <s v=""/>
    <m/>
    <s v="EVER ACME 1427W"/>
    <s v="COSCO"/>
    <s v="TPVB20261146002XT"/>
    <x v="820"/>
    <s v="COSU9510976910"/>
    <n v="35.458333333335759"/>
    <m/>
    <d v="2026-12-23T21:00:00"/>
    <s v="-"/>
    <d v="1899-12-30T00:00:00"/>
    <n v="7"/>
    <d v="2026-12-30T21:00:00"/>
    <n v="2026"/>
    <n v="12"/>
    <n v="53"/>
    <n v="36"/>
    <n v="936"/>
    <s v="Black glazing"/>
    <s v="AEU"/>
  </r>
  <r>
    <s v="26Oct004.01"/>
    <s v="Yixing"/>
    <s v="26Oct004"/>
    <s v="CORE DG"/>
    <x v="0"/>
    <s v="Arrival Plan-SPES"/>
    <s v="CIF"/>
    <x v="1"/>
    <s v="U4"/>
    <x v="2"/>
    <m/>
    <m/>
    <s v="n/a"/>
    <d v="2026-10-26T00:00:00"/>
    <x v="0"/>
    <x v="113"/>
    <s v="HSM-ND66-GK730"/>
    <s v="H4(Com)"/>
    <s v="±1400mm"/>
    <n v="730"/>
    <n v="594"/>
    <n v="0.43362000000000001"/>
    <n v="18"/>
    <n v="1"/>
    <x v="25"/>
    <s v=""/>
    <s v="Jan，10/24"/>
    <m/>
    <s v=""/>
    <m/>
    <m/>
    <s v="NINGBO"/>
    <x v="3"/>
    <x v="2"/>
    <d v="2026-11-19T00:00:00"/>
    <d v="2026-11-19T15:00:00"/>
    <s v=""/>
    <d v="2026-12-24T00:00:00"/>
    <d v="2026-12-24T20:00:00"/>
    <s v=""/>
    <m/>
    <s v="CMA CGM VASCO DE GAMA _x000a_MEX0C0W"/>
    <s v="COSCO"/>
    <s v="TPVB20261146003XT"/>
    <x v="821"/>
    <s v="COSU9510977010"/>
    <m/>
    <m/>
    <d v="2026-12-24T20:00:00"/>
    <s v="-"/>
    <s v=""/>
    <n v="9"/>
    <d v="2027-01-02T20:00:00"/>
    <n v="2027"/>
    <n v="1"/>
    <n v="53"/>
    <n v="33"/>
    <n v="594"/>
    <s v="Redirection Film"/>
    <s v="AEM"/>
  </r>
  <r>
    <s v="26Oct006.05"/>
    <s v="Tianjin"/>
    <s v="26Oct006"/>
    <s v="CORE DG"/>
    <x v="1"/>
    <s v="SPTN Offstore in Transit WH"/>
    <s v="CIF"/>
    <x v="28"/>
    <s v="U1"/>
    <x v="182"/>
    <m/>
    <m/>
    <s v="No - GTG"/>
    <d v="2026-10-22T00:00:00"/>
    <x v="0"/>
    <x v="43"/>
    <s v="HSM-ND54-DR505"/>
    <s v="EVO2A"/>
    <s v="±1200mm"/>
    <n v="505"/>
    <n v="2592"/>
    <n v="1.3089599999999999"/>
    <n v="72"/>
    <n v="3"/>
    <x v="29"/>
    <s v=""/>
    <s v="Payment iuuse,10/26"/>
    <d v="2026-11-02T00:00:00"/>
    <m/>
    <m/>
    <m/>
    <s v="TIANJIN"/>
    <x v="0"/>
    <x v="0"/>
    <m/>
    <m/>
    <m/>
    <m/>
    <m/>
    <m/>
    <m/>
    <m/>
    <m/>
    <m/>
    <x v="296"/>
    <m/>
    <m/>
    <m/>
    <d v="2027-02-09T00:00:00"/>
    <s v="-"/>
    <d v="1899-12-30T00:00:00"/>
    <n v="0"/>
    <d v="2027-02-09T00:00:00"/>
    <n v="2027"/>
    <n v="2"/>
    <n v="6"/>
    <n v="36"/>
    <n v="864"/>
    <s v="Black glazing"/>
    <s v="AEM"/>
  </r>
  <r>
    <s v="26Oct006.06"/>
    <s v="Tianjin"/>
    <s v="26Oct006"/>
    <s v="CORE DG"/>
    <x v="0"/>
    <s v="Arrival Plan-SPIT"/>
    <s v="CIF"/>
    <x v="0"/>
    <s v="U1"/>
    <x v="2"/>
    <m/>
    <m/>
    <s v="n/a"/>
    <d v="2026-10-22T00:00:00"/>
    <x v="0"/>
    <x v="43"/>
    <s v="HSM-ND54-DR505"/>
    <s v="EVO2A"/>
    <s v="±1200mm"/>
    <n v="505"/>
    <n v="2592"/>
    <n v="1.3089599999999999"/>
    <n v="72"/>
    <n v="3"/>
    <x v="26"/>
    <s v=""/>
    <s v="IT importer label/10/23"/>
    <d v="2026-11-02T00:00:00"/>
    <n v="45"/>
    <m/>
    <m/>
    <s v="TIANJIN"/>
    <x v="0"/>
    <x v="4"/>
    <d v="2026-11-07T00:00:00"/>
    <d v="2026-11-07T21:00:00"/>
    <s v=""/>
    <d v="2027-01-20T00:00:00"/>
    <d v="2027-01-13T06:00:00"/>
    <s v=""/>
    <m/>
    <s v="COSCO SHIPPING VIRGO 037W"/>
    <s v="COSCO"/>
    <s v="TPVB20261045002HL"/>
    <x v="822"/>
    <s v="COSU9510940990"/>
    <m/>
    <m/>
    <d v="2027-01-13T06:00:00"/>
    <s v="-"/>
    <d v="1899-12-30T00:00:00"/>
    <n v="10"/>
    <d v="2027-01-23T06:00:00"/>
    <n v="2027"/>
    <n v="1"/>
    <n v="3"/>
    <n v="36"/>
    <n v="864"/>
    <s v="Black glazing"/>
    <s v="AEM"/>
  </r>
  <r>
    <s v="26Oct009.03"/>
    <s v="Quzhou"/>
    <s v="26Oct009"/>
    <s v="CORE DG"/>
    <x v="0"/>
    <s v="Arrival Plan-SPNL"/>
    <s v="CIF"/>
    <x v="0"/>
    <s v="U2"/>
    <x v="2"/>
    <m/>
    <m/>
    <s v="n/a"/>
    <m/>
    <x v="3"/>
    <x v="91"/>
    <s v="HSM-BE54-DD485"/>
    <s v="EVO2A"/>
    <s v="±1200mm"/>
    <n v="485"/>
    <n v="3744"/>
    <n v="1.8158399999999999"/>
    <n v="104"/>
    <n v="4"/>
    <x v="25"/>
    <s v=""/>
    <d v="2026-10-24T00:00:00"/>
    <m/>
    <s v=""/>
    <m/>
    <m/>
    <s v="SHANGHAI"/>
    <x v="1"/>
    <x v="1"/>
    <d v="2026-11-09T00:00:00"/>
    <m/>
    <m/>
    <d v="2026-12-16T00:00:00"/>
    <m/>
    <m/>
    <m/>
    <s v="EVER ART 1426-016W"/>
    <s v="OTHER"/>
    <m/>
    <x v="823"/>
    <s v="EGLV149610205022"/>
    <n v="37"/>
    <m/>
    <d v="2026-12-16T00:00:00"/>
    <s v="-"/>
    <d v="1899-12-30T00:00:00"/>
    <n v="7"/>
    <d v="2026-12-23T00:00:00"/>
    <n v="2026"/>
    <n v="12"/>
    <n v="52"/>
    <n v="36"/>
    <n v="936"/>
    <s v="Black glazing"/>
    <s v="AEU"/>
  </r>
  <r>
    <s v="26Oct015.01"/>
    <s v="Yixing"/>
    <s v="26Oct015"/>
    <s v="CORE DG"/>
    <x v="0"/>
    <s v="Arrival Plan-SPTN"/>
    <s v="CIF"/>
    <x v="0"/>
    <s v="U1"/>
    <x v="2"/>
    <m/>
    <m/>
    <s v="n/a"/>
    <d v="2026-09-27T00:00:00"/>
    <x v="11"/>
    <x v="111"/>
    <s v="HSM-NT48-GH485 CFP"/>
    <s v="EVO2A"/>
    <s v="±1200mm"/>
    <n v="485"/>
    <n v="3744"/>
    <n v="1.8158399999999999"/>
    <n v="104"/>
    <n v="4"/>
    <x v="21"/>
    <s v=""/>
    <s v="ready"/>
    <m/>
    <s v=""/>
    <m/>
    <m/>
    <s v="SHANGHAI"/>
    <x v="1"/>
    <x v="0"/>
    <m/>
    <m/>
    <m/>
    <m/>
    <m/>
    <m/>
    <m/>
    <m/>
    <m/>
    <m/>
    <x v="296"/>
    <m/>
    <m/>
    <m/>
    <d v="2026-12-08T00:00:00"/>
    <s v="-"/>
    <d v="1899-12-30T00:00:00"/>
    <n v="8"/>
    <d v="2026-12-16T00:00:00"/>
    <n v="2026"/>
    <n v="12"/>
    <n v="51"/>
    <n v="36"/>
    <n v="936"/>
    <s v="White glazing"/>
    <s v="AEM"/>
  </r>
  <r>
    <s v="26Aug013"/>
    <s v="Quzhou"/>
    <s v="Main Line"/>
    <s v="UPP"/>
    <x v="2"/>
    <s v="n/a"/>
    <s v="n/a"/>
    <x v="22"/>
    <s v="n/a"/>
    <x v="188"/>
    <m/>
    <m/>
    <s v="n/a"/>
    <m/>
    <x v="3"/>
    <x v="105"/>
    <s v="S4-DG490-108BC-FB"/>
    <s v="EVO2A"/>
    <s v="±1200mm"/>
    <n v="490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936"/>
    <s v="Black glazing"/>
    <s v="n/a"/>
  </r>
  <r>
    <s v="26Aug009"/>
    <s v="Yixing"/>
    <s v="Main Line"/>
    <s v="UPP"/>
    <x v="2"/>
    <s v="n/a"/>
    <s v="n/a"/>
    <x v="22"/>
    <s v="n/a"/>
    <x v="188"/>
    <m/>
    <m/>
    <s v="n/a"/>
    <m/>
    <x v="0"/>
    <x v="100"/>
    <s v="HSM-ND66-GR620"/>
    <s v="H4(Com)"/>
    <s v="+400mm/-200mm"/>
    <n v="620"/>
    <n v="0"/>
    <n v="0"/>
    <n v="0"/>
    <n v="0"/>
    <x v="23"/>
    <s v=""/>
    <s v="ready"/>
    <m/>
    <s v=""/>
    <m/>
    <m/>
    <s v="SHANGHAI"/>
    <x v="1"/>
    <x v="23"/>
    <m/>
    <m/>
    <m/>
    <m/>
    <m/>
    <m/>
    <m/>
    <m/>
    <m/>
    <m/>
    <x v="296"/>
    <m/>
    <m/>
    <m/>
    <s v="n/a"/>
    <s v="-"/>
    <d v="1899-12-30T00:00:00"/>
    <n v="14"/>
    <s v="n/a"/>
    <e v="#VALUE!"/>
    <e v="#VALUE!"/>
    <n v="0"/>
    <n v="36"/>
    <n v="720"/>
    <s v="Redirection Film"/>
    <s v="n/a"/>
  </r>
  <r>
    <s v="26Aug014"/>
    <s v="Quzhou"/>
    <s v="Main Line"/>
    <s v="UPP"/>
    <x v="2"/>
    <s v="n/a"/>
    <s v="n/a"/>
    <x v="22"/>
    <s v="n/a"/>
    <x v="188"/>
    <m/>
    <m/>
    <s v="n/a"/>
    <m/>
    <x v="3"/>
    <x v="106"/>
    <s v="S4-DG485-108BC-FB"/>
    <s v="EVO2A"/>
    <s v="±1200mm"/>
    <n v="485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d v="1899-12-30T00:00:00"/>
    <n v="14"/>
    <s v="n/a"/>
    <e v="#VALUE!"/>
    <e v="#VALUE!"/>
    <n v="0"/>
    <n v="36"/>
    <n v="936"/>
    <s v="Black glazing"/>
    <s v="n/a"/>
  </r>
  <r>
    <s v="26May011"/>
    <s v="Yixing"/>
    <s v="Main Line"/>
    <s v="CORE DG"/>
    <x v="2"/>
    <s v="n/a"/>
    <s v="n/a"/>
    <x v="22"/>
    <s v="n/a"/>
    <x v="188"/>
    <m/>
    <m/>
    <s v="n/a"/>
    <d v="2026-05-25T00:00:00"/>
    <x v="0"/>
    <x v="74"/>
    <s v="HSM-ND66-GR625"/>
    <s v="H4(Com)"/>
    <s v="+400mm/-200mm"/>
    <n v="625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720"/>
    <s v="Transparent"/>
    <s v="n/a"/>
  </r>
  <r>
    <s v="26May012"/>
    <s v="Yixing"/>
    <s v="Main Line"/>
    <s v="CORE DG"/>
    <x v="2"/>
    <s v="n/a"/>
    <s v="n/a"/>
    <x v="22"/>
    <s v="n/a"/>
    <x v="188"/>
    <m/>
    <m/>
    <s v="n/a"/>
    <d v="2026-05-25T00:00:00"/>
    <x v="0"/>
    <x v="75"/>
    <s v="HSM-ND66-GR630"/>
    <s v="H4(Com)"/>
    <s v="+400mm/-200mm"/>
    <n v="630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720"/>
    <s v="Transparent"/>
    <s v="n/a"/>
  </r>
  <r>
    <s v="26May013"/>
    <s v="Yixing"/>
    <s v="Main Line"/>
    <s v="CORE DG"/>
    <x v="2"/>
    <s v="n/a"/>
    <s v="n/a"/>
    <x v="22"/>
    <s v="n/a"/>
    <x v="188"/>
    <m/>
    <m/>
    <s v="n/a"/>
    <s v="n/a"/>
    <x v="0"/>
    <x v="77"/>
    <s v="HSM-ND66-GK720"/>
    <s v="H4(Com)"/>
    <s v="+400mm/-200mm"/>
    <n v="720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3"/>
    <n v="594"/>
    <s v="Transparent"/>
    <s v="n/a"/>
  </r>
  <r>
    <s v="26Feb006"/>
    <s v="Yixing"/>
    <s v="Main Line"/>
    <s v="CORE DG"/>
    <x v="2"/>
    <s v="n/a"/>
    <s v="n/a"/>
    <x v="22"/>
    <s v="n/a"/>
    <x v="188"/>
    <m/>
    <m/>
    <s v="n/a"/>
    <d v="2026-03-30T00:00:00"/>
    <x v="2"/>
    <x v="68"/>
    <s v="SPR-P7-560-COM-S"/>
    <s v="EVO2A"/>
    <s v="±1400mm"/>
    <n v="560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3"/>
    <n v="660"/>
    <s v="White glazing"/>
    <s v="n/a"/>
  </r>
  <r>
    <s v="26Apr007"/>
    <s v="Tianjin(Transport to Yixing for shipment)"/>
    <s v="Main Line"/>
    <s v="CORE DG"/>
    <x v="2"/>
    <s v="n/a"/>
    <s v="n/a"/>
    <x v="22"/>
    <s v="n/a"/>
    <x v="188"/>
    <m/>
    <m/>
    <s v="n/a"/>
    <d v="2026-05-04T00:00:00"/>
    <x v="2"/>
    <x v="5"/>
    <s v="SPR-P7-555-COM-S"/>
    <s v="EVO2A"/>
    <s v="±1400mm"/>
    <n v="555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3"/>
    <n v="660"/>
    <s v="White glazing"/>
    <s v="n/a"/>
  </r>
  <r>
    <s v="26Apr008"/>
    <s v="Tianjin(Transport to Yixing for shipment)"/>
    <s v="Main Line"/>
    <s v="CORE DG"/>
    <x v="2"/>
    <s v="n/a"/>
    <s v="n/a"/>
    <x v="22"/>
    <s v="n/a"/>
    <x v="188"/>
    <m/>
    <m/>
    <s v="n/a"/>
    <d v="2026-05-04T00:00:00"/>
    <x v="2"/>
    <x v="68"/>
    <s v="SPR-P7-560-COM-S"/>
    <s v="EVO2A"/>
    <s v="±1400mm"/>
    <n v="560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3"/>
    <n v="660"/>
    <s v="White glazing"/>
    <s v="n/a"/>
  </r>
  <r>
    <s v="26Apr009"/>
    <s v="Yixing"/>
    <s v="Main Line"/>
    <s v="CORE DG"/>
    <x v="2"/>
    <s v="n/a"/>
    <s v="n/a"/>
    <x v="22"/>
    <s v="n/a"/>
    <x v="188"/>
    <m/>
    <m/>
    <s v="n/a"/>
    <d v="2026-05-04T00:00:00"/>
    <x v="1"/>
    <x v="6"/>
    <s v="TCL-MR465DT182-58NS"/>
    <s v="EVO2A"/>
    <s v="±1200mm"/>
    <n v="465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864"/>
    <s v="White glazing"/>
    <s v="n/a"/>
  </r>
  <r>
    <s v="26Apr010"/>
    <s v="Yixing"/>
    <s v="Main Line"/>
    <s v="CORE DG"/>
    <x v="2"/>
    <s v="n/a"/>
    <s v="n/a"/>
    <x v="22"/>
    <s v="n/a"/>
    <x v="188"/>
    <m/>
    <m/>
    <s v="n/a"/>
    <d v="2026-05-04T00:00:00"/>
    <x v="1"/>
    <x v="39"/>
    <s v="TCL-MR470DT182-58NS"/>
    <s v="EVO2A"/>
    <s v="±1200mm"/>
    <n v="470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864"/>
    <s v="White glazing"/>
    <s v="n/a"/>
  </r>
  <r>
    <s v="26Apr011"/>
    <s v="Tianjin"/>
    <s v="Main Line"/>
    <s v="CORE DG"/>
    <x v="2"/>
    <s v="n/a"/>
    <s v="n/a"/>
    <x v="22"/>
    <s v="n/a"/>
    <x v="188"/>
    <m/>
    <m/>
    <s v="n/a"/>
    <d v="2026-04-13T00:00:00"/>
    <x v="0"/>
    <x v="7"/>
    <s v="HSM-ND48-DR450"/>
    <s v="EVO2A"/>
    <s v="±1200mm"/>
    <n v="450"/>
    <n v="0"/>
    <n v="0"/>
    <n v="0"/>
    <n v="0"/>
    <x v="23"/>
    <s v=""/>
    <m/>
    <m/>
    <m/>
    <m/>
    <m/>
    <s v="TIANJIN"/>
    <x v="0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936"/>
    <s v="Black glazing"/>
    <s v="n/a"/>
  </r>
  <r>
    <s v="26Apr013"/>
    <s v="Tianjin"/>
    <s v="Main Line"/>
    <s v="CORE DG"/>
    <x v="2"/>
    <s v="n/a"/>
    <s v="n/a"/>
    <x v="22"/>
    <s v="n/a"/>
    <x v="188"/>
    <m/>
    <m/>
    <s v="n/a"/>
    <s v="n/a"/>
    <x v="0"/>
    <x v="0"/>
    <s v="HSM-ND54-DR500"/>
    <s v="EVO2A"/>
    <s v="±1200mm"/>
    <n v="500"/>
    <n v="0"/>
    <n v="0"/>
    <n v="0"/>
    <n v="0"/>
    <x v="23"/>
    <s v=""/>
    <m/>
    <m/>
    <s v=""/>
    <m/>
    <m/>
    <s v="TIANJIN"/>
    <x v="0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864"/>
    <s v="Black glazing"/>
    <s v="n/a"/>
  </r>
  <r>
    <s v="26Apr014"/>
    <s v="Tianjin"/>
    <s v="Main Line"/>
    <s v="CORE DG"/>
    <x v="2"/>
    <s v="n/a"/>
    <s v="n/a"/>
    <x v="22"/>
    <s v="n/a"/>
    <x v="188"/>
    <m/>
    <m/>
    <s v="n/a"/>
    <s v="n/a"/>
    <x v="0"/>
    <x v="43"/>
    <s v="HSM-ND54-DR505"/>
    <s v="EVO2A"/>
    <s v="±1200mm"/>
    <n v="505"/>
    <n v="0"/>
    <n v="0"/>
    <n v="0"/>
    <n v="0"/>
    <x v="23"/>
    <s v=""/>
    <m/>
    <m/>
    <s v=""/>
    <m/>
    <m/>
    <s v="TIANJIN"/>
    <x v="0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864"/>
    <s v="Black glazing"/>
    <s v="n/a"/>
  </r>
  <r>
    <s v="26May003"/>
    <s v="Tianjin(Transport to Yixing for shipment)"/>
    <s v="Main Line"/>
    <s v="CORE DG"/>
    <x v="2"/>
    <s v="n/a"/>
    <s v="n/a"/>
    <x v="22"/>
    <s v="n/a"/>
    <x v="188"/>
    <m/>
    <m/>
    <s v="n/a"/>
    <d v="2026-05-18T00:00:00"/>
    <x v="2"/>
    <x v="5"/>
    <s v="SPR-P7-555-COM-S"/>
    <s v="EVO2A"/>
    <s v="±1400mm"/>
    <n v="555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3"/>
    <n v="660"/>
    <s v="White glazing"/>
    <s v="n/a"/>
  </r>
  <r>
    <s v="26May004"/>
    <s v="Tianjin(Transport to Yixing for shipment)"/>
    <s v="Main Line"/>
    <s v="CORE DG"/>
    <x v="2"/>
    <s v="n/a"/>
    <s v="n/a"/>
    <x v="22"/>
    <s v="n/a"/>
    <x v="188"/>
    <m/>
    <m/>
    <s v="n/a"/>
    <d v="2026-05-18T00:00:00"/>
    <x v="2"/>
    <x v="68"/>
    <s v="SPR-P7-560-COM-S"/>
    <s v="EVO2A"/>
    <s v="±1400mm"/>
    <n v="560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3"/>
    <n v="660"/>
    <s v="White glazing"/>
    <s v="n/a"/>
  </r>
  <r>
    <s v="26May005"/>
    <s v="Yixing"/>
    <s v="Main Line"/>
    <s v="CORE DG"/>
    <x v="2"/>
    <s v="n/a"/>
    <s v="n/a"/>
    <x v="22"/>
    <s v="n/a"/>
    <x v="188"/>
    <m/>
    <m/>
    <s v="n/a"/>
    <d v="2026-05-18T00:00:00"/>
    <x v="1"/>
    <x v="6"/>
    <s v="TCL-MR465DT182-58NS"/>
    <s v="EVO2A"/>
    <s v="±1200mm"/>
    <n v="465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864"/>
    <s v="White glazing"/>
    <s v="n/a"/>
  </r>
  <r>
    <s v="26May006"/>
    <s v="Yixing"/>
    <s v="Main Line"/>
    <s v="CORE DG"/>
    <x v="2"/>
    <s v="n/a"/>
    <s v="n/a"/>
    <x v="22"/>
    <s v="n/a"/>
    <x v="188"/>
    <m/>
    <m/>
    <s v="n/a"/>
    <d v="2026-05-18T00:00:00"/>
    <x v="1"/>
    <x v="39"/>
    <s v="TCL-MR470DT182-58NS"/>
    <s v="EVO2A"/>
    <s v="±1200mm"/>
    <n v="470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864"/>
    <s v="White glazing"/>
    <s v="n/a"/>
  </r>
  <r>
    <s v="26May007"/>
    <s v="Tianjin"/>
    <s v="Main Line"/>
    <s v="CORE DG"/>
    <x v="2"/>
    <s v="n/a"/>
    <s v="n/a"/>
    <x v="22"/>
    <s v="n/a"/>
    <x v="192"/>
    <m/>
    <m/>
    <s v="n/a"/>
    <d v="2025-06-01T00:00:00"/>
    <x v="0"/>
    <x v="7"/>
    <s v="HSM-ND48-DR450"/>
    <s v="EVO2A"/>
    <s v="±1200mm"/>
    <n v="450"/>
    <n v="0"/>
    <n v="0"/>
    <n v="0"/>
    <n v="0"/>
    <x v="23"/>
    <s v=""/>
    <m/>
    <m/>
    <s v=""/>
    <m/>
    <m/>
    <s v="TIANJIN"/>
    <x v="0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936"/>
    <s v="Black glazing"/>
    <s v="n/a"/>
  </r>
  <r>
    <s v="26May008"/>
    <s v="Tianjin"/>
    <s v="Main Line"/>
    <s v="CORE DG"/>
    <x v="2"/>
    <s v="n/a"/>
    <s v="n/a"/>
    <x v="22"/>
    <s v="n/a"/>
    <x v="188"/>
    <m/>
    <m/>
    <s v="n/a"/>
    <d v="2025-06-01T00:00:00"/>
    <x v="0"/>
    <x v="35"/>
    <s v="HSM-ND48-DR455"/>
    <s v="EVO2A"/>
    <s v="±1200mm"/>
    <n v="455"/>
    <n v="0"/>
    <n v="0"/>
    <n v="0"/>
    <n v="0"/>
    <x v="23"/>
    <s v=""/>
    <m/>
    <m/>
    <s v=""/>
    <m/>
    <m/>
    <s v="TIANJIN"/>
    <x v="0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936"/>
    <s v="Black glazing"/>
    <s v="n/a"/>
  </r>
  <r>
    <s v="26May010"/>
    <s v="Tianjin"/>
    <s v="Main Line"/>
    <s v="CORE DG"/>
    <x v="2"/>
    <s v="n/a"/>
    <s v="n/a"/>
    <x v="22"/>
    <s v="n/a"/>
    <x v="188"/>
    <m/>
    <m/>
    <s v="n/a"/>
    <d v="2026-05-11T00:00:00"/>
    <x v="0"/>
    <x v="43"/>
    <s v="HSM-ND54-DR505"/>
    <s v="EVO2A"/>
    <s v="±1200mm"/>
    <n v="505"/>
    <n v="0"/>
    <n v="0"/>
    <n v="0"/>
    <n v="0"/>
    <x v="23"/>
    <s v=""/>
    <m/>
    <m/>
    <s v=""/>
    <m/>
    <m/>
    <s v="TIANJIN"/>
    <x v="0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864"/>
    <s v="Black glazing"/>
    <s v="n/a"/>
  </r>
  <r>
    <s v="26May014"/>
    <s v="Yixing"/>
    <s v="Main Line"/>
    <s v="CORE DG"/>
    <x v="2"/>
    <s v="n/a"/>
    <s v="n/a"/>
    <x v="22"/>
    <s v="n/a"/>
    <x v="188"/>
    <m/>
    <m/>
    <s v="n/a"/>
    <s v="n/a"/>
    <x v="0"/>
    <x v="78"/>
    <s v="HSM-ND66-GK725"/>
    <s v="H4(Com)"/>
    <s v="+400mm/-200mm"/>
    <n v="725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3"/>
    <n v="594"/>
    <s v="Transparent"/>
    <s v="n/a"/>
  </r>
  <r>
    <s v="26May015"/>
    <s v="Yixing"/>
    <s v="Main Line"/>
    <s v="CORE DG"/>
    <x v="2"/>
    <s v="n/a"/>
    <s v="n/a"/>
    <x v="22"/>
    <s v="n/a"/>
    <x v="188"/>
    <m/>
    <m/>
    <s v="n/a"/>
    <s v="n/a"/>
    <x v="9"/>
    <x v="72"/>
    <s v="HSM-NT66-GH640"/>
    <s v="EVO2A"/>
    <s v="±1400mm"/>
    <n v="640"/>
    <n v="0"/>
    <n v="0"/>
    <n v="0"/>
    <n v="0"/>
    <x v="23"/>
    <s v=""/>
    <m/>
    <m/>
    <s v=""/>
    <m/>
    <m/>
    <s v="SHANGHAI NTR"/>
    <x v="1"/>
    <x v="1"/>
    <m/>
    <m/>
    <s v=""/>
    <m/>
    <m/>
    <s v=""/>
    <m/>
    <m/>
    <m/>
    <m/>
    <x v="296"/>
    <m/>
    <m/>
    <m/>
    <s v="n/a"/>
    <s v="-"/>
    <s v=""/>
    <n v="7"/>
    <s v="n/a"/>
    <e v="#VALUE!"/>
    <e v="#VALUE!"/>
    <n v="0"/>
    <n v="36"/>
    <n v="720"/>
    <s v="Transparent"/>
    <s v="AEU"/>
  </r>
  <r>
    <s v="26May016"/>
    <s v="Yixing"/>
    <s v="Main Line"/>
    <s v="CORE DG"/>
    <x v="2"/>
    <s v="n/a"/>
    <s v="n/a"/>
    <x v="22"/>
    <s v="n/a"/>
    <x v="188"/>
    <m/>
    <m/>
    <s v="n/a"/>
    <s v="n/a"/>
    <x v="9"/>
    <x v="73"/>
    <s v="HSM-NT66-GH645"/>
    <s v="EVO2A"/>
    <s v="±1400mm"/>
    <n v="645"/>
    <n v="0"/>
    <n v="0"/>
    <n v="0"/>
    <n v="0"/>
    <x v="23"/>
    <s v=""/>
    <m/>
    <m/>
    <s v=""/>
    <m/>
    <m/>
    <s v="SHANGHAI NTR"/>
    <x v="1"/>
    <x v="1"/>
    <m/>
    <m/>
    <s v=""/>
    <m/>
    <m/>
    <s v=""/>
    <m/>
    <m/>
    <m/>
    <m/>
    <x v="296"/>
    <m/>
    <m/>
    <m/>
    <s v="n/a"/>
    <s v="-"/>
    <s v=""/>
    <n v="7"/>
    <s v="n/a"/>
    <e v="#VALUE!"/>
    <e v="#VALUE!"/>
    <n v="0"/>
    <n v="36"/>
    <n v="720"/>
    <s v="Transparent"/>
    <s v="AEU"/>
  </r>
  <r>
    <s v="26Jun001"/>
    <s v="Yixing"/>
    <s v="Main Line"/>
    <s v="CORE DG"/>
    <x v="2"/>
    <s v="n/a"/>
    <s v="n/a"/>
    <x v="22"/>
    <s v="n/a"/>
    <x v="188"/>
    <m/>
    <m/>
    <s v="n/a"/>
    <d v="2026-06-18T00:00:00"/>
    <x v="6"/>
    <x v="21"/>
    <s v="SPR-P7-510-BLK-P"/>
    <s v="EVO2A"/>
    <s v="±1350mm"/>
    <n v="510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792"/>
    <s v="Black glazing"/>
    <s v="n/a"/>
  </r>
  <r>
    <s v="26Jun002"/>
    <s v="Yixing"/>
    <s v="Main Line"/>
    <s v="CORE DG"/>
    <x v="2"/>
    <s v="n/a"/>
    <s v="n/a"/>
    <x v="22"/>
    <s v="n/a"/>
    <x v="188"/>
    <m/>
    <m/>
    <s v="n/a"/>
    <d v="2026-06-26T00:00:00"/>
    <x v="6"/>
    <x v="69"/>
    <s v="SPR-P7-515-BLK-P"/>
    <s v="EVO2A"/>
    <s v="±1350mm"/>
    <n v="515"/>
    <n v="0"/>
    <n v="0"/>
    <n v="0"/>
    <n v="0"/>
    <x v="23"/>
    <s v=""/>
    <m/>
    <m/>
    <s v=""/>
    <m/>
    <m/>
    <s v="SHANGHAI"/>
    <x v="1"/>
    <x v="23"/>
    <m/>
    <m/>
    <s v=""/>
    <d v="2026-06-22T00:00:00"/>
    <m/>
    <s v=""/>
    <m/>
    <m/>
    <m/>
    <m/>
    <x v="296"/>
    <m/>
    <m/>
    <m/>
    <d v="2026-06-22T00:00:00"/>
    <s v="-"/>
    <s v=""/>
    <n v="14"/>
    <d v="2026-07-06T00:00:00"/>
    <n v="2026"/>
    <n v="7"/>
    <n v="28"/>
    <n v="36"/>
    <n v="792"/>
    <s v="Black glazing"/>
    <s v="n/a"/>
  </r>
  <r>
    <s v="26Jun003"/>
    <s v="Yixing"/>
    <s v="Main Line"/>
    <s v="CORE DG"/>
    <x v="2"/>
    <s v="n/a"/>
    <s v="n/a"/>
    <x v="22"/>
    <s v="n/a"/>
    <x v="188"/>
    <m/>
    <m/>
    <s v="n/a"/>
    <d v="2026-06-15T00:00:00"/>
    <x v="1"/>
    <x v="6"/>
    <s v="TCL-MR465DT182-58NS"/>
    <s v="EVO2A"/>
    <s v="±1200mm"/>
    <n v="465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864"/>
    <s v="White glazing"/>
    <s v="n/a"/>
  </r>
  <r>
    <s v="26Jun004"/>
    <s v="Yixing"/>
    <s v="Main Line"/>
    <s v="CORE DG"/>
    <x v="2"/>
    <s v="n/a"/>
    <s v="n/a"/>
    <x v="22"/>
    <s v="n/a"/>
    <x v="188"/>
    <m/>
    <m/>
    <s v="n/a"/>
    <d v="2026-06-15T00:00:00"/>
    <x v="1"/>
    <x v="39"/>
    <s v="TCL-MR470DT182-58NS"/>
    <s v="EVO2A"/>
    <s v="±1200mm"/>
    <n v="470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864"/>
    <s v="White glazing"/>
    <s v="n/a"/>
  </r>
  <r>
    <s v="26Jun005"/>
    <s v="Tianjin(Transport to Yixing for shipment TBC)"/>
    <s v="Main Line"/>
    <s v="CORE DG"/>
    <x v="2"/>
    <s v="n/a"/>
    <s v="n/a"/>
    <x v="22"/>
    <s v="n/a"/>
    <x v="188"/>
    <m/>
    <m/>
    <s v="n/a"/>
    <s v="n/a"/>
    <x v="0"/>
    <x v="57"/>
    <s v="HSM-ND66-GR620"/>
    <s v="EVO2A"/>
    <s v="±1400mm"/>
    <n v="620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720"/>
    <s v="Redirection Film"/>
    <s v="n/a"/>
  </r>
  <r>
    <s v="26Jun007"/>
    <s v="Tianjin(Transport to Yixing for shipment TBC)"/>
    <s v="Main Line"/>
    <s v="CORE DG"/>
    <x v="2"/>
    <s v="n/a"/>
    <s v="n/a"/>
    <x v="22"/>
    <s v="n/a"/>
    <x v="188"/>
    <m/>
    <m/>
    <s v="n/a"/>
    <s v="n/a"/>
    <x v="0"/>
    <x v="80"/>
    <s v="HSM-ND66-GR620"/>
    <s v="H4(Com)"/>
    <s v="±1400mm"/>
    <n v="620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720"/>
    <s v="Transparent"/>
    <s v="n/a"/>
  </r>
  <r>
    <s v="26Jun008"/>
    <s v="Tianjin(Transport to Yixing for shipment TBC)"/>
    <s v="Main Line"/>
    <s v="CORE DG"/>
    <x v="2"/>
    <s v="n/a"/>
    <s v="n/a"/>
    <x v="22"/>
    <s v="n/a"/>
    <x v="192"/>
    <m/>
    <m/>
    <s v="n/a"/>
    <m/>
    <x v="0"/>
    <x v="79"/>
    <s v="HSM-ND66-GR625"/>
    <s v="H4(Com)"/>
    <s v="±1400mm"/>
    <n v="625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720"/>
    <s v="Transparent"/>
    <s v="n/a"/>
  </r>
  <r>
    <s v="26Jun009"/>
    <s v="Tianjin"/>
    <s v="Main Line"/>
    <s v="CORE DG"/>
    <x v="2"/>
    <s v="n/a"/>
    <s v="n/a"/>
    <x v="22"/>
    <s v="n/a"/>
    <x v="188"/>
    <m/>
    <m/>
    <s v="n/a"/>
    <d v="2026-06-15T00:00:00"/>
    <x v="0"/>
    <x v="7"/>
    <s v="HSM-ND48-DR450"/>
    <s v="EVO2A"/>
    <s v="±1200mm"/>
    <n v="450"/>
    <n v="0"/>
    <n v="0"/>
    <n v="0"/>
    <n v="0"/>
    <x v="23"/>
    <s v=""/>
    <m/>
    <m/>
    <s v=""/>
    <m/>
    <m/>
    <s v="TIANJIN"/>
    <x v="0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936"/>
    <s v="Black glazing"/>
    <s v="n/a"/>
  </r>
  <r>
    <s v="26Jun010"/>
    <s v="Tianjin"/>
    <s v="Main Line"/>
    <s v="CORE DG"/>
    <x v="2"/>
    <s v="n/a"/>
    <s v="n/a"/>
    <x v="22"/>
    <s v="n/a"/>
    <x v="188"/>
    <m/>
    <m/>
    <s v="n/a"/>
    <d v="2026-06-15T00:00:00"/>
    <x v="0"/>
    <x v="35"/>
    <s v="HSM-ND48-DR455"/>
    <s v="EVO2A"/>
    <s v="±1200mm"/>
    <n v="455"/>
    <n v="0"/>
    <n v="0"/>
    <n v="0"/>
    <n v="0"/>
    <x v="23"/>
    <s v=""/>
    <m/>
    <m/>
    <s v=""/>
    <m/>
    <m/>
    <s v="TIANJIN"/>
    <x v="0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936"/>
    <s v="Black glazing"/>
    <s v="n/a"/>
  </r>
  <r>
    <s v="26Jun011"/>
    <s v="Quzhou"/>
    <s v="Main Line"/>
    <s v="CORE DG"/>
    <x v="2"/>
    <s v="n/a"/>
    <s v="n/a"/>
    <x v="22"/>
    <s v="n/a"/>
    <x v="188"/>
    <m/>
    <m/>
    <s v="n/a"/>
    <d v="2026-06-22T00:00:00"/>
    <x v="0"/>
    <x v="0"/>
    <s v="HSM-ND54-DR500"/>
    <s v="EVO2A"/>
    <s v="±1200mm"/>
    <n v="500"/>
    <n v="0"/>
    <n v="0"/>
    <n v="0"/>
    <n v="0"/>
    <x v="23"/>
    <s v=""/>
    <m/>
    <m/>
    <s v=""/>
    <m/>
    <m/>
    <s v="NINGBO"/>
    <x v="3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864"/>
    <s v="Black glazing"/>
    <s v="n/a"/>
  </r>
  <r>
    <s v="26Jun012"/>
    <s v="Quzhou"/>
    <s v="Main Line"/>
    <s v="CORE DG"/>
    <x v="2"/>
    <s v="n/a"/>
    <s v="n/a"/>
    <x v="22"/>
    <s v="n/a"/>
    <x v="188"/>
    <m/>
    <m/>
    <s v="n/a"/>
    <d v="2026-06-22T00:00:00"/>
    <x v="0"/>
    <x v="43"/>
    <s v="HSM-ND54-DR505"/>
    <s v="EVO2A"/>
    <s v="±1200mm"/>
    <n v="505"/>
    <n v="0"/>
    <n v="0"/>
    <n v="0"/>
    <n v="0"/>
    <x v="23"/>
    <s v=""/>
    <m/>
    <m/>
    <s v=""/>
    <m/>
    <m/>
    <s v="NINGBO"/>
    <x v="3"/>
    <x v="23"/>
    <m/>
    <m/>
    <m/>
    <m/>
    <m/>
    <s v=""/>
    <m/>
    <m/>
    <m/>
    <m/>
    <x v="296"/>
    <m/>
    <m/>
    <m/>
    <s v="n/a"/>
    <s v="-"/>
    <s v=""/>
    <n v="14"/>
    <s v="n/a"/>
    <e v="#VALUE!"/>
    <e v="#VALUE!"/>
    <n v="0"/>
    <n v="36"/>
    <n v="864"/>
    <s v="Black glazing"/>
    <s v="n/a"/>
  </r>
  <r>
    <s v="26Jun013"/>
    <s v="Tianjin"/>
    <s v="Main Line"/>
    <s v="CORE DG"/>
    <x v="0"/>
    <s v="Arrival Plan-SPTN"/>
    <s v="CIF"/>
    <x v="0"/>
    <s v="U1"/>
    <x v="2"/>
    <m/>
    <m/>
    <s v="n/a"/>
    <d v="2026-07-06T00:00:00"/>
    <x v="0"/>
    <x v="27"/>
    <s v="HSM-ND54-DR500 CFP"/>
    <s v="EVO2A"/>
    <s v="±1200mm"/>
    <n v="500"/>
    <n v="0"/>
    <n v="0"/>
    <n v="0"/>
    <n v="0"/>
    <x v="23"/>
    <s v=""/>
    <m/>
    <m/>
    <s v=""/>
    <m/>
    <m/>
    <s v="TIANJIN"/>
    <x v="0"/>
    <x v="0"/>
    <m/>
    <m/>
    <s v=""/>
    <m/>
    <m/>
    <s v=""/>
    <m/>
    <m/>
    <m/>
    <m/>
    <x v="296"/>
    <m/>
    <m/>
    <m/>
    <d v="2026-11-15T00:00:00"/>
    <s v="-"/>
    <s v=""/>
    <n v="8"/>
    <d v="2026-11-23T00:00:00"/>
    <n v="2026"/>
    <n v="11"/>
    <n v="48"/>
    <n v="36"/>
    <n v="864"/>
    <s v="Black glazing"/>
    <s v="AEM"/>
  </r>
  <r>
    <s v="26Jun014"/>
    <s v="Tianjin"/>
    <s v="Main Line"/>
    <s v="CORE DG"/>
    <x v="0"/>
    <s v="Arrival Plan-SPTN"/>
    <s v="CIF"/>
    <x v="0"/>
    <s v="U1"/>
    <x v="2"/>
    <m/>
    <m/>
    <s v="n/a"/>
    <d v="2026-07-06T00:00:00"/>
    <x v="0"/>
    <x v="26"/>
    <s v="HSM-ND54-DR505 CFP"/>
    <s v="EVO2A"/>
    <s v="±1200mm"/>
    <n v="505"/>
    <n v="0"/>
    <n v="0"/>
    <n v="0"/>
    <n v="0"/>
    <x v="23"/>
    <s v=""/>
    <m/>
    <m/>
    <s v=""/>
    <m/>
    <m/>
    <s v="TIANJIN"/>
    <x v="0"/>
    <x v="0"/>
    <m/>
    <m/>
    <s v=""/>
    <m/>
    <m/>
    <s v=""/>
    <m/>
    <m/>
    <m/>
    <m/>
    <x v="296"/>
    <m/>
    <m/>
    <m/>
    <d v="2026-11-15T00:00:00"/>
    <s v="-"/>
    <s v=""/>
    <n v="8"/>
    <d v="2026-11-23T00:00:00"/>
    <n v="2026"/>
    <n v="11"/>
    <n v="48"/>
    <n v="36"/>
    <n v="864"/>
    <s v="Black glazing"/>
    <s v="AEM"/>
  </r>
  <r>
    <s v="26Jun015"/>
    <s v="Yixing"/>
    <s v="Main Line"/>
    <s v="CORE DG"/>
    <x v="2"/>
    <s v="n/a"/>
    <s v="n/a"/>
    <x v="22"/>
    <s v="U1"/>
    <x v="188"/>
    <m/>
    <m/>
    <s v="n/a"/>
    <d v="2026-06-29T00:00:00"/>
    <x v="11"/>
    <x v="84"/>
    <s v="HSM-NT48-HH465"/>
    <s v="EVO2A"/>
    <s v="±1200mm"/>
    <n v="465"/>
    <n v="0"/>
    <n v="0"/>
    <n v="0"/>
    <n v="0"/>
    <x v="23"/>
    <s v=""/>
    <s v="X"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936"/>
    <s v="Black glazing"/>
    <s v="n/a"/>
  </r>
  <r>
    <s v="26Jun016"/>
    <s v="Yixing"/>
    <s v="Main Line"/>
    <s v="CORE DG"/>
    <x v="2"/>
    <s v="n/a"/>
    <s v="n/a"/>
    <x v="22"/>
    <s v="n/a"/>
    <x v="188"/>
    <m/>
    <m/>
    <s v="n/a"/>
    <d v="2026-06-29T00:00:00"/>
    <x v="11"/>
    <x v="83"/>
    <s v="HSM-NT48-HH470"/>
    <s v="EVO2A"/>
    <s v="±1200mm"/>
    <n v="470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936"/>
    <s v="Black glazing"/>
    <s v="n/a"/>
  </r>
  <r>
    <s v="26Jul013"/>
    <s v="Yixing"/>
    <s v="Main Line"/>
    <s v="CORE DG"/>
    <x v="2"/>
    <s v="n/a"/>
    <s v="n/a"/>
    <x v="22"/>
    <s v="n/a"/>
    <x v="188"/>
    <m/>
    <m/>
    <s v="n/a"/>
    <d v="2026-06-29T00:00:00"/>
    <x v="10"/>
    <x v="81"/>
    <s v="HSM-NT60-GH580"/>
    <s v="EVO2A"/>
    <s v="±1400mm"/>
    <n v="580"/>
    <n v="0"/>
    <n v="0"/>
    <n v="0"/>
    <n v="0"/>
    <x v="23"/>
    <s v=""/>
    <s v="七月3日"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720"/>
    <s v="Transparent"/>
    <s v="n/a"/>
  </r>
  <r>
    <s v="26Jul014"/>
    <s v="Yixing"/>
    <s v="Main Line"/>
    <s v="CORE DG"/>
    <x v="2"/>
    <s v="n/a"/>
    <s v="n/a"/>
    <x v="22"/>
    <s v="n/a"/>
    <x v="188"/>
    <m/>
    <m/>
    <s v="n/a"/>
    <d v="2026-06-29T00:00:00"/>
    <x v="10"/>
    <x v="87"/>
    <s v="HSM-NT60-GH585"/>
    <s v="EVO2A"/>
    <s v="±1400mm"/>
    <n v="585"/>
    <n v="0"/>
    <n v="0"/>
    <n v="0"/>
    <n v="0"/>
    <x v="23"/>
    <s v=""/>
    <s v="七月3日"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720"/>
    <s v="Transparent"/>
    <s v="n/a"/>
  </r>
  <r>
    <s v="26Jun021"/>
    <s v="Tianjin"/>
    <s v="Main Line"/>
    <s v="CORE DG"/>
    <x v="2"/>
    <s v="n/a"/>
    <s v="n/a"/>
    <x v="22"/>
    <s v="n/a"/>
    <x v="188"/>
    <m/>
    <m/>
    <s v="n/a"/>
    <d v="2026-06-29T00:00:00"/>
    <x v="3"/>
    <x v="95"/>
    <s v="HSM-BD66-GR650"/>
    <s v="EVO2A"/>
    <s v="±1400mm"/>
    <n v="650"/>
    <n v="0"/>
    <n v="0"/>
    <n v="0"/>
    <n v="0"/>
    <x v="23"/>
    <s v=""/>
    <m/>
    <m/>
    <s v=""/>
    <m/>
    <m/>
    <s v="TIANJIN"/>
    <x v="0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720"/>
    <s v="White glazing"/>
    <s v="n/a"/>
  </r>
  <r>
    <s v="26Jun022"/>
    <s v="Tianjin"/>
    <s v="Main Line"/>
    <s v="CORE DG"/>
    <x v="2"/>
    <s v="n/a"/>
    <s v="n/a"/>
    <x v="22"/>
    <s v="n/a"/>
    <x v="188"/>
    <m/>
    <m/>
    <s v="n/a"/>
    <d v="2026-06-29T00:00:00"/>
    <x v="3"/>
    <x v="82"/>
    <s v="HSM-BD66-GR655"/>
    <s v="EVO2A"/>
    <s v="±1400mm"/>
    <n v="655"/>
    <n v="0"/>
    <n v="0"/>
    <n v="0"/>
    <n v="0"/>
    <x v="23"/>
    <s v=""/>
    <m/>
    <m/>
    <s v=""/>
    <m/>
    <m/>
    <s v="TIANJIN"/>
    <x v="0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720"/>
    <s v="White glazing"/>
    <s v="n/a"/>
  </r>
  <r>
    <s v="26Jun033"/>
    <s v="Yixing"/>
    <s v="Main Line"/>
    <s v="CORE DG"/>
    <x v="2"/>
    <s v="n/a"/>
    <s v="n/a"/>
    <x v="22"/>
    <s v="n/a"/>
    <x v="188"/>
    <m/>
    <m/>
    <s v="n/a"/>
    <d v="2026-07-06T00:00:00"/>
    <x v="0"/>
    <x v="90"/>
    <s v="HSM-ND66-GK725"/>
    <s v="EVO2A"/>
    <s v="±1400mm"/>
    <n v="725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3"/>
    <n v="594"/>
    <s v="Transparent"/>
    <s v="n/a"/>
  </r>
  <r>
    <s v="26Jun034"/>
    <s v="Yixing"/>
    <s v="Main Line"/>
    <s v="CORE DG"/>
    <x v="2"/>
    <s v="n/a"/>
    <s v="n/a"/>
    <x v="22"/>
    <s v="n/a"/>
    <x v="188"/>
    <m/>
    <m/>
    <s v="n/a"/>
    <d v="2026-07-06T00:00:00"/>
    <x v="0"/>
    <x v="64"/>
    <s v="HSM-ND66-GK730"/>
    <s v="EVO2A"/>
    <s v="±1400mm"/>
    <n v="730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3"/>
    <n v="594"/>
    <s v="Transparent"/>
    <s v="n/a"/>
  </r>
  <r>
    <s v="26Jun027"/>
    <s v="Yixing"/>
    <s v="Main Line"/>
    <s v="CORE DG"/>
    <x v="2"/>
    <s v="n/a"/>
    <s v="CIF"/>
    <x v="0"/>
    <s v="U1"/>
    <x v="2"/>
    <m/>
    <m/>
    <s v="n/a"/>
    <d v="2026-06-01T00:00:00"/>
    <x v="7"/>
    <x v="114"/>
    <s v="HSM-GKA-NM720"/>
    <s v="EVO2A"/>
    <s v="+350mm/-280mm"/>
    <n v="720"/>
    <n v="594"/>
    <n v="0.42768"/>
    <n v="18"/>
    <n v="1"/>
    <x v="23"/>
    <s v=""/>
    <s v="看东南亚能不能消化"/>
    <m/>
    <s v=""/>
    <m/>
    <m/>
    <s v="SHANGHAI"/>
    <x v="1"/>
    <x v="23"/>
    <m/>
    <m/>
    <m/>
    <m/>
    <m/>
    <m/>
    <m/>
    <m/>
    <m/>
    <m/>
    <x v="296"/>
    <m/>
    <m/>
    <m/>
    <d v="2026-11-15T00:00:00"/>
    <s v="-"/>
    <s v=""/>
    <n v="14"/>
    <d v="2026-11-29T00:00:00"/>
    <s v="n/a"/>
    <s v="n/a"/>
    <n v="48"/>
    <n v="33"/>
    <n v="594"/>
    <s v="White glazing"/>
    <s v="n/a"/>
  </r>
  <r>
    <s v="26Jun028.04"/>
    <s v="Yixing"/>
    <s v="26Jun028"/>
    <s v="CORE DG"/>
    <x v="1"/>
    <s v="SPTN Offstore in Transit WH"/>
    <s v="FOB"/>
    <x v="13"/>
    <s v="U1"/>
    <x v="193"/>
    <m/>
    <m/>
    <s v="Yes"/>
    <d v="2026-06-01T00:00:00"/>
    <x v="1"/>
    <x v="4"/>
    <s v="TCL-MG720DT210-68NS"/>
    <s v="EVO2A"/>
    <s v="±1400mm"/>
    <n v="720"/>
    <n v="594"/>
    <n v="0.42768"/>
    <n v="18"/>
    <n v="1"/>
    <x v="9"/>
    <s v="COMPLETED"/>
    <s v="old stock"/>
    <d v="2026-07-03T00:00:00"/>
    <n v="27"/>
    <m/>
    <m/>
    <s v="SHANGHAI"/>
    <x v="1"/>
    <x v="23"/>
    <d v="2026-07-08T00:00:00"/>
    <d v="2026-07-08T00:00:00"/>
    <d v="2026-07-08T00:00:00"/>
    <d v="2026-08-30T00:00:00"/>
    <m/>
    <d v="2026-08-31T00:00:00"/>
    <s v="FOB"/>
    <s v="COSCO KOREA 094W"/>
    <s v="OTHER"/>
    <s v="TPVO2026062602"/>
    <x v="824"/>
    <s v="CHN3654856"/>
    <m/>
    <m/>
    <d v="2026-08-31T00:00:00"/>
    <s v="-"/>
    <s v=""/>
    <n v="0"/>
    <d v="2026-08-31T00:00:00"/>
    <n v="2026"/>
    <n v="8"/>
    <n v="36"/>
    <n v="33"/>
    <n v="594"/>
    <s v="White glazing"/>
    <s v="n/a"/>
  </r>
  <r>
    <s v="26Jun028.01"/>
    <s v="Yixing"/>
    <s v="26Jun028"/>
    <s v="CORE DG"/>
    <x v="1"/>
    <s v="SPTN Offstore in Transit WH"/>
    <s v="FOB"/>
    <x v="13"/>
    <s v="U1"/>
    <x v="193"/>
    <m/>
    <m/>
    <s v="Yes"/>
    <d v="2026-06-01T00:00:00"/>
    <x v="1"/>
    <x v="4"/>
    <s v="TCL-MG720DT210-68NS"/>
    <s v="EVO2A"/>
    <s v="±1400mm"/>
    <n v="720"/>
    <n v="594"/>
    <n v="0.42768"/>
    <n v="18"/>
    <n v="1"/>
    <x v="9"/>
    <s v="COMPLETED"/>
    <s v="old stock"/>
    <d v="2026-07-03T00:00:00"/>
    <n v="27"/>
    <m/>
    <m/>
    <s v="SHANGHAI"/>
    <x v="1"/>
    <x v="23"/>
    <d v="2026-07-08T00:00:00"/>
    <d v="2026-07-08T00:00:00"/>
    <d v="2026-07-08T00:00:00"/>
    <d v="2026-08-30T00:00:00"/>
    <m/>
    <d v="2026-08-31T00:00:00"/>
    <s v="FOB"/>
    <s v="COSCO KOREA 094W"/>
    <s v="OTHER"/>
    <s v="TPVO2026062603"/>
    <x v="825"/>
    <s v="CHN3654806"/>
    <m/>
    <m/>
    <d v="2026-08-31T00:00:00"/>
    <s v="-"/>
    <s v=""/>
    <n v="0"/>
    <d v="2026-08-31T00:00:00"/>
    <n v="2026"/>
    <n v="8"/>
    <n v="36"/>
    <n v="33"/>
    <n v="594"/>
    <s v="White glazing"/>
    <s v="n/a"/>
  </r>
  <r>
    <s v="26Jun031"/>
    <s v="Yixing"/>
    <s v="Main Line"/>
    <s v="CORE DG"/>
    <x v="1"/>
    <s v="SPTN Offstore in Transit WH"/>
    <s v="FOB"/>
    <x v="13"/>
    <s v="U1"/>
    <x v="193"/>
    <m/>
    <m/>
    <s v="Yes"/>
    <d v="2026-06-01T00:00:00"/>
    <x v="0"/>
    <x v="115"/>
    <s v="HSM-ND66-GR620"/>
    <s v="H4(Com)"/>
    <s v="±1400mm"/>
    <n v="620"/>
    <n v="720"/>
    <n v="0.44640000000000002"/>
    <n v="20"/>
    <n v="1"/>
    <x v="9"/>
    <s v="COMPLETED"/>
    <s v="old stock"/>
    <d v="2026-07-03T00:00:00"/>
    <n v="27"/>
    <m/>
    <m/>
    <s v="SHANGHAI"/>
    <x v="1"/>
    <x v="23"/>
    <d v="2026-07-08T00:00:00"/>
    <d v="2026-07-08T00:00:00"/>
    <d v="2026-07-08T00:00:00"/>
    <d v="2026-08-30T00:00:00"/>
    <m/>
    <d v="2026-08-31T00:00:00"/>
    <s v="FOB"/>
    <s v="COSCO KOREA 094W"/>
    <s v="OTHER"/>
    <s v="TPVO2026062603"/>
    <x v="825"/>
    <s v="CHN3654806"/>
    <m/>
    <m/>
    <d v="2026-08-31T00:00:00"/>
    <s v="-"/>
    <s v=""/>
    <n v="0"/>
    <d v="2026-08-31T00:00:00"/>
    <n v="2026"/>
    <n v="8"/>
    <n v="36"/>
    <n v="36"/>
    <n v="720"/>
    <s v="White glazing"/>
    <s v="n/a"/>
  </r>
  <r>
    <s v="26Aug010.04"/>
    <s v="Yixing"/>
    <s v="26Aug010"/>
    <s v="UPP"/>
    <x v="1"/>
    <s v="SPTN Offstore in Transit WH"/>
    <s v="CIF"/>
    <x v="13"/>
    <s v="U1"/>
    <x v="194"/>
    <m/>
    <m/>
    <s v="Yes"/>
    <m/>
    <x v="0"/>
    <x v="97"/>
    <s v="HSM-ND66-GR625"/>
    <s v="H4(Com)"/>
    <s v="+400mm/-200mm"/>
    <n v="625"/>
    <n v="1440"/>
    <n v="0.9"/>
    <n v="40"/>
    <n v="2"/>
    <x v="15"/>
    <s v="COMPLETED"/>
    <d v="2026-08-17T00:00:00"/>
    <d v="2026-08-18T00:00:00"/>
    <n v="34"/>
    <s v="TPVO2026080701"/>
    <m/>
    <s v="NINGBO"/>
    <x v="3"/>
    <x v="10"/>
    <d v="2026-08-24T00:00:00"/>
    <d v="2026-08-29T00:00:00"/>
    <d v="2026-08-29T00:00:00"/>
    <d v="2026-08-27T00:00:00"/>
    <d v="2026-09-03T00:00:00"/>
    <d v="2026-09-08T00:00:00"/>
    <s v="CIF"/>
    <s v="PHOENIX D/633S"/>
    <s v="OTHER"/>
    <s v="TPVO2026080701-1"/>
    <x v="826"/>
    <n v="275734828"/>
    <m/>
    <m/>
    <d v="2026-09-08T00:00:00"/>
    <s v="-"/>
    <s v=""/>
    <n v="0"/>
    <d v="2026-09-08T00:00:00"/>
    <n v="2026"/>
    <n v="9"/>
    <n v="37"/>
    <n v="36"/>
    <n v="720"/>
    <s v="Redirection Film"/>
    <s v="n/a"/>
  </r>
  <r>
    <s v="26Jul015"/>
    <s v="Yixing"/>
    <s v="Main Line"/>
    <s v="CORE DG"/>
    <x v="2"/>
    <s v="n/a"/>
    <s v="n/a"/>
    <x v="22"/>
    <s v="n/a"/>
    <x v="188"/>
    <m/>
    <m/>
    <s v="n/a"/>
    <d v="2026-08-03T00:00:00"/>
    <x v="11"/>
    <x v="94"/>
    <s v="HSM-NT48-JH470 CFP"/>
    <s v="EVO2A"/>
    <s v="±1200mm"/>
    <n v="470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936"/>
    <s v="White glazing"/>
    <s v="n/a"/>
  </r>
  <r>
    <s v="26Jul016"/>
    <s v="Yixing"/>
    <s v="Main Line"/>
    <s v="CORE DG"/>
    <x v="2"/>
    <s v="n/a"/>
    <s v="n/a"/>
    <x v="22"/>
    <s v="n/a"/>
    <x v="188"/>
    <m/>
    <m/>
    <s v="n/a"/>
    <d v="2026-07-31T00:00:00"/>
    <x v="11"/>
    <x v="89"/>
    <s v="HSM-NT48-JH475 CFP"/>
    <s v="EVO2A"/>
    <s v="±1200mm"/>
    <n v="475"/>
    <n v="0"/>
    <n v="0"/>
    <n v="0"/>
    <n v="0"/>
    <x v="23"/>
    <s v=""/>
    <s v="七月31日"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936"/>
    <s v="White glazing"/>
    <s v="n/a"/>
  </r>
  <r>
    <s v="26Jul001"/>
    <s v="Yixing"/>
    <s v="Main Line"/>
    <s v="CORE DG"/>
    <x v="2"/>
    <s v="n/a"/>
    <s v="n/a"/>
    <x v="22"/>
    <s v="n/a"/>
    <x v="188"/>
    <m/>
    <m/>
    <s v="n/a"/>
    <d v="2026-07-06T00:00:00"/>
    <x v="6"/>
    <x v="21"/>
    <s v="SPR-P7-510-BLK-P"/>
    <s v="EVO2A"/>
    <s v="±1350mm"/>
    <n v="510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792"/>
    <s v="Black glazing"/>
    <s v="n/a"/>
  </r>
  <r>
    <s v="26Jul002"/>
    <s v="Yixing"/>
    <s v="Main Line"/>
    <s v="CORE DG"/>
    <x v="2"/>
    <s v="n/a"/>
    <s v="n/a"/>
    <x v="22"/>
    <s v="n/a"/>
    <x v="188"/>
    <m/>
    <m/>
    <s v="n/a"/>
    <d v="2026-07-06T00:00:00"/>
    <x v="6"/>
    <x v="69"/>
    <s v="SPR-P7-515-BLK-P"/>
    <s v="EVO2A"/>
    <s v="±1350mm"/>
    <n v="515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792"/>
    <s v="Black glazing"/>
    <s v="n/a"/>
  </r>
  <r>
    <s v="26Jul003"/>
    <s v="Yixing"/>
    <s v="Main Line"/>
    <s v="CORE DG"/>
    <x v="2"/>
    <s v="n/a"/>
    <s v="n/a"/>
    <x v="22"/>
    <s v="n/a"/>
    <x v="188"/>
    <m/>
    <m/>
    <s v="n/a"/>
    <d v="2026-07-20T00:00:00"/>
    <x v="1"/>
    <x v="6"/>
    <s v="TCL-MR465DT182-58NS"/>
    <s v="EVO2A"/>
    <s v="±1200mm"/>
    <n v="465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864"/>
    <s v="White glazing"/>
    <s v="n/a"/>
  </r>
  <r>
    <s v="26Jul004"/>
    <s v="Yixing"/>
    <s v="Main Line"/>
    <s v="CORE DG"/>
    <x v="2"/>
    <s v="n/a"/>
    <s v="n/a"/>
    <x v="22"/>
    <s v="n/a"/>
    <x v="188"/>
    <m/>
    <m/>
    <s v="n/a"/>
    <d v="2026-07-20T00:00:00"/>
    <x v="1"/>
    <x v="39"/>
    <s v="TCL-MR470DT182-58NS"/>
    <s v="EVO2A"/>
    <s v="±1200mm"/>
    <n v="470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864"/>
    <s v="White glazing"/>
    <s v="n/a"/>
  </r>
  <r>
    <s v="26Jul005"/>
    <s v="Bengbu"/>
    <s v="Main Line"/>
    <s v="CORE DG"/>
    <x v="2"/>
    <s v="n/a"/>
    <s v="n/a"/>
    <x v="22"/>
    <s v="n/a"/>
    <x v="188"/>
    <m/>
    <m/>
    <s v="n/a"/>
    <d v="2026-07-20T00:00:00"/>
    <x v="0"/>
    <x v="7"/>
    <s v="HSM-ND48-DR450"/>
    <s v="EVO2A"/>
    <s v="±1200mm"/>
    <n v="450"/>
    <n v="0"/>
    <n v="0"/>
    <n v="0"/>
    <n v="0"/>
    <x v="23"/>
    <s v=""/>
    <s v="八月4日"/>
    <m/>
    <s v=""/>
    <m/>
    <m/>
    <s v="Shanghai/Bengbu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936"/>
    <s v="Black glazing"/>
    <s v="n/a"/>
  </r>
  <r>
    <s v="26Jul006"/>
    <s v="Bengbu"/>
    <s v="Main Line"/>
    <s v="CORE DG"/>
    <x v="2"/>
    <s v="n/a"/>
    <s v="n/a"/>
    <x v="22"/>
    <s v="n/a"/>
    <x v="188"/>
    <m/>
    <m/>
    <s v="n/a"/>
    <d v="2026-07-20T00:00:00"/>
    <x v="0"/>
    <x v="35"/>
    <s v="HSM-ND48-DR455"/>
    <s v="EVO2A"/>
    <s v="±1200mm"/>
    <n v="455"/>
    <n v="0"/>
    <n v="0"/>
    <n v="0"/>
    <n v="0"/>
    <x v="23"/>
    <s v=""/>
    <m/>
    <m/>
    <s v=""/>
    <m/>
    <m/>
    <s v="Shanghai/Bengbu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936"/>
    <s v="Black glazing"/>
    <s v="n/a"/>
  </r>
  <r>
    <s v="26Jul007"/>
    <s v="Quzhou"/>
    <s v="Main Line"/>
    <s v="CORE DG"/>
    <x v="2"/>
    <s v="n/a"/>
    <s v="n/a"/>
    <x v="22"/>
    <s v="n/a"/>
    <x v="188"/>
    <m/>
    <m/>
    <s v="n/a"/>
    <d v="2026-07-06T00:00:00"/>
    <x v="0"/>
    <x v="0"/>
    <s v="HSM-ND54-DR500"/>
    <s v="EVO2A"/>
    <s v="±1200mm"/>
    <n v="500"/>
    <n v="0"/>
    <n v="0"/>
    <n v="0"/>
    <n v="0"/>
    <x v="23"/>
    <s v=""/>
    <m/>
    <m/>
    <s v=""/>
    <m/>
    <m/>
    <s v="NINGBO"/>
    <x v="3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864"/>
    <s v="Black glazing"/>
    <s v="n/a"/>
  </r>
  <r>
    <s v="26Jul008"/>
    <s v="Quzhou"/>
    <s v="Main Line"/>
    <s v="CORE DG"/>
    <x v="2"/>
    <s v="n/a"/>
    <s v="n/a"/>
    <x v="22"/>
    <s v="n/a"/>
    <x v="188"/>
    <m/>
    <m/>
    <s v="n/a"/>
    <d v="2026-07-06T00:00:00"/>
    <x v="0"/>
    <x v="43"/>
    <s v="HSM-ND54-DR505"/>
    <s v="EVO2A"/>
    <s v="±1200mm"/>
    <n v="505"/>
    <n v="0"/>
    <n v="0"/>
    <n v="0"/>
    <n v="0"/>
    <x v="23"/>
    <s v=""/>
    <m/>
    <m/>
    <s v=""/>
    <m/>
    <m/>
    <s v="NINGBO"/>
    <x v="3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864"/>
    <s v="Black glazing"/>
    <s v="n/a"/>
  </r>
  <r>
    <s v="26Jul009"/>
    <s v="Yixing"/>
    <s v="Main Line"/>
    <s v="CORE DG"/>
    <x v="0"/>
    <s v="Arrival Plan-SPNL"/>
    <s v="CIF"/>
    <x v="0"/>
    <s v="U1"/>
    <x v="2"/>
    <m/>
    <m/>
    <s v="n/a"/>
    <d v="2026-08-17T00:00:00"/>
    <x v="11"/>
    <x v="101"/>
    <s v="HSM-NT48-HH475"/>
    <s v="EVO2A"/>
    <s v="±1200mm"/>
    <n v="475"/>
    <n v="288"/>
    <n v="0.1368"/>
    <n v="8"/>
    <n v="0.30769230769230771"/>
    <x v="27"/>
    <s v=""/>
    <s v="凑一柜,ready"/>
    <m/>
    <s v=""/>
    <m/>
    <m/>
    <s v="SHANGHAI"/>
    <x v="1"/>
    <x v="1"/>
    <d v="2026-11-09T00:00:00"/>
    <m/>
    <s v=""/>
    <d v="2026-12-16T00:00:00"/>
    <m/>
    <s v=""/>
    <m/>
    <s v="EVER ART 1426-016W"/>
    <s v="OTHER"/>
    <m/>
    <x v="827"/>
    <s v="EGLV149610205048"/>
    <m/>
    <m/>
    <d v="2026-12-16T00:00:00"/>
    <s v="-"/>
    <s v=""/>
    <n v="7"/>
    <d v="2026-12-23T00:00:00"/>
    <n v="2026"/>
    <n v="12"/>
    <n v="52"/>
    <n v="36"/>
    <n v="936"/>
    <s v="Black glazing"/>
    <s v="AEU"/>
  </r>
  <r>
    <s v="26Jul010"/>
    <s v="Yixing"/>
    <s v="Main Line"/>
    <s v="CORE DG"/>
    <x v="0"/>
    <s v="Arrival Plan-SPNL"/>
    <s v="CIF"/>
    <x v="0"/>
    <s v="U1"/>
    <x v="2"/>
    <m/>
    <m/>
    <s v="n/a"/>
    <d v="2026-08-17T00:00:00"/>
    <x v="11"/>
    <x v="83"/>
    <s v="HSM-NT48-HH470"/>
    <s v="EVO2A"/>
    <s v="±1200mm"/>
    <n v="470"/>
    <n v="576"/>
    <n v="0.27072000000000002"/>
    <n v="16"/>
    <n v="0.61538461538461542"/>
    <x v="27"/>
    <s v=""/>
    <s v="凑一柜,ready"/>
    <m/>
    <s v=""/>
    <m/>
    <m/>
    <s v="SHANGHAI"/>
    <x v="1"/>
    <x v="1"/>
    <d v="2026-11-09T00:00:00"/>
    <m/>
    <s v=""/>
    <d v="2026-12-16T00:00:00"/>
    <m/>
    <s v=""/>
    <m/>
    <s v="EVER ART 1426-016W"/>
    <s v="OTHER"/>
    <m/>
    <x v="827"/>
    <s v="EGLV149610205048"/>
    <m/>
    <m/>
    <d v="2026-12-16T00:00:00"/>
    <s v="-"/>
    <s v=""/>
    <n v="7"/>
    <d v="2026-12-23T00:00:00"/>
    <n v="2026"/>
    <n v="12"/>
    <n v="52"/>
    <n v="36"/>
    <n v="936"/>
    <s v="Black glazing"/>
    <s v="AEU"/>
  </r>
  <r>
    <s v="26Jul020"/>
    <s v="Yixing"/>
    <s v="Main Line"/>
    <s v="CORE DG"/>
    <x v="0"/>
    <s v="Arrival Plan-SPNL"/>
    <s v="CIF"/>
    <x v="0"/>
    <s v="U1"/>
    <x v="2"/>
    <m/>
    <m/>
    <s v="n/a"/>
    <d v="2026-08-17T00:00:00"/>
    <x v="11"/>
    <x v="104"/>
    <s v="HSM-NT48-HH480"/>
    <s v="EVO2A"/>
    <s v="±1200mm"/>
    <n v="480"/>
    <n v="72"/>
    <n v="3.456E-2"/>
    <n v="2"/>
    <n v="7.6923076923076927E-2"/>
    <x v="27"/>
    <s v=""/>
    <s v="凑一柜,ready"/>
    <m/>
    <s v=""/>
    <m/>
    <m/>
    <s v="SHANGHAI"/>
    <x v="1"/>
    <x v="1"/>
    <d v="2026-11-09T00:00:00"/>
    <m/>
    <s v=""/>
    <d v="2026-12-16T00:00:00"/>
    <m/>
    <s v=""/>
    <m/>
    <s v="EVER ART 1426-016W"/>
    <s v="OTHER"/>
    <m/>
    <x v="827"/>
    <s v="EGLV149610205048"/>
    <m/>
    <m/>
    <d v="2026-12-16T00:00:00"/>
    <s v="-"/>
    <s v=""/>
    <n v="7"/>
    <d v="2026-12-23T00:00:00"/>
    <n v="2026"/>
    <n v="12"/>
    <n v="52"/>
    <n v="36"/>
    <n v="936"/>
    <s v="Black glazing"/>
    <s v="AEU"/>
  </r>
  <r>
    <s v="26Jul011"/>
    <s v="Tianjin"/>
    <s v="Main Line"/>
    <s v="CORE DG"/>
    <x v="2"/>
    <s v="n/a"/>
    <s v="n/a"/>
    <x v="22"/>
    <s v="n/a"/>
    <x v="188"/>
    <m/>
    <m/>
    <s v="n/a"/>
    <d v="2026-07-06T00:00:00"/>
    <x v="3"/>
    <x v="88"/>
    <s v="HSM-BD66-GR650"/>
    <s v="H4(Com)"/>
    <s v="±1400mm"/>
    <n v="650"/>
    <n v="0"/>
    <n v="0"/>
    <n v="0"/>
    <n v="0"/>
    <x v="23"/>
    <s v=""/>
    <m/>
    <m/>
    <s v=""/>
    <m/>
    <m/>
    <s v="TIANJIN"/>
    <x v="0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720"/>
    <s v="White glazing"/>
    <s v="n/a"/>
  </r>
  <r>
    <s v="26Jul012"/>
    <s v="Tianjin"/>
    <s v="Main Line"/>
    <s v="CORE DG"/>
    <x v="2"/>
    <s v="n/a"/>
    <s v="n/a"/>
    <x v="22"/>
    <s v="n/a"/>
    <x v="188"/>
    <m/>
    <m/>
    <s v="n/a"/>
    <d v="2026-07-06T00:00:00"/>
    <x v="3"/>
    <x v="85"/>
    <s v="HSM-BD66-GR655"/>
    <s v="H4(Com)"/>
    <s v="±1400mm"/>
    <n v="655"/>
    <n v="0"/>
    <n v="0"/>
    <n v="0"/>
    <n v="0"/>
    <x v="23"/>
    <s v=""/>
    <m/>
    <m/>
    <s v=""/>
    <m/>
    <m/>
    <s v="TIANJIN"/>
    <x v="0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720"/>
    <s v="White glazing"/>
    <s v="n/a"/>
  </r>
  <r>
    <s v="26Jul019"/>
    <s v="Yixing"/>
    <s v="Main Line"/>
    <s v="CORE DG"/>
    <x v="2"/>
    <s v="n/a"/>
    <s v="n/a"/>
    <x v="22"/>
    <s v="n/a"/>
    <x v="188"/>
    <m/>
    <m/>
    <s v="n/a"/>
    <d v="2026-07-31T00:00:00"/>
    <x v="11"/>
    <x v="98"/>
    <s v="HSM-NT48-JH480 CFP"/>
    <s v="EVO2A"/>
    <s v="±1200mm"/>
    <n v="480"/>
    <n v="0"/>
    <n v="0"/>
    <n v="0"/>
    <n v="0"/>
    <x v="23"/>
    <s v=""/>
    <m/>
    <m/>
    <s v=""/>
    <m/>
    <m/>
    <s v="SHANGHAI"/>
    <x v="1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936"/>
    <s v="White glazing"/>
    <s v="n/a"/>
  </r>
  <r>
    <s v="26Jul017"/>
    <s v="Quzhou"/>
    <s v="Main Line"/>
    <s v="CORE DG"/>
    <x v="2"/>
    <s v="n/a"/>
    <s v="n/a"/>
    <x v="22"/>
    <s v="n/a"/>
    <x v="188"/>
    <m/>
    <m/>
    <s v="n/a"/>
    <d v="2026-07-27T00:00:00"/>
    <x v="3"/>
    <x v="91"/>
    <s v="HSM-BE54-DD485"/>
    <s v="EVO2A"/>
    <s v="±1200mm"/>
    <n v="485"/>
    <n v="0"/>
    <n v="0"/>
    <n v="0"/>
    <n v="0"/>
    <x v="23"/>
    <s v=""/>
    <m/>
    <m/>
    <s v=""/>
    <m/>
    <m/>
    <s v="NINGBO"/>
    <x v="3"/>
    <x v="23"/>
    <m/>
    <m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936"/>
    <s v="Black glazing"/>
    <s v="n/a"/>
  </r>
  <r>
    <s v="26Jul018"/>
    <s v="Quzhou"/>
    <s v="Main Line"/>
    <s v="CORE DG"/>
    <x v="2"/>
    <s v="n/a"/>
    <s v="n/a"/>
    <x v="22"/>
    <s v="n/a"/>
    <x v="188"/>
    <m/>
    <m/>
    <s v="n/a"/>
    <d v="2026-07-27T00:00:00"/>
    <x v="3"/>
    <x v="96"/>
    <s v="HSM-BE54-DD490"/>
    <s v="EVO2A"/>
    <s v="±1200mm"/>
    <n v="490"/>
    <n v="0"/>
    <n v="0"/>
    <n v="0"/>
    <n v="0"/>
    <x v="23"/>
    <s v=""/>
    <m/>
    <m/>
    <s v=""/>
    <m/>
    <m/>
    <s v="NINGBO"/>
    <x v="3"/>
    <x v="23"/>
    <m/>
    <s v=""/>
    <s v=""/>
    <m/>
    <s v=""/>
    <s v=""/>
    <m/>
    <m/>
    <m/>
    <m/>
    <x v="296"/>
    <m/>
    <m/>
    <m/>
    <s v="n/a"/>
    <s v="-"/>
    <s v=""/>
    <n v="14"/>
    <s v="n/a"/>
    <e v="#VALUE!"/>
    <e v="#VALUE!"/>
    <n v="0"/>
    <n v="36"/>
    <n v="936"/>
    <s v="Black glazing"/>
    <s v="n/a"/>
  </r>
  <r>
    <s v="26Aug001"/>
    <s v="Yixing"/>
    <s v="Main Line"/>
    <s v="CORE DG"/>
    <x v="2"/>
    <s v="n/a"/>
    <s v="n/a"/>
    <x v="22"/>
    <s v="n/a"/>
    <x v="188"/>
    <m/>
    <m/>
    <s v="n/a"/>
    <d v="2026-07-12T00:00:00"/>
    <x v="6"/>
    <x v="21"/>
    <s v="SPR-P7-510-BLK-P"/>
    <s v="EVO2A"/>
    <s v="±1350mm"/>
    <n v="510"/>
    <n v="0"/>
    <n v="0"/>
    <n v="0"/>
    <n v="0"/>
    <x v="23"/>
    <s v=""/>
    <m/>
    <m/>
    <s v=""/>
    <m/>
    <m/>
    <s v="SHANGHAI"/>
    <x v="1"/>
    <x v="23"/>
    <m/>
    <s v=""/>
    <s v=""/>
    <m/>
    <s v=""/>
    <s v=""/>
    <m/>
    <m/>
    <m/>
    <m/>
    <x v="296"/>
    <m/>
    <m/>
    <m/>
    <s v="n/a"/>
    <s v="-"/>
    <s v=""/>
    <n v="14"/>
    <s v="n/a"/>
    <e v="#VALUE!"/>
    <e v="#VALUE!"/>
    <n v="0"/>
    <n v="36"/>
    <n v="792"/>
    <s v="Black glazing"/>
    <s v="n/a"/>
  </r>
  <r>
    <s v="26Aug002"/>
    <s v="Yixing"/>
    <s v="Main Line"/>
    <s v="CORE DG"/>
    <x v="2"/>
    <s v="n/a"/>
    <s v="n/a"/>
    <x v="22"/>
    <s v="n/a"/>
    <x v="188"/>
    <m/>
    <m/>
    <s v="n/a"/>
    <d v="2026-07-12T00:00:00"/>
    <x v="6"/>
    <x v="69"/>
    <s v="SPR-P7-515-BLK-P"/>
    <s v="EVO2A"/>
    <s v="±1350mm"/>
    <n v="515"/>
    <n v="0"/>
    <n v="0"/>
    <n v="0"/>
    <n v="0"/>
    <x v="23"/>
    <s v=""/>
    <m/>
    <m/>
    <s v=""/>
    <m/>
    <m/>
    <s v="SHANGHAI"/>
    <x v="1"/>
    <x v="23"/>
    <m/>
    <s v=""/>
    <s v=""/>
    <m/>
    <s v=""/>
    <s v=""/>
    <m/>
    <m/>
    <m/>
    <m/>
    <x v="296"/>
    <m/>
    <m/>
    <m/>
    <s v="n/a"/>
    <s v="-"/>
    <s v=""/>
    <n v="14"/>
    <s v="n/a"/>
    <s v="n/a"/>
    <s v="n/a"/>
    <n v="0"/>
    <n v="36"/>
    <n v="792"/>
    <s v="Black glazing"/>
    <s v="n/a"/>
  </r>
  <r>
    <s v="26Aug003"/>
    <s v="Tianjin"/>
    <s v="Main Line"/>
    <s v="CORE DG"/>
    <x v="2"/>
    <s v="n/a"/>
    <s v="n/a"/>
    <x v="22"/>
    <s v="n/a"/>
    <x v="188"/>
    <m/>
    <m/>
    <s v="n/a"/>
    <d v="2026-08-03T00:00:00"/>
    <x v="0"/>
    <x v="0"/>
    <s v="HSM-ND54-DR500"/>
    <s v="EVO2A"/>
    <s v="±1200mm"/>
    <n v="500"/>
    <n v="0"/>
    <n v="0"/>
    <n v="0"/>
    <n v="0"/>
    <x v="23"/>
    <s v=""/>
    <m/>
    <m/>
    <s v=""/>
    <m/>
    <m/>
    <s v="TIANJIN"/>
    <x v="0"/>
    <x v="23"/>
    <m/>
    <s v=""/>
    <s v=""/>
    <m/>
    <s v=""/>
    <s v=""/>
    <m/>
    <m/>
    <m/>
    <m/>
    <x v="296"/>
    <m/>
    <m/>
    <m/>
    <s v="n/a"/>
    <s v="-"/>
    <s v=""/>
    <n v="14"/>
    <s v="n/a"/>
    <s v="n/a"/>
    <s v="n/a"/>
    <n v="0"/>
    <n v="36"/>
    <n v="864"/>
    <s v="Black glazing"/>
    <s v="n/a"/>
  </r>
  <r>
    <s v="26Aug004"/>
    <s v="Tianjin"/>
    <s v="Main Line"/>
    <s v="CORE DG"/>
    <x v="2"/>
    <s v="n/a"/>
    <s v="n/a"/>
    <x v="22"/>
    <s v="n/a"/>
    <x v="188"/>
    <m/>
    <m/>
    <s v="n/a"/>
    <d v="2026-08-03T00:00:00"/>
    <x v="0"/>
    <x v="43"/>
    <s v="HSM-ND54-DR505"/>
    <s v="EVO2A"/>
    <s v="±1200mm"/>
    <n v="505"/>
    <n v="0"/>
    <n v="0"/>
    <n v="0"/>
    <n v="0"/>
    <x v="23"/>
    <s v=""/>
    <s v="八月16日"/>
    <m/>
    <s v=""/>
    <m/>
    <m/>
    <s v="TIANJIN"/>
    <x v="0"/>
    <x v="23"/>
    <m/>
    <s v=""/>
    <s v=""/>
    <m/>
    <s v=""/>
    <s v=""/>
    <m/>
    <m/>
    <m/>
    <m/>
    <x v="296"/>
    <m/>
    <m/>
    <m/>
    <s v="n/a"/>
    <s v="-"/>
    <s v=""/>
    <n v="14"/>
    <s v="n/a"/>
    <s v="n/a"/>
    <s v="n/a"/>
    <n v="0"/>
    <n v="36"/>
    <n v="864"/>
    <s v="Black glazing"/>
    <s v="n/a"/>
  </r>
  <r>
    <s v="26Aug006"/>
    <s v="Tianjin"/>
    <s v="Main Line"/>
    <s v="CORE DG"/>
    <x v="2"/>
    <s v="n/a"/>
    <s v="n/a"/>
    <x v="22"/>
    <s v="n/a"/>
    <x v="188"/>
    <m/>
    <m/>
    <s v="n/a"/>
    <d v="2026-08-24T00:00:00"/>
    <x v="0"/>
    <x v="26"/>
    <s v="HSM-ND54-DR505 CFP"/>
    <s v="EVO2A"/>
    <s v="±1200mm"/>
    <n v="505"/>
    <n v="0"/>
    <n v="0"/>
    <n v="0"/>
    <n v="0"/>
    <x v="23"/>
    <s v=""/>
    <m/>
    <m/>
    <s v=""/>
    <m/>
    <m/>
    <s v="TIANJIN"/>
    <x v="0"/>
    <x v="23"/>
    <m/>
    <s v=""/>
    <s v=""/>
    <m/>
    <s v=""/>
    <s v=""/>
    <m/>
    <m/>
    <m/>
    <m/>
    <x v="296"/>
    <m/>
    <m/>
    <m/>
    <s v="n/a"/>
    <s v="-"/>
    <s v=""/>
    <n v="14"/>
    <s v="n/a"/>
    <e v="#VALUE!"/>
    <e v="#VALUE!"/>
    <n v="0"/>
    <n v="36"/>
    <n v="864"/>
    <s v="Black glazing"/>
    <s v="n/a"/>
  </r>
  <r>
    <s v="26Aug007"/>
    <s v="Quzhou"/>
    <s v="Main Line"/>
    <s v="CORE DG"/>
    <x v="2"/>
    <s v="n/a"/>
    <s v="n/a"/>
    <x v="22"/>
    <s v="n/a"/>
    <x v="188"/>
    <m/>
    <m/>
    <s v="n/a"/>
    <d v="2026-08-24T00:00:00"/>
    <x v="3"/>
    <x v="91"/>
    <s v="HSM-BE54-DD485"/>
    <s v="EVO2A"/>
    <s v="±1200mm"/>
    <n v="485"/>
    <n v="0"/>
    <n v="0"/>
    <n v="0"/>
    <n v="0"/>
    <x v="23"/>
    <s v=""/>
    <m/>
    <m/>
    <s v=""/>
    <m/>
    <m/>
    <s v="NINGBO"/>
    <x v="3"/>
    <x v="23"/>
    <m/>
    <s v=""/>
    <s v=""/>
    <m/>
    <s v=""/>
    <s v=""/>
    <m/>
    <m/>
    <m/>
    <m/>
    <x v="296"/>
    <m/>
    <m/>
    <m/>
    <s v="n/a"/>
    <s v="-"/>
    <s v=""/>
    <n v="14"/>
    <s v="n/a"/>
    <e v="#VALUE!"/>
    <e v="#VALUE!"/>
    <n v="0"/>
    <n v="36"/>
    <n v="936"/>
    <s v="Black glazing"/>
    <s v="n/a"/>
  </r>
  <r>
    <s v="26Aug008"/>
    <s v="Quzhou"/>
    <s v="Main Line"/>
    <s v="CORE DG"/>
    <x v="2"/>
    <s v="n/a"/>
    <s v="n/a"/>
    <x v="22"/>
    <s v="n/a"/>
    <x v="188"/>
    <m/>
    <m/>
    <s v="n/a"/>
    <s v="Aug"/>
    <x v="3"/>
    <x v="96"/>
    <s v="HSM-BE54-DD490"/>
    <s v="EVO2A"/>
    <s v="±1200mm"/>
    <n v="490"/>
    <n v="0"/>
    <n v="0"/>
    <n v="0"/>
    <n v="0"/>
    <x v="23"/>
    <s v=""/>
    <m/>
    <m/>
    <s v=""/>
    <m/>
    <m/>
    <s v="NINGBO"/>
    <x v="3"/>
    <x v="23"/>
    <m/>
    <s v=""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936"/>
    <s v="Black glazing"/>
    <s v="n/a"/>
  </r>
  <r>
    <s v="26Aug010"/>
    <s v="Yixing"/>
    <s v="Main Line"/>
    <s v="UPP"/>
    <x v="2"/>
    <s v="n/a"/>
    <s v="n/a"/>
    <x v="22"/>
    <s v="n/a"/>
    <x v="188"/>
    <m/>
    <m/>
    <s v="n/a"/>
    <m/>
    <x v="0"/>
    <x v="97"/>
    <s v="HSM-ND66-GR625"/>
    <s v="H4(Com)"/>
    <s v="+400mm/-200mm"/>
    <n v="625"/>
    <n v="0"/>
    <n v="0"/>
    <n v="0"/>
    <n v="0"/>
    <x v="23"/>
    <s v=""/>
    <m/>
    <m/>
    <s v=""/>
    <m/>
    <m/>
    <s v="SHANGHAI"/>
    <x v="1"/>
    <x v="23"/>
    <m/>
    <s v=""/>
    <s v=""/>
    <m/>
    <m/>
    <s v=""/>
    <m/>
    <m/>
    <m/>
    <m/>
    <x v="296"/>
    <m/>
    <m/>
    <m/>
    <s v="n/a"/>
    <s v="-"/>
    <s v=""/>
    <n v="14"/>
    <s v="n/a"/>
    <s v="n/a"/>
    <s v="n/a"/>
    <n v="0"/>
    <n v="36"/>
    <n v="720"/>
    <s v="Redirection Film"/>
    <s v="n/a"/>
  </r>
  <r>
    <s v="26Aug010.12"/>
    <s v="Yixing"/>
    <s v="26Aug010"/>
    <s v="UPP"/>
    <x v="2"/>
    <s v="n/a"/>
    <s v="n/a"/>
    <x v="22"/>
    <s v="n/a"/>
    <x v="188"/>
    <m/>
    <m/>
    <s v="n/a"/>
    <m/>
    <x v="0"/>
    <x v="97"/>
    <s v="HSM-ND66-GR625"/>
    <s v="H4(Com)"/>
    <s v="+400mm/-200mm"/>
    <n v="625"/>
    <n v="2880"/>
    <n v="1.8"/>
    <n v="80"/>
    <n v="4"/>
    <x v="23"/>
    <s v=""/>
    <s v="ready"/>
    <m/>
    <s v=""/>
    <m/>
    <m/>
    <s v="SHANGHAI"/>
    <x v="1"/>
    <x v="23"/>
    <m/>
    <s v=""/>
    <s v=""/>
    <m/>
    <m/>
    <s v=""/>
    <m/>
    <m/>
    <m/>
    <m/>
    <x v="296"/>
    <m/>
    <m/>
    <m/>
    <s v="n/a"/>
    <s v="-"/>
    <d v="1899-12-30T00:00:00"/>
    <n v="14"/>
    <s v="n/a"/>
    <s v="n/a"/>
    <s v="n/a"/>
    <n v="0"/>
    <n v="36"/>
    <n v="720"/>
    <s v="Redirection Film"/>
    <s v="n/a"/>
  </r>
  <r>
    <s v="26Aug025"/>
    <s v="Yixing"/>
    <s v="Main Line"/>
    <s v="UPP"/>
    <x v="2"/>
    <s v="n/a"/>
    <s v="n/a"/>
    <x v="22"/>
    <s v="n/a"/>
    <x v="188"/>
    <m/>
    <m/>
    <s v="n/a"/>
    <m/>
    <x v="0"/>
    <x v="99"/>
    <s v="HSM-ND66-GR630"/>
    <s v="H4(Com)"/>
    <s v="+400mm/-200mm"/>
    <n v="630"/>
    <n v="0"/>
    <n v="0"/>
    <n v="0"/>
    <n v="0"/>
    <x v="23"/>
    <s v=""/>
    <m/>
    <m/>
    <s v=""/>
    <m/>
    <m/>
    <s v="SHANGHAI"/>
    <x v="1"/>
    <x v="23"/>
    <m/>
    <s v=""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720"/>
    <s v="Redirection Film"/>
    <s v="n/a"/>
  </r>
  <r>
    <s v="26Aug025.08"/>
    <s v="Yixing"/>
    <s v="26Aug025"/>
    <s v="UPP"/>
    <x v="2"/>
    <s v="n/a"/>
    <s v="n/a"/>
    <x v="22"/>
    <s v="n/a"/>
    <x v="188"/>
    <m/>
    <m/>
    <s v="n/a"/>
    <m/>
    <x v="0"/>
    <x v="99"/>
    <s v="HSM-ND66-GR630"/>
    <s v="H4(Com)"/>
    <s v="+400mm/-200mm"/>
    <n v="630"/>
    <n v="6480"/>
    <n v="4.0823999999999998"/>
    <n v="180"/>
    <n v="9"/>
    <x v="24"/>
    <s v=""/>
    <s v="缅甸，ready"/>
    <m/>
    <s v=""/>
    <m/>
    <m/>
    <s v="SHANGHAI"/>
    <x v="1"/>
    <x v="23"/>
    <m/>
    <s v=""/>
    <s v=""/>
    <m/>
    <m/>
    <s v=""/>
    <m/>
    <m/>
    <m/>
    <m/>
    <x v="296"/>
    <m/>
    <m/>
    <m/>
    <s v="n/a"/>
    <s v="-"/>
    <s v=""/>
    <n v="14"/>
    <s v="n/a"/>
    <e v="#VALUE!"/>
    <e v="#VALUE!"/>
    <n v="0"/>
    <n v="36"/>
    <n v="720"/>
    <s v="Redirection Film"/>
    <s v="n/a"/>
  </r>
  <r>
    <s v="26Aug011"/>
    <s v="Tianjin"/>
    <s v="Main Line"/>
    <s v="UPP"/>
    <x v="1"/>
    <s v="SPTN Offstore in Transit WH"/>
    <s v="FOB"/>
    <x v="10"/>
    <s v="U4"/>
    <x v="178"/>
    <s v="DE0126080600001"/>
    <m/>
    <s v="Yes"/>
    <m/>
    <x v="3"/>
    <x v="102"/>
    <s v="HSM-BD66-GR650"/>
    <s v="H4(Com)"/>
    <s v="+400mm/-200mm"/>
    <n v="650"/>
    <n v="0"/>
    <n v="0"/>
    <n v="0"/>
    <n v="0"/>
    <x v="23"/>
    <s v=""/>
    <m/>
    <m/>
    <s v=""/>
    <m/>
    <m/>
    <s v="TIANJIN"/>
    <x v="0"/>
    <x v="1"/>
    <m/>
    <s v=""/>
    <s v=""/>
    <m/>
    <m/>
    <s v=""/>
    <m/>
    <m/>
    <m/>
    <m/>
    <x v="296"/>
    <m/>
    <m/>
    <m/>
    <s v="n/a"/>
    <s v="-"/>
    <s v=""/>
    <n v="0"/>
    <s v="n/a"/>
    <s v="n/a"/>
    <s v="n/a"/>
    <n v="0"/>
    <n v="36"/>
    <n v="720"/>
    <s v="White glazing"/>
    <s v="AEU"/>
  </r>
  <r>
    <s v="26Aug015"/>
    <s v="Yixing"/>
    <s v="Main Line"/>
    <s v="CORE DG"/>
    <x v="2"/>
    <s v="n/a"/>
    <s v="n/a"/>
    <x v="22"/>
    <s v="n/a"/>
    <x v="188"/>
    <m/>
    <m/>
    <s v="n/a"/>
    <d v="2026-09-20T00:00:00"/>
    <x v="6"/>
    <x v="21"/>
    <s v="SPR-P7-510-BLK-P"/>
    <s v="EVO2A"/>
    <s v="±1350mm"/>
    <n v="510"/>
    <n v="0"/>
    <n v="0"/>
    <n v="0"/>
    <n v="0"/>
    <x v="23"/>
    <s v=""/>
    <m/>
    <m/>
    <s v=""/>
    <m/>
    <m/>
    <s v="SHANGHAI"/>
    <x v="1"/>
    <x v="23"/>
    <m/>
    <s v=""/>
    <s v=""/>
    <m/>
    <m/>
    <s v=""/>
    <m/>
    <m/>
    <m/>
    <m/>
    <x v="296"/>
    <m/>
    <m/>
    <m/>
    <s v="n/a"/>
    <s v="-"/>
    <s v=""/>
    <n v="14"/>
    <s v="n/a"/>
    <s v="n/a"/>
    <s v="n/a"/>
    <n v="0"/>
    <n v="36"/>
    <n v="792"/>
    <s v="Black glazing"/>
    <s v="n/a"/>
  </r>
  <r>
    <s v="26Aug016"/>
    <s v="Yixing"/>
    <s v="Main Line"/>
    <s v="CORE DG"/>
    <x v="2"/>
    <s v="n/a"/>
    <s v="n/a"/>
    <x v="22"/>
    <s v="n/a"/>
    <x v="188"/>
    <m/>
    <m/>
    <s v="n/a"/>
    <d v="2026-09-17T00:00:00"/>
    <x v="6"/>
    <x v="69"/>
    <s v="SPR-P7-515-BLK-P"/>
    <s v="EVO2A"/>
    <s v="±1350mm"/>
    <n v="515"/>
    <n v="0"/>
    <n v="0"/>
    <n v="0"/>
    <n v="0"/>
    <x v="23"/>
    <s v=""/>
    <m/>
    <m/>
    <s v=""/>
    <m/>
    <m/>
    <s v="SHANGHAI"/>
    <x v="1"/>
    <x v="23"/>
    <m/>
    <s v=""/>
    <s v=""/>
    <m/>
    <m/>
    <s v=""/>
    <m/>
    <m/>
    <m/>
    <m/>
    <x v="296"/>
    <m/>
    <m/>
    <m/>
    <s v="n/a"/>
    <s v="-"/>
    <s v=""/>
    <n v="14"/>
    <s v="n/a"/>
    <s v="n/a"/>
    <s v="n/a"/>
    <n v="0"/>
    <n v="36"/>
    <n v="792"/>
    <s v="Black glazing"/>
    <s v="n/a"/>
  </r>
  <r>
    <s v="26Aug017"/>
    <s v="Yixing"/>
    <s v="Main Line"/>
    <s v="CORE DG"/>
    <x v="2"/>
    <s v="n/a"/>
    <s v="n/a"/>
    <x v="22"/>
    <s v="n/a"/>
    <x v="188"/>
    <m/>
    <m/>
    <s v="n/a"/>
    <d v="2026-10-10T00:00:00"/>
    <x v="2"/>
    <x v="5"/>
    <s v="SPR-P7-555-COM-S"/>
    <s v="EVO2A"/>
    <s v="±1400mm"/>
    <n v="555"/>
    <n v="0"/>
    <n v="0"/>
    <n v="0"/>
    <n v="0"/>
    <x v="23"/>
    <m/>
    <m/>
    <m/>
    <m/>
    <m/>
    <m/>
    <s v="SHANGHAI"/>
    <x v="1"/>
    <x v="23"/>
    <m/>
    <s v=""/>
    <s v=""/>
    <m/>
    <m/>
    <m/>
    <m/>
    <m/>
    <m/>
    <m/>
    <x v="296"/>
    <m/>
    <m/>
    <m/>
    <s v="n/a"/>
    <s v="-"/>
    <s v=""/>
    <n v="14"/>
    <s v="n/a"/>
    <e v="#VALUE!"/>
    <e v="#VALUE!"/>
    <n v="0"/>
    <n v="33"/>
    <n v="660"/>
    <s v="White glazing"/>
    <s v="n/a"/>
  </r>
  <r>
    <s v="26Aug018"/>
    <s v="Yixing"/>
    <s v="Main Line"/>
    <s v="CORE DG"/>
    <x v="2"/>
    <s v="n/a"/>
    <s v="n/a"/>
    <x v="22"/>
    <s v="n/a"/>
    <x v="188"/>
    <m/>
    <m/>
    <s v="n/a"/>
    <d v="2026-10-03T00:00:00"/>
    <x v="2"/>
    <x v="68"/>
    <s v="SPR-P7-560-COM-S"/>
    <s v="EVO2A"/>
    <s v="±1400mm"/>
    <n v="560"/>
    <n v="0"/>
    <n v="0"/>
    <n v="0"/>
    <n v="0"/>
    <x v="23"/>
    <m/>
    <m/>
    <m/>
    <m/>
    <m/>
    <m/>
    <s v="SHANGHAI"/>
    <x v="1"/>
    <x v="23"/>
    <m/>
    <s v=""/>
    <s v=""/>
    <m/>
    <m/>
    <m/>
    <m/>
    <m/>
    <m/>
    <m/>
    <x v="296"/>
    <m/>
    <m/>
    <m/>
    <s v="n/a"/>
    <s v="-"/>
    <s v=""/>
    <n v="14"/>
    <s v="n/a"/>
    <e v="#VALUE!"/>
    <e v="#VALUE!"/>
    <n v="0"/>
    <n v="33"/>
    <n v="660"/>
    <s v="White glazing"/>
    <s v="n/a"/>
  </r>
  <r>
    <s v="26Aug018.04"/>
    <s v="Yixing"/>
    <s v="26Aug018"/>
    <s v="CORE DG"/>
    <x v="0"/>
    <s v="Arrival Plan-SPNL"/>
    <s v="CIF"/>
    <x v="4"/>
    <s v="U1"/>
    <x v="2"/>
    <m/>
    <m/>
    <m/>
    <d v="2026-10-10T00:00:00"/>
    <x v="2"/>
    <x v="68"/>
    <s v="SPR-P7-560-COM-S"/>
    <s v="EVO2A"/>
    <s v="±1400mm"/>
    <n v="560"/>
    <n v="3960"/>
    <n v="2.2176"/>
    <n v="120"/>
    <n v="6"/>
    <x v="27"/>
    <m/>
    <d v="2026-10-19T00:00:00"/>
    <m/>
    <m/>
    <m/>
    <m/>
    <s v="SHANGHAI"/>
    <x v="1"/>
    <x v="1"/>
    <d v="2026-11-09T00:00:00"/>
    <s v=""/>
    <s v=""/>
    <d v="2026-12-16T00:00:00"/>
    <m/>
    <m/>
    <m/>
    <s v="EVER ART 1426-016W"/>
    <s v="OTHER"/>
    <m/>
    <x v="827"/>
    <s v="EGLV149610205048"/>
    <m/>
    <m/>
    <d v="2026-12-16T00:00:00"/>
    <s v="-"/>
    <d v="1899-12-30T00:00:00"/>
    <n v="7"/>
    <d v="2026-12-23T00:00:00"/>
    <n v="2026"/>
    <n v="12"/>
    <n v="52"/>
    <n v="33"/>
    <n v="660"/>
    <s v="White glazing"/>
    <s v="AEU"/>
  </r>
  <r>
    <s v="26Aug018.03"/>
    <s v="Yixing"/>
    <s v="26Aug018"/>
    <s v="CORE DG"/>
    <x v="0"/>
    <s v="Arrival Plan-SPIT"/>
    <s v="CIF"/>
    <x v="4"/>
    <s v="U1"/>
    <x v="2"/>
    <m/>
    <m/>
    <m/>
    <d v="2026-10-10T00:00:00"/>
    <x v="2"/>
    <x v="68"/>
    <s v="SPR-P7-560-COM-S"/>
    <s v="EVO2A"/>
    <s v="±1400mm"/>
    <n v="560"/>
    <n v="3300"/>
    <n v="1.8480000000000001"/>
    <n v="100"/>
    <n v="5"/>
    <x v="28"/>
    <m/>
    <d v="2026-10-21T00:00:00"/>
    <m/>
    <m/>
    <m/>
    <m/>
    <s v="SHANGHAI"/>
    <x v="1"/>
    <x v="4"/>
    <m/>
    <m/>
    <m/>
    <m/>
    <m/>
    <m/>
    <m/>
    <m/>
    <m/>
    <m/>
    <x v="296"/>
    <m/>
    <m/>
    <m/>
    <d v="2027-01-12T00:00:00"/>
    <s v="-"/>
    <d v="1899-12-30T00:00:00"/>
    <n v="10"/>
    <d v="2027-01-22T00:00:00"/>
    <n v="2027"/>
    <n v="1"/>
    <n v="3"/>
    <n v="33"/>
    <n v="660"/>
    <s v="White glazing"/>
    <s v="AEM"/>
  </r>
  <r>
    <s v="26Aug019"/>
    <s v="Yixing"/>
    <s v="Main Line"/>
    <s v="CORE DG"/>
    <x v="2"/>
    <s v="n/a"/>
    <s v="n/a"/>
    <x v="22"/>
    <s v="n/a"/>
    <x v="188"/>
    <m/>
    <m/>
    <s v="n/a"/>
    <d v="2026-08-04T00:00:00"/>
    <x v="1"/>
    <x v="6"/>
    <s v="TCL-MR465DT182-58NS"/>
    <s v="EVO2A"/>
    <s v="±1200mm"/>
    <n v="465"/>
    <n v="0"/>
    <n v="0"/>
    <n v="0"/>
    <n v="0"/>
    <x v="23"/>
    <m/>
    <s v="ready"/>
    <m/>
    <m/>
    <m/>
    <m/>
    <s v="SHANGHAI"/>
    <x v="1"/>
    <x v="23"/>
    <m/>
    <s v=""/>
    <s v=""/>
    <m/>
    <m/>
    <m/>
    <m/>
    <m/>
    <m/>
    <m/>
    <x v="296"/>
    <m/>
    <m/>
    <m/>
    <s v="n/a"/>
    <s v="-"/>
    <s v=""/>
    <n v="14"/>
    <s v="n/a"/>
    <e v="#VALUE!"/>
    <e v="#VALUE!"/>
    <n v="0"/>
    <n v="36"/>
    <n v="864"/>
    <s v="White glazing"/>
    <s v="n/a"/>
  </r>
  <r>
    <s v="26Aug020"/>
    <s v="Yixing"/>
    <s v="Main Line"/>
    <s v="CORE DG"/>
    <x v="2"/>
    <s v="n/a"/>
    <s v="n/a"/>
    <x v="22"/>
    <s v="n/a"/>
    <x v="188"/>
    <m/>
    <m/>
    <s v="n/a"/>
    <d v="2026-08-04T00:00:00"/>
    <x v="1"/>
    <x v="39"/>
    <s v="TCL-MR470DT182-58NS"/>
    <s v="EVO2A"/>
    <s v="±1200mm"/>
    <n v="470"/>
    <n v="0"/>
    <n v="0"/>
    <n v="0"/>
    <n v="0"/>
    <x v="23"/>
    <m/>
    <s v="ready"/>
    <m/>
    <m/>
    <m/>
    <m/>
    <s v="SHANGHAI"/>
    <x v="1"/>
    <x v="23"/>
    <m/>
    <s v=""/>
    <s v=""/>
    <m/>
    <m/>
    <m/>
    <m/>
    <m/>
    <m/>
    <m/>
    <x v="296"/>
    <m/>
    <m/>
    <m/>
    <s v="n/a"/>
    <s v="-"/>
    <d v="1899-12-30T00:00:00"/>
    <n v="14"/>
    <s v="n/a"/>
    <e v="#VALUE!"/>
    <e v="#VALUE!"/>
    <n v="0"/>
    <n v="36"/>
    <n v="864"/>
    <s v="White glazing"/>
    <s v="n/a"/>
  </r>
  <r>
    <s v="26Aug021"/>
    <s v="Tianjin"/>
    <s v="Main Line"/>
    <s v="CORE DG"/>
    <x v="2"/>
    <s v="n/a"/>
    <s v="n/a"/>
    <x v="22"/>
    <s v="n/a"/>
    <x v="188"/>
    <m/>
    <m/>
    <s v="n/a"/>
    <d v="2026-09-07T00:00:00"/>
    <x v="0"/>
    <x v="0"/>
    <s v="HSM-ND54-DR500"/>
    <s v="EVO2A"/>
    <s v="±1200mm"/>
    <n v="500"/>
    <n v="0"/>
    <n v="0"/>
    <n v="0"/>
    <n v="0"/>
    <x v="23"/>
    <s v=""/>
    <m/>
    <m/>
    <s v=""/>
    <m/>
    <m/>
    <s v="TIANJIN"/>
    <x v="0"/>
    <x v="23"/>
    <m/>
    <s v=""/>
    <s v=""/>
    <m/>
    <m/>
    <s v=""/>
    <m/>
    <m/>
    <m/>
    <m/>
    <x v="296"/>
    <m/>
    <m/>
    <m/>
    <s v="n/a"/>
    <s v="-"/>
    <s v=""/>
    <n v="14"/>
    <s v="n/a"/>
    <s v="n/a"/>
    <s v="n/a"/>
    <n v="0"/>
    <n v="36"/>
    <n v="864"/>
    <s v="Black glazing"/>
    <s v="n/a"/>
  </r>
  <r>
    <s v="26Aug021.01"/>
    <s v="Tianjin"/>
    <s v="26Aug021"/>
    <s v="CORE DG"/>
    <x v="0"/>
    <s v="Arrival Plan-SPNL"/>
    <s v="CIF"/>
    <x v="0"/>
    <s v="U1"/>
    <x v="2"/>
    <m/>
    <m/>
    <s v="n/a"/>
    <d v="2026-09-07T00:00:00"/>
    <x v="0"/>
    <x v="0"/>
    <s v="HSM-ND54-DR500"/>
    <s v="EVO2A"/>
    <s v="±1200mm"/>
    <n v="500"/>
    <n v="4320"/>
    <n v="2.16"/>
    <n v="120"/>
    <n v="5"/>
    <x v="26"/>
    <s v=""/>
    <s v="ready"/>
    <m/>
    <s v=""/>
    <m/>
    <m/>
    <s v="TIANJIN"/>
    <x v="0"/>
    <x v="1"/>
    <m/>
    <m/>
    <m/>
    <m/>
    <m/>
    <m/>
    <m/>
    <m/>
    <m/>
    <m/>
    <x v="296"/>
    <m/>
    <m/>
    <m/>
    <d v="2027-01-15T00:00:00"/>
    <s v="-"/>
    <d v="1899-12-30T00:00:00"/>
    <n v="7"/>
    <d v="2027-01-22T00:00:00"/>
    <s v="n/a"/>
    <s v="n/a"/>
    <n v="3"/>
    <n v="36"/>
    <n v="864"/>
    <s v="Black glazing"/>
    <s v="AEU"/>
  </r>
  <r>
    <s v="26Aug022"/>
    <s v="Tianjin"/>
    <s v="Main Line"/>
    <s v="CORE DG"/>
    <x v="2"/>
    <s v="n/a"/>
    <s v="n/a"/>
    <x v="22"/>
    <s v="n/a"/>
    <x v="188"/>
    <m/>
    <m/>
    <s v="n/a"/>
    <d v="2026-09-07T00:00:00"/>
    <x v="0"/>
    <x v="43"/>
    <s v="HSM-ND54-DR505"/>
    <s v="EVO2A"/>
    <s v="±1200mm"/>
    <n v="505"/>
    <n v="0"/>
    <n v="0"/>
    <n v="0"/>
    <n v="0"/>
    <x v="23"/>
    <s v=""/>
    <s v="ready"/>
    <m/>
    <s v=""/>
    <m/>
    <m/>
    <s v="TIANJIN"/>
    <x v="0"/>
    <x v="23"/>
    <m/>
    <s v=""/>
    <s v=""/>
    <m/>
    <m/>
    <s v=""/>
    <m/>
    <m/>
    <m/>
    <m/>
    <x v="296"/>
    <m/>
    <m/>
    <m/>
    <s v="n/a"/>
    <s v="-"/>
    <s v=""/>
    <n v="14"/>
    <s v="n/a"/>
    <s v="n/a"/>
    <s v="n/a"/>
    <n v="0"/>
    <n v="36"/>
    <n v="864"/>
    <s v="Black glazing"/>
    <s v="n/a"/>
  </r>
  <r>
    <s v="26Aug024"/>
    <s v="Tianjin"/>
    <s v="Main Line"/>
    <s v="CORE DG"/>
    <x v="2"/>
    <s v="n/a"/>
    <s v="n/a"/>
    <x v="22"/>
    <s v="n/a"/>
    <x v="188"/>
    <m/>
    <m/>
    <s v="n/a"/>
    <d v="2026-09-14T00:00:00"/>
    <x v="0"/>
    <x v="107"/>
    <s v="EVO-P-HSM-ND54-DR505"/>
    <s v="EVO2A"/>
    <s v="±1200mm"/>
    <n v="505"/>
    <n v="1728"/>
    <n v="0.87263999999999997"/>
    <n v="48"/>
    <n v="2"/>
    <x v="23"/>
    <s v=""/>
    <s v="ready"/>
    <m/>
    <s v=""/>
    <m/>
    <m/>
    <s v="TIANJIN"/>
    <x v="0"/>
    <x v="23"/>
    <m/>
    <s v=""/>
    <s v=""/>
    <m/>
    <m/>
    <s v=""/>
    <m/>
    <m/>
    <m/>
    <m/>
    <x v="296"/>
    <m/>
    <m/>
    <m/>
    <s v="n/a"/>
    <s v="-"/>
    <s v=""/>
    <n v="14"/>
    <s v="n/a"/>
    <s v="n/a"/>
    <s v="n/a"/>
    <n v="0"/>
    <n v="36"/>
    <n v="864"/>
    <s v="Black glazing"/>
    <s v="n/a"/>
  </r>
  <r>
    <s v="26Aug024.3"/>
    <s v="Tianjin"/>
    <s v="26Aug024"/>
    <s v="CORE DG"/>
    <x v="0"/>
    <s v="Arrival Plan-SPUK"/>
    <s v="CIF"/>
    <x v="6"/>
    <s v="U2"/>
    <x v="189"/>
    <m/>
    <m/>
    <s v="n/a"/>
    <d v="2026-09-14T00:00:00"/>
    <x v="0"/>
    <x v="107"/>
    <s v="EVO-P-HSM-ND54-DR505"/>
    <s v="EVO2A"/>
    <s v="±1200mm"/>
    <n v="505"/>
    <n v="5184"/>
    <n v="2.6179199999999998"/>
    <n v="144"/>
    <n v="6"/>
    <x v="26"/>
    <s v=""/>
    <s v="Feb,ready"/>
    <m/>
    <s v=""/>
    <m/>
    <m/>
    <s v="TIANJIN"/>
    <x v="0"/>
    <x v="6"/>
    <m/>
    <s v=""/>
    <s v=""/>
    <m/>
    <m/>
    <s v=""/>
    <m/>
    <m/>
    <m/>
    <m/>
    <x v="296"/>
    <m/>
    <m/>
    <m/>
    <d v="2027-01-08T00:00:00"/>
    <s v="-"/>
    <d v="1899-12-30T00:00:00"/>
    <n v="7"/>
    <d v="2027-01-15T00:00:00"/>
    <s v="n/a"/>
    <s v="n/a"/>
    <n v="2"/>
    <n v="36"/>
    <n v="864"/>
    <s v="Black glazing"/>
    <s v="AEU"/>
  </r>
  <r>
    <s v="26Aug024.4"/>
    <s v="Tianjin"/>
    <s v="26Aug024"/>
    <s v="CORE DG"/>
    <x v="0"/>
    <s v="Arrival Plan-SPUK"/>
    <s v="CIF"/>
    <x v="6"/>
    <s v="U2"/>
    <x v="189"/>
    <m/>
    <m/>
    <s v="n/a"/>
    <d v="2026-09-14T00:00:00"/>
    <x v="0"/>
    <x v="107"/>
    <s v="EVO-P-HSM-ND54-DR505"/>
    <s v="EVO2A"/>
    <s v="±1200mm"/>
    <n v="505"/>
    <n v="5184"/>
    <n v="2.6179199999999998"/>
    <n v="144"/>
    <n v="6"/>
    <x v="30"/>
    <s v=""/>
    <s v="March,ready"/>
    <m/>
    <s v=""/>
    <m/>
    <m/>
    <s v="TIANJIN"/>
    <x v="0"/>
    <x v="6"/>
    <m/>
    <s v=""/>
    <s v=""/>
    <m/>
    <m/>
    <s v=""/>
    <m/>
    <m/>
    <m/>
    <m/>
    <x v="296"/>
    <m/>
    <m/>
    <m/>
    <d v="2027-01-29T00:00:00"/>
    <s v="-"/>
    <d v="1899-12-30T00:00:00"/>
    <n v="7"/>
    <d v="2027-02-05T00:00:00"/>
    <s v="n/a"/>
    <s v="n/a"/>
    <n v="5"/>
    <n v="36"/>
    <n v="864"/>
    <s v="Black glazing"/>
    <s v="AEU"/>
  </r>
  <r>
    <s v="26Aug024.5"/>
    <s v="Tianjin"/>
    <s v="26Aug024"/>
    <s v="CORE DG"/>
    <x v="0"/>
    <s v="Arrival Plan-SPUK"/>
    <s v="CIF"/>
    <x v="6"/>
    <s v="U2"/>
    <x v="189"/>
    <m/>
    <m/>
    <s v="n/a"/>
    <d v="2026-09-14T00:00:00"/>
    <x v="0"/>
    <x v="107"/>
    <s v="EVO-P-HSM-ND54-DR505"/>
    <s v="EVO2A"/>
    <s v="±1200mm"/>
    <n v="505"/>
    <n v="5184"/>
    <n v="2.6179199999999998"/>
    <n v="144"/>
    <n v="6"/>
    <x v="31"/>
    <s v=""/>
    <s v="April,ready"/>
    <m/>
    <s v=""/>
    <m/>
    <m/>
    <s v="TIANJIN"/>
    <x v="0"/>
    <x v="6"/>
    <m/>
    <s v=""/>
    <s v=""/>
    <m/>
    <m/>
    <s v=""/>
    <m/>
    <m/>
    <m/>
    <m/>
    <x v="296"/>
    <m/>
    <m/>
    <m/>
    <d v="2027-02-26T00:00:00"/>
    <s v="-"/>
    <d v="1899-12-30T00:00:00"/>
    <n v="7"/>
    <d v="2027-03-05T00:00:00"/>
    <s v="n/a"/>
    <s v="n/a"/>
    <n v="9"/>
    <n v="36"/>
    <n v="864"/>
    <s v="Black glazing"/>
    <s v="AEU"/>
  </r>
  <r>
    <s v="26Oct001"/>
    <s v="Yixing"/>
    <s v="Main Line"/>
    <s v="CORE DG"/>
    <x v="2"/>
    <s v="n/a"/>
    <s v="n/a"/>
    <x v="22"/>
    <s v="n/a"/>
    <x v="188"/>
    <m/>
    <m/>
    <s v="n/a"/>
    <d v="2026-11-02T00:00:00"/>
    <x v="0"/>
    <x v="116"/>
    <s v="HSM-ND66-GR630"/>
    <s v="H4(Com)"/>
    <s v="±1400mm"/>
    <n v="630"/>
    <n v="0"/>
    <n v="0"/>
    <n v="0"/>
    <n v="0"/>
    <x v="23"/>
    <s v=""/>
    <m/>
    <m/>
    <s v=""/>
    <m/>
    <m/>
    <s v="SHANGHAI"/>
    <x v="1"/>
    <x v="23"/>
    <m/>
    <m/>
    <m/>
    <m/>
    <m/>
    <m/>
    <m/>
    <m/>
    <m/>
    <m/>
    <x v="296"/>
    <m/>
    <m/>
    <m/>
    <s v="n/a"/>
    <s v="-"/>
    <d v="1899-12-30T00:00:00"/>
    <n v="14"/>
    <s v="n/a"/>
    <e v="#VALUE!"/>
    <e v="#VALUE!"/>
    <n v="0"/>
    <n v="36"/>
    <n v="720"/>
    <s v="White glazing"/>
    <s v="n/a"/>
  </r>
  <r>
    <s v="26Oct001.01"/>
    <s v="Yixing"/>
    <s v="26Oct001"/>
    <s v="CORE DG"/>
    <x v="0"/>
    <s v="Arrival Plan-SPNL"/>
    <s v="CIF"/>
    <x v="0"/>
    <s v="U1"/>
    <x v="2"/>
    <m/>
    <m/>
    <s v="n/a"/>
    <d v="2026-11-02T00:00:00"/>
    <x v="0"/>
    <x v="116"/>
    <s v="HSM-ND66-GR630"/>
    <s v="H4(Com)"/>
    <s v="±1400mm"/>
    <n v="630"/>
    <n v="3600"/>
    <n v="2.2679999999999998"/>
    <n v="100"/>
    <n v="5"/>
    <x v="28"/>
    <s v=""/>
    <d v="2026-10-26T00:00:00"/>
    <m/>
    <s v=""/>
    <m/>
    <m/>
    <s v="SHANGHAI"/>
    <x v="1"/>
    <x v="1"/>
    <m/>
    <m/>
    <m/>
    <m/>
    <m/>
    <m/>
    <m/>
    <m/>
    <m/>
    <m/>
    <x v="296"/>
    <m/>
    <m/>
    <m/>
    <d v="2027-01-08T00:00:00"/>
    <s v="-"/>
    <d v="1899-12-30T00:00:00"/>
    <n v="7"/>
    <d v="2027-01-15T00:00:00"/>
    <n v="2027"/>
    <n v="1"/>
    <n v="2"/>
    <n v="36"/>
    <n v="720"/>
    <s v="White glazing"/>
    <s v="AEU"/>
  </r>
  <r>
    <s v="26Oct001.04"/>
    <s v="Yixing"/>
    <s v="26Oct001"/>
    <s v="CORE DG"/>
    <x v="0"/>
    <s v="Arrival Plan-SPNL"/>
    <s v="CIF"/>
    <x v="0"/>
    <s v="U1"/>
    <x v="2"/>
    <m/>
    <m/>
    <s v="n/a"/>
    <d v="2026-11-02T00:00:00"/>
    <x v="0"/>
    <x v="116"/>
    <s v="HSM-ND66-GR630"/>
    <s v="H4(Com)"/>
    <s v="±1400mm"/>
    <n v="630"/>
    <n v="720"/>
    <n v="0.4536"/>
    <n v="20"/>
    <n v="1"/>
    <x v="28"/>
    <s v=""/>
    <d v="2026-10-26T00:00:00"/>
    <m/>
    <s v=""/>
    <m/>
    <m/>
    <s v="SHANGHAI"/>
    <x v="1"/>
    <x v="1"/>
    <d v="2026-11-09T00:00:00"/>
    <m/>
    <m/>
    <d v="2026-12-16T00:00:00"/>
    <m/>
    <m/>
    <m/>
    <s v="EVER ART 1426-016W"/>
    <s v="OTHER"/>
    <m/>
    <x v="827"/>
    <s v="EGLV149610205048"/>
    <m/>
    <m/>
    <d v="2026-12-16T00:00:00"/>
    <s v="-"/>
    <d v="1899-12-30T00:00:00"/>
    <n v="7"/>
    <d v="2026-12-23T00:00:00"/>
    <n v="2026"/>
    <n v="12"/>
    <n v="52"/>
    <n v="36"/>
    <n v="720"/>
    <s v="White glazing"/>
    <s v="AEU"/>
  </r>
  <r>
    <s v="26Oct001.02"/>
    <s v="Yixing"/>
    <s v="26Oct001"/>
    <s v="CORE DG"/>
    <x v="0"/>
    <s v="Arrival Plan-SPNL"/>
    <s v="CIF"/>
    <x v="0"/>
    <s v="U1"/>
    <x v="2"/>
    <m/>
    <m/>
    <s v="n/a"/>
    <d v="2026-11-02T00:00:00"/>
    <x v="0"/>
    <x v="116"/>
    <s v="HSM-ND66-GR630"/>
    <s v="H4(Com)"/>
    <s v="±1400mm"/>
    <n v="630"/>
    <n v="4320"/>
    <n v="2.7216"/>
    <n v="120"/>
    <n v="6"/>
    <x v="28"/>
    <s v=""/>
    <d v="2026-10-26T00:00:00"/>
    <m/>
    <s v=""/>
    <m/>
    <m/>
    <s v="SHANGHAI"/>
    <x v="1"/>
    <x v="1"/>
    <m/>
    <m/>
    <m/>
    <m/>
    <m/>
    <m/>
    <m/>
    <m/>
    <m/>
    <m/>
    <x v="296"/>
    <m/>
    <m/>
    <m/>
    <d v="2027-01-08T00:00:00"/>
    <s v="-"/>
    <d v="1899-12-30T00:00:00"/>
    <n v="7"/>
    <d v="2027-01-15T00:00:00"/>
    <n v="2027"/>
    <n v="1"/>
    <n v="2"/>
    <n v="36"/>
    <n v="720"/>
    <s v="White glazing"/>
    <s v="AEU"/>
  </r>
  <r>
    <s v="26Oct001.03"/>
    <s v="Yixing"/>
    <s v="26Oct001"/>
    <s v="CORE DG"/>
    <x v="0"/>
    <s v="Arrival Plan-SPNL"/>
    <s v="CIF"/>
    <x v="0"/>
    <s v="U1"/>
    <x v="2"/>
    <m/>
    <m/>
    <s v="n/a"/>
    <d v="2026-11-02T00:00:00"/>
    <x v="0"/>
    <x v="116"/>
    <s v="HSM-ND66-GR630"/>
    <s v="H4(Com)"/>
    <s v="±1400mm"/>
    <n v="630"/>
    <n v="4320"/>
    <n v="2.7216"/>
    <n v="120"/>
    <n v="6"/>
    <x v="28"/>
    <s v=""/>
    <d v="2026-10-28T00:00:00"/>
    <m/>
    <s v=""/>
    <m/>
    <m/>
    <s v="SHANGHAI"/>
    <x v="1"/>
    <x v="1"/>
    <m/>
    <m/>
    <m/>
    <m/>
    <m/>
    <m/>
    <m/>
    <m/>
    <m/>
    <m/>
    <x v="296"/>
    <m/>
    <m/>
    <m/>
    <d v="2027-01-08T00:00:00"/>
    <s v="-"/>
    <d v="1899-12-30T00:00:00"/>
    <n v="7"/>
    <d v="2027-01-15T00:00:00"/>
    <n v="2027"/>
    <n v="1"/>
    <n v="2"/>
    <n v="36"/>
    <n v="720"/>
    <s v="White glazing"/>
    <s v="AEU"/>
  </r>
  <r>
    <s v="26Oct002"/>
    <s v="Yixing"/>
    <s v="Main Line"/>
    <s v="CORE DG"/>
    <x v="2"/>
    <s v="n/a"/>
    <s v="n/a"/>
    <x v="22"/>
    <s v="n/a"/>
    <x v="188"/>
    <m/>
    <m/>
    <s v="n/a"/>
    <d v="2026-11-02T00:00:00"/>
    <x v="0"/>
    <x v="117"/>
    <s v="HSM-ND66-GR635"/>
    <s v="H4(Com)"/>
    <s v="±1400mm"/>
    <n v="635"/>
    <n v="0"/>
    <n v="0"/>
    <n v="0"/>
    <n v="0"/>
    <x v="23"/>
    <s v=""/>
    <m/>
    <m/>
    <s v=""/>
    <m/>
    <m/>
    <s v="SHANGHAI"/>
    <x v="1"/>
    <x v="23"/>
    <m/>
    <m/>
    <m/>
    <m/>
    <m/>
    <m/>
    <m/>
    <m/>
    <m/>
    <m/>
    <x v="296"/>
    <m/>
    <m/>
    <m/>
    <s v="n/a"/>
    <s v="-"/>
    <d v="1899-12-30T00:00:00"/>
    <n v="14"/>
    <s v="n/a"/>
    <e v="#VALUE!"/>
    <e v="#VALUE!"/>
    <n v="0"/>
    <n v="36"/>
    <n v="720"/>
    <s v="White glazing"/>
    <s v="n/a"/>
  </r>
  <r>
    <s v="26Oct002.01"/>
    <s v="Yixing"/>
    <s v="26Oct002"/>
    <s v="CORE DG"/>
    <x v="0"/>
    <s v="Arrival Plan-SPNL"/>
    <s v="CIF"/>
    <x v="0"/>
    <s v="U1"/>
    <x v="2"/>
    <m/>
    <m/>
    <s v="n/a"/>
    <d v="2026-11-02T00:00:00"/>
    <x v="0"/>
    <x v="117"/>
    <s v="HSM-ND66-GR635"/>
    <s v="H4(Com)"/>
    <s v="±1400mm"/>
    <n v="635"/>
    <n v="2880"/>
    <n v="1.8288"/>
    <n v="80"/>
    <n v="4"/>
    <x v="28"/>
    <s v=""/>
    <d v="2026-10-29T00:00:00"/>
    <m/>
    <s v=""/>
    <m/>
    <m/>
    <s v="SHANGHAI"/>
    <x v="1"/>
    <x v="1"/>
    <m/>
    <m/>
    <m/>
    <m/>
    <m/>
    <m/>
    <m/>
    <m/>
    <m/>
    <m/>
    <x v="296"/>
    <m/>
    <m/>
    <m/>
    <d v="2027-01-08T00:00:00"/>
    <s v="-"/>
    <d v="1899-12-30T00:00:00"/>
    <n v="7"/>
    <d v="2027-01-15T00:00:00"/>
    <n v="2027"/>
    <n v="1"/>
    <n v="2"/>
    <n v="36"/>
    <n v="720"/>
    <s v="White glazing"/>
    <s v="AEU"/>
  </r>
  <r>
    <s v="26Oct003"/>
    <s v="Yixing"/>
    <s v="Main Line"/>
    <s v="CORE DG"/>
    <x v="2"/>
    <s v="n/a"/>
    <s v="n/a"/>
    <x v="22"/>
    <s v="n/a"/>
    <x v="188"/>
    <m/>
    <m/>
    <s v="n/a"/>
    <d v="2026-10-26T00:00:00"/>
    <x v="0"/>
    <x v="112"/>
    <s v="HSM-ND66-GK725"/>
    <s v="H4(Com)"/>
    <s v="±1400mm"/>
    <n v="725"/>
    <n v="4752"/>
    <n v="3.4451999999999998"/>
    <n v="144"/>
    <n v="8"/>
    <x v="23"/>
    <s v=""/>
    <d v="2026-11-08T00:00:00"/>
    <m/>
    <s v=""/>
    <m/>
    <m/>
    <s v="SHANGHAI"/>
    <x v="1"/>
    <x v="26"/>
    <m/>
    <m/>
    <m/>
    <m/>
    <m/>
    <m/>
    <m/>
    <m/>
    <m/>
    <m/>
    <x v="296"/>
    <m/>
    <m/>
    <m/>
    <s v="n/a"/>
    <s v="-"/>
    <d v="1899-12-30T00:00:00"/>
    <n v="14"/>
    <s v="n/a"/>
    <e v="#VALUE!"/>
    <e v="#VALUE!"/>
    <n v="0"/>
    <n v="33"/>
    <n v="594"/>
    <s v="Redirection Film"/>
    <n v="0"/>
  </r>
  <r>
    <s v="26Oct003.07"/>
    <s v="Yixing"/>
    <s v="26Oct003"/>
    <s v="CORE DG"/>
    <x v="0"/>
    <s v="Arrival Plan-SPNL"/>
    <s v="CIF"/>
    <x v="0"/>
    <s v="U1"/>
    <x v="2"/>
    <m/>
    <m/>
    <s v="n/a"/>
    <d v="2026-10-26T00:00:00"/>
    <x v="0"/>
    <x v="112"/>
    <s v="HSM-ND66-GK725"/>
    <s v="H4(Com)"/>
    <s v="±1400mm"/>
    <n v="725"/>
    <n v="5940"/>
    <n v="4.3064999999999998"/>
    <n v="180"/>
    <n v="10"/>
    <x v="28"/>
    <s v=""/>
    <d v="2026-10-23T00:00:00"/>
    <m/>
    <s v=""/>
    <m/>
    <m/>
    <s v="SHANGHAI"/>
    <x v="1"/>
    <x v="1"/>
    <m/>
    <m/>
    <m/>
    <m/>
    <m/>
    <m/>
    <m/>
    <m/>
    <m/>
    <m/>
    <x v="296"/>
    <m/>
    <m/>
    <m/>
    <d v="2027-01-08T00:00:00"/>
    <s v="-"/>
    <d v="1899-12-30T00:00:00"/>
    <n v="7"/>
    <d v="2027-01-15T00:00:00"/>
    <n v="2027"/>
    <n v="1"/>
    <n v="2"/>
    <n v="33"/>
    <n v="594"/>
    <s v="Redirection Film"/>
    <s v="AEU"/>
  </r>
  <r>
    <s v="26Oct003.09"/>
    <s v="Yixing"/>
    <s v="26Oct003"/>
    <s v="CORE DG"/>
    <x v="0"/>
    <s v="Arrival Plan-SPNL"/>
    <s v="CIF"/>
    <x v="0"/>
    <s v="U1"/>
    <x v="2"/>
    <m/>
    <m/>
    <s v="n/a"/>
    <d v="2026-10-26T00:00:00"/>
    <x v="0"/>
    <x v="112"/>
    <s v="HSM-ND66-GK725"/>
    <s v="H4(Com)"/>
    <s v="±1400mm"/>
    <n v="725"/>
    <n v="5940"/>
    <n v="4.3064999999999998"/>
    <n v="180"/>
    <n v="10"/>
    <x v="29"/>
    <s v=""/>
    <d v="2026-10-24T00:00:00"/>
    <m/>
    <s v=""/>
    <m/>
    <m/>
    <s v="SHANGHAI"/>
    <x v="1"/>
    <x v="1"/>
    <m/>
    <m/>
    <m/>
    <m/>
    <m/>
    <m/>
    <m/>
    <m/>
    <m/>
    <m/>
    <x v="296"/>
    <m/>
    <m/>
    <m/>
    <d v="2027-01-22T00:00:00"/>
    <s v="-"/>
    <d v="1899-12-30T00:00:00"/>
    <n v="7"/>
    <d v="2027-01-29T00:00:00"/>
    <n v="2027"/>
    <n v="1"/>
    <n v="4"/>
    <n v="33"/>
    <n v="594"/>
    <s v="Redirection Film"/>
    <s v="AEU"/>
  </r>
  <r>
    <s v="26Oct003.10"/>
    <s v="Yixing"/>
    <s v="26Oct003"/>
    <s v="CORE DG"/>
    <x v="0"/>
    <s v="Arrival Plan-SPNL"/>
    <s v="CIF"/>
    <x v="0"/>
    <s v="U1"/>
    <x v="2"/>
    <m/>
    <m/>
    <s v="n/a"/>
    <d v="2026-10-26T00:00:00"/>
    <x v="0"/>
    <x v="112"/>
    <s v="HSM-ND66-GK725"/>
    <s v="H4(Com)"/>
    <s v="±1400mm"/>
    <n v="725"/>
    <n v="5940"/>
    <n v="4.3064999999999998"/>
    <n v="180"/>
    <n v="10"/>
    <x v="32"/>
    <s v=""/>
    <d v="2026-10-26T00:00:00"/>
    <m/>
    <s v=""/>
    <m/>
    <m/>
    <s v="SHANGHAI"/>
    <x v="1"/>
    <x v="1"/>
    <m/>
    <m/>
    <m/>
    <m/>
    <m/>
    <m/>
    <m/>
    <m/>
    <m/>
    <m/>
    <x v="296"/>
    <m/>
    <m/>
    <m/>
    <d v="2027-02-05T00:00:00"/>
    <s v="-"/>
    <d v="1899-12-30T00:00:00"/>
    <n v="7"/>
    <d v="2027-02-12T00:00:00"/>
    <n v="2027"/>
    <n v="2"/>
    <n v="6"/>
    <n v="33"/>
    <n v="594"/>
    <s v="Redirection Film"/>
    <s v="AEU"/>
  </r>
  <r>
    <s v="26Oct003.01"/>
    <s v="Yixing"/>
    <s v="26Oct003"/>
    <s v="CORE DG"/>
    <x v="0"/>
    <s v="Arrival Plan-SPES"/>
    <s v="CIF"/>
    <x v="1"/>
    <s v="U4"/>
    <x v="2"/>
    <m/>
    <m/>
    <s v="n/a"/>
    <d v="2026-10-26T00:00:00"/>
    <x v="0"/>
    <x v="112"/>
    <s v="HSM-ND66-GK725"/>
    <s v="H4(Com)"/>
    <s v="±1400mm"/>
    <n v="725"/>
    <n v="5346"/>
    <n v="3.8758499999999998"/>
    <n v="162"/>
    <n v="9"/>
    <x v="28"/>
    <s v=""/>
    <s v="Jan&amp;Feb，10/27"/>
    <m/>
    <s v=""/>
    <m/>
    <m/>
    <s v="SHANGHAI"/>
    <x v="1"/>
    <x v="2"/>
    <m/>
    <m/>
    <m/>
    <m/>
    <m/>
    <m/>
    <m/>
    <m/>
    <s v="OTHER"/>
    <m/>
    <x v="296"/>
    <m/>
    <m/>
    <m/>
    <d v="2027-01-08T00:00:00"/>
    <s v="-"/>
    <d v="1899-12-30T00:00:00"/>
    <n v="9"/>
    <d v="2027-01-17T00:00:00"/>
    <n v="2027"/>
    <n v="1"/>
    <n v="2"/>
    <n v="33"/>
    <n v="594"/>
    <s v="Redirection Film"/>
    <s v="AEM"/>
  </r>
  <r>
    <s v="26Oct003.04"/>
    <s v="Yixing"/>
    <s v="26Oct003"/>
    <s v="CORE DG"/>
    <x v="0"/>
    <s v="Arrival Plan-SPES"/>
    <s v="CIF"/>
    <x v="1"/>
    <s v="U1"/>
    <x v="2"/>
    <m/>
    <m/>
    <s v="n/a"/>
    <d v="2026-10-26T00:00:00"/>
    <x v="0"/>
    <x v="112"/>
    <s v="HSM-ND66-GK725"/>
    <s v="H4(Com)"/>
    <s v="±1400mm"/>
    <n v="725"/>
    <n v="2970"/>
    <n v="2.1532499999999999"/>
    <n v="90"/>
    <n v="5"/>
    <x v="32"/>
    <s v=""/>
    <s v="March，10/28"/>
    <m/>
    <s v=""/>
    <m/>
    <m/>
    <s v="SHANGHAI"/>
    <x v="1"/>
    <x v="2"/>
    <m/>
    <m/>
    <m/>
    <m/>
    <m/>
    <m/>
    <m/>
    <m/>
    <m/>
    <m/>
    <x v="296"/>
    <m/>
    <m/>
    <m/>
    <d v="2027-02-05T00:00:00"/>
    <s v="-"/>
    <d v="1899-12-30T00:00:00"/>
    <n v="9"/>
    <d v="2027-02-14T00:00:00"/>
    <n v="2027"/>
    <n v="2"/>
    <n v="6"/>
    <n v="33"/>
    <n v="594"/>
    <s v="Redirection Film"/>
    <s v="AEM"/>
  </r>
  <r>
    <s v="26Oct003.05"/>
    <s v="Yixing"/>
    <s v="26Oct003"/>
    <s v="CORE DG"/>
    <x v="0"/>
    <s v="Arrival Plan-SPES"/>
    <s v="CIF"/>
    <x v="1"/>
    <s v="U1"/>
    <x v="2"/>
    <m/>
    <m/>
    <s v="n/a"/>
    <d v="2026-10-26T00:00:00"/>
    <x v="0"/>
    <x v="112"/>
    <s v="HSM-ND66-GK725"/>
    <s v="H4(Com)"/>
    <s v="±1400mm"/>
    <n v="725"/>
    <n v="5940"/>
    <n v="4.3064999999999998"/>
    <n v="180"/>
    <n v="10"/>
    <x v="33"/>
    <s v=""/>
    <s v="Aril，11/8"/>
    <m/>
    <s v=""/>
    <m/>
    <m/>
    <s v="SHANGHAI"/>
    <x v="1"/>
    <x v="2"/>
    <m/>
    <m/>
    <m/>
    <m/>
    <m/>
    <m/>
    <m/>
    <m/>
    <m/>
    <m/>
    <x v="296"/>
    <m/>
    <m/>
    <m/>
    <d v="2026-03-06T00:00:00"/>
    <s v="-"/>
    <d v="1899-12-30T00:00:00"/>
    <n v="9"/>
    <d v="2026-03-15T00:00:00"/>
    <n v="2026"/>
    <n v="3"/>
    <n v="11"/>
    <n v="33"/>
    <n v="594"/>
    <s v="Redirection Film"/>
    <s v="AEM"/>
  </r>
  <r>
    <s v="26Oct003.06"/>
    <s v="Yixing"/>
    <s v="26Oct003"/>
    <s v="CORE DG"/>
    <x v="0"/>
    <s v="Arrival Plan-SPES"/>
    <s v="CIF"/>
    <x v="1"/>
    <s v="U1"/>
    <x v="2"/>
    <m/>
    <m/>
    <s v="n/a"/>
    <d v="2026-10-26T00:00:00"/>
    <x v="0"/>
    <x v="112"/>
    <s v="HSM-ND66-GK725"/>
    <s v="H4(Com)"/>
    <s v="±1400mm"/>
    <n v="725"/>
    <n v="5940"/>
    <n v="4.3064999999999998"/>
    <n v="180"/>
    <n v="10"/>
    <x v="34"/>
    <s v=""/>
    <s v="June，11/8"/>
    <m/>
    <s v=""/>
    <m/>
    <m/>
    <s v="SHANGHAI"/>
    <x v="1"/>
    <x v="2"/>
    <m/>
    <m/>
    <m/>
    <m/>
    <m/>
    <m/>
    <m/>
    <m/>
    <m/>
    <m/>
    <x v="296"/>
    <m/>
    <m/>
    <m/>
    <d v="2026-05-01T00:00:00"/>
    <s v="-"/>
    <d v="1899-12-30T00:00:00"/>
    <n v="9"/>
    <d v="2026-05-10T00:00:00"/>
    <n v="2026"/>
    <n v="5"/>
    <n v="19"/>
    <n v="33"/>
    <n v="594"/>
    <s v="Redirection Film"/>
    <s v="AEM"/>
  </r>
  <r>
    <s v="26Oct003.08"/>
    <s v="Yixing"/>
    <s v="26Oct003"/>
    <s v="CORE DG"/>
    <x v="0"/>
    <s v="Arrival Plan-SPES"/>
    <s v="CIF"/>
    <x v="1"/>
    <s v="U1"/>
    <x v="2"/>
    <m/>
    <m/>
    <s v="n/a"/>
    <d v="2026-10-26T00:00:00"/>
    <x v="0"/>
    <x v="112"/>
    <s v="HSM-ND66-GK725"/>
    <s v="H4(Com)"/>
    <s v="±1400mm"/>
    <n v="725"/>
    <n v="3564"/>
    <n v="2.5838999999999999"/>
    <n v="108"/>
    <n v="6"/>
    <x v="35"/>
    <s v=""/>
    <s v="Aug，11/8"/>
    <m/>
    <s v=""/>
    <m/>
    <m/>
    <s v="SHANGHAI"/>
    <x v="1"/>
    <x v="2"/>
    <m/>
    <m/>
    <m/>
    <m/>
    <m/>
    <m/>
    <m/>
    <m/>
    <m/>
    <m/>
    <x v="296"/>
    <m/>
    <m/>
    <m/>
    <d v="2026-06-12T00:00:00"/>
    <s v="-"/>
    <d v="1899-12-30T00:00:00"/>
    <n v="9"/>
    <d v="2026-06-21T00:00:00"/>
    <n v="2026"/>
    <n v="6"/>
    <n v="25"/>
    <n v="33"/>
    <n v="594"/>
    <s v="Redirection Film"/>
    <s v="AEM"/>
  </r>
  <r>
    <s v="26Oct004"/>
    <s v="Yixing"/>
    <s v="Main Line"/>
    <s v="CORE DG"/>
    <x v="2"/>
    <s v="n/a"/>
    <s v="n/a"/>
    <x v="22"/>
    <s v="n/a"/>
    <x v="188"/>
    <m/>
    <m/>
    <s v="n/a"/>
    <d v="2026-10-26T00:00:00"/>
    <x v="0"/>
    <x v="113"/>
    <s v="HSM-ND66-GK730"/>
    <s v="H4(Com)"/>
    <s v="±1400mm"/>
    <n v="730"/>
    <n v="594"/>
    <n v="0.43362000000000001"/>
    <n v="18"/>
    <n v="1"/>
    <x v="23"/>
    <s v=""/>
    <d v="2026-10-24T00:00:00"/>
    <m/>
    <s v=""/>
    <m/>
    <m/>
    <s v="SHANGHAI"/>
    <x v="1"/>
    <x v="26"/>
    <m/>
    <m/>
    <m/>
    <m/>
    <m/>
    <m/>
    <m/>
    <m/>
    <m/>
    <m/>
    <x v="296"/>
    <m/>
    <m/>
    <m/>
    <s v="n/a"/>
    <s v="-"/>
    <s v=""/>
    <n v="14"/>
    <s v="n/a"/>
    <e v="#VALUE!"/>
    <e v="#VALUE!"/>
    <n v="0"/>
    <n v="33"/>
    <n v="594"/>
    <s v="Redirection Film"/>
    <n v="0"/>
  </r>
  <r>
    <s v="26Oct004.08"/>
    <s v="Yixing"/>
    <s v="26Oct004"/>
    <s v="CORE DG"/>
    <x v="0"/>
    <s v="Arrival Plan-SPNL"/>
    <s v="CIF"/>
    <x v="0"/>
    <s v="U1"/>
    <x v="2"/>
    <m/>
    <m/>
    <s v="n/a"/>
    <d v="2026-10-26T00:00:00"/>
    <x v="0"/>
    <x v="113"/>
    <s v="HSM-ND66-GK730"/>
    <s v="H4(Com)"/>
    <s v="±1400mm"/>
    <n v="730"/>
    <n v="5940"/>
    <n v="4.3361999999999998"/>
    <n v="180"/>
    <n v="10"/>
    <x v="28"/>
    <s v=""/>
    <d v="2026-10-26T00:00:00"/>
    <m/>
    <s v=""/>
    <m/>
    <m/>
    <s v="SHANGHAI"/>
    <x v="1"/>
    <x v="1"/>
    <m/>
    <m/>
    <m/>
    <m/>
    <m/>
    <m/>
    <m/>
    <m/>
    <m/>
    <m/>
    <x v="296"/>
    <m/>
    <m/>
    <m/>
    <d v="2027-01-08T00:00:00"/>
    <s v="-"/>
    <d v="1899-12-30T00:00:00"/>
    <n v="7"/>
    <d v="2027-01-15T00:00:00"/>
    <n v="2027"/>
    <n v="1"/>
    <n v="2"/>
    <n v="33"/>
    <n v="594"/>
    <s v="Redirection Film"/>
    <s v="AEU"/>
  </r>
  <r>
    <s v="26Oct004.10"/>
    <s v="Yixing"/>
    <s v="26Oct004"/>
    <s v="CORE DG"/>
    <x v="0"/>
    <s v="Arrival Plan-SPNL"/>
    <s v="CIF"/>
    <x v="0"/>
    <s v="U1"/>
    <x v="2"/>
    <m/>
    <m/>
    <s v="n/a"/>
    <d v="2026-10-26T00:00:00"/>
    <x v="0"/>
    <x v="113"/>
    <s v="HSM-ND66-GK730"/>
    <s v="H4(Com)"/>
    <s v="±1400mm"/>
    <n v="730"/>
    <n v="5940"/>
    <n v="4.3361999999999998"/>
    <n v="180"/>
    <n v="10"/>
    <x v="36"/>
    <s v=""/>
    <d v="2026-10-27T00:00:00"/>
    <m/>
    <s v=""/>
    <m/>
    <m/>
    <s v="SHANGHAI"/>
    <x v="1"/>
    <x v="1"/>
    <m/>
    <m/>
    <m/>
    <m/>
    <m/>
    <m/>
    <m/>
    <m/>
    <m/>
    <m/>
    <x v="296"/>
    <m/>
    <m/>
    <m/>
    <d v="1899-12-30T00:00:00"/>
    <s v="-"/>
    <d v="1899-12-30T00:00:00"/>
    <n v="7"/>
    <d v="1900-01-06T00:00:00"/>
    <n v="1900"/>
    <n v="1"/>
    <n v="1"/>
    <n v="33"/>
    <n v="594"/>
    <s v="Redirection Film"/>
    <s v="AEU"/>
  </r>
  <r>
    <s v="26Oct004.11"/>
    <s v="Yixing"/>
    <s v="26Oct004"/>
    <s v="CORE DG"/>
    <x v="0"/>
    <s v="Arrival Plan-SPNL"/>
    <s v="CIF"/>
    <x v="0"/>
    <s v="U1"/>
    <x v="2"/>
    <m/>
    <m/>
    <s v="n/a"/>
    <d v="2026-10-26T00:00:00"/>
    <x v="0"/>
    <x v="113"/>
    <s v="HSM-ND66-GK730"/>
    <s v="H4(Com)"/>
    <s v="±1400mm"/>
    <n v="730"/>
    <n v="5940"/>
    <n v="4.3361999999999998"/>
    <n v="180"/>
    <n v="10"/>
    <x v="31"/>
    <s v=""/>
    <s v="7个柜10/28"/>
    <m/>
    <s v=""/>
    <m/>
    <m/>
    <s v="SHANGHAI"/>
    <x v="1"/>
    <x v="1"/>
    <m/>
    <m/>
    <m/>
    <m/>
    <m/>
    <m/>
    <m/>
    <m/>
    <m/>
    <m/>
    <x v="296"/>
    <m/>
    <m/>
    <m/>
    <d v="2027-02-12T00:00:00"/>
    <s v="-"/>
    <d v="1899-12-30T00:00:00"/>
    <n v="7"/>
    <d v="2027-02-19T00:00:00"/>
    <n v="2027"/>
    <n v="2"/>
    <n v="7"/>
    <n v="33"/>
    <n v="594"/>
    <s v="Redirection Film"/>
    <s v="AEU"/>
  </r>
  <r>
    <s v="26Oct004.06"/>
    <s v="Yixing"/>
    <s v="26Oct004"/>
    <s v="CORE DG"/>
    <x v="0"/>
    <s v="Arrival Plan-SPES"/>
    <s v="CIF"/>
    <x v="1"/>
    <s v="U1"/>
    <x v="2"/>
    <m/>
    <m/>
    <s v="n/a"/>
    <d v="2026-10-26T00:00:00"/>
    <x v="0"/>
    <x v="113"/>
    <s v="HSM-ND66-GK730"/>
    <s v="H4(Com)"/>
    <s v="±1400mm"/>
    <n v="730"/>
    <n v="7128"/>
    <n v="5.2034399999999996"/>
    <n v="216"/>
    <n v="12"/>
    <x v="32"/>
    <s v=""/>
    <s v="March,11/8"/>
    <m/>
    <s v=""/>
    <m/>
    <m/>
    <s v="SHANGHAI"/>
    <x v="1"/>
    <x v="2"/>
    <m/>
    <m/>
    <m/>
    <m/>
    <m/>
    <m/>
    <m/>
    <m/>
    <m/>
    <m/>
    <x v="296"/>
    <m/>
    <m/>
    <m/>
    <d v="2027-02-05T00:00:00"/>
    <s v="-"/>
    <d v="1899-12-30T00:00:00"/>
    <n v="9"/>
    <d v="2027-02-14T00:00:00"/>
    <n v="2027"/>
    <n v="2"/>
    <n v="6"/>
    <n v="33"/>
    <n v="594"/>
    <s v="Redirection Film"/>
    <s v="AEM"/>
  </r>
  <r>
    <s v="26Oct004.07"/>
    <s v="Yixing"/>
    <s v="26Oct004"/>
    <s v="CORE DG"/>
    <x v="0"/>
    <s v="Arrival Plan-SPES"/>
    <s v="CIF"/>
    <x v="1"/>
    <s v="U1"/>
    <x v="2"/>
    <m/>
    <m/>
    <s v="n/a"/>
    <d v="2026-10-26T00:00:00"/>
    <x v="0"/>
    <x v="113"/>
    <s v="HSM-ND66-GK730"/>
    <s v="H4(Com)"/>
    <s v="±1400mm"/>
    <n v="730"/>
    <n v="7128"/>
    <n v="5.2034399999999996"/>
    <n v="216"/>
    <n v="12"/>
    <x v="37"/>
    <s v=""/>
    <s v="May,11/8"/>
    <m/>
    <s v=""/>
    <m/>
    <m/>
    <s v="SHANGHAI"/>
    <x v="1"/>
    <x v="2"/>
    <m/>
    <m/>
    <m/>
    <m/>
    <m/>
    <m/>
    <m/>
    <m/>
    <m/>
    <m/>
    <x v="296"/>
    <m/>
    <m/>
    <m/>
    <d v="2026-03-20T00:00:00"/>
    <s v="-"/>
    <d v="1899-12-30T00:00:00"/>
    <n v="9"/>
    <d v="2026-03-29T00:00:00"/>
    <n v="2026"/>
    <n v="3"/>
    <n v="13"/>
    <n v="33"/>
    <n v="594"/>
    <s v="Redirection Film"/>
    <s v="AEM"/>
  </r>
  <r>
    <s v="26Oct004.09"/>
    <s v="Yixing"/>
    <s v="26Oct004"/>
    <s v="CORE DG"/>
    <x v="0"/>
    <s v="Arrival Plan-SPES"/>
    <s v="CIF"/>
    <x v="1"/>
    <s v="U1"/>
    <x v="2"/>
    <m/>
    <m/>
    <s v="n/a"/>
    <d v="2026-10-26T00:00:00"/>
    <x v="0"/>
    <x v="113"/>
    <s v="HSM-ND66-GK730"/>
    <s v="H4(Com)"/>
    <s v="±1400mm"/>
    <n v="730"/>
    <n v="7128"/>
    <n v="5.2034399999999996"/>
    <n v="216"/>
    <n v="12"/>
    <x v="34"/>
    <s v=""/>
    <s v="July,11/8"/>
    <m/>
    <s v=""/>
    <m/>
    <m/>
    <s v="SHANGHAI"/>
    <x v="1"/>
    <x v="2"/>
    <m/>
    <m/>
    <m/>
    <m/>
    <m/>
    <m/>
    <m/>
    <m/>
    <m/>
    <m/>
    <x v="296"/>
    <m/>
    <m/>
    <m/>
    <d v="2026-05-01T00:00:00"/>
    <s v="-"/>
    <d v="1899-12-30T00:00:00"/>
    <n v="9"/>
    <d v="2026-05-10T00:00:00"/>
    <n v="2026"/>
    <n v="5"/>
    <n v="19"/>
    <n v="33"/>
    <n v="594"/>
    <s v="Redirection Film"/>
    <s v="AEM"/>
  </r>
  <r>
    <s v="26Oct005"/>
    <s v="Tianjin"/>
    <s v="Main Line"/>
    <s v="CORE DG"/>
    <x v="2"/>
    <s v="n/a"/>
    <s v="n/a"/>
    <x v="22"/>
    <s v="n/a"/>
    <x v="188"/>
    <m/>
    <m/>
    <s v="n/a"/>
    <d v="2026-10-22T00:00:00"/>
    <x v="0"/>
    <x v="0"/>
    <s v="HSM-ND54-DR500"/>
    <s v="EVO2A"/>
    <s v="±1200mm"/>
    <n v="500"/>
    <n v="5184"/>
    <n v="2.5920000000000001"/>
    <n v="144"/>
    <n v="6"/>
    <x v="23"/>
    <s v=""/>
    <d v="2026-11-01T00:00:00"/>
    <m/>
    <s v=""/>
    <m/>
    <m/>
    <s v="TIANJIN"/>
    <x v="0"/>
    <x v="23"/>
    <m/>
    <m/>
    <m/>
    <m/>
    <m/>
    <m/>
    <m/>
    <m/>
    <m/>
    <m/>
    <x v="296"/>
    <m/>
    <m/>
    <m/>
    <s v="n/a"/>
    <s v="-"/>
    <d v="1899-12-30T00:00:00"/>
    <n v="14"/>
    <s v="n/a"/>
    <e v="#VALUE!"/>
    <e v="#VALUE!"/>
    <n v="0"/>
    <n v="36"/>
    <n v="864"/>
    <s v="Black glazing"/>
    <s v="n/a"/>
  </r>
  <r>
    <s v="26Oct005.04"/>
    <s v="Tianjin"/>
    <s v="26Oct005"/>
    <s v="CORE DG"/>
    <x v="1"/>
    <s v="SPTN Offstore in Transit WH"/>
    <s v="CIF"/>
    <x v="27"/>
    <s v="U1"/>
    <x v="186"/>
    <s v="PL0126090800023"/>
    <n v="1"/>
    <s v="No - GTG"/>
    <d v="2026-10-22T00:00:00"/>
    <x v="0"/>
    <x v="0"/>
    <s v="HSM-ND54-DR500"/>
    <s v="EVO2A"/>
    <s v="±1200mm"/>
    <n v="500"/>
    <n v="5184"/>
    <n v="2.5920000000000001"/>
    <n v="144"/>
    <n v="6"/>
    <x v="27"/>
    <s v=""/>
    <d v="2026-10-28T00:00:00"/>
    <m/>
    <s v=""/>
    <m/>
    <m/>
    <s v="TIANJIN"/>
    <x v="0"/>
    <x v="9"/>
    <m/>
    <m/>
    <m/>
    <m/>
    <m/>
    <m/>
    <m/>
    <m/>
    <m/>
    <m/>
    <x v="296"/>
    <m/>
    <m/>
    <m/>
    <d v="2027-01-22T00:00:00"/>
    <s v="-"/>
    <d v="1899-12-30T00:00:00"/>
    <n v="0"/>
    <d v="2027-01-22T00:00:00"/>
    <n v="2027"/>
    <n v="1"/>
    <n v="3"/>
    <n v="36"/>
    <n v="864"/>
    <s v="Black glazing"/>
    <s v="AEU"/>
  </r>
  <r>
    <s v="26Oct005.01"/>
    <s v="Tianjin"/>
    <s v="26Oct005"/>
    <s v="CORE DG"/>
    <x v="0"/>
    <s v="Arrival Plan-SPNL"/>
    <s v="CIF"/>
    <x v="0"/>
    <s v="U1"/>
    <x v="2"/>
    <m/>
    <m/>
    <s v="n/a"/>
    <d v="2026-10-22T00:00:00"/>
    <x v="0"/>
    <x v="0"/>
    <s v="HSM-ND54-DR500"/>
    <s v="EVO2A"/>
    <s v="±1200mm"/>
    <n v="500"/>
    <n v="3456"/>
    <n v="1.728"/>
    <n v="96"/>
    <n v="4"/>
    <x v="27"/>
    <s v=""/>
    <d v="2026-10-29T00:00:00"/>
    <m/>
    <s v=""/>
    <m/>
    <m/>
    <s v="TIANJIN"/>
    <x v="0"/>
    <x v="1"/>
    <m/>
    <m/>
    <m/>
    <m/>
    <m/>
    <m/>
    <m/>
    <m/>
    <m/>
    <m/>
    <x v="296"/>
    <m/>
    <m/>
    <m/>
    <d v="2027-01-22T00:00:00"/>
    <s v="-"/>
    <d v="1899-12-30T00:00:00"/>
    <n v="7"/>
    <d v="2027-01-29T00:00:00"/>
    <n v="2027"/>
    <n v="1"/>
    <n v="4"/>
    <n v="36"/>
    <n v="864"/>
    <s v="Black glazing"/>
    <s v="AEU"/>
  </r>
  <r>
    <s v="26Oct005.02"/>
    <s v="Tianjin"/>
    <s v="26Oct005"/>
    <s v="CORE DG"/>
    <x v="0"/>
    <s v="Arrival Plan-SPNL"/>
    <s v="CIF"/>
    <x v="0"/>
    <s v="U1"/>
    <x v="2"/>
    <m/>
    <m/>
    <s v="n/a"/>
    <d v="2026-10-22T00:00:00"/>
    <x v="0"/>
    <x v="0"/>
    <s v="HSM-ND54-DR500"/>
    <s v="EVO2A"/>
    <s v="±1200mm"/>
    <n v="500"/>
    <n v="3456"/>
    <n v="1.728"/>
    <n v="96"/>
    <n v="4"/>
    <x v="28"/>
    <s v=""/>
    <d v="2026-10-30T00:00:00"/>
    <m/>
    <s v=""/>
    <m/>
    <m/>
    <s v="TIANJIN"/>
    <x v="0"/>
    <x v="1"/>
    <m/>
    <m/>
    <m/>
    <m/>
    <m/>
    <m/>
    <m/>
    <m/>
    <m/>
    <m/>
    <x v="296"/>
    <m/>
    <m/>
    <m/>
    <d v="2027-01-29T00:00:00"/>
    <s v="-"/>
    <d v="1899-12-30T00:00:00"/>
    <n v="7"/>
    <d v="2027-02-05T00:00:00"/>
    <n v="2027"/>
    <n v="2"/>
    <n v="5"/>
    <n v="36"/>
    <n v="864"/>
    <s v="Black glazing"/>
    <s v="AEU"/>
  </r>
  <r>
    <s v="26Oct005.03"/>
    <s v="Tianjin"/>
    <s v="26Oct005"/>
    <s v="CORE DG"/>
    <x v="0"/>
    <s v="Arrival Plan-SPNL"/>
    <s v="CIF"/>
    <x v="0"/>
    <s v="U1"/>
    <x v="2"/>
    <m/>
    <m/>
    <s v="n/a"/>
    <d v="2026-10-22T00:00:00"/>
    <x v="0"/>
    <x v="0"/>
    <s v="HSM-ND54-DR500"/>
    <s v="EVO2A"/>
    <s v="±1200mm"/>
    <n v="500"/>
    <n v="3456"/>
    <n v="1.728"/>
    <n v="96"/>
    <n v="4"/>
    <x v="30"/>
    <s v=""/>
    <d v="2026-10-31T00:00:00"/>
    <m/>
    <s v=""/>
    <m/>
    <m/>
    <s v="TIANJIN"/>
    <x v="0"/>
    <x v="1"/>
    <m/>
    <m/>
    <m/>
    <m/>
    <m/>
    <m/>
    <m/>
    <m/>
    <m/>
    <m/>
    <x v="296"/>
    <m/>
    <m/>
    <m/>
    <d v="2027-02-05T00:00:00"/>
    <s v="-"/>
    <d v="1899-12-30T00:00:00"/>
    <n v="7"/>
    <d v="2027-02-12T00:00:00"/>
    <n v="2027"/>
    <n v="2"/>
    <n v="6"/>
    <n v="36"/>
    <n v="864"/>
    <s v="Black glazing"/>
    <s v="AEU"/>
  </r>
  <r>
    <s v="26Oct006"/>
    <s v="Tianjin"/>
    <s v="Main Line"/>
    <s v="CORE DG"/>
    <x v="2"/>
    <s v="n/a"/>
    <s v="n/a"/>
    <x v="22"/>
    <s v="n/a"/>
    <x v="188"/>
    <m/>
    <m/>
    <s v="n/a"/>
    <d v="2026-10-22T00:00:00"/>
    <x v="0"/>
    <x v="43"/>
    <s v="HSM-ND54-DR505"/>
    <s v="EVO2A"/>
    <s v="±1200mm"/>
    <n v="505"/>
    <n v="0"/>
    <n v="0"/>
    <n v="0"/>
    <n v="0"/>
    <x v="23"/>
    <s v=""/>
    <d v="2026-10-27T00:00:00"/>
    <m/>
    <s v=""/>
    <m/>
    <m/>
    <s v="TIANJIN"/>
    <x v="0"/>
    <x v="23"/>
    <m/>
    <m/>
    <m/>
    <m/>
    <m/>
    <m/>
    <m/>
    <m/>
    <m/>
    <m/>
    <x v="296"/>
    <m/>
    <m/>
    <m/>
    <s v="n/a"/>
    <s v="-"/>
    <d v="1899-12-30T00:00:00"/>
    <n v="14"/>
    <s v="n/a"/>
    <e v="#VALUE!"/>
    <e v="#VALUE!"/>
    <n v="0"/>
    <n v="36"/>
    <n v="864"/>
    <s v="Black glazing"/>
    <s v="n/a"/>
  </r>
  <r>
    <s v="26Oct006.07"/>
    <s v="Tianjin"/>
    <s v="26Oct006"/>
    <s v="CORE DG"/>
    <x v="0"/>
    <s v="Arrival Plan-SPTN"/>
    <s v="CIF"/>
    <x v="0"/>
    <s v="U1"/>
    <x v="2"/>
    <m/>
    <m/>
    <s v="n/a"/>
    <d v="2026-10-22T00:00:00"/>
    <x v="0"/>
    <x v="43"/>
    <s v="HSM-ND54-DR505"/>
    <s v="EVO2A"/>
    <s v="±1200mm"/>
    <n v="505"/>
    <n v="1728"/>
    <n v="0.87263999999999997"/>
    <n v="48"/>
    <n v="2"/>
    <x v="28"/>
    <s v=""/>
    <d v="2026-10-27T00:00:00"/>
    <m/>
    <s v=""/>
    <m/>
    <m/>
    <s v="TIANJIN"/>
    <x v="0"/>
    <x v="0"/>
    <d v="2026-11-07T00:00:00"/>
    <m/>
    <m/>
    <d v="2027-01-25T00:00:00"/>
    <d v="2027-01-18T19:00:00"/>
    <s v=""/>
    <s v="CIF"/>
    <s v="COSCO SHIPPING VIRGO 037W"/>
    <s v="COSCO"/>
    <m/>
    <x v="828"/>
    <s v="COSU9510940900"/>
    <m/>
    <m/>
    <d v="2027-01-18T19:00:00"/>
    <s v="-"/>
    <d v="1899-12-30T00:00:00"/>
    <n v="8"/>
    <d v="2027-01-26T19:00:00"/>
    <n v="2027"/>
    <n v="1"/>
    <n v="4"/>
    <n v="36"/>
    <n v="864"/>
    <s v="Black glazing"/>
    <s v="AEM"/>
  </r>
  <r>
    <s v="26Oct006.01"/>
    <s v="Tianjin"/>
    <s v="26Oct006"/>
    <s v="CORE DG"/>
    <x v="0"/>
    <s v="Arrival Plan-SPNL"/>
    <s v="CIF"/>
    <x v="0"/>
    <s v="U1"/>
    <x v="2"/>
    <m/>
    <m/>
    <s v="n/a"/>
    <d v="2026-10-22T00:00:00"/>
    <x v="0"/>
    <x v="43"/>
    <s v="HSM-ND54-DR505"/>
    <s v="EVO2A"/>
    <s v="±1200mm"/>
    <n v="505"/>
    <n v="1728"/>
    <n v="0.87263999999999997"/>
    <n v="48"/>
    <n v="2"/>
    <x v="26"/>
    <s v=""/>
    <d v="2026-10-24T00:00:00"/>
    <m/>
    <s v=""/>
    <m/>
    <m/>
    <s v="TIANJIN"/>
    <x v="0"/>
    <x v="1"/>
    <m/>
    <m/>
    <m/>
    <m/>
    <m/>
    <m/>
    <m/>
    <m/>
    <m/>
    <m/>
    <x v="296"/>
    <m/>
    <m/>
    <m/>
    <d v="2027-01-15T00:00:00"/>
    <s v="-"/>
    <d v="1899-12-30T00:00:00"/>
    <n v="7"/>
    <d v="2027-01-22T00:00:00"/>
    <n v="2027"/>
    <n v="1"/>
    <n v="3"/>
    <n v="36"/>
    <n v="864"/>
    <s v="Black glazing"/>
    <s v="AEU"/>
  </r>
  <r>
    <s v="26Oct006.03"/>
    <s v="Tianjin"/>
    <s v="26Oct006"/>
    <s v="CORE DG"/>
    <x v="0"/>
    <s v="Arrival Plan-SPNL"/>
    <s v="CIF"/>
    <x v="0"/>
    <s v="U1"/>
    <x v="2"/>
    <m/>
    <m/>
    <s v="n/a"/>
    <d v="2026-10-22T00:00:00"/>
    <x v="0"/>
    <x v="43"/>
    <s v="HSM-ND54-DR505"/>
    <s v="EVO2A"/>
    <s v="±1200mm"/>
    <n v="505"/>
    <n v="3456"/>
    <n v="1.7452799999999999"/>
    <n v="96"/>
    <n v="4"/>
    <x v="27"/>
    <s v=""/>
    <d v="2026-10-26T00:00:00"/>
    <m/>
    <s v=""/>
    <m/>
    <m/>
    <s v="TIANJIN"/>
    <x v="0"/>
    <x v="1"/>
    <m/>
    <m/>
    <m/>
    <m/>
    <m/>
    <m/>
    <m/>
    <m/>
    <m/>
    <m/>
    <x v="296"/>
    <m/>
    <m/>
    <m/>
    <d v="2027-01-22T00:00:00"/>
    <s v="-"/>
    <d v="1899-12-30T00:00:00"/>
    <n v="7"/>
    <d v="2027-01-29T00:00:00"/>
    <n v="2027"/>
    <n v="1"/>
    <n v="4"/>
    <n v="36"/>
    <n v="864"/>
    <s v="Black glazing"/>
    <s v="AEU"/>
  </r>
  <r>
    <s v="26Oct007"/>
    <s v="Quzhou"/>
    <s v="Main Line"/>
    <s v="CORE DG"/>
    <x v="2"/>
    <s v="n/a"/>
    <s v="n/a"/>
    <x v="22"/>
    <s v="n/a"/>
    <x v="188"/>
    <m/>
    <m/>
    <s v="n/a"/>
    <m/>
    <x v="3"/>
    <x v="108"/>
    <s v="SPR-BE54-DD490"/>
    <s v="EVO2A"/>
    <s v="±1200mm"/>
    <n v="490"/>
    <n v="0"/>
    <n v="0"/>
    <n v="0"/>
    <n v="0"/>
    <x v="23"/>
    <s v=""/>
    <d v="2026-10-25T00:00:00"/>
    <m/>
    <s v=""/>
    <m/>
    <m/>
    <s v="SHANGHAI"/>
    <x v="1"/>
    <x v="23"/>
    <m/>
    <m/>
    <m/>
    <m/>
    <m/>
    <m/>
    <m/>
    <m/>
    <m/>
    <m/>
    <x v="296"/>
    <m/>
    <m/>
    <m/>
    <s v="n/a"/>
    <s v="-"/>
    <d v="1899-12-30T00:00:00"/>
    <n v="14"/>
    <s v="n/a"/>
    <e v="#VALUE!"/>
    <e v="#VALUE!"/>
    <n v="0"/>
    <n v="36"/>
    <n v="936"/>
    <s v="Black glazing"/>
    <s v="n/a"/>
  </r>
  <r>
    <s v="26Oct007.13"/>
    <s v="Quzhou"/>
    <s v="26Oct007"/>
    <s v="CORE DG"/>
    <x v="0"/>
    <s v="Arrival Plan-SPIT"/>
    <s v="CIF"/>
    <x v="4"/>
    <s v="U1"/>
    <x v="2"/>
    <m/>
    <m/>
    <s v="n/a"/>
    <m/>
    <x v="3"/>
    <x v="108"/>
    <s v="SPR-BE54-DD490"/>
    <s v="EVO2A"/>
    <s v="±1200mm"/>
    <n v="490"/>
    <n v="1872"/>
    <n v="0.91727999999999998"/>
    <n v="52"/>
    <n v="2"/>
    <x v="27"/>
    <s v=""/>
    <d v="2026-10-25T00:00:00"/>
    <m/>
    <s v=""/>
    <m/>
    <m/>
    <s v="SHANGHAI"/>
    <x v="1"/>
    <x v="4"/>
    <m/>
    <m/>
    <m/>
    <m/>
    <m/>
    <m/>
    <m/>
    <m/>
    <m/>
    <m/>
    <x v="296"/>
    <m/>
    <m/>
    <m/>
    <d v="2027-01-05T00:00:00"/>
    <s v="-"/>
    <d v="1899-12-30T00:00:00"/>
    <n v="10"/>
    <d v="2027-01-15T00:00:00"/>
    <n v="2027"/>
    <n v="1"/>
    <n v="2"/>
    <n v="36"/>
    <n v="936"/>
    <s v="Black glazing"/>
    <s v="AEM"/>
  </r>
  <r>
    <s v="26Oct009"/>
    <s v="Quzhou"/>
    <s v="Main Line"/>
    <s v="CORE DG"/>
    <x v="2"/>
    <s v="n/a"/>
    <s v="n/a"/>
    <x v="22"/>
    <s v="n/a"/>
    <x v="188"/>
    <m/>
    <m/>
    <s v="n/a"/>
    <m/>
    <x v="3"/>
    <x v="91"/>
    <s v="HSM-BE54-DD485"/>
    <s v="EVO2A"/>
    <s v="±1200mm"/>
    <n v="485"/>
    <n v="-72"/>
    <n v="-3.492E-2"/>
    <n v="-2"/>
    <n v="-7.6923076923076927E-2"/>
    <x v="23"/>
    <s v=""/>
    <s v="11/4产完，部分要换成TCL 490"/>
    <m/>
    <s v=""/>
    <m/>
    <m/>
    <s v="SHANGHAI"/>
    <x v="1"/>
    <x v="23"/>
    <m/>
    <m/>
    <m/>
    <m/>
    <m/>
    <m/>
    <m/>
    <m/>
    <m/>
    <m/>
    <x v="296"/>
    <m/>
    <n v="0"/>
    <m/>
    <s v="n/a"/>
    <s v="-"/>
    <d v="1899-12-30T00:00:00"/>
    <n v="14"/>
    <s v="n/a"/>
    <e v="#VALUE!"/>
    <e v="#VALUE!"/>
    <n v="0"/>
    <n v="36"/>
    <n v="936"/>
    <s v="Black glazing"/>
    <s v="n/a"/>
  </r>
  <r>
    <s v="26Oct009.24"/>
    <s v="Quzhou"/>
    <s v="26Oct009"/>
    <s v="CORE DG"/>
    <x v="0"/>
    <s v="Arrival Plan-SPNL"/>
    <s v="CIF"/>
    <x v="0"/>
    <s v="U1"/>
    <x v="2"/>
    <m/>
    <m/>
    <s v="n/a"/>
    <m/>
    <x v="3"/>
    <x v="91"/>
    <s v="HSM-BE54-DD485"/>
    <s v="EVO2A"/>
    <s v="±1200mm"/>
    <n v="485"/>
    <n v="8424"/>
    <n v="4.0856399999999997"/>
    <n v="234"/>
    <n v="9"/>
    <x v="27"/>
    <s v=""/>
    <d v="2026-11-01T00:00:00"/>
    <m/>
    <s v=""/>
    <m/>
    <m/>
    <s v="SHANGHAI"/>
    <x v="1"/>
    <x v="1"/>
    <m/>
    <m/>
    <m/>
    <m/>
    <m/>
    <m/>
    <m/>
    <m/>
    <m/>
    <m/>
    <x v="296"/>
    <m/>
    <n v="0"/>
    <m/>
    <d v="2027-01-01T00:00:00"/>
    <s v="-"/>
    <d v="1899-12-30T00:00:00"/>
    <n v="7"/>
    <d v="2027-01-08T00:00:00"/>
    <n v="2027"/>
    <n v="1"/>
    <n v="1"/>
    <n v="36"/>
    <n v="936"/>
    <s v="Black glazing"/>
    <s v="AEU"/>
  </r>
  <r>
    <s v="26Oct009.25"/>
    <s v="Quzhou"/>
    <s v="26Oct009"/>
    <s v="CORE DG"/>
    <x v="0"/>
    <s v="Arrival Plan-SPNL"/>
    <s v="CIF"/>
    <x v="0"/>
    <s v="U1"/>
    <x v="2"/>
    <m/>
    <m/>
    <s v="n/a"/>
    <m/>
    <x v="3"/>
    <x v="91"/>
    <s v="HSM-BE54-DD485"/>
    <s v="EVO2A"/>
    <s v="±1200mm"/>
    <n v="485"/>
    <n v="7488"/>
    <n v="3.6316799999999998"/>
    <n v="208"/>
    <n v="8"/>
    <x v="28"/>
    <s v=""/>
    <s v="11/4产完"/>
    <m/>
    <s v=""/>
    <m/>
    <m/>
    <s v="SHANGHAI"/>
    <x v="1"/>
    <x v="1"/>
    <m/>
    <m/>
    <m/>
    <m/>
    <m/>
    <m/>
    <m/>
    <m/>
    <m/>
    <m/>
    <x v="296"/>
    <m/>
    <n v="0"/>
    <m/>
    <d v="2027-01-08T00:00:00"/>
    <s v="-"/>
    <d v="1899-12-30T00:00:00"/>
    <n v="7"/>
    <d v="2027-01-15T00:00:00"/>
    <n v="2027"/>
    <n v="1"/>
    <n v="2"/>
    <n v="36"/>
    <n v="936"/>
    <s v="Black glazing"/>
    <s v="AEU"/>
  </r>
  <r>
    <s v="26Oct009.26"/>
    <s v="Quzhou"/>
    <s v="26Oct009"/>
    <s v="CORE DG"/>
    <x v="0"/>
    <s v="Arrival Plan-SPNL"/>
    <s v="CIF"/>
    <x v="0"/>
    <s v="U1"/>
    <x v="2"/>
    <m/>
    <m/>
    <s v="n/a"/>
    <m/>
    <x v="3"/>
    <x v="91"/>
    <s v="HSM-BE54-DD485"/>
    <s v="EVO2A"/>
    <s v="±1200mm"/>
    <n v="485"/>
    <n v="9360"/>
    <n v="4.5396000000000001"/>
    <n v="260"/>
    <n v="10"/>
    <x v="28"/>
    <s v=""/>
    <s v="11/4产完"/>
    <m/>
    <s v=""/>
    <m/>
    <m/>
    <s v="SHANGHAI"/>
    <x v="1"/>
    <x v="1"/>
    <m/>
    <m/>
    <m/>
    <m/>
    <m/>
    <m/>
    <m/>
    <m/>
    <m/>
    <m/>
    <x v="296"/>
    <m/>
    <n v="0"/>
    <m/>
    <d v="2027-01-08T00:00:00"/>
    <s v="-"/>
    <d v="1899-12-30T00:00:00"/>
    <n v="7"/>
    <d v="2027-01-15T00:00:00"/>
    <n v="2027"/>
    <n v="1"/>
    <n v="2"/>
    <n v="36"/>
    <n v="936"/>
    <s v="Black glazing"/>
    <s v="AEU"/>
  </r>
  <r>
    <s v="26Oct009.27"/>
    <s v="Quzhou"/>
    <s v="26Oct009"/>
    <s v="CORE DG"/>
    <x v="0"/>
    <s v="Arrival Plan-SPNL"/>
    <s v="CIF"/>
    <x v="0"/>
    <s v="U1"/>
    <x v="2"/>
    <m/>
    <m/>
    <s v="n/a"/>
    <m/>
    <x v="3"/>
    <x v="91"/>
    <s v="HSM-BE54-DD485"/>
    <s v="EVO2A"/>
    <s v="±1200mm"/>
    <n v="485"/>
    <n v="9360"/>
    <n v="4.5396000000000001"/>
    <n v="260"/>
    <n v="10"/>
    <x v="28"/>
    <s v=""/>
    <s v="11/4产完"/>
    <m/>
    <s v=""/>
    <m/>
    <m/>
    <s v="SHANGHAI"/>
    <x v="1"/>
    <x v="1"/>
    <m/>
    <m/>
    <m/>
    <m/>
    <m/>
    <m/>
    <m/>
    <m/>
    <m/>
    <m/>
    <x v="296"/>
    <m/>
    <n v="0"/>
    <m/>
    <d v="2027-01-08T00:00:00"/>
    <s v="-"/>
    <d v="1899-12-30T00:00:00"/>
    <n v="7"/>
    <d v="2027-01-15T00:00:00"/>
    <n v="2027"/>
    <n v="1"/>
    <n v="2"/>
    <n v="36"/>
    <n v="936"/>
    <s v="Black glazing"/>
    <s v="AEU"/>
  </r>
  <r>
    <s v="26Oct009.28"/>
    <s v="Quzhou"/>
    <s v="26Oct009"/>
    <s v="CORE DG"/>
    <x v="0"/>
    <s v="Arrival Plan-SPIT"/>
    <s v="CIF"/>
    <x v="4"/>
    <s v="U1"/>
    <x v="2"/>
    <m/>
    <m/>
    <s v="n/a"/>
    <m/>
    <x v="3"/>
    <x v="91"/>
    <s v="HSM-BE54-DD485"/>
    <s v="EVO2A"/>
    <s v="±1200mm"/>
    <n v="485"/>
    <n v="4680"/>
    <n v="2.2698"/>
    <n v="130"/>
    <n v="5"/>
    <x v="28"/>
    <s v=""/>
    <s v="IT进口商标签,11/1"/>
    <m/>
    <s v=""/>
    <m/>
    <m/>
    <s v="SHANGHAI"/>
    <x v="1"/>
    <x v="4"/>
    <m/>
    <m/>
    <m/>
    <m/>
    <m/>
    <m/>
    <m/>
    <m/>
    <m/>
    <m/>
    <x v="296"/>
    <m/>
    <n v="0"/>
    <m/>
    <d v="2027-01-12T00:00:00"/>
    <s v="-"/>
    <d v="1899-12-30T00:00:00"/>
    <n v="10"/>
    <d v="2027-01-22T00:00:00"/>
    <n v="2027"/>
    <n v="1"/>
    <n v="3"/>
    <n v="36"/>
    <n v="936"/>
    <s v="Black glazing"/>
    <s v="AEM"/>
  </r>
  <r>
    <s v="26Oct009.29"/>
    <s v="Quzhou"/>
    <s v="26Oct009"/>
    <s v="CORE DG"/>
    <x v="0"/>
    <s v="Arrival Plan-SPIT"/>
    <s v="CIF"/>
    <x v="4"/>
    <s v="U1"/>
    <x v="2"/>
    <m/>
    <m/>
    <s v="n/a"/>
    <m/>
    <x v="3"/>
    <x v="91"/>
    <s v="HSM-BE54-DD485"/>
    <s v="EVO2A"/>
    <s v="±1200mm"/>
    <n v="485"/>
    <n v="4680"/>
    <n v="2.2698"/>
    <n v="130"/>
    <n v="5"/>
    <x v="30"/>
    <s v=""/>
    <s v="IT进口商标签,11/4产完"/>
    <m/>
    <s v=""/>
    <m/>
    <m/>
    <s v="SHANGHAI"/>
    <x v="1"/>
    <x v="14"/>
    <m/>
    <m/>
    <m/>
    <m/>
    <m/>
    <m/>
    <m/>
    <m/>
    <m/>
    <m/>
    <x v="296"/>
    <m/>
    <n v="0"/>
    <m/>
    <d v="2027-01-19T00:00:00"/>
    <s v="-"/>
    <d v="1899-12-30T00:00:00"/>
    <n v="10"/>
    <d v="2027-01-29T00:00:00"/>
    <n v="2027"/>
    <n v="1"/>
    <n v="4"/>
    <n v="36"/>
    <n v="936"/>
    <s v="Black glazing"/>
    <s v="AEM"/>
  </r>
  <r>
    <s v="26Oct009.30"/>
    <s v="Quzhou"/>
    <s v="26Oct009"/>
    <s v="CORE DG"/>
    <x v="0"/>
    <s v="Arrival Plan-SPUK"/>
    <s v="CIF"/>
    <x v="6"/>
    <s v="U1"/>
    <x v="2"/>
    <m/>
    <m/>
    <s v="n/a"/>
    <m/>
    <x v="3"/>
    <x v="91"/>
    <s v="HSM-BE54-DD485"/>
    <s v="EVO2A"/>
    <s v="±1200mm"/>
    <n v="485"/>
    <n v="4680"/>
    <n v="2.2698"/>
    <n v="130"/>
    <n v="5"/>
    <x v="28"/>
    <s v=""/>
    <s v="11/4产完，部分要换成TCL 490"/>
    <m/>
    <s v=""/>
    <m/>
    <m/>
    <s v="SHANGHAI"/>
    <x v="1"/>
    <x v="6"/>
    <m/>
    <m/>
    <m/>
    <m/>
    <m/>
    <m/>
    <m/>
    <m/>
    <m/>
    <m/>
    <x v="296"/>
    <m/>
    <n v="0"/>
    <m/>
    <d v="2027-01-08T00:00:00"/>
    <s v="-"/>
    <d v="1899-12-30T00:00:00"/>
    <n v="7"/>
    <d v="2027-01-15T00:00:00"/>
    <n v="2027"/>
    <n v="1"/>
    <n v="2"/>
    <n v="36"/>
    <n v="936"/>
    <s v="Black glazing"/>
    <s v="AEU"/>
  </r>
  <r>
    <s v="26Oct009.23"/>
    <s v="Quzhou"/>
    <s v="26Oct009"/>
    <s v="CORE DG"/>
    <x v="2"/>
    <s v="n/a"/>
    <s v="n/a"/>
    <x v="22"/>
    <s v="n/a"/>
    <x v="188"/>
    <m/>
    <m/>
    <s v="n/a"/>
    <m/>
    <x v="3"/>
    <x v="91"/>
    <s v="HSM-BE54-DD485"/>
    <s v="EVO2A"/>
    <s v="±1200mm"/>
    <n v="485"/>
    <n v="9360"/>
    <n v="4.5396000000000001"/>
    <n v="260"/>
    <n v="10"/>
    <x v="27"/>
    <s v=""/>
    <d v="2026-10-29T00:00:00"/>
    <m/>
    <s v=""/>
    <m/>
    <m/>
    <s v="SHANGHAI"/>
    <x v="1"/>
    <x v="1"/>
    <m/>
    <m/>
    <m/>
    <m/>
    <m/>
    <m/>
    <m/>
    <m/>
    <m/>
    <m/>
    <x v="296"/>
    <m/>
    <n v="0"/>
    <m/>
    <s v="n/a"/>
    <s v="-"/>
    <d v="1899-12-30T00:00:00"/>
    <n v="7"/>
    <s v="n/a"/>
    <e v="#VALUE!"/>
    <e v="#VALUE!"/>
    <n v="0"/>
    <n v="36"/>
    <n v="936"/>
    <s v="Black glazing"/>
    <s v="AEU"/>
  </r>
  <r>
    <s v="26Oct009.19"/>
    <s v="Quzhou"/>
    <s v="26Oct009"/>
    <s v="CORE DG"/>
    <x v="1"/>
    <s v="SPTN Offstore in Transit WH"/>
    <s v="CIP"/>
    <x v="15"/>
    <s v="U1"/>
    <x v="162"/>
    <s v="BE0126100800031"/>
    <n v="1"/>
    <s v="Yes - GTG"/>
    <m/>
    <x v="3"/>
    <x v="91"/>
    <s v="HSM-BE54-DD485"/>
    <s v="EVO2A"/>
    <s v="±1200mm"/>
    <n v="485"/>
    <n v="936"/>
    <n v="0.45395999999999997"/>
    <n v="26"/>
    <n v="1"/>
    <x v="26"/>
    <s v=""/>
    <d v="2026-10-25T00:00:00"/>
    <m/>
    <s v=""/>
    <m/>
    <m/>
    <s v="SHANGHAI"/>
    <x v="1"/>
    <x v="1"/>
    <m/>
    <m/>
    <m/>
    <m/>
    <m/>
    <m/>
    <m/>
    <m/>
    <m/>
    <m/>
    <x v="296"/>
    <m/>
    <n v="0"/>
    <m/>
    <d v="2026-12-25T00:00:00"/>
    <s v="-"/>
    <d v="1899-12-30T00:00:00"/>
    <n v="0"/>
    <d v="2026-12-25T00:00:00"/>
    <n v="2026"/>
    <n v="12"/>
    <n v="52"/>
    <n v="36"/>
    <n v="936"/>
    <s v="Black glazing"/>
    <s v="AEU"/>
  </r>
  <r>
    <s v="26Oct009.05"/>
    <s v="Quzhou"/>
    <s v="26Oct009"/>
    <s v="CORE DG"/>
    <x v="0"/>
    <s v="Arrival Plan-SPNL"/>
    <s v="CIF"/>
    <x v="0"/>
    <s v="U1"/>
    <x v="2"/>
    <m/>
    <m/>
    <s v="n/a"/>
    <m/>
    <x v="3"/>
    <x v="91"/>
    <s v="HSM-BE54-DD485"/>
    <s v="EVO2A"/>
    <s v="±1200mm"/>
    <n v="485"/>
    <n v="10296"/>
    <n v="4.9935600000000004"/>
    <n v="286"/>
    <n v="11"/>
    <x v="26"/>
    <s v=""/>
    <d v="2026-10-25T00:00:00"/>
    <m/>
    <s v=""/>
    <m/>
    <m/>
    <s v="SHANGHAI"/>
    <x v="1"/>
    <x v="1"/>
    <m/>
    <m/>
    <m/>
    <m/>
    <m/>
    <m/>
    <m/>
    <m/>
    <m/>
    <m/>
    <x v="296"/>
    <m/>
    <n v="0"/>
    <m/>
    <d v="2026-12-25T00:00:00"/>
    <s v="-"/>
    <d v="1899-12-30T00:00:00"/>
    <n v="7"/>
    <d v="2027-01-01T00:00:00"/>
    <n v="2027"/>
    <n v="1"/>
    <n v="53"/>
    <n v="36"/>
    <n v="936"/>
    <s v="Black glazing"/>
    <s v="AEU"/>
  </r>
  <r>
    <s v="26Oct009.06"/>
    <s v="Quzhou"/>
    <s v="26Oct009"/>
    <s v="CORE DG"/>
    <x v="0"/>
    <s v="Arrival Plan-SPNL"/>
    <s v="CIF"/>
    <x v="0"/>
    <s v="U1"/>
    <x v="2"/>
    <m/>
    <m/>
    <s v="n/a"/>
    <m/>
    <x v="3"/>
    <x v="91"/>
    <s v="HSM-BE54-DD485"/>
    <s v="EVO2A"/>
    <s v="±1200mm"/>
    <n v="485"/>
    <n v="4680"/>
    <n v="2.2698"/>
    <n v="130"/>
    <n v="5"/>
    <x v="26"/>
    <s v=""/>
    <d v="2026-10-22T00:00:00"/>
    <m/>
    <s v=""/>
    <m/>
    <m/>
    <s v="SHANGHAI"/>
    <x v="3"/>
    <x v="1"/>
    <m/>
    <m/>
    <m/>
    <m/>
    <m/>
    <m/>
    <m/>
    <m/>
    <m/>
    <m/>
    <x v="296"/>
    <m/>
    <n v="0"/>
    <m/>
    <d v="2026-12-25T00:00:00"/>
    <s v="-"/>
    <d v="1899-12-30T00:00:00"/>
    <n v="7"/>
    <d v="2027-01-01T00:00:00"/>
    <n v="2027"/>
    <n v="1"/>
    <n v="53"/>
    <n v="36"/>
    <n v="936"/>
    <s v="Black glazing"/>
    <s v="AEU"/>
  </r>
  <r>
    <s v="26Oct010"/>
    <s v="Quzhou"/>
    <s v="Main Line"/>
    <s v="CORE DG"/>
    <x v="2"/>
    <s v="n/a"/>
    <s v="n/a"/>
    <x v="22"/>
    <s v="n/a"/>
    <x v="188"/>
    <m/>
    <m/>
    <s v="n/a"/>
    <m/>
    <x v="3"/>
    <x v="96"/>
    <s v="HSM-BE54-DD490"/>
    <s v="EVO2A"/>
    <s v="±1200mm"/>
    <n v="490"/>
    <n v="17856"/>
    <n v="8.7494399999999999"/>
    <n v="496"/>
    <n v="19.076923076923077"/>
    <x v="23"/>
    <s v=""/>
    <m/>
    <m/>
    <s v=""/>
    <m/>
    <m/>
    <s v="SHANGHAI"/>
    <x v="1"/>
    <x v="23"/>
    <m/>
    <m/>
    <m/>
    <m/>
    <m/>
    <m/>
    <m/>
    <m/>
    <m/>
    <m/>
    <x v="296"/>
    <m/>
    <n v="0"/>
    <m/>
    <s v="n/a"/>
    <s v="-"/>
    <d v="1899-12-30T00:00:00"/>
    <n v="14"/>
    <s v="n/a"/>
    <e v="#VALUE!"/>
    <e v="#VALUE!"/>
    <n v="0"/>
    <n v="36"/>
    <n v="936"/>
    <s v="Black glazing"/>
    <s v="n/a"/>
  </r>
  <r>
    <s v="26Oct010.4"/>
    <s v="Quzhou"/>
    <s v="26Oct010"/>
    <s v="CORE DG"/>
    <x v="2"/>
    <s v="n/a"/>
    <s v="n/a"/>
    <x v="22"/>
    <s v="n/a"/>
    <x v="188"/>
    <m/>
    <m/>
    <s v="n/a"/>
    <m/>
    <x v="3"/>
    <x v="96"/>
    <s v="HSM-BE54-DD490"/>
    <s v="EVO2A"/>
    <s v="±1200mm"/>
    <n v="490"/>
    <n v="4680"/>
    <n v="2.2932000000000001"/>
    <n v="130"/>
    <n v="5"/>
    <x v="27"/>
    <s v=""/>
    <m/>
    <m/>
    <s v=""/>
    <m/>
    <m/>
    <s v="SHANGHAI"/>
    <x v="1"/>
    <x v="1"/>
    <m/>
    <m/>
    <m/>
    <m/>
    <m/>
    <m/>
    <m/>
    <m/>
    <m/>
    <m/>
    <x v="296"/>
    <m/>
    <n v="0"/>
    <m/>
    <s v="n/a"/>
    <s v="-"/>
    <d v="1899-12-30T00:00:00"/>
    <n v="7"/>
    <s v="n/a"/>
    <e v="#VALUE!"/>
    <e v="#VALUE!"/>
    <n v="0"/>
    <n v="36"/>
    <n v="936"/>
    <s v="Black glazing"/>
    <s v="AEU"/>
  </r>
  <r>
    <s v="26Oct012"/>
    <s v="Yixing"/>
    <s v="Main Line"/>
    <s v="CORE DG"/>
    <x v="2"/>
    <s v="n/a"/>
    <s v="n/a"/>
    <x v="22"/>
    <s v="n/a"/>
    <x v="188"/>
    <m/>
    <m/>
    <s v="n/a"/>
    <d v="2026-10-26T00:00:00"/>
    <x v="11"/>
    <x v="104"/>
    <s v="HSM-NT48-HH480"/>
    <s v="EVO2A"/>
    <s v="±1200mm"/>
    <n v="480"/>
    <n v="0"/>
    <n v="0"/>
    <n v="0"/>
    <n v="0"/>
    <x v="23"/>
    <s v=""/>
    <d v="2026-10-31T00:00:00"/>
    <m/>
    <s v=""/>
    <m/>
    <m/>
    <s v="SHANGHAI"/>
    <x v="1"/>
    <x v="23"/>
    <m/>
    <m/>
    <m/>
    <m/>
    <m/>
    <m/>
    <m/>
    <m/>
    <m/>
    <m/>
    <x v="296"/>
    <m/>
    <m/>
    <m/>
    <s v="n/a"/>
    <s v="-"/>
    <d v="1899-12-30T00:00:00"/>
    <n v="14"/>
    <s v="n/a"/>
    <e v="#VALUE!"/>
    <e v="#VALUE!"/>
    <n v="0"/>
    <n v="36"/>
    <n v="936"/>
    <s v="Black glazing"/>
    <s v="n/a"/>
  </r>
  <r>
    <s v="26Oct012.3"/>
    <s v="Yixing"/>
    <s v="26Oct012"/>
    <s v="CORE DG"/>
    <x v="0"/>
    <s v="Arrival Plan-SPNL"/>
    <s v="CIF"/>
    <x v="0"/>
    <s v="U1"/>
    <x v="2"/>
    <m/>
    <m/>
    <s v="n/a"/>
    <d v="2026-10-26T00:00:00"/>
    <x v="11"/>
    <x v="104"/>
    <s v="HSM-NT48-HH480"/>
    <s v="EVO2A"/>
    <s v="±1200mm"/>
    <n v="480"/>
    <n v="7488"/>
    <n v="3.5942400000000001"/>
    <n v="208"/>
    <n v="8"/>
    <x v="27"/>
    <s v=""/>
    <d v="2026-10-29T00:00:00"/>
    <m/>
    <s v=""/>
    <m/>
    <m/>
    <s v="SHANGHAI"/>
    <x v="1"/>
    <x v="1"/>
    <m/>
    <m/>
    <m/>
    <m/>
    <m/>
    <m/>
    <m/>
    <m/>
    <m/>
    <m/>
    <x v="296"/>
    <m/>
    <m/>
    <m/>
    <d v="2027-01-01T00:00:00"/>
    <s v="-"/>
    <d v="1899-12-30T00:00:00"/>
    <n v="7"/>
    <d v="2027-01-08T00:00:00"/>
    <n v="2027"/>
    <n v="1"/>
    <n v="1"/>
    <n v="36"/>
    <n v="936"/>
    <s v="Black glazing"/>
    <s v="AEU"/>
  </r>
  <r>
    <s v="26Oct013"/>
    <s v="Yixing"/>
    <s v="Main Line"/>
    <s v="CORE DG"/>
    <x v="2"/>
    <s v="n/a"/>
    <s v="n/a"/>
    <x v="22"/>
    <s v="n/a"/>
    <x v="188"/>
    <m/>
    <m/>
    <s v="n/a"/>
    <d v="2026-10-26T00:00:00"/>
    <x v="11"/>
    <x v="118"/>
    <s v="HSM-NT48-HH485"/>
    <s v="EVO2A"/>
    <s v="±1200mm"/>
    <n v="485"/>
    <n v="0"/>
    <n v="0"/>
    <n v="0"/>
    <n v="0"/>
    <x v="23"/>
    <s v=""/>
    <d v="2026-10-27T00:00:00"/>
    <m/>
    <s v=""/>
    <m/>
    <m/>
    <s v="SHANGHAI"/>
    <x v="1"/>
    <x v="23"/>
    <m/>
    <m/>
    <m/>
    <m/>
    <m/>
    <m/>
    <m/>
    <m/>
    <m/>
    <m/>
    <x v="296"/>
    <m/>
    <m/>
    <m/>
    <s v="n/a"/>
    <s v="-"/>
    <d v="1899-12-30T00:00:00"/>
    <n v="14"/>
    <s v="n/a"/>
    <e v="#VALUE!"/>
    <e v="#VALUE!"/>
    <n v="0"/>
    <n v="36"/>
    <n v="936"/>
    <s v="Black glazing"/>
    <s v="n/a"/>
  </r>
  <r>
    <s v="26Oct013.1"/>
    <s v="Yixing"/>
    <s v="26Oct013"/>
    <s v="CORE DG"/>
    <x v="0"/>
    <s v="Arrival Plan-SPUK"/>
    <s v="CIF"/>
    <x v="6"/>
    <s v="U1"/>
    <x v="2"/>
    <m/>
    <m/>
    <s v="n/a"/>
    <d v="2026-10-26T00:00:00"/>
    <x v="11"/>
    <x v="118"/>
    <s v="HSM-NT48-HH485"/>
    <s v="EVO2A"/>
    <s v="±1200mm"/>
    <n v="485"/>
    <n v="1872"/>
    <n v="0.90791999999999995"/>
    <n v="52"/>
    <n v="2"/>
    <x v="28"/>
    <s v=""/>
    <d v="2026-10-22T00:00:00"/>
    <m/>
    <s v=""/>
    <m/>
    <m/>
    <s v="NINGBO"/>
    <x v="3"/>
    <x v="6"/>
    <m/>
    <m/>
    <m/>
    <m/>
    <m/>
    <m/>
    <m/>
    <m/>
    <m/>
    <m/>
    <x v="296"/>
    <m/>
    <m/>
    <m/>
    <d v="2027-01-08T00:00:00"/>
    <s v="-"/>
    <d v="1899-12-30T00:00:00"/>
    <n v="7"/>
    <d v="2027-01-15T00:00:00"/>
    <n v="2027"/>
    <n v="1"/>
    <n v="2"/>
    <n v="36"/>
    <n v="936"/>
    <s v="Black glazing"/>
    <s v="AEU"/>
  </r>
  <r>
    <s v="26Oct013.2"/>
    <s v="Yixing"/>
    <s v="26Oct013"/>
    <s v="CORE DG"/>
    <x v="0"/>
    <s v="Arrival Plan-SPNL"/>
    <s v="CIF"/>
    <x v="0"/>
    <s v="U1"/>
    <x v="2"/>
    <m/>
    <m/>
    <s v="n/a"/>
    <d v="2026-10-26T00:00:00"/>
    <x v="11"/>
    <x v="118"/>
    <s v="HSM-NT48-HH485"/>
    <s v="EVO2A"/>
    <s v="±1200mm"/>
    <n v="485"/>
    <n v="11232"/>
    <n v="5.4475199999999999"/>
    <n v="312"/>
    <n v="12"/>
    <x v="28"/>
    <s v=""/>
    <d v="2026-10-22T00:00:00"/>
    <m/>
    <s v=""/>
    <m/>
    <m/>
    <s v="SHANGHAI"/>
    <x v="1"/>
    <x v="1"/>
    <m/>
    <m/>
    <m/>
    <m/>
    <m/>
    <m/>
    <m/>
    <m/>
    <m/>
    <m/>
    <x v="296"/>
    <m/>
    <m/>
    <m/>
    <d v="2027-01-08T00:00:00"/>
    <s v="-"/>
    <s v=""/>
    <n v="7"/>
    <d v="2027-01-15T00:00:00"/>
    <n v="2027"/>
    <n v="1"/>
    <n v="2"/>
    <n v="36"/>
    <n v="936"/>
    <s v="Black glazing"/>
    <s v="AEU"/>
  </r>
  <r>
    <s v="26Oct013.3"/>
    <s v="Yixing"/>
    <s v="26Oct013"/>
    <s v="CORE DG"/>
    <x v="0"/>
    <s v="Arrival Plan-SPNL"/>
    <s v="CIF"/>
    <x v="0"/>
    <s v="U1"/>
    <x v="2"/>
    <m/>
    <m/>
    <s v="n/a"/>
    <d v="2026-10-26T00:00:00"/>
    <x v="11"/>
    <x v="118"/>
    <s v="HSM-NT48-HH485"/>
    <s v="EVO2A"/>
    <s v="±1200mm"/>
    <n v="485"/>
    <n v="5616"/>
    <n v="2.72376"/>
    <n v="156"/>
    <n v="6"/>
    <x v="29"/>
    <s v=""/>
    <d v="2026-10-24T00:00:00"/>
    <m/>
    <s v=""/>
    <m/>
    <m/>
    <s v="SHANGHAI"/>
    <x v="1"/>
    <x v="1"/>
    <m/>
    <m/>
    <m/>
    <m/>
    <m/>
    <m/>
    <m/>
    <m/>
    <m/>
    <m/>
    <x v="296"/>
    <m/>
    <m/>
    <m/>
    <d v="2027-01-22T00:00:00"/>
    <s v="-"/>
    <s v=""/>
    <n v="7"/>
    <d v="2027-01-29T00:00:00"/>
    <n v="2027"/>
    <n v="1"/>
    <n v="4"/>
    <n v="36"/>
    <n v="936"/>
    <s v="Black glazing"/>
    <s v="AEU"/>
  </r>
  <r>
    <s v="26Oct013.4"/>
    <s v="Yixing"/>
    <s v="26Oct013"/>
    <s v="CORE DG"/>
    <x v="0"/>
    <s v="Arrival Plan-SPNL"/>
    <s v="CIF"/>
    <x v="0"/>
    <s v="U1"/>
    <x v="2"/>
    <m/>
    <m/>
    <s v="n/a"/>
    <d v="2026-10-26T00:00:00"/>
    <x v="11"/>
    <x v="118"/>
    <s v="HSM-NT48-HH485"/>
    <s v="EVO2A"/>
    <s v="±1200mm"/>
    <n v="485"/>
    <n v="6552"/>
    <n v="3.1777199999999999"/>
    <n v="182"/>
    <n v="7"/>
    <x v="36"/>
    <s v=""/>
    <d v="2026-10-26T00:00:00"/>
    <m/>
    <s v=""/>
    <m/>
    <m/>
    <s v="SHANGHAI"/>
    <x v="1"/>
    <x v="1"/>
    <m/>
    <m/>
    <m/>
    <m/>
    <m/>
    <m/>
    <m/>
    <m/>
    <m/>
    <m/>
    <x v="296"/>
    <m/>
    <m/>
    <m/>
    <d v="1899-12-30T00:00:00"/>
    <s v="-"/>
    <d v="1899-12-30T00:00:00"/>
    <n v="7"/>
    <d v="1900-01-06T00:00:00"/>
    <n v="1900"/>
    <n v="1"/>
    <n v="1"/>
    <n v="36"/>
    <n v="936"/>
    <s v="Black glazing"/>
    <s v="AEU"/>
  </r>
  <r>
    <s v="26Oct014"/>
    <s v="Yixing"/>
    <s v="Main Line"/>
    <s v="CORE DG"/>
    <x v="2"/>
    <s v="n/a"/>
    <s v="n/a"/>
    <x v="22"/>
    <s v="n/a"/>
    <x v="188"/>
    <m/>
    <m/>
    <s v="n/a"/>
    <d v="2026-09-27T00:00:00"/>
    <x v="11"/>
    <x v="110"/>
    <s v="HSM-NT48-GH480 CFP"/>
    <s v="EVO2A"/>
    <s v="±1200mm"/>
    <n v="480"/>
    <n v="0"/>
    <n v="0"/>
    <n v="0"/>
    <n v="0"/>
    <x v="23"/>
    <s v=""/>
    <m/>
    <m/>
    <s v=""/>
    <m/>
    <m/>
    <s v="SHANGHAI"/>
    <x v="1"/>
    <x v="26"/>
    <m/>
    <m/>
    <m/>
    <m/>
    <m/>
    <m/>
    <m/>
    <m/>
    <m/>
    <m/>
    <x v="296"/>
    <m/>
    <m/>
    <m/>
    <s v="n/a"/>
    <s v="-"/>
    <d v="1899-12-30T00:00:00"/>
    <n v="14"/>
    <s v="n/a"/>
    <e v="#VALUE!"/>
    <e v="#VALUE!"/>
    <n v="0"/>
    <n v="36"/>
    <n v="936"/>
    <s v="White glazing"/>
    <n v="0"/>
  </r>
  <r>
    <s v="26Oct014.01"/>
    <s v="Yixing"/>
    <s v="26Oct014"/>
    <s v="CORE DG"/>
    <x v="0"/>
    <s v="Arrival Plan-SPTN"/>
    <s v="CIF"/>
    <x v="0"/>
    <s v="U1"/>
    <x v="2"/>
    <m/>
    <m/>
    <s v="n/a"/>
    <d v="2026-09-27T00:00:00"/>
    <x v="11"/>
    <x v="110"/>
    <s v="HSM-NT48-GH480 CFP"/>
    <s v="EVO2A"/>
    <s v="±1200mm"/>
    <n v="480"/>
    <n v="3744"/>
    <n v="1.7971200000000001"/>
    <n v="104"/>
    <n v="4"/>
    <x v="26"/>
    <s v=""/>
    <s v="ready"/>
    <m/>
    <s v=""/>
    <m/>
    <m/>
    <s v="SHANGHAI"/>
    <x v="1"/>
    <x v="0"/>
    <m/>
    <m/>
    <m/>
    <m/>
    <m/>
    <m/>
    <m/>
    <m/>
    <m/>
    <m/>
    <x v="296"/>
    <m/>
    <m/>
    <m/>
    <d v="2026-12-29T00:00:00"/>
    <s v="-"/>
    <d v="1899-12-30T00:00:00"/>
    <n v="8"/>
    <d v="2027-01-06T00:00:00"/>
    <n v="2027"/>
    <n v="1"/>
    <n v="1"/>
    <n v="36"/>
    <n v="936"/>
    <s v="White glazing"/>
    <s v="AEM"/>
  </r>
  <r>
    <s v="26Oct015"/>
    <s v="Yixing"/>
    <s v="Main Line"/>
    <s v="CORE DG"/>
    <x v="2"/>
    <s v="n/a"/>
    <s v="n/a"/>
    <x v="22"/>
    <s v="n/a"/>
    <x v="188"/>
    <m/>
    <m/>
    <s v="n/a"/>
    <d v="2026-09-27T00:00:00"/>
    <x v="11"/>
    <x v="111"/>
    <s v="HSM-NT48-GH485 CFP"/>
    <s v="EVO2A"/>
    <s v="±1200mm"/>
    <n v="485"/>
    <n v="0"/>
    <n v="0"/>
    <n v="0"/>
    <n v="0"/>
    <x v="23"/>
    <s v=""/>
    <m/>
    <m/>
    <s v=""/>
    <m/>
    <m/>
    <s v="SHANGHAI"/>
    <x v="1"/>
    <x v="26"/>
    <m/>
    <m/>
    <m/>
    <m/>
    <m/>
    <m/>
    <m/>
    <m/>
    <m/>
    <m/>
    <x v="296"/>
    <m/>
    <m/>
    <m/>
    <s v="n/a"/>
    <s v="-"/>
    <d v="1899-12-30T00:00:00"/>
    <n v="14"/>
    <s v="n/a"/>
    <e v="#VALUE!"/>
    <e v="#VALUE!"/>
    <n v="0"/>
    <n v="36"/>
    <n v="936"/>
    <s v="White glazing"/>
    <n v="0"/>
  </r>
  <r>
    <s v="26Oct016"/>
    <s v="Yixing"/>
    <s v="Main Line"/>
    <s v="UPP"/>
    <x v="2"/>
    <s v="n/a"/>
    <s v="n/a"/>
    <x v="22"/>
    <s v="n/a"/>
    <x v="188"/>
    <m/>
    <m/>
    <s v="n/a"/>
    <d v="2026-10-14T00:00:00"/>
    <x v="9"/>
    <x v="109"/>
    <s v="HSM-NT66-GH650 CFP"/>
    <s v="EVO2A"/>
    <s v="±1600mm"/>
    <n v="650"/>
    <n v="0"/>
    <n v="0"/>
    <n v="0"/>
    <n v="0"/>
    <x v="23"/>
    <s v=""/>
    <m/>
    <m/>
    <s v=""/>
    <m/>
    <m/>
    <s v="SHANGHAI"/>
    <x v="1"/>
    <x v="23"/>
    <m/>
    <s v=""/>
    <s v=""/>
    <m/>
    <s v=""/>
    <s v=""/>
    <m/>
    <m/>
    <m/>
    <m/>
    <x v="296"/>
    <m/>
    <m/>
    <m/>
    <s v="n/a"/>
    <s v="-"/>
    <d v="1899-12-30T00:00:00"/>
    <n v="14"/>
    <s v="n/a"/>
    <e v="#VALUE!"/>
    <e v="#VALUE!"/>
    <n v="0"/>
    <n v="36"/>
    <n v="720"/>
    <s v="Redirection Film"/>
    <s v="n/a"/>
  </r>
  <r>
    <s v="26Oct016.02"/>
    <s v="Yixing"/>
    <s v="26Oct016"/>
    <s v="UPP"/>
    <x v="0"/>
    <s v="Arrival Plan-SPNL"/>
    <s v="CIF"/>
    <x v="0"/>
    <s v="U4"/>
    <x v="195"/>
    <m/>
    <m/>
    <s v="n/a"/>
    <m/>
    <x v="9"/>
    <x v="109"/>
    <s v="HSM-NT66-GH650 CFP"/>
    <s v="EVO2A"/>
    <s v="±1600mm"/>
    <n v="650"/>
    <n v="6120"/>
    <n v="3.9780000000000002"/>
    <n v="170"/>
    <n v="8.5"/>
    <x v="28"/>
    <s v=""/>
    <s v="AEU3, ETA 12/29, ready"/>
    <m/>
    <s v=""/>
    <m/>
    <m/>
    <s v="SHANGHAI"/>
    <x v="1"/>
    <x v="1"/>
    <m/>
    <s v=""/>
    <s v=""/>
    <m/>
    <s v=""/>
    <s v=""/>
    <m/>
    <m/>
    <m/>
    <m/>
    <x v="296"/>
    <m/>
    <m/>
    <m/>
    <d v="2027-01-08T00:00:00"/>
    <s v="-"/>
    <d v="1899-12-30T00:00:00"/>
    <n v="7"/>
    <d v="2027-01-15T00:00:00"/>
    <n v="2027"/>
    <n v="1"/>
    <n v="2"/>
    <n v="36"/>
    <n v="720"/>
    <s v="Redirection Film"/>
    <s v="AEU"/>
  </r>
  <r>
    <s v="26Oct017"/>
    <s v="Yixing"/>
    <s v="Main Line"/>
    <s v="UPP"/>
    <x v="2"/>
    <s v="n/a"/>
    <s v="n/a"/>
    <x v="22"/>
    <s v="n/a"/>
    <x v="188"/>
    <m/>
    <m/>
    <s v="n/a"/>
    <m/>
    <x v="9"/>
    <x v="119"/>
    <s v="HSM-NT66-GH650 CFP"/>
    <s v="EVO2A"/>
    <s v="±1400mm"/>
    <n v="650"/>
    <n v="7776"/>
    <n v="5.0544000000000002"/>
    <n v="216"/>
    <n v="10.8"/>
    <x v="23"/>
    <s v=""/>
    <s v="未排产"/>
    <m/>
    <s v=""/>
    <m/>
    <m/>
    <s v="SHANGHAI"/>
    <x v="1"/>
    <x v="23"/>
    <m/>
    <m/>
    <m/>
    <m/>
    <m/>
    <m/>
    <m/>
    <m/>
    <m/>
    <m/>
    <x v="296"/>
    <m/>
    <m/>
    <m/>
    <s v="n/a"/>
    <e v="#REF!"/>
    <s v=""/>
    <n v="14"/>
    <s v="n/a"/>
    <e v="#VALUE!"/>
    <e v="#VALUE!"/>
    <n v="0"/>
    <n v="36"/>
    <n v="720"/>
    <s v="Redirection Film"/>
    <s v="n/a"/>
  </r>
  <r>
    <s v="26Oct018"/>
    <s v="Yixing"/>
    <s v="Main Line"/>
    <s v="UPP"/>
    <x v="2"/>
    <s v="n/a"/>
    <s v="n/a"/>
    <x v="22"/>
    <s v="n/a"/>
    <x v="188"/>
    <m/>
    <m/>
    <s v="n/a"/>
    <d v="2026-11-14T00:00:00"/>
    <x v="0"/>
    <x v="120"/>
    <s v="HSM-ND66-GK715 CFP"/>
    <s v="EVO2A"/>
    <s v="±1400mm"/>
    <n v="715"/>
    <n v="0"/>
    <n v="0"/>
    <n v="0"/>
    <n v="0"/>
    <x v="23"/>
    <s v=""/>
    <m/>
    <m/>
    <s v=""/>
    <m/>
    <m/>
    <s v="SHANGHAI"/>
    <x v="1"/>
    <x v="23"/>
    <m/>
    <m/>
    <m/>
    <m/>
    <m/>
    <m/>
    <m/>
    <m/>
    <m/>
    <m/>
    <x v="296"/>
    <m/>
    <m/>
    <m/>
    <s v="n/a"/>
    <s v="-"/>
    <d v="1899-12-30T00:00:00"/>
    <n v="14"/>
    <s v="n/a"/>
    <e v="#VALUE!"/>
    <e v="#VALUE!"/>
    <n v="0"/>
    <n v="33"/>
    <n v="594"/>
    <s v="Redirection Film"/>
    <s v="n/a"/>
  </r>
  <r>
    <s v="26Oct018.01"/>
    <s v="Yixing"/>
    <s v="26Oct018"/>
    <s v="UPP"/>
    <x v="0"/>
    <s v="Arrival Plan-SPTN"/>
    <s v="CIF"/>
    <x v="0"/>
    <s v="U1"/>
    <x v="196"/>
    <m/>
    <m/>
    <s v="n/a"/>
    <d v="2026-11-14T00:00:00"/>
    <x v="0"/>
    <x v="120"/>
    <s v="HSM-ND66-GK715 CFP"/>
    <s v="EVO2A"/>
    <s v="±1400mm"/>
    <n v="715"/>
    <n v="4752"/>
    <n v="3.3976799999999998"/>
    <n v="144"/>
    <n v="8"/>
    <x v="29"/>
    <s v=""/>
    <s v="ETA Week4,11/27"/>
    <m/>
    <s v=""/>
    <m/>
    <m/>
    <s v="SHANGHAI"/>
    <x v="1"/>
    <x v="0"/>
    <m/>
    <m/>
    <m/>
    <m/>
    <m/>
    <m/>
    <m/>
    <m/>
    <m/>
    <m/>
    <x v="296"/>
    <m/>
    <m/>
    <m/>
    <d v="2027-01-26T00:00:00"/>
    <s v="-"/>
    <d v="1899-12-30T00:00:00"/>
    <n v="8"/>
    <d v="2027-02-03T00:00:00"/>
    <n v="2027"/>
    <n v="2"/>
    <n v="5"/>
    <n v="33"/>
    <n v="594"/>
    <s v="Redirection Film"/>
    <s v="AEM"/>
  </r>
  <r>
    <s v="26Oct018.02"/>
    <s v="Yixing"/>
    <s v="26Oct018"/>
    <s v="UPP"/>
    <x v="0"/>
    <s v="Arrival Plan-SPTN"/>
    <s v="CIF"/>
    <x v="0"/>
    <s v="U1"/>
    <x v="196"/>
    <m/>
    <m/>
    <s v="n/a"/>
    <d v="2026-11-14T00:00:00"/>
    <x v="0"/>
    <x v="120"/>
    <s v="HSM-ND66-GK715 CFP"/>
    <s v="EVO2A"/>
    <s v="±1400mm"/>
    <n v="715"/>
    <n v="3564"/>
    <n v="2.54826"/>
    <n v="108"/>
    <n v="6"/>
    <x v="36"/>
    <s v=""/>
    <s v="ETA Week5,11/27"/>
    <m/>
    <s v=""/>
    <m/>
    <m/>
    <s v="SHANGHAI"/>
    <x v="1"/>
    <x v="0"/>
    <m/>
    <m/>
    <m/>
    <m/>
    <m/>
    <m/>
    <m/>
    <m/>
    <m/>
    <m/>
    <x v="296"/>
    <m/>
    <m/>
    <m/>
    <d v="1899-12-30T00:00:00"/>
    <s v="-"/>
    <d v="1899-12-30T00:00:00"/>
    <n v="8"/>
    <d v="1900-01-07T00:00:00"/>
    <n v="1900"/>
    <n v="1"/>
    <n v="1"/>
    <n v="33"/>
    <n v="594"/>
    <s v="Redirection Film"/>
    <s v="AEM"/>
  </r>
  <r>
    <s v="26Oct018.03"/>
    <s v="Yixing"/>
    <s v="26Oct018"/>
    <s v="UPP"/>
    <x v="0"/>
    <s v="Arrival Plan-SPTN"/>
    <s v="CIF"/>
    <x v="0"/>
    <s v="U1"/>
    <x v="196"/>
    <m/>
    <m/>
    <s v="n/a"/>
    <d v="2026-11-14T00:00:00"/>
    <x v="0"/>
    <x v="120"/>
    <s v="HSM-ND66-GK715 CFP"/>
    <s v="EVO2A"/>
    <s v="±1400mm"/>
    <n v="715"/>
    <n v="3564"/>
    <n v="2.54826"/>
    <n v="108"/>
    <n v="6"/>
    <x v="31"/>
    <s v=""/>
    <s v="ETA Week7,11/27"/>
    <m/>
    <s v=""/>
    <m/>
    <m/>
    <s v="SHANGHAI"/>
    <x v="1"/>
    <x v="0"/>
    <m/>
    <m/>
    <m/>
    <m/>
    <m/>
    <m/>
    <m/>
    <m/>
    <m/>
    <m/>
    <x v="296"/>
    <m/>
    <m/>
    <m/>
    <d v="2027-02-16T00:00:00"/>
    <s v="-"/>
    <d v="1899-12-30T00:00:00"/>
    <n v="8"/>
    <d v="2027-02-24T00:00:00"/>
    <n v="2027"/>
    <n v="2"/>
    <n v="8"/>
    <n v="33"/>
    <n v="594"/>
    <s v="Redirection Film"/>
    <s v="AEM"/>
  </r>
  <r>
    <s v="26Oct018.04"/>
    <s v="Yixing"/>
    <s v="26Oct018"/>
    <s v="UPP"/>
    <x v="0"/>
    <s v="Arrival Plan-SPTN"/>
    <s v="CIF"/>
    <x v="0"/>
    <s v="U1"/>
    <x v="196"/>
    <m/>
    <m/>
    <s v="n/a"/>
    <d v="2026-11-14T00:00:00"/>
    <x v="0"/>
    <x v="120"/>
    <s v="HSM-ND66-GK715 CFP"/>
    <s v="EVO2A"/>
    <s v="±1400mm"/>
    <n v="715"/>
    <n v="4158"/>
    <n v="2.9729700000000001"/>
    <n v="126"/>
    <n v="7"/>
    <x v="38"/>
    <s v=""/>
    <s v="ETA Week12,11/27"/>
    <m/>
    <s v=""/>
    <m/>
    <m/>
    <s v="SHANGHAI"/>
    <x v="1"/>
    <x v="0"/>
    <m/>
    <m/>
    <m/>
    <m/>
    <m/>
    <m/>
    <m/>
    <m/>
    <m/>
    <m/>
    <x v="296"/>
    <m/>
    <m/>
    <m/>
    <d v="2026-03-17T00:00:00"/>
    <s v="-"/>
    <d v="1899-12-30T00:00:00"/>
    <n v="8"/>
    <d v="2026-03-25T00:00:00"/>
    <n v="2026"/>
    <n v="3"/>
    <n v="13"/>
    <n v="33"/>
    <n v="594"/>
    <s v="Redirection Film"/>
    <s v="AEM"/>
  </r>
  <r>
    <s v="26Oct018.05"/>
    <s v="Yixing"/>
    <s v="26Oct018"/>
    <s v="UPP"/>
    <x v="0"/>
    <s v="Arrival Plan-SPTN"/>
    <s v="CIF"/>
    <x v="0"/>
    <s v="U1"/>
    <x v="196"/>
    <m/>
    <m/>
    <s v="n/a"/>
    <d v="2026-11-14T00:00:00"/>
    <x v="0"/>
    <x v="120"/>
    <s v="HSM-ND66-GK715 CFP"/>
    <s v="EVO2A"/>
    <s v="±1400mm"/>
    <n v="715"/>
    <n v="3564"/>
    <n v="2.54826"/>
    <n v="108"/>
    <n v="6"/>
    <x v="37"/>
    <s v=""/>
    <s v="ETA Week13,11/27"/>
    <m/>
    <s v=""/>
    <m/>
    <m/>
    <s v="SHANGHAI"/>
    <x v="1"/>
    <x v="0"/>
    <m/>
    <m/>
    <m/>
    <m/>
    <m/>
    <m/>
    <m/>
    <m/>
    <m/>
    <m/>
    <x v="296"/>
    <m/>
    <m/>
    <m/>
    <d v="2026-03-24T00:00:00"/>
    <s v="-"/>
    <d v="1899-12-30T00:00:00"/>
    <n v="8"/>
    <d v="2026-04-01T00:00:00"/>
    <n v="2026"/>
    <n v="4"/>
    <n v="14"/>
    <n v="33"/>
    <n v="594"/>
    <s v="Redirection Film"/>
    <s v="AEM"/>
  </r>
  <r>
    <s v="26Oct018.06"/>
    <s v="Yixing"/>
    <s v="26Oct018"/>
    <s v="UPP"/>
    <x v="0"/>
    <s v="Arrival Plan-SPTN"/>
    <s v="CIF"/>
    <x v="0"/>
    <s v="U1"/>
    <x v="196"/>
    <m/>
    <m/>
    <s v="n/a"/>
    <d v="2026-11-14T00:00:00"/>
    <x v="0"/>
    <x v="120"/>
    <s v="HSM-ND66-GK715 CFP"/>
    <s v="EVO2A"/>
    <s v="±1400mm"/>
    <n v="715"/>
    <n v="4752"/>
    <n v="3.3976799999999998"/>
    <n v="144"/>
    <n v="8"/>
    <x v="39"/>
    <s v=""/>
    <s v="ETA Week15,11/27"/>
    <m/>
    <s v=""/>
    <m/>
    <m/>
    <s v="SHANGHAI"/>
    <x v="1"/>
    <x v="0"/>
    <m/>
    <m/>
    <m/>
    <m/>
    <m/>
    <m/>
    <m/>
    <m/>
    <m/>
    <m/>
    <x v="296"/>
    <m/>
    <m/>
    <m/>
    <d v="2026-04-07T00:00:00"/>
    <s v="-"/>
    <d v="1899-12-30T00:00:00"/>
    <n v="8"/>
    <d v="2026-04-15T00:00:00"/>
    <n v="2026"/>
    <n v="4"/>
    <n v="16"/>
    <n v="33"/>
    <n v="594"/>
    <s v="Redirection Film"/>
    <s v="AEM"/>
  </r>
  <r>
    <s v="26Oct018.07"/>
    <s v="Yixing"/>
    <s v="26Oct018"/>
    <s v="UPP"/>
    <x v="0"/>
    <s v="Arrival Plan-SPTN"/>
    <s v="CIF"/>
    <x v="0"/>
    <s v="U1"/>
    <x v="196"/>
    <m/>
    <m/>
    <s v="n/a"/>
    <d v="2026-11-14T00:00:00"/>
    <x v="0"/>
    <x v="120"/>
    <s v="HSM-ND66-GK715 CFP"/>
    <s v="EVO2A"/>
    <s v="±1400mm"/>
    <n v="715"/>
    <n v="4455"/>
    <n v="3.1853250000000002"/>
    <n v="135"/>
    <n v="7.5"/>
    <x v="40"/>
    <s v=""/>
    <s v="ETA Week16,11/27"/>
    <m/>
    <s v=""/>
    <m/>
    <m/>
    <s v="SHANGHAI"/>
    <x v="1"/>
    <x v="0"/>
    <m/>
    <m/>
    <m/>
    <m/>
    <m/>
    <m/>
    <m/>
    <m/>
    <m/>
    <m/>
    <x v="296"/>
    <m/>
    <m/>
    <m/>
    <d v="2026-04-14T00:00:00"/>
    <s v="-"/>
    <d v="1899-12-30T00:00:00"/>
    <n v="8"/>
    <d v="2026-04-22T00:00:00"/>
    <n v="2026"/>
    <n v="4"/>
    <n v="17"/>
    <n v="33"/>
    <n v="594"/>
    <s v="Redirection Film"/>
    <s v="AEM"/>
  </r>
  <r>
    <s v="26Oct019"/>
    <s v="Yixing"/>
    <s v="Main Line"/>
    <s v="UPP"/>
    <x v="2"/>
    <s v="n/a"/>
    <s v="n/a"/>
    <x v="22"/>
    <s v="n/a"/>
    <x v="188"/>
    <m/>
    <m/>
    <s v="n/a"/>
    <d v="2026-11-14T00:00:00"/>
    <x v="0"/>
    <x v="121"/>
    <s v="HSM-ND66-GK720 CFP"/>
    <s v="EVO2A"/>
    <s v="±1400mm"/>
    <n v="720"/>
    <n v="0"/>
    <n v="0"/>
    <n v="0"/>
    <n v="0"/>
    <x v="23"/>
    <s v=""/>
    <d v="2026-11-27T00:00:00"/>
    <m/>
    <s v=""/>
    <m/>
    <m/>
    <s v="SHANGHAI"/>
    <x v="1"/>
    <x v="23"/>
    <m/>
    <m/>
    <m/>
    <m/>
    <m/>
    <m/>
    <m/>
    <m/>
    <m/>
    <m/>
    <x v="296"/>
    <m/>
    <m/>
    <m/>
    <s v="n/a"/>
    <s v="-"/>
    <d v="1899-12-30T00:00:00"/>
    <n v="14"/>
    <s v="n/a"/>
    <e v="#VALUE!"/>
    <e v="#VALUE!"/>
    <n v="0"/>
    <n v="33"/>
    <n v="594"/>
    <s v="Transparent"/>
    <s v="n/a"/>
  </r>
  <r>
    <s v="26Oct019.01"/>
    <s v="Yixing"/>
    <s v="26Oct019"/>
    <s v="UPP"/>
    <x v="0"/>
    <s v="Arrival Plan-SPTN"/>
    <s v="CIF"/>
    <x v="0"/>
    <s v="U1"/>
    <x v="196"/>
    <m/>
    <m/>
    <s v="n/a"/>
    <d v="2026-11-14T00:00:00"/>
    <x v="0"/>
    <x v="121"/>
    <s v="HSM-ND66-GK720 CFP"/>
    <s v="EVO2A"/>
    <s v="±1400mm"/>
    <n v="720"/>
    <n v="3564"/>
    <n v="2.5660799999999999"/>
    <n v="108"/>
    <n v="6"/>
    <x v="32"/>
    <s v=""/>
    <s v="ETA Week6,11/27"/>
    <m/>
    <s v=""/>
    <m/>
    <m/>
    <s v="SHANGHAI"/>
    <x v="1"/>
    <x v="0"/>
    <m/>
    <m/>
    <m/>
    <m/>
    <m/>
    <m/>
    <m/>
    <m/>
    <m/>
    <m/>
    <x v="296"/>
    <m/>
    <m/>
    <m/>
    <d v="2027-02-09T00:00:00"/>
    <s v="-"/>
    <d v="1899-12-30T00:00:00"/>
    <n v="8"/>
    <d v="2027-02-17T00:00:00"/>
    <n v="2027"/>
    <n v="2"/>
    <n v="7"/>
    <n v="33"/>
    <n v="594"/>
    <s v="Transparent"/>
    <s v="AEM"/>
  </r>
  <r>
    <s v="26Oct019.02"/>
    <s v="Yixing"/>
    <s v="26Oct019"/>
    <s v="UPP"/>
    <x v="0"/>
    <s v="Arrival Plan-SPTN"/>
    <s v="CIF"/>
    <x v="0"/>
    <s v="U1"/>
    <x v="196"/>
    <m/>
    <m/>
    <s v="n/a"/>
    <d v="2026-11-14T00:00:00"/>
    <x v="0"/>
    <x v="121"/>
    <s v="HSM-ND66-GK720 CFP"/>
    <s v="EVO2A"/>
    <s v="±1400mm"/>
    <n v="720"/>
    <n v="4158"/>
    <n v="2.99376"/>
    <n v="126"/>
    <n v="7"/>
    <x v="41"/>
    <s v=""/>
    <s v="ETA Week10,11/27"/>
    <m/>
    <s v=""/>
    <m/>
    <m/>
    <s v="SHANGHAI"/>
    <x v="1"/>
    <x v="0"/>
    <m/>
    <m/>
    <m/>
    <m/>
    <m/>
    <m/>
    <m/>
    <m/>
    <m/>
    <m/>
    <x v="296"/>
    <m/>
    <m/>
    <m/>
    <d v="2026-03-03T00:00:00"/>
    <s v="-"/>
    <d v="1899-12-30T00:00:00"/>
    <n v="8"/>
    <d v="2026-03-11T00:00:00"/>
    <n v="2026"/>
    <n v="3"/>
    <n v="11"/>
    <n v="33"/>
    <n v="594"/>
    <s v="Transparent"/>
    <s v="AEM"/>
  </r>
  <r>
    <s v="26Oct019.03"/>
    <s v="Yixing"/>
    <s v="26Oct019"/>
    <s v="UPP"/>
    <x v="0"/>
    <s v="Arrival Plan-SPTN"/>
    <s v="CIF"/>
    <x v="0"/>
    <s v="U1"/>
    <x v="196"/>
    <m/>
    <m/>
    <s v="n/a"/>
    <d v="2026-11-14T00:00:00"/>
    <x v="0"/>
    <x v="121"/>
    <s v="HSM-ND66-GK720 CFP"/>
    <s v="EVO2A"/>
    <s v="±1400mm"/>
    <n v="720"/>
    <n v="3564"/>
    <n v="2.5660799999999999"/>
    <n v="108"/>
    <n v="6"/>
    <x v="33"/>
    <s v=""/>
    <s v="ETA Week11,11/27"/>
    <m/>
    <s v=""/>
    <m/>
    <m/>
    <s v="SHANGHAI"/>
    <x v="1"/>
    <x v="0"/>
    <m/>
    <m/>
    <m/>
    <m/>
    <m/>
    <m/>
    <m/>
    <m/>
    <m/>
    <m/>
    <x v="296"/>
    <m/>
    <m/>
    <m/>
    <d v="2026-03-10T00:00:00"/>
    <s v="-"/>
    <d v="1899-12-30T00:00:00"/>
    <n v="8"/>
    <d v="2026-03-18T00:00:00"/>
    <n v="2026"/>
    <n v="3"/>
    <n v="12"/>
    <n v="33"/>
    <n v="594"/>
    <s v="Transparent"/>
    <s v="AEM"/>
  </r>
  <r>
    <s v="26Oct019.04"/>
    <s v="Yixing"/>
    <s v="26Oct019"/>
    <s v="UPP"/>
    <x v="0"/>
    <s v="Arrival Plan-SPTN"/>
    <s v="CIF"/>
    <x v="0"/>
    <s v="U1"/>
    <x v="196"/>
    <m/>
    <m/>
    <s v="n/a"/>
    <d v="2026-11-14T00:00:00"/>
    <x v="0"/>
    <x v="121"/>
    <s v="HSM-ND66-GK720 CFP"/>
    <s v="EVO2A"/>
    <s v="±1400mm"/>
    <n v="720"/>
    <n v="4455"/>
    <n v="3.2075999999999998"/>
    <n v="135"/>
    <n v="7.5"/>
    <x v="42"/>
    <s v=""/>
    <s v="ETA Week17,11/27"/>
    <m/>
    <s v=""/>
    <m/>
    <m/>
    <s v="SHANGHAI"/>
    <x v="1"/>
    <x v="0"/>
    <m/>
    <m/>
    <m/>
    <m/>
    <m/>
    <m/>
    <m/>
    <m/>
    <m/>
    <m/>
    <x v="296"/>
    <m/>
    <m/>
    <m/>
    <d v="2026-04-21T00:00:00"/>
    <s v="-"/>
    <d v="1899-12-30T00:00:00"/>
    <n v="8"/>
    <d v="2026-04-29T00:00:00"/>
    <n v="2026"/>
    <n v="4"/>
    <n v="18"/>
    <n v="33"/>
    <n v="594"/>
    <s v="Transparent"/>
    <s v="AEM"/>
  </r>
  <r>
    <s v="26Oct019.05"/>
    <s v="Yixing"/>
    <s v="26Oct019"/>
    <s v="UPP"/>
    <x v="0"/>
    <s v="Arrival Plan-SPTN"/>
    <s v="CIF"/>
    <x v="0"/>
    <s v="U1"/>
    <x v="196"/>
    <m/>
    <m/>
    <s v="n/a"/>
    <d v="2026-11-14T00:00:00"/>
    <x v="0"/>
    <x v="121"/>
    <s v="HSM-ND66-GK720 CFP"/>
    <s v="EVO2A"/>
    <s v="±1400mm"/>
    <n v="720"/>
    <n v="3564"/>
    <n v="2.5660799999999999"/>
    <n v="108"/>
    <n v="6"/>
    <x v="43"/>
    <s v=""/>
    <s v="ETA Week18,11/27"/>
    <m/>
    <s v=""/>
    <m/>
    <m/>
    <s v="SHANGHAI"/>
    <x v="1"/>
    <x v="0"/>
    <m/>
    <m/>
    <m/>
    <m/>
    <m/>
    <m/>
    <m/>
    <m/>
    <m/>
    <m/>
    <x v="296"/>
    <m/>
    <m/>
    <m/>
    <d v="2026-04-28T00:00:00"/>
    <s v="-"/>
    <d v="1899-12-30T00:00:00"/>
    <n v="8"/>
    <d v="2026-05-06T00:00:00"/>
    <n v="2026"/>
    <n v="5"/>
    <n v="19"/>
    <n v="33"/>
    <n v="594"/>
    <s v="Transparent"/>
    <s v="AEM"/>
  </r>
  <r>
    <s v="26Oct020"/>
    <s v="Tianjin"/>
    <s v="Main Line"/>
    <s v="UPP"/>
    <x v="2"/>
    <s v="n/a"/>
    <s v="n/a"/>
    <x v="22"/>
    <s v="n/a"/>
    <x v="188"/>
    <m/>
    <m/>
    <s v="n/a"/>
    <d v="2026-12-02T00:00:00"/>
    <x v="3"/>
    <x v="122"/>
    <s v="HSM-BD66-GR655 CFP"/>
    <s v="EVO2A"/>
    <s v=" ±1000mm "/>
    <n v="655"/>
    <n v="0"/>
    <n v="0"/>
    <n v="0"/>
    <n v="0"/>
    <x v="23"/>
    <s v=""/>
    <m/>
    <m/>
    <s v=""/>
    <m/>
    <m/>
    <s v="TIANJIN"/>
    <x v="0"/>
    <x v="23"/>
    <m/>
    <m/>
    <m/>
    <m/>
    <m/>
    <m/>
    <m/>
    <m/>
    <m/>
    <m/>
    <x v="296"/>
    <m/>
    <m/>
    <m/>
    <s v="n/a"/>
    <s v="-"/>
    <d v="1899-12-30T00:00:00"/>
    <n v="14"/>
    <s v="n/a"/>
    <e v="#VALUE!"/>
    <e v="#VALUE!"/>
    <n v="0"/>
    <n v="36"/>
    <n v="720"/>
    <s v="White glazing"/>
    <s v="n/a"/>
  </r>
  <r>
    <s v="26Oct020.01"/>
    <s v="Tianjin"/>
    <s v="26Oct020"/>
    <s v="UPP"/>
    <x v="0"/>
    <s v="Arrival Plan-SPTN"/>
    <s v="CIF"/>
    <x v="0"/>
    <s v="U3"/>
    <x v="197"/>
    <m/>
    <m/>
    <s v="n/a"/>
    <d v="2026-12-02T00:00:00"/>
    <x v="3"/>
    <x v="122"/>
    <s v="HSM-BD66-GR655 CFP"/>
    <s v="EVO2A"/>
    <s v=" ±1000mm "/>
    <n v="655"/>
    <n v="7200"/>
    <n v="4.7160000000000002"/>
    <n v="200"/>
    <n v="10"/>
    <x v="30"/>
    <s v=""/>
    <s v="ETA Week5,11/21"/>
    <m/>
    <s v=""/>
    <m/>
    <m/>
    <s v="TIANJIN"/>
    <x v="0"/>
    <x v="0"/>
    <m/>
    <m/>
    <m/>
    <m/>
    <m/>
    <m/>
    <m/>
    <m/>
    <m/>
    <m/>
    <x v="296"/>
    <m/>
    <m/>
    <m/>
    <d v="2027-02-02T00:00:00"/>
    <s v="-"/>
    <d v="1899-12-30T00:00:00"/>
    <n v="8"/>
    <d v="2027-02-10T00:00:00"/>
    <n v="2027"/>
    <n v="2"/>
    <n v="6"/>
    <n v="36"/>
    <n v="720"/>
    <s v="White glazing"/>
    <s v="AEM"/>
  </r>
  <r>
    <s v="26Oct020.02"/>
    <s v="Tianjin"/>
    <s v="26Oct020"/>
    <s v="UPP"/>
    <x v="0"/>
    <s v="Arrival Plan-SPTN"/>
    <s v="CIF"/>
    <x v="0"/>
    <s v="U3"/>
    <x v="197"/>
    <m/>
    <m/>
    <s v="n/a"/>
    <d v="2026-12-02T00:00:00"/>
    <x v="3"/>
    <x v="122"/>
    <s v="HSM-BD66-GR655 CFP"/>
    <s v="EVO2A"/>
    <s v=" ±1000mm "/>
    <n v="655"/>
    <n v="1764"/>
    <n v="1.1554199999999999"/>
    <n v="49"/>
    <n v="2.4500000000000002"/>
    <x v="29"/>
    <s v=""/>
    <s v="ETA Week6,11/21"/>
    <m/>
    <s v=""/>
    <m/>
    <m/>
    <s v="TIANJIN"/>
    <x v="0"/>
    <x v="0"/>
    <m/>
    <m/>
    <m/>
    <m/>
    <m/>
    <m/>
    <m/>
    <m/>
    <m/>
    <m/>
    <x v="296"/>
    <m/>
    <m/>
    <m/>
    <d v="2027-02-09T00:00:00"/>
    <s v="-"/>
    <d v="1899-12-30T00:00:00"/>
    <n v="8"/>
    <d v="2027-02-17T00:00:00"/>
    <n v="2027"/>
    <n v="2"/>
    <n v="7"/>
    <n v="36"/>
    <n v="720"/>
    <s v="White glazing"/>
    <s v="AEM"/>
  </r>
  <r>
    <s v="26Oct021"/>
    <s v="Tianjin"/>
    <s v="Main Line"/>
    <s v="UPP"/>
    <x v="2"/>
    <s v="n/a"/>
    <s v="n/a"/>
    <x v="22"/>
    <s v="n/a"/>
    <x v="188"/>
    <m/>
    <m/>
    <s v="n/a"/>
    <d v="2026-12-02T00:00:00"/>
    <x v="3"/>
    <x v="123"/>
    <s v="HSM-BD66-GR650 CFP"/>
    <s v="EVO2A"/>
    <s v="±1400mm"/>
    <n v="650"/>
    <n v="0"/>
    <n v="0"/>
    <n v="0"/>
    <n v="0"/>
    <x v="23"/>
    <s v=""/>
    <m/>
    <m/>
    <s v=""/>
    <m/>
    <m/>
    <s v="TIANJIN"/>
    <x v="0"/>
    <x v="23"/>
    <m/>
    <m/>
    <m/>
    <m/>
    <m/>
    <m/>
    <m/>
    <m/>
    <m/>
    <m/>
    <x v="296"/>
    <m/>
    <m/>
    <m/>
    <s v="n/a"/>
    <s v="-"/>
    <d v="1899-12-30T00:00:00"/>
    <n v="14"/>
    <s v="n/a"/>
    <e v="#VALUE!"/>
    <e v="#VALUE!"/>
    <n v="0"/>
    <n v="36"/>
    <n v="720"/>
    <s v="White glazing"/>
    <s v="n/a"/>
  </r>
  <r>
    <s v="26Oct021.01"/>
    <s v="Tianjin"/>
    <s v="26Oct021"/>
    <s v="UPP"/>
    <x v="0"/>
    <s v="Arrival Plan-SPTN"/>
    <s v="CIF"/>
    <x v="0"/>
    <s v="U4"/>
    <x v="198"/>
    <m/>
    <m/>
    <s v="n/a"/>
    <d v="2026-12-02T00:00:00"/>
    <x v="3"/>
    <x v="123"/>
    <s v="HSM-BD66-GR650 CFP"/>
    <s v="EVO2A"/>
    <s v="±1400mm"/>
    <n v="650"/>
    <n v="7200"/>
    <n v="4.68"/>
    <n v="200"/>
    <n v="10"/>
    <x v="36"/>
    <s v=""/>
    <s v="ETA W04,12/5"/>
    <m/>
    <s v=""/>
    <m/>
    <m/>
    <s v="TIANJIN"/>
    <x v="0"/>
    <x v="0"/>
    <m/>
    <m/>
    <m/>
    <m/>
    <m/>
    <m/>
    <m/>
    <m/>
    <m/>
    <m/>
    <x v="296"/>
    <m/>
    <m/>
    <m/>
    <d v="1899-12-30T00:00:00"/>
    <s v="-"/>
    <d v="1899-12-30T00:00:00"/>
    <n v="8"/>
    <d v="1900-01-07T00:00:00"/>
    <n v="1900"/>
    <n v="1"/>
    <n v="1"/>
    <n v="36"/>
    <n v="720"/>
    <s v="White glazing"/>
    <s v="AEM"/>
  </r>
  <r>
    <s v="26Oct021.02"/>
    <s v="Tianjin"/>
    <s v="26Oct021"/>
    <s v="UPP"/>
    <x v="0"/>
    <s v="Arrival Plan-SPTN"/>
    <s v="CIF"/>
    <x v="0"/>
    <s v="U4"/>
    <x v="198"/>
    <m/>
    <m/>
    <s v="n/a"/>
    <d v="2026-12-02T00:00:00"/>
    <x v="3"/>
    <x v="123"/>
    <s v="HSM-BD66-GR650 CFP"/>
    <s v="EVO2A"/>
    <s v="±1400mm"/>
    <n v="650"/>
    <n v="7200"/>
    <n v="4.68"/>
    <n v="200"/>
    <n v="10"/>
    <x v="32"/>
    <s v=""/>
    <s v="ETA W05,12/5"/>
    <m/>
    <s v=""/>
    <m/>
    <m/>
    <s v="TIANJIN"/>
    <x v="0"/>
    <x v="0"/>
    <m/>
    <m/>
    <m/>
    <m/>
    <m/>
    <m/>
    <m/>
    <m/>
    <m/>
    <m/>
    <x v="296"/>
    <m/>
    <m/>
    <m/>
    <d v="2027-02-23T00:00:00"/>
    <s v="-"/>
    <d v="1899-12-30T00:00:00"/>
    <n v="8"/>
    <d v="2027-03-03T00:00:00"/>
    <n v="2027"/>
    <n v="3"/>
    <n v="9"/>
    <n v="36"/>
    <n v="720"/>
    <s v="White glazing"/>
    <s v="AEM"/>
  </r>
  <r>
    <s v="26Oct021.03"/>
    <s v="Tianjin"/>
    <s v="26Oct021"/>
    <s v="UPP"/>
    <x v="0"/>
    <s v="Arrival Plan-SPTN"/>
    <s v="CIF"/>
    <x v="0"/>
    <s v="U2"/>
    <x v="198"/>
    <m/>
    <m/>
    <s v="n/a"/>
    <d v="2026-12-02T00:00:00"/>
    <x v="3"/>
    <x v="123"/>
    <s v="HSM-BD66-GR650 CFP"/>
    <s v="EVO2A"/>
    <s v="±1400mm"/>
    <n v="650"/>
    <n v="7200"/>
    <n v="4.68"/>
    <n v="200"/>
    <n v="10"/>
    <x v="29"/>
    <s v=""/>
    <s v="ETA W06,12/5"/>
    <m/>
    <s v=""/>
    <m/>
    <m/>
    <s v="TIANJIN"/>
    <x v="0"/>
    <x v="0"/>
    <m/>
    <m/>
    <m/>
    <m/>
    <m/>
    <m/>
    <m/>
    <m/>
    <m/>
    <m/>
    <x v="296"/>
    <m/>
    <m/>
    <m/>
    <d v="2027-02-09T00:00:00"/>
    <s v="-"/>
    <d v="1899-12-30T00:00:00"/>
    <n v="8"/>
    <d v="2027-02-17T00:00:00"/>
    <n v="2027"/>
    <n v="2"/>
    <n v="7"/>
    <n v="36"/>
    <n v="720"/>
    <s v="White glazing"/>
    <s v="AEM"/>
  </r>
  <r>
    <s v="26Oct021.04"/>
    <s v="Tianjin"/>
    <s v="26Oct021"/>
    <s v="UPP"/>
    <x v="0"/>
    <s v="Arrival Plan-SPTN"/>
    <s v="CIF"/>
    <x v="0"/>
    <s v="U2"/>
    <x v="198"/>
    <m/>
    <m/>
    <s v="n/a"/>
    <d v="2026-12-02T00:00:00"/>
    <x v="3"/>
    <x v="123"/>
    <s v="HSM-BD66-GR650 CFP"/>
    <s v="EVO2A"/>
    <s v="±1400mm"/>
    <n v="650"/>
    <n v="7740"/>
    <n v="5.0309999999999997"/>
    <n v="215"/>
    <n v="10.75"/>
    <x v="36"/>
    <s v=""/>
    <s v="ETA W07,12/5"/>
    <m/>
    <s v=""/>
    <m/>
    <m/>
    <s v="TIANJIN"/>
    <x v="0"/>
    <x v="0"/>
    <m/>
    <m/>
    <m/>
    <m/>
    <m/>
    <m/>
    <m/>
    <m/>
    <m/>
    <m/>
    <x v="296"/>
    <m/>
    <m/>
    <m/>
    <d v="1899-12-30T00:00:00"/>
    <s v="-"/>
    <d v="1899-12-30T00:00:00"/>
    <n v="8"/>
    <d v="1900-01-07T00:00:00"/>
    <n v="1900"/>
    <n v="1"/>
    <n v="1"/>
    <n v="36"/>
    <n v="720"/>
    <s v="White glazing"/>
    <s v="AEM"/>
  </r>
  <r>
    <s v="26Oct022"/>
    <s v="Tianjin"/>
    <s v="Main Line"/>
    <s v="UPP"/>
    <x v="2"/>
    <s v="n/a"/>
    <s v="n/a"/>
    <x v="22"/>
    <s v="n/a"/>
    <x v="188"/>
    <m/>
    <m/>
    <s v="n/a"/>
    <d v="2026-12-02T00:00:00"/>
    <x v="3"/>
    <x v="124"/>
    <s v="HSM-BD66-GR655 CFP"/>
    <s v="EVO2A"/>
    <s v="±1400mm"/>
    <n v="655"/>
    <n v="0"/>
    <n v="0"/>
    <n v="0"/>
    <n v="0"/>
    <x v="23"/>
    <s v=""/>
    <m/>
    <m/>
    <s v=""/>
    <m/>
    <m/>
    <s v="TIANJIN"/>
    <x v="0"/>
    <x v="23"/>
    <m/>
    <m/>
    <m/>
    <m/>
    <m/>
    <m/>
    <m/>
    <m/>
    <m/>
    <m/>
    <x v="296"/>
    <m/>
    <m/>
    <m/>
    <s v="n/a"/>
    <s v="-"/>
    <d v="1899-12-30T00:00:00"/>
    <n v="14"/>
    <s v="n/a"/>
    <e v="#VALUE!"/>
    <e v="#VALUE!"/>
    <n v="0"/>
    <n v="36"/>
    <n v="720"/>
    <s v="White glazing"/>
    <s v="n/a"/>
  </r>
  <r>
    <s v="26Oct022.01"/>
    <s v="Tianjin"/>
    <s v="26Oct022"/>
    <s v="UPP"/>
    <x v="0"/>
    <s v="Arrival Plan-SPTN"/>
    <s v="CIF"/>
    <x v="0"/>
    <s v="U2"/>
    <x v="199"/>
    <m/>
    <m/>
    <s v="n/a"/>
    <d v="2026-12-02T00:00:00"/>
    <x v="3"/>
    <x v="124"/>
    <s v="HSM-BD66-GR655 CFP"/>
    <s v="EVO2A"/>
    <s v="±1400mm"/>
    <n v="655"/>
    <n v="5040"/>
    <n v="3.3012000000000001"/>
    <n v="140"/>
    <n v="7"/>
    <x v="44"/>
    <s v=""/>
    <s v="ETA W16,12/5"/>
    <m/>
    <s v=""/>
    <m/>
    <m/>
    <s v="TIANJIN"/>
    <x v="0"/>
    <x v="0"/>
    <m/>
    <m/>
    <m/>
    <m/>
    <m/>
    <m/>
    <m/>
    <m/>
    <m/>
    <m/>
    <x v="296"/>
    <m/>
    <m/>
    <m/>
    <d v="2026-04-14T00:00:00"/>
    <s v="-"/>
    <d v="1899-12-30T00:00:00"/>
    <n v="8"/>
    <d v="2026-04-22T00:00:00"/>
    <n v="2026"/>
    <n v="4"/>
    <n v="17"/>
    <n v="36"/>
    <n v="720"/>
    <s v="White glazing"/>
    <s v="AEM"/>
  </r>
  <r>
    <s v="26Oct022.02"/>
    <s v="Tianjin"/>
    <s v="26Oct022"/>
    <s v="UPP"/>
    <x v="0"/>
    <s v="Arrival Plan-SPTN"/>
    <s v="CIF"/>
    <x v="0"/>
    <s v="U2"/>
    <x v="199"/>
    <m/>
    <m/>
    <s v="n/a"/>
    <d v="2026-12-02T00:00:00"/>
    <x v="3"/>
    <x v="124"/>
    <s v="HSM-BD66-GR655 CFP"/>
    <s v="EVO2A"/>
    <s v="±1400mm"/>
    <n v="655"/>
    <n v="4320"/>
    <n v="2.8296000000000001"/>
    <n v="120"/>
    <n v="6"/>
    <x v="39"/>
    <s v=""/>
    <s v="ETA W17,12/5"/>
    <m/>
    <s v=""/>
    <m/>
    <m/>
    <s v="TIANJIN"/>
    <x v="0"/>
    <x v="0"/>
    <m/>
    <m/>
    <m/>
    <m/>
    <m/>
    <m/>
    <m/>
    <m/>
    <m/>
    <m/>
    <x v="296"/>
    <m/>
    <m/>
    <m/>
    <d v="2026-04-21T00:00:00"/>
    <s v="-"/>
    <d v="1899-12-30T00:00:00"/>
    <n v="8"/>
    <d v="2026-04-29T00:00:00"/>
    <n v="2026"/>
    <n v="4"/>
    <n v="18"/>
    <n v="36"/>
    <n v="720"/>
    <s v="White glazing"/>
    <s v="AEM"/>
  </r>
  <r>
    <s v="26Oct022.03"/>
    <s v="Tianjin"/>
    <s v="26Oct022"/>
    <s v="UPP"/>
    <x v="0"/>
    <s v="Arrival Plan-SPTN"/>
    <s v="CIF"/>
    <x v="0"/>
    <s v="U2"/>
    <x v="199"/>
    <m/>
    <m/>
    <s v="n/a"/>
    <d v="2026-12-02T00:00:00"/>
    <x v="3"/>
    <x v="124"/>
    <s v="HSM-BD66-GR655 CFP"/>
    <s v="EVO2A"/>
    <s v="±1400mm"/>
    <n v="655"/>
    <n v="4320"/>
    <n v="2.8296000000000001"/>
    <n v="120"/>
    <n v="6"/>
    <x v="40"/>
    <s v=""/>
    <s v="ETA W18,12/5"/>
    <m/>
    <s v=""/>
    <m/>
    <m/>
    <s v="TIANJIN"/>
    <x v="0"/>
    <x v="0"/>
    <m/>
    <m/>
    <m/>
    <m/>
    <m/>
    <m/>
    <m/>
    <m/>
    <m/>
    <m/>
    <x v="296"/>
    <m/>
    <m/>
    <m/>
    <d v="2026-04-28T00:00:00"/>
    <s v="-"/>
    <d v="1899-12-30T00:00:00"/>
    <n v="8"/>
    <d v="2026-05-06T00:00:00"/>
    <n v="2026"/>
    <n v="5"/>
    <n v="19"/>
    <n v="36"/>
    <n v="720"/>
    <s v="White glazing"/>
    <s v="AEM"/>
  </r>
  <r>
    <s v="26Oct022.04"/>
    <s v="Tianjin"/>
    <s v="26Oct022"/>
    <s v="UPP"/>
    <x v="0"/>
    <s v="Arrival Plan-SPTN"/>
    <s v="CIF"/>
    <x v="0"/>
    <s v="U2"/>
    <x v="199"/>
    <m/>
    <m/>
    <s v="n/a"/>
    <d v="2026-12-02T00:00:00"/>
    <x v="3"/>
    <x v="124"/>
    <s v="HSM-BD66-GR655 CFP"/>
    <s v="EVO2A"/>
    <s v="±1400mm"/>
    <n v="655"/>
    <n v="4320"/>
    <n v="2.8296000000000001"/>
    <n v="120"/>
    <n v="6"/>
    <x v="42"/>
    <s v=""/>
    <s v="ETA W19,12/5"/>
    <m/>
    <s v=""/>
    <m/>
    <m/>
    <s v="TIANJIN"/>
    <x v="0"/>
    <x v="0"/>
    <m/>
    <m/>
    <m/>
    <m/>
    <m/>
    <m/>
    <m/>
    <m/>
    <m/>
    <m/>
    <x v="296"/>
    <m/>
    <m/>
    <m/>
    <d v="2026-05-05T00:00:00"/>
    <s v="-"/>
    <d v="1899-12-30T00:00:00"/>
    <n v="8"/>
    <d v="2026-05-13T00:00:00"/>
    <n v="2026"/>
    <n v="5"/>
    <n v="20"/>
    <n v="36"/>
    <n v="720"/>
    <s v="White glazing"/>
    <s v="AEM"/>
  </r>
  <r>
    <s v="26Oct022.05"/>
    <s v="Tianjin"/>
    <s v="26Oct022"/>
    <s v="UPP"/>
    <x v="0"/>
    <s v="Arrival Plan-SPTN"/>
    <s v="CIF"/>
    <x v="0"/>
    <s v="U2"/>
    <x v="199"/>
    <m/>
    <m/>
    <s v="n/a"/>
    <d v="2026-12-02T00:00:00"/>
    <x v="3"/>
    <x v="124"/>
    <s v="HSM-BD66-GR655 CFP"/>
    <s v="EVO2A"/>
    <s v="±1400mm"/>
    <n v="655"/>
    <n v="3960"/>
    <n v="2.5937999999999999"/>
    <n v="110"/>
    <n v="5.5"/>
    <x v="43"/>
    <s v=""/>
    <s v="ETA W20,12/5"/>
    <m/>
    <s v=""/>
    <m/>
    <m/>
    <s v="TIANJIN"/>
    <x v="0"/>
    <x v="0"/>
    <m/>
    <m/>
    <m/>
    <m/>
    <m/>
    <m/>
    <m/>
    <m/>
    <m/>
    <m/>
    <x v="296"/>
    <m/>
    <m/>
    <m/>
    <d v="2026-05-12T00:00:00"/>
    <s v="-"/>
    <d v="1899-12-30T00:00:00"/>
    <n v="8"/>
    <d v="2026-05-20T00:00:00"/>
    <n v="2026"/>
    <n v="5"/>
    <n v="21"/>
    <n v="36"/>
    <n v="720"/>
    <s v="White glazing"/>
    <s v="AEM"/>
  </r>
  <r>
    <s v="26Oct023"/>
    <s v="Tianjin"/>
    <s v="Main Line"/>
    <s v="UPP"/>
    <x v="2"/>
    <s v="n/a"/>
    <s v="n/a"/>
    <x v="22"/>
    <s v="n/a"/>
    <x v="188"/>
    <m/>
    <m/>
    <s v="n/a"/>
    <d v="2026-12-02T00:00:00"/>
    <x v="3"/>
    <x v="125"/>
    <s v="HSM-BD66-GR650 CFP"/>
    <s v="EVO2A"/>
    <s v=" ±1000mm "/>
    <n v="650"/>
    <n v="0"/>
    <n v="0"/>
    <n v="0"/>
    <n v="0"/>
    <x v="23"/>
    <s v=""/>
    <m/>
    <m/>
    <s v=""/>
    <m/>
    <m/>
    <s v="TIANJIN"/>
    <x v="0"/>
    <x v="23"/>
    <m/>
    <m/>
    <m/>
    <m/>
    <m/>
    <m/>
    <m/>
    <m/>
    <m/>
    <m/>
    <x v="296"/>
    <m/>
    <m/>
    <m/>
    <s v="n/a"/>
    <s v="-"/>
    <d v="1899-12-30T00:00:00"/>
    <n v="14"/>
    <s v="n/a"/>
    <e v="#VALUE!"/>
    <e v="#VALUE!"/>
    <n v="0"/>
    <n v="36"/>
    <n v="720"/>
    <s v="White glazing"/>
    <s v="n/a"/>
  </r>
  <r>
    <s v="26Oct023.01"/>
    <s v="Tianjin"/>
    <s v="26Oct023"/>
    <s v="UPP"/>
    <x v="0"/>
    <s v="Arrival Plan-SPTN"/>
    <s v="CIF"/>
    <x v="0"/>
    <s v="U6"/>
    <x v="200"/>
    <m/>
    <m/>
    <s v="n/a"/>
    <d v="2026-12-02T00:00:00"/>
    <x v="3"/>
    <x v="125"/>
    <s v="HSM-BD66-GR650 CFP"/>
    <s v="EVO2A"/>
    <s v=" ±1000mm "/>
    <n v="650"/>
    <n v="11520"/>
    <n v="7.4880000000000004"/>
    <n v="320"/>
    <n v="16"/>
    <x v="30"/>
    <s v=""/>
    <s v="ETA Week2,11/21"/>
    <m/>
    <s v=""/>
    <m/>
    <m/>
    <s v="TIANJIN"/>
    <x v="0"/>
    <x v="0"/>
    <m/>
    <m/>
    <m/>
    <m/>
    <m/>
    <m/>
    <m/>
    <m/>
    <m/>
    <m/>
    <x v="296"/>
    <m/>
    <m/>
    <m/>
    <d v="2027-02-02T00:00:00"/>
    <s v="-"/>
    <d v="1899-12-30T00:00:00"/>
    <n v="8"/>
    <d v="2027-02-10T00:00:00"/>
    <n v="2027"/>
    <n v="2"/>
    <n v="6"/>
    <n v="36"/>
    <n v="720"/>
    <s v="White glazing"/>
    <s v="AEM"/>
  </r>
  <r>
    <s v="26Oct023.02"/>
    <s v="Tianjin"/>
    <s v="26Oct023"/>
    <s v="UPP"/>
    <x v="0"/>
    <s v="Arrival Plan-SPTN"/>
    <s v="CIF"/>
    <x v="0"/>
    <s v="U4"/>
    <x v="200"/>
    <m/>
    <m/>
    <s v="n/a"/>
    <d v="2026-12-02T00:00:00"/>
    <x v="3"/>
    <x v="125"/>
    <s v="HSM-BD66-GR650 CFP"/>
    <s v="EVO2A"/>
    <s v=" ±1000mm "/>
    <n v="650"/>
    <n v="5040"/>
    <n v="3.2759999999999998"/>
    <n v="140"/>
    <n v="7"/>
    <x v="29"/>
    <s v=""/>
    <s v="ETA Week3,11/21"/>
    <m/>
    <s v=""/>
    <m/>
    <m/>
    <s v="TIANJIN"/>
    <x v="0"/>
    <x v="0"/>
    <m/>
    <m/>
    <m/>
    <m/>
    <m/>
    <m/>
    <m/>
    <m/>
    <m/>
    <m/>
    <x v="296"/>
    <m/>
    <m/>
    <m/>
    <d v="2027-02-09T00:00:00"/>
    <s v="-"/>
    <d v="1899-12-30T00:00:00"/>
    <n v="8"/>
    <d v="2027-02-17T00:00:00"/>
    <n v="2027"/>
    <n v="2"/>
    <n v="7"/>
    <n v="36"/>
    <n v="720"/>
    <s v="White glazing"/>
    <s v="AEM"/>
  </r>
  <r>
    <s v="26Oct024"/>
    <s v="Yixing"/>
    <s v="Main Line"/>
    <s v="UPP"/>
    <x v="2"/>
    <s v="n/a"/>
    <s v="n/a"/>
    <x v="22"/>
    <s v="n/a"/>
    <x v="188"/>
    <m/>
    <m/>
    <s v="n/a"/>
    <d v="2026-11-21T00:00:00"/>
    <x v="11"/>
    <x v="126"/>
    <s v="S4-DG480- 48TFB+"/>
    <s v="H4(Com)"/>
    <s v="±1200mm"/>
    <n v="480"/>
    <n v="61776"/>
    <n v="29.652480000000001"/>
    <n v="1716"/>
    <n v="66"/>
    <x v="23"/>
    <s v=""/>
    <s v="单面黑77柜 11/21"/>
    <m/>
    <s v=""/>
    <m/>
    <m/>
    <s v="SHANGHAI"/>
    <x v="1"/>
    <x v="26"/>
    <m/>
    <m/>
    <m/>
    <m/>
    <m/>
    <m/>
    <m/>
    <m/>
    <m/>
    <m/>
    <x v="296"/>
    <m/>
    <m/>
    <m/>
    <s v="n/a"/>
    <e v="#REF!"/>
    <s v=""/>
    <n v="14"/>
    <s v="n/a"/>
    <e v="#VALUE!"/>
    <e v="#VALUE!"/>
    <n v="0"/>
    <n v="36"/>
    <n v="936"/>
    <e v="#N/A"/>
    <n v="0"/>
  </r>
  <r>
    <s v="26Oct025"/>
    <s v="Yixing"/>
    <s v="Main Line"/>
    <s v="UPP"/>
    <x v="2"/>
    <s v="n/a"/>
    <s v="n/a"/>
    <x v="22"/>
    <s v="n/a"/>
    <x v="188"/>
    <m/>
    <m/>
    <s v="n/a"/>
    <d v="2026-11-21T00:00:00"/>
    <x v="11"/>
    <x v="127"/>
    <s v="S4-DG485- 48TFB+"/>
    <s v="H4(Com)"/>
    <s v="±1200mm"/>
    <n v="485"/>
    <n v="82368"/>
    <n v="39.948480000000004"/>
    <n v="2288"/>
    <n v="88"/>
    <x v="23"/>
    <s v=""/>
    <s v="单面黑77柜 11/21"/>
    <m/>
    <s v=""/>
    <m/>
    <m/>
    <s v="SHANGHAI"/>
    <x v="1"/>
    <x v="26"/>
    <m/>
    <m/>
    <m/>
    <m/>
    <m/>
    <m/>
    <m/>
    <m/>
    <m/>
    <m/>
    <x v="296"/>
    <m/>
    <m/>
    <m/>
    <s v="n/a"/>
    <e v="#REF!"/>
    <s v=""/>
    <n v="14"/>
    <s v="n/a"/>
    <e v="#VALUE!"/>
    <e v="#VALUE!"/>
    <n v="0"/>
    <n v="36"/>
    <n v="936"/>
    <e v="#N/A"/>
    <n v="0"/>
  </r>
  <r>
    <s v="26Oct026"/>
    <s v="Yixing"/>
    <s v="Main Line"/>
    <s v="UPP"/>
    <x v="2"/>
    <s v="n/a"/>
    <s v="n/a"/>
    <x v="22"/>
    <s v="n/a"/>
    <x v="188"/>
    <m/>
    <m/>
    <s v="n/a"/>
    <d v="2026-12-02T00:00:00"/>
    <x v="11"/>
    <x v="128"/>
    <s v="S4-DG485- 48TW+"/>
    <s v="H4(Com)"/>
    <s v="±1200mm"/>
    <n v="485"/>
    <n v="71136"/>
    <n v="34.500959999999999"/>
    <n v="1976"/>
    <n v="76"/>
    <x v="23"/>
    <s v=""/>
    <s v="单面白49柜 12/2"/>
    <m/>
    <s v=""/>
    <m/>
    <m/>
    <s v="SHANGHAI"/>
    <x v="1"/>
    <x v="26"/>
    <m/>
    <m/>
    <m/>
    <m/>
    <m/>
    <m/>
    <m/>
    <m/>
    <m/>
    <m/>
    <x v="296"/>
    <m/>
    <m/>
    <m/>
    <s v="n/a"/>
    <e v="#REF!"/>
    <s v=""/>
    <n v="14"/>
    <s v="n/a"/>
    <e v="#VALUE!"/>
    <e v="#VALUE!"/>
    <n v="0"/>
    <n v="36"/>
    <n v="936"/>
    <e v="#N/A"/>
    <n v="0"/>
  </r>
  <r>
    <s v="26Oct027"/>
    <s v="Yixing"/>
    <s v="Main Line"/>
    <s v="UPP"/>
    <x v="2"/>
    <s v="n/a"/>
    <s v="n/a"/>
    <x v="22"/>
    <s v="n/a"/>
    <x v="188"/>
    <m/>
    <m/>
    <s v="n/a"/>
    <d v="2026-12-02T00:00:00"/>
    <x v="11"/>
    <x v="129"/>
    <s v="S4-DG490- 48TW+"/>
    <s v="H4(Com)"/>
    <s v="±1200mm"/>
    <n v="490"/>
    <n v="20592"/>
    <n v="10.09008"/>
    <n v="572"/>
    <n v="22"/>
    <x v="23"/>
    <s v=""/>
    <s v="单面白49柜 12/2"/>
    <m/>
    <s v=""/>
    <m/>
    <m/>
    <s v="SHANGHAI"/>
    <x v="1"/>
    <x v="26"/>
    <m/>
    <m/>
    <m/>
    <m/>
    <m/>
    <m/>
    <m/>
    <m/>
    <m/>
    <m/>
    <x v="296"/>
    <m/>
    <m/>
    <m/>
    <s v="n/a"/>
    <e v="#REF!"/>
    <s v=""/>
    <n v="14"/>
    <s v="n/a"/>
    <e v="#VALUE!"/>
    <e v="#VALUE!"/>
    <n v="0"/>
    <n v="36"/>
    <n v="936"/>
    <e v="#N/A"/>
    <n v="0"/>
  </r>
  <r>
    <s v="26Oct028"/>
    <s v="Quzhou"/>
    <s v="Main Line"/>
    <s v="UPP"/>
    <x v="2"/>
    <s v="n/a"/>
    <s v="n/a"/>
    <x v="22"/>
    <s v="n/a"/>
    <x v="188"/>
    <m/>
    <m/>
    <s v="n/a"/>
    <d v="2026-12-12T00:00:00"/>
    <x v="3"/>
    <x v="106"/>
    <s v="S4-DG485-108BC-FB"/>
    <s v="EVO2A"/>
    <s v="±1200mm"/>
    <n v="485"/>
    <n v="24336"/>
    <n v="11.802960000000001"/>
    <n v="676"/>
    <n v="26"/>
    <x v="23"/>
    <s v=""/>
    <s v="Dec"/>
    <m/>
    <s v=""/>
    <m/>
    <m/>
    <s v="SHANGHAI"/>
    <x v="1"/>
    <x v="26"/>
    <m/>
    <m/>
    <m/>
    <m/>
    <m/>
    <m/>
    <m/>
    <m/>
    <m/>
    <m/>
    <x v="296"/>
    <m/>
    <m/>
    <m/>
    <s v="n/a"/>
    <e v="#REF!"/>
    <s v=""/>
    <n v="14"/>
    <s v="n/a"/>
    <e v="#VALUE!"/>
    <e v="#VALUE!"/>
    <n v="0"/>
    <n v="36"/>
    <n v="936"/>
    <s v="Black glazing"/>
    <n v="0"/>
  </r>
  <r>
    <s v="26Oct029"/>
    <s v="Quzhou"/>
    <s v="Main Line"/>
    <s v="UPP"/>
    <x v="2"/>
    <s v="n/a"/>
    <s v="n/a"/>
    <x v="22"/>
    <s v="n/a"/>
    <x v="188"/>
    <m/>
    <m/>
    <s v="n/a"/>
    <d v="2026-12-12T00:00:00"/>
    <x v="3"/>
    <x v="105"/>
    <s v="S4-DG490-108BC-FB"/>
    <s v="EVO2A"/>
    <s v="±1200mm"/>
    <n v="490"/>
    <n v="65520"/>
    <n v="32.104799999999997"/>
    <n v="1820"/>
    <n v="70"/>
    <x v="23"/>
    <s v=""/>
    <s v="Dec"/>
    <m/>
    <s v=""/>
    <m/>
    <m/>
    <s v="SHANGHAI"/>
    <x v="1"/>
    <x v="26"/>
    <m/>
    <m/>
    <m/>
    <m/>
    <m/>
    <m/>
    <m/>
    <m/>
    <m/>
    <m/>
    <x v="296"/>
    <m/>
    <m/>
    <m/>
    <s v="n/a"/>
    <e v="#REF!"/>
    <s v=""/>
    <n v="14"/>
    <s v="n/a"/>
    <e v="#VALUE!"/>
    <e v="#VALUE!"/>
    <n v="0"/>
    <n v="36"/>
    <n v="936"/>
    <s v="Black glazing"/>
    <n v="0"/>
  </r>
  <r>
    <s v="26Nov001"/>
    <s v="Tianjin"/>
    <s v="Main Line"/>
    <s v="CORE DG"/>
    <x v="2"/>
    <s v="n/a"/>
    <s v="n/a"/>
    <x v="22"/>
    <s v="n/a"/>
    <x v="188"/>
    <m/>
    <m/>
    <s v="n/a"/>
    <d v="2026-11-20T00:00:00"/>
    <x v="0"/>
    <x v="0"/>
    <s v="HSM-ND54-DR500"/>
    <s v="EVO2A"/>
    <s v="±1200mm"/>
    <n v="500"/>
    <n v="35424"/>
    <n v="17.712"/>
    <n v="984"/>
    <n v="41"/>
    <x v="23"/>
    <s v=""/>
    <s v="11/7-11/20每天2.5MW"/>
    <m/>
    <s v=""/>
    <m/>
    <m/>
    <s v="TIANJIN"/>
    <x v="0"/>
    <x v="26"/>
    <m/>
    <m/>
    <m/>
    <m/>
    <m/>
    <m/>
    <m/>
    <m/>
    <m/>
    <m/>
    <x v="296"/>
    <m/>
    <m/>
    <m/>
    <s v="n/a"/>
    <e v="#REF!"/>
    <s v=""/>
    <n v="14"/>
    <s v="n/a"/>
    <e v="#VALUE!"/>
    <e v="#VALUE!"/>
    <n v="0"/>
    <n v="36"/>
    <n v="864"/>
    <s v="Black glazing"/>
    <n v="0"/>
  </r>
  <r>
    <s v="26Nov002"/>
    <s v="Tianjin"/>
    <s v="Main Line"/>
    <s v="CORE DG"/>
    <x v="2"/>
    <s v="n/a"/>
    <s v="n/a"/>
    <x v="22"/>
    <s v="n/a"/>
    <x v="188"/>
    <m/>
    <m/>
    <s v="n/a"/>
    <d v="2026-11-20T00:00:00"/>
    <x v="0"/>
    <x v="43"/>
    <s v="HSM-ND54-DR505"/>
    <s v="EVO2A"/>
    <s v="±1200mm"/>
    <n v="505"/>
    <n v="24192"/>
    <n v="12.21696"/>
    <n v="672"/>
    <n v="28"/>
    <x v="23"/>
    <s v=""/>
    <s v="11/7-11/20每天2.5MW"/>
    <m/>
    <s v=""/>
    <m/>
    <m/>
    <s v="TIANJIN"/>
    <x v="0"/>
    <x v="26"/>
    <m/>
    <m/>
    <m/>
    <m/>
    <m/>
    <m/>
    <m/>
    <m/>
    <m/>
    <m/>
    <x v="296"/>
    <m/>
    <m/>
    <m/>
    <s v="n/a"/>
    <e v="#REF!"/>
    <s v=""/>
    <n v="14"/>
    <s v="n/a"/>
    <e v="#VALUE!"/>
    <e v="#VALUE!"/>
    <n v="0"/>
    <n v="36"/>
    <n v="864"/>
    <s v="Black glazing"/>
    <n v="0"/>
  </r>
  <r>
    <s v="26Nov003"/>
    <s v="Quzhou/Yixing"/>
    <s v="Main Line"/>
    <s v="CORE DG"/>
    <x v="2"/>
    <s v="n/a"/>
    <s v="n/a"/>
    <x v="22"/>
    <s v="n/a"/>
    <x v="188"/>
    <m/>
    <m/>
    <s v="n/a"/>
    <d v="2026-11-25T00:00:00"/>
    <x v="3"/>
    <x v="108"/>
    <s v="SPR-BE54-DD490"/>
    <s v="EVO2A"/>
    <s v="±1200mm"/>
    <n v="490"/>
    <n v="41184"/>
    <n v="20.180160000000001"/>
    <n v="1144"/>
    <n v="44"/>
    <x v="23"/>
    <s v=""/>
    <s v="11/4-11/15每天3.5MW，11/16-11/24每天5MW"/>
    <m/>
    <s v=""/>
    <m/>
    <m/>
    <s v="SHANGHAI"/>
    <x v="1"/>
    <x v="26"/>
    <m/>
    <m/>
    <m/>
    <m/>
    <m/>
    <m/>
    <m/>
    <m/>
    <m/>
    <m/>
    <x v="296"/>
    <m/>
    <m/>
    <m/>
    <s v="n/a"/>
    <e v="#REF!"/>
    <s v=""/>
    <n v="14"/>
    <s v="n/a"/>
    <e v="#VALUE!"/>
    <e v="#VALUE!"/>
    <n v="0"/>
    <n v="36"/>
    <n v="936"/>
    <s v="Black glazing"/>
    <n v="0"/>
  </r>
  <r>
    <s v="26Nov004"/>
    <s v="Quzhou/Yixing"/>
    <s v="Main Line"/>
    <s v="CORE DG"/>
    <x v="2"/>
    <s v="n/a"/>
    <s v="n/a"/>
    <x v="22"/>
    <s v="n/a"/>
    <x v="188"/>
    <m/>
    <m/>
    <s v="n/a"/>
    <d v="2026-12-01T00:00:00"/>
    <x v="3"/>
    <x v="91"/>
    <s v="HSM-BE54-DD485"/>
    <s v="EVO2A"/>
    <s v="±1200mm"/>
    <n v="485"/>
    <n v="131976"/>
    <n v="64.008359999999996"/>
    <n v="3666"/>
    <n v="141"/>
    <x v="23"/>
    <s v=""/>
    <s v="11/4-11/15每天3.5MW，11/16-11/24每天5MW"/>
    <m/>
    <s v=""/>
    <m/>
    <m/>
    <s v="SHANGHAI"/>
    <x v="1"/>
    <x v="26"/>
    <m/>
    <m/>
    <m/>
    <m/>
    <m/>
    <m/>
    <m/>
    <m/>
    <m/>
    <m/>
    <x v="296"/>
    <m/>
    <m/>
    <m/>
    <s v="n/a"/>
    <e v="#REF!"/>
    <s v=""/>
    <n v="14"/>
    <s v="n/a"/>
    <e v="#VALUE!"/>
    <e v="#VALUE!"/>
    <n v="0"/>
    <n v="36"/>
    <n v="936"/>
    <s v="Black glazing"/>
    <n v="0"/>
  </r>
  <r>
    <s v="26Nov005"/>
    <s v="Quzhou/Yixing"/>
    <s v="Main Line"/>
    <s v="CORE DG"/>
    <x v="2"/>
    <s v="n/a"/>
    <s v="n/a"/>
    <x v="22"/>
    <s v="n/a"/>
    <x v="188"/>
    <m/>
    <m/>
    <s v="n/a"/>
    <d v="2026-12-01T00:00:00"/>
    <x v="3"/>
    <x v="96"/>
    <s v="HSM-BE54-DD490"/>
    <s v="EVO2A"/>
    <s v="±1200mm"/>
    <n v="490"/>
    <n v="32760"/>
    <n v="16.052399999999999"/>
    <n v="910"/>
    <n v="35"/>
    <x v="23"/>
    <s v=""/>
    <s v="11/4-11/15每天3.5MW，11/16-11/24每天5MW"/>
    <m/>
    <s v=""/>
    <m/>
    <m/>
    <s v="SHANGHAI"/>
    <x v="1"/>
    <x v="26"/>
    <m/>
    <m/>
    <m/>
    <m/>
    <m/>
    <m/>
    <m/>
    <m/>
    <m/>
    <m/>
    <x v="296"/>
    <m/>
    <m/>
    <m/>
    <s v="n/a"/>
    <e v="#REF!"/>
    <s v=""/>
    <n v="14"/>
    <s v="n/a"/>
    <e v="#VALUE!"/>
    <e v="#VALUE!"/>
    <n v="0"/>
    <n v="36"/>
    <n v="936"/>
    <s v="Black glazing"/>
    <n v="0"/>
  </r>
  <r>
    <s v="26Nov006"/>
    <s v="Yixing"/>
    <s v="Main Line"/>
    <s v="CORE DG"/>
    <x v="2"/>
    <s v="n/a"/>
    <s v="n/a"/>
    <x v="22"/>
    <s v="n/a"/>
    <x v="188"/>
    <m/>
    <m/>
    <s v="n/a"/>
    <d v="2026-11-21T00:00:00"/>
    <x v="11"/>
    <x v="98"/>
    <s v="HSM-NT48-JH480 CFP"/>
    <s v="EVO2A"/>
    <s v="±1200mm"/>
    <n v="480"/>
    <n v="1872"/>
    <n v="0.89856000000000003"/>
    <n v="52"/>
    <n v="2"/>
    <x v="23"/>
    <s v=""/>
    <s v="未排产"/>
    <m/>
    <s v=""/>
    <m/>
    <m/>
    <s v="SHANGHAI"/>
    <x v="1"/>
    <x v="26"/>
    <m/>
    <m/>
    <m/>
    <m/>
    <m/>
    <m/>
    <m/>
    <m/>
    <m/>
    <m/>
    <x v="296"/>
    <m/>
    <m/>
    <m/>
    <s v="n/a"/>
    <e v="#REF!"/>
    <s v=""/>
    <n v="14"/>
    <s v="n/a"/>
    <e v="#VALUE!"/>
    <e v="#VALUE!"/>
    <n v="0"/>
    <n v="36"/>
    <n v="936"/>
    <s v="White glazing"/>
    <n v="0"/>
  </r>
  <r>
    <s v="26Nov007"/>
    <s v="Yixing"/>
    <s v="Main Line"/>
    <s v="CORE DG"/>
    <x v="2"/>
    <s v="n/a"/>
    <s v="n/a"/>
    <x v="22"/>
    <s v="n/a"/>
    <x v="188"/>
    <m/>
    <m/>
    <s v="n/a"/>
    <d v="2026-11-21T00:00:00"/>
    <x v="11"/>
    <x v="130"/>
    <s v="HSM-NT48-JH485 CFP"/>
    <s v="EVO2A"/>
    <s v="±1200mm"/>
    <n v="485"/>
    <n v="18720"/>
    <n v="9.0792000000000002"/>
    <n v="520"/>
    <n v="20"/>
    <x v="23"/>
    <s v=""/>
    <s v="未排产"/>
    <m/>
    <s v=""/>
    <m/>
    <m/>
    <s v="SHANGHAI"/>
    <x v="1"/>
    <x v="26"/>
    <m/>
    <m/>
    <m/>
    <m/>
    <m/>
    <m/>
    <m/>
    <m/>
    <m/>
    <m/>
    <x v="296"/>
    <m/>
    <m/>
    <m/>
    <s v="n/a"/>
    <e v="#REF!"/>
    <s v=""/>
    <n v="14"/>
    <s v="n/a"/>
    <e v="#VALUE!"/>
    <e v="#VALUE!"/>
    <n v="0"/>
    <n v="36"/>
    <n v="936"/>
    <e v="#N/A"/>
    <n v="0"/>
  </r>
  <r>
    <s v="26Nov008"/>
    <s v="Yixing"/>
    <s v="Main Line"/>
    <s v="CORE DG"/>
    <x v="2"/>
    <s v="n/a"/>
    <s v="n/a"/>
    <x v="22"/>
    <s v="n/a"/>
    <x v="188"/>
    <m/>
    <m/>
    <s v="n/a"/>
    <d v="2026-12-02T00:00:00"/>
    <x v="11"/>
    <x v="110"/>
    <s v="HSM-NT48-GH480 CFP"/>
    <s v="EVO2A"/>
    <s v="±1200mm"/>
    <n v="480"/>
    <n v="12168"/>
    <n v="5.8406399999999996"/>
    <n v="338"/>
    <n v="13"/>
    <x v="23"/>
    <s v=""/>
    <s v="未排产"/>
    <m/>
    <s v=""/>
    <m/>
    <m/>
    <s v="SHANGHAI"/>
    <x v="1"/>
    <x v="26"/>
    <m/>
    <m/>
    <m/>
    <m/>
    <m/>
    <m/>
    <m/>
    <m/>
    <m/>
    <m/>
    <x v="296"/>
    <m/>
    <m/>
    <m/>
    <s v="n/a"/>
    <e v="#REF!"/>
    <s v=""/>
    <n v="14"/>
    <s v="n/a"/>
    <e v="#VALUE!"/>
    <e v="#VALUE!"/>
    <n v="0"/>
    <n v="36"/>
    <n v="936"/>
    <s v="White glazing"/>
    <n v="0"/>
  </r>
  <r>
    <s v="26Nov009"/>
    <s v="Yixing"/>
    <s v="Main Line"/>
    <s v="CORE DG"/>
    <x v="2"/>
    <s v="n/a"/>
    <s v="n/a"/>
    <x v="22"/>
    <s v="n/a"/>
    <x v="188"/>
    <m/>
    <m/>
    <s v="n/a"/>
    <d v="2026-12-02T00:00:00"/>
    <x v="11"/>
    <x v="111"/>
    <s v="HSM-NT48-GH485 CFP"/>
    <s v="EVO2A"/>
    <s v="±1200mm"/>
    <n v="485"/>
    <n v="8424"/>
    <n v="4.0856399999999997"/>
    <n v="234"/>
    <n v="9"/>
    <x v="23"/>
    <s v=""/>
    <s v="未排产"/>
    <m/>
    <s v=""/>
    <m/>
    <m/>
    <s v="SHANGHAI"/>
    <x v="1"/>
    <x v="26"/>
    <m/>
    <m/>
    <m/>
    <m/>
    <m/>
    <m/>
    <m/>
    <m/>
    <m/>
    <m/>
    <x v="296"/>
    <m/>
    <m/>
    <m/>
    <s v="n/a"/>
    <e v="#REF!"/>
    <s v=""/>
    <n v="14"/>
    <s v="n/a"/>
    <e v="#VALUE!"/>
    <e v="#VALUE!"/>
    <n v="0"/>
    <n v="36"/>
    <n v="936"/>
    <s v="White glazing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s v="WUXI"/>
    <s v="25NOV001"/>
    <s v="CORE DG"/>
    <s v="Internal"/>
    <x v="0"/>
    <s v="DAP "/>
    <s v="SunPower Energy Solutions France SAS"/>
    <m/>
    <s v="Local WH"/>
    <m/>
    <m/>
    <s v="n/a"/>
    <x v="0"/>
    <s v="1P-CT meter G1"/>
    <x v="0"/>
    <n v="0"/>
    <x v="0"/>
    <m/>
    <m/>
    <m/>
    <m/>
    <s v="COMPLETED"/>
    <s v="COMPLETED"/>
    <m/>
    <d v="2025-11-21T00:00:00"/>
    <n v="47"/>
    <x v="0"/>
    <n v="371009150"/>
    <s v="SHANGHAI"/>
    <s v="Shanghai"/>
    <x v="0"/>
    <x v="0"/>
    <m/>
    <d v="2025-12-07T00:00:00"/>
    <d v="2026-01-26T00:00:00"/>
    <d v="2026-02-09T00:00:00"/>
    <x v="0"/>
    <s v="DAP "/>
    <s v="EVER GOODS"/>
    <s v="COSCO"/>
    <s v="TPVB20251106002"/>
    <s v="COSU6436251160"/>
    <s v="COSU6436251160"/>
    <n v="51"/>
    <s v="SWB"/>
    <d v="2026-02-09T00:00:00"/>
    <x v="0"/>
    <d v="2026-02-23T00:00:00"/>
    <n v="8"/>
    <d v="2026-02-17T00:00:00"/>
    <x v="0"/>
    <x v="0"/>
    <n v="8"/>
    <s v="AEM"/>
    <m/>
  </r>
  <r>
    <x v="1"/>
    <s v="WUXI"/>
    <s v="25NOV002"/>
    <s v="CORE DG"/>
    <s v="Internal"/>
    <x v="0"/>
    <s v="DAP "/>
    <s v="SunPower Energy Solutions France SAS"/>
    <m/>
    <s v="Local WH"/>
    <m/>
    <m/>
    <s v="n/a"/>
    <x v="1"/>
    <s v="3P-CT meter G1"/>
    <x v="1"/>
    <n v="0"/>
    <x v="1"/>
    <m/>
    <m/>
    <m/>
    <m/>
    <s v="COMPLETED"/>
    <s v="COMPLETED"/>
    <m/>
    <d v="2025-11-21T00:00:00"/>
    <n v="47"/>
    <x v="0"/>
    <n v="371009150"/>
    <s v="SHANGHAI"/>
    <s v="Shanghai"/>
    <x v="0"/>
    <x v="0"/>
    <m/>
    <d v="2025-12-07T00:00:00"/>
    <d v="2026-01-26T00:00:00"/>
    <d v="2026-02-09T00:00:00"/>
    <x v="0"/>
    <s v="DAP "/>
    <s v="EVER GOODS"/>
    <s v="COSCO"/>
    <s v="TPVB20251106002"/>
    <s v="COSU6436251160"/>
    <s v="COSU6436251160"/>
    <n v="51"/>
    <s v="SWB"/>
    <d v="2026-02-09T00:00:00"/>
    <x v="0"/>
    <d v="2026-02-23T00:00:00"/>
    <n v="8"/>
    <d v="2026-02-17T00:00:00"/>
    <x v="0"/>
    <x v="0"/>
    <n v="8"/>
    <s v="AEM"/>
    <m/>
  </r>
  <r>
    <x v="2"/>
    <s v="WUXI"/>
    <s v="25OCT001"/>
    <s v="CORE DG"/>
    <s v="Internal"/>
    <x v="0"/>
    <s v="DAP "/>
    <s v="SunPower Energy Solutions France SAS"/>
    <m/>
    <s v="Local WH"/>
    <m/>
    <m/>
    <s v="n/a"/>
    <x v="2"/>
    <s v="Hybrid Inverter"/>
    <x v="2"/>
    <n v="6000"/>
    <x v="2"/>
    <m/>
    <m/>
    <m/>
    <m/>
    <s v="COMPLETED"/>
    <s v="COMPLETED"/>
    <m/>
    <d v="2025-11-21T00:00:00"/>
    <n v="47"/>
    <x v="1"/>
    <n v="371009148"/>
    <s v="SHANGHAI"/>
    <s v="Shanghai"/>
    <x v="0"/>
    <x v="0"/>
    <m/>
    <d v="2025-12-07T00:00:00"/>
    <d v="2026-01-26T00:00:00"/>
    <d v="2026-02-09T00:00:00"/>
    <x v="0"/>
    <s v="DAP "/>
    <s v="EVER GOODS"/>
    <s v="COSCO"/>
    <s v="TPVB20251106002"/>
    <s v="COSU6436251160"/>
    <s v="COSU6436251160"/>
    <n v="51"/>
    <s v="SWB"/>
    <d v="2026-02-09T00:00:00"/>
    <x v="0"/>
    <d v="2026-02-23T00:00:00"/>
    <n v="8"/>
    <d v="2026-02-17T00:00:00"/>
    <x v="0"/>
    <x v="0"/>
    <n v="8"/>
    <s v="AEM"/>
    <m/>
  </r>
  <r>
    <x v="3"/>
    <s v="WUXI"/>
    <s v="25OCT001"/>
    <s v="CORE DG"/>
    <s v="Internal"/>
    <x v="0"/>
    <s v="DAP "/>
    <s v="SunPower Energy Solutions France SAS"/>
    <m/>
    <s v="Local WH"/>
    <m/>
    <m/>
    <s v="n/a"/>
    <x v="2"/>
    <s v="Hybrid Inverter"/>
    <x v="2"/>
    <n v="6000"/>
    <x v="3"/>
    <m/>
    <m/>
    <m/>
    <m/>
    <s v="COMPLETED"/>
    <s v="COMPLETED"/>
    <m/>
    <d v="2025-11-21T00:00:00"/>
    <n v="47"/>
    <x v="0"/>
    <n v="371009150"/>
    <s v="SHANGHAI"/>
    <s v="Shanghai"/>
    <x v="0"/>
    <x v="0"/>
    <m/>
    <d v="2025-12-07T00:00:00"/>
    <d v="2026-01-26T00:00:00"/>
    <d v="2026-02-09T00:00:00"/>
    <x v="0"/>
    <s v="DAP "/>
    <s v="EVER GOODS"/>
    <s v="COSCO"/>
    <s v="TPVB20251106002"/>
    <s v="COSU6436251160"/>
    <s v="COSU6436251160"/>
    <n v="51"/>
    <s v="SWB"/>
    <d v="2026-02-09T00:00:00"/>
    <x v="0"/>
    <d v="2026-02-23T00:00:00"/>
    <n v="8"/>
    <d v="2026-02-17T00:00:00"/>
    <x v="0"/>
    <x v="0"/>
    <n v="8"/>
    <s v="AEM"/>
    <m/>
  </r>
  <r>
    <x v="4"/>
    <s v="WUXI"/>
    <s v="Main Line"/>
    <s v="CORE DG"/>
    <s v="Internal"/>
    <x v="0"/>
    <s v="DAP "/>
    <s v="SunPower Energy Solutions France SAS"/>
    <m/>
    <s v="Local WH"/>
    <m/>
    <m/>
    <s v="n/a"/>
    <x v="3"/>
    <s v="Hybrid Inverter"/>
    <x v="3"/>
    <n v="8000"/>
    <x v="4"/>
    <m/>
    <m/>
    <m/>
    <m/>
    <s v="COMPLETED"/>
    <s v="COMPLETED"/>
    <m/>
    <d v="2025-11-21T00:00:00"/>
    <n v="47"/>
    <x v="0"/>
    <n v="371009150"/>
    <s v="SHANGHAI"/>
    <s v="Shanghai"/>
    <x v="0"/>
    <x v="0"/>
    <m/>
    <d v="2025-12-07T00:00:00"/>
    <d v="2026-01-26T00:00:00"/>
    <d v="2026-02-09T00:00:00"/>
    <x v="0"/>
    <s v="DAP "/>
    <s v="EVER GOODS"/>
    <s v="COSCO"/>
    <s v="TPVB20251106002"/>
    <s v="COSU6436251160"/>
    <s v="COSU6436251160"/>
    <n v="51"/>
    <s v="SWB"/>
    <d v="2026-02-09T00:00:00"/>
    <x v="0"/>
    <d v="2026-02-23T00:00:00"/>
    <n v="8"/>
    <d v="2026-02-17T00:00:00"/>
    <x v="0"/>
    <x v="0"/>
    <n v="8"/>
    <s v="AEM"/>
    <m/>
  </r>
  <r>
    <x v="5"/>
    <s v="WUXI"/>
    <s v="Main Line"/>
    <s v="CORE DG"/>
    <s v="Internal"/>
    <x v="0"/>
    <s v="DAP "/>
    <s v="SunPower Energy Solutions France SAS"/>
    <m/>
    <s v="Local WH"/>
    <m/>
    <m/>
    <s v="n/a"/>
    <x v="4"/>
    <s v="Hybrid Inverter"/>
    <x v="4"/>
    <n v="10000"/>
    <x v="5"/>
    <m/>
    <m/>
    <m/>
    <m/>
    <s v="COMPLETED"/>
    <s v="COMPLETED"/>
    <m/>
    <d v="2025-11-21T00:00:00"/>
    <n v="47"/>
    <x v="0"/>
    <n v="371009150"/>
    <s v="SHANGHAI"/>
    <s v="Shanghai"/>
    <x v="0"/>
    <x v="0"/>
    <m/>
    <d v="2025-12-07T00:00:00"/>
    <d v="2026-01-26T00:00:00"/>
    <d v="2026-02-09T00:00:00"/>
    <x v="0"/>
    <s v="DAP "/>
    <s v="EVER GOODS"/>
    <s v="COSCO"/>
    <s v="TPVB20251106002"/>
    <s v="COSU6436251160"/>
    <s v="COSU6436251160"/>
    <n v="51"/>
    <s v="SWB"/>
    <d v="2026-02-09T00:00:00"/>
    <x v="0"/>
    <d v="2026-02-23T00:00:00"/>
    <n v="8"/>
    <d v="2026-02-17T00:00:00"/>
    <x v="0"/>
    <x v="0"/>
    <n v="8"/>
    <s v="AEM"/>
    <m/>
  </r>
  <r>
    <x v="6"/>
    <s v="WUXI"/>
    <s v="25OCT004"/>
    <s v="CORE DG"/>
    <s v="Internal"/>
    <x v="0"/>
    <s v="DAP "/>
    <s v="SunPower Energy Solutions France SAS"/>
    <m/>
    <s v="Local WH"/>
    <m/>
    <m/>
    <s v="n/a"/>
    <x v="5"/>
    <s v="High voltage distribution box"/>
    <x v="5"/>
    <n v="0"/>
    <x v="6"/>
    <m/>
    <m/>
    <m/>
    <m/>
    <s v="COMPLETED"/>
    <s v="COMPLETED"/>
    <m/>
    <d v="2025-11-21T00:00:00"/>
    <n v="47"/>
    <x v="2"/>
    <n v="371009149"/>
    <s v="SHANGHAI"/>
    <s v="Shanghai"/>
    <x v="0"/>
    <x v="0"/>
    <m/>
    <d v="2025-12-07T00:00:00"/>
    <d v="2026-01-26T00:00:00"/>
    <d v="2026-02-09T00:00:00"/>
    <x v="0"/>
    <s v="DAP "/>
    <s v="EVER GOODS"/>
    <s v="COSCO"/>
    <s v="TPVB20251106002"/>
    <s v="COSU6436251160"/>
    <s v="COSU6436251160"/>
    <n v="51"/>
    <s v="SWB"/>
    <d v="2026-02-09T00:00:00"/>
    <x v="0"/>
    <d v="2026-02-23T00:00:00"/>
    <n v="8"/>
    <d v="2026-02-17T00:00:00"/>
    <x v="0"/>
    <x v="0"/>
    <n v="8"/>
    <s v="AEM"/>
    <m/>
  </r>
  <r>
    <x v="7"/>
    <s v="WUXI"/>
    <s v="25OCT004"/>
    <s v="CORE DG"/>
    <s v="Internal"/>
    <x v="0"/>
    <s v="DAP "/>
    <s v="SunPower Energy Solutions France SAS"/>
    <m/>
    <s v="Local WH"/>
    <m/>
    <m/>
    <s v="n/a"/>
    <x v="5"/>
    <s v="High voltage distribution box"/>
    <x v="5"/>
    <n v="0"/>
    <x v="7"/>
    <m/>
    <m/>
    <m/>
    <m/>
    <s v="COMPLETED"/>
    <s v="COMPLETED"/>
    <m/>
    <d v="2025-11-21T00:00:00"/>
    <n v="47"/>
    <x v="0"/>
    <n v="371009150"/>
    <s v="SHANGHAI"/>
    <s v="Shanghai"/>
    <x v="0"/>
    <x v="0"/>
    <m/>
    <d v="2025-12-07T00:00:00"/>
    <d v="2026-01-26T00:00:00"/>
    <d v="2026-02-09T00:00:00"/>
    <x v="0"/>
    <s v="DAP "/>
    <s v="EVER GOODS"/>
    <s v="COSCO"/>
    <s v="TPVB20251106002"/>
    <s v="COSU6436251160"/>
    <s v="COSU6436251160"/>
    <n v="51"/>
    <s v="SWB"/>
    <d v="2026-02-09T00:00:00"/>
    <x v="0"/>
    <d v="2026-02-23T00:00:00"/>
    <n v="8"/>
    <d v="2026-02-17T00:00:00"/>
    <x v="0"/>
    <x v="0"/>
    <n v="8"/>
    <s v="AEM"/>
    <m/>
  </r>
  <r>
    <x v="8"/>
    <s v="WUXI"/>
    <s v="25OCT006"/>
    <s v="CORE DG"/>
    <s v="Internal"/>
    <x v="0"/>
    <s v="DAP "/>
    <s v="SunPower Energy Solutions France SAS"/>
    <m/>
    <s v="Aftersales"/>
    <m/>
    <m/>
    <s v="n/a"/>
    <x v="2"/>
    <s v="Hybrid Inverter"/>
    <x v="2"/>
    <n v="6000"/>
    <x v="8"/>
    <m/>
    <m/>
    <m/>
    <m/>
    <s v="COMPLETED"/>
    <s v="COMPLETED"/>
    <m/>
    <d v="2025-11-21T00:00:00"/>
    <n v="47"/>
    <x v="0"/>
    <n v="371009150"/>
    <s v="SHANGHAI"/>
    <s v="Shanghai"/>
    <x v="0"/>
    <x v="0"/>
    <m/>
    <d v="2025-12-07T00:00:00"/>
    <d v="2026-01-26T00:00:00"/>
    <d v="2026-02-09T00:00:00"/>
    <x v="0"/>
    <s v="DAP "/>
    <s v="EVER GOODS"/>
    <s v="COSCO"/>
    <s v="TPVB20251106002"/>
    <s v="COSU6436251160"/>
    <s v="COSU6436251160"/>
    <n v="51"/>
    <s v="SWB"/>
    <d v="2026-02-09T00:00:00"/>
    <x v="0"/>
    <d v="2026-02-23T00:00:00"/>
    <n v="8"/>
    <d v="2026-02-17T00:00:00"/>
    <x v="0"/>
    <x v="0"/>
    <n v="8"/>
    <s v="AEM"/>
    <m/>
  </r>
  <r>
    <x v="9"/>
    <s v="WUXI"/>
    <s v="25OCT007"/>
    <s v="CORE DG"/>
    <s v="Internal"/>
    <x v="0"/>
    <s v="DAP "/>
    <s v="SunPower Energy Solutions France SAS"/>
    <m/>
    <s v="Aftersales"/>
    <m/>
    <m/>
    <s v="n/a"/>
    <x v="3"/>
    <s v="Hybrid Inverter"/>
    <x v="3"/>
    <n v="8000"/>
    <x v="9"/>
    <m/>
    <m/>
    <m/>
    <m/>
    <s v="COMPLETED"/>
    <s v="COMPLETED"/>
    <m/>
    <d v="2025-11-21T00:00:00"/>
    <n v="47"/>
    <x v="0"/>
    <n v="371009150"/>
    <s v="SHANGHAI"/>
    <s v="Shanghai"/>
    <x v="0"/>
    <x v="0"/>
    <m/>
    <d v="2025-12-07T00:00:00"/>
    <d v="2026-01-26T00:00:00"/>
    <d v="2026-02-09T00:00:00"/>
    <x v="0"/>
    <s v="DAP "/>
    <s v="EVER GOODS"/>
    <s v="COSCO"/>
    <s v="TPVB20251106002"/>
    <s v="COSU6436251160"/>
    <s v="COSU6436251160"/>
    <n v="51"/>
    <s v="SWB"/>
    <d v="2026-02-09T00:00:00"/>
    <x v="0"/>
    <d v="2026-02-23T00:00:00"/>
    <n v="8"/>
    <d v="2026-02-17T00:00:00"/>
    <x v="0"/>
    <x v="0"/>
    <n v="8"/>
    <s v="AEM"/>
    <m/>
  </r>
  <r>
    <x v="10"/>
    <s v="WUXI"/>
    <s v="25OCT008"/>
    <s v="CORE DG"/>
    <s v="Internal"/>
    <x v="0"/>
    <s v="DAP "/>
    <s v="SunPower Energy Solutions France SAS"/>
    <m/>
    <s v="Aftersales"/>
    <m/>
    <m/>
    <s v="n/a"/>
    <x v="4"/>
    <s v="Hybrid Inverter"/>
    <x v="4"/>
    <n v="10000"/>
    <x v="10"/>
    <m/>
    <m/>
    <m/>
    <m/>
    <s v="COMPLETED"/>
    <s v="COMPLETED"/>
    <m/>
    <d v="2025-11-21T00:00:00"/>
    <n v="47"/>
    <x v="0"/>
    <n v="371009150"/>
    <s v="SHANGHAI"/>
    <s v="Shanghai"/>
    <x v="0"/>
    <x v="0"/>
    <m/>
    <d v="2025-12-07T00:00:00"/>
    <d v="2026-01-26T00:00:00"/>
    <d v="2026-02-09T00:00:00"/>
    <x v="0"/>
    <s v="DAP "/>
    <s v="EVER GOODS"/>
    <s v="COSCO"/>
    <s v="TPVB20251106002"/>
    <s v="COSU6436251160"/>
    <s v="COSU6436251160"/>
    <n v="51"/>
    <s v="SWB"/>
    <d v="2026-02-09T00:00:00"/>
    <x v="0"/>
    <d v="2026-02-23T00:00:00"/>
    <n v="8"/>
    <d v="2026-02-17T00:00:00"/>
    <x v="0"/>
    <x v="0"/>
    <n v="8"/>
    <s v="AEM"/>
    <m/>
  </r>
  <r>
    <x v="11"/>
    <s v="WUXI"/>
    <s v="25OCT009"/>
    <s v="CORE DG"/>
    <s v="Internal"/>
    <x v="0"/>
    <s v="DAP "/>
    <s v="SunPower Energy Solutions France SAS"/>
    <m/>
    <s v="Aftersales"/>
    <m/>
    <m/>
    <s v="n/a"/>
    <x v="5"/>
    <s v="High voltage distribution box"/>
    <x v="5"/>
    <n v="0"/>
    <x v="11"/>
    <m/>
    <m/>
    <m/>
    <m/>
    <s v="COMPLETED"/>
    <s v="COMPLETED"/>
    <m/>
    <d v="2025-11-21T00:00:00"/>
    <n v="47"/>
    <x v="0"/>
    <n v="371009150"/>
    <s v="SHANGHAI"/>
    <s v="Shanghai"/>
    <x v="0"/>
    <x v="0"/>
    <m/>
    <d v="2025-12-07T00:00:00"/>
    <d v="2026-01-26T00:00:00"/>
    <d v="2026-02-09T00:00:00"/>
    <x v="0"/>
    <s v="DAP "/>
    <s v="EVER GOODS"/>
    <s v="COSCO"/>
    <s v="TPVB20251106002"/>
    <s v="COSU6436251160"/>
    <s v="COSU6436251160"/>
    <n v="51"/>
    <s v="SWB"/>
    <d v="2026-02-09T00:00:00"/>
    <x v="0"/>
    <d v="2026-02-23T00:00:00"/>
    <n v="8"/>
    <d v="2026-02-17T00:00:00"/>
    <x v="0"/>
    <x v="0"/>
    <n v="8"/>
    <s v="AEM"/>
    <m/>
  </r>
  <r>
    <x v="12"/>
    <s v="WUXI"/>
    <s v="25DEC001"/>
    <s v="CORE DG"/>
    <s v="Internal"/>
    <x v="0"/>
    <s v="DAP "/>
    <s v="SunPower Energy Solutions France SAS"/>
    <m/>
    <s v="Local WH"/>
    <m/>
    <m/>
    <s v="n/a"/>
    <x v="6"/>
    <s v="Rechargeable Li-ion Battery"/>
    <x v="6"/>
    <n v="5000"/>
    <x v="12"/>
    <m/>
    <m/>
    <n v="1"/>
    <s v="CT01"/>
    <s v="INTRANSIT"/>
    <s v="COMPLETED"/>
    <m/>
    <d v="2026-01-29T00:00:00"/>
    <n v="5"/>
    <x v="3"/>
    <m/>
    <s v="SHANGHAI"/>
    <s v="Shanghai"/>
    <x v="0"/>
    <x v="1"/>
    <d v="2026-02-04T00:00:00"/>
    <d v="2026-02-04T00:00:00"/>
    <d v="2026-03-19T00:00:00"/>
    <d v="2026-03-19T00:00:00"/>
    <x v="1"/>
    <s v="DAP "/>
    <s v="BRISBANE MAERSK/606W"/>
    <s v="OTHER"/>
    <s v="TPVB20260122002"/>
    <n v="265718797"/>
    <n v="265718797"/>
    <n v="44"/>
    <m/>
    <d v="2026-04-04T00:00:00"/>
    <x v="0"/>
    <d v="2026-04-09T00:00:00"/>
    <n v="8"/>
    <d v="2026-04-12T00:00:00"/>
    <x v="0"/>
    <x v="1"/>
    <n v="15"/>
    <s v="AEM"/>
    <m/>
  </r>
  <r>
    <x v="13"/>
    <s v="WUXI"/>
    <s v="25DEC001"/>
    <s v="CORE DG"/>
    <s v="Internal"/>
    <x v="0"/>
    <s v="DAP "/>
    <s v="SunPower Energy Solutions France SAS"/>
    <m/>
    <s v="Local WH"/>
    <m/>
    <m/>
    <s v="n/a"/>
    <x v="6"/>
    <s v="Rechargeable Li-ion Battery"/>
    <x v="6"/>
    <n v="5000"/>
    <x v="12"/>
    <m/>
    <m/>
    <n v="1"/>
    <s v="CT02"/>
    <s v="INTRANSIT"/>
    <s v="COMPLETED"/>
    <m/>
    <d v="2026-01-29T00:00:00"/>
    <n v="5"/>
    <x v="3"/>
    <m/>
    <s v="SHANGHAI"/>
    <s v="Shanghai"/>
    <x v="0"/>
    <x v="1"/>
    <d v="2026-02-04T00:00:00"/>
    <d v="2026-02-04T00:00:00"/>
    <d v="2026-03-19T00:00:00"/>
    <d v="2026-03-19T00:00:00"/>
    <x v="1"/>
    <s v="DAP "/>
    <s v="BRISBANE MAERSK/606W"/>
    <s v="OTHER"/>
    <s v="TPVB20260122002"/>
    <n v="265718797"/>
    <n v="265718797"/>
    <n v="44"/>
    <m/>
    <d v="2026-04-04T00:00:00"/>
    <x v="0"/>
    <d v="2026-04-09T00:00:00"/>
    <n v="8"/>
    <d v="2026-04-12T00:00:00"/>
    <x v="0"/>
    <x v="1"/>
    <n v="15"/>
    <s v="AEM"/>
    <m/>
  </r>
  <r>
    <x v="14"/>
    <s v="WUXI"/>
    <s v="Main Line"/>
    <s v="CORE DG"/>
    <s v="Internal"/>
    <x v="0"/>
    <s v="DAP "/>
    <s v="SunPower Energy Solutions France SAS"/>
    <m/>
    <s v="Local WH"/>
    <m/>
    <m/>
    <s v="n/a"/>
    <x v="7"/>
    <s v="Hybrid Inverter"/>
    <x v="7"/>
    <n v="5000"/>
    <x v="13"/>
    <m/>
    <m/>
    <n v="0.44642857142857145"/>
    <s v="CT03"/>
    <s v="INTRANSIT"/>
    <s v="COMPLETED"/>
    <m/>
    <d v="2026-02-03T00:00:00"/>
    <n v="6"/>
    <x v="4"/>
    <m/>
    <s v="SHANGHAI"/>
    <s v="Shanghai"/>
    <x v="0"/>
    <x v="2"/>
    <d v="2026-02-12T00:00:00"/>
    <d v="2026-02-10T00:00:00"/>
    <d v="2026-03-30T00:00:00"/>
    <d v="2026-04-21T00:00:00"/>
    <x v="2"/>
    <s v="DAP "/>
    <s v="EVER GRADE 0738-027W"/>
    <s v="COSCO"/>
    <s v="TPVB20260122001"/>
    <s v="COSU9505917900"/>
    <s v="COSU9505917900"/>
    <n v="49"/>
    <m/>
    <d v="2026-04-20T00:00:00"/>
    <x v="0"/>
    <d v="2026-04-30T00:00:00"/>
    <n v="8"/>
    <d v="2026-04-28T00:00:00"/>
    <x v="0"/>
    <x v="1"/>
    <n v="18"/>
    <s v="AEM"/>
    <m/>
  </r>
  <r>
    <x v="15"/>
    <s v="WUXI"/>
    <s v="25DEC002"/>
    <s v="CORE DG"/>
    <s v="Internal"/>
    <x v="0"/>
    <s v="DAP "/>
    <s v="SunPower Energy Solutions France SAS"/>
    <m/>
    <s v="Aftersales"/>
    <m/>
    <m/>
    <s v="n/a"/>
    <x v="7"/>
    <s v="Hybrid Inverter"/>
    <x v="7"/>
    <n v="5000"/>
    <x v="14"/>
    <m/>
    <m/>
    <n v="1.3392857142857142E-2"/>
    <s v="CT03"/>
    <s v="INTRANSIT"/>
    <s v="COMPLETED"/>
    <m/>
    <d v="2026-02-03T00:00:00"/>
    <n v="6"/>
    <x v="4"/>
    <m/>
    <s v="SHANGHAI"/>
    <s v="Shanghai"/>
    <x v="0"/>
    <x v="2"/>
    <d v="2026-02-12T00:00:00"/>
    <d v="2026-02-10T00:00:00"/>
    <d v="2026-03-30T00:00:00"/>
    <d v="2026-04-21T00:00:00"/>
    <x v="2"/>
    <s v="DAP "/>
    <s v="EVER GRADE 0738-027W"/>
    <s v="COSCO"/>
    <s v="TPVB20260122001"/>
    <s v="COSU9505917900"/>
    <s v="COSU9505917900"/>
    <n v="49"/>
    <m/>
    <d v="2026-04-20T00:00:00"/>
    <x v="0"/>
    <d v="2026-04-30T00:00:00"/>
    <n v="8"/>
    <d v="2026-04-28T00:00:00"/>
    <x v="0"/>
    <x v="1"/>
    <n v="18"/>
    <s v="AEM"/>
    <m/>
  </r>
  <r>
    <x v="16"/>
    <s v="WUXI"/>
    <s v="Main Line"/>
    <s v="CORE DG"/>
    <s v="Internal"/>
    <x v="0"/>
    <s v="DAP "/>
    <s v="SunPower Energy Solutions France SAS"/>
    <m/>
    <s v="Local WH"/>
    <m/>
    <m/>
    <s v="n/a"/>
    <x v="2"/>
    <s v="Hybrid Inverter"/>
    <x v="2"/>
    <n v="6000"/>
    <x v="15"/>
    <m/>
    <m/>
    <n v="0.32142857142857145"/>
    <s v="CT03"/>
    <s v="INTRANSIT"/>
    <s v="COMPLETED"/>
    <m/>
    <d v="2026-02-03T00:00:00"/>
    <n v="6"/>
    <x v="4"/>
    <m/>
    <s v="SHANGHAI"/>
    <s v="Shanghai"/>
    <x v="0"/>
    <x v="2"/>
    <d v="2026-02-12T00:00:00"/>
    <d v="2026-02-10T00:00:00"/>
    <d v="2026-03-30T00:00:00"/>
    <d v="2026-04-21T00:00:00"/>
    <x v="2"/>
    <s v="DAP "/>
    <s v="EVER GRADE 0738-027W"/>
    <s v="COSCO"/>
    <s v="TPVB20260122001"/>
    <s v="COSU9505917900"/>
    <s v="COSU9505917900"/>
    <n v="49"/>
    <m/>
    <d v="2026-04-20T00:00:00"/>
    <x v="0"/>
    <d v="2026-04-30T00:00:00"/>
    <n v="8"/>
    <d v="2026-04-28T00:00:00"/>
    <x v="0"/>
    <x v="1"/>
    <n v="18"/>
    <s v="AEM"/>
    <m/>
  </r>
  <r>
    <x v="17"/>
    <s v="WUXI"/>
    <s v="25DEC003"/>
    <s v="CORE DG"/>
    <s v="Internal"/>
    <x v="0"/>
    <s v="DAP "/>
    <s v="SunPower Energy Solutions France SAS"/>
    <m/>
    <s v="Aftersales"/>
    <m/>
    <m/>
    <s v="n/a"/>
    <x v="2"/>
    <s v="Hybrid Inverter"/>
    <x v="2"/>
    <n v="6000"/>
    <x v="8"/>
    <m/>
    <m/>
    <n v="4.0178571428571432E-2"/>
    <s v="CT03"/>
    <s v="INTRANSIT"/>
    <s v="COMPLETED"/>
    <m/>
    <d v="2026-02-03T00:00:00"/>
    <n v="6"/>
    <x v="4"/>
    <m/>
    <s v="SHANGHAI"/>
    <s v="Shanghai"/>
    <x v="0"/>
    <x v="2"/>
    <d v="2026-02-12T00:00:00"/>
    <d v="2026-02-10T00:00:00"/>
    <d v="2026-03-30T00:00:00"/>
    <d v="2026-04-21T00:00:00"/>
    <x v="2"/>
    <s v="DAP "/>
    <s v="EVER GRADE 0738-027W"/>
    <s v="COSCO"/>
    <s v="TPVB20260122001"/>
    <s v="COSU9505917900"/>
    <s v="COSU9505917900"/>
    <n v="49"/>
    <m/>
    <d v="2026-04-20T00:00:00"/>
    <x v="0"/>
    <d v="2026-04-30T00:00:00"/>
    <n v="8"/>
    <d v="2026-04-28T00:00:00"/>
    <x v="0"/>
    <x v="1"/>
    <n v="18"/>
    <s v="AEM"/>
    <m/>
  </r>
  <r>
    <x v="18"/>
    <s v="WUXI"/>
    <s v="Main Line"/>
    <s v="CORE DG"/>
    <s v="Internal"/>
    <x v="0"/>
    <s v="DAP "/>
    <s v="SunPower Energy Solutions France SAS"/>
    <m/>
    <s v="Local WH"/>
    <m/>
    <m/>
    <s v="n/a"/>
    <x v="5"/>
    <s v="High voltage distribution box"/>
    <x v="5"/>
    <n v="0"/>
    <x v="16"/>
    <m/>
    <m/>
    <n v="0.1657142857142857"/>
    <s v="CT03"/>
    <s v="INTRANSIT"/>
    <s v="COMPLETED"/>
    <m/>
    <d v="2026-02-03T00:00:00"/>
    <n v="6"/>
    <x v="4"/>
    <m/>
    <s v="SHANGHAI"/>
    <s v="Shanghai"/>
    <x v="0"/>
    <x v="2"/>
    <d v="2026-02-12T00:00:00"/>
    <d v="2026-02-10T00:00:00"/>
    <d v="2026-03-30T00:00:00"/>
    <d v="2026-04-21T00:00:00"/>
    <x v="2"/>
    <s v="DAP "/>
    <s v="EVER GRADE 0738-027W"/>
    <s v="COSCO"/>
    <s v="TPVB20260122001"/>
    <s v="COSU9505917900"/>
    <s v="COSU9505917900"/>
    <n v="49"/>
    <m/>
    <d v="2026-04-20T00:00:00"/>
    <x v="0"/>
    <d v="2026-04-30T00:00:00"/>
    <n v="8"/>
    <d v="2026-04-28T00:00:00"/>
    <x v="0"/>
    <x v="1"/>
    <n v="18"/>
    <s v="AEM"/>
    <m/>
  </r>
  <r>
    <x v="19"/>
    <s v="WUXI"/>
    <s v="25DEC003"/>
    <s v="CORE DG"/>
    <s v="Internal"/>
    <x v="0"/>
    <s v="DAP "/>
    <s v="SunPower Energy Solutions France SAS"/>
    <m/>
    <s v="Local WH"/>
    <m/>
    <m/>
    <s v="n/a"/>
    <x v="2"/>
    <s v="Hybrid Inverter"/>
    <x v="2"/>
    <n v="6000"/>
    <x v="2"/>
    <m/>
    <m/>
    <n v="1"/>
    <s v="CT04"/>
    <s v="INTRANSIT"/>
    <s v="COMPLETED"/>
    <m/>
    <d v="2026-02-03T00:00:00"/>
    <n v="6"/>
    <x v="5"/>
    <m/>
    <s v="SHANGHAI"/>
    <s v="Shanghai"/>
    <x v="0"/>
    <x v="2"/>
    <d v="2026-02-12T00:00:00"/>
    <d v="2026-02-10T00:00:00"/>
    <d v="2026-03-30T00:00:00"/>
    <d v="2026-04-21T00:00:00"/>
    <x v="2"/>
    <s v="DAP "/>
    <s v="EVER GRADE 0738-027W"/>
    <s v="COSCO"/>
    <s v="TPVB20260122001"/>
    <s v="COSU9505917900"/>
    <s v="COSU9505917900"/>
    <n v="49"/>
    <m/>
    <d v="2026-04-20T00:00:00"/>
    <x v="0"/>
    <d v="2026-04-30T00:00:00"/>
    <n v="8"/>
    <d v="2026-04-28T00:00:00"/>
    <x v="0"/>
    <x v="1"/>
    <n v="18"/>
    <s v="AEM"/>
    <m/>
  </r>
  <r>
    <x v="20"/>
    <s v="WUXI"/>
    <s v="25DEC004"/>
    <s v="CORE DG"/>
    <s v="Internal"/>
    <x v="0"/>
    <s v="DAP "/>
    <s v="SunPower Energy Solutions France SAS"/>
    <m/>
    <s v="Local WH+After sales"/>
    <m/>
    <m/>
    <s v="n/a"/>
    <x v="5"/>
    <s v="High voltage distribution box"/>
    <x v="5"/>
    <n v="0"/>
    <x v="17"/>
    <m/>
    <m/>
    <n v="0.96571428571428575"/>
    <s v="CT05"/>
    <s v="INTRANSIT"/>
    <s v="COMPLETED"/>
    <m/>
    <d v="2026-02-03T00:00:00"/>
    <n v="6"/>
    <x v="6"/>
    <m/>
    <s v="SHANGHAI"/>
    <s v="Shanghai"/>
    <x v="0"/>
    <x v="2"/>
    <d v="2026-02-12T00:00:00"/>
    <d v="2026-02-10T00:00:00"/>
    <d v="2026-03-30T00:00:00"/>
    <d v="2026-04-21T00:00:00"/>
    <x v="2"/>
    <s v="DAP "/>
    <s v="EVER GRADE 0738-027W"/>
    <s v="COSCO"/>
    <s v="TPVB20260122001"/>
    <s v="COSU9505917900"/>
    <s v="COSU9505917900"/>
    <n v="49"/>
    <m/>
    <d v="2026-04-20T00:00:00"/>
    <x v="0"/>
    <d v="2026-04-30T00:00:00"/>
    <n v="8"/>
    <d v="2026-04-28T00:00:00"/>
    <x v="0"/>
    <x v="1"/>
    <n v="18"/>
    <s v="AEM"/>
    <m/>
  </r>
  <r>
    <x v="21"/>
    <s v="WUXI"/>
    <s v="25DEC004"/>
    <s v="CORE DG"/>
    <s v="Internal"/>
    <x v="0"/>
    <s v="DAP "/>
    <s v="SunPower Energy Solutions France SAS"/>
    <m/>
    <s v="Local WH"/>
    <m/>
    <m/>
    <s v="n/a"/>
    <x v="5"/>
    <s v="High voltage distribution box"/>
    <x v="5"/>
    <n v="0"/>
    <x v="11"/>
    <m/>
    <m/>
    <n v="3.4285714285714287E-2"/>
    <s v="CT05"/>
    <s v="INTRANSIT"/>
    <s v="COMPLETED"/>
    <m/>
    <d v="2026-02-03T00:00:00"/>
    <n v="6"/>
    <x v="6"/>
    <m/>
    <s v="SHANGHAI"/>
    <s v="Shanghai"/>
    <x v="0"/>
    <x v="2"/>
    <d v="2026-02-12T00:00:00"/>
    <d v="2026-02-10T00:00:00"/>
    <d v="2026-03-30T00:00:00"/>
    <d v="2026-04-21T00:00:00"/>
    <x v="2"/>
    <s v="DAP "/>
    <s v="EVER GRADE 0738-027W"/>
    <s v="COSCO"/>
    <s v="TPVB20260122001"/>
    <s v="COSU9505917900"/>
    <s v="COSU9505917900"/>
    <n v="49"/>
    <m/>
    <d v="2026-04-20T00:00:00"/>
    <x v="0"/>
    <d v="2026-04-30T00:00:00"/>
    <n v="8"/>
    <d v="2026-04-28T00:00:00"/>
    <x v="0"/>
    <x v="1"/>
    <n v="18"/>
    <s v="AEM"/>
    <m/>
  </r>
  <r>
    <x v="22"/>
    <s v="WUXI"/>
    <s v="Main Line"/>
    <s v="n/a TCL HK direct sale"/>
    <s v="Offshore"/>
    <x v="0"/>
    <s v="n/a"/>
    <s v="SAS Gerasol"/>
    <m/>
    <s v="Gerasol La Réunion"/>
    <m/>
    <m/>
    <s v="Yes"/>
    <x v="3"/>
    <s v="Hybrid Inverter"/>
    <x v="3"/>
    <n v="8000"/>
    <x v="18"/>
    <m/>
    <m/>
    <n v="0.32692307692307693"/>
    <s v="CT01-20GP"/>
    <s v="INTRANSIT"/>
    <s v="COMPLETED"/>
    <m/>
    <d v="2026-01-28T00:00:00"/>
    <n v="5"/>
    <x v="7"/>
    <m/>
    <s v="SHANGHAI"/>
    <s v="Shanghai"/>
    <x v="1"/>
    <x v="1"/>
    <d v="2026-02-04T00:00:00"/>
    <d v="2026-02-04T00:00:00"/>
    <d v="2026-03-04T00:00:00"/>
    <d v="2026-03-07T00:00:00"/>
    <x v="3"/>
    <s v="CIF"/>
    <s v="BRISBANE MAERSK/606W"/>
    <s v="OTHER"/>
    <s v="TPVO2025101718"/>
    <n v="264931704"/>
    <n v="264931704"/>
    <n v="29"/>
    <m/>
    <d v="2026-03-03T00:00:00"/>
    <x v="1"/>
    <s v=""/>
    <n v="0"/>
    <d v="2026-03-03T00:00:00"/>
    <x v="0"/>
    <x v="2"/>
    <n v="10"/>
    <s v="n/a"/>
    <m/>
  </r>
  <r>
    <x v="23"/>
    <s v="WUXI"/>
    <s v="Main Line"/>
    <s v="n/a TCL HK direct sale"/>
    <s v="Offshore"/>
    <x v="0"/>
    <s v="n/a"/>
    <s v="SAS Gerasol"/>
    <m/>
    <s v="Gerasol La Réunion"/>
    <m/>
    <m/>
    <s v="Yes"/>
    <x v="8"/>
    <s v="High voltage distribution box"/>
    <x v="5"/>
    <n v="0"/>
    <x v="18"/>
    <m/>
    <m/>
    <n v="0.2"/>
    <s v="CT01-20GP"/>
    <s v="INTRANSIT"/>
    <s v="COMPLETED"/>
    <m/>
    <d v="2026-01-28T00:00:00"/>
    <n v="5"/>
    <x v="7"/>
    <m/>
    <s v="SHANGHAI"/>
    <s v="Shanghai"/>
    <x v="1"/>
    <x v="1"/>
    <d v="2026-02-04T00:00:00"/>
    <d v="2026-02-04T00:00:00"/>
    <d v="2026-03-04T00:00:00"/>
    <d v="2026-03-07T00:00:00"/>
    <x v="3"/>
    <s v="CIF"/>
    <s v="BRISBANE MAERSK/606W"/>
    <s v="OTHER"/>
    <s v="TPVO2025101718"/>
    <n v="264931704"/>
    <n v="264931704"/>
    <n v="29"/>
    <m/>
    <d v="2026-03-03T00:00:00"/>
    <x v="1"/>
    <s v=""/>
    <n v="0"/>
    <d v="2026-03-03T00:00:00"/>
    <x v="0"/>
    <x v="2"/>
    <n v="10"/>
    <s v="n/a"/>
    <m/>
  </r>
  <r>
    <x v="24"/>
    <s v="WUXI"/>
    <s v="Main Line"/>
    <s v="n/a TCL HK direct sale"/>
    <s v="Offshore"/>
    <x v="0"/>
    <s v="n/a"/>
    <s v="SAS Gerasol"/>
    <m/>
    <s v="Gerasol La Réunion"/>
    <m/>
    <m/>
    <s v="Yes"/>
    <x v="9"/>
    <s v="Rechargeable Li-ion Battery"/>
    <x v="6"/>
    <n v="5000"/>
    <x v="18"/>
    <m/>
    <m/>
    <n v="0.25757575757575757"/>
    <s v="CT01-20GP"/>
    <s v="INTRANSIT"/>
    <s v="COMPLETED"/>
    <m/>
    <d v="2026-01-28T00:00:00"/>
    <n v="5"/>
    <x v="7"/>
    <m/>
    <s v="SHANGHAI"/>
    <s v="Shanghai"/>
    <x v="1"/>
    <x v="1"/>
    <d v="2026-02-04T00:00:00"/>
    <d v="2026-02-04T00:00:00"/>
    <d v="2026-03-04T00:00:00"/>
    <d v="2026-03-07T00:00:00"/>
    <x v="3"/>
    <s v="CIF"/>
    <s v="BRISBANE MAERSK/606W"/>
    <s v="OTHER"/>
    <s v="TPVO2025101718"/>
    <n v="264931704"/>
    <n v="264931704"/>
    <n v="29"/>
    <m/>
    <d v="2026-03-03T00:00:00"/>
    <x v="1"/>
    <s v=""/>
    <n v="0"/>
    <d v="2026-03-03T00:00:00"/>
    <x v="0"/>
    <x v="2"/>
    <n v="10"/>
    <s v="n/a"/>
    <m/>
  </r>
  <r>
    <x v="25"/>
    <s v="WUXI"/>
    <s v="25DEC001"/>
    <s v="n/a TCL HK direct sale"/>
    <s v="Offshore"/>
    <x v="0"/>
    <s v="n/a"/>
    <s v="SAS Gerasol"/>
    <m/>
    <s v="Gerasol La Réunion"/>
    <m/>
    <m/>
    <s v="Yes"/>
    <x v="6"/>
    <s v="Rechargeable Li-ion Battery"/>
    <x v="6"/>
    <n v="5000"/>
    <x v="19"/>
    <m/>
    <m/>
    <n v="0.15151515151515152"/>
    <s v="CT01-20GP"/>
    <s v="INTRANSIT"/>
    <s v="COMPLETED"/>
    <m/>
    <d v="2026-01-28T00:00:00"/>
    <n v="5"/>
    <x v="7"/>
    <m/>
    <s v="SHANGHAI"/>
    <s v="Shanghai"/>
    <x v="1"/>
    <x v="1"/>
    <d v="2026-02-04T00:00:00"/>
    <d v="2026-02-04T00:00:00"/>
    <d v="2026-03-04T00:00:00"/>
    <d v="2026-03-07T00:00:00"/>
    <x v="3"/>
    <s v="CIF"/>
    <s v="BRISBANE MAERSK/606W"/>
    <s v="OTHER"/>
    <s v="TPVO2025101718"/>
    <n v="264931704"/>
    <n v="264931704"/>
    <n v="29"/>
    <m/>
    <d v="2026-03-03T00:00:00"/>
    <x v="1"/>
    <s v=""/>
    <n v="0"/>
    <d v="2026-03-03T00:00:00"/>
    <x v="0"/>
    <x v="2"/>
    <n v="10"/>
    <s v="n/a"/>
    <m/>
  </r>
  <r>
    <x v="26"/>
    <s v="WUXI"/>
    <s v="Main Line"/>
    <s v="CORE DG"/>
    <s v="Internal"/>
    <x v="0"/>
    <s v="DAP"/>
    <s v="SunPower Energy Solutions France SAS"/>
    <m/>
    <s v="Local WH - SPTN W74"/>
    <m/>
    <m/>
    <s v="n/a"/>
    <x v="6"/>
    <s v="Rechargeable Li-ion Battery"/>
    <x v="6"/>
    <n v="5000"/>
    <x v="20"/>
    <m/>
    <m/>
    <n v="0.79710144927536231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27"/>
    <s v="WUXI"/>
    <s v="25DEC001"/>
    <s v="CORE DG"/>
    <s v="Internal"/>
    <x v="0"/>
    <s v="DAP"/>
    <s v="SunPower Energy Solutions France SAS"/>
    <m/>
    <s v="Local WH - Aftersales - SPTN W74"/>
    <m/>
    <m/>
    <s v="n/a"/>
    <x v="6"/>
    <s v="Rechargeable Li-ion Battery"/>
    <x v="6"/>
    <n v="5000"/>
    <x v="1"/>
    <m/>
    <m/>
    <n v="8.6956521739130432E-2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28"/>
    <s v="WUXI"/>
    <s v="Main Line"/>
    <s v="CORE DG"/>
    <s v="Internal"/>
    <x v="0"/>
    <s v="DAP"/>
    <s v="SunPower Energy Solutions France SAS"/>
    <m/>
    <s v="Local WH - SPTN W74"/>
    <m/>
    <m/>
    <s v="n/a"/>
    <x v="10"/>
    <s v="Rechargeable Li-ion Battery"/>
    <x v="6"/>
    <n v="5000"/>
    <x v="21"/>
    <m/>
    <m/>
    <n v="2.8985507246376812E-2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29"/>
    <s v="WUXI"/>
    <s v="Main Line"/>
    <s v="CORE DG"/>
    <s v="Internal"/>
    <x v="0"/>
    <s v="DAP"/>
    <s v="SunPower Energy Solutions France SAS"/>
    <m/>
    <s v="Local WH - SPTN W74"/>
    <m/>
    <m/>
    <s v="n/a"/>
    <x v="3"/>
    <s v="Hybrid Inverter"/>
    <x v="3"/>
    <n v="8000"/>
    <x v="22"/>
    <m/>
    <m/>
    <n v="2.6785714285714284E-2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30"/>
    <s v="WUXI"/>
    <s v="Main Line"/>
    <s v="CORE DG"/>
    <s v="Internal"/>
    <x v="0"/>
    <s v="DAP"/>
    <s v="SunPower Energy Solutions France SAS"/>
    <m/>
    <s v="Local WH - SPTN W74"/>
    <m/>
    <m/>
    <s v="n/a"/>
    <x v="5"/>
    <s v="High voltage distribution box"/>
    <x v="5"/>
    <n v="0"/>
    <x v="22"/>
    <m/>
    <m/>
    <n v="1.7142857142857144E-2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31"/>
    <s v="WUXI"/>
    <s v="Main Line"/>
    <s v="CORE DG"/>
    <s v="Internal"/>
    <x v="0"/>
    <s v="DAP"/>
    <s v="SunPower Energy Solutions France SAS"/>
    <m/>
    <s v="Local WH - Aftersales - SPTN W74 - 1*BAT MC4+ connector_x000a_ 1*BAT MC4- connector_x000a_ 1*BAT MC4+ Metal terminal_x000a_ 1*BAT MC4- Metal terminal"/>
    <m/>
    <m/>
    <s v="n/a"/>
    <x v="11"/>
    <s v="3P INV BAT Connector"/>
    <x v="8"/>
    <m/>
    <x v="23"/>
    <m/>
    <m/>
    <n v="5.5555555555555558E-3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32"/>
    <s v="WUXI"/>
    <s v="Main Line"/>
    <s v="CORE DG"/>
    <s v="Internal"/>
    <x v="0"/>
    <s v="DAP"/>
    <s v="SunPower Energy Solutions France SAS"/>
    <m/>
    <s v="Local WH - Aftersales - SPTN W74 - 1*PV MC4+ connector_x000a_ 1*PV MC4- connector_x000a_ 1*PV MC4+ Metal terminal_x000a_ 1*PV MC4- Metal terminal"/>
    <m/>
    <m/>
    <s v="n/a"/>
    <x v="12"/>
    <s v="3P INV PV Connector"/>
    <x v="9"/>
    <m/>
    <x v="19"/>
    <m/>
    <m/>
    <n v="2.2222222222222222E-3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33"/>
    <s v="WUXI"/>
    <s v="Main Line"/>
    <s v="CORE DG"/>
    <s v="Internal"/>
    <x v="0"/>
    <s v="DAP"/>
    <s v="SunPower Energy Solutions France SAS"/>
    <m/>
    <s v="Local WH - Aftersales - SPTN W74 - Rj45 Connector"/>
    <m/>
    <m/>
    <s v="n/a"/>
    <x v="13"/>
    <s v="3P H-Box RJ45 Plug"/>
    <x v="10"/>
    <m/>
    <x v="5"/>
    <m/>
    <m/>
    <n v="1.1111111111111111E-3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34"/>
    <s v="WUXI"/>
    <s v="Main Line"/>
    <s v="CORE DG"/>
    <s v="Internal"/>
    <x v="0"/>
    <s v="DAP"/>
    <s v="SunPower Energy Solutions France SAS"/>
    <m/>
    <s v="Local WH - Aftersales - SPTN W74 - Energy meter, ACREL ACR10RH-D16T,3P CT meter matches up with SP-SRTH-xkW-G1, 5 years warranty, three phase meter, IEC, 3*CTs, 1*RS485, 3*Analog inputs, indoor IP 20"/>
    <m/>
    <m/>
    <s v="n/a"/>
    <x v="1"/>
    <s v="3P CT meter G1"/>
    <x v="1"/>
    <m/>
    <x v="5"/>
    <m/>
    <m/>
    <n v="1.1111111111111111E-3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35"/>
    <s v="WUXI"/>
    <s v="Main Line"/>
    <s v="CORE DG"/>
    <s v="Internal"/>
    <x v="0"/>
    <s v="DAP"/>
    <s v="SunPower Energy Solutions France SAS"/>
    <m/>
    <s v="Local WH - Aftersales - SPTN W74 - COM Accessories"/>
    <m/>
    <m/>
    <s v="n/a"/>
    <x v="14"/>
    <s v="3P INV COM Accessories"/>
    <x v="11"/>
    <m/>
    <x v="5"/>
    <m/>
    <m/>
    <n v="1.1111111111111111E-3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36"/>
    <s v="WUXI"/>
    <s v="Main Line"/>
    <s v="CORE DG"/>
    <s v="Internal"/>
    <x v="0"/>
    <s v="DAP"/>
    <s v="SunPower Energy Solutions France SAS"/>
    <m/>
    <s v="Local WH - Aftersales - SPTN W74 - Backplane"/>
    <m/>
    <m/>
    <s v="n/a"/>
    <x v="15"/>
    <s v="3P INV Sheet Metal Parts"/>
    <x v="12"/>
    <m/>
    <x v="5"/>
    <m/>
    <m/>
    <n v="1.1111111111111111E-3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37"/>
    <s v="WUXI"/>
    <s v="Main Line"/>
    <s v="CORE DG"/>
    <s v="Internal"/>
    <x v="0"/>
    <s v="DAP"/>
    <s v="SunPower Energy Solutions France SAS"/>
    <m/>
    <s v="Local WH - Aftersales - SPTN W74 - Φ10*60 Expansion Bolt"/>
    <m/>
    <m/>
    <s v="n/a"/>
    <x v="16"/>
    <s v="3P INV 10*60 Expansion Bolt"/>
    <x v="13"/>
    <m/>
    <x v="23"/>
    <m/>
    <m/>
    <n v="5.5555555555555558E-3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38"/>
    <s v="WUXI"/>
    <s v="Main Line"/>
    <s v="CORE DG"/>
    <s v="Internal"/>
    <x v="0"/>
    <s v="DAP"/>
    <s v="SunPower Energy Solutions France SAS"/>
    <m/>
    <s v="Local WH - Aftersales - SPTN W74 - M4*14 Screws"/>
    <m/>
    <m/>
    <s v="n/a"/>
    <x v="17"/>
    <s v="3P INV M4x14 screw"/>
    <x v="14"/>
    <m/>
    <x v="19"/>
    <m/>
    <m/>
    <n v="2.2222222222222222E-3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39"/>
    <s v="WUXI"/>
    <s v="Main Line"/>
    <s v="CORE DG"/>
    <s v="Internal"/>
    <x v="0"/>
    <s v="DAP"/>
    <s v="SunPower Energy Solutions France SAS"/>
    <m/>
    <s v="Local WH - Aftersales - SPTN W74 - GRID Accessories"/>
    <m/>
    <m/>
    <s v="n/a"/>
    <x v="18"/>
    <s v="3P INV GRID Accessories"/>
    <x v="15"/>
    <m/>
    <x v="5"/>
    <m/>
    <m/>
    <n v="1.1111111111111111E-3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40"/>
    <s v="WUXI"/>
    <s v="Main Line"/>
    <s v="CORE DG"/>
    <s v="Internal"/>
    <x v="0"/>
    <s v="DAP"/>
    <s v="SunPower Energy Solutions France SAS"/>
    <m/>
    <s v="Local WH - Aftersales - SPTN W74 - EPS Accessories"/>
    <m/>
    <m/>
    <s v="n/a"/>
    <x v="19"/>
    <s v="3P INV EPS Accessories"/>
    <x v="16"/>
    <m/>
    <x v="5"/>
    <m/>
    <m/>
    <n v="1.1111111111111111E-3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41"/>
    <s v="WUXI"/>
    <s v="Main Line"/>
    <s v="CORE DG"/>
    <s v="Internal"/>
    <x v="0"/>
    <s v="DAP"/>
    <s v="SunPower Energy Solutions France SAS"/>
    <m/>
    <s v="Local WH - Aftersales - SPTN W74 - 1*PV MC4+ connector_x000a_ 1*PV MC4- connector_x000a_ 1*PV MC4+ Metal terminal_x000a_ 1*PV MC4- Metal terminal"/>
    <m/>
    <m/>
    <s v="n/a"/>
    <x v="20"/>
    <s v="1P INV PV Connector"/>
    <x v="17"/>
    <m/>
    <x v="24"/>
    <m/>
    <m/>
    <n v="4.4444444444444444E-3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42"/>
    <s v="WUXI"/>
    <s v="Main Line"/>
    <s v="CORE DG"/>
    <s v="Internal"/>
    <x v="0"/>
    <s v="DAP"/>
    <s v="SunPower Energy Solutions France SAS"/>
    <m/>
    <s v="Local WH - Aftersales - SPTN W74 - Rj45 Connector"/>
    <m/>
    <m/>
    <s v="n/a"/>
    <x v="21"/>
    <s v="1P INV RJ45 Plug"/>
    <x v="18"/>
    <m/>
    <x v="5"/>
    <m/>
    <m/>
    <n v="1.1111111111111111E-3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43"/>
    <s v="WUXI"/>
    <s v="Main Line"/>
    <s v="CORE DG"/>
    <s v="Internal"/>
    <x v="0"/>
    <s v="DAP"/>
    <s v="SunPower Energy Solutions France SAS"/>
    <m/>
    <s v="Local WH - Aftersales - SPTN W74 - Energy meter, ACREL ACR10R-D16TE,1P CT meter matches up with SP-ARSH-xkW-G1, 5 years warranty, single phase meter, IEC, 1*CT, 1*RS485, 1*Analog input, indoor IP 20"/>
    <m/>
    <m/>
    <s v="n/a"/>
    <x v="0"/>
    <s v="1P CT meter G1"/>
    <x v="0"/>
    <m/>
    <x v="5"/>
    <m/>
    <m/>
    <n v="1.1111111111111111E-3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44"/>
    <s v="WUXI"/>
    <s v="Main Line"/>
    <s v="CORE DG"/>
    <s v="Internal"/>
    <x v="0"/>
    <s v="DAP"/>
    <s v="SunPower Energy Solutions France SAS"/>
    <m/>
    <s v="Local WH - Aftersales - SPTN W74 - Wall Mounting Plate"/>
    <m/>
    <m/>
    <s v="n/a"/>
    <x v="22"/>
    <s v="1P INV Wall Mounting Plate"/>
    <x v="19"/>
    <m/>
    <x v="5"/>
    <m/>
    <m/>
    <n v="1.1111111111111111E-3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45"/>
    <s v="WUXI"/>
    <s v="Main Line"/>
    <s v="CORE DG"/>
    <s v="Internal"/>
    <x v="0"/>
    <s v="DAP"/>
    <s v="SunPower Energy Solutions France SAS"/>
    <m/>
    <s v="Local WH - Aftersales - SPTN W74 -  Φ10*60Expansion Bolt"/>
    <m/>
    <m/>
    <s v="n/a"/>
    <x v="23"/>
    <s v="1P INV 10*60 Expansion Bolt"/>
    <x v="20"/>
    <m/>
    <x v="24"/>
    <m/>
    <m/>
    <n v="4.4444444444444444E-3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46"/>
    <s v="WUXI"/>
    <s v="Main Line"/>
    <s v="CORE DG"/>
    <s v="Internal"/>
    <x v="0"/>
    <s v="DAP"/>
    <s v="SunPower Energy Solutions France SAS"/>
    <m/>
    <s v="Local WH - Aftersales - SPTN W74 - Sheet Metal Bracket"/>
    <m/>
    <m/>
    <s v="n/a"/>
    <x v="24"/>
    <s v="1P INV Sheet Metal Bracket"/>
    <x v="21"/>
    <m/>
    <x v="5"/>
    <m/>
    <m/>
    <n v="1.1111111111111111E-3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47"/>
    <s v="WUXI"/>
    <s v="Main Line"/>
    <s v="CORE DG"/>
    <s v="Internal"/>
    <x v="0"/>
    <s v="DAP"/>
    <s v="SunPower Energy Solutions France SAS"/>
    <m/>
    <s v="Local WH - Aftersales - SPTN W74 - M4*10 Nut"/>
    <m/>
    <m/>
    <s v="n/a"/>
    <x v="25"/>
    <s v="1P INV M4x10 Nut"/>
    <x v="22"/>
    <m/>
    <x v="24"/>
    <m/>
    <m/>
    <n v="4.4444444444444444E-3"/>
    <s v="CT01"/>
    <s v="INTRANSIT"/>
    <s v="COMPLETED"/>
    <m/>
    <d v="2026-02-10T00:00:00"/>
    <n v="7"/>
    <x v="8"/>
    <m/>
    <s v="SHANGHAI"/>
    <s v="Shanghai"/>
    <x v="0"/>
    <x v="3"/>
    <d v="2026-02-18T00:00:00"/>
    <d v="2026-02-20T00:00:00"/>
    <d v="2026-04-02T00:00:00"/>
    <d v="2026-04-02T00:00:00"/>
    <x v="1"/>
    <s v="DAP "/>
    <s v="ROTTERDAM EXPRESS/607W"/>
    <s v="OTHER"/>
    <s v="TPVB20260205001"/>
    <n v="266196843"/>
    <n v="266196843"/>
    <n v="44"/>
    <m/>
    <d v="2026-04-04T00:00:00"/>
    <x v="0"/>
    <d v="2026-04-16T00:00:00"/>
    <n v="8"/>
    <d v="2026-04-12T00:00:00"/>
    <x v="0"/>
    <x v="1"/>
    <n v="15"/>
    <s v="AEM"/>
    <m/>
  </r>
  <r>
    <x v="48"/>
    <s v="Huizhou"/>
    <s v="Main Line"/>
    <s v="CORE DG"/>
    <s v="Internal"/>
    <x v="1"/>
    <s v="DAP"/>
    <s v="SunPower Energy Solutions France SAS"/>
    <m/>
    <s v="Local WH - SPTN W72"/>
    <m/>
    <m/>
    <s v="Yes"/>
    <x v="26"/>
    <s v="C&amp;I ESS cabinet"/>
    <x v="23"/>
    <m/>
    <x v="25"/>
    <m/>
    <m/>
    <n v="1"/>
    <s v="CT01"/>
    <s v="INTRANSIT"/>
    <s v="COMPLETED"/>
    <m/>
    <d v="2026-03-04T00:00:00"/>
    <n v="10"/>
    <x v="9"/>
    <m/>
    <s v="YANTIAN"/>
    <s v="Shenzhen"/>
    <x v="2"/>
    <x v="4"/>
    <d v="2026-03-12T00:00:00"/>
    <d v="2026-03-12T00:00:00"/>
    <d v="2026-04-13T00:00:00"/>
    <d v="2026-04-14T00:00:00"/>
    <x v="4"/>
    <s v="DAP "/>
    <s v="HAMBURG EXPRESS / 610W"/>
    <s v="OTHER"/>
    <s v="TPVB20260210001"/>
    <n v="264859787"/>
    <n v="264859787"/>
    <n v="35"/>
    <m/>
    <d v="2026-04-15T00:00:00"/>
    <x v="0"/>
    <d v="2026-04-20T00:00:00"/>
    <n v="14"/>
    <d v="2026-04-29T00:00:00"/>
    <x v="0"/>
    <x v="1"/>
    <n v="18"/>
    <s v="AEU"/>
    <m/>
  </r>
  <r>
    <x v="49"/>
    <s v="WUXI"/>
    <s v="26APR005"/>
    <s v="CORE DG"/>
    <s v="Internal"/>
    <x v="2"/>
    <s v="CIF"/>
    <s v="SunPower Energy Solutions France SAS"/>
    <m/>
    <s v="Local WH - SPTN W72"/>
    <m/>
    <m/>
    <s v="n/a"/>
    <x v="0"/>
    <s v="1P meter"/>
    <x v="0"/>
    <m/>
    <x v="15"/>
    <m/>
    <m/>
    <n v="7.0000000000000007E-2"/>
    <s v="N/A"/>
    <s v="Airfreight"/>
    <s v="COMPLETED"/>
    <m/>
    <d v="2026-04-21T00:00:00"/>
    <n v="17"/>
    <x v="10"/>
    <m/>
    <s v="SHANGHAI"/>
    <s v="Shanghai"/>
    <x v="3"/>
    <x v="5"/>
    <d v="2026-04-23T00:00:00"/>
    <d v="2026-04-23T00:00:00"/>
    <d v="2026-04-25T00:00:00"/>
    <d v="2026-04-26T00:00:00"/>
    <x v="5"/>
    <s v="DAP"/>
    <m/>
    <s v="OTHER"/>
    <s v="TPVB20260421001"/>
    <s v="DHL#2909011206"/>
    <m/>
    <n v="3"/>
    <m/>
    <d v="2026-04-26T00:00:00"/>
    <x v="0"/>
    <d v="2026-05-08T00:00:00"/>
    <n v="14"/>
    <d v="2026-05-10T00:00:00"/>
    <x v="0"/>
    <x v="3"/>
    <n v="19"/>
    <e v="#N/A"/>
    <m/>
  </r>
  <r>
    <x v="50"/>
    <s v="Huizhou"/>
    <s v="Main Line"/>
    <s v="CORE DG"/>
    <s v="Internal"/>
    <x v="1"/>
    <s v="CIF"/>
    <s v="SunPower Energy Solutions France SAS"/>
    <m/>
    <s v="Local WH - SPTN W72"/>
    <m/>
    <m/>
    <s v="n/a"/>
    <x v="26"/>
    <s v="C&amp;I ESS cabinet"/>
    <x v="23"/>
    <m/>
    <x v="25"/>
    <m/>
    <m/>
    <n v="1"/>
    <s v="CT01"/>
    <s v="w18 PICK-UP"/>
    <s v="COMPLETED"/>
    <m/>
    <d v="2026-04-30T00:00:00"/>
    <n v="18"/>
    <x v="11"/>
    <m/>
    <s v="YANTIAN"/>
    <s v="Shenzhen"/>
    <x v="2"/>
    <x v="6"/>
    <d v="2026-05-06T00:00:00"/>
    <d v="2026-05-06T00:00:00"/>
    <d v="2026-06-08T00:00:00"/>
    <d v="2026-06-09T00:00:00"/>
    <x v="6"/>
    <s v="CIF"/>
    <s v="TIHAMA / 618W"/>
    <s v="OTHER"/>
    <s v="TPVB20260421002"/>
    <s v="SYNSHA26SE050757"/>
    <n v="293959234"/>
    <n v="35"/>
    <m/>
    <d v="2026-06-08T00:00:00"/>
    <x v="0"/>
    <d v="2026-06-23T00:00:00"/>
    <n v="14"/>
    <d v="2026-06-22T00:00:00"/>
    <x v="0"/>
    <x v="4"/>
    <n v="26"/>
    <s v="AEU"/>
    <m/>
  </r>
  <r>
    <x v="51"/>
    <s v="Huizhou"/>
    <s v="Main Line"/>
    <s v="CORE DG"/>
    <s v="Internal"/>
    <x v="1"/>
    <s v="CIF"/>
    <s v="SunPower Energy Solutions France SAS"/>
    <m/>
    <s v="Local WH - SPTN W72"/>
    <m/>
    <m/>
    <s v="n/a"/>
    <x v="26"/>
    <s v="C&amp;I ESS cabinet"/>
    <x v="23"/>
    <m/>
    <x v="25"/>
    <m/>
    <m/>
    <n v="1"/>
    <s v="CT01"/>
    <s v="w19 PICK-UP"/>
    <s v="COMPLETED"/>
    <m/>
    <d v="2026-04-30T00:00:00"/>
    <n v="18"/>
    <x v="12"/>
    <m/>
    <s v="YANTIAN"/>
    <s v="Shenzhen"/>
    <x v="2"/>
    <x v="7"/>
    <d v="2026-05-10T00:00:00"/>
    <d v="2026-05-10T00:00:00"/>
    <d v="2026-06-04T00:00:00"/>
    <d v="2026-06-04T00:00:00"/>
    <x v="7"/>
    <s v="CIF"/>
    <s v="CMA CGM YUKON / 0R108W1MA"/>
    <s v="OTHER"/>
    <s v="TPVB20260424001"/>
    <s v="SHZ8076557"/>
    <s v="SHZ8076557"/>
    <n v="26"/>
    <m/>
    <d v="2026-06-05T00:00:00"/>
    <x v="1"/>
    <s v=""/>
    <n v="14"/>
    <d v="2026-06-19T00:00:00"/>
    <x v="0"/>
    <x v="4"/>
    <n v="25"/>
    <s v="AEU"/>
    <m/>
  </r>
  <r>
    <x v="52"/>
    <s v="Xuancheng"/>
    <s v="Main Line"/>
    <m/>
    <s v="n/a"/>
    <x v="0"/>
    <m/>
    <m/>
    <m/>
    <s v="Non-EU Goodwe"/>
    <m/>
    <m/>
    <m/>
    <x v="27"/>
    <s v="Hybrid Inverter"/>
    <x v="24"/>
    <m/>
    <x v="26"/>
    <m/>
    <m/>
    <n v="0.484375"/>
    <s v="CT01"/>
    <s v="n/a"/>
    <s v="COMPLETED"/>
    <m/>
    <d v="2026-06-01T00:00:00"/>
    <n v="23"/>
    <x v="13"/>
    <m/>
    <s v="SHANGHAI"/>
    <s v="Shanghai"/>
    <x v="4"/>
    <x v="8"/>
    <d v="2026-06-13T00:00:00"/>
    <d v="2026-06-12T00:00:00"/>
    <d v="2026-06-13T00:00:00"/>
    <d v="2026-06-21T00:00:00"/>
    <x v="8"/>
    <s v="CIF"/>
    <s v="MAERSK BERMUDA/622E"/>
    <s v="OTHER"/>
    <s v="TPVO2026051501"/>
    <n v="802143373"/>
    <n v="802143373"/>
    <n v="8"/>
    <m/>
    <d v="2026-06-22T00:00:00"/>
    <x v="1"/>
    <s v=""/>
    <n v="0"/>
    <d v="2026-06-22T00:00:00"/>
    <x v="0"/>
    <x v="4"/>
    <n v="26"/>
    <s v="n/a"/>
    <m/>
  </r>
  <r>
    <x v="53"/>
    <s v="Xuancheng"/>
    <s v="26FEB002"/>
    <m/>
    <s v="n/a"/>
    <x v="0"/>
    <m/>
    <m/>
    <m/>
    <s v="Non-EU Goodwe"/>
    <m/>
    <m/>
    <m/>
    <x v="27"/>
    <s v="Hybrid Inverter"/>
    <x v="24"/>
    <m/>
    <x v="14"/>
    <m/>
    <m/>
    <n v="1.5625E-2"/>
    <s v="CT01"/>
    <s v="n/a"/>
    <s v="COMPLETED"/>
    <m/>
    <d v="2026-06-01T00:00:00"/>
    <n v="23"/>
    <x v="13"/>
    <m/>
    <s v="SHANGHAI"/>
    <s v="Shanghai"/>
    <x v="4"/>
    <x v="8"/>
    <d v="2026-06-13T00:00:00"/>
    <d v="2026-06-12T00:00:00"/>
    <d v="2026-06-13T00:00:00"/>
    <d v="2026-06-21T00:00:00"/>
    <x v="8"/>
    <s v="CIF"/>
    <s v="MAERSK BERMUDA/622E"/>
    <s v="OTHER"/>
    <s v="TPVO2026051501"/>
    <n v="802143373"/>
    <n v="802143373"/>
    <n v="8"/>
    <m/>
    <d v="2026-06-22T00:00:00"/>
    <x v="1"/>
    <s v=""/>
    <n v="0"/>
    <d v="2026-06-22T00:00:00"/>
    <x v="0"/>
    <x v="4"/>
    <n v="26"/>
    <s v="n/a"/>
    <m/>
  </r>
  <r>
    <x v="54"/>
    <s v="Xuancheng"/>
    <s v="Main Line"/>
    <m/>
    <s v="n/a"/>
    <x v="0"/>
    <m/>
    <m/>
    <m/>
    <s v="Non-EU Goodwe"/>
    <m/>
    <m/>
    <m/>
    <x v="28"/>
    <s v="Rechargeable Li-ion Battery"/>
    <x v="25"/>
    <m/>
    <x v="26"/>
    <m/>
    <m/>
    <n v="0.484375"/>
    <s v="CT01"/>
    <s v="n/a"/>
    <s v="COMPLETED"/>
    <m/>
    <d v="2026-06-01T00:00:00"/>
    <n v="23"/>
    <x v="13"/>
    <m/>
    <s v="SHANGHAI"/>
    <s v="Shanghai"/>
    <x v="4"/>
    <x v="8"/>
    <d v="2026-06-13T00:00:00"/>
    <d v="2026-06-12T00:00:00"/>
    <d v="2026-06-13T00:00:00"/>
    <d v="2026-06-21T00:00:00"/>
    <x v="8"/>
    <s v="CIF"/>
    <s v="MAERSK BERMUDA/622E"/>
    <s v="OTHER"/>
    <s v="TPVO2026051501"/>
    <n v="802143373"/>
    <n v="802143373"/>
    <n v="8"/>
    <m/>
    <d v="2026-06-22T00:00:00"/>
    <x v="1"/>
    <s v=""/>
    <n v="0"/>
    <d v="2026-06-22T00:00:00"/>
    <x v="0"/>
    <x v="4"/>
    <n v="26"/>
    <s v="n/a"/>
    <m/>
  </r>
  <r>
    <x v="55"/>
    <s v="Xuancheng"/>
    <s v="26FEB003"/>
    <m/>
    <s v="n/a"/>
    <x v="0"/>
    <m/>
    <m/>
    <m/>
    <s v="Non-EU Goodwe"/>
    <m/>
    <m/>
    <m/>
    <x v="28"/>
    <s v="Rechargeable Li-ion Battery"/>
    <x v="25"/>
    <m/>
    <x v="14"/>
    <m/>
    <m/>
    <n v="1.5625E-2"/>
    <s v="CT01"/>
    <s v="n/a"/>
    <s v="COMPLETED"/>
    <m/>
    <d v="2026-06-01T00:00:00"/>
    <n v="23"/>
    <x v="13"/>
    <m/>
    <s v="SHANGHAI"/>
    <s v="Shanghai"/>
    <x v="4"/>
    <x v="8"/>
    <d v="2026-06-13T00:00:00"/>
    <d v="2026-06-12T00:00:00"/>
    <d v="2026-06-13T00:00:00"/>
    <d v="2026-06-21T00:00:00"/>
    <x v="8"/>
    <s v="CIF"/>
    <s v="MAERSK BERMUDA/622E"/>
    <s v="OTHER"/>
    <s v="TPVO2026051501"/>
    <n v="802143373"/>
    <n v="802143373"/>
    <n v="8"/>
    <m/>
    <d v="2026-06-22T00:00:00"/>
    <x v="1"/>
    <s v=""/>
    <n v="0"/>
    <d v="2026-06-22T00:00:00"/>
    <x v="0"/>
    <x v="4"/>
    <n v="26"/>
    <s v="n/a"/>
    <m/>
  </r>
  <r>
    <x v="56"/>
    <s v="Huizhou"/>
    <s v="Main Line"/>
    <m/>
    <s v="n/a"/>
    <x v="0"/>
    <s v="CIF"/>
    <s v="TCL Energy Solution Co.,Ltd"/>
    <m/>
    <s v="Non-EU"/>
    <m/>
    <m/>
    <m/>
    <x v="29"/>
    <s v="C&amp;I ESS cabinet"/>
    <x v="23"/>
    <m/>
    <x v="21"/>
    <m/>
    <m/>
    <n v="1"/>
    <s v="CT01-20GP"/>
    <s v="w13 PICK-UP"/>
    <s v="COMPLETED"/>
    <m/>
    <d v="2026-03-27T00:00:00"/>
    <n v="13"/>
    <x v="10"/>
    <m/>
    <s v="SHEKOU"/>
    <s v="Shenzhen"/>
    <x v="4"/>
    <x v="9"/>
    <d v="2026-04-07T00:00:00"/>
    <d v="2026-04-09T00:00:00"/>
    <d v="2026-04-05T00:00:00"/>
    <d v="2026-04-11T00:00:00"/>
    <x v="4"/>
    <s v="CIF"/>
    <s v="CNC SERVAL / 0XWB6S1NC"/>
    <s v="OTHER"/>
    <s v="TPVO2026033001"/>
    <s v="CMZ1843548"/>
    <s v="CMZ1843548"/>
    <n v="6"/>
    <m/>
    <d v="2026-04-15T00:00:00"/>
    <x v="0"/>
    <d v="2026-05-08T00:00:00"/>
    <n v="14"/>
    <d v="2026-04-29T00:00:00"/>
    <x v="0"/>
    <x v="1"/>
    <n v="18"/>
    <s v="n/a"/>
    <m/>
  </r>
  <r>
    <x v="57"/>
    <s v="WUXI"/>
    <s v="26APR001"/>
    <s v="CORE DG"/>
    <s v="Internal"/>
    <x v="1"/>
    <s v="CIF"/>
    <s v="SunPower Energy Solutions France SAS"/>
    <m/>
    <s v="Local WH - SPTN W75"/>
    <m/>
    <m/>
    <s v="n/a"/>
    <x v="2"/>
    <s v="Hybrid Inverter"/>
    <x v="2"/>
    <m/>
    <x v="27"/>
    <m/>
    <m/>
    <n v="0.5089285714285714"/>
    <s v="CT01"/>
    <s v="w19 PICK-UP"/>
    <s v="COMPLETED"/>
    <m/>
    <d v="2026-05-10T00:00:00"/>
    <n v="20"/>
    <x v="14"/>
    <m/>
    <s v="SHANGHAI"/>
    <s v="Shanghai"/>
    <x v="2"/>
    <x v="10"/>
    <d v="2026-05-16T00:00:00"/>
    <d v="2026-05-16T00:00:00"/>
    <d v="2026-06-27T00:00:00"/>
    <d v="2026-06-29T00:00:00"/>
    <x v="9"/>
    <s v="CIF"/>
    <s v="ONE TRADITION / 0029W"/>
    <s v="OTHER"/>
    <s v="TPVB20260429002"/>
    <s v="SYNSHA26SE051064"/>
    <s v="HDMUSHAZPSL96400"/>
    <n v="43"/>
    <m/>
    <d v="2026-06-28T00:00:00"/>
    <x v="0"/>
    <d v="2026-07-13T00:00:00"/>
    <n v="7"/>
    <d v="2026-07-05T00:00:00"/>
    <x v="0"/>
    <x v="5"/>
    <n v="27"/>
    <s v="AEU"/>
    <m/>
  </r>
  <r>
    <x v="58"/>
    <s v="WUXI"/>
    <s v="Main Line"/>
    <s v="CORE DG"/>
    <s v="Internal"/>
    <x v="1"/>
    <s v="CIF"/>
    <s v="SunPower Energy Solutions France SAS"/>
    <m/>
    <s v="Local WH - SPTN W75"/>
    <m/>
    <m/>
    <s v="n/a"/>
    <x v="3"/>
    <s v="Hybrid Inverter"/>
    <x v="3"/>
    <n v="8000"/>
    <x v="9"/>
    <m/>
    <m/>
    <n v="8.9285714285714281E-3"/>
    <s v="CT01"/>
    <s v="w19 PICK-UP"/>
    <s v="COMPLETED"/>
    <m/>
    <d v="2026-05-10T00:00:00"/>
    <n v="20"/>
    <x v="14"/>
    <m/>
    <s v="SHANGHAI"/>
    <s v="Shanghai"/>
    <x v="2"/>
    <x v="10"/>
    <d v="2026-05-16T00:00:00"/>
    <d v="2026-05-16T00:00:00"/>
    <d v="2026-06-27T00:00:00"/>
    <d v="2026-06-29T00:00:00"/>
    <x v="9"/>
    <s v="CIF"/>
    <s v="ONE TRADITION / 0029W"/>
    <s v="OTHER"/>
    <s v="TPVB20260429002"/>
    <s v="SYNSHA26SE051064"/>
    <s v="HDMUSHAZPSL96400"/>
    <n v="43"/>
    <m/>
    <d v="2026-06-28T00:00:00"/>
    <x v="0"/>
    <d v="2026-07-13T00:00:00"/>
    <n v="7"/>
    <d v="2026-07-05T00:00:00"/>
    <x v="0"/>
    <x v="5"/>
    <n v="27"/>
    <s v="AEU"/>
    <m/>
  </r>
  <r>
    <x v="59"/>
    <s v="WUXI"/>
    <s v="Main Line"/>
    <s v="CORE DG"/>
    <s v="Internal"/>
    <x v="1"/>
    <s v="CIF"/>
    <s v="SunPower Energy Solutions France SAS"/>
    <m/>
    <s v="Local WH - SPTN W75"/>
    <m/>
    <m/>
    <s v="n/a"/>
    <x v="4"/>
    <s v="Hybrid Inverter"/>
    <x v="4"/>
    <m/>
    <x v="16"/>
    <m/>
    <m/>
    <n v="0.25892857142857145"/>
    <s v="CT01"/>
    <s v="w19 PICK-UP"/>
    <s v="COMPLETED"/>
    <m/>
    <d v="2026-05-10T00:00:00"/>
    <n v="20"/>
    <x v="14"/>
    <m/>
    <s v="SHANGHAI"/>
    <s v="Shanghai"/>
    <x v="2"/>
    <x v="10"/>
    <d v="2026-05-16T00:00:00"/>
    <d v="2026-05-16T00:00:00"/>
    <d v="2026-06-27T00:00:00"/>
    <d v="2026-06-29T00:00:00"/>
    <x v="9"/>
    <s v="CIF"/>
    <s v="ONE TRADITION / 0029W"/>
    <s v="OTHER"/>
    <s v="TPVB20260429002"/>
    <s v="SYNSHA26SE051064"/>
    <s v="HDMUSHAZPSL96400"/>
    <n v="43"/>
    <m/>
    <d v="2026-06-28T00:00:00"/>
    <x v="0"/>
    <d v="2026-07-13T00:00:00"/>
    <n v="7"/>
    <d v="2026-07-05T00:00:00"/>
    <x v="0"/>
    <x v="5"/>
    <n v="27"/>
    <s v="AEU"/>
    <m/>
  </r>
  <r>
    <x v="60"/>
    <s v="WUXI"/>
    <s v="26APR002"/>
    <s v="CORE DG"/>
    <s v="Internal"/>
    <x v="1"/>
    <s v="CIF"/>
    <s v="SunPower Energy Solutions France SAS"/>
    <m/>
    <s v="Local WH - SPTN W75"/>
    <m/>
    <m/>
    <s v="n/a"/>
    <x v="4"/>
    <s v="Hybrid Inverter"/>
    <x v="4"/>
    <m/>
    <x v="9"/>
    <m/>
    <m/>
    <n v="8.9285714285714281E-3"/>
    <s v="CT01"/>
    <s v="w19 PICK-UP"/>
    <s v="COMPLETED"/>
    <m/>
    <d v="2026-05-10T00:00:00"/>
    <n v="20"/>
    <x v="14"/>
    <m/>
    <s v="SHANGHAI"/>
    <s v="Shanghai"/>
    <x v="2"/>
    <x v="10"/>
    <d v="2026-05-16T00:00:00"/>
    <d v="2026-05-16T00:00:00"/>
    <d v="2026-06-27T00:00:00"/>
    <d v="2026-06-29T00:00:00"/>
    <x v="9"/>
    <s v="CIF"/>
    <s v="ONE TRADITION / 0029W"/>
    <s v="OTHER"/>
    <s v="TPVB20260429002"/>
    <s v="SYNSHA26SE051064"/>
    <s v="HDMUSHAZPSL96400"/>
    <n v="43"/>
    <m/>
    <d v="2026-06-28T00:00:00"/>
    <x v="0"/>
    <d v="2026-07-13T00:00:00"/>
    <n v="7"/>
    <d v="2026-07-05T00:00:00"/>
    <x v="0"/>
    <x v="5"/>
    <n v="27"/>
    <s v="AEU"/>
    <m/>
  </r>
  <r>
    <x v="61"/>
    <s v="WUXI"/>
    <s v="26APR003"/>
    <s v="CORE DG"/>
    <s v="Internal"/>
    <x v="1"/>
    <s v="CIF"/>
    <s v="SunPower Energy Solutions France SAS"/>
    <m/>
    <s v="Local WH - SPTN W75"/>
    <m/>
    <m/>
    <s v="n/a"/>
    <x v="5"/>
    <s v="High voltage distribution box"/>
    <x v="5"/>
    <m/>
    <x v="28"/>
    <m/>
    <m/>
    <n v="0.13714285714285715"/>
    <s v="CT01"/>
    <s v="w19 PICK-UP"/>
    <s v="COMPLETED"/>
    <m/>
    <d v="2026-05-10T00:00:00"/>
    <n v="20"/>
    <x v="14"/>
    <m/>
    <s v="SHANGHAI"/>
    <s v="Shanghai"/>
    <x v="2"/>
    <x v="10"/>
    <d v="2026-05-16T00:00:00"/>
    <d v="2026-05-16T00:00:00"/>
    <d v="2026-06-27T00:00:00"/>
    <d v="2026-06-29T00:00:00"/>
    <x v="9"/>
    <s v="CIF"/>
    <s v="ONE TRADITION / 0029W"/>
    <s v="OTHER"/>
    <s v="TPVB20260429002"/>
    <s v="SYNSHA26SE051064"/>
    <s v="HDMUSHAZPSL96400"/>
    <n v="43"/>
    <m/>
    <d v="2026-06-28T00:00:00"/>
    <x v="0"/>
    <d v="2026-07-13T00:00:00"/>
    <n v="7"/>
    <d v="2026-07-05T00:00:00"/>
    <x v="0"/>
    <x v="5"/>
    <n v="27"/>
    <s v="AEU"/>
    <m/>
  </r>
  <r>
    <x v="62"/>
    <s v="WUXI"/>
    <s v="Main Line"/>
    <s v="CORE DG"/>
    <s v="Internal"/>
    <x v="1"/>
    <s v="CIF"/>
    <s v="SunPower Energy Solutions France SAS"/>
    <m/>
    <s v="Local WH - SPTN W75"/>
    <m/>
    <m/>
    <s v="n/a"/>
    <x v="8"/>
    <s v="High voltage distribution box"/>
    <x v="5"/>
    <n v="0"/>
    <x v="9"/>
    <m/>
    <m/>
    <n v="5.7142857142857143E-3"/>
    <s v="CT01"/>
    <s v="w19 PICK-UP"/>
    <s v="COMPLETED"/>
    <m/>
    <d v="2026-05-10T00:00:00"/>
    <n v="20"/>
    <x v="14"/>
    <m/>
    <s v="SHANGHAI"/>
    <s v="Shanghai"/>
    <x v="2"/>
    <x v="10"/>
    <d v="2026-05-16T00:00:00"/>
    <d v="2026-05-16T00:00:00"/>
    <d v="2026-06-27T00:00:00"/>
    <d v="2026-06-29T00:00:00"/>
    <x v="9"/>
    <s v="CIF"/>
    <s v="ONE TRADITION / 0029W"/>
    <s v="OTHER"/>
    <s v="TPVB20260429002"/>
    <s v="SYNSHA26SE051064"/>
    <s v="HDMUSHAZPSL96400"/>
    <n v="43"/>
    <m/>
    <d v="2026-06-28T00:00:00"/>
    <x v="0"/>
    <d v="2026-07-13T00:00:00"/>
    <n v="7"/>
    <d v="2026-07-05T00:00:00"/>
    <x v="0"/>
    <x v="5"/>
    <n v="27"/>
    <s v="AEU"/>
    <m/>
  </r>
  <r>
    <x v="63"/>
    <s v="WUXI"/>
    <s v="Main Line"/>
    <s v="CORE DG"/>
    <s v="Internal"/>
    <x v="1"/>
    <s v="CIF"/>
    <s v="SunPower Energy Solutions France SAS"/>
    <m/>
    <s v="Local WH - SPTN W75"/>
    <m/>
    <m/>
    <s v="n/a"/>
    <x v="0"/>
    <s v="1P meter"/>
    <x v="0"/>
    <m/>
    <x v="0"/>
    <m/>
    <m/>
    <n v="7.0000000000000007E-2"/>
    <s v="CT01"/>
    <s v="w19 PICK-UP"/>
    <s v="COMPLETED"/>
    <m/>
    <d v="2026-05-10T00:00:00"/>
    <n v="20"/>
    <x v="14"/>
    <m/>
    <s v="SHANGHAI"/>
    <s v="Shanghai"/>
    <x v="2"/>
    <x v="10"/>
    <d v="2026-05-16T00:00:00"/>
    <d v="2026-05-16T00:00:00"/>
    <d v="2026-06-27T00:00:00"/>
    <d v="2026-06-29T00:00:00"/>
    <x v="9"/>
    <s v="CIF"/>
    <s v="ONE TRADITION / 0029W"/>
    <s v="OTHER"/>
    <s v="TPVB20260429002"/>
    <s v="SYNSHA26SE051064"/>
    <s v="HDMUSHAZPSL96400"/>
    <n v="43"/>
    <m/>
    <d v="2026-06-28T00:00:00"/>
    <x v="0"/>
    <d v="2026-07-13T00:00:00"/>
    <n v="7"/>
    <d v="2026-07-05T00:00:00"/>
    <x v="0"/>
    <x v="5"/>
    <n v="27"/>
    <s v="AEU"/>
    <m/>
  </r>
  <r>
    <x v="64"/>
    <s v="WUXI"/>
    <s v="Main Line"/>
    <s v="CORE DG"/>
    <s v="Internal"/>
    <x v="1"/>
    <s v="CIF"/>
    <s v="SunPower Energy Solutions France SAS"/>
    <m/>
    <s v="Local WH - SPTN W75"/>
    <m/>
    <m/>
    <s v="n/a"/>
    <x v="2"/>
    <s v="Hybrid Inverter"/>
    <x v="2"/>
    <m/>
    <x v="29"/>
    <m/>
    <m/>
    <n v="0.9553571428571429"/>
    <s v="CT02"/>
    <s v="w20 PICK-UP"/>
    <s v="COMPLETED"/>
    <m/>
    <d v="2026-05-14T00:00:00"/>
    <n v="20"/>
    <x v="15"/>
    <m/>
    <s v="SHANGHAI"/>
    <s v="Shanghai"/>
    <x v="2"/>
    <x v="11"/>
    <d v="2026-05-21T00:00:00"/>
    <d v="2026-05-21T00:00:00"/>
    <d v="2026-06-23T00:00:00"/>
    <d v="2026-06-24T00:00:00"/>
    <x v="10"/>
    <s v="CIF"/>
    <s v="COSCO SHIPPING UNIVERSE 035W"/>
    <s v="COSCO"/>
    <s v="TPVB20260429003"/>
    <s v="COSU6500301120"/>
    <s v="COSU6500301120"/>
    <n v="36"/>
    <m/>
    <d v="2026-06-30T00:00:00"/>
    <x v="0"/>
    <d v="2026-07-08T00:00:00"/>
    <n v="7"/>
    <d v="2026-07-07T00:00:00"/>
    <x v="0"/>
    <x v="5"/>
    <n v="28"/>
    <s v="AEU"/>
    <m/>
  </r>
  <r>
    <x v="65"/>
    <s v="WUXI"/>
    <s v="26APR001"/>
    <s v="CORE DG"/>
    <s v="Internal"/>
    <x v="1"/>
    <s v="CIF"/>
    <s v="SunPower Energy Solutions France SAS"/>
    <m/>
    <s v="Local WH - SPTN W75"/>
    <m/>
    <m/>
    <s v="n/a"/>
    <x v="2"/>
    <s v="Hybrid Inverter"/>
    <x v="2"/>
    <m/>
    <x v="5"/>
    <m/>
    <m/>
    <n v="4.4642857142857144E-2"/>
    <s v="CT02"/>
    <s v="w20 PICK-UP"/>
    <s v="COMPLETED"/>
    <m/>
    <d v="2026-05-14T00:00:00"/>
    <n v="20"/>
    <x v="15"/>
    <m/>
    <s v="SHANGHAI"/>
    <s v="Shanghai"/>
    <x v="2"/>
    <x v="11"/>
    <d v="2026-05-21T00:00:00"/>
    <d v="2026-05-21T00:00:00"/>
    <d v="2026-06-23T00:00:00"/>
    <d v="2026-06-24T00:00:00"/>
    <x v="10"/>
    <s v="CIF"/>
    <s v="COSCO SHIPPING UNIVERSE 035W"/>
    <s v="COSCO"/>
    <s v="TPVB20260429003"/>
    <s v="COSU6500301120"/>
    <s v="COSU6500301120"/>
    <n v="36"/>
    <m/>
    <d v="2026-06-30T00:00:00"/>
    <x v="0"/>
    <d v="2026-07-08T00:00:00"/>
    <n v="7"/>
    <d v="2026-07-07T00:00:00"/>
    <x v="0"/>
    <x v="5"/>
    <n v="28"/>
    <s v="AEU"/>
    <m/>
  </r>
  <r>
    <x v="66"/>
    <s v="WUXI"/>
    <s v="26APR003"/>
    <s v="CORE DG"/>
    <s v="Internal"/>
    <x v="1"/>
    <s v="CIF"/>
    <s v="SunPower Energy Solutions France SAS"/>
    <m/>
    <s v="Local WH - SPTN W75"/>
    <m/>
    <m/>
    <s v="n/a"/>
    <x v="5"/>
    <s v="High voltage distribution box"/>
    <x v="5"/>
    <m/>
    <x v="17"/>
    <m/>
    <m/>
    <n v="0.96571428571428575"/>
    <s v="CT03"/>
    <s v="w20 PICK-UP"/>
    <s v="COMPLETED"/>
    <m/>
    <d v="2026-05-14T00:00:00"/>
    <n v="20"/>
    <x v="15"/>
    <m/>
    <s v="SHANGHAI"/>
    <s v="Shanghai"/>
    <x v="2"/>
    <x v="11"/>
    <d v="2026-05-21T00:00:00"/>
    <d v="2026-05-21T00:00:00"/>
    <d v="2026-06-23T00:00:00"/>
    <d v="2026-06-24T00:00:00"/>
    <x v="10"/>
    <s v="CIF"/>
    <s v="COSCO SHIPPING UNIVERSE 035W"/>
    <s v="COSCO"/>
    <s v="TPVB20260429003"/>
    <s v="COSU6500301120"/>
    <s v="COSU6500301120"/>
    <n v="36"/>
    <m/>
    <d v="2026-06-30T00:00:00"/>
    <x v="0"/>
    <d v="2026-07-08T00:00:00"/>
    <n v="7"/>
    <d v="2026-07-07T00:00:00"/>
    <x v="0"/>
    <x v="5"/>
    <n v="28"/>
    <s v="AEU"/>
    <m/>
  </r>
  <r>
    <x v="67"/>
    <s v="WUXI"/>
    <s v="26APR003"/>
    <s v="CORE DG"/>
    <s v="Internal"/>
    <x v="1"/>
    <s v="CIF"/>
    <s v="SunPower Energy Solutions France SAS"/>
    <m/>
    <s v="Local WH - SPTN W75"/>
    <m/>
    <m/>
    <s v="n/a"/>
    <x v="5"/>
    <s v="High voltage distribution box"/>
    <x v="5"/>
    <m/>
    <x v="11"/>
    <m/>
    <m/>
    <n v="3.4285714285714287E-2"/>
    <s v="CT03"/>
    <s v="w20 PICK-UP"/>
    <s v="COMPLETED"/>
    <m/>
    <d v="2026-05-14T00:00:00"/>
    <n v="20"/>
    <x v="15"/>
    <m/>
    <s v="SHANGHAI"/>
    <s v="Shanghai"/>
    <x v="2"/>
    <x v="11"/>
    <d v="2026-05-21T00:00:00"/>
    <d v="2026-05-21T00:00:00"/>
    <d v="2026-06-23T00:00:00"/>
    <d v="2026-06-24T00:00:00"/>
    <x v="10"/>
    <s v="CIF"/>
    <s v="COSCO SHIPPING UNIVERSE 035W"/>
    <s v="COSCO"/>
    <s v="TPVB20260429003"/>
    <s v="COSU6500301120"/>
    <s v="COSU6500301120"/>
    <n v="36"/>
    <m/>
    <d v="2026-06-30T00:00:00"/>
    <x v="0"/>
    <d v="2026-07-08T00:00:00"/>
    <n v="7"/>
    <d v="2026-07-07T00:00:00"/>
    <x v="0"/>
    <x v="5"/>
    <n v="28"/>
    <s v="AEU"/>
    <m/>
  </r>
  <r>
    <x v="68"/>
    <s v="WUXI"/>
    <s v="26APR004"/>
    <s v="CORE DG"/>
    <s v="Internal"/>
    <x v="1"/>
    <s v="CIF"/>
    <s v="SunPower Energy Solutions France SAS"/>
    <m/>
    <s v="Local WH - SPTN W75"/>
    <m/>
    <m/>
    <s v="n/a"/>
    <x v="6"/>
    <s v="Rechargeable Li-ion Battery "/>
    <x v="6"/>
    <m/>
    <x v="30"/>
    <m/>
    <m/>
    <n v="2"/>
    <s v="CT04&amp;CT05"/>
    <s v="w19 PICK-UP"/>
    <s v="COMPLETED"/>
    <m/>
    <d v="2026-05-17T00:00:00"/>
    <n v="21"/>
    <x v="16"/>
    <m/>
    <s v="SHANGHAI"/>
    <s v="Shanghai"/>
    <x v="2"/>
    <x v="12"/>
    <d v="2026-05-24T00:00:00"/>
    <d v="2026-05-24T00:00:00"/>
    <d v="2026-06-29T00:00:00"/>
    <d v="2026-07-07T00:00:00"/>
    <x v="11"/>
    <s v="CIF"/>
    <s v="BERLIN EXPRESS / 621W"/>
    <s v="OTHER"/>
    <s v="TPVB20260429004"/>
    <s v="SYNSHA26SE051696A"/>
    <s v="CHN3395521"/>
    <n v="40"/>
    <m/>
    <d v="2026-07-08T00:00:00"/>
    <x v="0"/>
    <d v="2026-07-17T00:00:00"/>
    <n v="7"/>
    <d v="2026-07-15T00:00:00"/>
    <x v="0"/>
    <x v="5"/>
    <n v="29"/>
    <s v="AEU"/>
    <m/>
  </r>
  <r>
    <x v="69"/>
    <s v="WUXI"/>
    <s v="26APR004"/>
    <s v="CORE DG"/>
    <s v="Internal"/>
    <x v="1"/>
    <s v="CIF"/>
    <s v="SunPower Energy Solutions France SAS"/>
    <m/>
    <s v="Local WH - SPTN W75"/>
    <m/>
    <m/>
    <s v="n/a"/>
    <x v="6"/>
    <s v="Rechargeable Li-ion Battery "/>
    <x v="6"/>
    <m/>
    <x v="31"/>
    <m/>
    <m/>
    <n v="0.91304347826086951"/>
    <s v="CT06"/>
    <s v="w20 PICK-UP"/>
    <s v="COMPLETED"/>
    <m/>
    <d v="2026-05-14T00:00:00"/>
    <n v="20"/>
    <x v="16"/>
    <m/>
    <s v="SHANGHAI"/>
    <s v="Shanghai"/>
    <x v="2"/>
    <x v="12"/>
    <d v="2026-05-21T00:00:00"/>
    <d v="2026-05-23T00:00:00"/>
    <d v="2026-06-29T00:00:00"/>
    <d v="2026-06-29T00:00:00"/>
    <x v="12"/>
    <s v="CIF"/>
    <s v="BERLIN EXPRESS / 621W"/>
    <s v="OTHER"/>
    <s v="TPVB20260429001"/>
    <s v="SYNSHA26SE051320A"/>
    <n v="270243379"/>
    <n v="40"/>
    <m/>
    <d v="2026-06-29T00:00:00"/>
    <x v="0"/>
    <d v="2026-07-17T00:00:00"/>
    <n v="7"/>
    <d v="2026-07-06T00:00:00"/>
    <x v="0"/>
    <x v="5"/>
    <n v="28"/>
    <s v="AEU"/>
    <m/>
  </r>
  <r>
    <x v="70"/>
    <s v="WUXI"/>
    <s v="26APR004"/>
    <s v="CORE DG"/>
    <s v="Internal"/>
    <x v="1"/>
    <s v="CIF"/>
    <s v="SunPower Energy Solutions France SAS"/>
    <m/>
    <s v="Local WH - SPTN W75"/>
    <m/>
    <m/>
    <s v="n/a"/>
    <x v="6"/>
    <s v="Rechargeable Li-ion Battery "/>
    <x v="6"/>
    <m/>
    <x v="1"/>
    <m/>
    <m/>
    <n v="8.6956521739130432E-2"/>
    <s v="CT06"/>
    <s v="w20 PICK-UP"/>
    <s v="COMPLETED"/>
    <m/>
    <d v="2026-05-14T00:00:00"/>
    <n v="20"/>
    <x v="16"/>
    <m/>
    <s v="SHANGHAI"/>
    <s v="Shanghai"/>
    <x v="2"/>
    <x v="12"/>
    <d v="2026-05-21T00:00:00"/>
    <d v="2026-05-23T00:00:00"/>
    <d v="2026-06-29T00:00:00"/>
    <d v="2026-06-29T00:00:00"/>
    <x v="12"/>
    <s v="CIF"/>
    <s v="BERLIN EXPRESS / 621W"/>
    <s v="OTHER"/>
    <s v="TPVB20260429001"/>
    <s v="SYNSHA26SE051320A"/>
    <n v="270243379"/>
    <n v="40"/>
    <m/>
    <d v="2026-06-29T00:00:00"/>
    <x v="0"/>
    <d v="2026-07-17T00:00:00"/>
    <n v="7"/>
    <d v="2026-07-06T00:00:00"/>
    <x v="0"/>
    <x v="5"/>
    <n v="28"/>
    <s v="AEU"/>
    <m/>
  </r>
  <r>
    <x v="71"/>
    <s v="WUXI"/>
    <s v="26APR006"/>
    <s v="CORE DG"/>
    <s v="Internal"/>
    <x v="2"/>
    <s v="CIF"/>
    <s v="SunPower Energy Solutions France SAS"/>
    <m/>
    <s v="Local WH - SPTN W75"/>
    <m/>
    <m/>
    <s v="n/a"/>
    <x v="2"/>
    <s v="Hybrid Inverter"/>
    <x v="2"/>
    <m/>
    <x v="32"/>
    <m/>
    <m/>
    <n v="0.7142857142857143"/>
    <s v="CT01"/>
    <s v="w23 PICK-UP"/>
    <s v="COMPLETED"/>
    <m/>
    <d v="2026-06-04T00:00:00"/>
    <n v="23"/>
    <x v="17"/>
    <m/>
    <s v="SHANGHAI"/>
    <s v="Shanghai"/>
    <x v="2"/>
    <x v="13"/>
    <d v="2026-06-13T00:00:00"/>
    <d v="2026-06-13T00:00:00"/>
    <d v="2026-07-14T00:00:00"/>
    <d v="2026-07-20T00:00:00"/>
    <x v="13"/>
    <s v="CIF"/>
    <s v="COSCO SHIPPING LEO 036W"/>
    <s v="COSCO"/>
    <s v="TPVB20260524004"/>
    <s v="COSU6503357340"/>
    <s v="COSU6503357340"/>
    <n v="34"/>
    <m/>
    <d v="2026-07-20T00:00:00"/>
    <x v="0"/>
    <d v="2026-07-27T00:00:00"/>
    <n v="7"/>
    <d v="2026-07-27T00:00:00"/>
    <x v="0"/>
    <x v="5"/>
    <n v="31"/>
    <s v="AEU"/>
    <m/>
  </r>
  <r>
    <x v="72"/>
    <s v="WUXI"/>
    <s v="26APR006"/>
    <s v="CORE DG"/>
    <s v="Internal"/>
    <x v="2"/>
    <s v="CIF"/>
    <s v="SunPower Energy Solutions France SAS"/>
    <m/>
    <s v="Local WH - SPTN W75"/>
    <m/>
    <m/>
    <s v="n/a"/>
    <x v="2"/>
    <s v="Hybrid Inverter"/>
    <x v="2"/>
    <m/>
    <x v="33"/>
    <m/>
    <m/>
    <n v="6.25E-2"/>
    <s v="CT01"/>
    <s v="w23 PICK-UP"/>
    <s v="COMPLETED"/>
    <m/>
    <d v="2026-06-04T00:00:00"/>
    <n v="23"/>
    <x v="17"/>
    <m/>
    <s v="SHANGHAI"/>
    <s v="Shanghai"/>
    <x v="2"/>
    <x v="13"/>
    <d v="2026-06-13T00:00:00"/>
    <d v="2026-06-13T00:00:00"/>
    <d v="2026-07-14T00:00:00"/>
    <d v="2026-07-20T00:00:00"/>
    <x v="13"/>
    <s v="CIF"/>
    <s v="COSCO SHIPPING LEO 036W"/>
    <s v="COSCO"/>
    <s v="TPVB20260524004"/>
    <s v="COSU6503357340"/>
    <s v="COSU6503357340"/>
    <n v="34"/>
    <m/>
    <d v="2026-07-20T00:00:00"/>
    <x v="0"/>
    <d v="2026-07-27T00:00:00"/>
    <n v="7"/>
    <d v="2026-07-27T00:00:00"/>
    <x v="0"/>
    <x v="5"/>
    <n v="31"/>
    <s v="AEU"/>
    <m/>
  </r>
  <r>
    <x v="73"/>
    <s v="WUXI"/>
    <s v="Main Line"/>
    <s v="CORE DG"/>
    <s v="Internal"/>
    <x v="2"/>
    <s v="CIF"/>
    <s v="SunPower Energy Solutions France SAS"/>
    <m/>
    <s v="Local WH - SPTN W75"/>
    <m/>
    <m/>
    <s v="n/a"/>
    <x v="4"/>
    <s v="Hybrid Inverter"/>
    <x v="4"/>
    <m/>
    <x v="28"/>
    <m/>
    <m/>
    <n v="0.21428571428571427"/>
    <s v="CT01"/>
    <s v="w23 PICK-UP"/>
    <s v="COMPLETED"/>
    <m/>
    <d v="2026-06-04T00:00:00"/>
    <n v="23"/>
    <x v="17"/>
    <m/>
    <s v="SHANGHAI"/>
    <s v="Shanghai"/>
    <x v="2"/>
    <x v="13"/>
    <d v="2026-06-13T00:00:00"/>
    <d v="2026-06-13T00:00:00"/>
    <d v="2026-07-14T00:00:00"/>
    <d v="2026-07-20T00:00:00"/>
    <x v="13"/>
    <s v="CIF"/>
    <s v="COSCO SHIPPING LEO 036W"/>
    <s v="COSCO"/>
    <s v="TPVB20260524004"/>
    <s v="COSU6503357340"/>
    <s v="COSU6503357340"/>
    <n v="34"/>
    <m/>
    <d v="2026-07-20T00:00:00"/>
    <x v="0"/>
    <d v="2026-07-27T00:00:00"/>
    <n v="7"/>
    <d v="2026-07-27T00:00:00"/>
    <x v="0"/>
    <x v="5"/>
    <n v="31"/>
    <s v="AEU"/>
    <m/>
  </r>
  <r>
    <x v="74"/>
    <s v="WUXI"/>
    <s v="26APR007"/>
    <s v="CORE DG"/>
    <s v="Internal"/>
    <x v="2"/>
    <s v="CIF"/>
    <s v="SunPower Energy Solutions France SAS"/>
    <m/>
    <s v="Local WH - SPTN W75"/>
    <m/>
    <m/>
    <s v="n/a"/>
    <x v="4"/>
    <s v="Hybrid Inverter"/>
    <x v="4"/>
    <m/>
    <x v="9"/>
    <m/>
    <m/>
    <n v="8.9285714285714281E-3"/>
    <s v="CT01"/>
    <s v="w23 PICK-UP"/>
    <s v="COMPLETED"/>
    <m/>
    <d v="2026-06-04T00:00:00"/>
    <n v="23"/>
    <x v="17"/>
    <m/>
    <s v="SHANGHAI"/>
    <s v="Shanghai"/>
    <x v="2"/>
    <x v="13"/>
    <d v="2026-06-13T00:00:00"/>
    <d v="2026-06-13T00:00:00"/>
    <d v="2026-07-14T00:00:00"/>
    <d v="2026-07-20T00:00:00"/>
    <x v="13"/>
    <s v="CIF"/>
    <s v="COSCO SHIPPING LEO 036W"/>
    <s v="COSCO"/>
    <s v="TPVB20260524004"/>
    <s v="COSU6503357340"/>
    <s v="COSU6503357340"/>
    <n v="34"/>
    <m/>
    <d v="2026-07-20T00:00:00"/>
    <x v="0"/>
    <d v="2026-07-27T00:00:00"/>
    <n v="7"/>
    <d v="2026-07-27T00:00:00"/>
    <x v="0"/>
    <x v="5"/>
    <n v="31"/>
    <s v="AEU"/>
    <m/>
  </r>
  <r>
    <x v="75"/>
    <s v="WUXI"/>
    <s v="26APR008"/>
    <s v="CORE DG"/>
    <s v="Internal"/>
    <x v="2"/>
    <s v="CIF"/>
    <s v="SunPower Energy Solutions France SAS"/>
    <m/>
    <s v="Local WH - SPTN W75"/>
    <m/>
    <m/>
    <s v="n/a"/>
    <x v="5"/>
    <s v="High voltage distribution box"/>
    <x v="5"/>
    <m/>
    <x v="34"/>
    <m/>
    <m/>
    <n v="0.95428571428571429"/>
    <s v="CT02"/>
    <s v="w23 PICK-UP"/>
    <s v="COMPLETED"/>
    <m/>
    <d v="2026-06-04T00:00:00"/>
    <n v="23"/>
    <x v="17"/>
    <m/>
    <s v="SHANGHAI"/>
    <s v="Shanghai"/>
    <x v="2"/>
    <x v="13"/>
    <d v="2026-06-13T00:00:00"/>
    <d v="2026-06-13T00:00:00"/>
    <d v="2026-07-14T00:00:00"/>
    <d v="2026-07-20T00:00:00"/>
    <x v="13"/>
    <s v="CIF"/>
    <s v="COSCO SHIPPING LEO 036W"/>
    <s v="COSCO"/>
    <s v="TPVB20260524004"/>
    <s v="COSU6503357340"/>
    <s v="COSU6503357340"/>
    <n v="34"/>
    <m/>
    <d v="2026-07-20T00:00:00"/>
    <x v="0"/>
    <d v="2026-07-27T00:00:00"/>
    <n v="7"/>
    <d v="2026-07-27T00:00:00"/>
    <x v="0"/>
    <x v="5"/>
    <n v="31"/>
    <s v="AEU"/>
    <m/>
  </r>
  <r>
    <x v="76"/>
    <s v="WUXI"/>
    <s v="26APR008"/>
    <s v="CORE DG"/>
    <s v="Internal"/>
    <x v="2"/>
    <s v="CIF"/>
    <s v="SunPower Energy Solutions France SAS"/>
    <m/>
    <s v="Local WH - SPTN W75"/>
    <m/>
    <m/>
    <s v="n/a"/>
    <x v="5"/>
    <s v="High voltage distribution box"/>
    <x v="5"/>
    <m/>
    <x v="25"/>
    <m/>
    <m/>
    <n v="4.5714285714285714E-2"/>
    <s v="CT02"/>
    <s v="w23 PICK-UP"/>
    <s v="COMPLETED"/>
    <m/>
    <d v="2026-06-04T00:00:00"/>
    <n v="23"/>
    <x v="17"/>
    <m/>
    <s v="SHANGHAI"/>
    <s v="Shanghai"/>
    <x v="2"/>
    <x v="13"/>
    <d v="2026-06-13T00:00:00"/>
    <d v="2026-06-13T00:00:00"/>
    <d v="2026-07-14T00:00:00"/>
    <d v="2026-07-20T00:00:00"/>
    <x v="13"/>
    <s v="CIF"/>
    <s v="COSCO SHIPPING LEO 036W"/>
    <s v="COSCO"/>
    <s v="TPVB20260524004"/>
    <s v="COSU6503357340"/>
    <s v="COSU6503357340"/>
    <n v="34"/>
    <m/>
    <d v="2026-07-20T00:00:00"/>
    <x v="0"/>
    <d v="2026-07-27T00:00:00"/>
    <n v="7"/>
    <d v="2026-07-27T00:00:00"/>
    <x v="0"/>
    <x v="5"/>
    <n v="31"/>
    <s v="AEU"/>
    <m/>
  </r>
  <r>
    <x v="77"/>
    <s v="WUXI"/>
    <s v="26APR009"/>
    <s v="CORE DG"/>
    <s v="Internal"/>
    <x v="2"/>
    <s v="CIF"/>
    <s v="SunPower Energy Solutions France SAS"/>
    <m/>
    <s v="Local WH - SPTN W75"/>
    <m/>
    <m/>
    <s v="n/a"/>
    <x v="6"/>
    <s v="Rechargeable Li-ion Battery "/>
    <x v="6"/>
    <m/>
    <x v="12"/>
    <m/>
    <m/>
    <n v="1"/>
    <s v="CT03 "/>
    <s v="w23 PICK-UP"/>
    <s v="COMPLETED"/>
    <m/>
    <d v="2026-06-06T00:00:00"/>
    <n v="23"/>
    <x v="18"/>
    <m/>
    <s v="SHANGHAI"/>
    <s v="Shanghai"/>
    <x v="2"/>
    <x v="14"/>
    <d v="2026-06-15T00:00:00"/>
    <d v="2026-06-15T00:00:00"/>
    <d v="2026-07-25T00:00:00"/>
    <d v="2026-07-25T00:00:00"/>
    <x v="14"/>
    <s v="CIF"/>
    <s v="HAMBURG EXPRESS/624W"/>
    <s v="OTHER"/>
    <s v="TPVB20260524001"/>
    <n v="271135486"/>
    <n v="271135486"/>
    <n v="43"/>
    <m/>
    <d v="2026-07-25T00:00:00"/>
    <x v="0"/>
    <d v="2026-08-03T00:00:00"/>
    <n v="7"/>
    <d v="2026-08-01T00:00:00"/>
    <x v="0"/>
    <x v="6"/>
    <n v="31"/>
    <s v="AEU"/>
    <m/>
  </r>
  <r>
    <x v="78"/>
    <s v="WUXI"/>
    <s v="26APR009"/>
    <s v="CORE DG"/>
    <s v="Internal"/>
    <x v="2"/>
    <s v="CIF"/>
    <s v="SunPower Energy Solutions France SAS"/>
    <m/>
    <s v="Local WH - SPTN W75"/>
    <m/>
    <m/>
    <s v="n/a"/>
    <x v="6"/>
    <s v="Rechargeable Li-ion Battery "/>
    <x v="6"/>
    <m/>
    <x v="12"/>
    <m/>
    <m/>
    <n v="1"/>
    <s v="CT04"/>
    <s v="w23 PICK-UP"/>
    <s v="COMPLETED"/>
    <m/>
    <d v="2026-06-10T00:00:00"/>
    <n v="24"/>
    <x v="19"/>
    <m/>
    <s v="SHANGHAI"/>
    <s v="Shanghai"/>
    <x v="5"/>
    <x v="15"/>
    <d v="2026-06-19T00:00:00"/>
    <d v="2026-06-19T00:00:00"/>
    <d v="2026-08-07T00:00:00"/>
    <d v="2026-08-01T00:00:00"/>
    <x v="15"/>
    <s v="CIF"/>
    <s v="BEIJING MAERSK/625W"/>
    <s v="OTHER"/>
    <s v="TPVB20260524002"/>
    <n v="271140592"/>
    <n v="271140592"/>
    <n v="53"/>
    <m/>
    <d v="2026-08-01T00:00:00"/>
    <x v="0"/>
    <d v="2026-08-13T00:00:00"/>
    <n v="10"/>
    <d v="2026-08-11T00:00:00"/>
    <x v="0"/>
    <x v="6"/>
    <n v="33"/>
    <s v="AEU"/>
    <m/>
  </r>
  <r>
    <x v="79"/>
    <s v="WUXI"/>
    <s v="26APR009"/>
    <s v="CORE DG"/>
    <s v="Internal"/>
    <x v="2"/>
    <s v="CIF"/>
    <s v="SunPower Energy Solutions France SAS"/>
    <m/>
    <s v="Local WH - SPTN W75"/>
    <m/>
    <m/>
    <s v="n/a"/>
    <x v="6"/>
    <s v="Rechargeable Li-ion Battery "/>
    <x v="6"/>
    <m/>
    <x v="12"/>
    <m/>
    <m/>
    <n v="1"/>
    <s v="CT05"/>
    <s v="w24 PICK-UP"/>
    <s v="COMPLETED"/>
    <m/>
    <d v="2026-06-13T00:00:00"/>
    <n v="24"/>
    <x v="20"/>
    <m/>
    <s v="SHANGHAI"/>
    <s v="Shanghai"/>
    <x v="2"/>
    <x v="16"/>
    <d v="2026-06-23T00:00:00"/>
    <d v="2026-06-23T00:00:00"/>
    <d v="2026-08-01T00:00:00"/>
    <d v="2026-08-01T00:00:00"/>
    <x v="15"/>
    <s v="CIF"/>
    <s v="GENOVA EXPRESS/625W"/>
    <s v="OTHER"/>
    <s v="TPVB20260524003"/>
    <n v="271300507"/>
    <n v="271300507"/>
    <n v="43"/>
    <m/>
    <d v="2026-08-01T00:00:00"/>
    <x v="0"/>
    <d v="2026-08-10T00:00:00"/>
    <n v="7"/>
    <d v="2026-08-08T00:00:00"/>
    <x v="0"/>
    <x v="6"/>
    <n v="32"/>
    <s v="AEU"/>
    <m/>
  </r>
  <r>
    <x v="80"/>
    <s v="WUXI"/>
    <s v="26APR009"/>
    <s v="CORE DG"/>
    <s v="Internal"/>
    <x v="2"/>
    <s v="CIF"/>
    <s v="SunPower Energy Solutions France SAS"/>
    <m/>
    <s v="Local WH - SPTN W75"/>
    <m/>
    <m/>
    <s v="n/a"/>
    <x v="6"/>
    <s v="Rechargeable Li-ion Battery "/>
    <x v="6"/>
    <m/>
    <x v="35"/>
    <m/>
    <m/>
    <n v="0.88405797101449279"/>
    <s v="CT06"/>
    <s v="w24 PICK-UP"/>
    <s v="COMPLETED"/>
    <m/>
    <d v="2026-06-13T00:00:00"/>
    <n v="24"/>
    <x v="20"/>
    <m/>
    <s v="SHANGHAI"/>
    <s v="Shanghai"/>
    <x v="2"/>
    <x v="16"/>
    <d v="2026-06-23T00:00:00"/>
    <d v="2026-06-23T00:00:00"/>
    <d v="2026-08-01T00:00:00"/>
    <d v="2026-08-01T00:00:00"/>
    <x v="15"/>
    <s v="CIF"/>
    <s v="GENOVA EXPRESS/625W"/>
    <s v="OTHER"/>
    <s v="TPVB20260524003"/>
    <n v="271300507"/>
    <n v="271300507"/>
    <n v="43"/>
    <m/>
    <d v="2026-08-01T00:00:00"/>
    <x v="0"/>
    <d v="2026-08-10T00:00:00"/>
    <n v="7"/>
    <d v="2026-08-08T00:00:00"/>
    <x v="0"/>
    <x v="6"/>
    <n v="32"/>
    <s v="AEU"/>
    <m/>
  </r>
  <r>
    <x v="81"/>
    <s v="WUXI"/>
    <s v="26APR009"/>
    <s v="CORE DG"/>
    <s v="Internal"/>
    <x v="2"/>
    <s v="CIF"/>
    <s v="SunPower Energy Solutions France SAS"/>
    <m/>
    <s v="Local WH - SPTN W75"/>
    <m/>
    <m/>
    <s v="n/a"/>
    <x v="6"/>
    <s v="Rechargeable Li-ion Battery "/>
    <x v="6"/>
    <m/>
    <x v="36"/>
    <m/>
    <m/>
    <n v="0.11594202898550725"/>
    <s v="CT06"/>
    <s v="w24 PICK-UP"/>
    <s v="COMPLETED"/>
    <m/>
    <d v="2026-06-13T00:00:00"/>
    <n v="24"/>
    <x v="20"/>
    <m/>
    <s v="SHANGHAI"/>
    <s v="Shanghai"/>
    <x v="2"/>
    <x v="16"/>
    <d v="2026-06-23T00:00:00"/>
    <d v="2026-06-23T00:00:00"/>
    <d v="2026-08-01T00:00:00"/>
    <d v="2026-08-01T00:00:00"/>
    <x v="15"/>
    <s v="CIF"/>
    <s v="GENOVA EXPRESS/625W"/>
    <s v="OTHER"/>
    <s v="TPVB20260524003"/>
    <n v="271300507"/>
    <n v="271300507"/>
    <n v="43"/>
    <m/>
    <d v="2026-08-01T00:00:00"/>
    <x v="0"/>
    <d v="2026-08-10T00:00:00"/>
    <n v="7"/>
    <d v="2026-08-08T00:00:00"/>
    <x v="0"/>
    <x v="6"/>
    <n v="32"/>
    <s v="AEU"/>
    <m/>
  </r>
  <r>
    <x v="82"/>
    <s v="WUXI"/>
    <s v="26APR006"/>
    <s v="CORE DG"/>
    <s v="Internal"/>
    <x v="2"/>
    <s v="CIF"/>
    <s v="SunPower Energy Solutions France SAS"/>
    <m/>
    <s v="Local WH - SPTN W75"/>
    <m/>
    <m/>
    <s v="n/a"/>
    <x v="2"/>
    <s v="Hybrid Inverter"/>
    <x v="2"/>
    <m/>
    <x v="37"/>
    <m/>
    <m/>
    <n v="0.42857142857142855"/>
    <s v="CT07"/>
    <s v="w25 PICK-UP"/>
    <s v="COMPLETED"/>
    <m/>
    <d v="2026-06-15T00:00:00"/>
    <n v="25"/>
    <x v="21"/>
    <m/>
    <s v="SHANGHAI"/>
    <s v="Shanghai"/>
    <x v="2"/>
    <x v="17"/>
    <d v="2026-06-22T00:00:00"/>
    <d v="2026-06-22T00:00:00"/>
    <d v="2026-07-23T00:00:00"/>
    <d v="2026-07-30T00:00:00"/>
    <x v="16"/>
    <s v="CIF"/>
    <s v="COSCO SHIPPING GEMINI 036W"/>
    <s v="COSCO"/>
    <s v="TPVB20260524005"/>
    <s v="COSU6503345880"/>
    <s v="COSU6503345880"/>
    <n v="35"/>
    <m/>
    <d v="2026-07-30T00:00:00"/>
    <x v="0"/>
    <d v="2026-08-10T00:00:00"/>
    <n v="7"/>
    <d v="2026-08-06T00:00:00"/>
    <x v="0"/>
    <x v="6"/>
    <n v="32"/>
    <s v="AEU"/>
    <m/>
  </r>
  <r>
    <x v="83"/>
    <s v="WUXI"/>
    <s v="26APR008"/>
    <s v="CORE DG"/>
    <s v="Internal"/>
    <x v="2"/>
    <s v="CIF"/>
    <s v="SunPower Energy Solutions France SAS"/>
    <m/>
    <s v="Local WH - SPTN W75"/>
    <m/>
    <m/>
    <s v="n/a"/>
    <x v="5"/>
    <s v="High voltage distribution box"/>
    <x v="5"/>
    <m/>
    <x v="38"/>
    <m/>
    <m/>
    <n v="0.55428571428571427"/>
    <s v="CT07"/>
    <s v="w25 PICK-UP"/>
    <s v="COMPLETED"/>
    <m/>
    <d v="2026-06-15T00:00:00"/>
    <n v="25"/>
    <x v="21"/>
    <m/>
    <s v="SHANGHAI"/>
    <s v="Shanghai"/>
    <x v="2"/>
    <x v="17"/>
    <d v="2026-06-22T00:00:00"/>
    <d v="2026-06-22T00:00:00"/>
    <d v="2026-07-23T00:00:00"/>
    <d v="2026-07-30T00:00:00"/>
    <x v="16"/>
    <s v="CIF"/>
    <s v="COSCO SHIPPING GEMINI 036W"/>
    <s v="COSCO"/>
    <s v="TPVB20260524005"/>
    <s v="COSU6503345880"/>
    <s v="COSU6503345880"/>
    <n v="35"/>
    <m/>
    <d v="2026-07-30T00:00:00"/>
    <x v="0"/>
    <d v="2026-08-10T00:00:00"/>
    <n v="7"/>
    <d v="2026-08-06T00:00:00"/>
    <x v="0"/>
    <x v="6"/>
    <n v="32"/>
    <s v="AEU"/>
    <m/>
  </r>
  <r>
    <x v="84"/>
    <s v="WUXI"/>
    <s v="Main Line"/>
    <s v="CORE DG"/>
    <s v="Internal"/>
    <x v="2"/>
    <s v="CIF"/>
    <s v="SunPower Energy Solutions France SAS"/>
    <m/>
    <s v="Local WH - SPTN W75"/>
    <m/>
    <m/>
    <s v="n/a"/>
    <x v="0"/>
    <s v="1P meter"/>
    <x v="0"/>
    <m/>
    <x v="39"/>
    <m/>
    <m/>
    <n v="0.02"/>
    <s v="CT07"/>
    <s v="w25 PICK-UP"/>
    <s v="COMPLETED"/>
    <m/>
    <d v="2026-06-15T00:00:00"/>
    <n v="25"/>
    <x v="21"/>
    <m/>
    <s v="SHANGHAI"/>
    <s v="Shanghai"/>
    <x v="2"/>
    <x v="17"/>
    <d v="2026-06-22T00:00:00"/>
    <d v="2026-06-22T00:00:00"/>
    <d v="2026-07-23T00:00:00"/>
    <d v="2026-07-30T00:00:00"/>
    <x v="16"/>
    <s v="CIF"/>
    <s v="COSCO SHIPPING GEMINI 036W"/>
    <s v="COSCO"/>
    <s v="TPVB20260524005"/>
    <s v="COSU6503345880"/>
    <s v="COSU6503345880"/>
    <n v="35"/>
    <m/>
    <d v="2026-07-30T00:00:00"/>
    <x v="0"/>
    <d v="2026-08-10T00:00:00"/>
    <n v="7"/>
    <d v="2026-08-06T00:00:00"/>
    <x v="0"/>
    <x v="6"/>
    <n v="32"/>
    <s v="AEU"/>
    <m/>
  </r>
  <r>
    <x v="85"/>
    <s v="WUXI"/>
    <s v="Main Line"/>
    <s v="CORE DG"/>
    <s v="Internal"/>
    <x v="2"/>
    <s v="CIF"/>
    <s v="SunPower Energy Solutions France SAS"/>
    <m/>
    <s v="Local WH - SPTN W75"/>
    <m/>
    <m/>
    <s v="n/a"/>
    <x v="1"/>
    <s v="3P meter"/>
    <x v="1"/>
    <m/>
    <x v="15"/>
    <m/>
    <m/>
    <n v="0"/>
    <s v="CT07"/>
    <s v="w25 PICK-UP"/>
    <s v="COMPLETED"/>
    <m/>
    <d v="2026-06-15T00:00:00"/>
    <n v="25"/>
    <x v="21"/>
    <m/>
    <s v="SHANGHAI"/>
    <s v="Shanghai"/>
    <x v="2"/>
    <x v="17"/>
    <d v="2026-06-22T00:00:00"/>
    <d v="2026-06-22T00:00:00"/>
    <d v="2026-07-23T00:00:00"/>
    <d v="2026-07-30T00:00:00"/>
    <x v="16"/>
    <s v="CIF"/>
    <s v="COSCO SHIPPING GEMINI 036W"/>
    <s v="COSCO"/>
    <s v="TPVB20260524005"/>
    <s v="COSU6503345880"/>
    <s v="COSU6503345880"/>
    <n v="35"/>
    <m/>
    <d v="2026-07-30T00:00:00"/>
    <x v="0"/>
    <d v="2026-08-10T00:00:00"/>
    <n v="7"/>
    <d v="2026-08-06T00:00:00"/>
    <x v="0"/>
    <x v="6"/>
    <n v="32"/>
    <s v="AEU"/>
    <m/>
  </r>
  <r>
    <x v="86"/>
    <s v="WUXI"/>
    <s v="Main Line"/>
    <s v="CORE DG"/>
    <s v="Internal"/>
    <x v="2"/>
    <s v="CIF"/>
    <s v="SunPower Energy Solutions France SAS"/>
    <m/>
    <s v="Local WH - SPTN W75"/>
    <m/>
    <m/>
    <s v="n/a"/>
    <x v="30"/>
    <s v="1P Current Transformer "/>
    <x v="26"/>
    <m/>
    <x v="40"/>
    <m/>
    <m/>
    <n v="0"/>
    <s v="CT07"/>
    <s v="w25 PICK-UP"/>
    <s v="COMPLETED"/>
    <m/>
    <d v="2026-06-15T00:00:00"/>
    <n v="25"/>
    <x v="21"/>
    <m/>
    <s v="SHANGHAI"/>
    <s v="Shanghai"/>
    <x v="2"/>
    <x v="17"/>
    <d v="2026-06-22T00:00:00"/>
    <d v="2026-06-22T00:00:00"/>
    <d v="2026-07-23T00:00:00"/>
    <d v="2026-07-30T00:00:00"/>
    <x v="16"/>
    <s v="CIF"/>
    <s v="COSCO SHIPPING GEMINI 036W"/>
    <s v="COSCO"/>
    <s v="TPVB20260524005"/>
    <s v="COSU6503345880"/>
    <s v="COSU6503345880"/>
    <n v="35"/>
    <m/>
    <d v="2026-07-30T00:00:00"/>
    <x v="0"/>
    <d v="2026-08-10T00:00:00"/>
    <n v="7"/>
    <d v="2026-08-06T00:00:00"/>
    <x v="0"/>
    <x v="6"/>
    <n v="32"/>
    <s v="AEU"/>
    <m/>
  </r>
  <r>
    <x v="87"/>
    <s v="WUXI"/>
    <s v="26APR006"/>
    <s v="CORE DG"/>
    <s v="Internal"/>
    <x v="2"/>
    <s v="CIF"/>
    <s v="SunPower Energy Solutions France SAS"/>
    <m/>
    <s v="Local WH - SPTN W75"/>
    <m/>
    <m/>
    <s v="n/a"/>
    <x v="2"/>
    <s v="Hybrid Inverter"/>
    <x v="2"/>
    <m/>
    <x v="2"/>
    <m/>
    <m/>
    <n v="1"/>
    <s v="CT08"/>
    <s v="w25 PICK-UP"/>
    <s v="COMPLETED"/>
    <m/>
    <d v="2026-06-15T00:00:00"/>
    <n v="25"/>
    <x v="21"/>
    <m/>
    <s v="SHANGHAI"/>
    <s v="Shanghai"/>
    <x v="2"/>
    <x v="17"/>
    <d v="2026-06-22T00:00:00"/>
    <d v="2026-06-22T00:00:00"/>
    <d v="2026-07-23T00:00:00"/>
    <d v="2026-07-30T00:00:00"/>
    <x v="16"/>
    <s v="CIF"/>
    <s v="COSCO SHIPPING GEMINI 036W"/>
    <s v="COSCO"/>
    <s v="TPVB20260524005"/>
    <s v="COSU6503345880"/>
    <s v="COSU6503345880"/>
    <n v="35"/>
    <m/>
    <d v="2026-07-30T00:00:00"/>
    <x v="0"/>
    <d v="2026-08-10T00:00:00"/>
    <n v="7"/>
    <d v="2026-08-06T00:00:00"/>
    <x v="0"/>
    <x v="6"/>
    <n v="32"/>
    <s v="AEU"/>
    <m/>
  </r>
  <r>
    <x v="88"/>
    <s v="WUXI"/>
    <s v="Main Line"/>
    <s v="CORE DG"/>
    <s v="Internal"/>
    <x v="2"/>
    <s v="CIF"/>
    <s v="SunPower Energy Solutions France SAS"/>
    <m/>
    <s v="Local WH - SPTN W75"/>
    <m/>
    <m/>
    <s v="n/a"/>
    <x v="31"/>
    <s v="Hybrid Inverter"/>
    <x v="27"/>
    <m/>
    <x v="4"/>
    <m/>
    <m/>
    <n v="0.19230769230769232"/>
    <s v="CT01"/>
    <s v="w25 PICK-UP"/>
    <s v="COMPLETED"/>
    <d v="2026-06-20T00:00:00"/>
    <d v="2026-06-22T00:00:00"/>
    <n v="26"/>
    <x v="22"/>
    <m/>
    <s v="SHANGHAI"/>
    <s v="Shanghai"/>
    <x v="2"/>
    <x v="18"/>
    <d v="2026-06-30T00:00:00"/>
    <d v="2026-06-30T00:00:00"/>
    <d v="2026-07-29T00:00:00"/>
    <d v="2026-08-04T00:00:00"/>
    <x v="17"/>
    <s v="CIF"/>
    <s v="COSCO SHIPPING SAGITTARIUS 034W"/>
    <s v="COSCO"/>
    <s v="TPVB20260524007"/>
    <s v="COSU6504808750"/>
    <s v="COSU6504808750"/>
    <n v="32"/>
    <m/>
    <d v="2026-08-06T00:00:00"/>
    <x v="0"/>
    <d v="2026-08-14T00:00:00"/>
    <n v="7"/>
    <d v="2026-08-13T00:00:00"/>
    <x v="0"/>
    <x v="6"/>
    <n v="33"/>
    <s v="AEU"/>
    <m/>
  </r>
  <r>
    <x v="89"/>
    <s v="WUXI"/>
    <s v="Main Line"/>
    <s v="CORE DG"/>
    <s v="Internal"/>
    <x v="2"/>
    <s v="CIF"/>
    <s v="SunPower Energy Solutions France SAS"/>
    <m/>
    <s v="Local WH - SPTN W75"/>
    <m/>
    <m/>
    <s v="n/a"/>
    <x v="32"/>
    <s v="High voltage distribution box"/>
    <x v="28"/>
    <m/>
    <x v="41"/>
    <m/>
    <m/>
    <n v="0.69565217391304346"/>
    <s v="CT01"/>
    <s v="w25 PICK-UP"/>
    <s v="COMPLETED"/>
    <d v="2026-06-20T00:00:00"/>
    <d v="2026-06-22T00:00:00"/>
    <n v="26"/>
    <x v="22"/>
    <m/>
    <s v="SHANGHAI"/>
    <s v="Shanghai"/>
    <x v="2"/>
    <x v="18"/>
    <d v="2026-06-30T00:00:00"/>
    <d v="2026-06-30T00:00:00"/>
    <d v="2026-07-29T00:00:00"/>
    <d v="2026-08-04T00:00:00"/>
    <x v="17"/>
    <s v="CIF"/>
    <s v="COSCO SHIPPING SAGITTARIUS 034W"/>
    <s v="COSCO"/>
    <s v="TPVB20260524007"/>
    <s v="COSU6504808750"/>
    <s v="COSU6504808750"/>
    <n v="32"/>
    <m/>
    <d v="2026-08-06T00:00:00"/>
    <x v="0"/>
    <d v="2026-08-14T00:00:00"/>
    <n v="7"/>
    <d v="2026-08-13T00:00:00"/>
    <x v="0"/>
    <x v="6"/>
    <n v="33"/>
    <s v="AEU"/>
    <m/>
  </r>
  <r>
    <x v="90"/>
    <s v="WUXI"/>
    <s v="Main Line"/>
    <s v="CORE DG"/>
    <s v="Internal"/>
    <x v="2"/>
    <s v="CIF"/>
    <s v="SunPower Energy Solutions France SAS"/>
    <m/>
    <s v="Local WH - SPTN W75"/>
    <m/>
    <m/>
    <s v="n/a"/>
    <x v="32"/>
    <s v="High voltage distribution box"/>
    <x v="28"/>
    <m/>
    <x v="22"/>
    <m/>
    <m/>
    <n v="2.1739130434782608E-2"/>
    <s v="CT01"/>
    <s v="w25 PICK-UP"/>
    <s v="COMPLETED"/>
    <d v="2026-06-20T00:00:00"/>
    <d v="2026-06-22T00:00:00"/>
    <n v="26"/>
    <x v="22"/>
    <m/>
    <s v="SHANGHAI"/>
    <s v="Shanghai"/>
    <x v="2"/>
    <x v="18"/>
    <d v="2026-06-30T00:00:00"/>
    <d v="2026-06-30T00:00:00"/>
    <d v="2026-07-29T00:00:00"/>
    <d v="2026-08-04T00:00:00"/>
    <x v="17"/>
    <s v="CIF"/>
    <s v="COSCO SHIPPING SAGITTARIUS 034W"/>
    <s v="COSCO"/>
    <s v="TPVB20260524007"/>
    <s v="COSU6504808750"/>
    <s v="COSU6504808750"/>
    <n v="32"/>
    <m/>
    <d v="2026-08-06T00:00:00"/>
    <x v="0"/>
    <d v="2026-08-14T00:00:00"/>
    <n v="7"/>
    <d v="2026-08-13T00:00:00"/>
    <x v="0"/>
    <x v="6"/>
    <n v="33"/>
    <s v="AEU"/>
    <m/>
  </r>
  <r>
    <x v="91"/>
    <s v="WUXI"/>
    <s v="Main Line"/>
    <s v="CORE DG"/>
    <s v="Internal"/>
    <x v="2"/>
    <s v="CIF"/>
    <s v="SunPower Energy Solutions France SAS"/>
    <m/>
    <s v="Local WH - SPTN W75"/>
    <m/>
    <m/>
    <s v="n/a"/>
    <x v="6"/>
    <s v="Rechargeable Li-ion Battery "/>
    <x v="6"/>
    <m/>
    <x v="12"/>
    <m/>
    <m/>
    <n v="1"/>
    <s v="CT02"/>
    <s v="w25 PICK-UP"/>
    <s v="COMPLETED"/>
    <d v="2026-06-20T00:00:00"/>
    <d v="2026-06-27T00:00:00"/>
    <n v="26"/>
    <x v="23"/>
    <m/>
    <s v="SHANGHAI"/>
    <s v="Shanghai"/>
    <x v="2"/>
    <x v="19"/>
    <d v="2026-07-04T00:00:00"/>
    <d v="2026-07-07T00:00:00"/>
    <d v="2026-08-15T00:00:00"/>
    <d v="2026-08-15T00:00:00"/>
    <x v="18"/>
    <s v="CIF"/>
    <s v="HANOI EXPRESS/627W"/>
    <s v="OTHER"/>
    <s v="TPVB20260524006"/>
    <n v="272092787"/>
    <n v="272092787"/>
    <n v="43"/>
    <m/>
    <d v="2026-08-15T00:00:00"/>
    <x v="0"/>
    <d v="2026-08-21T00:00:00"/>
    <n v="7"/>
    <d v="2026-08-22T00:00:00"/>
    <x v="0"/>
    <x v="6"/>
    <n v="34"/>
    <s v="AEU"/>
    <m/>
  </r>
  <r>
    <x v="92"/>
    <s v="WUXI"/>
    <s v="Main Line"/>
    <s v="CORE DG"/>
    <s v="Internal"/>
    <x v="2"/>
    <s v="CIF"/>
    <s v="SunPower Energy Solutions France SAS"/>
    <m/>
    <s v="Local WH - SPTN W75"/>
    <m/>
    <m/>
    <s v="n/a"/>
    <x v="33"/>
    <s v="Hybrid Inverter"/>
    <x v="29"/>
    <m/>
    <x v="42"/>
    <m/>
    <m/>
    <n v="0.41025641025641024"/>
    <s v="CT03"/>
    <s v="w26 PICK-UP"/>
    <s v="COMPLETED"/>
    <d v="2026-06-22T00:00:00"/>
    <d v="2026-06-27T00:00:00"/>
    <n v="26"/>
    <x v="23"/>
    <m/>
    <s v="SHANGHAI"/>
    <s v="Shanghai"/>
    <x v="2"/>
    <x v="19"/>
    <d v="2026-07-04T00:00:00"/>
    <d v="2026-07-07T00:00:00"/>
    <d v="2026-08-15T00:00:00"/>
    <d v="2026-08-15T00:00:00"/>
    <x v="18"/>
    <s v="CIF"/>
    <s v="HANOI EXPRESS/627W"/>
    <s v="OTHER"/>
    <s v="TPVB20260524006"/>
    <n v="272092787"/>
    <n v="272092787"/>
    <n v="43"/>
    <m/>
    <d v="2026-08-15T00:00:00"/>
    <x v="0"/>
    <d v="2026-08-21T00:00:00"/>
    <n v="7"/>
    <d v="2026-08-22T00:00:00"/>
    <x v="0"/>
    <x v="6"/>
    <n v="34"/>
    <s v="AEU"/>
    <m/>
  </r>
  <r>
    <x v="93"/>
    <s v="WUXI"/>
    <s v="Main Line"/>
    <s v="CORE DG"/>
    <s v="Internal"/>
    <x v="2"/>
    <s v="CIF"/>
    <s v="SunPower Energy Solutions France SAS"/>
    <m/>
    <s v="Local WH - SPTN W75"/>
    <m/>
    <m/>
    <s v="n/a"/>
    <x v="33"/>
    <s v="Hybrid Inverter"/>
    <x v="29"/>
    <m/>
    <x v="43"/>
    <m/>
    <m/>
    <n v="1.282051282051282E-2"/>
    <s v="CT03"/>
    <s v="w26 PICK-UP"/>
    <s v="COMPLETED"/>
    <d v="2026-06-22T00:00:00"/>
    <d v="2026-06-27T00:00:00"/>
    <n v="26"/>
    <x v="23"/>
    <m/>
    <s v="SHANGHAI"/>
    <s v="Shanghai"/>
    <x v="2"/>
    <x v="19"/>
    <d v="2026-07-04T00:00:00"/>
    <d v="2026-07-07T00:00:00"/>
    <d v="2026-08-15T00:00:00"/>
    <d v="2026-08-15T00:00:00"/>
    <x v="18"/>
    <s v="CIF"/>
    <s v="HANOI EXPRESS/627W"/>
    <s v="OTHER"/>
    <s v="TPVB20260524006"/>
    <n v="272092787"/>
    <n v="272092787"/>
    <n v="43"/>
    <m/>
    <d v="2026-08-15T00:00:00"/>
    <x v="0"/>
    <d v="2026-08-21T00:00:00"/>
    <n v="7"/>
    <d v="2026-08-22T00:00:00"/>
    <x v="0"/>
    <x v="6"/>
    <n v="34"/>
    <s v="AEU"/>
    <m/>
  </r>
  <r>
    <x v="94"/>
    <s v="WUXI"/>
    <s v="Main Line"/>
    <s v="CORE DG"/>
    <s v="Internal"/>
    <x v="2"/>
    <s v="CIF"/>
    <s v="SunPower Energy Solutions France SAS"/>
    <m/>
    <s v="Local WH - SPTN W75"/>
    <m/>
    <m/>
    <s v="n/a"/>
    <x v="31"/>
    <s v="Hybrid Inverter"/>
    <x v="27"/>
    <m/>
    <x v="43"/>
    <m/>
    <m/>
    <n v="1.282051282051282E-2"/>
    <s v="CT03"/>
    <s v="w26 PICK-UP"/>
    <s v="COMPLETED"/>
    <d v="2026-06-22T00:00:00"/>
    <d v="2026-06-27T00:00:00"/>
    <n v="26"/>
    <x v="23"/>
    <m/>
    <s v="SHANGHAI"/>
    <s v="Shanghai"/>
    <x v="2"/>
    <x v="19"/>
    <d v="2026-07-04T00:00:00"/>
    <d v="2026-07-07T00:00:00"/>
    <d v="2026-08-15T00:00:00"/>
    <d v="2026-08-15T00:00:00"/>
    <x v="18"/>
    <s v="CIF"/>
    <s v="HANOI EXPRESS/627W"/>
    <s v="OTHER"/>
    <s v="TPVB20260524006"/>
    <n v="272092787"/>
    <n v="272092787"/>
    <n v="43"/>
    <m/>
    <d v="2026-08-15T00:00:00"/>
    <x v="0"/>
    <d v="2026-08-21T00:00:00"/>
    <n v="7"/>
    <d v="2026-08-22T00:00:00"/>
    <x v="0"/>
    <x v="6"/>
    <n v="34"/>
    <s v="AEU"/>
    <m/>
  </r>
  <r>
    <x v="95"/>
    <s v="WUXI"/>
    <s v="Main Line"/>
    <s v="CORE DG"/>
    <s v="Internal"/>
    <x v="2"/>
    <s v="CIF"/>
    <s v="SunPower Energy Solutions France SAS"/>
    <m/>
    <s v="Local WH - SPTN W75"/>
    <m/>
    <m/>
    <s v="n/a"/>
    <x v="31"/>
    <s v="Hybrid Inverter"/>
    <x v="27"/>
    <m/>
    <x v="9"/>
    <m/>
    <m/>
    <n v="6.41025641025641E-3"/>
    <s v="CT03"/>
    <s v="w26 PICK-UP"/>
    <s v="COMPLETED"/>
    <d v="2026-06-22T00:00:00"/>
    <d v="2026-06-27T00:00:00"/>
    <n v="26"/>
    <x v="23"/>
    <m/>
    <s v="SHANGHAI"/>
    <s v="Shanghai"/>
    <x v="2"/>
    <x v="19"/>
    <d v="2026-07-04T00:00:00"/>
    <d v="2026-07-07T00:00:00"/>
    <d v="2026-08-15T00:00:00"/>
    <d v="2026-08-15T00:00:00"/>
    <x v="18"/>
    <s v="CIF"/>
    <s v="HANOI EXPRESS/627W"/>
    <s v="OTHER"/>
    <s v="TPVB20260524006"/>
    <n v="272092787"/>
    <n v="272092787"/>
    <n v="43"/>
    <m/>
    <d v="2026-08-15T00:00:00"/>
    <x v="0"/>
    <d v="2026-08-21T00:00:00"/>
    <n v="7"/>
    <d v="2026-08-22T00:00:00"/>
    <x v="0"/>
    <x v="6"/>
    <n v="34"/>
    <s v="AEU"/>
    <m/>
  </r>
  <r>
    <x v="96"/>
    <s v="WUXI"/>
    <s v="Main Line"/>
    <s v="CORE DG"/>
    <s v="Internal"/>
    <x v="2"/>
    <s v="CIF"/>
    <s v="SunPower Energy Solutions France SAS"/>
    <m/>
    <s v="Local WH - SPTN W75"/>
    <m/>
    <m/>
    <s v="n/a"/>
    <x v="6"/>
    <s v="Rechargeable Li-ion Battery "/>
    <x v="6"/>
    <m/>
    <x v="44"/>
    <m/>
    <m/>
    <n v="0.39130434782608697"/>
    <s v="CT03"/>
    <s v="w26 PICK-UP"/>
    <s v="COMPLETED"/>
    <d v="2026-06-22T00:00:00"/>
    <d v="2026-06-27T00:00:00"/>
    <n v="26"/>
    <x v="23"/>
    <m/>
    <s v="SHANGHAI"/>
    <s v="Shanghai"/>
    <x v="2"/>
    <x v="19"/>
    <d v="2026-07-04T00:00:00"/>
    <d v="2026-07-07T00:00:00"/>
    <d v="2026-08-15T00:00:00"/>
    <d v="2026-08-15T00:00:00"/>
    <x v="18"/>
    <s v="CIF"/>
    <s v="HANOI EXPRESS/627W"/>
    <s v="OTHER"/>
    <s v="TPVB20260524006"/>
    <n v="272092787"/>
    <n v="272092787"/>
    <n v="43"/>
    <m/>
    <d v="2026-08-15T00:00:00"/>
    <x v="0"/>
    <d v="2026-08-21T00:00:00"/>
    <n v="7"/>
    <d v="2026-08-22T00:00:00"/>
    <x v="0"/>
    <x v="6"/>
    <n v="34"/>
    <s v="AEU"/>
    <m/>
  </r>
  <r>
    <x v="97"/>
    <s v="WUXI"/>
    <s v="Main Line"/>
    <s v="CORE DG"/>
    <s v="Internal"/>
    <x v="2"/>
    <s v="CIF"/>
    <s v="SunPower Energy Solutions France SAS"/>
    <m/>
    <s v="Local WH - SPTN W75"/>
    <m/>
    <m/>
    <s v="n/a"/>
    <x v="6"/>
    <s v="Rechargeable Li-ion Battery "/>
    <x v="6"/>
    <m/>
    <x v="11"/>
    <m/>
    <m/>
    <n v="4.3478260869565216E-2"/>
    <s v="CT03"/>
    <s v="w26 PICK-UP"/>
    <s v="COMPLETED"/>
    <d v="2026-06-22T00:00:00"/>
    <d v="2026-06-27T00:00:00"/>
    <n v="26"/>
    <x v="23"/>
    <m/>
    <s v="SHANGHAI"/>
    <s v="Shanghai"/>
    <x v="2"/>
    <x v="19"/>
    <d v="2026-07-04T00:00:00"/>
    <d v="2026-07-07T00:00:00"/>
    <d v="2026-08-15T00:00:00"/>
    <d v="2026-08-15T00:00:00"/>
    <x v="18"/>
    <s v="CIF"/>
    <s v="HANOI EXPRESS/627W"/>
    <s v="OTHER"/>
    <s v="TPVB20260524006"/>
    <n v="272092787"/>
    <n v="272092787"/>
    <n v="43"/>
    <m/>
    <d v="2026-08-15T00:00:00"/>
    <x v="0"/>
    <d v="2026-08-21T00:00:00"/>
    <n v="7"/>
    <d v="2026-08-22T00:00:00"/>
    <x v="0"/>
    <x v="6"/>
    <n v="34"/>
    <s v="AEU"/>
    <m/>
  </r>
  <r>
    <x v="98"/>
    <s v="WUXI"/>
    <s v="Main Line"/>
    <s v="CORE DG"/>
    <s v="Offshore"/>
    <x v="3"/>
    <s v="FOB"/>
    <s v="TCL Energy Solution Co.,Ltd"/>
    <m/>
    <m/>
    <m/>
    <m/>
    <m/>
    <x v="2"/>
    <s v="Hybrid Inverter"/>
    <x v="2"/>
    <m/>
    <x v="8"/>
    <m/>
    <m/>
    <n v="3.2608695652173912E-2"/>
    <s v="CT11-20GP"/>
    <s v="W27 PICK-UP"/>
    <s v="COMPLETED"/>
    <d v="2026-07-04T00:00:00"/>
    <d v="2026-08-22T00:00:00"/>
    <n v="34"/>
    <x v="24"/>
    <m/>
    <s v="SHANGHAI"/>
    <s v="Shanghai"/>
    <x v="1"/>
    <x v="20"/>
    <d v="2026-09-08T00:00:00"/>
    <d v="2026-09-07T00:00:00"/>
    <d v="2026-10-02T00:00:00"/>
    <d v="2026-10-16T00:00:00"/>
    <x v="19"/>
    <s v="FOB"/>
    <s v="HYUNDAI BUSAN/0K13VW"/>
    <s v="OTHER"/>
    <s v="TPVO2026062401"/>
    <d v="2026-10-16T00:00:00"/>
    <s v="CHN3911896"/>
    <n v="36"/>
    <m/>
    <d v="2026-10-18T00:00:00"/>
    <x v="1"/>
    <s v=""/>
    <n v="0"/>
    <d v="2026-10-18T00:00:00"/>
    <x v="0"/>
    <x v="7"/>
    <n v="42"/>
    <s v="n/a"/>
    <m/>
  </r>
  <r>
    <x v="99"/>
    <s v="WUXI"/>
    <s v="Main Line"/>
    <s v="CORE DG"/>
    <s v="Offshore"/>
    <x v="3"/>
    <s v="FOB"/>
    <s v="TCL Energy Solution Co.,Ltd"/>
    <m/>
    <m/>
    <m/>
    <m/>
    <m/>
    <x v="4"/>
    <s v="Hybrid Inverter"/>
    <x v="4"/>
    <m/>
    <x v="25"/>
    <m/>
    <m/>
    <n v="5.7971014492753624E-2"/>
    <s v="CT11-20GP"/>
    <s v="W27 PICK-UP"/>
    <s v="COMPLETED"/>
    <d v="2026-07-04T00:00:00"/>
    <d v="2026-08-22T00:00:00"/>
    <n v="34"/>
    <x v="24"/>
    <m/>
    <s v="SHANGHAI"/>
    <s v="Shanghai"/>
    <x v="1"/>
    <x v="20"/>
    <d v="2026-09-08T00:00:00"/>
    <d v="2026-09-07T00:00:00"/>
    <d v="2026-10-02T00:00:00"/>
    <d v="2026-10-16T00:00:00"/>
    <x v="19"/>
    <s v="FOB"/>
    <s v="HYUNDAI BUSAN/0K13VW"/>
    <s v="OTHER"/>
    <s v="TPVO2026062401"/>
    <d v="2026-10-16T00:00:00"/>
    <s v="CHN3911896"/>
    <n v="36"/>
    <m/>
    <d v="2026-10-18T00:00:00"/>
    <x v="1"/>
    <s v=""/>
    <n v="0"/>
    <d v="2026-10-18T00:00:00"/>
    <x v="0"/>
    <x v="7"/>
    <n v="42"/>
    <s v="n/a"/>
    <m/>
  </r>
  <r>
    <x v="100"/>
    <s v="WUXI"/>
    <s v="Main Line"/>
    <s v="CORE DG"/>
    <s v="Offshore"/>
    <x v="3"/>
    <s v="FOB"/>
    <s v="TCL Energy Solution Co.,Ltd"/>
    <m/>
    <m/>
    <m/>
    <m/>
    <m/>
    <x v="5"/>
    <s v="High voltage distribution box"/>
    <x v="5"/>
    <m/>
    <x v="45"/>
    <m/>
    <m/>
    <n v="9.0579710144927536E-2"/>
    <s v="CT11-20GP"/>
    <s v="W27 PICK-UP"/>
    <s v="COMPLETED"/>
    <d v="2026-07-04T00:00:00"/>
    <d v="2026-08-22T00:00:00"/>
    <n v="34"/>
    <x v="24"/>
    <m/>
    <s v="SHANGHAI"/>
    <s v="Shanghai"/>
    <x v="1"/>
    <x v="20"/>
    <d v="2026-09-08T00:00:00"/>
    <d v="2026-09-07T00:00:00"/>
    <d v="2026-10-02T00:00:00"/>
    <d v="2026-10-16T00:00:00"/>
    <x v="19"/>
    <s v="FOB"/>
    <s v="HYUNDAI BUSAN/0K13VW"/>
    <s v="OTHER"/>
    <s v="TPVO2026062401"/>
    <d v="2026-10-16T00:00:00"/>
    <s v="CHN3911896"/>
    <n v="36"/>
    <m/>
    <d v="2026-10-18T00:00:00"/>
    <x v="1"/>
    <s v=""/>
    <n v="0"/>
    <d v="2026-10-18T00:00:00"/>
    <x v="0"/>
    <x v="7"/>
    <n v="42"/>
    <s v="n/a"/>
    <m/>
  </r>
  <r>
    <x v="101"/>
    <s v="WUXI"/>
    <s v="Main Line"/>
    <s v="CORE DG"/>
    <s v="Offshore"/>
    <x v="3"/>
    <s v="FOB"/>
    <s v="TCL Energy Solution Co.,Ltd"/>
    <m/>
    <m/>
    <m/>
    <m/>
    <m/>
    <x v="6"/>
    <s v="Rechargeable Li-ion Battery"/>
    <x v="6"/>
    <m/>
    <x v="46"/>
    <m/>
    <m/>
    <n v="0.28985507246376813"/>
    <s v="CT11-20GP"/>
    <s v="W27 PICK-UP"/>
    <s v="COMPLETED"/>
    <d v="2026-07-04T00:00:00"/>
    <d v="2026-08-22T00:00:00"/>
    <n v="34"/>
    <x v="24"/>
    <m/>
    <s v="SHANGHAI"/>
    <s v="Shanghai"/>
    <x v="1"/>
    <x v="20"/>
    <d v="2026-09-08T00:00:00"/>
    <d v="2026-09-07T00:00:00"/>
    <d v="2026-10-02T00:00:00"/>
    <d v="2026-10-16T00:00:00"/>
    <x v="19"/>
    <s v="FOB"/>
    <s v="HYUNDAI BUSAN/0K13VW"/>
    <s v="OTHER"/>
    <s v="TPVO2026062401"/>
    <d v="2026-10-16T00:00:00"/>
    <s v="CHN3911896"/>
    <n v="36"/>
    <m/>
    <d v="2026-10-18T00:00:00"/>
    <x v="1"/>
    <s v=""/>
    <n v="0"/>
    <d v="2026-10-18T00:00:00"/>
    <x v="0"/>
    <x v="7"/>
    <n v="42"/>
    <s v="n/a"/>
    <m/>
  </r>
  <r>
    <x v="102"/>
    <s v="WUXI"/>
    <s v="Main Line"/>
    <s v="CORE DG"/>
    <s v="Internal"/>
    <x v="2"/>
    <s v="CIF"/>
    <s v="SunPower Energy Solutions France SAS"/>
    <m/>
    <s v="Local WH - SPTN W76"/>
    <m/>
    <m/>
    <s v="n/a"/>
    <x v="6"/>
    <s v="Rechargeable Li-ion Battery"/>
    <x v="6"/>
    <m/>
    <x v="47"/>
    <m/>
    <m/>
    <n v="0.82246376811594202"/>
    <s v="CT01"/>
    <s v="W27 PICK-UP"/>
    <s v="COMPLETED"/>
    <d v="2026-06-30T00:00:00"/>
    <d v="2026-07-01T00:00:00"/>
    <n v="27"/>
    <x v="25"/>
    <m/>
    <s v="SHANGHAI"/>
    <s v="Shanghai"/>
    <x v="0"/>
    <x v="21"/>
    <d v="2026-07-14T00:00:00"/>
    <d v="2026-07-14T00:00:00"/>
    <d v="2026-08-26T00:00:00"/>
    <d v="2026-08-26T00:00:00"/>
    <x v="20"/>
    <s v="CIF"/>
    <s v="ADRIAN MAERSK/626W"/>
    <s v="OTHER"/>
    <s v="TPVB20260524008"/>
    <n v="272270746"/>
    <n v="272270746"/>
    <n v="50"/>
    <m/>
    <d v="2026-08-19T00:00:00"/>
    <x v="0"/>
    <d v="2026-09-03T00:00:00"/>
    <n v="8"/>
    <d v="2026-08-27T00:00:00"/>
    <x v="0"/>
    <x v="6"/>
    <n v="35"/>
    <s v="AEM"/>
    <m/>
  </r>
  <r>
    <x v="103"/>
    <s v="WUXI"/>
    <s v="Main Line"/>
    <s v="CORE DG"/>
    <s v="Internal"/>
    <x v="2"/>
    <s v="CIF"/>
    <s v="SunPower Energy Solutions France SAS"/>
    <m/>
    <s v="Local WH - SPTN W75"/>
    <m/>
    <m/>
    <s v="n/a"/>
    <x v="6"/>
    <s v="Rechargeable Li-ion Battery"/>
    <x v="6"/>
    <m/>
    <x v="48"/>
    <m/>
    <m/>
    <n v="0.17753623188405798"/>
    <s v="CT01"/>
    <s v="W27 PICK-UP"/>
    <s v="COMPLETED"/>
    <d v="2026-06-30T00:00:00"/>
    <d v="2026-07-01T00:00:00"/>
    <n v="27"/>
    <x v="25"/>
    <m/>
    <s v="SHANGHAI"/>
    <s v="Shanghai"/>
    <x v="0"/>
    <x v="21"/>
    <d v="2026-07-14T00:00:00"/>
    <d v="2026-07-14T00:00:00"/>
    <d v="2026-08-26T00:00:00"/>
    <d v="2026-08-26T00:00:00"/>
    <x v="20"/>
    <s v="CIF"/>
    <s v="ADRIAN MAERSK/626W"/>
    <s v="OTHER"/>
    <s v="TPVB20260524008"/>
    <n v="272270746"/>
    <n v="272270746"/>
    <n v="50"/>
    <m/>
    <d v="2026-08-19T00:00:00"/>
    <x v="0"/>
    <d v="2026-09-03T00:00:00"/>
    <n v="8"/>
    <d v="2026-08-27T00:00:00"/>
    <x v="0"/>
    <x v="6"/>
    <n v="35"/>
    <s v="AEM"/>
    <m/>
  </r>
  <r>
    <x v="104"/>
    <s v="WUXI"/>
    <s v="Main Line"/>
    <s v="CORE DG"/>
    <s v="Internal"/>
    <x v="2"/>
    <s v="CIF"/>
    <s v="SunPower Energy Solutions France SAS"/>
    <m/>
    <s v="Local WH - SPTN W75"/>
    <m/>
    <m/>
    <s v="n/a"/>
    <x v="7"/>
    <s v="Hybrid Inverter"/>
    <x v="7"/>
    <m/>
    <x v="1"/>
    <m/>
    <m/>
    <n v="0.10714285714285714"/>
    <s v="CT02"/>
    <s v="W27 PICK-UP"/>
    <s v="COMPLETED"/>
    <d v="2026-06-30T00:00:00"/>
    <d v="2026-06-30T00:00:00"/>
    <n v="27"/>
    <x v="26"/>
    <m/>
    <s v="SHANGHAI"/>
    <s v="Shanghai"/>
    <x v="0"/>
    <x v="22"/>
    <d v="2026-07-29T00:00:00"/>
    <d v="2026-07-29T00:00:00"/>
    <d v="2026-08-19T00:00:00"/>
    <d v="2026-09-07T00:00:00"/>
    <x v="21"/>
    <s v="CIF"/>
    <s v="CMA CGM ZEPHYR/0MEO9W1MA"/>
    <s v="COSCO"/>
    <s v="TPVB20260623001"/>
    <s v="COSU6505830930"/>
    <s v="COSU6505830930"/>
    <n v="44"/>
    <m/>
    <d v="2026-09-07T00:00:00"/>
    <x v="2"/>
    <d v="2026-09-14T00:00:00"/>
    <n v="8"/>
    <d v="2026-09-15T00:00:00"/>
    <x v="0"/>
    <x v="8"/>
    <n v="38"/>
    <s v="AEM"/>
    <m/>
  </r>
  <r>
    <x v="105"/>
    <s v="WUXI"/>
    <s v="Main Line"/>
    <s v="CORE DG"/>
    <s v="Internal"/>
    <x v="2"/>
    <s v="CIF"/>
    <s v="SunPower Energy Solutions France SAS"/>
    <m/>
    <s v="Local WH - SPTN W75"/>
    <m/>
    <m/>
    <s v="n/a"/>
    <x v="7"/>
    <s v="Hybrid Inverter"/>
    <x v="7"/>
    <m/>
    <x v="10"/>
    <m/>
    <m/>
    <n v="4.464285714285714E-3"/>
    <s v="CT02"/>
    <s v="W27 PICK-UP"/>
    <s v="COMPLETED"/>
    <d v="2026-06-30T00:00:00"/>
    <d v="2026-06-30T00:00:00"/>
    <n v="27"/>
    <x v="26"/>
    <m/>
    <s v="SHANGHAI"/>
    <s v="Shanghai"/>
    <x v="0"/>
    <x v="22"/>
    <d v="2026-07-29T00:00:00"/>
    <d v="2026-07-29T00:00:00"/>
    <d v="2026-08-19T00:00:00"/>
    <d v="2026-09-07T00:00:00"/>
    <x v="21"/>
    <s v="CIF"/>
    <s v="CMA CGM ZEPHYR/0MEO9W1MA"/>
    <s v="COSCO"/>
    <s v="TPVB20260623001"/>
    <s v="COSU6505830930"/>
    <s v="COSU6505830930"/>
    <n v="44"/>
    <m/>
    <d v="2026-09-07T00:00:00"/>
    <x v="2"/>
    <d v="2026-09-14T00:00:00"/>
    <n v="8"/>
    <d v="2026-09-15T00:00:00"/>
    <x v="0"/>
    <x v="8"/>
    <n v="38"/>
    <s v="AEM"/>
    <m/>
  </r>
  <r>
    <x v="106"/>
    <s v="WUXI"/>
    <s v="Main Line"/>
    <s v="CORE DG"/>
    <s v="Internal"/>
    <x v="2"/>
    <s v="CIF"/>
    <s v="SunPower Energy Solutions France SAS"/>
    <m/>
    <s v="Local WH - SPTN W75"/>
    <m/>
    <m/>
    <s v="n/a"/>
    <x v="4"/>
    <s v="Hybrid Inverter"/>
    <x v="4"/>
    <m/>
    <x v="7"/>
    <m/>
    <m/>
    <n v="0.20089285714285715"/>
    <s v="CT02"/>
    <s v="W27 PICK-UP"/>
    <s v="COMPLETED"/>
    <d v="2026-06-30T00:00:00"/>
    <d v="2026-06-30T00:00:00"/>
    <n v="27"/>
    <x v="26"/>
    <m/>
    <s v="SHANGHAI"/>
    <s v="Shanghai"/>
    <x v="0"/>
    <x v="22"/>
    <d v="2026-07-29T00:00:00"/>
    <d v="2026-07-29T00:00:00"/>
    <d v="2026-08-19T00:00:00"/>
    <d v="2026-09-07T00:00:00"/>
    <x v="21"/>
    <s v="CIF"/>
    <s v="CMA CGM ZEPHYR/0MEO9W1MA"/>
    <s v="COSCO"/>
    <s v="TPVB20260623001"/>
    <s v="COSU6505830930"/>
    <s v="COSU6505830930"/>
    <n v="44"/>
    <m/>
    <d v="2026-09-07T00:00:00"/>
    <x v="2"/>
    <d v="2026-09-14T00:00:00"/>
    <n v="8"/>
    <d v="2026-09-15T00:00:00"/>
    <x v="0"/>
    <x v="8"/>
    <n v="38"/>
    <s v="AEM"/>
    <m/>
  </r>
  <r>
    <x v="107"/>
    <s v="WUXI"/>
    <s v="Main Line"/>
    <s v="CORE DG"/>
    <s v="Internal"/>
    <x v="2"/>
    <s v="CIF"/>
    <s v="SunPower Energy Solutions France SAS"/>
    <m/>
    <s v="Local WH - SPTN W75"/>
    <m/>
    <m/>
    <s v="n/a"/>
    <x v="4"/>
    <s v="Hybrid Inverter"/>
    <x v="4"/>
    <m/>
    <x v="9"/>
    <m/>
    <m/>
    <n v="8.9285714285714281E-3"/>
    <s v="CT02"/>
    <s v="W27 PICK-UP"/>
    <s v="COMPLETED"/>
    <d v="2026-06-30T00:00:00"/>
    <d v="2026-06-30T00:00:00"/>
    <n v="27"/>
    <x v="26"/>
    <m/>
    <s v="SHANGHAI"/>
    <s v="Shanghai"/>
    <x v="0"/>
    <x v="22"/>
    <d v="2026-07-29T00:00:00"/>
    <d v="2026-07-29T00:00:00"/>
    <d v="2026-08-19T00:00:00"/>
    <d v="2026-09-07T00:00:00"/>
    <x v="21"/>
    <s v="CIF"/>
    <s v="CMA CGM ZEPHYR/0MEO9W1MA"/>
    <s v="COSCO"/>
    <s v="TPVB20260623001"/>
    <s v="COSU6505830930"/>
    <s v="COSU6505830930"/>
    <n v="44"/>
    <m/>
    <d v="2026-09-07T00:00:00"/>
    <x v="2"/>
    <d v="2026-09-14T00:00:00"/>
    <n v="8"/>
    <d v="2026-09-15T00:00:00"/>
    <x v="0"/>
    <x v="8"/>
    <n v="38"/>
    <s v="AEM"/>
    <m/>
  </r>
  <r>
    <x v="108"/>
    <s v="WUXI"/>
    <s v="Main Line"/>
    <s v="CORE DG"/>
    <s v="Internal"/>
    <x v="2"/>
    <s v="CIF"/>
    <s v="SunPower Energy Solutions France SAS"/>
    <m/>
    <s v="Local WH - SPTN W75"/>
    <m/>
    <m/>
    <s v="n/a"/>
    <x v="5"/>
    <s v="High voltage distribution box"/>
    <x v="5"/>
    <m/>
    <x v="49"/>
    <m/>
    <m/>
    <n v="0.44285714285714284"/>
    <s v="CT02"/>
    <s v="W27 PICK-UP"/>
    <s v="COMPLETED"/>
    <d v="2026-06-30T00:00:00"/>
    <d v="2026-06-30T00:00:00"/>
    <n v="27"/>
    <x v="26"/>
    <m/>
    <s v="SHANGHAI"/>
    <s v="Shanghai"/>
    <x v="0"/>
    <x v="22"/>
    <d v="2026-07-29T00:00:00"/>
    <d v="2026-07-29T00:00:00"/>
    <d v="2026-08-19T00:00:00"/>
    <d v="2026-09-07T00:00:00"/>
    <x v="21"/>
    <s v="CIF"/>
    <s v="CMA CGM ZEPHYR/0MEO9W1MA"/>
    <s v="COSCO"/>
    <s v="TPVB20260623001"/>
    <s v="COSU6505830930"/>
    <s v="COSU6505830930"/>
    <n v="44"/>
    <m/>
    <d v="2026-09-07T00:00:00"/>
    <x v="2"/>
    <d v="2026-09-14T00:00:00"/>
    <n v="8"/>
    <d v="2026-09-15T00:00:00"/>
    <x v="0"/>
    <x v="8"/>
    <n v="38"/>
    <s v="AEM"/>
    <m/>
  </r>
  <r>
    <x v="109"/>
    <s v="WUXI"/>
    <s v="Main Line"/>
    <s v="CORE DG"/>
    <s v="Internal"/>
    <x v="2"/>
    <s v="CIF"/>
    <s v="SunPower Energy Solutions France SAS"/>
    <m/>
    <s v="Local WH - SPTN W75"/>
    <m/>
    <m/>
    <s v="n/a"/>
    <x v="5"/>
    <s v="High voltage distribution box"/>
    <x v="5"/>
    <m/>
    <x v="50"/>
    <m/>
    <m/>
    <n v="4.2857142857142858E-2"/>
    <s v="CT02"/>
    <s v="W27 PICK-UP"/>
    <s v="COMPLETED"/>
    <d v="2026-06-30T00:00:00"/>
    <d v="2026-06-30T00:00:00"/>
    <n v="27"/>
    <x v="26"/>
    <m/>
    <s v="SHANGHAI"/>
    <s v="Shanghai"/>
    <x v="0"/>
    <x v="22"/>
    <d v="2026-07-29T00:00:00"/>
    <d v="2026-07-29T00:00:00"/>
    <d v="2026-08-19T00:00:00"/>
    <d v="2026-09-07T00:00:00"/>
    <x v="21"/>
    <s v="CIF"/>
    <s v="CMA CGM ZEPHYR/0MEO9W1MA"/>
    <s v="COSCO"/>
    <s v="TPVB20260623001"/>
    <s v="COSU6505830930"/>
    <s v="COSU6505830930"/>
    <n v="44"/>
    <m/>
    <d v="2026-09-07T00:00:00"/>
    <x v="2"/>
    <d v="2026-09-14T00:00:00"/>
    <n v="8"/>
    <d v="2026-09-15T00:00:00"/>
    <x v="0"/>
    <x v="8"/>
    <n v="38"/>
    <s v="AEM"/>
    <m/>
  </r>
  <r>
    <x v="110"/>
    <s v="WUXI"/>
    <s v="Main Line"/>
    <s v="CORE DG"/>
    <s v="Internal"/>
    <x v="2"/>
    <s v="CIF"/>
    <s v="SunPower Energy Solutions France SAS"/>
    <m/>
    <s v="Local WH - SPTN W75"/>
    <m/>
    <m/>
    <s v="n/a"/>
    <x v="0"/>
    <s v="1P meter"/>
    <x v="0"/>
    <m/>
    <x v="51"/>
    <m/>
    <m/>
    <n v="0.19"/>
    <s v="CT02"/>
    <s v="W27 PICK-UP"/>
    <s v="COMPLETED"/>
    <d v="2026-06-30T00:00:00"/>
    <d v="2026-06-30T00:00:00"/>
    <n v="27"/>
    <x v="26"/>
    <m/>
    <s v="SHANGHAI"/>
    <s v="Shanghai"/>
    <x v="0"/>
    <x v="22"/>
    <d v="2026-07-29T00:00:00"/>
    <d v="2026-07-29T00:00:00"/>
    <d v="2026-08-19T00:00:00"/>
    <d v="2026-09-07T00:00:00"/>
    <x v="21"/>
    <s v="CIF"/>
    <s v="CMA CGM ZEPHYR/0MEO9W1MA"/>
    <s v="COSCO"/>
    <s v="TPVB20260623001"/>
    <s v="COSU6505830930"/>
    <s v="COSU6505830930"/>
    <n v="44"/>
    <m/>
    <d v="2026-09-07T00:00:00"/>
    <x v="2"/>
    <d v="2026-09-14T00:00:00"/>
    <n v="8"/>
    <d v="2026-09-15T00:00:00"/>
    <x v="0"/>
    <x v="8"/>
    <n v="38"/>
    <s v="AEM"/>
    <m/>
  </r>
  <r>
    <x v="111"/>
    <s v="WUXI"/>
    <s v="Main Line"/>
    <s v="CORE DG"/>
    <s v="Internal"/>
    <x v="2"/>
    <s v="CIF"/>
    <s v="SunPower Energy Solutions France SAS"/>
    <m/>
    <s v="Local WH - SPTN W75"/>
    <m/>
    <m/>
    <s v="n/a"/>
    <x v="2"/>
    <s v="Hybrid Inverter"/>
    <x v="2"/>
    <m/>
    <x v="52"/>
    <m/>
    <m/>
    <n v="0.8839285714285714"/>
    <s v="CT03"/>
    <s v="W27 PICK-UP"/>
    <s v="COMPLETED"/>
    <d v="2026-07-07T00:00:00"/>
    <d v="2026-07-07T00:00:00"/>
    <n v="28"/>
    <x v="26"/>
    <m/>
    <s v="SHANGHAI"/>
    <s v="Shanghai"/>
    <x v="0"/>
    <x v="23"/>
    <d v="2026-07-29T00:00:00"/>
    <d v="2026-07-29T00:00:00"/>
    <d v="2026-08-26T00:00:00"/>
    <d v="2026-09-07T00:00:00"/>
    <x v="21"/>
    <s v="CIF"/>
    <s v="CMA CGM ZEPHYR/0MEO9W1MA"/>
    <s v="COSCO"/>
    <s v="TPVB20260623002"/>
    <s v="COSU6506636510"/>
    <s v="COSU6506636510"/>
    <n v="45"/>
    <m/>
    <d v="2026-09-07T00:00:00"/>
    <x v="2"/>
    <d v="2026-09-14T00:00:00"/>
    <n v="8"/>
    <d v="2026-09-15T00:00:00"/>
    <x v="0"/>
    <x v="8"/>
    <n v="38"/>
    <s v="AEM"/>
    <m/>
  </r>
  <r>
    <x v="112"/>
    <s v="WUXI"/>
    <s v="Main Line"/>
    <s v="CORE DG"/>
    <s v="Internal"/>
    <x v="2"/>
    <s v="CIF"/>
    <s v="SunPower Energy Solutions France SAS"/>
    <m/>
    <s v="Local WH - SPTN W75"/>
    <m/>
    <m/>
    <s v="n/a"/>
    <x v="2"/>
    <s v="Hybrid Inverter"/>
    <x v="2"/>
    <m/>
    <x v="33"/>
    <m/>
    <m/>
    <n v="6.25E-2"/>
    <s v="CT03"/>
    <s v="W27 PICK-UP"/>
    <s v="COMPLETED"/>
    <d v="2026-07-07T00:00:00"/>
    <d v="2026-07-07T00:00:00"/>
    <n v="28"/>
    <x v="26"/>
    <m/>
    <s v="SHANGHAI"/>
    <s v="Shanghai"/>
    <x v="0"/>
    <x v="23"/>
    <d v="2026-07-29T00:00:00"/>
    <d v="2026-07-29T00:00:00"/>
    <d v="2026-08-26T00:00:00"/>
    <d v="2026-09-07T00:00:00"/>
    <x v="21"/>
    <s v="CIF"/>
    <s v="CMA CGM ZEPHYR/0MEO9W1MA"/>
    <s v="COSCO"/>
    <s v="TPVB20260623002"/>
    <s v="COSU6506636510"/>
    <s v="COSU6506636510"/>
    <n v="45"/>
    <m/>
    <d v="2026-09-07T00:00:00"/>
    <x v="2"/>
    <d v="2026-09-14T00:00:00"/>
    <n v="8"/>
    <d v="2026-09-15T00:00:00"/>
    <x v="0"/>
    <x v="8"/>
    <n v="38"/>
    <s v="AEM"/>
    <m/>
  </r>
  <r>
    <x v="113"/>
    <s v="WUXI"/>
    <s v="Main Line"/>
    <s v="CORE DG"/>
    <s v="Internal"/>
    <x v="2"/>
    <s v="CIF"/>
    <s v="SunPower Energy Solutions France SAS"/>
    <m/>
    <s v="Local WH - SPTN W75"/>
    <m/>
    <m/>
    <s v="n/a"/>
    <x v="4"/>
    <s v="Hybrid Inverter"/>
    <x v="4"/>
    <m/>
    <x v="11"/>
    <m/>
    <m/>
    <n v="5.3571428571428568E-2"/>
    <s v="CT03"/>
    <s v="W27 PICK-UP"/>
    <s v="COMPLETED"/>
    <d v="2026-07-07T00:00:00"/>
    <d v="2026-07-07T00:00:00"/>
    <n v="28"/>
    <x v="26"/>
    <m/>
    <s v="SHANGHAI"/>
    <s v="Shanghai"/>
    <x v="0"/>
    <x v="23"/>
    <d v="2026-07-29T00:00:00"/>
    <d v="2026-07-29T00:00:00"/>
    <d v="2026-08-26T00:00:00"/>
    <d v="2026-09-07T00:00:00"/>
    <x v="21"/>
    <s v="CIF"/>
    <s v="CMA CGM ZEPHYR/0MEO9W1MA"/>
    <s v="COSCO"/>
    <s v="TPVB20260623002"/>
    <s v="COSU6506636510"/>
    <s v="COSU6506636510"/>
    <n v="45"/>
    <m/>
    <d v="2026-09-07T00:00:00"/>
    <x v="2"/>
    <d v="2026-09-14T00:00:00"/>
    <n v="8"/>
    <d v="2026-09-15T00:00:00"/>
    <x v="0"/>
    <x v="8"/>
    <n v="38"/>
    <s v="AEM"/>
    <m/>
  </r>
  <r>
    <x v="114"/>
    <s v="WUXI"/>
    <s v="Main Line"/>
    <s v="CORE DG"/>
    <s v="Internal"/>
    <x v="2"/>
    <s v="CIF"/>
    <s v="SunPower Energy Solutions France SAS"/>
    <m/>
    <s v="Local WH - SPTN W75"/>
    <m/>
    <m/>
    <s v="n/a"/>
    <x v="6"/>
    <s v="Rechargeable Li-ion Battery"/>
    <x v="6"/>
    <m/>
    <x v="53"/>
    <m/>
    <m/>
    <n v="1.7028985507246377"/>
    <s v="CT04 &amp; CT05"/>
    <s v="w28 PICK-UP"/>
    <s v="COMPLETED"/>
    <d v="2026-07-09T00:00:00"/>
    <d v="2026-07-11T00:00:00"/>
    <n v="28"/>
    <x v="27"/>
    <m/>
    <s v="SHANGHAI"/>
    <s v="Shanghai"/>
    <x v="0"/>
    <x v="24"/>
    <d v="2026-07-30T00:00:00"/>
    <d v="2026-07-29T00:00:00"/>
    <d v="2026-08-26T00:00:00"/>
    <d v="2026-09-16T00:00:00"/>
    <x v="22"/>
    <s v="CIF"/>
    <s v="MAERSK HORSBURGH/630W"/>
    <s v="OTHER"/>
    <s v="TPVB20260623003"/>
    <n v="272638715"/>
    <n v="272638715"/>
    <n v="41"/>
    <m/>
    <d v="2026-09-16T00:00:00"/>
    <x v="2"/>
    <d v="2026-09-23T00:00:00"/>
    <n v="8"/>
    <d v="2026-09-24T00:00:00"/>
    <x v="0"/>
    <x v="8"/>
    <n v="39"/>
    <s v="AEM"/>
    <m/>
  </r>
  <r>
    <x v="115"/>
    <s v="WUXI"/>
    <s v="Main Line"/>
    <s v="CORE DG"/>
    <s v="Internal"/>
    <x v="2"/>
    <s v="CIF"/>
    <s v="SunPower Energy Solutions France SAS"/>
    <m/>
    <s v="Local WH - SPTN W76"/>
    <m/>
    <m/>
    <s v="n/a"/>
    <x v="6"/>
    <s v="Rechargeable Li-ion Battery"/>
    <x v="6"/>
    <m/>
    <x v="46"/>
    <m/>
    <m/>
    <n v="0.28985507246376813"/>
    <s v="CT04 &amp; CT05"/>
    <s v="w28 PICK-UP"/>
    <s v="COMPLETED"/>
    <d v="2026-07-09T00:00:00"/>
    <d v="2026-07-11T00:00:00"/>
    <n v="28"/>
    <x v="27"/>
    <m/>
    <s v="SHANGHAI"/>
    <s v="Shanghai"/>
    <x v="0"/>
    <x v="24"/>
    <d v="2026-07-30T00:00:00"/>
    <d v="2026-07-29T00:00:00"/>
    <d v="2026-08-26T00:00:00"/>
    <d v="2026-09-16T00:00:00"/>
    <x v="22"/>
    <s v="CIF"/>
    <s v="MAERSK HORSBURGH/630W"/>
    <s v="OTHER"/>
    <s v="TPVB20260623003"/>
    <n v="272638715"/>
    <n v="272638715"/>
    <n v="41"/>
    <m/>
    <d v="2026-09-16T00:00:00"/>
    <x v="2"/>
    <d v="2026-09-23T00:00:00"/>
    <n v="8"/>
    <d v="2026-09-24T00:00:00"/>
    <x v="0"/>
    <x v="8"/>
    <n v="39"/>
    <s v="AEM"/>
    <m/>
  </r>
  <r>
    <x v="116"/>
    <s v="WUXI"/>
    <s v="Main Line"/>
    <s v="CORE DG"/>
    <s v="Internal"/>
    <x v="2"/>
    <s v="CIF"/>
    <s v="SunPower Energy Solutions France SAS"/>
    <m/>
    <s v="Local WH - SPTN W75"/>
    <m/>
    <m/>
    <s v="n/a"/>
    <x v="6"/>
    <s v="Rechargeable Li-ion Battery"/>
    <x v="6"/>
    <m/>
    <x v="9"/>
    <m/>
    <m/>
    <n v="7.246376811594203E-3"/>
    <s v="CT04 &amp; CT05"/>
    <s v="w28 PICK-UP"/>
    <s v="COMPLETED"/>
    <d v="2026-07-09T00:00:00"/>
    <d v="2026-07-11T00:00:00"/>
    <n v="28"/>
    <x v="27"/>
    <m/>
    <s v="SHANGHAI"/>
    <s v="Shanghai"/>
    <x v="0"/>
    <x v="24"/>
    <d v="2026-07-30T00:00:00"/>
    <d v="2026-07-29T00:00:00"/>
    <d v="2026-08-26T00:00:00"/>
    <d v="2026-09-16T00:00:00"/>
    <x v="22"/>
    <s v="CIF"/>
    <s v="MAERSK HORSBURGH/630W"/>
    <s v="OTHER"/>
    <s v="TPVB20260623003"/>
    <n v="272638715"/>
    <n v="272638715"/>
    <n v="41"/>
    <m/>
    <d v="2026-09-16T00:00:00"/>
    <x v="2"/>
    <d v="2026-09-23T00:00:00"/>
    <n v="8"/>
    <d v="2026-09-24T00:00:00"/>
    <x v="0"/>
    <x v="8"/>
    <n v="39"/>
    <s v="AEM"/>
    <m/>
  </r>
  <r>
    <x v="117"/>
    <s v="WUXI"/>
    <s v="Main Line"/>
    <s v="CORE DG"/>
    <s v="Internal"/>
    <x v="2"/>
    <s v="CIF"/>
    <s v="SunPower Energy Solutions France SAS"/>
    <m/>
    <s v="Local WH - SPTN W75"/>
    <m/>
    <m/>
    <s v="n/a"/>
    <x v="5"/>
    <s v="High voltage distribution box"/>
    <x v="5"/>
    <m/>
    <x v="54"/>
    <m/>
    <m/>
    <n v="0.99714285714285711"/>
    <s v="CT06"/>
    <s v="w28 PICK-UP"/>
    <s v="COMPLETED"/>
    <d v="2026-07-10T00:00:00"/>
    <d v="2026-07-10T00:00:00"/>
    <n v="28"/>
    <x v="28"/>
    <m/>
    <s v="SHANGHAI"/>
    <s v="Shanghai"/>
    <x v="0"/>
    <x v="25"/>
    <d v="2026-07-22T00:00:00"/>
    <d v="2026-07-24T00:00:00"/>
    <d v="2026-08-31T00:00:00"/>
    <d v="2026-09-12T00:00:00"/>
    <x v="23"/>
    <s v="CIF"/>
    <s v="COSCO SHIPPING NEBULA 033W"/>
    <s v="COSCO"/>
    <s v="TPVB20260623004"/>
    <s v="COSU6505851820"/>
    <s v="COSU6505851820"/>
    <n v="49"/>
    <m/>
    <d v="2026-09-13T00:00:00"/>
    <x v="2"/>
    <d v="2026-09-18T00:00:00"/>
    <n v="8"/>
    <d v="2026-09-21T00:00:00"/>
    <x v="0"/>
    <x v="8"/>
    <n v="39"/>
    <s v="AEM"/>
    <m/>
  </r>
  <r>
    <x v="118"/>
    <s v="WUXI"/>
    <s v="Main Line"/>
    <s v="CORE DG"/>
    <s v="Internal"/>
    <x v="2"/>
    <s v="CIF"/>
    <s v="SunPower Energy Solutions France SAS"/>
    <m/>
    <s v="Local WH - SPTN W75"/>
    <m/>
    <m/>
    <s v="n/a"/>
    <x v="5"/>
    <s v="High voltage distribution box"/>
    <x v="5"/>
    <m/>
    <x v="10"/>
    <m/>
    <m/>
    <n v="2.8571428571428571E-3"/>
    <s v="CT06"/>
    <s v="w28 PICK-UP"/>
    <s v="COMPLETED"/>
    <d v="2026-07-10T00:00:00"/>
    <d v="2026-07-10T00:00:00"/>
    <n v="28"/>
    <x v="28"/>
    <m/>
    <s v="SHANGHAI"/>
    <s v="Shanghai"/>
    <x v="0"/>
    <x v="25"/>
    <d v="2026-07-22T00:00:00"/>
    <d v="2026-07-24T00:00:00"/>
    <d v="2026-08-31T00:00:00"/>
    <d v="2026-09-12T00:00:00"/>
    <x v="23"/>
    <s v="CIF"/>
    <s v="COSCO SHIPPING NEBULA 033W"/>
    <s v="COSCO"/>
    <s v="TPVB20260623004"/>
    <s v="COSU6505851820"/>
    <s v="COSU6505851820"/>
    <n v="49"/>
    <m/>
    <d v="2026-09-13T00:00:00"/>
    <x v="2"/>
    <d v="2026-09-18T00:00:00"/>
    <n v="8"/>
    <d v="2026-09-21T00:00:00"/>
    <x v="0"/>
    <x v="8"/>
    <n v="39"/>
    <s v="AEM"/>
    <m/>
  </r>
  <r>
    <x v="119"/>
    <s v="WUXI"/>
    <s v="Main Line"/>
    <s v="CORE DG"/>
    <s v="Internal"/>
    <x v="2"/>
    <s v="CIF"/>
    <s v="SunPower Energy Solutions France SAS"/>
    <m/>
    <s v="Local WH - SPTN W75"/>
    <m/>
    <m/>
    <s v="n/a"/>
    <x v="2"/>
    <s v="Hybrid Inverter"/>
    <x v="2"/>
    <m/>
    <x v="2"/>
    <m/>
    <m/>
    <n v="1"/>
    <s v="CT07"/>
    <s v="w29 PICK-UP"/>
    <s v="COMPLETED"/>
    <d v="2026-07-14T00:00:00"/>
    <d v="2026-07-23T00:00:00"/>
    <n v="30"/>
    <x v="29"/>
    <m/>
    <s v="SHANGHAI"/>
    <s v="Shanghai"/>
    <x v="0"/>
    <x v="26"/>
    <d v="2026-08-01T00:00:00"/>
    <d v="2026-08-02T00:00:00"/>
    <d v="2026-09-14T00:00:00"/>
    <d v="2026-09-20T00:00:00"/>
    <x v="24"/>
    <s v="CIF"/>
    <s v="COSCO SHIPPING PISCES 033W"/>
    <s v="COSCO"/>
    <s v="TPVB20260702001"/>
    <s v="COSU9508314020"/>
    <s v="COSU9508314020"/>
    <n v="50"/>
    <m/>
    <d v="2026-09-19T00:00:00"/>
    <x v="2"/>
    <d v="2026-09-25T00:00:00"/>
    <n v="8"/>
    <d v="2026-09-27T00:00:00"/>
    <x v="0"/>
    <x v="8"/>
    <n v="39"/>
    <s v="AEM"/>
    <m/>
  </r>
  <r>
    <x v="120"/>
    <s v="WUXI"/>
    <s v="Main Line"/>
    <s v="CORE DG"/>
    <s v="Internal"/>
    <x v="2"/>
    <s v="CIF"/>
    <s v="SunPower Energy Solutions France SAS"/>
    <m/>
    <s v="Local WH - SPTN W75"/>
    <m/>
    <m/>
    <s v="n/a"/>
    <x v="6"/>
    <s v="Rechargeable Li-ion Battery"/>
    <x v="6"/>
    <m/>
    <x v="12"/>
    <m/>
    <m/>
    <n v="1"/>
    <s v="CT08"/>
    <s v="w29 PICK-UP"/>
    <s v="COMPLETED"/>
    <d v="2026-07-15T00:00:00"/>
    <d v="2026-07-18T00:00:00"/>
    <n v="29"/>
    <x v="30"/>
    <m/>
    <s v="SHANGHAI"/>
    <s v="Shanghai"/>
    <x v="0"/>
    <x v="27"/>
    <d v="2026-07-28T00:00:00"/>
    <d v="2026-07-28T00:00:00"/>
    <d v="2026-09-09T00:00:00"/>
    <d v="2026-09-02T00:00:00"/>
    <x v="25"/>
    <s v="CIF"/>
    <s v="MANCHESTER MAERSK/629W"/>
    <s v="OTHER"/>
    <s v="TPVB20260702002"/>
    <n v="272910011"/>
    <n v="272910011"/>
    <n v="49"/>
    <m/>
    <d v="2026-09-02T00:00:00"/>
    <x v="2"/>
    <d v="2026-09-10T00:00:00"/>
    <n v="8"/>
    <d v="2026-09-10T00:00:00"/>
    <x v="0"/>
    <x v="8"/>
    <n v="37"/>
    <s v="AEM"/>
    <m/>
  </r>
  <r>
    <x v="121"/>
    <s v="WUXI"/>
    <s v="Main Line"/>
    <s v="CORE DG"/>
    <s v="Internal"/>
    <x v="2"/>
    <s v="CIF"/>
    <s v="SunPower Energy Solutions France SAS"/>
    <m/>
    <s v="Local WH - SPTN W76"/>
    <m/>
    <m/>
    <s v="n/a"/>
    <x v="6"/>
    <s v="Rechargeable Li-ion Battery"/>
    <x v="6"/>
    <m/>
    <x v="12"/>
    <m/>
    <m/>
    <n v="1"/>
    <s v="CT09"/>
    <s v="w30 PICK-UP"/>
    <s v="COMPLETED"/>
    <d v="2026-07-20T00:00:00"/>
    <d v="2026-07-25T00:00:00"/>
    <n v="30"/>
    <x v="31"/>
    <m/>
    <s v="SHANGHAI"/>
    <s v="Shanghai"/>
    <x v="0"/>
    <x v="28"/>
    <d v="2026-08-13T00:00:00"/>
    <d v="2026-08-14T00:00:00"/>
    <d v="2026-09-16T00:00:00"/>
    <d v="2026-09-23T00:00:00"/>
    <x v="26"/>
    <s v="CIF"/>
    <s v="AL JMELIYAH/631W"/>
    <s v="OTHER"/>
    <s v="TPVB20260702003"/>
    <n v="274118289"/>
    <n v="274118289"/>
    <n v="46"/>
    <m/>
    <d v="2026-09-24T00:00:00"/>
    <x v="2"/>
    <d v="2026-09-30T00:00:00"/>
    <n v="8"/>
    <d v="2026-10-02T00:00:00"/>
    <x v="0"/>
    <x v="7"/>
    <n v="40"/>
    <s v="AEM"/>
    <m/>
  </r>
  <r>
    <x v="122"/>
    <s v="WUXI"/>
    <s v="Main Line"/>
    <s v="CORE DG"/>
    <s v="Internal"/>
    <x v="2"/>
    <s v="CIF"/>
    <s v="SunPower Energy Solutions France SAS"/>
    <m/>
    <s v="Local WH - SPTN W77"/>
    <m/>
    <m/>
    <s v="n/a"/>
    <x v="6"/>
    <s v="Rechargeable Li-ion Battery"/>
    <x v="6"/>
    <m/>
    <x v="12"/>
    <m/>
    <m/>
    <n v="1"/>
    <s v="CT10"/>
    <s v="w30 PICK-UP"/>
    <s v="COMPLETED"/>
    <d v="2026-07-25T00:00:00"/>
    <d v="2026-07-25T00:00:00"/>
    <n v="30"/>
    <x v="31"/>
    <m/>
    <s v="SHANGHAI"/>
    <s v="Shanghai"/>
    <x v="0"/>
    <x v="28"/>
    <d v="2026-08-13T00:00:00"/>
    <d v="2026-08-14T00:00:00"/>
    <d v="2026-09-16T00:00:00"/>
    <d v="2026-09-23T00:00:00"/>
    <x v="26"/>
    <s v="CIF"/>
    <s v="AL JMELIYAH/631W"/>
    <s v="OTHER"/>
    <s v="TPVB20260702003"/>
    <n v="274118289"/>
    <n v="274118289"/>
    <n v="46"/>
    <m/>
    <d v="2026-09-24T00:00:00"/>
    <x v="2"/>
    <d v="2026-09-30T00:00:00"/>
    <n v="8"/>
    <d v="2026-10-02T00:00:00"/>
    <x v="0"/>
    <x v="7"/>
    <n v="40"/>
    <s v="AEM"/>
    <m/>
  </r>
  <r>
    <x v="123"/>
    <s v="WUXI"/>
    <s v="Main Line"/>
    <s v="CORE DG"/>
    <s v="Internal"/>
    <x v="2"/>
    <s v="CIF"/>
    <s v="SunPower Energy Solutions France SAS"/>
    <m/>
    <s v="Local WH / July CT 1"/>
    <m/>
    <m/>
    <s v="n/a"/>
    <x v="7"/>
    <s v="Hybrid Inverter"/>
    <x v="7"/>
    <m/>
    <x v="55"/>
    <m/>
    <m/>
    <n v="0.12946428571428573"/>
    <s v="CT01"/>
    <s v="w30 PICK-UP"/>
    <s v="COMPLETED"/>
    <d v="2026-07-21T00:00:00"/>
    <d v="2026-07-22T00:00:00"/>
    <n v="30"/>
    <x v="32"/>
    <m/>
    <s v="SHANGHAI"/>
    <s v="Shanghai"/>
    <x v="0"/>
    <x v="29"/>
    <d v="2026-07-29T00:00:00"/>
    <d v="2026-07-29T00:00:00"/>
    <d v="2026-09-09T00:00:00"/>
    <d v="2026-09-07T00:00:00"/>
    <x v="21"/>
    <s v="CIF"/>
    <s v="CMA CGM ZEPHYR/0MEO9W1MA"/>
    <s v="COSCO"/>
    <s v="TPVB20260702004"/>
    <s v="COSU6508021170"/>
    <s v="COSU6508021170"/>
    <n v="44"/>
    <m/>
    <d v="2026-09-07T00:00:00"/>
    <x v="2"/>
    <d v="2026-09-14T00:00:00"/>
    <n v="8"/>
    <d v="2026-09-15T00:00:00"/>
    <x v="0"/>
    <x v="8"/>
    <n v="38"/>
    <s v="AEM"/>
    <m/>
  </r>
  <r>
    <x v="124"/>
    <s v="WUXI"/>
    <s v="Main Line"/>
    <s v="CORE DG"/>
    <s v="Internal"/>
    <x v="2"/>
    <s v="CIF"/>
    <s v="SunPower Energy Solutions France SAS"/>
    <m/>
    <s v="Local WH / July CT 1"/>
    <m/>
    <m/>
    <s v="n/a"/>
    <x v="7"/>
    <s v="Hybrid Inverter"/>
    <x v="7"/>
    <m/>
    <x v="10"/>
    <m/>
    <m/>
    <n v="4.464285714285714E-3"/>
    <s v="CT01"/>
    <s v="w30 PICK-UP"/>
    <s v="COMPLETED"/>
    <d v="2026-07-21T00:00:00"/>
    <d v="2026-07-22T00:00:00"/>
    <n v="30"/>
    <x v="32"/>
    <m/>
    <s v="SHANGHAI"/>
    <s v="Shanghai"/>
    <x v="0"/>
    <x v="29"/>
    <d v="2026-07-29T00:00:00"/>
    <d v="2026-07-29T00:00:00"/>
    <d v="2026-09-09T00:00:00"/>
    <d v="2026-09-07T00:00:00"/>
    <x v="21"/>
    <s v="CIF"/>
    <s v="CMA CGM ZEPHYR/0MEO9W1MA"/>
    <s v="COSCO"/>
    <s v="TPVB20260702004"/>
    <s v="COSU6508021170"/>
    <s v="COSU6508021170"/>
    <n v="44"/>
    <m/>
    <d v="2026-09-07T00:00:00"/>
    <x v="2"/>
    <d v="2026-09-14T00:00:00"/>
    <n v="8"/>
    <d v="2026-09-15T00:00:00"/>
    <x v="0"/>
    <x v="8"/>
    <n v="38"/>
    <s v="AEM"/>
    <m/>
  </r>
  <r>
    <x v="125"/>
    <s v="WUXI"/>
    <s v="26JUL002"/>
    <s v="CORE DG"/>
    <s v="Internal"/>
    <x v="2"/>
    <s v="CIF"/>
    <s v="SunPower Energy Solutions France SAS"/>
    <m/>
    <s v="Local WH / July CT 1"/>
    <m/>
    <m/>
    <s v="n/a"/>
    <x v="2"/>
    <s v="Hybrid Inverter"/>
    <x v="2"/>
    <m/>
    <x v="56"/>
    <m/>
    <m/>
    <n v="0.39285714285714285"/>
    <s v="CT01"/>
    <s v="w30 PICK-UP"/>
    <s v="COMPLETED"/>
    <d v="2026-07-21T00:00:00"/>
    <d v="2026-07-22T00:00:00"/>
    <n v="30"/>
    <x v="32"/>
    <m/>
    <s v="SHANGHAI"/>
    <s v="Shanghai"/>
    <x v="0"/>
    <x v="29"/>
    <d v="2026-07-29T00:00:00"/>
    <d v="2026-07-29T00:00:00"/>
    <d v="2026-09-09T00:00:00"/>
    <d v="2026-09-07T00:00:00"/>
    <x v="21"/>
    <s v="CIF"/>
    <s v="CMA CGM ZEPHYR/0MEO9W1MA"/>
    <s v="COSCO"/>
    <s v="TPVB20260702004"/>
    <s v="COSU6508021170"/>
    <s v="COSU6508021170"/>
    <n v="44"/>
    <m/>
    <d v="2026-09-07T00:00:00"/>
    <x v="2"/>
    <d v="2026-09-14T00:00:00"/>
    <n v="8"/>
    <d v="2026-09-15T00:00:00"/>
    <x v="0"/>
    <x v="8"/>
    <n v="38"/>
    <s v="AEM"/>
    <m/>
  </r>
  <r>
    <x v="126"/>
    <s v="WUXI"/>
    <s v="Main Line"/>
    <s v="CORE DG"/>
    <s v="Internal"/>
    <x v="2"/>
    <s v="CIF"/>
    <s v="SunPower Energy Solutions France SAS"/>
    <m/>
    <s v="Local WH / July CT 7"/>
    <m/>
    <m/>
    <s v="n/a"/>
    <x v="2"/>
    <s v="Hybrid Inverter"/>
    <x v="2"/>
    <m/>
    <x v="25"/>
    <m/>
    <m/>
    <n v="7.1428571428571425E-2"/>
    <s v="CT01"/>
    <s v="w30 PICK-UP"/>
    <s v="COMPLETED"/>
    <d v="2026-07-21T00:00:00"/>
    <d v="2026-07-22T00:00:00"/>
    <n v="30"/>
    <x v="32"/>
    <m/>
    <s v="SHANGHAI"/>
    <s v="Shanghai"/>
    <x v="0"/>
    <x v="29"/>
    <d v="2026-07-29T00:00:00"/>
    <d v="2026-07-29T00:00:00"/>
    <d v="2026-09-09T00:00:00"/>
    <d v="2026-09-07T00:00:00"/>
    <x v="21"/>
    <s v="CIF"/>
    <s v="CMA CGM ZEPHYR/0MEO9W1MA"/>
    <s v="COSCO"/>
    <s v="TPVB20260702004"/>
    <s v="COSU6508021170"/>
    <s v="COSU6508021170"/>
    <n v="44"/>
    <m/>
    <d v="2026-09-07T00:00:00"/>
    <x v="2"/>
    <d v="2026-09-14T00:00:00"/>
    <n v="8"/>
    <d v="2026-09-15T00:00:00"/>
    <x v="0"/>
    <x v="8"/>
    <n v="38"/>
    <s v="AEM"/>
    <m/>
  </r>
  <r>
    <x v="127"/>
    <s v="WUXI"/>
    <s v="Main Line"/>
    <s v="CORE DG"/>
    <s v="Internal"/>
    <x v="2"/>
    <s v="CIF"/>
    <s v="SunPower Energy Solutions France SAS"/>
    <m/>
    <s v="Local WH / July CT 1"/>
    <m/>
    <m/>
    <s v="n/a"/>
    <x v="4"/>
    <s v="Hybrid Inverter"/>
    <x v="4"/>
    <m/>
    <x v="57"/>
    <m/>
    <m/>
    <n v="0.38839285714285715"/>
    <s v="CT01"/>
    <s v="w30 PICK-UP"/>
    <s v="COMPLETED"/>
    <d v="2026-07-21T00:00:00"/>
    <d v="2026-07-22T00:00:00"/>
    <n v="30"/>
    <x v="32"/>
    <m/>
    <s v="SHANGHAI"/>
    <s v="Shanghai"/>
    <x v="0"/>
    <x v="29"/>
    <d v="2026-07-29T00:00:00"/>
    <d v="2026-07-29T00:00:00"/>
    <d v="2026-09-09T00:00:00"/>
    <d v="2026-09-07T00:00:00"/>
    <x v="21"/>
    <s v="CIF"/>
    <s v="CMA CGM ZEPHYR/0MEO9W1MA"/>
    <s v="COSCO"/>
    <s v="TPVB20260702004"/>
    <s v="COSU6508021170"/>
    <s v="COSU6508021170"/>
    <n v="44"/>
    <m/>
    <d v="2026-09-07T00:00:00"/>
    <x v="2"/>
    <d v="2026-09-14T00:00:00"/>
    <n v="8"/>
    <d v="2026-09-15T00:00:00"/>
    <x v="0"/>
    <x v="8"/>
    <n v="38"/>
    <s v="AEM"/>
    <m/>
  </r>
  <r>
    <x v="128"/>
    <s v="WUXI"/>
    <s v="Main Line"/>
    <s v="CORE DG"/>
    <s v="Internal"/>
    <x v="2"/>
    <s v="CIF"/>
    <s v="SunPower Energy Solutions France SAS"/>
    <m/>
    <s v="Local WH / July CT 1"/>
    <m/>
    <m/>
    <s v="n/a"/>
    <x v="4"/>
    <s v="Hybrid Inverter"/>
    <x v="4"/>
    <m/>
    <x v="14"/>
    <m/>
    <m/>
    <n v="1.3392857142857142E-2"/>
    <s v="CT01"/>
    <s v="w30 PICK-UP"/>
    <s v="COMPLETED"/>
    <d v="2026-07-21T00:00:00"/>
    <d v="2026-07-22T00:00:00"/>
    <n v="30"/>
    <x v="32"/>
    <m/>
    <s v="SHANGHAI"/>
    <s v="Shanghai"/>
    <x v="0"/>
    <x v="29"/>
    <d v="2026-07-29T00:00:00"/>
    <d v="2026-07-29T00:00:00"/>
    <d v="2026-09-09T00:00:00"/>
    <d v="2026-09-07T00:00:00"/>
    <x v="21"/>
    <s v="CIF"/>
    <s v="CMA CGM ZEPHYR/0MEO9W1MA"/>
    <s v="COSCO"/>
    <s v="TPVB20260702004"/>
    <s v="COSU6508021170"/>
    <s v="COSU6508021170"/>
    <n v="44"/>
    <m/>
    <d v="2026-09-07T00:00:00"/>
    <x v="2"/>
    <d v="2026-09-14T00:00:00"/>
    <n v="8"/>
    <d v="2026-09-15T00:00:00"/>
    <x v="0"/>
    <x v="8"/>
    <n v="38"/>
    <s v="AEM"/>
    <m/>
  </r>
  <r>
    <x v="129"/>
    <s v="WUXI"/>
    <s v="26JUL004"/>
    <s v="CORE DG"/>
    <s v="Internal"/>
    <x v="2"/>
    <s v="CIF"/>
    <s v="SunPower Energy Solutions France SAS"/>
    <m/>
    <s v="Local WH / July CT 2"/>
    <m/>
    <m/>
    <s v="n/a"/>
    <x v="5"/>
    <s v="High voltage distribution box"/>
    <x v="5"/>
    <m/>
    <x v="58"/>
    <m/>
    <m/>
    <n v="0.94571428571428573"/>
    <s v="CT02"/>
    <s v="w30 PICK-UP"/>
    <s v="COMPLETED"/>
    <d v="2026-07-21T00:00:00"/>
    <d v="2026-07-22T00:00:00"/>
    <n v="30"/>
    <x v="32"/>
    <m/>
    <s v="SHANGHAI"/>
    <s v="Shanghai"/>
    <x v="0"/>
    <x v="29"/>
    <d v="2026-07-29T00:00:00"/>
    <d v="2026-07-29T00:00:00"/>
    <d v="2026-09-09T00:00:00"/>
    <d v="2026-09-07T00:00:00"/>
    <x v="21"/>
    <s v="CIF"/>
    <s v="CMA CGM ZEPHYR/0MEO9W1MA"/>
    <s v="COSCO"/>
    <s v="TPVB20260702004"/>
    <s v="COSU6508021170"/>
    <s v="COSU6508021170"/>
    <n v="44"/>
    <m/>
    <d v="2026-09-07T00:00:00"/>
    <x v="2"/>
    <d v="2026-09-14T00:00:00"/>
    <n v="8"/>
    <d v="2026-09-15T00:00:00"/>
    <x v="0"/>
    <x v="8"/>
    <n v="38"/>
    <s v="AEM"/>
    <m/>
  </r>
  <r>
    <x v="130"/>
    <s v="WUXI"/>
    <s v="Main Line"/>
    <s v="CORE DG"/>
    <s v="Internal"/>
    <x v="2"/>
    <s v="CIF"/>
    <s v="SunPower Energy Solutions France SAS"/>
    <m/>
    <s v="Local WH / July CT 5"/>
    <m/>
    <m/>
    <s v="n/a"/>
    <x v="5"/>
    <s v="High voltage distribution box"/>
    <x v="5"/>
    <m/>
    <x v="59"/>
    <m/>
    <m/>
    <n v="5.4285714285714284E-2"/>
    <s v="CT02"/>
    <s v="w30 PICK-UP"/>
    <s v="COMPLETED"/>
    <d v="2026-07-21T00:00:00"/>
    <d v="2026-07-22T00:00:00"/>
    <n v="30"/>
    <x v="32"/>
    <m/>
    <s v="SHANGHAI"/>
    <s v="Shanghai"/>
    <x v="0"/>
    <x v="29"/>
    <d v="2026-07-29T00:00:00"/>
    <d v="2026-07-29T00:00:00"/>
    <d v="2026-09-09T00:00:00"/>
    <d v="2026-09-07T00:00:00"/>
    <x v="21"/>
    <s v="CIF"/>
    <s v="CMA CGM ZEPHYR/0MEO9W1MA"/>
    <s v="COSCO"/>
    <s v="TPVB20260702004"/>
    <s v="COSU6508021170"/>
    <s v="COSU6508021170"/>
    <n v="44"/>
    <m/>
    <d v="2026-09-07T00:00:00"/>
    <x v="2"/>
    <d v="2026-09-14T00:00:00"/>
    <n v="8"/>
    <d v="2026-09-15T00:00:00"/>
    <x v="0"/>
    <x v="8"/>
    <n v="38"/>
    <s v="AEM"/>
    <m/>
  </r>
  <r>
    <x v="131"/>
    <s v="WUXI"/>
    <s v="26JUL002"/>
    <s v="CORE DG"/>
    <s v="Internal"/>
    <x v="2"/>
    <s v="CIF"/>
    <s v="SunPower Energy Solutions France SAS"/>
    <m/>
    <s v="Local WH / July CT 3"/>
    <m/>
    <m/>
    <s v="n/a"/>
    <x v="2"/>
    <s v="Hybrid Inverter"/>
    <x v="2"/>
    <m/>
    <x v="2"/>
    <m/>
    <m/>
    <n v="1"/>
    <s v="CT03"/>
    <s v="w31 PICK-UP"/>
    <s v="COMPLETED"/>
    <d v="2026-07-28T00:00:00"/>
    <d v="2026-07-30T00:00:00"/>
    <n v="31"/>
    <x v="33"/>
    <m/>
    <s v="SHANGHAI"/>
    <s v="Shanghai"/>
    <x v="0"/>
    <x v="30"/>
    <d v="2026-08-07T00:00:00"/>
    <d v="2026-08-07T00:00:00"/>
    <d v="2026-09-16T00:00:00"/>
    <d v="2026-09-17T00:00:00"/>
    <x v="27"/>
    <s v="CIF"/>
    <s v="COSCO SHIPPING SCORPIO/035W"/>
    <s v="COSCO"/>
    <s v="TPVB20260716001"/>
    <s v="COSU6508739820"/>
    <s v="COSU6508739820"/>
    <n v="44"/>
    <m/>
    <d v="2026-09-18T00:00:00"/>
    <x v="2"/>
    <d v="2026-09-30T00:00:00"/>
    <n v="8"/>
    <d v="2026-09-26T00:00:00"/>
    <x v="0"/>
    <x v="8"/>
    <n v="39"/>
    <s v="AEM"/>
    <m/>
  </r>
  <r>
    <x v="132"/>
    <s v="WUXI"/>
    <s v="26JUL004"/>
    <s v="CORE DG"/>
    <s v="Internal"/>
    <x v="2"/>
    <s v="CIF"/>
    <s v="SunPower Energy Solutions France SAS"/>
    <m/>
    <s v="Local WH / July CT 5"/>
    <m/>
    <m/>
    <s v="n/a"/>
    <x v="5"/>
    <s v="High voltage distribution box"/>
    <x v="5"/>
    <m/>
    <x v="60"/>
    <m/>
    <m/>
    <n v="0.8571428571428571"/>
    <s v="CT04"/>
    <s v="w31 PICK-UP"/>
    <s v="COMPLETED"/>
    <d v="2026-07-30T00:00:00"/>
    <d v="2026-07-30T00:00:00"/>
    <n v="31"/>
    <x v="33"/>
    <m/>
    <s v="SHANGHAI"/>
    <s v="Shanghai"/>
    <x v="0"/>
    <x v="30"/>
    <d v="2026-08-07T00:00:00"/>
    <d v="2026-08-07T00:00:00"/>
    <d v="2026-09-16T00:00:00"/>
    <d v="2026-09-17T00:00:00"/>
    <x v="27"/>
    <s v="CIF"/>
    <s v="COSCO SHIPPING SCORPIO/035W"/>
    <s v="COSCO"/>
    <s v="TPVB20260716001"/>
    <s v="COSU6508739820"/>
    <s v="COSU6508739820"/>
    <n v="44"/>
    <m/>
    <d v="2026-09-18T00:00:00"/>
    <x v="2"/>
    <d v="2026-09-30T00:00:00"/>
    <n v="8"/>
    <d v="2026-09-26T00:00:00"/>
    <x v="0"/>
    <x v="8"/>
    <n v="39"/>
    <s v="AEM"/>
    <m/>
  </r>
  <r>
    <x v="133"/>
    <s v="WUXI"/>
    <s v="Main Line"/>
    <s v="CORE DG"/>
    <s v="Internal"/>
    <x v="2"/>
    <s v="CIF"/>
    <s v="SunPower Energy Solutions France SAS"/>
    <m/>
    <s v="Local WH / July CT 7"/>
    <m/>
    <m/>
    <s v="n/a"/>
    <x v="0"/>
    <s v="1P meter"/>
    <x v="0"/>
    <m/>
    <x v="51"/>
    <m/>
    <m/>
    <n v="0.1"/>
    <s v="CT07"/>
    <s v="w31 PICK-UP"/>
    <s v="COMPLETED"/>
    <d v="2026-07-31T00:00:00"/>
    <d v="2026-07-30T00:00:00"/>
    <n v="31"/>
    <x v="33"/>
    <m/>
    <s v="SHANGHAI"/>
    <s v="Shanghai"/>
    <x v="0"/>
    <x v="30"/>
    <d v="2026-08-07T00:00:00"/>
    <d v="2026-08-07T00:00:00"/>
    <d v="2026-09-16T00:00:00"/>
    <d v="2026-09-17T00:00:00"/>
    <x v="27"/>
    <s v="CIF"/>
    <s v="COSCO SHIPPING SCORPIO/035W"/>
    <s v="COSCO"/>
    <s v="TPVB20260716001"/>
    <s v="COSU6508739820"/>
    <s v="COSU6508739820"/>
    <n v="44"/>
    <m/>
    <d v="2026-09-18T00:00:00"/>
    <x v="2"/>
    <d v="2026-09-30T00:00:00"/>
    <n v="8"/>
    <d v="2026-09-26T00:00:00"/>
    <x v="0"/>
    <x v="8"/>
    <n v="39"/>
    <s v="AEM"/>
    <m/>
  </r>
  <r>
    <x v="134"/>
    <s v="WUXI"/>
    <s v="26JUL002"/>
    <s v="CORE DG"/>
    <s v="Internal"/>
    <x v="2"/>
    <s v="CIF"/>
    <s v="SunPower Energy Solutions France SAS"/>
    <m/>
    <s v="Local WH / July CT 7"/>
    <m/>
    <m/>
    <s v="n/a"/>
    <x v="2"/>
    <s v="Hybrid Inverter"/>
    <x v="2"/>
    <m/>
    <x v="61"/>
    <m/>
    <m/>
    <n v="0.9017857142857143"/>
    <s v="CT07"/>
    <s v="w31 PICK-UP"/>
    <s v="COMPLETED"/>
    <d v="2026-07-31T00:00:00"/>
    <d v="2026-07-30T00:00:00"/>
    <n v="31"/>
    <x v="33"/>
    <m/>
    <s v="SHANGHAI"/>
    <s v="Shanghai"/>
    <x v="0"/>
    <x v="30"/>
    <d v="2026-08-07T00:00:00"/>
    <d v="2026-08-07T00:00:00"/>
    <d v="2026-09-16T00:00:00"/>
    <d v="2026-09-17T00:00:00"/>
    <x v="27"/>
    <s v="CIF"/>
    <s v="COSCO SHIPPING SCORPIO/035W"/>
    <s v="COSCO"/>
    <s v="TPVB20260716001"/>
    <s v="COSU6508739820"/>
    <s v="COSU6508739820"/>
    <n v="44"/>
    <m/>
    <d v="2026-09-18T00:00:00"/>
    <x v="2"/>
    <d v="2026-09-30T00:00:00"/>
    <n v="8"/>
    <d v="2026-09-26T00:00:00"/>
    <x v="0"/>
    <x v="8"/>
    <n v="39"/>
    <s v="AEM"/>
    <m/>
  </r>
  <r>
    <x v="135"/>
    <s v="WUXI"/>
    <s v="26JUL005"/>
    <s v="CORE DG"/>
    <s v="Internal"/>
    <x v="2"/>
    <s v="CIF"/>
    <s v="SunPower Energy Solutions France SAS"/>
    <m/>
    <s v="Local WH / July CT 4"/>
    <m/>
    <m/>
    <s v="n/a"/>
    <x v="6"/>
    <s v="Rechargeable Li-ion Battery"/>
    <x v="6"/>
    <m/>
    <x v="62"/>
    <m/>
    <m/>
    <n v="0.76811594202898548"/>
    <s v="CT05 &amp; CT06"/>
    <s v="w31 PICK-UP"/>
    <s v="COMPLETED"/>
    <d v="2026-07-30T00:00:00"/>
    <d v="2026-08-04T00:00:00"/>
    <n v="32"/>
    <x v="34"/>
    <m/>
    <s v="SHANGHAI"/>
    <s v="Shanghai"/>
    <x v="0"/>
    <x v="31"/>
    <d v="2026-08-21T00:00:00"/>
    <d v="2026-08-21T00:00:00"/>
    <d v="2026-09-23T00:00:00"/>
    <d v="2026-10-07T00:00:00"/>
    <x v="28"/>
    <s v="CIF"/>
    <s v="ALVA MAERSK/632W"/>
    <s v="OTHER"/>
    <s v="TPVB20260716002"/>
    <n v="274424044"/>
    <n v="274424044"/>
    <n v="44"/>
    <m/>
    <d v="2026-10-01T00:00:00"/>
    <x v="2"/>
    <d v="2026-10-08T00:00:00"/>
    <n v="8"/>
    <d v="2026-10-09T00:00:00"/>
    <x v="0"/>
    <x v="7"/>
    <n v="41"/>
    <s v="AEM"/>
    <m/>
  </r>
  <r>
    <x v="136"/>
    <s v="WUXI"/>
    <s v="Main Line"/>
    <s v="CORE DG"/>
    <s v="Internal"/>
    <x v="2"/>
    <s v="CIF"/>
    <s v="SunPower Energy Solutions France SAS"/>
    <m/>
    <s v="Local WH / July CT 13"/>
    <m/>
    <m/>
    <s v="n/a"/>
    <x v="6"/>
    <s v="Rechargeable Li-ion Battery"/>
    <x v="6"/>
    <m/>
    <x v="63"/>
    <m/>
    <m/>
    <n v="0.2318840579710145"/>
    <s v="CT05 &amp; CT06"/>
    <s v="w31 PICK-UP"/>
    <s v="COMPLETED"/>
    <d v="2026-07-30T00:00:00"/>
    <d v="2026-08-04T00:00:00"/>
    <n v="32"/>
    <x v="34"/>
    <m/>
    <s v="SHANGHAI"/>
    <s v="Shanghai"/>
    <x v="0"/>
    <x v="31"/>
    <d v="2026-08-21T00:00:00"/>
    <d v="2026-08-21T00:00:00"/>
    <d v="2026-09-23T00:00:00"/>
    <d v="2026-10-07T00:00:00"/>
    <x v="28"/>
    <s v="CIF"/>
    <s v="ALVA MAERSK/632W"/>
    <s v="OTHER"/>
    <s v="TPVB20260716002"/>
    <n v="274424044"/>
    <n v="274424044"/>
    <n v="44"/>
    <m/>
    <d v="2026-10-01T00:00:00"/>
    <x v="2"/>
    <d v="2026-10-08T00:00:00"/>
    <n v="8"/>
    <d v="2026-10-09T00:00:00"/>
    <x v="0"/>
    <x v="7"/>
    <n v="41"/>
    <s v="AEM"/>
    <m/>
  </r>
  <r>
    <x v="137"/>
    <s v="WUXI"/>
    <s v="26JUL005"/>
    <s v="CORE DG"/>
    <s v="Internal"/>
    <x v="2"/>
    <s v="CIF"/>
    <s v="SunPower Energy Solutions France SAS"/>
    <m/>
    <s v="Local WH / July CT 6"/>
    <m/>
    <m/>
    <s v="n/a"/>
    <x v="6"/>
    <s v="Rechargeable Li-ion Battery"/>
    <x v="6"/>
    <m/>
    <x v="12"/>
    <m/>
    <m/>
    <n v="1"/>
    <s v="CT05 &amp; CT06"/>
    <s v="w31 PICK-UP"/>
    <s v="COMPLETED"/>
    <d v="2026-07-30T00:00:00"/>
    <d v="2026-08-03T00:00:00"/>
    <n v="32"/>
    <x v="34"/>
    <m/>
    <s v="SHANGHAI"/>
    <s v="Shanghai"/>
    <x v="0"/>
    <x v="31"/>
    <d v="2026-08-21T00:00:00"/>
    <d v="2026-08-21T00:00:00"/>
    <d v="2026-09-23T00:00:00"/>
    <d v="2026-10-07T00:00:00"/>
    <x v="28"/>
    <s v="CIF"/>
    <s v="ALVA MAERSK/632W"/>
    <s v="OTHER"/>
    <s v="TPVB20260716002"/>
    <n v="274424044"/>
    <n v="274424044"/>
    <n v="44"/>
    <m/>
    <d v="2026-10-01T00:00:00"/>
    <x v="2"/>
    <d v="2026-10-08T00:00:00"/>
    <n v="8"/>
    <d v="2026-10-09T00:00:00"/>
    <x v="0"/>
    <x v="7"/>
    <n v="41"/>
    <s v="AEM"/>
    <m/>
  </r>
  <r>
    <x v="138"/>
    <s v="WUXI"/>
    <s v="26JUL005"/>
    <s v="CORE DG"/>
    <s v="Internal"/>
    <x v="2"/>
    <s v="CIF"/>
    <s v="SunPower Energy Solutions France SAS"/>
    <m/>
    <s v="Local WH / July CT 8"/>
    <m/>
    <m/>
    <s v="n/a"/>
    <x v="6"/>
    <s v="Rechargeable Li-ion Battery"/>
    <x v="6"/>
    <m/>
    <x v="30"/>
    <m/>
    <m/>
    <n v="2"/>
    <s v="CT08 &amp; CT09"/>
    <s v="w32 PICK-UP"/>
    <s v="COMPLETED"/>
    <d v="2026-08-03T00:00:00"/>
    <d v="2026-08-05T00:00:00"/>
    <n v="32"/>
    <x v="35"/>
    <m/>
    <s v="SHANGHAI"/>
    <s v="Shanghai"/>
    <x v="0"/>
    <x v="32"/>
    <d v="2026-08-21T00:00:00"/>
    <d v="2026-08-21T00:00:00"/>
    <d v="2026-09-30T00:00:00"/>
    <d v="2026-10-07T00:00:00"/>
    <x v="28"/>
    <s v="CIF"/>
    <s v="ALVA MAERSK/632W"/>
    <s v="OTHER"/>
    <s v="TPVB20260716003"/>
    <n v="274797840"/>
    <n v="274797840"/>
    <n v="50"/>
    <m/>
    <d v="2026-10-01T00:00:00"/>
    <x v="2"/>
    <d v="2026-10-08T00:00:00"/>
    <n v="8"/>
    <d v="2026-10-09T00:00:00"/>
    <x v="0"/>
    <x v="7"/>
    <n v="41"/>
    <s v="AEM"/>
    <m/>
  </r>
  <r>
    <x v="139"/>
    <s v="WUXI"/>
    <s v="26JUL005"/>
    <s v="CORE DG"/>
    <s v="Internal"/>
    <x v="2"/>
    <s v="CIF"/>
    <s v="SunPower Energy Solutions France SAS"/>
    <m/>
    <s v="Local WH / July CT 10"/>
    <m/>
    <m/>
    <s v="n/a"/>
    <x v="6"/>
    <s v="Rechargeable Li-ion Battery"/>
    <x v="6"/>
    <m/>
    <x v="30"/>
    <m/>
    <m/>
    <n v="2"/>
    <s v="CT10 &amp;CT11"/>
    <s v="w32 PICK-UP"/>
    <s v="COMPLETED"/>
    <d v="2026-08-06T00:00:00"/>
    <d v="2026-08-06T00:00:00"/>
    <n v="32"/>
    <x v="35"/>
    <m/>
    <s v="SHANGHAI"/>
    <s v="Shanghai"/>
    <x v="0"/>
    <x v="32"/>
    <d v="2026-08-21T00:00:00"/>
    <d v="2026-08-21T00:00:00"/>
    <d v="2026-09-30T00:00:00"/>
    <d v="2026-10-07T00:00:00"/>
    <x v="28"/>
    <s v="CIF"/>
    <s v="ALVA MAERSK/632W"/>
    <s v="OTHER"/>
    <s v="TPVB20260716003"/>
    <n v="274797840"/>
    <n v="274797840"/>
    <n v="50"/>
    <m/>
    <d v="2026-10-01T00:00:00"/>
    <x v="2"/>
    <d v="2026-10-08T00:00:00"/>
    <n v="8"/>
    <d v="2026-10-09T00:00:00"/>
    <x v="0"/>
    <x v="7"/>
    <n v="41"/>
    <s v="AEM"/>
    <m/>
  </r>
  <r>
    <x v="140"/>
    <s v="WUXI"/>
    <s v="26JUL005"/>
    <s v="CORE DG"/>
    <s v="Internal"/>
    <x v="2"/>
    <s v="CIF"/>
    <s v="SunPower Energy Solutions France SAS"/>
    <m/>
    <s v="Local WH / July CT 12"/>
    <m/>
    <m/>
    <s v="n/a"/>
    <x v="6"/>
    <s v="Rechargeable Li-ion Battery"/>
    <x v="6"/>
    <m/>
    <x v="30"/>
    <m/>
    <m/>
    <n v="2"/>
    <s v="CT12 &amp;CT13"/>
    <s v="w33 PICK-UP"/>
    <s v="COMPLETED"/>
    <d v="2026-08-10T00:00:00"/>
    <d v="2026-08-25T00:00:00"/>
    <n v="35"/>
    <x v="36"/>
    <m/>
    <s v="SHANGHAI"/>
    <s v="Shanghai"/>
    <x v="0"/>
    <x v="33"/>
    <d v="2026-09-01T00:00:00"/>
    <d v="2026-08-31T00:00:00"/>
    <d v="2026-10-07T00:00:00"/>
    <d v="2026-10-07T00:00:00"/>
    <x v="29"/>
    <s v="CIF"/>
    <s v="MERETE MAERSK/633W"/>
    <s v="OTHER"/>
    <s v="TPVB20260727001"/>
    <n v="274958025"/>
    <n v="274958025"/>
    <n v="47"/>
    <m/>
    <d v="2026-10-08T00:00:00"/>
    <x v="2"/>
    <d v="2026-10-15T00:00:00"/>
    <n v="8"/>
    <d v="2026-10-16T00:00:00"/>
    <x v="0"/>
    <x v="7"/>
    <n v="42"/>
    <s v="AEM"/>
    <m/>
  </r>
  <r>
    <x v="141"/>
    <s v="WUXI"/>
    <s v="26AUG005"/>
    <s v="CORE DG"/>
    <s v="Internal"/>
    <x v="2"/>
    <s v="CIF"/>
    <s v="SunPower Energy Solutions France SAS"/>
    <m/>
    <m/>
    <m/>
    <m/>
    <s v="n/a"/>
    <x v="6"/>
    <s v="Rechargeable Li-ion Battery"/>
    <x v="6"/>
    <m/>
    <x v="64"/>
    <m/>
    <m/>
    <n v="0.71014492753623193"/>
    <s v="CT05"/>
    <s v="w33 PICK-UP"/>
    <s v="COMPLETED"/>
    <d v="2026-08-15T00:00:00"/>
    <d v="2026-08-25T00:00:00"/>
    <n v="35"/>
    <x v="37"/>
    <m/>
    <s v="SHANGHAI"/>
    <s v="Shanghai"/>
    <x v="0"/>
    <x v="33"/>
    <d v="2026-09-01T00:00:00"/>
    <d v="2026-08-31T00:00:00"/>
    <d v="2026-10-07T00:00:00"/>
    <d v="2026-10-07T00:00:00"/>
    <x v="29"/>
    <s v="CIF"/>
    <s v="MERETE MAERSK/633W"/>
    <s v="OTHER"/>
    <s v="TPVB20260727001"/>
    <n v="274958025"/>
    <n v="274958025"/>
    <n v="47"/>
    <m/>
    <d v="2026-10-08T00:00:00"/>
    <x v="2"/>
    <d v="2026-10-15T00:00:00"/>
    <n v="8"/>
    <d v="2026-10-16T00:00:00"/>
    <x v="0"/>
    <x v="7"/>
    <n v="42"/>
    <s v="AEM"/>
    <m/>
  </r>
  <r>
    <x v="142"/>
    <s v="WUXI"/>
    <s v="Main Line"/>
    <s v="CORE DG"/>
    <s v="Internal"/>
    <x v="2"/>
    <s v="CIF"/>
    <s v="SunPower Energy Solutions France SAS"/>
    <m/>
    <m/>
    <m/>
    <m/>
    <s v="n/a"/>
    <x v="6"/>
    <s v="Rechargeable Li-ion Battery"/>
    <x v="6"/>
    <m/>
    <x v="46"/>
    <m/>
    <m/>
    <n v="0.28985507246376813"/>
    <s v="CT05"/>
    <s v="w33 PICK-UP"/>
    <s v="COMPLETED"/>
    <d v="2026-08-15T00:00:00"/>
    <d v="2026-08-25T00:00:00"/>
    <n v="35"/>
    <x v="37"/>
    <m/>
    <s v="SHANGHAI"/>
    <s v="Shanghai"/>
    <x v="0"/>
    <x v="33"/>
    <d v="2026-09-01T00:00:00"/>
    <d v="2026-08-31T00:00:00"/>
    <d v="2026-10-07T00:00:00"/>
    <d v="2026-10-07T00:00:00"/>
    <x v="29"/>
    <s v="CIF"/>
    <s v="MERETE MAERSK/633W"/>
    <s v="OTHER"/>
    <s v="TPVB20260727001"/>
    <n v="274958025"/>
    <n v="274958025"/>
    <n v="47"/>
    <m/>
    <d v="2026-10-08T00:00:00"/>
    <x v="2"/>
    <d v="2026-10-15T00:00:00"/>
    <n v="8"/>
    <d v="2026-10-16T00:00:00"/>
    <x v="0"/>
    <x v="7"/>
    <n v="42"/>
    <s v="AEM"/>
    <m/>
  </r>
  <r>
    <x v="143"/>
    <s v="WUXI"/>
    <s v="26AUG005"/>
    <s v="CORE DG"/>
    <s v="Internal"/>
    <x v="2"/>
    <s v="CIF"/>
    <s v="SunPower Energy Solutions France SAS"/>
    <m/>
    <m/>
    <m/>
    <m/>
    <s v="n/a"/>
    <x v="6"/>
    <s v="Rechargeable Li-ion Battery"/>
    <x v="6"/>
    <m/>
    <x v="12"/>
    <m/>
    <m/>
    <n v="1"/>
    <s v="CT06"/>
    <s v="w33 PICK-UP"/>
    <s v="COMPLETED"/>
    <d v="2026-08-15T00:00:00"/>
    <d v="2026-08-25T00:00:00"/>
    <n v="35"/>
    <x v="37"/>
    <m/>
    <s v="SHANGHAI"/>
    <s v="Shanghai"/>
    <x v="0"/>
    <x v="33"/>
    <d v="2026-09-01T00:00:00"/>
    <d v="2026-08-31T00:00:00"/>
    <d v="2026-10-07T00:00:00"/>
    <d v="2026-10-07T00:00:00"/>
    <x v="29"/>
    <s v="CIF"/>
    <s v="MERETE MAERSK/633W"/>
    <s v="OTHER"/>
    <s v="TPVB20260727001"/>
    <n v="274958025"/>
    <n v="274958025"/>
    <n v="47"/>
    <m/>
    <d v="2026-10-08T00:00:00"/>
    <x v="2"/>
    <d v="2026-10-15T00:00:00"/>
    <n v="8"/>
    <d v="2026-10-16T00:00:00"/>
    <x v="0"/>
    <x v="7"/>
    <n v="42"/>
    <s v="AEM"/>
    <m/>
  </r>
  <r>
    <x v="144"/>
    <s v="WUXI"/>
    <s v="26AUG002"/>
    <s v="CORE DG"/>
    <s v="Internal"/>
    <x v="2"/>
    <s v="CIF"/>
    <s v="SunPower Energy Solutions France SAS"/>
    <m/>
    <m/>
    <m/>
    <m/>
    <s v="n/a"/>
    <x v="2"/>
    <s v="Hybrid Inverter"/>
    <x v="2"/>
    <m/>
    <x v="65"/>
    <m/>
    <m/>
    <n v="0.41153846153846152"/>
    <s v="CT02"/>
    <s v="w33 PICK-UP"/>
    <s v="COMPLETED"/>
    <d v="2026-08-11T00:00:00"/>
    <d v="2026-08-13T00:00:00"/>
    <n v="33"/>
    <x v="38"/>
    <m/>
    <s v="SHANGHAI"/>
    <s v="Shanghai"/>
    <x v="0"/>
    <x v="34"/>
    <d v="2026-08-19T00:00:00"/>
    <d v="2026-08-19T00:00:00"/>
    <d v="2026-09-23T00:00:00"/>
    <d v="2026-09-25T00:00:00"/>
    <x v="30"/>
    <s v="CIF"/>
    <s v="CMA CGM OSIRIS/0MEOHW1MA"/>
    <s v="COSCO"/>
    <s v="TPVB20260727004"/>
    <s v="COSU6463058470"/>
    <s v="COSU6463058470"/>
    <n v="35"/>
    <m/>
    <d v="2026-09-25T00:00:00"/>
    <x v="2"/>
    <d v="2026-10-01T00:00:00"/>
    <n v="8"/>
    <d v="2026-10-03T00:00:00"/>
    <x v="0"/>
    <x v="7"/>
    <n v="40"/>
    <s v="AEM"/>
    <m/>
  </r>
  <r>
    <x v="145"/>
    <s v="WUXI"/>
    <s v="26AUG003"/>
    <s v="CORE DG"/>
    <s v="Internal"/>
    <x v="2"/>
    <s v="CIF"/>
    <s v="SunPower Energy Solutions France SAS"/>
    <m/>
    <m/>
    <m/>
    <m/>
    <s v="n/a"/>
    <x v="4"/>
    <s v="Hybrid Inverter"/>
    <x v="4"/>
    <m/>
    <x v="66"/>
    <m/>
    <m/>
    <n v="8.8461538461538466E-2"/>
    <s v="CT02"/>
    <s v="w33 PICK-UP"/>
    <s v="COMPLETED"/>
    <d v="2026-08-11T00:00:00"/>
    <d v="2026-08-13T00:00:00"/>
    <n v="33"/>
    <x v="38"/>
    <m/>
    <s v="SHANGHAI"/>
    <s v="Shanghai"/>
    <x v="0"/>
    <x v="34"/>
    <d v="2026-08-19T00:00:00"/>
    <d v="2026-08-19T00:00:00"/>
    <d v="2026-09-23T00:00:00"/>
    <d v="2026-09-25T00:00:00"/>
    <x v="30"/>
    <s v="CIF"/>
    <s v="CMA CGM OSIRIS/0MEOHW1MA"/>
    <s v="COSCO"/>
    <s v="TPVB20260727004"/>
    <s v="COSU6463058470"/>
    <s v="COSU6463058470"/>
    <n v="35"/>
    <m/>
    <d v="2026-09-25T00:00:00"/>
    <x v="2"/>
    <d v="2026-10-01T00:00:00"/>
    <n v="8"/>
    <d v="2026-10-03T00:00:00"/>
    <x v="0"/>
    <x v="7"/>
    <n v="40"/>
    <s v="AEM"/>
    <m/>
  </r>
  <r>
    <x v="146"/>
    <s v="WUXI"/>
    <s v="26AUG004"/>
    <s v="CORE DG"/>
    <s v="Internal"/>
    <x v="2"/>
    <s v="CIF"/>
    <s v="SunPower Energy Solutions France SAS"/>
    <m/>
    <m/>
    <m/>
    <m/>
    <s v="n/a"/>
    <x v="5"/>
    <s v="High voltage distribution box"/>
    <x v="5"/>
    <m/>
    <x v="67"/>
    <m/>
    <m/>
    <n v="0.5"/>
    <s v="CT02"/>
    <s v="w33 PICK-UP"/>
    <s v="COMPLETED"/>
    <d v="2026-08-11T00:00:00"/>
    <d v="2026-08-13T00:00:00"/>
    <n v="33"/>
    <x v="38"/>
    <m/>
    <s v="SHANGHAI"/>
    <s v="Shanghai"/>
    <x v="0"/>
    <x v="34"/>
    <d v="2026-08-19T00:00:00"/>
    <d v="2026-08-19T00:00:00"/>
    <d v="2026-09-23T00:00:00"/>
    <d v="2026-09-25T00:00:00"/>
    <x v="30"/>
    <s v="CIF"/>
    <s v="CMA CGM OSIRIS/0MEOHW1MA"/>
    <s v="COSCO"/>
    <s v="TPVB20260727004"/>
    <s v="COSU6463058470"/>
    <s v="COSU6463058470"/>
    <n v="35"/>
    <m/>
    <d v="2026-09-25T00:00:00"/>
    <x v="2"/>
    <d v="2026-10-01T00:00:00"/>
    <n v="8"/>
    <d v="2026-10-03T00:00:00"/>
    <x v="0"/>
    <x v="7"/>
    <n v="40"/>
    <s v="AEM"/>
    <m/>
  </r>
  <r>
    <x v="147"/>
    <s v="WUXI"/>
    <s v="Main Line"/>
    <s v="CORE DG"/>
    <s v="Internal"/>
    <x v="2"/>
    <s v="CIF"/>
    <s v="SunPower Energy Solutions France SAS"/>
    <m/>
    <m/>
    <m/>
    <m/>
    <s v="n/a"/>
    <x v="7"/>
    <s v="Hybrid Inverter"/>
    <x v="7"/>
    <m/>
    <x v="18"/>
    <m/>
    <m/>
    <n v="0.15178571428571427"/>
    <s v="CT01"/>
    <s v="w33 PICK-UP"/>
    <s v="COMPLETED"/>
    <d v="2026-08-11T00:00:00"/>
    <d v="2026-08-22T00:00:00"/>
    <n v="34"/>
    <x v="39"/>
    <m/>
    <s v="SHANGHAI"/>
    <s v="Shanghai"/>
    <x v="0"/>
    <x v="35"/>
    <d v="2026-09-02T00:00:00"/>
    <d v="2026-09-02T00:00:00"/>
    <d v="2026-10-07T00:00:00"/>
    <d v="2026-10-14T00:00:00"/>
    <x v="31"/>
    <s v="CIF"/>
    <s v="ANGELICA MAERSK/632W"/>
    <s v="OTHER"/>
    <s v="TPVB20260727003"/>
    <n v="275076509"/>
    <n v="275076509"/>
    <n v="50"/>
    <m/>
    <d v="2026-10-15T00:00:00"/>
    <x v="2"/>
    <d v="2026-10-22T00:00:00"/>
    <n v="8"/>
    <d v="2026-10-23T00:00:00"/>
    <x v="0"/>
    <x v="7"/>
    <n v="43"/>
    <s v="AEM"/>
    <m/>
  </r>
  <r>
    <x v="148"/>
    <s v="WUXI"/>
    <s v="Main Line"/>
    <s v="CORE DG"/>
    <s v="Internal"/>
    <x v="2"/>
    <s v="CIF"/>
    <s v="SunPower Energy Solutions France SAS"/>
    <m/>
    <m/>
    <m/>
    <m/>
    <s v="n/a"/>
    <x v="7"/>
    <s v="Hybrid Inverter"/>
    <x v="7"/>
    <m/>
    <x v="10"/>
    <m/>
    <m/>
    <n v="4.464285714285714E-3"/>
    <s v="CT01"/>
    <s v="w33 PICK-UP"/>
    <s v="COMPLETED"/>
    <d v="2026-08-11T00:00:00"/>
    <d v="2026-08-22T00:00:00"/>
    <n v="34"/>
    <x v="39"/>
    <m/>
    <s v="SHANGHAI"/>
    <s v="Shanghai"/>
    <x v="0"/>
    <x v="35"/>
    <d v="2026-09-02T00:00:00"/>
    <d v="2026-09-02T00:00:00"/>
    <d v="2026-10-07T00:00:00"/>
    <d v="2026-10-14T00:00:00"/>
    <x v="31"/>
    <s v="CIF"/>
    <s v="ANGELICA MAERSK/632W"/>
    <s v="OTHER"/>
    <s v="TPVB20260727003"/>
    <n v="275076509"/>
    <n v="275076509"/>
    <n v="50"/>
    <m/>
    <d v="2026-10-15T00:00:00"/>
    <x v="2"/>
    <d v="2026-10-22T00:00:00"/>
    <n v="8"/>
    <d v="2026-10-23T00:00:00"/>
    <x v="0"/>
    <x v="7"/>
    <n v="43"/>
    <s v="AEM"/>
    <m/>
  </r>
  <r>
    <x v="149"/>
    <s v="WUXI"/>
    <s v="Main Line"/>
    <s v="CORE DG"/>
    <s v="Internal"/>
    <x v="2"/>
    <s v="CIF"/>
    <s v="SunPower Energy Solutions France SAS"/>
    <m/>
    <m/>
    <m/>
    <m/>
    <s v="n/a"/>
    <x v="2"/>
    <s v="Hybrid Inverter"/>
    <x v="2"/>
    <m/>
    <x v="68"/>
    <m/>
    <m/>
    <n v="0.12053571428571429"/>
    <s v="CT01"/>
    <s v="w33 PICK-UP"/>
    <s v="COMPLETED"/>
    <d v="2026-08-11T00:00:00"/>
    <d v="2026-08-22T00:00:00"/>
    <n v="34"/>
    <x v="39"/>
    <m/>
    <s v="SHANGHAI"/>
    <s v="Shanghai"/>
    <x v="0"/>
    <x v="35"/>
    <d v="2026-09-02T00:00:00"/>
    <d v="2026-09-02T00:00:00"/>
    <d v="2026-10-07T00:00:00"/>
    <d v="2026-10-14T00:00:00"/>
    <x v="31"/>
    <s v="CIF"/>
    <s v="ANGELICA MAERSK/632W"/>
    <s v="OTHER"/>
    <s v="TPVB20260727003"/>
    <n v="275076509"/>
    <n v="275076509"/>
    <n v="50"/>
    <m/>
    <d v="2026-10-15T00:00:00"/>
    <x v="2"/>
    <d v="2026-10-22T00:00:00"/>
    <n v="8"/>
    <d v="2026-10-23T00:00:00"/>
    <x v="0"/>
    <x v="7"/>
    <n v="43"/>
    <s v="AEM"/>
    <m/>
  </r>
  <r>
    <x v="150"/>
    <s v="WUXI"/>
    <s v="26AUG003"/>
    <s v="CORE DG"/>
    <s v="Internal"/>
    <x v="2"/>
    <s v="CIF"/>
    <s v="SunPower Energy Solutions France SAS"/>
    <m/>
    <m/>
    <m/>
    <m/>
    <s v="n/a"/>
    <x v="4"/>
    <s v="Hybrid Inverter"/>
    <x v="4"/>
    <m/>
    <x v="69"/>
    <m/>
    <m/>
    <n v="0.29017857142857145"/>
    <s v="CT01"/>
    <s v="w33 PICK-UP"/>
    <s v="COMPLETED"/>
    <d v="2026-08-11T00:00:00"/>
    <d v="2026-08-22T00:00:00"/>
    <n v="34"/>
    <x v="39"/>
    <m/>
    <s v="SHANGHAI"/>
    <s v="Shanghai"/>
    <x v="0"/>
    <x v="35"/>
    <d v="2026-09-02T00:00:00"/>
    <d v="2026-09-02T00:00:00"/>
    <d v="2026-10-07T00:00:00"/>
    <d v="2026-10-14T00:00:00"/>
    <x v="31"/>
    <s v="CIF"/>
    <s v="ANGELICA MAERSK/632W"/>
    <s v="OTHER"/>
    <s v="TPVB20260727003"/>
    <n v="275076509"/>
    <n v="275076509"/>
    <n v="50"/>
    <m/>
    <d v="2026-10-15T00:00:00"/>
    <x v="2"/>
    <d v="2026-10-22T00:00:00"/>
    <n v="8"/>
    <d v="2026-10-23T00:00:00"/>
    <x v="0"/>
    <x v="7"/>
    <n v="43"/>
    <s v="AEM"/>
    <m/>
  </r>
  <r>
    <x v="151"/>
    <s v="WUXI"/>
    <s v="Main Line"/>
    <s v="CORE DG"/>
    <s v="Internal"/>
    <x v="2"/>
    <s v="CIF"/>
    <s v="SunPower Energy Solutions France SAS"/>
    <m/>
    <m/>
    <m/>
    <m/>
    <s v="n/a"/>
    <x v="4"/>
    <s v="Hybrid Inverter"/>
    <x v="4"/>
    <m/>
    <x v="14"/>
    <m/>
    <m/>
    <n v="1.3392857142857142E-2"/>
    <s v="CT01"/>
    <s v="w33 PICK-UP"/>
    <s v="COMPLETED"/>
    <d v="2026-08-11T00:00:00"/>
    <d v="2026-08-22T00:00:00"/>
    <n v="34"/>
    <x v="39"/>
    <m/>
    <s v="SHANGHAI"/>
    <s v="Shanghai"/>
    <x v="0"/>
    <x v="35"/>
    <d v="2026-09-02T00:00:00"/>
    <d v="2026-09-02T00:00:00"/>
    <d v="2026-10-07T00:00:00"/>
    <d v="2026-10-14T00:00:00"/>
    <x v="31"/>
    <s v="CIF"/>
    <s v="ANGELICA MAERSK/632W"/>
    <s v="OTHER"/>
    <s v="TPVB20260727003"/>
    <n v="275076509"/>
    <n v="275076509"/>
    <n v="50"/>
    <m/>
    <d v="2026-10-15T00:00:00"/>
    <x v="2"/>
    <d v="2026-10-22T00:00:00"/>
    <n v="8"/>
    <d v="2026-10-23T00:00:00"/>
    <x v="0"/>
    <x v="7"/>
    <n v="43"/>
    <s v="AEM"/>
    <m/>
  </r>
  <r>
    <x v="152"/>
    <s v="WUXI"/>
    <s v="26AUG004"/>
    <s v="CORE DG"/>
    <s v="Internal"/>
    <x v="2"/>
    <s v="CIF"/>
    <s v="SunPower Energy Solutions France SAS"/>
    <m/>
    <m/>
    <m/>
    <m/>
    <s v="n/a"/>
    <x v="5"/>
    <s v="High voltage distribution box"/>
    <x v="5"/>
    <m/>
    <x v="13"/>
    <m/>
    <m/>
    <n v="0.2857142857142857"/>
    <s v="CT01"/>
    <s v="w33 PICK-UP"/>
    <s v="COMPLETED"/>
    <d v="2026-08-11T00:00:00"/>
    <d v="2026-08-22T00:00:00"/>
    <n v="34"/>
    <x v="39"/>
    <m/>
    <s v="SHANGHAI"/>
    <s v="Shanghai"/>
    <x v="0"/>
    <x v="35"/>
    <d v="2026-09-02T00:00:00"/>
    <d v="2026-09-02T00:00:00"/>
    <d v="2026-10-07T00:00:00"/>
    <d v="2026-10-14T00:00:00"/>
    <x v="31"/>
    <s v="CIF"/>
    <s v="ANGELICA MAERSK/632W"/>
    <s v="OTHER"/>
    <s v="TPVB20260727003"/>
    <n v="275076509"/>
    <n v="275076509"/>
    <n v="50"/>
    <m/>
    <d v="2026-10-15T00:00:00"/>
    <x v="2"/>
    <d v="2026-10-22T00:00:00"/>
    <n v="8"/>
    <d v="2026-10-23T00:00:00"/>
    <x v="0"/>
    <x v="7"/>
    <n v="43"/>
    <s v="AEM"/>
    <m/>
  </r>
  <r>
    <x v="153"/>
    <s v="WUXI"/>
    <s v="Main Line"/>
    <s v="CORE DG"/>
    <s v="Internal"/>
    <x v="2"/>
    <s v="CIF"/>
    <s v="SunPower Energy Solutions France SAS"/>
    <m/>
    <m/>
    <m/>
    <m/>
    <s v="n/a"/>
    <x v="5"/>
    <s v="High voltage distribution box"/>
    <x v="5"/>
    <m/>
    <x v="70"/>
    <m/>
    <m/>
    <n v="8.5714285714285715E-2"/>
    <s v="CT01"/>
    <s v="w33 PICK-UP"/>
    <s v="COMPLETED"/>
    <d v="2026-08-11T00:00:00"/>
    <d v="2026-08-22T00:00:00"/>
    <n v="34"/>
    <x v="39"/>
    <m/>
    <s v="SHANGHAI"/>
    <s v="Shanghai"/>
    <x v="0"/>
    <x v="35"/>
    <d v="2026-09-02T00:00:00"/>
    <d v="2026-09-02T00:00:00"/>
    <d v="2026-10-07T00:00:00"/>
    <d v="2026-10-14T00:00:00"/>
    <x v="31"/>
    <s v="CIF"/>
    <s v="ANGELICA MAERSK/632W"/>
    <s v="OTHER"/>
    <s v="TPVB20260727003"/>
    <n v="275076509"/>
    <n v="275076509"/>
    <n v="50"/>
    <m/>
    <d v="2026-10-15T00:00:00"/>
    <x v="2"/>
    <d v="2026-10-22T00:00:00"/>
    <n v="8"/>
    <d v="2026-10-23T00:00:00"/>
    <x v="0"/>
    <x v="7"/>
    <n v="43"/>
    <s v="AEM"/>
    <m/>
  </r>
  <r>
    <x v="154"/>
    <s v="WUXI"/>
    <s v="Main Line"/>
    <s v="CORE DG"/>
    <s v="Internal"/>
    <x v="2"/>
    <s v="CIF"/>
    <s v="SunPower Energy Solutions France SAS"/>
    <m/>
    <m/>
    <m/>
    <m/>
    <m/>
    <x v="0"/>
    <s v="1P meter"/>
    <x v="0"/>
    <m/>
    <x v="51"/>
    <m/>
    <m/>
    <n v="0.05"/>
    <s v="CT01"/>
    <s v="w33 PICK-UP"/>
    <s v="COMPLETED"/>
    <d v="2026-08-11T00:00:00"/>
    <d v="2026-08-22T00:00:00"/>
    <n v="34"/>
    <x v="39"/>
    <m/>
    <s v="SHANGHAI"/>
    <s v="Shanghai"/>
    <x v="0"/>
    <x v="35"/>
    <d v="2026-09-02T00:00:00"/>
    <d v="2026-09-02T00:00:00"/>
    <d v="2026-10-07T00:00:00"/>
    <d v="2026-10-14T00:00:00"/>
    <x v="31"/>
    <s v="CIF"/>
    <s v="ANGELICA MAERSK/632W"/>
    <s v="OTHER"/>
    <s v="TPVB20260727003"/>
    <n v="275076509"/>
    <n v="275076509"/>
    <n v="50"/>
    <m/>
    <d v="2026-10-15T00:00:00"/>
    <x v="2"/>
    <d v="2026-10-22T00:00:00"/>
    <n v="8"/>
    <d v="2026-10-23T00:00:00"/>
    <x v="0"/>
    <x v="7"/>
    <n v="43"/>
    <s v="AEM"/>
    <m/>
  </r>
  <r>
    <x v="155"/>
    <s v="WUXI"/>
    <s v="26AUG002"/>
    <s v="CORE DG"/>
    <s v="Internal"/>
    <x v="2"/>
    <s v="CIF"/>
    <s v="SunPower Energy Solutions France SAS"/>
    <m/>
    <m/>
    <m/>
    <m/>
    <s v="n/a"/>
    <x v="2"/>
    <s v="Hybrid Inverter"/>
    <x v="2"/>
    <m/>
    <x v="67"/>
    <m/>
    <m/>
    <n v="0.5"/>
    <s v="CT03"/>
    <s v="w34 PICK-UP"/>
    <s v="COMPLETED"/>
    <d v="2026-08-17T00:00:00"/>
    <d v="2026-08-22T00:00:00"/>
    <n v="34"/>
    <x v="39"/>
    <m/>
    <s v="SHANGHAI"/>
    <s v="Shanghai"/>
    <x v="0"/>
    <x v="35"/>
    <d v="2026-09-02T00:00:00"/>
    <d v="2026-09-02T00:00:00"/>
    <d v="2026-10-07T00:00:00"/>
    <d v="2026-10-14T00:00:00"/>
    <x v="31"/>
    <s v="CIF"/>
    <s v="ANGELICA MAERSK/632W"/>
    <s v="OTHER"/>
    <s v="TPVB20260727003"/>
    <n v="275076509"/>
    <n v="275076509"/>
    <n v="50"/>
    <m/>
    <d v="2026-10-15T00:00:00"/>
    <x v="2"/>
    <d v="2026-10-22T00:00:00"/>
    <n v="8"/>
    <d v="2026-10-23T00:00:00"/>
    <x v="0"/>
    <x v="7"/>
    <n v="43"/>
    <s v="AEM"/>
    <m/>
  </r>
  <r>
    <x v="156"/>
    <s v="WUXI"/>
    <s v="26AUG004"/>
    <s v="CORE DG"/>
    <s v="Internal"/>
    <x v="2"/>
    <s v="CIF"/>
    <s v="SunPower Energy Solutions France SAS"/>
    <m/>
    <m/>
    <m/>
    <m/>
    <s v="n/a"/>
    <x v="5"/>
    <s v="High voltage distribution box"/>
    <x v="5"/>
    <m/>
    <x v="67"/>
    <m/>
    <m/>
    <n v="0.5"/>
    <s v="CT03"/>
    <s v="w34 PICK-UP"/>
    <s v="COMPLETED"/>
    <d v="2026-08-17T00:00:00"/>
    <d v="2026-08-22T00:00:00"/>
    <n v="34"/>
    <x v="39"/>
    <m/>
    <s v="SHANGHAI"/>
    <s v="Shanghai"/>
    <x v="0"/>
    <x v="35"/>
    <d v="2026-09-02T00:00:00"/>
    <d v="2026-09-02T00:00:00"/>
    <d v="2026-10-07T00:00:00"/>
    <d v="2026-10-14T00:00:00"/>
    <x v="31"/>
    <s v="CIF"/>
    <s v="ANGELICA MAERSK/632W"/>
    <s v="OTHER"/>
    <s v="TPVB20260727003"/>
    <n v="275076509"/>
    <n v="275076509"/>
    <n v="50"/>
    <m/>
    <d v="2026-10-15T00:00:00"/>
    <x v="2"/>
    <d v="2026-10-22T00:00:00"/>
    <n v="8"/>
    <d v="2026-10-23T00:00:00"/>
    <x v="0"/>
    <x v="7"/>
    <n v="43"/>
    <s v="AEM"/>
    <m/>
  </r>
  <r>
    <x v="157"/>
    <s v="WUXI"/>
    <s v="Main Line"/>
    <s v="CORE DG"/>
    <s v="Internal"/>
    <x v="2"/>
    <s v="CIF"/>
    <s v="SunPower Energy Solutions France SAS"/>
    <m/>
    <m/>
    <m/>
    <m/>
    <m/>
    <x v="1"/>
    <s v="3P meter"/>
    <x v="1"/>
    <m/>
    <x v="44"/>
    <m/>
    <m/>
    <m/>
    <s v="CT03"/>
    <s v="w34 PICK-UP"/>
    <s v="COMPLETED"/>
    <d v="2026-08-17T00:00:00"/>
    <d v="2026-08-22T00:00:00"/>
    <n v="34"/>
    <x v="39"/>
    <m/>
    <s v="SHANGHAI"/>
    <s v="Shanghai"/>
    <x v="0"/>
    <x v="35"/>
    <d v="2026-09-02T00:00:00"/>
    <d v="2026-09-02T00:00:00"/>
    <d v="2026-10-07T00:00:00"/>
    <d v="2026-10-14T00:00:00"/>
    <x v="31"/>
    <s v="CIF"/>
    <s v="ANGELICA MAERSK/632W"/>
    <s v="OTHER"/>
    <s v="TPVB20260727003"/>
    <n v="275076509"/>
    <n v="275076509"/>
    <n v="50"/>
    <m/>
    <d v="2026-10-15T00:00:00"/>
    <x v="2"/>
    <d v="2026-10-22T00:00:00"/>
    <n v="8"/>
    <d v="2026-10-23T00:00:00"/>
    <x v="0"/>
    <x v="7"/>
    <n v="43"/>
    <s v="AEM"/>
    <m/>
  </r>
  <r>
    <x v="158"/>
    <s v="WUXI"/>
    <s v="26AUG002"/>
    <s v="CORE DG"/>
    <s v="Internal"/>
    <x v="2"/>
    <s v="CIF"/>
    <s v="SunPower Energy Solutions France SAS"/>
    <m/>
    <m/>
    <m/>
    <m/>
    <s v="n/a"/>
    <x v="2"/>
    <s v="Hybrid Inverter"/>
    <x v="2"/>
    <m/>
    <x v="67"/>
    <m/>
    <m/>
    <n v="0.5"/>
    <s v="CT04"/>
    <s v="w34 PICK-UP"/>
    <s v="IN-TRANSIT"/>
    <d v="2026-08-17T00:00:00"/>
    <d v="2026-08-22T00:00:00"/>
    <n v="34"/>
    <x v="40"/>
    <m/>
    <s v="SHANGHAI"/>
    <s v="Shanghai"/>
    <x v="0"/>
    <x v="36"/>
    <d v="2026-09-04T00:00:00"/>
    <d v="2026-09-04T00:00:00"/>
    <d v="2026-10-19T00:00:00"/>
    <d v="2026-11-06T00:00:00"/>
    <x v="32"/>
    <s v="CIF"/>
    <s v="EVER GIFTED 0767-030W"/>
    <s v="COSCO"/>
    <s v="TPVB20260811004"/>
    <s v="COSU9509161900"/>
    <s v="COSU9509161900"/>
    <n v="51"/>
    <m/>
    <d v="2026-11-06T00:00:00"/>
    <x v="2"/>
    <d v="2026-10-27T00:00:00"/>
    <n v="8"/>
    <d v="2026-11-14T00:00:00"/>
    <x v="0"/>
    <x v="9"/>
    <n v="46"/>
    <s v="AEM"/>
    <m/>
  </r>
  <r>
    <x v="159"/>
    <s v="WUXI"/>
    <s v="26AUG004"/>
    <s v="CORE DG"/>
    <s v="Internal"/>
    <x v="2"/>
    <s v="CIF"/>
    <s v="SunPower Energy Solutions France SAS"/>
    <m/>
    <m/>
    <m/>
    <m/>
    <s v="n/a"/>
    <x v="5"/>
    <s v="High voltage distribution box"/>
    <x v="5"/>
    <m/>
    <x v="67"/>
    <m/>
    <m/>
    <n v="0.5"/>
    <s v="CT04"/>
    <s v="w34 PICK-UP"/>
    <s v="IN-TRANSIT"/>
    <d v="2026-08-17T00:00:00"/>
    <d v="2026-08-22T00:00:00"/>
    <n v="34"/>
    <x v="40"/>
    <m/>
    <s v="SHANGHAI"/>
    <s v="Shanghai"/>
    <x v="0"/>
    <x v="36"/>
    <d v="2026-09-04T00:00:00"/>
    <d v="2026-09-04T00:00:00"/>
    <d v="2026-10-19T00:00:00"/>
    <d v="2026-11-06T00:00:00"/>
    <x v="32"/>
    <s v="CIF"/>
    <s v="EVER GIFTED 0767-030W"/>
    <s v="COSCO"/>
    <s v="TPVB20260811004"/>
    <s v="COSU9509161900"/>
    <s v="COSU9509161900"/>
    <n v="51"/>
    <m/>
    <d v="2026-11-06T00:00:00"/>
    <x v="2"/>
    <d v="2026-10-27T00:00:00"/>
    <n v="8"/>
    <d v="2026-11-14T00:00:00"/>
    <x v="0"/>
    <x v="9"/>
    <n v="46"/>
    <s v="AEM"/>
    <m/>
  </r>
  <r>
    <x v="158"/>
    <s v="WUXI"/>
    <s v="26AUG002"/>
    <s v="CORE DG"/>
    <s v="Internal"/>
    <x v="2"/>
    <s v="CIF"/>
    <s v="SunPower Energy Solutions France SAS"/>
    <m/>
    <m/>
    <m/>
    <m/>
    <s v="n/a"/>
    <x v="2"/>
    <s v="Hybrid Inverter"/>
    <x v="2"/>
    <n v="130"/>
    <x v="67"/>
    <m/>
    <m/>
    <n v="0.5"/>
    <s v="CT07"/>
    <s v="w35 PICK-UP"/>
    <s v="IN-TRANSIT"/>
    <d v="2026-08-24T00:00:00"/>
    <d v="2026-08-22T00:00:00"/>
    <n v="34"/>
    <x v="40"/>
    <m/>
    <s v="SHANGHAI"/>
    <s v="Shanghai"/>
    <x v="0"/>
    <x v="36"/>
    <d v="2026-09-04T00:00:00"/>
    <d v="2026-09-04T00:00:00"/>
    <d v="2026-10-19T00:00:00"/>
    <d v="2026-11-06T00:00:00"/>
    <x v="32"/>
    <s v="CIF"/>
    <s v="EVER GIFTED 0767-030W"/>
    <s v="COSCO"/>
    <s v="TPVB20260811004"/>
    <s v="COSU9509161900"/>
    <s v="COSU9509161900"/>
    <n v="51"/>
    <m/>
    <d v="2026-11-06T00:00:00"/>
    <x v="2"/>
    <d v="2026-10-27T00:00:00"/>
    <n v="8"/>
    <d v="2026-11-14T00:00:00"/>
    <x v="0"/>
    <x v="9"/>
    <n v="46"/>
    <s v="AEM"/>
    <m/>
  </r>
  <r>
    <x v="159"/>
    <s v="WUXI"/>
    <s v="26AUG004"/>
    <s v="CORE DG"/>
    <s v="Internal"/>
    <x v="2"/>
    <s v="CIF"/>
    <s v="SunPower Energy Solutions France SAS"/>
    <m/>
    <m/>
    <m/>
    <m/>
    <s v="n/a"/>
    <x v="5"/>
    <s v="High voltage distribution box"/>
    <x v="5"/>
    <n v="130"/>
    <x v="67"/>
    <m/>
    <m/>
    <n v="0.5"/>
    <s v="CT07"/>
    <s v="w35 PICK-UP"/>
    <s v="IN-TRANSIT"/>
    <d v="2026-08-24T00:00:00"/>
    <d v="2026-08-22T00:00:00"/>
    <n v="34"/>
    <x v="40"/>
    <m/>
    <s v="SHANGHAI"/>
    <s v="Shanghai"/>
    <x v="0"/>
    <x v="36"/>
    <d v="2026-09-04T00:00:00"/>
    <d v="2026-09-04T00:00:00"/>
    <d v="2026-10-19T00:00:00"/>
    <d v="2026-11-06T00:00:00"/>
    <x v="32"/>
    <s v="CIF"/>
    <s v="EVER GIFTED 0767-030W"/>
    <s v="COSCO"/>
    <s v="TPVB20260811004"/>
    <s v="COSU9509161900"/>
    <s v="COSU9509161900"/>
    <n v="51"/>
    <m/>
    <d v="2026-11-06T00:00:00"/>
    <x v="2"/>
    <d v="2026-10-27T00:00:00"/>
    <n v="8"/>
    <d v="2026-11-14T00:00:00"/>
    <x v="0"/>
    <x v="9"/>
    <n v="46"/>
    <s v="AEM"/>
    <m/>
  </r>
  <r>
    <x v="160"/>
    <s v="WUXI"/>
    <s v="26AUG002"/>
    <s v="CORE DG"/>
    <s v="Internal"/>
    <x v="2"/>
    <s v="CIF"/>
    <s v="SunPower Energy Solutions France SAS"/>
    <m/>
    <m/>
    <m/>
    <m/>
    <s v="n/a"/>
    <x v="2"/>
    <s v="Hybrid Inverter"/>
    <x v="2"/>
    <n v="130"/>
    <x v="67"/>
    <m/>
    <m/>
    <n v="0.5"/>
    <s v="CT08"/>
    <s v="w35 PICK-UP"/>
    <s v="IN-TRANSIT"/>
    <d v="2026-08-24T00:00:00"/>
    <d v="2026-08-24T00:00:00"/>
    <n v="35"/>
    <x v="40"/>
    <m/>
    <s v="SHANGHAI"/>
    <s v="Shanghai"/>
    <x v="0"/>
    <x v="36"/>
    <d v="2026-09-04T00:00:00"/>
    <d v="2026-09-04T00:00:00"/>
    <d v="2026-10-19T00:00:00"/>
    <d v="2026-11-06T00:00:00"/>
    <x v="32"/>
    <s v="CIF"/>
    <s v="EVER GIFTED 0767-030W"/>
    <s v="COSCO"/>
    <s v="TPVB20260811004"/>
    <s v="COSU9509161900"/>
    <s v="COSU9509161900"/>
    <n v="51"/>
    <m/>
    <d v="2026-11-06T00:00:00"/>
    <x v="2"/>
    <d v="2026-10-27T00:00:00"/>
    <n v="8"/>
    <d v="2026-11-14T00:00:00"/>
    <x v="0"/>
    <x v="9"/>
    <n v="46"/>
    <s v="AEM"/>
    <m/>
  </r>
  <r>
    <x v="161"/>
    <s v="WUXI"/>
    <s v="26AUG004"/>
    <s v="CORE DG"/>
    <s v="Internal"/>
    <x v="2"/>
    <s v="CIF"/>
    <s v="SunPower Energy Solutions France SAS"/>
    <m/>
    <m/>
    <m/>
    <m/>
    <s v="n/a"/>
    <x v="5"/>
    <s v="High voltage distribution box"/>
    <x v="5"/>
    <n v="130"/>
    <x v="67"/>
    <m/>
    <m/>
    <n v="0.5"/>
    <s v="CT08"/>
    <s v="w35 PICK-UP"/>
    <s v="IN-TRANSIT"/>
    <d v="2026-08-24T00:00:00"/>
    <d v="2026-08-24T00:00:00"/>
    <n v="35"/>
    <x v="40"/>
    <m/>
    <s v="SHANGHAI"/>
    <s v="Shanghai"/>
    <x v="0"/>
    <x v="36"/>
    <d v="2026-09-04T00:00:00"/>
    <d v="2026-09-04T00:00:00"/>
    <d v="2026-10-19T00:00:00"/>
    <d v="2026-11-06T00:00:00"/>
    <x v="32"/>
    <s v="CIF"/>
    <s v="EVER GIFTED 0767-030W"/>
    <s v="COSCO"/>
    <s v="TPVB20260811004"/>
    <s v="COSU9509161900"/>
    <s v="COSU9509161900"/>
    <n v="51"/>
    <m/>
    <d v="2026-11-06T00:00:00"/>
    <x v="2"/>
    <d v="2026-10-27T00:00:00"/>
    <n v="8"/>
    <d v="2026-11-14T00:00:00"/>
    <x v="0"/>
    <x v="9"/>
    <n v="46"/>
    <s v="AEM"/>
    <m/>
  </r>
  <r>
    <x v="162"/>
    <s v="WUXI"/>
    <s v="26AUG005"/>
    <s v="CORE DG"/>
    <s v="Internal"/>
    <x v="2"/>
    <s v="CIF"/>
    <s v="SunPower Energy Solutions France SAS"/>
    <m/>
    <m/>
    <m/>
    <m/>
    <s v="n/a"/>
    <x v="6"/>
    <s v="Rechargeable Li-ion Battery"/>
    <x v="6"/>
    <m/>
    <x v="30"/>
    <m/>
    <m/>
    <n v="2"/>
    <s v="CT09&amp;CT10"/>
    <s v="w34 PICK-UP"/>
    <s v="IN-TRANSIT"/>
    <d v="2026-08-20T00:00:00"/>
    <d v="2026-09-11T00:00:00"/>
    <n v="37"/>
    <x v="41"/>
    <m/>
    <s v="SHANGHAI"/>
    <s v="Shanghai"/>
    <x v="0"/>
    <x v="37"/>
    <d v="2026-09-23T00:00:00"/>
    <d v="2026-09-23T00:00:00"/>
    <d v="2026-11-04T00:00:00"/>
    <d v="2026-11-04T00:00:00"/>
    <x v="32"/>
    <s v="CIF"/>
    <s v="AL DAHNA EXPRESS/637W"/>
    <s v="OTHER"/>
    <s v="TPVB20260828001"/>
    <n v="276339822"/>
    <n v="276339822"/>
    <n v="45"/>
    <m/>
    <d v="2026-11-04T00:00:00"/>
    <x v="1"/>
    <s v=""/>
    <n v="8"/>
    <d v="2026-11-12T00:00:00"/>
    <x v="0"/>
    <x v="9"/>
    <n v="46"/>
    <s v="AEM"/>
    <m/>
  </r>
  <r>
    <x v="163"/>
    <s v="WUXI"/>
    <s v="26AUG002"/>
    <s v="CORE DG"/>
    <s v="Internal"/>
    <x v="2"/>
    <s v="CIF"/>
    <s v="SunPower Energy Solutions France SAS"/>
    <m/>
    <m/>
    <m/>
    <m/>
    <s v="n/a"/>
    <x v="2"/>
    <s v="Hybrid Inverter"/>
    <x v="2"/>
    <m/>
    <x v="67"/>
    <m/>
    <m/>
    <n v="0.5"/>
    <s v="CT11"/>
    <s v="w36 PICK-UP"/>
    <s v="IN-TRANSIT"/>
    <d v="2026-08-31T00:00:00"/>
    <d v="2026-09-01T00:00:00"/>
    <n v="36"/>
    <x v="42"/>
    <m/>
    <s v="SHANGHAI"/>
    <s v="Shanghai"/>
    <x v="0"/>
    <x v="38"/>
    <d v="2026-09-08T00:00:00"/>
    <d v="2026-09-08T00:00:00"/>
    <d v="2026-10-26T00:00:00"/>
    <d v="2026-11-10T00:00:00"/>
    <x v="32"/>
    <s v="CIF"/>
    <s v="OOCL INDONESIA 037W"/>
    <s v="COSCO"/>
    <s v="TPVB20260811006"/>
    <s v="COSU9509365680"/>
    <s v="COSU9509365680"/>
    <n v="48"/>
    <m/>
    <d v="2026-11-10T00:00:00"/>
    <x v="1"/>
    <s v=""/>
    <n v="8"/>
    <d v="2026-11-18T00:00:00"/>
    <x v="0"/>
    <x v="9"/>
    <n v="47"/>
    <s v="AEM"/>
    <m/>
  </r>
  <r>
    <x v="164"/>
    <s v="WUXI"/>
    <s v="26AUG004"/>
    <s v="CORE DG"/>
    <s v="Internal"/>
    <x v="2"/>
    <s v="CIF"/>
    <s v="SunPower Energy Solutions France SAS"/>
    <m/>
    <m/>
    <m/>
    <m/>
    <s v="n/a"/>
    <x v="5"/>
    <s v="High voltage distribution box"/>
    <x v="5"/>
    <m/>
    <x v="67"/>
    <m/>
    <m/>
    <n v="0.5"/>
    <s v="CT11"/>
    <s v="w36 PICK-UP"/>
    <s v="IN-TRANSIT"/>
    <d v="2026-08-31T00:00:00"/>
    <d v="2026-09-01T00:00:00"/>
    <n v="36"/>
    <x v="42"/>
    <m/>
    <s v="SHANGHAI"/>
    <s v="Shanghai"/>
    <x v="0"/>
    <x v="38"/>
    <d v="2026-09-08T00:00:00"/>
    <d v="2026-09-08T00:00:00"/>
    <d v="2026-10-26T00:00:00"/>
    <d v="2026-11-10T00:00:00"/>
    <x v="32"/>
    <s v="CIF"/>
    <s v="OOCL INDONESIA 037W"/>
    <s v="COSCO"/>
    <s v="TPVB20260811006"/>
    <s v="COSU9509365680"/>
    <s v="COSU9509365680"/>
    <n v="48"/>
    <m/>
    <d v="2026-11-10T00:00:00"/>
    <x v="1"/>
    <s v=""/>
    <n v="8"/>
    <d v="2026-11-18T00:00:00"/>
    <x v="0"/>
    <x v="9"/>
    <n v="47"/>
    <s v="AEM"/>
    <m/>
  </r>
  <r>
    <x v="165"/>
    <s v="WUXI"/>
    <s v="26AUG002"/>
    <s v="CORE DG"/>
    <s v="Internal"/>
    <x v="2"/>
    <s v="CIF"/>
    <s v="SunPower Energy Solutions France SAS"/>
    <m/>
    <m/>
    <m/>
    <m/>
    <s v="n/a"/>
    <x v="2"/>
    <s v="Hybrid Inverter"/>
    <x v="2"/>
    <m/>
    <x v="67"/>
    <m/>
    <m/>
    <n v="0.5"/>
    <s v="CT12"/>
    <s v="w36 PICK-UP"/>
    <s v="IN-TRANSIT"/>
    <d v="2026-08-31T00:00:00"/>
    <d v="2026-09-01T00:00:00"/>
    <n v="36"/>
    <x v="42"/>
    <m/>
    <s v="SHANGHAI"/>
    <s v="Shanghai"/>
    <x v="0"/>
    <x v="38"/>
    <d v="2026-09-08T00:00:00"/>
    <d v="2026-09-08T00:00:00"/>
    <d v="2026-10-26T00:00:00"/>
    <d v="2026-11-10T00:00:00"/>
    <x v="32"/>
    <s v="CIF"/>
    <s v="OOCL INDONESIA 037W"/>
    <s v="COSCO"/>
    <s v="TPVB20260811006"/>
    <s v="COSU9509365680"/>
    <s v="COSU9509365680"/>
    <n v="48"/>
    <m/>
    <d v="2026-11-10T00:00:00"/>
    <x v="1"/>
    <s v=""/>
    <n v="8"/>
    <d v="2026-11-18T00:00:00"/>
    <x v="0"/>
    <x v="9"/>
    <n v="47"/>
    <s v="AEM"/>
    <m/>
  </r>
  <r>
    <x v="166"/>
    <s v="WUXI"/>
    <s v="26AUG004"/>
    <s v="CORE DG"/>
    <s v="Internal"/>
    <x v="2"/>
    <s v="CIF"/>
    <s v="SunPower Energy Solutions France SAS"/>
    <m/>
    <m/>
    <m/>
    <m/>
    <s v="n/a"/>
    <x v="5"/>
    <s v="High voltage distribution box"/>
    <x v="5"/>
    <m/>
    <x v="67"/>
    <m/>
    <m/>
    <n v="0.5"/>
    <s v="CT12"/>
    <s v="w36 PICK-UP"/>
    <s v="IN-TRANSIT"/>
    <d v="2026-08-31T00:00:00"/>
    <d v="2026-09-01T00:00:00"/>
    <n v="36"/>
    <x v="42"/>
    <m/>
    <s v="SHANGHAI"/>
    <s v="Shanghai"/>
    <x v="0"/>
    <x v="38"/>
    <d v="2026-09-08T00:00:00"/>
    <d v="2026-09-08T00:00:00"/>
    <d v="2026-10-26T00:00:00"/>
    <d v="2026-11-10T00:00:00"/>
    <x v="32"/>
    <s v="CIF"/>
    <s v="OOCL INDONESIA 037W"/>
    <s v="COSCO"/>
    <s v="TPVB20260811006"/>
    <s v="COSU9509365680"/>
    <s v="COSU9509365680"/>
    <n v="48"/>
    <m/>
    <d v="2026-11-10T00:00:00"/>
    <x v="1"/>
    <s v=""/>
    <n v="8"/>
    <d v="2026-11-18T00:00:00"/>
    <x v="0"/>
    <x v="9"/>
    <n v="47"/>
    <s v="AEM"/>
    <m/>
  </r>
  <r>
    <x v="167"/>
    <s v="WUXI"/>
    <s v="26AUG005"/>
    <s v="CORE DG"/>
    <s v="Internal"/>
    <x v="2"/>
    <s v="CIF"/>
    <s v="SunPower Energy Solutions France SAS"/>
    <m/>
    <m/>
    <s v="CT09&amp;CT10"/>
    <m/>
    <s v="n/a"/>
    <x v="6"/>
    <s v="Rechargeable Li-ion Battery"/>
    <x v="6"/>
    <m/>
    <x v="30"/>
    <m/>
    <m/>
    <n v="2"/>
    <s v="CT13&amp;CT14"/>
    <s v="w35 PICK-UP"/>
    <s v="IN-TRANSIT"/>
    <d v="2026-08-26T00:00:00"/>
    <d v="2026-09-06T00:00:00"/>
    <n v="37"/>
    <x v="43"/>
    <m/>
    <s v="SHANGHAI"/>
    <s v="Shanghai"/>
    <x v="0"/>
    <x v="39"/>
    <d v="2026-09-15T00:00:00"/>
    <d v="2026-09-14T00:00:00"/>
    <d v="2026-10-21T00:00:00"/>
    <d v="2026-10-28T00:00:00"/>
    <x v="32"/>
    <s v="CIF"/>
    <s v="EUGEN MAERSK / 637W"/>
    <s v="OTHER"/>
    <s v="TPVB20260811002"/>
    <n v="275550212"/>
    <n v="275550212"/>
    <n v="50"/>
    <m/>
    <d v="2026-10-28T00:00:00"/>
    <x v="1"/>
    <s v=""/>
    <n v="8"/>
    <d v="2026-11-05T00:00:00"/>
    <x v="0"/>
    <x v="9"/>
    <n v="45"/>
    <s v="AEM"/>
    <m/>
  </r>
  <r>
    <x v="168"/>
    <s v="WUXI"/>
    <s v="26AUG005"/>
    <s v="CORE DG"/>
    <s v="Internal"/>
    <x v="2"/>
    <s v="CIF"/>
    <s v="SunPower Energy Solutions France SAS"/>
    <m/>
    <m/>
    <s v="CT09&amp;CT10"/>
    <m/>
    <s v="n/a"/>
    <x v="6"/>
    <s v="Rechargeable Li-ion Battery"/>
    <x v="6"/>
    <m/>
    <x v="30"/>
    <m/>
    <m/>
    <n v="2"/>
    <s v="CT15&amp;CT16"/>
    <s v="w36 PICK-UP"/>
    <s v="IN-TRANSIT"/>
    <d v="2026-09-02T00:00:00"/>
    <d v="2026-09-17T00:00:00"/>
    <n v="38"/>
    <x v="44"/>
    <m/>
    <s v="SHANGHAI"/>
    <s v="Shanghai"/>
    <x v="0"/>
    <x v="40"/>
    <d v="2026-10-02T00:00:00"/>
    <d v="2026-10-02T00:00:00"/>
    <d v="2026-10-28T00:00:00"/>
    <d v="2026-11-11T00:00:00"/>
    <x v="32"/>
    <s v="CIF"/>
    <s v="ALETTE MAERSK / 638W"/>
    <s v="OTHER"/>
    <s v="TPVB20260811003"/>
    <n v="276027831"/>
    <n v="276027831"/>
    <n v="45"/>
    <m/>
    <d v="2026-11-11T00:00:00"/>
    <x v="1"/>
    <s v=""/>
    <n v="8"/>
    <d v="2026-11-19T00:00:00"/>
    <x v="0"/>
    <x v="9"/>
    <n v="47"/>
    <s v="AEM"/>
    <m/>
  </r>
  <r>
    <x v="169"/>
    <s v="WUXI"/>
    <s v="26AUG005"/>
    <s v="CORE DG"/>
    <s v="Internal"/>
    <x v="2"/>
    <s v="CIF"/>
    <s v="SunPower Energy Solutions France SAS"/>
    <m/>
    <m/>
    <s v="CT09&amp;CT10"/>
    <m/>
    <s v="n/a"/>
    <x v="6"/>
    <s v="Rechargeable Li-ion Battery"/>
    <x v="6"/>
    <m/>
    <x v="30"/>
    <m/>
    <m/>
    <n v="2"/>
    <s v="CT17&amp;CT18"/>
    <s v="w37 PICK-UP"/>
    <s v="IN-TRANSIT"/>
    <d v="2026-09-07T00:00:00"/>
    <d v="2026-09-18T00:00:00"/>
    <n v="38"/>
    <x v="45"/>
    <m/>
    <s v="SHANGHAI"/>
    <s v="Shanghai"/>
    <x v="0"/>
    <x v="41"/>
    <d v="2026-10-02T00:00:00"/>
    <d v="2026-10-03T00:00:00"/>
    <d v="2026-11-11T00:00:00"/>
    <d v="2026-11-11T00:00:00"/>
    <x v="32"/>
    <s v="CIF"/>
    <s v="MANILA MAERSK / 638W"/>
    <s v="OTHER"/>
    <s v="TPVB20260811001"/>
    <n v="276766144"/>
    <n v="276766144"/>
    <n v="46"/>
    <m/>
    <d v="2026-11-11T00:00:00"/>
    <x v="1"/>
    <s v=""/>
    <n v="8"/>
    <d v="2026-11-19T00:00:00"/>
    <x v="0"/>
    <x v="9"/>
    <n v="47"/>
    <s v="AEM"/>
    <m/>
  </r>
  <r>
    <x v="170"/>
    <s v="Huizhou "/>
    <s v="Main Line"/>
    <s v="CORE DG"/>
    <s v="Internal"/>
    <x v="1"/>
    <s v="CIF"/>
    <s v="SunPower Energy Solutions France SAS"/>
    <m/>
    <m/>
    <m/>
    <m/>
    <s v="n/a"/>
    <x v="34"/>
    <s v="BlueArk W10 C&amp;I system cabinet 125kW/261"/>
    <x v="30"/>
    <m/>
    <x v="70"/>
    <m/>
    <m/>
    <n v="3"/>
    <s v="CT19 &amp;CT20&amp;CT21"/>
    <s v="w31  PICK-UP"/>
    <s v="COMPLETED"/>
    <d v="2026-08-17T00:00:00"/>
    <d v="2026-08-26T00:00:00"/>
    <n v="35"/>
    <x v="46"/>
    <m/>
    <s v="YANTIAN"/>
    <s v="YANTIAN"/>
    <x v="2"/>
    <x v="36"/>
    <d v="2026-09-02T00:00:00"/>
    <d v="2026-09-02T00:00:00"/>
    <d v="2026-09-30T00:00:00"/>
    <d v="2026-10-04T00:00:00"/>
    <x v="33"/>
    <s v="CIF"/>
    <s v="EVER ALOT 1413-015W"/>
    <s v="OTHER"/>
    <s v="TPVB20260727002"/>
    <s v="EGLV149606753567"/>
    <s v="149606753567"/>
    <n v="32"/>
    <m/>
    <d v="2026-10-06T00:00:00"/>
    <x v="2"/>
    <d v="2026-10-17T00:00:00"/>
    <n v="14"/>
    <d v="2026-10-20T00:00:00"/>
    <x v="0"/>
    <x v="7"/>
    <n v="43"/>
    <s v="AEU"/>
    <m/>
  </r>
  <r>
    <x v="171"/>
    <s v="Huizhou"/>
    <s v="26AUG010"/>
    <s v="n/a"/>
    <s v="n/a"/>
    <x v="0"/>
    <m/>
    <s v="TCL Energy Solution Co.,Ltd"/>
    <m/>
    <s v="Non-EU"/>
    <m/>
    <m/>
    <m/>
    <x v="35"/>
    <s v="TCL BlueArk X1 8kw inverter"/>
    <x v="31"/>
    <m/>
    <x v="71"/>
    <m/>
    <m/>
    <n v="0.42741935483870969"/>
    <s v="CT22-20GP"/>
    <s v="w34 PICK-UP"/>
    <s v="COMPLETED"/>
    <d v="2026-08-18T00:00:00"/>
    <d v="2026-08-21T00:00:00"/>
    <n v="34"/>
    <x v="47"/>
    <m/>
    <s v="SHENZHEN"/>
    <s v="Shenzhen"/>
    <x v="6"/>
    <x v="20"/>
    <d v="2026-08-30T00:00:00"/>
    <d v="2026-08-31T00:00:00"/>
    <d v="2026-09-02T00:00:00"/>
    <d v="2026-09-05T00:00:00"/>
    <x v="34"/>
    <s v="CIF"/>
    <s v="MTT BANGKOK/24S"/>
    <s v="OTHER"/>
    <s v="TPVO2026062602"/>
    <s v="GOSUSHH32293311"/>
    <s v="GOSUSHH32293311"/>
    <n v="6"/>
    <m/>
    <d v="2026-09-05T00:00:00"/>
    <x v="1"/>
    <s v=""/>
    <n v="14"/>
    <d v="2026-09-19T00:00:00"/>
    <x v="0"/>
    <x v="8"/>
    <n v="38"/>
    <e v="#N/A"/>
    <m/>
  </r>
  <r>
    <x v="172"/>
    <s v="Huizhou"/>
    <s v="26AUG011"/>
    <s v="n/a"/>
    <s v="n/a"/>
    <x v="0"/>
    <m/>
    <s v="TCL Energy Solution Co.,Ltd"/>
    <m/>
    <s v="Non-EU"/>
    <m/>
    <m/>
    <m/>
    <x v="36"/>
    <s v="TCL BlueArk X1 8kwh master pack"/>
    <x v="32"/>
    <m/>
    <x v="71"/>
    <m/>
    <m/>
    <n v="0.42741935483870969"/>
    <s v="CT22-20GP"/>
    <s v="w34 PICK-UP"/>
    <s v="COMPLETED"/>
    <d v="2026-08-18T00:00:00"/>
    <d v="2026-08-21T00:00:00"/>
    <n v="34"/>
    <x v="47"/>
    <m/>
    <s v="SHENZHEN"/>
    <s v="Shenzhen"/>
    <x v="6"/>
    <x v="20"/>
    <d v="2026-08-30T00:00:00"/>
    <d v="2026-08-31T00:00:00"/>
    <d v="2026-09-02T00:00:00"/>
    <d v="2026-09-05T00:00:00"/>
    <x v="34"/>
    <s v="CIF"/>
    <s v="MTT BANGKOK/24S"/>
    <s v="OTHER"/>
    <s v="TPVO2026062602"/>
    <s v="GOSUSHH32293311"/>
    <s v="GOSUSHH32293311"/>
    <n v="6"/>
    <m/>
    <d v="2026-09-05T00:00:00"/>
    <x v="1"/>
    <s v=""/>
    <n v="14"/>
    <d v="2026-09-19T00:00:00"/>
    <x v="0"/>
    <x v="8"/>
    <n v="38"/>
    <e v="#N/A"/>
    <m/>
  </r>
  <r>
    <x v="173"/>
    <s v="Huizhou"/>
    <s v="Main Line"/>
    <s v="n/a"/>
    <s v="n/a"/>
    <x v="0"/>
    <m/>
    <s v="TCL Energy Solution Co.,Ltd"/>
    <m/>
    <s v="Non-EU"/>
    <m/>
    <m/>
    <m/>
    <x v="37"/>
    <s v="TCL BlueArk X1 8kwh slaver pack"/>
    <x v="33"/>
    <m/>
    <x v="25"/>
    <m/>
    <m/>
    <n v="0.12903225806451613"/>
    <s v="CT22-20GP"/>
    <s v="w34 PICK-UP"/>
    <s v="COMPLETED"/>
    <d v="2026-08-18T00:00:00"/>
    <d v="2026-08-21T00:00:00"/>
    <n v="34"/>
    <x v="47"/>
    <m/>
    <s v="SHENZHEN"/>
    <s v="Shenzhen"/>
    <x v="6"/>
    <x v="20"/>
    <d v="2026-08-30T00:00:00"/>
    <d v="2026-08-31T00:00:00"/>
    <d v="2026-09-02T00:00:00"/>
    <d v="2026-09-05T00:00:00"/>
    <x v="34"/>
    <s v="CIF"/>
    <s v="MTT BANGKOK/24S"/>
    <s v="OTHER"/>
    <s v="TPVO2026062602"/>
    <s v="GOSUSHH32293311"/>
    <s v="GOSUSHH32293311"/>
    <n v="6"/>
    <m/>
    <d v="2026-09-05T00:00:00"/>
    <x v="1"/>
    <s v=""/>
    <n v="14"/>
    <d v="2026-09-19T00:00:00"/>
    <x v="0"/>
    <x v="8"/>
    <n v="38"/>
    <e v="#N/A"/>
    <m/>
  </r>
  <r>
    <x v="174"/>
    <s v="Huizhou"/>
    <s v="26AUG010"/>
    <s v="n/a"/>
    <s v="n/a"/>
    <x v="0"/>
    <m/>
    <s v="TCL Energy Solution Co.,Ltd"/>
    <m/>
    <s v="Non-EU"/>
    <m/>
    <m/>
    <m/>
    <x v="35"/>
    <s v="TCL BlueArk X1 8kw inverter"/>
    <x v="31"/>
    <m/>
    <x v="10"/>
    <m/>
    <m/>
    <n v="8.0645161290322578E-3"/>
    <s v="CT22-20GP"/>
    <s v="w34 PICK-UP"/>
    <s v="COMPLETED"/>
    <d v="2026-08-18T00:00:00"/>
    <d v="2026-08-21T00:00:00"/>
    <n v="34"/>
    <x v="47"/>
    <m/>
    <s v="SHENZHEN"/>
    <s v="Shenzhen"/>
    <x v="6"/>
    <x v="20"/>
    <d v="2026-08-30T00:00:00"/>
    <d v="2026-08-31T00:00:00"/>
    <d v="2026-09-02T00:00:00"/>
    <d v="2026-09-05T00:00:00"/>
    <x v="34"/>
    <s v="CIF"/>
    <s v="MTT BANGKOK/24S"/>
    <s v="OTHER"/>
    <s v="TPVO2026062602"/>
    <s v="GOSUSHH32293311"/>
    <s v="GOSUSHH32293311"/>
    <n v="6"/>
    <m/>
    <d v="2026-09-05T00:00:00"/>
    <x v="1"/>
    <s v=""/>
    <n v="14"/>
    <d v="2026-09-19T00:00:00"/>
    <x v="0"/>
    <x v="8"/>
    <n v="38"/>
    <e v="#N/A"/>
    <m/>
  </r>
  <r>
    <x v="175"/>
    <s v="Huizhou"/>
    <s v="26AUG011"/>
    <s v="n/a"/>
    <s v="n/a"/>
    <x v="0"/>
    <m/>
    <s v="TCL Energy Solution Co.,Ltd"/>
    <m/>
    <s v="Non-EU"/>
    <m/>
    <m/>
    <m/>
    <x v="36"/>
    <s v="TCL BlueArk X1 8kwh master pack"/>
    <x v="32"/>
    <m/>
    <x v="10"/>
    <m/>
    <m/>
    <n v="8.0645161290322578E-3"/>
    <s v="CT22-20GP"/>
    <s v="w34 PICK-UP"/>
    <s v="COMPLETED"/>
    <d v="2026-08-18T00:00:00"/>
    <d v="2026-08-21T00:00:00"/>
    <n v="34"/>
    <x v="47"/>
    <m/>
    <s v="SHENZHEN"/>
    <s v="Shenzhen"/>
    <x v="6"/>
    <x v="20"/>
    <d v="2026-08-30T00:00:00"/>
    <d v="2026-08-31T00:00:00"/>
    <d v="2026-09-02T00:00:00"/>
    <d v="2026-09-05T00:00:00"/>
    <x v="34"/>
    <s v="CIF"/>
    <s v="MTT BANGKOK/24S"/>
    <s v="OTHER"/>
    <s v="TPVO2026062602"/>
    <s v="GOSUSHH32293311"/>
    <s v="GOSUSHH32293311"/>
    <n v="6"/>
    <m/>
    <d v="2026-09-05T00:00:00"/>
    <x v="1"/>
    <s v=""/>
    <n v="14"/>
    <d v="2026-09-19T00:00:00"/>
    <x v="0"/>
    <x v="8"/>
    <n v="38"/>
    <e v="#N/A"/>
    <m/>
  </r>
  <r>
    <x v="176"/>
    <s v="WUXI"/>
    <s v="26SEP002"/>
    <s v="CORE DG"/>
    <s v="Internal"/>
    <x v="4"/>
    <m/>
    <m/>
    <m/>
    <m/>
    <m/>
    <m/>
    <m/>
    <x v="2"/>
    <s v="Hybrid Inverter"/>
    <x v="2"/>
    <m/>
    <x v="72"/>
    <m/>
    <m/>
    <n v="0.17424242424242425"/>
    <s v="CT01"/>
    <s v="w36 PICK-UP"/>
    <s v="COMPLETED"/>
    <d v="2026-09-02T00:00:00"/>
    <d v="2026-09-08T00:00:00"/>
    <n v="37"/>
    <x v="48"/>
    <m/>
    <s v="SHANGHAI"/>
    <s v="Shanghai"/>
    <x v="7"/>
    <x v="42"/>
    <d v="2026-09-16T00:00:00"/>
    <d v="2026-09-16T00:00:00"/>
    <d v="2026-10-11T00:00:00"/>
    <d v="2026-10-18T00:00:00"/>
    <x v="35"/>
    <s v="CIF"/>
    <s v="EVELYN MAERSK/636W"/>
    <s v="OTHER"/>
    <s v="TPVB20260811005"/>
    <n v="275749171"/>
    <n v="275749171"/>
    <n v="41"/>
    <m/>
    <d v="2026-10-20T00:00:00"/>
    <x v="1"/>
    <s v=""/>
    <n v="9"/>
    <d v="2026-10-29T00:00:00"/>
    <x v="0"/>
    <x v="7"/>
    <n v="44"/>
    <s v="AEM"/>
    <m/>
  </r>
  <r>
    <x v="177"/>
    <s v="WUXI"/>
    <s v="26SEP003"/>
    <s v="CORE DG"/>
    <s v="Internal"/>
    <x v="4"/>
    <m/>
    <m/>
    <m/>
    <m/>
    <m/>
    <m/>
    <m/>
    <x v="4"/>
    <s v="Hybrid Inverter"/>
    <x v="4"/>
    <m/>
    <x v="19"/>
    <m/>
    <m/>
    <n v="7.575757575757576E-2"/>
    <s v="CT01"/>
    <s v="w36 PICK-UP"/>
    <s v="COMPLETED"/>
    <d v="2026-09-02T00:00:00"/>
    <d v="2026-09-08T00:00:00"/>
    <n v="37"/>
    <x v="48"/>
    <m/>
    <s v="SHANGHAI"/>
    <s v="Shanghai"/>
    <x v="7"/>
    <x v="42"/>
    <d v="2026-09-16T00:00:00"/>
    <d v="2026-09-16T00:00:00"/>
    <d v="2026-10-11T00:00:00"/>
    <d v="2026-10-18T00:00:00"/>
    <x v="35"/>
    <s v="CIF"/>
    <s v="EVELYN MAERSK/636W"/>
    <s v="OTHER"/>
    <s v="TPVB20260811005"/>
    <n v="275749171"/>
    <n v="275749171"/>
    <n v="41"/>
    <m/>
    <d v="2026-10-20T00:00:00"/>
    <x v="1"/>
    <s v=""/>
    <n v="9"/>
    <d v="2026-10-29T00:00:00"/>
    <x v="0"/>
    <x v="7"/>
    <n v="44"/>
    <s v="AEM"/>
    <m/>
  </r>
  <r>
    <x v="178"/>
    <s v="WUXI"/>
    <s v="26SEP004"/>
    <s v="CORE DG"/>
    <s v="Internal"/>
    <x v="4"/>
    <m/>
    <m/>
    <m/>
    <m/>
    <m/>
    <m/>
    <m/>
    <x v="5"/>
    <s v="High voltage distribution box"/>
    <x v="5"/>
    <m/>
    <x v="73"/>
    <m/>
    <m/>
    <n v="0.25"/>
    <s v="CT01"/>
    <s v="w36 PICK-UP"/>
    <s v="COMPLETED"/>
    <d v="2026-09-02T00:00:00"/>
    <d v="2026-09-08T00:00:00"/>
    <n v="37"/>
    <x v="48"/>
    <m/>
    <s v="SHANGHAI"/>
    <s v="Shanghai"/>
    <x v="7"/>
    <x v="42"/>
    <d v="2026-09-16T00:00:00"/>
    <d v="2026-09-16T00:00:00"/>
    <d v="2026-10-11T00:00:00"/>
    <d v="2026-10-18T00:00:00"/>
    <x v="35"/>
    <s v="CIF"/>
    <s v="EVELYN MAERSK/636W"/>
    <s v="OTHER"/>
    <s v="TPVB20260811005"/>
    <n v="275749171"/>
    <n v="275749171"/>
    <n v="41"/>
    <m/>
    <d v="2026-10-20T00:00:00"/>
    <x v="1"/>
    <s v=""/>
    <n v="9"/>
    <d v="2026-10-29T00:00:00"/>
    <x v="0"/>
    <x v="7"/>
    <n v="44"/>
    <s v="AEM"/>
    <m/>
  </r>
  <r>
    <x v="179"/>
    <s v="WUXI"/>
    <s v="26SEP008"/>
    <s v="CORE DG"/>
    <s v="Internal"/>
    <x v="4"/>
    <m/>
    <m/>
    <m/>
    <m/>
    <m/>
    <m/>
    <m/>
    <x v="6"/>
    <s v="Rechargeable Li-ion Battery"/>
    <x v="6"/>
    <m/>
    <x v="74"/>
    <m/>
    <m/>
    <n v="0.5"/>
    <s v="CT01"/>
    <s v="w36 PICK-UP"/>
    <s v="COMPLETED"/>
    <d v="2026-09-02T00:00:00"/>
    <d v="2026-09-08T00:00:00"/>
    <n v="37"/>
    <x v="48"/>
    <m/>
    <s v="SHANGHAI"/>
    <s v="Shanghai"/>
    <x v="7"/>
    <x v="42"/>
    <d v="2026-09-16T00:00:00"/>
    <d v="2026-09-16T00:00:00"/>
    <d v="2026-10-11T00:00:00"/>
    <d v="2026-10-18T00:00:00"/>
    <x v="35"/>
    <s v="CIF"/>
    <s v="EVELYN MAERSK/636W"/>
    <s v="OTHER"/>
    <s v="TPVB20260811005"/>
    <n v="275749171"/>
    <n v="275749171"/>
    <n v="41"/>
    <m/>
    <d v="2026-10-20T00:00:00"/>
    <x v="1"/>
    <s v=""/>
    <n v="9"/>
    <d v="2026-10-29T00:00:00"/>
    <x v="0"/>
    <x v="7"/>
    <n v="44"/>
    <s v="AEM"/>
    <m/>
  </r>
  <r>
    <x v="180"/>
    <s v="WUXI"/>
    <s v="26SEP002"/>
    <s v="CORE DG"/>
    <s v="Internal"/>
    <x v="2"/>
    <m/>
    <m/>
    <m/>
    <m/>
    <m/>
    <m/>
    <m/>
    <x v="2"/>
    <s v="Hybrid Inverter"/>
    <x v="2"/>
    <m/>
    <x v="67"/>
    <m/>
    <m/>
    <n v="0.5"/>
    <s v="CT02"/>
    <s v="w37 PICK-UP"/>
    <s v="IN-TRANSIT"/>
    <d v="2026-09-08T00:00:00"/>
    <d v="2026-09-09T00:00:00"/>
    <n v="37"/>
    <x v="49"/>
    <m/>
    <s v="SHANGHAI"/>
    <s v="Shanghai"/>
    <x v="0"/>
    <x v="43"/>
    <d v="2026-09-18T00:00:00"/>
    <d v="2026-09-19T00:00:00"/>
    <d v="2026-11-02T00:00:00"/>
    <d v="2026-11-16T00:00:00"/>
    <x v="32"/>
    <s v="CIF"/>
    <s v="CSCL PACIFIC OCEAN 067W"/>
    <s v="COSCO"/>
    <s v="TPVB20260828003"/>
    <s v="COSU9509675570"/>
    <s v="COSU9509675570"/>
    <n v="49"/>
    <m/>
    <d v="2026-11-16T00:00:00"/>
    <x v="1"/>
    <s v=""/>
    <n v="8"/>
    <d v="2026-11-24T00:00:00"/>
    <x v="0"/>
    <x v="9"/>
    <n v="48"/>
    <s v="AEM"/>
    <m/>
  </r>
  <r>
    <x v="181"/>
    <s v="WUXI"/>
    <s v="26SEP004"/>
    <s v="CORE DG"/>
    <s v="Internal"/>
    <x v="2"/>
    <m/>
    <m/>
    <m/>
    <m/>
    <m/>
    <m/>
    <m/>
    <x v="5"/>
    <s v="High voltage distribution box"/>
    <x v="5"/>
    <m/>
    <x v="67"/>
    <m/>
    <m/>
    <n v="0.5"/>
    <s v="CT02"/>
    <s v="w37 PICK-UP"/>
    <s v="IN-TRANSIT"/>
    <d v="2026-09-08T00:00:00"/>
    <d v="2026-09-09T00:00:00"/>
    <n v="37"/>
    <x v="49"/>
    <m/>
    <s v="SHANGHAI"/>
    <s v="Shanghai"/>
    <x v="0"/>
    <x v="43"/>
    <d v="2026-09-18T00:00:00"/>
    <d v="2026-09-19T00:00:00"/>
    <d v="2026-11-02T00:00:00"/>
    <d v="2026-11-16T00:00:00"/>
    <x v="32"/>
    <s v="CIF"/>
    <s v="CSCL PACIFIC OCEAN 067W"/>
    <s v="COSCO"/>
    <s v="TPVB20260828003"/>
    <s v="COSU9509675570"/>
    <s v="COSU9509675570"/>
    <n v="49"/>
    <m/>
    <d v="2026-11-16T00:00:00"/>
    <x v="1"/>
    <s v=""/>
    <n v="8"/>
    <d v="2026-11-24T00:00:00"/>
    <x v="0"/>
    <x v="9"/>
    <n v="48"/>
    <s v="AEM"/>
    <m/>
  </r>
  <r>
    <x v="182"/>
    <s v="WUXI"/>
    <s v="26SEP001"/>
    <s v="CORE DG"/>
    <s v="Internal"/>
    <x v="5"/>
    <m/>
    <m/>
    <m/>
    <m/>
    <m/>
    <m/>
    <m/>
    <x v="7"/>
    <s v="Hybrid Inverter"/>
    <x v="7"/>
    <m/>
    <x v="24"/>
    <m/>
    <m/>
    <n v="0.15151515151515152"/>
    <s v="CT17"/>
    <s v="W37 PICK UP"/>
    <s v="IN-TRANSIT"/>
    <d v="2026-09-08T00:00:00"/>
    <d v="2026-09-17T00:00:00"/>
    <n v="38"/>
    <x v="50"/>
    <m/>
    <s v="SHANGHAI"/>
    <s v="Shanghai"/>
    <x v="8"/>
    <x v="43"/>
    <d v="2026-10-02T00:00:00"/>
    <d v="2026-10-02T00:00:00"/>
    <d v="2026-10-26T00:00:00"/>
    <d v="2026-11-02T00:00:00"/>
    <x v="32"/>
    <s v="CIF"/>
    <s v="ALETTE MAERSK / 638W"/>
    <s v="OTHER"/>
    <s v="TPVB20260828002"/>
    <n v="276343831"/>
    <n v="276343831"/>
    <n v="42"/>
    <m/>
    <d v="2026-11-02T00:00:00"/>
    <x v="1"/>
    <s v=""/>
    <n v="0"/>
    <d v="2026-11-02T00:00:00"/>
    <x v="0"/>
    <x v="9"/>
    <n v="45"/>
    <e v="#N/A"/>
    <m/>
  </r>
  <r>
    <x v="183"/>
    <s v="WUXI"/>
    <s v="26SEP002"/>
    <s v="CORE DG"/>
    <s v="Internal"/>
    <x v="5"/>
    <m/>
    <m/>
    <m/>
    <m/>
    <m/>
    <m/>
    <m/>
    <x v="2"/>
    <s v="Hybrid Inverter"/>
    <x v="2"/>
    <m/>
    <x v="75"/>
    <m/>
    <m/>
    <n v="9.8484848484848481E-2"/>
    <s v="CT17"/>
    <s v="W37 PICK UP"/>
    <s v="IN-TRANSIT"/>
    <d v="2026-09-08T00:00:00"/>
    <d v="2026-09-17T00:00:00"/>
    <n v="38"/>
    <x v="50"/>
    <m/>
    <s v="SHANGHAI"/>
    <s v="Shanghai"/>
    <x v="8"/>
    <x v="43"/>
    <d v="2026-10-02T00:00:00"/>
    <d v="2026-10-02T00:00:00"/>
    <d v="2026-10-26T00:00:00"/>
    <d v="2026-11-02T00:00:00"/>
    <x v="32"/>
    <s v="CIF"/>
    <s v="ALETTE MAERSK / 638W"/>
    <s v="OTHER"/>
    <s v="TPVB20260828002"/>
    <n v="276343831"/>
    <n v="276343831"/>
    <n v="42"/>
    <m/>
    <d v="2026-11-02T00:00:00"/>
    <x v="1"/>
    <s v=""/>
    <n v="0"/>
    <d v="2026-11-02T00:00:00"/>
    <x v="0"/>
    <x v="9"/>
    <n v="45"/>
    <e v="#N/A"/>
    <m/>
  </r>
  <r>
    <x v="184"/>
    <s v="WUXI"/>
    <s v="26SEP004"/>
    <s v="CORE DG"/>
    <s v="Internal"/>
    <x v="5"/>
    <m/>
    <m/>
    <m/>
    <m/>
    <m/>
    <m/>
    <m/>
    <x v="5"/>
    <s v="High voltage distribution box"/>
    <x v="5"/>
    <m/>
    <x v="73"/>
    <m/>
    <m/>
    <n v="0.25"/>
    <s v="CT17"/>
    <s v="W37 PICK UP"/>
    <s v="IN-TRANSIT"/>
    <d v="2026-09-08T00:00:00"/>
    <d v="2026-09-17T00:00:00"/>
    <n v="38"/>
    <x v="50"/>
    <m/>
    <s v="SHANGHAI"/>
    <s v="Shanghai"/>
    <x v="8"/>
    <x v="43"/>
    <d v="2026-10-02T00:00:00"/>
    <d v="2026-10-02T00:00:00"/>
    <d v="2026-10-26T00:00:00"/>
    <d v="2026-11-02T00:00:00"/>
    <x v="32"/>
    <s v="CIF"/>
    <s v="ALETTE MAERSK / 638W"/>
    <s v="OTHER"/>
    <s v="TPVB20260828002"/>
    <n v="276343831"/>
    <n v="276343831"/>
    <n v="42"/>
    <m/>
    <d v="2026-11-02T00:00:00"/>
    <x v="1"/>
    <s v=""/>
    <n v="0"/>
    <d v="2026-11-02T00:00:00"/>
    <x v="0"/>
    <x v="9"/>
    <n v="45"/>
    <e v="#N/A"/>
    <m/>
  </r>
  <r>
    <x v="185"/>
    <s v="WUXI"/>
    <s v="26SEP008"/>
    <s v="CORE DG"/>
    <s v="Internal"/>
    <x v="5"/>
    <m/>
    <m/>
    <m/>
    <m/>
    <m/>
    <m/>
    <m/>
    <x v="6"/>
    <s v="Rechargeable Li-ion Battery"/>
    <x v="6"/>
    <m/>
    <x v="74"/>
    <m/>
    <m/>
    <n v="0.5"/>
    <s v="CT17"/>
    <s v="W37 PICK UP"/>
    <s v="IN-TRANSIT"/>
    <d v="2026-09-08T00:00:00"/>
    <d v="2026-09-17T00:00:00"/>
    <n v="38"/>
    <x v="50"/>
    <m/>
    <s v="SHANGHAI"/>
    <s v="Shanghai"/>
    <x v="8"/>
    <x v="43"/>
    <d v="2026-10-02T00:00:00"/>
    <d v="2026-10-02T00:00:00"/>
    <d v="2026-10-26T00:00:00"/>
    <d v="2026-11-02T00:00:00"/>
    <x v="32"/>
    <s v="CIF"/>
    <s v="ALETTE MAERSK / 638W"/>
    <s v="OTHER"/>
    <s v="TPVB20260828002"/>
    <n v="276343831"/>
    <n v="276343831"/>
    <n v="42"/>
    <m/>
    <d v="2026-11-02T00:00:00"/>
    <x v="1"/>
    <s v=""/>
    <n v="0"/>
    <d v="2026-11-02T00:00:00"/>
    <x v="0"/>
    <x v="9"/>
    <n v="45"/>
    <e v="#N/A"/>
    <m/>
  </r>
  <r>
    <x v="186"/>
    <s v="WUXI"/>
    <s v="26SEP002"/>
    <s v="CORE DG"/>
    <s v="Internal"/>
    <x v="4"/>
    <m/>
    <m/>
    <m/>
    <m/>
    <m/>
    <m/>
    <m/>
    <x v="2"/>
    <s v="Hybrid Inverter"/>
    <x v="2"/>
    <m/>
    <x v="76"/>
    <m/>
    <m/>
    <n v="0.34615384615384615"/>
    <s v="CT03"/>
    <s v="W38 PICK-UP"/>
    <s v="IN-TRANSIT"/>
    <d v="2026-09-14T00:00:00"/>
    <d v="2026-09-15T00:00:00"/>
    <n v="38"/>
    <x v="51"/>
    <m/>
    <s v="SHANGHAI"/>
    <s v="Shanghai"/>
    <x v="7"/>
    <x v="44"/>
    <d v="2026-09-24T00:00:00"/>
    <d v="2026-09-24T00:00:00"/>
    <d v="2026-10-29T00:00:00"/>
    <d v="2026-11-02T00:00:00"/>
    <x v="32"/>
    <s v="CIF"/>
    <s v="CMA CGM MARCO POLO/0MEOTW1MA"/>
    <s v="COSCO"/>
    <s v="TPVB20260903002"/>
    <s v="COSU9509801490"/>
    <s v="COSU9509801490"/>
    <n v="37"/>
    <m/>
    <d v="2026-11-02T00:00:00"/>
    <x v="1"/>
    <s v=""/>
    <n v="9"/>
    <d v="2026-11-11T00:00:00"/>
    <x v="0"/>
    <x v="9"/>
    <n v="46"/>
    <s v="AEM"/>
    <m/>
  </r>
  <r>
    <x v="187"/>
    <s v="WUXI"/>
    <s v="26SEP003"/>
    <s v="CORE DG"/>
    <s v="Internal"/>
    <x v="4"/>
    <m/>
    <m/>
    <m/>
    <m/>
    <m/>
    <m/>
    <m/>
    <x v="4"/>
    <s v="Hybrid Inverter"/>
    <x v="4"/>
    <m/>
    <x v="77"/>
    <m/>
    <m/>
    <n v="0.14615384615384616"/>
    <s v="CT03"/>
    <s v="W38 PICK-UP"/>
    <s v="IN-TRANSIT"/>
    <d v="2026-09-14T00:00:00"/>
    <d v="2026-09-15T00:00:00"/>
    <n v="38"/>
    <x v="51"/>
    <m/>
    <s v="SHANGHAI"/>
    <s v="Shanghai"/>
    <x v="7"/>
    <x v="44"/>
    <d v="2026-09-24T00:00:00"/>
    <d v="2026-09-24T00:00:00"/>
    <d v="2026-10-29T00:00:00"/>
    <d v="2026-11-02T00:00:00"/>
    <x v="32"/>
    <s v="CIF"/>
    <s v="CMA CGM MARCO POLO/0MEOTW1MA"/>
    <s v="COSCO"/>
    <s v="TPVB20260903002"/>
    <s v="COSU9509801490"/>
    <s v="COSU9509801490"/>
    <n v="37"/>
    <m/>
    <d v="2026-11-02T00:00:00"/>
    <x v="1"/>
    <s v=""/>
    <n v="9"/>
    <d v="2026-11-11T00:00:00"/>
    <x v="0"/>
    <x v="9"/>
    <n v="46"/>
    <s v="AEM"/>
    <m/>
  </r>
  <r>
    <x v="188"/>
    <s v="WUXI"/>
    <s v="Main Line"/>
    <s v="CORE DG"/>
    <s v="Internal"/>
    <x v="4"/>
    <m/>
    <m/>
    <m/>
    <m/>
    <m/>
    <m/>
    <m/>
    <x v="4"/>
    <s v="Hybrid Inverter"/>
    <x v="4"/>
    <m/>
    <x v="9"/>
    <m/>
    <m/>
    <n v="7.6923076923076927E-3"/>
    <s v="CT03"/>
    <s v="W38 PICK-UP"/>
    <s v="IN-TRANSIT"/>
    <d v="2026-09-14T00:00:00"/>
    <d v="2026-09-15T00:00:00"/>
    <n v="38"/>
    <x v="51"/>
    <m/>
    <s v="SHANGHAI"/>
    <s v="Shanghai"/>
    <x v="7"/>
    <x v="44"/>
    <d v="2026-09-24T00:00:00"/>
    <d v="2026-09-24T00:00:00"/>
    <d v="2026-10-29T00:00:00"/>
    <d v="2026-11-02T00:00:00"/>
    <x v="32"/>
    <s v="CIF"/>
    <s v="CMA CGM MARCO POLO/0MEOTW1MA"/>
    <s v="COSCO"/>
    <s v="TPVB20260903002"/>
    <s v="COSU9509801490"/>
    <s v="COSU9509801490"/>
    <n v="37"/>
    <m/>
    <d v="2026-11-02T00:00:00"/>
    <x v="1"/>
    <s v=""/>
    <n v="9"/>
    <d v="2026-11-11T00:00:00"/>
    <x v="0"/>
    <x v="9"/>
    <n v="46"/>
    <s v="AEM"/>
    <m/>
  </r>
  <r>
    <x v="189"/>
    <s v="WUXI"/>
    <s v="26SEP004"/>
    <s v="CORE DG"/>
    <s v="Internal"/>
    <x v="4"/>
    <m/>
    <m/>
    <m/>
    <m/>
    <m/>
    <m/>
    <m/>
    <x v="5"/>
    <s v="High voltage distribution box"/>
    <x v="5"/>
    <m/>
    <x v="67"/>
    <m/>
    <m/>
    <n v="0.5"/>
    <s v="CT03"/>
    <s v="W38 PICK-UP"/>
    <s v="IN-TRANSIT"/>
    <d v="2026-09-14T00:00:00"/>
    <d v="2026-09-15T00:00:00"/>
    <n v="38"/>
    <x v="51"/>
    <m/>
    <s v="SHANGHAI"/>
    <s v="Shanghai"/>
    <x v="7"/>
    <x v="44"/>
    <d v="2026-09-24T00:00:00"/>
    <d v="2026-09-24T00:00:00"/>
    <d v="2026-10-29T00:00:00"/>
    <d v="2026-11-02T00:00:00"/>
    <x v="32"/>
    <s v="CIF"/>
    <s v="CMA CGM MARCO POLO/0MEOTW1MA"/>
    <s v="COSCO"/>
    <s v="TPVB20260903002"/>
    <s v="COSU9509801490"/>
    <s v="COSU9509801490"/>
    <n v="37"/>
    <m/>
    <d v="2026-11-02T00:00:00"/>
    <x v="1"/>
    <s v=""/>
    <n v="9"/>
    <d v="2026-11-11T00:00:00"/>
    <x v="0"/>
    <x v="9"/>
    <n v="46"/>
    <s v="AEM"/>
    <m/>
  </r>
  <r>
    <x v="190"/>
    <s v="WUXI"/>
    <s v="26SEP001"/>
    <s v="CORE DG"/>
    <s v="Internal"/>
    <x v="2"/>
    <m/>
    <m/>
    <m/>
    <m/>
    <m/>
    <m/>
    <m/>
    <x v="7"/>
    <s v="Hybrid Inverter"/>
    <x v="7"/>
    <m/>
    <x v="78"/>
    <m/>
    <m/>
    <n v="6.9230769230769235E-2"/>
    <s v="CT04"/>
    <s v="W38 PICK-UP"/>
    <s v="IN-TRANSIT"/>
    <d v="2026-09-17T00:00:00"/>
    <d v="2026-09-19T00:00:00"/>
    <n v="38"/>
    <x v="52"/>
    <m/>
    <s v="SHANGHAI"/>
    <s v="Shanghai"/>
    <x v="0"/>
    <x v="45"/>
    <d v="2026-09-27T00:00:00"/>
    <d v="2026-09-27T00:00:00"/>
    <d v="2026-11-16T00:00:00"/>
    <d v="2026-11-16T00:00:00"/>
    <x v="32"/>
    <s v="CIF"/>
    <s v="OOCL SCANDINAVIA/038W"/>
    <s v="COSCO"/>
    <s v="TPVB20260903003"/>
    <s v="COSU9509760720"/>
    <s v="COSU9509760720"/>
    <n v="53"/>
    <m/>
    <d v="2026-11-16T00:00:00"/>
    <x v="1"/>
    <s v=""/>
    <n v="8"/>
    <d v="2026-11-24T00:00:00"/>
    <x v="0"/>
    <x v="9"/>
    <n v="48"/>
    <s v="AEM"/>
    <m/>
  </r>
  <r>
    <x v="191"/>
    <s v="WUXI"/>
    <s v="Main Line"/>
    <s v="CORE DG"/>
    <s v="Internal"/>
    <x v="2"/>
    <m/>
    <m/>
    <m/>
    <m/>
    <m/>
    <m/>
    <m/>
    <x v="7"/>
    <s v="Hybrid Inverter"/>
    <x v="7"/>
    <m/>
    <x v="9"/>
    <m/>
    <m/>
    <n v="7.6923076923076927E-3"/>
    <s v="CT04"/>
    <s v="W38 PICK-UP"/>
    <s v="IN-TRANSIT"/>
    <d v="2026-09-17T00:00:00"/>
    <d v="2026-09-19T00:00:00"/>
    <n v="38"/>
    <x v="52"/>
    <m/>
    <s v="SHANGHAI"/>
    <s v="Shanghai"/>
    <x v="0"/>
    <x v="45"/>
    <d v="2026-09-27T00:00:00"/>
    <d v="2026-09-27T00:00:00"/>
    <d v="2026-11-16T00:00:00"/>
    <d v="2026-11-16T00:00:00"/>
    <x v="32"/>
    <s v="CIF"/>
    <s v="OOCL SCANDINAVIA/038W"/>
    <s v="COSCO"/>
    <s v="TPVB20260903003"/>
    <s v="COSU9509760720"/>
    <s v="COSU9509760720"/>
    <n v="53"/>
    <m/>
    <d v="2026-11-16T00:00:00"/>
    <x v="1"/>
    <s v=""/>
    <n v="8"/>
    <d v="2026-11-24T00:00:00"/>
    <x v="0"/>
    <x v="9"/>
    <n v="48"/>
    <s v="AEM"/>
    <m/>
  </r>
  <r>
    <x v="192"/>
    <s v="WUXI"/>
    <s v="26SEP002"/>
    <s v="CORE DG"/>
    <s v="Internal"/>
    <x v="2"/>
    <m/>
    <m/>
    <m/>
    <m/>
    <m/>
    <m/>
    <m/>
    <x v="2"/>
    <s v="Hybrid Inverter"/>
    <x v="2"/>
    <m/>
    <x v="79"/>
    <m/>
    <m/>
    <n v="0.36153846153846153"/>
    <s v="CT04"/>
    <s v="W38 PICK-UP"/>
    <s v="IN-TRANSIT"/>
    <d v="2026-09-17T00:00:00"/>
    <d v="2026-09-19T00:00:00"/>
    <n v="38"/>
    <x v="52"/>
    <m/>
    <s v="SHANGHAI"/>
    <s v="Shanghai"/>
    <x v="0"/>
    <x v="45"/>
    <d v="2026-09-27T00:00:00"/>
    <d v="2026-09-27T00:00:00"/>
    <d v="2026-11-16T00:00:00"/>
    <d v="2026-11-16T00:00:00"/>
    <x v="32"/>
    <s v="CIF"/>
    <s v="OOCL SCANDINAVIA/038W"/>
    <s v="COSCO"/>
    <s v="TPVB20260903003"/>
    <s v="COSU9509760720"/>
    <s v="COSU9509760720"/>
    <n v="53"/>
    <m/>
    <d v="2026-11-16T00:00:00"/>
    <x v="1"/>
    <s v=""/>
    <n v="8"/>
    <d v="2026-11-24T00:00:00"/>
    <x v="0"/>
    <x v="9"/>
    <n v="48"/>
    <s v="AEM"/>
    <m/>
  </r>
  <r>
    <x v="193"/>
    <s v="WUXI"/>
    <s v="Main Line"/>
    <s v="CORE DG"/>
    <s v="Internal"/>
    <x v="2"/>
    <m/>
    <m/>
    <m/>
    <m/>
    <m/>
    <m/>
    <m/>
    <x v="2"/>
    <s v="Hybrid Inverter"/>
    <x v="2"/>
    <m/>
    <x v="25"/>
    <m/>
    <m/>
    <n v="6.1538461538461542E-2"/>
    <s v="CT04"/>
    <s v="W38 PICK-UP"/>
    <s v="IN-TRANSIT"/>
    <d v="2026-09-17T00:00:00"/>
    <d v="2026-09-19T00:00:00"/>
    <n v="38"/>
    <x v="52"/>
    <m/>
    <s v="SHANGHAI"/>
    <s v="Shanghai"/>
    <x v="0"/>
    <x v="45"/>
    <d v="2026-09-27T00:00:00"/>
    <d v="2026-09-27T00:00:00"/>
    <d v="2026-11-16T00:00:00"/>
    <d v="2026-11-16T00:00:00"/>
    <x v="32"/>
    <s v="CIF"/>
    <s v="OOCL SCANDINAVIA/038W"/>
    <s v="COSCO"/>
    <s v="TPVB20260903003"/>
    <s v="COSU9509760720"/>
    <s v="COSU9509760720"/>
    <n v="53"/>
    <m/>
    <d v="2026-11-16T00:00:00"/>
    <x v="1"/>
    <s v=""/>
    <n v="8"/>
    <d v="2026-11-24T00:00:00"/>
    <x v="0"/>
    <x v="9"/>
    <n v="48"/>
    <s v="AEM"/>
    <m/>
  </r>
  <r>
    <x v="194"/>
    <s v="WUXI"/>
    <s v="26SEP004"/>
    <s v="CORE DG"/>
    <s v="Internal"/>
    <x v="2"/>
    <m/>
    <m/>
    <m/>
    <m/>
    <m/>
    <m/>
    <m/>
    <x v="5"/>
    <s v="High voltage distribution box"/>
    <x v="5"/>
    <m/>
    <x v="80"/>
    <m/>
    <m/>
    <n v="0.42692307692307691"/>
    <s v="CT04"/>
    <s v="W38 PICK-UP"/>
    <s v="IN-TRANSIT"/>
    <d v="2026-09-17T00:00:00"/>
    <d v="2026-09-19T00:00:00"/>
    <n v="38"/>
    <x v="52"/>
    <m/>
    <s v="SHANGHAI"/>
    <s v="Shanghai"/>
    <x v="0"/>
    <x v="45"/>
    <d v="2026-09-27T00:00:00"/>
    <d v="2026-09-27T00:00:00"/>
    <d v="2026-11-16T00:00:00"/>
    <d v="2026-11-16T00:00:00"/>
    <x v="32"/>
    <s v="CIF"/>
    <s v="OOCL SCANDINAVIA/038W"/>
    <s v="COSCO"/>
    <s v="TPVB20260903003"/>
    <s v="COSU9509760720"/>
    <s v="COSU9509760720"/>
    <n v="53"/>
    <m/>
    <d v="2026-11-16T00:00:00"/>
    <x v="1"/>
    <s v=""/>
    <n v="8"/>
    <d v="2026-11-24T00:00:00"/>
    <x v="0"/>
    <x v="9"/>
    <n v="48"/>
    <s v="AEM"/>
    <m/>
  </r>
  <r>
    <x v="195"/>
    <s v="WUXI"/>
    <s v="Main Line"/>
    <s v="CORE DG"/>
    <s v="Internal"/>
    <x v="2"/>
    <m/>
    <m/>
    <m/>
    <m/>
    <m/>
    <m/>
    <m/>
    <x v="5"/>
    <s v="High voltage distribution box"/>
    <x v="5"/>
    <m/>
    <x v="59"/>
    <m/>
    <m/>
    <n v="7.3076923076923081E-2"/>
    <s v="CT04"/>
    <s v="W38 PICK-UP"/>
    <s v="IN-TRANSIT"/>
    <d v="2026-09-17T00:00:00"/>
    <d v="2026-09-19T00:00:00"/>
    <n v="38"/>
    <x v="52"/>
    <m/>
    <s v="SHANGHAI"/>
    <s v="Shanghai"/>
    <x v="0"/>
    <x v="45"/>
    <d v="2026-09-27T00:00:00"/>
    <d v="2026-09-27T00:00:00"/>
    <d v="2026-11-16T00:00:00"/>
    <d v="2026-11-16T00:00:00"/>
    <x v="32"/>
    <s v="CIF"/>
    <s v="OOCL SCANDINAVIA/038W"/>
    <s v="COSCO"/>
    <s v="TPVB20260903003"/>
    <s v="COSU9509760720"/>
    <s v="COSU9509760720"/>
    <n v="53"/>
    <m/>
    <d v="2026-11-16T00:00:00"/>
    <x v="1"/>
    <s v=""/>
    <n v="8"/>
    <d v="2026-11-24T00:00:00"/>
    <x v="0"/>
    <x v="9"/>
    <n v="48"/>
    <s v="AEM"/>
    <m/>
  </r>
  <r>
    <x v="196"/>
    <s v="WUXI"/>
    <s v="Main Line"/>
    <s v="CORE DG"/>
    <s v="Internal"/>
    <x v="2"/>
    <m/>
    <m/>
    <m/>
    <m/>
    <m/>
    <m/>
    <m/>
    <x v="0"/>
    <s v="1P meter"/>
    <x v="0"/>
    <m/>
    <x v="51"/>
    <m/>
    <m/>
    <n v="0"/>
    <s v="CT04"/>
    <s v="W38 PICK-UP"/>
    <s v="IN-TRANSIT"/>
    <d v="2026-09-17T00:00:00"/>
    <d v="2026-09-19T00:00:00"/>
    <n v="38"/>
    <x v="52"/>
    <m/>
    <s v="SHANGHAI"/>
    <s v="Shanghai"/>
    <x v="0"/>
    <x v="45"/>
    <d v="2026-09-27T00:00:00"/>
    <d v="2026-09-27T00:00:00"/>
    <d v="2026-11-16T00:00:00"/>
    <d v="2026-11-16T00:00:00"/>
    <x v="32"/>
    <s v="CIF"/>
    <s v="OOCL SCANDINAVIA/038W"/>
    <s v="COSCO"/>
    <s v="TPVB20260903003"/>
    <s v="COSU9509760720"/>
    <s v="COSU9509760720"/>
    <n v="53"/>
    <m/>
    <d v="2026-11-16T00:00:00"/>
    <x v="1"/>
    <s v=""/>
    <n v="8"/>
    <d v="2026-11-24T00:00:00"/>
    <x v="0"/>
    <x v="9"/>
    <n v="48"/>
    <s v="AEM"/>
    <m/>
  </r>
  <r>
    <x v="197"/>
    <s v="WUXI"/>
    <s v="26SEP002"/>
    <s v="CORE DG"/>
    <s v="Internal"/>
    <x v="2"/>
    <m/>
    <m/>
    <m/>
    <m/>
    <m/>
    <m/>
    <m/>
    <x v="2"/>
    <s v="Hybrid Inverter"/>
    <x v="2"/>
    <m/>
    <x v="67"/>
    <m/>
    <m/>
    <n v="0.5"/>
    <s v="CT05"/>
    <s v="W39 PICK-UP"/>
    <s v="IN-TRANSIT"/>
    <d v="2026-09-21T00:00:00"/>
    <d v="2026-09-19T00:00:00"/>
    <n v="38"/>
    <x v="52"/>
    <m/>
    <s v="SHANGHAI"/>
    <s v="Shanghai"/>
    <x v="0"/>
    <x v="45"/>
    <d v="2026-09-27T00:00:00"/>
    <d v="2026-09-27T00:00:00"/>
    <d v="2026-11-16T00:00:00"/>
    <d v="2026-11-16T00:00:00"/>
    <x v="32"/>
    <s v="CIF"/>
    <s v="OOCL SCANDINAVIA/038W"/>
    <s v="COSCO"/>
    <s v="TPVB20260903003"/>
    <s v="COSU9509760720"/>
    <s v="COSU9509760720"/>
    <n v="53"/>
    <m/>
    <d v="2026-11-16T00:00:00"/>
    <x v="1"/>
    <s v=""/>
    <n v="8"/>
    <d v="2026-11-24T00:00:00"/>
    <x v="0"/>
    <x v="9"/>
    <n v="48"/>
    <s v="AEM"/>
    <m/>
  </r>
  <r>
    <x v="198"/>
    <s v="WUXI"/>
    <s v="26SEP004"/>
    <s v="CORE DG"/>
    <s v="Internal"/>
    <x v="2"/>
    <m/>
    <m/>
    <m/>
    <m/>
    <m/>
    <m/>
    <m/>
    <x v="5"/>
    <s v="High voltage distribution box"/>
    <x v="5"/>
    <m/>
    <x v="67"/>
    <m/>
    <m/>
    <n v="0.5"/>
    <s v="CT05"/>
    <s v="W39 PICK-UP"/>
    <s v="IN-TRANSIT"/>
    <d v="2026-09-21T00:00:00"/>
    <d v="2026-09-19T00:00:00"/>
    <n v="38"/>
    <x v="52"/>
    <m/>
    <s v="SHANGHAI"/>
    <s v="Shanghai"/>
    <x v="0"/>
    <x v="45"/>
    <d v="2026-09-27T00:00:00"/>
    <d v="2026-09-27T00:00:00"/>
    <d v="2026-11-16T00:00:00"/>
    <d v="2026-11-16T00:00:00"/>
    <x v="32"/>
    <s v="CIF"/>
    <s v="OOCL SCANDINAVIA/038W"/>
    <s v="COSCO"/>
    <s v="TPVB20260903003"/>
    <s v="COSU9509760720"/>
    <s v="COSU9509760720"/>
    <n v="53"/>
    <m/>
    <d v="2026-11-16T00:00:00"/>
    <x v="1"/>
    <s v=""/>
    <n v="8"/>
    <d v="2026-11-24T00:00:00"/>
    <x v="0"/>
    <x v="9"/>
    <n v="48"/>
    <s v="AEM"/>
    <m/>
  </r>
  <r>
    <x v="199"/>
    <s v="WUXI"/>
    <s v="26SEP005"/>
    <s v="CORE DG"/>
    <s v="Internal"/>
    <x v="2"/>
    <m/>
    <m/>
    <m/>
    <m/>
    <m/>
    <m/>
    <m/>
    <x v="33"/>
    <s v="Hybrid Inverter"/>
    <x v="29"/>
    <m/>
    <x v="81"/>
    <m/>
    <m/>
    <n v="0.13815789473684212"/>
    <s v="CT06"/>
    <s v="W39 PICK-UP"/>
    <s v="IN-TRANSIT"/>
    <d v="2026-09-23T00:00:00"/>
    <d v="2026-09-23T00:00:00"/>
    <n v="39"/>
    <x v="53"/>
    <m/>
    <s v="SHANGHAI"/>
    <s v="Shanghai"/>
    <x v="0"/>
    <x v="46"/>
    <d v="2026-10-04T00:00:00"/>
    <d v="2026-10-04T00:00:00"/>
    <d v="2026-11-11T00:00:00"/>
    <d v="2026-11-18T00:00:00"/>
    <x v="32"/>
    <s v="CIF"/>
    <s v="OOCL GDYNIA 011W"/>
    <s v="COSCO"/>
    <s v="TPVB20260903006"/>
    <s v="COSU9510016200"/>
    <s v="COSU9510016200"/>
    <n v="41"/>
    <m/>
    <d v="2026-11-18T00:00:00"/>
    <x v="1"/>
    <s v=""/>
    <n v="8"/>
    <d v="2026-11-26T00:00:00"/>
    <x v="0"/>
    <x v="9"/>
    <n v="48"/>
    <s v="AEM"/>
    <m/>
  </r>
  <r>
    <x v="200"/>
    <s v="WUXI"/>
    <s v="Main Line"/>
    <s v="CORE DG"/>
    <s v="Internal"/>
    <x v="2"/>
    <m/>
    <m/>
    <m/>
    <m/>
    <m/>
    <m/>
    <m/>
    <x v="33"/>
    <s v="Hybrid Inverter"/>
    <x v="29"/>
    <m/>
    <x v="22"/>
    <m/>
    <m/>
    <n v="1.9736842105263157E-2"/>
    <s v="CT06"/>
    <s v="W39 PICK-UP"/>
    <s v="IN-TRANSIT"/>
    <d v="2026-09-23T00:00:00"/>
    <d v="2026-09-23T00:00:00"/>
    <n v="39"/>
    <x v="53"/>
    <m/>
    <s v="SHANGHAI"/>
    <s v="Shanghai"/>
    <x v="0"/>
    <x v="46"/>
    <d v="2026-10-04T00:00:00"/>
    <d v="2026-10-04T00:00:00"/>
    <d v="2026-11-11T00:00:00"/>
    <d v="2026-11-18T00:00:00"/>
    <x v="32"/>
    <s v="CIF"/>
    <s v="OOCL GDYNIA 011W"/>
    <s v="COSCO"/>
    <s v="TPVB20260903006"/>
    <s v="COSU9510016200"/>
    <s v="COSU9510016200"/>
    <n v="41"/>
    <m/>
    <d v="2026-11-18T00:00:00"/>
    <x v="1"/>
    <s v=""/>
    <n v="8"/>
    <d v="2026-11-26T00:00:00"/>
    <x v="0"/>
    <x v="9"/>
    <n v="48"/>
    <s v="AEM"/>
    <m/>
  </r>
  <r>
    <x v="201"/>
    <s v="WUXI"/>
    <s v="Main Line"/>
    <s v="CORE DG"/>
    <s v="Internal"/>
    <x v="2"/>
    <m/>
    <m/>
    <m/>
    <m/>
    <m/>
    <m/>
    <m/>
    <x v="31"/>
    <s v="Hybrid Inverter"/>
    <x v="27"/>
    <m/>
    <x v="3"/>
    <m/>
    <m/>
    <n v="0.33223684210526316"/>
    <s v="CT06"/>
    <s v="W39 PICK-UP"/>
    <s v="IN-TRANSIT"/>
    <d v="2026-09-23T00:00:00"/>
    <d v="2026-09-23T00:00:00"/>
    <n v="39"/>
    <x v="53"/>
    <m/>
    <s v="SHANGHAI"/>
    <s v="Shanghai"/>
    <x v="0"/>
    <x v="46"/>
    <d v="2026-10-04T00:00:00"/>
    <d v="2026-10-04T00:00:00"/>
    <d v="2026-11-11T00:00:00"/>
    <d v="2026-11-18T00:00:00"/>
    <x v="32"/>
    <s v="CIF"/>
    <s v="OOCL GDYNIA 011W"/>
    <s v="COSCO"/>
    <s v="TPVB20260903006"/>
    <s v="COSU9510016200"/>
    <s v="COSU9510016200"/>
    <n v="41"/>
    <m/>
    <d v="2026-11-18T00:00:00"/>
    <x v="1"/>
    <s v=""/>
    <n v="8"/>
    <d v="2026-11-26T00:00:00"/>
    <x v="0"/>
    <x v="9"/>
    <n v="48"/>
    <s v="AEM"/>
    <m/>
  </r>
  <r>
    <x v="202"/>
    <s v="WUXI"/>
    <s v="Main Line"/>
    <s v="CORE DG"/>
    <s v="Internal"/>
    <x v="2"/>
    <m/>
    <m/>
    <m/>
    <m/>
    <m/>
    <m/>
    <m/>
    <x v="31"/>
    <s v="Hybrid Inverter"/>
    <x v="27"/>
    <m/>
    <x v="14"/>
    <m/>
    <m/>
    <n v="9.8684210526315784E-3"/>
    <s v="CT06"/>
    <s v="W39 PICK-UP"/>
    <s v="IN-TRANSIT"/>
    <d v="2026-09-23T00:00:00"/>
    <d v="2026-09-23T00:00:00"/>
    <n v="39"/>
    <x v="53"/>
    <m/>
    <s v="SHANGHAI"/>
    <s v="Shanghai"/>
    <x v="0"/>
    <x v="46"/>
    <d v="2026-10-04T00:00:00"/>
    <d v="2026-10-04T00:00:00"/>
    <d v="2026-11-11T00:00:00"/>
    <d v="2026-11-18T00:00:00"/>
    <x v="32"/>
    <s v="CIF"/>
    <s v="OOCL GDYNIA 011W"/>
    <s v="COSCO"/>
    <s v="TPVB20260903006"/>
    <s v="COSU9510016200"/>
    <s v="COSU9510016200"/>
    <n v="41"/>
    <m/>
    <d v="2026-11-18T00:00:00"/>
    <x v="1"/>
    <s v=""/>
    <n v="8"/>
    <d v="2026-11-26T00:00:00"/>
    <x v="0"/>
    <x v="9"/>
    <n v="48"/>
    <s v="AEM"/>
    <m/>
  </r>
  <r>
    <x v="203"/>
    <s v="WUXI"/>
    <s v="26SEP007"/>
    <s v="CORE DG"/>
    <s v="Internal"/>
    <x v="2"/>
    <m/>
    <m/>
    <m/>
    <m/>
    <m/>
    <m/>
    <m/>
    <x v="32"/>
    <s v="High voltage distribution box"/>
    <x v="28"/>
    <m/>
    <x v="82"/>
    <m/>
    <m/>
    <n v="0.47039473684210525"/>
    <s v="CT06"/>
    <s v="W39 PICK-UP"/>
    <s v="IN-TRANSIT"/>
    <d v="2026-09-23T00:00:00"/>
    <d v="2026-09-23T00:00:00"/>
    <n v="39"/>
    <x v="53"/>
    <m/>
    <s v="SHANGHAI"/>
    <s v="Shanghai"/>
    <x v="0"/>
    <x v="46"/>
    <d v="2026-10-04T00:00:00"/>
    <d v="2026-10-04T00:00:00"/>
    <d v="2026-11-11T00:00:00"/>
    <d v="2026-11-18T00:00:00"/>
    <x v="32"/>
    <s v="CIF"/>
    <s v="OOCL GDYNIA 011W"/>
    <s v="COSCO"/>
    <s v="TPVB20260903006"/>
    <s v="COSU9510016200"/>
    <s v="COSU9510016200"/>
    <n v="41"/>
    <m/>
    <d v="2026-11-18T00:00:00"/>
    <x v="1"/>
    <s v=""/>
    <n v="8"/>
    <d v="2026-11-26T00:00:00"/>
    <x v="0"/>
    <x v="9"/>
    <n v="48"/>
    <s v="AEM"/>
    <m/>
  </r>
  <r>
    <x v="204"/>
    <s v="WUXI"/>
    <s v="Main Line"/>
    <s v="CORE DG"/>
    <s v="Internal"/>
    <x v="2"/>
    <m/>
    <m/>
    <m/>
    <m/>
    <m/>
    <m/>
    <m/>
    <x v="32"/>
    <s v="High voltage distribution box"/>
    <x v="28"/>
    <m/>
    <x v="8"/>
    <m/>
    <m/>
    <n v="2.9605263157894735E-2"/>
    <s v="CT06"/>
    <s v="W39 PICK-UP"/>
    <s v="IN-TRANSIT"/>
    <d v="2026-09-23T00:00:00"/>
    <d v="2026-09-23T00:00:00"/>
    <n v="39"/>
    <x v="53"/>
    <m/>
    <s v="SHANGHAI"/>
    <s v="Shanghai"/>
    <x v="0"/>
    <x v="46"/>
    <d v="2026-10-04T00:00:00"/>
    <d v="2026-10-04T00:00:00"/>
    <d v="2026-11-11T00:00:00"/>
    <d v="2026-11-18T00:00:00"/>
    <x v="32"/>
    <s v="CIF"/>
    <s v="OOCL GDYNIA 011W"/>
    <s v="COSCO"/>
    <s v="TPVB20260903006"/>
    <s v="COSU9510016200"/>
    <s v="COSU9510016200"/>
    <n v="41"/>
    <m/>
    <d v="2026-11-18T00:00:00"/>
    <x v="1"/>
    <s v=""/>
    <n v="8"/>
    <d v="2026-11-26T00:00:00"/>
    <x v="0"/>
    <x v="9"/>
    <n v="48"/>
    <s v="AEM"/>
    <m/>
  </r>
  <r>
    <x v="205"/>
    <s v="WUXI"/>
    <s v="26SEP005"/>
    <s v="CORE DG"/>
    <s v="Internal"/>
    <x v="2"/>
    <m/>
    <m/>
    <m/>
    <m/>
    <m/>
    <m/>
    <m/>
    <x v="33"/>
    <s v="Hybrid Inverter"/>
    <x v="29"/>
    <m/>
    <x v="83"/>
    <m/>
    <m/>
    <n v="0.5"/>
    <s v="CT07"/>
    <s v="W40 PICK-UP"/>
    <s v="IN-TRANSIT"/>
    <d v="2026-09-29T00:00:00"/>
    <d v="2026-09-29T00:00:00"/>
    <n v="40"/>
    <x v="54"/>
    <m/>
    <s v="SHANGHAI"/>
    <s v="Shanghai"/>
    <x v="0"/>
    <x v="47"/>
    <d v="2026-10-11T00:00:00"/>
    <d v="2026-10-11T00:00:00"/>
    <d v="2026-11-18T00:00:00"/>
    <d v="2026-11-18T00:00:00"/>
    <x v="32"/>
    <s v="CIF"/>
    <s v="APL VANDA 0MEOXW1MA"/>
    <s v="COSCO"/>
    <s v="TPVB20260903008"/>
    <s v="COSU9510115320"/>
    <s v="COSU9510115320"/>
    <n v="44"/>
    <m/>
    <d v="2026-11-18T00:00:00"/>
    <x v="1"/>
    <s v=""/>
    <n v="8"/>
    <d v="2026-11-26T00:00:00"/>
    <x v="0"/>
    <x v="9"/>
    <n v="48"/>
    <s v="AEM"/>
    <m/>
  </r>
  <r>
    <x v="206"/>
    <s v="WUXI"/>
    <s v="26SEP007"/>
    <s v="CORE DG"/>
    <s v="Internal"/>
    <x v="2"/>
    <m/>
    <m/>
    <m/>
    <m/>
    <m/>
    <m/>
    <m/>
    <x v="32"/>
    <s v="High voltage distribution box"/>
    <x v="28"/>
    <m/>
    <x v="83"/>
    <m/>
    <m/>
    <n v="0.5"/>
    <s v="CT07"/>
    <s v="W40 PICK-UP"/>
    <s v="IN-TRANSIT"/>
    <d v="2026-09-29T00:00:00"/>
    <d v="2026-09-29T00:00:00"/>
    <n v="40"/>
    <x v="54"/>
    <m/>
    <s v="SHANGHAI"/>
    <s v="Shanghai"/>
    <x v="0"/>
    <x v="47"/>
    <d v="2026-10-11T00:00:00"/>
    <d v="2026-10-11T00:00:00"/>
    <d v="2026-11-18T00:00:00"/>
    <d v="2026-11-18T00:00:00"/>
    <x v="32"/>
    <s v="CIF"/>
    <s v="APL VANDA 0MEOXW1MA"/>
    <s v="COSCO"/>
    <s v="TPVB20260903008"/>
    <s v="COSU9510115320"/>
    <s v="COSU9510115320"/>
    <n v="44"/>
    <m/>
    <d v="2026-11-18T00:00:00"/>
    <x v="1"/>
    <s v=""/>
    <n v="8"/>
    <d v="2026-11-26T00:00:00"/>
    <x v="0"/>
    <x v="9"/>
    <n v="48"/>
    <s v="AEM"/>
    <m/>
  </r>
  <r>
    <x v="207"/>
    <s v="WUXI"/>
    <s v="26SEP008"/>
    <s v="CORE DG"/>
    <s v="Internal"/>
    <x v="1"/>
    <m/>
    <m/>
    <m/>
    <m/>
    <m/>
    <m/>
    <m/>
    <x v="6"/>
    <s v="Rechargeable Li-ion Battery"/>
    <x v="6"/>
    <m/>
    <x v="84"/>
    <m/>
    <m/>
    <n v="1.7101449275362319"/>
    <s v="CT08&amp;CT09"/>
    <s v="W38 PICK-UP"/>
    <s v="IN-TRANSIT"/>
    <d v="2026-09-14T00:00:00"/>
    <d v="2026-09-20T00:00:00"/>
    <n v="39"/>
    <x v="55"/>
    <m/>
    <s v="SHANGHAI"/>
    <s v="Shanghai"/>
    <x v="2"/>
    <x v="48"/>
    <d v="2026-10-03T00:00:00"/>
    <d v="2026-10-05T00:00:00"/>
    <d v="2026-11-14T00:00:00"/>
    <d v="2026-11-14T00:00:00"/>
    <x v="32"/>
    <s v="CIF"/>
    <s v="GENOVA EXPRESS/639W"/>
    <s v="OTHER"/>
    <s v="TPVB20260903001"/>
    <n v="276584236"/>
    <n v="276584236"/>
    <n v="50"/>
    <m/>
    <d v="2026-11-14T00:00:00"/>
    <x v="1"/>
    <s v=""/>
    <n v="7"/>
    <d v="2026-11-21T00:00:00"/>
    <x v="0"/>
    <x v="9"/>
    <n v="47"/>
    <s v="AEU"/>
    <m/>
  </r>
  <r>
    <x v="208"/>
    <s v="WUXI"/>
    <s v="Main Line"/>
    <s v="CORE DG"/>
    <s v="Internal"/>
    <x v="1"/>
    <m/>
    <m/>
    <m/>
    <m/>
    <m/>
    <m/>
    <m/>
    <x v="6"/>
    <s v="Rechargeable Li-ion Battery"/>
    <x v="6"/>
    <m/>
    <x v="46"/>
    <m/>
    <m/>
    <n v="0.28985507246376813"/>
    <s v="CT08&amp;CT09"/>
    <s v="W38 PICK-UP"/>
    <s v="IN-TRANSIT"/>
    <d v="2026-09-14T00:00:00"/>
    <d v="2026-09-20T00:00:00"/>
    <n v="39"/>
    <x v="55"/>
    <m/>
    <s v="SHANGHAI"/>
    <s v="Shanghai"/>
    <x v="2"/>
    <x v="48"/>
    <d v="2026-10-03T00:00:00"/>
    <d v="2026-10-05T00:00:00"/>
    <d v="2026-11-14T00:00:00"/>
    <d v="2026-11-14T00:00:00"/>
    <x v="32"/>
    <s v="CIF"/>
    <s v="GENOVA EXPRESS/639W"/>
    <s v="OTHER"/>
    <s v="TPVB20260903001"/>
    <n v="276584236"/>
    <n v="276584236"/>
    <n v="50"/>
    <m/>
    <d v="2026-11-14T00:00:00"/>
    <x v="1"/>
    <s v=""/>
    <n v="7"/>
    <d v="2026-11-21T00:00:00"/>
    <x v="0"/>
    <x v="9"/>
    <n v="47"/>
    <s v="AEU"/>
    <m/>
  </r>
  <r>
    <x v="209"/>
    <s v="WUXI"/>
    <s v="26SEP008"/>
    <s v="CORE DG"/>
    <s v="Internal"/>
    <x v="4"/>
    <m/>
    <m/>
    <m/>
    <m/>
    <m/>
    <m/>
    <m/>
    <x v="6"/>
    <s v="Rechargeable Li-ion Battery"/>
    <x v="6"/>
    <m/>
    <x v="12"/>
    <m/>
    <m/>
    <n v="1"/>
    <s v="CT10"/>
    <s v="W39 PICK-UP"/>
    <s v="IN-TRANSIT"/>
    <d v="2026-09-22T00:00:00"/>
    <d v="2026-09-22T00:00:00"/>
    <n v="39"/>
    <x v="56"/>
    <m/>
    <s v="SHANGHAI"/>
    <s v="Shanghai"/>
    <x v="7"/>
    <x v="49"/>
    <d v="2026-10-08T00:00:00"/>
    <d v="2026-10-08T00:00:00"/>
    <d v="2026-11-01T00:00:00"/>
    <d v="2026-11-02T00:00:00"/>
    <x v="32"/>
    <s v="CIF"/>
    <s v="BANGKOK MAERSK/638W"/>
    <s v="OTHER"/>
    <s v="TPVB20260903004"/>
    <n v="276870378"/>
    <n v="276870378"/>
    <n v="28"/>
    <m/>
    <d v="2026-11-02T00:00:00"/>
    <x v="1"/>
    <s v=""/>
    <n v="9"/>
    <d v="2026-11-11T00:00:00"/>
    <x v="0"/>
    <x v="9"/>
    <n v="46"/>
    <s v="AEM"/>
    <m/>
  </r>
  <r>
    <x v="179"/>
    <s v="WUXI"/>
    <s v="26SEP008"/>
    <s v="CORE DG"/>
    <s v="Internal"/>
    <x v="2"/>
    <m/>
    <m/>
    <m/>
    <m/>
    <m/>
    <m/>
    <m/>
    <x v="6"/>
    <s v="Rechargeable Li-ion Battery"/>
    <x v="6"/>
    <m/>
    <x v="12"/>
    <m/>
    <m/>
    <n v="1"/>
    <s v="CT11"/>
    <s v="W39 PICK-UP"/>
    <s v="IN-TRANSIT"/>
    <d v="2026-09-22T00:00:00"/>
    <d v="2026-09-24T00:00:00"/>
    <n v="39"/>
    <x v="57"/>
    <m/>
    <s v="SHANGHAI"/>
    <s v="Shanghai"/>
    <x v="0"/>
    <x v="50"/>
    <d v="2026-10-26T00:00:00"/>
    <d v="2026-10-26T00:00:00"/>
    <d v="2026-11-25T00:00:00"/>
    <d v="2026-11-25T00:00:00"/>
    <x v="32"/>
    <s v="CIF"/>
    <s v="UMM QARN / 642W"/>
    <s v="OTHER"/>
    <s v="TPVB20260903005"/>
    <n v="277022399"/>
    <n v="277022399"/>
    <n v="53"/>
    <m/>
    <d v="2026-11-25T00:00:00"/>
    <x v="1"/>
    <s v=""/>
    <n v="8"/>
    <d v="2026-12-03T00:00:00"/>
    <x v="0"/>
    <x v="10"/>
    <n v="49"/>
    <s v="AEM"/>
    <m/>
  </r>
  <r>
    <x v="210"/>
    <s v="WUXI"/>
    <s v="26SEP008"/>
    <s v="CORE DG"/>
    <s v="Internal"/>
    <x v="2"/>
    <m/>
    <m/>
    <m/>
    <m/>
    <m/>
    <m/>
    <m/>
    <x v="6"/>
    <s v="Rechargeable Li-ion Battery"/>
    <x v="6"/>
    <m/>
    <x v="30"/>
    <m/>
    <m/>
    <n v="2"/>
    <s v="CT12&amp;CT13"/>
    <s v="W40 PICK-UP"/>
    <s v="IN-TRANSIT"/>
    <d v="2026-09-28T00:00:00"/>
    <d v="2026-09-28T00:00:00"/>
    <n v="40"/>
    <x v="58"/>
    <m/>
    <s v="SHANGHAI"/>
    <s v="Shanghai"/>
    <x v="0"/>
    <x v="51"/>
    <d v="2026-10-18T00:00:00"/>
    <d v="2026-10-18T00:00:00"/>
    <d v="2026-12-02T00:00:00"/>
    <d v="2026-11-25T00:00:00"/>
    <x v="32"/>
    <s v="CIF"/>
    <s v="AL NEFUD / 640W"/>
    <s v="OTHER"/>
    <s v="TPVB20260903007"/>
    <n v="277259035"/>
    <n v="277259035"/>
    <n v="56"/>
    <m/>
    <d v="2026-11-25T00:00:00"/>
    <x v="1"/>
    <s v=""/>
    <n v="8"/>
    <d v="2026-12-03T00:00:00"/>
    <x v="0"/>
    <x v="10"/>
    <n v="49"/>
    <s v="AEM"/>
    <m/>
  </r>
  <r>
    <x v="211"/>
    <s v="WUXI"/>
    <s v="26SEP008"/>
    <s v="CORE DG"/>
    <s v="Internal"/>
    <x v="2"/>
    <m/>
    <m/>
    <m/>
    <m/>
    <m/>
    <m/>
    <m/>
    <x v="6"/>
    <s v="Rechargeable Li-ion Battery"/>
    <x v="6"/>
    <m/>
    <x v="30"/>
    <m/>
    <m/>
    <n v="2"/>
    <s v="CT14&amp;CT15"/>
    <s v="W41 PICK-UP"/>
    <s v="IN-TRANSIT"/>
    <d v="2026-10-09T00:00:00"/>
    <d v="2026-10-15T00:00:00"/>
    <n v="42"/>
    <x v="59"/>
    <m/>
    <s v="SHANGHAI"/>
    <s v="Shanghai"/>
    <x v="0"/>
    <x v="52"/>
    <d v="2026-10-26T00:00:00"/>
    <d v="2026-10-26T00:00:00"/>
    <d v="2026-12-02T00:00:00"/>
    <d v="2026-11-25T00:00:00"/>
    <x v="32"/>
    <s v="CIF"/>
    <s v="UMM QARN / 642W"/>
    <s v="OTHER"/>
    <s v="TPVB20260921002"/>
    <n v="277716563"/>
    <n v="277716563"/>
    <n v="46"/>
    <m/>
    <d v="2026-11-25T00:00:00"/>
    <x v="1"/>
    <s v=""/>
    <n v="8"/>
    <d v="2026-12-03T00:00:00"/>
    <x v="0"/>
    <x v="10"/>
    <n v="49"/>
    <s v="AEM"/>
    <m/>
  </r>
  <r>
    <x v="212"/>
    <s v="WUXI"/>
    <s v="26SEP008"/>
    <s v="CORE DG"/>
    <s v="Internal"/>
    <x v="2"/>
    <m/>
    <m/>
    <m/>
    <m/>
    <m/>
    <m/>
    <m/>
    <x v="6"/>
    <s v="Rechargeable Li-ion Battery"/>
    <x v="6"/>
    <m/>
    <x v="12"/>
    <m/>
    <m/>
    <n v="1"/>
    <s v="CT16"/>
    <s v="W42 PICK-UP"/>
    <s v="IN-TRANSIT"/>
    <d v="2026-10-12T00:00:00"/>
    <d v="2026-10-15T00:00:00"/>
    <n v="42"/>
    <x v="60"/>
    <m/>
    <s v="SHANGHAI"/>
    <s v="Shanghai"/>
    <x v="0"/>
    <x v="53"/>
    <d v="2026-10-27T00:00:00"/>
    <d v="2026-10-28T00:00:00"/>
    <d v="2026-12-09T00:00:00"/>
    <d v="2026-12-09T00:00:00"/>
    <x v="32"/>
    <s v="CIF"/>
    <s v="MAERSK HALIFAX / 643W"/>
    <s v="OTHER"/>
    <s v="TPVB20260921003"/>
    <n v="277763518"/>
    <n v="277763518"/>
    <n v="50"/>
    <m/>
    <d v="2026-12-09T00:00:00"/>
    <x v="1"/>
    <s v=""/>
    <n v="8"/>
    <d v="2026-12-17T00:00:00"/>
    <x v="0"/>
    <x v="10"/>
    <n v="51"/>
    <s v="AEM"/>
    <m/>
  </r>
  <r>
    <x v="196"/>
    <s v="Huizhou"/>
    <s v="Main Line"/>
    <s v="CORE DG"/>
    <s v="Internal"/>
    <x v="1"/>
    <m/>
    <m/>
    <m/>
    <m/>
    <m/>
    <m/>
    <m/>
    <x v="38"/>
    <s v="Hybrid Inverter"/>
    <x v="34"/>
    <m/>
    <x v="8"/>
    <m/>
    <m/>
    <n v="6.25E-2"/>
    <s v="CT18-20GP"/>
    <s v="W39 PICK-UP"/>
    <s v=""/>
    <m/>
    <m/>
    <n v="0"/>
    <x v="7"/>
    <m/>
    <s v="SHENZHEN"/>
    <s v="Shenzhen"/>
    <x v="2"/>
    <x v="54"/>
    <m/>
    <m/>
    <m/>
    <m/>
    <x v="32"/>
    <s v="CIF"/>
    <m/>
    <m/>
    <m/>
    <m/>
    <m/>
    <n v="1"/>
    <m/>
    <d v="2026-11-13T00:00:00"/>
    <x v="1"/>
    <s v=""/>
    <n v="7"/>
    <d v="2026-11-20T00:00:00"/>
    <x v="0"/>
    <x v="9"/>
    <n v="47"/>
    <s v="AEU"/>
    <m/>
  </r>
  <r>
    <x v="213"/>
    <s v="Huizhou"/>
    <s v="Main Line"/>
    <s v="CORE DG"/>
    <s v="Internal"/>
    <x v="1"/>
    <m/>
    <m/>
    <m/>
    <m/>
    <m/>
    <m/>
    <m/>
    <x v="39"/>
    <s v="Hybrid Inverter"/>
    <x v="35"/>
    <m/>
    <x v="78"/>
    <m/>
    <m/>
    <n v="0.125"/>
    <s v="CT18-20GP"/>
    <s v="W39 PICK-UP"/>
    <s v=""/>
    <m/>
    <m/>
    <n v="0"/>
    <x v="7"/>
    <m/>
    <s v="SHENZHEN"/>
    <s v="Shenzhen"/>
    <x v="2"/>
    <x v="54"/>
    <m/>
    <m/>
    <m/>
    <m/>
    <x v="32"/>
    <s v="CIF"/>
    <m/>
    <m/>
    <m/>
    <m/>
    <m/>
    <n v="1"/>
    <m/>
    <d v="2026-11-13T00:00:00"/>
    <x v="1"/>
    <s v=""/>
    <n v="7"/>
    <d v="2026-11-20T00:00:00"/>
    <x v="0"/>
    <x v="9"/>
    <n v="47"/>
    <s v="AEU"/>
    <m/>
  </r>
  <r>
    <x v="214"/>
    <s v="Huizhou"/>
    <s v="Main Line"/>
    <s v="CORE DG"/>
    <s v="Internal"/>
    <x v="1"/>
    <m/>
    <m/>
    <m/>
    <m/>
    <m/>
    <m/>
    <m/>
    <x v="40"/>
    <s v="Hybrid Inverter"/>
    <x v="36"/>
    <m/>
    <x v="78"/>
    <m/>
    <m/>
    <n v="0.125"/>
    <s v="CT18-20GP"/>
    <s v="W39 PICK-UP"/>
    <s v=""/>
    <m/>
    <m/>
    <n v="0"/>
    <x v="7"/>
    <m/>
    <s v="SHENZHEN"/>
    <s v="Shenzhen"/>
    <x v="2"/>
    <x v="54"/>
    <m/>
    <m/>
    <m/>
    <m/>
    <x v="32"/>
    <s v="CIF"/>
    <m/>
    <m/>
    <m/>
    <m/>
    <m/>
    <n v="1"/>
    <m/>
    <d v="2026-11-13T00:00:00"/>
    <x v="1"/>
    <s v=""/>
    <n v="7"/>
    <d v="2026-11-20T00:00:00"/>
    <x v="0"/>
    <x v="9"/>
    <n v="47"/>
    <s v="AEU"/>
    <m/>
  </r>
  <r>
    <x v="215"/>
    <s v="Huizhou"/>
    <s v="Main Line"/>
    <s v="CORE DG"/>
    <s v="Internal"/>
    <x v="1"/>
    <m/>
    <m/>
    <m/>
    <m/>
    <m/>
    <m/>
    <m/>
    <x v="41"/>
    <s v="TCL BlueArk X1 8kwh master pack"/>
    <x v="37"/>
    <m/>
    <x v="4"/>
    <m/>
    <m/>
    <n v="0.41666666666666669"/>
    <s v="CT18-20GP"/>
    <s v="W39 PICK-UP"/>
    <s v=""/>
    <m/>
    <m/>
    <n v="0"/>
    <x v="7"/>
    <m/>
    <s v="SHENZHEN"/>
    <s v="Shenzhen"/>
    <x v="2"/>
    <x v="54"/>
    <m/>
    <m/>
    <m/>
    <m/>
    <x v="32"/>
    <s v="CIF"/>
    <m/>
    <m/>
    <m/>
    <m/>
    <m/>
    <n v="1"/>
    <m/>
    <d v="2026-11-13T00:00:00"/>
    <x v="1"/>
    <s v=""/>
    <n v="7"/>
    <d v="2026-11-20T00:00:00"/>
    <x v="0"/>
    <x v="9"/>
    <n v="47"/>
    <s v="AEU"/>
    <m/>
  </r>
  <r>
    <x v="216"/>
    <s v="Huizhou"/>
    <s v="Main Line"/>
    <s v="CORE DG"/>
    <s v="Internal"/>
    <x v="1"/>
    <m/>
    <m/>
    <m/>
    <m/>
    <m/>
    <m/>
    <m/>
    <x v="42"/>
    <s v="TCL BlueArk X1 8kwh slave pack"/>
    <x v="38"/>
    <m/>
    <x v="1"/>
    <m/>
    <m/>
    <n v="0.16666666666666666"/>
    <s v="CT18-20GP"/>
    <s v="W39 PICK-UP"/>
    <s v=""/>
    <m/>
    <m/>
    <n v="0"/>
    <x v="7"/>
    <m/>
    <s v="SHENZHEN"/>
    <s v="Shenzhen"/>
    <x v="2"/>
    <x v="54"/>
    <m/>
    <m/>
    <m/>
    <m/>
    <x v="32"/>
    <s v="CIF"/>
    <m/>
    <m/>
    <m/>
    <m/>
    <m/>
    <n v="1"/>
    <m/>
    <d v="2026-11-13T00:00:00"/>
    <x v="1"/>
    <s v=""/>
    <n v="7"/>
    <d v="2026-11-20T00:00:00"/>
    <x v="0"/>
    <x v="9"/>
    <n v="47"/>
    <s v="AEU"/>
    <m/>
  </r>
  <r>
    <x v="217"/>
    <s v="Huizhou "/>
    <s v="Main Line"/>
    <s v="CORE DG"/>
    <s v="Internal"/>
    <x v="1"/>
    <m/>
    <m/>
    <m/>
    <m/>
    <m/>
    <m/>
    <m/>
    <x v="43"/>
    <s v="Energy Storage Accessories"/>
    <x v="39"/>
    <m/>
    <x v="50"/>
    <m/>
    <m/>
    <n v="0.10416666666666667"/>
    <s v="CT18-20GP"/>
    <s v="W39 PICK-UP"/>
    <s v=""/>
    <m/>
    <m/>
    <n v="0"/>
    <x v="7"/>
    <m/>
    <s v="SHENZHEN"/>
    <s v="Shenzhen"/>
    <x v="2"/>
    <x v="54"/>
    <m/>
    <m/>
    <m/>
    <m/>
    <x v="32"/>
    <s v="CIF"/>
    <m/>
    <m/>
    <m/>
    <m/>
    <m/>
    <n v="1"/>
    <m/>
    <d v="2026-11-13T00:00:00"/>
    <x v="1"/>
    <s v=""/>
    <n v="7"/>
    <d v="2026-11-20T00:00:00"/>
    <x v="0"/>
    <x v="9"/>
    <n v="47"/>
    <s v="AEU"/>
    <m/>
  </r>
  <r>
    <x v="218"/>
    <s v="Huizhou "/>
    <s v="Main Line"/>
    <s v="n/a"/>
    <s v="n/a"/>
    <x v="0"/>
    <m/>
    <s v="TCL Energy Solution Co.,Ltd"/>
    <m/>
    <m/>
    <m/>
    <m/>
    <m/>
    <x v="35"/>
    <s v="TCL BlueArk X1 8kw inverter"/>
    <x v="36"/>
    <m/>
    <x v="85"/>
    <m/>
    <m/>
    <n v="0.43548387096774194"/>
    <s v="CT19-20GP"/>
    <s v="W35 PICKUP"/>
    <s v="COMPLETED"/>
    <d v="2026-08-29T00:00:00"/>
    <d v="2026-09-10T00:00:00"/>
    <n v="37"/>
    <x v="61"/>
    <m/>
    <s v="SHENZHEN"/>
    <s v="SHEKOU"/>
    <x v="9"/>
    <x v="55"/>
    <d v="2026-09-12T00:00:00"/>
    <d v="2026-09-13T00:00:00"/>
    <d v="2026-09-17T00:00:00"/>
    <d v="2026-09-20T00:00:00"/>
    <x v="36"/>
    <s v="CIF"/>
    <s v="ARIONAS/0CP71S1NC"/>
    <s v="OTHER"/>
    <s v="TPVO2026080701-2"/>
    <s v="AOU0260978"/>
    <s v="AOU0260978"/>
    <n v="5"/>
    <m/>
    <d v="2026-09-20T00:00:00"/>
    <x v="1"/>
    <s v=""/>
    <n v="14"/>
    <d v="2026-10-04T00:00:00"/>
    <x v="0"/>
    <x v="7"/>
    <n v="40"/>
    <s v="n/a"/>
    <m/>
  </r>
  <r>
    <x v="219"/>
    <s v="Huizhou "/>
    <s v="Main Line"/>
    <s v="n/a"/>
    <s v="n/a"/>
    <x v="0"/>
    <m/>
    <s v="TCL Energy Solution Co.,Ltd"/>
    <m/>
    <m/>
    <m/>
    <m/>
    <m/>
    <x v="36"/>
    <s v="TCL BlueArk X1 8kwh master pack"/>
    <x v="37"/>
    <m/>
    <x v="85"/>
    <m/>
    <m/>
    <n v="0.43548387096774194"/>
    <s v="CT19-20GP"/>
    <s v="W35 PICKUP"/>
    <s v="COMPLETED"/>
    <d v="2026-08-29T00:00:00"/>
    <d v="2026-09-10T00:00:00"/>
    <n v="37"/>
    <x v="61"/>
    <m/>
    <s v="SHENZHEN"/>
    <s v="SHEKOU"/>
    <x v="9"/>
    <x v="55"/>
    <d v="2026-09-12T00:00:00"/>
    <d v="2026-09-13T00:00:00"/>
    <d v="2026-09-17T00:00:00"/>
    <d v="2026-09-20T00:00:00"/>
    <x v="36"/>
    <s v="CIF"/>
    <s v="ARIONAS/0CP71S1NC"/>
    <s v="OTHER"/>
    <s v="TPVO2026080701-2"/>
    <s v="AOU0260978"/>
    <s v="AOU0260978"/>
    <n v="5"/>
    <m/>
    <d v="2026-09-20T00:00:00"/>
    <x v="1"/>
    <s v=""/>
    <n v="14"/>
    <d v="2026-10-04T00:00:00"/>
    <x v="0"/>
    <x v="7"/>
    <n v="40"/>
    <s v="n/a"/>
    <m/>
  </r>
  <r>
    <x v="220"/>
    <s v="Huizhou "/>
    <s v="Main Line"/>
    <s v="n/a"/>
    <s v="n/a"/>
    <x v="0"/>
    <m/>
    <s v="TCL Energy Solution Co.,Ltd"/>
    <m/>
    <m/>
    <m/>
    <m/>
    <m/>
    <x v="37"/>
    <s v="TCL BlueArk X1 8kwh slaver pack"/>
    <x v="38"/>
    <m/>
    <x v="25"/>
    <m/>
    <m/>
    <n v="0.12903225806451613"/>
    <s v="CT19-20GP"/>
    <s v="W35 PICKUP"/>
    <s v="COMPLETED"/>
    <d v="2026-08-29T00:00:00"/>
    <d v="2026-09-10T00:00:00"/>
    <n v="37"/>
    <x v="61"/>
    <m/>
    <s v="SHENZHEN"/>
    <s v="SHEKOU"/>
    <x v="9"/>
    <x v="55"/>
    <d v="2026-09-12T00:00:00"/>
    <d v="2026-09-13T00:00:00"/>
    <d v="2026-09-17T00:00:00"/>
    <d v="2026-09-20T00:00:00"/>
    <x v="36"/>
    <s v="CIF"/>
    <s v="ARIONAS/0CP71S1NC"/>
    <s v="OTHER"/>
    <s v="TPVO2026080701-2"/>
    <s v="AOU0260978"/>
    <s v="AOU0260978"/>
    <n v="5"/>
    <m/>
    <d v="2026-09-20T00:00:00"/>
    <x v="1"/>
    <s v=""/>
    <n v="14"/>
    <d v="2026-10-04T00:00:00"/>
    <x v="0"/>
    <x v="7"/>
    <n v="40"/>
    <s v="n/a"/>
    <m/>
  </r>
  <r>
    <x v="221"/>
    <s v="Xuancheng"/>
    <s v="Main Line"/>
    <s v="n/a"/>
    <s v="n/a"/>
    <x v="0"/>
    <m/>
    <s v="TCL Energy Solution Co.,Ltd"/>
    <m/>
    <m/>
    <m/>
    <m/>
    <m/>
    <x v="44"/>
    <s v="Hybrid Inverter"/>
    <x v="40"/>
    <m/>
    <x v="86"/>
    <m/>
    <m/>
    <n v="0.42"/>
    <s v="CT20"/>
    <s v="W44 PICK-UP"/>
    <s v=""/>
    <d v="2026-10-29T00:00:00"/>
    <m/>
    <n v="0"/>
    <x v="62"/>
    <m/>
    <s v="SHANGHAI"/>
    <s v="Shanghai"/>
    <x v="10"/>
    <x v="54"/>
    <m/>
    <m/>
    <m/>
    <m/>
    <x v="32"/>
    <s v="CIF"/>
    <m/>
    <s v="OTHER"/>
    <s v="TPVO2026101201"/>
    <m/>
    <m/>
    <n v="1"/>
    <m/>
    <d v="1899-12-30T00:00:00"/>
    <x v="1"/>
    <s v=""/>
    <n v="14"/>
    <d v="1900-01-13T00:00:00"/>
    <x v="1"/>
    <x v="11"/>
    <n v="2"/>
    <e v="#N/A"/>
    <m/>
  </r>
  <r>
    <x v="222"/>
    <s v="Xuancheng"/>
    <s v="Main Line"/>
    <s v="n/a"/>
    <s v="n/a"/>
    <x v="0"/>
    <m/>
    <s v="TCL Energy Solution Co.,Ltd"/>
    <m/>
    <m/>
    <m/>
    <m/>
    <m/>
    <x v="45"/>
    <s v="Hybrid Inverter"/>
    <x v="41"/>
    <m/>
    <x v="25"/>
    <m/>
    <m/>
    <n v="0.08"/>
    <s v="CT20"/>
    <s v="W44 PICK-UP"/>
    <s v=""/>
    <d v="2026-10-29T00:00:00"/>
    <m/>
    <n v="0"/>
    <x v="62"/>
    <m/>
    <s v="SHANGHAI"/>
    <s v="Shanghai"/>
    <x v="10"/>
    <x v="54"/>
    <m/>
    <m/>
    <m/>
    <m/>
    <x v="32"/>
    <s v="CIF"/>
    <m/>
    <s v="OTHER"/>
    <s v="TPVO2026101201"/>
    <m/>
    <m/>
    <n v="1"/>
    <m/>
    <d v="1899-12-30T00:00:00"/>
    <x v="1"/>
    <s v=""/>
    <n v="14"/>
    <d v="1900-01-13T00:00:00"/>
    <x v="1"/>
    <x v="11"/>
    <n v="2"/>
    <e v="#N/A"/>
    <m/>
  </r>
  <r>
    <x v="223"/>
    <s v="Xuancheng"/>
    <s v="Main Line"/>
    <s v="n/a"/>
    <s v="n/a"/>
    <x v="0"/>
    <m/>
    <s v="TCL Energy Solution Co.,Ltd"/>
    <m/>
    <m/>
    <m/>
    <m/>
    <m/>
    <x v="46"/>
    <s v="Rechargeable Li-ion Battery"/>
    <x v="42"/>
    <m/>
    <x v="87"/>
    <m/>
    <m/>
    <n v="0.495"/>
    <s v="CT20"/>
    <s v="W44 PICK-UP"/>
    <s v=""/>
    <d v="2026-10-29T00:00:00"/>
    <m/>
    <n v="0"/>
    <x v="62"/>
    <m/>
    <s v="SHANGHAI"/>
    <s v="Shanghai"/>
    <x v="10"/>
    <x v="54"/>
    <m/>
    <m/>
    <m/>
    <m/>
    <x v="32"/>
    <s v="CIF"/>
    <m/>
    <s v="OTHER"/>
    <d v="1901-05-16T00:00:00"/>
    <m/>
    <m/>
    <n v="1"/>
    <m/>
    <d v="1899-12-30T00:00:00"/>
    <x v="1"/>
    <s v=""/>
    <n v="14"/>
    <d v="1900-01-13T00:00:00"/>
    <x v="1"/>
    <x v="11"/>
    <n v="2"/>
    <e v="#N/A"/>
    <m/>
  </r>
  <r>
    <x v="224"/>
    <s v="Xuancheng"/>
    <s v="Main Line"/>
    <s v="n/a"/>
    <s v="n/a"/>
    <x v="0"/>
    <m/>
    <s v="TCL Energy Solution Co.,Ltd"/>
    <m/>
    <m/>
    <m/>
    <m/>
    <m/>
    <x v="46"/>
    <s v="Rechargeable Li-ion Battery"/>
    <x v="42"/>
    <m/>
    <x v="10"/>
    <m/>
    <m/>
    <n v="5.0000000000000001E-3"/>
    <s v="CT20"/>
    <s v="W44 PICK-UP"/>
    <s v=""/>
    <d v="2026-10-29T00:00:00"/>
    <m/>
    <n v="0"/>
    <x v="62"/>
    <m/>
    <s v="SHANGHAI"/>
    <s v="Shanghai"/>
    <x v="10"/>
    <x v="54"/>
    <m/>
    <m/>
    <m/>
    <m/>
    <x v="32"/>
    <s v="CIF"/>
    <m/>
    <s v="OTHER"/>
    <s v="TPVO2026101201"/>
    <m/>
    <m/>
    <n v="1"/>
    <m/>
    <d v="1899-12-30T00:00:00"/>
    <x v="1"/>
    <s v=""/>
    <n v="14"/>
    <d v="1900-01-13T00:00:00"/>
    <x v="1"/>
    <x v="11"/>
    <n v="2"/>
    <e v="#N/A"/>
    <m/>
  </r>
  <r>
    <x v="225"/>
    <s v="Huizhou"/>
    <s v="Main Line"/>
    <s v="n/a"/>
    <s v="n/a"/>
    <x v="0"/>
    <m/>
    <s v="TCL Energy Solution Co.,Ltd"/>
    <m/>
    <m/>
    <m/>
    <m/>
    <m/>
    <x v="47"/>
    <s v="C&amp;I ESS"/>
    <x v="43"/>
    <m/>
    <x v="21"/>
    <m/>
    <m/>
    <n v="1"/>
    <s v="CT21-20GP"/>
    <s v="W38 PICK-UP"/>
    <s v="COMPLETED"/>
    <d v="2026-09-14T00:00:00"/>
    <d v="2026-09-24T00:00:00"/>
    <n v="39"/>
    <x v="63"/>
    <m/>
    <s v="NANSHA"/>
    <s v="NANSHA"/>
    <x v="11"/>
    <x v="56"/>
    <d v="2026-09-30T00:00:00"/>
    <d v="2026-09-30T00:00:00"/>
    <d v="2026-10-04T00:00:00"/>
    <d v="2026-10-06T00:00:00"/>
    <x v="33"/>
    <s v="CIF"/>
    <s v="MERATUS TOMINI / 638S"/>
    <s v="OTHER"/>
    <s v="TPVO2026091101"/>
    <n v="277328350"/>
    <n v="277328350"/>
    <n v="5"/>
    <m/>
    <d v="2026-10-06T00:00:00"/>
    <x v="1"/>
    <s v=""/>
    <n v="14"/>
    <d v="2026-10-20T00:00:00"/>
    <x v="0"/>
    <x v="7"/>
    <n v="43"/>
    <s v="n/a"/>
    <m/>
  </r>
  <r>
    <x v="226"/>
    <s v="Huizhou"/>
    <s v="Main Line"/>
    <s v="n/a"/>
    <s v="n/a"/>
    <x v="0"/>
    <m/>
    <s v="TCL Energy Solution Co.,Ltd"/>
    <m/>
    <m/>
    <m/>
    <m/>
    <m/>
    <x v="47"/>
    <s v="C&amp;I ESS"/>
    <x v="43"/>
    <m/>
    <x v="21"/>
    <m/>
    <m/>
    <n v="1"/>
    <s v="CT22-20GP"/>
    <s v="W41 PICK-UP"/>
    <s v=""/>
    <d v="2026-10-20T00:00:00"/>
    <d v="2026-10-26T00:00:00"/>
    <n v="44"/>
    <x v="64"/>
    <m/>
    <s v="NANSHA"/>
    <s v="NANSHA"/>
    <x v="11"/>
    <x v="57"/>
    <d v="2026-10-30T00:00:00"/>
    <m/>
    <d v="2026-10-30T00:00:00"/>
    <d v="2026-11-06T00:00:00"/>
    <x v="32"/>
    <s v="CIF"/>
    <s v="G. Dragon/644S"/>
    <s v="OTHER"/>
    <s v="TPVO2026092502"/>
    <n v="279061500"/>
    <n v="279061500"/>
    <n v="8"/>
    <m/>
    <d v="2026-11-06T00:00:00"/>
    <x v="1"/>
    <s v=""/>
    <n v="14"/>
    <d v="2026-11-20T00:00:00"/>
    <x v="0"/>
    <x v="9"/>
    <n v="47"/>
    <s v="n/a"/>
    <m/>
  </r>
  <r>
    <x v="227"/>
    <s v="Huizhou"/>
    <s v="Main Line"/>
    <s v="n/a"/>
    <s v="n/a"/>
    <x v="0"/>
    <m/>
    <s v="TCL Energy Solution Co.,Ltd"/>
    <m/>
    <m/>
    <m/>
    <m/>
    <m/>
    <x v="48"/>
    <s v="Hybrid Inverter"/>
    <x v="36"/>
    <m/>
    <x v="15"/>
    <m/>
    <m/>
    <n v="0.6"/>
    <s v="CT23-20GP"/>
    <s v="W42 PICK-UP"/>
    <s v=""/>
    <d v="2026-10-22T00:00:00"/>
    <d v="2026-10-26T00:00:00"/>
    <n v="44"/>
    <x v="65"/>
    <m/>
    <s v="NANSHA"/>
    <s v="NANSHA"/>
    <x v="11"/>
    <x v="58"/>
    <d v="2026-10-30T00:00:00"/>
    <m/>
    <d v="2026-11-01T00:00:00"/>
    <d v="2026-11-06T00:00:00"/>
    <x v="32"/>
    <s v="CIF"/>
    <s v="G. Dragon/644S"/>
    <s v="OTHER"/>
    <s v="TPVO2026092501"/>
    <n v="279119773"/>
    <n v="279119773"/>
    <n v="5"/>
    <m/>
    <d v="2026-11-06T00:00:00"/>
    <x v="1"/>
    <s v=""/>
    <n v="14"/>
    <d v="2026-11-20T00:00:00"/>
    <x v="0"/>
    <x v="9"/>
    <n v="47"/>
    <s v="n/a"/>
    <m/>
  </r>
  <r>
    <x v="228"/>
    <s v="Huizhou "/>
    <s v="Main Line"/>
    <s v="n/a"/>
    <s v="n/a"/>
    <x v="0"/>
    <m/>
    <s v="TCL Energy Solution Co.,Ltd"/>
    <m/>
    <m/>
    <m/>
    <m/>
    <m/>
    <x v="36"/>
    <s v="TCL BlueArk X1 8kwh master pack"/>
    <x v="37"/>
    <m/>
    <x v="28"/>
    <m/>
    <m/>
    <n v="0.4"/>
    <s v="CT23-20GP"/>
    <s v="W42 PICK-UP"/>
    <s v=""/>
    <d v="2026-10-22T00:00:00"/>
    <d v="2026-10-26T00:00:00"/>
    <n v="44"/>
    <x v="65"/>
    <m/>
    <s v="NANSHA"/>
    <s v="NANSHA"/>
    <x v="11"/>
    <x v="58"/>
    <d v="2026-10-30T00:00:00"/>
    <m/>
    <d v="2026-11-01T00:00:00"/>
    <d v="2026-11-06T00:00:00"/>
    <x v="32"/>
    <s v="CIF"/>
    <s v="G. Dragon/644S"/>
    <s v="OTHER"/>
    <s v="TPVO2026092501"/>
    <n v="279119773"/>
    <n v="279119773"/>
    <n v="5"/>
    <m/>
    <d v="2026-11-06T00:00:00"/>
    <x v="1"/>
    <s v=""/>
    <n v="14"/>
    <d v="2026-11-20T00:00:00"/>
    <x v="0"/>
    <x v="9"/>
    <n v="47"/>
    <s v="n/a"/>
    <m/>
  </r>
  <r>
    <x v="229"/>
    <s v="Huizhou"/>
    <s v="Main Line"/>
    <s v="n/a"/>
    <s v="n/a"/>
    <x v="0"/>
    <m/>
    <s v="TCL Energy Solution Co.,Ltd"/>
    <m/>
    <m/>
    <m/>
    <m/>
    <m/>
    <x v="48"/>
    <s v="Hybrid Inverter"/>
    <x v="36"/>
    <m/>
    <x v="88"/>
    <m/>
    <m/>
    <n v="0.27692307692307694"/>
    <s v="CT24-20GP"/>
    <s v="W42 PICK-UP"/>
    <s v=""/>
    <d v="2026-10-24T00:00:00"/>
    <d v="2026-10-30T00:00:00"/>
    <n v="44"/>
    <x v="66"/>
    <m/>
    <s v="NANSHA"/>
    <s v="NANSHA"/>
    <x v="12"/>
    <x v="59"/>
    <d v="2026-11-04T00:00:00"/>
    <m/>
    <d v="2026-11-07T00:00:00"/>
    <d v="2026-11-07T00:00:00"/>
    <x v="32"/>
    <s v="CIF"/>
    <s v="ERASMUS EFFORT / 645S"/>
    <s v="OTHER"/>
    <s v="TPVO2026091801"/>
    <n v="279797139"/>
    <n v="279797139"/>
    <n v="4"/>
    <m/>
    <d v="2026-11-07T00:00:00"/>
    <x v="1"/>
    <s v=""/>
    <n v="14"/>
    <d v="2026-11-21T00:00:00"/>
    <x v="0"/>
    <x v="9"/>
    <n v="47"/>
    <e v="#N/A"/>
    <m/>
  </r>
  <r>
    <x v="230"/>
    <s v="Huizhou "/>
    <s v="Main Line"/>
    <s v="n/a"/>
    <s v="n/a"/>
    <x v="0"/>
    <m/>
    <s v="TCL Energy Solution Co.,Ltd"/>
    <m/>
    <m/>
    <m/>
    <m/>
    <m/>
    <x v="36"/>
    <s v="TCL BlueArk X1 8kwh master pack"/>
    <x v="37"/>
    <m/>
    <x v="88"/>
    <m/>
    <m/>
    <n v="0.27692307692307694"/>
    <s v="CT24-20GP"/>
    <s v="W42 PICK-UP"/>
    <s v=""/>
    <d v="2026-10-24T00:00:00"/>
    <d v="2026-10-30T00:00:00"/>
    <n v="44"/>
    <x v="66"/>
    <m/>
    <s v="NANSHA"/>
    <s v="NANSHA"/>
    <x v="12"/>
    <x v="59"/>
    <d v="2026-11-04T00:00:00"/>
    <m/>
    <d v="2026-11-07T00:00:00"/>
    <d v="2026-11-07T00:00:00"/>
    <x v="32"/>
    <s v="CIF"/>
    <s v="ERASMUS EFFORT / 645S"/>
    <s v="OTHER"/>
    <s v="TPVO2026091801"/>
    <n v="279797139"/>
    <n v="279797139"/>
    <n v="4"/>
    <m/>
    <d v="2026-11-07T00:00:00"/>
    <x v="1"/>
    <s v=""/>
    <n v="14"/>
    <d v="2026-11-21T00:00:00"/>
    <x v="0"/>
    <x v="9"/>
    <n v="47"/>
    <e v="#N/A"/>
    <m/>
  </r>
  <r>
    <x v="231"/>
    <s v="Huizhou "/>
    <s v="Main Line"/>
    <s v="n/a"/>
    <s v="n/a"/>
    <x v="0"/>
    <m/>
    <s v="TCL Energy Solution Co.,Ltd"/>
    <m/>
    <m/>
    <m/>
    <m/>
    <m/>
    <x v="37"/>
    <s v="TCL BlueArk X1 8kwh slaver pack"/>
    <x v="38"/>
    <m/>
    <x v="88"/>
    <m/>
    <m/>
    <n v="0.27692307692307694"/>
    <s v="CT24-20GP"/>
    <s v="W42 PICK-UP"/>
    <s v=""/>
    <d v="2026-10-24T00:00:00"/>
    <d v="2026-10-30T00:00:00"/>
    <n v="44"/>
    <x v="66"/>
    <m/>
    <s v="NANSHA"/>
    <s v="NANSHA"/>
    <x v="12"/>
    <x v="59"/>
    <d v="2026-11-04T00:00:00"/>
    <m/>
    <d v="2026-11-07T00:00:00"/>
    <d v="2026-11-07T00:00:00"/>
    <x v="32"/>
    <s v="CIF"/>
    <s v="ERASMUS EFFORT / 645S"/>
    <s v="OTHER"/>
    <s v="TPVO2026091801"/>
    <n v="279797139"/>
    <n v="279797139"/>
    <n v="4"/>
    <m/>
    <d v="2026-11-07T00:00:00"/>
    <x v="1"/>
    <s v=""/>
    <n v="14"/>
    <d v="2026-11-21T00:00:00"/>
    <x v="0"/>
    <x v="9"/>
    <n v="47"/>
    <e v="#N/A"/>
    <m/>
  </r>
  <r>
    <x v="232"/>
    <s v="Huizhou "/>
    <s v="Main Line"/>
    <s v="n/a"/>
    <m/>
    <x v="0"/>
    <m/>
    <s v="TCL Energy Solution Co.,Ltd"/>
    <m/>
    <m/>
    <m/>
    <m/>
    <m/>
    <x v="49"/>
    <s v="Inverter Dummy"/>
    <x v="44"/>
    <m/>
    <x v="89"/>
    <m/>
    <m/>
    <n v="3.8461538461538464E-2"/>
    <s v="CT24-20GP"/>
    <s v="W42 PICK-UP"/>
    <s v=""/>
    <d v="2026-10-24T00:00:00"/>
    <d v="2026-10-30T00:00:00"/>
    <n v="44"/>
    <x v="66"/>
    <m/>
    <s v="NANSHA"/>
    <s v="NANSHA"/>
    <x v="12"/>
    <x v="59"/>
    <d v="2026-11-04T00:00:00"/>
    <m/>
    <d v="2026-11-07T00:00:00"/>
    <d v="2026-11-07T00:00:00"/>
    <x v="32"/>
    <s v="CIF"/>
    <s v="ERASMUS EFFORT / 645S"/>
    <s v="OTHER"/>
    <s v="TPVO2026091801"/>
    <n v="279797139"/>
    <n v="279797139"/>
    <n v="4"/>
    <m/>
    <d v="2026-11-07T00:00:00"/>
    <x v="1"/>
    <s v=""/>
    <n v="14"/>
    <d v="2026-11-21T00:00:00"/>
    <x v="0"/>
    <x v="9"/>
    <n v="47"/>
    <e v="#N/A"/>
    <m/>
  </r>
  <r>
    <x v="233"/>
    <s v="Huizhou "/>
    <s v="Main Line"/>
    <s v="n/a"/>
    <m/>
    <x v="0"/>
    <m/>
    <s v="TCL Energy Solution Co.,Ltd"/>
    <m/>
    <m/>
    <m/>
    <m/>
    <m/>
    <x v="50"/>
    <s v="Battery pack Dummy"/>
    <x v="45"/>
    <m/>
    <x v="89"/>
    <m/>
    <m/>
    <n v="3.8461538461538464E-2"/>
    <s v="CT24-20GP"/>
    <s v="W42 PICK-UP"/>
    <s v=""/>
    <d v="2026-10-24T00:00:00"/>
    <d v="2026-10-30T00:00:00"/>
    <n v="44"/>
    <x v="66"/>
    <m/>
    <s v="NANSHA"/>
    <s v="NANSHA"/>
    <x v="12"/>
    <x v="59"/>
    <d v="2026-11-04T00:00:00"/>
    <m/>
    <d v="2026-11-07T00:00:00"/>
    <d v="2026-11-07T00:00:00"/>
    <x v="32"/>
    <s v="CIF"/>
    <s v="ERASMUS EFFORT / 645S"/>
    <s v="OTHER"/>
    <s v="TPVO2026091801"/>
    <n v="279797139"/>
    <n v="279797139"/>
    <n v="4"/>
    <m/>
    <d v="2026-11-07T00:00:00"/>
    <x v="1"/>
    <s v=""/>
    <n v="14"/>
    <d v="2026-11-21T00:00:00"/>
    <x v="0"/>
    <x v="9"/>
    <n v="47"/>
    <e v="#N/A"/>
    <m/>
  </r>
  <r>
    <x v="234"/>
    <s v="Huizhou "/>
    <s v="Main Line"/>
    <s v="n/a"/>
    <m/>
    <x v="0"/>
    <m/>
    <s v="TCL Energy Solution Co.,Ltd"/>
    <m/>
    <m/>
    <m/>
    <m/>
    <m/>
    <x v="51"/>
    <s v="Battery pack Dummy"/>
    <x v="46"/>
    <m/>
    <x v="89"/>
    <m/>
    <m/>
    <n v="3.8461538461538464E-2"/>
    <s v="CT24-20GP"/>
    <s v="W42 PICK-UP"/>
    <s v=""/>
    <d v="2026-10-24T00:00:00"/>
    <d v="2026-10-30T00:00:00"/>
    <n v="44"/>
    <x v="66"/>
    <m/>
    <s v="NANSHA"/>
    <s v="NANSHA"/>
    <x v="12"/>
    <x v="59"/>
    <d v="2026-11-04T00:00:00"/>
    <m/>
    <d v="2026-11-07T00:00:00"/>
    <d v="2026-11-07T00:00:00"/>
    <x v="32"/>
    <s v="CIF"/>
    <s v="ERASMUS EFFORT / 645S"/>
    <s v="OTHER"/>
    <s v="TPVO2026091801"/>
    <n v="279797139"/>
    <n v="279797139"/>
    <n v="4"/>
    <m/>
    <d v="2026-11-07T00:00:00"/>
    <x v="1"/>
    <s v=""/>
    <n v="14"/>
    <d v="2026-11-21T00:00:00"/>
    <x v="0"/>
    <x v="9"/>
    <n v="47"/>
    <e v="#N/A"/>
    <m/>
  </r>
  <r>
    <x v="235"/>
    <m/>
    <s v="Main Line"/>
    <m/>
    <m/>
    <x v="3"/>
    <m/>
    <m/>
    <m/>
    <m/>
    <m/>
    <m/>
    <m/>
    <x v="43"/>
    <s v="Energy meter"/>
    <x v="39"/>
    <m/>
    <x v="90"/>
    <m/>
    <m/>
    <n v="5.3846153846153849E-2"/>
    <s v="CT24-20GP"/>
    <s v="W42 PICK-UP"/>
    <s v=""/>
    <d v="2026-10-24T00:00:00"/>
    <d v="2026-10-30T00:00:00"/>
    <n v="44"/>
    <x v="66"/>
    <m/>
    <s v="NANSHA"/>
    <s v="NANSHA"/>
    <x v="12"/>
    <x v="59"/>
    <d v="2026-11-04T00:00:00"/>
    <m/>
    <d v="2026-11-07T00:00:00"/>
    <d v="2026-11-07T00:00:00"/>
    <x v="32"/>
    <s v="CIF"/>
    <s v="ERASMUS EFFORT / 645S"/>
    <s v="OTHER"/>
    <s v="TPVO2026091801"/>
    <n v="279797139"/>
    <n v="279797139"/>
    <n v="4"/>
    <m/>
    <d v="2026-11-07T00:00:00"/>
    <x v="1"/>
    <s v=""/>
    <n v="14"/>
    <d v="2026-11-21T00:00:00"/>
    <x v="0"/>
    <x v="9"/>
    <n v="47"/>
    <e v="#N/A"/>
    <m/>
  </r>
  <r>
    <x v="236"/>
    <s v="Huizhou "/>
    <s v="Main Line"/>
    <s v="CORE DG"/>
    <s v="Internal"/>
    <x v="1"/>
    <m/>
    <m/>
    <m/>
    <m/>
    <m/>
    <m/>
    <m/>
    <x v="47"/>
    <s v="C&amp;I ESS"/>
    <x v="43"/>
    <m/>
    <x v="25"/>
    <m/>
    <m/>
    <n v="1"/>
    <s v="CT25"/>
    <s v="W41 PICK-UP"/>
    <s v="IN-TRANSIT"/>
    <d v="2026-10-08T00:00:00"/>
    <d v="2026-10-12T00:00:00"/>
    <n v="42"/>
    <x v="67"/>
    <m/>
    <s v="SHENZHEN"/>
    <s v="Shenzhen"/>
    <x v="2"/>
    <x v="60"/>
    <d v="2026-10-19T00:00:00"/>
    <d v="2026-10-19T00:00:00"/>
    <d v="2026-11-23T00:00:00"/>
    <d v="2026-11-21T00:00:00"/>
    <x v="32"/>
    <s v="CIF"/>
    <s v="DAMIETTA EXPRESS / 640W"/>
    <s v="OTHER"/>
    <s v="TPVB20260921004"/>
    <n v="277702299"/>
    <n v="277702299"/>
    <n v="42"/>
    <m/>
    <d v="2026-11-21T00:00:00"/>
    <x v="1"/>
    <s v=""/>
    <n v="7"/>
    <d v="2026-11-28T00:00:00"/>
    <x v="0"/>
    <x v="9"/>
    <n v="48"/>
    <s v="AEU"/>
    <m/>
  </r>
  <r>
    <x v="237"/>
    <s v="Huizhou "/>
    <s v="Main Line"/>
    <s v="CORE DG"/>
    <s v="Internal"/>
    <x v="3"/>
    <m/>
    <m/>
    <m/>
    <m/>
    <m/>
    <m/>
    <m/>
    <x v="52"/>
    <s v="C&amp;I ESS"/>
    <x v="47"/>
    <m/>
    <x v="89"/>
    <m/>
    <m/>
    <m/>
    <m/>
    <m/>
    <s v=""/>
    <m/>
    <m/>
    <n v="0"/>
    <x v="7"/>
    <m/>
    <m/>
    <m/>
    <x v="13"/>
    <x v="54"/>
    <m/>
    <m/>
    <m/>
    <m/>
    <x v="32"/>
    <m/>
    <m/>
    <m/>
    <m/>
    <m/>
    <m/>
    <n v="1"/>
    <m/>
    <d v="1899-12-30T00:00:00"/>
    <x v="1"/>
    <s v=""/>
    <n v="14"/>
    <d v="1900-01-13T00:00:00"/>
    <x v="1"/>
    <x v="11"/>
    <n v="2"/>
    <n v="0"/>
    <m/>
  </r>
  <r>
    <x v="238"/>
    <s v="WUXI"/>
    <s v="Main Line"/>
    <s v="CORE DG"/>
    <s v="Internal"/>
    <x v="1"/>
    <m/>
    <m/>
    <m/>
    <m/>
    <m/>
    <m/>
    <m/>
    <x v="7"/>
    <s v="Hybrid Inverter"/>
    <x v="7"/>
    <m/>
    <x v="66"/>
    <m/>
    <m/>
    <n v="8.8461538461538466E-2"/>
    <s v="CT01"/>
    <s v="W39 PICK-UP"/>
    <s v="IN-TRANSIT"/>
    <d v="2026-09-21T00:00:00"/>
    <d v="2026-09-22T00:00:00"/>
    <n v="39"/>
    <x v="68"/>
    <m/>
    <s v="SHANGHAI"/>
    <s v="Shanghai"/>
    <x v="2"/>
    <x v="45"/>
    <d v="2026-09-29T00:00:00"/>
    <d v="2026-09-29T00:00:00"/>
    <d v="2026-10-31T00:00:00"/>
    <d v="2026-11-12T00:00:00"/>
    <x v="32"/>
    <s v="CIF"/>
    <s v="EVER ALLY 1419-004W"/>
    <s v="COSCO"/>
    <s v="TPVB20260921001"/>
    <s v="COSU6468636810"/>
    <s v="COSU6468636810"/>
    <n v="37"/>
    <m/>
    <d v="2026-11-12T00:00:00"/>
    <x v="1"/>
    <s v=""/>
    <n v="7"/>
    <d v="2026-11-19T00:00:00"/>
    <x v="0"/>
    <x v="9"/>
    <n v="47"/>
    <s v="AEU"/>
    <m/>
  </r>
  <r>
    <x v="239"/>
    <s v="WUXI"/>
    <s v="Main Line"/>
    <s v="CORE DG"/>
    <s v="Internal"/>
    <x v="1"/>
    <m/>
    <m/>
    <m/>
    <m/>
    <m/>
    <m/>
    <m/>
    <x v="7"/>
    <s v="Hybrid Inverter"/>
    <x v="7"/>
    <m/>
    <x v="10"/>
    <m/>
    <m/>
    <n v="3.8461538461538464E-3"/>
    <s v="CT01"/>
    <s v="W39 PICK-UP"/>
    <s v="IN-TRANSIT"/>
    <d v="2026-09-21T00:00:00"/>
    <d v="2026-09-22T00:00:00"/>
    <n v="39"/>
    <x v="68"/>
    <m/>
    <s v="SHANGHAI"/>
    <s v="Shanghai"/>
    <x v="2"/>
    <x v="45"/>
    <d v="2026-09-29T00:00:00"/>
    <d v="2026-09-29T00:00:00"/>
    <d v="2026-10-31T00:00:00"/>
    <d v="2026-11-12T00:00:00"/>
    <x v="32"/>
    <s v="CIF"/>
    <s v="EVER ALLY 1419-004W"/>
    <s v="COSCO"/>
    <s v="TPVB20260921001"/>
    <s v="COSU6468636810"/>
    <s v="COSU6468636810"/>
    <n v="37"/>
    <m/>
    <d v="2026-11-12T00:00:00"/>
    <x v="1"/>
    <s v=""/>
    <n v="7"/>
    <d v="2026-11-19T00:00:00"/>
    <x v="0"/>
    <x v="9"/>
    <n v="47"/>
    <s v="AEU"/>
    <m/>
  </r>
  <r>
    <x v="240"/>
    <s v="WUXI"/>
    <s v="26OCT002"/>
    <s v="CORE DG"/>
    <s v="Internal"/>
    <x v="1"/>
    <m/>
    <m/>
    <m/>
    <m/>
    <m/>
    <m/>
    <m/>
    <x v="2"/>
    <s v="Hybrid Inverter"/>
    <x v="2"/>
    <m/>
    <x v="73"/>
    <m/>
    <m/>
    <n v="0.25384615384615383"/>
    <s v="CT01"/>
    <s v="W39 PICK-UP"/>
    <s v="IN-TRANSIT"/>
    <d v="2026-09-21T00:00:00"/>
    <d v="2026-09-22T00:00:00"/>
    <n v="39"/>
    <x v="68"/>
    <m/>
    <s v="SHANGHAI"/>
    <s v="Shanghai"/>
    <x v="2"/>
    <x v="45"/>
    <d v="2026-09-29T00:00:00"/>
    <d v="2026-09-29T00:00:00"/>
    <d v="2026-10-31T00:00:00"/>
    <d v="2026-11-12T00:00:00"/>
    <x v="32"/>
    <s v="CIF"/>
    <s v="EVER ALLY 1419-004W"/>
    <s v="COSCO"/>
    <s v="TPVB20260921001"/>
    <s v="COSU6468636810"/>
    <s v="COSU6468636810"/>
    <n v="37"/>
    <m/>
    <d v="2026-11-12T00:00:00"/>
    <x v="1"/>
    <s v=""/>
    <n v="7"/>
    <d v="2026-11-19T00:00:00"/>
    <x v="0"/>
    <x v="9"/>
    <n v="47"/>
    <s v="AEU"/>
    <m/>
  </r>
  <r>
    <x v="241"/>
    <s v="WUXI"/>
    <s v="Main Line"/>
    <s v="CORE DG"/>
    <s v="Internal"/>
    <x v="1"/>
    <m/>
    <m/>
    <m/>
    <m/>
    <m/>
    <m/>
    <m/>
    <x v="2"/>
    <s v="Hybrid Inverter"/>
    <x v="2"/>
    <m/>
    <x v="5"/>
    <m/>
    <m/>
    <n v="3.8461538461538464E-2"/>
    <s v="CT01"/>
    <s v="W39 PICK-UP"/>
    <s v="IN-TRANSIT"/>
    <d v="2026-09-21T00:00:00"/>
    <d v="2026-09-22T00:00:00"/>
    <n v="39"/>
    <x v="68"/>
    <m/>
    <s v="SHANGHAI"/>
    <s v="Shanghai"/>
    <x v="2"/>
    <x v="45"/>
    <d v="2026-09-29T00:00:00"/>
    <d v="2026-09-29T00:00:00"/>
    <d v="2026-10-31T00:00:00"/>
    <d v="2026-11-12T00:00:00"/>
    <x v="32"/>
    <s v="CIF"/>
    <s v="EVER ALLY 1419-004W"/>
    <s v="COSCO"/>
    <s v="TPVB20260921001"/>
    <s v="COSU6468636810"/>
    <s v="COSU6468636810"/>
    <n v="37"/>
    <m/>
    <d v="2026-11-12T00:00:00"/>
    <x v="1"/>
    <s v=""/>
    <n v="7"/>
    <d v="2026-11-19T00:00:00"/>
    <x v="0"/>
    <x v="9"/>
    <n v="47"/>
    <s v="AEU"/>
    <m/>
  </r>
  <r>
    <x v="242"/>
    <s v="WUXI"/>
    <s v="Main Line"/>
    <s v="CORE DG"/>
    <s v="Internal"/>
    <x v="1"/>
    <m/>
    <m/>
    <m/>
    <m/>
    <m/>
    <m/>
    <m/>
    <x v="4"/>
    <s v="Hybrid Inverter"/>
    <x v="4"/>
    <m/>
    <x v="55"/>
    <m/>
    <m/>
    <n v="0.11153846153846154"/>
    <s v="CT01"/>
    <s v="W39 PICK-UP"/>
    <s v="IN-TRANSIT"/>
    <d v="2026-09-21T00:00:00"/>
    <d v="2026-09-22T00:00:00"/>
    <n v="39"/>
    <x v="68"/>
    <m/>
    <s v="SHANGHAI"/>
    <s v="Shanghai"/>
    <x v="2"/>
    <x v="45"/>
    <d v="2026-09-29T00:00:00"/>
    <d v="2026-09-29T00:00:00"/>
    <d v="2026-10-31T00:00:00"/>
    <d v="2026-11-12T00:00:00"/>
    <x v="32"/>
    <s v="CIF"/>
    <s v="EVER ALLY 1419-004W"/>
    <s v="COSCO"/>
    <s v="TPVB20260921001"/>
    <s v="COSU6468636810"/>
    <s v="COSU6468636810"/>
    <n v="37"/>
    <m/>
    <d v="2026-11-12T00:00:00"/>
    <x v="1"/>
    <s v=""/>
    <n v="7"/>
    <d v="2026-11-19T00:00:00"/>
    <x v="0"/>
    <x v="9"/>
    <n v="47"/>
    <s v="AEU"/>
    <m/>
  </r>
  <r>
    <x v="243"/>
    <s v="WUXI"/>
    <s v="Main Line"/>
    <s v="CORE DG"/>
    <s v="Internal"/>
    <x v="1"/>
    <m/>
    <m/>
    <m/>
    <m/>
    <m/>
    <m/>
    <m/>
    <x v="4"/>
    <s v="Hybrid Inverter"/>
    <x v="4"/>
    <m/>
    <x v="10"/>
    <m/>
    <m/>
    <n v="3.8461538461538464E-3"/>
    <s v="CT01"/>
    <s v="W39 PICK-UP"/>
    <s v="IN-TRANSIT"/>
    <d v="2026-09-21T00:00:00"/>
    <d v="2026-09-22T00:00:00"/>
    <n v="39"/>
    <x v="68"/>
    <m/>
    <s v="SHANGHAI"/>
    <s v="Shanghai"/>
    <x v="2"/>
    <x v="45"/>
    <d v="2026-09-29T00:00:00"/>
    <d v="2026-09-29T00:00:00"/>
    <d v="2026-10-31T00:00:00"/>
    <d v="2026-11-12T00:00:00"/>
    <x v="32"/>
    <s v="CIF"/>
    <s v="EVER ALLY 1419-004W"/>
    <s v="COSCO"/>
    <s v="TPVB20260921001"/>
    <s v="COSU6468636810"/>
    <s v="COSU6468636810"/>
    <n v="37"/>
    <m/>
    <d v="2026-11-12T00:00:00"/>
    <x v="1"/>
    <s v=""/>
    <n v="7"/>
    <d v="2026-11-19T00:00:00"/>
    <x v="0"/>
    <x v="9"/>
    <n v="47"/>
    <s v="AEU"/>
    <m/>
  </r>
  <r>
    <x v="244"/>
    <s v="WUXI"/>
    <s v="26OCT004"/>
    <s v="CORE DG"/>
    <s v="Internal"/>
    <x v="1"/>
    <m/>
    <m/>
    <m/>
    <m/>
    <m/>
    <m/>
    <m/>
    <x v="5"/>
    <s v="High voltage distribution box"/>
    <x v="5"/>
    <m/>
    <x v="91"/>
    <m/>
    <m/>
    <n v="0.45769230769230768"/>
    <s v="CT01"/>
    <s v="W39 PICK-UP"/>
    <s v="IN-TRANSIT"/>
    <d v="2026-09-21T00:00:00"/>
    <d v="2026-09-22T00:00:00"/>
    <n v="39"/>
    <x v="68"/>
    <m/>
    <s v="SHANGHAI"/>
    <s v="Shanghai"/>
    <x v="2"/>
    <x v="45"/>
    <d v="2026-09-29T00:00:00"/>
    <d v="2026-09-29T00:00:00"/>
    <d v="2026-10-31T00:00:00"/>
    <d v="2026-11-12T00:00:00"/>
    <x v="32"/>
    <s v="CIF"/>
    <s v="EVER ALLY 1419-004W"/>
    <s v="COSCO"/>
    <s v="TPVB20260921001"/>
    <s v="COSU6468636810"/>
    <s v="COSU6468636810"/>
    <n v="37"/>
    <m/>
    <d v="2026-11-12T00:00:00"/>
    <x v="1"/>
    <s v=""/>
    <n v="7"/>
    <d v="2026-11-19T00:00:00"/>
    <x v="0"/>
    <x v="9"/>
    <n v="47"/>
    <s v="AEU"/>
    <m/>
  </r>
  <r>
    <x v="245"/>
    <s v="WUXI"/>
    <s v="Main Line"/>
    <s v="CORE DG"/>
    <s v="Internal"/>
    <x v="1"/>
    <m/>
    <m/>
    <m/>
    <m/>
    <m/>
    <m/>
    <m/>
    <x v="5"/>
    <s v="High voltage distribution box"/>
    <x v="5"/>
    <m/>
    <x v="92"/>
    <m/>
    <m/>
    <n v="4.230769230769231E-2"/>
    <s v="CT01"/>
    <s v="W39 PICK-UP"/>
    <s v="IN-TRANSIT"/>
    <d v="2026-09-21T00:00:00"/>
    <d v="2026-09-22T00:00:00"/>
    <n v="39"/>
    <x v="68"/>
    <m/>
    <s v="SHANGHAI"/>
    <s v="Shanghai"/>
    <x v="2"/>
    <x v="45"/>
    <d v="2026-09-29T00:00:00"/>
    <d v="2026-09-29T00:00:00"/>
    <d v="2026-10-31T00:00:00"/>
    <d v="2026-11-12T00:00:00"/>
    <x v="32"/>
    <s v="CIF"/>
    <s v="EVER ALLY 1419-004W"/>
    <s v="COSCO"/>
    <s v="TPVB20260921001"/>
    <s v="COSU6468636810"/>
    <s v="COSU6468636810"/>
    <n v="37"/>
    <m/>
    <d v="2026-11-12T00:00:00"/>
    <x v="1"/>
    <s v=""/>
    <n v="7"/>
    <d v="2026-11-19T00:00:00"/>
    <x v="0"/>
    <x v="9"/>
    <n v="47"/>
    <s v="AEU"/>
    <m/>
  </r>
  <r>
    <x v="246"/>
    <s v="WUXI"/>
    <s v="Main Line"/>
    <s v="CORE DG"/>
    <s v="Internal"/>
    <x v="6"/>
    <m/>
    <m/>
    <m/>
    <m/>
    <m/>
    <m/>
    <m/>
    <x v="0"/>
    <s v="1P meter"/>
    <x v="0"/>
    <m/>
    <x v="44"/>
    <m/>
    <m/>
    <n v="0.83076923076923082"/>
    <s v="CT02"/>
    <s v="W42 PICK-UP"/>
    <m/>
    <d v="2026-10-12T00:00:00"/>
    <d v="2026-10-16T00:00:00"/>
    <n v="42"/>
    <x v="69"/>
    <m/>
    <s v="SHANGHAI"/>
    <s v="Shanghai"/>
    <x v="14"/>
    <x v="57"/>
    <d v="2026-10-26T00:00:00"/>
    <d v="2026-10-28T00:00:00"/>
    <d v="2026-12-09T00:00:00"/>
    <d v="2026-12-09T00:00:00"/>
    <x v="32"/>
    <s v="CIF"/>
    <s v="COSCO SHIPPING NEBULA/034W"/>
    <s v="COSCO"/>
    <s v="TPVB20260921006"/>
    <s v="COSU6469962990"/>
    <s v="COSU6469962990"/>
    <n v="48"/>
    <m/>
    <m/>
    <x v="1"/>
    <s v=""/>
    <m/>
    <m/>
    <x v="2"/>
    <x v="12"/>
    <m/>
    <m/>
    <m/>
  </r>
  <r>
    <x v="247"/>
    <s v="WUXI"/>
    <s v="26OCT002"/>
    <s v="CORE DG"/>
    <s v="Internal"/>
    <x v="6"/>
    <m/>
    <m/>
    <m/>
    <m/>
    <m/>
    <m/>
    <m/>
    <x v="2"/>
    <s v="Hybrid Inverter"/>
    <x v="2"/>
    <m/>
    <x v="67"/>
    <m/>
    <m/>
    <n v="0.5"/>
    <s v="CT02"/>
    <s v="W42 PICK-UP"/>
    <s v="IN-TRANSIT"/>
    <d v="2026-10-12T00:00:00"/>
    <d v="2026-10-16T00:00:00"/>
    <n v="42"/>
    <x v="69"/>
    <m/>
    <s v="SHANGHAI"/>
    <s v="Shanghai"/>
    <x v="14"/>
    <x v="57"/>
    <d v="2026-10-26T00:00:00"/>
    <d v="2026-10-28T00:00:00"/>
    <d v="2026-12-09T00:00:00"/>
    <d v="2026-12-09T00:00:00"/>
    <x v="32"/>
    <s v="CIF"/>
    <s v="COSCO SHIPPING NEBULA/034W"/>
    <s v="COSCO"/>
    <s v="TPVB20260921006"/>
    <s v="COSU6469962990"/>
    <s v="COSU6469962990"/>
    <n v="48"/>
    <m/>
    <d v="2026-12-09T00:00:00"/>
    <x v="1"/>
    <s v=""/>
    <n v="10"/>
    <d v="2026-12-19T00:00:00"/>
    <x v="0"/>
    <x v="10"/>
    <n v="51"/>
    <s v="AEM"/>
    <m/>
  </r>
  <r>
    <x v="248"/>
    <s v="WUXI"/>
    <s v="26OCT004"/>
    <s v="CORE DG"/>
    <s v="Internal"/>
    <x v="6"/>
    <m/>
    <m/>
    <m/>
    <m/>
    <m/>
    <m/>
    <m/>
    <x v="5"/>
    <s v="High voltage distribution box"/>
    <x v="5"/>
    <m/>
    <x v="67"/>
    <m/>
    <m/>
    <n v="0.5"/>
    <s v="CT02"/>
    <s v="W42 PICK-UP"/>
    <s v="IN-TRANSIT"/>
    <d v="2026-10-12T00:00:00"/>
    <d v="2026-10-16T00:00:00"/>
    <n v="42"/>
    <x v="69"/>
    <m/>
    <s v="SHANGHAI"/>
    <s v="Shanghai"/>
    <x v="14"/>
    <x v="57"/>
    <d v="2026-10-26T00:00:00"/>
    <d v="2026-10-28T00:00:00"/>
    <d v="2026-12-09T00:00:00"/>
    <d v="2026-12-09T00:00:00"/>
    <x v="32"/>
    <s v="CIF"/>
    <s v="COSCO SHIPPING NEBULA/034W"/>
    <s v="COSCO"/>
    <s v="TPVB20260921006"/>
    <s v="COSU6469962990"/>
    <s v="COSU6469962990"/>
    <n v="48"/>
    <m/>
    <d v="2026-12-09T00:00:00"/>
    <x v="1"/>
    <s v=""/>
    <n v="10"/>
    <d v="2026-12-19T00:00:00"/>
    <x v="0"/>
    <x v="10"/>
    <n v="51"/>
    <s v="AEM"/>
    <m/>
  </r>
  <r>
    <x v="249"/>
    <s v="WUXI"/>
    <s v="26OCT002"/>
    <s v="CORE DG"/>
    <s v="Internal"/>
    <x v="6"/>
    <m/>
    <m/>
    <m/>
    <m/>
    <m/>
    <m/>
    <m/>
    <x v="2"/>
    <s v="Hybrid Inverter"/>
    <x v="2"/>
    <m/>
    <x v="67"/>
    <m/>
    <m/>
    <n v="0.5"/>
    <s v="CT03"/>
    <s v="W42 PICK-UP"/>
    <s v="IN-TRANSIT"/>
    <d v="2026-10-12T00:00:00"/>
    <d v="2026-10-16T00:00:00"/>
    <n v="42"/>
    <x v="69"/>
    <m/>
    <s v="SHANGHAI"/>
    <s v="Shanghai"/>
    <x v="14"/>
    <x v="57"/>
    <d v="2026-10-26T00:00:00"/>
    <d v="2026-10-28T00:00:00"/>
    <d v="2026-12-09T00:00:00"/>
    <d v="2026-12-09T00:00:00"/>
    <x v="32"/>
    <s v="CIF"/>
    <s v="COSCO SHIPPING NEBULA/034W"/>
    <s v="COSCO"/>
    <s v="TPVB20260921006"/>
    <s v="COSU6469962990"/>
    <s v="COSU6469962990"/>
    <n v="48"/>
    <m/>
    <d v="2026-12-09T00:00:00"/>
    <x v="1"/>
    <s v=""/>
    <n v="10"/>
    <d v="2026-12-19T00:00:00"/>
    <x v="0"/>
    <x v="10"/>
    <n v="51"/>
    <s v="AEM"/>
    <m/>
  </r>
  <r>
    <x v="250"/>
    <s v="WUXI"/>
    <s v="26OCT004"/>
    <s v="CORE DG"/>
    <s v="Internal"/>
    <x v="6"/>
    <m/>
    <m/>
    <m/>
    <m/>
    <m/>
    <m/>
    <m/>
    <x v="5"/>
    <s v="High voltage distribution box"/>
    <x v="5"/>
    <m/>
    <x v="67"/>
    <m/>
    <m/>
    <n v="0.5"/>
    <s v="CT03"/>
    <s v="W42 PICK-UP"/>
    <s v="IN-TRANSIT"/>
    <d v="2026-10-12T00:00:00"/>
    <d v="2026-10-16T00:00:00"/>
    <n v="42"/>
    <x v="69"/>
    <m/>
    <s v="SHANGHAI"/>
    <s v="Shanghai"/>
    <x v="14"/>
    <x v="57"/>
    <d v="2026-10-26T00:00:00"/>
    <d v="2026-10-28T00:00:00"/>
    <d v="2026-12-09T00:00:00"/>
    <d v="2026-12-09T00:00:00"/>
    <x v="32"/>
    <s v="CIF"/>
    <s v="COSCO SHIPPING NEBULA/034W"/>
    <s v="COSCO"/>
    <s v="TPVB20260921006"/>
    <s v="COSU6469962990"/>
    <s v="COSU6469962990"/>
    <n v="48"/>
    <m/>
    <d v="2026-12-09T00:00:00"/>
    <x v="1"/>
    <s v=""/>
    <n v="10"/>
    <d v="2026-12-19T00:00:00"/>
    <x v="0"/>
    <x v="10"/>
    <n v="51"/>
    <s v="AEM"/>
    <m/>
  </r>
  <r>
    <x v="251"/>
    <s v="WUXI"/>
    <s v="26OCT005"/>
    <s v="CORE DG"/>
    <s v="Internal"/>
    <x v="6"/>
    <m/>
    <m/>
    <m/>
    <m/>
    <m/>
    <m/>
    <m/>
    <x v="6"/>
    <s v="Rechargeable Li-ion Battery"/>
    <x v="6"/>
    <m/>
    <x v="93"/>
    <m/>
    <m/>
    <n v="1.8840579710144927"/>
    <s v="CT04&amp;CT05"/>
    <s v="W42 PICK-UP"/>
    <s v="IN-TRANSIT"/>
    <d v="2026-10-17T00:00:00"/>
    <d v="2026-10-18T00:00:00"/>
    <n v="43"/>
    <x v="70"/>
    <m/>
    <s v="SHANGHAI"/>
    <s v="Shanghai"/>
    <x v="14"/>
    <x v="61"/>
    <d v="2026-10-27T00:00:00"/>
    <d v="2026-10-28T00:00:00"/>
    <d v="2026-12-02T00:00:00"/>
    <d v="2026-12-02T00:00:00"/>
    <x v="32"/>
    <s v="CIF"/>
    <s v="MAERSK HALIFAX 643W"/>
    <s v="OTHER"/>
    <s v="TPVB20260921005"/>
    <n v="277778182"/>
    <n v="277778182"/>
    <n v="44"/>
    <m/>
    <d v="2026-12-02T00:00:00"/>
    <x v="1"/>
    <s v=""/>
    <n v="10"/>
    <d v="2026-12-12T00:00:00"/>
    <x v="0"/>
    <x v="10"/>
    <n v="50"/>
    <s v="AEM"/>
    <m/>
  </r>
  <r>
    <x v="252"/>
    <s v="WUXI"/>
    <s v="Main Line"/>
    <s v="CORE DG"/>
    <s v="Internal"/>
    <x v="6"/>
    <m/>
    <m/>
    <m/>
    <m/>
    <m/>
    <m/>
    <m/>
    <x v="6"/>
    <s v="Rechargeable Li-ion Battery"/>
    <x v="6"/>
    <m/>
    <x v="36"/>
    <m/>
    <m/>
    <n v="0.11594202898550725"/>
    <s v="CT04&amp;CT05"/>
    <s v="W42 PICK-UP"/>
    <s v="IN-TRANSIT"/>
    <d v="2026-10-17T00:00:00"/>
    <d v="2026-10-18T00:00:00"/>
    <n v="43"/>
    <x v="70"/>
    <m/>
    <s v="SHANGHAI"/>
    <s v="Shanghai"/>
    <x v="14"/>
    <x v="61"/>
    <d v="2026-10-27T00:00:00"/>
    <d v="2026-10-28T00:00:00"/>
    <d v="2026-12-02T00:00:00"/>
    <d v="2026-12-02T00:00:00"/>
    <x v="32"/>
    <s v="CIF"/>
    <s v="MAERSK HALIFAX 643W"/>
    <s v="OTHER"/>
    <s v="TPVB20260921005"/>
    <n v="277778182"/>
    <n v="277778182"/>
    <n v="44"/>
    <m/>
    <d v="2026-12-02T00:00:00"/>
    <x v="1"/>
    <s v=""/>
    <n v="10"/>
    <d v="2026-12-12T00:00:00"/>
    <x v="0"/>
    <x v="10"/>
    <n v="50"/>
    <s v="AEM"/>
    <m/>
  </r>
  <r>
    <x v="253"/>
    <s v="WUXI"/>
    <s v="26OCT005"/>
    <s v="CORE DG"/>
    <s v="Internal"/>
    <x v="6"/>
    <m/>
    <m/>
    <m/>
    <m/>
    <m/>
    <m/>
    <m/>
    <x v="6"/>
    <s v="Rechargeable Li-ion Battery"/>
    <x v="6"/>
    <m/>
    <x v="12"/>
    <m/>
    <m/>
    <n v="1"/>
    <s v="CT06"/>
    <s v="W43 PICK-UP"/>
    <s v=""/>
    <d v="2026-10-22T00:00:00"/>
    <d v="2026-10-26T00:00:00"/>
    <n v="44"/>
    <x v="7"/>
    <m/>
    <s v="SHANGHAI"/>
    <s v="Shanghai"/>
    <x v="14"/>
    <x v="62"/>
    <d v="2026-11-05T00:00:00"/>
    <m/>
    <d v="2026-12-16T00:00:00"/>
    <d v="2026-12-16T00:00:00"/>
    <x v="32"/>
    <s v="CIF"/>
    <s v="AL JASRAH/644W"/>
    <s v="OTHER"/>
    <s v="TPVB20261011001"/>
    <n v="279562037"/>
    <n v="279562037"/>
    <n v="46"/>
    <m/>
    <d v="2026-12-16T00:00:00"/>
    <x v="1"/>
    <s v=""/>
    <n v="10"/>
    <d v="2026-12-26T00:00:00"/>
    <x v="0"/>
    <x v="10"/>
    <n v="52"/>
    <s v="AEM"/>
    <m/>
  </r>
  <r>
    <x v="254"/>
    <s v="WUXI"/>
    <s v="26OCT005"/>
    <s v="CORE DG"/>
    <s v="Internal"/>
    <x v="6"/>
    <m/>
    <m/>
    <m/>
    <m/>
    <m/>
    <m/>
    <m/>
    <x v="6"/>
    <s v="Rechargeable Li-ion Battery"/>
    <x v="6"/>
    <m/>
    <x v="12"/>
    <m/>
    <m/>
    <n v="1"/>
    <s v="CT07"/>
    <s v="W43 PICK-UP"/>
    <s v=""/>
    <d v="2026-10-22T00:00:00"/>
    <d v="2026-10-26T00:00:00"/>
    <n v="44"/>
    <x v="7"/>
    <m/>
    <s v="SHANGHAI"/>
    <s v="Shanghai"/>
    <x v="14"/>
    <x v="62"/>
    <d v="2026-11-05T00:00:00"/>
    <m/>
    <d v="2026-12-16T00:00:00"/>
    <d v="2026-12-16T00:00:00"/>
    <x v="32"/>
    <s v="CIF"/>
    <s v="AL JASRAH/644W"/>
    <s v="OTHER"/>
    <s v="TPVB20261011001"/>
    <n v="279562037"/>
    <n v="279562037"/>
    <n v="46"/>
    <m/>
    <d v="2026-12-16T00:00:00"/>
    <x v="1"/>
    <s v=""/>
    <n v="10"/>
    <d v="2026-12-26T00:00:00"/>
    <x v="0"/>
    <x v="10"/>
    <n v="52"/>
    <s v="AEM"/>
    <m/>
  </r>
  <r>
    <x v="255"/>
    <m/>
    <s v="Main Line"/>
    <s v="n/a"/>
    <s v="n/a"/>
    <x v="0"/>
    <m/>
    <s v="TCL Energy Solution Co.,Ltd"/>
    <m/>
    <m/>
    <m/>
    <m/>
    <m/>
    <x v="47"/>
    <s v="C&amp;I ESS"/>
    <x v="43"/>
    <m/>
    <x v="90"/>
    <m/>
    <m/>
    <n v="0.3888888888888889"/>
    <s v="CT08"/>
    <m/>
    <s v=""/>
    <m/>
    <m/>
    <n v="0"/>
    <x v="7"/>
    <m/>
    <s v="SHENZHEN"/>
    <s v="Shenzhen"/>
    <x v="15"/>
    <x v="54"/>
    <m/>
    <m/>
    <m/>
    <m/>
    <x v="32"/>
    <s v="FOB"/>
    <m/>
    <m/>
    <m/>
    <m/>
    <m/>
    <n v="1"/>
    <m/>
    <d v="1899-12-30T00:00:00"/>
    <x v="1"/>
    <s v=""/>
    <n v="14"/>
    <d v="1900-01-13T00:00:00"/>
    <x v="1"/>
    <x v="11"/>
    <n v="2"/>
    <e v="#N/A"/>
    <m/>
  </r>
  <r>
    <x v="256"/>
    <m/>
    <s v="Main Line"/>
    <s v="n/a"/>
    <s v="n/a"/>
    <x v="0"/>
    <m/>
    <s v="TCL Energy Solution Co.,Ltd"/>
    <m/>
    <m/>
    <m/>
    <m/>
    <m/>
    <x v="53"/>
    <s v="High Voltage Battery Pack"/>
    <x v="48"/>
    <m/>
    <x v="10"/>
    <m/>
    <m/>
    <n v="5.5555555555555552E-2"/>
    <s v="CT08"/>
    <m/>
    <s v=""/>
    <m/>
    <m/>
    <n v="0"/>
    <x v="7"/>
    <m/>
    <s v="SHENZHEN"/>
    <s v="Shenzhen"/>
    <x v="15"/>
    <x v="54"/>
    <m/>
    <m/>
    <m/>
    <m/>
    <x v="32"/>
    <s v="FOB"/>
    <m/>
    <m/>
    <m/>
    <m/>
    <m/>
    <n v="1"/>
    <m/>
    <d v="1899-12-30T00:00:00"/>
    <x v="1"/>
    <s v=""/>
    <n v="14"/>
    <d v="1900-01-13T00:00:00"/>
    <x v="1"/>
    <x v="11"/>
    <n v="2"/>
    <e v="#N/A"/>
    <m/>
  </r>
  <r>
    <x v="257"/>
    <m/>
    <s v="Main Line"/>
    <s v="n/a"/>
    <s v="n/a"/>
    <x v="0"/>
    <m/>
    <s v="TCL Energy Solution Co.,Ltd"/>
    <m/>
    <m/>
    <m/>
    <m/>
    <m/>
    <x v="47"/>
    <s v="C&amp;I ESS"/>
    <x v="43"/>
    <m/>
    <x v="14"/>
    <m/>
    <m/>
    <n v="0.16666666666666666"/>
    <s v="CT08"/>
    <m/>
    <s v=""/>
    <m/>
    <m/>
    <n v="0"/>
    <x v="7"/>
    <m/>
    <s v="SHENZHEN"/>
    <s v="Shenzhen"/>
    <x v="15"/>
    <x v="54"/>
    <m/>
    <m/>
    <m/>
    <m/>
    <x v="32"/>
    <s v="FOB"/>
    <m/>
    <m/>
    <m/>
    <m/>
    <m/>
    <n v="1"/>
    <m/>
    <d v="1899-12-30T00:00:00"/>
    <x v="1"/>
    <s v=""/>
    <n v="14"/>
    <d v="1900-01-13T00:00:00"/>
    <x v="1"/>
    <x v="11"/>
    <n v="2"/>
    <e v="#N/A"/>
    <m/>
  </r>
  <r>
    <x v="258"/>
    <m/>
    <s v="Main Line"/>
    <s v="n/a"/>
    <s v="n/a"/>
    <x v="0"/>
    <m/>
    <s v="TCL Energy Solution Co.,Ltd"/>
    <m/>
    <m/>
    <m/>
    <m/>
    <m/>
    <x v="54"/>
    <s v="C&amp;I ESS"/>
    <x v="49"/>
    <m/>
    <x v="43"/>
    <m/>
    <m/>
    <n v="0.22222222222222221"/>
    <s v="CT08"/>
    <m/>
    <s v=""/>
    <m/>
    <m/>
    <n v="0"/>
    <x v="7"/>
    <m/>
    <s v="SHENZHEN"/>
    <s v="Shenzhen"/>
    <x v="15"/>
    <x v="54"/>
    <m/>
    <m/>
    <m/>
    <m/>
    <x v="32"/>
    <s v="FOB"/>
    <m/>
    <m/>
    <m/>
    <m/>
    <m/>
    <n v="1"/>
    <m/>
    <d v="1899-12-30T00:00:00"/>
    <x v="1"/>
    <s v=""/>
    <n v="14"/>
    <d v="1900-01-13T00:00:00"/>
    <x v="1"/>
    <x v="11"/>
    <n v="2"/>
    <e v="#N/A"/>
    <m/>
  </r>
  <r>
    <x v="259"/>
    <m/>
    <s v="Main Line"/>
    <s v="n/a"/>
    <s v="n/a"/>
    <x v="0"/>
    <m/>
    <s v="TCL Energy Solution Co.,Ltd"/>
    <m/>
    <m/>
    <m/>
    <m/>
    <m/>
    <x v="55"/>
    <s v="Hybrid Inverter"/>
    <x v="36"/>
    <m/>
    <x v="10"/>
    <m/>
    <m/>
    <n v="5.5555555555555552E-2"/>
    <s v="CT08"/>
    <m/>
    <s v=""/>
    <m/>
    <m/>
    <n v="0"/>
    <x v="7"/>
    <m/>
    <s v="SHENZHEN"/>
    <s v="Shenzhen"/>
    <x v="15"/>
    <x v="54"/>
    <m/>
    <m/>
    <m/>
    <m/>
    <x v="32"/>
    <s v="FOB"/>
    <m/>
    <m/>
    <m/>
    <m/>
    <m/>
    <n v="1"/>
    <m/>
    <d v="1899-12-30T00:00:00"/>
    <x v="1"/>
    <s v=""/>
    <n v="14"/>
    <d v="1900-01-13T00:00:00"/>
    <x v="1"/>
    <x v="11"/>
    <n v="2"/>
    <e v="#N/A"/>
    <m/>
  </r>
  <r>
    <x v="260"/>
    <m/>
    <s v="Main Line"/>
    <s v="n/a"/>
    <s v="n/a"/>
    <x v="0"/>
    <m/>
    <s v="TCL Energy Solution Co.,Ltd"/>
    <m/>
    <m/>
    <m/>
    <m/>
    <m/>
    <x v="56"/>
    <s v="Rechargeable Li-ion Battery"/>
    <x v="37"/>
    <m/>
    <x v="10"/>
    <m/>
    <m/>
    <n v="5.5555555555555552E-2"/>
    <s v="CT08"/>
    <m/>
    <s v=""/>
    <m/>
    <m/>
    <n v="0"/>
    <x v="7"/>
    <m/>
    <s v="SHENZHEN"/>
    <s v="Shenzhen"/>
    <x v="15"/>
    <x v="54"/>
    <m/>
    <m/>
    <m/>
    <m/>
    <x v="32"/>
    <s v="FOB"/>
    <m/>
    <m/>
    <m/>
    <m/>
    <m/>
    <n v="1"/>
    <m/>
    <d v="1899-12-30T00:00:00"/>
    <x v="1"/>
    <s v=""/>
    <n v="14"/>
    <d v="1900-01-13T00:00:00"/>
    <x v="1"/>
    <x v="11"/>
    <n v="2"/>
    <e v="#N/A"/>
    <m/>
  </r>
  <r>
    <x v="261"/>
    <m/>
    <s v="Main Line"/>
    <s v="n/a"/>
    <s v="n/a"/>
    <x v="0"/>
    <m/>
    <s v="TCL Energy Solution Co.,Ltd"/>
    <m/>
    <m/>
    <m/>
    <m/>
    <m/>
    <x v="57"/>
    <s v="Rechargeable Li-ion Battery"/>
    <x v="38"/>
    <m/>
    <x v="10"/>
    <m/>
    <m/>
    <n v="5.5555555555555552E-2"/>
    <s v="CT08"/>
    <m/>
    <s v=""/>
    <m/>
    <m/>
    <n v="0"/>
    <x v="7"/>
    <m/>
    <s v="SHENZHEN"/>
    <s v="Shenzhen"/>
    <x v="15"/>
    <x v="54"/>
    <m/>
    <m/>
    <m/>
    <m/>
    <x v="32"/>
    <s v="FOB"/>
    <m/>
    <m/>
    <m/>
    <m/>
    <m/>
    <n v="1"/>
    <m/>
    <d v="1899-12-30T00:00:00"/>
    <x v="1"/>
    <s v=""/>
    <n v="14"/>
    <d v="1900-01-13T00:00:00"/>
    <x v="1"/>
    <x v="11"/>
    <n v="2"/>
    <e v="#N/A"/>
    <m/>
  </r>
  <r>
    <x v="262"/>
    <s v="WUXI"/>
    <s v="26NOV002"/>
    <s v="CORE DG"/>
    <s v="Internal"/>
    <x v="2"/>
    <m/>
    <m/>
    <m/>
    <m/>
    <m/>
    <m/>
    <m/>
    <x v="2"/>
    <s v="Hybrid Inverter"/>
    <x v="2"/>
    <m/>
    <x v="94"/>
    <m/>
    <m/>
    <n v="8.461538461538462E-2"/>
    <s v="CT01"/>
    <s v="W43 PICK-UP"/>
    <s v=""/>
    <d v="2026-10-20T00:00:00"/>
    <d v="2026-10-29T00:00:00"/>
    <n v="44"/>
    <x v="7"/>
    <m/>
    <s v="SHANGHAI"/>
    <s v="Shanghai"/>
    <x v="0"/>
    <x v="63"/>
    <m/>
    <m/>
    <d v="2026-12-28T00:00:00"/>
    <m/>
    <x v="32"/>
    <s v="CIF"/>
    <s v="COSCO SHIPPING PISCES _x000a_034W"/>
    <s v="COSCO"/>
    <m/>
    <s v="COSU6472704590"/>
    <s v="COSU6472704590"/>
    <n v="53"/>
    <m/>
    <d v="2026-12-28T00:00:00"/>
    <x v="1"/>
    <s v=""/>
    <n v="8"/>
    <d v="2027-01-05T00:00:00"/>
    <x v="3"/>
    <x v="11"/>
    <n v="1"/>
    <s v="AEM"/>
    <m/>
  </r>
  <r>
    <x v="263"/>
    <s v="WUXI"/>
    <s v="Main Line"/>
    <s v="CORE DG"/>
    <s v="Internal"/>
    <x v="2"/>
    <m/>
    <m/>
    <m/>
    <m/>
    <m/>
    <m/>
    <m/>
    <x v="2"/>
    <s v="Hybrid Inverter"/>
    <x v="2"/>
    <m/>
    <x v="95"/>
    <m/>
    <m/>
    <n v="0.1076923076923077"/>
    <s v="CT01"/>
    <s v="W43 PICK-UP"/>
    <s v=""/>
    <d v="2026-10-20T00:00:00"/>
    <d v="2026-10-29T00:00:00"/>
    <n v="44"/>
    <x v="7"/>
    <m/>
    <s v="SHANGHAI"/>
    <s v="Shanghai"/>
    <x v="0"/>
    <x v="63"/>
    <m/>
    <m/>
    <d v="2026-12-28T00:00:00"/>
    <m/>
    <x v="32"/>
    <s v="CIF"/>
    <s v="COSCO SHIPPING PISCES _x000a_034W"/>
    <s v="COSCO"/>
    <m/>
    <s v="COSU6472704590"/>
    <s v="COSU6472704590"/>
    <n v="53"/>
    <m/>
    <d v="2026-12-28T00:00:00"/>
    <x v="1"/>
    <s v=""/>
    <n v="8"/>
    <d v="2027-01-05T00:00:00"/>
    <x v="3"/>
    <x v="11"/>
    <n v="1"/>
    <s v="AEM"/>
    <m/>
  </r>
  <r>
    <x v="264"/>
    <s v="WUXI"/>
    <s v="Main Line"/>
    <s v="CORE DG"/>
    <s v="Internal"/>
    <x v="2"/>
    <m/>
    <m/>
    <m/>
    <m/>
    <m/>
    <m/>
    <m/>
    <x v="4"/>
    <s v="Hybrid Inverter"/>
    <x v="4"/>
    <m/>
    <x v="0"/>
    <m/>
    <m/>
    <n v="0.3"/>
    <s v="CT01"/>
    <s v="W43 PICK-UP"/>
    <s v=""/>
    <d v="2026-10-20T00:00:00"/>
    <d v="2026-10-29T00:00:00"/>
    <n v="44"/>
    <x v="7"/>
    <m/>
    <s v="SHANGHAI"/>
    <s v="Shanghai"/>
    <x v="0"/>
    <x v="63"/>
    <m/>
    <m/>
    <d v="2026-12-28T00:00:00"/>
    <m/>
    <x v="32"/>
    <s v="CIF"/>
    <s v="COSCO SHIPPING PISCES _x000a_034W"/>
    <s v="COSCO"/>
    <m/>
    <s v="COSU6472704590"/>
    <s v="COSU6472704590"/>
    <n v="53"/>
    <m/>
    <d v="2026-12-28T00:00:00"/>
    <x v="1"/>
    <s v=""/>
    <n v="8"/>
    <d v="2027-01-05T00:00:00"/>
    <x v="3"/>
    <x v="11"/>
    <n v="1"/>
    <s v="AEM"/>
    <m/>
  </r>
  <r>
    <x v="265"/>
    <s v="WUXI"/>
    <s v="Main Line"/>
    <s v="CORE DG"/>
    <s v="Internal"/>
    <x v="2"/>
    <m/>
    <m/>
    <m/>
    <m/>
    <m/>
    <m/>
    <m/>
    <x v="4"/>
    <s v="Hybrid Inverter"/>
    <x v="4"/>
    <m/>
    <x v="9"/>
    <m/>
    <m/>
    <n v="7.6923076923076927E-3"/>
    <s v="CT01"/>
    <s v="W43 PICK-UP"/>
    <s v=""/>
    <d v="2026-10-20T00:00:00"/>
    <d v="2026-10-29T00:00:00"/>
    <n v="44"/>
    <x v="7"/>
    <m/>
    <s v="SHANGHAI"/>
    <s v="Shanghai"/>
    <x v="0"/>
    <x v="63"/>
    <m/>
    <m/>
    <d v="2026-12-28T00:00:00"/>
    <m/>
    <x v="32"/>
    <s v="CIF"/>
    <s v="COSCO SHIPPING PISCES _x000a_034W"/>
    <s v="COSCO"/>
    <m/>
    <s v="COSU6472704590"/>
    <s v="COSU6472704590"/>
    <n v="53"/>
    <m/>
    <d v="2026-12-28T00:00:00"/>
    <x v="1"/>
    <s v=""/>
    <n v="8"/>
    <d v="2027-01-05T00:00:00"/>
    <x v="3"/>
    <x v="11"/>
    <n v="1"/>
    <s v="AEM"/>
    <m/>
  </r>
  <r>
    <x v="266"/>
    <s v="WUXI"/>
    <s v="26NOV004"/>
    <s v="CORE DG"/>
    <s v="Internal"/>
    <x v="2"/>
    <m/>
    <m/>
    <m/>
    <m/>
    <m/>
    <m/>
    <m/>
    <x v="5"/>
    <s v="High voltage distribution box"/>
    <x v="5"/>
    <m/>
    <x v="37"/>
    <m/>
    <m/>
    <n v="0.36923076923076925"/>
    <s v="CT01"/>
    <s v="W43 PICK-UP"/>
    <s v=""/>
    <d v="2026-10-20T00:00:00"/>
    <d v="2026-10-29T00:00:00"/>
    <n v="44"/>
    <x v="7"/>
    <m/>
    <s v="SHANGHAI"/>
    <s v="Shanghai"/>
    <x v="0"/>
    <x v="63"/>
    <m/>
    <m/>
    <d v="2026-12-28T00:00:00"/>
    <m/>
    <x v="32"/>
    <s v="CIF"/>
    <s v="COSCO SHIPPING PISCES _x000a_034W"/>
    <s v="COSCO"/>
    <m/>
    <s v="COSU6472704590"/>
    <s v="COSU6472704590"/>
    <n v="53"/>
    <m/>
    <d v="2026-12-28T00:00:00"/>
    <x v="1"/>
    <s v=""/>
    <n v="8"/>
    <d v="2027-01-05T00:00:00"/>
    <x v="3"/>
    <x v="11"/>
    <n v="1"/>
    <s v="AEM"/>
    <m/>
  </r>
  <r>
    <x v="267"/>
    <s v="WUXI"/>
    <s v="Main Line"/>
    <s v="CORE DG"/>
    <s v="Internal"/>
    <x v="2"/>
    <m/>
    <m/>
    <m/>
    <m/>
    <m/>
    <m/>
    <m/>
    <x v="5"/>
    <s v="High voltage distribution box"/>
    <x v="5"/>
    <m/>
    <x v="18"/>
    <m/>
    <m/>
    <n v="0.13076923076923078"/>
    <s v="CT01"/>
    <s v="W43 PICK-UP"/>
    <s v=""/>
    <d v="2026-10-20T00:00:00"/>
    <d v="2026-10-29T00:00:00"/>
    <n v="44"/>
    <x v="7"/>
    <m/>
    <s v="SHANGHAI"/>
    <s v="Shanghai"/>
    <x v="0"/>
    <x v="63"/>
    <m/>
    <m/>
    <d v="2026-12-28T00:00:00"/>
    <m/>
    <x v="32"/>
    <s v="CIF"/>
    <s v="COSCO SHIPPING PISCES _x000a_034W"/>
    <s v="COSCO"/>
    <m/>
    <s v="COSU6472704590"/>
    <s v="COSU6472704590"/>
    <n v="53"/>
    <m/>
    <d v="2026-12-28T00:00:00"/>
    <x v="1"/>
    <s v=""/>
    <n v="8"/>
    <d v="2027-01-05T00:00:00"/>
    <x v="3"/>
    <x v="11"/>
    <n v="1"/>
    <s v="AEM"/>
    <m/>
  </r>
  <r>
    <x v="268"/>
    <s v="WUXI"/>
    <s v="26NOV002"/>
    <s v="CORE DG"/>
    <s v="Internal"/>
    <x v="2"/>
    <m/>
    <m/>
    <m/>
    <m/>
    <m/>
    <m/>
    <m/>
    <x v="2"/>
    <s v="Hybrid Inverter"/>
    <x v="2"/>
    <m/>
    <x v="67"/>
    <m/>
    <m/>
    <n v="0.5"/>
    <s v="CT06"/>
    <s v="W44 PICK-UP"/>
    <s v=""/>
    <d v="2026-10-30T00:00:00"/>
    <d v="2026-10-29T00:00:00"/>
    <n v="44"/>
    <x v="7"/>
    <m/>
    <s v="SHANGHAI"/>
    <s v="Shanghai"/>
    <x v="0"/>
    <x v="63"/>
    <m/>
    <m/>
    <d v="2026-12-28T00:00:00"/>
    <m/>
    <x v="32"/>
    <s v="CIF"/>
    <s v="COSCO SHIPPING PISCES _x000a_034W"/>
    <s v="COSCO"/>
    <m/>
    <s v="COSU6472704590"/>
    <s v="COSU6472704590"/>
    <n v="53"/>
    <m/>
    <d v="2026-12-28T00:00:00"/>
    <x v="1"/>
    <s v=""/>
    <n v="8"/>
    <d v="2027-01-05T00:00:00"/>
    <x v="3"/>
    <x v="11"/>
    <n v="1"/>
    <s v="AEM"/>
    <m/>
  </r>
  <r>
    <x v="269"/>
    <s v="WUXI"/>
    <s v="26NOV004"/>
    <s v="CORE DG"/>
    <s v="Internal"/>
    <x v="2"/>
    <m/>
    <m/>
    <m/>
    <m/>
    <m/>
    <m/>
    <m/>
    <x v="5"/>
    <s v="High voltage distribution box"/>
    <x v="5"/>
    <m/>
    <x v="67"/>
    <m/>
    <m/>
    <n v="0.5"/>
    <s v="CT06"/>
    <s v="W44 PICK-UP"/>
    <s v=""/>
    <d v="2026-10-30T00:00:00"/>
    <d v="2026-10-29T00:00:00"/>
    <n v="44"/>
    <x v="7"/>
    <m/>
    <s v="SHANGHAI"/>
    <s v="Shanghai"/>
    <x v="0"/>
    <x v="63"/>
    <m/>
    <m/>
    <d v="2026-12-28T00:00:00"/>
    <m/>
    <x v="32"/>
    <s v="CIF"/>
    <s v="COSCO SHIPPING PISCES _x000a_034W"/>
    <s v="COSCO"/>
    <m/>
    <s v="COSU6472704590"/>
    <s v="COSU6472704590"/>
    <n v="53"/>
    <m/>
    <d v="2026-12-28T00:00:00"/>
    <x v="1"/>
    <s v=""/>
    <n v="8"/>
    <d v="2027-01-05T00:00:00"/>
    <x v="3"/>
    <x v="11"/>
    <n v="1"/>
    <s v="AEM"/>
    <m/>
  </r>
  <r>
    <x v="270"/>
    <s v="WUXI"/>
    <s v="Main Line"/>
    <s v="CORE DG"/>
    <s v="Internal"/>
    <x v="1"/>
    <m/>
    <m/>
    <m/>
    <m/>
    <m/>
    <m/>
    <m/>
    <x v="7"/>
    <s v="Hybrid Inverter"/>
    <x v="7"/>
    <m/>
    <x v="96"/>
    <m/>
    <m/>
    <n v="0.48461538461538461"/>
    <s v="CT02"/>
    <s v="W44 PICK-UP"/>
    <s v=""/>
    <d v="2026-10-26T00:00:00"/>
    <m/>
    <n v="0"/>
    <x v="7"/>
    <m/>
    <s v="SHANGHAI"/>
    <s v="Shanghai"/>
    <x v="2"/>
    <x v="54"/>
    <m/>
    <m/>
    <m/>
    <m/>
    <x v="32"/>
    <s v="CIF"/>
    <m/>
    <m/>
    <m/>
    <m/>
    <m/>
    <n v="1"/>
    <m/>
    <d v="2026-12-25T00:00:00"/>
    <x v="1"/>
    <s v=""/>
    <n v="7"/>
    <d v="2027-01-01T00:00:00"/>
    <x v="3"/>
    <x v="11"/>
    <n v="53"/>
    <s v="AEU"/>
    <m/>
  </r>
  <r>
    <x v="271"/>
    <s v="WUXI"/>
    <s v="Main Line"/>
    <s v="CORE DG"/>
    <s v="Internal"/>
    <x v="1"/>
    <m/>
    <m/>
    <m/>
    <m/>
    <m/>
    <m/>
    <m/>
    <x v="7"/>
    <s v="Hybrid Inverter"/>
    <x v="7"/>
    <m/>
    <x v="43"/>
    <m/>
    <m/>
    <n v="1.5384615384615385E-2"/>
    <s v="CT02"/>
    <s v="W44 PICK-UP"/>
    <s v=""/>
    <d v="2026-10-26T00:00:00"/>
    <m/>
    <n v="0"/>
    <x v="7"/>
    <m/>
    <s v="SHANGHAI"/>
    <s v="Shanghai"/>
    <x v="2"/>
    <x v="54"/>
    <m/>
    <m/>
    <m/>
    <m/>
    <x v="32"/>
    <s v="CIF"/>
    <m/>
    <m/>
    <m/>
    <m/>
    <m/>
    <n v="1"/>
    <m/>
    <d v="2026-12-25T00:00:00"/>
    <x v="1"/>
    <s v=""/>
    <n v="7"/>
    <d v="2027-01-01T00:00:00"/>
    <x v="3"/>
    <x v="11"/>
    <n v="53"/>
    <s v="AEU"/>
    <m/>
  </r>
  <r>
    <x v="272"/>
    <s v="WUXI"/>
    <s v="26NOV004"/>
    <s v="CORE DG"/>
    <s v="Internal"/>
    <x v="1"/>
    <m/>
    <m/>
    <m/>
    <m/>
    <m/>
    <m/>
    <m/>
    <x v="5"/>
    <s v="High voltage distribution box"/>
    <x v="5"/>
    <m/>
    <x v="67"/>
    <m/>
    <m/>
    <n v="0.5"/>
    <s v="CT02"/>
    <s v="W44 PICK-UP"/>
    <s v=""/>
    <d v="2026-10-26T00:00:00"/>
    <m/>
    <n v="0"/>
    <x v="7"/>
    <m/>
    <s v="SHANGHAI"/>
    <s v="Shanghai"/>
    <x v="2"/>
    <x v="54"/>
    <m/>
    <m/>
    <m/>
    <m/>
    <x v="32"/>
    <s v="CIF"/>
    <m/>
    <m/>
    <m/>
    <m/>
    <m/>
    <n v="1"/>
    <m/>
    <d v="2026-12-25T00:00:00"/>
    <x v="1"/>
    <s v=""/>
    <n v="7"/>
    <d v="2027-01-01T00:00:00"/>
    <x v="3"/>
    <x v="11"/>
    <n v="53"/>
    <s v="AEU"/>
    <m/>
  </r>
  <r>
    <x v="273"/>
    <s v="WUXI"/>
    <s v="26NOV002"/>
    <s v="CORE DG"/>
    <s v="Internal"/>
    <x v="6"/>
    <m/>
    <m/>
    <m/>
    <m/>
    <m/>
    <m/>
    <m/>
    <x v="2"/>
    <s v="Hybrid Inverter"/>
    <x v="2"/>
    <m/>
    <x v="67"/>
    <m/>
    <m/>
    <n v="0.5"/>
    <s v="CT03"/>
    <s v="W43 PICK-UP"/>
    <s v=""/>
    <d v="2026-10-20T00:00:00"/>
    <d v="2026-10-26T00:00:00"/>
    <n v="44"/>
    <x v="7"/>
    <m/>
    <s v="SHANGHAI"/>
    <s v="Shanghai"/>
    <x v="14"/>
    <x v="64"/>
    <m/>
    <m/>
    <d v="2026-12-16T00:00:00"/>
    <m/>
    <x v="32"/>
    <s v="CIF"/>
    <s v="EVER GOODS 0776-036W"/>
    <s v="COSCO"/>
    <s v="TPVB20261011002"/>
    <s v="COSU6471350550"/>
    <s v="COSU6471350550"/>
    <n v="44"/>
    <m/>
    <d v="2026-12-16T00:00:00"/>
    <x v="1"/>
    <s v=""/>
    <n v="10"/>
    <d v="2026-12-26T00:00:00"/>
    <x v="0"/>
    <x v="10"/>
    <n v="52"/>
    <s v="AEM"/>
    <m/>
  </r>
  <r>
    <x v="274"/>
    <s v="WUXI"/>
    <s v="26NOV004"/>
    <s v="CORE DG"/>
    <s v="Internal"/>
    <x v="6"/>
    <m/>
    <m/>
    <m/>
    <m/>
    <m/>
    <m/>
    <m/>
    <x v="5"/>
    <s v="High voltage distribution box"/>
    <x v="5"/>
    <m/>
    <x v="67"/>
    <m/>
    <m/>
    <n v="0.5"/>
    <s v="CT03"/>
    <s v="W43 PICK-UP"/>
    <s v=""/>
    <d v="2026-10-20T00:00:00"/>
    <d v="2026-10-26T00:00:00"/>
    <n v="44"/>
    <x v="7"/>
    <m/>
    <s v="SHANGHAI"/>
    <s v="Shanghai"/>
    <x v="14"/>
    <x v="64"/>
    <m/>
    <m/>
    <d v="2026-12-16T00:00:00"/>
    <m/>
    <x v="32"/>
    <s v="CIF"/>
    <s v="EVER GOODS 0776-036W"/>
    <s v="COSCO"/>
    <s v="TPVB20261011002"/>
    <s v="COSU6471350550"/>
    <s v="COSU6471350550"/>
    <n v="44"/>
    <m/>
    <d v="2026-12-16T00:00:00"/>
    <x v="1"/>
    <s v=""/>
    <n v="10"/>
    <d v="2026-12-26T00:00:00"/>
    <x v="0"/>
    <x v="10"/>
    <n v="52"/>
    <s v="AEM"/>
    <m/>
  </r>
  <r>
    <x v="275"/>
    <s v="WUXI"/>
    <s v="26NOV002"/>
    <s v="CORE DG"/>
    <s v="Internal"/>
    <x v="6"/>
    <m/>
    <m/>
    <m/>
    <m/>
    <m/>
    <m/>
    <m/>
    <x v="2"/>
    <s v="Hybrid Inverter"/>
    <x v="2"/>
    <m/>
    <x v="67"/>
    <m/>
    <m/>
    <n v="0.5"/>
    <s v="CT04"/>
    <s v="W44 PICK-UP"/>
    <s v=""/>
    <d v="2026-10-26T00:00:00"/>
    <d v="2026-10-30T00:00:00"/>
    <n v="44"/>
    <x v="7"/>
    <m/>
    <s v="SHANGHAI"/>
    <s v="Shanghai"/>
    <x v="14"/>
    <x v="65"/>
    <m/>
    <m/>
    <d v="2026-12-30T00:00:00"/>
    <m/>
    <x v="32"/>
    <s v="CIF"/>
    <s v="COSCO SHIPPING SCORPIO _x000a_036W"/>
    <s v="COSCO"/>
    <m/>
    <s v="COSU6473321390"/>
    <s v="COSU6473321390"/>
    <n v="48"/>
    <m/>
    <d v="2026-12-30T00:00:00"/>
    <x v="1"/>
    <s v=""/>
    <n v="10"/>
    <d v="2027-01-09T00:00:00"/>
    <x v="3"/>
    <x v="11"/>
    <n v="1"/>
    <s v="AEM"/>
    <m/>
  </r>
  <r>
    <x v="276"/>
    <s v="WUXI"/>
    <s v="26NOV004"/>
    <s v="CORE DG"/>
    <s v="Internal"/>
    <x v="6"/>
    <m/>
    <m/>
    <m/>
    <m/>
    <m/>
    <m/>
    <m/>
    <x v="5"/>
    <s v="High voltage distribution box"/>
    <x v="5"/>
    <m/>
    <x v="67"/>
    <m/>
    <m/>
    <n v="0.5"/>
    <s v="CT04"/>
    <s v="W44 PICK-UP"/>
    <s v=""/>
    <d v="2026-10-26T00:00:00"/>
    <d v="2026-10-30T00:00:00"/>
    <n v="44"/>
    <x v="7"/>
    <m/>
    <s v="SHANGHAI"/>
    <s v="Shanghai"/>
    <x v="14"/>
    <x v="65"/>
    <m/>
    <m/>
    <d v="2026-12-30T00:00:00"/>
    <m/>
    <x v="32"/>
    <s v="CIF"/>
    <s v="COSCO SHIPPING SCORPIO _x000a_036W"/>
    <s v="COSCO"/>
    <m/>
    <s v="COSU6473321390"/>
    <s v="COSU6473321390"/>
    <n v="48"/>
    <m/>
    <d v="2026-12-30T00:00:00"/>
    <x v="1"/>
    <s v=""/>
    <n v="10"/>
    <d v="2027-01-09T00:00:00"/>
    <x v="3"/>
    <x v="11"/>
    <n v="1"/>
    <s v="AEM"/>
    <m/>
  </r>
  <r>
    <x v="277"/>
    <s v="WUXI"/>
    <s v="26NOV002"/>
    <s v="CORE DG"/>
    <s v="Internal"/>
    <x v="6"/>
    <m/>
    <m/>
    <m/>
    <m/>
    <m/>
    <m/>
    <m/>
    <x v="2"/>
    <s v="Hybrid Inverter"/>
    <x v="2"/>
    <m/>
    <x v="67"/>
    <m/>
    <m/>
    <n v="0.5"/>
    <s v="CT05"/>
    <s v="W44 PICK-UP"/>
    <s v=""/>
    <d v="2026-10-30T00:00:00"/>
    <d v="2026-10-30T00:00:00"/>
    <n v="44"/>
    <x v="7"/>
    <m/>
    <s v="SHANGHAI"/>
    <s v="Shanghai"/>
    <x v="14"/>
    <x v="65"/>
    <m/>
    <m/>
    <d v="2026-12-30T00:00:00"/>
    <m/>
    <x v="32"/>
    <s v="CIF"/>
    <s v="COSCO SHIPPING SCORPIO _x000a_036W"/>
    <s v="COSCO"/>
    <m/>
    <s v="COSU6473321390"/>
    <s v="COSU6473321390"/>
    <n v="48"/>
    <m/>
    <d v="2026-12-30T00:00:00"/>
    <x v="1"/>
    <s v=""/>
    <n v="10"/>
    <d v="2027-01-09T00:00:00"/>
    <x v="3"/>
    <x v="11"/>
    <n v="1"/>
    <s v="AEM"/>
    <m/>
  </r>
  <r>
    <x v="278"/>
    <s v="WUXI"/>
    <s v="26NOV004"/>
    <s v="CORE DG"/>
    <s v="Internal"/>
    <x v="6"/>
    <m/>
    <m/>
    <m/>
    <m/>
    <m/>
    <m/>
    <m/>
    <x v="5"/>
    <s v="High voltage distribution box"/>
    <x v="5"/>
    <m/>
    <x v="67"/>
    <m/>
    <m/>
    <n v="0.5"/>
    <s v="CT05"/>
    <s v="W44 PICK-UP"/>
    <s v=""/>
    <d v="2026-10-30T00:00:00"/>
    <d v="2026-10-30T00:00:00"/>
    <n v="44"/>
    <x v="7"/>
    <m/>
    <s v="SHANGHAI"/>
    <s v="Shanghai"/>
    <x v="14"/>
    <x v="65"/>
    <m/>
    <m/>
    <d v="2026-12-30T00:00:00"/>
    <m/>
    <x v="32"/>
    <s v="CIF"/>
    <s v="COSCO SHIPPING SCORPIO _x000a_036W"/>
    <s v="COSCO"/>
    <m/>
    <s v="COSU6473321390"/>
    <s v="COSU6473321390"/>
    <n v="48"/>
    <m/>
    <d v="2026-12-30T00:00:00"/>
    <x v="1"/>
    <s v=""/>
    <n v="10"/>
    <d v="2027-01-09T00:00:00"/>
    <x v="3"/>
    <x v="11"/>
    <n v="1"/>
    <s v="AEM"/>
    <m/>
  </r>
  <r>
    <x v="279"/>
    <s v="WUXI"/>
    <s v="26NOV002"/>
    <s v="CORE DG"/>
    <s v="Internal"/>
    <x v="2"/>
    <m/>
    <m/>
    <m/>
    <m/>
    <m/>
    <m/>
    <m/>
    <x v="2"/>
    <s v="Hybrid Inverter"/>
    <x v="2"/>
    <m/>
    <x v="67"/>
    <m/>
    <m/>
    <n v="0.5"/>
    <s v="CT07"/>
    <s v="W45 PICK-UP"/>
    <s v=""/>
    <d v="2026-11-06T00:00:00"/>
    <m/>
    <n v="0"/>
    <x v="7"/>
    <m/>
    <s v="SHANGHAI"/>
    <s v="Shanghai"/>
    <x v="0"/>
    <x v="65"/>
    <m/>
    <m/>
    <d v="2026-01-04T00:00:00"/>
    <m/>
    <x v="32"/>
    <s v="CIF"/>
    <s v="COSCO SHIPPING SCORPIO _x000a_036W"/>
    <s v="COSCO"/>
    <m/>
    <s v="COSU6473320440"/>
    <s v="COSU6473320440"/>
    <n v="-312"/>
    <m/>
    <d v="2026-01-04T00:00:00"/>
    <x v="1"/>
    <s v=""/>
    <n v="8"/>
    <d v="2026-01-12T00:00:00"/>
    <x v="0"/>
    <x v="11"/>
    <n v="3"/>
    <s v="AEM"/>
    <m/>
  </r>
  <r>
    <x v="280"/>
    <s v="WUXI"/>
    <s v="26NOV004"/>
    <s v="CORE DG"/>
    <s v="Internal"/>
    <x v="2"/>
    <m/>
    <m/>
    <m/>
    <m/>
    <m/>
    <m/>
    <m/>
    <x v="5"/>
    <s v="High voltage distribution box"/>
    <x v="5"/>
    <m/>
    <x v="67"/>
    <m/>
    <m/>
    <n v="0.5"/>
    <s v="CT07"/>
    <s v="W45 PICK-UP"/>
    <s v=""/>
    <d v="2026-11-06T00:00:00"/>
    <m/>
    <n v="0"/>
    <x v="7"/>
    <m/>
    <s v="SHANGHAI"/>
    <s v="Shanghai"/>
    <x v="0"/>
    <x v="65"/>
    <m/>
    <m/>
    <d v="2026-01-04T00:00:00"/>
    <m/>
    <x v="32"/>
    <s v="CIF"/>
    <s v="COSCO SHIPPING SCORPIO _x000a_036W"/>
    <s v="COSCO"/>
    <m/>
    <s v="COSU6473320440"/>
    <s v="COSU6473320440"/>
    <n v="-312"/>
    <m/>
    <d v="2026-01-04T00:00:00"/>
    <x v="1"/>
    <s v=""/>
    <n v="8"/>
    <d v="2026-01-12T00:00:00"/>
    <x v="0"/>
    <x v="11"/>
    <n v="3"/>
    <s v="AEM"/>
    <m/>
  </r>
  <r>
    <x v="281"/>
    <s v="WUXI"/>
    <s v="26NOV002"/>
    <s v="CORE DG"/>
    <s v="Internal"/>
    <x v="2"/>
    <m/>
    <m/>
    <m/>
    <m/>
    <m/>
    <m/>
    <m/>
    <x v="2"/>
    <s v="Hybrid Inverter"/>
    <x v="2"/>
    <m/>
    <x v="67"/>
    <m/>
    <m/>
    <n v="0.5"/>
    <s v="CT08"/>
    <s v="W45 PICK-UP"/>
    <s v=""/>
    <d v="2026-11-06T00:00:00"/>
    <m/>
    <n v="0"/>
    <x v="7"/>
    <m/>
    <s v="SHANGHAI"/>
    <s v="Shanghai"/>
    <x v="0"/>
    <x v="54"/>
    <m/>
    <m/>
    <m/>
    <m/>
    <x v="32"/>
    <s v="CIF"/>
    <m/>
    <m/>
    <m/>
    <m/>
    <m/>
    <n v="1"/>
    <m/>
    <d v="2027-01-05T00:00:00"/>
    <x v="1"/>
    <s v=""/>
    <n v="8"/>
    <d v="2027-01-13T00:00:00"/>
    <x v="3"/>
    <x v="11"/>
    <n v="2"/>
    <s v="AEM"/>
    <m/>
  </r>
  <r>
    <x v="282"/>
    <s v="WUXI"/>
    <s v="26NOV004"/>
    <s v="CORE DG"/>
    <s v="Internal"/>
    <x v="2"/>
    <m/>
    <m/>
    <m/>
    <m/>
    <m/>
    <m/>
    <m/>
    <x v="5"/>
    <s v="High voltage distribution box"/>
    <x v="5"/>
    <m/>
    <x v="67"/>
    <m/>
    <m/>
    <n v="0.5"/>
    <s v="CT08"/>
    <s v="W45 PICK-UP"/>
    <s v=""/>
    <d v="2026-11-06T00:00:00"/>
    <m/>
    <n v="0"/>
    <x v="7"/>
    <m/>
    <s v="SHANGHAI"/>
    <s v="Shanghai"/>
    <x v="0"/>
    <x v="54"/>
    <m/>
    <m/>
    <m/>
    <m/>
    <x v="32"/>
    <s v="CIF"/>
    <m/>
    <m/>
    <m/>
    <m/>
    <m/>
    <n v="1"/>
    <m/>
    <d v="2027-01-05T00:00:00"/>
    <x v="1"/>
    <s v=""/>
    <n v="8"/>
    <d v="2027-01-13T00:00:00"/>
    <x v="3"/>
    <x v="11"/>
    <n v="2"/>
    <s v="AEM"/>
    <m/>
  </r>
  <r>
    <x v="283"/>
    <s v="WUXI"/>
    <s v="26NOV002"/>
    <s v="CORE DG"/>
    <s v="Internal"/>
    <x v="6"/>
    <m/>
    <m/>
    <m/>
    <m/>
    <m/>
    <m/>
    <m/>
    <x v="2"/>
    <s v="Hybrid Inverter"/>
    <x v="2"/>
    <m/>
    <x v="67"/>
    <m/>
    <m/>
    <n v="0.5"/>
    <s v="CT09"/>
    <s v="W46 PICK-UP"/>
    <s v=""/>
    <d v="2026-11-13T00:00:00"/>
    <m/>
    <n v="0"/>
    <x v="7"/>
    <m/>
    <s v="SHANGHAI"/>
    <s v="Shanghai"/>
    <x v="14"/>
    <x v="54"/>
    <m/>
    <m/>
    <m/>
    <m/>
    <x v="32"/>
    <s v="CIF"/>
    <m/>
    <m/>
    <m/>
    <m/>
    <m/>
    <n v="1"/>
    <m/>
    <d v="2027-01-12T00:00:00"/>
    <x v="1"/>
    <s v=""/>
    <n v="10"/>
    <d v="2027-01-22T00:00:00"/>
    <x v="3"/>
    <x v="11"/>
    <n v="3"/>
    <s v="AEM"/>
    <m/>
  </r>
  <r>
    <x v="284"/>
    <s v="WUXI"/>
    <s v="26NOV004"/>
    <s v="CORE DG"/>
    <s v="Internal"/>
    <x v="6"/>
    <m/>
    <m/>
    <m/>
    <m/>
    <m/>
    <m/>
    <m/>
    <x v="5"/>
    <s v="High voltage distribution box"/>
    <x v="5"/>
    <m/>
    <x v="67"/>
    <m/>
    <m/>
    <n v="0.5"/>
    <s v="CT09"/>
    <s v="W46 PICK-UP"/>
    <s v=""/>
    <d v="2026-11-13T00:00:00"/>
    <m/>
    <n v="0"/>
    <x v="7"/>
    <m/>
    <s v="SHANGHAI"/>
    <s v="Shanghai"/>
    <x v="14"/>
    <x v="54"/>
    <m/>
    <m/>
    <m/>
    <m/>
    <x v="32"/>
    <s v="CIF"/>
    <m/>
    <m/>
    <m/>
    <m/>
    <m/>
    <n v="1"/>
    <m/>
    <d v="2027-01-12T00:00:00"/>
    <x v="1"/>
    <s v=""/>
    <n v="10"/>
    <d v="2027-01-22T00:00:00"/>
    <x v="3"/>
    <x v="11"/>
    <n v="3"/>
    <s v="AEM"/>
    <m/>
  </r>
  <r>
    <x v="285"/>
    <s v="WUXI"/>
    <s v="26NOV005"/>
    <s v="CORE DG"/>
    <s v="Internal"/>
    <x v="6"/>
    <m/>
    <m/>
    <m/>
    <m/>
    <m/>
    <m/>
    <m/>
    <x v="6"/>
    <s v="Rechargeable Li-ion Battery"/>
    <x v="6"/>
    <m/>
    <x v="97"/>
    <m/>
    <m/>
    <n v="1.9130434782608696"/>
    <s v="CT10&amp;CT11"/>
    <s v="W45 PICK-UP"/>
    <s v=""/>
    <d v="2026-11-04T00:00:00"/>
    <m/>
    <n v="0"/>
    <x v="7"/>
    <m/>
    <s v="SHANGHAI"/>
    <s v="Shanghai"/>
    <x v="14"/>
    <x v="66"/>
    <m/>
    <m/>
    <d v="2026-12-23T00:00:00"/>
    <m/>
    <x v="32"/>
    <s v="CIF"/>
    <s v="BRISBANE MAERSK / 646W"/>
    <s v="OTHER"/>
    <s v="TPVB20261022001"/>
    <n v="280259174"/>
    <n v="280259174"/>
    <n v="44"/>
    <m/>
    <d v="2026-12-23T00:00:00"/>
    <x v="1"/>
    <s v=""/>
    <n v="10"/>
    <d v="2027-01-02T00:00:00"/>
    <x v="3"/>
    <x v="11"/>
    <n v="53"/>
    <s v="AEM"/>
    <m/>
  </r>
  <r>
    <x v="286"/>
    <s v="WUXI"/>
    <s v="Main Line"/>
    <s v="CORE DG"/>
    <s v="Internal"/>
    <x v="6"/>
    <m/>
    <m/>
    <m/>
    <m/>
    <m/>
    <m/>
    <m/>
    <x v="6"/>
    <s v="Rechargeable Li-ion Battery"/>
    <x v="6"/>
    <m/>
    <x v="1"/>
    <m/>
    <m/>
    <n v="8.6956521739130432E-2"/>
    <s v="CT10&amp;CT11"/>
    <s v="W45 PICK-UP"/>
    <s v=""/>
    <d v="2026-11-04T00:00:00"/>
    <m/>
    <n v="0"/>
    <x v="7"/>
    <m/>
    <s v="SHANGHAI"/>
    <s v="Shanghai"/>
    <x v="14"/>
    <x v="66"/>
    <m/>
    <m/>
    <d v="2026-12-23T00:00:00"/>
    <m/>
    <x v="32"/>
    <s v="CIF"/>
    <s v="BRISBANE MAERSK / 646W"/>
    <s v="OTHER"/>
    <s v="TPVB20261022001"/>
    <n v="280259174"/>
    <n v="280259174"/>
    <n v="44"/>
    <m/>
    <d v="2026-12-23T00:00:00"/>
    <x v="1"/>
    <s v=""/>
    <n v="10"/>
    <d v="2027-01-02T00:00:00"/>
    <x v="3"/>
    <x v="11"/>
    <n v="53"/>
    <s v="AEM"/>
    <m/>
  </r>
  <r>
    <x v="287"/>
    <s v="WUXI"/>
    <s v="26NOV005"/>
    <s v="CORE DG"/>
    <s v="Internal"/>
    <x v="1"/>
    <m/>
    <m/>
    <m/>
    <m/>
    <m/>
    <m/>
    <m/>
    <x v="6"/>
    <s v="Rechargeable Li-ion Battery"/>
    <x v="6"/>
    <m/>
    <x v="12"/>
    <m/>
    <m/>
    <n v="1"/>
    <s v="CT12"/>
    <s v="W46 PICK-UP"/>
    <s v=""/>
    <d v="2026-11-09T00:00:00"/>
    <m/>
    <n v="0"/>
    <x v="7"/>
    <m/>
    <s v="SHANGHAI"/>
    <s v="Shanghai"/>
    <x v="2"/>
    <x v="54"/>
    <m/>
    <m/>
    <m/>
    <m/>
    <x v="32"/>
    <s v="CIF"/>
    <m/>
    <s v="OTHER"/>
    <s v="TPVB20261022002"/>
    <m/>
    <m/>
    <n v="1"/>
    <m/>
    <d v="2027-01-08T00:00:00"/>
    <x v="1"/>
    <s v=""/>
    <n v="7"/>
    <d v="2027-01-15T00:00:00"/>
    <x v="3"/>
    <x v="11"/>
    <n v="2"/>
    <s v="AEU"/>
    <m/>
  </r>
  <r>
    <x v="288"/>
    <m/>
    <m/>
    <m/>
    <m/>
    <x v="3"/>
    <m/>
    <m/>
    <m/>
    <m/>
    <m/>
    <m/>
    <m/>
    <x v="58"/>
    <m/>
    <x v="50"/>
    <m/>
    <x v="98"/>
    <m/>
    <m/>
    <m/>
    <m/>
    <m/>
    <s v=""/>
    <m/>
    <m/>
    <n v="0"/>
    <x v="7"/>
    <m/>
    <m/>
    <m/>
    <x v="13"/>
    <x v="54"/>
    <m/>
    <m/>
    <m/>
    <m/>
    <x v="32"/>
    <m/>
    <m/>
    <m/>
    <m/>
    <m/>
    <m/>
    <n v="1"/>
    <m/>
    <d v="1899-12-30T00:00:00"/>
    <x v="1"/>
    <s v=""/>
    <n v="14"/>
    <d v="1900-01-13T00:00:00"/>
    <x v="1"/>
    <x v="11"/>
    <n v="2"/>
    <n v="0"/>
    <m/>
  </r>
  <r>
    <x v="288"/>
    <m/>
    <m/>
    <m/>
    <m/>
    <x v="3"/>
    <m/>
    <m/>
    <m/>
    <m/>
    <m/>
    <m/>
    <m/>
    <x v="58"/>
    <m/>
    <x v="50"/>
    <m/>
    <x v="98"/>
    <m/>
    <m/>
    <m/>
    <m/>
    <m/>
    <s v=""/>
    <m/>
    <m/>
    <n v="0"/>
    <x v="7"/>
    <m/>
    <m/>
    <m/>
    <x v="13"/>
    <x v="54"/>
    <m/>
    <m/>
    <m/>
    <m/>
    <x v="32"/>
    <m/>
    <m/>
    <m/>
    <m/>
    <m/>
    <m/>
    <n v="1"/>
    <m/>
    <d v="1899-12-30T00:00:00"/>
    <x v="1"/>
    <s v=""/>
    <n v="14"/>
    <d v="1900-01-13T00:00:00"/>
    <x v="1"/>
    <x v="11"/>
    <n v="2"/>
    <n v="0"/>
    <m/>
  </r>
  <r>
    <x v="288"/>
    <m/>
    <m/>
    <m/>
    <m/>
    <x v="3"/>
    <m/>
    <m/>
    <m/>
    <m/>
    <m/>
    <m/>
    <m/>
    <x v="58"/>
    <m/>
    <x v="50"/>
    <m/>
    <x v="98"/>
    <m/>
    <m/>
    <m/>
    <m/>
    <m/>
    <s v=""/>
    <m/>
    <m/>
    <n v="0"/>
    <x v="7"/>
    <m/>
    <m/>
    <m/>
    <x v="13"/>
    <x v="54"/>
    <m/>
    <m/>
    <m/>
    <m/>
    <x v="32"/>
    <m/>
    <m/>
    <m/>
    <m/>
    <m/>
    <m/>
    <n v="1"/>
    <m/>
    <d v="1899-12-30T00:00:00"/>
    <x v="1"/>
    <s v=""/>
    <n v="14"/>
    <d v="1900-01-13T00:00:00"/>
    <x v="1"/>
    <x v="11"/>
    <n v="2"/>
    <n v="0"/>
    <m/>
  </r>
  <r>
    <x v="288"/>
    <m/>
    <m/>
    <m/>
    <m/>
    <x v="3"/>
    <m/>
    <m/>
    <m/>
    <m/>
    <m/>
    <m/>
    <m/>
    <x v="58"/>
    <m/>
    <x v="50"/>
    <m/>
    <x v="98"/>
    <m/>
    <m/>
    <m/>
    <m/>
    <m/>
    <s v=""/>
    <m/>
    <m/>
    <m/>
    <x v="7"/>
    <m/>
    <m/>
    <m/>
    <x v="13"/>
    <x v="54"/>
    <m/>
    <m/>
    <m/>
    <m/>
    <x v="32"/>
    <m/>
    <m/>
    <m/>
    <m/>
    <m/>
    <m/>
    <n v="1"/>
    <m/>
    <d v="1899-12-30T00:00:00"/>
    <x v="1"/>
    <s v=""/>
    <n v="14"/>
    <d v="1900-01-13T00:00:00"/>
    <x v="1"/>
    <x v="11"/>
    <n v="2"/>
    <n v="0"/>
    <m/>
  </r>
  <r>
    <x v="289"/>
    <m/>
    <m/>
    <m/>
    <s v="n/a"/>
    <x v="0"/>
    <m/>
    <m/>
    <m/>
    <s v="Non-EU"/>
    <m/>
    <m/>
    <m/>
    <x v="59"/>
    <s v="On gird inverter"/>
    <x v="51"/>
    <n v="5000"/>
    <x v="99"/>
    <m/>
    <m/>
    <m/>
    <m/>
    <s v="n/a"/>
    <s v=""/>
    <m/>
    <m/>
    <n v="0"/>
    <x v="7"/>
    <m/>
    <s v="SHANGHAI"/>
    <s v="Shanghai"/>
    <x v="13"/>
    <x v="54"/>
    <m/>
    <m/>
    <m/>
    <m/>
    <x v="32"/>
    <m/>
    <m/>
    <m/>
    <m/>
    <m/>
    <m/>
    <n v="1"/>
    <m/>
    <d v="1899-12-30T00:00:00"/>
    <x v="1"/>
    <s v=""/>
    <n v="14"/>
    <d v="1900-01-13T00:00:00"/>
    <x v="1"/>
    <x v="11"/>
    <n v="2"/>
    <n v="0"/>
    <m/>
  </r>
  <r>
    <x v="289"/>
    <m/>
    <m/>
    <m/>
    <s v="n/a"/>
    <x v="0"/>
    <m/>
    <m/>
    <m/>
    <s v="Non-EU"/>
    <m/>
    <m/>
    <m/>
    <x v="60"/>
    <s v="On gird inverter"/>
    <x v="52"/>
    <n v="12000"/>
    <x v="13"/>
    <m/>
    <m/>
    <m/>
    <m/>
    <s v="n/a"/>
    <s v=""/>
    <m/>
    <m/>
    <n v="0"/>
    <x v="7"/>
    <m/>
    <s v="SHANGHAI"/>
    <s v="Shanghai"/>
    <x v="13"/>
    <x v="54"/>
    <m/>
    <m/>
    <m/>
    <m/>
    <x v="32"/>
    <m/>
    <m/>
    <m/>
    <m/>
    <m/>
    <m/>
    <n v="1"/>
    <m/>
    <d v="1899-12-30T00:00:00"/>
    <x v="1"/>
    <s v=""/>
    <n v="14"/>
    <d v="1900-01-13T00:00:00"/>
    <x v="1"/>
    <x v="11"/>
    <n v="2"/>
    <n v="0"/>
    <m/>
  </r>
  <r>
    <x v="290"/>
    <m/>
    <s v="Main Line"/>
    <m/>
    <s v="n/a"/>
    <x v="0"/>
    <m/>
    <m/>
    <m/>
    <s v="Non-EU"/>
    <m/>
    <m/>
    <m/>
    <x v="61"/>
    <s v="Electrical Box"/>
    <x v="53"/>
    <m/>
    <x v="88"/>
    <m/>
    <m/>
    <m/>
    <m/>
    <s v="n/a"/>
    <s v=""/>
    <m/>
    <m/>
    <n v="0"/>
    <x v="7"/>
    <m/>
    <s v="SHANGHAI"/>
    <s v="Shanghai"/>
    <x v="13"/>
    <x v="54"/>
    <m/>
    <m/>
    <m/>
    <m/>
    <x v="32"/>
    <m/>
    <m/>
    <m/>
    <m/>
    <m/>
    <m/>
    <n v="1"/>
    <m/>
    <d v="1899-12-30T00:00:00"/>
    <x v="1"/>
    <s v=""/>
    <n v="14"/>
    <d v="1900-01-13T00:00:00"/>
    <x v="1"/>
    <x v="11"/>
    <n v="2"/>
    <n v="0"/>
    <m/>
  </r>
  <r>
    <x v="290"/>
    <m/>
    <s v="Main Line"/>
    <m/>
    <s v="n/a"/>
    <x v="0"/>
    <m/>
    <m/>
    <m/>
    <s v="Non-EU"/>
    <m/>
    <m/>
    <m/>
    <x v="62"/>
    <s v="Electrical Box"/>
    <x v="54"/>
    <m/>
    <x v="100"/>
    <m/>
    <m/>
    <m/>
    <m/>
    <s v="n/a"/>
    <s v=""/>
    <m/>
    <m/>
    <n v="0"/>
    <x v="7"/>
    <m/>
    <s v="SHANGHAI"/>
    <s v="Shanghai"/>
    <x v="13"/>
    <x v="54"/>
    <m/>
    <m/>
    <m/>
    <m/>
    <x v="32"/>
    <m/>
    <m/>
    <m/>
    <m/>
    <m/>
    <m/>
    <n v="1"/>
    <m/>
    <d v="1899-12-30T00:00:00"/>
    <x v="1"/>
    <s v=""/>
    <n v="14"/>
    <d v="1900-01-13T00:00:00"/>
    <x v="1"/>
    <x v="11"/>
    <n v="2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1503D-72C4-4091-B0CF-D1406887D1E3}" name="PivotTable1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V32" firstHeaderRow="1" firstDataRow="2" firstDataCol="1" rowPageCount="4" colPageCount="1"/>
  <pivotFields count="60">
    <pivotField showAll="0"/>
    <pivotField showAll="0"/>
    <pivotField showAll="0"/>
    <pivotField showAll="0"/>
    <pivotField axis="axisPage" multipleItemSelectionAllowed="1" showAll="0">
      <items count="6">
        <item x="0"/>
        <item h="1" x="2"/>
        <item h="1" x="1"/>
        <item h="1" m="1" x="4"/>
        <item h="1" m="1" x="3"/>
        <item t="default"/>
      </items>
    </pivotField>
    <pivotField showAll="0"/>
    <pivotField showAll="0"/>
    <pivotField axis="axisPage" showAll="0">
      <items count="57">
        <item m="1" x="40"/>
        <item x="30"/>
        <item m="1" x="49"/>
        <item m="1" x="55"/>
        <item m="1" x="46"/>
        <item x="2"/>
        <item x="11"/>
        <item x="15"/>
        <item x="16"/>
        <item x="23"/>
        <item m="1" x="43"/>
        <item x="27"/>
        <item x="12"/>
        <item m="1" x="50"/>
        <item x="8"/>
        <item m="1" x="47"/>
        <item x="9"/>
        <item m="1" x="48"/>
        <item x="22"/>
        <item x="13"/>
        <item x="7"/>
        <item m="1" x="54"/>
        <item m="1" x="52"/>
        <item x="14"/>
        <item x="24"/>
        <item m="1" x="45"/>
        <item x="10"/>
        <item m="1" x="44"/>
        <item x="29"/>
        <item x="17"/>
        <item m="1" x="42"/>
        <item x="5"/>
        <item m="1" x="41"/>
        <item x="25"/>
        <item m="1" x="53"/>
        <item x="6"/>
        <item m="1" x="51"/>
        <item x="0"/>
        <item x="1"/>
        <item x="4"/>
        <item m="1" x="39"/>
        <item x="3"/>
        <item x="21"/>
        <item x="20"/>
        <item x="19"/>
        <item x="18"/>
        <item x="26"/>
        <item m="1" x="38"/>
        <item x="28"/>
        <item x="31"/>
        <item x="32"/>
        <item x="33"/>
        <item x="34"/>
        <item x="35"/>
        <item x="36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14">
        <item x="3"/>
        <item x="0"/>
        <item x="8"/>
        <item x="4"/>
        <item x="2"/>
        <item x="5"/>
        <item x="6"/>
        <item x="1"/>
        <item x="7"/>
        <item x="9"/>
        <item x="10"/>
        <item x="11"/>
        <item m="1" x="12"/>
        <item t="default"/>
      </items>
    </pivotField>
    <pivotField showAll="0"/>
    <pivotField showAll="0"/>
    <pivotField showAll="0"/>
    <pivotField showAll="0"/>
    <pivotField showAll="0"/>
    <pivotField showAll="0"/>
    <pivotField numFmtId="188" showAll="0"/>
    <pivotField showAll="0"/>
    <pivotField dataField="1" showAll="0"/>
    <pivotField axis="axisCol" showAll="0">
      <items count="63">
        <item h="1" x="0"/>
        <item x="23"/>
        <item m="1" x="60"/>
        <item h="1" x="1"/>
        <item h="1" m="1" x="56"/>
        <item h="1" m="1" x="49"/>
        <item x="33"/>
        <item x="38"/>
        <item x="37"/>
        <item x="44"/>
        <item m="1" x="61"/>
        <item x="39"/>
        <item x="40"/>
        <item x="42"/>
        <item x="43"/>
        <item x="34"/>
        <item m="1" x="59"/>
        <item m="1" x="57"/>
        <item m="1" x="55"/>
        <item m="1" x="54"/>
        <item m="1" x="58"/>
        <item x="35"/>
        <item m="1" x="51"/>
        <item m="1" x="53"/>
        <item m="1" x="52"/>
        <item m="1" x="50"/>
        <item x="2"/>
        <item h="1" x="3"/>
        <item h="1" x="4"/>
        <item h="1" x="5"/>
        <item h="1" x="6"/>
        <item x="7"/>
        <item x="9"/>
        <item x="8"/>
        <item x="10"/>
        <item x="11"/>
        <item x="12"/>
        <item x="14"/>
        <item x="16"/>
        <item m="1" x="45"/>
        <item x="15"/>
        <item h="1" m="1" x="48"/>
        <item h="1" x="13"/>
        <item h="1" x="17"/>
        <item h="1" x="18"/>
        <item h="1" x="19"/>
        <item h="1" x="20"/>
        <item h="1" x="22"/>
        <item h="1" x="21"/>
        <item h="1" m="1" x="46"/>
        <item h="1" m="1" x="47"/>
        <item h="1" x="24"/>
        <item h="1" x="25"/>
        <item h="1" x="27"/>
        <item h="1" x="26"/>
        <item h="1" x="28"/>
        <item h="1" x="30"/>
        <item h="1" x="36"/>
        <item h="1" x="32"/>
        <item h="1" x="29"/>
        <item h="1" x="31"/>
        <item h="1" x="4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m="1" x="6"/>
        <item x="3"/>
        <item m="1" x="5"/>
        <item x="1"/>
        <item x="2"/>
        <item x="0"/>
        <item m="1" x="4"/>
        <item t="default"/>
      </items>
    </pivotField>
    <pivotField axis="axisRow" showAll="0">
      <items count="40">
        <item x="7"/>
        <item x="12"/>
        <item m="1" x="34"/>
        <item x="8"/>
        <item x="18"/>
        <item x="13"/>
        <item x="19"/>
        <item x="6"/>
        <item x="0"/>
        <item m="1" x="29"/>
        <item m="1" x="32"/>
        <item x="9"/>
        <item x="4"/>
        <item m="1" x="33"/>
        <item x="16"/>
        <item m="1" x="35"/>
        <item x="11"/>
        <item x="3"/>
        <item m="1" x="31"/>
        <item x="17"/>
        <item x="5"/>
        <item x="10"/>
        <item x="23"/>
        <item m="1" x="30"/>
        <item x="14"/>
        <item m="1" x="36"/>
        <item m="1" x="37"/>
        <item x="1"/>
        <item x="15"/>
        <item x="2"/>
        <item m="1" x="38"/>
        <item x="26"/>
        <item m="1" x="28"/>
        <item x="20"/>
        <item x="21"/>
        <item x="22"/>
        <item m="1" x="27"/>
        <item x="25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830">
        <item x="36"/>
        <item x="71"/>
        <item x="188"/>
        <item x="228"/>
        <item x="416"/>
        <item x="417"/>
        <item x="454"/>
        <item x="163"/>
        <item x="216"/>
        <item x="6"/>
        <item x="144"/>
        <item x="219"/>
        <item x="181"/>
        <item x="233"/>
        <item x="165"/>
        <item x="166"/>
        <item x="167"/>
        <item x="168"/>
        <item x="14"/>
        <item x="32"/>
        <item x="63"/>
        <item x="53"/>
        <item x="77"/>
        <item x="41"/>
        <item x="92"/>
        <item x="101"/>
        <item x="169"/>
        <item x="293"/>
        <item x="0"/>
        <item x="1"/>
        <item x="2"/>
        <item x="4"/>
        <item x="7"/>
        <item x="3"/>
        <item x="9"/>
        <item x="8"/>
        <item x="12"/>
        <item x="10"/>
        <item x="19"/>
        <item x="20"/>
        <item x="13"/>
        <item x="15"/>
        <item x="16"/>
        <item x="18"/>
        <item x="17"/>
        <item x="24"/>
        <item x="25"/>
        <item x="31"/>
        <item x="23"/>
        <item x="27"/>
        <item x="26"/>
        <item x="29"/>
        <item x="22"/>
        <item x="21"/>
        <item x="34"/>
        <item x="35"/>
        <item x="33"/>
        <item x="39"/>
        <item x="43"/>
        <item x="51"/>
        <item x="37"/>
        <item x="46"/>
        <item x="38"/>
        <item x="44"/>
        <item x="42"/>
        <item x="48"/>
        <item x="57"/>
        <item x="56"/>
        <item x="50"/>
        <item x="45"/>
        <item x="49"/>
        <item x="47"/>
        <item x="114"/>
        <item x="115"/>
        <item x="116"/>
        <item x="55"/>
        <item x="68"/>
        <item x="67"/>
        <item x="64"/>
        <item x="65"/>
        <item x="66"/>
        <item x="73"/>
        <item x="81"/>
        <item x="82"/>
        <item x="79"/>
        <item x="80"/>
        <item x="118"/>
        <item x="83"/>
        <item x="84"/>
        <item x="85"/>
        <item x="88"/>
        <item x="87"/>
        <item x="117"/>
        <item x="78"/>
        <item x="121"/>
        <item x="93"/>
        <item x="124"/>
        <item x="123"/>
        <item x="95"/>
        <item x="89"/>
        <item x="119"/>
        <item x="90"/>
        <item x="86"/>
        <item x="91"/>
        <item x="97"/>
        <item x="120"/>
        <item x="96"/>
        <item x="128"/>
        <item x="127"/>
        <item x="130"/>
        <item x="129"/>
        <item x="94"/>
        <item x="131"/>
        <item x="122"/>
        <item x="99"/>
        <item x="98"/>
        <item x="139"/>
        <item x="140"/>
        <item x="141"/>
        <item x="150"/>
        <item x="102"/>
        <item x="151"/>
        <item x="143"/>
        <item x="156"/>
        <item x="142"/>
        <item x="149"/>
        <item x="152"/>
        <item x="103"/>
        <item x="104"/>
        <item x="105"/>
        <item x="172"/>
        <item x="179"/>
        <item x="155"/>
        <item x="154"/>
        <item x="184"/>
        <item x="170"/>
        <item x="171"/>
        <item x="174"/>
        <item x="106"/>
        <item x="185"/>
        <item x="175"/>
        <item x="176"/>
        <item x="177"/>
        <item x="199"/>
        <item x="197"/>
        <item x="203"/>
        <item x="196"/>
        <item x="178"/>
        <item x="173"/>
        <item x="204"/>
        <item x="211"/>
        <item x="109"/>
        <item x="205"/>
        <item x="206"/>
        <item x="198"/>
        <item x="108"/>
        <item x="220"/>
        <item x="212"/>
        <item x="209"/>
        <item x="226"/>
        <item x="225"/>
        <item x="229"/>
        <item x="231"/>
        <item x="230"/>
        <item x="232"/>
        <item x="210"/>
        <item x="223"/>
        <item x="208"/>
        <item x="224"/>
        <item x="207"/>
        <item x="247"/>
        <item x="235"/>
        <item x="239"/>
        <item x="238"/>
        <item x="237"/>
        <item x="236"/>
        <item x="240"/>
        <item x="242"/>
        <item x="241"/>
        <item x="243"/>
        <item x="244"/>
        <item x="261"/>
        <item x="255"/>
        <item x="253"/>
        <item x="254"/>
        <item x="256"/>
        <item x="252"/>
        <item x="258"/>
        <item x="259"/>
        <item x="257"/>
        <item x="271"/>
        <item x="273"/>
        <item x="268"/>
        <item x="264"/>
        <item x="269"/>
        <item x="267"/>
        <item x="277"/>
        <item x="278"/>
        <item x="274"/>
        <item x="280"/>
        <item x="279"/>
        <item x="276"/>
        <item x="298"/>
        <item x="297"/>
        <item x="300"/>
        <item x="275"/>
        <item x="299"/>
        <item x="310"/>
        <item x="312"/>
        <item x="314"/>
        <item x="313"/>
        <item x="324"/>
        <item x="325"/>
        <item x="329"/>
        <item x="330"/>
        <item x="327"/>
        <item x="328"/>
        <item x="332"/>
        <item x="331"/>
        <item x="333"/>
        <item x="334"/>
        <item x="322"/>
        <item x="323"/>
        <item x="338"/>
        <item x="326"/>
        <item x="352"/>
        <item x="351"/>
        <item x="341"/>
        <item x="342"/>
        <item x="344"/>
        <item x="343"/>
        <item x="340"/>
        <item x="347"/>
        <item x="348"/>
        <item x="349"/>
        <item x="350"/>
        <item x="346"/>
        <item x="345"/>
        <item x="361"/>
        <item x="359"/>
        <item x="360"/>
        <item x="362"/>
        <item x="366"/>
        <item x="357"/>
        <item x="353"/>
        <item x="363"/>
        <item x="364"/>
        <item x="365"/>
        <item x="371"/>
        <item x="374"/>
        <item x="379"/>
        <item x="383"/>
        <item x="378"/>
        <item x="382"/>
        <item x="376"/>
        <item x="380"/>
        <item x="381"/>
        <item x="377"/>
        <item x="399"/>
        <item x="400"/>
        <item x="398"/>
        <item x="375"/>
        <item x="403"/>
        <item x="406"/>
        <item x="407"/>
        <item x="405"/>
        <item x="410"/>
        <item x="438"/>
        <item x="397"/>
        <item x="422"/>
        <item x="421"/>
        <item x="396"/>
        <item x="401"/>
        <item x="411"/>
        <item x="413"/>
        <item x="420"/>
        <item x="428"/>
        <item x="423"/>
        <item x="447"/>
        <item x="412"/>
        <item x="424"/>
        <item x="425"/>
        <item x="427"/>
        <item x="448"/>
        <item x="419"/>
        <item x="433"/>
        <item x="441"/>
        <item x="443"/>
        <item x="440"/>
        <item x="445"/>
        <item x="446"/>
        <item x="444"/>
        <item x="437"/>
        <item x="453"/>
        <item x="439"/>
        <item x="442"/>
        <item x="426"/>
        <item x="456"/>
        <item x="458"/>
        <item x="457"/>
        <item x="449"/>
        <item x="450"/>
        <item x="462"/>
        <item x="460"/>
        <item x="459"/>
        <item x="463"/>
        <item x="455"/>
        <item x="5"/>
        <item x="11"/>
        <item x="75"/>
        <item x="76"/>
        <item x="125"/>
        <item x="135"/>
        <item x="136"/>
        <item x="134"/>
        <item x="132"/>
        <item x="133"/>
        <item x="153"/>
        <item x="100"/>
        <item x="158"/>
        <item x="159"/>
        <item x="160"/>
        <item x="164"/>
        <item x="162"/>
        <item x="161"/>
        <item x="145"/>
        <item x="148"/>
        <item x="146"/>
        <item x="147"/>
        <item x="107"/>
        <item x="194"/>
        <item x="192"/>
        <item x="222"/>
        <item x="221"/>
        <item x="227"/>
        <item x="234"/>
        <item x="245"/>
        <item x="246"/>
        <item x="260"/>
        <item x="272"/>
        <item x="281"/>
        <item x="287"/>
        <item x="303"/>
        <item x="305"/>
        <item x="301"/>
        <item x="302"/>
        <item x="315"/>
        <item x="316"/>
        <item x="317"/>
        <item x="318"/>
        <item x="319"/>
        <item x="335"/>
        <item x="336"/>
        <item x="337"/>
        <item x="356"/>
        <item x="355"/>
        <item x="358"/>
        <item x="369"/>
        <item x="368"/>
        <item x="370"/>
        <item x="392"/>
        <item x="389"/>
        <item x="395"/>
        <item x="394"/>
        <item x="393"/>
        <item x="390"/>
        <item x="415"/>
        <item x="408"/>
        <item x="409"/>
        <item x="414"/>
        <item x="430"/>
        <item x="431"/>
        <item x="432"/>
        <item x="434"/>
        <item x="429"/>
        <item x="451"/>
        <item x="452"/>
        <item x="70"/>
        <item x="69"/>
        <item x="110"/>
        <item x="309"/>
        <item x="217"/>
        <item x="373"/>
        <item x="113"/>
        <item x="52"/>
        <item x="157"/>
        <item x="213"/>
        <item x="218"/>
        <item x="111"/>
        <item x="112"/>
        <item x="294"/>
        <item x="295"/>
        <item x="59"/>
        <item x="60"/>
        <item x="58"/>
        <item x="61"/>
        <item x="62"/>
        <item x="195"/>
        <item x="215"/>
        <item x="214"/>
        <item x="186"/>
        <item x="180"/>
        <item x="187"/>
        <item x="189"/>
        <item x="191"/>
        <item x="190"/>
        <item x="182"/>
        <item x="183"/>
        <item x="201"/>
        <item x="202"/>
        <item x="200"/>
        <item x="249"/>
        <item x="248"/>
        <item x="250"/>
        <item x="251"/>
        <item x="283"/>
        <item x="266"/>
        <item x="265"/>
        <item x="270"/>
        <item x="263"/>
        <item x="285"/>
        <item x="291"/>
        <item x="307"/>
        <item x="306"/>
        <item x="292"/>
        <item x="308"/>
        <item x="320"/>
        <item x="321"/>
        <item x="354"/>
        <item x="311"/>
        <item x="339"/>
        <item x="388"/>
        <item x="385"/>
        <item x="384"/>
        <item x="72"/>
        <item x="30"/>
        <item x="28"/>
        <item x="40"/>
        <item x="74"/>
        <item x="54"/>
        <item x="126"/>
        <item x="138"/>
        <item x="137"/>
        <item x="193"/>
        <item x="262"/>
        <item x="372"/>
        <item x="386"/>
        <item x="387"/>
        <item x="367"/>
        <item x="391"/>
        <item x="286"/>
        <item x="282"/>
        <item x="290"/>
        <item x="288"/>
        <item x="284"/>
        <item x="296"/>
        <item x="289"/>
        <item x="464"/>
        <item x="304"/>
        <item x="402"/>
        <item x="404"/>
        <item x="418"/>
        <item x="435"/>
        <item x="436"/>
        <item x="461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2"/>
        <item x="533"/>
        <item x="534"/>
        <item x="535"/>
        <item x="536"/>
        <item x="537"/>
        <item x="538"/>
        <item x="539"/>
        <item x="541"/>
        <item x="542"/>
        <item x="543"/>
        <item x="544"/>
        <item x="545"/>
        <item x="546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9"/>
        <item x="570"/>
        <item x="571"/>
        <item x="572"/>
        <item x="574"/>
        <item x="575"/>
        <item x="577"/>
        <item x="578"/>
        <item x="579"/>
        <item x="580"/>
        <item x="581"/>
        <item x="582"/>
        <item x="583"/>
        <item x="588"/>
        <item x="584"/>
        <item x="585"/>
        <item x="586"/>
        <item x="587"/>
        <item x="589"/>
        <item x="622"/>
        <item x="625"/>
        <item x="626"/>
        <item x="590"/>
        <item x="591"/>
        <item x="592"/>
        <item x="593"/>
        <item x="824"/>
        <item x="825"/>
        <item x="614"/>
        <item x="615"/>
        <item x="613"/>
        <item x="594"/>
        <item x="630"/>
        <item x="618"/>
        <item x="604"/>
        <item x="619"/>
        <item x="620"/>
        <item x="531"/>
        <item x="568"/>
        <item x="595"/>
        <item x="597"/>
        <item x="598"/>
        <item x="601"/>
        <item x="603"/>
        <item x="606"/>
        <item x="607"/>
        <item x="623"/>
        <item x="624"/>
        <item x="548"/>
        <item x="549"/>
        <item x="567"/>
        <item x="573"/>
        <item x="596"/>
        <item x="599"/>
        <item x="602"/>
        <item x="605"/>
        <item x="610"/>
        <item x="631"/>
        <item x="632"/>
        <item x="633"/>
        <item x="634"/>
        <item x="635"/>
        <item x="636"/>
        <item x="637"/>
        <item x="638"/>
        <item x="644"/>
        <item x="645"/>
        <item x="646"/>
        <item x="647"/>
        <item x="608"/>
        <item x="609"/>
        <item x="648"/>
        <item x="649"/>
        <item x="661"/>
        <item x="650"/>
        <item x="651"/>
        <item x="826"/>
        <item x="616"/>
        <item x="659"/>
        <item x="660"/>
        <item x="628"/>
        <item x="655"/>
        <item x="678"/>
        <item x="652"/>
        <item x="611"/>
        <item x="612"/>
        <item x="656"/>
        <item x="657"/>
        <item x="658"/>
        <item x="627"/>
        <item x="621"/>
        <item x="617"/>
        <item x="653"/>
        <item x="654"/>
        <item x="681"/>
        <item x="682"/>
        <item x="540"/>
        <item x="662"/>
        <item x="663"/>
        <item x="664"/>
        <item x="665"/>
        <item x="666"/>
        <item x="679"/>
        <item x="680"/>
        <item x="576"/>
        <item x="629"/>
        <item x="668"/>
        <item x="669"/>
        <item x="675"/>
        <item x="696"/>
        <item x="697"/>
        <item x="676"/>
        <item x="766"/>
        <item x="683"/>
        <item x="677"/>
        <item x="547"/>
        <item x="600"/>
        <item x="639"/>
        <item x="640"/>
        <item x="643"/>
        <item x="667"/>
        <item x="684"/>
        <item x="687"/>
        <item x="688"/>
        <item x="689"/>
        <item x="690"/>
        <item x="691"/>
        <item x="670"/>
        <item x="671"/>
        <item x="692"/>
        <item x="700"/>
        <item x="701"/>
        <item x="704"/>
        <item x="705"/>
        <item x="706"/>
        <item x="707"/>
        <item x="708"/>
        <item x="709"/>
        <item x="702"/>
        <item x="703"/>
        <item x="713"/>
        <item x="672"/>
        <item x="673"/>
        <item x="674"/>
        <item x="693"/>
        <item x="694"/>
        <item x="695"/>
        <item x="714"/>
        <item x="698"/>
        <item x="699"/>
        <item x="715"/>
        <item x="719"/>
        <item x="720"/>
        <item x="721"/>
        <item x="723"/>
        <item x="722"/>
        <item x="749"/>
        <item x="750"/>
        <item x="742"/>
        <item x="734"/>
        <item x="736"/>
        <item x="711"/>
        <item x="743"/>
        <item x="712"/>
        <item x="745"/>
        <item x="710"/>
        <item x="735"/>
        <item x="641"/>
        <item x="642"/>
        <item x="746"/>
        <item x="730"/>
        <item x="748"/>
        <item x="733"/>
        <item x="686"/>
        <item x="737"/>
        <item x="725"/>
        <item x="727"/>
        <item x="729"/>
        <item x="726"/>
        <item x="728"/>
        <item x="751"/>
        <item x="732"/>
        <item x="717"/>
        <item x="718"/>
        <item x="724"/>
        <item x="739"/>
        <item x="740"/>
        <item x="763"/>
        <item x="716"/>
        <item x="744"/>
        <item x="731"/>
        <item x="747"/>
        <item x="764"/>
        <item x="755"/>
        <item x="756"/>
        <item x="757"/>
        <item x="685"/>
        <item x="738"/>
        <item x="741"/>
        <item x="752"/>
        <item x="753"/>
        <item x="754"/>
        <item x="758"/>
        <item x="762"/>
        <item x="765"/>
        <item x="768"/>
        <item x="769"/>
        <item x="770"/>
        <item x="771"/>
        <item x="773"/>
        <item x="775"/>
        <item x="759"/>
        <item x="760"/>
        <item x="761"/>
        <item x="767"/>
        <item x="772"/>
        <item x="774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7"/>
        <item x="828"/>
        <item t="default"/>
      </items>
    </pivotField>
    <pivotField showAll="0"/>
    <pivotField showAll="0"/>
    <pivotField showAll="0"/>
    <pivotField showAll="0"/>
    <pivotField showAll="0"/>
    <pivotField showAll="0"/>
    <pivotField numFmtId="176" showAll="0"/>
    <pivotField showAll="0"/>
    <pivotField showAll="0"/>
    <pivotField showAll="0"/>
    <pivotField numFmtId="176" showAll="0"/>
    <pivotField showAll="0"/>
    <pivotField showAll="0"/>
    <pivotField showAll="0"/>
    <pivotField showAll="0"/>
  </pivotFields>
  <rowFields count="2">
    <field x="33"/>
    <field x="32"/>
  </rowFields>
  <rowItems count="24">
    <i>
      <x v="7"/>
    </i>
    <i r="1">
      <x v="1"/>
    </i>
    <i r="1">
      <x v="3"/>
    </i>
    <i r="1">
      <x v="5"/>
    </i>
    <i>
      <x v="8"/>
    </i>
    <i r="1">
      <x v="1"/>
    </i>
    <i r="1">
      <x v="3"/>
    </i>
    <i r="1">
      <x v="5"/>
    </i>
    <i>
      <x v="12"/>
    </i>
    <i r="1">
      <x v="3"/>
    </i>
    <i>
      <x v="20"/>
    </i>
    <i r="1">
      <x v="5"/>
    </i>
    <i>
      <x v="24"/>
    </i>
    <i r="1">
      <x v="1"/>
    </i>
    <i r="1">
      <x v="3"/>
    </i>
    <i r="1">
      <x v="5"/>
    </i>
    <i>
      <x v="27"/>
    </i>
    <i r="1">
      <x v="1"/>
    </i>
    <i r="1">
      <x v="3"/>
    </i>
    <i r="1">
      <x v="5"/>
    </i>
    <i>
      <x v="29"/>
    </i>
    <i r="1">
      <x v="1"/>
    </i>
    <i r="1">
      <x v="3"/>
    </i>
    <i t="grand">
      <x/>
    </i>
  </rowItems>
  <colFields count="1">
    <field x="24"/>
  </colFields>
  <colItems count="21">
    <i>
      <x v="1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21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0"/>
    </i>
    <i t="grand">
      <x/>
    </i>
  </colItems>
  <pageFields count="4">
    <pageField fld="4" hier="-1"/>
    <pageField fld="14" hier="-1"/>
    <pageField fld="7" hier="-1"/>
    <pageField fld="44" hier="-1"/>
  </pageFields>
  <dataFields count="1">
    <dataField name="Sum of CONTAINERS" fld="23" baseField="0" baseItem="0" numFmtId="179"/>
  </dataFields>
  <formats count="1">
    <format dxfId="20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D9969-6DC1-411D-9EC2-0FAAC71281E1}" name="数据透视表 3" cacheId="8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82:M98" firstHeaderRow="1" firstDataRow="2" firstDataCol="2" rowPageCount="3" colPageCount="1"/>
  <pivotFields count="59">
    <pivotField axis="axisPage" compact="0" outline="0" multipleItemSelectionAllowed="1" showAll="0" defaultSubtotal="0">
      <items count="292">
        <item x="289"/>
        <item m="1" x="291"/>
        <item x="290"/>
        <item x="26"/>
        <item x="25"/>
        <item x="12"/>
        <item x="13"/>
        <item h="1" x="27"/>
        <item x="14"/>
        <item h="1" x="15"/>
        <item x="16"/>
        <item x="19"/>
        <item h="1" x="17"/>
        <item x="18"/>
        <item x="20"/>
        <item h="1" x="21"/>
        <item x="22"/>
        <item x="29"/>
        <item x="58"/>
        <item x="23"/>
        <item x="30"/>
        <item x="62"/>
        <item x="24"/>
        <item x="28"/>
        <item x="0"/>
        <item x="1"/>
        <item x="2"/>
        <item x="3"/>
        <item x="4"/>
        <item x="5"/>
        <item x="6"/>
        <item x="7"/>
        <item h="1" x="8"/>
        <item h="1" x="9"/>
        <item h="1" x="10"/>
        <item h="1" x="11"/>
        <item x="64"/>
        <item x="57"/>
        <item h="1" x="65"/>
        <item x="59"/>
        <item h="1" x="60"/>
        <item x="61"/>
        <item x="66"/>
        <item h="1" x="67"/>
        <item x="68"/>
        <item x="69"/>
        <item h="1" x="70"/>
        <item x="63"/>
        <item x="49"/>
        <item x="71"/>
        <item x="82"/>
        <item x="87"/>
        <item h="1" x="72"/>
        <item x="73"/>
        <item h="1" x="74"/>
        <item x="75"/>
        <item x="83"/>
        <item h="1" x="76"/>
        <item x="77"/>
        <item x="78"/>
        <item x="79"/>
        <item x="80"/>
        <item h="1" x="81"/>
        <item x="84"/>
        <item x="50"/>
        <item x="92"/>
        <item h="1" x="93"/>
        <item x="88"/>
        <item x="94"/>
        <item h="1" x="95"/>
        <item x="89"/>
        <item h="1" x="90"/>
        <item x="91"/>
        <item x="96"/>
        <item h="1" x="97"/>
        <item x="51"/>
        <item x="147"/>
        <item h="1" x="148"/>
        <item x="144"/>
        <item x="155"/>
        <item x="158"/>
        <item x="160"/>
        <item x="163"/>
        <item x="165"/>
        <item h="1" x="149"/>
        <item x="150"/>
        <item x="145"/>
        <item h="1" x="151"/>
        <item x="152"/>
        <item x="146"/>
        <item x="156"/>
        <item x="159"/>
        <item x="161"/>
        <item x="164"/>
        <item x="166"/>
        <item h="1" x="153"/>
        <item x="141"/>
        <item x="143"/>
        <item x="162"/>
        <item x="167"/>
        <item x="168"/>
        <item x="169"/>
        <item h="1" x="142"/>
        <item x="154"/>
        <item x="157"/>
        <item x="170"/>
        <item x="171"/>
        <item x="174"/>
        <item x="172"/>
        <item x="175"/>
        <item x="173"/>
        <item x="48"/>
        <item x="52"/>
        <item h="1" x="53"/>
        <item x="54"/>
        <item h="1" x="55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123"/>
        <item h="1" x="124"/>
        <item x="125"/>
        <item x="131"/>
        <item x="134"/>
        <item h="1" x="126"/>
        <item x="127"/>
        <item h="1" x="128"/>
        <item x="129"/>
        <item x="132"/>
        <item h="1" x="130"/>
        <item x="135"/>
        <item x="137"/>
        <item x="138"/>
        <item x="139"/>
        <item x="140"/>
        <item h="1" x="136"/>
        <item x="133"/>
        <item h="1" x="118"/>
        <item x="115"/>
        <item h="1" x="116"/>
        <item x="104"/>
        <item h="1" x="105"/>
        <item x="119"/>
        <item x="111"/>
        <item x="98"/>
        <item h="1" x="112"/>
        <item x="113"/>
        <item x="106"/>
        <item x="99"/>
        <item h="1" x="107"/>
        <item x="117"/>
        <item x="108"/>
        <item x="100"/>
        <item h="1" x="109"/>
        <item x="120"/>
        <item x="102"/>
        <item x="101"/>
        <item x="114"/>
        <item h="1" x="103"/>
        <item x="110"/>
        <item x="121"/>
        <item x="122"/>
        <item x="85"/>
        <item x="56"/>
        <item x="86"/>
        <item x="238"/>
        <item h="1" x="239"/>
        <item x="240"/>
        <item x="247"/>
        <item x="249"/>
        <item h="1" x="241"/>
        <item x="242"/>
        <item h="1" x="243"/>
        <item x="244"/>
        <item x="248"/>
        <item x="250"/>
        <item h="1" x="245"/>
        <item x="251"/>
        <item x="253"/>
        <item h="1" x="252"/>
        <item x="246"/>
        <item x="190"/>
        <item x="182"/>
        <item h="1" x="191"/>
        <item x="186"/>
        <item x="180"/>
        <item x="192"/>
        <item x="197"/>
        <item x="176"/>
        <item x="183"/>
        <item h="1" x="193"/>
        <item x="187"/>
        <item x="177"/>
        <item h="1" x="188"/>
        <item x="189"/>
        <item x="181"/>
        <item x="194"/>
        <item x="198"/>
        <item x="178"/>
        <item x="184"/>
        <item h="1" x="195"/>
        <item x="199"/>
        <item x="205"/>
        <item h="1" x="200"/>
        <item x="201"/>
        <item h="1" x="202"/>
        <item x="203"/>
        <item x="206"/>
        <item h="1" x="204"/>
        <item x="207"/>
        <item x="209"/>
        <item x="210"/>
        <item x="211"/>
        <item x="212"/>
        <item x="179"/>
        <item x="185"/>
        <item h="1" x="208"/>
        <item x="196"/>
        <item x="213"/>
        <item x="214"/>
        <item x="215"/>
        <item x="216"/>
        <item x="217"/>
        <item x="218"/>
        <item x="288"/>
        <item h="1" x="219"/>
        <item h="1" x="220"/>
        <item h="1" x="221"/>
        <item h="1" x="222"/>
        <item h="1" x="262"/>
        <item h="1" x="263"/>
        <item h="1" x="264"/>
        <item h="1" x="265"/>
        <item h="1" x="266"/>
        <item h="1" x="267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68"/>
        <item h="1" x="269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6"/>
        <item h="1" x="237"/>
        <item h="1" x="254"/>
        <item h="1" x="232"/>
        <item h="1" x="233"/>
        <item h="1" x="234"/>
        <item h="1" x="235"/>
        <item h="1" x="255"/>
        <item h="1" x="256"/>
        <item h="1" x="257"/>
        <item h="1" x="258"/>
        <item h="1" x="259"/>
        <item h="1" x="260"/>
        <item h="1" x="26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5">
        <item m="1" x="74"/>
        <item m="1" x="71"/>
        <item m="1" x="73"/>
        <item m="1" x="69"/>
        <item x="60"/>
        <item x="59"/>
        <item x="9"/>
        <item m="1" x="68"/>
        <item x="10"/>
        <item x="61"/>
        <item x="62"/>
        <item x="7"/>
        <item m="1" x="67"/>
        <item m="1" x="72"/>
        <item x="8"/>
        <item x="6"/>
        <item x="32"/>
        <item x="5"/>
        <item x="33"/>
        <item x="31"/>
        <item x="2"/>
        <item x="3"/>
        <item x="4"/>
        <item x="1"/>
        <item x="0"/>
        <item m="1" x="70"/>
        <item x="27"/>
        <item x="28"/>
        <item x="20"/>
        <item x="21"/>
        <item x="25"/>
        <item x="15"/>
        <item x="14"/>
        <item x="16"/>
        <item x="17"/>
        <item x="24"/>
        <item x="23"/>
        <item x="13"/>
        <item x="19"/>
        <item x="18"/>
        <item x="11"/>
        <item x="12"/>
        <item x="22"/>
        <item x="26"/>
        <item x="29"/>
        <item m="1" x="66"/>
        <item x="35"/>
        <item x="37"/>
        <item x="36"/>
        <item x="34"/>
        <item x="30"/>
        <item x="58"/>
        <item x="44"/>
        <item x="45"/>
        <item x="46"/>
        <item x="47"/>
        <item m="1" x="64"/>
        <item m="1" x="65"/>
        <item m="1" x="63"/>
        <item x="43"/>
        <item x="52"/>
        <item x="38"/>
        <item x="39"/>
        <item x="40"/>
        <item x="41"/>
        <item x="42"/>
        <item x="49"/>
        <item x="50"/>
        <item x="51"/>
        <item x="48"/>
        <item x="53"/>
        <item x="54"/>
        <item x="55"/>
        <item x="56"/>
        <item x="57"/>
      </items>
    </pivotField>
    <pivotField compact="0" outline="0" showAll="0" defaultSubtotal="0"/>
    <pivotField axis="axisRow" compact="0" outline="0" showAll="0" defaultSubtotal="0">
      <items count="59">
        <item h="1" x="30"/>
        <item h="1" m="1" x="55"/>
        <item h="1" x="31"/>
        <item h="1" m="1" x="56"/>
        <item h="1" m="1" x="57"/>
        <item h="1" m="1" x="58"/>
        <item h="1" x="32"/>
        <item h="1" x="33"/>
        <item h="1" x="23"/>
        <item x="4"/>
        <item h="1" x="26"/>
        <item x="7"/>
        <item x="2"/>
        <item x="3"/>
        <item h="1" x="13"/>
        <item h="1" x="22"/>
        <item h="1" x="14"/>
        <item h="1" x="20"/>
        <item h="1" x="17"/>
        <item h="1" x="18"/>
        <item h="1" x="21"/>
        <item h="1" x="19"/>
        <item x="0"/>
        <item x="5"/>
        <item x="6"/>
        <item x="28"/>
        <item x="29"/>
        <item x="27"/>
        <item h="1" x="10"/>
        <item h="1" x="11"/>
        <item h="1" x="16"/>
        <item h="1" x="15"/>
        <item h="1" x="8"/>
        <item h="1" x="9"/>
        <item h="1" x="12"/>
        <item x="1"/>
        <item h="1" x="53"/>
        <item h="1" x="54"/>
        <item h="1" x="51"/>
        <item h="1" x="52"/>
        <item h="1" x="25"/>
        <item h="1" x="24"/>
        <item h="1" x="50"/>
        <item h="1" x="40"/>
        <item h="1" x="41"/>
        <item h="1" x="42"/>
        <item h="1" x="43"/>
        <item h="1" x="34"/>
        <item h="1" x="35"/>
        <item h="1" x="36"/>
        <item h="1" x="37"/>
        <item h="1" x="38"/>
        <item h="1" x="39"/>
        <item h="1" x="47"/>
        <item h="1" x="44"/>
        <item h="1" x="45"/>
        <item h="1" x="46"/>
        <item h="1" x="48"/>
        <item h="1" x="49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19">
        <item h="1" x="6"/>
        <item h="1" x="9"/>
        <item x="0"/>
        <item x="5"/>
        <item x="8"/>
        <item h="1" x="4"/>
        <item x="1"/>
        <item x="2"/>
        <item x="7"/>
        <item x="3"/>
        <item h="1" x="13"/>
        <item h="1" x="11"/>
        <item h="1" m="1" x="18"/>
        <item h="1" m="1" x="17"/>
        <item h="1" x="14"/>
        <item h="1" x="12"/>
        <item h="1" m="1" x="16"/>
        <item h="1" x="10"/>
        <item h="1" x="15"/>
      </items>
    </pivotField>
    <pivotField compact="0" outline="0" showAll="0" defaultSubtotal="0">
      <items count="67">
        <item x="0"/>
        <item x="1"/>
        <item x="2"/>
        <item x="3"/>
        <item x="4"/>
        <item x="9"/>
        <item x="5"/>
        <item x="6"/>
        <item x="7"/>
        <item x="10"/>
        <item x="11"/>
        <item x="12"/>
        <item x="8"/>
        <item x="13"/>
        <item x="14"/>
        <item x="15"/>
        <item x="17"/>
        <item x="16"/>
        <item x="18"/>
        <item x="19"/>
        <item x="22"/>
        <item x="21"/>
        <item x="23"/>
        <item x="25"/>
        <item x="24"/>
        <item x="27"/>
        <item x="26"/>
        <item x="29"/>
        <item x="28"/>
        <item x="30"/>
        <item x="31"/>
        <item x="32"/>
        <item x="35"/>
        <item x="34"/>
        <item x="33"/>
        <item x="20"/>
        <item x="36"/>
        <item x="42"/>
        <item x="39"/>
        <item x="38"/>
        <item x="55"/>
        <item x="40"/>
        <item x="43"/>
        <item x="37"/>
        <item x="54"/>
        <item x="41"/>
        <item x="44"/>
        <item x="45"/>
        <item x="48"/>
        <item x="49"/>
        <item x="46"/>
        <item x="50"/>
        <item x="47"/>
        <item x="51"/>
        <item x="56"/>
        <item x="52"/>
        <item x="53"/>
        <item x="60"/>
        <item x="61"/>
        <item x="57"/>
        <item x="58"/>
        <item x="59"/>
        <item x="62"/>
        <item x="63"/>
        <item x="64"/>
        <item x="65"/>
        <item x="6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4">
        <item x="1"/>
        <item x="0"/>
        <item x="2"/>
        <item x="3"/>
      </items>
    </pivotField>
    <pivotField axis="axisCol" compact="0" outline="0" showAll="0" defaultSubtotal="0">
      <items count="13">
        <item x="11"/>
        <item x="0"/>
        <item x="2"/>
        <item x="1"/>
        <item x="3"/>
        <item x="4"/>
        <item x="5"/>
        <item x="6"/>
        <item x="8"/>
        <item x="7"/>
        <item x="9"/>
        <item x="10"/>
        <item x="1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4">
        <item x="0"/>
        <item x="1"/>
        <item x="2"/>
        <item x="3"/>
      </items>
    </pivotField>
  </pivotFields>
  <rowFields count="2">
    <field x="15"/>
    <field x="13"/>
  </rowFields>
  <rowItems count="15">
    <i>
      <x v="9"/>
      <x v="22"/>
    </i>
    <i>
      <x v="11"/>
      <x v="11"/>
    </i>
    <i>
      <x v="12"/>
      <x v="20"/>
    </i>
    <i>
      <x v="13"/>
      <x v="21"/>
    </i>
    <i>
      <x v="22"/>
      <x v="24"/>
    </i>
    <i>
      <x v="23"/>
      <x v="14"/>
    </i>
    <i r="1">
      <x v="17"/>
    </i>
    <i>
      <x v="24"/>
      <x v="6"/>
    </i>
    <i r="1">
      <x v="8"/>
    </i>
    <i r="1">
      <x v="15"/>
    </i>
    <i>
      <x v="25"/>
      <x v="16"/>
    </i>
    <i>
      <x v="26"/>
      <x v="18"/>
    </i>
    <i>
      <x v="27"/>
      <x v="19"/>
    </i>
    <i>
      <x v="35"/>
      <x v="23"/>
    </i>
    <i t="grand">
      <x/>
    </i>
  </rowItems>
  <colFields count="1">
    <field x="52"/>
  </colFields>
  <colItems count="11"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0" hier="-1"/>
    <pageField fld="31" hier="-1"/>
    <pageField fld="51" hier="-1"/>
  </pageFields>
  <dataFields count="1">
    <dataField name="求和项:QUANTITY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B5904-B6D5-4C99-9622-F86FD1AF527F}" name="PivotTable2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ETA">
  <location ref="A6:C7" firstHeaderRow="1" firstDataRow="1" firstDataCol="2" rowPageCount="4" colPageCount="1"/>
  <pivotFields count="5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2"/>
        <item x="3"/>
        <item m="1" x="7"/>
        <item x="1"/>
        <item h="1" x="0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5">
        <item x="58"/>
        <item x="0"/>
        <item x="1"/>
        <item x="2"/>
        <item x="3"/>
        <item x="4"/>
        <item x="5"/>
        <item x="6"/>
        <item x="7"/>
        <item m="1" x="67"/>
        <item x="8"/>
        <item x="9"/>
        <item m="1" x="68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69"/>
        <item x="22"/>
        <item x="23"/>
        <item x="24"/>
        <item x="25"/>
        <item x="26"/>
        <item m="1" x="70"/>
        <item x="27"/>
        <item x="28"/>
        <item x="29"/>
        <item m="1" x="71"/>
        <item m="1" x="73"/>
        <item m="1" x="74"/>
        <item x="33"/>
        <item x="31"/>
        <item x="32"/>
        <item x="59"/>
        <item x="60"/>
        <item x="61"/>
        <item x="62"/>
        <item m="1" x="72"/>
        <item x="10"/>
        <item x="30"/>
        <item x="34"/>
        <item x="35"/>
        <item x="36"/>
        <item x="37"/>
        <item m="1" x="66"/>
        <item x="44"/>
        <item x="45"/>
        <item x="46"/>
        <item x="47"/>
        <item m="1" x="64"/>
        <item m="1" x="65"/>
        <item m="1" x="63"/>
        <item x="43"/>
        <item x="52"/>
        <item x="38"/>
        <item x="39"/>
        <item x="40"/>
        <item x="41"/>
        <item x="42"/>
        <item x="49"/>
        <item x="50"/>
        <item x="51"/>
        <item x="48"/>
        <item x="53"/>
        <item x="54"/>
        <item x="55"/>
        <item x="56"/>
        <item x="5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176" outline="0" multipleItemSelectionAllowed="1" showAll="0" defaultSubtotal="0">
      <items count="133">
        <item m="1" x="126"/>
        <item x="88"/>
        <item x="15"/>
        <item x="51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m="1" x="130"/>
        <item x="39"/>
        <item m="1" x="131"/>
        <item m="1" x="132"/>
        <item x="33"/>
        <item x="93"/>
        <item x="36"/>
        <item x="42"/>
        <item x="43"/>
        <item x="63"/>
        <item x="41"/>
        <item m="1" x="129"/>
        <item m="1" x="122"/>
        <item m="1" x="103"/>
        <item m="1" x="123"/>
        <item m="1" x="124"/>
        <item x="50"/>
        <item m="1" x="125"/>
        <item m="1" x="121"/>
        <item x="40"/>
        <item x="100"/>
        <item m="1" x="127"/>
        <item m="1" x="128"/>
        <item x="34"/>
        <item m="1" x="117"/>
        <item x="35"/>
        <item x="37"/>
        <item x="38"/>
        <item m="1" x="111"/>
        <item x="32"/>
        <item x="44"/>
        <item x="47"/>
        <item x="48"/>
        <item x="49"/>
        <item m="1" x="116"/>
        <item x="95"/>
        <item x="55"/>
        <item m="1" x="118"/>
        <item x="57"/>
        <item m="1" x="119"/>
        <item x="59"/>
        <item m="1" x="120"/>
        <item x="73"/>
        <item x="98"/>
        <item m="1" x="113"/>
        <item x="56"/>
        <item x="58"/>
        <item x="60"/>
        <item x="61"/>
        <item m="1" x="114"/>
        <item m="1" x="115"/>
        <item x="99"/>
        <item x="45"/>
        <item x="46"/>
        <item x="52"/>
        <item m="1" x="112"/>
        <item x="54"/>
        <item x="53"/>
        <item x="62"/>
        <item x="64"/>
        <item x="68"/>
        <item x="69"/>
        <item x="70"/>
        <item x="65"/>
        <item x="66"/>
        <item x="67"/>
        <item x="85"/>
        <item m="1" x="102"/>
        <item m="1" x="104"/>
        <item m="1" x="105"/>
        <item m="1" x="106"/>
        <item x="87"/>
        <item x="82"/>
        <item x="83"/>
        <item m="1" x="107"/>
        <item x="71"/>
        <item x="72"/>
        <item x="74"/>
        <item m="1" x="108"/>
        <item m="1" x="109"/>
        <item x="92"/>
        <item m="1" x="110"/>
        <item x="75"/>
        <item x="78"/>
        <item x="77"/>
        <item x="80"/>
        <item x="81"/>
        <item x="84"/>
        <item m="1" x="101"/>
        <item x="91"/>
        <item x="76"/>
        <item x="79"/>
        <item x="86"/>
        <item x="94"/>
        <item x="96"/>
        <item x="97"/>
        <item x="89"/>
        <item x="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8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73">
        <item x="7"/>
        <item x="0"/>
        <item x="1"/>
        <item x="2"/>
        <item x="3"/>
        <item x="4"/>
        <item x="5"/>
        <item x="6"/>
        <item x="9"/>
        <item x="10"/>
        <item x="8"/>
        <item x="11"/>
        <item x="12"/>
        <item x="14"/>
        <item x="15"/>
        <item x="16"/>
        <item x="13"/>
        <item x="17"/>
        <item x="18"/>
        <item x="19"/>
        <item x="20"/>
        <item x="21"/>
        <item m="1" x="72"/>
        <item x="22"/>
        <item x="23"/>
        <item x="25"/>
        <item x="26"/>
        <item x="27"/>
        <item x="29"/>
        <item x="30"/>
        <item x="31"/>
        <item x="32"/>
        <item x="33"/>
        <item x="34"/>
        <item x="35"/>
        <item x="47"/>
        <item m="1" x="71"/>
        <item x="24"/>
        <item x="38"/>
        <item x="36"/>
        <item x="39"/>
        <item x="40"/>
        <item x="46"/>
        <item x="28"/>
        <item x="37"/>
        <item x="41"/>
        <item x="42"/>
        <item x="43"/>
        <item x="48"/>
        <item x="49"/>
        <item x="61"/>
        <item x="44"/>
        <item x="51"/>
        <item x="45"/>
        <item x="50"/>
        <item x="52"/>
        <item x="53"/>
        <item x="68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7"/>
        <item x="69"/>
        <item x="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7">
        <item x="0"/>
        <item x="1"/>
        <item x="2"/>
        <item x="3"/>
        <item x="4"/>
        <item x="9"/>
        <item x="54"/>
        <item x="6"/>
        <item x="7"/>
        <item x="5"/>
        <item x="10"/>
        <item x="11"/>
        <item x="12"/>
        <item x="8"/>
        <item x="13"/>
        <item x="14"/>
        <item x="15"/>
        <item x="16"/>
        <item x="17"/>
        <item x="18"/>
        <item x="19"/>
        <item x="21"/>
        <item x="22"/>
        <item x="25"/>
        <item x="24"/>
        <item x="23"/>
        <item x="26"/>
        <item x="27"/>
        <item x="28"/>
        <item x="29"/>
        <item x="30"/>
        <item x="31"/>
        <item x="32"/>
        <item x="33"/>
        <item x="35"/>
        <item x="34"/>
        <item x="36"/>
        <item x="39"/>
        <item x="20"/>
        <item x="38"/>
        <item x="40"/>
        <item x="42"/>
        <item x="37"/>
        <item x="43"/>
        <item x="55"/>
        <item x="41"/>
        <item x="44"/>
        <item x="45"/>
        <item x="48"/>
        <item x="49"/>
        <item x="46"/>
        <item x="50"/>
        <item x="47"/>
        <item x="51"/>
        <item x="56"/>
        <item x="52"/>
        <item x="53"/>
        <item x="60"/>
        <item x="61"/>
        <item x="57"/>
        <item x="58"/>
        <item x="59"/>
        <item x="62"/>
        <item x="63"/>
        <item x="64"/>
        <item x="65"/>
        <item x="6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37">
        <item h="1" x="0"/>
        <item h="1" x="4"/>
        <item x="32"/>
        <item h="1" x="1"/>
        <item h="1" x="2"/>
        <item h="1" x="3"/>
        <item h="1" x="6"/>
        <item h="1" x="7"/>
        <item h="1" x="8"/>
        <item h="1" x="9"/>
        <item h="1" x="10"/>
        <item h="1" x="12"/>
        <item h="1" x="5"/>
        <item h="1" x="11"/>
        <item h="1" x="13"/>
        <item h="1" x="14"/>
        <item h="1" x="16"/>
        <item h="1" x="15"/>
        <item h="1" x="17"/>
        <item h="1" x="18"/>
        <item h="1" x="20"/>
        <item h="1" x="21"/>
        <item h="1" x="25"/>
        <item h="1" x="34"/>
        <item h="1" x="22"/>
        <item h="1" x="23"/>
        <item h="1" x="27"/>
        <item h="1" x="24"/>
        <item h="1" x="36"/>
        <item h="1" x="33"/>
        <item h="1" x="26"/>
        <item h="1" x="28"/>
        <item h="1" x="29"/>
        <item h="1" x="30"/>
        <item h="1" x="19"/>
        <item h="1" x="31"/>
        <item h="1"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8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6">
        <item m="1" x="4"/>
        <item h="1" x="0"/>
        <item h="1" x="2"/>
        <item h="1" m="1" x="5"/>
        <item h="1" m="1" x="3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8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5"/>
  </rowFields>
  <rowItems count="1">
    <i t="grand">
      <x/>
    </i>
  </rowItems>
  <colItems count="1">
    <i/>
  </colItems>
  <pageFields count="4">
    <pageField fld="27" hier="-1"/>
    <pageField fld="17" hier="-1"/>
    <pageField fld="47" hier="-1"/>
    <pageField fld="37" hier="-1"/>
  </pageFields>
  <dataFields count="1">
    <dataField name="Sum of QUANTITY" fld="17" baseField="0" baseItem="0" numFmtId="17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13217F-2DFB-4517-AC4C-772005A9184E}" name="数据透视表1" cacheId="8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109:G118" firstHeaderRow="1" firstDataRow="2" firstDataCol="2" rowPageCount="3" colPageCount="1"/>
  <pivotFields count="59">
    <pivotField axis="axisPage" compact="0" outline="0" multipleItemSelectionAllowed="1" showAll="0" defaultSubtotal="0">
      <items count="292">
        <item x="289"/>
        <item m="1" x="291"/>
        <item x="290"/>
        <item x="26"/>
        <item x="25"/>
        <item x="12"/>
        <item x="13"/>
        <item h="1" x="27"/>
        <item x="14"/>
        <item h="1" x="15"/>
        <item x="16"/>
        <item x="19"/>
        <item h="1" x="17"/>
        <item x="18"/>
        <item x="20"/>
        <item h="1" x="21"/>
        <item x="22"/>
        <item x="29"/>
        <item x="58"/>
        <item x="23"/>
        <item x="30"/>
        <item x="62"/>
        <item x="24"/>
        <item x="28"/>
        <item x="0"/>
        <item x="1"/>
        <item x="2"/>
        <item x="3"/>
        <item x="4"/>
        <item x="5"/>
        <item x="6"/>
        <item x="7"/>
        <item h="1" x="8"/>
        <item h="1" x="9"/>
        <item h="1" x="10"/>
        <item h="1" x="11"/>
        <item x="64"/>
        <item x="57"/>
        <item h="1" x="65"/>
        <item x="59"/>
        <item h="1" x="60"/>
        <item x="61"/>
        <item x="66"/>
        <item h="1" x="67"/>
        <item x="68"/>
        <item x="69"/>
        <item h="1" x="70"/>
        <item x="63"/>
        <item x="49"/>
        <item x="71"/>
        <item x="82"/>
        <item x="87"/>
        <item h="1" x="72"/>
        <item x="73"/>
        <item h="1" x="74"/>
        <item x="75"/>
        <item x="83"/>
        <item h="1" x="76"/>
        <item x="77"/>
        <item x="78"/>
        <item x="79"/>
        <item x="80"/>
        <item h="1" x="81"/>
        <item x="84"/>
        <item x="50"/>
        <item x="92"/>
        <item h="1" x="93"/>
        <item x="88"/>
        <item x="94"/>
        <item h="1" x="95"/>
        <item x="89"/>
        <item h="1" x="90"/>
        <item x="91"/>
        <item x="96"/>
        <item h="1" x="97"/>
        <item x="51"/>
        <item x="147"/>
        <item h="1" x="148"/>
        <item x="144"/>
        <item x="155"/>
        <item x="158"/>
        <item x="160"/>
        <item x="163"/>
        <item x="165"/>
        <item h="1" x="149"/>
        <item x="150"/>
        <item x="145"/>
        <item h="1" x="151"/>
        <item x="152"/>
        <item x="146"/>
        <item x="156"/>
        <item x="159"/>
        <item x="161"/>
        <item x="164"/>
        <item x="166"/>
        <item h="1" x="153"/>
        <item x="141"/>
        <item x="143"/>
        <item x="162"/>
        <item x="167"/>
        <item x="168"/>
        <item x="169"/>
        <item h="1" x="142"/>
        <item x="154"/>
        <item x="157"/>
        <item x="170"/>
        <item x="171"/>
        <item x="174"/>
        <item x="172"/>
        <item x="175"/>
        <item x="173"/>
        <item x="48"/>
        <item x="52"/>
        <item h="1" x="53"/>
        <item x="54"/>
        <item h="1" x="55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123"/>
        <item h="1" x="124"/>
        <item x="125"/>
        <item x="131"/>
        <item x="134"/>
        <item h="1" x="126"/>
        <item x="127"/>
        <item h="1" x="128"/>
        <item x="129"/>
        <item x="132"/>
        <item h="1" x="130"/>
        <item x="135"/>
        <item x="137"/>
        <item x="138"/>
        <item x="139"/>
        <item x="140"/>
        <item h="1" x="136"/>
        <item x="133"/>
        <item h="1" x="118"/>
        <item x="115"/>
        <item h="1" x="116"/>
        <item x="104"/>
        <item h="1" x="105"/>
        <item x="119"/>
        <item x="111"/>
        <item x="98"/>
        <item h="1" x="112"/>
        <item x="113"/>
        <item x="106"/>
        <item x="99"/>
        <item h="1" x="107"/>
        <item x="117"/>
        <item x="108"/>
        <item x="100"/>
        <item h="1" x="109"/>
        <item x="120"/>
        <item x="102"/>
        <item x="101"/>
        <item x="114"/>
        <item h="1" x="103"/>
        <item x="110"/>
        <item x="121"/>
        <item x="122"/>
        <item x="85"/>
        <item x="56"/>
        <item x="86"/>
        <item x="238"/>
        <item h="1" x="239"/>
        <item x="240"/>
        <item x="247"/>
        <item x="249"/>
        <item h="1" x="241"/>
        <item x="242"/>
        <item h="1" x="243"/>
        <item x="244"/>
        <item x="248"/>
        <item x="250"/>
        <item h="1" x="245"/>
        <item x="251"/>
        <item x="253"/>
        <item h="1" x="252"/>
        <item x="246"/>
        <item x="190"/>
        <item x="182"/>
        <item h="1" x="191"/>
        <item x="186"/>
        <item x="180"/>
        <item x="192"/>
        <item x="197"/>
        <item x="176"/>
        <item x="183"/>
        <item h="1" x="193"/>
        <item x="187"/>
        <item x="177"/>
        <item h="1" x="188"/>
        <item x="189"/>
        <item x="181"/>
        <item x="194"/>
        <item x="198"/>
        <item x="178"/>
        <item x="184"/>
        <item h="1" x="195"/>
        <item x="199"/>
        <item x="205"/>
        <item h="1" x="200"/>
        <item x="201"/>
        <item h="1" x="202"/>
        <item x="203"/>
        <item x="206"/>
        <item h="1" x="204"/>
        <item x="207"/>
        <item x="209"/>
        <item x="210"/>
        <item x="211"/>
        <item x="212"/>
        <item x="179"/>
        <item x="185"/>
        <item h="1" x="208"/>
        <item x="196"/>
        <item x="213"/>
        <item x="214"/>
        <item x="215"/>
        <item x="216"/>
        <item x="217"/>
        <item x="218"/>
        <item x="288"/>
        <item h="1" x="219"/>
        <item h="1" x="220"/>
        <item h="1" x="221"/>
        <item h="1" x="222"/>
        <item h="1" x="262"/>
        <item h="1" x="263"/>
        <item h="1" x="264"/>
        <item h="1" x="265"/>
        <item h="1" x="266"/>
        <item h="1" x="267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68"/>
        <item h="1" x="269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6"/>
        <item h="1" x="237"/>
        <item h="1" x="254"/>
        <item h="1" x="232"/>
        <item h="1" x="233"/>
        <item h="1" x="234"/>
        <item h="1" x="235"/>
        <item h="1" x="255"/>
        <item h="1" x="256"/>
        <item h="1" x="257"/>
        <item h="1" x="258"/>
        <item h="1" x="259"/>
        <item h="1" x="260"/>
        <item h="1" x="26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5">
        <item m="1" x="74"/>
        <item m="1" x="71"/>
        <item m="1" x="73"/>
        <item m="1" x="69"/>
        <item x="60"/>
        <item x="59"/>
        <item x="9"/>
        <item m="1" x="68"/>
        <item x="10"/>
        <item x="61"/>
        <item x="62"/>
        <item x="7"/>
        <item m="1" x="67"/>
        <item m="1" x="72"/>
        <item x="8"/>
        <item x="6"/>
        <item x="32"/>
        <item x="5"/>
        <item x="33"/>
        <item x="31"/>
        <item x="2"/>
        <item x="3"/>
        <item x="4"/>
        <item x="1"/>
        <item x="0"/>
        <item m="1" x="70"/>
        <item x="27"/>
        <item x="28"/>
        <item x="20"/>
        <item x="21"/>
        <item x="25"/>
        <item x="15"/>
        <item x="14"/>
        <item x="16"/>
        <item x="17"/>
        <item x="24"/>
        <item x="23"/>
        <item x="13"/>
        <item x="19"/>
        <item x="18"/>
        <item x="11"/>
        <item x="12"/>
        <item x="22"/>
        <item x="26"/>
        <item x="29"/>
        <item m="1" x="66"/>
        <item x="35"/>
        <item x="37"/>
        <item x="36"/>
        <item x="34"/>
        <item x="30"/>
        <item x="58"/>
        <item x="44"/>
        <item x="45"/>
        <item x="46"/>
        <item x="47"/>
        <item m="1" x="64"/>
        <item m="1" x="65"/>
        <item m="1" x="63"/>
        <item x="43"/>
        <item x="52"/>
        <item x="38"/>
        <item x="39"/>
        <item x="40"/>
        <item x="41"/>
        <item x="42"/>
        <item x="49"/>
        <item x="50"/>
        <item x="51"/>
        <item x="48"/>
        <item x="53"/>
        <item x="54"/>
        <item x="55"/>
        <item x="56"/>
        <item x="57"/>
      </items>
    </pivotField>
    <pivotField compact="0" outline="0" showAll="0" defaultSubtotal="0"/>
    <pivotField axis="axisRow" compact="0" outline="0" showAll="0" defaultSubtotal="0">
      <items count="59">
        <item x="30"/>
        <item m="1" x="55"/>
        <item x="31"/>
        <item m="1" x="56"/>
        <item m="1" x="57"/>
        <item m="1" x="58"/>
        <item x="32"/>
        <item x="33"/>
        <item x="23"/>
        <item h="1" x="4"/>
        <item h="1" x="26"/>
        <item h="1" x="7"/>
        <item h="1" x="2"/>
        <item h="1" x="3"/>
        <item h="1" x="13"/>
        <item h="1" x="22"/>
        <item h="1" x="14"/>
        <item h="1" x="20"/>
        <item h="1" x="17"/>
        <item h="1" x="18"/>
        <item h="1" x="21"/>
        <item h="1" x="19"/>
        <item h="1" x="0"/>
        <item h="1" x="5"/>
        <item h="1" x="6"/>
        <item h="1" x="28"/>
        <item h="1" x="29"/>
        <item h="1" x="27"/>
        <item h="1" x="10"/>
        <item h="1" x="11"/>
        <item h="1" x="16"/>
        <item h="1" x="15"/>
        <item h="1" x="8"/>
        <item h="1" x="9"/>
        <item h="1" x="12"/>
        <item h="1" x="1"/>
        <item h="1" x="53"/>
        <item h="1" x="54"/>
        <item h="1" x="51"/>
        <item h="1" x="52"/>
        <item h="1" x="25"/>
        <item h="1" x="24"/>
        <item h="1" x="50"/>
        <item h="1" x="40"/>
        <item h="1" x="41"/>
        <item h="1" x="42"/>
        <item x="43"/>
        <item x="34"/>
        <item x="35"/>
        <item x="36"/>
        <item x="37"/>
        <item x="38"/>
        <item h="1" x="39"/>
        <item h="1" x="47"/>
        <item h="1" x="44"/>
        <item h="1" x="45"/>
        <item h="1" x="46"/>
        <item h="1" x="48"/>
        <item h="1" x="49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19">
        <item h="1" x="6"/>
        <item h="1" x="9"/>
        <item x="0"/>
        <item x="5"/>
        <item x="8"/>
        <item h="1" x="4"/>
        <item x="1"/>
        <item x="2"/>
        <item x="7"/>
        <item x="3"/>
        <item h="1" x="13"/>
        <item h="1" x="11"/>
        <item h="1" m="1" x="18"/>
        <item h="1" m="1" x="17"/>
        <item h="1" x="14"/>
        <item h="1" x="12"/>
        <item h="1" m="1" x="16"/>
        <item h="1" x="10"/>
        <item h="1" x="15"/>
      </items>
    </pivotField>
    <pivotField compact="0" outline="0" showAll="0" defaultSubtotal="0">
      <items count="67">
        <item x="0"/>
        <item x="1"/>
        <item x="2"/>
        <item x="3"/>
        <item x="4"/>
        <item x="9"/>
        <item x="5"/>
        <item x="6"/>
        <item x="7"/>
        <item x="10"/>
        <item x="11"/>
        <item x="12"/>
        <item x="8"/>
        <item x="13"/>
        <item x="14"/>
        <item x="15"/>
        <item x="17"/>
        <item x="16"/>
        <item x="18"/>
        <item x="19"/>
        <item x="22"/>
        <item x="21"/>
        <item x="23"/>
        <item x="25"/>
        <item x="24"/>
        <item x="27"/>
        <item x="26"/>
        <item x="29"/>
        <item x="28"/>
        <item x="30"/>
        <item x="31"/>
        <item x="32"/>
        <item x="35"/>
        <item x="34"/>
        <item x="33"/>
        <item x="20"/>
        <item x="36"/>
        <item x="42"/>
        <item x="39"/>
        <item x="38"/>
        <item x="55"/>
        <item x="40"/>
        <item x="43"/>
        <item x="37"/>
        <item x="54"/>
        <item x="41"/>
        <item x="44"/>
        <item x="45"/>
        <item x="48"/>
        <item x="49"/>
        <item x="46"/>
        <item x="50"/>
        <item x="47"/>
        <item x="51"/>
        <item x="56"/>
        <item x="52"/>
        <item x="53"/>
        <item x="60"/>
        <item x="61"/>
        <item x="57"/>
        <item x="58"/>
        <item x="59"/>
        <item x="62"/>
        <item x="63"/>
        <item x="64"/>
        <item x="65"/>
        <item x="6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4">
        <item x="1"/>
        <item x="0"/>
        <item x="2"/>
        <item x="3"/>
      </items>
    </pivotField>
    <pivotField axis="axisCol" compact="0" outline="0" showAll="0" defaultSubtotal="0">
      <items count="13">
        <item x="11"/>
        <item x="0"/>
        <item x="2"/>
        <item x="1"/>
        <item x="3"/>
        <item x="4"/>
        <item x="5"/>
        <item x="6"/>
        <item x="8"/>
        <item x="7"/>
        <item x="9"/>
        <item x="10"/>
        <item x="1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4">
        <item x="0"/>
        <item x="1"/>
        <item x="2"/>
        <item x="3"/>
      </items>
    </pivotField>
  </pivotFields>
  <rowFields count="2">
    <field x="15"/>
    <field x="13"/>
  </rowFields>
  <rowItems count="8">
    <i>
      <x/>
      <x v="49"/>
    </i>
    <i>
      <x v="8"/>
      <x v="43"/>
    </i>
    <i>
      <x v="47"/>
      <x v="61"/>
    </i>
    <i>
      <x v="48"/>
      <x v="62"/>
    </i>
    <i>
      <x v="49"/>
      <x v="63"/>
    </i>
    <i>
      <x v="50"/>
      <x v="64"/>
    </i>
    <i>
      <x v="51"/>
      <x v="65"/>
    </i>
    <i t="grand">
      <x/>
    </i>
  </rowItems>
  <colFields count="1">
    <field x="52"/>
  </colFields>
  <colItems count="5">
    <i>
      <x v="3"/>
    </i>
    <i>
      <x v="5"/>
    </i>
    <i>
      <x v="9"/>
    </i>
    <i>
      <x v="10"/>
    </i>
    <i t="grand">
      <x/>
    </i>
  </colItems>
  <pageFields count="3">
    <pageField fld="0" hier="-1"/>
    <pageField fld="31" hier="-1"/>
    <pageField fld="51" hier="-1"/>
  </pageFields>
  <dataFields count="1">
    <dataField name="求和项:QUANTITY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FDC76-E5D1-4E12-870A-50DE30F2AC8D}" name="PivotTable3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D55" firstHeaderRow="1" firstDataRow="1" firstDataCol="3" rowPageCount="2" colPageCount="1"/>
  <pivotFields count="6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7">
        <item h="1" m="1" x="55"/>
        <item h="1" x="15"/>
        <item h="1" x="12"/>
        <item h="1" m="1" x="50"/>
        <item h="1" x="8"/>
        <item h="1" x="9"/>
        <item h="1" x="22"/>
        <item h="1" x="13"/>
        <item h="1" x="7"/>
        <item h="1" x="14"/>
        <item h="1" x="10"/>
        <item h="1" x="17"/>
        <item h="1" x="25"/>
        <item x="6"/>
        <item x="0"/>
        <item x="1"/>
        <item x="4"/>
        <item m="1" x="38"/>
        <item h="1" m="1" x="54"/>
        <item h="1" x="3"/>
        <item h="1" m="1" x="49"/>
        <item m="1" x="53"/>
        <item h="1" m="1" x="44"/>
        <item m="1" x="51"/>
        <item h="1" m="1" x="52"/>
        <item h="1" m="1" x="45"/>
        <item h="1" m="1" x="46"/>
        <item h="1" x="30"/>
        <item h="1" m="1" x="47"/>
        <item h="1" m="1" x="48"/>
        <item h="1" x="2"/>
        <item h="1" m="1" x="41"/>
        <item h="1" x="16"/>
        <item h="1" x="23"/>
        <item h="1" x="24"/>
        <item h="1" x="11"/>
        <item h="1" m="1" x="42"/>
        <item h="1" m="1" x="43"/>
        <item h="1" x="20"/>
        <item h="1" x="21"/>
        <item h="1" x="18"/>
        <item h="1" x="19"/>
        <item h="1" x="27"/>
        <item h="1" m="1" x="40"/>
        <item h="1" m="1" x="39"/>
        <item h="1" x="5"/>
        <item h="1" x="26"/>
        <item h="1" x="29"/>
        <item h="1" x="28"/>
        <item h="1" x="31"/>
        <item h="1" x="32"/>
        <item h="1" x="33"/>
        <item h="1" x="34"/>
        <item h="1" x="35"/>
        <item h="1" x="36"/>
        <item h="1" x="37"/>
        <item t="default"/>
      </items>
    </pivotField>
    <pivotField compact="0" outline="0" showAll="0"/>
    <pivotField axis="axisRow" compact="0" outline="0" showAll="0">
      <items count="203">
        <item h="1" x="57"/>
        <item h="1" x="6"/>
        <item h="1" x="41"/>
        <item h="1" x="25"/>
        <item h="1" x="27"/>
        <item h="1" x="126"/>
        <item x="2"/>
        <item x="0"/>
        <item x="28"/>
        <item x="81"/>
        <item x="83"/>
        <item x="96"/>
        <item x="12"/>
        <item h="1" x="49"/>
        <item h="1" x="24"/>
        <item h="1" x="55"/>
        <item h="1" x="88"/>
        <item h="1" x="30"/>
        <item h="1" x="29"/>
        <item h="1" x="66"/>
        <item h="1" x="4"/>
        <item h="1" x="35"/>
        <item h="1" x="61"/>
        <item h="1" x="22"/>
        <item h="1" x="50"/>
        <item h="1" x="11"/>
        <item h="1" x="32"/>
        <item h="1" x="14"/>
        <item h="1" x="56"/>
        <item h="1" x="13"/>
        <item h="1" x="1"/>
        <item h="1" x="16"/>
        <item h="1" x="54"/>
        <item h="1" x="131"/>
        <item h="1" x="21"/>
        <item h="1" x="19"/>
        <item h="1" x="70"/>
        <item h="1" x="89"/>
        <item h="1" x="18"/>
        <item h="1" x="17"/>
        <item h="1" x="26"/>
        <item h="1" x="10"/>
        <item h="1" x="121"/>
        <item h="1" x="20"/>
        <item h="1" x="7"/>
        <item h="1" x="75"/>
        <item h="1" x="31"/>
        <item h="1" x="9"/>
        <item x="73"/>
        <item x="74"/>
        <item h="1" x="39"/>
        <item h="1" x="40"/>
        <item h="1" x="69"/>
        <item h="1" x="76"/>
        <item h="1" x="77"/>
        <item h="1" x="3"/>
        <item x="8"/>
        <item x="15"/>
        <item x="23"/>
        <item x="33"/>
        <item h="1" x="53"/>
        <item h="1" x="36"/>
        <item h="1" x="37"/>
        <item x="59"/>
        <item x="60"/>
        <item x="67"/>
        <item x="68"/>
        <item x="102"/>
        <item x="103"/>
        <item x="90"/>
        <item x="42"/>
        <item h="1" x="99"/>
        <item x="97"/>
        <item x="105"/>
        <item x="44"/>
        <item x="5"/>
        <item h="1" x="118"/>
        <item h="1" x="80"/>
        <item x="72"/>
        <item x="64"/>
        <item x="63"/>
        <item h="1" x="82"/>
        <item x="94"/>
        <item h="1" x="95"/>
        <item h="1" x="109"/>
        <item x="110"/>
        <item x="46"/>
        <item x="47"/>
        <item h="1" x="139"/>
        <item h="1" x="71"/>
        <item h="1" x="106"/>
        <item x="45"/>
        <item h="1" x="100"/>
        <item h="1" x="111"/>
        <item h="1" x="113"/>
        <item h="1" x="114"/>
        <item h="1" x="119"/>
        <item h="1" x="116"/>
        <item h="1" x="117"/>
        <item h="1" x="115"/>
        <item h="1" x="188"/>
        <item x="108"/>
        <item h="1" x="123"/>
        <item h="1" x="124"/>
        <item x="34"/>
        <item h="1" x="122"/>
        <item h="1" x="98"/>
        <item h="1" x="48"/>
        <item h="1" x="91"/>
        <item h="1" x="112"/>
        <item h="1" x="120"/>
        <item h="1" x="51"/>
        <item h="1" x="52"/>
        <item h="1" x="38"/>
        <item h="1" x="58"/>
        <item h="1" x="84"/>
        <item h="1" x="85"/>
        <item h="1" x="86"/>
        <item h="1" x="87"/>
        <item h="1" x="43"/>
        <item h="1" x="104"/>
        <item h="1" x="107"/>
        <item h="1" x="128"/>
        <item h="1" x="135"/>
        <item h="1" x="134"/>
        <item h="1" x="65"/>
        <item h="1" x="78"/>
        <item h="1" x="79"/>
        <item h="1" x="130"/>
        <item h="1" x="92"/>
        <item h="1" x="125"/>
        <item h="1" x="138"/>
        <item h="1" x="140"/>
        <item h="1" x="146"/>
        <item h="1" x="93"/>
        <item h="1" x="62"/>
        <item h="1" x="101"/>
        <item h="1" x="137"/>
        <item h="1" x="144"/>
        <item h="1" x="149"/>
        <item h="1" x="127"/>
        <item h="1" m="1" x="201"/>
        <item h="1" x="136"/>
        <item h="1" x="143"/>
        <item h="1" x="133"/>
        <item h="1" x="154"/>
        <item h="1" x="145"/>
        <item h="1" x="150"/>
        <item h="1" x="155"/>
        <item h="1" x="160"/>
        <item h="1" x="164"/>
        <item h="1" x="148"/>
        <item h="1" x="151"/>
        <item h="1" x="156"/>
        <item h="1" x="141"/>
        <item h="1" x="142"/>
        <item h="1" x="163"/>
        <item h="1" x="129"/>
        <item h="1" x="157"/>
        <item h="1" x="174"/>
        <item h="1" x="192"/>
        <item h="1" x="158"/>
        <item h="1" x="168"/>
        <item h="1" x="132"/>
        <item h="1" x="171"/>
        <item h="1" x="165"/>
        <item h="1" x="194"/>
        <item h="1" x="193"/>
        <item h="1" x="147"/>
        <item h="1" x="152"/>
        <item h="1" x="153"/>
        <item h="1" x="159"/>
        <item h="1" x="161"/>
        <item h="1" x="162"/>
        <item h="1" x="166"/>
        <item h="1" x="167"/>
        <item h="1" x="169"/>
        <item h="1" x="170"/>
        <item h="1" x="182"/>
        <item h="1" x="176"/>
        <item h="1" x="178"/>
        <item h="1" x="177"/>
        <item h="1" x="180"/>
        <item h="1" x="183"/>
        <item h="1" x="173"/>
        <item h="1" x="175"/>
        <item h="1" x="184"/>
        <item h="1" x="179"/>
        <item h="1" x="185"/>
        <item h="1" x="191"/>
        <item h="1" x="189"/>
        <item h="1" x="172"/>
        <item h="1" x="186"/>
        <item h="1" x="187"/>
        <item h="1" x="190"/>
        <item h="1" x="181"/>
        <item h="1" x="195"/>
        <item h="1" x="196"/>
        <item h="1" x="197"/>
        <item h="1" x="198"/>
        <item h="1" x="199"/>
        <item h="1" x="20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67">
        <item x="34"/>
        <item x="2"/>
        <item x="36"/>
        <item m="1" x="155"/>
        <item x="55"/>
        <item m="1" x="151"/>
        <item m="1" x="152"/>
        <item x="54"/>
        <item m="1" x="153"/>
        <item m="1" x="158"/>
        <item x="67"/>
        <item x="31"/>
        <item x="15"/>
        <item x="17"/>
        <item m="1" x="162"/>
        <item x="0"/>
        <item x="10"/>
        <item x="43"/>
        <item x="35"/>
        <item x="7"/>
        <item x="1"/>
        <item x="32"/>
        <item m="1" x="161"/>
        <item m="1" x="156"/>
        <item m="1" x="160"/>
        <item m="1" x="159"/>
        <item x="9"/>
        <item x="45"/>
        <item x="28"/>
        <item x="68"/>
        <item x="13"/>
        <item x="24"/>
        <item x="18"/>
        <item x="46"/>
        <item x="5"/>
        <item x="21"/>
        <item m="1" x="154"/>
        <item x="19"/>
        <item x="20"/>
        <item x="29"/>
        <item x="56"/>
        <item x="11"/>
        <item x="12"/>
        <item x="4"/>
        <item m="1" x="164"/>
        <item m="1" x="163"/>
        <item x="25"/>
        <item x="16"/>
        <item m="1" x="157"/>
        <item x="27"/>
        <item x="26"/>
        <item x="14"/>
        <item m="1" x="166"/>
        <item x="3"/>
        <item x="6"/>
        <item x="22"/>
        <item x="23"/>
        <item x="42"/>
        <item x="39"/>
        <item x="8"/>
        <item x="51"/>
        <item x="50"/>
        <item x="49"/>
        <item x="47"/>
        <item x="38"/>
        <item x="37"/>
        <item x="40"/>
        <item x="33"/>
        <item x="63"/>
        <item x="44"/>
        <item x="52"/>
        <item x="41"/>
        <item m="1" x="150"/>
        <item m="1" x="149"/>
        <item x="59"/>
        <item x="60"/>
        <item x="62"/>
        <item x="61"/>
        <item x="57"/>
        <item x="58"/>
        <item x="64"/>
        <item m="1" x="133"/>
        <item x="66"/>
        <item x="30"/>
        <item x="48"/>
        <item m="1" x="165"/>
        <item x="90"/>
        <item x="65"/>
        <item x="53"/>
        <item x="107"/>
        <item x="72"/>
        <item x="73"/>
        <item m="1" x="139"/>
        <item x="69"/>
        <item x="71"/>
        <item x="70"/>
        <item x="76"/>
        <item x="74"/>
        <item x="75"/>
        <item m="1" x="146"/>
        <item x="77"/>
        <item x="78"/>
        <item x="80"/>
        <item x="79"/>
        <item x="84"/>
        <item x="83"/>
        <item m="1" x="142"/>
        <item m="1" x="143"/>
        <item x="86"/>
        <item x="92"/>
        <item x="93"/>
        <item m="1" x="147"/>
        <item m="1" x="148"/>
        <item m="1" x="144"/>
        <item m="1" x="145"/>
        <item m="1" x="136"/>
        <item x="115"/>
        <item m="1" x="137"/>
        <item x="81"/>
        <item x="87"/>
        <item m="1" x="140"/>
        <item x="88"/>
        <item x="85"/>
        <item x="114"/>
        <item m="1" x="138"/>
        <item x="94"/>
        <item x="82"/>
        <item m="1" x="141"/>
        <item x="91"/>
        <item x="95"/>
        <item x="89"/>
        <item x="98"/>
        <item x="96"/>
        <item x="101"/>
        <item x="100"/>
        <item x="97"/>
        <item x="105"/>
        <item x="106"/>
        <item x="102"/>
        <item x="103"/>
        <item m="1" x="135"/>
        <item x="99"/>
        <item m="1" x="134"/>
        <item x="104"/>
        <item x="116"/>
        <item x="117"/>
        <item x="112"/>
        <item x="113"/>
        <item x="108"/>
        <item m="1" x="131"/>
        <item m="1" x="132"/>
        <item x="118"/>
        <item x="110"/>
        <item x="111"/>
        <item x="109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3">
        <item h="1" x="0"/>
        <item x="1"/>
        <item x="23"/>
        <item x="33"/>
        <item x="38"/>
        <item x="37"/>
        <item x="44"/>
        <item m="1" x="61"/>
        <item x="39"/>
        <item x="40"/>
        <item x="42"/>
        <item x="43"/>
        <item x="34"/>
        <item m="1" x="59"/>
        <item m="1" x="57"/>
        <item m="1" x="55"/>
        <item m="1" x="45"/>
        <item m="1" x="54"/>
        <item m="1" x="53"/>
        <item h="1" m="1" x="56"/>
        <item x="35"/>
        <item m="1" x="58"/>
        <item h="1" m="1" x="60"/>
        <item m="1" x="50"/>
        <item m="1" x="51"/>
        <item h="1" m="1" x="49"/>
        <item h="1" x="3"/>
        <item h="1" x="7"/>
        <item h="1" m="1" x="52"/>
        <item h="1" x="2"/>
        <item h="1" x="4"/>
        <item h="1" x="9"/>
        <item h="1" x="5"/>
        <item h="1" x="8"/>
        <item h="1" x="6"/>
        <item h="1" x="10"/>
        <item h="1" x="11"/>
        <item h="1" x="12"/>
        <item h="1" x="16"/>
        <item h="1" x="14"/>
        <item h="1" x="15"/>
        <item h="1" m="1" x="48"/>
        <item h="1" x="13"/>
        <item h="1" x="17"/>
        <item h="1" x="18"/>
        <item h="1" x="19"/>
        <item h="1" x="20"/>
        <item h="1" x="22"/>
        <item h="1" x="21"/>
        <item h="1" m="1" x="46"/>
        <item h="1" m="1" x="47"/>
        <item h="1" x="24"/>
        <item h="1" x="25"/>
        <item h="1" x="27"/>
        <item h="1" x="26"/>
        <item h="1" x="28"/>
        <item h="1" x="30"/>
        <item h="1" x="36"/>
        <item h="1" x="32"/>
        <item h="1" x="29"/>
        <item h="1" x="31"/>
        <item h="1" x="4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9">
        <item x="7"/>
        <item x="12"/>
        <item m="1" x="34"/>
        <item x="8"/>
        <item x="19"/>
        <item x="6"/>
        <item x="0"/>
        <item x="9"/>
        <item x="4"/>
        <item x="3"/>
        <item x="5"/>
        <item x="14"/>
        <item m="1" x="37"/>
        <item x="1"/>
        <item x="2"/>
        <item x="26"/>
        <item x="23"/>
        <item x="11"/>
        <item x="13"/>
        <item m="1" x="32"/>
        <item m="1" x="38"/>
        <item x="15"/>
        <item m="1" x="31"/>
        <item m="1" x="36"/>
        <item m="1" x="33"/>
        <item x="10"/>
        <item m="1" x="29"/>
        <item m="1" x="35"/>
        <item x="18"/>
        <item x="16"/>
        <item x="17"/>
        <item m="1" x="30"/>
        <item m="1" x="28"/>
        <item x="20"/>
        <item x="21"/>
        <item x="22"/>
        <item m="1" x="27"/>
        <item x="25"/>
        <item x="24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76" outline="0" showAll="0"/>
    <pivotField compact="0" outline="0" showAll="0"/>
    <pivotField compact="0" outline="0" showAll="0"/>
    <pivotField compact="0" outline="0" showAll="0"/>
    <pivotField compact="0" numFmtId="176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15"/>
    <field x="33"/>
    <field x="9"/>
  </rowFields>
  <rowItems count="50">
    <i>
      <x v="15"/>
      <x v="6"/>
      <x v="6"/>
    </i>
    <i r="1">
      <x v="13"/>
      <x v="6"/>
    </i>
    <i>
      <x v="17"/>
      <x v="6"/>
      <x v="6"/>
    </i>
    <i r="1">
      <x v="13"/>
      <x v="6"/>
    </i>
    <i>
      <x v="18"/>
      <x v="13"/>
      <x v="6"/>
    </i>
    <i>
      <x v="19"/>
      <x v="5"/>
      <x v="6"/>
    </i>
    <i r="1">
      <x v="13"/>
      <x v="6"/>
    </i>
    <i>
      <x v="20"/>
      <x v="6"/>
      <x v="6"/>
    </i>
    <i r="1">
      <x v="10"/>
      <x v="6"/>
    </i>
    <i>
      <x v="29"/>
      <x v="6"/>
      <x v="6"/>
    </i>
    <i r="1">
      <x v="8"/>
      <x v="6"/>
    </i>
    <i r="1">
      <x v="11"/>
      <x v="6"/>
    </i>
    <i r="1">
      <x v="13"/>
      <x v="6"/>
    </i>
    <i r="1">
      <x v="14"/>
      <x v="6"/>
    </i>
    <i>
      <x v="34"/>
      <x v="8"/>
      <x v="6"/>
    </i>
    <i r="1">
      <x v="11"/>
      <x v="6"/>
    </i>
    <i r="1">
      <x v="13"/>
      <x v="6"/>
    </i>
    <i>
      <x v="35"/>
      <x v="6"/>
      <x v="6"/>
    </i>
    <i r="1">
      <x v="8"/>
      <x v="6"/>
    </i>
    <i r="1">
      <x v="10"/>
      <x v="6"/>
    </i>
    <i r="1">
      <x v="11"/>
      <x v="6"/>
    </i>
    <i r="1">
      <x v="13"/>
      <x v="6"/>
    </i>
    <i r="1">
      <x v="14"/>
      <x v="6"/>
    </i>
    <i>
      <x v="37"/>
      <x v="5"/>
      <x v="6"/>
    </i>
    <i r="1">
      <x v="13"/>
      <x v="6"/>
    </i>
    <i r="1">
      <x v="14"/>
      <x v="6"/>
    </i>
    <i>
      <x v="38"/>
      <x v="8"/>
      <x v="6"/>
    </i>
    <i>
      <x v="49"/>
      <x v="6"/>
      <x v="6"/>
    </i>
    <i r="1">
      <x v="10"/>
      <x v="6"/>
    </i>
    <i>
      <x v="50"/>
      <x v="6"/>
      <x v="6"/>
    </i>
    <i>
      <x v="54"/>
      <x v="6"/>
      <x v="6"/>
    </i>
    <i>
      <x v="58"/>
      <x v="5"/>
      <x v="6"/>
    </i>
    <i r="1">
      <x v="6"/>
      <x v="6"/>
    </i>
    <i r="1">
      <x v="13"/>
      <x v="6"/>
    </i>
    <i r="1">
      <x v="14"/>
      <x v="6"/>
    </i>
    <i>
      <x v="59"/>
      <x v="6"/>
      <x v="6"/>
    </i>
    <i r="1">
      <x v="10"/>
      <x v="6"/>
    </i>
    <i>
      <x v="90"/>
      <x v="13"/>
      <x v="6"/>
    </i>
    <i r="1">
      <x v="14"/>
      <x v="6"/>
    </i>
    <i>
      <x v="91"/>
      <x v="13"/>
      <x v="6"/>
    </i>
    <i>
      <x v="93"/>
      <x v="5"/>
      <x v="6"/>
    </i>
    <i r="1">
      <x v="6"/>
      <x v="6"/>
    </i>
    <i r="1">
      <x v="8"/>
      <x v="6"/>
    </i>
    <i r="1">
      <x v="11"/>
      <x v="6"/>
    </i>
    <i r="1">
      <x v="13"/>
      <x v="6"/>
    </i>
    <i r="1">
      <x v="14"/>
      <x v="6"/>
    </i>
    <i>
      <x v="123"/>
      <x v="16"/>
      <x v="6"/>
    </i>
    <i>
      <x v="146"/>
      <x v="14"/>
      <x v="6"/>
    </i>
    <i>
      <x v="147"/>
      <x v="14"/>
      <x v="6"/>
    </i>
    <i t="grand">
      <x/>
    </i>
  </rowItems>
  <colItems count="1">
    <i/>
  </colItems>
  <pageFields count="2">
    <pageField fld="7" hier="-1"/>
    <pageField fld="24" hier="-1"/>
  </pageFields>
  <dataFields count="1">
    <dataField name="Sum of QUANTITY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7A63F-8FFD-46DD-B92F-690A4A025099}" name="数据透视表 1" cacheId="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2:C19" firstHeaderRow="1" firstDataRow="1" firstDataCol="0"/>
  <pivotFields count="9">
    <pivotField compact="0" outline="0" showAll="0"/>
    <pivotField compact="0" outline="0" showAll="0"/>
    <pivotField compact="0" outline="0" showAll="0"/>
    <pivotField compact="0" numFmtId="176" outline="0" showAll="0"/>
    <pivotField compact="0" numFmtId="176" outline="0" showAll="0"/>
    <pivotField compact="0" numFmtId="188" outline="0" showAll="0"/>
    <pivotField compact="0" numFmtId="184" outline="0" showAll="0"/>
    <pivotField compact="0" numFmtId="187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EB7927E-A081-43E8-8EE0-393F8940955E}" autoFormatId="16" applyNumberFormats="0" applyBorderFormats="0" applyFontFormats="0" applyPatternFormats="0" applyAlignmentFormats="0" applyWidthHeightFormats="0">
  <queryTableRefresh nextId="25">
    <queryTableFields count="16">
      <queryTableField id="1" name="TCL REFERENCE" tableColumnId="1"/>
      <queryTableField id="2" name="New Ark PO Type" tableColumnId="2"/>
      <queryTableField id="3" name="New Ark WH" tableColumnId="3"/>
      <queryTableField id="4" name="PRODUCT TYPE" tableColumnId="4"/>
      <queryTableField id="5" name="New Ark SKU" tableColumnId="5"/>
      <queryTableField id="6" name="Model" tableColumnId="6"/>
      <queryTableField id="7" name="QUANTITY" tableColumnId="7"/>
      <queryTableField id="18" name="COMPLETED or IN-TRANSIT" tableColumnId="18"/>
      <queryTableField id="8" name="SPTN-PVHK New Ark PO#" tableColumnId="8"/>
      <queryTableField id="9" name="ETD On S/O_x000a_" tableColumnId="9"/>
      <queryTableField id="10" name="ETA On S/O" tableColumnId="10"/>
      <queryTableField id="11" name="ETA Update" tableColumnId="11"/>
      <queryTableField id="12" name="ATA PORT" tableColumnId="12"/>
      <queryTableField id="14" name="New Ark PO status" tableColumnId="14"/>
      <queryTableField id="15" name="NewArk ETA PO" tableColumnId="15"/>
      <queryTableField id="16" name="ETA for New Ark update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2F245E41-D913-40C6-A6C7-B662DB768119}" autoFormatId="16" applyNumberFormats="0" applyBorderFormats="0" applyFontFormats="0" applyPatternFormats="0" applyAlignmentFormats="0" applyWidthHeightFormats="0">
  <queryTableRefresh nextId="74">
    <queryTableFields count="22">
      <queryTableField id="1" name="TCL REFERENCE" tableColumnId="1"/>
      <queryTableField id="6" name="New Ark WH" tableColumnId="6"/>
      <queryTableField id="15" name="PRODUCT TYPE" tableColumnId="15"/>
      <queryTableField id="16" name="New Ark SKU" tableColumnId="16"/>
      <queryTableField id="17" name="Model" tableColumnId="17"/>
      <queryTableField id="18" name="WATT" tableColumnId="18"/>
      <queryTableField id="19" name="QUANTITY" tableColumnId="19"/>
      <queryTableField id="20" name="MW" tableColumnId="20"/>
      <queryTableField id="21" name="PALLETS" tableColumnId="21"/>
      <queryTableField id="22" name="CONTAINERS" tableColumnId="22"/>
      <queryTableField id="23" name="STATUS" tableColumnId="23"/>
      <queryTableField id="31" name="POL" tableColumnId="31"/>
      <queryTableField id="32" name="PORT DESTINATION" tableColumnId="32"/>
      <queryTableField id="33" name="ETD on S/O_x000a_" tableColumnId="33"/>
      <queryTableField id="34" name="ETD Update" tableColumnId="34"/>
      <queryTableField id="35" name="ATD PORT" tableColumnId="35"/>
      <queryTableField id="36" name="ETA On S/O" tableColumnId="36"/>
      <queryTableField id="37" name="ETA Update" tableColumnId="37"/>
      <queryTableField id="38" name="ATA PORT" tableColumnId="38"/>
      <queryTableField id="47" name="ODP ETA Port" tableColumnId="47"/>
      <queryTableField id="50" name="Customs/Leg3 Assumption" tableColumnId="50"/>
      <queryTableField id="51" name="ETA for New Ark update" tableColumnId="51"/>
    </queryTableFields>
  </queryTableRefresh>
</queryTable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BF8DC5-5D67-4AB2-A114-9760136AE698}" name="PV_DATA4" displayName="PV_DATA4" ref="A1:BH463" totalsRowShown="0" headerRowDxfId="422" dataDxfId="421" tableBorderDxfId="420">
  <autoFilter ref="A1:BH463" xr:uid="{DCBF8DC5-5D67-4AB2-A114-9760136AE698}"/>
  <tableColumns count="60">
    <tableColumn id="1" xr3:uid="{4690EF3D-7F0C-4A58-8955-7E71572084A0}" name="TCL REFERENCE NO." dataDxfId="419"/>
    <tableColumn id="5" xr3:uid="{4F0B83C9-3C78-457B-9ADB-12F10F1870D1}" name="Factory Location" dataDxfId="418"/>
    <tableColumn id="10" xr3:uid="{6CD88A0A-7D94-463C-8BB1-AFBF1F8F6931}" name="FX_QTY criteria" dataDxfId="417">
      <calculatedColumnFormula>IFERROR(LEFT(PV_DATA4[[#This Row],[TCL REFERENCE NO.]],FIND(".",PV_DATA4[[#This Row],[TCL REFERENCE NO.]],1)-1),"Main Line")</calculatedColumnFormula>
    </tableColumn>
    <tableColumn id="3" xr3:uid="{8AD227E0-B09C-4D1F-A800-CA25EA3D5D42}" name="CHANNEL" dataDxfId="416"/>
    <tableColumn id="62" xr3:uid="{F7DB3954-FA04-4CDD-8FA0-5B14E4E4DBA7}" name="New Ark PO Type" dataDxfId="415"/>
    <tableColumn id="63" xr3:uid="{9E762414-B7BF-44F6-8E78-A5754C337F21}" name="New Ark WH" dataDxfId="414"/>
    <tableColumn id="2" xr3:uid="{30947979-E5E8-4256-AD03-4C325B89A5B1}" name="B/L Consignee" dataDxfId="413"/>
    <tableColumn id="4" xr3:uid="{84DF27F1-F348-41B2-8AAB-A691770FEB05}" name="TCL-HK PO INCOTERM Requested" dataDxfId="412"/>
    <tableColumn id="6" xr3:uid="{A6B101A6-1314-4F0A-A883-265DFACE569D}" name="ALLOCATION Planning" dataDxfId="411"/>
    <tableColumn id="21" xr3:uid="{39571CA6-4330-42A2-BC9D-9078E1124322}" name="Priority Level" dataDxfId="410"/>
    <tableColumn id="7" xr3:uid="{29F6F90F-0112-437D-A208-CF464311C249}" name="SPWR SO Number" dataDxfId="409"/>
    <tableColumn id="8" xr3:uid="{6A03F7EC-0609-4604-829F-B71F1FC628A7}" name="Region" dataDxfId="408"/>
    <tableColumn id="9" xr3:uid="{DCE5B142-D5AB-4C95-8BBE-CD099033C9FA}" name="G2G ?" dataDxfId="407"/>
    <tableColumn id="46" xr3:uid="{B8784B74-7B1E-4E18-828F-A3A1D85CD0F6}" name="Factory Available Date" dataDxfId="406"/>
    <tableColumn id="11" xr3:uid="{7E2771E8-6E5B-49C1-9E14-8A5474CCB339}" name="ATP Status" dataDxfId="405">
      <calculatedColumnFormula array="1">_xlfn.IFS(LEFT(PV_DATA4[[#This Row],[SPTN-PVHK New Ark PO'#]],4)="POPV","Check Availability in New Ark",PV_DATA4[[#This Row],[STATUS]]="COMPLETED","Not Available",AND(LEFT(PV_DATA4[[#This Row],[ALLOCATION Planning]],8)&lt;&gt;"Local WH",PV_DATA4[[#This Row],[ALLOCATION Planning]]&lt;&gt;""),"Allocated",OR(PV_DATA4[[#This Row],[ETD On S/O]]&lt;&gt;"",PV_DATA4[[#This Row],[Pick-Up Date]]&lt;&gt;""),"Available - Intransit",PV_DATA4[[#This Row],[Factory Available Date]]&gt;TODAY(),"Available - Future Production",PV_DATA4[[#This Row],[STATUS]]&lt;&gt;"PO FIRM","Available - Shipment planned",PV_DATA4[[#This Row],[QUANTITY]]=0,"exclude",TRUE,"Available - China")</calculatedColumnFormula>
    </tableColumn>
    <tableColumn id="12" xr3:uid="{9DD0FAF2-76E2-4B6E-8446-5BF2E2FA8737}" name="PRODUCT TYPE" dataDxfId="404"/>
    <tableColumn id="53" xr3:uid="{FA528472-82B4-4B0E-A337-89E1ADBA609B}" name="New Ark SKU" dataDxfId="403"/>
    <tableColumn id="13" xr3:uid="{F68B01F2-068A-4D1E-9840-9FEB118900AE}" name="Oracle SKU" dataDxfId="402"/>
    <tableColumn id="14" xr3:uid="{5DF0F468-3ECE-45F9-80C3-D7169F7D3005}" name="DESCRIPTION" dataDxfId="401"/>
    <tableColumn id="15" xr3:uid="{EEA46F80-36BA-4DF9-8184-25369671BE51}" name="WATT" dataDxfId="400"/>
    <tableColumn id="16" xr3:uid="{7836B642-AA85-4DD5-A99A-0BC2AEBF9533}" name="QUANTITY" dataDxfId="399"/>
    <tableColumn id="17" xr3:uid="{1DF499B2-BE66-4B30-93FD-DEEBD8EE96CA}" name="MW" dataDxfId="398">
      <calculatedColumnFormula>PV_DATA4[[#This Row],[WATT]]*PV_DATA4[[#This Row],[QUANTITY]]/1000000</calculatedColumnFormula>
    </tableColumn>
    <tableColumn id="18" xr3:uid="{F06665C0-DBC1-4D97-96E2-34603DCDA986}" name="PALLETS" dataDxfId="397">
      <calculatedColumnFormula>U2/36</calculatedColumnFormula>
    </tableColumn>
    <tableColumn id="19" xr3:uid="{EA7D1B29-6F85-4840-96BA-DC40D424953D}" name="CONTAINERS" dataDxfId="396"/>
    <tableColumn id="20" xr3:uid="{E4C5472E-2639-48D5-A887-7CC01C3590A4}" name="STATUS" dataDxfId="395"/>
    <tableColumn id="66" xr3:uid="{93FC3083-2B9A-46A8-AAD8-64A095EBEFF9}" name="ship before 4.1?" dataDxfId="394"/>
    <tableColumn id="22" xr3:uid="{57226609-918F-40BF-BAEC-99E0E2854648}" name="Back Glass" dataDxfId="393"/>
    <tableColumn id="23" xr3:uid="{08FA0AEA-086D-4C3D-9151-03409FCE9D9D}" name="Cable Length" dataDxfId="392"/>
    <tableColumn id="24" xr3:uid="{5F3A7F07-0F05-4417-B82E-04E22A64481C}" name="Pick-Up Date" dataDxfId="391"/>
    <tableColumn id="25" xr3:uid="{75A7AB9C-A07A-4C7F-AD49-C7ECA7231EB4}" name="Pick-Up Week" dataDxfId="390">
      <calculatedColumnFormula>IF(PV_DATA4[[#This Row],[Pick-Up Date]]&lt;&gt;"",_xlfn.ISOWEEKNUM(PV_DATA4[[#This Row],[Pick-Up Date]]),"")</calculatedColumnFormula>
    </tableColumn>
    <tableColumn id="26" xr3:uid="{61CBE601-4726-421F-9EA6-26863D45DA58}" name="SPTN-PVHK New Ark PO#" dataDxfId="389"/>
    <tableColumn id="27" xr3:uid="{FB0C48A8-7DB0-4186-9853-CD1A4033A084}" name="SPTN-HKPV ORacle PO#" dataDxfId="388"/>
    <tableColumn id="28" xr3:uid="{3F58FDBA-6613-41D3-81CE-70D3C851F0D6}" name="PORT OF LOADING" dataDxfId="387"/>
    <tableColumn id="29" xr3:uid="{54444F52-1E13-4A01-9B20-379C7C9231C6}" name="PORT DESTINATION" dataDxfId="386"/>
    <tableColumn id="30" xr3:uid="{0BA50487-25F2-4C2D-8226-8C6987F6041A}" name="ETD On S/O" dataDxfId="385"/>
    <tableColumn id="31" xr3:uid="{B913178A-2F1D-486C-B812-388D5B043676}" name="ETD Update" dataDxfId="384"/>
    <tableColumn id="32" xr3:uid="{8A739F31-21FC-4C80-BCEB-840A41F999CE}" name="ATD PORT" dataDxfId="383"/>
    <tableColumn id="33" xr3:uid="{75CCA16E-427E-4391-9663-FC0BB51F530D}" name="ETA On S/O" dataDxfId="382"/>
    <tableColumn id="34" xr3:uid="{3BA98E37-9C49-4F93-91F6-CA65CC212D93}" name="ETA Update" dataDxfId="381"/>
    <tableColumn id="35" xr3:uid="{CC64EE0B-6C5A-4C66-AD15-81390747B7B6}" name="ATA PORT" dataDxfId="380"/>
    <tableColumn id="36" xr3:uid="{47D9CBA6-D003-4946-B9A5-9E12C8C2A7EE}" name="incoterm" dataDxfId="379"/>
    <tableColumn id="37" xr3:uid="{E3A8F415-5FE9-487A-81D2-1543178FBED8}" name="REFERENCE_x000a_V.V   " dataDxfId="378"/>
    <tableColumn id="38" xr3:uid="{A40F9677-061F-40C8-9B5E-CBD2E3DEFB85}" name="Carrier" dataDxfId="377"/>
    <tableColumn id="39" xr3:uid="{DC349D01-F557-486E-8B67-2E2439DA7EBC}" name="TCL Invoice#_x000a_or PO#" dataDxfId="376"/>
    <tableColumn id="40" xr3:uid="{A840CE08-CEC4-49BE-BC13-60E9926E8A3D}" name="MBL/HBL#" dataDxfId="375"/>
    <tableColumn id="41" xr3:uid="{DA1F505D-B6A8-4006-9B3E-C6DEC3810B21}" name="Booking #" dataDxfId="374"/>
    <tableColumn id="42" xr3:uid="{FB8C3720-9544-4688-AC89-A88C8DB669E7}" name="Leg2 leadtime On S/O" dataDxfId="373"/>
    <tableColumn id="43" xr3:uid="{D90843A6-C935-4652-99A1-874DC803BE77}" name="Telex released " dataDxfId="372"/>
    <tableColumn id="44" xr3:uid="{09980D74-1429-40BE-B11A-7C383F302F5C}" name="TBA - 1" dataDxfId="371"/>
    <tableColumn id="47" xr3:uid="{B49CC059-DF0D-46D7-9CE4-27FE099C5A46}" name="LT (pick-up to ETA)" dataDxfId="370">
      <calculatedColumnFormula>IF(PV_DATA4[[#This Row],[ATA PORT]]&lt;&gt;"",PV_DATA4[[#This Row],[ATA PORT]]-PV_DATA4[[#This Row],[Pick-Up Date]],0)</calculatedColumnFormula>
    </tableColumn>
    <tableColumn id="48" xr3:uid="{790DBF7C-1F38-4F92-8965-FF37BEC139A3}" name="ETD Conso" dataDxfId="369">
      <calculatedColumnFormula array="1">IFERROR(_xlfn.IFS(PV_DATA4[[#This Row],[ATD PORT]]&lt;&gt;"",PV_DATA4[[#This Row],[ATD PORT]],PV_DATA4[[#This Row],[ETD Update]]&lt;&gt;"",PV_DATA4[[#This Row],[ETD Update]],PV_DATA4[[#This Row],[ETD On S/O]]&lt;&gt;"",PV_DATA4[[#This Row],[ETD On S/O]],PV_DATA4[[#This Row],[TCL-HK PO INCOTERM Requested]]="FOB","n/a",PV_DATA4[[#This Row],[TCL-HK PO INCOTERM Requested]]="n/a","n/a",PV_DATA4[[#This Row],[STATUS]]&lt;&gt;"PO FIRM",VLOOKUP(PV_DATA4[[#This Row],[STATUS]],'Assumption ATP'!$B$4:$C$54,2,0)+7,TRUE,date_end_horizon),0)</calculatedColumnFormula>
    </tableColumn>
    <tableColumn id="49" xr3:uid="{8014ED8E-8C00-44A9-9C1A-5FE4ADD08871}" name="ODP Available Port" dataDxfId="368">
      <calculatedColumnFormula array="1">IFERROR(_xlfn.IFS(PV_DATA4[[#This Row],[ATA PORT]]&lt;&gt;"",PV_DATA4[[#This Row],[ATA PORT]],PV_DATA4[[#This Row],[ETA Update]]&lt;&gt;"",PV_DATA4[[#This Row],[ETA Update]],PV_DATA4[[#This Row],[ETA On S/O]]&lt;&gt;"",PV_DATA4[[#This Row],[ETA On S/O]],PV_DATA4[[#This Row],[TCL-HK PO INCOTERM Requested]]="FOB","n/a",PV_DATA4[[#This Row],[TCL-HK PO INCOTERM Requested]]="n/a","n/a",PV_DATA4[[#This Row],[STATUS]]&lt;&gt;"PO FIRM",VLOOKUP(PV_DATA4[[#This Row],[STATUS]],'Assumption ATP'!$B$4:$C$54,2,0)+VLOOKUP(PV_DATA4[[#This Row],[PORT OF LOADING]]&amp;PV_DATA4[[#This Row],[PORT DESTINATION]],LT_REF[],4,0),TRUE,date_end_horizon),0)</calculatedColumnFormula>
    </tableColumn>
    <tableColumn id="50" xr3:uid="{194D3B7D-0FF8-46AC-9330-826EF176E7EA}" name="New Ark PO status" dataDxfId="367">
      <calculatedColumnFormula>_xlfn.XLOOKUP(#REF!,#REF!,#REF!,,0)&amp;"-"&amp;_xlfn.XLOOKUP(#REF!,#REF!,#REF!,,0)</calculatedColumnFormula>
    </tableColumn>
    <tableColumn id="54" xr3:uid="{F61A6C49-5FE4-428F-B522-A344B7386D36}" name="New Ark ETA" dataDxfId="366">
      <calculatedColumnFormula>IF(ISERROR(#REF!),"",_xlfn.XLOOKUP(#REF!,#REF!,#REF!,"n/a",0))</calculatedColumnFormula>
    </tableColumn>
    <tableColumn id="52" xr3:uid="{81818AB7-A481-483C-A41A-51D078651687}" name="ETA WH / Port for New Ark" dataDxfId="365">
      <calculatedColumnFormula>IFERROR(PV_DATA4[[#This Row],[ODP Available Port]]+14,"n/a")</calculatedColumnFormula>
    </tableColumn>
    <tableColumn id="64" xr3:uid="{661DF4E2-5C14-4228-A8DE-9D78A0AF1703}" name="ETA WH Year" dataDxfId="364">
      <calculatedColumnFormula>YEAR(PV_DATA4[[#This Row],[ETA WH / Port for New Ark]])</calculatedColumnFormula>
    </tableColumn>
    <tableColumn id="61" xr3:uid="{A671B9BA-222D-4D54-89C6-7E10BA465FF8}" name="ETA WH Month" dataDxfId="363">
      <calculatedColumnFormula>MONTH(PV_DATA4[[#This Row],[ETA WH / Port for New Ark]])</calculatedColumnFormula>
    </tableColumn>
    <tableColumn id="56" xr3:uid="{A00E01E6-0151-4474-897B-957C04563253}" name="ETA WH Week" dataDxfId="362">
      <calculatedColumnFormula>IFERROR(_xlfn.ISOWEEKNUM(PV_DATA4[[#This Row],[ETA WH / Port for New Ark]]),0)</calculatedColumnFormula>
    </tableColumn>
    <tableColumn id="45" xr3:uid="{35858DBC-8343-4093-A0F9-BE35EB6E6D9B}" name="Qty/Pallet" dataDxfId="361"/>
    <tableColumn id="55" xr3:uid="{56ED7DCE-6D40-4025-B024-B1FC7A89DA60}" name="Qty/CT" dataDxfId="360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D5AE86-8652-4E0C-8097-37E069BF9A50}" name="PV_DATA" displayName="PV_DATA" ref="A1:BH1426" totalsRowShown="0" headerRowDxfId="359" dataDxfId="358" tableBorderDxfId="357">
  <autoFilter ref="A1:BH1426" xr:uid="{2CD5AE86-8652-4E0C-8097-37E069BF9A50}">
    <filterColumn colId="0">
      <filters>
        <filter val="26Jun027"/>
      </filters>
    </filterColumn>
  </autoFilter>
  <tableColumns count="60">
    <tableColumn id="1" xr3:uid="{58C3FCB6-A079-46E9-BFC3-16462428788F}" name="TCL REFERENCE" dataDxfId="356"/>
    <tableColumn id="5" xr3:uid="{EEC3BD87-F321-4ECF-B8AF-3C1A6D81CC1D}" name="Factory Location" dataDxfId="355"/>
    <tableColumn id="10" xr3:uid="{8A56B340-0958-47A3-989C-36AF4041464F}" name="FX_QTY criteria" dataDxfId="354">
      <calculatedColumnFormula>IFERROR(LEFT(PV_DATA[[#This Row],[TCL REFERENCE]],FIND(".",PV_DATA[[#This Row],[TCL REFERENCE]],1)-1),"Main Line")</calculatedColumnFormula>
    </tableColumn>
    <tableColumn id="3" xr3:uid="{6C380373-6E15-428C-B04A-1C7883E1FADF}" name="CHANNEL" dataDxfId="353"/>
    <tableColumn id="62" xr3:uid="{628F8B8A-1CB1-44C0-B8DF-1D26BB297B81}" name="New Ark PO Type" dataDxfId="352"/>
    <tableColumn id="63" xr3:uid="{5C665448-0825-4352-95E2-87CFC7F6B50A}" name="New Ark WH" dataDxfId="351">
      <calculatedColumnFormula array="1">_xlfn.IFS(PV_DATA[[#This Row],[New Ark PO Type]]="n/a","n/a",PV_DATA[[#This Row],[New Ark PO Type]]="Offshore","SPTN Offstore in Transit WH",TRUE,_xlfn.XLOOKUP(PV_DATA[[#This Row],[PORT DESTINATION]],LT_REF[PORT DESTINATION],LT_REF[New Ark WH],,0))</calculatedColumnFormula>
    </tableColumn>
    <tableColumn id="4" xr3:uid="{1A078655-E174-43C9-9086-418E4EB60D4D}" name="TCL-HK PO INCOTERM Requested" dataDxfId="350"/>
    <tableColumn id="2" xr3:uid="{8925D154-A616-457A-9524-7BD55EE1B332}" name="B/L Consignee" dataDxfId="349"/>
    <tableColumn id="21" xr3:uid="{05C7C581-555D-48CF-B71C-4B8861400A97}" name="Priority Level" dataDxfId="348"/>
    <tableColumn id="6" xr3:uid="{A1427FC0-249D-414A-A988-31D2EAFFA02D}" name="ALLOCATION Planning" dataDxfId="347"/>
    <tableColumn id="7" xr3:uid="{65C4575B-500B-45AE-96FF-A856DBDA4BBA}" name="SPWR SO Number" dataDxfId="346"/>
    <tableColumn id="59" xr3:uid="{2FA46DD4-028C-42A9-9553-422F6F616B6B}" name="SPWR SO Line" dataDxfId="345"/>
    <tableColumn id="9" xr3:uid="{6CE758FF-FC56-4B41-8E41-E6A674E44FB5}" name="G2G / Planning" dataDxfId="344"/>
    <tableColumn id="46" xr3:uid="{1D91C7F5-621F-471B-87D2-C5011B7C5DDF}" name="Factory Available Date" dataDxfId="343"/>
    <tableColumn id="12" xr3:uid="{23F5DC22-8614-4D78-973D-A3A5A42E9920}" name="PRODUCT TYPE" dataDxfId="342"/>
    <tableColumn id="53" xr3:uid="{0EF1FE28-67C9-4E46-A8DE-C3A0FC874D78}" name="New Ark SKU" dataDxfId="341"/>
    <tableColumn id="14" xr3:uid="{ACE7D886-D688-4601-AE0F-79C59966D62B}" name="Model" dataDxfId="340"/>
    <tableColumn id="57" xr3:uid="{D518EC18-5433-4993-A1B2-59B1EEC831D4}" name="Connector" dataDxfId="339">
      <calculatedColumnFormula>_xlfn.XLOOKUP(PV_DATA[[#This Row],[New Ark SKU]],Table9[New Ark SKU],Table9[Connector],,0)</calculatedColumnFormula>
    </tableColumn>
    <tableColumn id="13" xr3:uid="{BE4E9D07-764F-413C-B86F-C36F76901770}" name="Cable Length" dataDxfId="338">
      <calculatedColumnFormula>_xlfn.XLOOKUP(PV_DATA[[#This Row],[New Ark SKU]],Table9[New Ark SKU],Table9[Cable],,0)</calculatedColumnFormula>
    </tableColumn>
    <tableColumn id="15" xr3:uid="{282DB856-518F-4DD4-A94B-2CE75288D730}" name="WATT" dataDxfId="337"/>
    <tableColumn id="16" xr3:uid="{259FCF23-5BB8-4AE3-9BE2-AB83F4A161A7}" name="QUANTITY" dataDxfId="336"/>
    <tableColumn id="17" xr3:uid="{B69E0AE1-9F0D-43B0-9C5A-EC1FC7B02C06}" name="MW" dataDxfId="335">
      <calculatedColumnFormula>PV_DATA[[#This Row],[QUANTITY]]*PV_DATA[[#This Row],[WATT]]/1000000</calculatedColumnFormula>
    </tableColumn>
    <tableColumn id="18" xr3:uid="{8BEE2A67-C491-4483-B48F-D5825C7E9EF4}" name="PALLETS" dataDxfId="334">
      <calculatedColumnFormula>PV_DATA[[#This Row],[QUANTITY]]/PV_DATA[[#This Row],[Qty/Pallet]]</calculatedColumnFormula>
    </tableColumn>
    <tableColumn id="19" xr3:uid="{DC186D4D-6148-4929-93DD-F7C0CFFB99C5}" name="CONTAINERS" dataDxfId="333"/>
    <tableColumn id="20" xr3:uid="{D4F1B3A0-2574-4696-8A72-0B8774513C0F}" name="STATUS" dataDxfId="332"/>
    <tableColumn id="22" xr3:uid="{84F10200-1A0E-481F-8143-B03E592DD3B1}" name="COMPLETED or IN-TRANSIT" dataDxfId="331">
      <calculatedColumnFormula>IF(AN2&lt;&gt;"","COMPLETED",IF(AK2&lt;&gt;"","IN-TRANSIT",""))</calculatedColumnFormula>
    </tableColumn>
    <tableColumn id="66" xr3:uid="{F20EC215-42ED-4F35-BBF8-349722AC47FF}" name="ETR" dataDxfId="330"/>
    <tableColumn id="24" xr3:uid="{F48B0F8F-CA20-43AE-BBD6-41B23540605E}" name="Pick-Up Date" dataDxfId="329"/>
    <tableColumn id="25" xr3:uid="{B4D181AD-C003-4CFA-874A-8C4D0A053CB0}" name="Pick-Up Week" dataDxfId="328">
      <calculatedColumnFormula>IF(PV_DATA[[#This Row],[Pick-Up Date]]&lt;&gt;"",_xlfn.ISOWEEKNUM(PV_DATA[[#This Row],[Pick-Up Date]]),"")</calculatedColumnFormula>
    </tableColumn>
    <tableColumn id="26" xr3:uid="{FDC91D96-88D4-4E95-BDC1-DD1147703899}" name="SPTN-PVHK New Ark PO#" dataDxfId="327"/>
    <tableColumn id="27" xr3:uid="{378E9EB6-5A43-4414-B3C4-BB6D0CA0969D}" name="SPTN-HKPV ORacle PO#" dataDxfId="326"/>
    <tableColumn id="28" xr3:uid="{7B6BFDE5-98C4-4D0B-A72F-3270FC98D4CF}" name="PORT OF LOADING" dataDxfId="325"/>
    <tableColumn id="44" xr3:uid="{B897D137-AEFE-451D-8204-C95B8D45A9C6}" name="POL" dataDxfId="324"/>
    <tableColumn id="29" xr3:uid="{29C63467-65EA-415E-914E-74EC0103A92A}" name="PORT DESTINATION" dataDxfId="323"/>
    <tableColumn id="30" xr3:uid="{C939EA06-4286-405B-BABC-8A0ED9B01066}" name="ETD On S/O_x000a_" dataDxfId="322"/>
    <tableColumn id="31" xr3:uid="{92412AE7-B970-4EEB-B30A-FA4E7DE233DC}" name="ETD Update" dataDxfId="321"/>
    <tableColumn id="32" xr3:uid="{46B9EA9D-6905-471E-809D-D79261790659}" name="ATD PORT" dataDxfId="320"/>
    <tableColumn id="33" xr3:uid="{08772FEE-C15C-42F4-96B5-0E5025071B36}" name="ETA On S/O" dataDxfId="319"/>
    <tableColumn id="34" xr3:uid="{BEFB425A-4BA2-4577-9E99-6FC742099518}" name="ETA Update" dataDxfId="318"/>
    <tableColumn id="35" xr3:uid="{6F5530E7-E6D7-4912-B514-1DAFD0340BB4}" name="ATA PORT" dataDxfId="317"/>
    <tableColumn id="36" xr3:uid="{68D61AF0-D5A7-497C-8FF4-466DFCBA2205}" name="Incoterm" dataDxfId="316"/>
    <tableColumn id="37" xr3:uid="{6CB8165C-90A5-4639-A0F5-F9E3F8411E38}" name="REFERENCE_x000a_V.V   " dataDxfId="315"/>
    <tableColumn id="38" xr3:uid="{7B2F96F5-2DCB-4087-AD9B-BAFAF416F4C4}" name="Carrier" dataDxfId="314"/>
    <tableColumn id="39" xr3:uid="{298CFF55-C446-4728-AE54-0083E5EB4E06}" name="TCL Invoice#_x000a_or PO#" dataDxfId="313"/>
    <tableColumn id="40" xr3:uid="{4349FA88-EB44-4DC0-8C93-2E455BB303E0}" name="MBL/HBL#" dataDxfId="312"/>
    <tableColumn id="41" xr3:uid="{98EF6CF7-4434-48BE-ACF3-99887385CDAF}" name="BOOKING#" dataDxfId="311"/>
    <tableColumn id="42" xr3:uid="{C55ABBC3-D502-4958-89C0-DBC5A6F15B47}" name="Leg2 leadtime On S/O" dataDxfId="310"/>
    <tableColumn id="43" xr3:uid="{4F9103BB-580E-42D8-AF22-069E5F3A823D}" name="Telex released " dataDxfId="309"/>
    <tableColumn id="49" xr3:uid="{02CB34BA-811E-4E08-BAC0-7080CE4D704F}" name="ODP ETA Port" dataDxfId="308">
      <calculatedColumnFormula array="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calculatedColumnFormula>
    </tableColumn>
    <tableColumn id="50" xr3:uid="{472CCCF5-597F-4486-89C4-C64B864FA569}" name="New Ark PO status" dataDxfId="307">
      <calculatedColumnFormula>IF(COUNTIF(#REF!,#REF!)=0,"-",_xlfn.XLOOKUP(#REF!,#REF!,#REF!,,0)&amp;"-"&amp;_xlfn.XLOOKUP(#REF!,#REF!,#REF!,,0))</calculatedColumnFormula>
    </tableColumn>
    <tableColumn id="54" xr3:uid="{7B4A85AD-65A4-4716-9A71-AAD2CEBAED84}" name="NewArk ETA PO" dataDxfId="306">
      <calculatedColumnFormula>IF(ISERROR(PV_DATA[[#This Row],[New Ark PO status]]),"",_xlfn.XLOOKUP(PV_DATA[[#This Row],[SPTN-PVHK New Ark PO'#]],New_Ark_Data[Purchase order Number],New_Ark_Data[Estimated time of arrival],"",0))</calculatedColumnFormula>
    </tableColumn>
    <tableColumn id="23" xr3:uid="{B06E01B3-B93B-4D1A-A873-D947291B13C6}" name="Customs/Leg3 Assumption" dataDxfId="305">
      <calculatedColumnFormula>IF(OR(PV_DATA[[#This Row],[New Ark PO Type]]="Offshore",PV_DATA[[#This Row],[New Ark PO Type]]="Internal-&gt;Offshore"),0,IFERROR(VLOOKUP(PV_DATA[[#This Row],[POL]]&amp;PV_DATA[[#This Row],[PORT DESTINATION]],LT_REF[],7,0),14))</calculatedColumnFormula>
    </tableColumn>
    <tableColumn id="52" xr3:uid="{71358A1B-D8D0-42AD-8F7E-2F538B92F144}" name="ETA for New Ark update" dataDxfId="304">
      <calculatedColumnFormula>IFERROR(PV_DATA[[#This Row],[ODP ETA Port]]+PV_DATA[[#This Row],[Customs/Leg3 Assumption]],"n/a")</calculatedColumnFormula>
    </tableColumn>
    <tableColumn id="64" xr3:uid="{399882AC-21BE-4FED-9929-5FCF530893B8}" name="ETA Year" dataDxfId="303">
      <calculatedColumnFormula>YEAR(PV_DATA[[#This Row],[ETA for New Ark update]])</calculatedColumnFormula>
    </tableColumn>
    <tableColumn id="61" xr3:uid="{C884B4C0-89A2-4CBB-A6AA-C58868EF11DE}" name="ETA Month" dataDxfId="302">
      <calculatedColumnFormula>MONTH(PV_DATA[[#This Row],[ETA for New Ark update]])</calculatedColumnFormula>
    </tableColumn>
    <tableColumn id="56" xr3:uid="{A8ABF843-EF2A-4867-94EC-F4A345A03835}" name="ETA Week" dataDxfId="301">
      <calculatedColumnFormula>IFERROR(_xlfn.ISOWEEKNUM(PV_DATA[[#This Row],[ETA for New Ark update]]),0)</calculatedColumnFormula>
    </tableColumn>
    <tableColumn id="45" xr3:uid="{7919CC90-4323-4FD7-B3C4-FBA035887FD3}" name="Qty/Pallet" dataDxfId="300">
      <calculatedColumnFormula>_xlfn.XLOOKUP(PV_DATA[[#This Row],[New Ark SKU]],Table9[New Ark SKU],Table9[Total PCS per Pallet],,0)</calculatedColumnFormula>
    </tableColumn>
    <tableColumn id="55" xr3:uid="{4750BEF5-6C0F-48C6-B952-0A238344B18F}" name="Qty/CT" dataDxfId="299">
      <calculatedColumnFormula>_xlfn.XLOOKUP(PV_DATA[[#This Row],[New Ark SKU]],Table9[New Ark SKU],Table9[Total PCS per 40HQ Container],,0)</calculatedColumnFormula>
    </tableColumn>
    <tableColumn id="11" xr3:uid="{78BB9070-5688-4AA5-9BB3-55ED09049188}" name="Back Glass" dataDxfId="298">
      <calculatedColumnFormula>_xlfn.XLOOKUP(PV_DATA[[#This Row],[New Ark SKU]],Table9[New Ark SKU],Table9[Back Glass],,0)</calculatedColumnFormula>
    </tableColumn>
    <tableColumn id="8" xr3:uid="{B4911852-797E-4555-9780-445B0A0D59B7}" name="Shipping Line" dataDxfId="297">
      <calculatedColumnFormula>_xlfn.XLOOKUP(PV_DATA[[#This Row],[PORT DESTINATION]],Table12[PORT DESTINATION],Table12[Cosco Line],,0)</calculatedColumnFormula>
    </tableColumn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F0E998-2CD5-4F64-94E3-3632216944F5}" name="ESS_DATA" displayName="ESS_DATA" ref="A1:BD301" totalsRowShown="0" headerRowDxfId="296" dataDxfId="295" tableBorderDxfId="294">
  <autoFilter ref="A1:BD301" xr:uid="{87F0E998-2CD5-4F64-94E3-3632216944F5}"/>
  <tableColumns count="56">
    <tableColumn id="1" xr3:uid="{164B07FE-FA5D-4F50-916E-97FCDC71802E}" name="TCL REFERENCE" dataDxfId="293"/>
    <tableColumn id="5" xr3:uid="{60408A20-D06C-47F6-A626-94F837975ED9}" name="Factory Location" dataDxfId="292"/>
    <tableColumn id="10" xr3:uid="{445C21D5-7561-469F-8237-EDB7280A4A10}" name="FX_QTY criteria" dataDxfId="291">
      <calculatedColumnFormula>IFERROR(LEFT(ESS_DATA[[#This Row],[TCL REFERENCE]],FIND(".",ESS_DATA[[#This Row],[TCL REFERENCE]],1)-1),"Main Line")</calculatedColumnFormula>
    </tableColumn>
    <tableColumn id="3" xr3:uid="{F2B83DE2-28C9-4251-9670-02A35C3B3DB7}" name="CHANNEL" dataDxfId="290"/>
    <tableColumn id="56" xr3:uid="{8C256FEC-9A81-4C96-B1A2-940F92B69A5D}" name="New Ark PO Type" dataDxfId="289"/>
    <tableColumn id="12" xr3:uid="{DB9E0BCA-AB16-4ADB-93EB-3C3693E5D24F}" name="New Ark WH" dataDxfId="288"/>
    <tableColumn id="4" xr3:uid="{230421AE-4979-4F88-A4A0-066E6CB45837}" name="TCL-HK PO INCOTERM Requested" dataDxfId="287"/>
    <tableColumn id="2" xr3:uid="{CBC47365-34DC-475D-B43D-47435E871A6D}" name="B/L Consignee" dataDxfId="286"/>
    <tableColumn id="21" xr3:uid="{D4B7FE1C-89E2-43BD-BD71-0C9B2D678FB3}" name="Priority Level" dataDxfId="285"/>
    <tableColumn id="6" xr3:uid="{61268571-2AFD-4E57-835D-8DDA4B0B541E}" name="ALLOCATION Planning" dataDxfId="284"/>
    <tableColumn id="7" xr3:uid="{89A12004-F963-402B-B094-0E69186184D4}" name="SPWR SO Number" dataDxfId="283"/>
    <tableColumn id="8" xr3:uid="{7BFF381E-E066-4BEF-8155-02D3A29EEAA6}" name="SPWR SO Line" dataDxfId="282"/>
    <tableColumn id="9" xr3:uid="{6624154E-7D12-4172-B819-ACA4306E5EC5}" name="G2G / Planning" dataDxfId="281"/>
    <tableColumn id="53" xr3:uid="{4F8C3BFD-E17F-4568-B83F-719FC91B14DC}" name="New Ark SKU" dataDxfId="280"/>
    <tableColumn id="13" xr3:uid="{AF483EBE-CD54-47AB-9147-61CF3DF39D96}" name="Product Type" dataDxfId="279"/>
    <tableColumn id="14" xr3:uid="{E109EC1B-26BB-48A4-97EA-6BF288AF1823}" name="Model" dataDxfId="278"/>
    <tableColumn id="15" xr3:uid="{2E488E4B-6710-4568-9789-D003D7B302B2}" name="WATT" dataDxfId="277"/>
    <tableColumn id="16" xr3:uid="{B513C8CA-2154-4DF9-89CB-6D4E8A74EEED}" name="QUANTITY" dataDxfId="276"/>
    <tableColumn id="17" xr3:uid="{1D395D46-3A86-4EA0-8363-251D851C236C}" name="MW" dataDxfId="275"/>
    <tableColumn id="18" xr3:uid="{2F598D22-5530-46C4-AE15-22C1D7B0597D}" name="PALLETS" dataDxfId="274"/>
    <tableColumn id="19" xr3:uid="{307DE70C-E400-447A-B96A-897A6AAE54C0}" name="CONTAINERS" dataDxfId="273"/>
    <tableColumn id="11" xr3:uid="{68B4D2D8-86E4-4956-BB35-E6C666EEE327}" name="CT Mark" dataDxfId="272"/>
    <tableColumn id="20" xr3:uid="{52FBA648-196C-4450-9F2A-BC210406C2A5}" name="STATUS" dataDxfId="271"/>
    <tableColumn id="47" xr3:uid="{152741E3-D0C0-47C1-B39B-471B1AE01F69}" name="COMPLETED or IN-TRANSIT" dataDxfId="270">
      <calculatedColumnFormula>IF(AL2&lt;&gt;"","COMPLETED",IF(AI2&lt;&gt;"","IN-TRANSIT",""))</calculatedColumnFormula>
    </tableColumn>
    <tableColumn id="22" xr3:uid="{0F29C16B-EF58-415F-969B-9BD6FAFC4074}" name="ETR" dataDxfId="269"/>
    <tableColumn id="24" xr3:uid="{663E9012-517F-4551-B278-A14E14248821}" name="Pick-Up Date" dataDxfId="268"/>
    <tableColumn id="25" xr3:uid="{E82325EF-0D1B-4224-ADA8-CCB862739923}" name="Pick-Up Week" dataDxfId="267">
      <calculatedColumnFormula>WEEKNUM(ESS_DATA[[#This Row],[Pick-Up Date]])</calculatedColumnFormula>
    </tableColumn>
    <tableColumn id="26" xr3:uid="{F659C961-DC43-4489-948B-AD99CA397F6B}" name="SPTN-PVHK New Ark PO#" dataDxfId="266"/>
    <tableColumn id="27" xr3:uid="{43483E84-22C5-4C57-8F69-9272B8F315DF}" name="SPTN-HKPV ORacle PO#" dataDxfId="265"/>
    <tableColumn id="28" xr3:uid="{A02FF1E8-CBA2-43AD-A51A-57EC700BAC30}" name="PORT OF LOADING" dataDxfId="264"/>
    <tableColumn id="46" xr3:uid="{710D1DA8-1E6A-44E8-B22B-4286B299AB3E}" name="POL" dataDxfId="263"/>
    <tableColumn id="29" xr3:uid="{39BD54AA-3309-4AA1-B2AA-BF655C4CD215}" name="PORT DESTINATION" dataDxfId="262"/>
    <tableColumn id="30" xr3:uid="{3F236515-A709-4BCE-A72B-E92AEC37A716}" name="ETD On S/O" dataDxfId="261"/>
    <tableColumn id="31" xr3:uid="{2AF6FC64-262B-4F04-9128-5E321414AA4E}" name="ETD Update" dataDxfId="260"/>
    <tableColumn id="32" xr3:uid="{CDC56BD0-9EFC-49D7-B5B2-C0797F738950}" name="ATD PORT" dataDxfId="259"/>
    <tableColumn id="33" xr3:uid="{866005B1-8964-459B-BDB8-9AE43E472DAD}" name="ETA On S/O" dataDxfId="258"/>
    <tableColumn id="34" xr3:uid="{038A7FF5-4C46-4E1C-A79C-1AA36D8B0EA0}" name="ETA Update" dataDxfId="257"/>
    <tableColumn id="35" xr3:uid="{9D8678AE-D215-424F-890A-FF210257888D}" name="ATA PORT" dataDxfId="256"/>
    <tableColumn id="36" xr3:uid="{D9754626-D407-41E2-B4F3-DFF5D6BB8705}" name="Incoterm" dataDxfId="255"/>
    <tableColumn id="37" xr3:uid="{9ACAC7EB-10F7-4278-8654-3827DB84D0AA}" name="REFERENCE_x000a_V.V   " dataDxfId="254"/>
    <tableColumn id="38" xr3:uid="{F01D2D0B-F990-4F78-AF1E-6BCA91231C4A}" name="Carrier" dataDxfId="253"/>
    <tableColumn id="39" xr3:uid="{977AECB1-FF6E-4739-B291-169D2686671F}" name="TCL Invoice#_x000a_or PO#" dataDxfId="252"/>
    <tableColumn id="40" xr3:uid="{10A28AB6-1AF2-445C-BDB2-93AB8DE0CB32}" name="MBL/HBL#" dataDxfId="251"/>
    <tableColumn id="41" xr3:uid="{217AFB9C-D91C-4D63-8BE5-4ABA7597E912}" name="BOOKING#" dataDxfId="250"/>
    <tableColumn id="42" xr3:uid="{B69F9B2D-2CD3-4C74-9904-73AAC0F2E949}" name="Leg2 leadtime On S/O" dataDxfId="249">
      <calculatedColumnFormula>ESS_DATA[[#This Row],[ETA On S/O]]-ESS_DATA[[#This Row],[ETD On S/O]]+1</calculatedColumnFormula>
    </tableColumn>
    <tableColumn id="43" xr3:uid="{DD0AEF34-6623-450C-AFAE-285D1C6BCE46}" name="Telex released " dataDxfId="248"/>
    <tableColumn id="49" xr3:uid="{C4DBB245-A08C-4D4A-857E-7173C42116CF}" name="ODP ETA Port" dataDxfId="247">
      <calculatedColumnFormula array="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calculatedColumnFormula>
    </tableColumn>
    <tableColumn id="50" xr3:uid="{078AD4E1-2BA4-4EA8-9262-355375A6523D}" name="New Ark PO status" dataDxfId="246">
      <calculatedColumnFormula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calculatedColumnFormula>
    </tableColumn>
    <tableColumn id="54" xr3:uid="{0B687DF9-949D-45AF-88D0-655C439EB739}" name="NewArk ETA PO" dataDxfId="245">
      <calculatedColumnFormula>IF(ISERROR(ESS_DATA[[#This Row],[New Ark PO status]]),"",_xlfn.XLOOKUP(ESS_DATA[[#This Row],[SPTN-PVHK New Ark PO'#]],New_Ark_Data[Purchase order Number],New_Ark_Data[Estimated time of arrival],"",0))</calculatedColumnFormula>
    </tableColumn>
    <tableColumn id="23" xr3:uid="{EC8573A4-AF40-42CE-837C-5E4D9EB8DA2E}" name="Customs/Leg3 Assumption" dataDxfId="244">
      <calculatedColumnFormula>IF(ESS_DATA[[#This Row],[New Ark PO Type]]="Offshore",0,IFERROR(VLOOKUP(ESS_DATA[[#This Row],[PORT OF LOADING]]&amp;ESS_DATA[[#This Row],[PORT DESTINATION]],LT_REF[],7,0),14))</calculatedColumnFormula>
    </tableColumn>
    <tableColumn id="52" xr3:uid="{EDBBB8FD-1F73-4479-A863-F98AD928329E}" name="ETA for New Ark update" dataDxfId="243">
      <calculatedColumnFormula>IFERROR(ESS_DATA[[#This Row],[ODP ETA Port]]+ESS_DATA[[#This Row],[Customs/Leg3 Assumption]],"n/a")</calculatedColumnFormula>
    </tableColumn>
    <tableColumn id="58" xr3:uid="{5FEAC4FD-AA53-4BB0-8984-6975D6B047FE}" name="ETA Year" dataDxfId="242">
      <calculatedColumnFormula>YEAR(ESS_DATA[[#This Row],[ETA for New Ark update]])</calculatedColumnFormula>
    </tableColumn>
    <tableColumn id="59" xr3:uid="{B7184CA7-A536-4071-BB59-01C430FC22E2}" name="ETA Month" dataDxfId="241">
      <calculatedColumnFormula>MONTH(ESS_DATA[[#This Row],[ETA for New Ark update]])</calculatedColumnFormula>
    </tableColumn>
    <tableColumn id="61" xr3:uid="{46BAFF0C-6875-4274-ACC1-A20D785D1BFB}" name="ETA Week" dataDxfId="240">
      <calculatedColumnFormula>IFERROR(_xlfn.ISOWEEKNUM(ESS_DATA[[#This Row],[ETA for New Ark update]]),0)</calculatedColumnFormula>
    </tableColumn>
    <tableColumn id="60" xr3:uid="{335D7C13-45DA-415C-8B7B-6132E4DC3F57}" name="Shipping Line" dataDxfId="239">
      <calculatedColumnFormula>_xlfn.XLOOKUP(ESS_DATA[[#This Row],[PORT DESTINATION]],Table12[PORT DESTINATION],Table12[Cosco Line],,0)</calculatedColumnFormula>
    </tableColumn>
    <tableColumn id="44" xr3:uid="{FA6A14EE-17AB-4D5B-9696-DF0753DD2225}" name="Column1" dataDxfId="238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0BF759-E8E5-408F-AF26-A1EEC80CE9C5}" name="Pending_Alloc" displayName="Pending_Alloc" ref="C1:R4" totalsRowShown="0" headerRowDxfId="237" dataDxfId="235" headerRowBorderDxfId="236" tableBorderDxfId="234" totalsRowBorderDxfId="233">
  <autoFilter ref="C1:R4" xr:uid="{850BF759-E8E5-408F-AF26-A1EEC80CE9C5}"/>
  <tableColumns count="16">
    <tableColumn id="1" xr3:uid="{C3677118-50F8-45C9-96A1-5194E4E5EC20}" name="ALLOCATION REQUEST" dataDxfId="232"/>
    <tableColumn id="2" xr3:uid="{8B25345F-0C83-40F7-9E02-740E223FB42F}" name="Customer order (if any)"/>
    <tableColumn id="3" xr3:uid="{E89FCF33-A82D-4659-A68E-9EEC2D1E82C7}" name="Customer Order Incoterm" dataDxfId="231"/>
    <tableColumn id="5" xr3:uid="{39052C54-03DD-4CAF-BB14-A8A6848B064D}" name="Request Date / Shipment " dataDxfId="230"/>
    <tableColumn id="16" xr3:uid="{8DDA64A2-BE85-43E7-A40D-8A64779BECE2}" name="Origination ?" dataDxfId="229"/>
    <tableColumn id="15" xr3:uid="{6B1F5BB3-E854-4015-924F-424E780DC3B9}" name="PORT OF DESTINATION (tentative)" dataDxfId="228"/>
    <tableColumn id="4" xr3:uid="{1CD7161A-508A-41B2-9A43-2F3F50750F4B}" name="PICK-UP (Tentative)" dataDxfId="227"/>
    <tableColumn id="6" xr3:uid="{B9508EA7-5831-4675-BCFE-199DB888EDF7}" name="`PRODUCT TYPE" dataDxfId="226"/>
    <tableColumn id="7" xr3:uid="{790AA2FC-5D5D-409A-B030-704D373A1662}" name="New Ark SKU" dataDxfId="225"/>
    <tableColumn id="8" xr3:uid="{C3DB526E-79C0-4D0E-9F03-99B2FF16B62F}" name="Oracle SKU" dataDxfId="224"/>
    <tableColumn id="9" xr3:uid="{4B0737DB-A98D-47B4-AAAD-A43D6998A127}" name="DESCRIPTION" dataDxfId="223"/>
    <tableColumn id="10" xr3:uid="{9CD37D0E-948C-4BCC-A3E1-918D8771BEC1}" name="WATT" dataDxfId="222"/>
    <tableColumn id="11" xr3:uid="{43ACFD1C-21C9-4094-9714-9A50546F53AF}" name="QUANTITY" dataDxfId="221"/>
    <tableColumn id="12" xr3:uid="{52C361E0-3B62-44C1-82F0-8221405D3BD6}" name="MW" dataDxfId="220"/>
    <tableColumn id="13" xr3:uid="{97056B4D-6FB7-4124-AB24-CD0952241512}" name="PALLETS" dataDxfId="219"/>
    <tableColumn id="14" xr3:uid="{5BD6157D-B24D-4568-B07B-8F2DC1BE910A}" name="CONTAINERS" dataDxfId="21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64376C4-2B47-4508-A8B0-0EA9CF8D724F}" name="New_Ark_Data" displayName="New_Ark_Data" ref="B3:J1656" totalsRowShown="0" headerRowDxfId="217" dataDxfId="215" headerRowBorderDxfId="216" tableBorderDxfId="214">
  <autoFilter ref="B3:J1656" xr:uid="{35CFA5FF-2652-4E85-97C6-CBCA12E20C4F}"/>
  <tableColumns count="9">
    <tableColumn id="1" xr3:uid="{3A387282-99BA-411D-9040-C65565DC4945}" name="Purchase order Number" dataDxfId="213"/>
    <tableColumn id="5" xr3:uid="{DC2B7997-5EC8-4430-81AD-C495A2D8A8FB}" name="Purchase Type" dataDxfId="212"/>
    <tableColumn id="2" xr3:uid="{48AB4FF4-9389-4180-AA3C-7383821C556F}" name="TMS bill Number / voucher bill Number" dataDxfId="211"/>
    <tableColumn id="7" xr3:uid="{35F219BD-F9A2-4C54-9DE9-3D8AF3B0F1F6}" name="Customer Po" dataDxfId="210"/>
    <tableColumn id="9" xr3:uid="{E7A5B0A9-52B0-4294-8020-222C47DE3F54}" name="Category" dataDxfId="209"/>
    <tableColumn id="8" xr3:uid="{3904192B-F362-46B6-A8C2-508AF6FDD704}" name="Estimated time of arrival" dataDxfId="208"/>
    <tableColumn id="3" xr3:uid="{FDDF12EC-4215-4204-9A1E-C62BE8343C2D}" name="Status" dataDxfId="207"/>
    <tableColumn id="6" xr3:uid="{844AC0CB-87A8-4F6F-86E2-AC294041AF82}" name="Approval Status" dataDxfId="206"/>
    <tableColumn id="4" xr3:uid="{9394E5D1-E5F3-48B4-9238-8113AA8F541B}" name="Note" dataDxfId="205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A5BAEC9-31F3-47A7-BC87-3C9A47B36CAF}" name="Table9" displayName="Table9" ref="A1:I159" totalsRowShown="0" headerRowDxfId="203" headerRowBorderDxfId="202">
  <autoFilter ref="A1:I159" xr:uid="{4A5BAEC9-31F3-47A7-BC87-3C9A47B36CAF}"/>
  <tableColumns count="9">
    <tableColumn id="1" xr3:uid="{A5769E0B-E4D2-4E06-8EEA-71565AD976E6}" name="New Ark SKU" dataDxfId="201"/>
    <tableColumn id="6" xr3:uid="{B4D4FE3D-AC07-40B2-9634-83EE4764802A}" name="Product Model" dataDxfId="200"/>
    <tableColumn id="2" xr3:uid="{DFD79F2B-E6EA-47EA-B08C-273238B264A6}" name="Cable" dataDxfId="199"/>
    <tableColumn id="3" xr3:uid="{61B51A9A-46DD-4B6A-B278-58C01E341B55}" name="Connector"/>
    <tableColumn id="4" xr3:uid="{8D9C9D1C-7096-40FF-AD31-D07A1F60CB4E}" name="Back Glass" dataDxfId="198"/>
    <tableColumn id="5" xr3:uid="{9CE9BCE7-0E30-432D-B371-040FD88F2D7E}" name="Frame" dataDxfId="197"/>
    <tableColumn id="7" xr3:uid="{8162B58E-D280-4FF8-9D92-B0055D926471}" name="Total PCS per Pallet" dataDxfId="196"/>
    <tableColumn id="8" xr3:uid="{C575A311-8191-43DC-B865-E47E24868778}" name="Total PCS per 40HQ Container" dataDxfId="195"/>
    <tableColumn id="9" xr3:uid="{FA6B90AB-02B8-47FC-81D6-050C1150AB27}" name="Material Description" dataDxfId="194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ACEC0A-BA4D-4F47-8983-70887D51E088}" name="PO_Check" displayName="PO_Check" ref="A1:P1403" tableType="queryTable" totalsRowShown="0">
  <autoFilter ref="A1:P1403" xr:uid="{BFACEC0A-BA4D-4F47-8983-70887D51E088}"/>
  <tableColumns count="16">
    <tableColumn id="1" xr3:uid="{07C2812E-8BC3-41A2-B375-23213DF582FB}" uniqueName="1" name="TCL REFERENCE" queryTableFieldId="1"/>
    <tableColumn id="2" xr3:uid="{04EBEF71-CC3F-421B-A218-27A602FA1156}" uniqueName="2" name="New Ark PO Type" queryTableFieldId="2"/>
    <tableColumn id="3" xr3:uid="{1FEC3C51-5D3E-4566-9368-ADFE8630E9D5}" uniqueName="3" name="New Ark WH" queryTableFieldId="3"/>
    <tableColumn id="4" xr3:uid="{08F8883B-2414-453F-9122-A6EB10BB4BEC}" uniqueName="4" name="PRODUCT TYPE" queryTableFieldId="4"/>
    <tableColumn id="5" xr3:uid="{55DF19DC-50C1-4C61-92B9-E88BC53DB7AF}" uniqueName="5" name="New Ark SKU" queryTableFieldId="5"/>
    <tableColumn id="6" xr3:uid="{A862530D-88C8-478D-9971-2202A8F937C5}" uniqueName="6" name="Model" queryTableFieldId="6"/>
    <tableColumn id="7" xr3:uid="{1A2BBC1B-9D22-4E16-AEC5-B72BF99885A9}" uniqueName="7" name="QUANTITY" queryTableFieldId="7"/>
    <tableColumn id="18" xr3:uid="{79EBD7BD-2356-43F3-9CC9-20525F5CA62C}" uniqueName="18" name="COMPLETED or IN-TRANSIT" queryTableFieldId="18"/>
    <tableColumn id="8" xr3:uid="{30D1D505-187D-42C8-BABD-9EC19DA8F702}" uniqueName="8" name="SPTN-PVHK New Ark PO#" queryTableFieldId="8"/>
    <tableColumn id="9" xr3:uid="{626A8216-B118-4074-86C6-0BB77E63E366}" uniqueName="9" name="ETD On S/O_x000a_" queryTableFieldId="9" dataDxfId="13"/>
    <tableColumn id="10" xr3:uid="{A59CE7D0-FCD2-4AE7-AA51-1827241734CF}" uniqueName="10" name="ETA On S/O" queryTableFieldId="10" dataDxfId="12"/>
    <tableColumn id="11" xr3:uid="{2D6B6012-ABAA-4613-9FF9-3931DE22B8B6}" uniqueName="11" name="ETA Update" queryTableFieldId="11" dataDxfId="11"/>
    <tableColumn id="12" xr3:uid="{72B74C91-2946-4AF0-9086-22A1EF1CF0CC}" uniqueName="12" name="ATA PORT" queryTableFieldId="12" dataDxfId="10"/>
    <tableColumn id="14" xr3:uid="{76464F9E-EC21-4EC2-B3B1-F6CA9DDC0B10}" uniqueName="14" name="New Ark PO status" queryTableFieldId="14"/>
    <tableColumn id="15" xr3:uid="{8F6F57AF-9D14-46F4-97F9-DFB001A3C038}" uniqueName="15" name="NewArk ETA PO" queryTableFieldId="15" dataDxfId="9"/>
    <tableColumn id="16" xr3:uid="{560123A8-6802-40A9-9CA3-7140C7B3789D}" uniqueName="16" name="ETA for New Ark update" queryTableFieldId="16" dataDxf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94992A8-889F-4804-BD53-FFFEDFAB9475}" name="Total_Stock" displayName="Total_Stock" ref="A1:V181" tableType="queryTable" totalsRowShown="0">
  <autoFilter ref="A1:V181" xr:uid="{994992A8-889F-4804-BD53-FFFEDFAB9475}"/>
  <tableColumns count="22">
    <tableColumn id="1" xr3:uid="{B3AAFFDE-3BAB-42E5-B802-3BF818762922}" uniqueName="1" name="TCL REFERENCE" queryTableFieldId="1"/>
    <tableColumn id="6" xr3:uid="{A8C135CB-BF5A-49E9-8C2A-69E003BAA5A1}" uniqueName="6" name="New Ark WH" queryTableFieldId="6"/>
    <tableColumn id="15" xr3:uid="{EA341546-BCFF-40C5-920C-6ECB1011F1D1}" uniqueName="15" name="PRODUCT TYPE" queryTableFieldId="15"/>
    <tableColumn id="16" xr3:uid="{5B61A812-D633-48DA-9BB5-4C2FBFA02A3E}" uniqueName="16" name="New Ark SKU" queryTableFieldId="16"/>
    <tableColumn id="17" xr3:uid="{85E4122A-EFC4-452F-B84F-CFF96AF6179B}" uniqueName="17" name="Model" queryTableFieldId="17"/>
    <tableColumn id="18" xr3:uid="{E6D45547-B8F6-4403-BE98-97CDA0649F04}" uniqueName="18" name="WATT" queryTableFieldId="18"/>
    <tableColumn id="19" xr3:uid="{1E1CA8A4-D9D9-438E-A292-A3618C749B1B}" uniqueName="19" name="QUANTITY" queryTableFieldId="19"/>
    <tableColumn id="20" xr3:uid="{4B2C23B8-C1F7-497E-9110-A22132F69139}" uniqueName="20" name="MW" queryTableFieldId="20"/>
    <tableColumn id="21" xr3:uid="{8E16DA46-F455-4A5E-9526-4E1D17B15820}" uniqueName="21" name="PALLETS" queryTableFieldId="21"/>
    <tableColumn id="22" xr3:uid="{A9214DD1-0014-46F5-9D9A-DAB6EA81E379}" uniqueName="22" name="CONTAINERS" queryTableFieldId="22"/>
    <tableColumn id="23" xr3:uid="{1044E740-B6B0-4CD5-96F2-7FA9F890322D}" uniqueName="23" name="STATUS" queryTableFieldId="23"/>
    <tableColumn id="31" xr3:uid="{DAC586D3-8004-4D46-9F2A-945170B163C1}" uniqueName="31" name="POL" queryTableFieldId="31"/>
    <tableColumn id="32" xr3:uid="{DB01FCE1-C681-49D9-A7FF-1DCD4F209B4A}" uniqueName="32" name="PORT DESTINATION" queryTableFieldId="32"/>
    <tableColumn id="33" xr3:uid="{8CB9C2C5-68DE-4CB8-B8D8-D9977C3CD70A}" uniqueName="33" name="ETD On S/O_x000a_" queryTableFieldId="33" dataDxfId="7"/>
    <tableColumn id="34" xr3:uid="{AA8C1256-27B1-41D1-9CBF-BE7F36BFB768}" uniqueName="34" name="ETD Update" queryTableFieldId="34" dataDxfId="6"/>
    <tableColumn id="35" xr3:uid="{C8016EAF-3DAD-47DC-9EEC-D89A2F93ACD4}" uniqueName="35" name="ATD PORT" queryTableFieldId="35" dataDxfId="5"/>
    <tableColumn id="36" xr3:uid="{24FA0372-C056-4567-87C3-0733BBA543C7}" uniqueName="36" name="ETA On S/O" queryTableFieldId="36" dataDxfId="4"/>
    <tableColumn id="37" xr3:uid="{F65A9FBE-4D1E-445E-B416-6D58AFE8E2D5}" uniqueName="37" name="ETA Update" queryTableFieldId="37" dataDxfId="3"/>
    <tableColumn id="38" xr3:uid="{0A6CF3CF-C96D-4B31-8A6C-128CCA88A85D}" uniqueName="38" name="ATA PORT" queryTableFieldId="38" dataDxfId="2"/>
    <tableColumn id="47" xr3:uid="{26F45212-1C40-49B4-9AE9-A3AC22A36377}" uniqueName="47" name="ODP ETA Port" queryTableFieldId="47" dataDxfId="1"/>
    <tableColumn id="50" xr3:uid="{1FF6769F-7F55-42FB-9089-230EB5071108}" uniqueName="50" name="Customs/Leg3 Assumption" queryTableFieldId="50"/>
    <tableColumn id="51" xr3:uid="{412B60EB-4124-4AF6-B802-D9F23EA02C18}" uniqueName="51" name="ETA for New Ark update" queryTableFieldId="51" dataDxfId="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B2C819-0B14-4A11-978B-E43C99FC7194}" name="LT_REF" displayName="LT_REF" ref="E3:L43" totalsRowShown="0" tableBorderDxfId="193">
  <autoFilter ref="E3:L43" xr:uid="{A2B2C819-0B14-4A11-978B-E43C99FC7194}"/>
  <tableColumns count="8">
    <tableColumn id="1" xr3:uid="{94765725-48C0-46D2-A05A-663B7BE14801}" name="Index" dataDxfId="192">
      <calculatedColumnFormula>LT_REF[[#This Row],[PORT OF LOADING]]&amp;LT_REF[[#This Row],[PORT DESTINATION]]</calculatedColumnFormula>
    </tableColumn>
    <tableColumn id="2" xr3:uid="{FAB585E5-386A-4198-8810-E77D0C7CC8FC}" name="PORT OF LOADING" dataDxfId="191"/>
    <tableColumn id="3" xr3:uid="{D306D218-E767-49CD-9E6E-392DBEC4323E}" name="PORT DESTINATION" dataDxfId="190"/>
    <tableColumn id="9" xr3:uid="{00B30558-34B8-4FD6-9DD0-96F7D0594F1E}" name="New Ark WH" dataDxfId="189"/>
    <tableColumn id="4" xr3:uid="{4172C0DF-19A8-4811-92BC-FB76F5E71CB0}" name="in Days" dataDxfId="188"/>
    <tableColumn id="5" xr3:uid="{DFFCE7D3-1AF0-46BB-AE88-EF971251BC20}" name="in Weeks" dataDxfId="187"/>
    <tableColumn id="7" xr3:uid="{53EEABB3-D122-4ED8-863B-2187B6F0876D}" name="Customs+Leg3" dataDxfId="186"/>
    <tableColumn id="6" xr3:uid="{420BBE64-CDFC-4522-A61C-EB8334279954}" name="Comments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896F23-A3C4-4F70-876D-16FE8A36E29B}" name="Table8" displayName="Table8" ref="N3:O39" totalsRowShown="0" headerRowDxfId="185">
  <autoFilter ref="N3:O39" xr:uid="{B6896F23-A3C4-4F70-876D-16FE8A36E29B}"/>
  <tableColumns count="2">
    <tableColumn id="1" xr3:uid="{41B38822-8411-4056-9CDD-AFF4F456D3B8}" name="B/L Consignee"/>
    <tableColumn id="2" xr3:uid="{A2033B4A-F6DE-45D9-A021-BD189D962DEA}" name="Region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6653168-949C-4746-BE1F-E0CE4F5EFB3F}" name="Table10" displayName="Table10" ref="B3:C54" totalsRowShown="0" headerRowDxfId="184">
  <autoFilter ref="B3:C54" xr:uid="{C6653168-949C-4746-BE1F-E0CE4F5EFB3F}"/>
  <tableColumns count="2">
    <tableColumn id="1" xr3:uid="{8E56B1F8-6BDC-41A3-B424-7311AFA5BBD5}" name="Pick-up assumption"/>
    <tableColumn id="2" xr3:uid="{98246130-5C2C-4DFE-A940-52B988555329}" name="Date" dataDxfId="183">
      <calculatedColumnFormula>C3+7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8D2C5BB-5742-4427-AAFF-855DD5D63252}" name="Table11" displayName="Table11" ref="Q3:Q11" totalsRowShown="0">
  <autoFilter ref="Q3:Q11" xr:uid="{C8D2C5BB-5742-4427-AAFF-855DD5D63252}"/>
  <tableColumns count="1">
    <tableColumn id="1" xr3:uid="{1954C1A1-04CE-45D3-BA7B-B8ACD0D7F83C}" name="Incoter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11A10F6-72A4-40A9-934E-DB00B7930E3F}" name="Table12" displayName="Table12" ref="S3:U30" totalsRowShown="0" headerRowDxfId="182" headerRowBorderDxfId="181" tableBorderDxfId="180">
  <autoFilter ref="S3:U30" xr:uid="{611A10F6-72A4-40A9-934E-DB00B7930E3F}"/>
  <tableColumns count="3">
    <tableColumn id="1" xr3:uid="{0389E343-5AE7-4397-924D-BE7A38EEEF57}" name="PORT DESTINATION"/>
    <tableColumn id="2" xr3:uid="{2FA295F7-0274-44E0-B622-BE4271A2B6C6}" name="Cosco Line"/>
    <tableColumn id="3" xr3:uid="{AC33D1A8-79D6-46E4-9B6B-B17231949CCE}" name="Country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7E46C2-4DC9-415E-8623-893B2460A423}" name="表5" displayName="表5" ref="W3:W6" totalsRowShown="0" headerRowDxfId="179" dataDxfId="178">
  <autoFilter ref="W3:W6" xr:uid="{2C7E46C2-4DC9-415E-8623-893B2460A423}"/>
  <tableColumns count="1">
    <tableColumn id="1" xr3:uid="{53BED2BD-A654-40F6-9FEF-A04F4CAF3853}" name="G2G" dataDxfId="17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0967A6E-9F8E-467E-A637-8969BEF86AFA}" name="表16" displayName="表16" ref="Y3:Y10" totalsRowShown="0" headerRowDxfId="176" dataDxfId="175">
  <autoFilter ref="Y3:Y10" xr:uid="{60967A6E-9F8E-467E-A637-8969BEF86AFA}"/>
  <tableColumns count="1">
    <tableColumn id="1" xr3:uid="{BA631D7C-E8F7-43E4-A38B-EA69DEEBECBA}" name="Priority" dataDxfId="17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1-13T22:23:48.92" personId="{41425945-2EA3-4AE6-96AE-17C5BE4906F3}" id="{A8C05381-08E6-4646-BB56-C2A04B168DAE}">
    <text>Make sure to follow syntax of main ref then “.” then iterate allocation</text>
  </threadedComment>
  <threadedComment ref="G1" dT="2025-09-03T12:33:46.01" personId="{A1DB9FF7-8839-43D1-893F-47EE4320F687}" id="{8B83B415-7832-49E1-A2D5-99ECCE3F2C9F}">
    <text xml:space="preserve">DDP = Specific salesorder with DDP incoterm. DAP shipment inbetween
DAP = salesorder or shipment to local WH
Other incoterms for specific salesorders
</text>
  </threadedComment>
  <threadedComment ref="J1" dT="2025-09-03T12:32:26.85" personId="{A1DB9FF7-8839-43D1-893F-47EE4320F687}" id="{5B4EAEF7-1E8B-4776-9915-8841E4D07EA0}">
    <text>Local WH = for all shipments to replenish local W-org
SPxx / yy = for DDP shipments to xx entity and yy customer
Customer = when allocated to a specific customer</text>
  </threadedComment>
  <threadedComment ref="AK1" dT="2026-01-27T01:02:01.48" personId="{ED0E0B94-28DE-45B0-99AC-EBA7D3821EBA}" id="{0A170809-58AF-4337-A58E-74BE65D34F44}">
    <text>Actual Date of Port Departure</text>
  </threadedComment>
  <threadedComment ref="AL1" dT="2026-01-27T01:03:58.92" personId="{ED0E0B94-28DE-45B0-99AC-EBA7D3821EBA}" id="{7A5D7130-9963-4382-A7D4-EF6242C0D61D}">
    <text>Estimated  Date of Port Discharge</text>
  </threadedComment>
  <threadedComment ref="AN1" dT="2026-01-27T01:02:56.73" personId="{ED0E0B94-28DE-45B0-99AC-EBA7D3821EBA}" id="{296A3352-F37F-452D-BA27-BA43C88EA8A4}">
    <text>Actual Date of Port Discharge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1-13T22:23:48.92" personId="{41425945-2EA3-4AE6-96AE-17C5BE4906F3}" id="{CFE67A02-D4B7-41D3-BF51-E1A1350B0276}">
    <text>Make sure to follow syntax of main ref then “.” then iterate allocation</text>
  </threadedComment>
  <threadedComment ref="H1" dT="2025-09-03T12:33:46.01" personId="{A1DB9FF7-8839-43D1-893F-47EE4320F687}" id="{D6858AE0-5C2A-46EB-B96C-454C73CD40AA}">
    <text xml:space="preserve">DDP = Specific salesorder with DDP incoterm. DAP shipment inbetween
DAP = salesorder or shipment to local WH
Other incoterms for specific salesorders
</text>
  </threadedComment>
  <threadedComment ref="I1" dT="2025-09-03T12:32:26.85" personId="{A1DB9FF7-8839-43D1-893F-47EE4320F687}" id="{B7D344BA-3506-44AB-82D8-AAB5CF4A3A08}">
    <text>Local WH = for all shipments to replenish local W-org
SPxx / yy = for DDP shipments to xx entity and yy customer
Customer = when allocated to a specific customer</text>
  </threadedComment>
  <threadedComment ref="O1" dT="2025-09-03T12:31:12.16" personId="{A1DB9FF7-8839-43D1-893F-47EE4320F687}" id="{4A29FE6D-DE2F-4678-A42D-7F4DBA7627BA}">
    <text>Stauts list :
Excluded = shipped to local warehouse
Locked = allocated to specific customer with salesorder/commit
Pipeline = pre-allocation to secure availability for specific customer/country/project
Available = for new allocation
Future Prod = when availability at factory not yet established</text>
  </threadedComment>
  <threadedComment ref="AK1" dT="2026-01-27T01:02:01.48" personId="{ED0E0B94-28DE-45B0-99AC-EBA7D3821EBA}" id="{793C7D8F-02CE-4089-8C32-0960A13FCAAE}">
    <text>Actual Date of Port Departure</text>
  </threadedComment>
  <threadedComment ref="AL1" dT="2026-01-27T01:03:58.92" personId="{ED0E0B94-28DE-45B0-99AC-EBA7D3821EBA}" id="{4E6DA831-8DF0-4E2E-82B5-26991E801D36}">
    <text>Estimated  Date of Port Discharge</text>
  </threadedComment>
  <threadedComment ref="AN1" dT="2026-01-27T01:02:56.73" personId="{ED0E0B94-28DE-45B0-99AC-EBA7D3821EBA}" id="{FC5CE862-834D-4682-8534-1AE66F3DC60B}">
    <text>Actual Date of Port Discharge</text>
  </threadedComment>
  <threadedComment ref="AO4" dT="2025-05-26T07:39:45.17" personId="{32312947-0001-40CA-9DE2-10E39825AF36}" id="{573D354C-059D-4C62-A131-6367FCF8BBC0}">
    <text xml:space="preserve">Reenpro big order, Second 3CTs </text>
  </threadedComment>
  <threadedComment ref="AO9" dT="2025-06-03T08:43:02.18" personId="{32312947-0001-40CA-9DE2-10E39825AF36}" id="{E49F21AB-F692-4359-9A6C-3649E1F90C40}">
    <text>Reenpro big order, Third Batch 2CTs</text>
  </threadedComment>
  <threadedComment ref="AO11" dT="2025-06-06T07:28:30.73" personId="{32312947-0001-40CA-9DE2-10E39825AF36}" id="{CA41D2DE-5323-4809-B249-10A30A66F0AB}">
    <text>06-05 Newly added ENERGIA ITALIA's order</text>
  </threadedComment>
  <threadedComment ref="AO13" dT="2025-06-12T01:54:17.30" personId="{32312947-0001-40CA-9DE2-10E39825AF36}" id="{0EFCAD00-BBCD-4016-881F-8F72896B88C1}">
    <text>Reenpro's first TCL Module Order</text>
  </threadedComment>
  <threadedComment ref="S14" dT="2025-05-16T07:41:08.45" personId="{C7CDF013-3345-447C-99F9-CDCF82486E8F}" id="{D4D77E0D-2E95-4997-9721-CE91AF296014}">
    <text>Model and bin rate changed per real production</text>
  </threadedComment>
  <threadedComment ref="S15" dT="2025-05-16T07:41:08.45" personId="{C7CDF013-3345-447C-99F9-CDCF82486E8F}" id="{E2CF3810-D926-4F2D-846A-C411F3B13CB6}">
    <text>Model and bin rate changed per real production</text>
  </threadedComment>
  <threadedComment ref="AO15" dT="2025-06-06T07:36:03.09" personId="{32312947-0001-40CA-9DE2-10E39825AF36}" id="{3D3322AA-7559-401C-8CC6-D151424EC6EA}">
    <text>LM's order</text>
  </threadedComment>
  <threadedComment ref="S16" dT="2025-05-16T07:41:24.04" personId="{C7CDF013-3345-447C-99F9-CDCF82486E8F}" id="{1F0758DB-9D0A-40F7-A977-D04324F7050D}">
    <text>Model and bin rate changed per real production</text>
  </threadedComment>
  <threadedComment ref="AO16" dT="2025-06-06T07:28:30.73" personId="{32312947-0001-40CA-9DE2-10E39825AF36}" id="{AC336615-5E37-4E3A-951D-2D46A77E1C83}">
    <text>06-05 Newly added ENERGIA ITALIA's order</text>
  </threadedComment>
  <threadedComment ref="S17" dT="2025-05-16T07:41:24.04" personId="{C7CDF013-3345-447C-99F9-CDCF82486E8F}" id="{DBD4A243-7FA7-40B1-B03C-97273C2014A7}">
    <text>Model and bin rate changed per real production</text>
  </threadedComment>
  <threadedComment ref="AO17" dT="2025-06-06T07:36:03.09" personId="{32312947-0001-40CA-9DE2-10E39825AF36}" id="{BCFBCCF4-8D3A-4F1A-8FDD-A22C94543D3D}">
    <text>LM's order</text>
  </threadedComment>
  <threadedComment ref="AO18" dT="2025-06-10T06:24:40.22" personId="{32312947-0001-40CA-9DE2-10E39825AF36}" id="{C2B110F6-1F10-483C-8271-45F0C0276D5C}">
    <text>Order for Eurologic Sp.Z o.o.</text>
  </threadedComment>
  <threadedComment ref="X20" dT="2025-06-22T02:31:18.07" personId="{32312947-0001-40CA-9DE2-10E39825AF36}" id="{1540B65E-B31D-47E7-8116-1BFE20042E59}">
    <text>2 CTs pick up on Jun.22nd,  3CTs pick up on Jun.23rd</text>
  </threadedComment>
  <threadedComment ref="AO26" dT="2025-06-20T08:02:48.88" personId="{32312947-0001-40CA-9DE2-10E39825AF36}" id="{2745A837-899F-4E21-8CA2-C50CC4721E67}">
    <text>2nd shipment for VP SOLAR</text>
  </threadedComment>
  <threadedComment ref="S27" dT="2025-05-16T07:41:24.04" personId="{C7CDF013-3345-447C-99F9-CDCF82486E8F}" id="{3602CAAE-6397-4E13-854B-37A8050A27F6}">
    <text>Model and bin rate changed per real production</text>
  </threadedComment>
  <threadedComment ref="AO27" dT="2025-06-12T02:03:16.77" personId="{32312947-0001-40CA-9DE2-10E39825AF36}" id="{77DC8EC6-9921-4FCE-852B-437CA0150749}">
    <text>UAB Elmitra's order</text>
  </threadedComment>
  <threadedComment ref="S28" dT="2025-05-16T07:41:24.04" personId="{C7CDF013-3345-447C-99F9-CDCF82486E8F}" id="{A8291F7E-D254-4BE5-B98D-018F547F7830}">
    <text>Model and bin rate changed per real production</text>
  </threadedComment>
  <threadedComment ref="AO28" dT="2025-06-20T07:49:35.47" personId="{32312947-0001-40CA-9DE2-10E39825AF36}" id="{E2066E1C-0883-451C-A719-BC6133F0BD4C}">
    <text>Second shipment for REMA TARLAZZI 1CT</text>
  </threadedComment>
  <threadedComment ref="AO29" dT="2025-06-20T07:49:05.47" personId="{32312947-0001-40CA-9DE2-10E39825AF36}" id="{2AF7DFFA-75AA-4447-B92B-4554B1A4EBC6}">
    <text>Second shipment for Test Energia 1CT / Voltaneo 1CT / COMET 2CT / SOLARIT 1CT / TECNOLARIO 1CT  </text>
  </threadedComment>
  <threadedComment ref="I42" dT="2025-07-09T03:03:39.92" personId="{32312947-0001-40CA-9DE2-10E39825AF36}" id="{2DF10406-0A8E-4BFC-B85F-421A05E123CC}">
    <text>SO#46010603</text>
  </threadedComment>
  <threadedComment ref="U45" dT="2025-07-03T02:34:42.06" personId="{C7CDF013-3345-447C-99F9-CDCF82486E8F}" id="{769EDEDA-2134-489B-8EEC-4BC83143F46E}">
    <text>FOB with HSPV</text>
  </threadedComment>
  <threadedComment ref="U48" dT="2025-07-03T02:28:42.11" personId="{C7CDF013-3345-447C-99F9-CDCF82486E8F}" id="{34798B45-43DE-4122-964E-76C33E3C9101}">
    <text>FOB with HSPV</text>
  </threadedComment>
  <threadedComment ref="U49" dT="2025-07-03T02:25:06.59" personId="{C7CDF013-3345-447C-99F9-CDCF82486E8F}" id="{D2B6900F-1594-4159-8651-B7B86FB2F80B}">
    <text>FOB with HSPV</text>
  </threadedComment>
  <threadedComment ref="I53" dT="2025-07-09T03:04:39.53" personId="{32312947-0001-40CA-9DE2-10E39825AF36}" id="{BC85192E-8229-4F85-99BD-32C46059C646}">
    <text>SO#46010175</text>
  </threadedComment>
  <threadedComment ref="U54" dT="2025-07-03T02:34:55.97" personId="{C7CDF013-3345-447C-99F9-CDCF82486E8F}" id="{B2FF9BE6-4FF0-43C7-B43D-5419B2EFF92D}">
    <text>FOB with HSPV</text>
  </threadedComment>
  <threadedComment ref="U56" dT="2025-07-14T03:47:26.28" personId="{C7CDF013-3345-447C-99F9-CDCF82486E8F}" id="{50745955-8A68-4131-A1F0-DA1D03281288}">
    <text>FOB with HSPV</text>
  </threadedComment>
  <threadedComment ref="S57" dT="2025-07-10T10:04:10.25" personId="{C7CDF013-3345-447C-99F9-CDCF82486E8F}" id="{950955A2-EBBC-4985-8436-BE89C2348AD1}">
    <text>wrong nameplate</text>
  </threadedComment>
  <threadedComment ref="S57" dT="2025-07-22T16:06:58.25" personId="{A1DB9FF7-8839-43D1-893F-47EE4320F687}" id="{ABEA195F-683C-4C5D-AA85-C0455CBB6364}" parentId="{950955A2-EBBC-4985-8436-BE89C2348AD1}">
    <text>use DR sku for Ecostal order</text>
  </threadedComment>
  <threadedComment ref="U76" dT="2025-07-03T02:28:59.64" personId="{C7CDF013-3345-447C-99F9-CDCF82486E8F}" id="{52A511FC-ACFE-4FDD-A087-26659994079E}">
    <text>FOB with HSPV</text>
  </threadedComment>
  <threadedComment ref="S77" dT="2025-07-10T10:04:10.25" personId="{C7CDF013-3345-447C-99F9-CDCF82486E8F}" id="{5FDF3B5B-70EA-4EA2-9B3C-15530910F05E}">
    <text>wrong nameplate</text>
  </threadedComment>
  <threadedComment ref="S112" dT="2025-07-10T10:04:10.25" personId="{C7CDF013-3345-447C-99F9-CDCF82486E8F}" id="{0302324B-F009-4B8D-B162-D29967FD07E4}">
    <text>wrong nameplate</text>
  </threadedComment>
  <threadedComment ref="S112" dT="2025-07-22T16:08:03.23" personId="{A1DB9FF7-8839-43D1-893F-47EE4320F687}" id="{0FFB680B-A46C-43DB-B7CC-ABA9BE8397A9}" parentId="{0302324B-F009-4B8D-B162-D29967FD07E4}">
    <text>use DR sku for NATEC - aligned with sales</text>
  </threadedComment>
  <threadedComment ref="S113" dT="2025-05-16T07:41:24.04" personId="{C7CDF013-3345-447C-99F9-CDCF82486E8F}" id="{02DFE04B-2D25-4B0B-8DE7-79F49894E84E}">
    <text>Model and bin rate changed per real production</text>
  </threadedComment>
  <threadedComment ref="U142" dT="2025-07-21T02:51:58.78" personId="{C7CDF013-3345-447C-99F9-CDCF82486E8F}" id="{A84ED22E-A1FD-4CF1-BF6A-B6BCC847FD72}">
    <text>FOB with HSPV</text>
  </threadedComment>
  <threadedComment ref="S144" dT="2025-05-16T07:41:24.04" personId="{C7CDF013-3345-447C-99F9-CDCF82486E8F}" id="{9BA605B4-43CD-4DFE-900E-AFDFC92D024A}">
    <text>Model and bin rate changed per real production</text>
  </threadedComment>
  <threadedComment ref="S173" dT="2025-07-10T10:04:10.25" personId="{C7CDF013-3345-447C-99F9-CDCF82486E8F}" id="{A8D98CDA-7C21-4397-865B-BE718B32D4AE}">
    <text>wrong nameplate</text>
  </threadedComment>
  <threadedComment ref="S173" dT="2025-07-22T16:07:36.50" personId="{A1DB9FF7-8839-43D1-893F-47EE4320F687}" id="{7B482D80-61F3-4FB2-B64C-ADA519B9BFA4}" parentId="{A8D98CDA-7C21-4397-865B-BE718B32D4AE}">
    <text>use DR sku for NATEC - aligned with sales</text>
  </threadedComment>
  <threadedComment ref="AH217" dT="2025-09-11T13:24:28.50" personId="{1D50D208-176E-4122-BE0D-3EF9D0230AA0}" id="{D03310B4-A2C1-4D5F-9B4A-AD486375F42E}">
    <text>was FOS SUR MER previously</text>
  </threadedComment>
  <threadedComment ref="AI217" dT="2025-09-11T13:24:42.60" personId="{1D50D208-176E-4122-BE0D-3EF9D0230AA0}" id="{066EC98A-47EC-4ED7-B88D-F86E34D24B8F}">
    <text>was 10/6/2025 previously</text>
  </threadedComment>
  <threadedComment ref="AK217" dT="2025-09-11T13:24:42.60" personId="{1D50D208-176E-4122-BE0D-3EF9D0230AA0}" id="{8ECE8D24-F5CC-4CFA-91DD-9BFFDB7D5030}">
    <text>was 10/6/2025 previously</text>
  </threadedComment>
  <threadedComment ref="AL217" dT="2025-09-11T13:25:00.47" personId="{1D50D208-176E-4122-BE0D-3EF9D0230AA0}" id="{02C55FA5-517E-4322-80E8-9641B42E3769}">
    <text>was 11/7/2025 previously</text>
  </threadedComment>
  <threadedComment ref="AN217" dT="2025-09-11T13:25:00.47" personId="{1D50D208-176E-4122-BE0D-3EF9D0230AA0}" id="{E6243DF0-4B82-445D-9980-4D69D55E689F}">
    <text>was 11/7/2025 previously</text>
  </threadedComment>
  <threadedComment ref="AP217" dT="2025-09-11T13:25:12.67" personId="{1D50D208-176E-4122-BE0D-3EF9D0230AA0}" id="{FC6CE3DB-DC07-44F0-BE77-82B5567F35AC}">
    <text>was CMA CGM BRAZIL/0MELXW1MA</text>
  </threadedComment>
  <threadedComment ref="AS217" dT="2025-09-11T13:25:22.75" personId="{1D50D208-176E-4122-BE0D-3EF9D0230AA0}" id="{66B4EE00-D276-48A6-9C94-B542CB6CED87}">
    <text>was COSU6430169030</text>
  </threadedComment>
  <threadedComment ref="AT217" dT="2025-09-11T13:25:37.53" personId="{1D50D208-176E-4122-BE0D-3EF9D0230AA0}" id="{7F4D368D-5445-43C6-8891-149F09F56DA6}">
    <text>was COSU6430169030</text>
  </threadedComment>
  <threadedComment ref="AL248" dT="2025-10-15T14:11:23.76" personId="{1D50D208-176E-4122-BE0D-3EF9D0230AA0}" id="{A08642AB-F081-4BB6-95B9-8F455B6F8856}">
    <text>need ETA WW49, ok</text>
  </threadedComment>
  <threadedComment ref="AN248" dT="2025-10-15T14:11:23.76" personId="{1D50D208-176E-4122-BE0D-3EF9D0230AA0}" id="{7689C21A-6BA7-432D-82D0-67A5C7653277}">
    <text>need ETA WW49, ok</text>
  </threadedComment>
  <threadedComment ref="AL249" dT="2025-10-15T14:11:23.76" personId="{1D50D208-176E-4122-BE0D-3EF9D0230AA0}" id="{C16142D9-5751-4972-9DE0-7C3C56D88CC3}">
    <text>need ETA WW49, ok</text>
  </threadedComment>
  <threadedComment ref="AL250" dT="2025-10-15T14:11:23.76" personId="{1D50D208-176E-4122-BE0D-3EF9D0230AA0}" id="{C2C1A7BC-5275-4324-9693-5B7DE056A267}">
    <text>need ETA WW49, ok</text>
  </threadedComment>
  <threadedComment ref="AN250" dT="2025-10-15T14:11:23.76" personId="{1D50D208-176E-4122-BE0D-3EF9D0230AA0}" id="{E24379C4-4766-4799-8E01-881D5DC3AF81}">
    <text>need ETA WW49, ok</text>
  </threadedComment>
  <threadedComment ref="AL251" dT="2025-10-15T14:11:23.76" personId="{1D50D208-176E-4122-BE0D-3EF9D0230AA0}" id="{11FBEFEA-AF05-4BB8-AAB3-0E0D02001662}">
    <text>need ETA WW49, ok</text>
  </threadedComment>
  <threadedComment ref="AN251" dT="2025-10-15T14:11:23.76" personId="{1D50D208-176E-4122-BE0D-3EF9D0230AA0}" id="{ABFCF0AB-ADF5-47B1-A4DA-233D4B43FD22}">
    <text>need ETA WW49, ok</text>
  </threadedComment>
  <threadedComment ref="U262" dT="2025-10-02T16:26:34.33" personId="{1D50D208-176E-4122-BE0D-3EF9D0230AA0}" id="{F9198D12-E41E-4B2D-8090-D9921690768D}">
    <text>Rework from May PO TCL-MI550DT182-70NS</text>
  </threadedComment>
  <threadedComment ref="I270" dT="2025-10-09T07:24:30.70" personId="{1D50D208-176E-4122-BE0D-3EF9D0230AA0}" id="{8E62AB29-2992-4B17-8B25-5D609F25E5ED}">
    <text>Energia Italia</text>
  </threadedComment>
  <threadedComment ref="U280" dT="2025-09-30T07:28:37.87" personId="{C7CDF013-3345-447C-99F9-CDCF82486E8F}" id="{4B6AB0F5-6933-4E6A-81FC-E69776C734B9}">
    <text>Rework from May PO TCL-MI550DT182-70NS</text>
  </threadedComment>
  <threadedComment ref="U281" dT="2025-10-09T15:36:45.49" personId="{1D50D208-176E-4122-BE0D-3EF9D0230AA0}" id="{361180B3-D5C3-490B-8676-3374B53C71A5}">
    <text>Rework from May PO TCL-MI555DT182-70NS</text>
  </threadedComment>
  <threadedComment ref="U283" dT="2025-10-09T15:36:51.44" personId="{1D50D208-176E-4122-BE0D-3EF9D0230AA0}" id="{5B68D134-C6B5-4825-A477-1D42204FE0F8}">
    <text>Rework from May PO TCL-MI555DT182-70NS</text>
  </threadedComment>
  <threadedComment ref="U285" dT="2025-10-09T15:36:40.86" personId="{1D50D208-176E-4122-BE0D-3EF9D0230AA0}" id="{451507BA-C3EC-4E72-A2CC-938F8B7D272B}">
    <text>Rework from May PO TCL-MI555DT182-70NS</text>
  </threadedComment>
  <threadedComment ref="U286" dT="2025-10-09T15:36:30.18" personId="{1D50D208-176E-4122-BE0D-3EF9D0230AA0}" id="{18C5929D-CBCF-495B-8A81-2D5573776649}">
    <text>Rework from May PO TCL-MI555DT182-70NS</text>
  </threadedComment>
  <threadedComment ref="U287" dT="2025-10-07T09:39:50.55" personId="{1D50D208-176E-4122-BE0D-3EF9D0230AA0}" id="{E7811326-AB3E-473F-85CC-4312432C375F}">
    <text>HSPV stock, transparent glass</text>
  </threadedComment>
  <threadedComment ref="X288" dT="2025-10-24T02:33:44.25" personId="{263F6BBD-D24C-4B7E-8F2B-65F7948858A3}" id="{71A357B9-3C39-48CF-9A76-4B4034300479}">
    <text>fortune</text>
  </threadedComment>
  <threadedComment ref="X289" dT="2025-10-24T02:33:57.50" personId="{263F6BBD-D24C-4B7E-8F2B-65F7948858A3}" id="{33B37F0D-0413-4933-8F55-0A5FBEC4A02F}">
    <text>fortune</text>
  </threadedComment>
  <threadedComment ref="X290" dT="2025-10-24T02:32:42.45" personId="{263F6BBD-D24C-4B7E-8F2B-65F7948858A3}" id="{8FF8460B-ED1A-4C3D-9E86-1052D381F375}">
    <text>tongwei</text>
  </threadedComment>
  <threadedComment ref="AL290" dT="2025-10-15T14:12:33.53" personId="{1D50D208-176E-4122-BE0D-3EF9D0230AA0}" id="{8E83CF7B-097A-4D5E-9934-7A4303235CEE}">
    <text>need ETA early WW52</text>
  </threadedComment>
  <threadedComment ref="X291" dT="2025-10-24T02:35:25.55" personId="{263F6BBD-D24C-4B7E-8F2B-65F7948858A3}" id="{918DC9FC-E6AF-42F1-9F97-F398C626D2F8}">
    <text>tongwei*1 ; fortune*5</text>
  </threadedComment>
  <threadedComment ref="AL291" dT="2025-10-15T14:12:33.53" personId="{1D50D208-176E-4122-BE0D-3EF9D0230AA0}" id="{A1147F37-7A58-4D81-83A9-6BDBE0352B54}">
    <text>need ETA early WW52</text>
  </threadedComment>
  <threadedComment ref="X292" dT="2025-10-24T02:33:01.12" personId="{263F6BBD-D24C-4B7E-8F2B-65F7948858A3}" id="{1F207B51-A48D-4C3B-BA71-891CEC875270}">
    <text>tongwei</text>
  </threadedComment>
  <threadedComment ref="U293" dT="2025-10-09T15:36:36.21" personId="{1D50D208-176E-4122-BE0D-3EF9D0230AA0}" id="{FB75DB2E-618E-4282-9DB8-D3D9A9026493}">
    <text>Rework from May PO TCL-MI555DT182-70NS</text>
  </threadedComment>
  <threadedComment ref="X294" dT="2025-10-24T02:34:51.17" personId="{263F6BBD-D24C-4B7E-8F2B-65F7948858A3}" id="{DCD33BDB-F419-4A40-B294-4134394A8E1C}">
    <text>tongwei*2 ; fortune*2</text>
  </threadedComment>
  <threadedComment ref="AL294" dT="2025-10-15T14:12:33.53" personId="{1D50D208-176E-4122-BE0D-3EF9D0230AA0}" id="{50106A29-759D-4273-BF8D-F4FFDE77940D}">
    <text>need ETA early WW52</text>
  </threadedComment>
  <threadedComment ref="U300" dT="2025-11-04T04:13:48.53" personId="{263F6BBD-D24C-4B7E-8F2B-65F7948858A3}" id="{AEAE4ED2-711B-4570-B8A5-7E48539AEB93}">
    <text>Rework from May PO TCL-MI550DT182-70NS
nov.</text>
  </threadedComment>
  <threadedComment ref="X312" dT="2025-11-04T14:38:07.57" personId="{1D50D208-176E-4122-BE0D-3EF9D0230AA0}" id="{36A6D644-AD63-4B72-B5E5-B23CDAA3ED70}">
    <text>changed from 3 to 5 based on Zelia request 04/11</text>
  </threadedComment>
  <threadedComment ref="AH318" dT="2025-10-31T11:12:12.77" personId="{1D50D208-176E-4122-BE0D-3EF9D0230AA0}" id="{ACE59814-DBA8-4756-B08A-8CA797567696}">
    <text>changed from Genova to Naples on 31/10</text>
  </threadedComment>
  <threadedComment ref="AL326" dT="2025-10-15T15:04:26.62" personId="{1D50D208-176E-4122-BE0D-3EF9D0230AA0}" id="{4700D4E4-803D-49AB-BE44-8AF16BC09423}">
    <text>ETA needed 08-01-2026</text>
  </threadedComment>
  <threadedComment ref="U327" dT="2025-12-18T01:53:45.15" personId="{263F6BBD-D24C-4B7E-8F2B-65F7948858A3}" id="{7EC8F730-DB34-400F-930F-35F10EE570D8}">
    <text>Rework from May PO TCL-MI555DT182-70NS
NOV.</text>
  </threadedComment>
  <threadedComment ref="X334" dT="2025-11-17T12:56:07.42" personId="{1D50D208-176E-4122-BE0D-3EF9D0230AA0}" id="{DD7104C7-40F8-45B5-A12B-BDA289C219BD}">
    <text>Reduced from 4 to 2 on 17/11</text>
  </threadedComment>
  <threadedComment ref="U345" dT="2025-11-06T16:58:57.17" personId="{1D50D208-176E-4122-BE0D-3EF9D0230AA0}" id="{4B595A5C-F5FD-4855-95F0-ECC7051BEF5F}">
    <text>Rework from May PO TCL-MI550DT182-70NS</text>
  </threadedComment>
  <threadedComment ref="U347" dT="2025-11-06T17:02:26.19" personId="{1D50D208-176E-4122-BE0D-3EF9D0230AA0}" id="{AA1520F0-F68B-4641-9103-2FA0D5371645}">
    <text>Rework from May PO TCL-MI555DT182-70NS</text>
  </threadedComment>
  <threadedComment ref="R348" dT="2025-11-18T15:49:34.46" personId="{1D50D208-176E-4122-BE0D-3EF9D0230AA0}" id="{61847EED-82F1-4E7C-83EE-FC9C328B9693}">
    <text>mail Karin 17/11</text>
  </threadedComment>
  <threadedComment ref="U350" dT="2025-11-12T12:58:47.49" personId="{1D50D208-176E-4122-BE0D-3EF9D0230AA0}" id="{106277A5-E695-48C2-AC83-9F8F539FF33A}">
    <text>qty rounding accepted 12-NOV</text>
  </threadedComment>
  <threadedComment ref="U351" dT="2025-11-12T12:58:52.86" personId="{1D50D208-176E-4122-BE0D-3EF9D0230AA0}" id="{A5AFA6FB-239E-4310-B3FA-C0ACD2A951BB}">
    <text>qty rounding accepted 12-NOV</text>
  </threadedComment>
  <threadedComment ref="U352" dT="2025-11-06T17:02:29.86" personId="{1D50D208-176E-4122-BE0D-3EF9D0230AA0}" id="{369B0957-C579-4B3A-8A3D-7D5E6965672A}">
    <text>Rework from May PO TCL-MI555DT182-70NS</text>
  </threadedComment>
  <threadedComment ref="U353" dT="2025-11-06T16:59:01.53" personId="{1D50D208-176E-4122-BE0D-3EF9D0230AA0}" id="{380FDBB2-C998-4AFC-A502-9D0DA862F71A}">
    <text>Rework from May PO TCL-MI550DT182-70NS</text>
  </threadedComment>
  <threadedComment ref="U359" dT="2025-11-06T17:02:33.64" personId="{1D50D208-176E-4122-BE0D-3EF9D0230AA0}" id="{331D4A30-6E75-4CF2-B850-8B869C3DBE51}">
    <text>Rework from May PO TCL-MI555DT182-70NS</text>
  </threadedComment>
  <threadedComment ref="AL360" dT="2025-10-28T14:55:14.40" personId="{1D50D208-176E-4122-BE0D-3EF9D0230AA0}" id="{E8863480-A6A4-46A9-9405-F0D349E14F3D}">
    <text>CRD 31/01, risk of delay due to lack of payment</text>
  </threadedComment>
  <threadedComment ref="AL361" dT="2025-10-28T14:55:06.27" personId="{1D50D208-176E-4122-BE0D-3EF9D0230AA0}" id="{D3CB92D2-051A-451D-AF5D-92B755D8ED71}">
    <text>CRD 31/01, risk of delay due to lack of payment</text>
  </threadedComment>
  <threadedComment ref="AL385" dT="2025-10-28T14:58:43.99" personId="{1D50D208-176E-4122-BE0D-3EF9D0230AA0}" id="{F7F31702-191C-48B7-8DB6-BE574F520688}">
    <text>CRD 31/01</text>
  </threadedComment>
  <threadedComment ref="U395" dT="2025-11-06T16:59:08.62" personId="{1D50D208-176E-4122-BE0D-3EF9D0230AA0}" id="{3B046105-D6E1-4B1E-8196-FF2D3C20FBAB}">
    <text>Rework from May PO TCL-MI550DT182-70NS</text>
  </threadedComment>
  <threadedComment ref="U397" dT="2025-11-06T16:59:05.34" personId="{1D50D208-176E-4122-BE0D-3EF9D0230AA0}" id="{8E610842-6DA6-40D1-8012-E8DCE8C9746D}">
    <text>Rework from May PO TCL-MI550DT182-70NS</text>
  </threadedComment>
  <threadedComment ref="AH399" dT="2026-02-16T15:07:02.98" personId="{41425945-2EA3-4AE6-96AE-17C5BE4906F3}" id="{93A617FD-F870-4FA8-9E3E-66C8746B7DD4}">
    <text xml:space="preserve">Redirected from Genoa
</text>
  </threadedComment>
  <threadedComment ref="AL406" dT="2025-11-17T10:58:08.65" personId="{1D50D208-176E-4122-BE0D-3EF9D0230AA0}" id="{66CF68AF-39F9-4E1B-9BAE-24FD9B7E28C0}">
    <text>ETA needed 30-01-2026</text>
  </threadedComment>
  <threadedComment ref="U407" dT="2025-09-05T09:33:07.71" personId="{C7CDF013-3345-447C-99F9-CDCF82486E8F}" id="{C4BAF489-E6E4-4494-BBB9-F5A65C400126}">
    <text>HSPV stock, transparent glass</text>
  </threadedComment>
  <threadedComment ref="Y409" dT="2025-11-27T18:00:00.79" personId="{1D50D208-176E-4122-BE0D-3EF9D0230AA0}" id="{76AB8CE6-9BE9-4E2A-959E-7B6652781491}">
    <text>no G2G as of 27/11</text>
  </threadedComment>
  <threadedComment ref="Y409" dT="2025-12-09T14:40:06.70" personId="{1D50D208-176E-4122-BE0D-3EF9D0230AA0}" id="{B3FD2A0C-8196-435A-82DF-53D4DCE7EDE1}" parentId="{76AB8CE6-9BE9-4E2A-959E-7B6652781491}">
    <text>G2G 01/12</text>
  </threadedComment>
  <threadedComment ref="AL409" dT="2025-11-04T10:36:35.52" personId="{1D50D208-176E-4122-BE0D-3EF9D0230AA0}" id="{A82C4277-088A-45AA-96A7-5F92AEEA15B7}">
    <text xml:space="preserve"> CRD 28/11 but risk of delay due to lack of payment</text>
  </threadedComment>
  <threadedComment ref="W413" dT="2025-10-28T05:50:21.10" personId="{263F6BBD-D24C-4B7E-8F2B-65F7948858A3}" id="{0B26ECBB-8DB1-45B0-896C-E4D38DDC4B6E}">
    <text>Tongwei</text>
  </threadedComment>
  <threadedComment ref="W414" dT="2025-10-28T05:50:59.17" personId="{263F6BBD-D24C-4B7E-8F2B-65F7948858A3}" id="{3991C19A-E416-4C83-A7A8-DB1C416D3B24}">
    <text>tongwei*20+fortune*5</text>
  </threadedComment>
  <threadedComment ref="W415" dT="2025-10-28T05:50:31.26" personId="{263F6BBD-D24C-4B7E-8F2B-65F7948858A3}" id="{1121EC88-410C-432E-9CFE-05BFA571C7E9}">
    <text>Tongwei</text>
  </threadedComment>
  <threadedComment ref="AJ416" dT="2025-12-22T01:12:50.60" personId="{7A967CFE-E568-444E-AD93-098F55D76851}" id="{32743C20-0C7F-4ECF-BE41-BAD08DD8A219}">
    <text>Rolled to next vessel with new ETD 2026-01-01 ETA 2026-02-12</text>
  </threadedComment>
  <threadedComment ref="U417" dT="2025-12-15T22:20:37.57" personId="{1D50D208-176E-4122-BE0D-3EF9D0230AA0}" id="{0BF9AB57-F2C0-48E4-AF34-6E7BF0C5EB50}">
    <text>18247</text>
  </threadedComment>
  <threadedComment ref="AJ417" dT="2025-12-22T01:12:50.60" personId="{7A967CFE-E568-444E-AD93-098F55D76851}" id="{B48703E5-7AB3-483D-8183-B3AA854FFA03}">
    <text>Rolled to next vessel with new ETD 2026-01-01 ETA 2026-02-12</text>
  </threadedComment>
  <threadedComment ref="Y422" dT="2025-11-27T18:00:00.79" personId="{1D50D208-176E-4122-BE0D-3EF9D0230AA0}" id="{7F8A97C5-40AA-461E-80C8-E45652894C5F}">
    <text>no G2G as of 27/11</text>
  </threadedComment>
  <threadedComment ref="Y422" dT="2025-12-09T14:40:06.70" personId="{1D50D208-176E-4122-BE0D-3EF9D0230AA0}" id="{656A1AAF-B8AE-43FA-A0C0-8C73CBEC9A80}" parentId="{7F8A97C5-40AA-461E-80C8-E45652894C5F}">
    <text>G2G 01/12</text>
  </threadedComment>
  <threadedComment ref="Y423" dT="2025-11-27T18:00:00.79" personId="{1D50D208-176E-4122-BE0D-3EF9D0230AA0}" id="{CA9BA473-7B77-4B4D-BD19-25B94A347288}">
    <text>no G2G as of 27/11</text>
  </threadedComment>
  <threadedComment ref="Y423" dT="2025-12-09T14:40:06.70" personId="{1D50D208-176E-4122-BE0D-3EF9D0230AA0}" id="{AB2BAA80-7B6A-48A3-AB47-DFE2B48138BD}" parentId="{CA9BA473-7B77-4B4D-BD19-25B94A347288}">
    <text>G2G 01/12</text>
  </threadedComment>
  <threadedComment ref="AL424" dT="2025-11-04T10:09:17.62" personId="{1D50D208-176E-4122-BE0D-3EF9D0230AA0}" id="{DEEF4AB6-D7A9-4B7C-9AE7-C9991910C357}">
    <text>CRD 28/02</text>
  </threadedComment>
  <threadedComment ref="AL430" dT="2025-12-05T08:56:12.88" personId="{1D50D208-176E-4122-BE0D-3EF9D0230AA0}" id="{E5BE6C1F-882A-4646-8F0C-ED469CB137C2}">
    <text>CRD w7</text>
  </threadedComment>
  <threadedComment ref="AJ431" dT="2025-12-30T08:43:52.97" personId="{7A967CFE-E568-444E-AD93-098F55D76851}" id="{398899DD-9D5B-4663-8FE9-D08EC52FF0D3}">
    <text>Rolled to next vessel with new ETD 2026-01-02 ETA 2026-02-12</text>
  </threadedComment>
  <threadedComment ref="AJ436" dT="2025-12-29T03:45:11.63" personId="{7A967CFE-E568-444E-AD93-098F55D76851}" id="{EA295D4F-5592-47D1-8666-A8EC808860E2}">
    <text>Due to overbooking , Cntrs rolled to next vessel with ETD 1-03</text>
  </threadedComment>
  <threadedComment ref="AJ437" dT="2025-12-29T03:45:11.63" personId="{7A967CFE-E568-444E-AD93-098F55D76851}" id="{5AC69672-8D90-414E-888A-E5F0BF304807}">
    <text>Due to overbooking , Cntrs rolled to next vessel with ETD 1-03</text>
  </threadedComment>
  <threadedComment ref="U441" dT="2025-12-18T01:53:24.35" personId="{263F6BBD-D24C-4B7E-8F2B-65F7948858A3}" id="{90A7B30F-78CE-4B10-A5C3-0B8E5EB4F324}">
    <text>Rework from May PO TCL-MI555DT182-70NS
NOV.</text>
  </threadedComment>
  <threadedComment ref="AL443" dT="2025-11-21T10:45:16.93" personId="{1D50D208-176E-4122-BE0D-3EF9D0230AA0}" id="{E262F19C-ABB8-4401-8069-7B8A45C45D16}">
    <text>CRD 16-FEB</text>
  </threadedComment>
  <threadedComment ref="X444" dT="2025-10-28T10:46:26.53" personId="{263F6BBD-D24C-4B7E-8F2B-65F7948858A3}" id="{F1E69732-D655-4923-BADA-A74C94EB1313}">
    <text>nov. output : 11 ctns</text>
  </threadedComment>
  <threadedComment ref="U451" dT="2025-12-18T01:53:53.01" personId="{263F6BBD-D24C-4B7E-8F2B-65F7948858A3}" id="{60C79FD6-09A3-4F5A-A101-5FA19C3D22A7}">
    <text>Rework from May PO TCL-MI555DT182-70NS
NOV.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X3" dT="2026-09-02T07:40:05.76" personId="{D9F303E2-1809-4B06-9A5F-59B6E73873A2}" id="{5CA97146-699A-4692-805C-D56FDE5EE3C9}">
    <text>AEU 空班 - 5F</text>
  </threadedComment>
  <threadedComment ref="G7" dT="2026-06-26T07:11:29.33" personId="{ED0E0B94-28DE-45B0-99AC-EBA7D3821EBA}" id="{AD33CB87-5001-40CA-BBA9-EFA92872D277}">
    <text>MSK危险品1F(271135486)</text>
  </threadedComment>
  <threadedComment ref="I7" dT="2026-06-26T07:08:47.92" personId="{ED0E0B94-28DE-45B0-99AC-EBA7D3821EBA}" id="{E022C63C-D109-478A-8A83-EF0795C0CCC3}">
    <text>MSK 危险品3F(271300507+272092787)</text>
  </threadedComment>
  <threadedComment ref="J7" dT="2026-06-26T07:07:42.87" personId="{ED0E0B94-28DE-45B0-99AC-EBA7D3821EBA}" id="{ACDAC3FC-1C4E-4180-909F-DCDF6BAC6CE4}">
    <text>MSK危险品 1F (272092787)</text>
  </threadedComment>
  <threadedComment ref="L7" dT="2026-07-09T07:42:45.11" personId="{ED0E0B94-28DE-45B0-99AC-EBA7D3821EBA}" id="{4536E6CF-7AF2-468A-AF30-40AD86D1AEBE}">
    <text>USD 4600新新运14F</text>
  </threadedComment>
  <threadedComment ref="L7" dT="2026-07-20T09:56:41.81" personId="{56818584-B3E0-4B2D-A5E9-D37F823CA16D}" id="{4ACCDB32-4EC9-4178-AE13-FBAFF72FEC2A}" parentId="{4536E6CF-7AF2-468A-AF30-40AD86D1AEBE}">
    <text>COSCO AEU3 超AMC 批9F</text>
  </threadedComment>
  <threadedComment ref="N7" dT="2026-07-09T07:44:44.88" personId="{ED0E0B94-28DE-45B0-99AC-EBA7D3821EBA}" id="{A9E9A0D3-D521-4EED-AD4C-820E18720675}">
    <text>USD1950世桦家电合约7F</text>
  </threadedComment>
  <threadedComment ref="N7" dT="2026-07-20T10:02:38.87" personId="{56818584-B3E0-4B2D-A5E9-D37F823CA16D}" id="{CADD4B81-08D6-4502-9D29-1F9DF87511FD}" parentId="{A9E9A0D3-D521-4EED-AD4C-820E18720675}">
    <text>COSCO AMC 13F+FAK(3900) 38F+世桦7F</text>
  </threadedComment>
  <threadedComment ref="O7" dT="2026-07-27T06:32:25.32" personId="{56818584-B3E0-4B2D-A5E9-D37F823CA16D}" id="{A1CCE72F-DB3B-4E96-A834-DD2342C565CC}">
    <text>COSCO AMC 16F</text>
  </threadedComment>
  <threadedComment ref="P7" dT="2026-07-27T06:34:10.30" personId="{56818584-B3E0-4B2D-A5E9-D37F823CA16D}" id="{E5D1FDE3-0D67-40EE-ADF3-D8F8BEED1E3F}">
    <text>COSCO AMC 45F+FAK (3500)15F</text>
  </threadedComment>
  <threadedComment ref="Q7" dT="2026-07-31T08:47:03.79" personId="{56818584-B3E0-4B2D-A5E9-D37F823CA16D}" id="{6C13B93A-B7AD-4307-BFC8-0EDB957288C1}">
    <text>COSCO AMC 24F+家电约7F+FAK(3400)19F</text>
  </threadedComment>
  <threadedComment ref="R7" dT="2026-07-31T08:49:07.34" personId="{56818584-B3E0-4B2D-A5E9-D37F823CA16D}" id="{46B38257-2D17-4C57-9A59-6F22390944C2}">
    <text>COSCO AMC 19F+ 深外代20F+世桦8F+FAK 2F(USD2800)</text>
  </threadedComment>
  <threadedComment ref="S7" dT="2026-07-31T08:50:16.99" personId="{56818584-B3E0-4B2D-A5E9-D37F823CA16D}" id="{7D4752DE-A2E2-4A6E-83F8-A03E5C07EE22}">
    <text>COSCO AMC 11F+深外代20F+世桦8F</text>
  </threadedComment>
  <threadedComment ref="T7" dT="2026-08-31T02:28:00.70" personId="{56818584-B3E0-4B2D-A5E9-D37F823CA16D}" id="{E1080EE9-85FF-4B32-9FF9-C0E22B82EB7E}">
    <text>COSCO AMC 24F +家电约5F+世桦FAK 7F</text>
  </threadedComment>
  <threadedComment ref="U7" dT="2026-08-31T02:29:02.60" personId="{56818584-B3E0-4B2D-A5E9-D37F823CA16D}" id="{32CC2AD9-4A9D-4558-AC46-78E5EB6385C2}">
    <text>COSCO AMC 24F+家电约20F</text>
  </threadedComment>
  <threadedComment ref="V7" dT="2026-09-04T10:54:02.07" personId="{ED0E0B94-28DE-45B0-99AC-EBA7D3821EBA}" id="{4FD07580-3CE1-4478-954E-35430B325C5E}">
    <text>危险品MSK 2F(276584236)</text>
  </threadedComment>
  <threadedComment ref="V7" dT="2026-09-08T01:43:42.45" personId="{ED0E0B94-28DE-45B0-99AC-EBA7D3821EBA}" id="{3D990CEA-A2D6-40A1-8EEB-DE5947B6B6B8}" parentId="{4FD07580-3CE1-4478-954E-35430B325C5E}">
    <text>COSCO AMC 24F+家电约(EMC)10F</text>
  </threadedComment>
  <threadedComment ref="W7" dT="2026-09-10T08:27:24.57" personId="{56818584-B3E0-4B2D-A5E9-D37F823CA16D}" id="{DAFC344A-E572-449F-B49F-074640A1A5BD}">
    <text>COSCO AMC 44F+ 家电12F</text>
  </threadedComment>
  <threadedComment ref="G11" dT="2026-06-26T07:13:20.54" personId="{ED0E0B94-28DE-45B0-99AC-EBA7D3821EBA}" id="{E2E5D26A-3356-4A94-B402-23F18499A0A9}">
    <text>MSK危险品1F (271140592)</text>
  </threadedComment>
  <threadedComment ref="K27" dT="2026-06-26T08:11:35.86" personId="{ED0E0B94-28DE-45B0-99AC-EBA7D3821EBA}" id="{2E2E8962-CEBF-4CF3-B2F0-B479197D3898}">
    <text>MSK危险品1F (272270746)</text>
  </threadedComment>
  <threadedComment ref="K27" dT="2026-07-01T10:16:24.86" personId="{56818584-B3E0-4B2D-A5E9-D37F823CA16D}" id="{5CAA6CAD-8590-4540-AD57-D3B0F6060DF2}" parentId="{2E2E8962-CEBF-4CF3-B2F0-B479197D3898}">
    <text>舱保23F(20个PV+ 3个BTP)</text>
  </threadedComment>
  <threadedComment ref="L27" dT="2026-07-01T10:11:14.30" personId="{ED0E0B94-28DE-45B0-99AC-EBA7D3821EBA}" id="{F770A326-9275-4FC8-B4CC-7EB346080643}">
    <text>MSK危险品2F (272638715)</text>
  </threadedComment>
  <threadedComment ref="L27" dT="2026-07-01T10:17:40.61" personId="{56818584-B3E0-4B2D-A5E9-D37F823CA16D}" id="{89DC0615-CF08-4A48-AB9A-6FECB359D205}" parentId="{F770A326-9275-4FC8-B4CC-7EB346080643}">
    <text>舱保29F(26个PV+3个BTP)</text>
  </threadedComment>
  <threadedComment ref="M27" dT="2026-07-01T10:19:54.24" personId="{56818584-B3E0-4B2D-A5E9-D37F823CA16D}" id="{078A5A1D-9B7E-4BCC-8B4B-331C6B028C1F}">
    <text>W29&amp;W30共用AEM1舱保15F （FOS 14 PV+1 BTP）</text>
  </threadedComment>
  <threadedComment ref="M27" dT="2026-07-27T01:55:17.61" personId="{ED0E0B94-28DE-45B0-99AC-EBA7D3821EBA}" id="{7E59D6F7-D1B8-4F92-842F-060F48DF35AC}" parentId="{078A5A1D-9B7E-4BCC-8B4B-331C6B028C1F}">
    <text>MSK 1F危险品(272910011)</text>
  </threadedComment>
  <threadedComment ref="N27" dT="2026-07-01T10:20:42.79" personId="{56818584-B3E0-4B2D-A5E9-D37F823CA16D}" id="{0B8DAA0F-FDB5-41EE-99EC-4A4B88BFC59A}">
    <text>W29 &amp;W30 共用AEM1 舱保 , COSCO AMC 5F + 危险品2F</text>
  </threadedComment>
  <threadedComment ref="N27" dT="2026-07-27T01:58:21.41" personId="{ED0E0B94-28DE-45B0-99AC-EBA7D3821EBA}" id="{0BB7394A-FCAB-4AA0-A12B-41A1F8C46036}" parentId="{0B8DAA0F-FDB5-41EE-99EC-4A4B88BFC59A}">
    <text>MSK 危险品2F(274118289)</text>
  </threadedComment>
  <threadedComment ref="O27" dT="2026-07-27T01:59:32.02" personId="{ED0E0B94-28DE-45B0-99AC-EBA7D3821EBA}" id="{1D9688EB-563D-4C0B-B485-69F8E1F68760}">
    <text>MSK危险品2F(274424044)</text>
  </threadedComment>
  <threadedComment ref="O27" dT="2026-07-27T08:00:00.39" personId="{56818584-B3E0-4B2D-A5E9-D37F823CA16D}" id="{05BC1CC5-5F6D-4DEB-9508-08B254199ACB}" parentId="{1D9688EB-563D-4C0B-B485-69F8E1F68760}">
    <text>COSCO 12F(BTP 3F +PV 9F)+ 危险品2F</text>
  </threadedComment>
  <threadedComment ref="P27" dT="2026-07-27T14:29:47.87" personId="{ED0E0B94-28DE-45B0-99AC-EBA7D3821EBA}" id="{3830B3EF-D067-4B72-A8E3-2D67139411E0}">
    <text>MSK危险品4F(274797840)</text>
  </threadedComment>
  <threadedComment ref="P27" dT="2026-07-28T01:43:46.84" personId="{56818584-B3E0-4B2D-A5E9-D37F823CA16D}" id="{D1BCFFA2-E465-4ECB-A840-E5DCF871F7AF}" parentId="{3830B3EF-D067-4B72-A8E3-2D67139411E0}">
    <text>COSCO AMC 2F +危险品4F+MSK 14F</text>
  </threadedComment>
  <threadedComment ref="Q27" dT="2026-07-28T01:44:35.26" personId="{56818584-B3E0-4B2D-A5E9-D37F823CA16D}" id="{2A109C5C-CCED-424E-A3F7-DD8B6D611C15}">
    <text>COSCO AMC 10F+ 危险 4F+MSK 24F</text>
  </threadedComment>
  <threadedComment ref="Q27" dT="2026-07-29T10:19:30.21" personId="{ED0E0B94-28DE-45B0-99AC-EBA7D3821EBA}" id="{7BE0DEC4-9612-4043-9157-C50FE5DE9177}" parentId="{2A109C5C-CCED-424E-A3F7-DD8B6D611C15}">
    <text>MSK危险品4F(274958025)</text>
  </threadedComment>
  <threadedComment ref="R27" dT="2026-07-30T09:19:16.42" personId="{ED0E0B94-28DE-45B0-99AC-EBA7D3821EBA}" id="{7A8345D1-0572-4C71-8FB7-CAEEA32071F8}">
    <text>MSK危险品2F(275028649)</text>
  </threadedComment>
  <threadedComment ref="R27" dT="2026-07-31T08:57:48.91" personId="{56818584-B3E0-4B2D-A5E9-D37F823CA16D}" id="{2648790E-6335-477C-A878-FA55191B6D31}" parentId="{7A8345D1-0572-4C71-8FB7-CAEEA32071F8}">
    <text>COSCO AMC 5F+危险品2F+MSK 24F</text>
  </threadedComment>
  <threadedComment ref="S27" dT="2026-07-31T08:58:42.88" personId="{56818584-B3E0-4B2D-A5E9-D37F823CA16D}" id="{DAB10051-34C7-4E6E-97D2-23ACA34A4D78}">
    <text>COSCO AMC 7F+MSK 6F +危险品2F</text>
  </threadedComment>
  <threadedComment ref="S27" dT="2026-08-12T02:45:27.55" personId="{ED0E0B94-28DE-45B0-99AC-EBA7D3821EBA}" id="{FDB50B73-B1A0-4989-A932-9891765D2A5D}" parentId="{DAB10051-34C7-4E6E-97D2-23ACA34A4D78}">
    <text>MSK危险品2F(275550212 )</text>
  </threadedComment>
  <threadedComment ref="T27" dT="2026-07-31T08:59:28.89" personId="{56818584-B3E0-4B2D-A5E9-D37F823CA16D}" id="{6A37EBA8-6244-4B02-8FEA-D1B7BEA467FE}">
    <text>COSCM AMC 14F+ 危险品2F</text>
  </threadedComment>
  <threadedComment ref="T27" dT="2026-08-25T11:21:27.12" personId="{ED0E0B94-28DE-45B0-99AC-EBA7D3821EBA}" id="{07F396E2-D0FF-464E-A5E0-7FC0A1869B17}" parentId="{6A37EBA8-6244-4B02-8FEA-D1B7BEA467FE}">
    <text>MSK危险品2F(276027831 )</text>
  </threadedComment>
  <threadedComment ref="U27" dT="2026-09-02T01:43:15.07" personId="{ED0E0B94-28DE-45B0-99AC-EBA7D3821EBA}" id="{DDE985C2-DDA3-4BF5-AF15-7C48F7D5A940}">
    <text>MSK危险品舱位2F(276339822)</text>
  </threadedComment>
  <threadedComment ref="U27" dT="2026-09-22T06:14:42.85" personId="{56818584-B3E0-4B2D-A5E9-D37F823CA16D}" id="{BAC0DF63-8C75-402A-B9D6-CF3C45B0DD10}" parentId="{DDE985C2-DDA3-4BF5-AF15-7C48F7D5A940}">
    <text>COSCO AMC 5F +MSK 3F</text>
  </threadedComment>
  <threadedComment ref="M39" dT="2026-07-14T10:30:42.14" personId="{56818584-B3E0-4B2D-A5E9-D37F823CA16D}" id="{120C12AA-60B0-4211-9F23-FF07E6AFAEE9}">
    <text>1.W29&amp;W30共用AEM3 , VLC舱保6F(AEM3 5F+AEM1 1F ) 组成</text>
  </threadedComment>
  <threadedComment ref="N39" dT="2026-07-14T10:31:45.53" personId="{56818584-B3E0-4B2D-A5E9-D37F823CA16D}" id="{D6473CA1-0479-4F6B-85D5-0EE0BC5FB679}">
    <text>W29&amp;W30共用AEM3舱保4F</text>
  </threadedComment>
  <threadedComment ref="T39" dT="2026-08-18T00:44:07.80" personId="{ED0E0B94-28DE-45B0-99AC-EBA7D3821EBA}" id="{5224EFEA-BD5E-459B-9DF7-348F2FDE2750}">
    <text>MSK危险品1F(275749171)</text>
  </threadedComment>
  <threadedComment ref="X39" dT="2026-09-02T07:47:19.58" personId="{D9F303E2-1809-4B06-9A5F-59B6E73873A2}" id="{F81843B6-B9B4-44F9-A3DE-342518B588D3}">
    <text>AEM3 空班 -2F</text>
  </threadedComment>
  <threadedComment ref="M43" dT="2026-07-14T10:30:42.14" personId="{56818584-B3E0-4B2D-A5E9-D37F823CA16D}" id="{F43A3276-A18F-4BB7-AB6E-D5C9DB4BAA17}">
    <text>1.W29&amp;W30共用AEM3 , VLC舱保6F(AEM3 5F+AEM1 1F ) 组成</text>
  </threadedComment>
  <threadedComment ref="N43" dT="2026-07-14T10:31:45.53" personId="{56818584-B3E0-4B2D-A5E9-D37F823CA16D}" id="{BC2E4E7B-59C0-4547-BCD3-58CAF06DD122}">
    <text>W29&amp;W30共用AEM3舱保4F</text>
  </threadedComment>
  <threadedComment ref="O53" dT="2026-07-24T08:32:31.70" personId="{8C072ED9-67B2-4AC4-9725-D14F85A260B4}" id="{D7EA986A-156E-4F94-971C-799D8A45F214}">
    <text>FAK价订舱</text>
  </threadedComment>
  <threadedComment ref="S57" dT="2026-08-26T02:18:06.62" personId="{8C072ED9-67B2-4AC4-9725-D14F85A260B4}" id="{F7A08F39-AFC0-406D-9F58-7AB94DC9E884}">
    <text>缺货，未订舱</text>
  </threadedComment>
  <threadedComment ref="T57" dT="2026-08-26T02:18:14.94" personId="{8C072ED9-67B2-4AC4-9725-D14F85A260B4}" id="{2BC94DEA-64D9-4F63-9A34-2EC8C783BE2D}">
    <text>缺货，未订舱</text>
  </threadedComment>
  <threadedComment ref="U57" dT="2026-08-26T02:18:14.94" personId="{8C072ED9-67B2-4AC4-9725-D14F85A260B4}" id="{8CA8356F-6EF6-4F2C-BAEE-76C18DAF90A4}">
    <text>缺货，未订舱</text>
  </threadedComment>
  <threadedComment ref="V57" dT="2026-09-08T07:51:43.43" personId="{8C072ED9-67B2-4AC4-9725-D14F85A260B4}" id="{D2911FD1-D0E8-4799-B007-BAE3DAA199A2}">
    <text>AEU1-1F空班</text>
  </threadedComment>
  <threadedComment ref="Z57" dT="2026-09-29T08:29:23.42" personId="{8C072ED9-67B2-4AC4-9725-D14F85A260B4}" id="{43440A95-1916-4D88-9D45-0958CD8EB9E8}">
    <text>AEU1-1F空班</text>
  </threadedComment>
  <threadedComment ref="AB57" dT="2026-10-23T02:59:15.72" personId="{8C072ED9-67B2-4AC4-9725-D14F85A260B4}" id="{A54C440D-73B4-47CA-98DD-F27CC8BA11DD}">
    <text>AEU1-1F空班</text>
  </threadedComment>
  <threadedComment ref="AC57" dT="2026-10-23T02:59:15.72" personId="{8C072ED9-67B2-4AC4-9725-D14F85A260B4}" id="{E47EEE80-D5EA-4DE2-BB80-2AF3E98CA471}">
    <text>FAK-深外代-6F</text>
  </threadedComment>
  <threadedComment ref="AC61" dT="2026-10-29T06:00:52.89" personId="{8C072ED9-67B2-4AC4-9725-D14F85A260B4}" id="{A20A5208-09DD-4B26-8E60-C9D3289C67E2}">
    <text>FAK-SIGMA-2F，COSCO-1F</text>
  </threadedComment>
  <threadedComment ref="N65" dT="2026-07-24T09:10:43.70" personId="{8C072ED9-67B2-4AC4-9725-D14F85A260B4}" id="{89593B00-243B-459E-BB9E-C4FF62AC086D}">
    <text>FAK-11F</text>
  </threadedComment>
  <threadedComment ref="P65" dT="2026-08-07T03:00:43.42" personId="{8C072ED9-67B2-4AC4-9725-D14F85A260B4}" id="{CAA0AC94-3E5B-441A-A108-935F389616C2}">
    <text>舱保8F+LX-16F</text>
  </threadedComment>
  <threadedComment ref="Q65" dT="2026-08-07T02:58:03.57" personId="{8C072ED9-67B2-4AC4-9725-D14F85A260B4}" id="{12A22050-2943-4061-A685-3F0F62F871B7}">
    <text>舱保8F+LX-17F+ONE-14F</text>
  </threadedComment>
  <threadedComment ref="R65" dT="2026-08-14T06:17:07.82" personId="{8C072ED9-67B2-4AC4-9725-D14F85A260B4}" id="{5CA8F55F-22E9-4F38-A490-30389244D299}">
    <text>舱保8F+LX-3F</text>
  </threadedComment>
  <threadedComment ref="S65" dT="2026-08-20T06:48:45.97" personId="{8C072ED9-67B2-4AC4-9725-D14F85A260B4}" id="{FFF8CC83-E395-41DD-B671-7595EB26C368}">
    <text>舱保8F+LX-3F</text>
  </threadedComment>
  <threadedComment ref="AA65" dT="2026-10-14T07:29:43.24" personId="{8C072ED9-67B2-4AC4-9725-D14F85A260B4}" id="{A7888DC2-F086-4CC9-BF5D-CD8D95A30172}">
    <text>AEU3-缩舱6F</text>
  </threadedComment>
  <threadedComment ref="AB65" dT="2026-10-23T02:59:15.72" personId="{8C072ED9-67B2-4AC4-9725-D14F85A260B4}" id="{E3EE0201-700A-459A-9CCF-37773CBE79C0}">
    <text>AEU3-8F空班</text>
  </threadedComment>
  <threadedComment ref="M69" dT="2026-07-07T09:57:43.42" personId="{02E0D6C5-DC91-4854-8BC7-690C84B272B9}" id="{DE7C5BBD-5E61-4A5D-92D0-F9EA74DD6014}">
    <text>wont ship to Le Havre unless there is FCA order picked up by customer at port, reallocate slots to RTM</text>
  </threadedComment>
  <threadedComment ref="N69" dT="2026-07-07T09:57:43.42" personId="{02E0D6C5-DC91-4854-8BC7-690C84B272B9}" id="{083EA981-3112-402B-80F8-B20ADDAAE890}">
    <text>wont ship to Le Havre unless there is FCA order picked up by customer at port, reallocate slots to RTM</text>
  </threadedComment>
  <threadedComment ref="O69" dT="2026-07-07T09:57:43.42" personId="{02E0D6C5-DC91-4854-8BC7-690C84B272B9}" id="{A0C65344-F084-427C-BCF1-4C87FFA6876D}">
    <text>wont ship to Le Havre unless there is FCA order picked up by customer at port, reallocate slots to RTM</text>
  </threadedComment>
  <threadedComment ref="P69" dT="2026-07-07T09:57:43.42" personId="{02E0D6C5-DC91-4854-8BC7-690C84B272B9}" id="{4F94BEBC-852C-4A77-8E14-1BC0FEED1B11}">
    <text>wont ship to Le Havre unless there is FCA order picked up by customer at port, reallocate slots to RTM</text>
  </threadedComment>
  <threadedComment ref="J77" dT="2026-07-01T07:48:25.38" personId="{05C11D42-6D5E-441A-86A5-85325E59A632}" id="{2CF0FF92-2504-4BB5-A585-48CD731F37F9}">
    <text>W26地线空班,使用27周仓保</text>
  </threadedComment>
  <threadedComment ref="K77" dT="2026-07-01T08:04:26.91" personId="{05C11D42-6D5E-441A-86A5-85325E59A632}" id="{8CF7B553-4818-425D-956F-19E4D676BAD6}">
    <text>发W26的货</text>
  </threadedComment>
  <threadedComment ref="L77" dT="2026-07-01T07:49:19.23" personId="{05C11D42-6D5E-441A-86A5-85325E59A632}" id="{078D72E3-1961-4391-B218-2F795DA202FC}">
    <text>空班，28周所有空班。
出了一水船，接地线</text>
  </threadedComment>
  <threadedComment ref="N77" dT="2026-07-20T09:51:45.44" personId="{05C11D42-6D5E-441A-86A5-85325E59A632}" id="{3068F710-3BB0-44DA-9F0F-5117A1D1906D}">
    <text>30周地线仓保已被28周占用</text>
  </threadedComment>
  <threadedComment ref="P77" dT="2026-07-31T03:29:08.47" personId="{8C072ED9-67B2-4AC4-9725-D14F85A260B4}" id="{7DDD8871-1A96-4595-BB85-8A3AC7DA6ECB}">
    <text>AEM2空班</text>
  </threadedComment>
  <threadedComment ref="V77" dT="2026-09-08T01:38:05.52" personId="{8C072ED9-67B2-4AC4-9725-D14F85A260B4}" id="{DC4D7903-D60F-45C8-94A5-0A0C0772D298}">
    <text>AEM1-4F空班</text>
  </threadedComment>
  <threadedComment ref="Y77" dT="2026-09-22T05:58:06.25" personId="{8C072ED9-67B2-4AC4-9725-D14F85A260B4}" id="{7A49A645-7AA8-4183-B1E1-0A35A0A5EA2B}">
    <text>AEM2-2F空班</text>
  </threadedComment>
  <threadedComment ref="AB77" dT="2026-10-23T03:00:38.84" personId="{8C072ED9-67B2-4AC4-9725-D14F85A260B4}" id="{A3303FBF-E7F5-472C-B35F-5AD63308AF11}">
    <text>AEM1-4F，AEM2-2F空班</text>
  </threadedComment>
  <threadedComment ref="L89" dT="2026-07-02T08:18:09.42" personId="{05C11D42-6D5E-441A-86A5-85325E59A632}" id="{4BF00CFA-1ACF-4015-A1A0-E79C68400029}">
    <text xml:space="preserve">发了29周的货
</text>
  </threadedComment>
  <threadedComment ref="N89" dT="2026-07-31T03:30:47.09" personId="{8C072ED9-67B2-4AC4-9725-D14F85A260B4}" id="{115C5FF5-FEC4-4AB6-9D73-82322841A1B6}">
    <text>30周地线仓保已被28周占用</text>
  </threadedComment>
  <threadedComment ref="R89" dT="2026-08-26T06:10:45.19" personId="{8C072ED9-67B2-4AC4-9725-D14F85A260B4}" id="{B6110AC7-1A51-4357-8DBE-56BB14FC901B}">
    <text>AEM3空班</text>
  </threadedComment>
  <threadedComment ref="T89" dT="2026-08-31T02:20:32.13" personId="{8C072ED9-67B2-4AC4-9725-D14F85A260B4}" id="{323ED7BD-35DA-4C11-856F-CB1290B0CD3A}">
    <text>缺货，未订舱</text>
  </threadedComment>
  <threadedComment ref="U89" dT="2026-08-31T02:20:32.13" personId="{8C072ED9-67B2-4AC4-9725-D14F85A260B4}" id="{DA90BF6B-9B6C-492A-8744-ACFBEB9BFDEB}">
    <text>缺货，未订舱</text>
  </threadedComment>
  <threadedComment ref="V89" dT="2026-09-14T06:05:23.23" personId="{8C072ED9-67B2-4AC4-9725-D14F85A260B4}" id="{F69B77C1-B0FA-41E5-A133-0CCA84983AC7}">
    <text>AEM3-1F缺货</text>
  </threadedComment>
  <threadedComment ref="N99" dT="2026-07-14T08:26:56.60" personId="{05C11D42-6D5E-441A-86A5-85325E59A632}" id="{64543C54-94F1-499D-A574-6B1FEFCA5985}">
    <text>AEU1-4T AEU5 -6T 空班</text>
  </threadedComment>
  <threadedComment ref="P99" dT="2026-07-31T08:51:22.32" personId="{05C11D42-6D5E-441A-86A5-85325E59A632}" id="{1A3129A1-4214-4FDA-8907-92DD1154B236}">
    <text>空班-4T</text>
  </threadedComment>
  <threadedComment ref="S99" dT="2026-08-24T05:50:53.89" personId="{05C11D42-6D5E-441A-86A5-85325E59A632}" id="{3CB34E3C-7836-403B-8B6D-482A67CACF40}">
    <text>新新运 one 2F</text>
  </threadedComment>
  <threadedComment ref="X99" dT="2026-09-22T05:52:00.54" personId="{05C11D42-6D5E-441A-86A5-85325E59A632}" id="{B8FF5108-9672-4716-8C5C-682CAAA28FD0}">
    <text>AEU1-4T空班</text>
  </threadedComment>
  <threadedComment ref="AE99" dT="2026-10-26T06:59:38.41" personId="{05C11D42-6D5E-441A-86A5-85325E59A632}" id="{75DCE28B-28CA-444F-AFB3-D9040AFC2D1E}">
    <text>AEU1-4T 空班</text>
  </threadedComment>
  <threadedComment ref="M103" dT="2026-07-14T08:27:42.62" personId="{05C11D42-6D5E-441A-86A5-85325E59A632}" id="{01462573-6834-4307-B995-0F42529E29F0}">
    <text>AEU3-10T空班</text>
  </threadedComment>
  <threadedComment ref="N103" dT="2026-07-14T08:29:01.18" personId="{05C11D42-6D5E-441A-86A5-85325E59A632}" id="{9A8B6D26-700C-4995-A44B-17195B4D3803}">
    <text>AEU5-6T空班</text>
  </threadedComment>
  <threadedComment ref="W103" dT="2026-09-22T05:49:29.86" personId="{05C11D42-6D5E-441A-86A5-85325E59A632}" id="{C68E912E-0F47-4262-8B72-9C0CB640099B}">
    <text xml:space="preserve">AEU5-2T没货，AEU3-10T待定
</text>
  </threadedComment>
  <threadedComment ref="X103" dT="2026-09-22T05:52:00.54" personId="{05C11D42-6D5E-441A-86A5-85325E59A632}" id="{181787A5-C957-4369-B916-9EF2B10B0B29}">
    <text>AEU5-6T空班</text>
  </threadedComment>
  <threadedComment ref="Y103" dT="2026-10-09T09:39:18.13" personId="{05C11D42-6D5E-441A-86A5-85325E59A632}" id="{2FECA532-8647-4DB4-AF2D-CEBCDE71EAC6}">
    <text>AEU4-6T空班</text>
  </threadedComment>
  <threadedComment ref="AB103" dT="2026-10-26T07:00:13.95" personId="{05C11D42-6D5E-441A-86A5-85325E59A632}" id="{4FAEE069-0242-487A-BD21-19B5CFB3F5D2}">
    <text>AEU3-10T空班</text>
  </threadedComment>
  <threadedComment ref="M123" dT="2026-07-20T09:42:58.72" personId="{05C11D42-6D5E-441A-86A5-85325E59A632}" id="{3BC74ED4-80DE-4D44-B1D7-3A9E8E3856AE}">
    <text>AEM2-2T 空班</text>
  </threadedComment>
  <threadedComment ref="P123" dT="2026-07-27T06:22:57.68" personId="{05C11D42-6D5E-441A-86A5-85325E59A632}" id="{AE905FF9-1A24-48AF-ADC0-7B7DDB22D380}">
    <text>AEM1-2T 空班</text>
  </threadedComment>
  <threadedComment ref="R123" dT="2026-07-27T06:23:51.61" personId="{05C11D42-6D5E-441A-86A5-85325E59A632}" id="{027703A0-DB47-42DB-A294-04B4051077BC}">
    <text>AEM2 -2T 空班</text>
  </threadedComment>
  <threadedComment ref="X123" dT="2026-09-22T05:51:08.15" personId="{05C11D42-6D5E-441A-86A5-85325E59A632}" id="{751E858E-EEFF-4E27-AE5C-E89C1F177E3D}">
    <text>AEM1-4T空班</text>
  </threadedComment>
  <threadedComment ref="AC127" dT="2026-10-26T07:01:22.76" personId="{05C11D42-6D5E-441A-86A5-85325E59A632}" id="{16581922-0037-4F8C-A8F3-D6C49F80254F}">
    <text>AEM1-4T 空班</text>
  </threadedComment>
  <threadedComment ref="AE127" dT="2026-10-26T07:01:22.76" personId="{05C11D42-6D5E-441A-86A5-85325E59A632}" id="{8D802EE3-84B6-4911-8832-69784B425642}">
    <text>AEM1-4T 空班</text>
  </threadedComment>
  <threadedComment ref="Y131" dT="2026-10-09T09:42:18.63" personId="{05C11D42-6D5E-441A-86A5-85325E59A632}" id="{3CD71756-D6E6-4455-9752-3EF98BD253E8}">
    <text>AEM2-2T空班</text>
  </threadedComment>
  <threadedComment ref="N135" dT="2026-07-14T08:26:22.74" personId="{05C11D42-6D5E-441A-86A5-85325E59A632}" id="{120B9E1F-CE25-47CA-81EF-44C8B0551B4A}">
    <text>AEM3-2T空班</text>
  </threadedComment>
  <threadedComment ref="AB135" dT="2026-10-26T06:55:19.41" personId="{05C11D42-6D5E-441A-86A5-85325E59A632}" id="{EFAB1BF1-AEB8-46C9-8ECE-E5C9611246E7}">
    <text>AEM2-2T 空班</text>
  </threadedComment>
  <threadedComment ref="AD135" dT="2026-10-26T06:55:19.41" personId="{05C11D42-6D5E-441A-86A5-85325E59A632}" id="{0D19C198-DC15-41B2-B664-B67ED22F0E66}">
    <text>AEM2-2T 空班</text>
  </threadedComment>
  <threadedComment ref="S139" dT="2026-08-26T07:41:27.80" personId="{05C11D42-6D5E-441A-86A5-85325E59A632}" id="{B2F9B5D4-37D6-4AB1-896E-E80FB09DC12B}">
    <text>AEM3-2T空班</text>
  </threadedComment>
  <threadedComment ref="T139" dT="2026-09-07T06:00:15.24" personId="{05C11D42-6D5E-441A-86A5-85325E59A632}" id="{A7ABA424-4834-4DE5-B726-721EBFDBC408}">
    <text>AEM3-2T 没货 AEM2 -2T空班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6-01-13T22:23:48.92" personId="{41425945-2EA3-4AE6-96AE-17C5BE4906F3}" id="{9B50F715-2828-452E-8A37-51203AF7FF8A}">
    <text>Make sure to follow syntax of main ref then “.” then iterate allocation</text>
  </threadedComment>
  <threadedComment ref="G1" dT="2025-09-03T12:33:46.01" personId="{A1DB9FF7-8839-43D1-893F-47EE4320F687}" id="{B6106BB5-9AC4-4EBF-866F-78F8C25BC9F3}">
    <text xml:space="preserve">DDP = Specific salesorder with DDP incoterm. DAP shipment inbetween
DAP = salesorder or shipment to local WH
Other incoterms for specific salesorders
</text>
  </threadedComment>
  <threadedComment ref="J1" dT="2025-09-03T12:32:26.85" personId="{A1DB9FF7-8839-43D1-893F-47EE4320F687}" id="{37CF7360-8B51-44B0-83D7-43ABF775DA01}">
    <text>Local WH = for all shipments to replenish local W-org
SPxx / yy = for DDP shipments to xx entity and yy customer
Customer = when allocated to a specific customer</text>
  </threadedComment>
  <threadedComment ref="AK1" dT="2026-01-27T01:02:01.48" personId="{ED0E0B94-28DE-45B0-99AC-EBA7D3821EBA}" id="{AD06982A-D32D-4B26-B4F1-F95628530DCC}">
    <text>Actual Date of Port Departure</text>
  </threadedComment>
  <threadedComment ref="AL1" dT="2026-01-27T01:03:58.92" personId="{ED0E0B94-28DE-45B0-99AC-EBA7D3821EBA}" id="{D547FD25-4034-40D0-9943-35CF6347827C}">
    <text>Estimated  Date of Port Discharge</text>
  </threadedComment>
  <threadedComment ref="AN1" dT="2026-01-27T01:02:56.73" personId="{ED0E0B94-28DE-45B0-99AC-EBA7D3821EBA}" id="{BC89197C-6B7B-44AA-87B1-3060096D11AB}">
    <text>Actual Date of Port Discharge</text>
  </threadedComment>
  <threadedComment ref="AL182" dT="2025-12-02T10:26:45.76" personId="{1D50D208-176E-4122-BE0D-3EF9D0230AA0}" id="{DA825B82-6DAE-4AE3-9ECB-DB10052251EB}">
    <text>CRD 31/03</text>
  </threadedComment>
  <threadedComment ref="Q183" dT="2026-01-19T08:29:07.01" personId="{41425945-2EA3-4AE6-96AE-17C5BE4906F3}" id="{19ECF48F-61D9-4933-864D-6227E6655787}">
    <text>change to 455w</text>
  </threadedComment>
  <threadedComment ref="U183" dT="2025-12-26T02:15:29.16" personId="{263F6BBD-D24C-4B7E-8F2B-65F7948858A3}" id="{26D1F683-AB9B-4D2D-964B-BF96495323AF}">
    <text>not fixed now due to the bin rate change, will update qty according to the actual output. 10MW in total for JAN PO (450W+455W)</text>
  </threadedComment>
  <threadedComment ref="U183" dT="2026-01-19T08:28:55.54" personId="{41425945-2EA3-4AE6-96AE-17C5BE4906F3}" id="{7E07C242-0C4D-404F-85E8-4F256DADA2D7}" parentId="{26D1F683-AB9B-4D2D-964B-BF96495323AF}">
    <text>OK TO SWAP WITH 455w</text>
  </threadedComment>
  <threadedComment ref="J185" dT="2025-12-18T17:09:11.40" personId="{1D50D208-176E-4122-BE0D-3EF9D0230AA0}" id="{5D215B48-757D-4533-9AA6-B7A625CE3408}">
    <text>EnergyNat opp cancelled</text>
  </threadedComment>
  <threadedComment ref="Q185" dT="2026-01-19T08:53:46.57" personId="{41425945-2EA3-4AE6-96AE-17C5BE4906F3}" id="{E254529F-24C5-4F68-AAD1-2BA770D4D626}">
    <text>NEED 450w -&gt; MANDATORY</text>
  </threadedComment>
  <threadedComment ref="Q189" dT="2026-01-29T03:33:18.20" personId="{56818584-B3E0-4B2D-A5E9-D37F823CA16D}" id="{51356301-D527-4094-8AD4-05EA99046B9C}">
    <text>
陈俊萍
W603
As per JB request, Swap  2ctnrs of SPR-P7-555-COM-S in W06 with HSM-ND66-GR620 in W07</text>
  </threadedComment>
  <threadedComment ref="AB189" dT="2026-02-02T06:39:07.58" personId="{56818584-B3E0-4B2D-A5E9-D37F823CA16D}" id="{0495563C-8927-4280-966F-29C4C953905A}">
    <text>5 CTNS picked up on 1-31, 5 CTNS picked up on 2-01</text>
  </threadedComment>
  <threadedComment ref="AH189" dT="2026-01-30T02:36:12.89" personId="{56818584-B3E0-4B2D-A5E9-D37F823CA16D}" id="{7AB8923A-63BA-47FA-BD49-7D11EA071F2D}">
    <text>As per JB &amp; Arleen advice, POD have to be changed from Genoa to Fos for customs clearance purpose</text>
  </threadedComment>
  <threadedComment ref="U190" dT="2025-12-26T02:15:29.16" personId="{263F6BBD-D24C-4B7E-8F2B-65F7948858A3}" id="{1ED05791-E771-40B7-AFB6-8B71D8CC2880}">
    <text>not fixed now due to the bin rate change, will update qty according to the actual output. 10MW in total for JAN PO (450W+455W)</text>
  </threadedComment>
  <threadedComment ref="AS202" dT="2026-02-10T09:45:00.54" personId="{56818584-B3E0-4B2D-A5E9-D37F823CA16D}" id="{34FBE0AA-23BE-4A32-9FC1-186C9F1AA1FA}">
    <text>Subject to roll due to overbooking</text>
  </threadedComment>
  <threadedComment ref="AB203" dT="2026-02-09T01:22:39.10" personId="{56818584-B3E0-4B2D-A5E9-D37F823CA16D}" id="{E2CABEEE-3168-4EE8-95EF-303A23B689C0}">
    <text xml:space="preserve">Pick-up date on Feb 08 and 09 due to vehicles limited </text>
  </threadedComment>
  <threadedComment ref="AB204" dT="2026-02-09T01:23:15.26" personId="{56818584-B3E0-4B2D-A5E9-D37F823CA16D}" id="{A2D05D0E-228F-4FED-960F-3ECABD2CA495}">
    <text>Pick-up date on Feb 08 and 09 due to vehicles limited</text>
  </threadedComment>
  <threadedComment ref="J222" dT="2026-02-25T08:43:11.82" personId="{A4F86956-64B8-4A55-A032-3A7A56271F72}" id="{ECFF1C58-07D1-42B8-A1A7-7AFF448C8AEB}">
    <text>preallocated to Ecostal BE on top on BE018 order</text>
  </threadedComment>
  <threadedComment ref="U224" dT="2026-01-27T08:17:40.30" personId="{AEDBF3C1-4A8E-4E51-9E34-6FCF6E9F8787}" id="{2742623E-A6DD-43B8-ACCC-78B6150EA53F}">
    <text xml:space="preserve">revised to 19872pcs on JAN 27 </text>
  </threadedComment>
  <threadedComment ref="AD224" dT="2026-04-17T14:21:44.20" personId="{41425945-2EA3-4AE6-96AE-17C5BE4906F3}" id="{1F8E1B31-8D89-4928-B097-FEC0563A74D2}">
    <text>Former PO =&gt; POPV260303018</text>
  </threadedComment>
  <threadedComment ref="U225" dT="2026-01-27T08:17:40.30" personId="{AEDBF3C1-4A8E-4E51-9E34-6FCF6E9F8787}" id="{18B88200-9600-48BB-A257-0C41548AC5D1}">
    <text xml:space="preserve">revised to 19872pcs on JAN 27 </text>
  </threadedComment>
  <threadedComment ref="AD225" dT="2026-04-17T14:21:44.20" personId="{41425945-2EA3-4AE6-96AE-17C5BE4906F3}" id="{F0D1C012-59D3-46BE-9E1C-486176E0F8D9}">
    <text>Former PO =&gt; POPV260303018</text>
  </threadedComment>
  <threadedComment ref="X232" dT="2026-02-24T06:00:55.34" personId="{AEDBF3C1-4A8E-4E51-9E34-6FCF6E9F8787}" id="{09B8ACA3-10F2-450F-9496-EADE550843F6}">
    <text>24/02/26: change from 7ctns to 6ctns due to insufficient output, the rest 1ct can be picked up in W12</text>
  </threadedComment>
  <threadedComment ref="U235" dT="2026-02-03T10:15:41.20" personId="{41425945-2EA3-4AE6-96AE-17C5BE4906F3}" id="{AE61DED5-3BE8-42F7-91E3-92CD8F36D287}">
    <text>Reduce from 792 (full truck) to 720 (full CT)</text>
  </threadedComment>
  <threadedComment ref="U244" dT="2026-02-28T05:54:41.62" personId="{AEDBF3C1-4A8E-4E51-9E34-6FCF6E9F8787}" id="{C40A4718-429B-42A2-92A5-C2A9DE6C72D5}">
    <text>260228: short of 360pcs*1.4m tranparent, using 26mar029 360pcs*1.4m blk to replenish</text>
  </threadedComment>
  <threadedComment ref="AD249" dT="2026-04-17T17:17:42.28" personId="{CD7C98D9-7D9B-40B0-9849-33B1E1746B40}" id="{F605B461-2557-45F5-B267-8CF329DD9BCE}">
    <text>Old PO =&gt; POPV260309028</text>
  </threadedComment>
  <threadedComment ref="AD249" dT="2026-04-24T15:12:02.40" personId="{41425945-2EA3-4AE6-96AE-17C5BE4906F3}" id="{F04F1EC0-1EBC-4C77-9C15-8A8F545F4C73}" parentId="{F605B461-2557-45F5-B267-8CF329DD9BCE}">
    <text>Former Ecostal PO : POPV260417055</text>
  </threadedComment>
  <threadedComment ref="AD250" dT="2026-04-17T17:17:42.28" personId="{CD7C98D9-7D9B-40B0-9849-33B1E1746B40}" id="{9C1A0DCB-64B9-4542-A674-AFDDF0B44679}">
    <text>Old PO =&gt; POPV260309028</text>
  </threadedComment>
  <threadedComment ref="AD250" dT="2026-04-24T15:12:02.40" personId="{41425945-2EA3-4AE6-96AE-17C5BE4906F3}" id="{1381B97B-9B04-47B8-BFE3-498ABB149E8F}" parentId="{9C1A0DCB-64B9-4542-A674-AFDDF0B44679}">
    <text>Former Ecostal PO : POPV260417055</text>
  </threadedComment>
  <threadedComment ref="AD251" dT="2026-04-17T17:17:42.28" personId="{CD7C98D9-7D9B-40B0-9849-33B1E1746B40}" id="{6DC5ABDF-7943-4802-A96B-B6E0E0D907BF}">
    <text>Old PO =&gt; POPV260309028</text>
  </threadedComment>
  <threadedComment ref="AD251" dT="2026-04-24T15:12:02.40" personId="{41425945-2EA3-4AE6-96AE-17C5BE4906F3}" id="{DFB27617-5CB5-4B4E-AFCD-2060D5844C0B}" parentId="{6DC5ABDF-7943-4802-A96B-B6E0E0D907BF}">
    <text>Former Ecostal PO : POPV260417055</text>
  </threadedComment>
  <threadedComment ref="AD251" dT="2026-04-29T12:59:11.03" personId="{41425945-2EA3-4AE6-96AE-17C5BE4906F3}" id="{E4C094EA-04AE-48FB-A99C-8FF8D3C47D63}" parentId="{6DC5ABDF-7943-4802-A96B-B6E0E0D907BF}">
    <text>POPV260417059</text>
  </threadedComment>
  <threadedComment ref="AD252" dT="2026-04-17T17:17:42.28" personId="{CD7C98D9-7D9B-40B0-9849-33B1E1746B40}" id="{2D2D1523-982B-4777-97CB-E11BB6329153}">
    <text>Old PO =&gt; POPV260309028</text>
  </threadedComment>
  <threadedComment ref="AD253" dT="2026-04-17T17:18:14.56" personId="{CD7C98D9-7D9B-40B0-9849-33B1E1746B40}" id="{0E99003E-6EA0-4196-B95E-39FCC079F51F}">
    <text>Old PO =&gt; POPV260309055</text>
  </threadedComment>
  <threadedComment ref="AD253" dT="2026-04-24T15:20:05.69" personId="{41425945-2EA3-4AE6-96AE-17C5BE4906F3}" id="{C3AF47A3-5E2D-4491-91CF-6D0E932D092F}" parentId="{0E99003E-6EA0-4196-B95E-39FCC079F51F}">
    <text>To replace POPV260417057 for UK Green tech Glasgow</text>
  </threadedComment>
  <threadedComment ref="AD253" dT="2026-04-29T12:59:17.27" personId="{41425945-2EA3-4AE6-96AE-17C5BE4906F3}" id="{1F8A7FEF-A091-4FE9-9A9A-042A35557CFF}" parentId="{0E99003E-6EA0-4196-B95E-39FCC079F51F}">
    <text>POPV260417059</text>
  </threadedComment>
  <threadedComment ref="U256" dT="2026-01-27T08:17:40.30" personId="{AEDBF3C1-4A8E-4E51-9E34-6FCF6E9F8787}" id="{1F605B60-9E06-4F36-B911-4FB77B944FE3}">
    <text xml:space="preserve">revised to 19872pcs on JAN 27 </text>
  </threadedComment>
  <threadedComment ref="X259" dT="2026-02-28T03:11:18.33" personId="{AEDBF3C1-4A8E-4E51-9E34-6FCF6E9F8787}" id="{FFFA59FF-EA9B-4659-A08F-694EB5E36AA9}">
    <text>260228: push 2ctns to W11 due to product mix</text>
  </threadedComment>
  <threadedComment ref="X261" dT="2026-02-28T03:19:11.42" personId="{AEDBF3C1-4A8E-4E51-9E34-6FCF6E9F8787}" id="{08E6DDD2-AF09-42F3-AC28-D8D9C8BE6A71}">
    <text>260228: pull 2ctns to w10 due to product mix</text>
  </threadedComment>
  <threadedComment ref="AH269" dT="2026-02-25T10:34:46.60" personId="{41425945-2EA3-4AE6-96AE-17C5BE4906F3}" id="{2311DEA5-EDF0-4B02-8C77-1E5110AA144D}">
    <text>Revised from Arrhus</text>
  </threadedComment>
  <threadedComment ref="U273" dT="2026-01-27T08:17:40.30" personId="{AEDBF3C1-4A8E-4E51-9E34-6FCF6E9F8787}" id="{CCF52BA6-1005-4D99-A697-ACF114F5DD8A}">
    <text xml:space="preserve">revised to 19872pcs on JAN 27 </text>
  </threadedComment>
  <threadedComment ref="U274" dT="2026-01-27T08:17:40.30" personId="{AEDBF3C1-4A8E-4E51-9E34-6FCF6E9F8787}" id="{A9F9A8A2-A8F2-4060-8F56-F9961AF22851}">
    <text xml:space="preserve">revised to 19872pcs on JAN 27 </text>
  </threadedComment>
  <threadedComment ref="AD275" dT="2026-04-17T17:18:14.56" personId="{CD7C98D9-7D9B-40B0-9849-33B1E1746B40}" id="{339113B6-0145-47CF-8261-005B7EAD1BFD}">
    <text>Old PO =&gt; POPV260309055</text>
  </threadedComment>
  <threadedComment ref="AD276" dT="2026-04-17T17:17:42.28" personId="{CD7C98D9-7D9B-40B0-9849-33B1E1746B40}" id="{CB26A16A-D34A-48EF-8291-2A156F7EB6BA}">
    <text>Old PO =&gt; POPV260309028</text>
  </threadedComment>
  <threadedComment ref="AD276" dT="2026-04-24T15:12:02.40" personId="{41425945-2EA3-4AE6-96AE-17C5BE4906F3}" id="{10CF41C8-E1F1-4D69-9300-85EEB576716E}" parentId="{CB26A16A-D34A-48EF-8291-2A156F7EB6BA}">
    <text>Former Ecostal PO : POPV260417055</text>
  </threadedComment>
  <threadedComment ref="AD276" dT="2026-05-12T15:28:02.69" personId="{41425945-2EA3-4AE6-96AE-17C5BE4906F3}" id="{9E1DBD02-0C2F-4F3A-AD85-28D6462055D6}" parentId="{CB26A16A-D34A-48EF-8291-2A156F7EB6BA}">
    <text>Change of PO back to internal after change B/L rejected (former offshore POPV260427048   )</text>
  </threadedComment>
  <threadedComment ref="AD277" dT="2026-04-17T17:18:14.56" personId="{CD7C98D9-7D9B-40B0-9849-33B1E1746B40}" id="{2D38D64A-440C-44C4-B3B7-8D6B88138BDC}">
    <text>Old PO =&gt; POPV260309055</text>
  </threadedComment>
  <threadedComment ref="U279" dT="2026-01-27T08:17:40.30" personId="{AEDBF3C1-4A8E-4E51-9E34-6FCF6E9F8787}" id="{36BDEA87-B5BC-4233-88BE-195E28ABC317}">
    <text xml:space="preserve">revised to 19872pcs on JAN 27 </text>
  </threadedComment>
  <threadedComment ref="AB281" dT="2026-03-05T01:52:12.53" personId="{ED0E0B94-28DE-45B0-99AC-EBA7D3821EBA}" id="{9FE55FAE-1F14-4F42-9042-144EAF135EAE}">
    <text>Pick-up date on Mar 06 and 07 due to vehicles limited</text>
  </threadedComment>
  <threadedComment ref="AB282" dT="2026-03-13T12:02:50.14" personId="{ED0E0B94-28DE-45B0-99AC-EBA7D3821EBA}" id="{76B624FA-BE5B-44F0-93AC-D4A3A4E1AA40}">
    <text>Pick-up date on Mar-13th(14Cts)and Mar-14th(3Cts) due to vehicles limited</text>
  </threadedComment>
  <threadedComment ref="AB283" dT="2026-03-13T12:03:46.82" personId="{ED0E0B94-28DE-45B0-99AC-EBA7D3821EBA}" id="{C4064AC5-84A9-42D6-9F9C-F3E40A4C1BE3}">
    <text>Pick-up date on Mar-13th(3Cts)and Mar-14th(14Cts) due to vehicles limited</text>
  </threadedComment>
  <threadedComment ref="AD289" dT="2026-04-27T14:46:35.35" personId="{41425945-2EA3-4AE6-96AE-17C5BE4906F3}" id="{1C5476AC-BBA3-40FF-AF70-FDFFFFBAA231}">
    <text xml:space="preserve">Former internal POPV260313032 </text>
  </threadedComment>
  <threadedComment ref="AS289" dT="2026-04-28T03:11:23.05" personId="{56818584-B3E0-4B2D-A5E9-D37F823CA16D}" id="{606D9738-214F-460D-BB0A-96B369D25DE0}">
    <text>Split from COSU6446064200</text>
  </threadedComment>
  <threadedComment ref="AD290" dT="2026-04-27T14:46:16.33" personId="{41425945-2EA3-4AE6-96AE-17C5BE4906F3}" id="{17B2F996-5846-4ECB-B16C-C4D9D6C8A05A}">
    <text xml:space="preserve">Former internal POPV260313030 </text>
  </threadedComment>
  <threadedComment ref="AS290" dT="2026-04-28T03:11:41.75" personId="{56818584-B3E0-4B2D-A5E9-D37F823CA16D}" id="{F8C4FE3C-8095-43F9-96F0-17645BE9595E}">
    <text>Split from COSU6446064200</text>
  </threadedComment>
  <threadedComment ref="AB291" dT="2026-03-09T09:00:30.50" personId="{56818584-B3E0-4B2D-A5E9-D37F823CA16D}" id="{6A2C7FA6-A834-4062-A9E8-DDBC89B20BCD}">
    <text>10CTNS PICKED UP ON 3-09 ,1 CTNS PICKED UP ON 3-10</text>
  </threadedComment>
  <threadedComment ref="U297" dT="2026-01-26T09:25:56.60" personId="{AEDBF3C1-4A8E-4E51-9E34-6FCF6E9F8787}" id="{C341D4B5-93EB-4468-9761-618DE08C32F4}">
    <text>not fix yet, will update ASAP, 725+730 total =  20MW</text>
  </threadedComment>
  <threadedComment ref="U297" dT="2026-02-04T07:15:41.94" personId="{AEDBF3C1-4A8E-4E51-9E34-6FCF6E9F8787}" id="{D9839B62-DBF3-484F-A6E5-A190B5C49DCC}" parentId="{C341D4B5-93EB-4468-9761-618DE08C32F4}">
    <text>26/02/04: fixed, 19008pcs</text>
  </threadedComment>
  <threadedComment ref="J298" dT="2026-02-27T10:33:42.52" personId="{41425945-2EA3-4AE6-96AE-17C5BE4906F3}" id="{B622161D-16DE-4679-97A8-97C229BBCF52}">
    <text>to be converted to ROTTERDAM / SPTN if customer not ready</text>
  </threadedComment>
  <threadedComment ref="AH298" dT="2026-02-25T10:34:46.60" personId="{41425945-2EA3-4AE6-96AE-17C5BE4906F3}" id="{505B8337-1CE7-4E61-9AD3-5F802013A0BC}">
    <text>Revised from Arrhus</text>
  </threadedComment>
  <threadedComment ref="U301" dT="2026-01-26T09:25:56.60" personId="{AEDBF3C1-4A8E-4E51-9E34-6FCF6E9F8787}" id="{74EA3D65-5D55-4FA1-AC1D-08E1BC425D59}">
    <text>not fix yet, will update ASAP, 725+730 total =  20MW</text>
  </threadedComment>
  <threadedComment ref="U301" dT="2026-02-04T07:15:41.94" personId="{AEDBF3C1-4A8E-4E51-9E34-6FCF6E9F8787}" id="{CE59A5E4-610E-435C-999C-CCEB820138CD}" parentId="{74EA3D65-5D55-4FA1-AC1D-08E1BC425D59}">
    <text>26/02/04: fixed, 19008pcs</text>
  </threadedComment>
  <threadedComment ref="AD318" dT="2026-04-13T11:36:12.83" personId="{41425945-2EA3-4AE6-96AE-17C5BE4906F3}" id="{AA55B4DC-A9F9-4173-877A-25B01C286D50}">
    <text xml:space="preserve">Former PO = POPV260313049 </text>
  </threadedComment>
  <threadedComment ref="AD319" dT="2026-04-13T11:36:12.83" personId="{41425945-2EA3-4AE6-96AE-17C5BE4906F3}" id="{BBCC9F08-2DD2-42E0-9FDD-E150234E1CC2}">
    <text xml:space="preserve">Former PO = POPV260313049 </text>
  </threadedComment>
  <threadedComment ref="AH324" dT="2026-03-02T09:05:18.48" personId="{AEDBF3C1-4A8E-4E51-9E34-6FCF6E9F8787}" id="{96388A79-F70C-43A2-B284-A62A8E7AFC38}">
    <text>260302: switch from FOS to RTM, same for 26Mar022.03&amp;01</text>
  </threadedComment>
  <threadedComment ref="AH325" dT="2026-03-02T09:05:18.48" personId="{AEDBF3C1-4A8E-4E51-9E34-6FCF6E9F8787}" id="{1059B448-55CB-493A-9255-503498E28DBB}">
    <text>260302: switch from FOS to RTM, same for 26Mar022.03&amp;01</text>
  </threadedComment>
  <threadedComment ref="AH326" dT="2026-03-02T09:05:18.48" personId="{AEDBF3C1-4A8E-4E51-9E34-6FCF6E9F8787}" id="{C28DA1D2-C6F9-49F6-BE32-6A975FA4BEC0}">
    <text>260302: switch from FOS to RTM, same for 26Mar022.03&amp;01</text>
  </threadedComment>
  <threadedComment ref="U333" dT="2026-01-26T09:25:56.60" personId="{AEDBF3C1-4A8E-4E51-9E34-6FCF6E9F8787}" id="{C76A4774-8014-49D7-B943-BA564E1C54F1}">
    <text>not fix yet, will update ASAP, 725+730 total =  20MW</text>
  </threadedComment>
  <threadedComment ref="U333" dT="2026-02-04T07:15:41.94" personId="{AEDBF3C1-4A8E-4E51-9E34-6FCF6E9F8787}" id="{F1BE35FC-E54D-4269-9EAB-AF42F4CB338E}" parentId="{C76A4774-8014-49D7-B943-BA564E1C54F1}">
    <text>26/02/04: fixed, 19008pcs</text>
  </threadedComment>
  <threadedComment ref="U334" dT="2026-01-26T09:25:56.60" personId="{AEDBF3C1-4A8E-4E51-9E34-6FCF6E9F8787}" id="{0051B6B1-B802-47B5-91B3-A77BE0CCE0E3}">
    <text>not fix yet, will update ASAP, 725+730 total =  20MW</text>
  </threadedComment>
  <threadedComment ref="U334" dT="2026-02-04T07:15:41.94" personId="{AEDBF3C1-4A8E-4E51-9E34-6FCF6E9F8787}" id="{1A3E22A9-46F1-462A-9573-471BC20B9128}" parentId="{0051B6B1-B802-47B5-91B3-A77BE0CCE0E3}">
    <text>26/02/04: fixed, 19008pcs</text>
  </threadedComment>
  <threadedComment ref="U340" dT="2026-01-26T09:26:09.87" personId="{AEDBF3C1-4A8E-4E51-9E34-6FCF6E9F8787}" id="{DB6D2EC7-D95D-45E7-8BD4-F641D040C92F}">
    <text>not fix yet, will update ASAP, 725+730 total =  20MW</text>
  </threadedComment>
  <threadedComment ref="U340" dT="2026-02-04T07:16:24.24" personId="{AEDBF3C1-4A8E-4E51-9E34-6FCF6E9F8787}" id="{812AADB5-3E68-4F4F-A23D-C706F142AA99}" parentId="{DB6D2EC7-D95D-45E7-8BD4-F641D040C92F}">
    <text>260204: fixed, 8316pcs</text>
  </threadedComment>
  <threadedComment ref="AB340" dT="2026-03-16T02:11:09.69" personId="{56818584-B3E0-4B2D-A5E9-D37F823CA16D}" id="{46BCF3DE-B7D8-48A4-82FC-2C9F02D60B7A}">
    <text>5 CTNS PICKED UP ON 3-16 ，6 CTNS PICKED UP ON 3-17</text>
  </threadedComment>
  <threadedComment ref="AD347" dT="2026-03-23T07:54:08.32" personId="{D7EA08E9-E1A4-4552-BE9E-A904D0E5D4EC}" id="{889898BA-F847-4880-8636-DD593CBE3871}">
    <text>One same new Ark PO for 26 Feb007.04&amp; 26Feb007.06</text>
  </threadedComment>
  <threadedComment ref="X349" dT="2026-03-23T06:30:20.61" personId="{56818584-B3E0-4B2D-A5E9-D37F823CA16D}" id="{171F79B9-953E-4392-B638-2458074A9C60}">
    <text>Due to the Customs Inspection , 5 CTNS can't catch the Vessel with ETD 3-22 and have to change to next vessel with ETD 3-29</text>
  </threadedComment>
  <threadedComment ref="AD349" dT="2026-03-23T07:54:42.40" personId="{D7EA08E9-E1A4-4552-BE9E-A904D0E5D4EC}" id="{EC53AB2B-142B-462F-BC33-E9EFAD264D13}">
    <text>One same new Ark PO for 26 Feb007.04&amp; 26Feb007.06</text>
  </threadedComment>
  <threadedComment ref="X357" dT="2026-02-24T09:04:49.50" personId="{10C2553C-DCCB-4DFD-A808-039413F97403}" id="{A3B37FBF-055B-492A-82EA-4F720E784173}">
    <text>per  JB: for 26Mar020/26Mar021, let's do 10 cts. and let 2 pallets in factory for now.
if we group with Soregies, it means we need a full truck to move 2 pallets to Atrin warehouse from port. very expensive.</text>
  </threadedComment>
  <threadedComment ref="AB370" dT="2026-03-20T04:08:07.24" personId="{ED0E0B94-28DE-45B0-99AC-EBA7D3821EBA}" id="{B96E07FE-EB60-4818-982D-C893CAFC06EF}">
    <text>4Cts pick up on Mar.17th and 6Cts pick up on Mar.20th</text>
  </threadedComment>
  <threadedComment ref="AD375" dT="2026-04-23T14:33:17.53" personId="{BA74EA03-B90E-4772-8A84-00C7DB6F61CD}" id="{F771A0A2-D88D-436F-A52C-4AE3356EB87D}">
    <text>cancelled PO POPV260320056</text>
  </threadedComment>
  <threadedComment ref="AD376" dT="2026-04-23T14:35:19.11" personId="{BA74EA03-B90E-4772-8A84-00C7DB6F61CD}" id="{863AEC85-199A-4FB8-86B3-57F8429E853C}">
    <text>cancelled PO POPV260320056</text>
  </threadedComment>
  <threadedComment ref="AD381" dT="2026-04-27T15:07:39.39" personId="{41425945-2EA3-4AE6-96AE-17C5BE4906F3}" id="{659E3D89-E310-4DC0-884E-D11E56CE157A}">
    <text xml:space="preserve">Former internal POPV260330003 </text>
  </threadedComment>
  <threadedComment ref="AD382" dT="2026-04-27T15:07:55.85" personId="{41425945-2EA3-4AE6-96AE-17C5BE4906F3}" id="{2CAA1D20-B42F-447F-9F4C-CED538056454}">
    <text>Former internal POPV260330005</text>
  </threadedComment>
  <threadedComment ref="AD383" dT="2026-04-27T15:09:17.20" personId="{41425945-2EA3-4AE6-96AE-17C5BE4906F3}" id="{21EBBD43-4705-47B6-9636-CC6E2D67D6F8}">
    <text>Former internal POPV260330005</text>
  </threadedComment>
  <threadedComment ref="J386" dT="2026-02-27T10:33:42.52" personId="{41425945-2EA3-4AE6-96AE-17C5BE4906F3}" id="{8A1602C0-51F7-4E18-85EF-B90941E8F970}">
    <text>to be converted to ROTTERDAM / SPTN if customer not ready</text>
  </threadedComment>
  <threadedComment ref="AD405" dT="2026-04-07T01:47:02.07" personId="{D7EA08E9-E1A4-4552-BE9E-A904D0E5D4EC}" id="{50DF9AC4-8117-41FE-8408-5EB079B51CC0}">
    <text>One plt(33pcs) removed due to damage, PO pending to return one plt to inventory.</text>
  </threadedComment>
  <threadedComment ref="AD405" dT="2026-04-14T14:30:54.57" personId="{CD7C98D9-7D9B-40B0-9849-33B1E1746B40}" id="{6687734B-0293-4CFA-B254-06D3611CA15D}" parentId="{50DF9AC4-8117-41FE-8408-5EB079B51CC0}">
    <text>prev PO# POPV260403007 is cancelled due to incorrect qty</text>
  </threadedComment>
  <threadedComment ref="AD417" dT="2026-04-27T15:12:47.97" personId="{41425945-2EA3-4AE6-96AE-17C5BE4906F3}" id="{F6D121AC-EE55-4B67-8F00-469D7075886F}">
    <text>Formal internal POPV260413027</text>
  </threadedComment>
  <threadedComment ref="AD418" dT="2026-04-27T15:15:50.94" personId="{41425945-2EA3-4AE6-96AE-17C5BE4906F3}" id="{FEA86681-8BAB-4BF4-9F46-E422ACA3C857}">
    <text>Former internal POPV260413026</text>
  </threadedComment>
  <threadedComment ref="J421" dT="2026-02-27T10:32:49.49" personId="{41425945-2EA3-4AE6-96AE-17C5BE4906F3}" id="{07AA1C83-5EDE-4E14-82A5-33D70E2CAD7E}">
    <text>to be shipped to SPES if customer not ready yet</text>
  </threadedComment>
  <threadedComment ref="J431" dT="2026-02-27T10:33:42.52" personId="{41425945-2EA3-4AE6-96AE-17C5BE4906F3}" id="{E93014E9-7DE3-417F-A52F-FBE67AEFE7C8}">
    <text>to be converted to ROTTERDAM / SPTN if customer not ready</text>
  </threadedComment>
  <threadedComment ref="E432" dT="2026-05-22T13:10:46.63" personId="{41425945-2EA3-4AE6-96AE-17C5BE4906F3}" id="{83163990-857D-4776-99C4-3C7ED8A6CCFF}">
    <text>Pending CT sched update by Ras. Eveyrthing else is clean</text>
  </threadedComment>
  <threadedComment ref="AD432" dT="2026-05-12T14:01:16.73" personId="{CD7C98D9-7D9B-40B0-9849-33B1E1746B40}" id="{937D1C41-B5B3-4E32-A06B-EE9368016990}">
    <text>old PO# POPV260417009</text>
  </threadedComment>
  <threadedComment ref="E433" dT="2026-05-22T13:10:55.78" personId="{41425945-2EA3-4AE6-96AE-17C5BE4906F3}" id="{A19D4757-77A3-4C36-A374-E6545CBA692D}">
    <text>Pending CT sched update by Ras. Eveyrthing else is clean</text>
  </threadedComment>
  <threadedComment ref="AD433" dT="2026-05-12T14:01:16.73" personId="{CD7C98D9-7D9B-40B0-9849-33B1E1746B40}" id="{A74A5758-F570-4EFD-88C4-6CBA73811746}">
    <text>old PO# POPV260417009</text>
  </threadedComment>
  <threadedComment ref="AD434" dT="2026-05-12T14:01:46.12" personId="{CD7C98D9-7D9B-40B0-9849-33B1E1746B40}" id="{E2242874-087A-44AC-9DD7-1021F7511B06}">
    <text>old PO# POPV260417010</text>
  </threadedComment>
  <threadedComment ref="Y468" dT="2026-04-22T03:54:13.13" personId="{AEDBF3C1-4A8E-4E51-9E34-6FCF6E9F8787}" id="{0AC3C84A-165C-534E-A661-A75BF2601F21}">
    <text>W18 to RTM, per Arleen</text>
  </threadedComment>
  <threadedComment ref="AD468" dT="2026-06-26T12:46:07.12" personId="{CD7C98D9-7D9B-40B0-9849-33B1E1746B40}" id="{D6559725-E9EE-42A7-91FD-A9D311AD69E1}">
    <text>prev ref PO POPV260423023</text>
  </threadedComment>
  <threadedComment ref="AS468" dT="2026-06-26T12:31:30.71" personId="{02E0D6C5-DC91-4854-8BC7-690C84B272B9}" id="{0C636850-FA01-4F7B-9170-60DEFF3E8B80}">
    <text>the new ml for ecostal</text>
  </threadedComment>
  <threadedComment ref="Y469" dT="2026-04-22T03:54:13.13" personId="{AEDBF3C1-4A8E-4E51-9E34-6FCF6E9F8787}" id="{9DB9442D-DD53-4D81-8F4A-B0D9553EB1EC}">
    <text>W18 to RTM, per Arleen</text>
  </threadedComment>
  <threadedComment ref="AD469" dT="2026-06-26T12:46:11.35" personId="{CD7C98D9-7D9B-40B0-9849-33B1E1746B40}" id="{6419A159-1885-4DB0-9EEE-2CC55CE57982}">
    <text>prev ref PO POPV260423023</text>
  </threadedComment>
  <threadedComment ref="AD488" dT="2026-06-29T10:46:32.32" personId="{CD7C98D9-7D9B-40B0-9849-33B1E1746B40}" id="{EBB22098-47AA-4693-B626-9C0B6B0BF4C1}">
    <text xml:space="preserve">Prev PO reference POPV260506018
</text>
  </threadedComment>
  <threadedComment ref="AD489" dT="2026-06-29T10:46:32.32" personId="{CD7C98D9-7D9B-40B0-9849-33B1E1746B40}" id="{DB9B4149-2DC4-4FF6-8D47-D62FC521EFA2}">
    <text xml:space="preserve">Prev PO reference POPV260506018
</text>
  </threadedComment>
  <threadedComment ref="X513" dT="2026-05-14T01:29:56.25" personId="{AEDBF3C1-4A8E-4E51-9E34-6FCF6E9F8787}" id="{0E2980E3-6D10-448A-92B1-E9B8336BE67F}">
    <text>260514: due to quality problem of 26apr008.04, urgently advance 5ctns from 26may006.13</text>
  </threadedComment>
  <threadedComment ref="AB516" dT="2026-05-14T06:01:06.77" personId="{56818584-B3E0-4B2D-A5E9-D37F823CA16D}" id="{6279F979-5461-4CFB-B7A3-FAFBA833D371}">
    <text>4CTS picked on 5-15, 2CTS picked up on 5-16</text>
  </threadedComment>
  <threadedComment ref="AB518" dT="2026-05-14T02:13:19.98" personId="{56818584-B3E0-4B2D-A5E9-D37F823CA16D}" id="{0475AB4D-020E-4ACD-85D1-BBA74801A009}">
    <text>3 CTS picked up on 5-14 ,rest 3 CTS picked up on 5-15</text>
  </threadedComment>
  <threadedComment ref="AD528" dT="2026-06-29T10:47:14.53" personId="{CD7C98D9-7D9B-40B0-9849-33B1E1746B40}" id="{6A94D5E9-E153-4E8E-A49C-3FAA5EE83D33}">
    <text>Prev PO ref POPV260515033</text>
  </threadedComment>
  <threadedComment ref="AD529" dT="2026-06-29T10:47:36.97" personId="{CD7C98D9-7D9B-40B0-9849-33B1E1746B40}" id="{A86CB640-3DCB-4663-82B5-037BB756BBB8}">
    <text>Prev PO ref POPV260515042</text>
  </threadedComment>
  <threadedComment ref="Y538" dT="2026-05-12T02:27:51.61" personId="{56818584-B3E0-4B2D-A5E9-D37F823CA16D}" id="{D110106F-23ED-4A19-ABF2-64A0A48A57B7}">
    <text>It's too late to send the GTG ,only can catch the vessel in W21 I/O W20</text>
  </threadedComment>
  <threadedComment ref="AB544" dT="2026-05-25T05:58:53.45" personId="{56818584-B3E0-4B2D-A5E9-D37F823CA16D}" id="{07BE5705-43A4-4252-B5FD-2FE9E98568E5}">
    <text>6 CTS picked on 5-26 ,rest 9 CTS picked up on 5-27</text>
  </threadedComment>
  <threadedComment ref="AB545" dT="2026-05-22T03:43:00.95" personId="{56818584-B3E0-4B2D-A5E9-D37F823CA16D}" id="{5F9153D9-9A37-4FBE-BEDC-58DBAD59FF99}">
    <text>5 CTS picked on 5-22 ,rest 1 CTS picked on 5-23</text>
  </threadedComment>
  <threadedComment ref="AD551" dT="2026-06-19T14:20:03.62" personId="{41425945-2EA3-4AE6-96AE-17C5BE4906F3}" id="{BD9F1C97-D047-43CA-ADEB-5F043B063EAA}">
    <text>Former ref POPV260522034</text>
  </threadedComment>
  <threadedComment ref="AD552" dT="2026-06-23T08:16:43.82" personId="{CD7C98D9-7D9B-40B0-9849-33B1E1746B40}" id="{7F591306-DE66-424D-AA28-6BD5B59006F5}">
    <text>former ref POPV260522024</text>
  </threadedComment>
  <threadedComment ref="AD553" dT="2026-06-23T08:17:00.43" personId="{CD7C98D9-7D9B-40B0-9849-33B1E1746B40}" id="{799F4BA4-2475-49D7-BAC1-3A90C451AA65}">
    <text>former ref POPV260522020</text>
  </threadedComment>
  <threadedComment ref="AB564" dT="2026-05-29T03:17:25.20" personId="{56818584-B3E0-4B2D-A5E9-D37F823CA16D}" id="{C23D567F-0FAD-4103-AFFB-3F87600C6A50}">
    <text>5 CTS picked up on 5-30 ,rest 1 picked up on 6-01</text>
  </threadedComment>
  <threadedComment ref="AB565" dT="2026-05-29T03:15:41.14" personId="{56818584-B3E0-4B2D-A5E9-D37F823CA16D}" id="{6EAD6EE4-763E-470B-92BC-BDE2F4002660}">
    <text>2 CTS picked up on 5-30 ,rest 1 CTS picked up on 6-01</text>
  </threadedComment>
  <threadedComment ref="AB569" dT="2026-05-28T02:41:38.74" personId="{56818584-B3E0-4B2D-A5E9-D37F823CA16D}" id="{6F57AE03-3103-443E-90FF-BD1FFE6F191B}">
    <text>7 CTS picked up on 5-29 , 1 CTS picked up on 5-30, rest 1 CTS picked up on 6-01</text>
  </threadedComment>
  <threadedComment ref="AB571" dT="2026-05-28T02:32:02.50" personId="{56818584-B3E0-4B2D-A5E9-D37F823CA16D}" id="{289F240D-C461-4406-881B-F72857780383}">
    <text>2 CTS picked up on 5-29 ,rest 1 CTS picked on 6-01</text>
  </threadedComment>
  <threadedComment ref="Y588" dT="2026-05-22T06:19:26.06" personId="{56818584-B3E0-4B2D-A5E9-D37F823CA16D}" id="{58607493-DC63-4601-9663-AB065D7B24C2}">
    <text>Due to space limited,cargoes have to be delayed to pick up from W22 to W23</text>
  </threadedComment>
  <threadedComment ref="AD591" dT="2026-07-20T10:29:15.27" personId="{CD7C98D9-7D9B-40B0-9849-33B1E1746B40}" id="{566D2561-A905-4472-8561-9D0AAF238781}">
    <text>former PO# POPV260608035</text>
  </threadedComment>
  <threadedComment ref="Y592" dT="2026-05-22T06:19:38.53" personId="{56818584-B3E0-4B2D-A5E9-D37F823CA16D}" id="{56675E2E-9AE1-4CED-8633-90F89E5A36B0}">
    <text>Due to space limited,cargoes have to be delayed to pick up from W22 to W23</text>
  </threadedComment>
  <threadedComment ref="Y593" dT="2026-05-22T08:43:05.36" personId="{AEDBF3C1-4A8E-4E51-9E34-6FCF6E9F8787}" id="{5EF6F9AA-66C0-4AB0-A898-45868B435BD0}">
    <text>per Arleen, advance to W23 PICKUP</text>
  </threadedComment>
  <threadedComment ref="Y593" dT="2026-05-22T09:01:32.01" personId="{41425945-2EA3-4AE6-96AE-17C5BE4906F3}" id="{CC189A01-8ED9-4FF1-9C9C-AD8091C24201}" parentId="{5EF6F9AA-66C0-4AB0-A898-45868B435BD0}">
    <text>Initial pick-up = w25</text>
  </threadedComment>
  <threadedComment ref="Y594" dT="2026-05-22T08:43:05.36" personId="{AEDBF3C1-4A8E-4E51-9E34-6FCF6E9F8787}" id="{CC2B3F60-2496-45C4-B011-8D3E70709B9A}">
    <text>per Arleen, advance to W23 PICKUP</text>
  </threadedComment>
  <threadedComment ref="Y594" dT="2026-05-22T09:01:32.01" personId="{41425945-2EA3-4AE6-96AE-17C5BE4906F3}" id="{C3C1B660-195D-40B3-9C16-60435820C00A}" parentId="{CC2B3F60-2496-45C4-B011-8D3E70709B9A}">
    <text>Initial pick-up = w25</text>
  </threadedComment>
  <threadedComment ref="Y595" dT="2026-05-22T08:43:28.94" personId="{AEDBF3C1-4A8E-4E51-9E34-6FCF6E9F8787}" id="{BE9103B2-9DAC-4815-A433-E4B1881B9832}">
    <text xml:space="preserve">Per Arleen, advance to W23 pickup </text>
  </threadedComment>
  <threadedComment ref="Y595" dT="2026-05-22T09:01:46.27" personId="{41425945-2EA3-4AE6-96AE-17C5BE4906F3}" id="{F7BFA3C0-4785-45B6-B28E-9528449A1566}" parentId="{BE9103B2-9DAC-4815-A433-E4B1881B9832}">
    <text>Initial pick-up = w25</text>
  </threadedComment>
  <threadedComment ref="AD595" dT="2026-06-19T14:25:46.75" personId="{41425945-2EA3-4AE6-96AE-17C5BE4906F3}" id="{2A8D7610-4EE4-4D40-8159-EE028E83033D}">
    <text>Former ref POPV260608056</text>
  </threadedComment>
  <threadedComment ref="AD595" dT="2026-08-04T11:45:17.32" personId="{CD7C98D9-7D9B-40B0-9849-33B1E1746B40}" id="{C539270C-2ED3-46B9-A818-3F5CCF0CEFDD}" parentId="{2A8D7610-4EE4-4D40-8159-EE028E83033D}">
    <text>Former ref POPV260624018</text>
  </threadedComment>
  <threadedComment ref="Y612" dT="2026-05-22T03:12:30.61" personId="{56818584-B3E0-4B2D-A5E9-D37F823CA16D}" id="{7B31F6BE-599F-4689-9134-A1A23520B5C4}">
    <text>Due to space limited,cargoes have to be delayed to pick up from W22 to W24</text>
  </threadedComment>
  <threadedComment ref="Y619" dT="2026-05-28T03:14:04.09" personId="{AEDBF3C1-4A8E-4E51-9E34-6FCF6E9F8787}" id="{B3F11523-90C2-41F3-BF88-C65360D4A6EB}">
    <text>original W21 from TJ; Now: W24</text>
  </threadedComment>
  <threadedComment ref="AD619" dT="2026-07-24T13:14:52.82" personId="{02E0D6C5-DC91-4854-8BC7-690C84B272B9}" id="{347AF52B-4ED6-4A2D-9C4D-E71CCB19583C}">
    <text>former PO# POPV260615008</text>
  </threadedComment>
  <threadedComment ref="Y620" dT="2026-05-28T03:14:04.09" personId="{AEDBF3C1-4A8E-4E51-9E34-6FCF6E9F8787}" id="{15C0B293-B598-44A2-AC3E-C11114319652}">
    <text>original W21 from TJ; Now: W24</text>
  </threadedComment>
  <threadedComment ref="AD620" dT="2026-07-24T13:14:52.82" personId="{02E0D6C5-DC91-4854-8BC7-690C84B272B9}" id="{A7E7FA9A-8F90-4AC8-96AC-67063450E675}">
    <text>former PO# POPV260615008</text>
  </threadedComment>
  <threadedComment ref="Y621" dT="2026-05-28T03:14:24.10" personId="{AEDBF3C1-4A8E-4E51-9E34-6FCF6E9F8787}" id="{0C99872C-B238-4B89-9DEC-8F135D69BFC7}">
    <text xml:space="preserve">original W22 from TJ; Now: W24 </text>
  </threadedComment>
  <threadedComment ref="AB621" dT="2026-06-11T03:06:00.69" personId="{8C072ED9-67B2-4AC4-9725-D14F85A260B4}" id="{52B3A2CF-4FCB-49DE-842E-7F7D17A3241E}">
    <text>3 CTS picked up on 6-12 ,rest 1 CTS picked up on 6-13</text>
  </threadedComment>
  <threadedComment ref="Y627" dT="2026-05-28T03:14:04.09" personId="{AEDBF3C1-4A8E-4E51-9E34-6FCF6E9F8787}" id="{2D15824A-D61F-4D9E-A095-BD134F553AAA}">
    <text>original W21 from TJ; Now: W24</text>
  </threadedComment>
  <threadedComment ref="AQ628" dT="2026-06-10T03:13:39.47" personId="{05C11D42-6D5E-441A-86A5-85325E59A632}" id="{5E7646A3-6F00-446C-A576-6D43898EDA27}">
    <text>FAK</text>
  </threadedComment>
  <threadedComment ref="AD632" dT="2026-07-20T10:30:04.58" personId="{CD7C98D9-7D9B-40B0-9849-33B1E1746B40}" id="{62F786C8-BF8D-43D5-9249-92CE1AF6C286}">
    <text>former PO# POPV260618036</text>
  </threadedComment>
  <threadedComment ref="AD633" dT="2026-07-20T10:30:28.76" personId="{CD7C98D9-7D9B-40B0-9849-33B1E1746B40}" id="{EA1535E2-26DA-4B0D-873E-50A7924DBDAF}">
    <text>former PO# POPV260615021</text>
  </threadedComment>
  <threadedComment ref="AD634" dT="2026-04-08T08:40:16.72" personId="{D7EA08E9-E1A4-4552-BE9E-A904D0E5D4EC}" id="{22C6F478-0C9E-424E-BEC5-EAE9A11FC2C9}">
    <text>PO# bewteen PVHK and OM2</text>
  </threadedComment>
  <threadedComment ref="Y651" dT="2026-06-11T11:35:45.06" personId="{AEDBF3C1-4A8E-4E51-9E34-6FCF6E9F8787}" id="{70B1567C-D9EB-4084-AD9F-684D0C5D0394}">
    <text>original W26</text>
  </threadedComment>
  <threadedComment ref="AB665" dT="2026-06-25T02:56:54.54" personId="{8C072ED9-67B2-4AC4-9725-D14F85A260B4}" id="{D87202A2-F1CE-4884-8466-EDE50C826C8E}">
    <text>6 CTS picked up on 6-26 ,rest 4 CTS picked up on 6-27</text>
  </threadedComment>
  <threadedComment ref="Y675" dT="2026-06-11T11:36:50.61" personId="{AEDBF3C1-4A8E-4E51-9E34-6FCF6E9F8787}" id="{45469BB9-0058-46BD-9361-669C35B5009D}">
    <text>original W27</text>
  </threadedComment>
  <threadedComment ref="Y697" dT="2026-06-12T10:13:20.13" personId="{02E0D6C5-DC91-4854-8BC7-690C84B272B9}" id="{7E9DF945-73EA-41E5-95E2-1E78A00EEED0}">
    <text>original w25 pickup</text>
  </threadedComment>
  <threadedComment ref="AB699" dT="2026-07-06T05:44:33.33" personId="{56818584-B3E0-4B2D-A5E9-D37F823CA16D}" id="{CD871797-A54B-4753-BBF7-E48DE6CC5E39}">
    <text>2 CTS picked up on 7-07 and the rest of 2CTS picked up on 7-08</text>
  </threadedComment>
  <threadedComment ref="Y702" dT="2026-07-01T09:55:36.26" personId="{02E0D6C5-DC91-4854-8BC7-690C84B272B9}" id="{01287C6F-7156-42BA-92EA-92C35B4579B3}">
    <text>W26 ORIGNALLY</text>
  </threadedComment>
  <threadedComment ref="AD705" dT="2026-08-18T14:05:00.88" personId="{CD7C98D9-7D9B-40B0-9849-33B1E1746B40}" id="{B6C80006-0C22-46D0-9D78-8FA445D71C88}">
    <text xml:space="preserve">old PO ref POPV260710043 </text>
  </threadedComment>
  <threadedComment ref="P706" dT="2026-06-16T03:27:43.36" personId="{AEDBF3C1-4A8E-4E51-9E34-6FCF6E9F8787}" id="{7CC6AAD8-6867-4798-AEC9-8D8D858CB452}">
    <text>EVO2</text>
  </threadedComment>
  <threadedComment ref="U712" dT="2026-07-07T11:26:41.23" personId="{D7EA08E9-E1A4-4552-BE9E-A904D0E5D4EC}" id="{E967FF0A-A12F-4EBA-B47A-86B1CF5C4D9F}">
    <text>Real pickup belong to July PO, and cost should be JULY cost.</text>
  </threadedComment>
  <threadedComment ref="Y713" dT="2026-07-01T12:51:31.37" personId="{02E0D6C5-DC91-4854-8BC7-690C84B272B9}" id="{886F67DF-729E-465C-B500-579092563DDD}">
    <text>W27</text>
  </threadedComment>
  <threadedComment ref="AB713" dT="2026-07-15T02:40:07.08" personId="{56818584-B3E0-4B2D-A5E9-D37F823CA16D}" id="{B7366518-121F-4E75-82B1-FB7A5A6496B1}">
    <text>3 CTS picked up on 7-14, 4 CTS picked up on 7-15 , 4 CTS picked up on 7-18</text>
  </threadedComment>
  <threadedComment ref="Y720" dT="2026-07-01T12:51:31.37" personId="{02E0D6C5-DC91-4854-8BC7-690C84B272B9}" id="{EC40EDD0-BCFD-40D8-97B9-B5FBB0CB8936}">
    <text>W27</text>
  </threadedComment>
  <threadedComment ref="Y724" dT="2026-07-01T12:50:47.37" personId="{02E0D6C5-DC91-4854-8BC7-690C84B272B9}" id="{E8BDE6BE-B002-4C48-8D19-72656AE678CE}">
    <text>W27</text>
  </threadedComment>
  <threadedComment ref="Y725" dT="2026-07-01T12:50:47.37" personId="{02E0D6C5-DC91-4854-8BC7-690C84B272B9}" id="{252652EE-5A7E-40A9-8D5E-A1E60DDDF4A8}">
    <text>W27</text>
  </threadedComment>
  <threadedComment ref="Y729" dT="2026-07-01T09:55:36.26" personId="{02E0D6C5-DC91-4854-8BC7-690C84B272B9}" id="{F243B541-2381-401E-8A37-E90B37A27A3D}">
    <text>W26 ORIGNALLY</text>
  </threadedComment>
  <threadedComment ref="Y731" dT="2026-07-01T09:55:36.26" personId="{02E0D6C5-DC91-4854-8BC7-690C84B272B9}" id="{F3140EDD-E2A6-4D2E-9F09-98B189E5F2B5}">
    <text>W26 ORIGNALLY</text>
  </threadedComment>
  <threadedComment ref="Y732" dT="2026-07-01T09:55:36.26" personId="{02E0D6C5-DC91-4854-8BC7-690C84B272B9}" id="{B0D4D9CE-36D8-4238-8439-BA9491D08F3B}">
    <text>W26 ORIGNALLY</text>
  </threadedComment>
  <threadedComment ref="Y733" dT="2026-07-01T09:55:36.26" personId="{02E0D6C5-DC91-4854-8BC7-690C84B272B9}" id="{CA5E77A7-5093-4D8C-BB1F-BD6503E24984}">
    <text>W26 ORIGNALLY</text>
  </threadedComment>
  <threadedComment ref="Y734" dT="2026-07-01T09:55:36.26" personId="{02E0D6C5-DC91-4854-8BC7-690C84B272B9}" id="{4246E040-7DDA-4050-A36C-A8D0357D1693}">
    <text>W26 ORIGNALLY</text>
  </threadedComment>
  <threadedComment ref="Y735" dT="2026-07-01T09:55:36.26" personId="{02E0D6C5-DC91-4854-8BC7-690C84B272B9}" id="{10CBF3FE-DA33-4823-8FF8-C9E55A6B9C33}">
    <text>W26 ORIGNALLY</text>
  </threadedComment>
  <threadedComment ref="P739" dT="2026-06-18T10:26:12.96" personId="{AEDBF3C1-4A8E-4E51-9E34-6FCF6E9F8787}" id="{F475AD29-46CC-4C18-A780-C2FC1633F3C9}">
    <text>H4</text>
  </threadedComment>
  <threadedComment ref="Y740" dT="2026-07-05T20:41:09.90" personId="{02E0D6C5-DC91-4854-8BC7-690C84B272B9}" id="{BD9C1B54-9D38-4F00-8DCA-99C60474387D}">
    <text>W28</text>
  </threadedComment>
  <threadedComment ref="Y743" dT="2026-07-01T12:51:31.37" personId="{02E0D6C5-DC91-4854-8BC7-690C84B272B9}" id="{39940D1C-618A-49A9-BC6F-1494E069DDC9}">
    <text>W27</text>
  </threadedComment>
  <threadedComment ref="Y748" dT="2026-07-07T10:27:12.90" personId="{02E0D6C5-DC91-4854-8BC7-690C84B272B9}" id="{D954A9F7-36C1-4B23-B881-BF011394C24F}">
    <text xml:space="preserve">W26
</text>
  </threadedComment>
  <threadedComment ref="Y756" dT="2026-07-08T14:52:50.18" personId="{02E0D6C5-DC91-4854-8BC7-690C84B272B9}" id="{180E1354-F745-4043-85B8-18D4740E36D3}">
    <text xml:space="preserve">W28
</text>
  </threadedComment>
  <threadedComment ref="Y757" dT="2026-07-08T14:52:50.18" personId="{02E0D6C5-DC91-4854-8BC7-690C84B272B9}" id="{6F75C3DC-5861-485D-AD19-1F7C84AEB425}">
    <text xml:space="preserve">W28
</text>
  </threadedComment>
  <threadedComment ref="Y758" dT="2026-07-05T17:39:39.23" personId="{02E0D6C5-DC91-4854-8BC7-690C84B272B9}" id="{E8733EC3-FE82-4C71-B7DB-A67B1B58F5B8}">
    <text xml:space="preserve">W26 </text>
  </threadedComment>
  <threadedComment ref="P761" dT="2026-06-18T10:25:57.83" personId="{AEDBF3C1-4A8E-4E51-9E34-6FCF6E9F8787}" id="{4370543C-1636-4BFC-A4B9-2AA7A1A13A4A}">
    <text>H4</text>
  </threadedComment>
  <threadedComment ref="Y761" dT="2026-07-05T17:47:03.19" personId="{02E0D6C5-DC91-4854-8BC7-690C84B272B9}" id="{C04CB671-B2EC-4BE8-93DF-DEF586C59428}">
    <text>W29</text>
  </threadedComment>
  <threadedComment ref="Q777" dT="2026-07-27T07:45:47.50" personId="{05B030F0-EC17-4ABC-8711-CF2A2F8CB2C1}" id="{D0276A96-0C50-4462-B415-A547F0286FD5}">
    <text>8月开</text>
  </threadedComment>
  <threadedComment ref="Y777" dT="2026-07-05T23:11:30.85" personId="{02E0D6C5-DC91-4854-8BC7-690C84B272B9}" id="{10BE8DBE-A3E6-42C5-AC97-3D0A510AB816}">
    <text>W29</text>
  </threadedComment>
  <threadedComment ref="P779" dT="2026-06-18T10:25:57.83" personId="{AEDBF3C1-4A8E-4E51-9E34-6FCF6E9F8787}" id="{900DA888-13B5-492C-8522-16FFDFE21E7E}">
    <text>H4</text>
  </threadedComment>
  <threadedComment ref="Y785" dT="2026-07-01T12:51:31.37" personId="{02E0D6C5-DC91-4854-8BC7-690C84B272B9}" id="{E2656D34-27DE-4636-A4D2-A7852C19D0EE}">
    <text>W27</text>
  </threadedComment>
  <threadedComment ref="Y786" dT="2026-07-01T12:51:31.37" personId="{02E0D6C5-DC91-4854-8BC7-690C84B272B9}" id="{4E9F1405-C511-4485-A74D-F2E4635A18D0}">
    <text>W27</text>
  </threadedComment>
  <threadedComment ref="Y787" dT="2026-07-01T12:51:31.37" personId="{02E0D6C5-DC91-4854-8BC7-690C84B272B9}" id="{BDF8E3BA-00AA-4596-A68B-EAC8DAD8271B}">
    <text>W27</text>
  </threadedComment>
  <threadedComment ref="AB789" dT="2026-07-29T02:07:20.08" personId="{56818584-B3E0-4B2D-A5E9-D37F823CA16D}" id="{B405EFCB-773D-447E-BD7E-9A5876F081F4}">
    <text>1 CTS picked up on 7-29 ,rest 2 CTS picked up on 7-30</text>
  </threadedComment>
  <threadedComment ref="Y794" dT="2026-07-01T12:51:31.37" personId="{02E0D6C5-DC91-4854-8BC7-690C84B272B9}" id="{0E29E79C-3231-4E2C-A8BC-974275C5E309}">
    <text>W27</text>
  </threadedComment>
  <threadedComment ref="Y795" dT="2026-07-01T12:51:31.37" personId="{02E0D6C5-DC91-4854-8BC7-690C84B272B9}" id="{FA143B87-DAA5-487A-8706-A80183F36A88}">
    <text>W27</text>
  </threadedComment>
  <threadedComment ref="Y797" dT="2026-07-01T12:51:31.37" personId="{02E0D6C5-DC91-4854-8BC7-690C84B272B9}" id="{76C24F9E-BF87-4FDC-BE36-E1097A35BF08}">
    <text>W27</text>
  </threadedComment>
  <threadedComment ref="Y799" dT="2026-07-01T12:50:54.20" personId="{02E0D6C5-DC91-4854-8BC7-690C84B272B9}" id="{A3C55F6A-8A63-4712-9033-6E2967192A82}">
    <text>W28</text>
  </threadedComment>
  <threadedComment ref="Y803" dT="2026-07-05T23:11:30.85" personId="{02E0D6C5-DC91-4854-8BC7-690C84B272B9}" id="{DACCB773-2C58-4622-B291-8234BA82EE93}">
    <text>W29</text>
  </threadedComment>
  <threadedComment ref="Y809" dT="2026-07-05T23:11:30.85" personId="{02E0D6C5-DC91-4854-8BC7-690C84B272B9}" id="{77C7B8E9-C75A-45C1-BB0E-B201A25949A0}">
    <text>W29</text>
  </threadedComment>
  <threadedComment ref="P816" dT="2026-06-18T10:25:57.83" personId="{AEDBF3C1-4A8E-4E51-9E34-6FCF6E9F8787}" id="{7042D4BC-10EE-400E-9F1A-6FB707EF2FFA}">
    <text>H4</text>
  </threadedComment>
  <threadedComment ref="P818" dT="2026-06-18T10:25:57.83" personId="{AEDBF3C1-4A8E-4E51-9E34-6FCF6E9F8787}" id="{44A198BF-1B98-44DA-B57C-8D8A06167679}">
    <text>H4</text>
  </threadedComment>
  <threadedComment ref="Y820" dT="2026-07-05T17:39:52.23" personId="{02E0D6C5-DC91-4854-8BC7-690C84B272B9}" id="{C41D3E8C-5130-4381-A186-7CD17C2A0417}">
    <text>W27</text>
  </threadedComment>
  <threadedComment ref="P821" dT="2026-06-18T10:25:57.83" personId="{AEDBF3C1-4A8E-4E51-9E34-6FCF6E9F8787}" id="{5A70A78D-3FD1-4737-BA34-B514E93D2AAC}">
    <text>H4</text>
  </threadedComment>
  <threadedComment ref="P822" dT="2026-06-18T10:25:57.83" personId="{AEDBF3C1-4A8E-4E51-9E34-6FCF6E9F8787}" id="{F3089D3D-055A-4EA1-83B3-66D92502BBFF}">
    <text>H4</text>
  </threadedComment>
  <threadedComment ref="Y822" dT="2026-07-05T17:47:03.19" personId="{02E0D6C5-DC91-4854-8BC7-690C84B272B9}" id="{6F024E22-7BB9-43D0-8B5F-268A7945292E}">
    <text>W29</text>
  </threadedComment>
  <threadedComment ref="Y826" dT="2026-07-01T12:51:31.37" personId="{02E0D6C5-DC91-4854-8BC7-690C84B272B9}" id="{10A5766D-2DB9-44A2-A881-DE42F23E209D}">
    <text>W27</text>
  </threadedComment>
  <threadedComment ref="Y833" dT="2026-07-01T12:51:31.37" personId="{02E0D6C5-DC91-4854-8BC7-690C84B272B9}" id="{280BA453-E990-4FB9-8272-6491E9A314C6}">
    <text>W27</text>
  </threadedComment>
  <threadedComment ref="AD835" dT="2026-09-03T08:12:46.07" personId="{02E0D6C5-DC91-4854-8BC7-690C84B272B9}" id="{A54BB2EE-EC15-4CDE-AF1A-4786FEEC45FE}">
    <text>former PO POPV260807038</text>
  </threadedComment>
  <threadedComment ref="AS835" dT="2026-09-02T10:29:01.09" personId="{56818584-B3E0-4B2D-A5E9-D37F823CA16D}" id="{8B0B66F5-9FF6-48F7-B717-C31160F3A052}">
    <text>Previous MBL EGLV149606435972</text>
  </threadedComment>
  <threadedComment ref="AD837" dT="2026-09-03T08:13:04.44" personId="{02E0D6C5-DC91-4854-8BC7-690C84B272B9}" id="{44EDB937-B3D6-49C4-8323-5A4C2C65BCE8}">
    <text>former PO POPV260807039</text>
  </threadedComment>
  <threadedComment ref="AS837" dT="2026-09-02T10:29:27.57" personId="{56818584-B3E0-4B2D-A5E9-D37F823CA16D}" id="{D040380E-565C-4558-A506-06F7B1C075FC}">
    <text>Previous BL NO.EGLV149606435972</text>
  </threadedComment>
  <threadedComment ref="AD838" dT="2026-09-03T08:13:04.44" personId="{02E0D6C5-DC91-4854-8BC7-690C84B272B9}" id="{E9273281-B330-419B-B025-4722B381B609}">
    <text>former PO POPV260807039</text>
  </threadedComment>
  <threadedComment ref="P850" dT="2026-07-27T17:27:31.33" personId="{02E0D6C5-DC91-4854-8BC7-690C84B272B9}" id="{CA018118-69EA-4452-91A5-E80A613E1FE9}">
    <text xml:space="preserve">H4
</text>
  </threadedComment>
  <threadedComment ref="P851" dT="2026-06-18T10:25:57.83" personId="{AEDBF3C1-4A8E-4E51-9E34-6FCF6E9F8787}" id="{67E6AD8C-A223-4383-AD79-FF61B368C0F3}">
    <text>H4</text>
  </threadedComment>
  <threadedComment ref="P852" dT="2026-06-18T10:25:57.83" personId="{AEDBF3C1-4A8E-4E51-9E34-6FCF6E9F8787}" id="{A78568BF-2161-468B-B6A6-F7D334A7C1CB}">
    <text>H4</text>
  </threadedComment>
  <threadedComment ref="P853" dT="2026-06-18T10:25:57.83" personId="{AEDBF3C1-4A8E-4E51-9E34-6FCF6E9F8787}" id="{993CB3C4-0853-4DCB-BF7E-A25B2978FFA5}">
    <text>H4</text>
  </threadedComment>
  <threadedComment ref="P854" dT="2026-06-18T10:25:57.83" personId="{AEDBF3C1-4A8E-4E51-9E34-6FCF6E9F8787}" id="{5A5064FD-E9F8-4A2E-9CF2-1ACBFAFE38D1}">
    <text>H4</text>
  </threadedComment>
  <threadedComment ref="A862" dT="2026-08-14T08:37:59.19" personId="{05B030F0-EC17-4ABC-8711-CF2A2F8CB2C1}" id="{DD8424C8-32FB-464A-AF67-D8FDB2113716}">
    <text>货物翻车</text>
  </threadedComment>
  <threadedComment ref="A863" dT="2026-08-19T08:13:58.59" personId="{05B030F0-EC17-4ABC-8711-CF2A2F8CB2C1}" id="{D38C2D89-4E55-458B-B648-334FB349A79F}">
    <text>0819已开单</text>
  </threadedComment>
  <threadedComment ref="AD878" dT="2026-09-01T09:50:26.63" personId="{CD7C98D9-7D9B-40B0-9849-33B1E1746B40}" id="{EC149913-37E2-4CD9-9D3B-7ACE7CEF6A84}">
    <text>old PO ref POPV260814047</text>
  </threadedComment>
  <threadedComment ref="A906" dT="2026-08-07T05:52:02.04" personId="{05B030F0-EC17-4ABC-8711-CF2A2F8CB2C1}" id="{D912977F-3449-4566-A38D-96C731AADB53}">
    <text>注意，这一行扣六月份订单</text>
  </threadedComment>
  <threadedComment ref="P908" dT="2026-06-16T03:27:33.14" personId="{AEDBF3C1-4A8E-4E51-9E34-6FCF6E9F8787}" id="{D008342A-DE5A-4560-93E5-7C6003CB9E26}">
    <text>EVO2</text>
  </threadedComment>
  <threadedComment ref="A911" dT="2026-08-14T01:28:54.14" personId="{05B030F0-EC17-4ABC-8711-CF2A2F8CB2C1}" id="{534F48C1-6DE8-462A-9F79-A8124770F3B3}">
    <text>8/21采购开单</text>
  </threadedComment>
  <threadedComment ref="P913" dT="2026-06-18T10:25:57.83" personId="{AEDBF3C1-4A8E-4E51-9E34-6FCF6E9F8787}" id="{112A1DFB-B9D9-41D3-9BDA-DD1C34B1CF71}">
    <text>H4</text>
  </threadedComment>
  <threadedComment ref="P915" dT="2026-06-16T03:27:33.14" personId="{AEDBF3C1-4A8E-4E51-9E34-6FCF6E9F8787}" id="{3D5A2B30-3EA1-4629-909F-7EB3C7EAD33C}">
    <text>EVO2</text>
  </threadedComment>
  <threadedComment ref="P916" dT="2026-06-18T10:26:12.96" personId="{AEDBF3C1-4A8E-4E51-9E34-6FCF6E9F8787}" id="{1306FD79-4E12-4A79-9AC3-9D2888E4DB60}">
    <text>H4</text>
  </threadedComment>
  <threadedComment ref="P917" dT="2026-06-18T10:26:12.96" personId="{AEDBF3C1-4A8E-4E51-9E34-6FCF6E9F8787}" id="{292D18C9-617A-45B0-A956-AE1497E5CB08}">
    <text>H4</text>
  </threadedComment>
  <threadedComment ref="P918" dT="2026-06-16T03:27:33.14" personId="{AEDBF3C1-4A8E-4E51-9E34-6FCF6E9F8787}" id="{2E6EE6F9-A215-46EC-9A12-69F8678443EF}">
    <text>EVO2</text>
  </threadedComment>
  <threadedComment ref="Y918" dT="2026-07-05T17:47:03.19" personId="{02E0D6C5-DC91-4854-8BC7-690C84B272B9}" id="{A236938D-9BFC-4B16-955B-1B0D016381A6}">
    <text>W29</text>
  </threadedComment>
  <threadedComment ref="AB920" dT="2026-08-21T05:45:31.33" personId="{56818584-B3E0-4B2D-A5E9-D37F823CA16D}" id="{B9FFCAA4-9821-40D4-AFCA-D3D6803F59B1}">
    <text>6 CTS picked up on 8-22 , 5 CTS picked up on 8-23</text>
  </threadedComment>
  <threadedComment ref="A942" dT="2026-08-21T07:16:46.47" personId="{05B030F0-EC17-4ABC-8711-CF2A2F8CB2C1}" id="{9192ADF5-7544-4DE3-9BFD-764EE308F242}">
    <text>按8月份价格</text>
  </threadedComment>
  <threadedComment ref="A946" dT="2026-08-26T06:31:45.49" personId="{05B030F0-EC17-4ABC-8711-CF2A2F8CB2C1}" id="{2BED387B-E666-45F1-8CA4-DB9E1D8C02D6}">
    <text>ETD九月，按八月汇率</text>
  </threadedComment>
  <threadedComment ref="A950" dT="2026-08-26T07:13:00.99" personId="{05B030F0-EC17-4ABC-8711-CF2A2F8CB2C1}" id="{B6103755-A2D9-4237-BE0F-73E2D421A355}">
    <text>ETD九月，按八月汇率</text>
  </threadedComment>
  <threadedComment ref="A952" dT="2026-08-21T07:15:58.13" personId="{05B030F0-EC17-4ABC-8711-CF2A2F8CB2C1}" id="{AF0A9FE6-52F0-440D-8035-DE2E08435734}">
    <text>按7月份价格</text>
  </threadedComment>
  <threadedComment ref="AD953" dT="2026-10-12T12:39:07.29" personId="{CD7C98D9-7D9B-40B0-9849-33B1E1746B40}" id="{A1BABE05-7AA0-431C-BFFC-BE0A81EFE303}">
    <text>old PO# POPV260902026</text>
  </threadedComment>
  <threadedComment ref="P962" dT="2026-06-16T03:27:33.14" personId="{AEDBF3C1-4A8E-4E51-9E34-6FCF6E9F8787}" id="{38E437D1-207A-4BE9-BEB2-6D0DB1077B29}">
    <text>EVO2</text>
  </threadedComment>
  <threadedComment ref="P970" dT="2026-06-16T03:27:33.14" personId="{AEDBF3C1-4A8E-4E51-9E34-6FCF6E9F8787}" id="{1E18460E-BA00-4402-92AB-B6184681E44F}">
    <text>EVO2</text>
  </threadedComment>
  <threadedComment ref="Y970" dT="2026-07-05T17:47:03.19" personId="{02E0D6C5-DC91-4854-8BC7-690C84B272B9}" id="{F63A8834-4B73-4021-9705-442E9EF3581B}">
    <text>W29</text>
  </threadedComment>
  <threadedComment ref="P973" dT="2026-06-16T03:27:33.14" personId="{AEDBF3C1-4A8E-4E51-9E34-6FCF6E9F8787}" id="{91264A7B-58E8-48C9-85C2-0CD98FBE73D2}">
    <text>EVO2</text>
  </threadedComment>
  <threadedComment ref="A976" dT="2026-08-26T06:31:53.93" personId="{05B030F0-EC17-4ABC-8711-CF2A2F8CB2C1}" id="{4DD6BC17-B30D-4998-9423-8197D10336B8}">
    <text>ETD九月，按八月汇率</text>
  </threadedComment>
  <threadedComment ref="A979" dT="2026-08-26T06:32:06.22" personId="{05B030F0-EC17-4ABC-8711-CF2A2F8CB2C1}" id="{2CB1CCF2-C3F8-4D21-9AB1-5AD07A7185F9}">
    <text>ETD九月，按八月汇率</text>
  </threadedComment>
  <threadedComment ref="A980" dT="2026-08-26T06:32:16.32" personId="{05B030F0-EC17-4ABC-8711-CF2A2F8CB2C1}" id="{0BB13111-F872-409A-A12E-3E21DE2DD01A}">
    <text>ETD九月，按八月汇率</text>
  </threadedComment>
  <threadedComment ref="AB981" dT="2026-08-28T02:07:04.37" personId="{56818584-B3E0-4B2D-A5E9-D37F823CA16D}" id="{80A5E73E-B107-4AE2-A0F3-C4440CE4160D}">
    <text>7 CTS picked up on 8-29, 1 CTS picked  up on 8-30</text>
  </threadedComment>
  <threadedComment ref="A986" dT="2026-08-25T08:27:15.37" personId="{C222A517-050F-4169-90D6-80E636A4EB9D}" id="{49D76FF7-6CBA-4D62-8184-58735AB41A1C}">
    <text>1柜塞6000pcs连接器</text>
  </threadedComment>
  <threadedComment ref="A986" dT="2026-08-25T08:31:11.20" personId="{C222A517-050F-4169-90D6-80E636A4EB9D}" id="{9CB4725F-9A20-46E1-BA31-19C3E11E42C4}" parentId="{49D76FF7-6CBA-4D62-8184-58735AB41A1C}">
    <text>GF0700002079</text>
  </threadedComment>
  <threadedComment ref="A990" dT="2026-09-01T10:03:34.19" personId="{05B030F0-EC17-4ABC-8711-CF2A2F8CB2C1}" id="{245F032C-1B07-4C1E-9663-477EB1228C06}">
    <text>一个柜6月价格一个柜7月价格</text>
  </threadedComment>
  <threadedComment ref="AB992" dT="2026-08-31T06:31:28.99" personId="{56818584-B3E0-4B2D-A5E9-D37F823CA16D}" id="{629020F1-A3EA-46B1-AC58-6CA04442137D}">
    <text>10 CTS picked up 8-30 ,1 CTS picked up 8-31</text>
  </threadedComment>
  <threadedComment ref="AB1003" dT="2026-09-04T08:21:02.31" personId="{05C11D42-6D5E-441A-86A5-85325E59A632}" id="{154A06E7-4C0E-4285-AE41-29DCA5D250B5}">
    <text>3 containers pickup on 3rd SEP,2 containers pickup on 4th SEP.</text>
  </threadedComment>
  <threadedComment ref="A1004" dT="2026-08-26T06:32:41.55" personId="{05B030F0-EC17-4ABC-8711-CF2A2F8CB2C1}" id="{A9DFCB20-B7D3-4B8F-8217-36379078B7ED}">
    <text>ETD九月，按八月汇率</text>
  </threadedComment>
  <threadedComment ref="A1009" dT="2026-08-26T06:32:29.05" personId="{05B030F0-EC17-4ABC-8711-CF2A2F8CB2C1}" id="{79560F1F-A330-405F-9ABC-B6839C0A019C}">
    <text>ETD九月，按八月汇率</text>
  </threadedComment>
  <threadedComment ref="P1011" dT="2026-06-16T03:27:33.14" personId="{AEDBF3C1-4A8E-4E51-9E34-6FCF6E9F8787}" id="{E7FC9C0F-E277-4564-914F-23857B3B0B82}">
    <text>EVO2</text>
  </threadedComment>
  <threadedComment ref="Y1011" dT="2026-07-05T17:47:03.19" personId="{02E0D6C5-DC91-4854-8BC7-690C84B272B9}" id="{088C2D5C-EA34-4EDE-B343-80C80FCE748A}">
    <text>W29</text>
  </threadedComment>
  <threadedComment ref="P1012" dT="2026-06-16T03:27:33.14" personId="{AEDBF3C1-4A8E-4E51-9E34-6FCF6E9F8787}" id="{B50E3E0F-3301-4C3C-90BB-57F1A6B2C9ED}">
    <text>EVO2</text>
  </threadedComment>
  <threadedComment ref="A1018" dT="2026-09-04T02:29:59.21" personId="{05B030F0-EC17-4ABC-8711-CF2A2F8CB2C1}" id="{ED201946-84E6-42A3-A881-44996C726AB5}">
    <text>3 CTS picked up on 9-03 ,2 CTS picked up on 9-04</text>
  </threadedComment>
  <threadedComment ref="AB1018" dT="2026-09-02T09:22:36.13" personId="{56818584-B3E0-4B2D-A5E9-D37F823CA16D}" id="{0322FBD2-9597-4027-8929-89D6EDAD980E}">
    <text>3 CTS picked up on 9-03 ,2 CTS picked up on 9-04</text>
  </threadedComment>
  <threadedComment ref="P1039" dT="2026-06-16T03:27:33.14" personId="{AEDBF3C1-4A8E-4E51-9E34-6FCF6E9F8787}" id="{F55A1DDD-081F-4D5D-8DEF-79B496731F99}">
    <text>EVO2</text>
  </threadedComment>
  <threadedComment ref="P1040" dT="2026-06-16T03:27:33.14" personId="{AEDBF3C1-4A8E-4E51-9E34-6FCF6E9F8787}" id="{2F3CFDBE-D55E-4245-88F9-179DD808A4E2}">
    <text>EVO2</text>
  </threadedComment>
  <threadedComment ref="AB1054" dT="2026-09-11T03:51:51.59" personId="{56818584-B3E0-4B2D-A5E9-D37F823CA16D}" id="{ADACFBB9-178D-46C7-AA59-77077C0F3A9F}">
    <text>7 CTS picked up on 9-12 , 4 CTS picked up on 9-13</text>
  </threadedComment>
  <threadedComment ref="A1074" dT="2026-09-18T08:12:06.97" personId="{C222A517-050F-4169-90D6-80E636A4EB9D}" id="{07F1A622-02D3-41F8-A34E-E4467A9B8D60}">
    <text>GF0700002079</text>
  </threadedComment>
  <threadedComment ref="P1081" dT="2026-06-16T03:27:33.14" personId="{AEDBF3C1-4A8E-4E51-9E34-6FCF6E9F8787}" id="{3D8C2884-F411-4A74-B750-D5C52A3B0DB7}">
    <text>EVO2</text>
  </threadedComment>
  <threadedComment ref="AB1088" dT="2026-09-20T06:35:50.10" personId="{56818584-B3E0-4B2D-A5E9-D37F823CA16D}" id="{A4BC1F17-891D-4A4D-85B6-16E12F840F87}">
    <text>8 CTS picked up on 9-19 ,3 CTS picked up on 9-20</text>
  </threadedComment>
  <threadedComment ref="P1113" dT="2026-06-16T03:27:33.14" personId="{AEDBF3C1-4A8E-4E51-9E34-6FCF6E9F8787}" id="{30EFEC93-7E92-4F17-8F39-DCD31CE8A920}">
    <text>EVO2</text>
  </threadedComment>
  <threadedComment ref="P1114" dT="2026-06-16T03:27:43.36" personId="{AEDBF3C1-4A8E-4E51-9E34-6FCF6E9F8787}" id="{40E7E0AC-D547-4D57-9767-8C313674ABAB}">
    <text>EVO2</text>
  </threadedComment>
  <threadedComment ref="AB1116" dT="2026-09-21T01:14:28.15" personId="{8C072ED9-67B2-4AC4-9725-D14F85A260B4}" id="{9810B57E-93CC-4901-BA65-E039C3A7A50F}">
    <text>9-21-4F,9-22-1F</text>
  </threadedComment>
  <threadedComment ref="AB1117" dT="2026-10-02T06:22:47.63" personId="{56818584-B3E0-4B2D-A5E9-D37F823CA16D}" id="{74A5619B-C8BF-4065-BE94-1390574F29DA}">
    <text>8 Cts picked up on 10-01 ,1 Cts picked up on 10-02</text>
  </threadedComment>
  <threadedComment ref="J1122" dT="2026-09-21T03:52:26.00" personId="{05B030F0-EC17-4ABC-8711-CF2A2F8CB2C1}" id="{184D869F-BD63-4D33-9708-93DF5F81D135}">
    <text>菲律宾APBG</text>
  </threadedComment>
  <threadedComment ref="AB1156" dT="2026-10-13T07:42:44.21" personId="{05C11D42-6D5E-441A-86A5-85325E59A632}" id="{EF10FF3B-6073-4E94-BEB1-A1B1836180AA}">
    <text>14th-5ctns,15th-6ctns.</text>
  </threadedComment>
  <threadedComment ref="AB1157" dT="2026-10-13T07:42:08.21" personId="{05C11D42-6D5E-441A-86A5-85325E59A632}" id="{7F8BA534-37D5-48CE-91EC-6B007BF8121A}">
    <text>14th-3ctns,15th-2ctns</text>
  </threadedComment>
  <threadedComment ref="AB1164" dT="2026-10-19T09:41:12.42" personId="{56818584-B3E0-4B2D-A5E9-D37F823CA16D}" id="{5F4380DC-B7C9-4EF7-AAF4-E9C89B5CCF1F}">
    <text>5 CTS picked up on 10-19,1 CTS picked up on 10-23</text>
  </threadedComment>
  <threadedComment ref="AB1170" dT="2026-10-18T05:15:26.74" personId="{56818584-B3E0-4B2D-A5E9-D37F823CA16D}" id="{C5CCCA30-3EEF-47AC-A0CA-BCAFF130E058}">
    <text>5 CTS picked up on 10-18 , 5 CTS picked up on 10-19</text>
  </threadedComment>
  <threadedComment ref="A1185" dT="2026-10-27T01:35:11.74" personId="{05B030F0-EC17-4ABC-8711-CF2A2F8CB2C1}" id="{F394D7EC-AF52-46DA-9D49-A1497B49F4B8}">
    <text>塞支架 AEM2 10/22</text>
  </threadedComment>
  <threadedComment ref="AD1185" dT="2026-10-28T10:31:07.74" personId="{05B030F0-EC17-4ABC-8711-CF2A2F8CB2C1}" id="{507CC584-DE12-49F2-BD73-4FADB3F03A95}">
    <text>POPV261028021拆包支架</text>
  </threadedComment>
  <threadedComment ref="U1231" dT="2026-04-29T02:42:39.41" personId="{AEDBF3C1-4A8E-4E51-9E34-6FCF6E9F8787}" id="{EC9B1E43-D22A-4734-AA29-65BA28D7AAC4}">
    <text>260429: cancel 1plt-33pcs</text>
  </threadedComment>
  <threadedComment ref="P1266" dT="2026-06-16T03:27:33.14" personId="{AEDBF3C1-4A8E-4E51-9E34-6FCF6E9F8787}" id="{87C68EEC-2CDB-461B-ABA3-649871D6402B}">
    <text>EVO2</text>
  </threadedComment>
  <threadedComment ref="P1267" dT="2026-06-16T03:27:43.36" personId="{AEDBF3C1-4A8E-4E51-9E34-6FCF6E9F8787}" id="{F56419AE-CFA8-44CF-B67F-6105757CE739}">
    <text>EVO2</text>
  </threadedComment>
  <threadedComment ref="A1271" dT="2026-07-29T08:12:37.19" personId="{05B030F0-EC17-4ABC-8711-CF2A2F8CB2C1}" id="{26346838-ABA2-4BA3-AA2C-FC42C49227F0}">
    <text>非欧，已开单</text>
  </threadedComment>
  <threadedComment ref="A1272" dT="2026-07-29T08:12:56.39" personId="{05B030F0-EC17-4ABC-8711-CF2A2F8CB2C1}" id="{EE80C541-28B8-47A1-B8F3-207C0B2E1068}">
    <text>非欧，已开单</text>
  </threadedComment>
  <threadedComment ref="A1273" dT="2026-07-29T08:13:24.09" personId="{05B030F0-EC17-4ABC-8711-CF2A2F8CB2C1}" id="{108D8866-E605-4DE5-9F81-A8F0D87DB5C6}">
    <text>非欧，已开单</text>
  </threadedComment>
  <threadedComment ref="A1274" dT="2026-08-21T05:39:18.25" personId="{05B030F0-EC17-4ABC-8711-CF2A2F8CB2C1}" id="{E0A69871-1B1B-4155-BC45-7EED2A7E75D0}">
    <text>非欧订单</text>
  </threadedComment>
  <threadedComment ref="P1288" dT="2026-06-18T10:25:57.83" personId="{AEDBF3C1-4A8E-4E51-9E34-6FCF6E9F8787}" id="{0979DD86-91C8-4F68-97ED-D199B27E32D4}">
    <text>H4</text>
  </threadedComment>
  <threadedComment ref="P1289" dT="2026-06-18T10:26:12.96" personId="{AEDBF3C1-4A8E-4E51-9E34-6FCF6E9F8787}" id="{D67F99D3-65CA-4A4E-8098-1E42DAF220E2}">
    <text>H4</text>
  </threadedComment>
  <threadedComment ref="A1303" dT="2026-10-10T01:30:27.53" personId="{05B030F0-EC17-4ABC-8711-CF2A2F8CB2C1}" id="{526B05C7-B91E-4B6F-99AB-11CC6861CC35}">
    <text>跟倩晴说不在新方舟开，在EUCT记录好价格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" dT="2026-01-13T22:23:48.92" personId="{41425945-2EA3-4AE6-96AE-17C5BE4906F3}" id="{5DFA78B0-70F1-4549-BB4A-96932F323AF4}">
    <text>Make sure to follow syntax of main ref then “.” then iterate allocation</text>
  </threadedComment>
  <threadedComment ref="G1" dT="2025-09-03T12:33:46.01" personId="{A1DB9FF7-8839-43D1-893F-47EE4320F687}" id="{AE0F5254-C1A5-4E11-A6A2-87E57EA81979}">
    <text xml:space="preserve">DDP = Specific salesorder with DDP incoterm. DAP shipment inbetween
DAP = salesorder or shipment to local WH
Other incoterms for specific salesorders
</text>
  </threadedComment>
  <threadedComment ref="J1" dT="2025-09-03T12:32:26.85" personId="{A1DB9FF7-8839-43D1-893F-47EE4320F687}" id="{9E0A09CD-6909-4CA4-94F3-89809AF17363}">
    <text>Local WH = for all shipments to replenish local W-org
SPxx / yy = for DDP shipments to xx entity and yy customer
Customer = when allocated to a specific customer</text>
  </threadedComment>
  <threadedComment ref="N2" dT="2026-01-27T02:39:20.87" personId="{128B8EA2-C844-4F52-9A5C-0186FAE6DEB8}" id="{772CEF9C-F687-4D65-9B5B-967E3EA4701D}">
    <text>GF0700000253  old SKU no.</text>
  </threadedComment>
  <threadedComment ref="N3" dT="2026-01-27T02:39:45.97" personId="{128B8EA2-C844-4F52-9A5C-0186FAE6DEB8}" id="{E150412D-084F-4846-9C8F-1632AE672DA5}">
    <text>GF0700000254  Old SKU NO.</text>
  </threadedComment>
  <threadedComment ref="N4" dT="2026-01-27T02:40:11.67" personId="{128B8EA2-C844-4F52-9A5C-0186FAE6DEB8}" id="{70F14BE2-9331-4AD0-A0B2-975EED0A3598}">
    <text>GF0700000086 OLD SKU No.</text>
  </threadedComment>
  <threadedComment ref="N5" dT="2026-01-27T02:40:11.67" personId="{128B8EA2-C844-4F52-9A5C-0186FAE6DEB8}" id="{2C846013-1B59-4DC4-A40C-277CAD89F697}">
    <text>GF0700000086 OLD SKU No.</text>
  </threadedComment>
  <threadedComment ref="N6" dT="2026-01-27T02:41:56.43" personId="{128B8EA2-C844-4F52-9A5C-0186FAE6DEB8}" id="{587BEF4E-4319-455E-B8BE-BC14C1CA850B}">
    <text>GF0700000087  Old SKU No.</text>
  </threadedComment>
  <threadedComment ref="N7" dT="2026-01-27T02:42:21.57" personId="{128B8EA2-C844-4F52-9A5C-0186FAE6DEB8}" id="{F9CD9AB7-E2A8-46FE-958F-CE2C105BB261}">
    <text>GF0700000088 OLD SKU NO.</text>
  </threadedComment>
  <threadedComment ref="N8" dT="2026-01-27T02:42:49.61" personId="{128B8EA2-C844-4F52-9A5C-0186FAE6DEB8}" id="{E1A60641-09F4-422D-B28E-E8475DAA2D23}">
    <text>GF0700000089 OLD SKU No.</text>
  </threadedComment>
  <threadedComment ref="N9" dT="2026-01-27T02:42:49.61" personId="{128B8EA2-C844-4F52-9A5C-0186FAE6DEB8}" id="{B8D9BB95-4C8E-4C74-B9F3-76CA887AAEE8}">
    <text>GF0700000089 OLD SKU No.</text>
  </threadedComment>
  <threadedComment ref="N10" dT="2026-01-27T02:40:11.67" personId="{128B8EA2-C844-4F52-9A5C-0186FAE6DEB8}" id="{E726441C-B718-4BDE-8A3A-1EE12E80E44D}">
    <text>GF0700000086 OLD SKU No.</text>
  </threadedComment>
  <threadedComment ref="N11" dT="2026-01-27T02:41:56.43" personId="{128B8EA2-C844-4F52-9A5C-0186FAE6DEB8}" id="{3C84037A-FDFD-43B0-974C-58D2F5A07C27}">
    <text>GF0700000087  Old SKU No.</text>
  </threadedComment>
  <threadedComment ref="N12" dT="2026-01-27T02:42:21.57" personId="{128B8EA2-C844-4F52-9A5C-0186FAE6DEB8}" id="{0ABD6111-5765-4744-BC33-D9F20EBAF1E4}">
    <text>GF0700000088 OLD SKU NO.</text>
  </threadedComment>
  <threadedComment ref="N13" dT="2026-01-27T02:42:49.61" personId="{128B8EA2-C844-4F52-9A5C-0186FAE6DEB8}" id="{DE781106-528A-4F19-BACE-002DDFE57B55}">
    <text>GF0700000089 OLD SKU No.</text>
  </threadedComment>
  <threadedComment ref="N14" dT="2026-01-27T02:43:35.83" personId="{128B8EA2-C844-4F52-9A5C-0186FAE6DEB8}" id="{6C176552-8B04-4624-BD35-9E45B6266966}">
    <text>GF0700000040 OLD SKU No.</text>
  </threadedComment>
  <threadedComment ref="N15" dT="2026-01-27T02:43:35.83" personId="{128B8EA2-C844-4F52-9A5C-0186FAE6DEB8}" id="{3E29B457-31E8-4A5D-8B9A-6E81EB463557}">
    <text>GF0700000040 OLD SKU No.</text>
  </threadedComment>
  <threadedComment ref="N18" dT="2026-01-27T02:40:11.67" personId="{128B8EA2-C844-4F52-9A5C-0186FAE6DEB8}" id="{6D7C0965-09CA-4483-8BCE-8E14D52858D0}">
    <text>GF0700000086 OLD SKU No.</text>
  </threadedComment>
  <threadedComment ref="N19" dT="2026-01-27T02:40:11.67" personId="{128B8EA2-C844-4F52-9A5C-0186FAE6DEB8}" id="{A9F34427-61B8-4F7B-A335-29DF00F4DB15}">
    <text>GF0700000086 OLD SKU No.</text>
  </threadedComment>
  <threadedComment ref="N20" dT="2026-01-27T02:42:49.61" personId="{128B8EA2-C844-4F52-9A5C-0186FAE6DEB8}" id="{B02BC9ED-1D7C-488C-BED4-E7F2AB52805E}">
    <text>GF0700000089 OLD SKU No.</text>
  </threadedComment>
  <threadedComment ref="R22" dT="2026-02-10T02:54:10.08" personId="{D7EA08E9-E1A4-4552-BE9E-A904D0E5D4EC}" id="{0A88831B-E1B3-4A14-9C04-ED2BD1EE051A}">
    <text>12pcs afersales in this container</text>
  </threadedComment>
  <threadedComment ref="N23" dT="2026-01-27T02:42:49.61" personId="{128B8EA2-C844-4F52-9A5C-0186FAE6DEB8}" id="{8019FE6D-D8D6-41BC-8387-884C6BA3A6AC}">
    <text>GF0700000089 OLD SKU No.</text>
  </threadedComment>
  <threadedComment ref="AB23" dT="2026-02-12T08:24:53.48" personId="{41425945-2EA3-4AE6-96AE-17C5BE4906F3}" id="{DF99F182-006A-411A-A244-B717D3DEBA11}">
    <text>As per Jerry’s guidance 12-FEB</text>
  </threadedComment>
  <threadedComment ref="N24" dT="2026-07-29T06:51:52.83" personId="{D7EA08E9-E1A4-4552-BE9E-A904D0E5D4EC}" id="{B4A9199B-8F2E-4DEF-8102-07152D39AF67}">
    <text>PVHK-SPTN开单用的是GF0700000087</text>
  </threadedComment>
  <threadedComment ref="U24" dT="2026-01-28T03:52:36.68" personId="{10C2553C-DCCB-4DFD-A808-039413F97403}" id="{A525DA9E-9A3F-49EB-9036-BE77015A576E}">
    <text>20GP</text>
  </threadedComment>
  <threadedComment ref="N27" dT="2026-01-27T02:43:35.83" personId="{128B8EA2-C844-4F52-9A5C-0186FAE6DEB8}" id="{561A628C-DF6D-4045-9B3C-EFDCFB6A1C62}">
    <text>GF0700000040 OLD SKU No.</text>
  </threadedComment>
  <threadedComment ref="N28" dT="2026-01-27T02:43:35.83" personId="{128B8EA2-C844-4F52-9A5C-0186FAE6DEB8}" id="{E304B92E-EAB4-424D-89AB-FB7233A298A1}">
    <text>GF0700000040 OLD SKU No.</text>
  </threadedComment>
  <threadedComment ref="AB28" dT="2026-05-06T09:55:36.75" personId="{41425945-2EA3-4AE6-96AE-17C5BE4906F3}" id="{BD1D55E8-EBB0-432E-91C3-B481E95668A7}">
    <text>Former POPV260224003</text>
  </threadedComment>
  <threadedComment ref="N29" dT="2026-01-27T02:43:35.83" personId="{128B8EA2-C844-4F52-9A5C-0186FAE6DEB8}" id="{DB4DE3DB-0110-4CDE-B161-5B7FA03DA15D}">
    <text>GF0700000040 OLD SKU No.</text>
  </threadedComment>
  <threadedComment ref="AB29" dT="2026-05-06T09:55:36.75" personId="{41425945-2EA3-4AE6-96AE-17C5BE4906F3}" id="{895C8D4D-422D-4BFD-A0D7-9B7D9E0E929D}">
    <text>Former POPV260224003</text>
  </threadedComment>
  <threadedComment ref="AB30" dT="2026-05-06T09:55:36.75" personId="{41425945-2EA3-4AE6-96AE-17C5BE4906F3}" id="{4A3F7044-8F87-4FA0-A5C8-76417A8DD093}">
    <text>Former POPV260224003</text>
  </threadedComment>
  <threadedComment ref="AB31" dT="2026-05-06T09:55:36.75" personId="{41425945-2EA3-4AE6-96AE-17C5BE4906F3}" id="{6D01176D-DA38-440A-A421-DC635CBB793C}">
    <text>Former POPV260224003</text>
  </threadedComment>
  <threadedComment ref="AB32" dT="2026-05-06T09:55:36.75" personId="{41425945-2EA3-4AE6-96AE-17C5BE4906F3}" id="{2AF7B907-838D-4689-83C6-40B8841E1352}">
    <text>Former POPV260224003</text>
  </threadedComment>
  <threadedComment ref="AB33" dT="2026-05-06T09:55:36.75" personId="{41425945-2EA3-4AE6-96AE-17C5BE4906F3}" id="{03B1C07E-C04F-4D6D-A298-177987EC30B6}">
    <text>Former POPV260224003</text>
  </threadedComment>
  <threadedComment ref="AB34" dT="2026-05-06T09:55:36.75" personId="{41425945-2EA3-4AE6-96AE-17C5BE4906F3}" id="{6A10312E-4A54-45ED-991C-165D7DF0562E}">
    <text>Former POPV260224003</text>
  </threadedComment>
  <threadedComment ref="AB35" dT="2026-05-06T09:55:36.75" personId="{41425945-2EA3-4AE6-96AE-17C5BE4906F3}" id="{BBF3172F-8F42-49DC-88F8-3E0B55B37D9C}">
    <text>Former POPV260224003</text>
  </threadedComment>
  <threadedComment ref="AB36" dT="2026-05-06T09:55:36.75" personId="{41425945-2EA3-4AE6-96AE-17C5BE4906F3}" id="{CA5D9ED9-8611-430B-9E72-88C1CD228A26}">
    <text>Former POPV260224003</text>
  </threadedComment>
  <threadedComment ref="AB37" dT="2026-05-06T09:55:36.75" personId="{41425945-2EA3-4AE6-96AE-17C5BE4906F3}" id="{5A1CFAF6-E5C8-4C05-846F-D7F07B41BA20}">
    <text>Former POPV260224003</text>
  </threadedComment>
  <threadedComment ref="AB38" dT="2026-05-06T09:55:36.75" personId="{41425945-2EA3-4AE6-96AE-17C5BE4906F3}" id="{09B344CB-D292-4EE8-BFAF-05E4EA93D0CB}">
    <text>Former POPV260224003</text>
  </threadedComment>
  <threadedComment ref="AB39" dT="2026-05-06T09:55:36.75" personId="{41425945-2EA3-4AE6-96AE-17C5BE4906F3}" id="{C3089D40-9BA0-48CE-BB02-41CB0BA734C2}">
    <text>Former POPV260224003</text>
  </threadedComment>
  <threadedComment ref="AB40" dT="2026-05-06T09:55:36.75" personId="{41425945-2EA3-4AE6-96AE-17C5BE4906F3}" id="{AEE0B30E-6430-4AB8-A832-448F62705777}">
    <text>Former POPV260224003</text>
  </threadedComment>
  <threadedComment ref="AB41" dT="2026-05-06T09:55:36.75" personId="{41425945-2EA3-4AE6-96AE-17C5BE4906F3}" id="{21E2C0B7-986B-4C2E-B2D7-5AC3DDDFF7B9}">
    <text>Former POPV260224003</text>
  </threadedComment>
  <threadedComment ref="AB42" dT="2026-05-06T09:55:36.75" personId="{41425945-2EA3-4AE6-96AE-17C5BE4906F3}" id="{71CB9096-7085-4895-8471-76E8A60AA7E7}">
    <text>Former POPV260224003</text>
  </threadedComment>
  <threadedComment ref="AB43" dT="2026-05-06T09:55:36.75" personId="{41425945-2EA3-4AE6-96AE-17C5BE4906F3}" id="{659E31F1-702F-4AC4-9B36-57E3FFBE70E0}">
    <text>Former POPV260224003</text>
  </threadedComment>
  <threadedComment ref="AB44" dT="2026-05-06T09:55:36.75" personId="{41425945-2EA3-4AE6-96AE-17C5BE4906F3}" id="{554CC7C6-F460-47AB-B2FD-BE08B8699170}">
    <text>Former POPV260224003</text>
  </threadedComment>
  <threadedComment ref="AB45" dT="2026-05-06T09:55:36.75" personId="{41425945-2EA3-4AE6-96AE-17C5BE4906F3}" id="{820756E1-F8E2-49CF-84EC-425551438E76}">
    <text>Former POPV260224003</text>
  </threadedComment>
  <threadedComment ref="AB46" dT="2026-05-06T09:55:36.75" personId="{41425945-2EA3-4AE6-96AE-17C5BE4906F3}" id="{E05D1E01-F6CB-47DB-BA15-F0370B84E761}">
    <text>Former POPV260224003</text>
  </threadedComment>
  <threadedComment ref="AB47" dT="2026-05-06T09:55:36.75" personId="{41425945-2EA3-4AE6-96AE-17C5BE4906F3}" id="{F7D4DF12-32BA-4564-80C4-74BFFD40BF44}">
    <text>Former POPV260224003</text>
  </threadedComment>
  <threadedComment ref="AB48" dT="2026-05-06T09:55:36.75" personId="{41425945-2EA3-4AE6-96AE-17C5BE4906F3}" id="{E922EDB7-02EF-4E3F-BBBD-7BB554A0CA31}">
    <text>Former POPV260224003</text>
  </threadedComment>
  <threadedComment ref="AB49" dT="2026-05-06T09:55:36.75" personId="{41425945-2EA3-4AE6-96AE-17C5BE4906F3}" id="{E94F06C9-127D-498D-8320-2ADE5B539479}">
    <text>Former POPV260224003</text>
  </threadedComment>
  <threadedComment ref="A50" dT="2026-02-24T03:51:18.11" personId="{10C2553C-DCCB-4DFD-A808-039413F97403}" id="{0CC76633-F66C-4CD8-9F24-0B8A4BF04C1A}">
    <text xml:space="preserve">C&amp;I Energy storage </text>
  </threadedComment>
  <threadedComment ref="N60" dT="2026-05-28T03:46:05.20" personId="{D7EA08E9-E1A4-4552-BE9E-A904D0E5D4EC}" id="{1257243C-1D07-415E-BA9C-D0C4B3126534}">
    <text>SKU changed to be GF0700001011 when EU team receive in stock.
PVHK-SPTN开单用的是GF0700000087</text>
  </threadedComment>
  <threadedComment ref="N64" dT="2026-05-28T03:46:35.95" personId="{D7EA08E9-E1A4-4552-BE9E-A904D0E5D4EC}" id="{505B5D71-B0F1-4B87-8EDA-B04D13B0F5AE}">
    <text>SKU c hanged to be GF0700000973 when EU team receive in stock.</text>
  </threadedComment>
  <threadedComment ref="Z173" dT="2026-09-20T06:08:25.06" personId="{ED0E0B94-28DE-45B0-99AC-EBA7D3821EBA}" id="{2E00BE70-28F0-426D-8DB5-8B7A1849C17F}">
    <text>1 pick-up on 09-18, another pick-up on 09-19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1" dT="2025-09-03T12:32:26.85" personId="{A1DB9FF7-8839-43D1-893F-47EE4320F687}" id="{A9D62FC9-9191-469D-9130-A004A969233A}">
    <text>Local WH = for all shipments to replenish local W-org
SPxx / yy = for DDP shipments to xx entity and yy customer
Customer = when allocated to a specific customer</text>
  </threadedComment>
  <threadedComment ref="S36" dT="2025-12-12T11:07:17.11" personId="{1D50D208-176E-4122-BE0D-3EF9D0230AA0}" id="{B8D4743A-4341-44F4-94F3-6AB31AF7061C}">
    <text>pushed out from w51 to w01</text>
  </threadedComment>
  <threadedComment ref="S36" dT="2026-01-12T10:11:29.00" personId="{A4F86956-64B8-4A55-A032-3A7A56271F72}" id="{0D9496FB-AF97-48EB-87A7-D7D4C2AC44E9}" parentId="{B8D4743A-4341-44F4-94F3-6AB31AF7061C}">
    <text>PRICE TO BE REDISCUSSED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311" dT="2026-05-06T09:55:36.75" personId="{41425945-2EA3-4AE6-96AE-17C5BE4906F3}" id="{3FE43AEF-0DB8-4C3A-A200-5D99966D4207}">
    <text>Former POPV260224003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D3" dT="2025-09-03T12:33:46.01" personId="{A1DB9FF7-8839-43D1-893F-47EE4320F687}" id="{38B81232-DDF6-4F2F-A747-F9D334ADC710}">
    <text xml:space="preserve">DDP = Specific salesorder with DDP incoterm. DAP shipment inbetween
DAP = salesorder or shipment to local WH
Other incoterms for specific salesorders
</text>
  </threadedComment>
  <threadedComment ref="F3" dT="2025-09-03T12:32:26.85" personId="{A1DB9FF7-8839-43D1-893F-47EE4320F687}" id="{8ADA3520-58AC-42E3-9780-75D37AA23AB5}">
    <text>Local WH = for all shipments to replenish local W-org
SPxx / yy = for DDP shipments to xx entity and yy customer
Customer = when allocated to a specific customer</text>
  </threadedComment>
  <threadedComment ref="I3" dT="2025-09-03T12:31:12.16" personId="{A1DB9FF7-8839-43D1-893F-47EE4320F687}" id="{E5EBCE3E-1E5E-420F-8EE6-733DAC2B0D2C}">
    <text>Stauts list :
Excluded = shipped to local warehouse
Locked = allocated to specific customer with salesorder/commit
Pipeline = pre-allocation to secure availability for specific customer/country/project
Available = for new allocation
Future Prod = when availability at factory not yet established</text>
  </threadedComment>
  <threadedComment ref="AA48" dT="2025-04-16T02:45:18.14" personId="{FABCFC7F-0E64-4CE0-A761-FB288409E64C}" id="{D4B7A9FD-DB8B-4D14-B773-546BED9C7BCB}">
    <text>Voltaneo 3rd CT</text>
  </threadedComment>
  <threadedComment ref="AA53" dT="2025-04-16T02:44:55.23" personId="{FABCFC7F-0E64-4CE0-A761-FB288409E64C}" id="{B98F10F5-AB33-48B3-A2A9-A44982F018E3}">
    <text>2nd order for Approused</text>
  </threadedComment>
  <threadedComment ref="AC69" dT="2025-05-21T01:55:25.14" personId="{32312947-0001-40CA-9DE2-10E39825AF36}" id="{0559CC66-9958-4C2C-B4AC-AFC37204F892}">
    <text>Change Of Destination</text>
  </threadedComment>
  <threadedComment ref="AC79" dT="2025-05-21T01:55:25.14" personId="{32312947-0001-40CA-9DE2-10E39825AF36}" id="{3EE3A581-81A8-45EC-8FB3-8BB55DEB46C5}">
    <text>Change Of Destination</text>
  </threadedComment>
  <threadedComment ref="AC79" dT="2025-05-21T01:56:09.19" personId="{32312947-0001-40CA-9DE2-10E39825AF36}" id="{AFC07917-889C-4D85-9C91-7BA42E35B8CB}" parentId="{3EE3A581-81A8-45EC-8FB3-8BB55DEB46C5}">
    <text>Change Of Destination</text>
  </threadedComment>
  <threadedComment ref="Q83" dT="2025-03-03T11:35:42.12" personId="{31289656-3880-4C6E-87DC-63BDFF2267B8}" id="{537CC29C-5850-4517-8B7A-993BEC31FB5F}">
    <text>CIP Port of Klaipeda, Lithuania</text>
  </threadedComment>
  <threadedComment ref="AA83" dT="2025-04-16T02:55:11.81" personId="{FABCFC7F-0E64-4CE0-A761-FB288409E64C}" id="{369B2475-0F30-457C-B37D-86C3FDC9DDF8}">
    <text>Reenpro batch 2</text>
  </threadedComment>
  <threadedComment ref="AJ83" dT="2025-03-03T11:30:31.47" personId="{31289656-3880-4C6E-87DC-63BDFF2267B8}" id="{436D4632-6936-4488-AB91-AC700D922812}">
    <text>CIP Port of Klaipeda, Lithuania</text>
  </threadedComment>
  <threadedComment ref="Q100" dT="2025-03-03T11:33:54.04" personId="{31289656-3880-4C6E-87DC-63BDFF2267B8}" id="{3CBA3E4F-4DDF-4167-8CE8-1D7BA72AC87C}">
    <text>Ready stock and can be picked up any time needed before end of March</text>
  </threadedComment>
  <threadedComment ref="AA110" dT="2025-04-16T02:56:12.36" personId="{FABCFC7F-0E64-4CE0-A761-FB288409E64C}" id="{7F3AC369-C3F6-4589-9DA8-8CC1077CEC10}">
    <text>Mayisolia order</text>
  </threadedComment>
  <threadedComment ref="AJ110" dT="2025-04-09T10:41:23.79" personId="{0BFD7306-5282-4782-8C05-7F0D218F9A43}" id="{E96E570E-9CF8-4246-A426-77F0F5D9AE91}">
    <text>Maisolia CIP  Change to DDP</text>
  </threadedComment>
  <threadedComment ref="AC118" dT="2025-05-21T01:55:25.14" personId="{32312947-0001-40CA-9DE2-10E39825AF36}" id="{8431630C-0F86-40C5-A917-7710EB8E2288}">
    <text>Change Of Destination</text>
  </threadedComment>
  <threadedComment ref="AC118" dT="2025-05-21T01:56:59.64" personId="{32312947-0001-40CA-9DE2-10E39825AF36}" id="{246F1D2C-BEF2-49B5-A417-C2BA0B2523BA}" parentId="{8431630C-0F86-40C5-A917-7710EB8E2288}">
    <text>Change Of Destination</text>
  </threadedComment>
  <threadedComment ref="AJ131" dT="2025-04-22T02:20:05.99" personId="{0D7242CF-7471-435E-874C-8EFAAD5F2402}" id="{B7EAD9F8-BA8C-49C4-B09F-B2101A4DE7E6}">
    <text>2 CTs for Voltaneo</text>
  </threadedComment>
  <threadedComment ref="AJ141" dT="2025-04-22T02:20:05.99" personId="{0D7242CF-7471-435E-874C-8EFAAD5F2402}" id="{D2E6B301-5421-408B-A504-FEC9E60D6E06}">
    <text>1 CT for APPROSUD</text>
  </threadedComment>
  <threadedComment ref="AJ142" dT="2025-05-07T11:17:43.17" personId="{0D7242CF-7471-435E-874C-8EFAAD5F2402}" id="{02857888-7E65-475C-A60D-F7FD445CF524}">
    <text xml:space="preserve">Reenpro big order, first 3CTs </text>
  </threadedComment>
  <threadedComment ref="AJ143" dT="2025-05-07T01:24:15.38" personId="{0D7242CF-7471-435E-874C-8EFAAD5F2402}" id="{49C53AED-9D01-4359-83D6-E27AC1C83E5B}">
    <text>Another 1 CT for APPROSUD, GTG received on May.06th</text>
  </threadedComment>
  <threadedComment ref="A148" dT="2025-04-18T02:55:55.24" personId="{FABCFC7F-0E64-4CE0-A761-FB288409E64C}" id="{9495F142-899C-4EED-AA76-69A10948B680}">
    <text>Italy VP SOLAR order</text>
  </threadedComment>
  <threadedComment ref="M148" dT="2025-04-18T03:00:45.66" personId="{FABCFC7F-0E64-4CE0-A761-FB288409E64C}" id="{8824AA22-142F-4BB6-BD7C-D29C0939217A}">
    <text>Brand: TCL</text>
  </threadedComment>
  <threadedComment ref="AJ148" dT="2025-05-07T11:19:24.33" personId="{0D7242CF-7471-435E-874C-8EFAAD5F2402}" id="{69BEBA49-891C-4BFB-A341-C4EB8DFF5EE2}">
    <text>VP SOLAR's order</text>
  </threadedComment>
  <threadedComment ref="A153" dT="2025-04-18T02:55:55.24" personId="{FABCFC7F-0E64-4CE0-A761-FB288409E64C}" id="{20708EDA-B7E5-4DE2-9901-96BC69F53B16}">
    <text>Italy VP SOLAR order</text>
  </threadedComment>
  <threadedComment ref="M153" dT="2025-04-18T03:00:45.66" personId="{FABCFC7F-0E64-4CE0-A761-FB288409E64C}" id="{6E65B673-8B4C-48A4-BF00-D2AAEEC76DCF}">
    <text>Brand: TCL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43" dT="2026-05-25T06:57:52.01" personId="{D7EA08E9-E1A4-4552-BE9E-A904D0E5D4EC}" id="{72F1FEA3-8A39-4850-815F-1073040A8D65}">
    <text>5月25日收到邮件，此1pcs配件被海关查验后退回，已在新方舟做了SPTN-PVHK退库操作。</text>
  </threadedComment>
  <threadedComment ref="L57" dT="2026-07-16T08:29:15.31" personId="{D7EA08E9-E1A4-4552-BE9E-A904D0E5D4EC}" id="{630DD3F9-7C54-467F-A68E-1F3B93B395BF}">
    <text>not through OM2</text>
  </threadedComment>
  <threadedComment ref="L58" dT="2026-07-16T08:29:39.87" personId="{D7EA08E9-E1A4-4552-BE9E-A904D0E5D4EC}" id="{C5CB7954-2785-4A3E-8AB6-DF19FCC9073F}">
    <text>not through OM2</text>
  </threadedComment>
  <threadedComment ref="L59" dT="2026-07-16T08:29:49.79" personId="{D7EA08E9-E1A4-4552-BE9E-A904D0E5D4EC}" id="{6331CE35-77BA-465E-9FDF-4EC8DCA7A46E}">
    <text>not through OM2</text>
  </threadedComment>
  <threadedComment ref="G60" dT="2026-05-26T10:19:39.02" personId="{D7EA08E9-E1A4-4552-BE9E-A904D0E5D4EC}" id="{15D36F01-12F2-4E04-A896-0CD0D7E9072C}">
    <text>X5从米兰交货而不是从国内发，新方舟系统更新PO价格</text>
  </threadedComment>
  <threadedComment ref="L65" dT="2026-07-16T08:29:15.31" personId="{D7EA08E9-E1A4-4552-BE9E-A904D0E5D4EC}" id="{012FD375-1C62-47F8-8DA9-7BDF3AC4EA4A}">
    <text>not through OM2</text>
  </threadedComment>
  <threadedComment ref="L66" dT="2026-07-16T08:29:39.87" personId="{D7EA08E9-E1A4-4552-BE9E-A904D0E5D4EC}" id="{F5AD5E93-AD5E-4477-9909-645221112D6B}">
    <text>not through OM2</text>
  </threadedComment>
  <threadedComment ref="L67" dT="2026-07-16T08:29:49.79" personId="{D7EA08E9-E1A4-4552-BE9E-A904D0E5D4EC}" id="{86FFF946-B233-4469-BE3E-3A68F79015B8}">
    <text>not through OM2</text>
  </threadedComment>
  <threadedComment ref="D74" dT="2026-08-17T09:38:30.39" personId="{D7EA08E9-E1A4-4552-BE9E-A904D0E5D4EC}" id="{CA5E9E5A-EDFD-4D77-88BF-E9BBF11E2C3C}">
    <text>这个SKU在系统中对应法碳型号，因实物已经用了普货的型号，所以线下文件保持一致，用法碳的SKU，对普货的型号。</text>
  </threadedComment>
  <threadedComment ref="L76" dT="2026-09-03T11:30:02.51" personId="{BA74EA03-B90E-4772-8A84-00C7DB6F61CD}" id="{0DF4761A-5909-4063-8472-1DC0C905BEE8}">
    <text>Transfer order PVAE260903000044</text>
  </threadedComment>
  <threadedComment ref="L77" dT="2026-09-23T13:30:32.08" personId="{BA74EA03-B90E-4772-8A84-00C7DB6F61CD}" id="{94001541-E4A2-4439-B422-67E9E95FBB34}">
    <text>PVAE260923000039</text>
  </threadedComment>
  <threadedComment ref="B78" dT="2026-09-24T08:48:59.07" personId="{BA74EA03-B90E-4772-8A84-00C7DB6F61CD}" id="{FC8FAC09-49D3-45F4-B31D-1E474DFD1756}">
    <text>CH0126091100003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134" dT="2026-06-16T03:27:43.36" personId="{AEDBF3C1-4A8E-4E51-9E34-6FCF6E9F8787}" id="{1A834372-6371-4CC0-97B6-E40455DC5FE6}">
    <text>EVO2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Relationship Id="rId6" Type="http://schemas.microsoft.com/office/2019/04/relationships/namedSheetView" Target="../namedSheetViews/namedSheetView2.xml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5.vml"/><Relationship Id="rId5" Type="http://schemas.microsoft.com/office/2019/04/relationships/namedSheetView" Target="../namedSheetViews/namedSheetView3.xml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mm21.com/e-service/general/trackNTrace/TrackNTrace.do" TargetMode="External"/><Relationship Id="rId3" Type="http://schemas.openxmlformats.org/officeDocument/2006/relationships/hyperlink" Target="https://www.oocl.com/eng/ourservices/eservices/cargotracking/pages/cargotracking.aspx" TargetMode="External"/><Relationship Id="rId7" Type="http://schemas.openxmlformats.org/officeDocument/2006/relationships/hyperlink" Target="https://www.cma-cgm.com/ebusiness/tracking" TargetMode="External"/><Relationship Id="rId2" Type="http://schemas.openxmlformats.org/officeDocument/2006/relationships/hyperlink" Target="https://www.msc.com/en/track-a-shipment" TargetMode="External"/><Relationship Id="rId1" Type="http://schemas.openxmlformats.org/officeDocument/2006/relationships/hyperlink" Target="https://www.maersk.com/tracking/" TargetMode="External"/><Relationship Id="rId6" Type="http://schemas.openxmlformats.org/officeDocument/2006/relationships/hyperlink" Target="https://www.yangming.com/en/esolution/cargo_tracking" TargetMode="External"/><Relationship Id="rId5" Type="http://schemas.openxmlformats.org/officeDocument/2006/relationships/hyperlink" Target="https://www.one-line.com/one-ecom/manage-shipment/cargo-tracking" TargetMode="External"/><Relationship Id="rId4" Type="http://schemas.openxmlformats.org/officeDocument/2006/relationships/hyperlink" Target="https://www.evergreen-shipping.cn/servlet/TDB1_CargoTracking.do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7.vml"/><Relationship Id="rId4" Type="http://schemas.microsoft.com/office/2017/10/relationships/threadedComment" Target="../threadedComments/threadedComment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Relationship Id="rId4" Type="http://schemas.microsoft.com/office/2019/04/relationships/namedSheetView" Target="../namedSheetViews/namedSheetView4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0.xml"/><Relationship Id="rId4" Type="http://schemas.openxmlformats.org/officeDocument/2006/relationships/comments" Target="../comments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7CA2-001A-43A1-A2CA-B1E4DDCC7919}">
  <sheetPr>
    <tabColor rgb="FF92D050"/>
  </sheetPr>
  <dimension ref="A1:BH500"/>
  <sheetViews>
    <sheetView workbookViewId="0">
      <selection activeCell="W29" sqref="W29"/>
    </sheetView>
  </sheetViews>
  <sheetFormatPr defaultColWidth="14.8984375" defaultRowHeight="13" outlineLevelRow="1"/>
  <cols>
    <col min="1" max="2" width="14.8984375" style="1007"/>
    <col min="3" max="14" width="0" style="1007" hidden="1" customWidth="1"/>
    <col min="15" max="27" width="14.8984375" style="1007"/>
    <col min="28" max="28" width="14.8984375" style="1008"/>
    <col min="29" max="29" width="14.8984375" style="1007"/>
    <col min="30" max="30" width="16" style="1007" customWidth="1"/>
    <col min="31" max="34" width="14.8984375" style="1007"/>
    <col min="35" max="40" width="14.8984375" style="1008"/>
    <col min="41" max="48" width="14.8984375" style="1007"/>
    <col min="49" max="49" width="14.8984375" style="1008"/>
    <col min="50" max="50" width="14.8984375" style="1007"/>
    <col min="51" max="51" width="14.8984375" style="1008"/>
    <col min="52" max="52" width="14.8984375" style="1007"/>
    <col min="53" max="53" width="14.8984375" style="1008"/>
    <col min="54" max="16384" width="14.8984375" style="1007"/>
  </cols>
  <sheetData>
    <row r="1" spans="1:60" s="429" customFormat="1" ht="42" customHeight="1" outlineLevel="1">
      <c r="A1" s="911" t="s">
        <v>0</v>
      </c>
      <c r="B1" s="418" t="s">
        <v>1</v>
      </c>
      <c r="C1" s="419" t="s">
        <v>2</v>
      </c>
      <c r="D1" s="420" t="s">
        <v>3</v>
      </c>
      <c r="E1" s="421" t="s">
        <v>4</v>
      </c>
      <c r="F1" s="421" t="s">
        <v>5</v>
      </c>
      <c r="G1" s="421" t="s">
        <v>6</v>
      </c>
      <c r="H1" s="421" t="s">
        <v>7</v>
      </c>
      <c r="I1" s="421" t="s">
        <v>8</v>
      </c>
      <c r="J1" s="421" t="s">
        <v>9</v>
      </c>
      <c r="K1" s="421" t="s">
        <v>10</v>
      </c>
      <c r="L1" s="421" t="s">
        <v>11</v>
      </c>
      <c r="M1" s="421" t="s">
        <v>12</v>
      </c>
      <c r="N1" s="421" t="s">
        <v>13</v>
      </c>
      <c r="O1" s="418" t="s">
        <v>14</v>
      </c>
      <c r="P1" s="418" t="s">
        <v>15</v>
      </c>
      <c r="Q1" s="418" t="s">
        <v>16</v>
      </c>
      <c r="R1" s="427" t="s">
        <v>17</v>
      </c>
      <c r="S1" s="427" t="s">
        <v>18</v>
      </c>
      <c r="T1" s="418" t="s">
        <v>19</v>
      </c>
      <c r="U1" s="422" t="s">
        <v>20</v>
      </c>
      <c r="V1" s="1005" t="s">
        <v>21</v>
      </c>
      <c r="W1" s="1006" t="s">
        <v>22</v>
      </c>
      <c r="X1" s="419" t="s">
        <v>23</v>
      </c>
      <c r="Y1" s="418" t="s">
        <v>24</v>
      </c>
      <c r="Z1" s="418" t="s">
        <v>25</v>
      </c>
      <c r="AA1" s="423" t="s">
        <v>26</v>
      </c>
      <c r="AB1" s="424" t="s">
        <v>27</v>
      </c>
      <c r="AC1" s="420" t="s">
        <v>28</v>
      </c>
      <c r="AD1" s="883" t="s">
        <v>29</v>
      </c>
      <c r="AE1" s="418" t="s">
        <v>30</v>
      </c>
      <c r="AF1" s="421" t="s">
        <v>31</v>
      </c>
      <c r="AG1" s="421" t="s">
        <v>32</v>
      </c>
      <c r="AH1" s="421" t="s">
        <v>33</v>
      </c>
      <c r="AI1" s="1009" t="s">
        <v>34</v>
      </c>
      <c r="AJ1" s="542" t="s">
        <v>35</v>
      </c>
      <c r="AK1" s="1010" t="s">
        <v>36</v>
      </c>
      <c r="AL1" s="542" t="s">
        <v>37</v>
      </c>
      <c r="AM1" s="542" t="s">
        <v>38</v>
      </c>
      <c r="AN1" s="542" t="s">
        <v>39</v>
      </c>
      <c r="AO1" s="420" t="s">
        <v>40</v>
      </c>
      <c r="AP1" s="420" t="s">
        <v>41</v>
      </c>
      <c r="AQ1" s="420" t="s">
        <v>42</v>
      </c>
      <c r="AR1" s="420" t="s">
        <v>43</v>
      </c>
      <c r="AS1" s="420" t="s">
        <v>44</v>
      </c>
      <c r="AT1" s="420" t="s">
        <v>45</v>
      </c>
      <c r="AU1" s="542" t="s">
        <v>46</v>
      </c>
      <c r="AV1" s="420" t="s">
        <v>47</v>
      </c>
      <c r="AW1" s="425" t="s">
        <v>48</v>
      </c>
      <c r="AX1" s="425" t="s">
        <v>49</v>
      </c>
      <c r="AY1" s="425" t="s">
        <v>50</v>
      </c>
      <c r="AZ1" s="425" t="s">
        <v>51</v>
      </c>
      <c r="BA1" s="425" t="s">
        <v>52</v>
      </c>
      <c r="BB1" s="426" t="s">
        <v>53</v>
      </c>
      <c r="BC1" s="426" t="s">
        <v>54</v>
      </c>
      <c r="BD1" s="425" t="s">
        <v>55</v>
      </c>
      <c r="BE1" s="427" t="s">
        <v>56</v>
      </c>
      <c r="BF1" s="427" t="s">
        <v>57</v>
      </c>
      <c r="BG1" s="427" t="s">
        <v>58</v>
      </c>
      <c r="BH1" s="428" t="s">
        <v>59</v>
      </c>
    </row>
    <row r="2" spans="1:60">
      <c r="A2" s="1007" t="s">
        <v>60</v>
      </c>
      <c r="B2" s="1007" t="s">
        <v>61</v>
      </c>
      <c r="C2" s="1007" t="s">
        <v>62</v>
      </c>
      <c r="D2" s="1007" t="s">
        <v>63</v>
      </c>
      <c r="E2" s="1007" t="s">
        <v>64</v>
      </c>
      <c r="F2" s="1007" t="s">
        <v>65</v>
      </c>
      <c r="G2" s="1007" t="s">
        <v>66</v>
      </c>
      <c r="H2" s="1007" t="s">
        <v>67</v>
      </c>
      <c r="I2" s="1007" t="s">
        <v>68</v>
      </c>
      <c r="J2" s="1007" t="s">
        <v>69</v>
      </c>
      <c r="M2" s="1007" t="s">
        <v>68</v>
      </c>
      <c r="N2" s="1007" t="s">
        <v>68</v>
      </c>
      <c r="O2" s="1007" t="s">
        <v>70</v>
      </c>
      <c r="P2" s="1007" t="s">
        <v>71</v>
      </c>
      <c r="Q2" s="1007" t="s">
        <v>72</v>
      </c>
      <c r="R2" s="1007" t="s">
        <v>73</v>
      </c>
      <c r="S2" s="1007" t="s">
        <v>74</v>
      </c>
      <c r="T2" s="1007">
        <v>500</v>
      </c>
      <c r="U2" s="1007">
        <v>2592</v>
      </c>
      <c r="V2" s="1007">
        <v>1.296</v>
      </c>
      <c r="W2" s="1007">
        <v>72</v>
      </c>
      <c r="X2" s="1007">
        <v>3</v>
      </c>
      <c r="Y2" s="1007" t="s">
        <v>75</v>
      </c>
      <c r="Z2" s="1007" t="s">
        <v>75</v>
      </c>
      <c r="AB2" s="1008">
        <v>46003</v>
      </c>
      <c r="AC2" s="1007">
        <v>50</v>
      </c>
      <c r="AD2" s="1007" t="s">
        <v>76</v>
      </c>
      <c r="AE2" s="1007">
        <v>371009290</v>
      </c>
      <c r="AF2" s="1007" t="s">
        <v>77</v>
      </c>
      <c r="AG2" s="1007" t="s">
        <v>61</v>
      </c>
      <c r="AH2" s="1007" t="s">
        <v>78</v>
      </c>
      <c r="AI2" s="1008">
        <v>46009</v>
      </c>
      <c r="AJ2" s="1008">
        <v>46009</v>
      </c>
      <c r="AK2" s="1008">
        <v>46012</v>
      </c>
      <c r="AL2" s="1008">
        <v>46076</v>
      </c>
      <c r="AM2" s="1008">
        <v>46098</v>
      </c>
      <c r="AN2" s="1008">
        <v>46099</v>
      </c>
      <c r="AO2" s="1007" t="s">
        <v>66</v>
      </c>
      <c r="AP2" s="1007" t="s">
        <v>79</v>
      </c>
      <c r="AQ2" s="1007" t="s">
        <v>80</v>
      </c>
      <c r="AR2" s="1007" t="s">
        <v>81</v>
      </c>
      <c r="AS2" s="1007" t="s">
        <v>82</v>
      </c>
      <c r="AT2" s="1007" t="s">
        <v>82</v>
      </c>
      <c r="AU2" s="1007">
        <v>87</v>
      </c>
      <c r="AV2" s="1007" t="s">
        <v>83</v>
      </c>
      <c r="AW2" s="1008">
        <v>46099</v>
      </c>
      <c r="AX2" s="1007" t="s">
        <v>84</v>
      </c>
      <c r="AY2" s="1008">
        <v>46112</v>
      </c>
      <c r="AZ2" s="1007">
        <v>8</v>
      </c>
      <c r="BA2" s="1008">
        <v>46107</v>
      </c>
      <c r="BB2" s="1007">
        <v>2026</v>
      </c>
      <c r="BC2" s="1007">
        <v>3</v>
      </c>
      <c r="BD2" s="1007">
        <v>13</v>
      </c>
      <c r="BE2" s="1007">
        <v>36</v>
      </c>
      <c r="BF2" s="1007">
        <v>864</v>
      </c>
      <c r="BG2" s="1007" t="s">
        <v>85</v>
      </c>
      <c r="BH2" s="1007" t="s">
        <v>86</v>
      </c>
    </row>
    <row r="3" spans="1:60">
      <c r="A3" s="1007" t="s">
        <v>87</v>
      </c>
      <c r="B3" s="1007" t="s">
        <v>61</v>
      </c>
      <c r="C3" s="1007" t="s">
        <v>88</v>
      </c>
      <c r="D3" s="1007" t="s">
        <v>63</v>
      </c>
      <c r="E3" s="1007" t="s">
        <v>64</v>
      </c>
      <c r="F3" s="1007" t="s">
        <v>65</v>
      </c>
      <c r="G3" s="1007" t="s">
        <v>66</v>
      </c>
      <c r="H3" s="1007" t="s">
        <v>67</v>
      </c>
      <c r="I3" s="1007" t="s">
        <v>68</v>
      </c>
      <c r="J3" s="1007" t="s">
        <v>89</v>
      </c>
      <c r="K3" s="1007" t="s">
        <v>90</v>
      </c>
      <c r="M3" s="1007" t="s">
        <v>68</v>
      </c>
      <c r="N3" s="1007" t="s">
        <v>68</v>
      </c>
      <c r="O3" s="1007" t="s">
        <v>70</v>
      </c>
      <c r="P3" s="1007" t="s">
        <v>91</v>
      </c>
      <c r="Q3" s="1007" t="s">
        <v>92</v>
      </c>
      <c r="R3" s="1007" t="s">
        <v>73</v>
      </c>
      <c r="S3" s="1007" t="s">
        <v>74</v>
      </c>
      <c r="T3" s="1007">
        <v>450</v>
      </c>
      <c r="U3" s="1007">
        <v>936</v>
      </c>
      <c r="V3" s="1007">
        <v>0.42099999999999999</v>
      </c>
      <c r="W3" s="1007">
        <v>26</v>
      </c>
      <c r="X3" s="1007">
        <v>1</v>
      </c>
      <c r="Y3" s="1007" t="s">
        <v>75</v>
      </c>
      <c r="Z3" s="1007" t="s">
        <v>75</v>
      </c>
      <c r="AB3" s="1008">
        <v>46003</v>
      </c>
      <c r="AC3" s="1007">
        <v>50</v>
      </c>
      <c r="AD3" s="1007" t="s">
        <v>93</v>
      </c>
      <c r="AE3" s="1007">
        <v>371009297</v>
      </c>
      <c r="AF3" s="1007" t="s">
        <v>77</v>
      </c>
      <c r="AG3" s="1007" t="s">
        <v>61</v>
      </c>
      <c r="AH3" s="1007" t="s">
        <v>78</v>
      </c>
      <c r="AI3" s="1008">
        <v>46009</v>
      </c>
      <c r="AJ3" s="1008">
        <v>46009</v>
      </c>
      <c r="AK3" s="1008">
        <v>46012</v>
      </c>
      <c r="AL3" s="1008">
        <v>46076</v>
      </c>
      <c r="AM3" s="1008">
        <v>46098</v>
      </c>
      <c r="AN3" s="1008">
        <v>46099</v>
      </c>
      <c r="AO3" s="1007" t="s">
        <v>66</v>
      </c>
      <c r="AP3" s="1007" t="s">
        <v>79</v>
      </c>
      <c r="AQ3" s="1007" t="s">
        <v>80</v>
      </c>
      <c r="AR3" s="1007" t="s">
        <v>81</v>
      </c>
      <c r="AS3" s="1007" t="s">
        <v>82</v>
      </c>
      <c r="AT3" s="1007" t="s">
        <v>82</v>
      </c>
      <c r="AU3" s="1007">
        <v>87</v>
      </c>
      <c r="AV3" s="1007" t="s">
        <v>83</v>
      </c>
      <c r="AW3" s="1008">
        <v>46099</v>
      </c>
      <c r="AX3" s="1007" t="s">
        <v>84</v>
      </c>
      <c r="AY3" s="1008">
        <v>46112</v>
      </c>
      <c r="AZ3" s="1007">
        <v>8</v>
      </c>
      <c r="BA3" s="1008">
        <v>46107</v>
      </c>
      <c r="BB3" s="1007">
        <v>2026</v>
      </c>
      <c r="BC3" s="1007">
        <v>3</v>
      </c>
      <c r="BD3" s="1007">
        <v>13</v>
      </c>
      <c r="BE3" s="1007">
        <v>36</v>
      </c>
      <c r="BF3" s="1007">
        <v>936</v>
      </c>
      <c r="BG3" s="1007" t="s">
        <v>94</v>
      </c>
      <c r="BH3" s="1007" t="s">
        <v>86</v>
      </c>
    </row>
    <row r="4" spans="1:60">
      <c r="A4" s="1007" t="s">
        <v>95</v>
      </c>
      <c r="B4" s="1007" t="s">
        <v>61</v>
      </c>
      <c r="C4" s="1007" t="s">
        <v>88</v>
      </c>
      <c r="D4" s="1007" t="s">
        <v>63</v>
      </c>
      <c r="E4" s="1007" t="s">
        <v>64</v>
      </c>
      <c r="F4" s="1007" t="s">
        <v>65</v>
      </c>
      <c r="G4" s="1007" t="s">
        <v>66</v>
      </c>
      <c r="H4" s="1007" t="s">
        <v>67</v>
      </c>
      <c r="I4" s="1007" t="s">
        <v>68</v>
      </c>
      <c r="J4" s="1007" t="s">
        <v>96</v>
      </c>
      <c r="M4" s="1007" t="s">
        <v>68</v>
      </c>
      <c r="N4" s="1007" t="s">
        <v>68</v>
      </c>
      <c r="O4" s="1007" t="s">
        <v>70</v>
      </c>
      <c r="P4" s="1007" t="s">
        <v>91</v>
      </c>
      <c r="Q4" s="1007" t="s">
        <v>92</v>
      </c>
      <c r="R4" s="1007" t="s">
        <v>73</v>
      </c>
      <c r="S4" s="1007" t="s">
        <v>74</v>
      </c>
      <c r="T4" s="1007">
        <v>450</v>
      </c>
      <c r="U4" s="1007">
        <v>2808</v>
      </c>
      <c r="V4" s="1007">
        <v>1.264</v>
      </c>
      <c r="W4" s="1007">
        <v>78</v>
      </c>
      <c r="X4" s="1007">
        <v>3</v>
      </c>
      <c r="Y4" s="1007" t="s">
        <v>75</v>
      </c>
      <c r="Z4" s="1007" t="s">
        <v>75</v>
      </c>
      <c r="AB4" s="1008">
        <v>46003</v>
      </c>
      <c r="AC4" s="1007">
        <v>50</v>
      </c>
      <c r="AD4" s="1007" t="s">
        <v>97</v>
      </c>
      <c r="AE4" s="1007">
        <v>371009298</v>
      </c>
      <c r="AF4" s="1007" t="s">
        <v>77</v>
      </c>
      <c r="AG4" s="1007" t="s">
        <v>61</v>
      </c>
      <c r="AH4" s="1007" t="s">
        <v>78</v>
      </c>
      <c r="AI4" s="1008">
        <v>46009</v>
      </c>
      <c r="AJ4" s="1008">
        <v>46009</v>
      </c>
      <c r="AK4" s="1008">
        <v>46012</v>
      </c>
      <c r="AL4" s="1008">
        <v>46076</v>
      </c>
      <c r="AM4" s="1008">
        <v>46098</v>
      </c>
      <c r="AN4" s="1008">
        <v>46099</v>
      </c>
      <c r="AO4" s="1007" t="s">
        <v>66</v>
      </c>
      <c r="AP4" s="1007" t="s">
        <v>79</v>
      </c>
      <c r="AQ4" s="1007" t="s">
        <v>80</v>
      </c>
      <c r="AR4" s="1007" t="s">
        <v>81</v>
      </c>
      <c r="AS4" s="1007" t="s">
        <v>82</v>
      </c>
      <c r="AT4" s="1007" t="s">
        <v>82</v>
      </c>
      <c r="AU4" s="1007">
        <v>87</v>
      </c>
      <c r="AV4" s="1007" t="s">
        <v>83</v>
      </c>
      <c r="AW4" s="1008">
        <v>46099</v>
      </c>
      <c r="AX4" s="1007" t="s">
        <v>84</v>
      </c>
      <c r="AY4" s="1008">
        <v>46112</v>
      </c>
      <c r="AZ4" s="1007">
        <v>8</v>
      </c>
      <c r="BA4" s="1008">
        <v>46107</v>
      </c>
      <c r="BB4" s="1007">
        <v>2026</v>
      </c>
      <c r="BC4" s="1007">
        <v>3</v>
      </c>
      <c r="BD4" s="1007">
        <v>13</v>
      </c>
      <c r="BE4" s="1007">
        <v>36</v>
      </c>
      <c r="BF4" s="1007">
        <v>936</v>
      </c>
      <c r="BG4" s="1007" t="s">
        <v>94</v>
      </c>
      <c r="BH4" s="1007" t="s">
        <v>86</v>
      </c>
    </row>
    <row r="5" spans="1:60">
      <c r="A5" s="1007" t="s">
        <v>98</v>
      </c>
      <c r="B5" s="1007" t="s">
        <v>61</v>
      </c>
      <c r="C5" s="1007" t="s">
        <v>99</v>
      </c>
      <c r="D5" s="1007" t="s">
        <v>63</v>
      </c>
      <c r="E5" s="1007" t="s">
        <v>64</v>
      </c>
      <c r="F5" s="1007" t="s">
        <v>100</v>
      </c>
      <c r="G5" s="1007" t="s">
        <v>66</v>
      </c>
      <c r="H5" s="1007" t="s">
        <v>67</v>
      </c>
      <c r="I5" s="1007" t="s">
        <v>68</v>
      </c>
      <c r="J5" s="1007" t="s">
        <v>101</v>
      </c>
      <c r="M5" s="1007" t="s">
        <v>68</v>
      </c>
      <c r="N5" s="1007" t="s">
        <v>68</v>
      </c>
      <c r="O5" s="1007" t="s">
        <v>70</v>
      </c>
      <c r="P5" s="1007" t="s">
        <v>102</v>
      </c>
      <c r="Q5" s="1007" t="s">
        <v>103</v>
      </c>
      <c r="R5" s="1007" t="s">
        <v>73</v>
      </c>
      <c r="S5" s="1007" t="s">
        <v>74</v>
      </c>
      <c r="T5" s="1007">
        <v>620</v>
      </c>
      <c r="U5" s="1007">
        <v>4320</v>
      </c>
      <c r="V5" s="1007">
        <v>2.6779999999999999</v>
      </c>
      <c r="W5" s="1007">
        <v>120</v>
      </c>
      <c r="X5" s="1007">
        <v>6</v>
      </c>
      <c r="Y5" s="1007" t="s">
        <v>75</v>
      </c>
      <c r="Z5" s="1007" t="s">
        <v>75</v>
      </c>
      <c r="AB5" s="1008">
        <v>46000</v>
      </c>
      <c r="AC5" s="1007">
        <v>50</v>
      </c>
      <c r="AD5" s="1007" t="s">
        <v>104</v>
      </c>
      <c r="AE5" s="1007">
        <v>371009291</v>
      </c>
      <c r="AF5" s="1007" t="s">
        <v>77</v>
      </c>
      <c r="AG5" s="1007" t="s">
        <v>61</v>
      </c>
      <c r="AH5" s="1007" t="s">
        <v>105</v>
      </c>
      <c r="AI5" s="1008">
        <v>46009</v>
      </c>
      <c r="AJ5" s="1008">
        <v>46009</v>
      </c>
      <c r="AK5" s="1008">
        <v>46012</v>
      </c>
      <c r="AL5" s="1008">
        <v>46061</v>
      </c>
      <c r="AM5" s="1008">
        <v>46111</v>
      </c>
      <c r="AN5" s="1008">
        <v>46111</v>
      </c>
      <c r="AO5" s="1007" t="s">
        <v>66</v>
      </c>
      <c r="AP5" s="1007" t="s">
        <v>79</v>
      </c>
      <c r="AQ5" s="1007" t="s">
        <v>80</v>
      </c>
      <c r="AR5" s="1007" t="s">
        <v>106</v>
      </c>
      <c r="AS5" s="1007" t="s">
        <v>107</v>
      </c>
      <c r="AT5" s="1007" t="s">
        <v>107</v>
      </c>
      <c r="AU5" s="1007">
        <v>99</v>
      </c>
      <c r="AV5" s="1007" t="s">
        <v>83</v>
      </c>
      <c r="AW5" s="1008">
        <v>46111</v>
      </c>
      <c r="AX5" s="1007" t="s">
        <v>84</v>
      </c>
      <c r="AY5" s="1008">
        <v>46125</v>
      </c>
      <c r="AZ5" s="1007">
        <v>7</v>
      </c>
      <c r="BA5" s="1008">
        <v>46118</v>
      </c>
      <c r="BB5" s="1007">
        <v>2026</v>
      </c>
      <c r="BC5" s="1007">
        <v>4</v>
      </c>
      <c r="BD5" s="1007">
        <v>15</v>
      </c>
      <c r="BE5" s="1007">
        <v>36</v>
      </c>
      <c r="BF5" s="1007">
        <v>720</v>
      </c>
      <c r="BG5" s="1007" t="s">
        <v>108</v>
      </c>
      <c r="BH5" s="1007" t="s">
        <v>109</v>
      </c>
    </row>
    <row r="6" spans="1:60">
      <c r="A6" s="1007" t="s">
        <v>110</v>
      </c>
      <c r="B6" s="1007" t="s">
        <v>111</v>
      </c>
      <c r="C6" s="1007" t="s">
        <v>112</v>
      </c>
      <c r="D6" s="1007" t="s">
        <v>113</v>
      </c>
      <c r="E6" s="1007" t="s">
        <v>64</v>
      </c>
      <c r="F6" s="1007" t="s">
        <v>114</v>
      </c>
      <c r="G6" s="1007" t="s">
        <v>66</v>
      </c>
      <c r="H6" s="1007" t="s">
        <v>115</v>
      </c>
      <c r="I6" s="1007" t="s">
        <v>68</v>
      </c>
      <c r="J6" s="1007" t="s">
        <v>116</v>
      </c>
      <c r="K6" s="1007" t="s">
        <v>117</v>
      </c>
      <c r="M6" s="1007" t="s">
        <v>68</v>
      </c>
      <c r="N6" s="1007" t="s">
        <v>68</v>
      </c>
      <c r="O6" s="1007" t="s">
        <v>70</v>
      </c>
      <c r="P6" s="1007" t="s">
        <v>118</v>
      </c>
      <c r="Q6" s="1007" t="s">
        <v>119</v>
      </c>
      <c r="R6" s="1007" t="s">
        <v>73</v>
      </c>
      <c r="S6" s="1007" t="s">
        <v>120</v>
      </c>
      <c r="T6" s="1007">
        <v>640</v>
      </c>
      <c r="U6" s="1007">
        <v>2304</v>
      </c>
      <c r="V6" s="1007">
        <v>1.4750000000000001</v>
      </c>
      <c r="W6" s="1007">
        <v>64</v>
      </c>
      <c r="X6" s="1007">
        <v>4</v>
      </c>
      <c r="Y6" s="1007" t="s">
        <v>75</v>
      </c>
      <c r="Z6" s="1007" t="s">
        <v>75</v>
      </c>
      <c r="AB6" s="1008">
        <v>46015</v>
      </c>
      <c r="AC6" s="1007">
        <v>52</v>
      </c>
      <c r="AD6" s="1007" t="s">
        <v>121</v>
      </c>
      <c r="AF6" s="1007" t="s">
        <v>122</v>
      </c>
      <c r="AG6" s="1007" t="s">
        <v>123</v>
      </c>
      <c r="AH6" s="1007" t="s">
        <v>124</v>
      </c>
      <c r="AI6" s="1008">
        <v>46020</v>
      </c>
      <c r="AJ6" s="1008">
        <v>46030</v>
      </c>
      <c r="AK6" s="1008">
        <v>46030</v>
      </c>
      <c r="AL6" s="1008">
        <v>46072</v>
      </c>
      <c r="AM6" s="1008">
        <v>46092</v>
      </c>
      <c r="AN6" s="1008">
        <v>46094</v>
      </c>
      <c r="AO6" s="1007" t="s">
        <v>66</v>
      </c>
      <c r="AP6" s="1007" t="s">
        <v>125</v>
      </c>
      <c r="AQ6" s="1007" t="s">
        <v>80</v>
      </c>
      <c r="AR6" s="1007" t="s">
        <v>126</v>
      </c>
      <c r="AS6" s="1007" t="s">
        <v>127</v>
      </c>
      <c r="AT6" s="1007" t="s">
        <v>127</v>
      </c>
      <c r="AU6" s="1007">
        <v>64</v>
      </c>
      <c r="AW6" s="1008">
        <v>46094</v>
      </c>
      <c r="AX6" s="1007" t="s">
        <v>84</v>
      </c>
      <c r="AY6" s="1008">
        <v>46104</v>
      </c>
      <c r="AZ6" s="1007">
        <v>9</v>
      </c>
      <c r="BA6" s="1008">
        <v>46103</v>
      </c>
      <c r="BB6" s="1007">
        <v>2026</v>
      </c>
      <c r="BC6" s="1007">
        <v>3</v>
      </c>
      <c r="BD6" s="1007">
        <v>12</v>
      </c>
      <c r="BE6" s="1007">
        <v>36</v>
      </c>
      <c r="BF6" s="1007">
        <v>576</v>
      </c>
      <c r="BG6" s="1007" t="s">
        <v>128</v>
      </c>
      <c r="BH6" s="1007" t="s">
        <v>86</v>
      </c>
    </row>
    <row r="7" spans="1:60">
      <c r="A7" s="1007" t="s">
        <v>129</v>
      </c>
      <c r="B7" s="1007" t="s">
        <v>111</v>
      </c>
      <c r="C7" s="1007" t="s">
        <v>130</v>
      </c>
      <c r="D7" s="1007" t="s">
        <v>63</v>
      </c>
      <c r="E7" s="1007" t="s">
        <v>64</v>
      </c>
      <c r="F7" s="1007" t="s">
        <v>65</v>
      </c>
      <c r="G7" s="1007" t="s">
        <v>66</v>
      </c>
      <c r="H7" s="1007" t="s">
        <v>67</v>
      </c>
      <c r="I7" s="1007" t="s">
        <v>68</v>
      </c>
      <c r="J7" s="1007" t="s">
        <v>131</v>
      </c>
      <c r="M7" s="1007" t="s">
        <v>68</v>
      </c>
      <c r="N7" s="1007" t="s">
        <v>68</v>
      </c>
      <c r="O7" s="1007" t="s">
        <v>132</v>
      </c>
      <c r="P7" s="1007" t="s">
        <v>133</v>
      </c>
      <c r="Q7" s="1007" t="s">
        <v>134</v>
      </c>
      <c r="R7" s="1007" t="s">
        <v>73</v>
      </c>
      <c r="S7" s="1007" t="s">
        <v>120</v>
      </c>
      <c r="T7" s="1007">
        <v>720</v>
      </c>
      <c r="U7" s="1007">
        <v>1782</v>
      </c>
      <c r="V7" s="1007">
        <v>1.2829999999999999</v>
      </c>
      <c r="W7" s="1007">
        <v>54</v>
      </c>
      <c r="X7" s="1007">
        <v>3</v>
      </c>
      <c r="Y7" s="1007" t="s">
        <v>75</v>
      </c>
      <c r="Z7" s="1007" t="s">
        <v>75</v>
      </c>
      <c r="AB7" s="1008">
        <v>46012</v>
      </c>
      <c r="AC7" s="1007">
        <v>51</v>
      </c>
      <c r="AD7" s="1007" t="s">
        <v>135</v>
      </c>
      <c r="AF7" s="1007" t="s">
        <v>122</v>
      </c>
      <c r="AG7" s="1007" t="s">
        <v>123</v>
      </c>
      <c r="AH7" s="1007" t="s">
        <v>78</v>
      </c>
      <c r="AI7" s="1008">
        <v>46020</v>
      </c>
      <c r="AJ7" s="1008">
        <v>46030</v>
      </c>
      <c r="AK7" s="1008">
        <v>46030</v>
      </c>
      <c r="AL7" s="1008">
        <v>46064</v>
      </c>
      <c r="AM7" s="1008">
        <v>46098</v>
      </c>
      <c r="AN7" s="1008">
        <v>46099</v>
      </c>
      <c r="AO7" s="1007" t="s">
        <v>66</v>
      </c>
      <c r="AP7" s="1007" t="s">
        <v>125</v>
      </c>
      <c r="AQ7" s="1007" t="s">
        <v>80</v>
      </c>
      <c r="AR7" s="1007" t="s">
        <v>136</v>
      </c>
      <c r="AS7" s="1007" t="s">
        <v>137</v>
      </c>
      <c r="AT7" s="1007" t="s">
        <v>137</v>
      </c>
      <c r="AU7" s="1007">
        <v>69</v>
      </c>
      <c r="AW7" s="1008">
        <v>46099</v>
      </c>
      <c r="AX7" s="1007" t="s">
        <v>84</v>
      </c>
      <c r="AY7" s="1008">
        <v>46112</v>
      </c>
      <c r="AZ7" s="1007">
        <v>8</v>
      </c>
      <c r="BA7" s="1008">
        <v>46107</v>
      </c>
      <c r="BB7" s="1007">
        <v>2026</v>
      </c>
      <c r="BC7" s="1007">
        <v>3</v>
      </c>
      <c r="BD7" s="1007">
        <v>13</v>
      </c>
      <c r="BE7" s="1007">
        <v>33</v>
      </c>
      <c r="BF7" s="1007">
        <v>594</v>
      </c>
      <c r="BG7" s="1007" t="s">
        <v>108</v>
      </c>
      <c r="BH7" s="1007" t="s">
        <v>86</v>
      </c>
    </row>
    <row r="8" spans="1:60">
      <c r="A8" s="1007" t="s">
        <v>138</v>
      </c>
      <c r="B8" s="1007" t="s">
        <v>111</v>
      </c>
      <c r="C8" s="1007" t="s">
        <v>130</v>
      </c>
      <c r="D8" s="1007" t="s">
        <v>63</v>
      </c>
      <c r="E8" s="1007" t="s">
        <v>64</v>
      </c>
      <c r="F8" s="1007" t="s">
        <v>100</v>
      </c>
      <c r="G8" s="1007" t="s">
        <v>66</v>
      </c>
      <c r="H8" s="1007" t="s">
        <v>67</v>
      </c>
      <c r="I8" s="1007" t="s">
        <v>68</v>
      </c>
      <c r="J8" s="1007" t="s">
        <v>101</v>
      </c>
      <c r="M8" s="1007" t="s">
        <v>68</v>
      </c>
      <c r="N8" s="1007" t="s">
        <v>68</v>
      </c>
      <c r="O8" s="1007" t="s">
        <v>132</v>
      </c>
      <c r="P8" s="1007" t="s">
        <v>133</v>
      </c>
      <c r="Q8" s="1007" t="s">
        <v>134</v>
      </c>
      <c r="R8" s="1007" t="s">
        <v>73</v>
      </c>
      <c r="S8" s="1007" t="s">
        <v>120</v>
      </c>
      <c r="T8" s="1007">
        <v>720</v>
      </c>
      <c r="U8" s="1007">
        <v>1782</v>
      </c>
      <c r="V8" s="1007">
        <v>1.2829999999999999</v>
      </c>
      <c r="W8" s="1007">
        <v>54</v>
      </c>
      <c r="X8" s="1007">
        <v>3</v>
      </c>
      <c r="Y8" s="1007" t="s">
        <v>75</v>
      </c>
      <c r="Z8" s="1007" t="s">
        <v>75</v>
      </c>
      <c r="AB8" s="1008">
        <v>46008</v>
      </c>
      <c r="AC8" s="1007">
        <v>51</v>
      </c>
      <c r="AD8" s="1007" t="s">
        <v>139</v>
      </c>
      <c r="AF8" s="1007" t="s">
        <v>122</v>
      </c>
      <c r="AG8" s="1007" t="s">
        <v>123</v>
      </c>
      <c r="AH8" s="1007" t="s">
        <v>105</v>
      </c>
      <c r="AI8" s="1008">
        <v>46014</v>
      </c>
      <c r="AJ8" s="1008">
        <v>46018</v>
      </c>
      <c r="AK8" s="1008">
        <v>46017</v>
      </c>
      <c r="AL8" s="1008">
        <v>46073</v>
      </c>
      <c r="AM8" s="1008">
        <v>46090</v>
      </c>
      <c r="AN8" s="1008">
        <v>46090</v>
      </c>
      <c r="AO8" s="1007" t="s">
        <v>66</v>
      </c>
      <c r="AP8" s="1007" t="s">
        <v>140</v>
      </c>
      <c r="AQ8" s="1007" t="s">
        <v>80</v>
      </c>
      <c r="AR8" s="1007" t="s">
        <v>141</v>
      </c>
      <c r="AS8" s="1007" t="s">
        <v>142</v>
      </c>
      <c r="AT8" s="1007" t="s">
        <v>142</v>
      </c>
      <c r="AU8" s="1007">
        <v>73</v>
      </c>
      <c r="AW8" s="1008">
        <v>46090</v>
      </c>
      <c r="AX8" s="1007" t="s">
        <v>84</v>
      </c>
      <c r="AY8" s="1008">
        <v>46104</v>
      </c>
      <c r="AZ8" s="1007">
        <v>7</v>
      </c>
      <c r="BA8" s="1008">
        <v>46097</v>
      </c>
      <c r="BB8" s="1007">
        <v>2026</v>
      </c>
      <c r="BC8" s="1007">
        <v>3</v>
      </c>
      <c r="BD8" s="1007">
        <v>12</v>
      </c>
      <c r="BE8" s="1007">
        <v>33</v>
      </c>
      <c r="BF8" s="1007">
        <v>594</v>
      </c>
      <c r="BG8" s="1007" t="s">
        <v>108</v>
      </c>
      <c r="BH8" s="1007" t="s">
        <v>109</v>
      </c>
    </row>
    <row r="9" spans="1:60">
      <c r="A9" s="1007" t="s">
        <v>143</v>
      </c>
      <c r="B9" s="1007" t="s">
        <v>61</v>
      </c>
      <c r="C9" s="1007" t="s">
        <v>88</v>
      </c>
      <c r="D9" s="1007" t="s">
        <v>63</v>
      </c>
      <c r="E9" s="1007" t="s">
        <v>144</v>
      </c>
      <c r="F9" s="1007" t="s">
        <v>145</v>
      </c>
      <c r="G9" s="1007" t="s">
        <v>146</v>
      </c>
      <c r="H9" s="1007" t="s">
        <v>147</v>
      </c>
      <c r="I9" s="1007" t="s">
        <v>68</v>
      </c>
      <c r="J9" s="1007" t="s">
        <v>147</v>
      </c>
      <c r="K9" s="1007">
        <v>46010731</v>
      </c>
      <c r="M9" s="1007" t="s">
        <v>68</v>
      </c>
      <c r="N9" s="1007" t="s">
        <v>68</v>
      </c>
      <c r="O9" s="1007" t="s">
        <v>70</v>
      </c>
      <c r="P9" s="1007" t="s">
        <v>91</v>
      </c>
      <c r="Q9" s="1007" t="s">
        <v>92</v>
      </c>
      <c r="R9" s="1007" t="s">
        <v>73</v>
      </c>
      <c r="S9" s="1007" t="s">
        <v>74</v>
      </c>
      <c r="T9" s="1007">
        <v>450</v>
      </c>
      <c r="U9" s="1007">
        <v>936</v>
      </c>
      <c r="V9" s="1007">
        <v>0.42099999999999999</v>
      </c>
      <c r="W9" s="1007">
        <v>26</v>
      </c>
      <c r="X9" s="1007">
        <v>1</v>
      </c>
      <c r="Y9" s="1007" t="s">
        <v>75</v>
      </c>
      <c r="Z9" s="1007" t="s">
        <v>75</v>
      </c>
      <c r="AB9" s="1008">
        <v>46009</v>
      </c>
      <c r="AC9" s="1007">
        <v>51</v>
      </c>
      <c r="AD9" s="1007" t="s">
        <v>148</v>
      </c>
      <c r="AE9" s="1007">
        <v>371009343</v>
      </c>
      <c r="AF9" s="1007" t="s">
        <v>77</v>
      </c>
      <c r="AG9" s="1007" t="s">
        <v>61</v>
      </c>
      <c r="AH9" s="1007" t="s">
        <v>78</v>
      </c>
      <c r="AI9" s="1008">
        <v>46017</v>
      </c>
      <c r="AJ9" s="1008">
        <v>46018</v>
      </c>
      <c r="AK9" s="1008">
        <v>46018</v>
      </c>
      <c r="AL9" s="1008">
        <v>46077</v>
      </c>
      <c r="AM9" s="1008">
        <v>46090</v>
      </c>
      <c r="AN9" s="1008">
        <v>46090</v>
      </c>
      <c r="AO9" s="1007" t="s">
        <v>146</v>
      </c>
      <c r="AP9" s="1007" t="s">
        <v>149</v>
      </c>
      <c r="AQ9" s="1007" t="s">
        <v>80</v>
      </c>
      <c r="AR9" s="1007" t="s">
        <v>150</v>
      </c>
      <c r="AS9" s="1007" t="s">
        <v>151</v>
      </c>
      <c r="AT9" s="1007" t="s">
        <v>151</v>
      </c>
      <c r="AU9" s="1007">
        <v>72</v>
      </c>
      <c r="AV9" s="1007" t="s">
        <v>83</v>
      </c>
      <c r="AW9" s="1008">
        <v>46090</v>
      </c>
      <c r="AX9" s="1007" t="s">
        <v>84</v>
      </c>
      <c r="AY9" s="1008">
        <v>46026</v>
      </c>
      <c r="AZ9" s="1007" t="s">
        <v>152</v>
      </c>
      <c r="BA9" s="1008">
        <v>46090</v>
      </c>
      <c r="BB9" s="1007">
        <v>2026</v>
      </c>
      <c r="BC9" s="1007">
        <v>3</v>
      </c>
      <c r="BD9" s="1007">
        <v>11</v>
      </c>
      <c r="BE9" s="1007">
        <v>36</v>
      </c>
      <c r="BF9" s="1007">
        <v>936</v>
      </c>
      <c r="BG9" s="1007" t="s">
        <v>94</v>
      </c>
      <c r="BH9" s="1007" t="s">
        <v>86</v>
      </c>
    </row>
    <row r="10" spans="1:60">
      <c r="A10" s="1007" t="s">
        <v>153</v>
      </c>
      <c r="B10" s="1007" t="s">
        <v>61</v>
      </c>
      <c r="C10" s="1007" t="s">
        <v>88</v>
      </c>
      <c r="D10" s="1007" t="s">
        <v>63</v>
      </c>
      <c r="E10" s="1007" t="s">
        <v>144</v>
      </c>
      <c r="F10" s="1007" t="s">
        <v>145</v>
      </c>
      <c r="G10" s="1007" t="s">
        <v>146</v>
      </c>
      <c r="H10" s="1007" t="s">
        <v>147</v>
      </c>
      <c r="I10" s="1007" t="s">
        <v>68</v>
      </c>
      <c r="J10" s="1007" t="s">
        <v>147</v>
      </c>
      <c r="K10" s="1007">
        <v>46010817</v>
      </c>
      <c r="M10" s="1007" t="s">
        <v>68</v>
      </c>
      <c r="N10" s="1007" t="s">
        <v>68</v>
      </c>
      <c r="O10" s="1007" t="s">
        <v>70</v>
      </c>
      <c r="P10" s="1007" t="s">
        <v>91</v>
      </c>
      <c r="Q10" s="1007" t="s">
        <v>92</v>
      </c>
      <c r="R10" s="1007" t="s">
        <v>73</v>
      </c>
      <c r="S10" s="1007" t="s">
        <v>74</v>
      </c>
      <c r="T10" s="1007">
        <v>450</v>
      </c>
      <c r="U10" s="1007">
        <v>936</v>
      </c>
      <c r="V10" s="1007">
        <v>0.42099999999999999</v>
      </c>
      <c r="W10" s="1007">
        <v>26</v>
      </c>
      <c r="X10" s="1007">
        <v>1</v>
      </c>
      <c r="Y10" s="1007" t="s">
        <v>75</v>
      </c>
      <c r="Z10" s="1007" t="s">
        <v>75</v>
      </c>
      <c r="AB10" s="1008">
        <v>46009</v>
      </c>
      <c r="AC10" s="1007">
        <v>51</v>
      </c>
      <c r="AD10" s="1007" t="s">
        <v>154</v>
      </c>
      <c r="AE10" s="1007">
        <v>371009344</v>
      </c>
      <c r="AF10" s="1007" t="s">
        <v>77</v>
      </c>
      <c r="AG10" s="1007" t="s">
        <v>61</v>
      </c>
      <c r="AH10" s="1007" t="s">
        <v>78</v>
      </c>
      <c r="AI10" s="1008">
        <v>46017</v>
      </c>
      <c r="AJ10" s="1008">
        <v>46018</v>
      </c>
      <c r="AK10" s="1008">
        <v>46018</v>
      </c>
      <c r="AL10" s="1008">
        <v>46077</v>
      </c>
      <c r="AM10" s="1008">
        <v>46090</v>
      </c>
      <c r="AN10" s="1008">
        <v>46090</v>
      </c>
      <c r="AO10" s="1007" t="s">
        <v>146</v>
      </c>
      <c r="AP10" s="1007" t="s">
        <v>149</v>
      </c>
      <c r="AQ10" s="1007" t="s">
        <v>80</v>
      </c>
      <c r="AR10" s="1007" t="s">
        <v>150</v>
      </c>
      <c r="AS10" s="1007" t="s">
        <v>151</v>
      </c>
      <c r="AT10" s="1007" t="s">
        <v>151</v>
      </c>
      <c r="AU10" s="1007">
        <v>72</v>
      </c>
      <c r="AV10" s="1007" t="s">
        <v>83</v>
      </c>
      <c r="AW10" s="1008">
        <v>46090</v>
      </c>
      <c r="AX10" s="1007" t="s">
        <v>84</v>
      </c>
      <c r="AY10" s="1008">
        <v>46026</v>
      </c>
      <c r="AZ10" s="1007" t="s">
        <v>152</v>
      </c>
      <c r="BA10" s="1008">
        <v>46090</v>
      </c>
      <c r="BB10" s="1007">
        <v>2026</v>
      </c>
      <c r="BC10" s="1007">
        <v>3</v>
      </c>
      <c r="BD10" s="1007">
        <v>11</v>
      </c>
      <c r="BE10" s="1007">
        <v>36</v>
      </c>
      <c r="BF10" s="1007">
        <v>936</v>
      </c>
      <c r="BG10" s="1007" t="s">
        <v>94</v>
      </c>
      <c r="BH10" s="1007" t="s">
        <v>86</v>
      </c>
    </row>
    <row r="11" spans="1:60">
      <c r="A11" s="1007" t="s">
        <v>155</v>
      </c>
      <c r="B11" s="1007" t="s">
        <v>61</v>
      </c>
      <c r="C11" s="1007" t="s">
        <v>62</v>
      </c>
      <c r="D11" s="1007" t="s">
        <v>63</v>
      </c>
      <c r="E11" s="1007" t="s">
        <v>144</v>
      </c>
      <c r="F11" s="1007" t="s">
        <v>145</v>
      </c>
      <c r="G11" s="1007" t="s">
        <v>156</v>
      </c>
      <c r="H11" s="1007" t="s">
        <v>157</v>
      </c>
      <c r="I11" s="1007" t="s">
        <v>68</v>
      </c>
      <c r="J11" s="1007" t="s">
        <v>157</v>
      </c>
      <c r="K11" s="1007">
        <v>46011026</v>
      </c>
      <c r="M11" s="1007" t="s">
        <v>68</v>
      </c>
      <c r="N11" s="1007" t="s">
        <v>68</v>
      </c>
      <c r="O11" s="1007" t="s">
        <v>70</v>
      </c>
      <c r="P11" s="1007" t="s">
        <v>71</v>
      </c>
      <c r="Q11" s="1007" t="s">
        <v>72</v>
      </c>
      <c r="R11" s="1007" t="s">
        <v>73</v>
      </c>
      <c r="S11" s="1007" t="s">
        <v>74</v>
      </c>
      <c r="T11" s="1007">
        <v>500</v>
      </c>
      <c r="U11" s="1007">
        <v>2592</v>
      </c>
      <c r="V11" s="1007">
        <v>1.296</v>
      </c>
      <c r="W11" s="1007">
        <v>72</v>
      </c>
      <c r="X11" s="1007">
        <v>3</v>
      </c>
      <c r="Y11" s="1007" t="s">
        <v>75</v>
      </c>
      <c r="Z11" s="1007" t="s">
        <v>75</v>
      </c>
      <c r="AB11" s="1008">
        <v>46011</v>
      </c>
      <c r="AC11" s="1007">
        <v>51</v>
      </c>
      <c r="AD11" s="1007" t="s">
        <v>158</v>
      </c>
      <c r="AE11" s="1007">
        <v>371009338</v>
      </c>
      <c r="AF11" s="1007" t="s">
        <v>77</v>
      </c>
      <c r="AG11" s="1007" t="s">
        <v>61</v>
      </c>
      <c r="AH11" s="1007" t="s">
        <v>159</v>
      </c>
      <c r="AI11" s="1008">
        <v>46020</v>
      </c>
      <c r="AJ11" s="1008">
        <v>46022</v>
      </c>
      <c r="AK11" s="1008">
        <v>46020</v>
      </c>
      <c r="AL11" s="1008">
        <v>46088</v>
      </c>
      <c r="AM11" s="1008">
        <v>46106</v>
      </c>
      <c r="AN11" s="1008">
        <v>46106</v>
      </c>
      <c r="AO11" s="1007" t="s">
        <v>156</v>
      </c>
      <c r="AP11" s="1007" t="s">
        <v>160</v>
      </c>
      <c r="AQ11" s="1007" t="s">
        <v>161</v>
      </c>
      <c r="AR11" s="1007">
        <v>46011026</v>
      </c>
      <c r="AS11" s="1007">
        <v>1071458212</v>
      </c>
      <c r="AT11" s="1007" t="s">
        <v>162</v>
      </c>
      <c r="AU11" s="1007">
        <v>86</v>
      </c>
      <c r="AW11" s="1008">
        <v>46106</v>
      </c>
      <c r="AX11" s="1007" t="s">
        <v>84</v>
      </c>
      <c r="AY11" s="1008">
        <v>46026</v>
      </c>
      <c r="AZ11" s="1007" t="s">
        <v>152</v>
      </c>
      <c r="BA11" s="1008">
        <v>46106</v>
      </c>
      <c r="BB11" s="1007">
        <v>2026</v>
      </c>
      <c r="BC11" s="1007">
        <v>3</v>
      </c>
      <c r="BD11" s="1007">
        <v>13</v>
      </c>
      <c r="BE11" s="1007">
        <v>36</v>
      </c>
      <c r="BF11" s="1007">
        <v>864</v>
      </c>
      <c r="BG11" s="1007" t="s">
        <v>85</v>
      </c>
      <c r="BH11" s="1007" t="s">
        <v>109</v>
      </c>
    </row>
    <row r="12" spans="1:60">
      <c r="A12" s="1007" t="s">
        <v>163</v>
      </c>
      <c r="B12" s="1007" t="s">
        <v>61</v>
      </c>
      <c r="C12" s="1007" t="s">
        <v>99</v>
      </c>
      <c r="D12" s="1007" t="s">
        <v>63</v>
      </c>
      <c r="E12" s="1007" t="s">
        <v>64</v>
      </c>
      <c r="F12" s="1007" t="s">
        <v>100</v>
      </c>
      <c r="G12" s="1007" t="s">
        <v>66</v>
      </c>
      <c r="H12" s="1007" t="s">
        <v>67</v>
      </c>
      <c r="I12" s="1007" t="s">
        <v>68</v>
      </c>
      <c r="J12" s="1007" t="s">
        <v>101</v>
      </c>
      <c r="M12" s="1007" t="s">
        <v>68</v>
      </c>
      <c r="N12" s="1007" t="s">
        <v>68</v>
      </c>
      <c r="O12" s="1007" t="s">
        <v>70</v>
      </c>
      <c r="P12" s="1007" t="s">
        <v>102</v>
      </c>
      <c r="Q12" s="1007" t="s">
        <v>103</v>
      </c>
      <c r="R12" s="1007" t="s">
        <v>73</v>
      </c>
      <c r="S12" s="1007" t="s">
        <v>74</v>
      </c>
      <c r="T12" s="1007">
        <v>620</v>
      </c>
      <c r="U12" s="1007">
        <v>4320</v>
      </c>
      <c r="V12" s="1007">
        <v>2.6779999999999999</v>
      </c>
      <c r="W12" s="1007">
        <v>120</v>
      </c>
      <c r="X12" s="1007">
        <v>6</v>
      </c>
      <c r="Y12" s="1007" t="s">
        <v>75</v>
      </c>
      <c r="Z12" s="1007" t="s">
        <v>75</v>
      </c>
      <c r="AB12" s="1008">
        <v>46009</v>
      </c>
      <c r="AC12" s="1007">
        <v>51</v>
      </c>
      <c r="AD12" s="1007" t="s">
        <v>164</v>
      </c>
      <c r="AF12" s="1007" t="s">
        <v>77</v>
      </c>
      <c r="AG12" s="1007" t="s">
        <v>61</v>
      </c>
      <c r="AH12" s="1007" t="s">
        <v>105</v>
      </c>
      <c r="AI12" s="1008">
        <v>46017</v>
      </c>
      <c r="AJ12" s="1008">
        <v>46018</v>
      </c>
      <c r="AK12" s="1008">
        <v>46018</v>
      </c>
      <c r="AL12" s="1008">
        <v>46078</v>
      </c>
      <c r="AM12" s="1008">
        <v>46111</v>
      </c>
      <c r="AN12" s="1008">
        <v>46111</v>
      </c>
      <c r="AO12" s="1007" t="s">
        <v>66</v>
      </c>
      <c r="AP12" s="1007" t="s">
        <v>149</v>
      </c>
      <c r="AQ12" s="1007" t="s">
        <v>80</v>
      </c>
      <c r="AR12" s="1007" t="s">
        <v>165</v>
      </c>
      <c r="AS12" s="1007" t="s">
        <v>166</v>
      </c>
      <c r="AT12" s="1007" t="s">
        <v>166</v>
      </c>
      <c r="AU12" s="1007">
        <v>93</v>
      </c>
      <c r="AV12" s="1007" t="s">
        <v>83</v>
      </c>
      <c r="AW12" s="1008">
        <v>46111</v>
      </c>
      <c r="AX12" s="1007" t="s">
        <v>84</v>
      </c>
      <c r="AY12" s="1008">
        <v>46125</v>
      </c>
      <c r="AZ12" s="1007">
        <v>7</v>
      </c>
      <c r="BA12" s="1008">
        <v>46118</v>
      </c>
      <c r="BB12" s="1007">
        <v>2026</v>
      </c>
      <c r="BC12" s="1007">
        <v>4</v>
      </c>
      <c r="BD12" s="1007">
        <v>15</v>
      </c>
      <c r="BE12" s="1007">
        <v>36</v>
      </c>
      <c r="BF12" s="1007">
        <v>720</v>
      </c>
      <c r="BG12" s="1007" t="s">
        <v>108</v>
      </c>
      <c r="BH12" s="1007" t="s">
        <v>109</v>
      </c>
    </row>
    <row r="13" spans="1:60">
      <c r="A13" s="1007" t="s">
        <v>167</v>
      </c>
      <c r="B13" s="1007" t="s">
        <v>111</v>
      </c>
      <c r="C13" s="1007" t="s">
        <v>168</v>
      </c>
      <c r="D13" s="1007" t="s">
        <v>63</v>
      </c>
      <c r="E13" s="1007" t="s">
        <v>64</v>
      </c>
      <c r="F13" s="1007" t="s">
        <v>100</v>
      </c>
      <c r="G13" s="1007" t="s">
        <v>66</v>
      </c>
      <c r="H13" s="1007" t="s">
        <v>67</v>
      </c>
      <c r="I13" s="1007" t="s">
        <v>68</v>
      </c>
      <c r="J13" s="1007" t="s">
        <v>169</v>
      </c>
      <c r="M13" s="1007" t="s">
        <v>68</v>
      </c>
      <c r="N13" s="1007" t="s">
        <v>68</v>
      </c>
      <c r="O13" s="1007" t="s">
        <v>170</v>
      </c>
      <c r="P13" s="1007" t="s">
        <v>171</v>
      </c>
      <c r="Q13" s="1007" t="s">
        <v>172</v>
      </c>
      <c r="R13" s="1007" t="s">
        <v>73</v>
      </c>
      <c r="S13" s="1007" t="s">
        <v>120</v>
      </c>
      <c r="T13" s="1007">
        <v>555</v>
      </c>
      <c r="U13" s="1007">
        <v>1320</v>
      </c>
      <c r="V13" s="1007">
        <v>0.73299999999999998</v>
      </c>
      <c r="W13" s="1007">
        <v>40</v>
      </c>
      <c r="X13" s="1007">
        <v>2</v>
      </c>
      <c r="Y13" s="1007" t="s">
        <v>75</v>
      </c>
      <c r="Z13" s="1007" t="s">
        <v>75</v>
      </c>
      <c r="AB13" s="1008">
        <v>46013</v>
      </c>
      <c r="AC13" s="1007">
        <v>52</v>
      </c>
      <c r="AD13" s="1007" t="s">
        <v>173</v>
      </c>
      <c r="AF13" s="1007" t="s">
        <v>122</v>
      </c>
      <c r="AG13" s="1007" t="s">
        <v>123</v>
      </c>
      <c r="AH13" s="1007" t="s">
        <v>105</v>
      </c>
      <c r="AI13" s="1008">
        <v>46021</v>
      </c>
      <c r="AJ13" s="1008">
        <v>46031</v>
      </c>
      <c r="AK13" s="1008">
        <v>46030</v>
      </c>
      <c r="AL13" s="1008">
        <v>46075</v>
      </c>
      <c r="AM13" s="1008">
        <v>46111</v>
      </c>
      <c r="AN13" s="1008">
        <v>46111</v>
      </c>
      <c r="AO13" s="1007" t="s">
        <v>66</v>
      </c>
      <c r="AP13" s="1007" t="s">
        <v>174</v>
      </c>
      <c r="AQ13" s="1007" t="s">
        <v>80</v>
      </c>
      <c r="AR13" s="1007" t="s">
        <v>175</v>
      </c>
      <c r="AS13" s="1007" t="s">
        <v>176</v>
      </c>
      <c r="AT13" s="1007" t="s">
        <v>176</v>
      </c>
      <c r="AU13" s="1007">
        <v>81</v>
      </c>
      <c r="AW13" s="1008">
        <v>46111</v>
      </c>
      <c r="AX13" s="1007" t="s">
        <v>84</v>
      </c>
      <c r="AY13" s="1008">
        <v>46125</v>
      </c>
      <c r="AZ13" s="1007">
        <v>7</v>
      </c>
      <c r="BA13" s="1008">
        <v>46118</v>
      </c>
      <c r="BB13" s="1007">
        <v>2026</v>
      </c>
      <c r="BC13" s="1007">
        <v>4</v>
      </c>
      <c r="BD13" s="1007">
        <v>15</v>
      </c>
      <c r="BE13" s="1007">
        <v>33</v>
      </c>
      <c r="BF13" s="1007">
        <v>660</v>
      </c>
      <c r="BG13" s="1007" t="s">
        <v>108</v>
      </c>
      <c r="BH13" s="1007" t="s">
        <v>109</v>
      </c>
    </row>
    <row r="14" spans="1:60">
      <c r="A14" s="1007" t="s">
        <v>177</v>
      </c>
      <c r="B14" s="1007" t="s">
        <v>111</v>
      </c>
      <c r="C14" s="1007" t="s">
        <v>112</v>
      </c>
      <c r="D14" s="1007" t="s">
        <v>113</v>
      </c>
      <c r="E14" s="1007" t="s">
        <v>64</v>
      </c>
      <c r="F14" s="1007" t="s">
        <v>114</v>
      </c>
      <c r="G14" s="1007" t="s">
        <v>66</v>
      </c>
      <c r="H14" s="1007" t="s">
        <v>115</v>
      </c>
      <c r="I14" s="1007" t="s">
        <v>68</v>
      </c>
      <c r="J14" s="1007" t="s">
        <v>116</v>
      </c>
      <c r="K14" s="1007" t="s">
        <v>117</v>
      </c>
      <c r="M14" s="1007" t="s">
        <v>68</v>
      </c>
      <c r="N14" s="1007" t="s">
        <v>68</v>
      </c>
      <c r="O14" s="1007" t="s">
        <v>70</v>
      </c>
      <c r="P14" s="1007" t="s">
        <v>118</v>
      </c>
      <c r="Q14" s="1007" t="s">
        <v>119</v>
      </c>
      <c r="R14" s="1007" t="s">
        <v>73</v>
      </c>
      <c r="S14" s="1007" t="s">
        <v>120</v>
      </c>
      <c r="T14" s="1007">
        <v>640</v>
      </c>
      <c r="U14" s="1007">
        <v>1152</v>
      </c>
      <c r="V14" s="1007">
        <v>0.73699999999999999</v>
      </c>
      <c r="W14" s="1007">
        <v>32</v>
      </c>
      <c r="X14" s="1007">
        <v>2</v>
      </c>
      <c r="Y14" s="1007" t="s">
        <v>75</v>
      </c>
      <c r="Z14" s="1007" t="s">
        <v>75</v>
      </c>
      <c r="AB14" s="1008">
        <v>46018</v>
      </c>
      <c r="AC14" s="1007">
        <v>52</v>
      </c>
      <c r="AD14" s="1007" t="s">
        <v>178</v>
      </c>
      <c r="AF14" s="1007" t="s">
        <v>122</v>
      </c>
      <c r="AG14" s="1007" t="s">
        <v>123</v>
      </c>
      <c r="AH14" s="1007" t="s">
        <v>124</v>
      </c>
      <c r="AI14" s="1008">
        <v>46021</v>
      </c>
      <c r="AJ14" s="1008">
        <v>46031</v>
      </c>
      <c r="AK14" s="1008">
        <v>46030</v>
      </c>
      <c r="AL14" s="1008">
        <v>46065</v>
      </c>
      <c r="AM14" s="1008">
        <v>46088</v>
      </c>
      <c r="AN14" s="1008">
        <v>46089</v>
      </c>
      <c r="AO14" s="1007" t="s">
        <v>66</v>
      </c>
      <c r="AP14" s="1007" t="s">
        <v>174</v>
      </c>
      <c r="AQ14" s="1007" t="s">
        <v>80</v>
      </c>
      <c r="AR14" s="1007" t="s">
        <v>179</v>
      </c>
      <c r="AS14" s="1007" t="s">
        <v>180</v>
      </c>
      <c r="AT14" s="1007" t="s">
        <v>180</v>
      </c>
      <c r="AU14" s="1007">
        <v>59</v>
      </c>
      <c r="AW14" s="1008">
        <v>46089</v>
      </c>
      <c r="AX14" s="1007" t="s">
        <v>84</v>
      </c>
      <c r="AY14" s="1008">
        <v>46100</v>
      </c>
      <c r="AZ14" s="1007">
        <v>9</v>
      </c>
      <c r="BA14" s="1008">
        <v>46098</v>
      </c>
      <c r="BB14" s="1007">
        <v>2026</v>
      </c>
      <c r="BC14" s="1007">
        <v>3</v>
      </c>
      <c r="BD14" s="1007">
        <v>12</v>
      </c>
      <c r="BE14" s="1007">
        <v>36</v>
      </c>
      <c r="BF14" s="1007">
        <v>576</v>
      </c>
      <c r="BG14" s="1007" t="s">
        <v>128</v>
      </c>
      <c r="BH14" s="1007" t="s">
        <v>86</v>
      </c>
    </row>
    <row r="15" spans="1:60">
      <c r="A15" s="1007" t="s">
        <v>181</v>
      </c>
      <c r="B15" s="1007" t="s">
        <v>111</v>
      </c>
      <c r="C15" s="1007" t="s">
        <v>130</v>
      </c>
      <c r="D15" s="1007" t="s">
        <v>63</v>
      </c>
      <c r="E15" s="1007" t="s">
        <v>64</v>
      </c>
      <c r="F15" s="1007" t="s">
        <v>65</v>
      </c>
      <c r="G15" s="1007" t="s">
        <v>66</v>
      </c>
      <c r="H15" s="1007" t="s">
        <v>67</v>
      </c>
      <c r="I15" s="1007" t="s">
        <v>68</v>
      </c>
      <c r="J15" s="1007" t="s">
        <v>131</v>
      </c>
      <c r="M15" s="1007" t="s">
        <v>68</v>
      </c>
      <c r="N15" s="1007" t="s">
        <v>68</v>
      </c>
      <c r="O15" s="1007" t="s">
        <v>132</v>
      </c>
      <c r="P15" s="1007" t="s">
        <v>133</v>
      </c>
      <c r="Q15" s="1007" t="s">
        <v>134</v>
      </c>
      <c r="R15" s="1007" t="s">
        <v>73</v>
      </c>
      <c r="S15" s="1007" t="s">
        <v>120</v>
      </c>
      <c r="T15" s="1007">
        <v>720</v>
      </c>
      <c r="U15" s="1007">
        <v>4752</v>
      </c>
      <c r="V15" s="1007">
        <v>3.4209999999999998</v>
      </c>
      <c r="W15" s="1007">
        <v>144</v>
      </c>
      <c r="X15" s="1007">
        <v>8</v>
      </c>
      <c r="Y15" s="1007" t="s">
        <v>75</v>
      </c>
      <c r="Z15" s="1007" t="s">
        <v>75</v>
      </c>
      <c r="AB15" s="1008">
        <v>46021</v>
      </c>
      <c r="AC15" s="1007">
        <v>1</v>
      </c>
      <c r="AD15" s="1007" t="s">
        <v>182</v>
      </c>
      <c r="AF15" s="1007" t="s">
        <v>122</v>
      </c>
      <c r="AG15" s="1007" t="s">
        <v>123</v>
      </c>
      <c r="AH15" s="1007" t="s">
        <v>78</v>
      </c>
      <c r="AI15" s="1008">
        <v>46027</v>
      </c>
      <c r="AJ15" s="1008">
        <v>46029</v>
      </c>
      <c r="AK15" s="1008">
        <v>46030</v>
      </c>
      <c r="AL15" s="1008">
        <v>46073</v>
      </c>
      <c r="AM15" s="1008">
        <v>46098</v>
      </c>
      <c r="AN15" s="1008">
        <v>46099</v>
      </c>
      <c r="AO15" s="1007" t="s">
        <v>66</v>
      </c>
      <c r="AP15" s="1007" t="s">
        <v>183</v>
      </c>
      <c r="AQ15" s="1007" t="s">
        <v>80</v>
      </c>
      <c r="AR15" s="1007" t="s">
        <v>184</v>
      </c>
      <c r="AS15" s="1007" t="s">
        <v>185</v>
      </c>
      <c r="AT15" s="1007" t="s">
        <v>185</v>
      </c>
      <c r="AU15" s="1007">
        <v>69</v>
      </c>
      <c r="AW15" s="1008">
        <v>46099</v>
      </c>
      <c r="AX15" s="1007" t="s">
        <v>84</v>
      </c>
      <c r="AY15" s="1008">
        <v>46112</v>
      </c>
      <c r="AZ15" s="1007">
        <v>8</v>
      </c>
      <c r="BA15" s="1008">
        <v>46107</v>
      </c>
      <c r="BB15" s="1007">
        <v>2026</v>
      </c>
      <c r="BC15" s="1007">
        <v>3</v>
      </c>
      <c r="BD15" s="1007">
        <v>13</v>
      </c>
      <c r="BE15" s="1007">
        <v>33</v>
      </c>
      <c r="BF15" s="1007">
        <v>594</v>
      </c>
      <c r="BG15" s="1007" t="s">
        <v>108</v>
      </c>
      <c r="BH15" s="1007" t="s">
        <v>86</v>
      </c>
    </row>
    <row r="16" spans="1:60">
      <c r="A16" s="1007" t="s">
        <v>186</v>
      </c>
      <c r="B16" s="1007" t="s">
        <v>111</v>
      </c>
      <c r="C16" s="1007" t="s">
        <v>187</v>
      </c>
      <c r="D16" s="1007" t="s">
        <v>63</v>
      </c>
      <c r="E16" s="1007" t="s">
        <v>64</v>
      </c>
      <c r="F16" s="1007" t="s">
        <v>65</v>
      </c>
      <c r="G16" s="1007" t="s">
        <v>66</v>
      </c>
      <c r="H16" s="1007" t="s">
        <v>67</v>
      </c>
      <c r="I16" s="1007" t="s">
        <v>68</v>
      </c>
      <c r="J16" s="1007" t="s">
        <v>188</v>
      </c>
      <c r="M16" s="1007" t="s">
        <v>68</v>
      </c>
      <c r="N16" s="1007" t="s">
        <v>68</v>
      </c>
      <c r="O16" s="1007" t="s">
        <v>132</v>
      </c>
      <c r="P16" s="1007" t="s">
        <v>189</v>
      </c>
      <c r="Q16" s="1007" t="s">
        <v>190</v>
      </c>
      <c r="R16" s="1007" t="s">
        <v>73</v>
      </c>
      <c r="S16" s="1007" t="s">
        <v>74</v>
      </c>
      <c r="T16" s="1007">
        <v>465</v>
      </c>
      <c r="U16" s="1007">
        <v>4320</v>
      </c>
      <c r="V16" s="1007">
        <v>2.0089999999999999</v>
      </c>
      <c r="W16" s="1007">
        <v>120</v>
      </c>
      <c r="X16" s="1007">
        <v>5</v>
      </c>
      <c r="Y16" s="1007" t="s">
        <v>75</v>
      </c>
      <c r="Z16" s="1007" t="s">
        <v>75</v>
      </c>
      <c r="AB16" s="1008">
        <v>46021</v>
      </c>
      <c r="AC16" s="1007">
        <v>1</v>
      </c>
      <c r="AD16" s="1007" t="s">
        <v>191</v>
      </c>
      <c r="AF16" s="1007" t="s">
        <v>122</v>
      </c>
      <c r="AG16" s="1007" t="s">
        <v>123</v>
      </c>
      <c r="AH16" s="1007" t="s">
        <v>78</v>
      </c>
      <c r="AI16" s="1008">
        <v>46027</v>
      </c>
      <c r="AJ16" s="1008">
        <v>46029</v>
      </c>
      <c r="AK16" s="1008">
        <v>46030</v>
      </c>
      <c r="AL16" s="1008">
        <v>46073</v>
      </c>
      <c r="AM16" s="1008">
        <v>46098</v>
      </c>
      <c r="AN16" s="1008">
        <v>46099</v>
      </c>
      <c r="AO16" s="1007" t="s">
        <v>66</v>
      </c>
      <c r="AP16" s="1007" t="s">
        <v>183</v>
      </c>
      <c r="AQ16" s="1007" t="s">
        <v>80</v>
      </c>
      <c r="AR16" s="1007" t="s">
        <v>184</v>
      </c>
      <c r="AS16" s="1007" t="s">
        <v>185</v>
      </c>
      <c r="AT16" s="1007" t="s">
        <v>185</v>
      </c>
      <c r="AU16" s="1007">
        <v>69</v>
      </c>
      <c r="AW16" s="1008">
        <v>46099</v>
      </c>
      <c r="AX16" s="1007" t="s">
        <v>84</v>
      </c>
      <c r="AY16" s="1008">
        <v>46112</v>
      </c>
      <c r="AZ16" s="1007">
        <v>8</v>
      </c>
      <c r="BA16" s="1008">
        <v>46107</v>
      </c>
      <c r="BB16" s="1007">
        <v>2026</v>
      </c>
      <c r="BC16" s="1007">
        <v>3</v>
      </c>
      <c r="BD16" s="1007">
        <v>13</v>
      </c>
      <c r="BE16" s="1007">
        <v>36</v>
      </c>
      <c r="BF16" s="1007">
        <v>864</v>
      </c>
      <c r="BG16" s="1007" t="s">
        <v>108</v>
      </c>
      <c r="BH16" s="1007" t="s">
        <v>86</v>
      </c>
    </row>
    <row r="17" spans="1:60">
      <c r="A17" s="1007" t="s">
        <v>192</v>
      </c>
      <c r="B17" s="1007" t="s">
        <v>61</v>
      </c>
      <c r="C17" s="1007" t="s">
        <v>193</v>
      </c>
      <c r="D17" s="1007" t="s">
        <v>63</v>
      </c>
      <c r="E17" s="1007" t="s">
        <v>64</v>
      </c>
      <c r="F17" s="1007" t="s">
        <v>100</v>
      </c>
      <c r="G17" s="1007" t="s">
        <v>66</v>
      </c>
      <c r="H17" s="1007" t="s">
        <v>67</v>
      </c>
      <c r="I17" s="1007" t="s">
        <v>68</v>
      </c>
      <c r="J17" s="1007" t="s">
        <v>194</v>
      </c>
      <c r="K17" s="1007">
        <v>46011059</v>
      </c>
      <c r="M17" s="1007" t="s">
        <v>68</v>
      </c>
      <c r="N17" s="1007" t="s">
        <v>68</v>
      </c>
      <c r="O17" s="1007" t="s">
        <v>70</v>
      </c>
      <c r="P17" s="1007" t="s">
        <v>195</v>
      </c>
      <c r="Q17" s="1007" t="s">
        <v>196</v>
      </c>
      <c r="R17" s="1007" t="s">
        <v>73</v>
      </c>
      <c r="S17" s="1007" t="s">
        <v>74</v>
      </c>
      <c r="T17" s="1007">
        <v>450</v>
      </c>
      <c r="U17" s="1007">
        <v>1872</v>
      </c>
      <c r="V17" s="1007">
        <v>0.84199999999999997</v>
      </c>
      <c r="W17" s="1007">
        <v>52</v>
      </c>
      <c r="X17" s="1007">
        <v>2</v>
      </c>
      <c r="Y17" s="1007" t="s">
        <v>75</v>
      </c>
      <c r="Z17" s="1007" t="s">
        <v>75</v>
      </c>
      <c r="AA17" s="1007" t="s">
        <v>197</v>
      </c>
      <c r="AB17" s="1008">
        <v>46016</v>
      </c>
      <c r="AC17" s="1007">
        <v>52</v>
      </c>
      <c r="AD17" s="1007" t="s">
        <v>198</v>
      </c>
      <c r="AE17" s="1007" t="s">
        <v>197</v>
      </c>
      <c r="AF17" s="1007" t="s">
        <v>77</v>
      </c>
      <c r="AG17" s="1007" t="s">
        <v>61</v>
      </c>
      <c r="AH17" s="1007" t="s">
        <v>105</v>
      </c>
      <c r="AI17" s="1008">
        <v>46027</v>
      </c>
      <c r="AJ17" s="1008">
        <v>46027</v>
      </c>
      <c r="AK17" s="1008">
        <v>46027</v>
      </c>
      <c r="AL17" s="1008">
        <v>46081</v>
      </c>
      <c r="AM17" s="1008">
        <v>46094</v>
      </c>
      <c r="AN17" s="1008">
        <v>46094</v>
      </c>
      <c r="AO17" s="1007" t="s">
        <v>66</v>
      </c>
      <c r="AP17" s="1007" t="s">
        <v>199</v>
      </c>
      <c r="AQ17" s="1007" t="s">
        <v>80</v>
      </c>
      <c r="AR17" s="1007" t="s">
        <v>200</v>
      </c>
      <c r="AS17" s="1007" t="s">
        <v>201</v>
      </c>
      <c r="AT17" s="1007" t="s">
        <v>201</v>
      </c>
      <c r="AU17" s="1007">
        <v>67</v>
      </c>
      <c r="AV17" s="1007" t="s">
        <v>83</v>
      </c>
      <c r="AW17" s="1008">
        <v>46094</v>
      </c>
      <c r="AX17" s="1007" t="s">
        <v>84</v>
      </c>
      <c r="AY17" s="1008">
        <v>46097</v>
      </c>
      <c r="AZ17" s="1007">
        <v>7</v>
      </c>
      <c r="BA17" s="1008">
        <v>46101</v>
      </c>
      <c r="BB17" s="1007">
        <v>2026</v>
      </c>
      <c r="BC17" s="1007">
        <v>3</v>
      </c>
      <c r="BD17" s="1007">
        <v>12</v>
      </c>
      <c r="BE17" s="1007">
        <v>36</v>
      </c>
      <c r="BF17" s="1007">
        <v>936</v>
      </c>
      <c r="BG17" s="1007" t="s">
        <v>85</v>
      </c>
      <c r="BH17" s="1007" t="s">
        <v>109</v>
      </c>
    </row>
    <row r="18" spans="1:60">
      <c r="A18" s="1007" t="s">
        <v>202</v>
      </c>
      <c r="B18" s="1007" t="s">
        <v>61</v>
      </c>
      <c r="C18" s="1007" t="s">
        <v>203</v>
      </c>
      <c r="D18" s="1007" t="s">
        <v>63</v>
      </c>
      <c r="E18" s="1007" t="s">
        <v>64</v>
      </c>
      <c r="F18" s="1007" t="s">
        <v>65</v>
      </c>
      <c r="G18" s="1007" t="s">
        <v>66</v>
      </c>
      <c r="H18" s="1007" t="s">
        <v>67</v>
      </c>
      <c r="I18" s="1007" t="s">
        <v>68</v>
      </c>
      <c r="J18" s="1007" t="s">
        <v>96</v>
      </c>
      <c r="M18" s="1007" t="s">
        <v>68</v>
      </c>
      <c r="N18" s="1007" t="s">
        <v>68</v>
      </c>
      <c r="O18" s="1007" t="s">
        <v>70</v>
      </c>
      <c r="P18" s="1007" t="s">
        <v>204</v>
      </c>
      <c r="Q18" s="1007" t="s">
        <v>205</v>
      </c>
      <c r="R18" s="1007" t="s">
        <v>73</v>
      </c>
      <c r="S18" s="1007" t="s">
        <v>74</v>
      </c>
      <c r="T18" s="1007">
        <v>455</v>
      </c>
      <c r="U18" s="1007">
        <v>5616</v>
      </c>
      <c r="V18" s="1007">
        <v>2.5550000000000002</v>
      </c>
      <c r="W18" s="1007">
        <v>156</v>
      </c>
      <c r="X18" s="1007">
        <v>6</v>
      </c>
      <c r="Y18" s="1007" t="s">
        <v>75</v>
      </c>
      <c r="Z18" s="1007" t="s">
        <v>75</v>
      </c>
      <c r="AA18" s="1007" t="s">
        <v>197</v>
      </c>
      <c r="AB18" s="1008">
        <v>46016</v>
      </c>
      <c r="AC18" s="1007">
        <v>52</v>
      </c>
      <c r="AD18" s="1007" t="s">
        <v>206</v>
      </c>
      <c r="AE18" s="1007" t="s">
        <v>197</v>
      </c>
      <c r="AF18" s="1007" t="s">
        <v>77</v>
      </c>
      <c r="AG18" s="1007" t="s">
        <v>61</v>
      </c>
      <c r="AH18" s="1007" t="s">
        <v>78</v>
      </c>
      <c r="AI18" s="1008">
        <v>46027</v>
      </c>
      <c r="AJ18" s="1008">
        <v>46027</v>
      </c>
      <c r="AK18" s="1008">
        <v>46027</v>
      </c>
      <c r="AL18" s="1008">
        <v>46090</v>
      </c>
      <c r="AM18" s="1008">
        <v>46101</v>
      </c>
      <c r="AN18" s="1008">
        <v>46102</v>
      </c>
      <c r="AO18" s="1007" t="s">
        <v>66</v>
      </c>
      <c r="AP18" s="1007" t="s">
        <v>199</v>
      </c>
      <c r="AQ18" s="1007" t="s">
        <v>80</v>
      </c>
      <c r="AR18" s="1007" t="s">
        <v>207</v>
      </c>
      <c r="AS18" s="1007" t="s">
        <v>208</v>
      </c>
      <c r="AT18" s="1007" t="s">
        <v>208</v>
      </c>
      <c r="AU18" s="1007">
        <v>75</v>
      </c>
      <c r="AV18" s="1007" t="s">
        <v>83</v>
      </c>
      <c r="AW18" s="1008">
        <v>46102</v>
      </c>
      <c r="AX18" s="1007" t="s">
        <v>84</v>
      </c>
      <c r="AY18" s="1008">
        <v>46115</v>
      </c>
      <c r="AZ18" s="1007">
        <v>8</v>
      </c>
      <c r="BA18" s="1008">
        <v>46110</v>
      </c>
      <c r="BB18" s="1007">
        <v>2026</v>
      </c>
      <c r="BC18" s="1007">
        <v>3</v>
      </c>
      <c r="BD18" s="1007">
        <v>13</v>
      </c>
      <c r="BE18" s="1007">
        <v>36</v>
      </c>
      <c r="BF18" s="1007">
        <v>936</v>
      </c>
      <c r="BG18" s="1007" t="s">
        <v>94</v>
      </c>
      <c r="BH18" s="1007" t="s">
        <v>86</v>
      </c>
    </row>
    <row r="19" spans="1:60">
      <c r="A19" s="1007" t="s">
        <v>209</v>
      </c>
      <c r="B19" s="1007" t="s">
        <v>111</v>
      </c>
      <c r="C19" s="1007" t="s">
        <v>168</v>
      </c>
      <c r="D19" s="1007" t="s">
        <v>63</v>
      </c>
      <c r="E19" s="1007" t="s">
        <v>64</v>
      </c>
      <c r="F19" s="1007" t="s">
        <v>100</v>
      </c>
      <c r="G19" s="1007" t="s">
        <v>66</v>
      </c>
      <c r="H19" s="1007" t="s">
        <v>67</v>
      </c>
      <c r="I19" s="1007" t="s">
        <v>68</v>
      </c>
      <c r="J19" s="1007" t="s">
        <v>96</v>
      </c>
      <c r="M19" s="1007" t="s">
        <v>68</v>
      </c>
      <c r="N19" s="1007" t="s">
        <v>68</v>
      </c>
      <c r="O19" s="1007" t="s">
        <v>170</v>
      </c>
      <c r="P19" s="1007" t="s">
        <v>171</v>
      </c>
      <c r="Q19" s="1007" t="s">
        <v>172</v>
      </c>
      <c r="R19" s="1007" t="s">
        <v>73</v>
      </c>
      <c r="S19" s="1007" t="s">
        <v>120</v>
      </c>
      <c r="T19" s="1007">
        <v>555</v>
      </c>
      <c r="U19" s="1007">
        <v>660</v>
      </c>
      <c r="V19" s="1007">
        <v>0.36599999999999999</v>
      </c>
      <c r="W19" s="1007">
        <v>20</v>
      </c>
      <c r="X19" s="1007">
        <v>1</v>
      </c>
      <c r="Y19" s="1007" t="s">
        <v>75</v>
      </c>
      <c r="Z19" s="1007" t="s">
        <v>75</v>
      </c>
      <c r="AB19" s="1008">
        <v>46028</v>
      </c>
      <c r="AC19" s="1007">
        <v>2</v>
      </c>
      <c r="AD19" s="1007" t="s">
        <v>210</v>
      </c>
      <c r="AF19" s="1007" t="s">
        <v>122</v>
      </c>
      <c r="AG19" s="1007" t="s">
        <v>123</v>
      </c>
      <c r="AH19" s="1007" t="s">
        <v>105</v>
      </c>
      <c r="AI19" s="1008">
        <v>46031</v>
      </c>
      <c r="AJ19" s="1008">
        <v>46036</v>
      </c>
      <c r="AK19" s="1008">
        <v>46035</v>
      </c>
      <c r="AL19" s="1008">
        <v>46069</v>
      </c>
      <c r="AM19" s="1008">
        <v>46087</v>
      </c>
      <c r="AN19" s="1008">
        <v>46087</v>
      </c>
      <c r="AO19" s="1007" t="s">
        <v>66</v>
      </c>
      <c r="AP19" s="1007" t="s">
        <v>211</v>
      </c>
      <c r="AQ19" s="1007" t="s">
        <v>80</v>
      </c>
      <c r="AR19" s="1007" t="s">
        <v>212</v>
      </c>
      <c r="AS19" s="1007" t="s">
        <v>213</v>
      </c>
      <c r="AT19" s="1007" t="s">
        <v>213</v>
      </c>
      <c r="AU19" s="1007">
        <v>52</v>
      </c>
      <c r="AW19" s="1008">
        <v>46087</v>
      </c>
      <c r="AX19" s="1007" t="s">
        <v>84</v>
      </c>
      <c r="AY19" s="1008">
        <v>46101</v>
      </c>
      <c r="AZ19" s="1007">
        <v>7</v>
      </c>
      <c r="BA19" s="1008">
        <v>46094</v>
      </c>
      <c r="BB19" s="1007">
        <v>2026</v>
      </c>
      <c r="BC19" s="1007">
        <v>3</v>
      </c>
      <c r="BD19" s="1007">
        <v>11</v>
      </c>
      <c r="BE19" s="1007">
        <v>33</v>
      </c>
      <c r="BF19" s="1007">
        <v>660</v>
      </c>
      <c r="BG19" s="1007" t="s">
        <v>108</v>
      </c>
      <c r="BH19" s="1007" t="s">
        <v>109</v>
      </c>
    </row>
    <row r="20" spans="1:60">
      <c r="A20" s="1007" t="s">
        <v>214</v>
      </c>
      <c r="B20" s="1007" t="s">
        <v>111</v>
      </c>
      <c r="C20" s="1007" t="s">
        <v>215</v>
      </c>
      <c r="D20" s="1007" t="s">
        <v>113</v>
      </c>
      <c r="E20" s="1007" t="s">
        <v>64</v>
      </c>
      <c r="F20" s="1007" t="s">
        <v>100</v>
      </c>
      <c r="G20" s="1007" t="s">
        <v>66</v>
      </c>
      <c r="H20" s="1007" t="s">
        <v>67</v>
      </c>
      <c r="I20" s="1007" t="s">
        <v>68</v>
      </c>
      <c r="J20" s="1007" t="s">
        <v>216</v>
      </c>
      <c r="K20" s="1007" t="s">
        <v>217</v>
      </c>
      <c r="M20" s="1007" t="s">
        <v>68</v>
      </c>
      <c r="N20" s="1007" t="s">
        <v>68</v>
      </c>
      <c r="O20" s="1007" t="s">
        <v>70</v>
      </c>
      <c r="P20" s="1007" t="s">
        <v>218</v>
      </c>
      <c r="Q20" s="1007" t="s">
        <v>219</v>
      </c>
      <c r="R20" s="1007" t="s">
        <v>73</v>
      </c>
      <c r="S20" s="1007" t="s">
        <v>120</v>
      </c>
      <c r="T20" s="1007">
        <v>625</v>
      </c>
      <c r="U20" s="1007">
        <v>2880</v>
      </c>
      <c r="V20" s="1007">
        <v>1.8</v>
      </c>
      <c r="W20" s="1007">
        <v>80</v>
      </c>
      <c r="X20" s="1007">
        <v>4</v>
      </c>
      <c r="Y20" s="1007" t="s">
        <v>75</v>
      </c>
      <c r="Z20" s="1007" t="s">
        <v>75</v>
      </c>
      <c r="AB20" s="1008">
        <v>46028</v>
      </c>
      <c r="AC20" s="1007">
        <v>2</v>
      </c>
      <c r="AD20" s="1007" t="s">
        <v>220</v>
      </c>
      <c r="AF20" s="1007" t="s">
        <v>122</v>
      </c>
      <c r="AG20" s="1007" t="s">
        <v>123</v>
      </c>
      <c r="AH20" s="1007" t="s">
        <v>105</v>
      </c>
      <c r="AI20" s="1008">
        <v>46033</v>
      </c>
      <c r="AJ20" s="1008">
        <v>46033</v>
      </c>
      <c r="AK20" s="1008">
        <v>46032</v>
      </c>
      <c r="AL20" s="1008">
        <v>46070</v>
      </c>
      <c r="AM20" s="1008">
        <v>46074</v>
      </c>
      <c r="AN20" s="1008">
        <v>46078</v>
      </c>
      <c r="AO20" s="1007" t="s">
        <v>66</v>
      </c>
      <c r="AP20" s="1007" t="s">
        <v>221</v>
      </c>
      <c r="AQ20" s="1007" t="s">
        <v>161</v>
      </c>
      <c r="AR20" s="1007" t="s">
        <v>222</v>
      </c>
      <c r="AS20" s="1007" t="s">
        <v>223</v>
      </c>
      <c r="AT20" s="1007" t="s">
        <v>223</v>
      </c>
      <c r="AU20" s="1007">
        <v>46</v>
      </c>
      <c r="AW20" s="1008">
        <v>46078</v>
      </c>
      <c r="AX20" s="1007" t="s">
        <v>84</v>
      </c>
      <c r="AY20" s="1008">
        <v>46090</v>
      </c>
      <c r="AZ20" s="1007">
        <v>7</v>
      </c>
      <c r="BA20" s="1008">
        <v>46085</v>
      </c>
      <c r="BB20" s="1007">
        <v>2026</v>
      </c>
      <c r="BC20" s="1007">
        <v>3</v>
      </c>
      <c r="BD20" s="1007">
        <v>10</v>
      </c>
      <c r="BE20" s="1007">
        <v>36</v>
      </c>
      <c r="BF20" s="1007">
        <v>720</v>
      </c>
      <c r="BG20" s="1007" t="s">
        <v>128</v>
      </c>
      <c r="BH20" s="1007" t="s">
        <v>109</v>
      </c>
    </row>
    <row r="21" spans="1:60">
      <c r="A21" s="1007" t="s">
        <v>224</v>
      </c>
      <c r="B21" s="1007" t="s">
        <v>111</v>
      </c>
      <c r="C21" s="1007" t="s">
        <v>215</v>
      </c>
      <c r="D21" s="1007" t="s">
        <v>113</v>
      </c>
      <c r="E21" s="1007" t="s">
        <v>64</v>
      </c>
      <c r="F21" s="1007" t="s">
        <v>100</v>
      </c>
      <c r="G21" s="1007" t="s">
        <v>66</v>
      </c>
      <c r="H21" s="1007" t="s">
        <v>67</v>
      </c>
      <c r="I21" s="1007" t="s">
        <v>68</v>
      </c>
      <c r="J21" s="1007" t="s">
        <v>216</v>
      </c>
      <c r="K21" s="1007" t="s">
        <v>217</v>
      </c>
      <c r="M21" s="1007" t="s">
        <v>68</v>
      </c>
      <c r="N21" s="1007" t="s">
        <v>68</v>
      </c>
      <c r="O21" s="1007" t="s">
        <v>70</v>
      </c>
      <c r="P21" s="1007" t="s">
        <v>218</v>
      </c>
      <c r="Q21" s="1007" t="s">
        <v>219</v>
      </c>
      <c r="R21" s="1007" t="s">
        <v>73</v>
      </c>
      <c r="S21" s="1007" t="s">
        <v>120</v>
      </c>
      <c r="T21" s="1007">
        <v>625</v>
      </c>
      <c r="U21" s="1007">
        <v>5040</v>
      </c>
      <c r="V21" s="1007">
        <v>3.15</v>
      </c>
      <c r="W21" s="1007">
        <v>140</v>
      </c>
      <c r="X21" s="1007">
        <v>7</v>
      </c>
      <c r="Y21" s="1007" t="s">
        <v>75</v>
      </c>
      <c r="Z21" s="1007" t="s">
        <v>75</v>
      </c>
      <c r="AB21" s="1008">
        <v>46028</v>
      </c>
      <c r="AC21" s="1007">
        <v>2</v>
      </c>
      <c r="AD21" s="1007" t="s">
        <v>225</v>
      </c>
      <c r="AF21" s="1007" t="s">
        <v>122</v>
      </c>
      <c r="AG21" s="1007" t="s">
        <v>123</v>
      </c>
      <c r="AH21" s="1007" t="s">
        <v>105</v>
      </c>
      <c r="AI21" s="1008">
        <v>46033</v>
      </c>
      <c r="AJ21" s="1008">
        <v>46033</v>
      </c>
      <c r="AK21" s="1008">
        <v>46032</v>
      </c>
      <c r="AL21" s="1008">
        <v>46070</v>
      </c>
      <c r="AM21" s="1008">
        <v>46074</v>
      </c>
      <c r="AN21" s="1008">
        <v>46078</v>
      </c>
      <c r="AO21" s="1007" t="s">
        <v>66</v>
      </c>
      <c r="AP21" s="1007" t="s">
        <v>221</v>
      </c>
      <c r="AQ21" s="1007" t="s">
        <v>161</v>
      </c>
      <c r="AR21" s="1007" t="s">
        <v>222</v>
      </c>
      <c r="AS21" s="1007" t="s">
        <v>223</v>
      </c>
      <c r="AT21" s="1007" t="s">
        <v>223</v>
      </c>
      <c r="AU21" s="1007">
        <v>46</v>
      </c>
      <c r="AW21" s="1008">
        <v>46078</v>
      </c>
      <c r="AX21" s="1007" t="s">
        <v>84</v>
      </c>
      <c r="AY21" s="1008">
        <v>46090</v>
      </c>
      <c r="AZ21" s="1007">
        <v>7</v>
      </c>
      <c r="BA21" s="1008">
        <v>46085</v>
      </c>
      <c r="BB21" s="1007">
        <v>2026</v>
      </c>
      <c r="BC21" s="1007">
        <v>3</v>
      </c>
      <c r="BD21" s="1007">
        <v>10</v>
      </c>
      <c r="BE21" s="1007">
        <v>36</v>
      </c>
      <c r="BF21" s="1007">
        <v>720</v>
      </c>
      <c r="BG21" s="1007" t="s">
        <v>128</v>
      </c>
      <c r="BH21" s="1007" t="s">
        <v>109</v>
      </c>
    </row>
    <row r="22" spans="1:60">
      <c r="A22" s="1007" t="s">
        <v>226</v>
      </c>
      <c r="B22" s="1007" t="s">
        <v>111</v>
      </c>
      <c r="C22" s="1007" t="s">
        <v>168</v>
      </c>
      <c r="D22" s="1007" t="s">
        <v>63</v>
      </c>
      <c r="E22" s="1007" t="s">
        <v>64</v>
      </c>
      <c r="F22" s="1007" t="s">
        <v>65</v>
      </c>
      <c r="G22" s="1007" t="s">
        <v>66</v>
      </c>
      <c r="H22" s="1007" t="s">
        <v>67</v>
      </c>
      <c r="I22" s="1007" t="s">
        <v>68</v>
      </c>
      <c r="J22" s="1007" t="s">
        <v>96</v>
      </c>
      <c r="M22" s="1007" t="s">
        <v>68</v>
      </c>
      <c r="N22" s="1007" t="s">
        <v>68</v>
      </c>
      <c r="O22" s="1007" t="s">
        <v>170</v>
      </c>
      <c r="P22" s="1007" t="s">
        <v>171</v>
      </c>
      <c r="Q22" s="1007" t="s">
        <v>172</v>
      </c>
      <c r="R22" s="1007" t="s">
        <v>73</v>
      </c>
      <c r="S22" s="1007" t="s">
        <v>120</v>
      </c>
      <c r="T22" s="1007">
        <v>555</v>
      </c>
      <c r="U22" s="1007">
        <v>1320</v>
      </c>
      <c r="V22" s="1007">
        <v>0.73299999999999998</v>
      </c>
      <c r="W22" s="1007">
        <v>40</v>
      </c>
      <c r="X22" s="1007">
        <v>2</v>
      </c>
      <c r="Y22" s="1007" t="s">
        <v>75</v>
      </c>
      <c r="Z22" s="1007" t="s">
        <v>75</v>
      </c>
      <c r="AB22" s="1008">
        <v>46024</v>
      </c>
      <c r="AC22" s="1007">
        <v>1</v>
      </c>
      <c r="AD22" s="1007" t="s">
        <v>227</v>
      </c>
      <c r="AF22" s="1007" t="s">
        <v>122</v>
      </c>
      <c r="AG22" s="1007" t="s">
        <v>123</v>
      </c>
      <c r="AH22" s="1007" t="s">
        <v>78</v>
      </c>
      <c r="AI22" s="1008">
        <v>46028</v>
      </c>
      <c r="AJ22" s="1008">
        <v>46029</v>
      </c>
      <c r="AK22" s="1008">
        <v>46029</v>
      </c>
      <c r="AL22" s="1008">
        <v>46077</v>
      </c>
      <c r="AM22" s="1008">
        <v>46083</v>
      </c>
      <c r="AN22" s="1008">
        <v>46083</v>
      </c>
      <c r="AO22" s="1007" t="s">
        <v>66</v>
      </c>
      <c r="AP22" s="1007" t="s">
        <v>228</v>
      </c>
      <c r="AQ22" s="1007" t="s">
        <v>80</v>
      </c>
      <c r="AR22" s="1007" t="s">
        <v>229</v>
      </c>
      <c r="AS22" s="1007" t="s">
        <v>230</v>
      </c>
      <c r="AT22" s="1007" t="s">
        <v>230</v>
      </c>
      <c r="AU22" s="1007">
        <v>54</v>
      </c>
      <c r="AW22" s="1008">
        <v>46083</v>
      </c>
      <c r="AX22" s="1007" t="s">
        <v>84</v>
      </c>
      <c r="AY22" s="1008">
        <v>46097</v>
      </c>
      <c r="AZ22" s="1007">
        <v>8</v>
      </c>
      <c r="BA22" s="1008">
        <v>46091</v>
      </c>
      <c r="BB22" s="1007">
        <v>2026</v>
      </c>
      <c r="BC22" s="1007">
        <v>3</v>
      </c>
      <c r="BD22" s="1007">
        <v>11</v>
      </c>
      <c r="BE22" s="1007">
        <v>33</v>
      </c>
      <c r="BF22" s="1007">
        <v>660</v>
      </c>
      <c r="BG22" s="1007" t="s">
        <v>108</v>
      </c>
      <c r="BH22" s="1007" t="s">
        <v>86</v>
      </c>
    </row>
    <row r="23" spans="1:60">
      <c r="A23" s="1007" t="s">
        <v>231</v>
      </c>
      <c r="B23" s="1007" t="s">
        <v>111</v>
      </c>
      <c r="C23" s="1007" t="s">
        <v>168</v>
      </c>
      <c r="D23" s="1007" t="s">
        <v>63</v>
      </c>
      <c r="E23" s="1007" t="s">
        <v>64</v>
      </c>
      <c r="F23" s="1007" t="s">
        <v>65</v>
      </c>
      <c r="G23" s="1007" t="s">
        <v>66</v>
      </c>
      <c r="H23" s="1007" t="s">
        <v>67</v>
      </c>
      <c r="I23" s="1007" t="s">
        <v>68</v>
      </c>
      <c r="J23" s="1007" t="s">
        <v>232</v>
      </c>
      <c r="M23" s="1007" t="s">
        <v>68</v>
      </c>
      <c r="N23" s="1007" t="s">
        <v>68</v>
      </c>
      <c r="O23" s="1007" t="s">
        <v>170</v>
      </c>
      <c r="P23" s="1007" t="s">
        <v>171</v>
      </c>
      <c r="Q23" s="1007" t="s">
        <v>172</v>
      </c>
      <c r="R23" s="1007" t="s">
        <v>73</v>
      </c>
      <c r="S23" s="1007" t="s">
        <v>120</v>
      </c>
      <c r="T23" s="1007">
        <v>555</v>
      </c>
      <c r="U23" s="1007">
        <v>1320</v>
      </c>
      <c r="V23" s="1007">
        <v>0.73299999999999998</v>
      </c>
      <c r="W23" s="1007">
        <v>40</v>
      </c>
      <c r="X23" s="1007">
        <v>2</v>
      </c>
      <c r="Y23" s="1007" t="s">
        <v>75</v>
      </c>
      <c r="Z23" s="1007" t="s">
        <v>75</v>
      </c>
      <c r="AB23" s="1008">
        <v>46024</v>
      </c>
      <c r="AC23" s="1007">
        <v>1</v>
      </c>
      <c r="AD23" s="1007" t="s">
        <v>233</v>
      </c>
      <c r="AF23" s="1007" t="s">
        <v>122</v>
      </c>
      <c r="AG23" s="1007" t="s">
        <v>123</v>
      </c>
      <c r="AH23" s="1007" t="s">
        <v>78</v>
      </c>
      <c r="AI23" s="1008">
        <v>46028</v>
      </c>
      <c r="AJ23" s="1008">
        <v>46029</v>
      </c>
      <c r="AK23" s="1008">
        <v>46029</v>
      </c>
      <c r="AL23" s="1008">
        <v>46077</v>
      </c>
      <c r="AM23" s="1008">
        <v>46083</v>
      </c>
      <c r="AN23" s="1008">
        <v>46083</v>
      </c>
      <c r="AO23" s="1007" t="s">
        <v>66</v>
      </c>
      <c r="AP23" s="1007" t="s">
        <v>234</v>
      </c>
      <c r="AQ23" s="1007" t="s">
        <v>80</v>
      </c>
      <c r="AR23" s="1007" t="s">
        <v>229</v>
      </c>
      <c r="AS23" s="1007" t="s">
        <v>230</v>
      </c>
      <c r="AT23" s="1007" t="s">
        <v>230</v>
      </c>
      <c r="AU23" s="1007">
        <v>54</v>
      </c>
      <c r="AW23" s="1008">
        <v>46083</v>
      </c>
      <c r="AX23" s="1007" t="s">
        <v>84</v>
      </c>
      <c r="AY23" s="1008">
        <v>46097</v>
      </c>
      <c r="AZ23" s="1007">
        <v>8</v>
      </c>
      <c r="BA23" s="1008">
        <v>46091</v>
      </c>
      <c r="BB23" s="1007">
        <v>2026</v>
      </c>
      <c r="BC23" s="1007">
        <v>3</v>
      </c>
      <c r="BD23" s="1007">
        <v>11</v>
      </c>
      <c r="BE23" s="1007">
        <v>33</v>
      </c>
      <c r="BF23" s="1007">
        <v>660</v>
      </c>
      <c r="BG23" s="1007" t="s">
        <v>108</v>
      </c>
      <c r="BH23" s="1007" t="s">
        <v>86</v>
      </c>
    </row>
    <row r="24" spans="1:60">
      <c r="A24" s="1007" t="s">
        <v>235</v>
      </c>
      <c r="B24" s="1007" t="s">
        <v>111</v>
      </c>
      <c r="C24" s="1007" t="s">
        <v>112</v>
      </c>
      <c r="D24" s="1007" t="s">
        <v>113</v>
      </c>
      <c r="E24" s="1007" t="s">
        <v>64</v>
      </c>
      <c r="F24" s="1007" t="s">
        <v>114</v>
      </c>
      <c r="G24" s="1007" t="s">
        <v>66</v>
      </c>
      <c r="H24" s="1007" t="s">
        <v>115</v>
      </c>
      <c r="I24" s="1007" t="s">
        <v>68</v>
      </c>
      <c r="J24" s="1007" t="s">
        <v>116</v>
      </c>
      <c r="K24" s="1007" t="s">
        <v>117</v>
      </c>
      <c r="M24" s="1007" t="s">
        <v>68</v>
      </c>
      <c r="N24" s="1007" t="s">
        <v>68</v>
      </c>
      <c r="O24" s="1007" t="s">
        <v>70</v>
      </c>
      <c r="P24" s="1007" t="s">
        <v>118</v>
      </c>
      <c r="Q24" s="1007" t="s">
        <v>119</v>
      </c>
      <c r="R24" s="1007" t="s">
        <v>73</v>
      </c>
      <c r="S24" s="1007" t="s">
        <v>120</v>
      </c>
      <c r="T24" s="1007">
        <v>640</v>
      </c>
      <c r="U24" s="1007">
        <v>1152</v>
      </c>
      <c r="V24" s="1007">
        <v>0.73699999999999999</v>
      </c>
      <c r="W24" s="1007">
        <v>32</v>
      </c>
      <c r="X24" s="1007">
        <v>2</v>
      </c>
      <c r="Y24" s="1007" t="s">
        <v>75</v>
      </c>
      <c r="Z24" s="1007" t="s">
        <v>75</v>
      </c>
      <c r="AB24" s="1008">
        <v>46024</v>
      </c>
      <c r="AC24" s="1007">
        <v>1</v>
      </c>
      <c r="AD24" s="1007" t="s">
        <v>236</v>
      </c>
      <c r="AF24" s="1007" t="s">
        <v>122</v>
      </c>
      <c r="AG24" s="1007" t="s">
        <v>123</v>
      </c>
      <c r="AH24" s="1007" t="s">
        <v>124</v>
      </c>
      <c r="AI24" s="1008">
        <v>46028</v>
      </c>
      <c r="AJ24" s="1008">
        <v>46029</v>
      </c>
      <c r="AK24" s="1008">
        <v>46029</v>
      </c>
      <c r="AL24" s="1008">
        <v>46072</v>
      </c>
      <c r="AM24" s="1008">
        <v>46072</v>
      </c>
      <c r="AN24" s="1008">
        <v>46075</v>
      </c>
      <c r="AO24" s="1007" t="s">
        <v>66</v>
      </c>
      <c r="AP24" s="1007" t="s">
        <v>228</v>
      </c>
      <c r="AQ24" s="1007" t="s">
        <v>80</v>
      </c>
      <c r="AR24" s="1007" t="s">
        <v>237</v>
      </c>
      <c r="AS24" s="1007" t="s">
        <v>238</v>
      </c>
      <c r="AT24" s="1007" t="s">
        <v>238</v>
      </c>
      <c r="AU24" s="1007">
        <v>46</v>
      </c>
      <c r="AW24" s="1008">
        <v>46075</v>
      </c>
      <c r="AX24" s="1007" t="s">
        <v>84</v>
      </c>
      <c r="AY24" s="1008">
        <v>46086</v>
      </c>
      <c r="AZ24" s="1007">
        <v>9</v>
      </c>
      <c r="BA24" s="1008">
        <v>46084</v>
      </c>
      <c r="BB24" s="1007">
        <v>2026</v>
      </c>
      <c r="BC24" s="1007">
        <v>3</v>
      </c>
      <c r="BD24" s="1007">
        <v>10</v>
      </c>
      <c r="BE24" s="1007">
        <v>36</v>
      </c>
      <c r="BF24" s="1007">
        <v>576</v>
      </c>
      <c r="BG24" s="1007" t="s">
        <v>128</v>
      </c>
      <c r="BH24" s="1007" t="s">
        <v>86</v>
      </c>
    </row>
    <row r="25" spans="1:60">
      <c r="A25" s="1007" t="s">
        <v>239</v>
      </c>
      <c r="B25" s="1007" t="s">
        <v>111</v>
      </c>
      <c r="C25" s="1007" t="s">
        <v>112</v>
      </c>
      <c r="D25" s="1007" t="s">
        <v>113</v>
      </c>
      <c r="E25" s="1007" t="s">
        <v>64</v>
      </c>
      <c r="F25" s="1007" t="s">
        <v>114</v>
      </c>
      <c r="G25" s="1007" t="s">
        <v>66</v>
      </c>
      <c r="H25" s="1007" t="s">
        <v>115</v>
      </c>
      <c r="I25" s="1007" t="s">
        <v>68</v>
      </c>
      <c r="J25" s="1007" t="s">
        <v>116</v>
      </c>
      <c r="K25" s="1007" t="s">
        <v>117</v>
      </c>
      <c r="M25" s="1007" t="s">
        <v>68</v>
      </c>
      <c r="N25" s="1007" t="s">
        <v>68</v>
      </c>
      <c r="O25" s="1007" t="s">
        <v>70</v>
      </c>
      <c r="P25" s="1007" t="s">
        <v>118</v>
      </c>
      <c r="Q25" s="1007" t="s">
        <v>119</v>
      </c>
      <c r="R25" s="1007" t="s">
        <v>73</v>
      </c>
      <c r="S25" s="1007" t="s">
        <v>120</v>
      </c>
      <c r="T25" s="1007">
        <v>640</v>
      </c>
      <c r="U25" s="1007">
        <v>967</v>
      </c>
      <c r="V25" s="1007">
        <v>0.61899999999999999</v>
      </c>
      <c r="W25" s="1007">
        <v>26.9</v>
      </c>
      <c r="X25" s="1007">
        <v>1.7</v>
      </c>
      <c r="Y25" s="1007" t="s">
        <v>75</v>
      </c>
      <c r="Z25" s="1007" t="s">
        <v>75</v>
      </c>
      <c r="AB25" s="1008">
        <v>46027</v>
      </c>
      <c r="AC25" s="1007">
        <v>2</v>
      </c>
      <c r="AD25" s="1007" t="s">
        <v>240</v>
      </c>
      <c r="AF25" s="1007" t="s">
        <v>122</v>
      </c>
      <c r="AG25" s="1007" t="s">
        <v>123</v>
      </c>
      <c r="AH25" s="1007" t="s">
        <v>124</v>
      </c>
      <c r="AI25" s="1008">
        <v>46032</v>
      </c>
      <c r="AJ25" s="1008">
        <v>45670</v>
      </c>
      <c r="AK25" s="1008">
        <v>46035</v>
      </c>
      <c r="AL25" s="1008">
        <v>46072</v>
      </c>
      <c r="AM25" s="1008">
        <v>46076</v>
      </c>
      <c r="AN25" s="1008">
        <v>46078</v>
      </c>
      <c r="AO25" s="1007" t="s">
        <v>66</v>
      </c>
      <c r="AP25" s="1007" t="s">
        <v>241</v>
      </c>
      <c r="AQ25" s="1007" t="s">
        <v>80</v>
      </c>
      <c r="AR25" s="1007" t="s">
        <v>242</v>
      </c>
      <c r="AS25" s="1007" t="s">
        <v>243</v>
      </c>
      <c r="AT25" s="1007" t="s">
        <v>243</v>
      </c>
      <c r="AU25" s="1007">
        <v>43</v>
      </c>
      <c r="AW25" s="1008">
        <v>46078</v>
      </c>
      <c r="AX25" s="1007" t="s">
        <v>84</v>
      </c>
      <c r="AY25" s="1008">
        <v>46092</v>
      </c>
      <c r="AZ25" s="1007">
        <v>9</v>
      </c>
      <c r="BA25" s="1008">
        <v>46087</v>
      </c>
      <c r="BB25" s="1007">
        <v>2026</v>
      </c>
      <c r="BC25" s="1007">
        <v>3</v>
      </c>
      <c r="BD25" s="1007">
        <v>10</v>
      </c>
      <c r="BE25" s="1007">
        <v>36</v>
      </c>
      <c r="BF25" s="1007">
        <v>576</v>
      </c>
      <c r="BG25" s="1007" t="s">
        <v>128</v>
      </c>
      <c r="BH25" s="1007" t="s">
        <v>86</v>
      </c>
    </row>
    <row r="26" spans="1:60">
      <c r="A26" s="1007" t="s">
        <v>244</v>
      </c>
      <c r="B26" s="1007" t="s">
        <v>111</v>
      </c>
      <c r="C26" s="1007" t="s">
        <v>112</v>
      </c>
      <c r="D26" s="1007" t="s">
        <v>113</v>
      </c>
      <c r="E26" s="1007" t="s">
        <v>64</v>
      </c>
      <c r="F26" s="1007" t="s">
        <v>114</v>
      </c>
      <c r="G26" s="1007" t="s">
        <v>66</v>
      </c>
      <c r="H26" s="1007" t="s">
        <v>115</v>
      </c>
      <c r="I26" s="1007" t="s">
        <v>68</v>
      </c>
      <c r="J26" s="1007" t="s">
        <v>116</v>
      </c>
      <c r="K26" s="1007" t="s">
        <v>117</v>
      </c>
      <c r="M26" s="1007" t="s">
        <v>68</v>
      </c>
      <c r="N26" s="1007" t="s">
        <v>68</v>
      </c>
      <c r="O26" s="1007" t="s">
        <v>70</v>
      </c>
      <c r="P26" s="1007" t="s">
        <v>118</v>
      </c>
      <c r="Q26" s="1007" t="s">
        <v>119</v>
      </c>
      <c r="R26" s="1007" t="s">
        <v>73</v>
      </c>
      <c r="S26" s="1007" t="s">
        <v>120</v>
      </c>
      <c r="T26" s="1007">
        <v>640</v>
      </c>
      <c r="U26" s="1007">
        <v>761</v>
      </c>
      <c r="V26" s="1007">
        <v>0.48699999999999999</v>
      </c>
      <c r="W26" s="1007">
        <v>21.1</v>
      </c>
      <c r="X26" s="1007">
        <v>1.3</v>
      </c>
      <c r="Y26" s="1007" t="s">
        <v>75</v>
      </c>
      <c r="Z26" s="1007" t="s">
        <v>75</v>
      </c>
      <c r="AB26" s="1008">
        <v>46027</v>
      </c>
      <c r="AC26" s="1007">
        <v>2</v>
      </c>
      <c r="AD26" s="1007" t="s">
        <v>240</v>
      </c>
      <c r="AF26" s="1007" t="s">
        <v>122</v>
      </c>
      <c r="AG26" s="1007" t="s">
        <v>123</v>
      </c>
      <c r="AH26" s="1007" t="s">
        <v>124</v>
      </c>
      <c r="AI26" s="1008">
        <v>46032</v>
      </c>
      <c r="AJ26" s="1008">
        <v>45670</v>
      </c>
      <c r="AK26" s="1008">
        <v>46035</v>
      </c>
      <c r="AL26" s="1008">
        <v>46072</v>
      </c>
      <c r="AM26" s="1008">
        <v>46076</v>
      </c>
      <c r="AN26" s="1008">
        <v>46078</v>
      </c>
      <c r="AO26" s="1007" t="s">
        <v>66</v>
      </c>
      <c r="AP26" s="1007" t="s">
        <v>241</v>
      </c>
      <c r="AQ26" s="1007" t="s">
        <v>80</v>
      </c>
      <c r="AR26" s="1007" t="s">
        <v>242</v>
      </c>
      <c r="AS26" s="1007" t="s">
        <v>243</v>
      </c>
      <c r="AT26" s="1007" t="s">
        <v>243</v>
      </c>
      <c r="AU26" s="1007">
        <v>43</v>
      </c>
      <c r="AW26" s="1008">
        <v>46078</v>
      </c>
      <c r="AX26" s="1007" t="s">
        <v>84</v>
      </c>
      <c r="AY26" s="1008">
        <v>46092</v>
      </c>
      <c r="AZ26" s="1007">
        <v>9</v>
      </c>
      <c r="BA26" s="1008">
        <v>46087</v>
      </c>
      <c r="BB26" s="1007">
        <v>2026</v>
      </c>
      <c r="BC26" s="1007">
        <v>3</v>
      </c>
      <c r="BD26" s="1007">
        <v>10</v>
      </c>
      <c r="BE26" s="1007">
        <v>36</v>
      </c>
      <c r="BF26" s="1007">
        <v>576</v>
      </c>
      <c r="BG26" s="1007" t="s">
        <v>128</v>
      </c>
      <c r="BH26" s="1007" t="s">
        <v>86</v>
      </c>
    </row>
    <row r="27" spans="1:60">
      <c r="A27" s="1007" t="s">
        <v>245</v>
      </c>
      <c r="B27" s="1007" t="s">
        <v>111</v>
      </c>
      <c r="C27" s="1007" t="s">
        <v>112</v>
      </c>
      <c r="D27" s="1007" t="s">
        <v>113</v>
      </c>
      <c r="E27" s="1007" t="s">
        <v>64</v>
      </c>
      <c r="F27" s="1007" t="s">
        <v>114</v>
      </c>
      <c r="G27" s="1007" t="s">
        <v>66</v>
      </c>
      <c r="H27" s="1007" t="s">
        <v>115</v>
      </c>
      <c r="I27" s="1007" t="s">
        <v>68</v>
      </c>
      <c r="J27" s="1007" t="s">
        <v>116</v>
      </c>
      <c r="K27" s="1007" t="s">
        <v>117</v>
      </c>
      <c r="M27" s="1007" t="s">
        <v>68</v>
      </c>
      <c r="N27" s="1007" t="s">
        <v>68</v>
      </c>
      <c r="O27" s="1007" t="s">
        <v>70</v>
      </c>
      <c r="P27" s="1007" t="s">
        <v>118</v>
      </c>
      <c r="Q27" s="1007" t="s">
        <v>119</v>
      </c>
      <c r="R27" s="1007" t="s">
        <v>73</v>
      </c>
      <c r="S27" s="1007" t="s">
        <v>120</v>
      </c>
      <c r="T27" s="1007">
        <v>640</v>
      </c>
      <c r="U27" s="1007">
        <v>1728</v>
      </c>
      <c r="V27" s="1007">
        <v>1.1060000000000001</v>
      </c>
      <c r="W27" s="1007">
        <v>48</v>
      </c>
      <c r="X27" s="1007">
        <v>3</v>
      </c>
      <c r="Y27" s="1007" t="s">
        <v>75</v>
      </c>
      <c r="Z27" s="1007" t="s">
        <v>75</v>
      </c>
      <c r="AB27" s="1008">
        <v>46026</v>
      </c>
      <c r="AC27" s="1007">
        <v>1</v>
      </c>
      <c r="AD27" s="1007" t="s">
        <v>246</v>
      </c>
      <c r="AF27" s="1007" t="s">
        <v>122</v>
      </c>
      <c r="AG27" s="1007" t="s">
        <v>123</v>
      </c>
      <c r="AH27" s="1007" t="s">
        <v>124</v>
      </c>
      <c r="AI27" s="1008">
        <v>46031</v>
      </c>
      <c r="AK27" s="1008">
        <v>46030</v>
      </c>
      <c r="AL27" s="1008">
        <v>46086</v>
      </c>
      <c r="AM27" s="1008">
        <v>46088</v>
      </c>
      <c r="AN27" s="1008">
        <v>46089</v>
      </c>
      <c r="AO27" s="1007" t="s">
        <v>66</v>
      </c>
      <c r="AP27" s="1007" t="s">
        <v>247</v>
      </c>
      <c r="AQ27" s="1007" t="s">
        <v>80</v>
      </c>
      <c r="AR27" s="1007" t="s">
        <v>248</v>
      </c>
      <c r="AS27" s="1007" t="s">
        <v>249</v>
      </c>
      <c r="AT27" s="1007" t="s">
        <v>249</v>
      </c>
      <c r="AU27" s="1007">
        <v>59</v>
      </c>
      <c r="AW27" s="1008">
        <v>46089</v>
      </c>
      <c r="AX27" s="1007" t="s">
        <v>84</v>
      </c>
      <c r="AY27" s="1008">
        <v>46100</v>
      </c>
      <c r="AZ27" s="1007">
        <v>9</v>
      </c>
      <c r="BA27" s="1008">
        <v>46098</v>
      </c>
      <c r="BB27" s="1007">
        <v>2026</v>
      </c>
      <c r="BC27" s="1007">
        <v>3</v>
      </c>
      <c r="BD27" s="1007">
        <v>12</v>
      </c>
      <c r="BE27" s="1007">
        <v>36</v>
      </c>
      <c r="BF27" s="1007">
        <v>576</v>
      </c>
      <c r="BG27" s="1007" t="s">
        <v>128</v>
      </c>
      <c r="BH27" s="1007" t="s">
        <v>86</v>
      </c>
    </row>
    <row r="28" spans="1:60">
      <c r="A28" s="1007" t="s">
        <v>250</v>
      </c>
      <c r="B28" s="1007" t="s">
        <v>111</v>
      </c>
      <c r="C28" s="1007" t="s">
        <v>187</v>
      </c>
      <c r="D28" s="1007" t="s">
        <v>63</v>
      </c>
      <c r="E28" s="1007" t="s">
        <v>64</v>
      </c>
      <c r="F28" s="1007" t="s">
        <v>65</v>
      </c>
      <c r="G28" s="1007" t="s">
        <v>66</v>
      </c>
      <c r="H28" s="1007" t="s">
        <v>67</v>
      </c>
      <c r="I28" s="1007" t="s">
        <v>68</v>
      </c>
      <c r="J28" s="1007" t="s">
        <v>188</v>
      </c>
      <c r="M28" s="1007" t="s">
        <v>68</v>
      </c>
      <c r="N28" s="1007" t="s">
        <v>68</v>
      </c>
      <c r="O28" s="1007" t="s">
        <v>132</v>
      </c>
      <c r="P28" s="1007" t="s">
        <v>189</v>
      </c>
      <c r="Q28" s="1007" t="s">
        <v>190</v>
      </c>
      <c r="R28" s="1007" t="s">
        <v>73</v>
      </c>
      <c r="S28" s="1007" t="s">
        <v>74</v>
      </c>
      <c r="T28" s="1007">
        <v>465</v>
      </c>
      <c r="U28" s="1007">
        <v>1728</v>
      </c>
      <c r="V28" s="1007">
        <v>0.80400000000000005</v>
      </c>
      <c r="W28" s="1007">
        <v>48</v>
      </c>
      <c r="X28" s="1007">
        <v>2</v>
      </c>
      <c r="Y28" s="1007" t="s">
        <v>75</v>
      </c>
      <c r="Z28" s="1007" t="s">
        <v>75</v>
      </c>
      <c r="AB28" s="1008">
        <v>46026</v>
      </c>
      <c r="AC28" s="1007">
        <v>1</v>
      </c>
      <c r="AD28" s="1007" t="s">
        <v>251</v>
      </c>
      <c r="AF28" s="1007" t="s">
        <v>122</v>
      </c>
      <c r="AG28" s="1007" t="s">
        <v>123</v>
      </c>
      <c r="AH28" s="1007" t="s">
        <v>78</v>
      </c>
      <c r="AI28" s="1008">
        <v>46031</v>
      </c>
      <c r="AK28" s="1008">
        <v>46030</v>
      </c>
      <c r="AL28" s="1008">
        <v>46078</v>
      </c>
      <c r="AM28" s="1008">
        <v>46083</v>
      </c>
      <c r="AN28" s="1008">
        <v>46084</v>
      </c>
      <c r="AO28" s="1007" t="s">
        <v>66</v>
      </c>
      <c r="AP28" s="1007" t="s">
        <v>247</v>
      </c>
      <c r="AQ28" s="1007" t="s">
        <v>80</v>
      </c>
      <c r="AR28" s="1007" t="s">
        <v>252</v>
      </c>
      <c r="AS28" s="1007" t="s">
        <v>253</v>
      </c>
      <c r="AT28" s="1007" t="s">
        <v>253</v>
      </c>
      <c r="AU28" s="1007">
        <v>54</v>
      </c>
      <c r="AW28" s="1008">
        <v>46084</v>
      </c>
      <c r="AX28" s="1007" t="s">
        <v>84</v>
      </c>
      <c r="AY28" s="1008">
        <v>46097</v>
      </c>
      <c r="AZ28" s="1007">
        <v>8</v>
      </c>
      <c r="BA28" s="1008">
        <v>46092</v>
      </c>
      <c r="BB28" s="1007">
        <v>2026</v>
      </c>
      <c r="BC28" s="1007">
        <v>3</v>
      </c>
      <c r="BD28" s="1007">
        <v>11</v>
      </c>
      <c r="BE28" s="1007">
        <v>36</v>
      </c>
      <c r="BF28" s="1007">
        <v>864</v>
      </c>
      <c r="BG28" s="1007" t="s">
        <v>108</v>
      </c>
      <c r="BH28" s="1007" t="s">
        <v>86</v>
      </c>
    </row>
    <row r="29" spans="1:60">
      <c r="A29" s="1007" t="s">
        <v>254</v>
      </c>
      <c r="B29" s="1007" t="s">
        <v>111</v>
      </c>
      <c r="C29" s="1007" t="s">
        <v>187</v>
      </c>
      <c r="D29" s="1007" t="s">
        <v>63</v>
      </c>
      <c r="E29" s="1007" t="s">
        <v>64</v>
      </c>
      <c r="F29" s="1007" t="s">
        <v>100</v>
      </c>
      <c r="G29" s="1007" t="s">
        <v>66</v>
      </c>
      <c r="H29" s="1007" t="s">
        <v>67</v>
      </c>
      <c r="I29" s="1007" t="s">
        <v>68</v>
      </c>
      <c r="J29" s="1007" t="s">
        <v>101</v>
      </c>
      <c r="M29" s="1007" t="s">
        <v>68</v>
      </c>
      <c r="N29" s="1007" t="s">
        <v>68</v>
      </c>
      <c r="O29" s="1007" t="s">
        <v>132</v>
      </c>
      <c r="P29" s="1007" t="s">
        <v>189</v>
      </c>
      <c r="Q29" s="1007" t="s">
        <v>190</v>
      </c>
      <c r="R29" s="1007" t="s">
        <v>73</v>
      </c>
      <c r="S29" s="1007" t="s">
        <v>74</v>
      </c>
      <c r="T29" s="1007">
        <v>465</v>
      </c>
      <c r="U29" s="1007">
        <v>864</v>
      </c>
      <c r="V29" s="1007">
        <v>0.40200000000000002</v>
      </c>
      <c r="W29" s="1007">
        <v>24</v>
      </c>
      <c r="X29" s="1007">
        <v>1</v>
      </c>
      <c r="Y29" s="1007" t="s">
        <v>75</v>
      </c>
      <c r="Z29" s="1007" t="s">
        <v>75</v>
      </c>
      <c r="AB29" s="1008">
        <v>46026</v>
      </c>
      <c r="AC29" s="1007">
        <v>1</v>
      </c>
      <c r="AD29" s="1007" t="s">
        <v>255</v>
      </c>
      <c r="AF29" s="1007" t="s">
        <v>122</v>
      </c>
      <c r="AG29" s="1007" t="s">
        <v>123</v>
      </c>
      <c r="AH29" s="1007" t="s">
        <v>105</v>
      </c>
      <c r="AI29" s="1008">
        <v>46031</v>
      </c>
      <c r="AK29" s="1008">
        <v>46030</v>
      </c>
      <c r="AL29" s="1008">
        <v>46080</v>
      </c>
      <c r="AM29" s="1008">
        <v>46111</v>
      </c>
      <c r="AN29" s="1008">
        <v>46111</v>
      </c>
      <c r="AO29" s="1007" t="s">
        <v>66</v>
      </c>
      <c r="AP29" s="1007" t="s">
        <v>247</v>
      </c>
      <c r="AQ29" s="1007" t="s">
        <v>80</v>
      </c>
      <c r="AR29" s="1007" t="s">
        <v>256</v>
      </c>
      <c r="AS29" s="1007" t="s">
        <v>257</v>
      </c>
      <c r="AT29" s="1007" t="s">
        <v>257</v>
      </c>
      <c r="AU29" s="1007">
        <v>81</v>
      </c>
      <c r="AW29" s="1008">
        <v>46111</v>
      </c>
      <c r="AX29" s="1007" t="s">
        <v>84</v>
      </c>
      <c r="AY29" s="1008">
        <v>46146</v>
      </c>
      <c r="AZ29" s="1007">
        <v>7</v>
      </c>
      <c r="BA29" s="1008">
        <v>46118</v>
      </c>
      <c r="BB29" s="1007">
        <v>2026</v>
      </c>
      <c r="BC29" s="1007">
        <v>4</v>
      </c>
      <c r="BD29" s="1007">
        <v>15</v>
      </c>
      <c r="BE29" s="1007">
        <v>36</v>
      </c>
      <c r="BF29" s="1007">
        <v>864</v>
      </c>
      <c r="BG29" s="1007" t="s">
        <v>108</v>
      </c>
      <c r="BH29" s="1007" t="s">
        <v>109</v>
      </c>
    </row>
    <row r="30" spans="1:60">
      <c r="A30" s="1007" t="s">
        <v>258</v>
      </c>
      <c r="B30" s="1007" t="s">
        <v>111</v>
      </c>
      <c r="C30" s="1007" t="s">
        <v>168</v>
      </c>
      <c r="D30" s="1007" t="s">
        <v>63</v>
      </c>
      <c r="E30" s="1007" t="s">
        <v>64</v>
      </c>
      <c r="F30" s="1007" t="s">
        <v>100</v>
      </c>
      <c r="G30" s="1007" t="s">
        <v>66</v>
      </c>
      <c r="H30" s="1007" t="s">
        <v>67</v>
      </c>
      <c r="I30" s="1007" t="s">
        <v>68</v>
      </c>
      <c r="J30" s="1007" t="s">
        <v>169</v>
      </c>
      <c r="M30" s="1007" t="s">
        <v>68</v>
      </c>
      <c r="N30" s="1007" t="s">
        <v>68</v>
      </c>
      <c r="O30" s="1007" t="s">
        <v>170</v>
      </c>
      <c r="P30" s="1007" t="s">
        <v>171</v>
      </c>
      <c r="Q30" s="1007" t="s">
        <v>172</v>
      </c>
      <c r="R30" s="1007" t="s">
        <v>73</v>
      </c>
      <c r="S30" s="1007" t="s">
        <v>120</v>
      </c>
      <c r="T30" s="1007">
        <v>555</v>
      </c>
      <c r="U30" s="1007">
        <v>660</v>
      </c>
      <c r="V30" s="1007">
        <v>0.36599999999999999</v>
      </c>
      <c r="W30" s="1007">
        <v>20</v>
      </c>
      <c r="X30" s="1007">
        <v>1</v>
      </c>
      <c r="Y30" s="1007" t="s">
        <v>75</v>
      </c>
      <c r="Z30" s="1007" t="s">
        <v>75</v>
      </c>
      <c r="AB30" s="1008">
        <v>46026</v>
      </c>
      <c r="AC30" s="1007">
        <v>1</v>
      </c>
      <c r="AD30" s="1007" t="s">
        <v>259</v>
      </c>
      <c r="AF30" s="1007" t="s">
        <v>122</v>
      </c>
      <c r="AG30" s="1007" t="s">
        <v>123</v>
      </c>
      <c r="AH30" s="1007" t="s">
        <v>105</v>
      </c>
      <c r="AI30" s="1008">
        <v>46031</v>
      </c>
      <c r="AK30" s="1008">
        <v>46030</v>
      </c>
      <c r="AL30" s="1008">
        <v>46080</v>
      </c>
      <c r="AM30" s="1008">
        <v>46111</v>
      </c>
      <c r="AN30" s="1008">
        <v>46111</v>
      </c>
      <c r="AO30" s="1007" t="s">
        <v>66</v>
      </c>
      <c r="AP30" s="1007" t="s">
        <v>247</v>
      </c>
      <c r="AQ30" s="1007" t="s">
        <v>80</v>
      </c>
      <c r="AR30" s="1007" t="s">
        <v>256</v>
      </c>
      <c r="AS30" s="1007" t="s">
        <v>257</v>
      </c>
      <c r="AT30" s="1007" t="s">
        <v>257</v>
      </c>
      <c r="AU30" s="1007">
        <v>81</v>
      </c>
      <c r="AW30" s="1008">
        <v>46111</v>
      </c>
      <c r="AX30" s="1007" t="s">
        <v>84</v>
      </c>
      <c r="AY30" s="1008">
        <v>46125</v>
      </c>
      <c r="AZ30" s="1007">
        <v>7</v>
      </c>
      <c r="BA30" s="1008">
        <v>46118</v>
      </c>
      <c r="BB30" s="1007">
        <v>2026</v>
      </c>
      <c r="BC30" s="1007">
        <v>4</v>
      </c>
      <c r="BD30" s="1007">
        <v>15</v>
      </c>
      <c r="BE30" s="1007">
        <v>33</v>
      </c>
      <c r="BF30" s="1007">
        <v>660</v>
      </c>
      <c r="BG30" s="1007" t="s">
        <v>108</v>
      </c>
      <c r="BH30" s="1007" t="s">
        <v>109</v>
      </c>
    </row>
    <row r="31" spans="1:60">
      <c r="A31" s="1007" t="s">
        <v>260</v>
      </c>
      <c r="B31" s="1007" t="s">
        <v>111</v>
      </c>
      <c r="C31" s="1007" t="s">
        <v>168</v>
      </c>
      <c r="D31" s="1007" t="s">
        <v>63</v>
      </c>
      <c r="E31" s="1007" t="s">
        <v>64</v>
      </c>
      <c r="F31" s="1007" t="s">
        <v>100</v>
      </c>
      <c r="G31" s="1007" t="s">
        <v>66</v>
      </c>
      <c r="H31" s="1007" t="s">
        <v>67</v>
      </c>
      <c r="I31" s="1007" t="s">
        <v>68</v>
      </c>
      <c r="J31" s="1007" t="s">
        <v>96</v>
      </c>
      <c r="M31" s="1007" t="s">
        <v>68</v>
      </c>
      <c r="N31" s="1007" t="s">
        <v>68</v>
      </c>
      <c r="O31" s="1007" t="s">
        <v>170</v>
      </c>
      <c r="P31" s="1007" t="s">
        <v>171</v>
      </c>
      <c r="Q31" s="1007" t="s">
        <v>172</v>
      </c>
      <c r="R31" s="1007" t="s">
        <v>73</v>
      </c>
      <c r="S31" s="1007" t="s">
        <v>120</v>
      </c>
      <c r="T31" s="1007">
        <v>555</v>
      </c>
      <c r="U31" s="1007">
        <v>1320</v>
      </c>
      <c r="V31" s="1007">
        <v>0.73299999999999998</v>
      </c>
      <c r="W31" s="1007">
        <v>40</v>
      </c>
      <c r="X31" s="1007">
        <v>2</v>
      </c>
      <c r="Y31" s="1007" t="s">
        <v>75</v>
      </c>
      <c r="Z31" s="1007" t="s">
        <v>75</v>
      </c>
      <c r="AB31" s="1008">
        <v>46029</v>
      </c>
      <c r="AC31" s="1007">
        <v>2</v>
      </c>
      <c r="AD31" s="1007" t="s">
        <v>261</v>
      </c>
      <c r="AF31" s="1007" t="s">
        <v>122</v>
      </c>
      <c r="AG31" s="1007" t="s">
        <v>123</v>
      </c>
      <c r="AH31" s="1007" t="s">
        <v>105</v>
      </c>
      <c r="AI31" s="1008">
        <v>46035</v>
      </c>
      <c r="AJ31" s="1008">
        <v>46037</v>
      </c>
      <c r="AK31" s="1008">
        <v>46037</v>
      </c>
      <c r="AL31" s="1008">
        <v>46071</v>
      </c>
      <c r="AM31" s="1008">
        <v>46083</v>
      </c>
      <c r="AN31" s="1008">
        <v>46083</v>
      </c>
      <c r="AO31" s="1007" t="s">
        <v>66</v>
      </c>
      <c r="AP31" s="1007" t="s">
        <v>262</v>
      </c>
      <c r="AQ31" s="1007" t="s">
        <v>80</v>
      </c>
      <c r="AR31" s="1007" t="s">
        <v>263</v>
      </c>
      <c r="AS31" s="1007" t="s">
        <v>264</v>
      </c>
      <c r="AT31" s="1007" t="s">
        <v>264</v>
      </c>
      <c r="AU31" s="1007">
        <v>46</v>
      </c>
      <c r="AW31" s="1008">
        <v>46083</v>
      </c>
      <c r="AX31" s="1007" t="s">
        <v>84</v>
      </c>
      <c r="AY31" s="1008">
        <v>46097</v>
      </c>
      <c r="AZ31" s="1007">
        <v>7</v>
      </c>
      <c r="BA31" s="1008">
        <v>46090</v>
      </c>
      <c r="BB31" s="1007">
        <v>2026</v>
      </c>
      <c r="BC31" s="1007">
        <v>3</v>
      </c>
      <c r="BD31" s="1007">
        <v>11</v>
      </c>
      <c r="BE31" s="1007">
        <v>33</v>
      </c>
      <c r="BF31" s="1007">
        <v>660</v>
      </c>
      <c r="BG31" s="1007" t="s">
        <v>108</v>
      </c>
      <c r="BH31" s="1007" t="s">
        <v>109</v>
      </c>
    </row>
    <row r="32" spans="1:60">
      <c r="A32" s="1007" t="s">
        <v>265</v>
      </c>
      <c r="B32" s="1007" t="s">
        <v>111</v>
      </c>
      <c r="C32" s="1007" t="s">
        <v>112</v>
      </c>
      <c r="D32" s="1007" t="s">
        <v>113</v>
      </c>
      <c r="E32" s="1007" t="s">
        <v>64</v>
      </c>
      <c r="F32" s="1007" t="s">
        <v>114</v>
      </c>
      <c r="G32" s="1007" t="s">
        <v>66</v>
      </c>
      <c r="H32" s="1007" t="s">
        <v>115</v>
      </c>
      <c r="I32" s="1007" t="s">
        <v>68</v>
      </c>
      <c r="J32" s="1007" t="s">
        <v>116</v>
      </c>
      <c r="K32" s="1007" t="s">
        <v>266</v>
      </c>
      <c r="M32" s="1007" t="s">
        <v>68</v>
      </c>
      <c r="N32" s="1007" t="s">
        <v>68</v>
      </c>
      <c r="O32" s="1007" t="s">
        <v>70</v>
      </c>
      <c r="P32" s="1007" t="s">
        <v>118</v>
      </c>
      <c r="Q32" s="1007" t="s">
        <v>119</v>
      </c>
      <c r="R32" s="1007" t="s">
        <v>73</v>
      </c>
      <c r="S32" s="1007" t="s">
        <v>120</v>
      </c>
      <c r="T32" s="1007">
        <v>640</v>
      </c>
      <c r="U32" s="1007">
        <v>1152</v>
      </c>
      <c r="V32" s="1007">
        <v>0.73699999999999999</v>
      </c>
      <c r="W32" s="1007">
        <v>32</v>
      </c>
      <c r="X32" s="1007">
        <v>2</v>
      </c>
      <c r="Y32" s="1007" t="s">
        <v>75</v>
      </c>
      <c r="Z32" s="1007" t="s">
        <v>75</v>
      </c>
      <c r="AB32" s="1008">
        <v>46034</v>
      </c>
      <c r="AC32" s="1007">
        <v>3</v>
      </c>
      <c r="AD32" s="1007" t="s">
        <v>267</v>
      </c>
      <c r="AF32" s="1007" t="s">
        <v>122</v>
      </c>
      <c r="AG32" s="1007" t="s">
        <v>123</v>
      </c>
      <c r="AH32" s="1007" t="s">
        <v>124</v>
      </c>
      <c r="AI32" s="1008">
        <v>46042</v>
      </c>
      <c r="AJ32" s="1008">
        <v>46044</v>
      </c>
      <c r="AK32" s="1008">
        <v>46044</v>
      </c>
      <c r="AL32" s="1008">
        <v>46081</v>
      </c>
      <c r="AM32" s="1008">
        <v>46083</v>
      </c>
      <c r="AN32" s="1008">
        <v>46084</v>
      </c>
      <c r="AO32" s="1007" t="s">
        <v>66</v>
      </c>
      <c r="AP32" s="1007" t="s">
        <v>268</v>
      </c>
      <c r="AQ32" s="1007" t="s">
        <v>80</v>
      </c>
      <c r="AR32" s="1007" t="s">
        <v>269</v>
      </c>
      <c r="AS32" s="1007" t="s">
        <v>270</v>
      </c>
      <c r="AT32" s="1007" t="s">
        <v>270</v>
      </c>
      <c r="AU32" s="1007">
        <v>40</v>
      </c>
      <c r="AW32" s="1008">
        <v>46084</v>
      </c>
      <c r="AX32" s="1007" t="s">
        <v>84</v>
      </c>
      <c r="AY32" s="1008">
        <v>46095</v>
      </c>
      <c r="AZ32" s="1007">
        <v>9</v>
      </c>
      <c r="BA32" s="1008">
        <v>46093</v>
      </c>
      <c r="BB32" s="1007">
        <v>2026</v>
      </c>
      <c r="BC32" s="1007">
        <v>3</v>
      </c>
      <c r="BD32" s="1007">
        <v>11</v>
      </c>
      <c r="BE32" s="1007">
        <v>36</v>
      </c>
      <c r="BF32" s="1007">
        <v>576</v>
      </c>
      <c r="BG32" s="1007" t="s">
        <v>128</v>
      </c>
      <c r="BH32" s="1007" t="s">
        <v>86</v>
      </c>
    </row>
    <row r="33" spans="1:60">
      <c r="A33" s="1007" t="s">
        <v>271</v>
      </c>
      <c r="B33" s="1007" t="s">
        <v>111</v>
      </c>
      <c r="C33" s="1007" t="s">
        <v>112</v>
      </c>
      <c r="D33" s="1007" t="s">
        <v>113</v>
      </c>
      <c r="E33" s="1007" t="s">
        <v>64</v>
      </c>
      <c r="F33" s="1007" t="s">
        <v>114</v>
      </c>
      <c r="G33" s="1007" t="s">
        <v>66</v>
      </c>
      <c r="H33" s="1007" t="s">
        <v>115</v>
      </c>
      <c r="I33" s="1007" t="s">
        <v>68</v>
      </c>
      <c r="J33" s="1007" t="s">
        <v>116</v>
      </c>
      <c r="K33" s="1007" t="s">
        <v>117</v>
      </c>
      <c r="M33" s="1007" t="s">
        <v>68</v>
      </c>
      <c r="N33" s="1007" t="s">
        <v>68</v>
      </c>
      <c r="O33" s="1007" t="s">
        <v>70</v>
      </c>
      <c r="P33" s="1007" t="s">
        <v>118</v>
      </c>
      <c r="Q33" s="1007" t="s">
        <v>119</v>
      </c>
      <c r="R33" s="1007" t="s">
        <v>73</v>
      </c>
      <c r="S33" s="1007" t="s">
        <v>120</v>
      </c>
      <c r="T33" s="1007">
        <v>640</v>
      </c>
      <c r="U33" s="1007">
        <v>2124</v>
      </c>
      <c r="V33" s="1007">
        <v>1.359</v>
      </c>
      <c r="W33" s="1007">
        <v>59</v>
      </c>
      <c r="X33" s="1007">
        <v>3.7</v>
      </c>
      <c r="Y33" s="1007" t="s">
        <v>75</v>
      </c>
      <c r="Z33" s="1007" t="s">
        <v>75</v>
      </c>
      <c r="AB33" s="1008">
        <v>46029</v>
      </c>
      <c r="AC33" s="1007">
        <v>2</v>
      </c>
      <c r="AD33" s="1007" t="s">
        <v>272</v>
      </c>
      <c r="AF33" s="1007" t="s">
        <v>122</v>
      </c>
      <c r="AG33" s="1007" t="s">
        <v>123</v>
      </c>
      <c r="AH33" s="1007" t="s">
        <v>124</v>
      </c>
      <c r="AI33" s="1008">
        <v>46035</v>
      </c>
      <c r="AJ33" s="1008">
        <v>46041</v>
      </c>
      <c r="AK33" s="1008">
        <v>46041</v>
      </c>
      <c r="AL33" s="1008">
        <v>46079</v>
      </c>
      <c r="AM33" s="1008">
        <v>46079</v>
      </c>
      <c r="AN33" s="1008">
        <v>46079</v>
      </c>
      <c r="AO33" s="1007" t="s">
        <v>66</v>
      </c>
      <c r="AP33" s="1007" t="s">
        <v>273</v>
      </c>
      <c r="AQ33" s="1007" t="s">
        <v>80</v>
      </c>
      <c r="AR33" s="1007" t="s">
        <v>274</v>
      </c>
      <c r="AS33" s="1007" t="s">
        <v>275</v>
      </c>
      <c r="AT33" s="1007" t="s">
        <v>275</v>
      </c>
      <c r="AU33" s="1007">
        <v>38</v>
      </c>
      <c r="AW33" s="1008">
        <v>46079</v>
      </c>
      <c r="AX33" s="1007" t="s">
        <v>84</v>
      </c>
      <c r="AY33" s="1008">
        <v>46093</v>
      </c>
      <c r="AZ33" s="1007">
        <v>9</v>
      </c>
      <c r="BA33" s="1008">
        <v>46088</v>
      </c>
      <c r="BB33" s="1007">
        <v>2026</v>
      </c>
      <c r="BC33" s="1007">
        <v>3</v>
      </c>
      <c r="BD33" s="1007">
        <v>10</v>
      </c>
      <c r="BE33" s="1007">
        <v>36</v>
      </c>
      <c r="BF33" s="1007">
        <v>576</v>
      </c>
      <c r="BG33" s="1007" t="s">
        <v>128</v>
      </c>
      <c r="BH33" s="1007" t="s">
        <v>86</v>
      </c>
    </row>
    <row r="34" spans="1:60">
      <c r="A34" s="1007" t="s">
        <v>276</v>
      </c>
      <c r="B34" s="1007" t="s">
        <v>111</v>
      </c>
      <c r="C34" s="1007" t="s">
        <v>112</v>
      </c>
      <c r="D34" s="1007" t="s">
        <v>113</v>
      </c>
      <c r="E34" s="1007" t="s">
        <v>64</v>
      </c>
      <c r="F34" s="1007" t="s">
        <v>114</v>
      </c>
      <c r="G34" s="1007" t="s">
        <v>66</v>
      </c>
      <c r="H34" s="1007" t="s">
        <v>115</v>
      </c>
      <c r="I34" s="1007" t="s">
        <v>68</v>
      </c>
      <c r="J34" s="1007" t="s">
        <v>116</v>
      </c>
      <c r="K34" s="1007" t="s">
        <v>266</v>
      </c>
      <c r="M34" s="1007" t="s">
        <v>68</v>
      </c>
      <c r="N34" s="1007" t="s">
        <v>68</v>
      </c>
      <c r="O34" s="1007" t="s">
        <v>70</v>
      </c>
      <c r="P34" s="1007" t="s">
        <v>118</v>
      </c>
      <c r="Q34" s="1007" t="s">
        <v>119</v>
      </c>
      <c r="R34" s="1007" t="s">
        <v>73</v>
      </c>
      <c r="S34" s="1007" t="s">
        <v>120</v>
      </c>
      <c r="T34" s="1007">
        <v>640</v>
      </c>
      <c r="U34" s="1007">
        <v>180</v>
      </c>
      <c r="V34" s="1007">
        <v>0.115</v>
      </c>
      <c r="W34" s="1007">
        <v>5</v>
      </c>
      <c r="X34" s="1007">
        <v>0.3</v>
      </c>
      <c r="Y34" s="1007" t="s">
        <v>75</v>
      </c>
      <c r="Z34" s="1007" t="s">
        <v>75</v>
      </c>
      <c r="AB34" s="1008">
        <v>46029</v>
      </c>
      <c r="AC34" s="1007">
        <v>2</v>
      </c>
      <c r="AD34" s="1007" t="s">
        <v>277</v>
      </c>
      <c r="AF34" s="1007" t="s">
        <v>122</v>
      </c>
      <c r="AG34" s="1007" t="s">
        <v>123</v>
      </c>
      <c r="AH34" s="1007" t="s">
        <v>124</v>
      </c>
      <c r="AI34" s="1008">
        <v>46035</v>
      </c>
      <c r="AJ34" s="1008">
        <v>46041</v>
      </c>
      <c r="AK34" s="1008">
        <v>46041</v>
      </c>
      <c r="AL34" s="1008">
        <v>46079</v>
      </c>
      <c r="AM34" s="1008">
        <v>46079</v>
      </c>
      <c r="AN34" s="1008">
        <v>46079</v>
      </c>
      <c r="AO34" s="1007" t="s">
        <v>66</v>
      </c>
      <c r="AP34" s="1007" t="s">
        <v>273</v>
      </c>
      <c r="AQ34" s="1007" t="s">
        <v>80</v>
      </c>
      <c r="AR34" s="1007" t="s">
        <v>274</v>
      </c>
      <c r="AS34" s="1007" t="s">
        <v>275</v>
      </c>
      <c r="AT34" s="1007" t="s">
        <v>275</v>
      </c>
      <c r="AU34" s="1007">
        <v>38</v>
      </c>
      <c r="AW34" s="1008">
        <v>46079</v>
      </c>
      <c r="AX34" s="1007" t="s">
        <v>84</v>
      </c>
      <c r="AY34" s="1008">
        <v>46093</v>
      </c>
      <c r="AZ34" s="1007">
        <v>9</v>
      </c>
      <c r="BA34" s="1008">
        <v>46088</v>
      </c>
      <c r="BB34" s="1007">
        <v>2026</v>
      </c>
      <c r="BC34" s="1007">
        <v>3</v>
      </c>
      <c r="BD34" s="1007">
        <v>10</v>
      </c>
      <c r="BE34" s="1007">
        <v>36</v>
      </c>
      <c r="BF34" s="1007">
        <v>576</v>
      </c>
      <c r="BG34" s="1007" t="s">
        <v>128</v>
      </c>
      <c r="BH34" s="1007" t="s">
        <v>86</v>
      </c>
    </row>
    <row r="35" spans="1:60">
      <c r="A35" s="1007" t="s">
        <v>278</v>
      </c>
      <c r="B35" s="1007" t="s">
        <v>111</v>
      </c>
      <c r="C35" s="1007" t="s">
        <v>112</v>
      </c>
      <c r="D35" s="1007" t="s">
        <v>113</v>
      </c>
      <c r="E35" s="1007" t="s">
        <v>64</v>
      </c>
      <c r="F35" s="1007" t="s">
        <v>114</v>
      </c>
      <c r="G35" s="1007" t="s">
        <v>66</v>
      </c>
      <c r="H35" s="1007" t="s">
        <v>115</v>
      </c>
      <c r="I35" s="1007" t="s">
        <v>68</v>
      </c>
      <c r="J35" s="1007" t="s">
        <v>116</v>
      </c>
      <c r="K35" s="1007" t="s">
        <v>266</v>
      </c>
      <c r="M35" s="1007" t="s">
        <v>68</v>
      </c>
      <c r="N35" s="1007" t="s">
        <v>68</v>
      </c>
      <c r="O35" s="1007" t="s">
        <v>70</v>
      </c>
      <c r="P35" s="1007" t="s">
        <v>118</v>
      </c>
      <c r="Q35" s="1007" t="s">
        <v>119</v>
      </c>
      <c r="R35" s="1007" t="s">
        <v>73</v>
      </c>
      <c r="S35" s="1007" t="s">
        <v>120</v>
      </c>
      <c r="T35" s="1007">
        <v>640</v>
      </c>
      <c r="U35" s="1007">
        <v>1152</v>
      </c>
      <c r="V35" s="1007">
        <v>0.73699999999999999</v>
      </c>
      <c r="W35" s="1007">
        <v>32</v>
      </c>
      <c r="X35" s="1007">
        <v>2</v>
      </c>
      <c r="Y35" s="1007" t="s">
        <v>75</v>
      </c>
      <c r="Z35" s="1007" t="s">
        <v>75</v>
      </c>
      <c r="AB35" s="1008">
        <v>46029</v>
      </c>
      <c r="AC35" s="1007">
        <v>2</v>
      </c>
      <c r="AD35" s="1007" t="s">
        <v>279</v>
      </c>
      <c r="AF35" s="1007" t="s">
        <v>122</v>
      </c>
      <c r="AG35" s="1007" t="s">
        <v>123</v>
      </c>
      <c r="AH35" s="1007" t="s">
        <v>124</v>
      </c>
      <c r="AI35" s="1008">
        <v>46035</v>
      </c>
      <c r="AJ35" s="1008">
        <v>46041</v>
      </c>
      <c r="AK35" s="1008">
        <v>46041</v>
      </c>
      <c r="AL35" s="1008">
        <v>46079</v>
      </c>
      <c r="AM35" s="1008">
        <v>46079</v>
      </c>
      <c r="AN35" s="1008">
        <v>46079</v>
      </c>
      <c r="AO35" s="1007" t="s">
        <v>66</v>
      </c>
      <c r="AP35" s="1007" t="s">
        <v>273</v>
      </c>
      <c r="AQ35" s="1007" t="s">
        <v>80</v>
      </c>
      <c r="AR35" s="1007" t="s">
        <v>274</v>
      </c>
      <c r="AS35" s="1007" t="s">
        <v>275</v>
      </c>
      <c r="AT35" s="1007" t="s">
        <v>275</v>
      </c>
      <c r="AU35" s="1007">
        <v>38</v>
      </c>
      <c r="AW35" s="1008">
        <v>46079</v>
      </c>
      <c r="AX35" s="1007" t="s">
        <v>84</v>
      </c>
      <c r="AY35" s="1008">
        <v>46093</v>
      </c>
      <c r="AZ35" s="1007">
        <v>9</v>
      </c>
      <c r="BA35" s="1008">
        <v>46088</v>
      </c>
      <c r="BB35" s="1007">
        <v>2026</v>
      </c>
      <c r="BC35" s="1007">
        <v>3</v>
      </c>
      <c r="BD35" s="1007">
        <v>10</v>
      </c>
      <c r="BE35" s="1007">
        <v>36</v>
      </c>
      <c r="BF35" s="1007">
        <v>576</v>
      </c>
      <c r="BG35" s="1007" t="s">
        <v>128</v>
      </c>
      <c r="BH35" s="1007" t="s">
        <v>86</v>
      </c>
    </row>
    <row r="36" spans="1:60">
      <c r="A36" s="1007" t="s">
        <v>280</v>
      </c>
      <c r="B36" s="1007" t="s">
        <v>281</v>
      </c>
      <c r="C36" s="1007" t="s">
        <v>282</v>
      </c>
      <c r="D36" s="1007" t="s">
        <v>63</v>
      </c>
      <c r="E36" s="1007" t="s">
        <v>64</v>
      </c>
      <c r="F36" s="1007" t="s">
        <v>100</v>
      </c>
      <c r="G36" s="1007" t="s">
        <v>66</v>
      </c>
      <c r="H36" s="1007" t="s">
        <v>67</v>
      </c>
      <c r="I36" s="1007" t="s">
        <v>68</v>
      </c>
      <c r="J36" s="1007" t="s">
        <v>283</v>
      </c>
      <c r="M36" s="1007" t="s">
        <v>68</v>
      </c>
      <c r="N36" s="1007" t="s">
        <v>68</v>
      </c>
      <c r="O36" s="1007" t="s">
        <v>284</v>
      </c>
      <c r="P36" s="1007" t="s">
        <v>285</v>
      </c>
      <c r="Q36" s="1007" t="s">
        <v>286</v>
      </c>
      <c r="R36" s="1007" t="s">
        <v>73</v>
      </c>
      <c r="S36" s="1007" t="s">
        <v>120</v>
      </c>
      <c r="T36" s="1007">
        <v>460</v>
      </c>
      <c r="U36" s="1007">
        <v>962</v>
      </c>
      <c r="V36" s="1007">
        <v>0.443</v>
      </c>
      <c r="W36" s="1007">
        <v>26</v>
      </c>
      <c r="X36" s="1007">
        <v>1</v>
      </c>
      <c r="Y36" s="1007" t="s">
        <v>75</v>
      </c>
      <c r="Z36" s="1007" t="s">
        <v>75</v>
      </c>
      <c r="AB36" s="1008">
        <v>46030</v>
      </c>
      <c r="AC36" s="1007">
        <v>2</v>
      </c>
      <c r="AD36" s="1007" t="s">
        <v>287</v>
      </c>
      <c r="AF36" s="1007" t="s">
        <v>288</v>
      </c>
      <c r="AG36" s="1007" t="s">
        <v>289</v>
      </c>
      <c r="AH36" s="1007" t="s">
        <v>105</v>
      </c>
      <c r="AI36" s="1008">
        <v>46038</v>
      </c>
      <c r="AJ36" s="1008">
        <v>46041</v>
      </c>
      <c r="AK36" s="1008">
        <v>46041</v>
      </c>
      <c r="AL36" s="1008">
        <v>46069</v>
      </c>
      <c r="AM36" s="1008">
        <v>46087</v>
      </c>
      <c r="AN36" s="1008">
        <v>46087</v>
      </c>
      <c r="AO36" s="1007" t="s">
        <v>66</v>
      </c>
      <c r="AP36" s="1007" t="s">
        <v>211</v>
      </c>
      <c r="AQ36" s="1007" t="s">
        <v>80</v>
      </c>
      <c r="AR36" s="1007" t="s">
        <v>290</v>
      </c>
      <c r="AS36" s="1007" t="s">
        <v>291</v>
      </c>
      <c r="AT36" s="1007" t="s">
        <v>291</v>
      </c>
      <c r="AU36" s="1007">
        <v>46</v>
      </c>
      <c r="AV36" s="1007" t="s">
        <v>83</v>
      </c>
      <c r="AW36" s="1008">
        <v>46087</v>
      </c>
      <c r="AX36" s="1007" t="s">
        <v>84</v>
      </c>
      <c r="AY36" s="1008">
        <v>46094</v>
      </c>
      <c r="AZ36" s="1007">
        <v>7</v>
      </c>
      <c r="BA36" s="1008">
        <v>46094</v>
      </c>
      <c r="BB36" s="1007">
        <v>2026</v>
      </c>
      <c r="BC36" s="1007">
        <v>3</v>
      </c>
      <c r="BD36" s="1007">
        <v>11</v>
      </c>
      <c r="BE36" s="1007">
        <v>37</v>
      </c>
      <c r="BF36" s="1007">
        <v>962</v>
      </c>
      <c r="BG36" s="1007" t="s">
        <v>85</v>
      </c>
      <c r="BH36" s="1007" t="s">
        <v>109</v>
      </c>
    </row>
    <row r="37" spans="1:60">
      <c r="A37" s="1007" t="s">
        <v>292</v>
      </c>
      <c r="B37" s="1007" t="s">
        <v>281</v>
      </c>
      <c r="C37" s="1007" t="s">
        <v>282</v>
      </c>
      <c r="D37" s="1007" t="s">
        <v>63</v>
      </c>
      <c r="E37" s="1007" t="s">
        <v>64</v>
      </c>
      <c r="F37" s="1007" t="s">
        <v>100</v>
      </c>
      <c r="G37" s="1007" t="s">
        <v>66</v>
      </c>
      <c r="H37" s="1007" t="s">
        <v>67</v>
      </c>
      <c r="I37" s="1007" t="s">
        <v>68</v>
      </c>
      <c r="J37" s="1007" t="s">
        <v>293</v>
      </c>
      <c r="M37" s="1007" t="s">
        <v>68</v>
      </c>
      <c r="N37" s="1007" t="s">
        <v>68</v>
      </c>
      <c r="O37" s="1007" t="s">
        <v>284</v>
      </c>
      <c r="P37" s="1007" t="s">
        <v>285</v>
      </c>
      <c r="Q37" s="1007" t="s">
        <v>286</v>
      </c>
      <c r="R37" s="1007" t="s">
        <v>73</v>
      </c>
      <c r="S37" s="1007" t="s">
        <v>120</v>
      </c>
      <c r="T37" s="1007">
        <v>460</v>
      </c>
      <c r="U37" s="1007">
        <v>4810</v>
      </c>
      <c r="V37" s="1007">
        <v>2.2130000000000001</v>
      </c>
      <c r="W37" s="1007">
        <v>130</v>
      </c>
      <c r="X37" s="1007">
        <v>5</v>
      </c>
      <c r="Y37" s="1007" t="s">
        <v>75</v>
      </c>
      <c r="Z37" s="1007" t="s">
        <v>75</v>
      </c>
      <c r="AB37" s="1008">
        <v>46030</v>
      </c>
      <c r="AC37" s="1007">
        <v>2</v>
      </c>
      <c r="AD37" s="1007" t="s">
        <v>294</v>
      </c>
      <c r="AF37" s="1007" t="s">
        <v>288</v>
      </c>
      <c r="AG37" s="1007" t="s">
        <v>289</v>
      </c>
      <c r="AH37" s="1007" t="s">
        <v>105</v>
      </c>
      <c r="AI37" s="1008">
        <v>46038</v>
      </c>
      <c r="AJ37" s="1008">
        <v>46041</v>
      </c>
      <c r="AK37" s="1008">
        <v>46041</v>
      </c>
      <c r="AL37" s="1008">
        <v>46069</v>
      </c>
      <c r="AM37" s="1008">
        <v>46087</v>
      </c>
      <c r="AN37" s="1008">
        <v>46087</v>
      </c>
      <c r="AO37" s="1007" t="s">
        <v>66</v>
      </c>
      <c r="AP37" s="1007" t="s">
        <v>211</v>
      </c>
      <c r="AQ37" s="1007" t="s">
        <v>80</v>
      </c>
      <c r="AR37" s="1007" t="s">
        <v>290</v>
      </c>
      <c r="AS37" s="1007" t="s">
        <v>291</v>
      </c>
      <c r="AT37" s="1007" t="s">
        <v>291</v>
      </c>
      <c r="AU37" s="1007">
        <v>46</v>
      </c>
      <c r="AV37" s="1007" t="s">
        <v>83</v>
      </c>
      <c r="AW37" s="1008">
        <v>46087</v>
      </c>
      <c r="AX37" s="1007" t="s">
        <v>84</v>
      </c>
      <c r="AY37" s="1008">
        <v>46094</v>
      </c>
      <c r="AZ37" s="1007">
        <v>7</v>
      </c>
      <c r="BA37" s="1008">
        <v>46094</v>
      </c>
      <c r="BB37" s="1007">
        <v>2026</v>
      </c>
      <c r="BC37" s="1007">
        <v>3</v>
      </c>
      <c r="BD37" s="1007">
        <v>11</v>
      </c>
      <c r="BE37" s="1007">
        <v>37</v>
      </c>
      <c r="BF37" s="1007">
        <v>962</v>
      </c>
      <c r="BG37" s="1007" t="s">
        <v>85</v>
      </c>
      <c r="BH37" s="1007" t="s">
        <v>109</v>
      </c>
    </row>
    <row r="38" spans="1:60">
      <c r="A38" s="1007" t="s">
        <v>295</v>
      </c>
      <c r="B38" s="1007" t="s">
        <v>296</v>
      </c>
      <c r="C38" s="1007" t="s">
        <v>297</v>
      </c>
      <c r="D38" s="1007" t="s">
        <v>63</v>
      </c>
      <c r="E38" s="1007" t="s">
        <v>64</v>
      </c>
      <c r="F38" s="1007" t="s">
        <v>100</v>
      </c>
      <c r="G38" s="1007" t="s">
        <v>66</v>
      </c>
      <c r="H38" s="1007" t="s">
        <v>67</v>
      </c>
      <c r="I38" s="1007" t="s">
        <v>68</v>
      </c>
      <c r="J38" s="1007" t="s">
        <v>96</v>
      </c>
      <c r="M38" s="1007" t="s">
        <v>68</v>
      </c>
      <c r="N38" s="1007" t="s">
        <v>68</v>
      </c>
      <c r="O38" s="1007" t="s">
        <v>298</v>
      </c>
      <c r="P38" s="1007" t="s">
        <v>299</v>
      </c>
      <c r="Q38" s="1007" t="s">
        <v>300</v>
      </c>
      <c r="R38" s="1007" t="s">
        <v>73</v>
      </c>
      <c r="S38" s="1007" t="s">
        <v>74</v>
      </c>
      <c r="T38" s="1007">
        <v>480</v>
      </c>
      <c r="U38" s="1007">
        <v>1924</v>
      </c>
      <c r="V38" s="1007">
        <v>0.92400000000000004</v>
      </c>
      <c r="W38" s="1007">
        <v>52</v>
      </c>
      <c r="X38" s="1007">
        <v>2</v>
      </c>
      <c r="Y38" s="1007" t="s">
        <v>75</v>
      </c>
      <c r="Z38" s="1007" t="s">
        <v>75</v>
      </c>
      <c r="AB38" s="1008">
        <v>46031</v>
      </c>
      <c r="AC38" s="1007">
        <v>2</v>
      </c>
      <c r="AD38" s="1007" t="s">
        <v>301</v>
      </c>
      <c r="AF38" s="1007" t="s">
        <v>288</v>
      </c>
      <c r="AG38" s="1007" t="s">
        <v>289</v>
      </c>
      <c r="AH38" s="1007" t="s">
        <v>105</v>
      </c>
      <c r="AI38" s="1008">
        <v>46038</v>
      </c>
      <c r="AJ38" s="1008">
        <v>46041</v>
      </c>
      <c r="AK38" s="1008">
        <v>46041</v>
      </c>
      <c r="AL38" s="1008">
        <v>46069</v>
      </c>
      <c r="AM38" s="1008">
        <v>46087</v>
      </c>
      <c r="AN38" s="1008">
        <v>46087</v>
      </c>
      <c r="AO38" s="1007" t="s">
        <v>66</v>
      </c>
      <c r="AP38" s="1007" t="s">
        <v>211</v>
      </c>
      <c r="AQ38" s="1007" t="s">
        <v>80</v>
      </c>
      <c r="AR38" s="1007" t="s">
        <v>302</v>
      </c>
      <c r="AS38" s="1007" t="s">
        <v>303</v>
      </c>
      <c r="AT38" s="1007" t="s">
        <v>303</v>
      </c>
      <c r="AU38" s="1007">
        <v>46</v>
      </c>
      <c r="AV38" s="1007" t="s">
        <v>83</v>
      </c>
      <c r="AW38" s="1008">
        <v>46087</v>
      </c>
      <c r="AX38" s="1007" t="s">
        <v>84</v>
      </c>
      <c r="AY38" s="1008">
        <v>46101</v>
      </c>
      <c r="AZ38" s="1007">
        <v>7</v>
      </c>
      <c r="BA38" s="1008">
        <v>46094</v>
      </c>
      <c r="BB38" s="1007">
        <v>2026</v>
      </c>
      <c r="BC38" s="1007">
        <v>3</v>
      </c>
      <c r="BD38" s="1007">
        <v>11</v>
      </c>
      <c r="BE38" s="1007">
        <v>37</v>
      </c>
      <c r="BF38" s="1007">
        <v>962</v>
      </c>
      <c r="BG38" s="1007" t="s">
        <v>85</v>
      </c>
      <c r="BH38" s="1007" t="s">
        <v>109</v>
      </c>
    </row>
    <row r="39" spans="1:60">
      <c r="A39" s="1007" t="s">
        <v>304</v>
      </c>
      <c r="B39" s="1007" t="s">
        <v>296</v>
      </c>
      <c r="C39" s="1007" t="s">
        <v>305</v>
      </c>
      <c r="D39" s="1007" t="s">
        <v>63</v>
      </c>
      <c r="E39" s="1007" t="s">
        <v>64</v>
      </c>
      <c r="F39" s="1007" t="s">
        <v>100</v>
      </c>
      <c r="G39" s="1007" t="s">
        <v>66</v>
      </c>
      <c r="H39" s="1007" t="s">
        <v>67</v>
      </c>
      <c r="I39" s="1007" t="s">
        <v>68</v>
      </c>
      <c r="J39" s="1007" t="s">
        <v>96</v>
      </c>
      <c r="M39" s="1007" t="s">
        <v>68</v>
      </c>
      <c r="N39" s="1007" t="s">
        <v>68</v>
      </c>
      <c r="O39" s="1007" t="s">
        <v>298</v>
      </c>
      <c r="P39" s="1007" t="s">
        <v>306</v>
      </c>
      <c r="Q39" s="1007" t="s">
        <v>307</v>
      </c>
      <c r="R39" s="1007" t="s">
        <v>73</v>
      </c>
      <c r="S39" s="1007" t="s">
        <v>74</v>
      </c>
      <c r="T39" s="1007">
        <v>485</v>
      </c>
      <c r="U39" s="1007">
        <v>2886</v>
      </c>
      <c r="V39" s="1007">
        <v>1.4</v>
      </c>
      <c r="W39" s="1007">
        <v>78</v>
      </c>
      <c r="X39" s="1007">
        <v>3</v>
      </c>
      <c r="Y39" s="1007" t="s">
        <v>75</v>
      </c>
      <c r="Z39" s="1007" t="s">
        <v>75</v>
      </c>
      <c r="AB39" s="1008">
        <v>46031</v>
      </c>
      <c r="AC39" s="1007">
        <v>2</v>
      </c>
      <c r="AD39" s="1007" t="s">
        <v>308</v>
      </c>
      <c r="AF39" s="1007" t="s">
        <v>288</v>
      </c>
      <c r="AG39" s="1007" t="s">
        <v>289</v>
      </c>
      <c r="AH39" s="1007" t="s">
        <v>105</v>
      </c>
      <c r="AI39" s="1008">
        <v>46038</v>
      </c>
      <c r="AJ39" s="1008">
        <v>46041</v>
      </c>
      <c r="AK39" s="1008">
        <v>46041</v>
      </c>
      <c r="AL39" s="1008">
        <v>46069</v>
      </c>
      <c r="AM39" s="1008">
        <v>46087</v>
      </c>
      <c r="AN39" s="1008">
        <v>46087</v>
      </c>
      <c r="AO39" s="1007" t="s">
        <v>66</v>
      </c>
      <c r="AP39" s="1007" t="s">
        <v>211</v>
      </c>
      <c r="AQ39" s="1007" t="s">
        <v>80</v>
      </c>
      <c r="AR39" s="1007" t="s">
        <v>302</v>
      </c>
      <c r="AS39" s="1007" t="s">
        <v>303</v>
      </c>
      <c r="AT39" s="1007" t="s">
        <v>303</v>
      </c>
      <c r="AU39" s="1007">
        <v>46</v>
      </c>
      <c r="AV39" s="1007" t="s">
        <v>83</v>
      </c>
      <c r="AW39" s="1008">
        <v>46087</v>
      </c>
      <c r="AX39" s="1007" t="s">
        <v>84</v>
      </c>
      <c r="AY39" s="1008">
        <v>46101</v>
      </c>
      <c r="AZ39" s="1007">
        <v>7</v>
      </c>
      <c r="BA39" s="1008">
        <v>46094</v>
      </c>
      <c r="BB39" s="1007">
        <v>2026</v>
      </c>
      <c r="BC39" s="1007">
        <v>3</v>
      </c>
      <c r="BD39" s="1007">
        <v>11</v>
      </c>
      <c r="BE39" s="1007">
        <v>37</v>
      </c>
      <c r="BF39" s="1007">
        <v>962</v>
      </c>
      <c r="BG39" s="1007" t="s">
        <v>85</v>
      </c>
      <c r="BH39" s="1007" t="s">
        <v>109</v>
      </c>
    </row>
    <row r="40" spans="1:60">
      <c r="A40" s="1007" t="s">
        <v>309</v>
      </c>
      <c r="B40" s="1007" t="s">
        <v>296</v>
      </c>
      <c r="C40" s="1007" t="s">
        <v>297</v>
      </c>
      <c r="D40" s="1007" t="s">
        <v>63</v>
      </c>
      <c r="E40" s="1007" t="s">
        <v>64</v>
      </c>
      <c r="F40" s="1007" t="s">
        <v>310</v>
      </c>
      <c r="G40" s="1007" t="s">
        <v>66</v>
      </c>
      <c r="H40" s="1007" t="s">
        <v>311</v>
      </c>
      <c r="I40" s="1007" t="s">
        <v>68</v>
      </c>
      <c r="J40" s="1007" t="s">
        <v>312</v>
      </c>
      <c r="M40" s="1007" t="s">
        <v>68</v>
      </c>
      <c r="N40" s="1007" t="s">
        <v>68</v>
      </c>
      <c r="O40" s="1007" t="s">
        <v>298</v>
      </c>
      <c r="P40" s="1007" t="s">
        <v>299</v>
      </c>
      <c r="Q40" s="1007" t="s">
        <v>300</v>
      </c>
      <c r="R40" s="1007" t="s">
        <v>73</v>
      </c>
      <c r="S40" s="1007" t="s">
        <v>74</v>
      </c>
      <c r="T40" s="1007">
        <v>480</v>
      </c>
      <c r="U40" s="1007">
        <v>1924</v>
      </c>
      <c r="V40" s="1007">
        <v>0.92400000000000004</v>
      </c>
      <c r="W40" s="1007">
        <v>52</v>
      </c>
      <c r="X40" s="1007">
        <v>2</v>
      </c>
      <c r="Y40" s="1007" t="s">
        <v>75</v>
      </c>
      <c r="Z40" s="1007" t="s">
        <v>75</v>
      </c>
      <c r="AB40" s="1008">
        <v>46034</v>
      </c>
      <c r="AC40" s="1007">
        <v>3</v>
      </c>
      <c r="AD40" s="1007" t="s">
        <v>313</v>
      </c>
      <c r="AF40" s="1007" t="s">
        <v>288</v>
      </c>
      <c r="AG40" s="1007" t="s">
        <v>289</v>
      </c>
      <c r="AH40" s="1007" t="s">
        <v>314</v>
      </c>
      <c r="AI40" s="1008">
        <v>46037</v>
      </c>
      <c r="AJ40" s="1008">
        <v>46037</v>
      </c>
      <c r="AK40" s="1008">
        <v>46038</v>
      </c>
      <c r="AL40" s="1008">
        <v>46078</v>
      </c>
      <c r="AM40" s="1008">
        <v>46078</v>
      </c>
      <c r="AN40" s="1008">
        <v>46078</v>
      </c>
      <c r="AO40" s="1007" t="s">
        <v>66</v>
      </c>
      <c r="AP40" s="1007" t="s">
        <v>247</v>
      </c>
      <c r="AQ40" s="1007" t="s">
        <v>80</v>
      </c>
      <c r="AR40" s="1007" t="s">
        <v>315</v>
      </c>
      <c r="AS40" s="1007" t="s">
        <v>316</v>
      </c>
      <c r="AT40" s="1007" t="s">
        <v>316</v>
      </c>
      <c r="AU40" s="1007">
        <v>40</v>
      </c>
      <c r="AV40" s="1007" t="s">
        <v>83</v>
      </c>
      <c r="AW40" s="1008">
        <v>46078</v>
      </c>
      <c r="AX40" s="1007" t="s">
        <v>84</v>
      </c>
      <c r="AY40" s="1008">
        <v>46092</v>
      </c>
      <c r="AZ40" s="1007">
        <v>13</v>
      </c>
      <c r="BA40" s="1008">
        <v>46091</v>
      </c>
      <c r="BB40" s="1007">
        <v>2026</v>
      </c>
      <c r="BC40" s="1007">
        <v>3</v>
      </c>
      <c r="BD40" s="1007">
        <v>11</v>
      </c>
      <c r="BE40" s="1007">
        <v>37</v>
      </c>
      <c r="BF40" s="1007">
        <v>962</v>
      </c>
      <c r="BG40" s="1007" t="s">
        <v>85</v>
      </c>
      <c r="BH40" s="1007" t="s">
        <v>86</v>
      </c>
    </row>
    <row r="41" spans="1:60">
      <c r="A41" s="1007" t="s">
        <v>317</v>
      </c>
      <c r="B41" s="1007" t="s">
        <v>296</v>
      </c>
      <c r="C41" s="1007" t="s">
        <v>305</v>
      </c>
      <c r="D41" s="1007" t="s">
        <v>63</v>
      </c>
      <c r="E41" s="1007" t="s">
        <v>64</v>
      </c>
      <c r="F41" s="1007" t="s">
        <v>310</v>
      </c>
      <c r="G41" s="1007" t="s">
        <v>66</v>
      </c>
      <c r="H41" s="1007" t="s">
        <v>311</v>
      </c>
      <c r="I41" s="1007" t="s">
        <v>68</v>
      </c>
      <c r="J41" s="1007" t="s">
        <v>312</v>
      </c>
      <c r="M41" s="1007" t="s">
        <v>68</v>
      </c>
      <c r="N41" s="1007" t="s">
        <v>68</v>
      </c>
      <c r="O41" s="1007" t="s">
        <v>298</v>
      </c>
      <c r="P41" s="1007" t="s">
        <v>306</v>
      </c>
      <c r="Q41" s="1007" t="s">
        <v>307</v>
      </c>
      <c r="R41" s="1007" t="s">
        <v>73</v>
      </c>
      <c r="S41" s="1007" t="s">
        <v>74</v>
      </c>
      <c r="T41" s="1007">
        <v>485</v>
      </c>
      <c r="U41" s="1007">
        <v>1924</v>
      </c>
      <c r="V41" s="1007">
        <v>0.93300000000000005</v>
      </c>
      <c r="W41" s="1007">
        <v>52</v>
      </c>
      <c r="X41" s="1007">
        <v>2</v>
      </c>
      <c r="Y41" s="1007" t="s">
        <v>75</v>
      </c>
      <c r="Z41" s="1007" t="s">
        <v>75</v>
      </c>
      <c r="AB41" s="1008">
        <v>46034</v>
      </c>
      <c r="AC41" s="1007">
        <v>3</v>
      </c>
      <c r="AD41" s="1007" t="s">
        <v>318</v>
      </c>
      <c r="AF41" s="1007" t="s">
        <v>288</v>
      </c>
      <c r="AG41" s="1007" t="s">
        <v>289</v>
      </c>
      <c r="AH41" s="1007" t="s">
        <v>314</v>
      </c>
      <c r="AI41" s="1008">
        <v>46037</v>
      </c>
      <c r="AJ41" s="1008">
        <v>46037</v>
      </c>
      <c r="AK41" s="1008">
        <v>46038</v>
      </c>
      <c r="AL41" s="1008">
        <v>46078</v>
      </c>
      <c r="AM41" s="1008">
        <v>46078</v>
      </c>
      <c r="AN41" s="1008">
        <v>46078</v>
      </c>
      <c r="AO41" s="1007" t="s">
        <v>66</v>
      </c>
      <c r="AP41" s="1007" t="s">
        <v>247</v>
      </c>
      <c r="AQ41" s="1007" t="s">
        <v>80</v>
      </c>
      <c r="AR41" s="1007" t="s">
        <v>315</v>
      </c>
      <c r="AS41" s="1007" t="s">
        <v>316</v>
      </c>
      <c r="AT41" s="1007" t="s">
        <v>316</v>
      </c>
      <c r="AU41" s="1007">
        <v>40</v>
      </c>
      <c r="AV41" s="1007" t="s">
        <v>83</v>
      </c>
      <c r="AW41" s="1008">
        <v>46078</v>
      </c>
      <c r="AX41" s="1007" t="s">
        <v>84</v>
      </c>
      <c r="AY41" s="1008">
        <v>46092</v>
      </c>
      <c r="AZ41" s="1007">
        <v>13</v>
      </c>
      <c r="BA41" s="1008">
        <v>46091</v>
      </c>
      <c r="BB41" s="1007">
        <v>2026</v>
      </c>
      <c r="BC41" s="1007">
        <v>3</v>
      </c>
      <c r="BD41" s="1007">
        <v>11</v>
      </c>
      <c r="BE41" s="1007">
        <v>37</v>
      </c>
      <c r="BF41" s="1007">
        <v>962</v>
      </c>
      <c r="BG41" s="1007" t="s">
        <v>85</v>
      </c>
      <c r="BH41" s="1007" t="s">
        <v>86</v>
      </c>
    </row>
    <row r="42" spans="1:60">
      <c r="A42" s="1007" t="s">
        <v>319</v>
      </c>
      <c r="B42" s="1007" t="s">
        <v>296</v>
      </c>
      <c r="C42" s="1007" t="s">
        <v>305</v>
      </c>
      <c r="D42" s="1007" t="s">
        <v>63</v>
      </c>
      <c r="E42" s="1007" t="s">
        <v>64</v>
      </c>
      <c r="F42" s="1007" t="s">
        <v>100</v>
      </c>
      <c r="G42" s="1007" t="s">
        <v>66</v>
      </c>
      <c r="H42" s="1007" t="s">
        <v>67</v>
      </c>
      <c r="I42" s="1007" t="s">
        <v>68</v>
      </c>
      <c r="J42" s="1007" t="s">
        <v>169</v>
      </c>
      <c r="M42" s="1007" t="s">
        <v>68</v>
      </c>
      <c r="N42" s="1007" t="s">
        <v>68</v>
      </c>
      <c r="O42" s="1007" t="s">
        <v>298</v>
      </c>
      <c r="P42" s="1007" t="s">
        <v>306</v>
      </c>
      <c r="Q42" s="1007" t="s">
        <v>307</v>
      </c>
      <c r="R42" s="1007" t="s">
        <v>73</v>
      </c>
      <c r="S42" s="1007" t="s">
        <v>74</v>
      </c>
      <c r="T42" s="1007">
        <v>485</v>
      </c>
      <c r="U42" s="1007">
        <v>962</v>
      </c>
      <c r="V42" s="1007">
        <v>0.46700000000000003</v>
      </c>
      <c r="W42" s="1007">
        <v>26</v>
      </c>
      <c r="X42" s="1007">
        <v>1</v>
      </c>
      <c r="Y42" s="1007" t="s">
        <v>75</v>
      </c>
      <c r="Z42" s="1007" t="s">
        <v>75</v>
      </c>
      <c r="AB42" s="1008">
        <v>46031</v>
      </c>
      <c r="AC42" s="1007">
        <v>2</v>
      </c>
      <c r="AD42" s="1007" t="s">
        <v>320</v>
      </c>
      <c r="AF42" s="1007" t="s">
        <v>288</v>
      </c>
      <c r="AG42" s="1007" t="s">
        <v>289</v>
      </c>
      <c r="AH42" s="1007" t="s">
        <v>105</v>
      </c>
      <c r="AI42" s="1008">
        <v>46041</v>
      </c>
      <c r="AJ42" s="1008">
        <v>46042</v>
      </c>
      <c r="AK42" s="1008">
        <v>46042</v>
      </c>
      <c r="AL42" s="1008">
        <v>46090</v>
      </c>
      <c r="AM42" s="1008">
        <v>46111</v>
      </c>
      <c r="AN42" s="1008">
        <v>46111</v>
      </c>
      <c r="AO42" s="1007" t="s">
        <v>66</v>
      </c>
      <c r="AP42" s="1007" t="s">
        <v>241</v>
      </c>
      <c r="AQ42" s="1007" t="s">
        <v>80</v>
      </c>
      <c r="AR42" s="1007" t="s">
        <v>321</v>
      </c>
      <c r="AS42" s="1007" t="s">
        <v>322</v>
      </c>
      <c r="AT42" s="1007" t="s">
        <v>322</v>
      </c>
      <c r="AU42" s="1007">
        <v>69</v>
      </c>
      <c r="AW42" s="1008">
        <v>46111</v>
      </c>
      <c r="AX42" s="1007" t="s">
        <v>84</v>
      </c>
      <c r="AY42" s="1008">
        <v>46125</v>
      </c>
      <c r="AZ42" s="1007">
        <v>7</v>
      </c>
      <c r="BA42" s="1008">
        <v>46118</v>
      </c>
      <c r="BB42" s="1007">
        <v>2026</v>
      </c>
      <c r="BC42" s="1007">
        <v>4</v>
      </c>
      <c r="BD42" s="1007">
        <v>15</v>
      </c>
      <c r="BE42" s="1007">
        <v>37</v>
      </c>
      <c r="BF42" s="1007">
        <v>962</v>
      </c>
      <c r="BG42" s="1007" t="s">
        <v>85</v>
      </c>
      <c r="BH42" s="1007" t="s">
        <v>109</v>
      </c>
    </row>
    <row r="43" spans="1:60">
      <c r="A43" s="1007" t="s">
        <v>323</v>
      </c>
      <c r="B43" s="1007" t="s">
        <v>296</v>
      </c>
      <c r="C43" s="1007" t="s">
        <v>297</v>
      </c>
      <c r="D43" s="1007" t="s">
        <v>63</v>
      </c>
      <c r="E43" s="1007" t="s">
        <v>64</v>
      </c>
      <c r="F43" s="1007" t="s">
        <v>100</v>
      </c>
      <c r="G43" s="1007" t="s">
        <v>66</v>
      </c>
      <c r="H43" s="1007" t="s">
        <v>67</v>
      </c>
      <c r="I43" s="1007" t="s">
        <v>68</v>
      </c>
      <c r="J43" s="1007" t="s">
        <v>169</v>
      </c>
      <c r="M43" s="1007" t="s">
        <v>68</v>
      </c>
      <c r="N43" s="1007" t="s">
        <v>68</v>
      </c>
      <c r="O43" s="1007" t="s">
        <v>298</v>
      </c>
      <c r="P43" s="1007" t="s">
        <v>299</v>
      </c>
      <c r="Q43" s="1007" t="s">
        <v>300</v>
      </c>
      <c r="R43" s="1007" t="s">
        <v>73</v>
      </c>
      <c r="S43" s="1007" t="s">
        <v>74</v>
      </c>
      <c r="T43" s="1007">
        <v>480</v>
      </c>
      <c r="U43" s="1007">
        <v>962</v>
      </c>
      <c r="V43" s="1007">
        <v>0.46200000000000002</v>
      </c>
      <c r="W43" s="1007">
        <v>26</v>
      </c>
      <c r="X43" s="1007">
        <v>1</v>
      </c>
      <c r="Y43" s="1007" t="s">
        <v>75</v>
      </c>
      <c r="Z43" s="1007" t="s">
        <v>75</v>
      </c>
      <c r="AB43" s="1008">
        <v>46031</v>
      </c>
      <c r="AC43" s="1007">
        <v>2</v>
      </c>
      <c r="AD43" s="1007" t="s">
        <v>324</v>
      </c>
      <c r="AF43" s="1007" t="s">
        <v>288</v>
      </c>
      <c r="AG43" s="1007" t="s">
        <v>289</v>
      </c>
      <c r="AH43" s="1007" t="s">
        <v>105</v>
      </c>
      <c r="AI43" s="1008">
        <v>46041</v>
      </c>
      <c r="AJ43" s="1008">
        <v>46042</v>
      </c>
      <c r="AK43" s="1008">
        <v>46042</v>
      </c>
      <c r="AL43" s="1008">
        <v>46090</v>
      </c>
      <c r="AM43" s="1008">
        <v>46111</v>
      </c>
      <c r="AN43" s="1008">
        <v>46111</v>
      </c>
      <c r="AO43" s="1007" t="s">
        <v>66</v>
      </c>
      <c r="AP43" s="1007" t="s">
        <v>241</v>
      </c>
      <c r="AQ43" s="1007" t="s">
        <v>80</v>
      </c>
      <c r="AR43" s="1007" t="s">
        <v>321</v>
      </c>
      <c r="AS43" s="1007" t="s">
        <v>322</v>
      </c>
      <c r="AT43" s="1007" t="s">
        <v>322</v>
      </c>
      <c r="AU43" s="1007">
        <v>69</v>
      </c>
      <c r="AW43" s="1008">
        <v>46111</v>
      </c>
      <c r="AX43" s="1007" t="s">
        <v>84</v>
      </c>
      <c r="AY43" s="1008">
        <v>46125</v>
      </c>
      <c r="AZ43" s="1007">
        <v>7</v>
      </c>
      <c r="BA43" s="1008">
        <v>46118</v>
      </c>
      <c r="BB43" s="1007">
        <v>2026</v>
      </c>
      <c r="BC43" s="1007">
        <v>4</v>
      </c>
      <c r="BD43" s="1007">
        <v>15</v>
      </c>
      <c r="BE43" s="1007">
        <v>37</v>
      </c>
      <c r="BF43" s="1007">
        <v>962</v>
      </c>
      <c r="BG43" s="1007" t="s">
        <v>85</v>
      </c>
      <c r="BH43" s="1007" t="s">
        <v>109</v>
      </c>
    </row>
    <row r="44" spans="1:60">
      <c r="A44" s="1007" t="s">
        <v>325</v>
      </c>
      <c r="B44" s="1007" t="s">
        <v>61</v>
      </c>
      <c r="C44" s="1007" t="s">
        <v>326</v>
      </c>
      <c r="D44" s="1007" t="s">
        <v>113</v>
      </c>
      <c r="E44" s="1007" t="s">
        <v>64</v>
      </c>
      <c r="F44" s="1007" t="s">
        <v>100</v>
      </c>
      <c r="G44" s="1007" t="s">
        <v>66</v>
      </c>
      <c r="H44" s="1007" t="s">
        <v>67</v>
      </c>
      <c r="I44" s="1007" t="s">
        <v>68</v>
      </c>
      <c r="J44" s="1007" t="s">
        <v>327</v>
      </c>
      <c r="K44" s="1007" t="s">
        <v>328</v>
      </c>
      <c r="M44" s="1007" t="s">
        <v>68</v>
      </c>
      <c r="N44" s="1007" t="s">
        <v>68</v>
      </c>
      <c r="O44" s="1007" t="s">
        <v>70</v>
      </c>
      <c r="P44" s="1007" t="s">
        <v>329</v>
      </c>
      <c r="Q44" s="1007" t="s">
        <v>330</v>
      </c>
      <c r="R44" s="1007" t="s">
        <v>331</v>
      </c>
      <c r="S44" s="1007" t="s">
        <v>120</v>
      </c>
      <c r="T44" s="1007">
        <v>625</v>
      </c>
      <c r="U44" s="1007">
        <v>7200</v>
      </c>
      <c r="V44" s="1007">
        <v>4.5</v>
      </c>
      <c r="W44" s="1007">
        <v>200</v>
      </c>
      <c r="X44" s="1007">
        <v>10</v>
      </c>
      <c r="Y44" s="1007" t="s">
        <v>75</v>
      </c>
      <c r="Z44" s="1007" t="s">
        <v>75</v>
      </c>
      <c r="AB44" s="1008">
        <v>46030</v>
      </c>
      <c r="AC44" s="1007">
        <v>2</v>
      </c>
      <c r="AD44" s="1007" t="s">
        <v>332</v>
      </c>
      <c r="AF44" s="1007" t="s">
        <v>77</v>
      </c>
      <c r="AG44" s="1007" t="s">
        <v>61</v>
      </c>
      <c r="AH44" s="1007" t="s">
        <v>105</v>
      </c>
      <c r="AI44" s="1008">
        <v>46036</v>
      </c>
      <c r="AJ44" s="1008">
        <v>46038</v>
      </c>
      <c r="AK44" s="1008">
        <v>46038</v>
      </c>
      <c r="AL44" s="1008">
        <v>46077</v>
      </c>
      <c r="AM44" s="1008">
        <v>46094</v>
      </c>
      <c r="AN44" s="1008">
        <v>46094</v>
      </c>
      <c r="AO44" s="1007" t="s">
        <v>66</v>
      </c>
      <c r="AP44" s="1007" t="s">
        <v>333</v>
      </c>
      <c r="AQ44" s="1007" t="s">
        <v>161</v>
      </c>
      <c r="AR44" s="1007" t="s">
        <v>334</v>
      </c>
      <c r="AS44" s="1007" t="s">
        <v>335</v>
      </c>
      <c r="AT44" s="1007" t="s">
        <v>335</v>
      </c>
      <c r="AU44" s="1007">
        <v>56</v>
      </c>
      <c r="AW44" s="1008">
        <v>46094</v>
      </c>
      <c r="AX44" s="1007" t="s">
        <v>84</v>
      </c>
      <c r="AY44" s="1008">
        <v>46104</v>
      </c>
      <c r="AZ44" s="1007">
        <v>7</v>
      </c>
      <c r="BA44" s="1008">
        <v>46101</v>
      </c>
      <c r="BB44" s="1007">
        <v>2026</v>
      </c>
      <c r="BC44" s="1007">
        <v>3</v>
      </c>
      <c r="BD44" s="1007">
        <v>12</v>
      </c>
      <c r="BE44" s="1007">
        <v>36</v>
      </c>
      <c r="BF44" s="1007">
        <v>720</v>
      </c>
      <c r="BG44" s="1007" t="s">
        <v>128</v>
      </c>
      <c r="BH44" s="1007" t="s">
        <v>109</v>
      </c>
    </row>
    <row r="45" spans="1:60">
      <c r="A45" s="1007" t="s">
        <v>336</v>
      </c>
      <c r="B45" s="1007" t="s">
        <v>61</v>
      </c>
      <c r="C45" s="1007" t="s">
        <v>193</v>
      </c>
      <c r="D45" s="1007" t="s">
        <v>63</v>
      </c>
      <c r="E45" s="1007" t="s">
        <v>64</v>
      </c>
      <c r="F45" s="1007" t="s">
        <v>100</v>
      </c>
      <c r="G45" s="1007" t="s">
        <v>66</v>
      </c>
      <c r="H45" s="1007" t="s">
        <v>67</v>
      </c>
      <c r="I45" s="1007" t="s">
        <v>68</v>
      </c>
      <c r="J45" s="1007" t="s">
        <v>283</v>
      </c>
      <c r="M45" s="1007" t="s">
        <v>68</v>
      </c>
      <c r="N45" s="1007" t="s">
        <v>68</v>
      </c>
      <c r="O45" s="1007" t="s">
        <v>70</v>
      </c>
      <c r="P45" s="1007" t="s">
        <v>195</v>
      </c>
      <c r="Q45" s="1007" t="s">
        <v>196</v>
      </c>
      <c r="R45" s="1007" t="s">
        <v>73</v>
      </c>
      <c r="S45" s="1007" t="s">
        <v>74</v>
      </c>
      <c r="T45" s="1007">
        <v>450</v>
      </c>
      <c r="U45" s="1007">
        <v>936</v>
      </c>
      <c r="V45" s="1007">
        <v>0.42099999999999999</v>
      </c>
      <c r="W45" s="1007">
        <v>26</v>
      </c>
      <c r="X45" s="1007">
        <v>1</v>
      </c>
      <c r="Y45" s="1007" t="s">
        <v>75</v>
      </c>
      <c r="Z45" s="1007" t="s">
        <v>75</v>
      </c>
      <c r="AB45" s="1008">
        <v>46030</v>
      </c>
      <c r="AC45" s="1007">
        <v>2</v>
      </c>
      <c r="AD45" s="1007" t="s">
        <v>337</v>
      </c>
      <c r="AF45" s="1007" t="s">
        <v>77</v>
      </c>
      <c r="AG45" s="1007" t="s">
        <v>61</v>
      </c>
      <c r="AH45" s="1007" t="s">
        <v>105</v>
      </c>
      <c r="AI45" s="1008">
        <v>46036</v>
      </c>
      <c r="AJ45" s="1008">
        <v>46038</v>
      </c>
      <c r="AK45" s="1008">
        <v>46038</v>
      </c>
      <c r="AL45" s="1008">
        <v>46077</v>
      </c>
      <c r="AM45" s="1008">
        <v>46094</v>
      </c>
      <c r="AN45" s="1008">
        <v>46094</v>
      </c>
      <c r="AO45" s="1007" t="s">
        <v>66</v>
      </c>
      <c r="AP45" s="1007" t="s">
        <v>338</v>
      </c>
      <c r="AQ45" s="1007" t="s">
        <v>80</v>
      </c>
      <c r="AR45" s="1007" t="s">
        <v>339</v>
      </c>
      <c r="AS45" s="1007" t="s">
        <v>340</v>
      </c>
      <c r="AT45" s="1007" t="s">
        <v>340</v>
      </c>
      <c r="AU45" s="1007">
        <v>56</v>
      </c>
      <c r="AW45" s="1008">
        <v>46094</v>
      </c>
      <c r="AX45" s="1007" t="s">
        <v>84</v>
      </c>
      <c r="AY45" s="1008">
        <v>46107</v>
      </c>
      <c r="AZ45" s="1007">
        <v>7</v>
      </c>
      <c r="BA45" s="1008">
        <v>46101</v>
      </c>
      <c r="BB45" s="1007">
        <v>2026</v>
      </c>
      <c r="BC45" s="1007">
        <v>3</v>
      </c>
      <c r="BD45" s="1007">
        <v>12</v>
      </c>
      <c r="BE45" s="1007">
        <v>36</v>
      </c>
      <c r="BF45" s="1007">
        <v>936</v>
      </c>
      <c r="BG45" s="1007" t="s">
        <v>85</v>
      </c>
      <c r="BH45" s="1007" t="s">
        <v>109</v>
      </c>
    </row>
    <row r="46" spans="1:60">
      <c r="A46" s="1007" t="s">
        <v>341</v>
      </c>
      <c r="B46" s="1007" t="s">
        <v>61</v>
      </c>
      <c r="C46" s="1007" t="s">
        <v>326</v>
      </c>
      <c r="D46" s="1007" t="s">
        <v>113</v>
      </c>
      <c r="E46" s="1007" t="s">
        <v>64</v>
      </c>
      <c r="F46" s="1007" t="s">
        <v>100</v>
      </c>
      <c r="G46" s="1007" t="s">
        <v>66</v>
      </c>
      <c r="H46" s="1007" t="s">
        <v>67</v>
      </c>
      <c r="I46" s="1007" t="s">
        <v>68</v>
      </c>
      <c r="J46" s="1007" t="s">
        <v>327</v>
      </c>
      <c r="K46" s="1007" t="s">
        <v>328</v>
      </c>
      <c r="M46" s="1007" t="s">
        <v>68</v>
      </c>
      <c r="N46" s="1007" t="s">
        <v>68</v>
      </c>
      <c r="O46" s="1007" t="s">
        <v>70</v>
      </c>
      <c r="P46" s="1007" t="s">
        <v>329</v>
      </c>
      <c r="Q46" s="1007" t="s">
        <v>330</v>
      </c>
      <c r="R46" s="1007" t="s">
        <v>331</v>
      </c>
      <c r="S46" s="1007" t="s">
        <v>120</v>
      </c>
      <c r="T46" s="1007">
        <v>625</v>
      </c>
      <c r="U46" s="1007">
        <v>7200</v>
      </c>
      <c r="V46" s="1007">
        <v>4.5</v>
      </c>
      <c r="W46" s="1007">
        <v>200</v>
      </c>
      <c r="X46" s="1007">
        <v>10</v>
      </c>
      <c r="Y46" s="1007" t="s">
        <v>75</v>
      </c>
      <c r="Z46" s="1007" t="s">
        <v>75</v>
      </c>
      <c r="AB46" s="1008">
        <v>46026</v>
      </c>
      <c r="AC46" s="1007">
        <v>1</v>
      </c>
      <c r="AD46" s="1007" t="s">
        <v>342</v>
      </c>
      <c r="AF46" s="1007" t="s">
        <v>77</v>
      </c>
      <c r="AG46" s="1007" t="s">
        <v>61</v>
      </c>
      <c r="AH46" s="1007" t="s">
        <v>105</v>
      </c>
      <c r="AI46" s="1008">
        <v>46036</v>
      </c>
      <c r="AJ46" s="1008">
        <v>46038</v>
      </c>
      <c r="AK46" s="1008">
        <v>46038</v>
      </c>
      <c r="AL46" s="1008">
        <v>46077</v>
      </c>
      <c r="AM46" s="1008">
        <v>46094</v>
      </c>
      <c r="AN46" s="1008">
        <v>46094</v>
      </c>
      <c r="AO46" s="1007" t="s">
        <v>66</v>
      </c>
      <c r="AP46" s="1007" t="s">
        <v>333</v>
      </c>
      <c r="AQ46" s="1007" t="s">
        <v>161</v>
      </c>
      <c r="AR46" s="1007" t="s">
        <v>343</v>
      </c>
      <c r="AS46" s="1007" t="s">
        <v>344</v>
      </c>
      <c r="AT46" s="1007" t="s">
        <v>344</v>
      </c>
      <c r="AU46" s="1007">
        <v>56</v>
      </c>
      <c r="AW46" s="1008">
        <v>46094</v>
      </c>
      <c r="AX46" s="1007" t="s">
        <v>84</v>
      </c>
      <c r="AY46" s="1008">
        <v>46107</v>
      </c>
      <c r="AZ46" s="1007">
        <v>7</v>
      </c>
      <c r="BA46" s="1008">
        <v>46101</v>
      </c>
      <c r="BB46" s="1007">
        <v>2026</v>
      </c>
      <c r="BC46" s="1007">
        <v>3</v>
      </c>
      <c r="BD46" s="1007">
        <v>12</v>
      </c>
      <c r="BE46" s="1007">
        <v>36</v>
      </c>
      <c r="BF46" s="1007">
        <v>720</v>
      </c>
      <c r="BG46" s="1007" t="s">
        <v>128</v>
      </c>
      <c r="BH46" s="1007" t="s">
        <v>109</v>
      </c>
    </row>
    <row r="47" spans="1:60">
      <c r="A47" s="1007" t="s">
        <v>345</v>
      </c>
      <c r="B47" s="1007" t="s">
        <v>61</v>
      </c>
      <c r="C47" s="1007" t="s">
        <v>62</v>
      </c>
      <c r="D47" s="1007" t="s">
        <v>63</v>
      </c>
      <c r="E47" s="1007" t="s">
        <v>144</v>
      </c>
      <c r="F47" s="1007" t="s">
        <v>145</v>
      </c>
      <c r="G47" s="1007" t="s">
        <v>146</v>
      </c>
      <c r="H47" s="1007" t="s">
        <v>147</v>
      </c>
      <c r="I47" s="1007" t="s">
        <v>68</v>
      </c>
      <c r="J47" s="1007" t="s">
        <v>147</v>
      </c>
      <c r="K47" s="1007" t="s">
        <v>346</v>
      </c>
      <c r="M47" s="1007" t="s">
        <v>68</v>
      </c>
      <c r="N47" s="1007" t="s">
        <v>68</v>
      </c>
      <c r="O47" s="1007" t="s">
        <v>70</v>
      </c>
      <c r="P47" s="1007" t="s">
        <v>71</v>
      </c>
      <c r="Q47" s="1007" t="s">
        <v>72</v>
      </c>
      <c r="R47" s="1007" t="s">
        <v>73</v>
      </c>
      <c r="S47" s="1007" t="s">
        <v>74</v>
      </c>
      <c r="T47" s="1007">
        <v>500</v>
      </c>
      <c r="U47" s="1007">
        <v>864</v>
      </c>
      <c r="V47" s="1007">
        <v>0.432</v>
      </c>
      <c r="W47" s="1007">
        <v>24</v>
      </c>
      <c r="X47" s="1007">
        <v>1</v>
      </c>
      <c r="Y47" s="1007" t="s">
        <v>75</v>
      </c>
      <c r="Z47" s="1007" t="s">
        <v>75</v>
      </c>
      <c r="AB47" s="1008">
        <v>46027</v>
      </c>
      <c r="AC47" s="1007">
        <v>2</v>
      </c>
      <c r="AD47" s="1007" t="s">
        <v>347</v>
      </c>
      <c r="AF47" s="1007" t="s">
        <v>77</v>
      </c>
      <c r="AG47" s="1007" t="s">
        <v>61</v>
      </c>
      <c r="AH47" s="1007" t="s">
        <v>78</v>
      </c>
      <c r="AI47" s="1008">
        <v>46032</v>
      </c>
      <c r="AJ47" s="1008">
        <v>46034</v>
      </c>
      <c r="AK47" s="1008">
        <v>46034</v>
      </c>
      <c r="AL47" s="1008">
        <v>46091</v>
      </c>
      <c r="AM47" s="1008">
        <v>46095</v>
      </c>
      <c r="AN47" s="1008">
        <v>46096</v>
      </c>
      <c r="AO47" s="1007" t="s">
        <v>146</v>
      </c>
      <c r="AP47" s="1007" t="s">
        <v>348</v>
      </c>
      <c r="AQ47" s="1007" t="s">
        <v>80</v>
      </c>
      <c r="AR47" s="1007" t="s">
        <v>349</v>
      </c>
      <c r="AS47" s="1007" t="s">
        <v>350</v>
      </c>
      <c r="AT47" s="1007" t="s">
        <v>350</v>
      </c>
      <c r="AU47" s="1007">
        <v>62</v>
      </c>
      <c r="AW47" s="1008">
        <v>46096</v>
      </c>
      <c r="AX47" s="1007" t="s">
        <v>84</v>
      </c>
      <c r="AY47" s="1008">
        <v>46105</v>
      </c>
      <c r="AZ47" s="1007" t="s">
        <v>152</v>
      </c>
      <c r="BA47" s="1008">
        <v>46096</v>
      </c>
      <c r="BB47" s="1007">
        <v>2026</v>
      </c>
      <c r="BC47" s="1007">
        <v>3</v>
      </c>
      <c r="BD47" s="1007">
        <v>11</v>
      </c>
      <c r="BE47" s="1007">
        <v>36</v>
      </c>
      <c r="BF47" s="1007">
        <v>864</v>
      </c>
      <c r="BG47" s="1007" t="s">
        <v>85</v>
      </c>
      <c r="BH47" s="1007" t="s">
        <v>86</v>
      </c>
    </row>
    <row r="48" spans="1:60">
      <c r="A48" s="1007" t="s">
        <v>351</v>
      </c>
      <c r="B48" s="1007" t="s">
        <v>111</v>
      </c>
      <c r="C48" s="1007" t="s">
        <v>352</v>
      </c>
      <c r="D48" s="1007" t="s">
        <v>113</v>
      </c>
      <c r="E48" s="1007" t="s">
        <v>64</v>
      </c>
      <c r="F48" s="1007" t="s">
        <v>65</v>
      </c>
      <c r="G48" s="1007" t="s">
        <v>66</v>
      </c>
      <c r="H48" s="1007" t="s">
        <v>67</v>
      </c>
      <c r="I48" s="1007" t="s">
        <v>68</v>
      </c>
      <c r="J48" s="1007" t="s">
        <v>353</v>
      </c>
      <c r="K48" s="1007" t="s">
        <v>354</v>
      </c>
      <c r="M48" s="1007" t="s">
        <v>68</v>
      </c>
      <c r="N48" s="1007" t="s">
        <v>68</v>
      </c>
      <c r="O48" s="1007" t="s">
        <v>70</v>
      </c>
      <c r="P48" s="1007" t="s">
        <v>218</v>
      </c>
      <c r="Q48" s="1007" t="s">
        <v>219</v>
      </c>
      <c r="R48" s="1007" t="s">
        <v>73</v>
      </c>
      <c r="S48" s="1007" t="s">
        <v>120</v>
      </c>
      <c r="T48" s="1007">
        <v>625</v>
      </c>
      <c r="U48" s="1007">
        <v>2880</v>
      </c>
      <c r="V48" s="1007">
        <v>1.8</v>
      </c>
      <c r="W48" s="1007">
        <v>80</v>
      </c>
      <c r="X48" s="1007">
        <v>4</v>
      </c>
      <c r="Y48" s="1007" t="s">
        <v>75</v>
      </c>
      <c r="Z48" s="1007" t="s">
        <v>75</v>
      </c>
      <c r="AB48" s="1008">
        <v>46035</v>
      </c>
      <c r="AC48" s="1007">
        <v>3</v>
      </c>
      <c r="AD48" s="1007" t="s">
        <v>355</v>
      </c>
      <c r="AF48" s="1007" t="s">
        <v>122</v>
      </c>
      <c r="AG48" s="1007" t="s">
        <v>123</v>
      </c>
      <c r="AH48" s="1007" t="s">
        <v>356</v>
      </c>
      <c r="AI48" s="1008">
        <v>46040</v>
      </c>
      <c r="AJ48" s="1008">
        <v>46045</v>
      </c>
      <c r="AK48" s="1008">
        <v>46043</v>
      </c>
      <c r="AL48" s="1008">
        <v>46077</v>
      </c>
      <c r="AM48" s="1008">
        <v>46077</v>
      </c>
      <c r="AN48" s="1008">
        <v>46079</v>
      </c>
      <c r="AO48" s="1007" t="s">
        <v>66</v>
      </c>
      <c r="AP48" s="1007" t="s">
        <v>357</v>
      </c>
      <c r="AQ48" s="1007" t="s">
        <v>161</v>
      </c>
      <c r="AR48" s="1007" t="s">
        <v>358</v>
      </c>
      <c r="AS48" s="1007" t="s">
        <v>359</v>
      </c>
      <c r="AT48" s="1007" t="s">
        <v>359</v>
      </c>
      <c r="AU48" s="1007">
        <v>36</v>
      </c>
      <c r="AW48" s="1008">
        <v>46079</v>
      </c>
      <c r="AX48" s="1007" t="s">
        <v>84</v>
      </c>
      <c r="AY48" s="1008">
        <v>46091</v>
      </c>
      <c r="AZ48" s="1007">
        <v>8</v>
      </c>
      <c r="BA48" s="1008">
        <v>46087</v>
      </c>
      <c r="BB48" s="1007">
        <v>2026</v>
      </c>
      <c r="BC48" s="1007">
        <v>3</v>
      </c>
      <c r="BD48" s="1007">
        <v>10</v>
      </c>
      <c r="BE48" s="1007">
        <v>36</v>
      </c>
      <c r="BF48" s="1007">
        <v>720</v>
      </c>
      <c r="BG48" s="1007" t="s">
        <v>128</v>
      </c>
      <c r="BH48" s="1007" t="s">
        <v>109</v>
      </c>
    </row>
    <row r="49" spans="1:60">
      <c r="A49" s="1007" t="s">
        <v>360</v>
      </c>
      <c r="B49" s="1007" t="s">
        <v>111</v>
      </c>
      <c r="C49" s="1007" t="s">
        <v>215</v>
      </c>
      <c r="D49" s="1007" t="s">
        <v>113</v>
      </c>
      <c r="E49" s="1007" t="s">
        <v>64</v>
      </c>
      <c r="F49" s="1007" t="s">
        <v>65</v>
      </c>
      <c r="G49" s="1007" t="s">
        <v>66</v>
      </c>
      <c r="H49" s="1007" t="s">
        <v>67</v>
      </c>
      <c r="I49" s="1007" t="s">
        <v>68</v>
      </c>
      <c r="J49" s="1007" t="s">
        <v>353</v>
      </c>
      <c r="K49" s="1007" t="s">
        <v>354</v>
      </c>
      <c r="M49" s="1007" t="s">
        <v>68</v>
      </c>
      <c r="N49" s="1007" t="s">
        <v>68</v>
      </c>
      <c r="O49" s="1007" t="s">
        <v>70</v>
      </c>
      <c r="P49" s="1007" t="s">
        <v>218</v>
      </c>
      <c r="Q49" s="1007" t="s">
        <v>219</v>
      </c>
      <c r="R49" s="1007" t="s">
        <v>73</v>
      </c>
      <c r="S49" s="1007" t="s">
        <v>120</v>
      </c>
      <c r="T49" s="1007">
        <v>625</v>
      </c>
      <c r="U49" s="1007">
        <v>1440</v>
      </c>
      <c r="V49" s="1007">
        <v>0.9</v>
      </c>
      <c r="W49" s="1007">
        <v>40</v>
      </c>
      <c r="X49" s="1007">
        <v>2</v>
      </c>
      <c r="Y49" s="1007" t="s">
        <v>75</v>
      </c>
      <c r="Z49" s="1007" t="s">
        <v>75</v>
      </c>
      <c r="AB49" s="1008">
        <v>46035</v>
      </c>
      <c r="AC49" s="1007">
        <v>3</v>
      </c>
      <c r="AD49" s="1007" t="s">
        <v>361</v>
      </c>
      <c r="AF49" s="1007" t="s">
        <v>122</v>
      </c>
      <c r="AG49" s="1007" t="s">
        <v>123</v>
      </c>
      <c r="AH49" s="1007" t="s">
        <v>356</v>
      </c>
      <c r="AI49" s="1008">
        <v>46040</v>
      </c>
      <c r="AJ49" s="1008">
        <v>46045</v>
      </c>
      <c r="AK49" s="1008">
        <v>46043</v>
      </c>
      <c r="AL49" s="1008">
        <v>46077</v>
      </c>
      <c r="AM49" s="1008">
        <v>46077</v>
      </c>
      <c r="AN49" s="1008">
        <v>46079</v>
      </c>
      <c r="AO49" s="1007" t="s">
        <v>66</v>
      </c>
      <c r="AP49" s="1007" t="s">
        <v>357</v>
      </c>
      <c r="AQ49" s="1007" t="s">
        <v>161</v>
      </c>
      <c r="AR49" s="1007" t="s">
        <v>358</v>
      </c>
      <c r="AS49" s="1007" t="s">
        <v>359</v>
      </c>
      <c r="AT49" s="1007" t="s">
        <v>359</v>
      </c>
      <c r="AU49" s="1007">
        <v>36</v>
      </c>
      <c r="AW49" s="1008">
        <v>46079</v>
      </c>
      <c r="AX49" s="1007" t="s">
        <v>84</v>
      </c>
      <c r="AY49" s="1008">
        <v>46091</v>
      </c>
      <c r="AZ49" s="1007">
        <v>8</v>
      </c>
      <c r="BA49" s="1008">
        <v>46087</v>
      </c>
      <c r="BB49" s="1007">
        <v>2026</v>
      </c>
      <c r="BC49" s="1007">
        <v>3</v>
      </c>
      <c r="BD49" s="1007">
        <v>10</v>
      </c>
      <c r="BE49" s="1007">
        <v>36</v>
      </c>
      <c r="BF49" s="1007">
        <v>720</v>
      </c>
      <c r="BG49" s="1007" t="s">
        <v>128</v>
      </c>
      <c r="BH49" s="1007" t="s">
        <v>109</v>
      </c>
    </row>
    <row r="50" spans="1:60">
      <c r="A50" s="1007" t="s">
        <v>362</v>
      </c>
      <c r="B50" s="1007" t="s">
        <v>111</v>
      </c>
      <c r="C50" s="1007" t="s">
        <v>215</v>
      </c>
      <c r="D50" s="1007" t="s">
        <v>113</v>
      </c>
      <c r="E50" s="1007" t="s">
        <v>64</v>
      </c>
      <c r="F50" s="1007" t="s">
        <v>65</v>
      </c>
      <c r="G50" s="1007" t="s">
        <v>66</v>
      </c>
      <c r="H50" s="1007" t="s">
        <v>67</v>
      </c>
      <c r="I50" s="1007" t="s">
        <v>68</v>
      </c>
      <c r="J50" s="1007" t="s">
        <v>363</v>
      </c>
      <c r="K50" s="1007" t="s">
        <v>364</v>
      </c>
      <c r="M50" s="1007" t="s">
        <v>68</v>
      </c>
      <c r="N50" s="1007" t="s">
        <v>68</v>
      </c>
      <c r="O50" s="1007" t="s">
        <v>70</v>
      </c>
      <c r="P50" s="1007" t="s">
        <v>218</v>
      </c>
      <c r="Q50" s="1007" t="s">
        <v>219</v>
      </c>
      <c r="R50" s="1007" t="s">
        <v>73</v>
      </c>
      <c r="S50" s="1007" t="s">
        <v>120</v>
      </c>
      <c r="T50" s="1007">
        <v>625</v>
      </c>
      <c r="U50" s="1007">
        <v>2880</v>
      </c>
      <c r="V50" s="1007">
        <v>1.8</v>
      </c>
      <c r="W50" s="1007">
        <v>80</v>
      </c>
      <c r="X50" s="1007">
        <v>4</v>
      </c>
      <c r="Y50" s="1007" t="s">
        <v>75</v>
      </c>
      <c r="Z50" s="1007" t="s">
        <v>75</v>
      </c>
      <c r="AB50" s="1008">
        <v>46035</v>
      </c>
      <c r="AC50" s="1007">
        <v>3</v>
      </c>
      <c r="AD50" s="1007" t="s">
        <v>365</v>
      </c>
      <c r="AF50" s="1007" t="s">
        <v>122</v>
      </c>
      <c r="AG50" s="1007" t="s">
        <v>123</v>
      </c>
      <c r="AH50" s="1007" t="s">
        <v>356</v>
      </c>
      <c r="AI50" s="1008">
        <v>46040</v>
      </c>
      <c r="AJ50" s="1008">
        <v>46045</v>
      </c>
      <c r="AK50" s="1008">
        <v>46043</v>
      </c>
      <c r="AL50" s="1008">
        <v>46077</v>
      </c>
      <c r="AM50" s="1008">
        <v>46077</v>
      </c>
      <c r="AN50" s="1008">
        <v>46079</v>
      </c>
      <c r="AO50" s="1007" t="s">
        <v>66</v>
      </c>
      <c r="AP50" s="1007" t="s">
        <v>357</v>
      </c>
      <c r="AQ50" s="1007" t="s">
        <v>161</v>
      </c>
      <c r="AR50" s="1007" t="s">
        <v>358</v>
      </c>
      <c r="AS50" s="1007" t="s">
        <v>359</v>
      </c>
      <c r="AT50" s="1007" t="s">
        <v>359</v>
      </c>
      <c r="AU50" s="1007">
        <v>36</v>
      </c>
      <c r="AW50" s="1008">
        <v>46079</v>
      </c>
      <c r="AX50" s="1007" t="s">
        <v>84</v>
      </c>
      <c r="AY50" s="1008">
        <v>46091</v>
      </c>
      <c r="AZ50" s="1007">
        <v>8</v>
      </c>
      <c r="BA50" s="1008">
        <v>46087</v>
      </c>
      <c r="BB50" s="1007">
        <v>2026</v>
      </c>
      <c r="BC50" s="1007">
        <v>3</v>
      </c>
      <c r="BD50" s="1007">
        <v>10</v>
      </c>
      <c r="BE50" s="1007">
        <v>36</v>
      </c>
      <c r="BF50" s="1007">
        <v>720</v>
      </c>
      <c r="BG50" s="1007" t="s">
        <v>128</v>
      </c>
      <c r="BH50" s="1007" t="s">
        <v>109</v>
      </c>
    </row>
    <row r="51" spans="1:60">
      <c r="A51" s="1007" t="s">
        <v>366</v>
      </c>
      <c r="B51" s="1007" t="s">
        <v>111</v>
      </c>
      <c r="C51" s="1007" t="s">
        <v>215</v>
      </c>
      <c r="D51" s="1007" t="s">
        <v>113</v>
      </c>
      <c r="E51" s="1007" t="s">
        <v>64</v>
      </c>
      <c r="F51" s="1007" t="s">
        <v>65</v>
      </c>
      <c r="G51" s="1007" t="s">
        <v>66</v>
      </c>
      <c r="H51" s="1007" t="s">
        <v>67</v>
      </c>
      <c r="I51" s="1007" t="s">
        <v>68</v>
      </c>
      <c r="J51" s="1007" t="s">
        <v>363</v>
      </c>
      <c r="K51" s="1007" t="s">
        <v>364</v>
      </c>
      <c r="M51" s="1007" t="s">
        <v>68</v>
      </c>
      <c r="N51" s="1007" t="s">
        <v>68</v>
      </c>
      <c r="O51" s="1007" t="s">
        <v>70</v>
      </c>
      <c r="P51" s="1007" t="s">
        <v>218</v>
      </c>
      <c r="Q51" s="1007" t="s">
        <v>219</v>
      </c>
      <c r="R51" s="1007" t="s">
        <v>73</v>
      </c>
      <c r="S51" s="1007" t="s">
        <v>120</v>
      </c>
      <c r="T51" s="1007">
        <v>625</v>
      </c>
      <c r="U51" s="1007">
        <v>1440</v>
      </c>
      <c r="V51" s="1007">
        <v>0.9</v>
      </c>
      <c r="W51" s="1007">
        <v>40</v>
      </c>
      <c r="X51" s="1007">
        <v>2</v>
      </c>
      <c r="Y51" s="1007" t="s">
        <v>75</v>
      </c>
      <c r="Z51" s="1007" t="s">
        <v>75</v>
      </c>
      <c r="AB51" s="1008">
        <v>46035</v>
      </c>
      <c r="AC51" s="1007">
        <v>3</v>
      </c>
      <c r="AD51" s="1007" t="s">
        <v>367</v>
      </c>
      <c r="AF51" s="1007" t="s">
        <v>122</v>
      </c>
      <c r="AG51" s="1007" t="s">
        <v>123</v>
      </c>
      <c r="AH51" s="1007" t="s">
        <v>356</v>
      </c>
      <c r="AI51" s="1008">
        <v>46040</v>
      </c>
      <c r="AJ51" s="1008">
        <v>46045</v>
      </c>
      <c r="AK51" s="1008">
        <v>46043</v>
      </c>
      <c r="AL51" s="1008">
        <v>46077</v>
      </c>
      <c r="AM51" s="1008">
        <v>46077</v>
      </c>
      <c r="AN51" s="1008">
        <v>46079</v>
      </c>
      <c r="AO51" s="1007" t="s">
        <v>66</v>
      </c>
      <c r="AP51" s="1007" t="s">
        <v>357</v>
      </c>
      <c r="AQ51" s="1007" t="s">
        <v>161</v>
      </c>
      <c r="AR51" s="1007" t="s">
        <v>358</v>
      </c>
      <c r="AS51" s="1007" t="s">
        <v>359</v>
      </c>
      <c r="AT51" s="1007" t="s">
        <v>359</v>
      </c>
      <c r="AU51" s="1007">
        <v>36</v>
      </c>
      <c r="AW51" s="1008">
        <v>46079</v>
      </c>
      <c r="AX51" s="1007" t="s">
        <v>84</v>
      </c>
      <c r="AY51" s="1008">
        <v>46091</v>
      </c>
      <c r="AZ51" s="1007">
        <v>8</v>
      </c>
      <c r="BA51" s="1008">
        <v>46087</v>
      </c>
      <c r="BB51" s="1007">
        <v>2026</v>
      </c>
      <c r="BC51" s="1007">
        <v>3</v>
      </c>
      <c r="BD51" s="1007">
        <v>10</v>
      </c>
      <c r="BE51" s="1007">
        <v>36</v>
      </c>
      <c r="BF51" s="1007">
        <v>720</v>
      </c>
      <c r="BG51" s="1007" t="s">
        <v>128</v>
      </c>
      <c r="BH51" s="1007" t="s">
        <v>109</v>
      </c>
    </row>
    <row r="52" spans="1:60">
      <c r="A52" s="1007" t="s">
        <v>368</v>
      </c>
      <c r="B52" s="1007" t="s">
        <v>111</v>
      </c>
      <c r="C52" s="1007" t="s">
        <v>215</v>
      </c>
      <c r="D52" s="1007" t="s">
        <v>113</v>
      </c>
      <c r="E52" s="1007" t="s">
        <v>64</v>
      </c>
      <c r="F52" s="1007" t="s">
        <v>65</v>
      </c>
      <c r="G52" s="1007" t="s">
        <v>66</v>
      </c>
      <c r="H52" s="1007" t="s">
        <v>67</v>
      </c>
      <c r="I52" s="1007" t="s">
        <v>68</v>
      </c>
      <c r="J52" s="1007" t="s">
        <v>216</v>
      </c>
      <c r="K52" s="1007" t="s">
        <v>217</v>
      </c>
      <c r="M52" s="1007" t="s">
        <v>68</v>
      </c>
      <c r="N52" s="1007" t="s">
        <v>68</v>
      </c>
      <c r="O52" s="1007" t="s">
        <v>70</v>
      </c>
      <c r="P52" s="1007" t="s">
        <v>218</v>
      </c>
      <c r="Q52" s="1007" t="s">
        <v>219</v>
      </c>
      <c r="R52" s="1007" t="s">
        <v>73</v>
      </c>
      <c r="S52" s="1007" t="s">
        <v>120</v>
      </c>
      <c r="T52" s="1007">
        <v>625</v>
      </c>
      <c r="U52" s="1007">
        <v>72</v>
      </c>
      <c r="V52" s="1007">
        <v>4.4999999999999998E-2</v>
      </c>
      <c r="W52" s="1007">
        <v>2</v>
      </c>
      <c r="X52" s="1007">
        <v>0.1</v>
      </c>
      <c r="Y52" s="1007" t="s">
        <v>75</v>
      </c>
      <c r="Z52" s="1007" t="s">
        <v>75</v>
      </c>
      <c r="AB52" s="1008">
        <v>46035</v>
      </c>
      <c r="AC52" s="1007">
        <v>3</v>
      </c>
      <c r="AD52" s="1007" t="s">
        <v>369</v>
      </c>
      <c r="AF52" s="1007" t="s">
        <v>122</v>
      </c>
      <c r="AG52" s="1007" t="s">
        <v>123</v>
      </c>
      <c r="AH52" s="1007" t="s">
        <v>356</v>
      </c>
      <c r="AI52" s="1008">
        <v>46040</v>
      </c>
      <c r="AJ52" s="1008">
        <v>46043</v>
      </c>
      <c r="AK52" s="1008">
        <v>46043</v>
      </c>
      <c r="AL52" s="1008">
        <v>46077</v>
      </c>
      <c r="AM52" s="1008">
        <v>46077</v>
      </c>
      <c r="AN52" s="1008">
        <v>46078</v>
      </c>
      <c r="AO52" s="1007" t="s">
        <v>66</v>
      </c>
      <c r="AP52" s="1007" t="s">
        <v>370</v>
      </c>
      <c r="AQ52" s="1007" t="s">
        <v>80</v>
      </c>
      <c r="AR52" s="1007" t="s">
        <v>371</v>
      </c>
      <c r="AS52" s="1007" t="s">
        <v>372</v>
      </c>
      <c r="AT52" s="1007" t="s">
        <v>372</v>
      </c>
      <c r="AU52" s="1007">
        <v>35</v>
      </c>
      <c r="AW52" s="1008">
        <v>46078</v>
      </c>
      <c r="AX52" s="1007" t="s">
        <v>84</v>
      </c>
      <c r="AY52" s="1008">
        <v>46091</v>
      </c>
      <c r="AZ52" s="1007">
        <v>8</v>
      </c>
      <c r="BA52" s="1008">
        <v>46086</v>
      </c>
      <c r="BB52" s="1007">
        <v>2026</v>
      </c>
      <c r="BC52" s="1007">
        <v>3</v>
      </c>
      <c r="BD52" s="1007">
        <v>10</v>
      </c>
      <c r="BE52" s="1007">
        <v>36</v>
      </c>
      <c r="BF52" s="1007">
        <v>720</v>
      </c>
      <c r="BG52" s="1007" t="s">
        <v>128</v>
      </c>
      <c r="BH52" s="1007" t="s">
        <v>109</v>
      </c>
    </row>
    <row r="53" spans="1:60">
      <c r="A53" s="1007" t="s">
        <v>373</v>
      </c>
      <c r="B53" s="1007" t="s">
        <v>111</v>
      </c>
      <c r="C53" s="1007" t="s">
        <v>215</v>
      </c>
      <c r="D53" s="1007" t="s">
        <v>113</v>
      </c>
      <c r="E53" s="1007" t="s">
        <v>64</v>
      </c>
      <c r="F53" s="1007" t="s">
        <v>65</v>
      </c>
      <c r="G53" s="1007" t="s">
        <v>66</v>
      </c>
      <c r="H53" s="1007" t="s">
        <v>67</v>
      </c>
      <c r="I53" s="1007" t="s">
        <v>68</v>
      </c>
      <c r="J53" s="1007" t="s">
        <v>363</v>
      </c>
      <c r="K53" s="1007" t="s">
        <v>364</v>
      </c>
      <c r="M53" s="1007" t="s">
        <v>68</v>
      </c>
      <c r="N53" s="1007" t="s">
        <v>68</v>
      </c>
      <c r="O53" s="1007" t="s">
        <v>70</v>
      </c>
      <c r="P53" s="1007" t="s">
        <v>218</v>
      </c>
      <c r="Q53" s="1007" t="s">
        <v>219</v>
      </c>
      <c r="R53" s="1007" t="s">
        <v>73</v>
      </c>
      <c r="S53" s="1007" t="s">
        <v>120</v>
      </c>
      <c r="T53" s="1007">
        <v>625</v>
      </c>
      <c r="U53" s="1007">
        <v>324</v>
      </c>
      <c r="V53" s="1007">
        <v>0.20300000000000001</v>
      </c>
      <c r="W53" s="1007">
        <v>9</v>
      </c>
      <c r="X53" s="1007">
        <v>0.5</v>
      </c>
      <c r="Y53" s="1007" t="s">
        <v>75</v>
      </c>
      <c r="Z53" s="1007" t="s">
        <v>75</v>
      </c>
      <c r="AB53" s="1008">
        <v>46035</v>
      </c>
      <c r="AC53" s="1007">
        <v>3</v>
      </c>
      <c r="AD53" s="1007" t="s">
        <v>374</v>
      </c>
      <c r="AF53" s="1007" t="s">
        <v>122</v>
      </c>
      <c r="AG53" s="1007" t="s">
        <v>123</v>
      </c>
      <c r="AH53" s="1007" t="s">
        <v>356</v>
      </c>
      <c r="AI53" s="1008">
        <v>46040</v>
      </c>
      <c r="AJ53" s="1008">
        <v>46043</v>
      </c>
      <c r="AK53" s="1008">
        <v>46043</v>
      </c>
      <c r="AL53" s="1008">
        <v>46077</v>
      </c>
      <c r="AM53" s="1008">
        <v>46077</v>
      </c>
      <c r="AN53" s="1008">
        <v>46078</v>
      </c>
      <c r="AO53" s="1007" t="s">
        <v>66</v>
      </c>
      <c r="AP53" s="1007" t="s">
        <v>370</v>
      </c>
      <c r="AQ53" s="1007" t="s">
        <v>80</v>
      </c>
      <c r="AR53" s="1007" t="s">
        <v>371</v>
      </c>
      <c r="AS53" s="1007" t="s">
        <v>372</v>
      </c>
      <c r="AT53" s="1007" t="s">
        <v>372</v>
      </c>
      <c r="AU53" s="1007">
        <v>35</v>
      </c>
      <c r="AW53" s="1008">
        <v>46078</v>
      </c>
      <c r="AX53" s="1007" t="s">
        <v>84</v>
      </c>
      <c r="AY53" s="1008">
        <v>46091</v>
      </c>
      <c r="AZ53" s="1007">
        <v>8</v>
      </c>
      <c r="BA53" s="1008">
        <v>46086</v>
      </c>
      <c r="BB53" s="1007">
        <v>2026</v>
      </c>
      <c r="BC53" s="1007">
        <v>3</v>
      </c>
      <c r="BD53" s="1007">
        <v>10</v>
      </c>
      <c r="BE53" s="1007">
        <v>36</v>
      </c>
      <c r="BF53" s="1007">
        <v>720</v>
      </c>
      <c r="BG53" s="1007" t="s">
        <v>128</v>
      </c>
      <c r="BH53" s="1007" t="s">
        <v>109</v>
      </c>
    </row>
    <row r="54" spans="1:60">
      <c r="A54" s="1007" t="s">
        <v>375</v>
      </c>
      <c r="B54" s="1007" t="s">
        <v>111</v>
      </c>
      <c r="C54" s="1007" t="s">
        <v>376</v>
      </c>
      <c r="D54" s="1007" t="s">
        <v>113</v>
      </c>
      <c r="E54" s="1007" t="s">
        <v>64</v>
      </c>
      <c r="F54" s="1007" t="s">
        <v>65</v>
      </c>
      <c r="G54" s="1007" t="s">
        <v>66</v>
      </c>
      <c r="H54" s="1007" t="s">
        <v>67</v>
      </c>
      <c r="I54" s="1007" t="s">
        <v>68</v>
      </c>
      <c r="J54" s="1007" t="s">
        <v>377</v>
      </c>
      <c r="K54" s="1007" t="s">
        <v>328</v>
      </c>
      <c r="M54" s="1007" t="s">
        <v>68</v>
      </c>
      <c r="N54" s="1007" t="s">
        <v>68</v>
      </c>
      <c r="O54" s="1007" t="s">
        <v>70</v>
      </c>
      <c r="P54" s="1007" t="s">
        <v>378</v>
      </c>
      <c r="Q54" s="1007" t="s">
        <v>379</v>
      </c>
      <c r="R54" s="1007" t="s">
        <v>73</v>
      </c>
      <c r="S54" s="1007" t="s">
        <v>120</v>
      </c>
      <c r="T54" s="1007">
        <v>620</v>
      </c>
      <c r="U54" s="1007">
        <v>324</v>
      </c>
      <c r="V54" s="1007">
        <v>0.20100000000000001</v>
      </c>
      <c r="W54" s="1007">
        <v>9</v>
      </c>
      <c r="X54" s="1007">
        <v>0.5</v>
      </c>
      <c r="Y54" s="1007" t="s">
        <v>75</v>
      </c>
      <c r="Z54" s="1007" t="s">
        <v>75</v>
      </c>
      <c r="AB54" s="1008">
        <v>46035</v>
      </c>
      <c r="AC54" s="1007">
        <v>3</v>
      </c>
      <c r="AD54" s="1007" t="s">
        <v>380</v>
      </c>
      <c r="AF54" s="1007" t="s">
        <v>122</v>
      </c>
      <c r="AG54" s="1007" t="s">
        <v>123</v>
      </c>
      <c r="AH54" s="1007" t="s">
        <v>356</v>
      </c>
      <c r="AI54" s="1008">
        <v>46040</v>
      </c>
      <c r="AJ54" s="1008">
        <v>46043</v>
      </c>
      <c r="AK54" s="1008">
        <v>46043</v>
      </c>
      <c r="AL54" s="1008">
        <v>46077</v>
      </c>
      <c r="AM54" s="1008">
        <v>46077</v>
      </c>
      <c r="AN54" s="1008">
        <v>46078</v>
      </c>
      <c r="AO54" s="1007" t="s">
        <v>66</v>
      </c>
      <c r="AP54" s="1007" t="s">
        <v>370</v>
      </c>
      <c r="AQ54" s="1007" t="s">
        <v>80</v>
      </c>
      <c r="AR54" s="1007" t="s">
        <v>371</v>
      </c>
      <c r="AS54" s="1007" t="s">
        <v>372</v>
      </c>
      <c r="AT54" s="1007" t="s">
        <v>372</v>
      </c>
      <c r="AU54" s="1007">
        <v>35</v>
      </c>
      <c r="AW54" s="1008">
        <v>46078</v>
      </c>
      <c r="AX54" s="1007" t="s">
        <v>84</v>
      </c>
      <c r="AY54" s="1008">
        <v>46091</v>
      </c>
      <c r="AZ54" s="1007">
        <v>8</v>
      </c>
      <c r="BA54" s="1008">
        <v>46086</v>
      </c>
      <c r="BB54" s="1007">
        <v>2026</v>
      </c>
      <c r="BC54" s="1007">
        <v>3</v>
      </c>
      <c r="BD54" s="1007">
        <v>10</v>
      </c>
      <c r="BE54" s="1007">
        <v>36</v>
      </c>
      <c r="BF54" s="1007">
        <v>720</v>
      </c>
      <c r="BG54" s="1007" t="s">
        <v>128</v>
      </c>
      <c r="BH54" s="1007" t="s">
        <v>109</v>
      </c>
    </row>
    <row r="55" spans="1:60">
      <c r="A55" s="1007" t="s">
        <v>381</v>
      </c>
      <c r="B55" s="1007" t="s">
        <v>111</v>
      </c>
      <c r="C55" s="1007" t="s">
        <v>187</v>
      </c>
      <c r="D55" s="1007" t="s">
        <v>63</v>
      </c>
      <c r="E55" s="1007" t="s">
        <v>64</v>
      </c>
      <c r="F55" s="1007" t="s">
        <v>65</v>
      </c>
      <c r="G55" s="1007" t="s">
        <v>66</v>
      </c>
      <c r="H55" s="1007" t="s">
        <v>67</v>
      </c>
      <c r="I55" s="1007" t="s">
        <v>68</v>
      </c>
      <c r="J55" s="1007" t="s">
        <v>188</v>
      </c>
      <c r="M55" s="1007" t="s">
        <v>68</v>
      </c>
      <c r="N55" s="1007" t="s">
        <v>68</v>
      </c>
      <c r="O55" s="1007" t="s">
        <v>132</v>
      </c>
      <c r="P55" s="1007" t="s">
        <v>189</v>
      </c>
      <c r="Q55" s="1007" t="s">
        <v>190</v>
      </c>
      <c r="R55" s="1007" t="s">
        <v>73</v>
      </c>
      <c r="S55" s="1007" t="s">
        <v>74</v>
      </c>
      <c r="T55" s="1007">
        <v>465</v>
      </c>
      <c r="U55" s="1007">
        <v>1728</v>
      </c>
      <c r="V55" s="1007">
        <v>0.80400000000000005</v>
      </c>
      <c r="W55" s="1007">
        <v>48</v>
      </c>
      <c r="X55" s="1007">
        <v>2</v>
      </c>
      <c r="Y55" s="1007" t="s">
        <v>75</v>
      </c>
      <c r="Z55" s="1007" t="s">
        <v>75</v>
      </c>
      <c r="AB55" s="1008">
        <v>46033</v>
      </c>
      <c r="AC55" s="1007">
        <v>2</v>
      </c>
      <c r="AD55" s="1007" t="s">
        <v>382</v>
      </c>
      <c r="AF55" s="1007" t="s">
        <v>122</v>
      </c>
      <c r="AG55" s="1007" t="s">
        <v>123</v>
      </c>
      <c r="AH55" s="1007" t="s">
        <v>78</v>
      </c>
      <c r="AI55" s="1008">
        <v>46042</v>
      </c>
      <c r="AJ55" s="1008">
        <v>46044</v>
      </c>
      <c r="AK55" s="1008">
        <v>46044</v>
      </c>
      <c r="AL55" s="1008">
        <v>46085</v>
      </c>
      <c r="AM55" s="1008">
        <v>46101</v>
      </c>
      <c r="AN55" s="1008">
        <v>46102</v>
      </c>
      <c r="AO55" s="1007" t="s">
        <v>66</v>
      </c>
      <c r="AP55" s="1007" t="s">
        <v>383</v>
      </c>
      <c r="AQ55" s="1007" t="s">
        <v>80</v>
      </c>
      <c r="AR55" s="1007" t="s">
        <v>384</v>
      </c>
      <c r="AS55" s="1007" t="s">
        <v>385</v>
      </c>
      <c r="AT55" s="1007" t="s">
        <v>385</v>
      </c>
      <c r="AU55" s="1007">
        <v>58</v>
      </c>
      <c r="AW55" s="1008">
        <v>46102</v>
      </c>
      <c r="AX55" s="1007" t="s">
        <v>84</v>
      </c>
      <c r="AY55" s="1008">
        <v>46115</v>
      </c>
      <c r="AZ55" s="1007">
        <v>8</v>
      </c>
      <c r="BA55" s="1008">
        <v>46110</v>
      </c>
      <c r="BB55" s="1007">
        <v>2026</v>
      </c>
      <c r="BC55" s="1007">
        <v>3</v>
      </c>
      <c r="BD55" s="1007">
        <v>13</v>
      </c>
      <c r="BE55" s="1007">
        <v>36</v>
      </c>
      <c r="BF55" s="1007">
        <v>864</v>
      </c>
      <c r="BG55" s="1007" t="s">
        <v>108</v>
      </c>
      <c r="BH55" s="1007" t="s">
        <v>86</v>
      </c>
    </row>
    <row r="56" spans="1:60">
      <c r="A56" s="1007" t="s">
        <v>386</v>
      </c>
      <c r="B56" s="1007" t="s">
        <v>111</v>
      </c>
      <c r="C56" s="1007" t="s">
        <v>387</v>
      </c>
      <c r="D56" s="1007" t="s">
        <v>63</v>
      </c>
      <c r="E56" s="1007" t="s">
        <v>64</v>
      </c>
      <c r="F56" s="1007" t="s">
        <v>65</v>
      </c>
      <c r="G56" s="1007" t="s">
        <v>66</v>
      </c>
      <c r="H56" s="1007" t="s">
        <v>67</v>
      </c>
      <c r="I56" s="1007" t="s">
        <v>68</v>
      </c>
      <c r="J56" s="1007" t="s">
        <v>188</v>
      </c>
      <c r="M56" s="1007" t="s">
        <v>68</v>
      </c>
      <c r="N56" s="1007" t="s">
        <v>68</v>
      </c>
      <c r="O56" s="1007" t="s">
        <v>132</v>
      </c>
      <c r="P56" s="1007" t="s">
        <v>189</v>
      </c>
      <c r="Q56" s="1007" t="s">
        <v>190</v>
      </c>
      <c r="R56" s="1007" t="s">
        <v>73</v>
      </c>
      <c r="S56" s="1007" t="s">
        <v>74</v>
      </c>
      <c r="T56" s="1007">
        <v>465</v>
      </c>
      <c r="U56" s="1007">
        <v>2592</v>
      </c>
      <c r="V56" s="1007">
        <v>1.2050000000000001</v>
      </c>
      <c r="W56" s="1007">
        <v>72</v>
      </c>
      <c r="X56" s="1007">
        <v>3</v>
      </c>
      <c r="Y56" s="1007" t="s">
        <v>75</v>
      </c>
      <c r="Z56" s="1007" t="s">
        <v>75</v>
      </c>
      <c r="AB56" s="1008">
        <v>46033</v>
      </c>
      <c r="AC56" s="1007">
        <v>2</v>
      </c>
      <c r="AD56" s="1007" t="s">
        <v>388</v>
      </c>
      <c r="AF56" s="1007" t="s">
        <v>122</v>
      </c>
      <c r="AG56" s="1007" t="s">
        <v>123</v>
      </c>
      <c r="AH56" s="1007" t="s">
        <v>78</v>
      </c>
      <c r="AI56" s="1008">
        <v>46042</v>
      </c>
      <c r="AJ56" s="1008">
        <v>46044</v>
      </c>
      <c r="AK56" s="1008">
        <v>46044</v>
      </c>
      <c r="AL56" s="1008">
        <v>46085</v>
      </c>
      <c r="AM56" s="1008">
        <v>46101</v>
      </c>
      <c r="AN56" s="1008">
        <v>46102</v>
      </c>
      <c r="AO56" s="1007" t="s">
        <v>66</v>
      </c>
      <c r="AP56" s="1007" t="s">
        <v>383</v>
      </c>
      <c r="AQ56" s="1007" t="s">
        <v>80</v>
      </c>
      <c r="AR56" s="1007" t="s">
        <v>384</v>
      </c>
      <c r="AS56" s="1007" t="s">
        <v>385</v>
      </c>
      <c r="AT56" s="1007" t="s">
        <v>385</v>
      </c>
      <c r="AU56" s="1007">
        <v>58</v>
      </c>
      <c r="AW56" s="1008">
        <v>46102</v>
      </c>
      <c r="AX56" s="1007" t="s">
        <v>84</v>
      </c>
      <c r="AY56" s="1008">
        <v>46115</v>
      </c>
      <c r="AZ56" s="1007">
        <v>8</v>
      </c>
      <c r="BA56" s="1008">
        <v>46110</v>
      </c>
      <c r="BB56" s="1007">
        <v>2026</v>
      </c>
      <c r="BC56" s="1007">
        <v>3</v>
      </c>
      <c r="BD56" s="1007">
        <v>13</v>
      </c>
      <c r="BE56" s="1007">
        <v>36</v>
      </c>
      <c r="BF56" s="1007">
        <v>864</v>
      </c>
      <c r="BG56" s="1007" t="s">
        <v>108</v>
      </c>
      <c r="BH56" s="1007" t="s">
        <v>86</v>
      </c>
    </row>
    <row r="57" spans="1:60">
      <c r="A57" s="1007" t="s">
        <v>389</v>
      </c>
      <c r="B57" s="1007" t="s">
        <v>111</v>
      </c>
      <c r="C57" s="1007" t="s">
        <v>387</v>
      </c>
      <c r="D57" s="1007" t="s">
        <v>63</v>
      </c>
      <c r="E57" s="1007" t="s">
        <v>64</v>
      </c>
      <c r="F57" s="1007" t="s">
        <v>65</v>
      </c>
      <c r="G57" s="1007" t="s">
        <v>66</v>
      </c>
      <c r="H57" s="1007" t="s">
        <v>67</v>
      </c>
      <c r="I57" s="1007" t="s">
        <v>68</v>
      </c>
      <c r="J57" s="1007" t="s">
        <v>188</v>
      </c>
      <c r="M57" s="1007" t="s">
        <v>68</v>
      </c>
      <c r="N57" s="1007" t="s">
        <v>68</v>
      </c>
      <c r="O57" s="1007" t="s">
        <v>132</v>
      </c>
      <c r="P57" s="1007" t="s">
        <v>189</v>
      </c>
      <c r="Q57" s="1007" t="s">
        <v>190</v>
      </c>
      <c r="R57" s="1007" t="s">
        <v>73</v>
      </c>
      <c r="S57" s="1007" t="s">
        <v>74</v>
      </c>
      <c r="T57" s="1007">
        <v>465</v>
      </c>
      <c r="U57" s="1007">
        <v>1728</v>
      </c>
      <c r="V57" s="1007">
        <v>0.80400000000000005</v>
      </c>
      <c r="W57" s="1007">
        <v>48</v>
      </c>
      <c r="X57" s="1007">
        <v>2</v>
      </c>
      <c r="Y57" s="1007" t="s">
        <v>75</v>
      </c>
      <c r="Z57" s="1007" t="s">
        <v>75</v>
      </c>
      <c r="AB57" s="1008">
        <v>46033</v>
      </c>
      <c r="AC57" s="1007">
        <v>2</v>
      </c>
      <c r="AD57" s="1007" t="s">
        <v>390</v>
      </c>
      <c r="AF57" s="1007" t="s">
        <v>122</v>
      </c>
      <c r="AG57" s="1007" t="s">
        <v>123</v>
      </c>
      <c r="AH57" s="1007" t="s">
        <v>78</v>
      </c>
      <c r="AI57" s="1008">
        <v>46042</v>
      </c>
      <c r="AJ57" s="1008">
        <v>46044</v>
      </c>
      <c r="AK57" s="1008">
        <v>46044</v>
      </c>
      <c r="AL57" s="1008">
        <v>46085</v>
      </c>
      <c r="AM57" s="1008">
        <v>46101</v>
      </c>
      <c r="AN57" s="1008">
        <v>46102</v>
      </c>
      <c r="AO57" s="1007" t="s">
        <v>66</v>
      </c>
      <c r="AP57" s="1007" t="s">
        <v>383</v>
      </c>
      <c r="AQ57" s="1007" t="s">
        <v>80</v>
      </c>
      <c r="AR57" s="1007" t="s">
        <v>384</v>
      </c>
      <c r="AS57" s="1007" t="s">
        <v>385</v>
      </c>
      <c r="AT57" s="1007" t="s">
        <v>385</v>
      </c>
      <c r="AU57" s="1007">
        <v>58</v>
      </c>
      <c r="AW57" s="1008">
        <v>46102</v>
      </c>
      <c r="AX57" s="1007" t="s">
        <v>84</v>
      </c>
      <c r="AY57" s="1008">
        <v>46115</v>
      </c>
      <c r="AZ57" s="1007">
        <v>8</v>
      </c>
      <c r="BA57" s="1008">
        <v>46110</v>
      </c>
      <c r="BB57" s="1007">
        <v>2026</v>
      </c>
      <c r="BC57" s="1007">
        <v>3</v>
      </c>
      <c r="BD57" s="1007">
        <v>13</v>
      </c>
      <c r="BE57" s="1007">
        <v>36</v>
      </c>
      <c r="BF57" s="1007">
        <v>864</v>
      </c>
      <c r="BG57" s="1007" t="s">
        <v>108</v>
      </c>
      <c r="BH57" s="1007" t="s">
        <v>86</v>
      </c>
    </row>
    <row r="58" spans="1:60">
      <c r="A58" s="1007" t="s">
        <v>391</v>
      </c>
      <c r="B58" s="1007" t="s">
        <v>111</v>
      </c>
      <c r="C58" s="1007" t="s">
        <v>187</v>
      </c>
      <c r="D58" s="1007" t="s">
        <v>63</v>
      </c>
      <c r="E58" s="1007" t="s">
        <v>64</v>
      </c>
      <c r="F58" s="1007" t="s">
        <v>100</v>
      </c>
      <c r="G58" s="1007" t="s">
        <v>66</v>
      </c>
      <c r="H58" s="1007" t="s">
        <v>67</v>
      </c>
      <c r="I58" s="1007" t="s">
        <v>68</v>
      </c>
      <c r="J58" s="1007" t="s">
        <v>101</v>
      </c>
      <c r="M58" s="1007" t="s">
        <v>68</v>
      </c>
      <c r="N58" s="1007" t="s">
        <v>68</v>
      </c>
      <c r="O58" s="1007" t="s">
        <v>132</v>
      </c>
      <c r="P58" s="1007" t="s">
        <v>189</v>
      </c>
      <c r="Q58" s="1007" t="s">
        <v>190</v>
      </c>
      <c r="R58" s="1007" t="s">
        <v>73</v>
      </c>
      <c r="S58" s="1007" t="s">
        <v>74</v>
      </c>
      <c r="T58" s="1007">
        <v>465</v>
      </c>
      <c r="U58" s="1007">
        <v>1728</v>
      </c>
      <c r="V58" s="1007">
        <v>0.80400000000000005</v>
      </c>
      <c r="W58" s="1007">
        <v>48</v>
      </c>
      <c r="X58" s="1007">
        <v>2</v>
      </c>
      <c r="Y58" s="1007" t="s">
        <v>75</v>
      </c>
      <c r="Z58" s="1007" t="s">
        <v>75</v>
      </c>
      <c r="AB58" s="1008">
        <v>46039</v>
      </c>
      <c r="AC58" s="1007">
        <v>3</v>
      </c>
      <c r="AD58" s="1007" t="s">
        <v>392</v>
      </c>
      <c r="AF58" s="1007" t="s">
        <v>122</v>
      </c>
      <c r="AG58" s="1007" t="s">
        <v>123</v>
      </c>
      <c r="AH58" s="1007" t="s">
        <v>105</v>
      </c>
      <c r="AI58" s="1008">
        <v>46045</v>
      </c>
      <c r="AJ58" s="1008">
        <v>46047</v>
      </c>
      <c r="AK58" s="1008">
        <v>46047</v>
      </c>
      <c r="AL58" s="1008">
        <v>46096</v>
      </c>
      <c r="AM58" s="1008">
        <v>46111</v>
      </c>
      <c r="AN58" s="1008">
        <v>46116</v>
      </c>
      <c r="AO58" s="1007" t="s">
        <v>66</v>
      </c>
      <c r="AP58" s="1007" t="s">
        <v>393</v>
      </c>
      <c r="AQ58" s="1007" t="s">
        <v>80</v>
      </c>
      <c r="AR58" s="1007" t="s">
        <v>394</v>
      </c>
      <c r="AS58" s="1007" t="s">
        <v>395</v>
      </c>
      <c r="AT58" s="1007" t="s">
        <v>395</v>
      </c>
      <c r="AU58" s="1007">
        <v>69</v>
      </c>
      <c r="AW58" s="1008">
        <v>46116</v>
      </c>
      <c r="AX58" s="1007" t="s">
        <v>84</v>
      </c>
      <c r="AY58" s="1008">
        <v>46129</v>
      </c>
      <c r="AZ58" s="1007">
        <v>7</v>
      </c>
      <c r="BA58" s="1008">
        <v>46123</v>
      </c>
      <c r="BB58" s="1007">
        <v>2026</v>
      </c>
      <c r="BC58" s="1007">
        <v>4</v>
      </c>
      <c r="BD58" s="1007">
        <v>15</v>
      </c>
      <c r="BE58" s="1007">
        <v>36</v>
      </c>
      <c r="BF58" s="1007">
        <v>864</v>
      </c>
      <c r="BG58" s="1007" t="s">
        <v>108</v>
      </c>
      <c r="BH58" s="1007" t="s">
        <v>109</v>
      </c>
    </row>
    <row r="59" spans="1:60">
      <c r="A59" s="1007" t="s">
        <v>396</v>
      </c>
      <c r="B59" s="1007" t="s">
        <v>111</v>
      </c>
      <c r="C59" s="1007" t="s">
        <v>112</v>
      </c>
      <c r="D59" s="1007" t="s">
        <v>113</v>
      </c>
      <c r="E59" s="1007" t="s">
        <v>64</v>
      </c>
      <c r="F59" s="1007" t="s">
        <v>114</v>
      </c>
      <c r="G59" s="1007" t="s">
        <v>66</v>
      </c>
      <c r="H59" s="1007" t="s">
        <v>115</v>
      </c>
      <c r="I59" s="1007" t="s">
        <v>68</v>
      </c>
      <c r="J59" s="1007" t="s">
        <v>116</v>
      </c>
      <c r="K59" s="1007" t="s">
        <v>266</v>
      </c>
      <c r="M59" s="1007" t="s">
        <v>68</v>
      </c>
      <c r="N59" s="1007" t="s">
        <v>68</v>
      </c>
      <c r="O59" s="1007" t="s">
        <v>70</v>
      </c>
      <c r="P59" s="1007" t="s">
        <v>118</v>
      </c>
      <c r="Q59" s="1007" t="s">
        <v>119</v>
      </c>
      <c r="R59" s="1007" t="s">
        <v>73</v>
      </c>
      <c r="S59" s="1007" t="s">
        <v>120</v>
      </c>
      <c r="T59" s="1007">
        <v>640</v>
      </c>
      <c r="U59" s="1007">
        <v>1152</v>
      </c>
      <c r="V59" s="1007">
        <v>0.73699999999999999</v>
      </c>
      <c r="W59" s="1007">
        <v>32</v>
      </c>
      <c r="X59" s="1007">
        <v>2</v>
      </c>
      <c r="Y59" s="1007" t="s">
        <v>75</v>
      </c>
      <c r="Z59" s="1007" t="s">
        <v>75</v>
      </c>
      <c r="AB59" s="1008">
        <v>46039</v>
      </c>
      <c r="AC59" s="1007">
        <v>3</v>
      </c>
      <c r="AD59" s="1007" t="s">
        <v>397</v>
      </c>
      <c r="AF59" s="1007" t="s">
        <v>122</v>
      </c>
      <c r="AG59" s="1007" t="s">
        <v>123</v>
      </c>
      <c r="AH59" s="1007" t="s">
        <v>124</v>
      </c>
      <c r="AI59" s="1008">
        <v>46043</v>
      </c>
      <c r="AJ59" s="1008">
        <v>46046</v>
      </c>
      <c r="AK59" s="1008">
        <v>46046</v>
      </c>
      <c r="AL59" s="1008">
        <v>46081</v>
      </c>
      <c r="AM59" s="1008">
        <v>46091</v>
      </c>
      <c r="AN59" s="1008">
        <v>46092</v>
      </c>
      <c r="AO59" s="1007" t="s">
        <v>66</v>
      </c>
      <c r="AP59" s="1007" t="s">
        <v>398</v>
      </c>
      <c r="AQ59" s="1007" t="s">
        <v>161</v>
      </c>
      <c r="AR59" s="1007" t="s">
        <v>399</v>
      </c>
      <c r="AS59" s="1007">
        <v>263794612</v>
      </c>
      <c r="AT59" s="1007">
        <v>263794612</v>
      </c>
      <c r="AU59" s="1007">
        <v>46</v>
      </c>
      <c r="AW59" s="1008">
        <v>46092</v>
      </c>
      <c r="AX59" s="1007" t="s">
        <v>84</v>
      </c>
      <c r="AY59" s="1008">
        <v>46097</v>
      </c>
      <c r="AZ59" s="1007">
        <v>9</v>
      </c>
      <c r="BA59" s="1008">
        <v>46101</v>
      </c>
      <c r="BB59" s="1007">
        <v>2026</v>
      </c>
      <c r="BC59" s="1007">
        <v>3</v>
      </c>
      <c r="BD59" s="1007">
        <v>12</v>
      </c>
      <c r="BE59" s="1007">
        <v>36</v>
      </c>
      <c r="BF59" s="1007">
        <v>576</v>
      </c>
      <c r="BG59" s="1007" t="s">
        <v>128</v>
      </c>
      <c r="BH59" s="1007" t="s">
        <v>86</v>
      </c>
    </row>
    <row r="60" spans="1:60">
      <c r="A60" s="1007" t="s">
        <v>400</v>
      </c>
      <c r="B60" s="1007" t="s">
        <v>111</v>
      </c>
      <c r="C60" s="1007" t="s">
        <v>401</v>
      </c>
      <c r="D60" s="1007" t="s">
        <v>63</v>
      </c>
      <c r="E60" s="1007" t="s">
        <v>144</v>
      </c>
      <c r="F60" s="1007" t="s">
        <v>145</v>
      </c>
      <c r="G60" s="1007" t="s">
        <v>402</v>
      </c>
      <c r="H60" s="1007" t="s">
        <v>403</v>
      </c>
      <c r="I60" s="1007" t="s">
        <v>68</v>
      </c>
      <c r="J60" s="1007" t="s">
        <v>404</v>
      </c>
      <c r="M60" s="1007" t="s">
        <v>68</v>
      </c>
      <c r="N60" s="1007" t="s">
        <v>68</v>
      </c>
      <c r="O60" s="1007" t="s">
        <v>132</v>
      </c>
      <c r="P60" s="1007" t="s">
        <v>405</v>
      </c>
      <c r="Q60" s="1007" t="s">
        <v>406</v>
      </c>
      <c r="R60" s="1007" t="s">
        <v>73</v>
      </c>
      <c r="S60" s="1007" t="s">
        <v>120</v>
      </c>
      <c r="T60" s="1007">
        <v>510</v>
      </c>
      <c r="U60" s="1007">
        <v>2376</v>
      </c>
      <c r="V60" s="1007">
        <v>1.212</v>
      </c>
      <c r="W60" s="1007">
        <v>66</v>
      </c>
      <c r="X60" s="1007">
        <v>3</v>
      </c>
      <c r="Y60" s="1007" t="s">
        <v>75</v>
      </c>
      <c r="Z60" s="1007" t="s">
        <v>75</v>
      </c>
      <c r="AB60" s="1008">
        <v>46035</v>
      </c>
      <c r="AC60" s="1007">
        <v>3</v>
      </c>
      <c r="AD60" s="1007" t="s">
        <v>407</v>
      </c>
      <c r="AF60" s="1007" t="s">
        <v>122</v>
      </c>
      <c r="AG60" s="1007" t="s">
        <v>123</v>
      </c>
      <c r="AH60" s="1007" t="s">
        <v>124</v>
      </c>
      <c r="AI60" s="1008">
        <v>46042</v>
      </c>
      <c r="AJ60" s="1008">
        <v>46041</v>
      </c>
      <c r="AK60" s="1008">
        <v>46041</v>
      </c>
      <c r="AL60" s="1008">
        <v>46086</v>
      </c>
      <c r="AM60" s="1008">
        <v>46079</v>
      </c>
      <c r="AN60" s="1008">
        <v>46079</v>
      </c>
      <c r="AO60" s="1007" t="s">
        <v>402</v>
      </c>
      <c r="AP60" s="1007" t="s">
        <v>408</v>
      </c>
      <c r="AQ60" s="1007" t="s">
        <v>80</v>
      </c>
      <c r="AR60" s="1007" t="s">
        <v>409</v>
      </c>
      <c r="AS60" s="1007" t="s">
        <v>410</v>
      </c>
      <c r="AT60" s="1007" t="s">
        <v>410</v>
      </c>
      <c r="AU60" s="1007">
        <v>38</v>
      </c>
      <c r="AW60" s="1008">
        <v>46079</v>
      </c>
      <c r="AX60" s="1007" t="s">
        <v>84</v>
      </c>
      <c r="AY60" s="1008">
        <v>46086</v>
      </c>
      <c r="AZ60" s="1007" t="s">
        <v>152</v>
      </c>
      <c r="BA60" s="1008">
        <v>46079</v>
      </c>
      <c r="BB60" s="1007">
        <v>2026</v>
      </c>
      <c r="BC60" s="1007">
        <v>2</v>
      </c>
      <c r="BD60" s="1007">
        <v>9</v>
      </c>
      <c r="BE60" s="1007">
        <v>36</v>
      </c>
      <c r="BF60" s="1007">
        <v>792</v>
      </c>
      <c r="BG60" s="1007" t="s">
        <v>108</v>
      </c>
      <c r="BH60" s="1007" t="s">
        <v>86</v>
      </c>
    </row>
    <row r="61" spans="1:60">
      <c r="A61" s="1007" t="s">
        <v>411</v>
      </c>
      <c r="B61" s="1007" t="s">
        <v>111</v>
      </c>
      <c r="C61" s="1007" t="s">
        <v>168</v>
      </c>
      <c r="D61" s="1007" t="s">
        <v>63</v>
      </c>
      <c r="E61" s="1007" t="s">
        <v>64</v>
      </c>
      <c r="F61" s="1007" t="s">
        <v>65</v>
      </c>
      <c r="G61" s="1007" t="s">
        <v>66</v>
      </c>
      <c r="H61" s="1007" t="s">
        <v>67</v>
      </c>
      <c r="I61" s="1007" t="s">
        <v>68</v>
      </c>
      <c r="J61" s="1007" t="s">
        <v>232</v>
      </c>
      <c r="M61" s="1007" t="s">
        <v>68</v>
      </c>
      <c r="N61" s="1007" t="s">
        <v>68</v>
      </c>
      <c r="O61" s="1007" t="s">
        <v>170</v>
      </c>
      <c r="P61" s="1007" t="s">
        <v>171</v>
      </c>
      <c r="Q61" s="1007" t="s">
        <v>172</v>
      </c>
      <c r="R61" s="1007" t="s">
        <v>73</v>
      </c>
      <c r="S61" s="1007" t="s">
        <v>120</v>
      </c>
      <c r="T61" s="1007">
        <v>555</v>
      </c>
      <c r="U61" s="1007">
        <v>660</v>
      </c>
      <c r="V61" s="1007">
        <v>0.36599999999999999</v>
      </c>
      <c r="W61" s="1007">
        <v>20</v>
      </c>
      <c r="X61" s="1007">
        <v>1</v>
      </c>
      <c r="Y61" s="1007" t="s">
        <v>75</v>
      </c>
      <c r="Z61" s="1007" t="s">
        <v>75</v>
      </c>
      <c r="AB61" s="1008">
        <v>46035</v>
      </c>
      <c r="AC61" s="1007">
        <v>3</v>
      </c>
      <c r="AD61" s="1007" t="s">
        <v>412</v>
      </c>
      <c r="AF61" s="1007" t="s">
        <v>122</v>
      </c>
      <c r="AG61" s="1007" t="s">
        <v>123</v>
      </c>
      <c r="AH61" s="1007" t="s">
        <v>78</v>
      </c>
      <c r="AI61" s="1008">
        <v>46042</v>
      </c>
      <c r="AJ61" s="1008">
        <v>46041</v>
      </c>
      <c r="AK61" s="1008">
        <v>46041</v>
      </c>
      <c r="AL61" s="1008">
        <v>46091</v>
      </c>
      <c r="AM61" s="1008">
        <v>46090</v>
      </c>
      <c r="AN61" s="1008">
        <v>46090</v>
      </c>
      <c r="AO61" s="1007" t="s">
        <v>66</v>
      </c>
      <c r="AP61" s="1007" t="s">
        <v>408</v>
      </c>
      <c r="AQ61" s="1007" t="s">
        <v>80</v>
      </c>
      <c r="AR61" s="1007" t="s">
        <v>413</v>
      </c>
      <c r="AS61" s="1007" t="s">
        <v>414</v>
      </c>
      <c r="AT61" s="1007" t="s">
        <v>414</v>
      </c>
      <c r="AU61" s="1007">
        <v>49</v>
      </c>
      <c r="AW61" s="1008">
        <v>46090</v>
      </c>
      <c r="AX61" s="1007" t="s">
        <v>84</v>
      </c>
      <c r="AY61" s="1008">
        <v>46104</v>
      </c>
      <c r="AZ61" s="1007">
        <v>8</v>
      </c>
      <c r="BA61" s="1008">
        <v>46098</v>
      </c>
      <c r="BB61" s="1007">
        <v>2026</v>
      </c>
      <c r="BC61" s="1007">
        <v>3</v>
      </c>
      <c r="BD61" s="1007">
        <v>12</v>
      </c>
      <c r="BE61" s="1007">
        <v>33</v>
      </c>
      <c r="BF61" s="1007">
        <v>660</v>
      </c>
      <c r="BG61" s="1007" t="s">
        <v>108</v>
      </c>
      <c r="BH61" s="1007" t="s">
        <v>86</v>
      </c>
    </row>
    <row r="62" spans="1:60">
      <c r="A62" s="1007" t="s">
        <v>415</v>
      </c>
      <c r="B62" s="1007" t="s">
        <v>111</v>
      </c>
      <c r="C62" s="1007" t="s">
        <v>168</v>
      </c>
      <c r="D62" s="1007" t="s">
        <v>63</v>
      </c>
      <c r="E62" s="1007" t="s">
        <v>64</v>
      </c>
      <c r="F62" s="1007" t="s">
        <v>65</v>
      </c>
      <c r="G62" s="1007" t="s">
        <v>66</v>
      </c>
      <c r="H62" s="1007" t="s">
        <v>67</v>
      </c>
      <c r="I62" s="1007" t="s">
        <v>68</v>
      </c>
      <c r="J62" s="1007" t="s">
        <v>232</v>
      </c>
      <c r="M62" s="1007" t="s">
        <v>68</v>
      </c>
      <c r="N62" s="1007" t="s">
        <v>68</v>
      </c>
      <c r="O62" s="1007" t="s">
        <v>170</v>
      </c>
      <c r="P62" s="1007" t="s">
        <v>171</v>
      </c>
      <c r="Q62" s="1007" t="s">
        <v>172</v>
      </c>
      <c r="R62" s="1007" t="s">
        <v>73</v>
      </c>
      <c r="S62" s="1007" t="s">
        <v>120</v>
      </c>
      <c r="T62" s="1007">
        <v>555</v>
      </c>
      <c r="U62" s="1007">
        <v>1320</v>
      </c>
      <c r="V62" s="1007">
        <v>0.73299999999999998</v>
      </c>
      <c r="W62" s="1007">
        <v>40</v>
      </c>
      <c r="X62" s="1007">
        <v>2</v>
      </c>
      <c r="Y62" s="1007" t="s">
        <v>75</v>
      </c>
      <c r="Z62" s="1007" t="s">
        <v>75</v>
      </c>
      <c r="AB62" s="1008">
        <v>46035</v>
      </c>
      <c r="AC62" s="1007">
        <v>3</v>
      </c>
      <c r="AD62" s="1007" t="s">
        <v>416</v>
      </c>
      <c r="AF62" s="1007" t="s">
        <v>122</v>
      </c>
      <c r="AG62" s="1007" t="s">
        <v>123</v>
      </c>
      <c r="AH62" s="1007" t="s">
        <v>78</v>
      </c>
      <c r="AI62" s="1008">
        <v>46042</v>
      </c>
      <c r="AJ62" s="1008">
        <v>46041</v>
      </c>
      <c r="AK62" s="1008">
        <v>46041</v>
      </c>
      <c r="AL62" s="1008">
        <v>46091</v>
      </c>
      <c r="AM62" s="1008">
        <v>46090</v>
      </c>
      <c r="AN62" s="1008">
        <v>46090</v>
      </c>
      <c r="AO62" s="1007" t="s">
        <v>66</v>
      </c>
      <c r="AP62" s="1007" t="s">
        <v>408</v>
      </c>
      <c r="AQ62" s="1007" t="s">
        <v>80</v>
      </c>
      <c r="AR62" s="1007" t="s">
        <v>413</v>
      </c>
      <c r="AS62" s="1007" t="s">
        <v>414</v>
      </c>
      <c r="AT62" s="1007" t="s">
        <v>414</v>
      </c>
      <c r="AU62" s="1007">
        <v>49</v>
      </c>
      <c r="AW62" s="1008">
        <v>46090</v>
      </c>
      <c r="AX62" s="1007" t="s">
        <v>84</v>
      </c>
      <c r="AY62" s="1008">
        <v>46104</v>
      </c>
      <c r="AZ62" s="1007">
        <v>8</v>
      </c>
      <c r="BA62" s="1008">
        <v>46098</v>
      </c>
      <c r="BB62" s="1007">
        <v>2026</v>
      </c>
      <c r="BC62" s="1007">
        <v>3</v>
      </c>
      <c r="BD62" s="1007">
        <v>12</v>
      </c>
      <c r="BE62" s="1007">
        <v>33</v>
      </c>
      <c r="BF62" s="1007">
        <v>660</v>
      </c>
      <c r="BG62" s="1007" t="s">
        <v>108</v>
      </c>
      <c r="BH62" s="1007" t="s">
        <v>86</v>
      </c>
    </row>
    <row r="63" spans="1:60">
      <c r="A63" s="1007" t="s">
        <v>417</v>
      </c>
      <c r="B63" s="1007" t="s">
        <v>61</v>
      </c>
      <c r="C63" s="1007" t="s">
        <v>418</v>
      </c>
      <c r="D63" s="1007" t="s">
        <v>63</v>
      </c>
      <c r="E63" s="1007" t="s">
        <v>64</v>
      </c>
      <c r="F63" s="1007" t="s">
        <v>100</v>
      </c>
      <c r="G63" s="1007" t="s">
        <v>66</v>
      </c>
      <c r="H63" s="1007" t="s">
        <v>67</v>
      </c>
      <c r="I63" s="1007" t="s">
        <v>68</v>
      </c>
      <c r="J63" s="1007" t="s">
        <v>419</v>
      </c>
      <c r="M63" s="1007" t="s">
        <v>68</v>
      </c>
      <c r="N63" s="1007" t="s">
        <v>68</v>
      </c>
      <c r="O63" s="1007" t="s">
        <v>70</v>
      </c>
      <c r="P63" s="1007" t="s">
        <v>420</v>
      </c>
      <c r="Q63" s="1007" t="s">
        <v>421</v>
      </c>
      <c r="R63" s="1007" t="s">
        <v>73</v>
      </c>
      <c r="S63" s="1007" t="s">
        <v>120</v>
      </c>
      <c r="T63" s="1007">
        <v>505</v>
      </c>
      <c r="U63" s="1007">
        <v>1728</v>
      </c>
      <c r="V63" s="1007">
        <v>0.873</v>
      </c>
      <c r="W63" s="1007">
        <v>48</v>
      </c>
      <c r="X63" s="1007">
        <v>2</v>
      </c>
      <c r="Y63" s="1007" t="s">
        <v>75</v>
      </c>
      <c r="Z63" s="1007" t="s">
        <v>75</v>
      </c>
      <c r="AB63" s="1008">
        <v>46031</v>
      </c>
      <c r="AC63" s="1007">
        <v>2</v>
      </c>
      <c r="AD63" s="1007" t="s">
        <v>422</v>
      </c>
      <c r="AF63" s="1007" t="s">
        <v>77</v>
      </c>
      <c r="AG63" s="1007" t="s">
        <v>61</v>
      </c>
      <c r="AH63" s="1007" t="s">
        <v>105</v>
      </c>
      <c r="AI63" s="1008">
        <v>46036</v>
      </c>
      <c r="AJ63" s="1008">
        <v>46038</v>
      </c>
      <c r="AK63" s="1008">
        <v>46038</v>
      </c>
      <c r="AL63" s="1008">
        <v>46077</v>
      </c>
      <c r="AM63" s="1008">
        <v>46094</v>
      </c>
      <c r="AN63" s="1008">
        <v>46094</v>
      </c>
      <c r="AO63" s="1007" t="s">
        <v>66</v>
      </c>
      <c r="AP63" s="1007" t="s">
        <v>338</v>
      </c>
      <c r="AQ63" s="1007" t="s">
        <v>80</v>
      </c>
      <c r="AR63" s="1007" t="s">
        <v>423</v>
      </c>
      <c r="AS63" s="1007" t="s">
        <v>424</v>
      </c>
      <c r="AT63" s="1007" t="s">
        <v>424</v>
      </c>
      <c r="AU63" s="1007">
        <v>56</v>
      </c>
      <c r="AW63" s="1008">
        <v>46094</v>
      </c>
      <c r="AX63" s="1007" t="s">
        <v>84</v>
      </c>
      <c r="AY63" s="1008">
        <v>46104</v>
      </c>
      <c r="AZ63" s="1007">
        <v>7</v>
      </c>
      <c r="BA63" s="1008">
        <v>46101</v>
      </c>
      <c r="BB63" s="1007">
        <v>2026</v>
      </c>
      <c r="BC63" s="1007">
        <v>3</v>
      </c>
      <c r="BD63" s="1007">
        <v>12</v>
      </c>
      <c r="BE63" s="1007">
        <v>36</v>
      </c>
      <c r="BF63" s="1007">
        <v>864</v>
      </c>
      <c r="BG63" s="1007" t="s">
        <v>85</v>
      </c>
      <c r="BH63" s="1007" t="s">
        <v>109</v>
      </c>
    </row>
    <row r="64" spans="1:60">
      <c r="A64" s="1007" t="s">
        <v>425</v>
      </c>
      <c r="B64" s="1007" t="s">
        <v>61</v>
      </c>
      <c r="C64" s="1007" t="s">
        <v>326</v>
      </c>
      <c r="D64" s="1007" t="s">
        <v>113</v>
      </c>
      <c r="E64" s="1007" t="s">
        <v>64</v>
      </c>
      <c r="F64" s="1007" t="s">
        <v>100</v>
      </c>
      <c r="G64" s="1007" t="s">
        <v>66</v>
      </c>
      <c r="H64" s="1007" t="s">
        <v>67</v>
      </c>
      <c r="I64" s="1007" t="s">
        <v>68</v>
      </c>
      <c r="J64" s="1007" t="s">
        <v>327</v>
      </c>
      <c r="K64" s="1007" t="s">
        <v>328</v>
      </c>
      <c r="M64" s="1007" t="s">
        <v>68</v>
      </c>
      <c r="N64" s="1007" t="s">
        <v>68</v>
      </c>
      <c r="O64" s="1007" t="s">
        <v>70</v>
      </c>
      <c r="P64" s="1007" t="s">
        <v>329</v>
      </c>
      <c r="Q64" s="1007" t="s">
        <v>330</v>
      </c>
      <c r="R64" s="1007" t="s">
        <v>331</v>
      </c>
      <c r="S64" s="1007" t="s">
        <v>120</v>
      </c>
      <c r="T64" s="1007">
        <v>625</v>
      </c>
      <c r="U64" s="1007">
        <v>7200</v>
      </c>
      <c r="V64" s="1007">
        <v>4.5</v>
      </c>
      <c r="W64" s="1007">
        <v>200</v>
      </c>
      <c r="X64" s="1007">
        <v>10</v>
      </c>
      <c r="Y64" s="1007" t="s">
        <v>75</v>
      </c>
      <c r="Z64" s="1007" t="s">
        <v>75</v>
      </c>
      <c r="AB64" s="1008">
        <v>46034</v>
      </c>
      <c r="AC64" s="1007">
        <v>3</v>
      </c>
      <c r="AD64" s="1007" t="s">
        <v>426</v>
      </c>
      <c r="AF64" s="1007" t="s">
        <v>77</v>
      </c>
      <c r="AG64" s="1007" t="s">
        <v>61</v>
      </c>
      <c r="AH64" s="1007" t="s">
        <v>105</v>
      </c>
      <c r="AI64" s="1008">
        <v>46040</v>
      </c>
      <c r="AJ64" s="1008">
        <v>46040</v>
      </c>
      <c r="AK64" s="1008">
        <v>46040</v>
      </c>
      <c r="AL64" s="1008">
        <v>46084</v>
      </c>
      <c r="AM64" s="1008">
        <v>46103</v>
      </c>
      <c r="AN64" s="1008">
        <v>46103</v>
      </c>
      <c r="AO64" s="1007" t="s">
        <v>66</v>
      </c>
      <c r="AP64" s="1007" t="s">
        <v>427</v>
      </c>
      <c r="AQ64" s="1007" t="s">
        <v>161</v>
      </c>
      <c r="AR64" s="1007" t="s">
        <v>428</v>
      </c>
      <c r="AS64" s="1007" t="s">
        <v>429</v>
      </c>
      <c r="AT64" s="1007" t="s">
        <v>429</v>
      </c>
      <c r="AU64" s="1007">
        <v>63</v>
      </c>
      <c r="AW64" s="1008">
        <v>46103</v>
      </c>
      <c r="AX64" s="1007" t="s">
        <v>84</v>
      </c>
      <c r="AY64" s="1008">
        <v>46118</v>
      </c>
      <c r="AZ64" s="1007">
        <v>7</v>
      </c>
      <c r="BA64" s="1008">
        <v>46110</v>
      </c>
      <c r="BB64" s="1007">
        <v>2026</v>
      </c>
      <c r="BC64" s="1007">
        <v>3</v>
      </c>
      <c r="BD64" s="1007">
        <v>13</v>
      </c>
      <c r="BE64" s="1007">
        <v>36</v>
      </c>
      <c r="BF64" s="1007">
        <v>720</v>
      </c>
      <c r="BG64" s="1007" t="s">
        <v>128</v>
      </c>
      <c r="BH64" s="1007" t="s">
        <v>109</v>
      </c>
    </row>
    <row r="65" spans="1:60">
      <c r="A65" s="1007" t="s">
        <v>430</v>
      </c>
      <c r="B65" s="1007" t="s">
        <v>111</v>
      </c>
      <c r="C65" s="1007" t="s">
        <v>352</v>
      </c>
      <c r="D65" s="1007" t="s">
        <v>113</v>
      </c>
      <c r="E65" s="1007" t="s">
        <v>64</v>
      </c>
      <c r="F65" s="1007" t="s">
        <v>65</v>
      </c>
      <c r="G65" s="1007" t="s">
        <v>66</v>
      </c>
      <c r="H65" s="1007" t="s">
        <v>67</v>
      </c>
      <c r="I65" s="1007" t="s">
        <v>68</v>
      </c>
      <c r="J65" s="1007" t="s">
        <v>353</v>
      </c>
      <c r="K65" s="1007" t="s">
        <v>354</v>
      </c>
      <c r="M65" s="1007" t="s">
        <v>68</v>
      </c>
      <c r="N65" s="1007" t="s">
        <v>68</v>
      </c>
      <c r="O65" s="1007" t="s">
        <v>70</v>
      </c>
      <c r="P65" s="1007" t="s">
        <v>218</v>
      </c>
      <c r="Q65" s="1007" t="s">
        <v>219</v>
      </c>
      <c r="R65" s="1007" t="s">
        <v>73</v>
      </c>
      <c r="S65" s="1007" t="s">
        <v>120</v>
      </c>
      <c r="T65" s="1007">
        <v>625</v>
      </c>
      <c r="U65" s="1007">
        <v>2880</v>
      </c>
      <c r="V65" s="1007">
        <v>1.8</v>
      </c>
      <c r="W65" s="1007">
        <v>80</v>
      </c>
      <c r="X65" s="1007">
        <v>4</v>
      </c>
      <c r="Y65" s="1007" t="s">
        <v>75</v>
      </c>
      <c r="Z65" s="1007" t="s">
        <v>75</v>
      </c>
      <c r="AB65" s="1008">
        <v>46041</v>
      </c>
      <c r="AC65" s="1007">
        <v>4</v>
      </c>
      <c r="AD65" s="1007" t="s">
        <v>431</v>
      </c>
      <c r="AF65" s="1007" t="s">
        <v>122</v>
      </c>
      <c r="AG65" s="1007" t="s">
        <v>123</v>
      </c>
      <c r="AH65" s="1007" t="s">
        <v>356</v>
      </c>
      <c r="AI65" s="1008">
        <v>46047</v>
      </c>
      <c r="AJ65" s="1008">
        <v>46045</v>
      </c>
      <c r="AK65" s="1008">
        <v>46045</v>
      </c>
      <c r="AL65" s="1008">
        <v>46084</v>
      </c>
      <c r="AM65" s="1008">
        <v>46092</v>
      </c>
      <c r="AN65" s="1008">
        <v>46092</v>
      </c>
      <c r="AO65" s="1007" t="s">
        <v>66</v>
      </c>
      <c r="AP65" s="1007" t="s">
        <v>432</v>
      </c>
      <c r="AQ65" s="1007" t="s">
        <v>161</v>
      </c>
      <c r="AR65" s="1007" t="s">
        <v>433</v>
      </c>
      <c r="AS65" s="1007" t="s">
        <v>434</v>
      </c>
      <c r="AT65" s="1007" t="s">
        <v>434</v>
      </c>
      <c r="AU65" s="1007">
        <v>47</v>
      </c>
      <c r="AW65" s="1008">
        <v>46092</v>
      </c>
      <c r="AX65" s="1007" t="s">
        <v>84</v>
      </c>
      <c r="AY65" s="1008">
        <v>46105</v>
      </c>
      <c r="AZ65" s="1007">
        <v>8</v>
      </c>
      <c r="BA65" s="1008">
        <v>46100</v>
      </c>
      <c r="BB65" s="1007">
        <v>2026</v>
      </c>
      <c r="BC65" s="1007">
        <v>3</v>
      </c>
      <c r="BD65" s="1007">
        <v>12</v>
      </c>
      <c r="BE65" s="1007">
        <v>36</v>
      </c>
      <c r="BF65" s="1007">
        <v>720</v>
      </c>
      <c r="BG65" s="1007" t="s">
        <v>128</v>
      </c>
      <c r="BH65" s="1007" t="s">
        <v>109</v>
      </c>
    </row>
    <row r="66" spans="1:60">
      <c r="A66" s="1007" t="s">
        <v>435</v>
      </c>
      <c r="B66" s="1007" t="s">
        <v>111</v>
      </c>
      <c r="C66" s="1007" t="s">
        <v>352</v>
      </c>
      <c r="D66" s="1007" t="s">
        <v>113</v>
      </c>
      <c r="E66" s="1007" t="s">
        <v>64</v>
      </c>
      <c r="F66" s="1007" t="s">
        <v>65</v>
      </c>
      <c r="G66" s="1007" t="s">
        <v>66</v>
      </c>
      <c r="H66" s="1007" t="s">
        <v>67</v>
      </c>
      <c r="I66" s="1007" t="s">
        <v>68</v>
      </c>
      <c r="J66" s="1007" t="s">
        <v>353</v>
      </c>
      <c r="K66" s="1007" t="s">
        <v>354</v>
      </c>
      <c r="M66" s="1007" t="s">
        <v>68</v>
      </c>
      <c r="N66" s="1007" t="s">
        <v>68</v>
      </c>
      <c r="O66" s="1007" t="s">
        <v>70</v>
      </c>
      <c r="P66" s="1007" t="s">
        <v>218</v>
      </c>
      <c r="Q66" s="1007" t="s">
        <v>219</v>
      </c>
      <c r="R66" s="1007" t="s">
        <v>73</v>
      </c>
      <c r="S66" s="1007" t="s">
        <v>120</v>
      </c>
      <c r="T66" s="1007">
        <v>625</v>
      </c>
      <c r="U66" s="1007">
        <v>1440</v>
      </c>
      <c r="V66" s="1007">
        <v>0.9</v>
      </c>
      <c r="W66" s="1007">
        <v>40</v>
      </c>
      <c r="X66" s="1007">
        <v>2</v>
      </c>
      <c r="Y66" s="1007" t="s">
        <v>75</v>
      </c>
      <c r="Z66" s="1007" t="s">
        <v>75</v>
      </c>
      <c r="AB66" s="1008">
        <v>46041</v>
      </c>
      <c r="AC66" s="1007">
        <v>4</v>
      </c>
      <c r="AD66" s="1007" t="s">
        <v>436</v>
      </c>
      <c r="AF66" s="1007" t="s">
        <v>122</v>
      </c>
      <c r="AG66" s="1007" t="s">
        <v>123</v>
      </c>
      <c r="AH66" s="1007" t="s">
        <v>356</v>
      </c>
      <c r="AI66" s="1008">
        <v>46047</v>
      </c>
      <c r="AJ66" s="1008">
        <v>46045</v>
      </c>
      <c r="AK66" s="1008">
        <v>46045</v>
      </c>
      <c r="AL66" s="1008">
        <v>46084</v>
      </c>
      <c r="AM66" s="1008">
        <v>46092</v>
      </c>
      <c r="AN66" s="1008">
        <v>46092</v>
      </c>
      <c r="AO66" s="1007" t="s">
        <v>66</v>
      </c>
      <c r="AP66" s="1007" t="s">
        <v>432</v>
      </c>
      <c r="AQ66" s="1007" t="s">
        <v>161</v>
      </c>
      <c r="AR66" s="1007" t="s">
        <v>433</v>
      </c>
      <c r="AS66" s="1007" t="s">
        <v>434</v>
      </c>
      <c r="AT66" s="1007" t="s">
        <v>434</v>
      </c>
      <c r="AU66" s="1007">
        <v>47</v>
      </c>
      <c r="AW66" s="1008">
        <v>46092</v>
      </c>
      <c r="AX66" s="1007" t="s">
        <v>84</v>
      </c>
      <c r="AY66" s="1008">
        <v>46105</v>
      </c>
      <c r="AZ66" s="1007">
        <v>8</v>
      </c>
      <c r="BA66" s="1008">
        <v>46100</v>
      </c>
      <c r="BB66" s="1007">
        <v>2026</v>
      </c>
      <c r="BC66" s="1007">
        <v>3</v>
      </c>
      <c r="BD66" s="1007">
        <v>12</v>
      </c>
      <c r="BE66" s="1007">
        <v>36</v>
      </c>
      <c r="BF66" s="1007">
        <v>720</v>
      </c>
      <c r="BG66" s="1007" t="s">
        <v>128</v>
      </c>
      <c r="BH66" s="1007" t="s">
        <v>109</v>
      </c>
    </row>
    <row r="67" spans="1:60">
      <c r="A67" s="1007" t="s">
        <v>437</v>
      </c>
      <c r="B67" s="1007" t="s">
        <v>111</v>
      </c>
      <c r="C67" s="1007" t="s">
        <v>215</v>
      </c>
      <c r="D67" s="1007" t="s">
        <v>113</v>
      </c>
      <c r="E67" s="1007" t="s">
        <v>64</v>
      </c>
      <c r="F67" s="1007" t="s">
        <v>65</v>
      </c>
      <c r="G67" s="1007" t="s">
        <v>66</v>
      </c>
      <c r="H67" s="1007" t="s">
        <v>67</v>
      </c>
      <c r="I67" s="1007" t="s">
        <v>68</v>
      </c>
      <c r="J67" s="1007" t="s">
        <v>353</v>
      </c>
      <c r="K67" s="1007" t="s">
        <v>438</v>
      </c>
      <c r="M67" s="1007" t="s">
        <v>68</v>
      </c>
      <c r="N67" s="1007" t="s">
        <v>68</v>
      </c>
      <c r="O67" s="1007" t="s">
        <v>70</v>
      </c>
      <c r="P67" s="1007" t="s">
        <v>218</v>
      </c>
      <c r="Q67" s="1007" t="s">
        <v>219</v>
      </c>
      <c r="R67" s="1007" t="s">
        <v>73</v>
      </c>
      <c r="S67" s="1007" t="s">
        <v>120</v>
      </c>
      <c r="T67" s="1007">
        <v>625</v>
      </c>
      <c r="U67" s="1007">
        <v>2592</v>
      </c>
      <c r="V67" s="1007">
        <v>1.62</v>
      </c>
      <c r="W67" s="1007">
        <v>72</v>
      </c>
      <c r="X67" s="1007">
        <v>3.6</v>
      </c>
      <c r="Y67" s="1007" t="s">
        <v>75</v>
      </c>
      <c r="Z67" s="1007" t="s">
        <v>75</v>
      </c>
      <c r="AB67" s="1008">
        <v>46041</v>
      </c>
      <c r="AC67" s="1007">
        <v>4</v>
      </c>
      <c r="AD67" s="1007" t="s">
        <v>439</v>
      </c>
      <c r="AF67" s="1007" t="s">
        <v>122</v>
      </c>
      <c r="AG67" s="1007" t="s">
        <v>123</v>
      </c>
      <c r="AH67" s="1007" t="s">
        <v>356</v>
      </c>
      <c r="AI67" s="1008">
        <v>46047</v>
      </c>
      <c r="AJ67" s="1008">
        <v>46045</v>
      </c>
      <c r="AK67" s="1008">
        <v>46045</v>
      </c>
      <c r="AL67" s="1008">
        <v>46084</v>
      </c>
      <c r="AM67" s="1008">
        <v>46092</v>
      </c>
      <c r="AN67" s="1008">
        <v>46092</v>
      </c>
      <c r="AO67" s="1007" t="s">
        <v>66</v>
      </c>
      <c r="AP67" s="1007" t="s">
        <v>432</v>
      </c>
      <c r="AQ67" s="1007" t="s">
        <v>161</v>
      </c>
      <c r="AR67" s="1007" t="s">
        <v>433</v>
      </c>
      <c r="AS67" s="1007" t="s">
        <v>434</v>
      </c>
      <c r="AT67" s="1007" t="s">
        <v>434</v>
      </c>
      <c r="AU67" s="1007">
        <v>47</v>
      </c>
      <c r="AW67" s="1008">
        <v>46092</v>
      </c>
      <c r="AX67" s="1007" t="s">
        <v>84</v>
      </c>
      <c r="AY67" s="1008">
        <v>46105</v>
      </c>
      <c r="AZ67" s="1007">
        <v>8</v>
      </c>
      <c r="BA67" s="1008">
        <v>46100</v>
      </c>
      <c r="BB67" s="1007">
        <v>2026</v>
      </c>
      <c r="BC67" s="1007">
        <v>3</v>
      </c>
      <c r="BD67" s="1007">
        <v>12</v>
      </c>
      <c r="BE67" s="1007">
        <v>36</v>
      </c>
      <c r="BF67" s="1007">
        <v>720</v>
      </c>
      <c r="BG67" s="1007" t="s">
        <v>128</v>
      </c>
      <c r="BH67" s="1007" t="s">
        <v>109</v>
      </c>
    </row>
    <row r="68" spans="1:60">
      <c r="A68" s="1007" t="s">
        <v>440</v>
      </c>
      <c r="B68" s="1007" t="s">
        <v>111</v>
      </c>
      <c r="C68" s="1007" t="s">
        <v>352</v>
      </c>
      <c r="D68" s="1007" t="s">
        <v>113</v>
      </c>
      <c r="E68" s="1007" t="s">
        <v>64</v>
      </c>
      <c r="F68" s="1007" t="s">
        <v>65</v>
      </c>
      <c r="G68" s="1007" t="s">
        <v>66</v>
      </c>
      <c r="H68" s="1007" t="s">
        <v>67</v>
      </c>
      <c r="I68" s="1007" t="s">
        <v>68</v>
      </c>
      <c r="J68" s="1007" t="s">
        <v>353</v>
      </c>
      <c r="K68" s="1007" t="s">
        <v>438</v>
      </c>
      <c r="M68" s="1007" t="s">
        <v>68</v>
      </c>
      <c r="N68" s="1007" t="s">
        <v>68</v>
      </c>
      <c r="O68" s="1007" t="s">
        <v>70</v>
      </c>
      <c r="P68" s="1007" t="s">
        <v>218</v>
      </c>
      <c r="Q68" s="1007" t="s">
        <v>219</v>
      </c>
      <c r="R68" s="1007" t="s">
        <v>73</v>
      </c>
      <c r="S68" s="1007" t="s">
        <v>120</v>
      </c>
      <c r="T68" s="1007">
        <v>625</v>
      </c>
      <c r="U68" s="1007">
        <v>72</v>
      </c>
      <c r="V68" s="1007">
        <v>4.4999999999999998E-2</v>
      </c>
      <c r="W68" s="1007">
        <v>2</v>
      </c>
      <c r="X68" s="1007">
        <v>0.1</v>
      </c>
      <c r="Y68" s="1007" t="s">
        <v>75</v>
      </c>
      <c r="Z68" s="1007" t="s">
        <v>75</v>
      </c>
      <c r="AB68" s="1008">
        <v>46041</v>
      </c>
      <c r="AC68" s="1007">
        <v>4</v>
      </c>
      <c r="AD68" s="1007" t="s">
        <v>441</v>
      </c>
      <c r="AF68" s="1007" t="s">
        <v>122</v>
      </c>
      <c r="AG68" s="1007" t="s">
        <v>123</v>
      </c>
      <c r="AH68" s="1007" t="s">
        <v>356</v>
      </c>
      <c r="AI68" s="1008">
        <v>45682</v>
      </c>
      <c r="AJ68" s="1008">
        <v>46045</v>
      </c>
      <c r="AK68" s="1008">
        <v>46045</v>
      </c>
      <c r="AL68" s="1008">
        <v>46084</v>
      </c>
      <c r="AM68" s="1008">
        <v>46092</v>
      </c>
      <c r="AN68" s="1008">
        <v>46092</v>
      </c>
      <c r="AO68" s="1007" t="s">
        <v>66</v>
      </c>
      <c r="AP68" s="1007" t="s">
        <v>442</v>
      </c>
      <c r="AQ68" s="1007" t="s">
        <v>161</v>
      </c>
      <c r="AR68" s="1007" t="s">
        <v>433</v>
      </c>
      <c r="AS68" s="1007" t="s">
        <v>434</v>
      </c>
      <c r="AT68" s="1007" t="s">
        <v>434</v>
      </c>
      <c r="AU68" s="1007">
        <v>47</v>
      </c>
      <c r="AW68" s="1008">
        <v>46092</v>
      </c>
      <c r="AX68" s="1007" t="s">
        <v>84</v>
      </c>
      <c r="AY68" s="1008">
        <v>46105</v>
      </c>
      <c r="AZ68" s="1007">
        <v>8</v>
      </c>
      <c r="BA68" s="1008">
        <v>46100</v>
      </c>
      <c r="BB68" s="1007">
        <v>2026</v>
      </c>
      <c r="BC68" s="1007">
        <v>3</v>
      </c>
      <c r="BD68" s="1007">
        <v>12</v>
      </c>
      <c r="BE68" s="1007">
        <v>36</v>
      </c>
      <c r="BF68" s="1007">
        <v>720</v>
      </c>
      <c r="BG68" s="1007" t="s">
        <v>128</v>
      </c>
      <c r="BH68" s="1007" t="s">
        <v>109</v>
      </c>
    </row>
    <row r="69" spans="1:60">
      <c r="A69" s="1007" t="s">
        <v>443</v>
      </c>
      <c r="B69" s="1007" t="s">
        <v>111</v>
      </c>
      <c r="C69" s="1007" t="s">
        <v>376</v>
      </c>
      <c r="D69" s="1007" t="s">
        <v>113</v>
      </c>
      <c r="E69" s="1007" t="s">
        <v>64</v>
      </c>
      <c r="F69" s="1007" t="s">
        <v>65</v>
      </c>
      <c r="G69" s="1007" t="s">
        <v>66</v>
      </c>
      <c r="H69" s="1007" t="s">
        <v>67</v>
      </c>
      <c r="I69" s="1007" t="s">
        <v>68</v>
      </c>
      <c r="J69" s="1007" t="s">
        <v>377</v>
      </c>
      <c r="K69" s="1007" t="s">
        <v>328</v>
      </c>
      <c r="M69" s="1007" t="s">
        <v>68</v>
      </c>
      <c r="N69" s="1007" t="s">
        <v>68</v>
      </c>
      <c r="O69" s="1007" t="s">
        <v>70</v>
      </c>
      <c r="P69" s="1007" t="s">
        <v>378</v>
      </c>
      <c r="Q69" s="1007" t="s">
        <v>379</v>
      </c>
      <c r="R69" s="1007" t="s">
        <v>73</v>
      </c>
      <c r="S69" s="1007" t="s">
        <v>120</v>
      </c>
      <c r="T69" s="1007">
        <v>620</v>
      </c>
      <c r="U69" s="1007">
        <v>216</v>
      </c>
      <c r="V69" s="1007">
        <v>0.13400000000000001</v>
      </c>
      <c r="W69" s="1007">
        <v>6</v>
      </c>
      <c r="X69" s="1007">
        <v>0.3</v>
      </c>
      <c r="Y69" s="1007" t="s">
        <v>75</v>
      </c>
      <c r="Z69" s="1007" t="s">
        <v>75</v>
      </c>
      <c r="AB69" s="1008">
        <v>46041</v>
      </c>
      <c r="AC69" s="1007">
        <v>4</v>
      </c>
      <c r="AD69" s="1007" t="s">
        <v>444</v>
      </c>
      <c r="AF69" s="1007" t="s">
        <v>122</v>
      </c>
      <c r="AG69" s="1007" t="s">
        <v>123</v>
      </c>
      <c r="AH69" s="1007" t="s">
        <v>356</v>
      </c>
      <c r="AI69" s="1008">
        <v>45682</v>
      </c>
      <c r="AJ69" s="1008">
        <v>46045</v>
      </c>
      <c r="AK69" s="1008">
        <v>46045</v>
      </c>
      <c r="AL69" s="1008">
        <v>46084</v>
      </c>
      <c r="AM69" s="1008">
        <v>46092</v>
      </c>
      <c r="AN69" s="1008">
        <v>46092</v>
      </c>
      <c r="AO69" s="1007" t="s">
        <v>66</v>
      </c>
      <c r="AP69" s="1007" t="s">
        <v>442</v>
      </c>
      <c r="AQ69" s="1007" t="s">
        <v>161</v>
      </c>
      <c r="AR69" s="1007" t="s">
        <v>433</v>
      </c>
      <c r="AS69" s="1007" t="s">
        <v>434</v>
      </c>
      <c r="AT69" s="1007" t="s">
        <v>434</v>
      </c>
      <c r="AU69" s="1007">
        <v>47</v>
      </c>
      <c r="AW69" s="1008">
        <v>46092</v>
      </c>
      <c r="AX69" s="1007" t="s">
        <v>84</v>
      </c>
      <c r="AY69" s="1008">
        <v>46105</v>
      </c>
      <c r="AZ69" s="1007">
        <v>8</v>
      </c>
      <c r="BA69" s="1008">
        <v>46100</v>
      </c>
      <c r="BB69" s="1007">
        <v>2026</v>
      </c>
      <c r="BC69" s="1007">
        <v>3</v>
      </c>
      <c r="BD69" s="1007">
        <v>12</v>
      </c>
      <c r="BE69" s="1007">
        <v>36</v>
      </c>
      <c r="BF69" s="1007">
        <v>720</v>
      </c>
      <c r="BG69" s="1007" t="s">
        <v>128</v>
      </c>
      <c r="BH69" s="1007" t="s">
        <v>109</v>
      </c>
    </row>
    <row r="70" spans="1:60">
      <c r="A70" s="1007" t="s">
        <v>352</v>
      </c>
      <c r="B70" s="1007" t="s">
        <v>111</v>
      </c>
      <c r="C70" s="1007" t="s">
        <v>203</v>
      </c>
      <c r="D70" s="1007" t="s">
        <v>113</v>
      </c>
      <c r="E70" s="1007" t="s">
        <v>64</v>
      </c>
      <c r="F70" s="1007" t="s">
        <v>65</v>
      </c>
      <c r="G70" s="1007" t="s">
        <v>66</v>
      </c>
      <c r="H70" s="1007" t="s">
        <v>67</v>
      </c>
      <c r="I70" s="1007" t="s">
        <v>68</v>
      </c>
      <c r="J70" s="1007" t="s">
        <v>353</v>
      </c>
      <c r="K70" s="1007" t="s">
        <v>438</v>
      </c>
      <c r="M70" s="1007" t="s">
        <v>68</v>
      </c>
      <c r="N70" s="1007" t="s">
        <v>68</v>
      </c>
      <c r="O70" s="1007" t="s">
        <v>70</v>
      </c>
      <c r="P70" s="1007" t="s">
        <v>218</v>
      </c>
      <c r="Q70" s="1007" t="s">
        <v>219</v>
      </c>
      <c r="R70" s="1007" t="s">
        <v>73</v>
      </c>
      <c r="S70" s="1007" t="s">
        <v>120</v>
      </c>
      <c r="T70" s="1007">
        <v>625</v>
      </c>
      <c r="U70" s="1007">
        <v>720</v>
      </c>
      <c r="V70" s="1007">
        <v>0.45</v>
      </c>
      <c r="W70" s="1007">
        <v>20</v>
      </c>
      <c r="X70" s="1007">
        <v>1</v>
      </c>
      <c r="Y70" s="1007" t="s">
        <v>75</v>
      </c>
      <c r="Z70" s="1007" t="s">
        <v>75</v>
      </c>
      <c r="AB70" s="1008">
        <v>46041</v>
      </c>
      <c r="AC70" s="1007">
        <v>4</v>
      </c>
      <c r="AD70" s="1007" t="s">
        <v>445</v>
      </c>
      <c r="AF70" s="1007" t="s">
        <v>122</v>
      </c>
      <c r="AG70" s="1007" t="s">
        <v>123</v>
      </c>
      <c r="AH70" s="1007" t="s">
        <v>356</v>
      </c>
      <c r="AI70" s="1008">
        <v>45682</v>
      </c>
      <c r="AJ70" s="1008">
        <v>46045</v>
      </c>
      <c r="AK70" s="1008">
        <v>46045</v>
      </c>
      <c r="AL70" s="1008">
        <v>46084</v>
      </c>
      <c r="AM70" s="1008">
        <v>46086</v>
      </c>
      <c r="AN70" s="1008">
        <v>46086</v>
      </c>
      <c r="AO70" s="1007" t="s">
        <v>66</v>
      </c>
      <c r="AP70" s="1007" t="s">
        <v>442</v>
      </c>
      <c r="AQ70" s="1007" t="s">
        <v>80</v>
      </c>
      <c r="AR70" s="1007" t="s">
        <v>446</v>
      </c>
      <c r="AS70" s="1007" t="s">
        <v>447</v>
      </c>
      <c r="AT70" s="1007" t="s">
        <v>447</v>
      </c>
      <c r="AU70" s="1007">
        <v>41</v>
      </c>
      <c r="AW70" s="1008">
        <v>46086</v>
      </c>
      <c r="AX70" s="1007" t="s">
        <v>84</v>
      </c>
      <c r="AY70" s="1008">
        <v>46099</v>
      </c>
      <c r="AZ70" s="1007">
        <v>8</v>
      </c>
      <c r="BA70" s="1008">
        <v>46094</v>
      </c>
      <c r="BB70" s="1007">
        <v>2026</v>
      </c>
      <c r="BC70" s="1007">
        <v>3</v>
      </c>
      <c r="BD70" s="1007">
        <v>11</v>
      </c>
      <c r="BE70" s="1007">
        <v>36</v>
      </c>
      <c r="BF70" s="1007">
        <v>720</v>
      </c>
      <c r="BG70" s="1007" t="s">
        <v>128</v>
      </c>
      <c r="BH70" s="1007" t="s">
        <v>109</v>
      </c>
    </row>
    <row r="71" spans="1:60">
      <c r="A71" s="1007" t="s">
        <v>448</v>
      </c>
      <c r="B71" s="1007" t="s">
        <v>111</v>
      </c>
      <c r="C71" s="1007" t="s">
        <v>449</v>
      </c>
      <c r="D71" s="1007" t="s">
        <v>63</v>
      </c>
      <c r="E71" s="1007" t="s">
        <v>64</v>
      </c>
      <c r="F71" s="1007" t="s">
        <v>450</v>
      </c>
      <c r="G71" s="1007" t="s">
        <v>66</v>
      </c>
      <c r="H71" s="1007" t="s">
        <v>451</v>
      </c>
      <c r="I71" s="1007" t="s">
        <v>68</v>
      </c>
      <c r="J71" s="1007" t="s">
        <v>452</v>
      </c>
      <c r="K71" s="1007">
        <v>20519249</v>
      </c>
      <c r="M71" s="1007" t="s">
        <v>68</v>
      </c>
      <c r="N71" s="1007" t="s">
        <v>68</v>
      </c>
      <c r="O71" s="1007" t="s">
        <v>132</v>
      </c>
      <c r="P71" s="1007" t="s">
        <v>453</v>
      </c>
      <c r="Q71" s="1007" t="s">
        <v>454</v>
      </c>
      <c r="R71" s="1007" t="s">
        <v>73</v>
      </c>
      <c r="S71" s="1007" t="s">
        <v>74</v>
      </c>
      <c r="T71" s="1007">
        <v>460</v>
      </c>
      <c r="U71" s="1007">
        <v>1728</v>
      </c>
      <c r="V71" s="1007">
        <v>0.79500000000000004</v>
      </c>
      <c r="W71" s="1007">
        <v>48</v>
      </c>
      <c r="X71" s="1007">
        <v>2</v>
      </c>
      <c r="Y71" s="1007" t="s">
        <v>75</v>
      </c>
      <c r="Z71" s="1007" t="s">
        <v>75</v>
      </c>
      <c r="AB71" s="1008">
        <v>46042</v>
      </c>
      <c r="AC71" s="1007">
        <v>4</v>
      </c>
      <c r="AD71" s="1007" t="s">
        <v>455</v>
      </c>
      <c r="AF71" s="1007" t="s">
        <v>122</v>
      </c>
      <c r="AG71" s="1007" t="s">
        <v>123</v>
      </c>
      <c r="AH71" s="1007" t="s">
        <v>456</v>
      </c>
      <c r="AI71" s="1008">
        <v>46050</v>
      </c>
      <c r="AJ71" s="1008">
        <v>46053</v>
      </c>
      <c r="AK71" s="1008">
        <v>46053</v>
      </c>
      <c r="AL71" s="1008">
        <v>46089</v>
      </c>
      <c r="AM71" s="1008">
        <v>46108</v>
      </c>
      <c r="AN71" s="1008">
        <v>46108</v>
      </c>
      <c r="AO71" s="1007" t="s">
        <v>66</v>
      </c>
      <c r="AP71" s="1007" t="s">
        <v>457</v>
      </c>
      <c r="AQ71" s="1007" t="s">
        <v>80</v>
      </c>
      <c r="AR71" s="1007" t="s">
        <v>458</v>
      </c>
      <c r="AS71" s="1007" t="s">
        <v>459</v>
      </c>
      <c r="AT71" s="1007" t="s">
        <v>459</v>
      </c>
      <c r="AU71" s="1007">
        <v>55</v>
      </c>
      <c r="AW71" s="1008">
        <v>46108</v>
      </c>
      <c r="AX71" s="1007" t="s">
        <v>84</v>
      </c>
      <c r="AY71" s="1008">
        <v>46120</v>
      </c>
      <c r="AZ71" s="1007">
        <v>7</v>
      </c>
      <c r="BA71" s="1008">
        <v>46115</v>
      </c>
      <c r="BB71" s="1007">
        <v>2026</v>
      </c>
      <c r="BC71" s="1007">
        <v>4</v>
      </c>
      <c r="BD71" s="1007">
        <v>14</v>
      </c>
      <c r="BE71" s="1007">
        <v>36</v>
      </c>
      <c r="BF71" s="1007">
        <v>864</v>
      </c>
      <c r="BG71" s="1007" t="s">
        <v>108</v>
      </c>
      <c r="BH71" s="1007" t="s">
        <v>109</v>
      </c>
    </row>
    <row r="72" spans="1:60">
      <c r="A72" s="1007" t="s">
        <v>460</v>
      </c>
      <c r="B72" s="1007" t="s">
        <v>111</v>
      </c>
      <c r="C72" s="1007" t="s">
        <v>461</v>
      </c>
      <c r="D72" s="1007" t="s">
        <v>63</v>
      </c>
      <c r="E72" s="1007" t="s">
        <v>64</v>
      </c>
      <c r="F72" s="1007" t="s">
        <v>65</v>
      </c>
      <c r="G72" s="1007" t="s">
        <v>66</v>
      </c>
      <c r="H72" s="1007" t="s">
        <v>67</v>
      </c>
      <c r="I72" s="1007" t="s">
        <v>68</v>
      </c>
      <c r="J72" s="1007" t="s">
        <v>232</v>
      </c>
      <c r="M72" s="1007" t="s">
        <v>68</v>
      </c>
      <c r="N72" s="1007" t="s">
        <v>68</v>
      </c>
      <c r="O72" s="1007" t="s">
        <v>170</v>
      </c>
      <c r="P72" s="1007" t="s">
        <v>462</v>
      </c>
      <c r="Q72" s="1007" t="s">
        <v>463</v>
      </c>
      <c r="R72" s="1007" t="s">
        <v>73</v>
      </c>
      <c r="S72" s="1007" t="s">
        <v>464</v>
      </c>
      <c r="T72" s="1007">
        <v>550</v>
      </c>
      <c r="U72" s="1007">
        <v>660</v>
      </c>
      <c r="V72" s="1007">
        <v>0.36299999999999999</v>
      </c>
      <c r="W72" s="1007">
        <v>20</v>
      </c>
      <c r="X72" s="1007">
        <v>1</v>
      </c>
      <c r="Y72" s="1007" t="s">
        <v>75</v>
      </c>
      <c r="Z72" s="1007" t="s">
        <v>75</v>
      </c>
      <c r="AB72" s="1008">
        <v>46044</v>
      </c>
      <c r="AC72" s="1007">
        <v>4</v>
      </c>
      <c r="AD72" s="1007" t="s">
        <v>465</v>
      </c>
      <c r="AF72" s="1007" t="s">
        <v>122</v>
      </c>
      <c r="AG72" s="1007" t="s">
        <v>123</v>
      </c>
      <c r="AH72" s="1007" t="s">
        <v>78</v>
      </c>
      <c r="AI72" s="1008">
        <v>46049</v>
      </c>
      <c r="AJ72" s="1008">
        <v>46055</v>
      </c>
      <c r="AK72" s="1008">
        <v>46056</v>
      </c>
      <c r="AL72" s="1008">
        <v>46098</v>
      </c>
      <c r="AM72" s="1008">
        <v>46101</v>
      </c>
      <c r="AN72" s="1008">
        <v>46103</v>
      </c>
      <c r="AO72" s="1007" t="s">
        <v>66</v>
      </c>
      <c r="AP72" s="1007" t="s">
        <v>466</v>
      </c>
      <c r="AQ72" s="1007" t="s">
        <v>80</v>
      </c>
      <c r="AR72" s="1007" t="s">
        <v>467</v>
      </c>
      <c r="AS72" s="1007" t="s">
        <v>468</v>
      </c>
      <c r="AT72" s="1007" t="s">
        <v>468</v>
      </c>
      <c r="AU72" s="1007">
        <v>47</v>
      </c>
      <c r="AW72" s="1008">
        <v>46103</v>
      </c>
      <c r="AX72" s="1007" t="s">
        <v>84</v>
      </c>
      <c r="AY72" s="1008">
        <v>46115</v>
      </c>
      <c r="AZ72" s="1007">
        <v>8</v>
      </c>
      <c r="BA72" s="1008">
        <v>46111</v>
      </c>
      <c r="BB72" s="1007">
        <v>2026</v>
      </c>
      <c r="BC72" s="1007">
        <v>3</v>
      </c>
      <c r="BD72" s="1007">
        <v>14</v>
      </c>
      <c r="BE72" s="1007">
        <v>33</v>
      </c>
      <c r="BF72" s="1007">
        <v>660</v>
      </c>
      <c r="BG72" s="1007" t="s">
        <v>108</v>
      </c>
      <c r="BH72" s="1007" t="s">
        <v>86</v>
      </c>
    </row>
    <row r="73" spans="1:60">
      <c r="A73" s="1007" t="s">
        <v>469</v>
      </c>
      <c r="B73" s="1007" t="s">
        <v>111</v>
      </c>
      <c r="C73" s="1007" t="s">
        <v>461</v>
      </c>
      <c r="D73" s="1007" t="s">
        <v>63</v>
      </c>
      <c r="E73" s="1007" t="s">
        <v>64</v>
      </c>
      <c r="F73" s="1007" t="s">
        <v>65</v>
      </c>
      <c r="G73" s="1007" t="s">
        <v>66</v>
      </c>
      <c r="H73" s="1007" t="s">
        <v>67</v>
      </c>
      <c r="I73" s="1007" t="s">
        <v>68</v>
      </c>
      <c r="J73" s="1007" t="s">
        <v>232</v>
      </c>
      <c r="M73" s="1007" t="s">
        <v>68</v>
      </c>
      <c r="N73" s="1007" t="s">
        <v>68</v>
      </c>
      <c r="O73" s="1007" t="s">
        <v>170</v>
      </c>
      <c r="P73" s="1007" t="s">
        <v>462</v>
      </c>
      <c r="Q73" s="1007" t="s">
        <v>463</v>
      </c>
      <c r="R73" s="1007" t="s">
        <v>73</v>
      </c>
      <c r="S73" s="1007" t="s">
        <v>464</v>
      </c>
      <c r="T73" s="1007">
        <v>550</v>
      </c>
      <c r="U73" s="1007">
        <v>1320</v>
      </c>
      <c r="V73" s="1007">
        <v>0.72599999999999998</v>
      </c>
      <c r="W73" s="1007">
        <v>40</v>
      </c>
      <c r="X73" s="1007">
        <v>2</v>
      </c>
      <c r="Y73" s="1007" t="s">
        <v>75</v>
      </c>
      <c r="Z73" s="1007" t="s">
        <v>75</v>
      </c>
      <c r="AB73" s="1008">
        <v>46044</v>
      </c>
      <c r="AC73" s="1007">
        <v>4</v>
      </c>
      <c r="AD73" s="1007" t="s">
        <v>470</v>
      </c>
      <c r="AF73" s="1007" t="s">
        <v>122</v>
      </c>
      <c r="AG73" s="1007" t="s">
        <v>123</v>
      </c>
      <c r="AH73" s="1007" t="s">
        <v>78</v>
      </c>
      <c r="AI73" s="1008">
        <v>46049</v>
      </c>
      <c r="AJ73" s="1008">
        <v>46055</v>
      </c>
      <c r="AK73" s="1008">
        <v>46056</v>
      </c>
      <c r="AL73" s="1008">
        <v>46098</v>
      </c>
      <c r="AM73" s="1008">
        <v>46101</v>
      </c>
      <c r="AN73" s="1008">
        <v>46103</v>
      </c>
      <c r="AO73" s="1007" t="s">
        <v>66</v>
      </c>
      <c r="AP73" s="1007" t="s">
        <v>466</v>
      </c>
      <c r="AQ73" s="1007" t="s">
        <v>80</v>
      </c>
      <c r="AR73" s="1007" t="s">
        <v>467</v>
      </c>
      <c r="AS73" s="1007" t="s">
        <v>468</v>
      </c>
      <c r="AT73" s="1007" t="s">
        <v>468</v>
      </c>
      <c r="AU73" s="1007">
        <v>47</v>
      </c>
      <c r="AW73" s="1008">
        <v>46103</v>
      </c>
      <c r="AX73" s="1007" t="s">
        <v>84</v>
      </c>
      <c r="AY73" s="1008">
        <v>46115</v>
      </c>
      <c r="AZ73" s="1007">
        <v>8</v>
      </c>
      <c r="BA73" s="1008">
        <v>46111</v>
      </c>
      <c r="BB73" s="1007">
        <v>2026</v>
      </c>
      <c r="BC73" s="1007">
        <v>3</v>
      </c>
      <c r="BD73" s="1007">
        <v>14</v>
      </c>
      <c r="BE73" s="1007">
        <v>33</v>
      </c>
      <c r="BF73" s="1007">
        <v>660</v>
      </c>
      <c r="BG73" s="1007" t="s">
        <v>108</v>
      </c>
      <c r="BH73" s="1007" t="s">
        <v>86</v>
      </c>
    </row>
    <row r="74" spans="1:60">
      <c r="A74" s="1007" t="s">
        <v>471</v>
      </c>
      <c r="B74" s="1007" t="s">
        <v>111</v>
      </c>
      <c r="C74" s="1007" t="s">
        <v>472</v>
      </c>
      <c r="D74" s="1007" t="s">
        <v>63</v>
      </c>
      <c r="E74" s="1007" t="s">
        <v>64</v>
      </c>
      <c r="F74" s="1007" t="s">
        <v>65</v>
      </c>
      <c r="G74" s="1007" t="s">
        <v>66</v>
      </c>
      <c r="H74" s="1007" t="s">
        <v>67</v>
      </c>
      <c r="I74" s="1007" t="s">
        <v>68</v>
      </c>
      <c r="J74" s="1007" t="s">
        <v>232</v>
      </c>
      <c r="M74" s="1007" t="s">
        <v>68</v>
      </c>
      <c r="N74" s="1007" t="s">
        <v>68</v>
      </c>
      <c r="O74" s="1007" t="s">
        <v>473</v>
      </c>
      <c r="P74" s="1007" t="s">
        <v>474</v>
      </c>
      <c r="Q74" s="1007" t="s">
        <v>475</v>
      </c>
      <c r="R74" s="1007" t="s">
        <v>73</v>
      </c>
      <c r="S74" s="1007" t="s">
        <v>74</v>
      </c>
      <c r="T74" s="1007">
        <v>460</v>
      </c>
      <c r="U74" s="1007">
        <v>2592</v>
      </c>
      <c r="V74" s="1007">
        <v>1.1919999999999999</v>
      </c>
      <c r="W74" s="1007">
        <v>72</v>
      </c>
      <c r="X74" s="1007">
        <v>3</v>
      </c>
      <c r="Y74" s="1007" t="s">
        <v>75</v>
      </c>
      <c r="Z74" s="1007" t="s">
        <v>75</v>
      </c>
      <c r="AB74" s="1008">
        <v>46044</v>
      </c>
      <c r="AC74" s="1007">
        <v>4</v>
      </c>
      <c r="AD74" s="1007" t="s">
        <v>476</v>
      </c>
      <c r="AF74" s="1007" t="s">
        <v>122</v>
      </c>
      <c r="AG74" s="1007" t="s">
        <v>123</v>
      </c>
      <c r="AH74" s="1007" t="s">
        <v>78</v>
      </c>
      <c r="AI74" s="1008">
        <v>46049</v>
      </c>
      <c r="AJ74" s="1008">
        <v>46055</v>
      </c>
      <c r="AK74" s="1008">
        <v>46056</v>
      </c>
      <c r="AL74" s="1008">
        <v>46098</v>
      </c>
      <c r="AM74" s="1008">
        <v>46101</v>
      </c>
      <c r="AN74" s="1008">
        <v>46103</v>
      </c>
      <c r="AO74" s="1007" t="s">
        <v>66</v>
      </c>
      <c r="AP74" s="1007" t="s">
        <v>466</v>
      </c>
      <c r="AQ74" s="1007" t="s">
        <v>80</v>
      </c>
      <c r="AR74" s="1007" t="s">
        <v>467</v>
      </c>
      <c r="AS74" s="1007" t="s">
        <v>468</v>
      </c>
      <c r="AT74" s="1007" t="s">
        <v>468</v>
      </c>
      <c r="AU74" s="1007">
        <v>47</v>
      </c>
      <c r="AW74" s="1008">
        <v>46103</v>
      </c>
      <c r="AX74" s="1007" t="s">
        <v>84</v>
      </c>
      <c r="AY74" s="1008">
        <v>46115</v>
      </c>
      <c r="AZ74" s="1007">
        <v>8</v>
      </c>
      <c r="BA74" s="1008">
        <v>46111</v>
      </c>
      <c r="BB74" s="1007">
        <v>2026</v>
      </c>
      <c r="BC74" s="1007">
        <v>3</v>
      </c>
      <c r="BD74" s="1007">
        <v>14</v>
      </c>
      <c r="BE74" s="1007">
        <v>36</v>
      </c>
      <c r="BF74" s="1007">
        <v>864</v>
      </c>
      <c r="BG74" s="1007" t="s">
        <v>85</v>
      </c>
      <c r="BH74" s="1007" t="s">
        <v>86</v>
      </c>
    </row>
    <row r="75" spans="1:60">
      <c r="A75" s="1007" t="s">
        <v>477</v>
      </c>
      <c r="B75" s="1007" t="s">
        <v>111</v>
      </c>
      <c r="C75" s="1007" t="s">
        <v>461</v>
      </c>
      <c r="D75" s="1007" t="s">
        <v>63</v>
      </c>
      <c r="E75" s="1007" t="s">
        <v>64</v>
      </c>
      <c r="F75" s="1007" t="s">
        <v>65</v>
      </c>
      <c r="G75" s="1007" t="s">
        <v>66</v>
      </c>
      <c r="H75" s="1007" t="s">
        <v>67</v>
      </c>
      <c r="I75" s="1007" t="s">
        <v>68</v>
      </c>
      <c r="J75" s="1007" t="s">
        <v>232</v>
      </c>
      <c r="M75" s="1007" t="s">
        <v>68</v>
      </c>
      <c r="N75" s="1007" t="s">
        <v>68</v>
      </c>
      <c r="O75" s="1007" t="s">
        <v>170</v>
      </c>
      <c r="P75" s="1007" t="s">
        <v>462</v>
      </c>
      <c r="Q75" s="1007" t="s">
        <v>463</v>
      </c>
      <c r="R75" s="1007" t="s">
        <v>73</v>
      </c>
      <c r="S75" s="1007" t="s">
        <v>464</v>
      </c>
      <c r="T75" s="1007">
        <v>550</v>
      </c>
      <c r="U75" s="1007">
        <v>660</v>
      </c>
      <c r="V75" s="1007">
        <v>0.36299999999999999</v>
      </c>
      <c r="W75" s="1007">
        <v>20</v>
      </c>
      <c r="X75" s="1007">
        <v>1</v>
      </c>
      <c r="Y75" s="1007" t="s">
        <v>75</v>
      </c>
      <c r="Z75" s="1007" t="s">
        <v>75</v>
      </c>
      <c r="AB75" s="1008">
        <v>46040</v>
      </c>
      <c r="AC75" s="1007">
        <v>3</v>
      </c>
      <c r="AD75" s="1007" t="s">
        <v>478</v>
      </c>
      <c r="AF75" s="1007" t="s">
        <v>122</v>
      </c>
      <c r="AG75" s="1007" t="s">
        <v>123</v>
      </c>
      <c r="AH75" s="1007" t="s">
        <v>78</v>
      </c>
      <c r="AI75" s="1008">
        <v>46045</v>
      </c>
      <c r="AJ75" s="1008">
        <v>46047</v>
      </c>
      <c r="AK75" s="1008">
        <v>46047</v>
      </c>
      <c r="AL75" s="1008">
        <v>46097</v>
      </c>
      <c r="AM75" s="1008">
        <v>46111</v>
      </c>
      <c r="AN75" s="1008">
        <v>46111</v>
      </c>
      <c r="AO75" s="1007" t="s">
        <v>66</v>
      </c>
      <c r="AP75" s="1007" t="s">
        <v>479</v>
      </c>
      <c r="AQ75" s="1007" t="s">
        <v>80</v>
      </c>
      <c r="AR75" s="1007" t="s">
        <v>480</v>
      </c>
      <c r="AS75" s="1007" t="s">
        <v>481</v>
      </c>
      <c r="AT75" s="1007" t="s">
        <v>481</v>
      </c>
      <c r="AU75" s="1007">
        <v>64</v>
      </c>
      <c r="AW75" s="1008">
        <v>46111</v>
      </c>
      <c r="AX75" s="1007" t="s">
        <v>84</v>
      </c>
      <c r="AY75" s="1008">
        <v>46120</v>
      </c>
      <c r="AZ75" s="1007">
        <v>8</v>
      </c>
      <c r="BA75" s="1008">
        <v>46119</v>
      </c>
      <c r="BB75" s="1007">
        <v>2026</v>
      </c>
      <c r="BC75" s="1007">
        <v>4</v>
      </c>
      <c r="BD75" s="1007">
        <v>15</v>
      </c>
      <c r="BE75" s="1007">
        <v>33</v>
      </c>
      <c r="BF75" s="1007">
        <v>660</v>
      </c>
      <c r="BG75" s="1007" t="s">
        <v>108</v>
      </c>
      <c r="BH75" s="1007" t="s">
        <v>86</v>
      </c>
    </row>
    <row r="76" spans="1:60">
      <c r="A76" s="1007" t="s">
        <v>482</v>
      </c>
      <c r="B76" s="1007" t="s">
        <v>111</v>
      </c>
      <c r="C76" s="1007" t="s">
        <v>387</v>
      </c>
      <c r="D76" s="1007" t="s">
        <v>63</v>
      </c>
      <c r="E76" s="1007" t="s">
        <v>64</v>
      </c>
      <c r="F76" s="1007" t="s">
        <v>100</v>
      </c>
      <c r="G76" s="1007" t="s">
        <v>66</v>
      </c>
      <c r="H76" s="1007" t="s">
        <v>67</v>
      </c>
      <c r="I76" s="1007" t="s">
        <v>68</v>
      </c>
      <c r="J76" s="1007" t="s">
        <v>483</v>
      </c>
      <c r="M76" s="1007" t="s">
        <v>68</v>
      </c>
      <c r="N76" s="1007" t="s">
        <v>68</v>
      </c>
      <c r="O76" s="1007" t="s">
        <v>132</v>
      </c>
      <c r="P76" s="1007" t="s">
        <v>189</v>
      </c>
      <c r="Q76" s="1007" t="s">
        <v>190</v>
      </c>
      <c r="R76" s="1007" t="s">
        <v>73</v>
      </c>
      <c r="S76" s="1007" t="s">
        <v>74</v>
      </c>
      <c r="T76" s="1007">
        <v>465</v>
      </c>
      <c r="U76" s="1007">
        <v>864</v>
      </c>
      <c r="V76" s="1007">
        <v>0.40200000000000002</v>
      </c>
      <c r="W76" s="1007">
        <v>24</v>
      </c>
      <c r="X76" s="1007">
        <v>1</v>
      </c>
      <c r="Y76" s="1007" t="s">
        <v>75</v>
      </c>
      <c r="Z76" s="1007" t="s">
        <v>75</v>
      </c>
      <c r="AB76" s="1008">
        <v>46042</v>
      </c>
      <c r="AC76" s="1007">
        <v>4</v>
      </c>
      <c r="AD76" s="1007" t="s">
        <v>484</v>
      </c>
      <c r="AF76" s="1007" t="s">
        <v>122</v>
      </c>
      <c r="AG76" s="1007" t="s">
        <v>123</v>
      </c>
      <c r="AH76" s="1007" t="s">
        <v>105</v>
      </c>
      <c r="AI76" s="1008">
        <v>46050</v>
      </c>
      <c r="AJ76" s="1008">
        <v>46053</v>
      </c>
      <c r="AK76" s="1008">
        <v>46054</v>
      </c>
      <c r="AL76" s="1008">
        <v>46101</v>
      </c>
      <c r="AM76" s="1008">
        <v>46116</v>
      </c>
      <c r="AN76" s="1008">
        <v>46118</v>
      </c>
      <c r="AO76" s="1007" t="s">
        <v>66</v>
      </c>
      <c r="AP76" s="1007" t="s">
        <v>485</v>
      </c>
      <c r="AQ76" s="1007" t="s">
        <v>80</v>
      </c>
      <c r="AR76" s="1007" t="s">
        <v>486</v>
      </c>
      <c r="AS76" s="1007" t="s">
        <v>487</v>
      </c>
      <c r="AT76" s="1007" t="s">
        <v>487</v>
      </c>
      <c r="AU76" s="1007">
        <v>64</v>
      </c>
      <c r="AW76" s="1008">
        <v>46118</v>
      </c>
      <c r="AX76" s="1007" t="s">
        <v>84</v>
      </c>
      <c r="AY76" s="1008">
        <v>46132</v>
      </c>
      <c r="AZ76" s="1007">
        <v>7</v>
      </c>
      <c r="BA76" s="1008">
        <v>46125</v>
      </c>
      <c r="BB76" s="1007">
        <v>2026</v>
      </c>
      <c r="BC76" s="1007">
        <v>4</v>
      </c>
      <c r="BD76" s="1007">
        <v>16</v>
      </c>
      <c r="BE76" s="1007">
        <v>36</v>
      </c>
      <c r="BF76" s="1007">
        <v>864</v>
      </c>
      <c r="BG76" s="1007" t="s">
        <v>108</v>
      </c>
      <c r="BH76" s="1007" t="s">
        <v>109</v>
      </c>
    </row>
    <row r="77" spans="1:60">
      <c r="A77" s="1007" t="s">
        <v>488</v>
      </c>
      <c r="B77" s="1007" t="s">
        <v>111</v>
      </c>
      <c r="C77" s="1007" t="s">
        <v>187</v>
      </c>
      <c r="D77" s="1007" t="s">
        <v>63</v>
      </c>
      <c r="E77" s="1007" t="s">
        <v>64</v>
      </c>
      <c r="F77" s="1007" t="s">
        <v>100</v>
      </c>
      <c r="G77" s="1007" t="s">
        <v>66</v>
      </c>
      <c r="H77" s="1007" t="s">
        <v>67</v>
      </c>
      <c r="I77" s="1007" t="s">
        <v>68</v>
      </c>
      <c r="J77" s="1007" t="s">
        <v>483</v>
      </c>
      <c r="M77" s="1007" t="s">
        <v>68</v>
      </c>
      <c r="N77" s="1007" t="s">
        <v>68</v>
      </c>
      <c r="O77" s="1007" t="s">
        <v>132</v>
      </c>
      <c r="P77" s="1007" t="s">
        <v>189</v>
      </c>
      <c r="Q77" s="1007" t="s">
        <v>190</v>
      </c>
      <c r="R77" s="1007" t="s">
        <v>73</v>
      </c>
      <c r="S77" s="1007" t="s">
        <v>74</v>
      </c>
      <c r="T77" s="1007">
        <v>465</v>
      </c>
      <c r="U77" s="1007">
        <v>1728</v>
      </c>
      <c r="V77" s="1007">
        <v>0.80400000000000005</v>
      </c>
      <c r="W77" s="1007">
        <v>48</v>
      </c>
      <c r="X77" s="1007">
        <v>2</v>
      </c>
      <c r="Y77" s="1007" t="s">
        <v>75</v>
      </c>
      <c r="Z77" s="1007" t="s">
        <v>75</v>
      </c>
      <c r="AB77" s="1008">
        <v>46042</v>
      </c>
      <c r="AC77" s="1007">
        <v>4</v>
      </c>
      <c r="AD77" s="1007" t="s">
        <v>489</v>
      </c>
      <c r="AF77" s="1007" t="s">
        <v>122</v>
      </c>
      <c r="AG77" s="1007" t="s">
        <v>123</v>
      </c>
      <c r="AH77" s="1007" t="s">
        <v>105</v>
      </c>
      <c r="AI77" s="1008">
        <v>46050</v>
      </c>
      <c r="AJ77" s="1008">
        <v>46053</v>
      </c>
      <c r="AK77" s="1008">
        <v>46054</v>
      </c>
      <c r="AL77" s="1008">
        <v>46101</v>
      </c>
      <c r="AM77" s="1008">
        <v>46116</v>
      </c>
      <c r="AN77" s="1008">
        <v>46118</v>
      </c>
      <c r="AO77" s="1007" t="s">
        <v>66</v>
      </c>
      <c r="AP77" s="1007" t="s">
        <v>485</v>
      </c>
      <c r="AQ77" s="1007" t="s">
        <v>80</v>
      </c>
      <c r="AR77" s="1007" t="s">
        <v>486</v>
      </c>
      <c r="AS77" s="1007" t="s">
        <v>487</v>
      </c>
      <c r="AT77" s="1007" t="s">
        <v>487</v>
      </c>
      <c r="AU77" s="1007">
        <v>64</v>
      </c>
      <c r="AW77" s="1008">
        <v>46118</v>
      </c>
      <c r="AX77" s="1007" t="s">
        <v>84</v>
      </c>
      <c r="AY77" s="1008">
        <v>46132</v>
      </c>
      <c r="AZ77" s="1007">
        <v>7</v>
      </c>
      <c r="BA77" s="1008">
        <v>46125</v>
      </c>
      <c r="BB77" s="1007">
        <v>2026</v>
      </c>
      <c r="BC77" s="1007">
        <v>4</v>
      </c>
      <c r="BD77" s="1007">
        <v>16</v>
      </c>
      <c r="BE77" s="1007">
        <v>36</v>
      </c>
      <c r="BF77" s="1007">
        <v>864</v>
      </c>
      <c r="BG77" s="1007" t="s">
        <v>108</v>
      </c>
      <c r="BH77" s="1007" t="s">
        <v>109</v>
      </c>
    </row>
    <row r="78" spans="1:60">
      <c r="A78" s="1007" t="s">
        <v>490</v>
      </c>
      <c r="B78" s="1007" t="s">
        <v>111</v>
      </c>
      <c r="C78" s="1007" t="s">
        <v>387</v>
      </c>
      <c r="D78" s="1007" t="s">
        <v>63</v>
      </c>
      <c r="E78" s="1007" t="s">
        <v>64</v>
      </c>
      <c r="F78" s="1007" t="s">
        <v>100</v>
      </c>
      <c r="G78" s="1007" t="s">
        <v>66</v>
      </c>
      <c r="H78" s="1007" t="s">
        <v>67</v>
      </c>
      <c r="I78" s="1007" t="s">
        <v>68</v>
      </c>
      <c r="J78" s="1007" t="s">
        <v>101</v>
      </c>
      <c r="M78" s="1007" t="s">
        <v>68</v>
      </c>
      <c r="N78" s="1007" t="s">
        <v>68</v>
      </c>
      <c r="O78" s="1007" t="s">
        <v>132</v>
      </c>
      <c r="P78" s="1007" t="s">
        <v>189</v>
      </c>
      <c r="Q78" s="1007" t="s">
        <v>190</v>
      </c>
      <c r="R78" s="1007" t="s">
        <v>73</v>
      </c>
      <c r="S78" s="1007" t="s">
        <v>74</v>
      </c>
      <c r="T78" s="1007">
        <v>465</v>
      </c>
      <c r="U78" s="1007">
        <v>1728</v>
      </c>
      <c r="V78" s="1007">
        <v>0.80400000000000005</v>
      </c>
      <c r="W78" s="1007">
        <v>48</v>
      </c>
      <c r="X78" s="1007">
        <v>2</v>
      </c>
      <c r="Y78" s="1007" t="s">
        <v>75</v>
      </c>
      <c r="Z78" s="1007" t="s">
        <v>75</v>
      </c>
      <c r="AB78" s="1008">
        <v>46040</v>
      </c>
      <c r="AC78" s="1007">
        <v>3</v>
      </c>
      <c r="AD78" s="1007" t="s">
        <v>491</v>
      </c>
      <c r="AF78" s="1007" t="s">
        <v>122</v>
      </c>
      <c r="AG78" s="1007" t="s">
        <v>123</v>
      </c>
      <c r="AH78" s="1007" t="s">
        <v>105</v>
      </c>
      <c r="AI78" s="1008">
        <v>46045</v>
      </c>
      <c r="AJ78" s="1008">
        <v>46047</v>
      </c>
      <c r="AK78" s="1008">
        <v>46047</v>
      </c>
      <c r="AL78" s="1008">
        <v>46089</v>
      </c>
      <c r="AM78" s="1008">
        <v>46111</v>
      </c>
      <c r="AN78" s="1008">
        <v>46111</v>
      </c>
      <c r="AO78" s="1007" t="s">
        <v>66</v>
      </c>
      <c r="AP78" s="1007" t="s">
        <v>479</v>
      </c>
      <c r="AQ78" s="1007" t="s">
        <v>80</v>
      </c>
      <c r="AR78" s="1007" t="s">
        <v>492</v>
      </c>
      <c r="AS78" s="1007" t="s">
        <v>493</v>
      </c>
      <c r="AT78" s="1007" t="s">
        <v>493</v>
      </c>
      <c r="AU78" s="1007">
        <v>64</v>
      </c>
      <c r="AW78" s="1008">
        <v>46111</v>
      </c>
      <c r="AX78" s="1007" t="s">
        <v>84</v>
      </c>
      <c r="AY78" s="1008">
        <v>46125</v>
      </c>
      <c r="AZ78" s="1007">
        <v>7</v>
      </c>
      <c r="BA78" s="1008">
        <v>46118</v>
      </c>
      <c r="BB78" s="1007">
        <v>2026</v>
      </c>
      <c r="BC78" s="1007">
        <v>4</v>
      </c>
      <c r="BD78" s="1007">
        <v>15</v>
      </c>
      <c r="BE78" s="1007">
        <v>36</v>
      </c>
      <c r="BF78" s="1007">
        <v>864</v>
      </c>
      <c r="BG78" s="1007" t="s">
        <v>108</v>
      </c>
      <c r="BH78" s="1007" t="s">
        <v>109</v>
      </c>
    </row>
    <row r="79" spans="1:60">
      <c r="A79" s="1007" t="s">
        <v>494</v>
      </c>
      <c r="B79" s="1007" t="s">
        <v>111</v>
      </c>
      <c r="C79" s="1007" t="s">
        <v>387</v>
      </c>
      <c r="D79" s="1007" t="s">
        <v>63</v>
      </c>
      <c r="E79" s="1007" t="s">
        <v>64</v>
      </c>
      <c r="F79" s="1007" t="s">
        <v>100</v>
      </c>
      <c r="G79" s="1007" t="s">
        <v>66</v>
      </c>
      <c r="H79" s="1007" t="s">
        <v>67</v>
      </c>
      <c r="I79" s="1007" t="s">
        <v>68</v>
      </c>
      <c r="J79" s="1007" t="s">
        <v>101</v>
      </c>
      <c r="M79" s="1007" t="s">
        <v>68</v>
      </c>
      <c r="N79" s="1007" t="s">
        <v>68</v>
      </c>
      <c r="O79" s="1007" t="s">
        <v>132</v>
      </c>
      <c r="P79" s="1007" t="s">
        <v>189</v>
      </c>
      <c r="Q79" s="1007" t="s">
        <v>190</v>
      </c>
      <c r="R79" s="1007" t="s">
        <v>73</v>
      </c>
      <c r="S79" s="1007" t="s">
        <v>74</v>
      </c>
      <c r="T79" s="1007">
        <v>465</v>
      </c>
      <c r="U79" s="1007">
        <v>864</v>
      </c>
      <c r="V79" s="1007">
        <v>0.40200000000000002</v>
      </c>
      <c r="W79" s="1007">
        <v>24</v>
      </c>
      <c r="X79" s="1007">
        <v>1</v>
      </c>
      <c r="Y79" s="1007" t="s">
        <v>75</v>
      </c>
      <c r="Z79" s="1007" t="s">
        <v>75</v>
      </c>
      <c r="AB79" s="1008">
        <v>46040</v>
      </c>
      <c r="AC79" s="1007">
        <v>3</v>
      </c>
      <c r="AD79" s="1007" t="s">
        <v>495</v>
      </c>
      <c r="AF79" s="1007" t="s">
        <v>122</v>
      </c>
      <c r="AG79" s="1007" t="s">
        <v>123</v>
      </c>
      <c r="AH79" s="1007" t="s">
        <v>105</v>
      </c>
      <c r="AI79" s="1008">
        <v>46045</v>
      </c>
      <c r="AJ79" s="1008">
        <v>46047</v>
      </c>
      <c r="AK79" s="1008">
        <v>46047</v>
      </c>
      <c r="AL79" s="1008">
        <v>46089</v>
      </c>
      <c r="AM79" s="1008">
        <v>46111</v>
      </c>
      <c r="AN79" s="1008">
        <v>46111</v>
      </c>
      <c r="AO79" s="1007" t="s">
        <v>66</v>
      </c>
      <c r="AP79" s="1007" t="s">
        <v>479</v>
      </c>
      <c r="AQ79" s="1007" t="s">
        <v>80</v>
      </c>
      <c r="AR79" s="1007" t="s">
        <v>492</v>
      </c>
      <c r="AS79" s="1007" t="s">
        <v>493</v>
      </c>
      <c r="AT79" s="1007" t="s">
        <v>493</v>
      </c>
      <c r="AU79" s="1007">
        <v>64</v>
      </c>
      <c r="AW79" s="1008">
        <v>46111</v>
      </c>
      <c r="AX79" s="1007" t="s">
        <v>84</v>
      </c>
      <c r="AY79" s="1008">
        <v>46125</v>
      </c>
      <c r="AZ79" s="1007">
        <v>7</v>
      </c>
      <c r="BA79" s="1008">
        <v>46118</v>
      </c>
      <c r="BB79" s="1007">
        <v>2026</v>
      </c>
      <c r="BC79" s="1007">
        <v>4</v>
      </c>
      <c r="BD79" s="1007">
        <v>15</v>
      </c>
      <c r="BE79" s="1007">
        <v>36</v>
      </c>
      <c r="BF79" s="1007">
        <v>864</v>
      </c>
      <c r="BG79" s="1007" t="s">
        <v>108</v>
      </c>
      <c r="BH79" s="1007" t="s">
        <v>109</v>
      </c>
    </row>
    <row r="80" spans="1:60">
      <c r="A80" s="1007" t="s">
        <v>496</v>
      </c>
      <c r="B80" s="1007" t="s">
        <v>111</v>
      </c>
      <c r="C80" s="1007" t="s">
        <v>461</v>
      </c>
      <c r="D80" s="1007" t="s">
        <v>63</v>
      </c>
      <c r="E80" s="1007" t="s">
        <v>64</v>
      </c>
      <c r="F80" s="1007" t="s">
        <v>100</v>
      </c>
      <c r="G80" s="1007" t="s">
        <v>66</v>
      </c>
      <c r="H80" s="1007" t="s">
        <v>67</v>
      </c>
      <c r="I80" s="1007" t="s">
        <v>68</v>
      </c>
      <c r="J80" s="1007" t="s">
        <v>169</v>
      </c>
      <c r="M80" s="1007" t="s">
        <v>68</v>
      </c>
      <c r="N80" s="1007" t="s">
        <v>68</v>
      </c>
      <c r="O80" s="1007" t="s">
        <v>170</v>
      </c>
      <c r="P80" s="1007" t="s">
        <v>462</v>
      </c>
      <c r="Q80" s="1007" t="s">
        <v>463</v>
      </c>
      <c r="R80" s="1007" t="s">
        <v>73</v>
      </c>
      <c r="S80" s="1007" t="s">
        <v>464</v>
      </c>
      <c r="T80" s="1007">
        <v>550</v>
      </c>
      <c r="U80" s="1007">
        <v>660</v>
      </c>
      <c r="V80" s="1007">
        <v>0.36299999999999999</v>
      </c>
      <c r="W80" s="1007">
        <v>20</v>
      </c>
      <c r="X80" s="1007">
        <v>1</v>
      </c>
      <c r="Y80" s="1007" t="s">
        <v>75</v>
      </c>
      <c r="Z80" s="1007" t="s">
        <v>75</v>
      </c>
      <c r="AB80" s="1008">
        <v>46040</v>
      </c>
      <c r="AC80" s="1007">
        <v>3</v>
      </c>
      <c r="AD80" s="1007" t="s">
        <v>497</v>
      </c>
      <c r="AF80" s="1007" t="s">
        <v>122</v>
      </c>
      <c r="AG80" s="1007" t="s">
        <v>123</v>
      </c>
      <c r="AH80" s="1007" t="s">
        <v>105</v>
      </c>
      <c r="AI80" s="1008">
        <v>46045</v>
      </c>
      <c r="AJ80" s="1008">
        <v>46047</v>
      </c>
      <c r="AK80" s="1008">
        <v>46047</v>
      </c>
      <c r="AL80" s="1008">
        <v>46089</v>
      </c>
      <c r="AM80" s="1008">
        <v>46111</v>
      </c>
      <c r="AN80" s="1008">
        <v>46111</v>
      </c>
      <c r="AO80" s="1007" t="s">
        <v>66</v>
      </c>
      <c r="AP80" s="1007" t="s">
        <v>479</v>
      </c>
      <c r="AQ80" s="1007" t="s">
        <v>80</v>
      </c>
      <c r="AR80" s="1007" t="s">
        <v>492</v>
      </c>
      <c r="AS80" s="1007" t="s">
        <v>493</v>
      </c>
      <c r="AT80" s="1007" t="s">
        <v>493</v>
      </c>
      <c r="AU80" s="1007">
        <v>64</v>
      </c>
      <c r="AW80" s="1008">
        <v>46111</v>
      </c>
      <c r="AX80" s="1007" t="s">
        <v>84</v>
      </c>
      <c r="AY80" s="1008">
        <v>46125</v>
      </c>
      <c r="AZ80" s="1007">
        <v>7</v>
      </c>
      <c r="BA80" s="1008">
        <v>46118</v>
      </c>
      <c r="BB80" s="1007">
        <v>2026</v>
      </c>
      <c r="BC80" s="1007">
        <v>4</v>
      </c>
      <c r="BD80" s="1007">
        <v>15</v>
      </c>
      <c r="BE80" s="1007">
        <v>33</v>
      </c>
      <c r="BF80" s="1007">
        <v>660</v>
      </c>
      <c r="BG80" s="1007" t="s">
        <v>108</v>
      </c>
      <c r="BH80" s="1007" t="s">
        <v>109</v>
      </c>
    </row>
    <row r="81" spans="1:60">
      <c r="A81" s="1007" t="s">
        <v>498</v>
      </c>
      <c r="B81" s="1007" t="s">
        <v>111</v>
      </c>
      <c r="C81" s="1007" t="s">
        <v>461</v>
      </c>
      <c r="D81" s="1007" t="s">
        <v>63</v>
      </c>
      <c r="E81" s="1007" t="s">
        <v>64</v>
      </c>
      <c r="F81" s="1007" t="s">
        <v>100</v>
      </c>
      <c r="G81" s="1007" t="s">
        <v>66</v>
      </c>
      <c r="H81" s="1007" t="s">
        <v>67</v>
      </c>
      <c r="I81" s="1007" t="s">
        <v>68</v>
      </c>
      <c r="J81" s="1007" t="s">
        <v>169</v>
      </c>
      <c r="M81" s="1007" t="s">
        <v>68</v>
      </c>
      <c r="N81" s="1007" t="s">
        <v>68</v>
      </c>
      <c r="O81" s="1007" t="s">
        <v>170</v>
      </c>
      <c r="P81" s="1007" t="s">
        <v>462</v>
      </c>
      <c r="Q81" s="1007" t="s">
        <v>463</v>
      </c>
      <c r="R81" s="1007" t="s">
        <v>73</v>
      </c>
      <c r="S81" s="1007" t="s">
        <v>464</v>
      </c>
      <c r="T81" s="1007">
        <v>550</v>
      </c>
      <c r="U81" s="1007">
        <v>660</v>
      </c>
      <c r="V81" s="1007">
        <v>0.36299999999999999</v>
      </c>
      <c r="W81" s="1007">
        <v>20</v>
      </c>
      <c r="X81" s="1007">
        <v>1</v>
      </c>
      <c r="Y81" s="1007" t="s">
        <v>75</v>
      </c>
      <c r="Z81" s="1007" t="s">
        <v>75</v>
      </c>
      <c r="AB81" s="1008">
        <v>46040</v>
      </c>
      <c r="AC81" s="1007">
        <v>3</v>
      </c>
      <c r="AD81" s="1007" t="s">
        <v>499</v>
      </c>
      <c r="AF81" s="1007" t="s">
        <v>122</v>
      </c>
      <c r="AG81" s="1007" t="s">
        <v>123</v>
      </c>
      <c r="AH81" s="1007" t="s">
        <v>105</v>
      </c>
      <c r="AI81" s="1008">
        <v>46045</v>
      </c>
      <c r="AJ81" s="1008">
        <v>46047</v>
      </c>
      <c r="AK81" s="1008">
        <v>46047</v>
      </c>
      <c r="AL81" s="1008">
        <v>46089</v>
      </c>
      <c r="AM81" s="1008">
        <v>46111</v>
      </c>
      <c r="AN81" s="1008">
        <v>46111</v>
      </c>
      <c r="AO81" s="1007" t="s">
        <v>66</v>
      </c>
      <c r="AP81" s="1007" t="s">
        <v>479</v>
      </c>
      <c r="AQ81" s="1007" t="s">
        <v>80</v>
      </c>
      <c r="AR81" s="1007" t="s">
        <v>492</v>
      </c>
      <c r="AS81" s="1007" t="s">
        <v>493</v>
      </c>
      <c r="AT81" s="1007" t="s">
        <v>493</v>
      </c>
      <c r="AU81" s="1007">
        <v>64</v>
      </c>
      <c r="AW81" s="1008">
        <v>46111</v>
      </c>
      <c r="AX81" s="1007" t="s">
        <v>84</v>
      </c>
      <c r="AY81" s="1008">
        <v>46125</v>
      </c>
      <c r="AZ81" s="1007">
        <v>7</v>
      </c>
      <c r="BA81" s="1008">
        <v>46118</v>
      </c>
      <c r="BB81" s="1007">
        <v>2026</v>
      </c>
      <c r="BC81" s="1007">
        <v>4</v>
      </c>
      <c r="BD81" s="1007">
        <v>15</v>
      </c>
      <c r="BE81" s="1007">
        <v>33</v>
      </c>
      <c r="BF81" s="1007">
        <v>660</v>
      </c>
      <c r="BG81" s="1007" t="s">
        <v>108</v>
      </c>
      <c r="BH81" s="1007" t="s">
        <v>109</v>
      </c>
    </row>
    <row r="82" spans="1:60">
      <c r="A82" s="1007" t="s">
        <v>500</v>
      </c>
      <c r="B82" s="1007" t="s">
        <v>111</v>
      </c>
      <c r="C82" s="1007" t="s">
        <v>387</v>
      </c>
      <c r="D82" s="1007" t="s">
        <v>63</v>
      </c>
      <c r="E82" s="1007" t="s">
        <v>64</v>
      </c>
      <c r="F82" s="1007" t="s">
        <v>65</v>
      </c>
      <c r="G82" s="1007" t="s">
        <v>66</v>
      </c>
      <c r="H82" s="1007" t="s">
        <v>67</v>
      </c>
      <c r="I82" s="1007" t="s">
        <v>68</v>
      </c>
      <c r="J82" s="1007" t="s">
        <v>188</v>
      </c>
      <c r="M82" s="1007" t="s">
        <v>68</v>
      </c>
      <c r="N82" s="1007" t="s">
        <v>68</v>
      </c>
      <c r="O82" s="1007" t="s">
        <v>132</v>
      </c>
      <c r="P82" s="1007" t="s">
        <v>189</v>
      </c>
      <c r="Q82" s="1007" t="s">
        <v>190</v>
      </c>
      <c r="R82" s="1007" t="s">
        <v>73</v>
      </c>
      <c r="S82" s="1007" t="s">
        <v>74</v>
      </c>
      <c r="T82" s="1007">
        <v>465</v>
      </c>
      <c r="U82" s="1007">
        <v>1728</v>
      </c>
      <c r="V82" s="1007">
        <v>0.80400000000000005</v>
      </c>
      <c r="W82" s="1007">
        <v>48</v>
      </c>
      <c r="X82" s="1007">
        <v>2</v>
      </c>
      <c r="Y82" s="1007" t="s">
        <v>75</v>
      </c>
      <c r="Z82" s="1007" t="s">
        <v>75</v>
      </c>
      <c r="AB82" s="1008">
        <v>46038</v>
      </c>
      <c r="AC82" s="1007">
        <v>3</v>
      </c>
      <c r="AD82" s="1007" t="s">
        <v>501</v>
      </c>
      <c r="AF82" s="1007" t="s">
        <v>122</v>
      </c>
      <c r="AG82" s="1007" t="s">
        <v>123</v>
      </c>
      <c r="AH82" s="1007" t="s">
        <v>78</v>
      </c>
      <c r="AI82" s="1008">
        <v>46045</v>
      </c>
      <c r="AJ82" s="1008">
        <v>46047</v>
      </c>
      <c r="AK82" s="1008">
        <v>46047</v>
      </c>
      <c r="AL82" s="1008">
        <v>46092</v>
      </c>
      <c r="AM82" s="1008">
        <v>46111</v>
      </c>
      <c r="AN82" s="1008">
        <v>46111</v>
      </c>
      <c r="AO82" s="1007" t="s">
        <v>66</v>
      </c>
      <c r="AP82" s="1007" t="s">
        <v>479</v>
      </c>
      <c r="AQ82" s="1007" t="s">
        <v>80</v>
      </c>
      <c r="AR82" s="1007" t="s">
        <v>502</v>
      </c>
      <c r="AS82" s="1007" t="s">
        <v>503</v>
      </c>
      <c r="AT82" s="1007" t="s">
        <v>503</v>
      </c>
      <c r="AU82" s="1007">
        <v>64</v>
      </c>
      <c r="AW82" s="1008">
        <v>46111</v>
      </c>
      <c r="AX82" s="1007" t="s">
        <v>84</v>
      </c>
      <c r="AY82" s="1008">
        <v>46120</v>
      </c>
      <c r="AZ82" s="1007">
        <v>8</v>
      </c>
      <c r="BA82" s="1008">
        <v>46119</v>
      </c>
      <c r="BB82" s="1007">
        <v>2026</v>
      </c>
      <c r="BC82" s="1007">
        <v>4</v>
      </c>
      <c r="BD82" s="1007">
        <v>15</v>
      </c>
      <c r="BE82" s="1007">
        <v>36</v>
      </c>
      <c r="BF82" s="1007">
        <v>864</v>
      </c>
      <c r="BG82" s="1007" t="s">
        <v>108</v>
      </c>
      <c r="BH82" s="1007" t="s">
        <v>86</v>
      </c>
    </row>
    <row r="83" spans="1:60">
      <c r="A83" s="1007" t="s">
        <v>504</v>
      </c>
      <c r="B83" s="1007" t="s">
        <v>111</v>
      </c>
      <c r="C83" s="1007" t="s">
        <v>130</v>
      </c>
      <c r="D83" s="1007" t="s">
        <v>63</v>
      </c>
      <c r="E83" s="1007" t="s">
        <v>64</v>
      </c>
      <c r="F83" s="1007" t="s">
        <v>65</v>
      </c>
      <c r="G83" s="1007" t="s">
        <v>66</v>
      </c>
      <c r="H83" s="1007" t="s">
        <v>67</v>
      </c>
      <c r="I83" s="1007" t="s">
        <v>68</v>
      </c>
      <c r="J83" s="1007" t="s">
        <v>188</v>
      </c>
      <c r="M83" s="1007" t="s">
        <v>68</v>
      </c>
      <c r="N83" s="1007" t="s">
        <v>68</v>
      </c>
      <c r="O83" s="1007" t="s">
        <v>132</v>
      </c>
      <c r="P83" s="1007" t="s">
        <v>133</v>
      </c>
      <c r="Q83" s="1007" t="s">
        <v>134</v>
      </c>
      <c r="R83" s="1007" t="s">
        <v>73</v>
      </c>
      <c r="S83" s="1007" t="s">
        <v>120</v>
      </c>
      <c r="T83" s="1007">
        <v>720</v>
      </c>
      <c r="U83" s="1007">
        <v>594</v>
      </c>
      <c r="V83" s="1007">
        <v>0.42799999999999999</v>
      </c>
      <c r="W83" s="1007">
        <v>18</v>
      </c>
      <c r="X83" s="1007">
        <v>1</v>
      </c>
      <c r="Y83" s="1007" t="s">
        <v>75</v>
      </c>
      <c r="Z83" s="1007" t="s">
        <v>75</v>
      </c>
      <c r="AB83" s="1008">
        <v>46038</v>
      </c>
      <c r="AC83" s="1007">
        <v>3</v>
      </c>
      <c r="AD83" s="1007" t="s">
        <v>505</v>
      </c>
      <c r="AF83" s="1007" t="s">
        <v>122</v>
      </c>
      <c r="AG83" s="1007" t="s">
        <v>123</v>
      </c>
      <c r="AH83" s="1007" t="s">
        <v>78</v>
      </c>
      <c r="AI83" s="1008">
        <v>46045</v>
      </c>
      <c r="AJ83" s="1008">
        <v>46047</v>
      </c>
      <c r="AK83" s="1008">
        <v>46047</v>
      </c>
      <c r="AL83" s="1008">
        <v>46092</v>
      </c>
      <c r="AM83" s="1008">
        <v>46111</v>
      </c>
      <c r="AN83" s="1008">
        <v>46111</v>
      </c>
      <c r="AO83" s="1007" t="s">
        <v>66</v>
      </c>
      <c r="AP83" s="1007" t="s">
        <v>479</v>
      </c>
      <c r="AQ83" s="1007" t="s">
        <v>80</v>
      </c>
      <c r="AR83" s="1007" t="s">
        <v>502</v>
      </c>
      <c r="AS83" s="1007" t="s">
        <v>503</v>
      </c>
      <c r="AT83" s="1007" t="s">
        <v>503</v>
      </c>
      <c r="AU83" s="1007">
        <v>64</v>
      </c>
      <c r="AW83" s="1008">
        <v>46111</v>
      </c>
      <c r="AX83" s="1007" t="s">
        <v>84</v>
      </c>
      <c r="AY83" s="1008">
        <v>46120</v>
      </c>
      <c r="AZ83" s="1007">
        <v>8</v>
      </c>
      <c r="BA83" s="1008">
        <v>46119</v>
      </c>
      <c r="BB83" s="1007">
        <v>2026</v>
      </c>
      <c r="BC83" s="1007">
        <v>4</v>
      </c>
      <c r="BD83" s="1007">
        <v>15</v>
      </c>
      <c r="BE83" s="1007">
        <v>33</v>
      </c>
      <c r="BF83" s="1007">
        <v>594</v>
      </c>
      <c r="BG83" s="1007" t="s">
        <v>108</v>
      </c>
      <c r="BH83" s="1007" t="s">
        <v>86</v>
      </c>
    </row>
    <row r="84" spans="1:60">
      <c r="A84" s="1007" t="s">
        <v>506</v>
      </c>
      <c r="B84" s="1007" t="s">
        <v>111</v>
      </c>
      <c r="C84" s="1007" t="s">
        <v>387</v>
      </c>
      <c r="D84" s="1007" t="s">
        <v>63</v>
      </c>
      <c r="E84" s="1007" t="s">
        <v>64</v>
      </c>
      <c r="F84" s="1007" t="s">
        <v>65</v>
      </c>
      <c r="G84" s="1007" t="s">
        <v>66</v>
      </c>
      <c r="H84" s="1007" t="s">
        <v>67</v>
      </c>
      <c r="I84" s="1007" t="s">
        <v>68</v>
      </c>
      <c r="J84" s="1007" t="s">
        <v>188</v>
      </c>
      <c r="M84" s="1007" t="s">
        <v>68</v>
      </c>
      <c r="N84" s="1007" t="s">
        <v>68</v>
      </c>
      <c r="O84" s="1007" t="s">
        <v>132</v>
      </c>
      <c r="P84" s="1007" t="s">
        <v>189</v>
      </c>
      <c r="Q84" s="1007" t="s">
        <v>190</v>
      </c>
      <c r="R84" s="1007" t="s">
        <v>73</v>
      </c>
      <c r="S84" s="1007" t="s">
        <v>74</v>
      </c>
      <c r="T84" s="1007">
        <v>465</v>
      </c>
      <c r="U84" s="1007">
        <v>3456</v>
      </c>
      <c r="V84" s="1007">
        <v>1.607</v>
      </c>
      <c r="W84" s="1007">
        <v>96</v>
      </c>
      <c r="X84" s="1007">
        <v>4</v>
      </c>
      <c r="Y84" s="1007" t="s">
        <v>75</v>
      </c>
      <c r="Z84" s="1007" t="s">
        <v>75</v>
      </c>
      <c r="AB84" s="1008">
        <v>46038</v>
      </c>
      <c r="AC84" s="1007">
        <v>3</v>
      </c>
      <c r="AD84" s="1007" t="s">
        <v>507</v>
      </c>
      <c r="AF84" s="1007" t="s">
        <v>122</v>
      </c>
      <c r="AG84" s="1007" t="s">
        <v>123</v>
      </c>
      <c r="AH84" s="1007" t="s">
        <v>78</v>
      </c>
      <c r="AI84" s="1008">
        <v>46045</v>
      </c>
      <c r="AJ84" s="1008">
        <v>46047</v>
      </c>
      <c r="AK84" s="1008">
        <v>46047</v>
      </c>
      <c r="AL84" s="1008">
        <v>46092</v>
      </c>
      <c r="AM84" s="1008">
        <v>46111</v>
      </c>
      <c r="AN84" s="1008">
        <v>46111</v>
      </c>
      <c r="AO84" s="1007" t="s">
        <v>66</v>
      </c>
      <c r="AP84" s="1007" t="s">
        <v>479</v>
      </c>
      <c r="AQ84" s="1007" t="s">
        <v>80</v>
      </c>
      <c r="AR84" s="1007" t="s">
        <v>502</v>
      </c>
      <c r="AS84" s="1007" t="s">
        <v>503</v>
      </c>
      <c r="AT84" s="1007" t="s">
        <v>503</v>
      </c>
      <c r="AU84" s="1007">
        <v>64</v>
      </c>
      <c r="AW84" s="1008">
        <v>46111</v>
      </c>
      <c r="AX84" s="1007" t="s">
        <v>84</v>
      </c>
      <c r="AY84" s="1008">
        <v>46120</v>
      </c>
      <c r="AZ84" s="1007">
        <v>8</v>
      </c>
      <c r="BA84" s="1008">
        <v>46119</v>
      </c>
      <c r="BB84" s="1007">
        <v>2026</v>
      </c>
      <c r="BC84" s="1007">
        <v>4</v>
      </c>
      <c r="BD84" s="1007">
        <v>15</v>
      </c>
      <c r="BE84" s="1007">
        <v>36</v>
      </c>
      <c r="BF84" s="1007">
        <v>864</v>
      </c>
      <c r="BG84" s="1007" t="s">
        <v>108</v>
      </c>
      <c r="BH84" s="1007" t="s">
        <v>86</v>
      </c>
    </row>
    <row r="85" spans="1:60">
      <c r="A85" s="1007" t="s">
        <v>508</v>
      </c>
      <c r="B85" s="1007" t="s">
        <v>111</v>
      </c>
      <c r="C85" s="1007" t="s">
        <v>130</v>
      </c>
      <c r="D85" s="1007" t="s">
        <v>63</v>
      </c>
      <c r="E85" s="1007" t="s">
        <v>64</v>
      </c>
      <c r="F85" s="1007" t="s">
        <v>65</v>
      </c>
      <c r="G85" s="1007" t="s">
        <v>66</v>
      </c>
      <c r="H85" s="1007" t="s">
        <v>67</v>
      </c>
      <c r="I85" s="1007" t="s">
        <v>68</v>
      </c>
      <c r="J85" s="1007" t="s">
        <v>188</v>
      </c>
      <c r="M85" s="1007" t="s">
        <v>68</v>
      </c>
      <c r="N85" s="1007" t="s">
        <v>68</v>
      </c>
      <c r="O85" s="1007" t="s">
        <v>132</v>
      </c>
      <c r="P85" s="1007" t="s">
        <v>133</v>
      </c>
      <c r="Q85" s="1007" t="s">
        <v>134</v>
      </c>
      <c r="R85" s="1007" t="s">
        <v>73</v>
      </c>
      <c r="S85" s="1007" t="s">
        <v>120</v>
      </c>
      <c r="T85" s="1007">
        <v>720</v>
      </c>
      <c r="U85" s="1007">
        <v>1782</v>
      </c>
      <c r="V85" s="1007">
        <v>1.2829999999999999</v>
      </c>
      <c r="W85" s="1007">
        <v>54</v>
      </c>
      <c r="X85" s="1007">
        <v>3</v>
      </c>
      <c r="Y85" s="1007" t="s">
        <v>75</v>
      </c>
      <c r="Z85" s="1007" t="s">
        <v>75</v>
      </c>
      <c r="AB85" s="1008">
        <v>46039</v>
      </c>
      <c r="AC85" s="1007">
        <v>3</v>
      </c>
      <c r="AD85" s="1007" t="s">
        <v>509</v>
      </c>
      <c r="AF85" s="1007" t="s">
        <v>122</v>
      </c>
      <c r="AG85" s="1007" t="s">
        <v>123</v>
      </c>
      <c r="AH85" s="1007" t="s">
        <v>78</v>
      </c>
      <c r="AI85" s="1008">
        <v>46045</v>
      </c>
      <c r="AJ85" s="1008">
        <v>46047</v>
      </c>
      <c r="AK85" s="1008">
        <v>46047</v>
      </c>
      <c r="AL85" s="1008">
        <v>46092</v>
      </c>
      <c r="AM85" s="1008">
        <v>46111</v>
      </c>
      <c r="AN85" s="1008">
        <v>46111</v>
      </c>
      <c r="AO85" s="1007" t="s">
        <v>66</v>
      </c>
      <c r="AP85" s="1007" t="s">
        <v>479</v>
      </c>
      <c r="AQ85" s="1007" t="s">
        <v>80</v>
      </c>
      <c r="AR85" s="1007" t="s">
        <v>510</v>
      </c>
      <c r="AS85" s="1007" t="s">
        <v>511</v>
      </c>
      <c r="AT85" s="1007" t="s">
        <v>511</v>
      </c>
      <c r="AU85" s="1007">
        <v>64</v>
      </c>
      <c r="AW85" s="1008">
        <v>46111</v>
      </c>
      <c r="AX85" s="1007" t="s">
        <v>84</v>
      </c>
      <c r="AY85" s="1008">
        <v>46120</v>
      </c>
      <c r="AZ85" s="1007">
        <v>8</v>
      </c>
      <c r="BA85" s="1008">
        <v>46119</v>
      </c>
      <c r="BB85" s="1007">
        <v>2026</v>
      </c>
      <c r="BC85" s="1007">
        <v>4</v>
      </c>
      <c r="BD85" s="1007">
        <v>15</v>
      </c>
      <c r="BE85" s="1007">
        <v>33</v>
      </c>
      <c r="BF85" s="1007">
        <v>594</v>
      </c>
      <c r="BG85" s="1007" t="s">
        <v>108</v>
      </c>
      <c r="BH85" s="1007" t="s">
        <v>86</v>
      </c>
    </row>
    <row r="86" spans="1:60">
      <c r="A86" s="1007" t="s">
        <v>512</v>
      </c>
      <c r="B86" s="1007" t="s">
        <v>111</v>
      </c>
      <c r="C86" s="1007" t="s">
        <v>130</v>
      </c>
      <c r="D86" s="1007" t="s">
        <v>63</v>
      </c>
      <c r="E86" s="1007" t="s">
        <v>64</v>
      </c>
      <c r="F86" s="1007" t="s">
        <v>65</v>
      </c>
      <c r="G86" s="1007" t="s">
        <v>66</v>
      </c>
      <c r="H86" s="1007" t="s">
        <v>67</v>
      </c>
      <c r="I86" s="1007" t="s">
        <v>68</v>
      </c>
      <c r="J86" s="1007" t="s">
        <v>188</v>
      </c>
      <c r="M86" s="1007" t="s">
        <v>68</v>
      </c>
      <c r="N86" s="1007" t="s">
        <v>68</v>
      </c>
      <c r="O86" s="1007" t="s">
        <v>132</v>
      </c>
      <c r="P86" s="1007" t="s">
        <v>133</v>
      </c>
      <c r="Q86" s="1007" t="s">
        <v>134</v>
      </c>
      <c r="R86" s="1007" t="s">
        <v>73</v>
      </c>
      <c r="S86" s="1007" t="s">
        <v>120</v>
      </c>
      <c r="T86" s="1007">
        <v>720</v>
      </c>
      <c r="U86" s="1007">
        <v>2376</v>
      </c>
      <c r="V86" s="1007">
        <v>1.7110000000000001</v>
      </c>
      <c r="W86" s="1007">
        <v>72</v>
      </c>
      <c r="X86" s="1007">
        <v>4</v>
      </c>
      <c r="Y86" s="1007" t="s">
        <v>75</v>
      </c>
      <c r="Z86" s="1007" t="s">
        <v>75</v>
      </c>
      <c r="AB86" s="1008">
        <v>46039</v>
      </c>
      <c r="AC86" s="1007">
        <v>3</v>
      </c>
      <c r="AD86" s="1007" t="s">
        <v>513</v>
      </c>
      <c r="AF86" s="1007" t="s">
        <v>122</v>
      </c>
      <c r="AG86" s="1007" t="s">
        <v>123</v>
      </c>
      <c r="AH86" s="1007" t="s">
        <v>78</v>
      </c>
      <c r="AI86" s="1008">
        <v>46045</v>
      </c>
      <c r="AJ86" s="1008">
        <v>46047</v>
      </c>
      <c r="AK86" s="1008">
        <v>46047</v>
      </c>
      <c r="AL86" s="1008">
        <v>46092</v>
      </c>
      <c r="AM86" s="1008">
        <v>46111</v>
      </c>
      <c r="AN86" s="1008">
        <v>46111</v>
      </c>
      <c r="AO86" s="1007" t="s">
        <v>66</v>
      </c>
      <c r="AP86" s="1007" t="s">
        <v>479</v>
      </c>
      <c r="AQ86" s="1007" t="s">
        <v>80</v>
      </c>
      <c r="AR86" s="1007" t="s">
        <v>510</v>
      </c>
      <c r="AS86" s="1007" t="s">
        <v>511</v>
      </c>
      <c r="AT86" s="1007" t="s">
        <v>511</v>
      </c>
      <c r="AU86" s="1007">
        <v>64</v>
      </c>
      <c r="AW86" s="1008">
        <v>46111</v>
      </c>
      <c r="AX86" s="1007" t="s">
        <v>84</v>
      </c>
      <c r="AY86" s="1008">
        <v>46120</v>
      </c>
      <c r="AZ86" s="1007">
        <v>8</v>
      </c>
      <c r="BA86" s="1008">
        <v>46119</v>
      </c>
      <c r="BB86" s="1007">
        <v>2026</v>
      </c>
      <c r="BC86" s="1007">
        <v>4</v>
      </c>
      <c r="BD86" s="1007">
        <v>15</v>
      </c>
      <c r="BE86" s="1007">
        <v>33</v>
      </c>
      <c r="BF86" s="1007">
        <v>594</v>
      </c>
      <c r="BG86" s="1007" t="s">
        <v>108</v>
      </c>
      <c r="BH86" s="1007" t="s">
        <v>86</v>
      </c>
    </row>
    <row r="87" spans="1:60">
      <c r="A87" s="1007" t="s">
        <v>514</v>
      </c>
      <c r="B87" s="1007" t="s">
        <v>111</v>
      </c>
      <c r="C87" s="1007" t="s">
        <v>112</v>
      </c>
      <c r="D87" s="1007" t="s">
        <v>113</v>
      </c>
      <c r="E87" s="1007" t="s">
        <v>64</v>
      </c>
      <c r="F87" s="1007" t="s">
        <v>114</v>
      </c>
      <c r="G87" s="1007" t="s">
        <v>66</v>
      </c>
      <c r="H87" s="1007" t="s">
        <v>115</v>
      </c>
      <c r="I87" s="1007" t="s">
        <v>68</v>
      </c>
      <c r="J87" s="1007" t="s">
        <v>116</v>
      </c>
      <c r="K87" s="1007" t="s">
        <v>266</v>
      </c>
      <c r="M87" s="1007" t="s">
        <v>68</v>
      </c>
      <c r="N87" s="1007" t="s">
        <v>68</v>
      </c>
      <c r="O87" s="1007" t="s">
        <v>70</v>
      </c>
      <c r="P87" s="1007" t="s">
        <v>118</v>
      </c>
      <c r="Q87" s="1007" t="s">
        <v>119</v>
      </c>
      <c r="R87" s="1007" t="s">
        <v>73</v>
      </c>
      <c r="S87" s="1007" t="s">
        <v>120</v>
      </c>
      <c r="T87" s="1007">
        <v>640</v>
      </c>
      <c r="U87" s="1007" t="s">
        <v>197</v>
      </c>
      <c r="V87" s="1007" t="s">
        <v>515</v>
      </c>
      <c r="W87" s="1007" t="s">
        <v>516</v>
      </c>
      <c r="X87" s="1007">
        <v>0</v>
      </c>
      <c r="Y87" s="1007" t="s">
        <v>75</v>
      </c>
      <c r="Z87" s="1007" t="s">
        <v>75</v>
      </c>
      <c r="AB87" s="1008">
        <v>46040</v>
      </c>
      <c r="AC87" s="1007">
        <v>3</v>
      </c>
      <c r="AD87" s="1007" t="s">
        <v>517</v>
      </c>
      <c r="AF87" s="1007" t="s">
        <v>122</v>
      </c>
      <c r="AG87" s="1007" t="s">
        <v>123</v>
      </c>
      <c r="AH87" s="1007" t="s">
        <v>124</v>
      </c>
      <c r="AI87" s="1008">
        <v>46045</v>
      </c>
      <c r="AJ87" s="1008">
        <v>46047</v>
      </c>
      <c r="AK87" s="1008">
        <v>46047</v>
      </c>
      <c r="AL87" s="1008">
        <v>46100</v>
      </c>
      <c r="AM87" s="1008">
        <v>46114</v>
      </c>
      <c r="AN87" s="1008">
        <v>46117</v>
      </c>
      <c r="AO87" s="1007" t="s">
        <v>66</v>
      </c>
      <c r="AP87" s="1007" t="s">
        <v>479</v>
      </c>
      <c r="AQ87" s="1007" t="s">
        <v>80</v>
      </c>
      <c r="AR87" s="1007" t="s">
        <v>518</v>
      </c>
      <c r="AS87" s="1007" t="s">
        <v>519</v>
      </c>
      <c r="AT87" s="1007" t="s">
        <v>519</v>
      </c>
      <c r="AU87" s="1007">
        <v>70</v>
      </c>
      <c r="AW87" s="1008">
        <v>46117</v>
      </c>
      <c r="AX87" s="1007" t="s">
        <v>84</v>
      </c>
      <c r="AY87" s="1008">
        <v>46120</v>
      </c>
      <c r="AZ87" s="1007">
        <v>9</v>
      </c>
      <c r="BA87" s="1008">
        <v>46126</v>
      </c>
      <c r="BB87" s="1007">
        <v>2026</v>
      </c>
      <c r="BC87" s="1007">
        <v>4</v>
      </c>
      <c r="BD87" s="1007">
        <v>16</v>
      </c>
      <c r="BE87" s="1007">
        <v>36</v>
      </c>
      <c r="BF87" s="1007">
        <v>576</v>
      </c>
      <c r="BG87" s="1007" t="s">
        <v>128</v>
      </c>
      <c r="BH87" s="1007" t="s">
        <v>86</v>
      </c>
    </row>
    <row r="88" spans="1:60">
      <c r="A88" s="1007" t="s">
        <v>520</v>
      </c>
      <c r="B88" s="1007" t="s">
        <v>111</v>
      </c>
      <c r="C88" s="1007" t="s">
        <v>112</v>
      </c>
      <c r="D88" s="1007" t="s">
        <v>113</v>
      </c>
      <c r="E88" s="1007" t="s">
        <v>64</v>
      </c>
      <c r="F88" s="1007" t="s">
        <v>114</v>
      </c>
      <c r="G88" s="1007" t="s">
        <v>66</v>
      </c>
      <c r="H88" s="1007" t="s">
        <v>115</v>
      </c>
      <c r="I88" s="1007" t="s">
        <v>68</v>
      </c>
      <c r="J88" s="1007" t="s">
        <v>116</v>
      </c>
      <c r="K88" s="1007" t="s">
        <v>266</v>
      </c>
      <c r="M88" s="1007" t="s">
        <v>68</v>
      </c>
      <c r="N88" s="1007" t="s">
        <v>68</v>
      </c>
      <c r="O88" s="1007" t="s">
        <v>70</v>
      </c>
      <c r="P88" s="1007" t="s">
        <v>118</v>
      </c>
      <c r="Q88" s="1007" t="s">
        <v>119</v>
      </c>
      <c r="R88" s="1007" t="s">
        <v>73</v>
      </c>
      <c r="S88" s="1007" t="s">
        <v>120</v>
      </c>
      <c r="T88" s="1007">
        <v>640</v>
      </c>
      <c r="U88" s="1007">
        <v>1152</v>
      </c>
      <c r="V88" s="1007">
        <v>0.73699999999999999</v>
      </c>
      <c r="W88" s="1007">
        <v>32</v>
      </c>
      <c r="X88" s="1007">
        <v>2</v>
      </c>
      <c r="Y88" s="1007" t="s">
        <v>75</v>
      </c>
      <c r="Z88" s="1007" t="s">
        <v>75</v>
      </c>
      <c r="AB88" s="1008">
        <v>46042</v>
      </c>
      <c r="AC88" s="1007">
        <v>4</v>
      </c>
      <c r="AD88" s="1007" t="s">
        <v>521</v>
      </c>
      <c r="AF88" s="1007" t="s">
        <v>122</v>
      </c>
      <c r="AG88" s="1007" t="s">
        <v>123</v>
      </c>
      <c r="AH88" s="1007" t="s">
        <v>124</v>
      </c>
      <c r="AI88" s="1008">
        <v>46051</v>
      </c>
      <c r="AJ88" s="1008">
        <v>46053</v>
      </c>
      <c r="AK88" s="1008">
        <v>46054</v>
      </c>
      <c r="AL88" s="1008">
        <v>46093</v>
      </c>
      <c r="AM88" s="1008">
        <v>46095</v>
      </c>
      <c r="AN88" s="1008">
        <v>46095</v>
      </c>
      <c r="AO88" s="1007" t="s">
        <v>66</v>
      </c>
      <c r="AP88" s="1007" t="s">
        <v>485</v>
      </c>
      <c r="AQ88" s="1007" t="s">
        <v>80</v>
      </c>
      <c r="AR88" s="1007" t="s">
        <v>522</v>
      </c>
      <c r="AS88" s="1007" t="s">
        <v>523</v>
      </c>
      <c r="AT88" s="1007" t="s">
        <v>523</v>
      </c>
      <c r="AU88" s="1007">
        <v>41</v>
      </c>
      <c r="AW88" s="1008">
        <v>46095</v>
      </c>
      <c r="AX88" s="1007" t="s">
        <v>84</v>
      </c>
      <c r="AY88" s="1008">
        <v>46107</v>
      </c>
      <c r="AZ88" s="1007">
        <v>9</v>
      </c>
      <c r="BA88" s="1008">
        <v>46104</v>
      </c>
      <c r="BB88" s="1007">
        <v>2026</v>
      </c>
      <c r="BC88" s="1007">
        <v>3</v>
      </c>
      <c r="BD88" s="1007">
        <v>13</v>
      </c>
      <c r="BE88" s="1007">
        <v>36</v>
      </c>
      <c r="BF88" s="1007">
        <v>576</v>
      </c>
      <c r="BG88" s="1007" t="s">
        <v>128</v>
      </c>
      <c r="BH88" s="1007" t="s">
        <v>86</v>
      </c>
    </row>
    <row r="89" spans="1:60">
      <c r="A89" s="1007" t="s">
        <v>524</v>
      </c>
      <c r="B89" s="1007" t="s">
        <v>111</v>
      </c>
      <c r="C89" s="1007" t="s">
        <v>525</v>
      </c>
      <c r="D89" s="1007" t="s">
        <v>63</v>
      </c>
      <c r="E89" s="1007" t="s">
        <v>144</v>
      </c>
      <c r="F89" s="1007" t="s">
        <v>145</v>
      </c>
      <c r="G89" s="1007" t="s">
        <v>402</v>
      </c>
      <c r="H89" s="1007" t="s">
        <v>526</v>
      </c>
      <c r="I89" s="1007" t="s">
        <v>68</v>
      </c>
      <c r="J89" s="1007" t="s">
        <v>527</v>
      </c>
      <c r="K89" s="1007" t="s">
        <v>528</v>
      </c>
      <c r="M89" s="1007" t="s">
        <v>68</v>
      </c>
      <c r="N89" s="1007" t="s">
        <v>68</v>
      </c>
      <c r="O89" s="1007" t="s">
        <v>473</v>
      </c>
      <c r="P89" s="1007" t="s">
        <v>529</v>
      </c>
      <c r="Q89" s="1007" t="s">
        <v>530</v>
      </c>
      <c r="R89" s="1007" t="s">
        <v>73</v>
      </c>
      <c r="S89" s="1007" t="s">
        <v>74</v>
      </c>
      <c r="T89" s="1007">
        <v>455</v>
      </c>
      <c r="U89" s="1007">
        <v>4320</v>
      </c>
      <c r="V89" s="1007">
        <v>1.966</v>
      </c>
      <c r="W89" s="1007">
        <v>120</v>
      </c>
      <c r="X89" s="1007">
        <v>5</v>
      </c>
      <c r="Y89" s="1007" t="s">
        <v>75</v>
      </c>
      <c r="Z89" s="1007" t="s">
        <v>75</v>
      </c>
      <c r="AB89" s="1008">
        <v>46049</v>
      </c>
      <c r="AC89" s="1007">
        <v>5</v>
      </c>
      <c r="AD89" s="1007" t="s">
        <v>531</v>
      </c>
      <c r="AF89" s="1007" t="s">
        <v>122</v>
      </c>
      <c r="AG89" s="1007" t="s">
        <v>123</v>
      </c>
      <c r="AH89" s="1007" t="s">
        <v>532</v>
      </c>
      <c r="AI89" s="1008">
        <v>46055</v>
      </c>
      <c r="AJ89" s="1008">
        <v>46059</v>
      </c>
      <c r="AK89" s="1008">
        <v>46059</v>
      </c>
      <c r="AL89" s="1008">
        <v>46106</v>
      </c>
      <c r="AM89" s="1008">
        <v>46121</v>
      </c>
      <c r="AN89" s="1008">
        <v>46122</v>
      </c>
      <c r="AO89" s="1007" t="s">
        <v>402</v>
      </c>
      <c r="AP89" s="1007" t="s">
        <v>533</v>
      </c>
      <c r="AQ89" s="1007" t="s">
        <v>161</v>
      </c>
      <c r="AR89" s="1007" t="s">
        <v>534</v>
      </c>
      <c r="AS89" s="1007" t="s">
        <v>535</v>
      </c>
      <c r="AT89" s="1007" t="s">
        <v>536</v>
      </c>
      <c r="AU89" s="1007">
        <v>63</v>
      </c>
      <c r="AW89" s="1008">
        <v>46122</v>
      </c>
      <c r="AX89" s="1007" t="s">
        <v>84</v>
      </c>
      <c r="AY89" s="1008">
        <v>46120</v>
      </c>
      <c r="AZ89" s="1007" t="s">
        <v>152</v>
      </c>
      <c r="BA89" s="1008">
        <v>46122</v>
      </c>
      <c r="BB89" s="1007">
        <v>2026</v>
      </c>
      <c r="BC89" s="1007">
        <v>4</v>
      </c>
      <c r="BD89" s="1007">
        <v>15</v>
      </c>
      <c r="BE89" s="1007">
        <v>36</v>
      </c>
      <c r="BF89" s="1007">
        <v>864</v>
      </c>
      <c r="BG89" s="1007" t="s">
        <v>85</v>
      </c>
      <c r="BH89" s="1007" t="s">
        <v>109</v>
      </c>
    </row>
    <row r="90" spans="1:60">
      <c r="A90" s="1007" t="s">
        <v>537</v>
      </c>
      <c r="B90" s="1007" t="s">
        <v>111</v>
      </c>
      <c r="C90" s="1007" t="s">
        <v>203</v>
      </c>
      <c r="D90" s="1007" t="s">
        <v>63</v>
      </c>
      <c r="E90" s="1007" t="s">
        <v>144</v>
      </c>
      <c r="F90" s="1007" t="s">
        <v>145</v>
      </c>
      <c r="G90" s="1007" t="s">
        <v>402</v>
      </c>
      <c r="H90" s="1007" t="s">
        <v>538</v>
      </c>
      <c r="I90" s="1007" t="s">
        <v>68</v>
      </c>
      <c r="J90" s="1007" t="s">
        <v>538</v>
      </c>
      <c r="K90" s="1007" t="s">
        <v>539</v>
      </c>
      <c r="M90" s="1007" t="s">
        <v>68</v>
      </c>
      <c r="N90" s="1007" t="s">
        <v>68</v>
      </c>
      <c r="O90" s="1007" t="s">
        <v>473</v>
      </c>
      <c r="P90" s="1007" t="s">
        <v>529</v>
      </c>
      <c r="Q90" s="1007" t="s">
        <v>530</v>
      </c>
      <c r="R90" s="1007" t="s">
        <v>73</v>
      </c>
      <c r="S90" s="1007" t="s">
        <v>74</v>
      </c>
      <c r="T90" s="1007">
        <v>455</v>
      </c>
      <c r="U90" s="1007">
        <v>1728</v>
      </c>
      <c r="V90" s="1007">
        <v>0.78600000000000003</v>
      </c>
      <c r="W90" s="1007">
        <v>48</v>
      </c>
      <c r="X90" s="1007">
        <v>2</v>
      </c>
      <c r="Y90" s="1007" t="s">
        <v>75</v>
      </c>
      <c r="Z90" s="1007" t="s">
        <v>75</v>
      </c>
      <c r="AB90" s="1008">
        <v>46040</v>
      </c>
      <c r="AC90" s="1007">
        <v>3</v>
      </c>
      <c r="AD90" s="1007" t="s">
        <v>540</v>
      </c>
      <c r="AF90" s="1007" t="s">
        <v>122</v>
      </c>
      <c r="AG90" s="1007" t="s">
        <v>123</v>
      </c>
      <c r="AH90" s="1007" t="s">
        <v>541</v>
      </c>
      <c r="AI90" s="1008">
        <v>46047</v>
      </c>
      <c r="AJ90" s="1008">
        <v>46054</v>
      </c>
      <c r="AK90" s="1008">
        <v>46054</v>
      </c>
      <c r="AL90" s="1008">
        <v>46093</v>
      </c>
      <c r="AM90" s="1008">
        <v>46107</v>
      </c>
      <c r="AN90" s="1008">
        <v>46107</v>
      </c>
      <c r="AO90" s="1007" t="s">
        <v>402</v>
      </c>
      <c r="AP90" s="1007" t="s">
        <v>542</v>
      </c>
      <c r="AQ90" s="1007" t="s">
        <v>161</v>
      </c>
      <c r="AR90" s="1007" t="s">
        <v>543</v>
      </c>
      <c r="AS90" s="1007" t="s">
        <v>544</v>
      </c>
      <c r="AT90" s="1007" t="s">
        <v>544</v>
      </c>
      <c r="AU90" s="1007">
        <v>53</v>
      </c>
      <c r="AW90" s="1008">
        <v>46107</v>
      </c>
      <c r="AX90" s="1007" t="s">
        <v>84</v>
      </c>
      <c r="AY90" s="1008">
        <v>46104</v>
      </c>
      <c r="AZ90" s="1007" t="s">
        <v>152</v>
      </c>
      <c r="BA90" s="1008">
        <v>46107</v>
      </c>
      <c r="BB90" s="1007">
        <v>2026</v>
      </c>
      <c r="BC90" s="1007">
        <v>3</v>
      </c>
      <c r="BD90" s="1007">
        <v>13</v>
      </c>
      <c r="BE90" s="1007">
        <v>36</v>
      </c>
      <c r="BF90" s="1007">
        <v>864</v>
      </c>
      <c r="BG90" s="1007" t="s">
        <v>85</v>
      </c>
      <c r="BH90" s="1007" t="s">
        <v>109</v>
      </c>
    </row>
    <row r="91" spans="1:60">
      <c r="A91" s="1007" t="s">
        <v>545</v>
      </c>
      <c r="B91" s="1007" t="s">
        <v>111</v>
      </c>
      <c r="C91" s="1007" t="s">
        <v>203</v>
      </c>
      <c r="D91" s="1007" t="s">
        <v>63</v>
      </c>
      <c r="E91" s="1007" t="s">
        <v>144</v>
      </c>
      <c r="F91" s="1007" t="s">
        <v>145</v>
      </c>
      <c r="G91" s="1007" t="s">
        <v>402</v>
      </c>
      <c r="H91" s="1007" t="s">
        <v>538</v>
      </c>
      <c r="I91" s="1007" t="s">
        <v>68</v>
      </c>
      <c r="J91" s="1007" t="s">
        <v>538</v>
      </c>
      <c r="K91" s="1007" t="s">
        <v>539</v>
      </c>
      <c r="M91" s="1007" t="s">
        <v>68</v>
      </c>
      <c r="N91" s="1007" t="s">
        <v>68</v>
      </c>
      <c r="O91" s="1007" t="s">
        <v>473</v>
      </c>
      <c r="P91" s="1007" t="s">
        <v>529</v>
      </c>
      <c r="Q91" s="1007" t="s">
        <v>530</v>
      </c>
      <c r="R91" s="1007" t="s">
        <v>73</v>
      </c>
      <c r="S91" s="1007" t="s">
        <v>74</v>
      </c>
      <c r="T91" s="1007">
        <v>455</v>
      </c>
      <c r="U91" s="1007">
        <v>2592</v>
      </c>
      <c r="V91" s="1007">
        <v>1.179</v>
      </c>
      <c r="W91" s="1007">
        <v>72</v>
      </c>
      <c r="X91" s="1007">
        <v>3</v>
      </c>
      <c r="Y91" s="1007" t="s">
        <v>75</v>
      </c>
      <c r="Z91" s="1007" t="s">
        <v>75</v>
      </c>
      <c r="AB91" s="1008">
        <v>46040</v>
      </c>
      <c r="AC91" s="1007">
        <v>3</v>
      </c>
      <c r="AD91" s="1007" t="s">
        <v>546</v>
      </c>
      <c r="AF91" s="1007" t="s">
        <v>122</v>
      </c>
      <c r="AG91" s="1007" t="s">
        <v>123</v>
      </c>
      <c r="AH91" s="1007" t="s">
        <v>541</v>
      </c>
      <c r="AI91" s="1008">
        <v>46047</v>
      </c>
      <c r="AJ91" s="1008">
        <v>46054</v>
      </c>
      <c r="AK91" s="1008">
        <v>46054</v>
      </c>
      <c r="AL91" s="1008">
        <v>46093</v>
      </c>
      <c r="AM91" s="1008">
        <v>46107</v>
      </c>
      <c r="AN91" s="1008">
        <v>46107</v>
      </c>
      <c r="AO91" s="1007" t="s">
        <v>402</v>
      </c>
      <c r="AP91" s="1007" t="s">
        <v>542</v>
      </c>
      <c r="AQ91" s="1007" t="s">
        <v>161</v>
      </c>
      <c r="AR91" s="1007" t="s">
        <v>543</v>
      </c>
      <c r="AS91" s="1007" t="s">
        <v>544</v>
      </c>
      <c r="AT91" s="1007" t="s">
        <v>544</v>
      </c>
      <c r="AU91" s="1007">
        <v>53</v>
      </c>
      <c r="AW91" s="1008">
        <v>46107</v>
      </c>
      <c r="AX91" s="1007" t="s">
        <v>84</v>
      </c>
      <c r="AY91" s="1008">
        <v>46104</v>
      </c>
      <c r="AZ91" s="1007" t="s">
        <v>152</v>
      </c>
      <c r="BA91" s="1008">
        <v>46107</v>
      </c>
      <c r="BB91" s="1007">
        <v>2026</v>
      </c>
      <c r="BC91" s="1007">
        <v>3</v>
      </c>
      <c r="BD91" s="1007">
        <v>13</v>
      </c>
      <c r="BE91" s="1007">
        <v>36</v>
      </c>
      <c r="BF91" s="1007">
        <v>864</v>
      </c>
      <c r="BG91" s="1007" t="s">
        <v>85</v>
      </c>
      <c r="BH91" s="1007" t="s">
        <v>109</v>
      </c>
    </row>
    <row r="92" spans="1:60">
      <c r="A92" s="1007" t="s">
        <v>547</v>
      </c>
      <c r="B92" s="1007" t="s">
        <v>111</v>
      </c>
      <c r="C92" s="1007" t="s">
        <v>548</v>
      </c>
      <c r="D92" s="1007" t="s">
        <v>63</v>
      </c>
      <c r="E92" s="1007" t="s">
        <v>144</v>
      </c>
      <c r="F92" s="1007" t="s">
        <v>145</v>
      </c>
      <c r="G92" s="1007" t="s">
        <v>402</v>
      </c>
      <c r="H92" s="1007" t="s">
        <v>538</v>
      </c>
      <c r="I92" s="1007" t="s">
        <v>68</v>
      </c>
      <c r="J92" s="1007" t="s">
        <v>538</v>
      </c>
      <c r="K92" s="1007" t="s">
        <v>549</v>
      </c>
      <c r="M92" s="1007" t="s">
        <v>68</v>
      </c>
      <c r="N92" s="1007" t="s">
        <v>68</v>
      </c>
      <c r="O92" s="1007" t="s">
        <v>550</v>
      </c>
      <c r="P92" s="1007" t="s">
        <v>551</v>
      </c>
      <c r="Q92" s="1007" t="s">
        <v>552</v>
      </c>
      <c r="R92" s="1007" t="s">
        <v>73</v>
      </c>
      <c r="S92" s="1007" t="s">
        <v>553</v>
      </c>
      <c r="T92" s="1007">
        <v>510</v>
      </c>
      <c r="U92" s="1007">
        <v>2376</v>
      </c>
      <c r="V92" s="1007">
        <v>1.212</v>
      </c>
      <c r="W92" s="1007">
        <v>66</v>
      </c>
      <c r="X92" s="1007">
        <v>3</v>
      </c>
      <c r="Y92" s="1007" t="s">
        <v>75</v>
      </c>
      <c r="Z92" s="1007" t="s">
        <v>75</v>
      </c>
      <c r="AB92" s="1008">
        <v>46040</v>
      </c>
      <c r="AC92" s="1007">
        <v>3</v>
      </c>
      <c r="AD92" s="1007" t="s">
        <v>554</v>
      </c>
      <c r="AF92" s="1007" t="s">
        <v>122</v>
      </c>
      <c r="AG92" s="1007" t="s">
        <v>123</v>
      </c>
      <c r="AH92" s="1007" t="s">
        <v>541</v>
      </c>
      <c r="AI92" s="1008">
        <v>46047</v>
      </c>
      <c r="AJ92" s="1008">
        <v>46054</v>
      </c>
      <c r="AK92" s="1008">
        <v>46054</v>
      </c>
      <c r="AL92" s="1008">
        <v>46093</v>
      </c>
      <c r="AM92" s="1008">
        <v>46107</v>
      </c>
      <c r="AN92" s="1008">
        <v>46107</v>
      </c>
      <c r="AO92" s="1007" t="s">
        <v>402</v>
      </c>
      <c r="AP92" s="1007" t="s">
        <v>542</v>
      </c>
      <c r="AQ92" s="1007" t="s">
        <v>161</v>
      </c>
      <c r="AR92" s="1007" t="s">
        <v>543</v>
      </c>
      <c r="AS92" s="1007" t="s">
        <v>544</v>
      </c>
      <c r="AT92" s="1007" t="s">
        <v>544</v>
      </c>
      <c r="AU92" s="1007">
        <v>53</v>
      </c>
      <c r="AW92" s="1008">
        <v>46107</v>
      </c>
      <c r="AX92" s="1007" t="s">
        <v>84</v>
      </c>
      <c r="AY92" s="1008">
        <v>46104</v>
      </c>
      <c r="AZ92" s="1007" t="s">
        <v>152</v>
      </c>
      <c r="BA92" s="1008">
        <v>46107</v>
      </c>
      <c r="BB92" s="1007">
        <v>2026</v>
      </c>
      <c r="BC92" s="1007">
        <v>3</v>
      </c>
      <c r="BD92" s="1007">
        <v>13</v>
      </c>
      <c r="BE92" s="1007">
        <v>36</v>
      </c>
      <c r="BF92" s="1007">
        <v>792</v>
      </c>
      <c r="BG92" s="1007" t="s">
        <v>85</v>
      </c>
      <c r="BH92" s="1007" t="s">
        <v>109</v>
      </c>
    </row>
    <row r="93" spans="1:60">
      <c r="A93" s="1007" t="s">
        <v>555</v>
      </c>
      <c r="B93" s="1007" t="s">
        <v>111</v>
      </c>
      <c r="C93" s="1007" t="s">
        <v>525</v>
      </c>
      <c r="D93" s="1007" t="s">
        <v>63</v>
      </c>
      <c r="E93" s="1007" t="s">
        <v>144</v>
      </c>
      <c r="F93" s="1007" t="s">
        <v>145</v>
      </c>
      <c r="G93" s="1007" t="s">
        <v>402</v>
      </c>
      <c r="H93" s="1007" t="s">
        <v>538</v>
      </c>
      <c r="I93" s="1007" t="s">
        <v>68</v>
      </c>
      <c r="J93" s="1007" t="s">
        <v>538</v>
      </c>
      <c r="K93" s="1007" t="s">
        <v>549</v>
      </c>
      <c r="M93" s="1007" t="s">
        <v>68</v>
      </c>
      <c r="N93" s="1007" t="s">
        <v>68</v>
      </c>
      <c r="O93" s="1007" t="s">
        <v>473</v>
      </c>
      <c r="P93" s="1007" t="s">
        <v>529</v>
      </c>
      <c r="Q93" s="1007" t="s">
        <v>530</v>
      </c>
      <c r="R93" s="1007" t="s">
        <v>73</v>
      </c>
      <c r="S93" s="1007" t="s">
        <v>74</v>
      </c>
      <c r="T93" s="1007">
        <v>455</v>
      </c>
      <c r="U93" s="1007">
        <v>5184</v>
      </c>
      <c r="V93" s="1007">
        <v>2.359</v>
      </c>
      <c r="W93" s="1007">
        <v>144</v>
      </c>
      <c r="X93" s="1007">
        <v>6</v>
      </c>
      <c r="Y93" s="1007" t="s">
        <v>75</v>
      </c>
      <c r="Z93" s="1007" t="s">
        <v>75</v>
      </c>
      <c r="AB93" s="1008">
        <v>46040</v>
      </c>
      <c r="AC93" s="1007">
        <v>3</v>
      </c>
      <c r="AD93" s="1007" t="s">
        <v>556</v>
      </c>
      <c r="AF93" s="1007" t="s">
        <v>122</v>
      </c>
      <c r="AG93" s="1007" t="s">
        <v>123</v>
      </c>
      <c r="AH93" s="1007" t="s">
        <v>541</v>
      </c>
      <c r="AI93" s="1008">
        <v>46047</v>
      </c>
      <c r="AJ93" s="1008">
        <v>46054</v>
      </c>
      <c r="AK93" s="1008">
        <v>46054</v>
      </c>
      <c r="AL93" s="1008">
        <v>46093</v>
      </c>
      <c r="AM93" s="1008">
        <v>46107</v>
      </c>
      <c r="AN93" s="1008">
        <v>46107</v>
      </c>
      <c r="AO93" s="1007" t="s">
        <v>402</v>
      </c>
      <c r="AP93" s="1007" t="s">
        <v>542</v>
      </c>
      <c r="AQ93" s="1007" t="s">
        <v>161</v>
      </c>
      <c r="AR93" s="1007" t="s">
        <v>543</v>
      </c>
      <c r="AS93" s="1007" t="s">
        <v>544</v>
      </c>
      <c r="AT93" s="1007" t="s">
        <v>544</v>
      </c>
      <c r="AU93" s="1007">
        <v>53</v>
      </c>
      <c r="AW93" s="1008">
        <v>46107</v>
      </c>
      <c r="AX93" s="1007" t="s">
        <v>84</v>
      </c>
      <c r="AY93" s="1008">
        <v>46104</v>
      </c>
      <c r="AZ93" s="1007" t="s">
        <v>152</v>
      </c>
      <c r="BA93" s="1008">
        <v>46107</v>
      </c>
      <c r="BB93" s="1007">
        <v>2026</v>
      </c>
      <c r="BC93" s="1007">
        <v>3</v>
      </c>
      <c r="BD93" s="1007">
        <v>13</v>
      </c>
      <c r="BE93" s="1007">
        <v>36</v>
      </c>
      <c r="BF93" s="1007">
        <v>864</v>
      </c>
      <c r="BG93" s="1007" t="s">
        <v>85</v>
      </c>
      <c r="BH93" s="1007" t="s">
        <v>109</v>
      </c>
    </row>
    <row r="94" spans="1:60">
      <c r="A94" s="1007" t="s">
        <v>557</v>
      </c>
      <c r="B94" s="1007" t="s">
        <v>61</v>
      </c>
      <c r="C94" s="1007" t="s">
        <v>558</v>
      </c>
      <c r="D94" s="1007" t="s">
        <v>63</v>
      </c>
      <c r="E94" s="1007" t="s">
        <v>144</v>
      </c>
      <c r="F94" s="1007" t="s">
        <v>145</v>
      </c>
      <c r="G94" s="1007" t="s">
        <v>402</v>
      </c>
      <c r="H94" s="1007" t="s">
        <v>538</v>
      </c>
      <c r="I94" s="1007" t="s">
        <v>68</v>
      </c>
      <c r="J94" s="1007" t="s">
        <v>538</v>
      </c>
      <c r="K94" s="1007" t="s">
        <v>559</v>
      </c>
      <c r="M94" s="1007" t="s">
        <v>68</v>
      </c>
      <c r="N94" s="1007" t="s">
        <v>68</v>
      </c>
      <c r="O94" s="1007" t="s">
        <v>70</v>
      </c>
      <c r="P94" s="1007" t="s">
        <v>560</v>
      </c>
      <c r="Q94" s="1007" t="s">
        <v>196</v>
      </c>
      <c r="R94" s="1007" t="s">
        <v>73</v>
      </c>
      <c r="S94" s="1007" t="s">
        <v>120</v>
      </c>
      <c r="T94" s="1007">
        <v>450</v>
      </c>
      <c r="U94" s="1007">
        <v>1872</v>
      </c>
      <c r="V94" s="1007">
        <v>0.84199999999999997</v>
      </c>
      <c r="W94" s="1007">
        <v>52</v>
      </c>
      <c r="X94" s="1007">
        <v>2</v>
      </c>
      <c r="Y94" s="1007" t="s">
        <v>75</v>
      </c>
      <c r="Z94" s="1007" t="s">
        <v>75</v>
      </c>
      <c r="AB94" s="1008">
        <v>46044</v>
      </c>
      <c r="AC94" s="1007">
        <v>4</v>
      </c>
      <c r="AD94" s="1007" t="s">
        <v>561</v>
      </c>
      <c r="AF94" s="1007" t="s">
        <v>77</v>
      </c>
      <c r="AG94" s="1007" t="s">
        <v>61</v>
      </c>
      <c r="AH94" s="1007" t="s">
        <v>541</v>
      </c>
      <c r="AI94" s="1008">
        <v>46050</v>
      </c>
      <c r="AJ94" s="1008">
        <v>46051</v>
      </c>
      <c r="AK94" s="1008">
        <v>46051</v>
      </c>
      <c r="AL94" s="1008">
        <v>46119</v>
      </c>
      <c r="AM94" s="1008">
        <v>46128</v>
      </c>
      <c r="AN94" s="1008">
        <v>46128</v>
      </c>
      <c r="AO94" s="1007" t="s">
        <v>402</v>
      </c>
      <c r="AP94" s="1007" t="s">
        <v>562</v>
      </c>
      <c r="AQ94" s="1007" t="s">
        <v>161</v>
      </c>
      <c r="AR94" s="1007" t="s">
        <v>563</v>
      </c>
      <c r="AS94" s="1007" t="s">
        <v>564</v>
      </c>
      <c r="AT94" s="1007" t="s">
        <v>564</v>
      </c>
      <c r="AU94" s="1007">
        <v>77</v>
      </c>
      <c r="AW94" s="1008">
        <v>46128</v>
      </c>
      <c r="AX94" s="1007" t="s">
        <v>84</v>
      </c>
      <c r="AY94" s="1008">
        <v>46118</v>
      </c>
      <c r="AZ94" s="1007" t="s">
        <v>152</v>
      </c>
      <c r="BA94" s="1008">
        <v>46128</v>
      </c>
      <c r="BB94" s="1007">
        <v>2026</v>
      </c>
      <c r="BC94" s="1007">
        <v>4</v>
      </c>
      <c r="BD94" s="1007">
        <v>16</v>
      </c>
      <c r="BE94" s="1007">
        <v>36</v>
      </c>
      <c r="BF94" s="1007">
        <v>936</v>
      </c>
      <c r="BG94" s="1007" t="s">
        <v>94</v>
      </c>
      <c r="BH94" s="1007" t="s">
        <v>109</v>
      </c>
    </row>
    <row r="95" spans="1:60">
      <c r="A95" s="1007" t="s">
        <v>565</v>
      </c>
      <c r="B95" s="1007" t="s">
        <v>61</v>
      </c>
      <c r="C95" s="1007" t="s">
        <v>558</v>
      </c>
      <c r="D95" s="1007" t="s">
        <v>63</v>
      </c>
      <c r="E95" s="1007" t="s">
        <v>144</v>
      </c>
      <c r="F95" s="1007" t="s">
        <v>145</v>
      </c>
      <c r="G95" s="1007" t="s">
        <v>402</v>
      </c>
      <c r="H95" s="1007" t="s">
        <v>538</v>
      </c>
      <c r="I95" s="1007" t="s">
        <v>68</v>
      </c>
      <c r="J95" s="1007" t="s">
        <v>538</v>
      </c>
      <c r="K95" s="1007" t="s">
        <v>566</v>
      </c>
      <c r="M95" s="1007" t="s">
        <v>68</v>
      </c>
      <c r="N95" s="1007" t="s">
        <v>68</v>
      </c>
      <c r="O95" s="1007" t="s">
        <v>70</v>
      </c>
      <c r="P95" s="1007" t="s">
        <v>560</v>
      </c>
      <c r="Q95" s="1007" t="s">
        <v>196</v>
      </c>
      <c r="R95" s="1007" t="s">
        <v>73</v>
      </c>
      <c r="S95" s="1007" t="s">
        <v>120</v>
      </c>
      <c r="T95" s="1007">
        <v>450</v>
      </c>
      <c r="U95" s="1007">
        <v>1872</v>
      </c>
      <c r="V95" s="1007">
        <v>0.84199999999999997</v>
      </c>
      <c r="W95" s="1007">
        <v>52</v>
      </c>
      <c r="X95" s="1007">
        <v>2</v>
      </c>
      <c r="Y95" s="1007" t="s">
        <v>75</v>
      </c>
      <c r="Z95" s="1007" t="s">
        <v>75</v>
      </c>
      <c r="AB95" s="1008">
        <v>46044</v>
      </c>
      <c r="AC95" s="1007">
        <v>4</v>
      </c>
      <c r="AD95" s="1007" t="s">
        <v>567</v>
      </c>
      <c r="AF95" s="1007" t="s">
        <v>77</v>
      </c>
      <c r="AG95" s="1007" t="s">
        <v>61</v>
      </c>
      <c r="AH95" s="1007" t="s">
        <v>541</v>
      </c>
      <c r="AI95" s="1008">
        <v>46050</v>
      </c>
      <c r="AJ95" s="1008">
        <v>46051</v>
      </c>
      <c r="AK95" s="1008">
        <v>46051</v>
      </c>
      <c r="AL95" s="1008">
        <v>46119</v>
      </c>
      <c r="AM95" s="1008">
        <v>46128</v>
      </c>
      <c r="AN95" s="1008">
        <v>46128</v>
      </c>
      <c r="AO95" s="1007" t="s">
        <v>402</v>
      </c>
      <c r="AP95" s="1007" t="s">
        <v>562</v>
      </c>
      <c r="AQ95" s="1007" t="s">
        <v>161</v>
      </c>
      <c r="AR95" s="1007" t="s">
        <v>563</v>
      </c>
      <c r="AS95" s="1007" t="s">
        <v>564</v>
      </c>
      <c r="AT95" s="1007" t="s">
        <v>564</v>
      </c>
      <c r="AU95" s="1007">
        <v>77</v>
      </c>
      <c r="AW95" s="1008">
        <v>46128</v>
      </c>
      <c r="AX95" s="1007" t="s">
        <v>84</v>
      </c>
      <c r="AY95" s="1008">
        <v>46118</v>
      </c>
      <c r="AZ95" s="1007" t="s">
        <v>152</v>
      </c>
      <c r="BA95" s="1008">
        <v>46128</v>
      </c>
      <c r="BB95" s="1007">
        <v>2026</v>
      </c>
      <c r="BC95" s="1007">
        <v>4</v>
      </c>
      <c r="BD95" s="1007">
        <v>16</v>
      </c>
      <c r="BE95" s="1007">
        <v>36</v>
      </c>
      <c r="BF95" s="1007">
        <v>936</v>
      </c>
      <c r="BG95" s="1007" t="s">
        <v>94</v>
      </c>
      <c r="BH95" s="1007" t="s">
        <v>109</v>
      </c>
    </row>
    <row r="96" spans="1:60">
      <c r="A96" s="1007" t="s">
        <v>568</v>
      </c>
      <c r="B96" s="1007" t="s">
        <v>61</v>
      </c>
      <c r="C96" s="1007" t="s">
        <v>569</v>
      </c>
      <c r="D96" s="1007" t="s">
        <v>63</v>
      </c>
      <c r="E96" s="1007" t="s">
        <v>144</v>
      </c>
      <c r="F96" s="1007" t="s">
        <v>145</v>
      </c>
      <c r="G96" s="1007" t="s">
        <v>402</v>
      </c>
      <c r="H96" s="1007" t="s">
        <v>538</v>
      </c>
      <c r="I96" s="1007" t="s">
        <v>68</v>
      </c>
      <c r="J96" s="1007" t="s">
        <v>538</v>
      </c>
      <c r="K96" s="1007" t="s">
        <v>559</v>
      </c>
      <c r="M96" s="1007" t="s">
        <v>68</v>
      </c>
      <c r="N96" s="1007" t="s">
        <v>68</v>
      </c>
      <c r="O96" s="1007" t="s">
        <v>70</v>
      </c>
      <c r="P96" s="1007" t="s">
        <v>570</v>
      </c>
      <c r="Q96" s="1007" t="s">
        <v>571</v>
      </c>
      <c r="R96" s="1007" t="s">
        <v>73</v>
      </c>
      <c r="S96" s="1007" t="s">
        <v>120</v>
      </c>
      <c r="T96" s="1007">
        <v>445</v>
      </c>
      <c r="U96" s="1007">
        <v>3744</v>
      </c>
      <c r="V96" s="1007">
        <v>1.6659999999999999</v>
      </c>
      <c r="W96" s="1007">
        <v>104</v>
      </c>
      <c r="X96" s="1007">
        <v>4</v>
      </c>
      <c r="Y96" s="1007" t="s">
        <v>75</v>
      </c>
      <c r="Z96" s="1007" t="s">
        <v>75</v>
      </c>
      <c r="AB96" s="1008">
        <v>46044</v>
      </c>
      <c r="AC96" s="1007">
        <v>4</v>
      </c>
      <c r="AD96" s="1007" t="s">
        <v>572</v>
      </c>
      <c r="AF96" s="1007" t="s">
        <v>77</v>
      </c>
      <c r="AG96" s="1007" t="s">
        <v>61</v>
      </c>
      <c r="AH96" s="1007" t="s">
        <v>541</v>
      </c>
      <c r="AI96" s="1008">
        <v>46050</v>
      </c>
      <c r="AJ96" s="1008">
        <v>46051</v>
      </c>
      <c r="AK96" s="1008">
        <v>46051</v>
      </c>
      <c r="AL96" s="1008">
        <v>46119</v>
      </c>
      <c r="AM96" s="1008">
        <v>46128</v>
      </c>
      <c r="AN96" s="1008">
        <v>46128</v>
      </c>
      <c r="AO96" s="1007" t="s">
        <v>402</v>
      </c>
      <c r="AP96" s="1007" t="s">
        <v>562</v>
      </c>
      <c r="AQ96" s="1007" t="s">
        <v>161</v>
      </c>
      <c r="AR96" s="1007" t="s">
        <v>563</v>
      </c>
      <c r="AS96" s="1007" t="s">
        <v>564</v>
      </c>
      <c r="AT96" s="1007" t="s">
        <v>564</v>
      </c>
      <c r="AU96" s="1007">
        <v>77</v>
      </c>
      <c r="AW96" s="1008">
        <v>46128</v>
      </c>
      <c r="AX96" s="1007" t="s">
        <v>84</v>
      </c>
      <c r="AY96" s="1008">
        <v>46118</v>
      </c>
      <c r="AZ96" s="1007" t="s">
        <v>152</v>
      </c>
      <c r="BA96" s="1008">
        <v>46128</v>
      </c>
      <c r="BB96" s="1007">
        <v>2026</v>
      </c>
      <c r="BC96" s="1007">
        <v>4</v>
      </c>
      <c r="BD96" s="1007">
        <v>16</v>
      </c>
      <c r="BE96" s="1007">
        <v>36</v>
      </c>
      <c r="BF96" s="1007">
        <v>936</v>
      </c>
      <c r="BG96" s="1007" t="s">
        <v>94</v>
      </c>
      <c r="BH96" s="1007" t="s">
        <v>109</v>
      </c>
    </row>
    <row r="97" spans="1:60">
      <c r="A97" s="1007" t="s">
        <v>573</v>
      </c>
      <c r="B97" s="1007" t="s">
        <v>61</v>
      </c>
      <c r="C97" s="1007" t="s">
        <v>569</v>
      </c>
      <c r="D97" s="1007" t="s">
        <v>63</v>
      </c>
      <c r="E97" s="1007" t="s">
        <v>144</v>
      </c>
      <c r="F97" s="1007" t="s">
        <v>145</v>
      </c>
      <c r="G97" s="1007" t="s">
        <v>402</v>
      </c>
      <c r="H97" s="1007" t="s">
        <v>538</v>
      </c>
      <c r="I97" s="1007" t="s">
        <v>68</v>
      </c>
      <c r="J97" s="1007" t="s">
        <v>538</v>
      </c>
      <c r="K97" s="1007" t="s">
        <v>574</v>
      </c>
      <c r="M97" s="1007" t="s">
        <v>68</v>
      </c>
      <c r="N97" s="1007" t="s">
        <v>68</v>
      </c>
      <c r="O97" s="1007" t="s">
        <v>70</v>
      </c>
      <c r="P97" s="1007" t="s">
        <v>570</v>
      </c>
      <c r="Q97" s="1007" t="s">
        <v>571</v>
      </c>
      <c r="R97" s="1007" t="s">
        <v>73</v>
      </c>
      <c r="S97" s="1007" t="s">
        <v>120</v>
      </c>
      <c r="T97" s="1007">
        <v>445</v>
      </c>
      <c r="U97" s="1007">
        <v>4680</v>
      </c>
      <c r="V97" s="1007">
        <v>2.0830000000000002</v>
      </c>
      <c r="W97" s="1007">
        <v>130</v>
      </c>
      <c r="X97" s="1007">
        <v>5</v>
      </c>
      <c r="Y97" s="1007" t="s">
        <v>75</v>
      </c>
      <c r="Z97" s="1007" t="s">
        <v>75</v>
      </c>
      <c r="AB97" s="1008">
        <v>46044</v>
      </c>
      <c r="AC97" s="1007">
        <v>4</v>
      </c>
      <c r="AD97" s="1007" t="s">
        <v>575</v>
      </c>
      <c r="AF97" s="1007" t="s">
        <v>77</v>
      </c>
      <c r="AG97" s="1007" t="s">
        <v>61</v>
      </c>
      <c r="AH97" s="1007" t="s">
        <v>541</v>
      </c>
      <c r="AI97" s="1008">
        <v>46050</v>
      </c>
      <c r="AJ97" s="1008">
        <v>46051</v>
      </c>
      <c r="AK97" s="1008">
        <v>46051</v>
      </c>
      <c r="AL97" s="1008">
        <v>46119</v>
      </c>
      <c r="AM97" s="1008">
        <v>46128</v>
      </c>
      <c r="AN97" s="1008">
        <v>46128</v>
      </c>
      <c r="AO97" s="1007" t="s">
        <v>402</v>
      </c>
      <c r="AP97" s="1007" t="s">
        <v>562</v>
      </c>
      <c r="AQ97" s="1007" t="s">
        <v>161</v>
      </c>
      <c r="AR97" s="1007" t="s">
        <v>563</v>
      </c>
      <c r="AS97" s="1007" t="s">
        <v>564</v>
      </c>
      <c r="AT97" s="1007" t="s">
        <v>564</v>
      </c>
      <c r="AU97" s="1007">
        <v>77</v>
      </c>
      <c r="AW97" s="1008">
        <v>46128</v>
      </c>
      <c r="AX97" s="1007" t="s">
        <v>84</v>
      </c>
      <c r="AY97" s="1008">
        <v>46118</v>
      </c>
      <c r="AZ97" s="1007" t="s">
        <v>152</v>
      </c>
      <c r="BA97" s="1008">
        <v>46128</v>
      </c>
      <c r="BB97" s="1007">
        <v>2026</v>
      </c>
      <c r="BC97" s="1007">
        <v>4</v>
      </c>
      <c r="BD97" s="1007">
        <v>16</v>
      </c>
      <c r="BE97" s="1007">
        <v>36</v>
      </c>
      <c r="BF97" s="1007">
        <v>936</v>
      </c>
      <c r="BG97" s="1007" t="s">
        <v>94</v>
      </c>
      <c r="BH97" s="1007" t="s">
        <v>109</v>
      </c>
    </row>
    <row r="98" spans="1:60">
      <c r="A98" s="1007" t="s">
        <v>576</v>
      </c>
      <c r="B98" s="1007" t="s">
        <v>61</v>
      </c>
      <c r="C98" s="1007" t="s">
        <v>577</v>
      </c>
      <c r="D98" s="1007" t="s">
        <v>63</v>
      </c>
      <c r="E98" s="1007" t="s">
        <v>64</v>
      </c>
      <c r="F98" s="1007" t="s">
        <v>100</v>
      </c>
      <c r="G98" s="1007" t="s">
        <v>66</v>
      </c>
      <c r="H98" s="1007" t="s">
        <v>67</v>
      </c>
      <c r="I98" s="1007" t="s">
        <v>68</v>
      </c>
      <c r="J98" s="1007" t="s">
        <v>578</v>
      </c>
      <c r="K98" s="1007" t="s">
        <v>328</v>
      </c>
      <c r="M98" s="1007" t="s">
        <v>68</v>
      </c>
      <c r="N98" s="1007" t="s">
        <v>68</v>
      </c>
      <c r="O98" s="1007" t="s">
        <v>70</v>
      </c>
      <c r="P98" s="1007" t="s">
        <v>71</v>
      </c>
      <c r="Q98" s="1007" t="s">
        <v>72</v>
      </c>
      <c r="R98" s="1007" t="s">
        <v>73</v>
      </c>
      <c r="S98" s="1007" t="s">
        <v>74</v>
      </c>
      <c r="T98" s="1007">
        <v>500</v>
      </c>
      <c r="U98" s="1007">
        <v>8640</v>
      </c>
      <c r="V98" s="1007">
        <v>4.32</v>
      </c>
      <c r="W98" s="1007">
        <v>240</v>
      </c>
      <c r="X98" s="1007">
        <v>10</v>
      </c>
      <c r="Y98" s="1007" t="s">
        <v>75</v>
      </c>
      <c r="Z98" s="1007" t="s">
        <v>75</v>
      </c>
      <c r="AA98" s="1007" t="s">
        <v>197</v>
      </c>
      <c r="AB98" s="1008">
        <v>46045</v>
      </c>
      <c r="AC98" s="1007">
        <v>4</v>
      </c>
      <c r="AD98" s="1007" t="s">
        <v>579</v>
      </c>
      <c r="AE98" s="1007" t="s">
        <v>197</v>
      </c>
      <c r="AF98" s="1007" t="s">
        <v>77</v>
      </c>
      <c r="AG98" s="1007" t="s">
        <v>61</v>
      </c>
      <c r="AH98" s="1007" t="s">
        <v>105</v>
      </c>
      <c r="AI98" s="1008">
        <v>46054</v>
      </c>
      <c r="AJ98" s="1008">
        <v>46054</v>
      </c>
      <c r="AK98" s="1008">
        <v>46055</v>
      </c>
      <c r="AL98" s="1008">
        <v>46094</v>
      </c>
      <c r="AM98" s="1008">
        <v>46116</v>
      </c>
      <c r="AN98" s="1008">
        <v>46118</v>
      </c>
      <c r="AO98" s="1007" t="s">
        <v>66</v>
      </c>
      <c r="AP98" s="1007" t="s">
        <v>580</v>
      </c>
      <c r="AQ98" s="1007" t="s">
        <v>80</v>
      </c>
      <c r="AR98" s="1007" t="s">
        <v>581</v>
      </c>
      <c r="AS98" s="1007" t="s">
        <v>582</v>
      </c>
      <c r="AT98" s="1007" t="s">
        <v>582</v>
      </c>
      <c r="AU98" s="1007">
        <v>63</v>
      </c>
      <c r="AW98" s="1008">
        <v>46118</v>
      </c>
      <c r="AX98" s="1007" t="s">
        <v>84</v>
      </c>
      <c r="AY98" s="1008">
        <v>46129</v>
      </c>
      <c r="AZ98" s="1007">
        <v>7</v>
      </c>
      <c r="BA98" s="1008">
        <v>46125</v>
      </c>
      <c r="BB98" s="1007">
        <v>2026</v>
      </c>
      <c r="BC98" s="1007">
        <v>4</v>
      </c>
      <c r="BD98" s="1007">
        <v>16</v>
      </c>
      <c r="BE98" s="1007">
        <v>36</v>
      </c>
      <c r="BF98" s="1007">
        <v>864</v>
      </c>
      <c r="BG98" s="1007" t="s">
        <v>85</v>
      </c>
      <c r="BH98" s="1007" t="s">
        <v>109</v>
      </c>
    </row>
    <row r="99" spans="1:60">
      <c r="A99" s="1007" t="s">
        <v>583</v>
      </c>
      <c r="B99" s="1007" t="s">
        <v>61</v>
      </c>
      <c r="C99" s="1007" t="s">
        <v>584</v>
      </c>
      <c r="D99" s="1007" t="s">
        <v>63</v>
      </c>
      <c r="E99" s="1007" t="s">
        <v>64</v>
      </c>
      <c r="F99" s="1007" t="s">
        <v>310</v>
      </c>
      <c r="G99" s="1007" t="s">
        <v>66</v>
      </c>
      <c r="H99" s="1007" t="s">
        <v>311</v>
      </c>
      <c r="I99" s="1007" t="s">
        <v>68</v>
      </c>
      <c r="J99" s="1007" t="s">
        <v>188</v>
      </c>
      <c r="M99" s="1007" t="s">
        <v>68</v>
      </c>
      <c r="N99" s="1007" t="s">
        <v>68</v>
      </c>
      <c r="O99" s="1007" t="s">
        <v>70</v>
      </c>
      <c r="P99" s="1007" t="s">
        <v>585</v>
      </c>
      <c r="Q99" s="1007" t="s">
        <v>103</v>
      </c>
      <c r="R99" s="1007" t="s">
        <v>331</v>
      </c>
      <c r="S99" s="1007" t="s">
        <v>120</v>
      </c>
      <c r="T99" s="1007">
        <v>620</v>
      </c>
      <c r="U99" s="1007">
        <v>1440</v>
      </c>
      <c r="V99" s="1007">
        <v>0.89300000000000002</v>
      </c>
      <c r="W99" s="1007">
        <v>40</v>
      </c>
      <c r="X99" s="1007">
        <v>2</v>
      </c>
      <c r="Y99" s="1007" t="s">
        <v>75</v>
      </c>
      <c r="Z99" s="1007" t="s">
        <v>75</v>
      </c>
      <c r="AA99" s="1007" t="s">
        <v>197</v>
      </c>
      <c r="AB99" s="1008">
        <v>46044</v>
      </c>
      <c r="AC99" s="1007">
        <v>4</v>
      </c>
      <c r="AD99" s="1007" t="s">
        <v>586</v>
      </c>
      <c r="AE99" s="1007" t="s">
        <v>197</v>
      </c>
      <c r="AF99" s="1007" t="s">
        <v>77</v>
      </c>
      <c r="AG99" s="1007" t="s">
        <v>61</v>
      </c>
      <c r="AH99" s="1007" t="s">
        <v>314</v>
      </c>
      <c r="AI99" s="1008">
        <v>46048</v>
      </c>
      <c r="AJ99" s="1008">
        <v>46049</v>
      </c>
      <c r="AK99" s="1008">
        <v>46049</v>
      </c>
      <c r="AL99" s="1008">
        <v>46106</v>
      </c>
      <c r="AM99" s="1008">
        <v>46120</v>
      </c>
      <c r="AN99" s="1008">
        <v>46120</v>
      </c>
      <c r="AO99" s="1007" t="s">
        <v>66</v>
      </c>
      <c r="AP99" s="1007" t="s">
        <v>587</v>
      </c>
      <c r="AQ99" s="1007" t="s">
        <v>80</v>
      </c>
      <c r="AR99" s="1007" t="s">
        <v>588</v>
      </c>
      <c r="AS99" s="1007" t="s">
        <v>589</v>
      </c>
      <c r="AT99" s="1007" t="s">
        <v>589</v>
      </c>
      <c r="AU99" s="1007">
        <v>71</v>
      </c>
      <c r="AW99" s="1008">
        <v>46120</v>
      </c>
      <c r="AX99" s="1007" t="s">
        <v>84</v>
      </c>
      <c r="AY99" s="1008">
        <v>46132</v>
      </c>
      <c r="AZ99" s="1007">
        <v>13</v>
      </c>
      <c r="BA99" s="1008">
        <v>46133</v>
      </c>
      <c r="BB99" s="1007">
        <v>2026</v>
      </c>
      <c r="BC99" s="1007">
        <v>4</v>
      </c>
      <c r="BD99" s="1007">
        <v>17</v>
      </c>
      <c r="BE99" s="1007">
        <v>36</v>
      </c>
      <c r="BF99" s="1007">
        <v>720</v>
      </c>
      <c r="BG99" s="1007" t="s">
        <v>128</v>
      </c>
      <c r="BH99" s="1007" t="s">
        <v>86</v>
      </c>
    </row>
    <row r="100" spans="1:60">
      <c r="A100" s="1007" t="s">
        <v>590</v>
      </c>
      <c r="B100" s="1007" t="s">
        <v>61</v>
      </c>
      <c r="C100" s="1007" t="s">
        <v>418</v>
      </c>
      <c r="D100" s="1007" t="s">
        <v>63</v>
      </c>
      <c r="E100" s="1007" t="s">
        <v>64</v>
      </c>
      <c r="F100" s="1007" t="s">
        <v>310</v>
      </c>
      <c r="G100" s="1007" t="s">
        <v>66</v>
      </c>
      <c r="H100" s="1007" t="s">
        <v>311</v>
      </c>
      <c r="I100" s="1007" t="s">
        <v>68</v>
      </c>
      <c r="J100" s="1007" t="s">
        <v>188</v>
      </c>
      <c r="M100" s="1007" t="s">
        <v>68</v>
      </c>
      <c r="N100" s="1007" t="s">
        <v>68</v>
      </c>
      <c r="O100" s="1007" t="s">
        <v>70</v>
      </c>
      <c r="P100" s="1007" t="s">
        <v>420</v>
      </c>
      <c r="Q100" s="1007" t="s">
        <v>421</v>
      </c>
      <c r="R100" s="1007" t="s">
        <v>73</v>
      </c>
      <c r="S100" s="1007" t="s">
        <v>120</v>
      </c>
      <c r="T100" s="1007">
        <v>505</v>
      </c>
      <c r="U100" s="1007">
        <v>2592</v>
      </c>
      <c r="V100" s="1007">
        <v>1.3089999999999999</v>
      </c>
      <c r="W100" s="1007">
        <v>72</v>
      </c>
      <c r="X100" s="1007">
        <v>3</v>
      </c>
      <c r="Y100" s="1007" t="s">
        <v>75</v>
      </c>
      <c r="Z100" s="1007" t="s">
        <v>75</v>
      </c>
      <c r="AA100" s="1007" t="s">
        <v>197</v>
      </c>
      <c r="AB100" s="1008">
        <v>46044</v>
      </c>
      <c r="AC100" s="1007">
        <v>4</v>
      </c>
      <c r="AD100" s="1007" t="s">
        <v>591</v>
      </c>
      <c r="AE100" s="1007" t="s">
        <v>197</v>
      </c>
      <c r="AF100" s="1007" t="s">
        <v>77</v>
      </c>
      <c r="AG100" s="1007" t="s">
        <v>61</v>
      </c>
      <c r="AH100" s="1007" t="s">
        <v>314</v>
      </c>
      <c r="AI100" s="1008">
        <v>46048</v>
      </c>
      <c r="AJ100" s="1008">
        <v>46049</v>
      </c>
      <c r="AK100" s="1008">
        <v>46049</v>
      </c>
      <c r="AL100" s="1008">
        <v>46106</v>
      </c>
      <c r="AM100" s="1008">
        <v>46120</v>
      </c>
      <c r="AN100" s="1008">
        <v>46120</v>
      </c>
      <c r="AO100" s="1007" t="s">
        <v>66</v>
      </c>
      <c r="AP100" s="1007" t="s">
        <v>587</v>
      </c>
      <c r="AQ100" s="1007" t="s">
        <v>80</v>
      </c>
      <c r="AR100" s="1007" t="s">
        <v>588</v>
      </c>
      <c r="AS100" s="1007" t="s">
        <v>589</v>
      </c>
      <c r="AT100" s="1007" t="s">
        <v>589</v>
      </c>
      <c r="AU100" s="1007">
        <v>71</v>
      </c>
      <c r="AW100" s="1008">
        <v>46120</v>
      </c>
      <c r="AX100" s="1007" t="s">
        <v>84</v>
      </c>
      <c r="AY100" s="1008">
        <v>46133</v>
      </c>
      <c r="AZ100" s="1007">
        <v>13</v>
      </c>
      <c r="BA100" s="1008">
        <v>46133</v>
      </c>
      <c r="BB100" s="1007">
        <v>2026</v>
      </c>
      <c r="BC100" s="1007">
        <v>4</v>
      </c>
      <c r="BD100" s="1007">
        <v>17</v>
      </c>
      <c r="BE100" s="1007">
        <v>36</v>
      </c>
      <c r="BF100" s="1007">
        <v>864</v>
      </c>
      <c r="BG100" s="1007" t="s">
        <v>85</v>
      </c>
      <c r="BH100" s="1007" t="s">
        <v>86</v>
      </c>
    </row>
    <row r="101" spans="1:60">
      <c r="A101" s="1007" t="s">
        <v>592</v>
      </c>
      <c r="B101" s="1007" t="s">
        <v>61</v>
      </c>
      <c r="C101" s="1007" t="s">
        <v>193</v>
      </c>
      <c r="D101" s="1007" t="s">
        <v>63</v>
      </c>
      <c r="E101" s="1007" t="s">
        <v>144</v>
      </c>
      <c r="F101" s="1007" t="s">
        <v>145</v>
      </c>
      <c r="G101" s="1007" t="s">
        <v>402</v>
      </c>
      <c r="H101" s="1007" t="s">
        <v>593</v>
      </c>
      <c r="I101" s="1007" t="s">
        <v>68</v>
      </c>
      <c r="J101" s="1007" t="s">
        <v>594</v>
      </c>
      <c r="K101" s="1007" t="s">
        <v>595</v>
      </c>
      <c r="M101" s="1007" t="s">
        <v>68</v>
      </c>
      <c r="N101" s="1007" t="s">
        <v>68</v>
      </c>
      <c r="O101" s="1007" t="s">
        <v>70</v>
      </c>
      <c r="P101" s="1007" t="s">
        <v>195</v>
      </c>
      <c r="Q101" s="1007" t="s">
        <v>196</v>
      </c>
      <c r="R101" s="1007" t="s">
        <v>73</v>
      </c>
      <c r="S101" s="1007" t="s">
        <v>74</v>
      </c>
      <c r="T101" s="1007">
        <v>450</v>
      </c>
      <c r="U101" s="1007">
        <v>1872</v>
      </c>
      <c r="V101" s="1007">
        <v>0.84199999999999997</v>
      </c>
      <c r="W101" s="1007">
        <v>52</v>
      </c>
      <c r="X101" s="1007">
        <v>2</v>
      </c>
      <c r="Y101" s="1007" t="s">
        <v>75</v>
      </c>
      <c r="Z101" s="1007" t="s">
        <v>75</v>
      </c>
      <c r="AA101" s="1007" t="s">
        <v>197</v>
      </c>
      <c r="AB101" s="1008">
        <v>46041</v>
      </c>
      <c r="AC101" s="1007">
        <v>4</v>
      </c>
      <c r="AD101" s="1007" t="s">
        <v>596</v>
      </c>
      <c r="AE101" s="1007" t="s">
        <v>197</v>
      </c>
      <c r="AF101" s="1007" t="s">
        <v>77</v>
      </c>
      <c r="AG101" s="1007" t="s">
        <v>61</v>
      </c>
      <c r="AH101" s="1007" t="s">
        <v>124</v>
      </c>
      <c r="AI101" s="1008">
        <v>46048</v>
      </c>
      <c r="AJ101" s="1008">
        <v>46049</v>
      </c>
      <c r="AK101" s="1008">
        <v>46049</v>
      </c>
      <c r="AL101" s="1008">
        <v>46114</v>
      </c>
      <c r="AN101" s="1008">
        <v>46112</v>
      </c>
      <c r="AO101" s="1007" t="s">
        <v>402</v>
      </c>
      <c r="AP101" s="1007" t="s">
        <v>597</v>
      </c>
      <c r="AQ101" s="1007" t="s">
        <v>80</v>
      </c>
      <c r="AR101" s="1007" t="s">
        <v>598</v>
      </c>
      <c r="AS101" s="1007" t="s">
        <v>599</v>
      </c>
      <c r="AT101" s="1007" t="s">
        <v>599</v>
      </c>
      <c r="AU101" s="1007">
        <v>63</v>
      </c>
      <c r="AW101" s="1008">
        <v>46112</v>
      </c>
      <c r="AX101" s="1007" t="s">
        <v>84</v>
      </c>
      <c r="AY101" s="1008">
        <v>46114</v>
      </c>
      <c r="AZ101" s="1007" t="s">
        <v>152</v>
      </c>
      <c r="BA101" s="1008">
        <v>46112</v>
      </c>
      <c r="BB101" s="1007">
        <v>2026</v>
      </c>
      <c r="BC101" s="1007">
        <v>3</v>
      </c>
      <c r="BD101" s="1007">
        <v>14</v>
      </c>
      <c r="BE101" s="1007">
        <v>36</v>
      </c>
      <c r="BF101" s="1007">
        <v>936</v>
      </c>
      <c r="BG101" s="1007" t="s">
        <v>85</v>
      </c>
      <c r="BH101" s="1007" t="s">
        <v>86</v>
      </c>
    </row>
    <row r="102" spans="1:60">
      <c r="A102" s="1007" t="s">
        <v>600</v>
      </c>
      <c r="B102" s="1007" t="s">
        <v>281</v>
      </c>
      <c r="C102" s="1007" t="s">
        <v>601</v>
      </c>
      <c r="D102" s="1007" t="s">
        <v>63</v>
      </c>
      <c r="E102" s="1007" t="s">
        <v>64</v>
      </c>
      <c r="F102" s="1007" t="s">
        <v>100</v>
      </c>
      <c r="G102" s="1007" t="s">
        <v>66</v>
      </c>
      <c r="H102" s="1007" t="s">
        <v>67</v>
      </c>
      <c r="I102" s="1007" t="s">
        <v>68</v>
      </c>
      <c r="J102" s="1007" t="s">
        <v>293</v>
      </c>
      <c r="M102" s="1007" t="s">
        <v>68</v>
      </c>
      <c r="N102" s="1007" t="s">
        <v>68</v>
      </c>
      <c r="O102" s="1007" t="s">
        <v>284</v>
      </c>
      <c r="P102" s="1007" t="s">
        <v>602</v>
      </c>
      <c r="Q102" s="1007" t="s">
        <v>603</v>
      </c>
      <c r="R102" s="1007" t="s">
        <v>73</v>
      </c>
      <c r="S102" s="1007" t="s">
        <v>120</v>
      </c>
      <c r="T102" s="1007">
        <v>465</v>
      </c>
      <c r="U102" s="1007">
        <v>14430</v>
      </c>
      <c r="V102" s="1007">
        <v>6.71</v>
      </c>
      <c r="W102" s="1007">
        <v>390</v>
      </c>
      <c r="X102" s="1007">
        <v>15</v>
      </c>
      <c r="Y102" s="1007" t="s">
        <v>75</v>
      </c>
      <c r="Z102" s="1007" t="s">
        <v>75</v>
      </c>
      <c r="AB102" s="1008">
        <v>46043</v>
      </c>
      <c r="AC102" s="1007">
        <v>4</v>
      </c>
      <c r="AD102" s="1007" t="s">
        <v>604</v>
      </c>
      <c r="AF102" s="1007" t="s">
        <v>288</v>
      </c>
      <c r="AG102" s="1007" t="s">
        <v>289</v>
      </c>
      <c r="AH102" s="1007" t="s">
        <v>105</v>
      </c>
      <c r="AI102" s="1008">
        <v>46050</v>
      </c>
      <c r="AJ102" s="1008">
        <v>46050</v>
      </c>
      <c r="AK102" s="1008">
        <v>46050</v>
      </c>
      <c r="AL102" s="1008">
        <v>46087</v>
      </c>
      <c r="AM102" s="1008">
        <v>46102</v>
      </c>
      <c r="AN102" s="1008">
        <v>46102</v>
      </c>
      <c r="AO102" s="1007" t="s">
        <v>66</v>
      </c>
      <c r="AP102" s="1007" t="s">
        <v>605</v>
      </c>
      <c r="AQ102" s="1007" t="s">
        <v>161</v>
      </c>
      <c r="AR102" s="1007" t="s">
        <v>606</v>
      </c>
      <c r="AS102" s="1007" t="s">
        <v>607</v>
      </c>
      <c r="AT102" s="1007" t="s">
        <v>608</v>
      </c>
      <c r="AU102" s="1007">
        <v>52</v>
      </c>
      <c r="AW102" s="1008">
        <v>46102</v>
      </c>
      <c r="AX102" s="1007" t="s">
        <v>84</v>
      </c>
      <c r="AY102" s="1008">
        <v>46114</v>
      </c>
      <c r="AZ102" s="1007">
        <v>7</v>
      </c>
      <c r="BA102" s="1008">
        <v>46109</v>
      </c>
      <c r="BB102" s="1007">
        <v>2026</v>
      </c>
      <c r="BC102" s="1007">
        <v>3</v>
      </c>
      <c r="BD102" s="1007">
        <v>13</v>
      </c>
      <c r="BE102" s="1007">
        <v>37</v>
      </c>
      <c r="BF102" s="1007">
        <v>962</v>
      </c>
      <c r="BG102" s="1007" t="s">
        <v>108</v>
      </c>
      <c r="BH102" s="1007" t="s">
        <v>109</v>
      </c>
    </row>
    <row r="103" spans="1:60">
      <c r="A103" s="1007" t="s">
        <v>609</v>
      </c>
      <c r="B103" s="1007" t="s">
        <v>281</v>
      </c>
      <c r="C103" s="1007" t="s">
        <v>601</v>
      </c>
      <c r="D103" s="1007" t="s">
        <v>63</v>
      </c>
      <c r="E103" s="1007" t="s">
        <v>64</v>
      </c>
      <c r="F103" s="1007" t="s">
        <v>100</v>
      </c>
      <c r="G103" s="1007" t="s">
        <v>66</v>
      </c>
      <c r="H103" s="1007" t="s">
        <v>67</v>
      </c>
      <c r="I103" s="1007" t="s">
        <v>68</v>
      </c>
      <c r="J103" s="1007" t="s">
        <v>293</v>
      </c>
      <c r="M103" s="1007" t="s">
        <v>68</v>
      </c>
      <c r="N103" s="1007" t="s">
        <v>68</v>
      </c>
      <c r="O103" s="1007" t="s">
        <v>284</v>
      </c>
      <c r="P103" s="1007" t="s">
        <v>602</v>
      </c>
      <c r="Q103" s="1007" t="s">
        <v>603</v>
      </c>
      <c r="R103" s="1007" t="s">
        <v>73</v>
      </c>
      <c r="S103" s="1007" t="s">
        <v>120</v>
      </c>
      <c r="T103" s="1007">
        <v>465</v>
      </c>
      <c r="U103" s="1007">
        <v>4810</v>
      </c>
      <c r="V103" s="1007">
        <v>2.2370000000000001</v>
      </c>
      <c r="W103" s="1007">
        <v>130</v>
      </c>
      <c r="X103" s="1007">
        <v>5</v>
      </c>
      <c r="Y103" s="1007" t="s">
        <v>75</v>
      </c>
      <c r="Z103" s="1007" t="s">
        <v>75</v>
      </c>
      <c r="AB103" s="1008">
        <v>46038</v>
      </c>
      <c r="AC103" s="1007">
        <v>3</v>
      </c>
      <c r="AD103" s="1007" t="s">
        <v>610</v>
      </c>
      <c r="AF103" s="1007" t="s">
        <v>288</v>
      </c>
      <c r="AG103" s="1007" t="s">
        <v>289</v>
      </c>
      <c r="AH103" s="1007" t="s">
        <v>105</v>
      </c>
      <c r="AI103" s="1008">
        <v>46045</v>
      </c>
      <c r="AJ103" s="1008">
        <v>46045</v>
      </c>
      <c r="AK103" s="1008">
        <v>46045</v>
      </c>
      <c r="AL103" s="1008">
        <v>46087</v>
      </c>
      <c r="AM103" s="1008">
        <v>46097</v>
      </c>
      <c r="AN103" s="1008">
        <v>46100</v>
      </c>
      <c r="AO103" s="1007" t="s">
        <v>66</v>
      </c>
      <c r="AP103" s="1007" t="s">
        <v>611</v>
      </c>
      <c r="AQ103" s="1007" t="s">
        <v>161</v>
      </c>
      <c r="AR103" s="1007" t="s">
        <v>612</v>
      </c>
      <c r="AS103" s="1007" t="s">
        <v>613</v>
      </c>
      <c r="AT103" s="1007" t="s">
        <v>614</v>
      </c>
      <c r="AU103" s="1007">
        <v>55</v>
      </c>
      <c r="AW103" s="1008">
        <v>46100</v>
      </c>
      <c r="AX103" s="1007" t="s">
        <v>84</v>
      </c>
      <c r="AY103" s="1008">
        <v>46104</v>
      </c>
      <c r="AZ103" s="1007">
        <v>7</v>
      </c>
      <c r="BA103" s="1008">
        <v>46107</v>
      </c>
      <c r="BB103" s="1007">
        <v>2026</v>
      </c>
      <c r="BC103" s="1007">
        <v>3</v>
      </c>
      <c r="BD103" s="1007">
        <v>13</v>
      </c>
      <c r="BE103" s="1007">
        <v>37</v>
      </c>
      <c r="BF103" s="1007">
        <v>962</v>
      </c>
      <c r="BG103" s="1007" t="s">
        <v>108</v>
      </c>
      <c r="BH103" s="1007" t="s">
        <v>109</v>
      </c>
    </row>
    <row r="104" spans="1:60">
      <c r="A104" s="1007" t="s">
        <v>615</v>
      </c>
      <c r="B104" s="1007" t="s">
        <v>281</v>
      </c>
      <c r="C104" s="1007" t="s">
        <v>601</v>
      </c>
      <c r="D104" s="1007" t="s">
        <v>63</v>
      </c>
      <c r="E104" s="1007" t="s">
        <v>64</v>
      </c>
      <c r="F104" s="1007" t="s">
        <v>100</v>
      </c>
      <c r="G104" s="1007" t="s">
        <v>66</v>
      </c>
      <c r="H104" s="1007" t="s">
        <v>67</v>
      </c>
      <c r="I104" s="1007" t="s">
        <v>68</v>
      </c>
      <c r="J104" s="1007" t="s">
        <v>293</v>
      </c>
      <c r="M104" s="1007" t="s">
        <v>68</v>
      </c>
      <c r="N104" s="1007" t="s">
        <v>68</v>
      </c>
      <c r="O104" s="1007" t="s">
        <v>284</v>
      </c>
      <c r="P104" s="1007" t="s">
        <v>602</v>
      </c>
      <c r="Q104" s="1007" t="s">
        <v>603</v>
      </c>
      <c r="R104" s="1007" t="s">
        <v>73</v>
      </c>
      <c r="S104" s="1007" t="s">
        <v>120</v>
      </c>
      <c r="T104" s="1007">
        <v>465</v>
      </c>
      <c r="U104" s="1007">
        <v>4810</v>
      </c>
      <c r="V104" s="1007">
        <v>2.2370000000000001</v>
      </c>
      <c r="W104" s="1007">
        <v>130</v>
      </c>
      <c r="X104" s="1007">
        <v>5</v>
      </c>
      <c r="Y104" s="1007" t="s">
        <v>75</v>
      </c>
      <c r="Z104" s="1007" t="s">
        <v>75</v>
      </c>
      <c r="AB104" s="1008">
        <v>46042</v>
      </c>
      <c r="AC104" s="1007">
        <v>4</v>
      </c>
      <c r="AD104" s="1007" t="s">
        <v>616</v>
      </c>
      <c r="AF104" s="1007" t="s">
        <v>288</v>
      </c>
      <c r="AG104" s="1007" t="s">
        <v>289</v>
      </c>
      <c r="AH104" s="1007" t="s">
        <v>105</v>
      </c>
      <c r="AI104" s="1008">
        <v>46048</v>
      </c>
      <c r="AJ104" s="1008">
        <v>46048</v>
      </c>
      <c r="AK104" s="1008">
        <v>46048</v>
      </c>
      <c r="AL104" s="1008">
        <v>46090</v>
      </c>
      <c r="AM104" s="1008">
        <v>46091</v>
      </c>
      <c r="AN104" s="1008">
        <v>46089</v>
      </c>
      <c r="AO104" s="1007" t="s">
        <v>66</v>
      </c>
      <c r="AP104" s="1007" t="s">
        <v>617</v>
      </c>
      <c r="AQ104" s="1007" t="s">
        <v>161</v>
      </c>
      <c r="AR104" s="1007" t="s">
        <v>618</v>
      </c>
      <c r="AS104" s="1007" t="s">
        <v>619</v>
      </c>
      <c r="AT104" s="1007" t="s">
        <v>620</v>
      </c>
      <c r="AU104" s="1007">
        <v>41</v>
      </c>
      <c r="AW104" s="1008">
        <v>46089</v>
      </c>
      <c r="AX104" s="1007" t="s">
        <v>84</v>
      </c>
      <c r="AY104" s="1008">
        <v>46105</v>
      </c>
      <c r="AZ104" s="1007">
        <v>7</v>
      </c>
      <c r="BA104" s="1008">
        <v>46096</v>
      </c>
      <c r="BB104" s="1007">
        <v>2026</v>
      </c>
      <c r="BC104" s="1007">
        <v>3</v>
      </c>
      <c r="BD104" s="1007">
        <v>11</v>
      </c>
      <c r="BE104" s="1007">
        <v>37</v>
      </c>
      <c r="BF104" s="1007">
        <v>962</v>
      </c>
      <c r="BG104" s="1007" t="s">
        <v>108</v>
      </c>
      <c r="BH104" s="1007" t="s">
        <v>109</v>
      </c>
    </row>
    <row r="105" spans="1:60">
      <c r="A105" s="1007" t="s">
        <v>621</v>
      </c>
      <c r="B105" s="1007" t="s">
        <v>281</v>
      </c>
      <c r="C105" s="1007" t="s">
        <v>601</v>
      </c>
      <c r="D105" s="1007" t="s">
        <v>63</v>
      </c>
      <c r="E105" s="1007" t="s">
        <v>64</v>
      </c>
      <c r="F105" s="1007" t="s">
        <v>100</v>
      </c>
      <c r="G105" s="1007" t="s">
        <v>66</v>
      </c>
      <c r="H105" s="1007" t="s">
        <v>67</v>
      </c>
      <c r="I105" s="1007" t="s">
        <v>68</v>
      </c>
      <c r="J105" s="1007" t="s">
        <v>293</v>
      </c>
      <c r="M105" s="1007" t="s">
        <v>68</v>
      </c>
      <c r="N105" s="1007" t="s">
        <v>68</v>
      </c>
      <c r="O105" s="1007" t="s">
        <v>284</v>
      </c>
      <c r="P105" s="1007" t="s">
        <v>602</v>
      </c>
      <c r="Q105" s="1007" t="s">
        <v>603</v>
      </c>
      <c r="R105" s="1007" t="s">
        <v>73</v>
      </c>
      <c r="S105" s="1007" t="s">
        <v>120</v>
      </c>
      <c r="T105" s="1007">
        <v>465</v>
      </c>
      <c r="U105" s="1007">
        <v>9620</v>
      </c>
      <c r="V105" s="1007">
        <v>4.4729999999999999</v>
      </c>
      <c r="W105" s="1007">
        <v>260</v>
      </c>
      <c r="X105" s="1007">
        <v>10</v>
      </c>
      <c r="Y105" s="1007" t="s">
        <v>75</v>
      </c>
      <c r="Z105" s="1007" t="s">
        <v>75</v>
      </c>
      <c r="AB105" s="1008">
        <v>46049</v>
      </c>
      <c r="AC105" s="1007">
        <v>5</v>
      </c>
      <c r="AD105" s="1007" t="s">
        <v>622</v>
      </c>
      <c r="AF105" s="1007" t="s">
        <v>288</v>
      </c>
      <c r="AG105" s="1007" t="s">
        <v>289</v>
      </c>
      <c r="AH105" s="1007" t="s">
        <v>105</v>
      </c>
      <c r="AI105" s="1008">
        <v>46057</v>
      </c>
      <c r="AJ105" s="1008">
        <v>46067</v>
      </c>
      <c r="AK105" s="1008">
        <v>46070</v>
      </c>
      <c r="AL105" s="1008">
        <v>46094</v>
      </c>
      <c r="AM105" s="1008">
        <v>46106</v>
      </c>
      <c r="AN105" s="1008">
        <v>46107</v>
      </c>
      <c r="AO105" s="1007" t="s">
        <v>66</v>
      </c>
      <c r="AP105" s="1007" t="s">
        <v>623</v>
      </c>
      <c r="AQ105" s="1007" t="s">
        <v>161</v>
      </c>
      <c r="AR105" s="1007" t="s">
        <v>624</v>
      </c>
      <c r="AS105" s="1007" t="s">
        <v>625</v>
      </c>
      <c r="AT105" s="1007" t="s">
        <v>625</v>
      </c>
      <c r="AU105" s="1007">
        <v>37</v>
      </c>
      <c r="AW105" s="1008">
        <v>46107</v>
      </c>
      <c r="AX105" s="1007" t="s">
        <v>84</v>
      </c>
      <c r="AY105" s="1008">
        <v>46120</v>
      </c>
      <c r="AZ105" s="1007">
        <v>7</v>
      </c>
      <c r="BA105" s="1008">
        <v>46114</v>
      </c>
      <c r="BB105" s="1007">
        <v>2026</v>
      </c>
      <c r="BC105" s="1007">
        <v>4</v>
      </c>
      <c r="BD105" s="1007">
        <v>14</v>
      </c>
      <c r="BE105" s="1007">
        <v>37</v>
      </c>
      <c r="BF105" s="1007">
        <v>962</v>
      </c>
      <c r="BG105" s="1007" t="s">
        <v>108</v>
      </c>
      <c r="BH105" s="1007" t="s">
        <v>109</v>
      </c>
    </row>
    <row r="106" spans="1:60">
      <c r="A106" s="1007" t="s">
        <v>626</v>
      </c>
      <c r="B106" s="1007" t="s">
        <v>281</v>
      </c>
      <c r="C106" s="1007" t="s">
        <v>601</v>
      </c>
      <c r="D106" s="1007" t="s">
        <v>63</v>
      </c>
      <c r="E106" s="1007" t="s">
        <v>64</v>
      </c>
      <c r="F106" s="1007" t="s">
        <v>100</v>
      </c>
      <c r="G106" s="1007" t="s">
        <v>66</v>
      </c>
      <c r="H106" s="1007" t="s">
        <v>67</v>
      </c>
      <c r="I106" s="1007" t="s">
        <v>68</v>
      </c>
      <c r="J106" s="1007" t="s">
        <v>293</v>
      </c>
      <c r="M106" s="1007" t="s">
        <v>68</v>
      </c>
      <c r="N106" s="1007" t="s">
        <v>68</v>
      </c>
      <c r="O106" s="1007" t="s">
        <v>284</v>
      </c>
      <c r="P106" s="1007" t="s">
        <v>602</v>
      </c>
      <c r="Q106" s="1007" t="s">
        <v>603</v>
      </c>
      <c r="R106" s="1007" t="s">
        <v>73</v>
      </c>
      <c r="S106" s="1007" t="s">
        <v>120</v>
      </c>
      <c r="T106" s="1007">
        <v>465</v>
      </c>
      <c r="U106" s="1007">
        <v>9620</v>
      </c>
      <c r="V106" s="1007">
        <v>4.4729999999999999</v>
      </c>
      <c r="W106" s="1007">
        <v>260</v>
      </c>
      <c r="X106" s="1007">
        <v>10</v>
      </c>
      <c r="Y106" s="1007" t="s">
        <v>75</v>
      </c>
      <c r="Z106" s="1007" t="s">
        <v>75</v>
      </c>
      <c r="AB106" s="1008">
        <v>46050</v>
      </c>
      <c r="AC106" s="1007">
        <v>5</v>
      </c>
      <c r="AD106" s="1007" t="s">
        <v>627</v>
      </c>
      <c r="AF106" s="1007" t="s">
        <v>288</v>
      </c>
      <c r="AG106" s="1007" t="s">
        <v>289</v>
      </c>
      <c r="AH106" s="1007" t="s">
        <v>105</v>
      </c>
      <c r="AI106" s="1008">
        <v>46057</v>
      </c>
      <c r="AJ106" s="1008">
        <v>46067</v>
      </c>
      <c r="AK106" s="1008">
        <v>46070</v>
      </c>
      <c r="AL106" s="1008">
        <v>46094</v>
      </c>
      <c r="AM106" s="1008">
        <v>46106</v>
      </c>
      <c r="AN106" s="1008">
        <v>46107</v>
      </c>
      <c r="AO106" s="1007" t="s">
        <v>66</v>
      </c>
      <c r="AP106" s="1007" t="s">
        <v>623</v>
      </c>
      <c r="AQ106" s="1007" t="s">
        <v>161</v>
      </c>
      <c r="AR106" s="1007" t="s">
        <v>628</v>
      </c>
      <c r="AS106" s="1007" t="s">
        <v>629</v>
      </c>
      <c r="AT106" s="1007" t="s">
        <v>629</v>
      </c>
      <c r="AU106" s="1007">
        <v>37</v>
      </c>
      <c r="AW106" s="1008">
        <v>46107</v>
      </c>
      <c r="AX106" s="1007" t="s">
        <v>84</v>
      </c>
      <c r="AY106" s="1008">
        <v>46120</v>
      </c>
      <c r="AZ106" s="1007">
        <v>7</v>
      </c>
      <c r="BA106" s="1008">
        <v>46114</v>
      </c>
      <c r="BB106" s="1007">
        <v>2026</v>
      </c>
      <c r="BC106" s="1007">
        <v>4</v>
      </c>
      <c r="BD106" s="1007">
        <v>14</v>
      </c>
      <c r="BE106" s="1007">
        <v>37</v>
      </c>
      <c r="BF106" s="1007">
        <v>962</v>
      </c>
      <c r="BG106" s="1007" t="s">
        <v>108</v>
      </c>
      <c r="BH106" s="1007" t="s">
        <v>109</v>
      </c>
    </row>
    <row r="107" spans="1:60">
      <c r="A107" s="1007" t="s">
        <v>630</v>
      </c>
      <c r="B107" s="1007" t="s">
        <v>111</v>
      </c>
      <c r="C107" s="1007" t="s">
        <v>168</v>
      </c>
      <c r="D107" s="1007" t="s">
        <v>63</v>
      </c>
      <c r="E107" s="1007" t="s">
        <v>64</v>
      </c>
      <c r="F107" s="1007" t="s">
        <v>65</v>
      </c>
      <c r="G107" s="1007" t="s">
        <v>66</v>
      </c>
      <c r="H107" s="1007" t="s">
        <v>67</v>
      </c>
      <c r="I107" s="1007" t="s">
        <v>68</v>
      </c>
      <c r="J107" s="1007" t="s">
        <v>232</v>
      </c>
      <c r="M107" s="1007" t="s">
        <v>68</v>
      </c>
      <c r="N107" s="1007" t="s">
        <v>68</v>
      </c>
      <c r="O107" s="1007" t="s">
        <v>170</v>
      </c>
      <c r="P107" s="1007" t="s">
        <v>171</v>
      </c>
      <c r="Q107" s="1007" t="s">
        <v>172</v>
      </c>
      <c r="R107" s="1007" t="s">
        <v>73</v>
      </c>
      <c r="S107" s="1007" t="s">
        <v>120</v>
      </c>
      <c r="T107" s="1007">
        <v>555</v>
      </c>
      <c r="U107" s="1007">
        <v>3300</v>
      </c>
      <c r="V107" s="1007">
        <v>1.8320000000000001</v>
      </c>
      <c r="W107" s="1007">
        <v>100</v>
      </c>
      <c r="X107" s="1007">
        <v>5</v>
      </c>
      <c r="Y107" s="1007" t="s">
        <v>75</v>
      </c>
      <c r="Z107" s="1007" t="s">
        <v>75</v>
      </c>
      <c r="AB107" s="1008">
        <v>46048</v>
      </c>
      <c r="AC107" s="1007">
        <v>5</v>
      </c>
      <c r="AD107" s="1007" t="s">
        <v>631</v>
      </c>
      <c r="AF107" s="1007" t="s">
        <v>122</v>
      </c>
      <c r="AG107" s="1007" t="s">
        <v>123</v>
      </c>
      <c r="AH107" s="1007" t="s">
        <v>356</v>
      </c>
      <c r="AI107" s="1008">
        <v>46054</v>
      </c>
      <c r="AJ107" s="1008">
        <v>46054</v>
      </c>
      <c r="AK107" s="1008">
        <v>46054</v>
      </c>
      <c r="AL107" s="1008">
        <v>46091</v>
      </c>
      <c r="AM107" s="1008">
        <v>46109</v>
      </c>
      <c r="AN107" s="1008">
        <v>46110</v>
      </c>
      <c r="AO107" s="1007" t="s">
        <v>66</v>
      </c>
      <c r="AP107" s="1007" t="s">
        <v>632</v>
      </c>
      <c r="AQ107" s="1007" t="s">
        <v>161</v>
      </c>
      <c r="AR107" s="1007" t="s">
        <v>633</v>
      </c>
      <c r="AS107" s="1007" t="s">
        <v>634</v>
      </c>
      <c r="AT107" s="1007" t="s">
        <v>634</v>
      </c>
      <c r="AU107" s="1007">
        <v>56</v>
      </c>
      <c r="AW107" s="1008">
        <v>46110</v>
      </c>
      <c r="AX107" s="1007" t="s">
        <v>84</v>
      </c>
      <c r="AY107" s="1008">
        <v>46121</v>
      </c>
      <c r="AZ107" s="1007">
        <v>8</v>
      </c>
      <c r="BA107" s="1008">
        <v>46118</v>
      </c>
      <c r="BB107" s="1007">
        <v>2026</v>
      </c>
      <c r="BC107" s="1007">
        <v>4</v>
      </c>
      <c r="BD107" s="1007">
        <v>15</v>
      </c>
      <c r="BE107" s="1007">
        <v>33</v>
      </c>
      <c r="BF107" s="1007">
        <v>660</v>
      </c>
      <c r="BG107" s="1007" t="s">
        <v>108</v>
      </c>
      <c r="BH107" s="1007" t="s">
        <v>109</v>
      </c>
    </row>
    <row r="108" spans="1:60">
      <c r="A108" s="1007" t="s">
        <v>635</v>
      </c>
      <c r="B108" s="1007" t="s">
        <v>111</v>
      </c>
      <c r="C108" s="1007" t="s">
        <v>461</v>
      </c>
      <c r="D108" s="1007" t="s">
        <v>63</v>
      </c>
      <c r="E108" s="1007" t="s">
        <v>64</v>
      </c>
      <c r="F108" s="1007" t="s">
        <v>65</v>
      </c>
      <c r="G108" s="1007" t="s">
        <v>66</v>
      </c>
      <c r="H108" s="1007" t="s">
        <v>67</v>
      </c>
      <c r="I108" s="1007" t="s">
        <v>68</v>
      </c>
      <c r="J108" s="1007" t="s">
        <v>232</v>
      </c>
      <c r="M108" s="1007" t="s">
        <v>68</v>
      </c>
      <c r="N108" s="1007" t="s">
        <v>68</v>
      </c>
      <c r="O108" s="1007" t="s">
        <v>170</v>
      </c>
      <c r="P108" s="1007" t="s">
        <v>462</v>
      </c>
      <c r="Q108" s="1007" t="s">
        <v>463</v>
      </c>
      <c r="R108" s="1007" t="s">
        <v>73</v>
      </c>
      <c r="S108" s="1007" t="s">
        <v>464</v>
      </c>
      <c r="T108" s="1007">
        <v>550</v>
      </c>
      <c r="U108" s="1007">
        <v>1320</v>
      </c>
      <c r="V108" s="1007">
        <v>0.72599999999999998</v>
      </c>
      <c r="W108" s="1007">
        <v>40</v>
      </c>
      <c r="X108" s="1007">
        <v>2</v>
      </c>
      <c r="Y108" s="1007" t="s">
        <v>75</v>
      </c>
      <c r="Z108" s="1007" t="s">
        <v>75</v>
      </c>
      <c r="AB108" s="1008">
        <v>46048</v>
      </c>
      <c r="AC108" s="1007">
        <v>5</v>
      </c>
      <c r="AD108" s="1007" t="s">
        <v>636</v>
      </c>
      <c r="AF108" s="1007" t="s">
        <v>122</v>
      </c>
      <c r="AG108" s="1007" t="s">
        <v>123</v>
      </c>
      <c r="AH108" s="1007" t="s">
        <v>356</v>
      </c>
      <c r="AI108" s="1008">
        <v>46054</v>
      </c>
      <c r="AJ108" s="1008">
        <v>46054</v>
      </c>
      <c r="AK108" s="1008">
        <v>46054</v>
      </c>
      <c r="AL108" s="1008">
        <v>46091</v>
      </c>
      <c r="AM108" s="1008">
        <v>46109</v>
      </c>
      <c r="AN108" s="1008">
        <v>46110</v>
      </c>
      <c r="AO108" s="1007" t="s">
        <v>66</v>
      </c>
      <c r="AP108" s="1007" t="s">
        <v>632</v>
      </c>
      <c r="AQ108" s="1007" t="s">
        <v>161</v>
      </c>
      <c r="AR108" s="1007" t="s">
        <v>633</v>
      </c>
      <c r="AS108" s="1007" t="s">
        <v>634</v>
      </c>
      <c r="AT108" s="1007" t="s">
        <v>634</v>
      </c>
      <c r="AU108" s="1007">
        <v>56</v>
      </c>
      <c r="AW108" s="1008">
        <v>46110</v>
      </c>
      <c r="AX108" s="1007" t="s">
        <v>84</v>
      </c>
      <c r="AY108" s="1008">
        <v>46121</v>
      </c>
      <c r="AZ108" s="1007">
        <v>8</v>
      </c>
      <c r="BA108" s="1008">
        <v>46118</v>
      </c>
      <c r="BB108" s="1007">
        <v>2026</v>
      </c>
      <c r="BC108" s="1007">
        <v>4</v>
      </c>
      <c r="BD108" s="1007">
        <v>15</v>
      </c>
      <c r="BE108" s="1007">
        <v>33</v>
      </c>
      <c r="BF108" s="1007">
        <v>660</v>
      </c>
      <c r="BG108" s="1007" t="s">
        <v>108</v>
      </c>
      <c r="BH108" s="1007" t="s">
        <v>109</v>
      </c>
    </row>
    <row r="109" spans="1:60">
      <c r="A109" s="1007" t="s">
        <v>637</v>
      </c>
      <c r="B109" s="1007" t="s">
        <v>111</v>
      </c>
      <c r="C109" s="1007" t="s">
        <v>638</v>
      </c>
      <c r="D109" s="1007" t="s">
        <v>63</v>
      </c>
      <c r="E109" s="1007" t="s">
        <v>64</v>
      </c>
      <c r="F109" s="1007" t="s">
        <v>65</v>
      </c>
      <c r="G109" s="1007" t="s">
        <v>66</v>
      </c>
      <c r="H109" s="1007" t="s">
        <v>67</v>
      </c>
      <c r="I109" s="1007" t="s">
        <v>68</v>
      </c>
      <c r="J109" s="1007" t="s">
        <v>232</v>
      </c>
      <c r="M109" s="1007" t="s">
        <v>68</v>
      </c>
      <c r="N109" s="1007" t="s">
        <v>68</v>
      </c>
      <c r="O109" s="1007" t="s">
        <v>473</v>
      </c>
      <c r="P109" s="1007" t="s">
        <v>474</v>
      </c>
      <c r="Q109" s="1007" t="s">
        <v>475</v>
      </c>
      <c r="R109" s="1007" t="s">
        <v>73</v>
      </c>
      <c r="S109" s="1007" t="s">
        <v>74</v>
      </c>
      <c r="T109" s="1007">
        <v>460</v>
      </c>
      <c r="U109" s="1007">
        <v>2592</v>
      </c>
      <c r="V109" s="1007">
        <v>1.1919999999999999</v>
      </c>
      <c r="W109" s="1007">
        <v>72</v>
      </c>
      <c r="X109" s="1007">
        <v>3</v>
      </c>
      <c r="Y109" s="1007" t="s">
        <v>75</v>
      </c>
      <c r="Z109" s="1007" t="s">
        <v>75</v>
      </c>
      <c r="AB109" s="1008">
        <v>46048</v>
      </c>
      <c r="AC109" s="1007">
        <v>5</v>
      </c>
      <c r="AD109" s="1007" t="s">
        <v>639</v>
      </c>
      <c r="AF109" s="1007" t="s">
        <v>122</v>
      </c>
      <c r="AG109" s="1007" t="s">
        <v>123</v>
      </c>
      <c r="AH109" s="1007" t="s">
        <v>356</v>
      </c>
      <c r="AI109" s="1008">
        <v>46054</v>
      </c>
      <c r="AJ109" s="1008">
        <v>46054</v>
      </c>
      <c r="AK109" s="1008">
        <v>46054</v>
      </c>
      <c r="AL109" s="1008">
        <v>46091</v>
      </c>
      <c r="AM109" s="1008">
        <v>46109</v>
      </c>
      <c r="AN109" s="1008">
        <v>46110</v>
      </c>
      <c r="AO109" s="1007" t="s">
        <v>66</v>
      </c>
      <c r="AP109" s="1007" t="s">
        <v>632</v>
      </c>
      <c r="AQ109" s="1007" t="s">
        <v>161</v>
      </c>
      <c r="AR109" s="1007" t="s">
        <v>633</v>
      </c>
      <c r="AS109" s="1007" t="s">
        <v>634</v>
      </c>
      <c r="AT109" s="1007" t="s">
        <v>634</v>
      </c>
      <c r="AU109" s="1007">
        <v>56</v>
      </c>
      <c r="AW109" s="1008">
        <v>46110</v>
      </c>
      <c r="AX109" s="1007" t="s">
        <v>84</v>
      </c>
      <c r="AY109" s="1008">
        <v>46121</v>
      </c>
      <c r="AZ109" s="1007">
        <v>8</v>
      </c>
      <c r="BA109" s="1008">
        <v>46118</v>
      </c>
      <c r="BB109" s="1007">
        <v>2026</v>
      </c>
      <c r="BC109" s="1007">
        <v>4</v>
      </c>
      <c r="BD109" s="1007">
        <v>15</v>
      </c>
      <c r="BE109" s="1007">
        <v>36</v>
      </c>
      <c r="BF109" s="1007">
        <v>864</v>
      </c>
      <c r="BG109" s="1007" t="s">
        <v>85</v>
      </c>
      <c r="BH109" s="1007" t="s">
        <v>109</v>
      </c>
    </row>
    <row r="110" spans="1:60">
      <c r="A110" s="1007" t="s">
        <v>640</v>
      </c>
      <c r="B110" s="1007" t="s">
        <v>111</v>
      </c>
      <c r="C110" s="1007" t="s">
        <v>472</v>
      </c>
      <c r="D110" s="1007" t="s">
        <v>63</v>
      </c>
      <c r="E110" s="1007" t="s">
        <v>64</v>
      </c>
      <c r="F110" s="1007" t="s">
        <v>100</v>
      </c>
      <c r="G110" s="1007" t="s">
        <v>66</v>
      </c>
      <c r="H110" s="1007" t="s">
        <v>67</v>
      </c>
      <c r="I110" s="1007" t="s">
        <v>68</v>
      </c>
      <c r="J110" s="1007" t="s">
        <v>483</v>
      </c>
      <c r="M110" s="1007" t="s">
        <v>68</v>
      </c>
      <c r="N110" s="1007" t="s">
        <v>68</v>
      </c>
      <c r="O110" s="1007" t="s">
        <v>473</v>
      </c>
      <c r="P110" s="1007" t="s">
        <v>474</v>
      </c>
      <c r="Q110" s="1007" t="s">
        <v>475</v>
      </c>
      <c r="R110" s="1007" t="s">
        <v>73</v>
      </c>
      <c r="S110" s="1007" t="s">
        <v>74</v>
      </c>
      <c r="T110" s="1007">
        <v>460</v>
      </c>
      <c r="U110" s="1007">
        <v>2592</v>
      </c>
      <c r="V110" s="1007">
        <v>1.1919999999999999</v>
      </c>
      <c r="W110" s="1007">
        <v>72</v>
      </c>
      <c r="X110" s="1007">
        <v>3</v>
      </c>
      <c r="Y110" s="1007" t="s">
        <v>75</v>
      </c>
      <c r="Z110" s="1007" t="s">
        <v>75</v>
      </c>
      <c r="AB110" s="1008">
        <v>46050</v>
      </c>
      <c r="AC110" s="1007">
        <v>5</v>
      </c>
      <c r="AD110" s="1007" t="s">
        <v>641</v>
      </c>
      <c r="AF110" s="1007" t="s">
        <v>122</v>
      </c>
      <c r="AG110" s="1007" t="s">
        <v>123</v>
      </c>
      <c r="AH110" s="1007" t="s">
        <v>105</v>
      </c>
      <c r="AI110" s="1008">
        <v>46055</v>
      </c>
      <c r="AJ110" s="1008">
        <v>46059</v>
      </c>
      <c r="AK110" s="1008">
        <v>46059</v>
      </c>
      <c r="AL110" s="1008">
        <v>46092</v>
      </c>
      <c r="AM110" s="1008">
        <v>46102</v>
      </c>
      <c r="AN110" s="1008">
        <v>46103</v>
      </c>
      <c r="AO110" s="1007" t="s">
        <v>66</v>
      </c>
      <c r="AP110" s="1007" t="s">
        <v>642</v>
      </c>
      <c r="AQ110" s="1007" t="s">
        <v>80</v>
      </c>
      <c r="AR110" s="1007" t="s">
        <v>643</v>
      </c>
      <c r="AS110" s="1007" t="s">
        <v>644</v>
      </c>
      <c r="AT110" s="1007" t="s">
        <v>644</v>
      </c>
      <c r="AU110" s="1007">
        <v>44</v>
      </c>
      <c r="AW110" s="1008">
        <v>46103</v>
      </c>
      <c r="AX110" s="1007" t="s">
        <v>84</v>
      </c>
      <c r="AY110" s="1008">
        <v>46115</v>
      </c>
      <c r="AZ110" s="1007">
        <v>7</v>
      </c>
      <c r="BA110" s="1008">
        <v>46110</v>
      </c>
      <c r="BB110" s="1007">
        <v>2026</v>
      </c>
      <c r="BC110" s="1007">
        <v>3</v>
      </c>
      <c r="BD110" s="1007">
        <v>13</v>
      </c>
      <c r="BE110" s="1007">
        <v>36</v>
      </c>
      <c r="BF110" s="1007">
        <v>864</v>
      </c>
      <c r="BG110" s="1007" t="s">
        <v>85</v>
      </c>
      <c r="BH110" s="1007" t="s">
        <v>109</v>
      </c>
    </row>
    <row r="111" spans="1:60">
      <c r="A111" s="1007" t="s">
        <v>645</v>
      </c>
      <c r="B111" s="1007" t="s">
        <v>111</v>
      </c>
      <c r="C111" s="1007" t="s">
        <v>525</v>
      </c>
      <c r="D111" s="1007" t="s">
        <v>63</v>
      </c>
      <c r="E111" s="1007" t="s">
        <v>64</v>
      </c>
      <c r="F111" s="1007" t="s">
        <v>114</v>
      </c>
      <c r="G111" s="1007" t="s">
        <v>66</v>
      </c>
      <c r="H111" s="1007" t="s">
        <v>115</v>
      </c>
      <c r="I111" s="1007" t="s">
        <v>68</v>
      </c>
      <c r="J111" s="1007" t="s">
        <v>646</v>
      </c>
      <c r="M111" s="1007" t="s">
        <v>68</v>
      </c>
      <c r="N111" s="1007" t="s">
        <v>68</v>
      </c>
      <c r="O111" s="1007" t="s">
        <v>473</v>
      </c>
      <c r="P111" s="1007" t="s">
        <v>529</v>
      </c>
      <c r="Q111" s="1007" t="s">
        <v>530</v>
      </c>
      <c r="R111" s="1007" t="s">
        <v>73</v>
      </c>
      <c r="S111" s="1007" t="s">
        <v>74</v>
      </c>
      <c r="T111" s="1007">
        <v>455</v>
      </c>
      <c r="U111" s="1007">
        <v>2592</v>
      </c>
      <c r="V111" s="1007">
        <v>1.179</v>
      </c>
      <c r="W111" s="1007">
        <v>72</v>
      </c>
      <c r="X111" s="1007">
        <v>3</v>
      </c>
      <c r="Y111" s="1007" t="s">
        <v>75</v>
      </c>
      <c r="Z111" s="1007" t="s">
        <v>75</v>
      </c>
      <c r="AB111" s="1008">
        <v>46050</v>
      </c>
      <c r="AC111" s="1007">
        <v>5</v>
      </c>
      <c r="AD111" s="1007" t="s">
        <v>647</v>
      </c>
      <c r="AF111" s="1007" t="s">
        <v>122</v>
      </c>
      <c r="AG111" s="1007" t="s">
        <v>123</v>
      </c>
      <c r="AH111" s="1007" t="s">
        <v>124</v>
      </c>
      <c r="AI111" s="1008">
        <v>46055</v>
      </c>
      <c r="AJ111" s="1008">
        <v>46056</v>
      </c>
      <c r="AK111" s="1008">
        <v>46056</v>
      </c>
      <c r="AL111" s="1008">
        <v>46093</v>
      </c>
      <c r="AM111" s="1008">
        <v>46095</v>
      </c>
      <c r="AN111" s="1008">
        <v>46095</v>
      </c>
      <c r="AO111" s="1007" t="s">
        <v>66</v>
      </c>
      <c r="AP111" s="1007" t="s">
        <v>648</v>
      </c>
      <c r="AQ111" s="1007" t="s">
        <v>80</v>
      </c>
      <c r="AR111" s="1007" t="s">
        <v>649</v>
      </c>
      <c r="AS111" s="1007" t="s">
        <v>650</v>
      </c>
      <c r="AT111" s="1007" t="s">
        <v>650</v>
      </c>
      <c r="AU111" s="1007">
        <v>39</v>
      </c>
      <c r="AW111" s="1008">
        <v>46095</v>
      </c>
      <c r="AX111" s="1007" t="s">
        <v>84</v>
      </c>
      <c r="AY111" s="1008">
        <v>46111</v>
      </c>
      <c r="AZ111" s="1007">
        <v>9</v>
      </c>
      <c r="BA111" s="1008">
        <v>46104</v>
      </c>
      <c r="BB111" s="1007">
        <v>2026</v>
      </c>
      <c r="BC111" s="1007">
        <v>3</v>
      </c>
      <c r="BD111" s="1007">
        <v>13</v>
      </c>
      <c r="BE111" s="1007">
        <v>36</v>
      </c>
      <c r="BF111" s="1007">
        <v>864</v>
      </c>
      <c r="BG111" s="1007" t="s">
        <v>85</v>
      </c>
      <c r="BH111" s="1007" t="s">
        <v>86</v>
      </c>
    </row>
    <row r="112" spans="1:60">
      <c r="A112" s="1007" t="s">
        <v>651</v>
      </c>
      <c r="B112" s="1007" t="s">
        <v>111</v>
      </c>
      <c r="C112" s="1007" t="s">
        <v>472</v>
      </c>
      <c r="D112" s="1007" t="s">
        <v>63</v>
      </c>
      <c r="E112" s="1007" t="s">
        <v>64</v>
      </c>
      <c r="F112" s="1007" t="s">
        <v>65</v>
      </c>
      <c r="G112" s="1007" t="s">
        <v>66</v>
      </c>
      <c r="H112" s="1007" t="s">
        <v>67</v>
      </c>
      <c r="I112" s="1007" t="s">
        <v>68</v>
      </c>
      <c r="J112" s="1007" t="s">
        <v>232</v>
      </c>
      <c r="M112" s="1007" t="s">
        <v>68</v>
      </c>
      <c r="N112" s="1007" t="s">
        <v>68</v>
      </c>
      <c r="O112" s="1007" t="s">
        <v>473</v>
      </c>
      <c r="P112" s="1007" t="s">
        <v>474</v>
      </c>
      <c r="Q112" s="1007" t="s">
        <v>475</v>
      </c>
      <c r="R112" s="1007" t="s">
        <v>73</v>
      </c>
      <c r="S112" s="1007" t="s">
        <v>74</v>
      </c>
      <c r="T112" s="1007">
        <v>460</v>
      </c>
      <c r="U112" s="1007">
        <v>2592</v>
      </c>
      <c r="V112" s="1007">
        <v>1.1919999999999999</v>
      </c>
      <c r="W112" s="1007">
        <v>72</v>
      </c>
      <c r="X112" s="1007">
        <v>3</v>
      </c>
      <c r="Y112" s="1007" t="s">
        <v>75</v>
      </c>
      <c r="Z112" s="1007" t="s">
        <v>75</v>
      </c>
      <c r="AB112" s="1008">
        <v>46050</v>
      </c>
      <c r="AC112" s="1007">
        <v>5</v>
      </c>
      <c r="AD112" s="1007" t="s">
        <v>652</v>
      </c>
      <c r="AF112" s="1007" t="s">
        <v>122</v>
      </c>
      <c r="AG112" s="1007" t="s">
        <v>123</v>
      </c>
      <c r="AH112" s="1007" t="s">
        <v>78</v>
      </c>
      <c r="AI112" s="1008">
        <v>46055</v>
      </c>
      <c r="AJ112" s="1008">
        <v>46056</v>
      </c>
      <c r="AK112" s="1008">
        <v>46056</v>
      </c>
      <c r="AL112" s="1008">
        <v>46098</v>
      </c>
      <c r="AM112" s="1008">
        <v>46101</v>
      </c>
      <c r="AN112" s="1008">
        <v>46103</v>
      </c>
      <c r="AO112" s="1007" t="s">
        <v>66</v>
      </c>
      <c r="AP112" s="1007" t="s">
        <v>653</v>
      </c>
      <c r="AQ112" s="1007" t="s">
        <v>80</v>
      </c>
      <c r="AR112" s="1007" t="s">
        <v>654</v>
      </c>
      <c r="AS112" s="1007" t="s">
        <v>655</v>
      </c>
      <c r="AT112" s="1007" t="s">
        <v>655</v>
      </c>
      <c r="AU112" s="1007">
        <v>47</v>
      </c>
      <c r="AW112" s="1008">
        <v>46103</v>
      </c>
      <c r="AX112" s="1007" t="s">
        <v>84</v>
      </c>
      <c r="AY112" s="1008">
        <v>46115</v>
      </c>
      <c r="AZ112" s="1007">
        <v>8</v>
      </c>
      <c r="BA112" s="1008">
        <v>46111</v>
      </c>
      <c r="BB112" s="1007">
        <v>2026</v>
      </c>
      <c r="BC112" s="1007">
        <v>3</v>
      </c>
      <c r="BD112" s="1007">
        <v>14</v>
      </c>
      <c r="BE112" s="1007">
        <v>36</v>
      </c>
      <c r="BF112" s="1007">
        <v>864</v>
      </c>
      <c r="BG112" s="1007" t="s">
        <v>85</v>
      </c>
      <c r="BH112" s="1007" t="s">
        <v>86</v>
      </c>
    </row>
    <row r="113" spans="1:60">
      <c r="A113" s="1007" t="s">
        <v>461</v>
      </c>
      <c r="B113" s="1007" t="s">
        <v>111</v>
      </c>
      <c r="C113" s="1007" t="s">
        <v>203</v>
      </c>
      <c r="D113" s="1007" t="s">
        <v>63</v>
      </c>
      <c r="E113" s="1007" t="s">
        <v>64</v>
      </c>
      <c r="F113" s="1007" t="s">
        <v>65</v>
      </c>
      <c r="G113" s="1007" t="s">
        <v>66</v>
      </c>
      <c r="H113" s="1007" t="s">
        <v>67</v>
      </c>
      <c r="I113" s="1007" t="s">
        <v>68</v>
      </c>
      <c r="J113" s="1007" t="s">
        <v>131</v>
      </c>
      <c r="M113" s="1007" t="s">
        <v>68</v>
      </c>
      <c r="N113" s="1007" t="s">
        <v>68</v>
      </c>
      <c r="O113" s="1007" t="s">
        <v>170</v>
      </c>
      <c r="P113" s="1007" t="s">
        <v>462</v>
      </c>
      <c r="Q113" s="1007" t="s">
        <v>463</v>
      </c>
      <c r="R113" s="1007" t="s">
        <v>73</v>
      </c>
      <c r="S113" s="1007" t="s">
        <v>464</v>
      </c>
      <c r="T113" s="1007">
        <v>550</v>
      </c>
      <c r="U113" s="1007">
        <v>2640</v>
      </c>
      <c r="V113" s="1007">
        <v>1.452</v>
      </c>
      <c r="W113" s="1007">
        <v>80</v>
      </c>
      <c r="X113" s="1007">
        <v>4</v>
      </c>
      <c r="Y113" s="1007" t="s">
        <v>75</v>
      </c>
      <c r="Z113" s="1007" t="s">
        <v>75</v>
      </c>
      <c r="AB113" s="1008">
        <v>46049</v>
      </c>
      <c r="AC113" s="1007">
        <v>5</v>
      </c>
      <c r="AD113" s="1007" t="s">
        <v>656</v>
      </c>
      <c r="AF113" s="1007" t="s">
        <v>122</v>
      </c>
      <c r="AG113" s="1007" t="s">
        <v>123</v>
      </c>
      <c r="AH113" s="1007" t="s">
        <v>78</v>
      </c>
      <c r="AI113" s="1008">
        <v>46055</v>
      </c>
      <c r="AJ113" s="1008">
        <v>46058</v>
      </c>
      <c r="AK113" s="1008">
        <v>46058</v>
      </c>
      <c r="AL113" s="1008">
        <v>46099</v>
      </c>
      <c r="AM113" s="1008">
        <v>46112</v>
      </c>
      <c r="AN113" s="1008">
        <v>46120</v>
      </c>
      <c r="AO113" s="1007" t="s">
        <v>66</v>
      </c>
      <c r="AP113" s="1007" t="s">
        <v>657</v>
      </c>
      <c r="AQ113" s="1007" t="s">
        <v>80</v>
      </c>
      <c r="AR113" s="1007" t="s">
        <v>658</v>
      </c>
      <c r="AS113" s="1007" t="s">
        <v>659</v>
      </c>
      <c r="AT113" s="1007" t="s">
        <v>659</v>
      </c>
      <c r="AU113" s="1007">
        <v>62</v>
      </c>
      <c r="AW113" s="1008">
        <v>46120</v>
      </c>
      <c r="AX113" s="1007" t="s">
        <v>84</v>
      </c>
      <c r="AY113" s="1008">
        <v>46132</v>
      </c>
      <c r="AZ113" s="1007">
        <v>8</v>
      </c>
      <c r="BA113" s="1008">
        <v>46128</v>
      </c>
      <c r="BB113" s="1007">
        <v>2026</v>
      </c>
      <c r="BC113" s="1007">
        <v>4</v>
      </c>
      <c r="BD113" s="1007">
        <v>16</v>
      </c>
      <c r="BE113" s="1007">
        <v>33</v>
      </c>
      <c r="BF113" s="1007">
        <v>660</v>
      </c>
      <c r="BG113" s="1007" t="s">
        <v>108</v>
      </c>
      <c r="BH113" s="1007" t="s">
        <v>86</v>
      </c>
    </row>
    <row r="114" spans="1:60">
      <c r="A114" s="1007" t="s">
        <v>660</v>
      </c>
      <c r="B114" s="1007" t="s">
        <v>111</v>
      </c>
      <c r="C114" s="1007" t="s">
        <v>461</v>
      </c>
      <c r="D114" s="1007" t="s">
        <v>63</v>
      </c>
      <c r="E114" s="1007" t="s">
        <v>64</v>
      </c>
      <c r="F114" s="1007" t="s">
        <v>100</v>
      </c>
      <c r="G114" s="1007" t="s">
        <v>66</v>
      </c>
      <c r="H114" s="1007" t="s">
        <v>67</v>
      </c>
      <c r="I114" s="1007" t="s">
        <v>68</v>
      </c>
      <c r="J114" s="1007" t="s">
        <v>169</v>
      </c>
      <c r="M114" s="1007" t="s">
        <v>68</v>
      </c>
      <c r="N114" s="1007" t="s">
        <v>68</v>
      </c>
      <c r="O114" s="1007" t="s">
        <v>170</v>
      </c>
      <c r="P114" s="1007" t="s">
        <v>462</v>
      </c>
      <c r="Q114" s="1007" t="s">
        <v>463</v>
      </c>
      <c r="R114" s="1007" t="s">
        <v>73</v>
      </c>
      <c r="S114" s="1007" t="s">
        <v>464</v>
      </c>
      <c r="T114" s="1007">
        <v>550</v>
      </c>
      <c r="U114" s="1007">
        <v>660</v>
      </c>
      <c r="V114" s="1007">
        <v>0.36299999999999999</v>
      </c>
      <c r="W114" s="1007">
        <v>20</v>
      </c>
      <c r="X114" s="1007">
        <v>1</v>
      </c>
      <c r="Y114" s="1007" t="s">
        <v>75</v>
      </c>
      <c r="Z114" s="1007" t="s">
        <v>75</v>
      </c>
      <c r="AB114" s="1008">
        <v>46049</v>
      </c>
      <c r="AC114" s="1007">
        <v>5</v>
      </c>
      <c r="AD114" s="1007" t="s">
        <v>661</v>
      </c>
      <c r="AF114" s="1007" t="s">
        <v>122</v>
      </c>
      <c r="AG114" s="1007" t="s">
        <v>123</v>
      </c>
      <c r="AH114" s="1007" t="s">
        <v>105</v>
      </c>
      <c r="AI114" s="1008">
        <v>46055</v>
      </c>
      <c r="AJ114" s="1008">
        <v>46058</v>
      </c>
      <c r="AK114" s="1008">
        <v>46058</v>
      </c>
      <c r="AL114" s="1008">
        <v>46101</v>
      </c>
      <c r="AM114" s="1008">
        <v>46111</v>
      </c>
      <c r="AN114" s="1008">
        <v>46118</v>
      </c>
      <c r="AO114" s="1007" t="s">
        <v>66</v>
      </c>
      <c r="AP114" s="1007" t="s">
        <v>657</v>
      </c>
      <c r="AQ114" s="1007" t="s">
        <v>80</v>
      </c>
      <c r="AR114" s="1007" t="s">
        <v>662</v>
      </c>
      <c r="AS114" s="1007" t="s">
        <v>663</v>
      </c>
      <c r="AT114" s="1007" t="s">
        <v>663</v>
      </c>
      <c r="AU114" s="1007">
        <v>60</v>
      </c>
      <c r="AW114" s="1008">
        <v>46118</v>
      </c>
      <c r="AX114" s="1007" t="s">
        <v>84</v>
      </c>
      <c r="AY114" s="1008">
        <v>46133</v>
      </c>
      <c r="AZ114" s="1007">
        <v>7</v>
      </c>
      <c r="BA114" s="1008">
        <v>46125</v>
      </c>
      <c r="BB114" s="1007">
        <v>2026</v>
      </c>
      <c r="BC114" s="1007">
        <v>4</v>
      </c>
      <c r="BD114" s="1007">
        <v>16</v>
      </c>
      <c r="BE114" s="1007">
        <v>33</v>
      </c>
      <c r="BF114" s="1007">
        <v>660</v>
      </c>
      <c r="BG114" s="1007" t="s">
        <v>108</v>
      </c>
      <c r="BH114" s="1007" t="s">
        <v>109</v>
      </c>
    </row>
    <row r="115" spans="1:60">
      <c r="A115" s="1007" t="s">
        <v>664</v>
      </c>
      <c r="B115" s="1007" t="s">
        <v>111</v>
      </c>
      <c r="C115" s="1007" t="s">
        <v>168</v>
      </c>
      <c r="D115" s="1007" t="s">
        <v>63</v>
      </c>
      <c r="E115" s="1007" t="s">
        <v>64</v>
      </c>
      <c r="F115" s="1007" t="s">
        <v>100</v>
      </c>
      <c r="G115" s="1007" t="s">
        <v>66</v>
      </c>
      <c r="H115" s="1007" t="s">
        <v>67</v>
      </c>
      <c r="I115" s="1007" t="s">
        <v>68</v>
      </c>
      <c r="J115" s="1007" t="s">
        <v>169</v>
      </c>
      <c r="M115" s="1007" t="s">
        <v>68</v>
      </c>
      <c r="N115" s="1007" t="s">
        <v>68</v>
      </c>
      <c r="O115" s="1007" t="s">
        <v>170</v>
      </c>
      <c r="P115" s="1007" t="s">
        <v>171</v>
      </c>
      <c r="Q115" s="1007" t="s">
        <v>172</v>
      </c>
      <c r="R115" s="1007" t="s">
        <v>73</v>
      </c>
      <c r="S115" s="1007" t="s">
        <v>120</v>
      </c>
      <c r="T115" s="1007">
        <v>555</v>
      </c>
      <c r="U115" s="1007">
        <v>1320</v>
      </c>
      <c r="V115" s="1007">
        <v>0.73299999999999998</v>
      </c>
      <c r="W115" s="1007">
        <v>40</v>
      </c>
      <c r="X115" s="1007">
        <v>2</v>
      </c>
      <c r="Y115" s="1007" t="s">
        <v>75</v>
      </c>
      <c r="Z115" s="1007" t="s">
        <v>75</v>
      </c>
      <c r="AB115" s="1008">
        <v>46049</v>
      </c>
      <c r="AC115" s="1007">
        <v>5</v>
      </c>
      <c r="AD115" s="1007" t="s">
        <v>665</v>
      </c>
      <c r="AF115" s="1007" t="s">
        <v>122</v>
      </c>
      <c r="AG115" s="1007" t="s">
        <v>123</v>
      </c>
      <c r="AH115" s="1007" t="s">
        <v>105</v>
      </c>
      <c r="AI115" s="1008">
        <v>46055</v>
      </c>
      <c r="AJ115" s="1008">
        <v>46058</v>
      </c>
      <c r="AK115" s="1008">
        <v>46058</v>
      </c>
      <c r="AL115" s="1008">
        <v>46101</v>
      </c>
      <c r="AM115" s="1008">
        <v>46111</v>
      </c>
      <c r="AN115" s="1008">
        <v>46118</v>
      </c>
      <c r="AO115" s="1007" t="s">
        <v>66</v>
      </c>
      <c r="AP115" s="1007" t="s">
        <v>657</v>
      </c>
      <c r="AQ115" s="1007" t="s">
        <v>80</v>
      </c>
      <c r="AR115" s="1007" t="s">
        <v>662</v>
      </c>
      <c r="AS115" s="1007" t="s">
        <v>663</v>
      </c>
      <c r="AT115" s="1007" t="s">
        <v>663</v>
      </c>
      <c r="AU115" s="1007">
        <v>60</v>
      </c>
      <c r="AW115" s="1008">
        <v>46118</v>
      </c>
      <c r="AX115" s="1007" t="s">
        <v>84</v>
      </c>
      <c r="AY115" s="1008">
        <v>46133</v>
      </c>
      <c r="AZ115" s="1007">
        <v>7</v>
      </c>
      <c r="BA115" s="1008">
        <v>46125</v>
      </c>
      <c r="BB115" s="1007">
        <v>2026</v>
      </c>
      <c r="BC115" s="1007">
        <v>4</v>
      </c>
      <c r="BD115" s="1007">
        <v>16</v>
      </c>
      <c r="BE115" s="1007">
        <v>33</v>
      </c>
      <c r="BF115" s="1007">
        <v>660</v>
      </c>
      <c r="BG115" s="1007" t="s">
        <v>108</v>
      </c>
      <c r="BH115" s="1007" t="s">
        <v>109</v>
      </c>
    </row>
    <row r="116" spans="1:60">
      <c r="A116" s="1007" t="s">
        <v>282</v>
      </c>
      <c r="B116" s="1007" t="s">
        <v>281</v>
      </c>
      <c r="C116" s="1007" t="s">
        <v>203</v>
      </c>
      <c r="D116" s="1007" t="s">
        <v>63</v>
      </c>
      <c r="E116" s="1007" t="s">
        <v>64</v>
      </c>
      <c r="F116" s="1007" t="s">
        <v>100</v>
      </c>
      <c r="G116" s="1007" t="s">
        <v>66</v>
      </c>
      <c r="H116" s="1007" t="s">
        <v>67</v>
      </c>
      <c r="I116" s="1007" t="s">
        <v>68</v>
      </c>
      <c r="J116" s="1007" t="s">
        <v>293</v>
      </c>
      <c r="M116" s="1007" t="s">
        <v>68</v>
      </c>
      <c r="N116" s="1007" t="s">
        <v>68</v>
      </c>
      <c r="O116" s="1007" t="s">
        <v>284</v>
      </c>
      <c r="P116" s="1007" t="s">
        <v>285</v>
      </c>
      <c r="Q116" s="1007" t="s">
        <v>286</v>
      </c>
      <c r="R116" s="1007" t="s">
        <v>73</v>
      </c>
      <c r="S116" s="1007" t="s">
        <v>120</v>
      </c>
      <c r="T116" s="1007">
        <v>460</v>
      </c>
      <c r="U116" s="1007">
        <v>1924</v>
      </c>
      <c r="V116" s="1007">
        <v>0.88500000000000001</v>
      </c>
      <c r="W116" s="1007">
        <v>52</v>
      </c>
      <c r="X116" s="1007">
        <v>2</v>
      </c>
      <c r="Y116" s="1007" t="s">
        <v>75</v>
      </c>
      <c r="Z116" s="1007" t="s">
        <v>75</v>
      </c>
      <c r="AB116" s="1008">
        <v>46051</v>
      </c>
      <c r="AC116" s="1007">
        <v>5</v>
      </c>
      <c r="AD116" s="1007" t="s">
        <v>666</v>
      </c>
      <c r="AF116" s="1007" t="s">
        <v>288</v>
      </c>
      <c r="AG116" s="1007" t="s">
        <v>289</v>
      </c>
      <c r="AH116" s="1007" t="s">
        <v>105</v>
      </c>
      <c r="AI116" s="1008">
        <v>46057</v>
      </c>
      <c r="AJ116" s="1008">
        <v>46061</v>
      </c>
      <c r="AK116" s="1008">
        <v>46061</v>
      </c>
      <c r="AL116" s="1008">
        <v>46087</v>
      </c>
      <c r="AM116" s="1008">
        <v>46097</v>
      </c>
      <c r="AN116" s="1008">
        <v>46099</v>
      </c>
      <c r="AO116" s="1007" t="s">
        <v>66</v>
      </c>
      <c r="AP116" s="1007" t="s">
        <v>457</v>
      </c>
      <c r="AQ116" s="1007" t="s">
        <v>161</v>
      </c>
      <c r="AR116" s="1007" t="s">
        <v>667</v>
      </c>
      <c r="AS116" s="1007" t="s">
        <v>668</v>
      </c>
      <c r="AT116" s="1007">
        <v>149600000000</v>
      </c>
      <c r="AU116" s="1007">
        <v>38</v>
      </c>
      <c r="AW116" s="1008">
        <v>46099</v>
      </c>
      <c r="AX116" s="1007" t="s">
        <v>84</v>
      </c>
      <c r="AY116" s="1008">
        <v>46111</v>
      </c>
      <c r="AZ116" s="1007">
        <v>7</v>
      </c>
      <c r="BA116" s="1008">
        <v>46106</v>
      </c>
      <c r="BB116" s="1007">
        <v>2026</v>
      </c>
      <c r="BC116" s="1007">
        <v>3</v>
      </c>
      <c r="BD116" s="1007">
        <v>13</v>
      </c>
      <c r="BE116" s="1007">
        <v>37</v>
      </c>
      <c r="BF116" s="1007">
        <v>962</v>
      </c>
      <c r="BG116" s="1007" t="s">
        <v>85</v>
      </c>
      <c r="BH116" s="1007" t="s">
        <v>109</v>
      </c>
    </row>
    <row r="117" spans="1:60">
      <c r="A117" s="1007" t="s">
        <v>669</v>
      </c>
      <c r="B117" s="1007" t="s">
        <v>281</v>
      </c>
      <c r="C117" s="1007" t="s">
        <v>601</v>
      </c>
      <c r="D117" s="1007" t="s">
        <v>63</v>
      </c>
      <c r="E117" s="1007" t="s">
        <v>144</v>
      </c>
      <c r="F117" s="1007" t="s">
        <v>145</v>
      </c>
      <c r="G117" s="1007" t="s">
        <v>402</v>
      </c>
      <c r="H117" s="1007" t="s">
        <v>670</v>
      </c>
      <c r="I117" s="1007" t="s">
        <v>68</v>
      </c>
      <c r="J117" s="1007" t="s">
        <v>671</v>
      </c>
      <c r="K117" s="1007" t="s">
        <v>672</v>
      </c>
      <c r="M117" s="1007" t="s">
        <v>68</v>
      </c>
      <c r="N117" s="1007" t="s">
        <v>68</v>
      </c>
      <c r="O117" s="1007" t="s">
        <v>284</v>
      </c>
      <c r="P117" s="1007" t="s">
        <v>602</v>
      </c>
      <c r="Q117" s="1007" t="s">
        <v>603</v>
      </c>
      <c r="R117" s="1007" t="s">
        <v>73</v>
      </c>
      <c r="S117" s="1007" t="s">
        <v>120</v>
      </c>
      <c r="T117" s="1007">
        <v>465</v>
      </c>
      <c r="U117" s="1007">
        <v>13468</v>
      </c>
      <c r="V117" s="1007">
        <v>6.2629999999999999</v>
      </c>
      <c r="W117" s="1007">
        <v>364</v>
      </c>
      <c r="X117" s="1007">
        <v>14</v>
      </c>
      <c r="Y117" s="1007" t="s">
        <v>75</v>
      </c>
      <c r="Z117" s="1007" t="s">
        <v>75</v>
      </c>
      <c r="AB117" s="1008">
        <v>46041</v>
      </c>
      <c r="AC117" s="1007">
        <v>4</v>
      </c>
      <c r="AD117" s="1007" t="s">
        <v>673</v>
      </c>
      <c r="AF117" s="1007" t="s">
        <v>288</v>
      </c>
      <c r="AG117" s="1007" t="s">
        <v>289</v>
      </c>
      <c r="AH117" s="1007" t="s">
        <v>105</v>
      </c>
      <c r="AI117" s="1008">
        <v>46045</v>
      </c>
      <c r="AJ117" s="1008">
        <v>46045</v>
      </c>
      <c r="AK117" s="1008">
        <v>46045</v>
      </c>
      <c r="AL117" s="1008">
        <v>46071</v>
      </c>
      <c r="AM117" s="1008">
        <v>46080</v>
      </c>
      <c r="AN117" s="1008">
        <v>46084</v>
      </c>
      <c r="AO117" s="1007" t="s">
        <v>402</v>
      </c>
      <c r="AP117" s="1007" t="s">
        <v>262</v>
      </c>
      <c r="AQ117" s="1007" t="s">
        <v>161</v>
      </c>
      <c r="AR117" s="1007" t="s">
        <v>674</v>
      </c>
      <c r="AS117" s="1007" t="s">
        <v>675</v>
      </c>
      <c r="AT117" s="1007">
        <v>149600000000</v>
      </c>
      <c r="AU117" s="1007">
        <v>39</v>
      </c>
      <c r="AW117" s="1008">
        <v>46084</v>
      </c>
      <c r="AX117" s="1007" t="s">
        <v>84</v>
      </c>
      <c r="AY117" s="1008">
        <v>46085</v>
      </c>
      <c r="AZ117" s="1007" t="s">
        <v>152</v>
      </c>
      <c r="BA117" s="1008">
        <v>46084</v>
      </c>
      <c r="BB117" s="1007">
        <v>2026</v>
      </c>
      <c r="BC117" s="1007">
        <v>3</v>
      </c>
      <c r="BD117" s="1007">
        <v>10</v>
      </c>
      <c r="BE117" s="1007">
        <v>37</v>
      </c>
      <c r="BF117" s="1007">
        <v>962</v>
      </c>
      <c r="BG117" s="1007" t="s">
        <v>108</v>
      </c>
      <c r="BH117" s="1007" t="s">
        <v>109</v>
      </c>
    </row>
    <row r="118" spans="1:60">
      <c r="A118" s="1007" t="s">
        <v>676</v>
      </c>
      <c r="B118" s="1007" t="s">
        <v>281</v>
      </c>
      <c r="C118" s="1007" t="s">
        <v>601</v>
      </c>
      <c r="D118" s="1007" t="s">
        <v>63</v>
      </c>
      <c r="E118" s="1007" t="s">
        <v>144</v>
      </c>
      <c r="F118" s="1007" t="s">
        <v>145</v>
      </c>
      <c r="G118" s="1007" t="s">
        <v>402</v>
      </c>
      <c r="H118" s="1007" t="s">
        <v>670</v>
      </c>
      <c r="I118" s="1007" t="s">
        <v>68</v>
      </c>
      <c r="J118" s="1007" t="s">
        <v>677</v>
      </c>
      <c r="K118" s="1007" t="s">
        <v>672</v>
      </c>
      <c r="M118" s="1007" t="s">
        <v>68</v>
      </c>
      <c r="N118" s="1007" t="s">
        <v>68</v>
      </c>
      <c r="O118" s="1007" t="s">
        <v>284</v>
      </c>
      <c r="P118" s="1007" t="s">
        <v>602</v>
      </c>
      <c r="Q118" s="1007" t="s">
        <v>603</v>
      </c>
      <c r="R118" s="1007" t="s">
        <v>73</v>
      </c>
      <c r="S118" s="1007" t="s">
        <v>120</v>
      </c>
      <c r="T118" s="1007">
        <v>465</v>
      </c>
      <c r="U118" s="1007">
        <v>10582</v>
      </c>
      <c r="V118" s="1007">
        <v>4.9210000000000003</v>
      </c>
      <c r="W118" s="1007">
        <v>286</v>
      </c>
      <c r="X118" s="1007">
        <v>11</v>
      </c>
      <c r="Y118" s="1007" t="s">
        <v>75</v>
      </c>
      <c r="Z118" s="1007" t="s">
        <v>75</v>
      </c>
      <c r="AB118" s="1008">
        <v>46051</v>
      </c>
      <c r="AC118" s="1007">
        <v>5</v>
      </c>
      <c r="AD118" s="1007" t="s">
        <v>678</v>
      </c>
      <c r="AF118" s="1007" t="s">
        <v>288</v>
      </c>
      <c r="AG118" s="1007" t="s">
        <v>289</v>
      </c>
      <c r="AH118" s="1007" t="s">
        <v>105</v>
      </c>
      <c r="AI118" s="1008">
        <v>46056</v>
      </c>
      <c r="AJ118" s="1008">
        <v>46057</v>
      </c>
      <c r="AK118" s="1008">
        <v>46057</v>
      </c>
      <c r="AL118" s="1008">
        <v>46090</v>
      </c>
      <c r="AM118" s="1008">
        <v>46091</v>
      </c>
      <c r="AN118" s="1008">
        <v>46092</v>
      </c>
      <c r="AO118" s="1007" t="s">
        <v>402</v>
      </c>
      <c r="AP118" s="1007" t="s">
        <v>679</v>
      </c>
      <c r="AQ118" s="1007" t="s">
        <v>161</v>
      </c>
      <c r="AR118" s="1007" t="s">
        <v>680</v>
      </c>
      <c r="AS118" s="1007">
        <v>265292580</v>
      </c>
      <c r="AT118" s="1007">
        <v>265292580</v>
      </c>
      <c r="AU118" s="1007">
        <v>35</v>
      </c>
      <c r="AW118" s="1008">
        <v>46092</v>
      </c>
      <c r="AX118" s="1007" t="s">
        <v>84</v>
      </c>
      <c r="AY118" s="1008">
        <v>46104</v>
      </c>
      <c r="AZ118" s="1007" t="s">
        <v>152</v>
      </c>
      <c r="BA118" s="1008">
        <v>46092</v>
      </c>
      <c r="BB118" s="1007">
        <v>2026</v>
      </c>
      <c r="BC118" s="1007">
        <v>3</v>
      </c>
      <c r="BD118" s="1007">
        <v>11</v>
      </c>
      <c r="BE118" s="1007">
        <v>37</v>
      </c>
      <c r="BF118" s="1007">
        <v>962</v>
      </c>
      <c r="BG118" s="1007" t="s">
        <v>108</v>
      </c>
      <c r="BH118" s="1007" t="s">
        <v>109</v>
      </c>
    </row>
    <row r="119" spans="1:60">
      <c r="A119" s="1007" t="s">
        <v>681</v>
      </c>
      <c r="B119" s="1007" t="s">
        <v>281</v>
      </c>
      <c r="C119" s="1007" t="s">
        <v>601</v>
      </c>
      <c r="D119" s="1007" t="s">
        <v>63</v>
      </c>
      <c r="E119" s="1007" t="s">
        <v>144</v>
      </c>
      <c r="F119" s="1007" t="s">
        <v>145</v>
      </c>
      <c r="G119" s="1007" t="s">
        <v>402</v>
      </c>
      <c r="H119" s="1007" t="s">
        <v>670</v>
      </c>
      <c r="I119" s="1007" t="s">
        <v>68</v>
      </c>
      <c r="J119" s="1007" t="s">
        <v>677</v>
      </c>
      <c r="K119" s="1007" t="s">
        <v>672</v>
      </c>
      <c r="M119" s="1007" t="s">
        <v>68</v>
      </c>
      <c r="N119" s="1007" t="s">
        <v>68</v>
      </c>
      <c r="O119" s="1007" t="s">
        <v>284</v>
      </c>
      <c r="P119" s="1007" t="s">
        <v>602</v>
      </c>
      <c r="Q119" s="1007" t="s">
        <v>603</v>
      </c>
      <c r="R119" s="1007" t="s">
        <v>73</v>
      </c>
      <c r="S119" s="1007" t="s">
        <v>120</v>
      </c>
      <c r="T119" s="1007">
        <v>465</v>
      </c>
      <c r="U119" s="1007">
        <v>1924</v>
      </c>
      <c r="V119" s="1007">
        <v>0.89500000000000002</v>
      </c>
      <c r="W119" s="1007">
        <v>52</v>
      </c>
      <c r="X119" s="1007">
        <v>2</v>
      </c>
      <c r="Y119" s="1007" t="s">
        <v>75</v>
      </c>
      <c r="Z119" s="1007" t="s">
        <v>75</v>
      </c>
      <c r="AB119" s="1008">
        <v>46048</v>
      </c>
      <c r="AC119" s="1007">
        <v>5</v>
      </c>
      <c r="AD119" s="1007" t="s">
        <v>682</v>
      </c>
      <c r="AF119" s="1007" t="s">
        <v>288</v>
      </c>
      <c r="AG119" s="1007" t="s">
        <v>289</v>
      </c>
      <c r="AH119" s="1007" t="s">
        <v>105</v>
      </c>
      <c r="AI119" s="1008">
        <v>46053</v>
      </c>
      <c r="AJ119" s="1008">
        <v>46054</v>
      </c>
      <c r="AK119" s="1008">
        <v>46054</v>
      </c>
      <c r="AL119" s="1008">
        <v>46087</v>
      </c>
      <c r="AM119" s="1008">
        <v>46113</v>
      </c>
      <c r="AN119" s="1008">
        <v>46114</v>
      </c>
      <c r="AO119" s="1007" t="s">
        <v>402</v>
      </c>
      <c r="AP119" s="1007" t="s">
        <v>683</v>
      </c>
      <c r="AQ119" s="1007" t="s">
        <v>161</v>
      </c>
      <c r="AR119" s="1007" t="s">
        <v>684</v>
      </c>
      <c r="AS119" s="1007" t="s">
        <v>685</v>
      </c>
      <c r="AT119" s="1007" t="s">
        <v>686</v>
      </c>
      <c r="AU119" s="1007">
        <v>60</v>
      </c>
      <c r="AW119" s="1008">
        <v>46114</v>
      </c>
      <c r="AX119" s="1007" t="s">
        <v>84</v>
      </c>
      <c r="AY119" s="1008">
        <v>46101</v>
      </c>
      <c r="AZ119" s="1007" t="s">
        <v>152</v>
      </c>
      <c r="BA119" s="1008">
        <v>46114</v>
      </c>
      <c r="BB119" s="1007">
        <v>2026</v>
      </c>
      <c r="BC119" s="1007">
        <v>4</v>
      </c>
      <c r="BD119" s="1007">
        <v>14</v>
      </c>
      <c r="BE119" s="1007">
        <v>37</v>
      </c>
      <c r="BF119" s="1007">
        <v>962</v>
      </c>
      <c r="BG119" s="1007" t="s">
        <v>108</v>
      </c>
      <c r="BH119" s="1007" t="s">
        <v>109</v>
      </c>
    </row>
    <row r="120" spans="1:60">
      <c r="A120" s="1007" t="s">
        <v>687</v>
      </c>
      <c r="B120" s="1007" t="s">
        <v>77</v>
      </c>
      <c r="C120" s="1007" t="s">
        <v>688</v>
      </c>
      <c r="D120" s="1007" t="s">
        <v>63</v>
      </c>
      <c r="E120" s="1007" t="s">
        <v>64</v>
      </c>
      <c r="F120" s="1007" t="s">
        <v>65</v>
      </c>
      <c r="G120" s="1007" t="s">
        <v>66</v>
      </c>
      <c r="H120" s="1007" t="s">
        <v>67</v>
      </c>
      <c r="I120" s="1007" t="s">
        <v>689</v>
      </c>
      <c r="J120" s="1007" t="s">
        <v>690</v>
      </c>
      <c r="M120" s="1007" t="s">
        <v>68</v>
      </c>
      <c r="N120" s="1007" t="s">
        <v>68</v>
      </c>
      <c r="O120" s="1007" t="s">
        <v>70</v>
      </c>
      <c r="P120" s="1007" t="s">
        <v>691</v>
      </c>
      <c r="Q120" s="1007" t="s">
        <v>692</v>
      </c>
      <c r="R120" s="1007" t="s">
        <v>73</v>
      </c>
      <c r="S120" s="1007" t="s">
        <v>74</v>
      </c>
      <c r="T120" s="1007">
        <v>505</v>
      </c>
      <c r="U120" s="1007">
        <v>1728</v>
      </c>
      <c r="V120" s="1007">
        <v>0.873</v>
      </c>
      <c r="W120" s="1007">
        <v>48</v>
      </c>
      <c r="X120" s="1007">
        <v>2</v>
      </c>
      <c r="Y120" s="1007" t="s">
        <v>75</v>
      </c>
      <c r="Z120" s="1007" t="s">
        <v>75</v>
      </c>
      <c r="AA120" s="1007" t="s">
        <v>197</v>
      </c>
      <c r="AB120" s="1008">
        <v>46050</v>
      </c>
      <c r="AC120" s="1007">
        <v>5</v>
      </c>
      <c r="AD120" s="1007" t="s">
        <v>693</v>
      </c>
      <c r="AE120" s="1007" t="s">
        <v>197</v>
      </c>
      <c r="AF120" s="1007" t="s">
        <v>77</v>
      </c>
      <c r="AG120" s="1007" t="s">
        <v>61</v>
      </c>
      <c r="AH120" s="1007" t="s">
        <v>356</v>
      </c>
      <c r="AI120" s="1008">
        <v>46057</v>
      </c>
      <c r="AJ120" s="1008">
        <v>46058</v>
      </c>
      <c r="AK120" s="1008">
        <v>46058</v>
      </c>
      <c r="AL120" s="1008">
        <v>46112</v>
      </c>
      <c r="AM120" s="1008">
        <v>46132</v>
      </c>
      <c r="AN120" s="1008">
        <v>46132</v>
      </c>
      <c r="AO120" s="1007" t="s">
        <v>66</v>
      </c>
      <c r="AP120" s="1007" t="s">
        <v>694</v>
      </c>
      <c r="AQ120" s="1007" t="s">
        <v>80</v>
      </c>
      <c r="AR120" s="1007" t="s">
        <v>695</v>
      </c>
      <c r="AS120" s="1007" t="s">
        <v>696</v>
      </c>
      <c r="AT120" s="1007" t="s">
        <v>696</v>
      </c>
      <c r="AU120" s="1007">
        <v>74</v>
      </c>
      <c r="AW120" s="1008">
        <v>46132</v>
      </c>
      <c r="AX120" s="1007" t="s">
        <v>84</v>
      </c>
      <c r="AY120" s="1008">
        <v>46146</v>
      </c>
      <c r="AZ120" s="1007">
        <v>8</v>
      </c>
      <c r="BA120" s="1008">
        <v>46140</v>
      </c>
      <c r="BB120" s="1007">
        <v>2026</v>
      </c>
      <c r="BC120" s="1007">
        <v>4</v>
      </c>
      <c r="BD120" s="1007">
        <v>18</v>
      </c>
      <c r="BE120" s="1007">
        <v>36</v>
      </c>
      <c r="BF120" s="1007">
        <v>864</v>
      </c>
      <c r="BG120" s="1007" t="s">
        <v>85</v>
      </c>
      <c r="BH120" s="1007" t="s">
        <v>109</v>
      </c>
    </row>
    <row r="121" spans="1:60">
      <c r="A121" s="1007" t="s">
        <v>697</v>
      </c>
      <c r="B121" s="1007" t="s">
        <v>77</v>
      </c>
      <c r="C121" s="1007" t="s">
        <v>688</v>
      </c>
      <c r="D121" s="1007" t="s">
        <v>63</v>
      </c>
      <c r="E121" s="1007" t="s">
        <v>64</v>
      </c>
      <c r="F121" s="1007" t="s">
        <v>65</v>
      </c>
      <c r="G121" s="1007" t="s">
        <v>66</v>
      </c>
      <c r="H121" s="1007" t="s">
        <v>67</v>
      </c>
      <c r="I121" s="1007" t="s">
        <v>68</v>
      </c>
      <c r="J121" s="1007" t="s">
        <v>690</v>
      </c>
      <c r="M121" s="1007" t="s">
        <v>68</v>
      </c>
      <c r="N121" s="1007" t="s">
        <v>68</v>
      </c>
      <c r="O121" s="1007" t="s">
        <v>70</v>
      </c>
      <c r="P121" s="1007" t="s">
        <v>691</v>
      </c>
      <c r="Q121" s="1007" t="s">
        <v>692</v>
      </c>
      <c r="R121" s="1007" t="s">
        <v>73</v>
      </c>
      <c r="S121" s="1007" t="s">
        <v>74</v>
      </c>
      <c r="T121" s="1007">
        <v>505</v>
      </c>
      <c r="U121" s="1007">
        <v>1728</v>
      </c>
      <c r="V121" s="1007">
        <v>0.873</v>
      </c>
      <c r="W121" s="1007">
        <v>48</v>
      </c>
      <c r="X121" s="1007">
        <v>2</v>
      </c>
      <c r="Y121" s="1007" t="s">
        <v>75</v>
      </c>
      <c r="Z121" s="1007" t="s">
        <v>75</v>
      </c>
      <c r="AA121" s="1007" t="s">
        <v>197</v>
      </c>
      <c r="AB121" s="1008">
        <v>46050</v>
      </c>
      <c r="AC121" s="1007">
        <v>5</v>
      </c>
      <c r="AD121" s="1007" t="s">
        <v>698</v>
      </c>
      <c r="AE121" s="1007" t="s">
        <v>197</v>
      </c>
      <c r="AF121" s="1007" t="s">
        <v>77</v>
      </c>
      <c r="AG121" s="1007" t="s">
        <v>61</v>
      </c>
      <c r="AH121" s="1007" t="s">
        <v>356</v>
      </c>
      <c r="AI121" s="1008">
        <v>46057</v>
      </c>
      <c r="AJ121" s="1008">
        <v>46058</v>
      </c>
      <c r="AK121" s="1008">
        <v>46058</v>
      </c>
      <c r="AL121" s="1008">
        <v>46112</v>
      </c>
      <c r="AM121" s="1008">
        <v>46132</v>
      </c>
      <c r="AN121" s="1008">
        <v>46132</v>
      </c>
      <c r="AO121" s="1007" t="s">
        <v>66</v>
      </c>
      <c r="AP121" s="1007" t="s">
        <v>694</v>
      </c>
      <c r="AQ121" s="1007" t="s">
        <v>80</v>
      </c>
      <c r="AR121" s="1007" t="s">
        <v>695</v>
      </c>
      <c r="AS121" s="1007" t="s">
        <v>696</v>
      </c>
      <c r="AT121" s="1007" t="s">
        <v>696</v>
      </c>
      <c r="AU121" s="1007">
        <v>74</v>
      </c>
      <c r="AW121" s="1008">
        <v>46132</v>
      </c>
      <c r="AX121" s="1007" t="s">
        <v>84</v>
      </c>
      <c r="AY121" s="1008">
        <v>46146</v>
      </c>
      <c r="AZ121" s="1007">
        <v>8</v>
      </c>
      <c r="BA121" s="1008">
        <v>46140</v>
      </c>
      <c r="BB121" s="1007">
        <v>2026</v>
      </c>
      <c r="BC121" s="1007">
        <v>4</v>
      </c>
      <c r="BD121" s="1007">
        <v>18</v>
      </c>
      <c r="BE121" s="1007">
        <v>36</v>
      </c>
      <c r="BF121" s="1007">
        <v>864</v>
      </c>
      <c r="BG121" s="1007" t="s">
        <v>85</v>
      </c>
      <c r="BH121" s="1007" t="s">
        <v>109</v>
      </c>
    </row>
    <row r="122" spans="1:60">
      <c r="A122" s="1007" t="s">
        <v>699</v>
      </c>
      <c r="B122" s="1007" t="s">
        <v>61</v>
      </c>
      <c r="C122" s="1007" t="s">
        <v>326</v>
      </c>
      <c r="D122" s="1007" t="s">
        <v>113</v>
      </c>
      <c r="E122" s="1007" t="s">
        <v>64</v>
      </c>
      <c r="F122" s="1007" t="s">
        <v>100</v>
      </c>
      <c r="G122" s="1007" t="s">
        <v>66</v>
      </c>
      <c r="H122" s="1007" t="s">
        <v>67</v>
      </c>
      <c r="I122" s="1007" t="s">
        <v>68</v>
      </c>
      <c r="J122" s="1007" t="s">
        <v>327</v>
      </c>
      <c r="K122" s="1007" t="s">
        <v>328</v>
      </c>
      <c r="M122" s="1007" t="s">
        <v>68</v>
      </c>
      <c r="N122" s="1007" t="s">
        <v>68</v>
      </c>
      <c r="O122" s="1007" t="s">
        <v>70</v>
      </c>
      <c r="P122" s="1007" t="s">
        <v>329</v>
      </c>
      <c r="Q122" s="1007" t="s">
        <v>330</v>
      </c>
      <c r="R122" s="1007" t="s">
        <v>331</v>
      </c>
      <c r="S122" s="1007" t="s">
        <v>120</v>
      </c>
      <c r="T122" s="1007">
        <v>625</v>
      </c>
      <c r="U122" s="1007">
        <v>2880</v>
      </c>
      <c r="V122" s="1007">
        <v>1.8</v>
      </c>
      <c r="W122" s="1007">
        <v>80</v>
      </c>
      <c r="X122" s="1007">
        <v>4</v>
      </c>
      <c r="Y122" s="1007" t="s">
        <v>75</v>
      </c>
      <c r="Z122" s="1007" t="s">
        <v>75</v>
      </c>
      <c r="AA122" s="1007" t="s">
        <v>197</v>
      </c>
      <c r="AB122" s="1008">
        <v>46048</v>
      </c>
      <c r="AC122" s="1007">
        <v>5</v>
      </c>
      <c r="AD122" s="1007" t="s">
        <v>700</v>
      </c>
      <c r="AE122" s="1007" t="s">
        <v>197</v>
      </c>
      <c r="AF122" s="1007" t="s">
        <v>77</v>
      </c>
      <c r="AG122" s="1007" t="s">
        <v>61</v>
      </c>
      <c r="AH122" s="1007" t="s">
        <v>105</v>
      </c>
      <c r="AI122" s="1008">
        <v>46054</v>
      </c>
      <c r="AJ122" s="1008">
        <v>46054</v>
      </c>
      <c r="AK122" s="1008">
        <v>46055</v>
      </c>
      <c r="AL122" s="1008">
        <v>46094</v>
      </c>
      <c r="AM122" s="1008">
        <v>46116</v>
      </c>
      <c r="AN122" s="1008">
        <v>46118</v>
      </c>
      <c r="AO122" s="1007" t="s">
        <v>66</v>
      </c>
      <c r="AP122" s="1007" t="s">
        <v>701</v>
      </c>
      <c r="AQ122" s="1007" t="s">
        <v>161</v>
      </c>
      <c r="AR122" s="1007" t="s">
        <v>702</v>
      </c>
      <c r="AS122" s="1007" t="s">
        <v>703</v>
      </c>
      <c r="AT122" s="1007" t="s">
        <v>703</v>
      </c>
      <c r="AU122" s="1007">
        <v>63</v>
      </c>
      <c r="AW122" s="1008">
        <v>46118</v>
      </c>
      <c r="AX122" s="1007" t="s">
        <v>84</v>
      </c>
      <c r="AY122" s="1008">
        <v>46129</v>
      </c>
      <c r="AZ122" s="1007">
        <v>7</v>
      </c>
      <c r="BA122" s="1008">
        <v>46125</v>
      </c>
      <c r="BB122" s="1007">
        <v>2026</v>
      </c>
      <c r="BC122" s="1007">
        <v>4</v>
      </c>
      <c r="BD122" s="1007">
        <v>16</v>
      </c>
      <c r="BE122" s="1007">
        <v>36</v>
      </c>
      <c r="BF122" s="1007">
        <v>720</v>
      </c>
      <c r="BG122" s="1007" t="s">
        <v>128</v>
      </c>
      <c r="BH122" s="1007" t="s">
        <v>109</v>
      </c>
    </row>
    <row r="123" spans="1:60">
      <c r="A123" s="1007" t="s">
        <v>704</v>
      </c>
      <c r="B123" s="1007" t="s">
        <v>77</v>
      </c>
      <c r="C123" s="1007" t="s">
        <v>705</v>
      </c>
      <c r="D123" s="1007" t="s">
        <v>63</v>
      </c>
      <c r="E123" s="1007" t="s">
        <v>64</v>
      </c>
      <c r="F123" s="1007" t="s">
        <v>65</v>
      </c>
      <c r="G123" s="1007" t="s">
        <v>66</v>
      </c>
      <c r="H123" s="1007" t="s">
        <v>67</v>
      </c>
      <c r="I123" s="1007" t="s">
        <v>68</v>
      </c>
      <c r="J123" s="1007" t="s">
        <v>690</v>
      </c>
      <c r="M123" s="1007" t="s">
        <v>68</v>
      </c>
      <c r="N123" s="1007" t="s">
        <v>68</v>
      </c>
      <c r="O123" s="1007" t="s">
        <v>70</v>
      </c>
      <c r="P123" s="1007" t="s">
        <v>706</v>
      </c>
      <c r="Q123" s="1007" t="s">
        <v>707</v>
      </c>
      <c r="R123" s="1007" t="s">
        <v>73</v>
      </c>
      <c r="S123" s="1007" t="s">
        <v>74</v>
      </c>
      <c r="T123" s="1007">
        <v>500</v>
      </c>
      <c r="U123" s="1007">
        <v>1728</v>
      </c>
      <c r="V123" s="1007">
        <v>0.86399999999999999</v>
      </c>
      <c r="W123" s="1007">
        <v>48</v>
      </c>
      <c r="X123" s="1007">
        <v>2</v>
      </c>
      <c r="Y123" s="1007" t="s">
        <v>75</v>
      </c>
      <c r="Z123" s="1007" t="s">
        <v>75</v>
      </c>
      <c r="AA123" s="1007" t="s">
        <v>197</v>
      </c>
      <c r="AB123" s="1008">
        <v>46050</v>
      </c>
      <c r="AC123" s="1007">
        <v>5</v>
      </c>
      <c r="AD123" s="1007" t="s">
        <v>708</v>
      </c>
      <c r="AE123" s="1007" t="s">
        <v>197</v>
      </c>
      <c r="AF123" s="1007" t="s">
        <v>77</v>
      </c>
      <c r="AG123" s="1007" t="s">
        <v>61</v>
      </c>
      <c r="AH123" s="1007" t="s">
        <v>78</v>
      </c>
      <c r="AI123" s="1008">
        <v>46057</v>
      </c>
      <c r="AJ123" s="1008">
        <v>46058</v>
      </c>
      <c r="AK123" s="1008">
        <v>46058</v>
      </c>
      <c r="AL123" s="1008">
        <v>46119</v>
      </c>
      <c r="AM123" s="1008">
        <v>46125</v>
      </c>
      <c r="AN123" s="1008">
        <v>46125</v>
      </c>
      <c r="AO123" s="1007" t="s">
        <v>66</v>
      </c>
      <c r="AP123" s="1007" t="s">
        <v>694</v>
      </c>
      <c r="AQ123" s="1007" t="s">
        <v>80</v>
      </c>
      <c r="AR123" s="1007" t="s">
        <v>709</v>
      </c>
      <c r="AS123" s="1007" t="s">
        <v>710</v>
      </c>
      <c r="AT123" s="1007" t="s">
        <v>710</v>
      </c>
      <c r="AU123" s="1007">
        <v>67</v>
      </c>
      <c r="AW123" s="1008">
        <v>46125</v>
      </c>
      <c r="AX123" s="1007" t="s">
        <v>84</v>
      </c>
      <c r="AY123" s="1008">
        <v>46139</v>
      </c>
      <c r="AZ123" s="1007">
        <v>8</v>
      </c>
      <c r="BA123" s="1008">
        <v>46133</v>
      </c>
      <c r="BB123" s="1007">
        <v>2026</v>
      </c>
      <c r="BC123" s="1007">
        <v>4</v>
      </c>
      <c r="BD123" s="1007">
        <v>17</v>
      </c>
      <c r="BE123" s="1007">
        <v>36</v>
      </c>
      <c r="BF123" s="1007">
        <v>864</v>
      </c>
      <c r="BG123" s="1007" t="s">
        <v>85</v>
      </c>
      <c r="BH123" s="1007" t="s">
        <v>86</v>
      </c>
    </row>
    <row r="124" spans="1:60">
      <c r="A124" s="1007" t="s">
        <v>711</v>
      </c>
      <c r="B124" s="1007" t="s">
        <v>61</v>
      </c>
      <c r="C124" s="1007" t="s">
        <v>203</v>
      </c>
      <c r="D124" s="1007" t="s">
        <v>113</v>
      </c>
      <c r="E124" s="1007" t="s">
        <v>64</v>
      </c>
      <c r="F124" s="1007" t="s">
        <v>65</v>
      </c>
      <c r="G124" s="1007" t="s">
        <v>66</v>
      </c>
      <c r="H124" s="1007" t="s">
        <v>67</v>
      </c>
      <c r="I124" s="1007" t="s">
        <v>68</v>
      </c>
      <c r="J124" s="1007" t="s">
        <v>712</v>
      </c>
      <c r="K124" s="1007" t="s">
        <v>328</v>
      </c>
      <c r="M124" s="1007" t="s">
        <v>68</v>
      </c>
      <c r="N124" s="1007">
        <v>46045</v>
      </c>
      <c r="O124" s="1007" t="s">
        <v>713</v>
      </c>
      <c r="P124" s="1007" t="s">
        <v>714</v>
      </c>
      <c r="Q124" s="1007" t="s">
        <v>715</v>
      </c>
      <c r="R124" s="1007" t="s">
        <v>73</v>
      </c>
      <c r="S124" s="1007" t="s">
        <v>716</v>
      </c>
      <c r="T124" s="1007">
        <v>625</v>
      </c>
      <c r="U124" s="1007">
        <v>108</v>
      </c>
      <c r="V124" s="1007">
        <v>6.8000000000000005E-2</v>
      </c>
      <c r="W124" s="1007">
        <v>3</v>
      </c>
      <c r="X124" s="1007">
        <v>0.2</v>
      </c>
      <c r="Y124" s="1007" t="s">
        <v>75</v>
      </c>
      <c r="Z124" s="1007" t="s">
        <v>75</v>
      </c>
      <c r="AA124" s="1007" t="s">
        <v>197</v>
      </c>
      <c r="AB124" s="1008">
        <v>46051</v>
      </c>
      <c r="AC124" s="1007">
        <v>5</v>
      </c>
      <c r="AD124" s="1007" t="s">
        <v>717</v>
      </c>
      <c r="AE124" s="1007" t="s">
        <v>197</v>
      </c>
      <c r="AF124" s="1007" t="s">
        <v>77</v>
      </c>
      <c r="AG124" s="1007" t="s">
        <v>61</v>
      </c>
      <c r="AH124" s="1007" t="s">
        <v>78</v>
      </c>
      <c r="AI124" s="1008">
        <v>46057</v>
      </c>
      <c r="AJ124" s="1008">
        <v>46058</v>
      </c>
      <c r="AK124" s="1008">
        <v>46058</v>
      </c>
      <c r="AL124" s="1008">
        <v>46125</v>
      </c>
      <c r="AM124" s="1008">
        <v>46136</v>
      </c>
      <c r="AN124" s="1008">
        <v>46137</v>
      </c>
      <c r="AO124" s="1007" t="s">
        <v>66</v>
      </c>
      <c r="AP124" s="1007" t="s">
        <v>694</v>
      </c>
      <c r="AQ124" s="1007" t="s">
        <v>80</v>
      </c>
      <c r="AR124" s="1007" t="s">
        <v>718</v>
      </c>
      <c r="AS124" s="1007" t="s">
        <v>719</v>
      </c>
      <c r="AT124" s="1007" t="s">
        <v>719</v>
      </c>
      <c r="AU124" s="1007">
        <v>79</v>
      </c>
      <c r="AW124" s="1008">
        <v>46137</v>
      </c>
      <c r="AX124" s="1007" t="s">
        <v>84</v>
      </c>
      <c r="AY124" s="1008">
        <v>46150</v>
      </c>
      <c r="AZ124" s="1007">
        <v>8</v>
      </c>
      <c r="BA124" s="1008">
        <v>46145</v>
      </c>
      <c r="BB124" s="1007">
        <v>2026</v>
      </c>
      <c r="BC124" s="1007">
        <v>5</v>
      </c>
      <c r="BD124" s="1007">
        <v>18</v>
      </c>
      <c r="BE124" s="1007">
        <v>36</v>
      </c>
      <c r="BF124" s="1007">
        <v>576</v>
      </c>
      <c r="BG124" s="1007" t="s">
        <v>108</v>
      </c>
      <c r="BH124" s="1007" t="s">
        <v>86</v>
      </c>
    </row>
    <row r="125" spans="1:60">
      <c r="A125" s="1007" t="s">
        <v>720</v>
      </c>
      <c r="B125" s="1007" t="s">
        <v>77</v>
      </c>
      <c r="C125" s="1007" t="s">
        <v>688</v>
      </c>
      <c r="D125" s="1007" t="s">
        <v>63</v>
      </c>
      <c r="E125" s="1007" t="s">
        <v>64</v>
      </c>
      <c r="F125" s="1007" t="s">
        <v>65</v>
      </c>
      <c r="G125" s="1007" t="s">
        <v>66</v>
      </c>
      <c r="H125" s="1007" t="s">
        <v>67</v>
      </c>
      <c r="I125" s="1007" t="s">
        <v>68</v>
      </c>
      <c r="J125" s="1007" t="s">
        <v>690</v>
      </c>
      <c r="M125" s="1007" t="s">
        <v>68</v>
      </c>
      <c r="N125" s="1007" t="s">
        <v>68</v>
      </c>
      <c r="O125" s="1007" t="s">
        <v>70</v>
      </c>
      <c r="P125" s="1007" t="s">
        <v>691</v>
      </c>
      <c r="Q125" s="1007" t="s">
        <v>692</v>
      </c>
      <c r="R125" s="1007" t="s">
        <v>73</v>
      </c>
      <c r="S125" s="1007" t="s">
        <v>74</v>
      </c>
      <c r="T125" s="1007">
        <v>505</v>
      </c>
      <c r="U125" s="1007">
        <v>684</v>
      </c>
      <c r="V125" s="1007">
        <v>0.34499999999999997</v>
      </c>
      <c r="W125" s="1007">
        <v>19</v>
      </c>
      <c r="X125" s="1007">
        <v>0.8</v>
      </c>
      <c r="Y125" s="1007" t="s">
        <v>75</v>
      </c>
      <c r="Z125" s="1007" t="s">
        <v>75</v>
      </c>
      <c r="AA125" s="1007" t="s">
        <v>197</v>
      </c>
      <c r="AB125" s="1008">
        <v>46051</v>
      </c>
      <c r="AC125" s="1007">
        <v>5</v>
      </c>
      <c r="AD125" s="1007" t="s">
        <v>721</v>
      </c>
      <c r="AE125" s="1007" t="s">
        <v>197</v>
      </c>
      <c r="AF125" s="1007" t="s">
        <v>77</v>
      </c>
      <c r="AG125" s="1007" t="s">
        <v>61</v>
      </c>
      <c r="AH125" s="1007" t="s">
        <v>78</v>
      </c>
      <c r="AI125" s="1008">
        <v>46057</v>
      </c>
      <c r="AJ125" s="1008">
        <v>46058</v>
      </c>
      <c r="AK125" s="1008">
        <v>46058</v>
      </c>
      <c r="AL125" s="1008">
        <v>46125</v>
      </c>
      <c r="AM125" s="1008">
        <v>46136</v>
      </c>
      <c r="AN125" s="1008">
        <v>46137</v>
      </c>
      <c r="AO125" s="1007" t="s">
        <v>66</v>
      </c>
      <c r="AP125" s="1007" t="s">
        <v>694</v>
      </c>
      <c r="AQ125" s="1007" t="s">
        <v>80</v>
      </c>
      <c r="AR125" s="1007" t="s">
        <v>718</v>
      </c>
      <c r="AS125" s="1007" t="s">
        <v>719</v>
      </c>
      <c r="AT125" s="1007" t="s">
        <v>719</v>
      </c>
      <c r="AU125" s="1007">
        <v>79</v>
      </c>
      <c r="AW125" s="1008">
        <v>46137</v>
      </c>
      <c r="AX125" s="1007" t="s">
        <v>84</v>
      </c>
      <c r="AY125" s="1008">
        <v>46150</v>
      </c>
      <c r="AZ125" s="1007">
        <v>8</v>
      </c>
      <c r="BA125" s="1008">
        <v>46145</v>
      </c>
      <c r="BB125" s="1007">
        <v>2026</v>
      </c>
      <c r="BC125" s="1007">
        <v>5</v>
      </c>
      <c r="BD125" s="1007">
        <v>18</v>
      </c>
      <c r="BE125" s="1007">
        <v>36</v>
      </c>
      <c r="BF125" s="1007">
        <v>864</v>
      </c>
      <c r="BG125" s="1007" t="s">
        <v>85</v>
      </c>
      <c r="BH125" s="1007" t="s">
        <v>86</v>
      </c>
    </row>
    <row r="126" spans="1:60">
      <c r="A126" s="1007" t="s">
        <v>88</v>
      </c>
      <c r="B126" s="1007" t="s">
        <v>61</v>
      </c>
      <c r="C126" s="1007" t="s">
        <v>203</v>
      </c>
      <c r="D126" s="1007" t="s">
        <v>63</v>
      </c>
      <c r="E126" s="1007" t="s">
        <v>64</v>
      </c>
      <c r="F126" s="1007" t="s">
        <v>65</v>
      </c>
      <c r="G126" s="1007" t="s">
        <v>66</v>
      </c>
      <c r="H126" s="1007" t="s">
        <v>67</v>
      </c>
      <c r="I126" s="1007" t="s">
        <v>68</v>
      </c>
      <c r="J126" s="1007" t="s">
        <v>690</v>
      </c>
      <c r="M126" s="1007" t="s">
        <v>68</v>
      </c>
      <c r="N126" s="1007" t="s">
        <v>68</v>
      </c>
      <c r="O126" s="1007" t="s">
        <v>70</v>
      </c>
      <c r="P126" s="1007" t="s">
        <v>91</v>
      </c>
      <c r="Q126" s="1007" t="s">
        <v>92</v>
      </c>
      <c r="R126" s="1007" t="s">
        <v>73</v>
      </c>
      <c r="S126" s="1007" t="s">
        <v>74</v>
      </c>
      <c r="T126" s="1007">
        <v>450</v>
      </c>
      <c r="U126" s="1007">
        <v>936</v>
      </c>
      <c r="V126" s="1007">
        <v>0.42099999999999999</v>
      </c>
      <c r="W126" s="1007">
        <v>26</v>
      </c>
      <c r="X126" s="1007">
        <v>1</v>
      </c>
      <c r="Y126" s="1007" t="s">
        <v>75</v>
      </c>
      <c r="Z126" s="1007" t="s">
        <v>75</v>
      </c>
      <c r="AA126" s="1007" t="s">
        <v>197</v>
      </c>
      <c r="AB126" s="1008">
        <v>46051</v>
      </c>
      <c r="AC126" s="1007">
        <v>5</v>
      </c>
      <c r="AD126" s="1007" t="s">
        <v>722</v>
      </c>
      <c r="AE126" s="1007" t="s">
        <v>197</v>
      </c>
      <c r="AF126" s="1007" t="s">
        <v>77</v>
      </c>
      <c r="AG126" s="1007" t="s">
        <v>61</v>
      </c>
      <c r="AH126" s="1007" t="s">
        <v>78</v>
      </c>
      <c r="AI126" s="1008">
        <v>46057</v>
      </c>
      <c r="AJ126" s="1008">
        <v>46058</v>
      </c>
      <c r="AK126" s="1008">
        <v>46058</v>
      </c>
      <c r="AL126" s="1008">
        <v>46125</v>
      </c>
      <c r="AM126" s="1008">
        <v>46136</v>
      </c>
      <c r="AN126" s="1008">
        <v>46137</v>
      </c>
      <c r="AO126" s="1007" t="s">
        <v>66</v>
      </c>
      <c r="AP126" s="1007" t="s">
        <v>694</v>
      </c>
      <c r="AQ126" s="1007" t="s">
        <v>80</v>
      </c>
      <c r="AR126" s="1007" t="s">
        <v>718</v>
      </c>
      <c r="AS126" s="1007" t="s">
        <v>719</v>
      </c>
      <c r="AT126" s="1007" t="s">
        <v>719</v>
      </c>
      <c r="AU126" s="1007">
        <v>79</v>
      </c>
      <c r="AW126" s="1008">
        <v>46137</v>
      </c>
      <c r="AX126" s="1007" t="s">
        <v>84</v>
      </c>
      <c r="AY126" s="1008">
        <v>46150</v>
      </c>
      <c r="AZ126" s="1007">
        <v>8</v>
      </c>
      <c r="BA126" s="1008">
        <v>46145</v>
      </c>
      <c r="BB126" s="1007">
        <v>2026</v>
      </c>
      <c r="BC126" s="1007">
        <v>5</v>
      </c>
      <c r="BD126" s="1007">
        <v>18</v>
      </c>
      <c r="BE126" s="1007">
        <v>36</v>
      </c>
      <c r="BF126" s="1007">
        <v>936</v>
      </c>
      <c r="BG126" s="1007" t="s">
        <v>94</v>
      </c>
      <c r="BH126" s="1007" t="s">
        <v>86</v>
      </c>
    </row>
    <row r="127" spans="1:60">
      <c r="A127" s="1007" t="s">
        <v>723</v>
      </c>
      <c r="B127" s="1007" t="s">
        <v>111</v>
      </c>
      <c r="C127" s="1007" t="s">
        <v>168</v>
      </c>
      <c r="D127" s="1007" t="s">
        <v>63</v>
      </c>
      <c r="E127" s="1007" t="s">
        <v>64</v>
      </c>
      <c r="F127" s="1007" t="s">
        <v>100</v>
      </c>
      <c r="G127" s="1007" t="s">
        <v>402</v>
      </c>
      <c r="H127" s="1007" t="s">
        <v>67</v>
      </c>
      <c r="I127" s="1007" t="s">
        <v>68</v>
      </c>
      <c r="J127" s="1007" t="s">
        <v>483</v>
      </c>
      <c r="M127" s="1007" t="s">
        <v>68</v>
      </c>
      <c r="N127" s="1007" t="s">
        <v>68</v>
      </c>
      <c r="O127" s="1007" t="s">
        <v>170</v>
      </c>
      <c r="P127" s="1007" t="s">
        <v>171</v>
      </c>
      <c r="Q127" s="1007" t="s">
        <v>172</v>
      </c>
      <c r="R127" s="1007" t="s">
        <v>73</v>
      </c>
      <c r="S127" s="1007" t="s">
        <v>120</v>
      </c>
      <c r="T127" s="1007">
        <v>555</v>
      </c>
      <c r="U127" s="1007">
        <v>1980</v>
      </c>
      <c r="V127" s="1007">
        <v>1.099</v>
      </c>
      <c r="W127" s="1007">
        <v>60</v>
      </c>
      <c r="X127" s="1007">
        <v>3</v>
      </c>
      <c r="Y127" s="1007" t="s">
        <v>75</v>
      </c>
      <c r="Z127" s="1007" t="s">
        <v>75</v>
      </c>
      <c r="AB127" s="1008">
        <v>46056</v>
      </c>
      <c r="AC127" s="1007">
        <v>6</v>
      </c>
      <c r="AD127" s="1007" t="s">
        <v>724</v>
      </c>
      <c r="AF127" s="1007" t="s">
        <v>122</v>
      </c>
      <c r="AG127" s="1007" t="s">
        <v>123</v>
      </c>
      <c r="AH127" s="1007" t="s">
        <v>105</v>
      </c>
      <c r="AI127" s="1008">
        <v>46062</v>
      </c>
      <c r="AJ127" s="1008">
        <v>46067</v>
      </c>
      <c r="AK127" s="1008">
        <v>46068</v>
      </c>
      <c r="AL127" s="1008">
        <v>46102</v>
      </c>
      <c r="AM127" s="1008">
        <v>46111</v>
      </c>
      <c r="AN127" s="1008">
        <v>46113</v>
      </c>
      <c r="AO127" s="1007" t="s">
        <v>402</v>
      </c>
      <c r="AP127" s="1007" t="s">
        <v>623</v>
      </c>
      <c r="AQ127" s="1007" t="s">
        <v>161</v>
      </c>
      <c r="AR127" s="1007" t="s">
        <v>725</v>
      </c>
      <c r="AS127" s="1007" t="s">
        <v>726</v>
      </c>
      <c r="AT127" s="1007" t="s">
        <v>726</v>
      </c>
      <c r="AU127" s="1007">
        <v>45</v>
      </c>
      <c r="AW127" s="1008">
        <v>46113</v>
      </c>
      <c r="AX127" s="1007" t="s">
        <v>84</v>
      </c>
      <c r="AY127" s="1008">
        <v>46125</v>
      </c>
      <c r="AZ127" s="1007">
        <v>7</v>
      </c>
      <c r="BA127" s="1008">
        <v>46120</v>
      </c>
      <c r="BB127" s="1007">
        <v>2026</v>
      </c>
      <c r="BC127" s="1007">
        <v>4</v>
      </c>
      <c r="BD127" s="1007">
        <v>15</v>
      </c>
      <c r="BE127" s="1007">
        <v>33</v>
      </c>
      <c r="BF127" s="1007">
        <v>660</v>
      </c>
      <c r="BG127" s="1007" t="s">
        <v>108</v>
      </c>
      <c r="BH127" s="1007" t="s">
        <v>109</v>
      </c>
    </row>
    <row r="128" spans="1:60">
      <c r="A128" s="1007" t="s">
        <v>727</v>
      </c>
      <c r="B128" s="1007" t="s">
        <v>111</v>
      </c>
      <c r="C128" s="1007" t="s">
        <v>168</v>
      </c>
      <c r="D128" s="1007" t="s">
        <v>63</v>
      </c>
      <c r="E128" s="1007" t="s">
        <v>64</v>
      </c>
      <c r="F128" s="1007" t="s">
        <v>100</v>
      </c>
      <c r="G128" s="1007" t="s">
        <v>402</v>
      </c>
      <c r="H128" s="1007" t="s">
        <v>67</v>
      </c>
      <c r="I128" s="1007" t="s">
        <v>68</v>
      </c>
      <c r="J128" s="1007" t="s">
        <v>483</v>
      </c>
      <c r="M128" s="1007" t="s">
        <v>68</v>
      </c>
      <c r="N128" s="1007" t="s">
        <v>68</v>
      </c>
      <c r="O128" s="1007" t="s">
        <v>170</v>
      </c>
      <c r="P128" s="1007" t="s">
        <v>171</v>
      </c>
      <c r="Q128" s="1007" t="s">
        <v>172</v>
      </c>
      <c r="R128" s="1007" t="s">
        <v>73</v>
      </c>
      <c r="S128" s="1007" t="s">
        <v>120</v>
      </c>
      <c r="T128" s="1007">
        <v>555</v>
      </c>
      <c r="U128" s="1007">
        <v>3300</v>
      </c>
      <c r="V128" s="1007">
        <v>1.8320000000000001</v>
      </c>
      <c r="W128" s="1007">
        <v>100</v>
      </c>
      <c r="X128" s="1007">
        <v>5</v>
      </c>
      <c r="Y128" s="1007" t="s">
        <v>75</v>
      </c>
      <c r="Z128" s="1007" t="s">
        <v>75</v>
      </c>
      <c r="AB128" s="1008">
        <v>46056</v>
      </c>
      <c r="AC128" s="1007">
        <v>6</v>
      </c>
      <c r="AD128" s="1007" t="s">
        <v>728</v>
      </c>
      <c r="AF128" s="1007" t="s">
        <v>122</v>
      </c>
      <c r="AG128" s="1007" t="s">
        <v>123</v>
      </c>
      <c r="AH128" s="1007" t="s">
        <v>105</v>
      </c>
      <c r="AI128" s="1008">
        <v>46062</v>
      </c>
      <c r="AJ128" s="1008">
        <v>46067</v>
      </c>
      <c r="AK128" s="1008">
        <v>46068</v>
      </c>
      <c r="AL128" s="1008">
        <v>46102</v>
      </c>
      <c r="AM128" s="1008">
        <v>46111</v>
      </c>
      <c r="AN128" s="1008">
        <v>46113</v>
      </c>
      <c r="AO128" s="1007" t="s">
        <v>402</v>
      </c>
      <c r="AP128" s="1007" t="s">
        <v>623</v>
      </c>
      <c r="AQ128" s="1007" t="s">
        <v>161</v>
      </c>
      <c r="AR128" s="1007" t="s">
        <v>725</v>
      </c>
      <c r="AS128" s="1007" t="s">
        <v>726</v>
      </c>
      <c r="AT128" s="1007" t="s">
        <v>726</v>
      </c>
      <c r="AU128" s="1007">
        <v>45</v>
      </c>
      <c r="AW128" s="1008">
        <v>46113</v>
      </c>
      <c r="AX128" s="1007" t="s">
        <v>84</v>
      </c>
      <c r="AY128" s="1008">
        <v>46125</v>
      </c>
      <c r="AZ128" s="1007">
        <v>7</v>
      </c>
      <c r="BA128" s="1008">
        <v>46120</v>
      </c>
      <c r="BB128" s="1007">
        <v>2026</v>
      </c>
      <c r="BC128" s="1007">
        <v>4</v>
      </c>
      <c r="BD128" s="1007">
        <v>15</v>
      </c>
      <c r="BE128" s="1007">
        <v>33</v>
      </c>
      <c r="BF128" s="1007">
        <v>660</v>
      </c>
      <c r="BG128" s="1007" t="s">
        <v>108</v>
      </c>
      <c r="BH128" s="1007" t="s">
        <v>109</v>
      </c>
    </row>
    <row r="129" spans="1:60">
      <c r="A129" s="1007" t="s">
        <v>525</v>
      </c>
      <c r="B129" s="1007" t="s">
        <v>111</v>
      </c>
      <c r="C129" s="1007" t="s">
        <v>203</v>
      </c>
      <c r="D129" s="1007" t="s">
        <v>63</v>
      </c>
      <c r="E129" s="1007" t="s">
        <v>64</v>
      </c>
      <c r="F129" s="1007" t="s">
        <v>100</v>
      </c>
      <c r="G129" s="1007" t="s">
        <v>402</v>
      </c>
      <c r="H129" s="1007" t="s">
        <v>67</v>
      </c>
      <c r="I129" s="1007" t="s">
        <v>68</v>
      </c>
      <c r="J129" s="1007" t="s">
        <v>483</v>
      </c>
      <c r="M129" s="1007" t="s">
        <v>68</v>
      </c>
      <c r="N129" s="1007" t="s">
        <v>68</v>
      </c>
      <c r="O129" s="1007" t="s">
        <v>473</v>
      </c>
      <c r="P129" s="1007" t="s">
        <v>529</v>
      </c>
      <c r="Q129" s="1007" t="s">
        <v>530</v>
      </c>
      <c r="R129" s="1007" t="s">
        <v>73</v>
      </c>
      <c r="S129" s="1007" t="s">
        <v>74</v>
      </c>
      <c r="T129" s="1007">
        <v>455</v>
      </c>
      <c r="U129" s="1007">
        <v>1728</v>
      </c>
      <c r="V129" s="1007">
        <v>0.78600000000000003</v>
      </c>
      <c r="W129" s="1007">
        <v>48</v>
      </c>
      <c r="X129" s="1007">
        <v>2</v>
      </c>
      <c r="Y129" s="1007" t="s">
        <v>75</v>
      </c>
      <c r="Z129" s="1007" t="s">
        <v>75</v>
      </c>
      <c r="AB129" s="1008">
        <v>46056</v>
      </c>
      <c r="AC129" s="1007">
        <v>6</v>
      </c>
      <c r="AD129" s="1007" t="s">
        <v>729</v>
      </c>
      <c r="AF129" s="1007" t="s">
        <v>122</v>
      </c>
      <c r="AG129" s="1007" t="s">
        <v>123</v>
      </c>
      <c r="AH129" s="1007" t="s">
        <v>105</v>
      </c>
      <c r="AI129" s="1008">
        <v>46062</v>
      </c>
      <c r="AJ129" s="1008">
        <v>46067</v>
      </c>
      <c r="AK129" s="1008">
        <v>46068</v>
      </c>
      <c r="AL129" s="1008">
        <v>46102</v>
      </c>
      <c r="AM129" s="1008">
        <v>46111</v>
      </c>
      <c r="AN129" s="1008">
        <v>46113</v>
      </c>
      <c r="AO129" s="1007" t="s">
        <v>402</v>
      </c>
      <c r="AP129" s="1007" t="s">
        <v>623</v>
      </c>
      <c r="AQ129" s="1007" t="s">
        <v>161</v>
      </c>
      <c r="AR129" s="1007" t="s">
        <v>725</v>
      </c>
      <c r="AS129" s="1007" t="s">
        <v>726</v>
      </c>
      <c r="AT129" s="1007" t="s">
        <v>726</v>
      </c>
      <c r="AU129" s="1007">
        <v>45</v>
      </c>
      <c r="AW129" s="1008">
        <v>46113</v>
      </c>
      <c r="AX129" s="1007" t="s">
        <v>84</v>
      </c>
      <c r="AY129" s="1008">
        <v>46125</v>
      </c>
      <c r="AZ129" s="1007">
        <v>7</v>
      </c>
      <c r="BA129" s="1008">
        <v>46120</v>
      </c>
      <c r="BB129" s="1007">
        <v>2026</v>
      </c>
      <c r="BC129" s="1007">
        <v>4</v>
      </c>
      <c r="BD129" s="1007">
        <v>15</v>
      </c>
      <c r="BE129" s="1007">
        <v>36</v>
      </c>
      <c r="BF129" s="1007">
        <v>864</v>
      </c>
      <c r="BG129" s="1007" t="s">
        <v>85</v>
      </c>
      <c r="BH129" s="1007" t="s">
        <v>109</v>
      </c>
    </row>
    <row r="130" spans="1:60">
      <c r="A130" s="1007" t="s">
        <v>638</v>
      </c>
      <c r="B130" s="1007" t="s">
        <v>111</v>
      </c>
      <c r="C130" s="1007" t="s">
        <v>203</v>
      </c>
      <c r="D130" s="1007" t="s">
        <v>63</v>
      </c>
      <c r="E130" s="1007" t="s">
        <v>64</v>
      </c>
      <c r="F130" s="1007" t="s">
        <v>100</v>
      </c>
      <c r="G130" s="1007" t="s">
        <v>402</v>
      </c>
      <c r="H130" s="1007" t="s">
        <v>67</v>
      </c>
      <c r="I130" s="1007" t="s">
        <v>68</v>
      </c>
      <c r="J130" s="1007" t="s">
        <v>483</v>
      </c>
      <c r="M130" s="1007" t="s">
        <v>68</v>
      </c>
      <c r="N130" s="1007" t="s">
        <v>68</v>
      </c>
      <c r="O130" s="1007" t="s">
        <v>473</v>
      </c>
      <c r="P130" s="1007" t="s">
        <v>474</v>
      </c>
      <c r="Q130" s="1007" t="s">
        <v>475</v>
      </c>
      <c r="R130" s="1007" t="s">
        <v>73</v>
      </c>
      <c r="S130" s="1007" t="s">
        <v>74</v>
      </c>
      <c r="T130" s="1007">
        <v>460</v>
      </c>
      <c r="U130" s="1007">
        <v>864</v>
      </c>
      <c r="V130" s="1007">
        <v>0.39700000000000002</v>
      </c>
      <c r="W130" s="1007">
        <v>24</v>
      </c>
      <c r="X130" s="1007">
        <v>1</v>
      </c>
      <c r="Y130" s="1007" t="s">
        <v>75</v>
      </c>
      <c r="Z130" s="1007" t="s">
        <v>75</v>
      </c>
      <c r="AB130" s="1008">
        <v>46057</v>
      </c>
      <c r="AC130" s="1007">
        <v>6</v>
      </c>
      <c r="AD130" s="1007" t="s">
        <v>730</v>
      </c>
      <c r="AF130" s="1007" t="s">
        <v>122</v>
      </c>
      <c r="AG130" s="1007" t="s">
        <v>123</v>
      </c>
      <c r="AH130" s="1007" t="s">
        <v>105</v>
      </c>
      <c r="AI130" s="1008">
        <v>46062</v>
      </c>
      <c r="AJ130" s="1008">
        <v>46067</v>
      </c>
      <c r="AK130" s="1008">
        <v>46069</v>
      </c>
      <c r="AL130" s="1008">
        <v>46099</v>
      </c>
      <c r="AM130" s="1008">
        <v>46126</v>
      </c>
      <c r="AN130" s="1008">
        <v>46127</v>
      </c>
      <c r="AO130" s="1007" t="s">
        <v>402</v>
      </c>
      <c r="AP130" s="1007" t="s">
        <v>731</v>
      </c>
      <c r="AQ130" s="1007" t="s">
        <v>80</v>
      </c>
      <c r="AR130" s="1007" t="s">
        <v>732</v>
      </c>
      <c r="AS130" s="1007" t="s">
        <v>733</v>
      </c>
      <c r="AT130" s="1007" t="s">
        <v>733</v>
      </c>
      <c r="AU130" s="1007">
        <v>58</v>
      </c>
      <c r="AW130" s="1008">
        <v>46127</v>
      </c>
      <c r="AX130" s="1007" t="s">
        <v>84</v>
      </c>
      <c r="AY130" s="1008">
        <v>46134</v>
      </c>
      <c r="AZ130" s="1007">
        <v>7</v>
      </c>
      <c r="BA130" s="1008">
        <v>46134</v>
      </c>
      <c r="BB130" s="1007">
        <v>2026</v>
      </c>
      <c r="BC130" s="1007">
        <v>4</v>
      </c>
      <c r="BD130" s="1007">
        <v>17</v>
      </c>
      <c r="BE130" s="1007">
        <v>36</v>
      </c>
      <c r="BF130" s="1007">
        <v>864</v>
      </c>
      <c r="BG130" s="1007" t="s">
        <v>85</v>
      </c>
      <c r="BH130" s="1007" t="s">
        <v>109</v>
      </c>
    </row>
    <row r="131" spans="1:60">
      <c r="A131" s="1007" t="s">
        <v>734</v>
      </c>
      <c r="B131" s="1007" t="s">
        <v>111</v>
      </c>
      <c r="C131" s="1007" t="s">
        <v>387</v>
      </c>
      <c r="D131" s="1007" t="s">
        <v>63</v>
      </c>
      <c r="E131" s="1007" t="s">
        <v>64</v>
      </c>
      <c r="F131" s="1007" t="s">
        <v>100</v>
      </c>
      <c r="G131" s="1007" t="s">
        <v>402</v>
      </c>
      <c r="H131" s="1007" t="s">
        <v>67</v>
      </c>
      <c r="I131" s="1007" t="s">
        <v>68</v>
      </c>
      <c r="J131" s="1007" t="s">
        <v>293</v>
      </c>
      <c r="M131" s="1007" t="s">
        <v>68</v>
      </c>
      <c r="N131" s="1007" t="s">
        <v>68</v>
      </c>
      <c r="O131" s="1007" t="s">
        <v>132</v>
      </c>
      <c r="P131" s="1007" t="s">
        <v>189</v>
      </c>
      <c r="Q131" s="1007" t="s">
        <v>190</v>
      </c>
      <c r="R131" s="1007" t="s">
        <v>73</v>
      </c>
      <c r="S131" s="1007" t="s">
        <v>74</v>
      </c>
      <c r="T131" s="1007">
        <v>465</v>
      </c>
      <c r="U131" s="1007">
        <v>2592</v>
      </c>
      <c r="V131" s="1007">
        <v>1.2050000000000001</v>
      </c>
      <c r="W131" s="1007">
        <v>72</v>
      </c>
      <c r="X131" s="1007">
        <v>3</v>
      </c>
      <c r="Y131" s="1007" t="s">
        <v>75</v>
      </c>
      <c r="Z131" s="1007" t="s">
        <v>75</v>
      </c>
      <c r="AB131" s="1008">
        <v>46057</v>
      </c>
      <c r="AC131" s="1007">
        <v>6</v>
      </c>
      <c r="AD131" s="1007" t="s">
        <v>735</v>
      </c>
      <c r="AF131" s="1007" t="s">
        <v>122</v>
      </c>
      <c r="AG131" s="1007" t="s">
        <v>123</v>
      </c>
      <c r="AH131" s="1007" t="s">
        <v>105</v>
      </c>
      <c r="AI131" s="1008">
        <v>46062</v>
      </c>
      <c r="AJ131" s="1008">
        <v>46067</v>
      </c>
      <c r="AK131" s="1008">
        <v>46069</v>
      </c>
      <c r="AL131" s="1008">
        <v>46099</v>
      </c>
      <c r="AM131" s="1008">
        <v>46126</v>
      </c>
      <c r="AN131" s="1008">
        <v>46127</v>
      </c>
      <c r="AO131" s="1007" t="s">
        <v>402</v>
      </c>
      <c r="AP131" s="1007" t="s">
        <v>731</v>
      </c>
      <c r="AQ131" s="1007" t="s">
        <v>80</v>
      </c>
      <c r="AR131" s="1007" t="s">
        <v>732</v>
      </c>
      <c r="AS131" s="1007" t="s">
        <v>733</v>
      </c>
      <c r="AT131" s="1007" t="s">
        <v>733</v>
      </c>
      <c r="AU131" s="1007">
        <v>58</v>
      </c>
      <c r="AW131" s="1008">
        <v>46127</v>
      </c>
      <c r="AX131" s="1007" t="s">
        <v>84</v>
      </c>
      <c r="AY131" s="1008">
        <v>46134</v>
      </c>
      <c r="AZ131" s="1007">
        <v>7</v>
      </c>
      <c r="BA131" s="1008">
        <v>46134</v>
      </c>
      <c r="BB131" s="1007">
        <v>2026</v>
      </c>
      <c r="BC131" s="1007">
        <v>4</v>
      </c>
      <c r="BD131" s="1007">
        <v>17</v>
      </c>
      <c r="BE131" s="1007">
        <v>36</v>
      </c>
      <c r="BF131" s="1007">
        <v>864</v>
      </c>
      <c r="BG131" s="1007" t="s">
        <v>108</v>
      </c>
      <c r="BH131" s="1007" t="s">
        <v>109</v>
      </c>
    </row>
    <row r="132" spans="1:60">
      <c r="A132" s="1007" t="s">
        <v>736</v>
      </c>
      <c r="B132" s="1007" t="s">
        <v>111</v>
      </c>
      <c r="C132" s="1007" t="s">
        <v>168</v>
      </c>
      <c r="D132" s="1007" t="s">
        <v>63</v>
      </c>
      <c r="E132" s="1007" t="s">
        <v>64</v>
      </c>
      <c r="F132" s="1007" t="s">
        <v>65</v>
      </c>
      <c r="G132" s="1007" t="s">
        <v>402</v>
      </c>
      <c r="H132" s="1007" t="s">
        <v>67</v>
      </c>
      <c r="I132" s="1007" t="s">
        <v>68</v>
      </c>
      <c r="J132" s="1007" t="s">
        <v>737</v>
      </c>
      <c r="M132" s="1007" t="s">
        <v>68</v>
      </c>
      <c r="N132" s="1007" t="s">
        <v>68</v>
      </c>
      <c r="O132" s="1007" t="s">
        <v>170</v>
      </c>
      <c r="P132" s="1007" t="s">
        <v>171</v>
      </c>
      <c r="Q132" s="1007" t="s">
        <v>172</v>
      </c>
      <c r="R132" s="1007" t="s">
        <v>73</v>
      </c>
      <c r="S132" s="1007" t="s">
        <v>120</v>
      </c>
      <c r="T132" s="1007">
        <v>555</v>
      </c>
      <c r="U132" s="1007">
        <v>3960</v>
      </c>
      <c r="V132" s="1007">
        <v>2.198</v>
      </c>
      <c r="W132" s="1007">
        <v>120</v>
      </c>
      <c r="X132" s="1007">
        <v>6</v>
      </c>
      <c r="Y132" s="1007" t="s">
        <v>75</v>
      </c>
      <c r="Z132" s="1007" t="s">
        <v>75</v>
      </c>
      <c r="AB132" s="1008">
        <v>46054</v>
      </c>
      <c r="AC132" s="1007">
        <v>5</v>
      </c>
      <c r="AD132" s="1007" t="s">
        <v>738</v>
      </c>
      <c r="AF132" s="1007" t="s">
        <v>122</v>
      </c>
      <c r="AG132" s="1007" t="s">
        <v>123</v>
      </c>
      <c r="AH132" s="1007" t="s">
        <v>78</v>
      </c>
      <c r="AI132" s="1008">
        <v>46063</v>
      </c>
      <c r="AJ132" s="1008">
        <v>46065</v>
      </c>
      <c r="AK132" s="1008">
        <v>46078</v>
      </c>
      <c r="AL132" s="1008">
        <v>46111</v>
      </c>
      <c r="AM132" s="1008">
        <v>46136</v>
      </c>
      <c r="AN132" s="1008">
        <v>46137</v>
      </c>
      <c r="AO132" s="1007" t="s">
        <v>402</v>
      </c>
      <c r="AP132" s="1007" t="s">
        <v>739</v>
      </c>
      <c r="AQ132" s="1007" t="s">
        <v>80</v>
      </c>
      <c r="AR132" s="1007" t="s">
        <v>740</v>
      </c>
      <c r="AS132" s="1007" t="s">
        <v>741</v>
      </c>
      <c r="AT132" s="1007" t="s">
        <v>741</v>
      </c>
      <c r="AU132" s="1007">
        <v>59</v>
      </c>
      <c r="AW132" s="1008">
        <v>46137</v>
      </c>
      <c r="AX132" s="1007" t="s">
        <v>84</v>
      </c>
      <c r="AY132" s="1008">
        <v>46150</v>
      </c>
      <c r="AZ132" s="1007">
        <v>8</v>
      </c>
      <c r="BA132" s="1008">
        <v>46145</v>
      </c>
      <c r="BB132" s="1007">
        <v>2026</v>
      </c>
      <c r="BC132" s="1007">
        <v>5</v>
      </c>
      <c r="BD132" s="1007">
        <v>18</v>
      </c>
      <c r="BE132" s="1007">
        <v>33</v>
      </c>
      <c r="BF132" s="1007">
        <v>660</v>
      </c>
      <c r="BG132" s="1007" t="s">
        <v>108</v>
      </c>
      <c r="BH132" s="1007" t="s">
        <v>86</v>
      </c>
    </row>
    <row r="133" spans="1:60">
      <c r="A133" s="1007" t="s">
        <v>742</v>
      </c>
      <c r="B133" s="1007" t="s">
        <v>111</v>
      </c>
      <c r="C133" s="1007" t="s">
        <v>168</v>
      </c>
      <c r="D133" s="1007" t="s">
        <v>63</v>
      </c>
      <c r="E133" s="1007" t="s">
        <v>64</v>
      </c>
      <c r="F133" s="1007" t="s">
        <v>65</v>
      </c>
      <c r="G133" s="1007" t="s">
        <v>402</v>
      </c>
      <c r="H133" s="1007" t="s">
        <v>67</v>
      </c>
      <c r="I133" s="1007" t="s">
        <v>68</v>
      </c>
      <c r="J133" s="1007" t="s">
        <v>737</v>
      </c>
      <c r="M133" s="1007" t="s">
        <v>68</v>
      </c>
      <c r="N133" s="1007" t="s">
        <v>68</v>
      </c>
      <c r="O133" s="1007" t="s">
        <v>170</v>
      </c>
      <c r="P133" s="1007" t="s">
        <v>171</v>
      </c>
      <c r="Q133" s="1007" t="s">
        <v>172</v>
      </c>
      <c r="R133" s="1007" t="s">
        <v>73</v>
      </c>
      <c r="S133" s="1007" t="s">
        <v>120</v>
      </c>
      <c r="T133" s="1007">
        <v>555</v>
      </c>
      <c r="U133" s="1007">
        <v>660</v>
      </c>
      <c r="V133" s="1007">
        <v>0.36599999999999999</v>
      </c>
      <c r="W133" s="1007">
        <v>20</v>
      </c>
      <c r="X133" s="1007">
        <v>1</v>
      </c>
      <c r="Y133" s="1007" t="s">
        <v>75</v>
      </c>
      <c r="Z133" s="1007" t="s">
        <v>75</v>
      </c>
      <c r="AB133" s="1008">
        <v>46054</v>
      </c>
      <c r="AC133" s="1007">
        <v>5</v>
      </c>
      <c r="AD133" s="1007" t="s">
        <v>743</v>
      </c>
      <c r="AF133" s="1007" t="s">
        <v>122</v>
      </c>
      <c r="AG133" s="1007" t="s">
        <v>123</v>
      </c>
      <c r="AH133" s="1007" t="s">
        <v>78</v>
      </c>
      <c r="AI133" s="1008">
        <v>46063</v>
      </c>
      <c r="AJ133" s="1008">
        <v>46065</v>
      </c>
      <c r="AK133" s="1008">
        <v>46078</v>
      </c>
      <c r="AL133" s="1008">
        <v>46101</v>
      </c>
      <c r="AM133" s="1008">
        <v>46136</v>
      </c>
      <c r="AN133" s="1008">
        <v>46137</v>
      </c>
      <c r="AO133" s="1007" t="s">
        <v>402</v>
      </c>
      <c r="AP133" s="1007" t="s">
        <v>739</v>
      </c>
      <c r="AQ133" s="1007" t="s">
        <v>80</v>
      </c>
      <c r="AR133" s="1007" t="s">
        <v>740</v>
      </c>
      <c r="AS133" s="1007" t="s">
        <v>741</v>
      </c>
      <c r="AT133" s="1007" t="s">
        <v>741</v>
      </c>
      <c r="AU133" s="1007">
        <v>59</v>
      </c>
      <c r="AW133" s="1008">
        <v>46137</v>
      </c>
      <c r="AX133" s="1007" t="s">
        <v>84</v>
      </c>
      <c r="AY133" s="1008">
        <v>46150</v>
      </c>
      <c r="AZ133" s="1007">
        <v>8</v>
      </c>
      <c r="BA133" s="1008">
        <v>46145</v>
      </c>
      <c r="BB133" s="1007">
        <v>2026</v>
      </c>
      <c r="BC133" s="1007">
        <v>5</v>
      </c>
      <c r="BD133" s="1007">
        <v>18</v>
      </c>
      <c r="BE133" s="1007">
        <v>33</v>
      </c>
      <c r="BF133" s="1007">
        <v>660</v>
      </c>
      <c r="BG133" s="1007" t="s">
        <v>108</v>
      </c>
      <c r="BH133" s="1007" t="s">
        <v>86</v>
      </c>
    </row>
    <row r="134" spans="1:60">
      <c r="A134" s="1007" t="s">
        <v>744</v>
      </c>
      <c r="B134" s="1007" t="s">
        <v>111</v>
      </c>
      <c r="C134" s="1007" t="s">
        <v>168</v>
      </c>
      <c r="D134" s="1007" t="s">
        <v>63</v>
      </c>
      <c r="E134" s="1007" t="s">
        <v>64</v>
      </c>
      <c r="F134" s="1007" t="s">
        <v>65</v>
      </c>
      <c r="G134" s="1007" t="s">
        <v>402</v>
      </c>
      <c r="H134" s="1007" t="s">
        <v>67</v>
      </c>
      <c r="I134" s="1007" t="s">
        <v>68</v>
      </c>
      <c r="J134" s="1007" t="s">
        <v>737</v>
      </c>
      <c r="M134" s="1007" t="s">
        <v>68</v>
      </c>
      <c r="N134" s="1007" t="s">
        <v>68</v>
      </c>
      <c r="O134" s="1007" t="s">
        <v>170</v>
      </c>
      <c r="P134" s="1007" t="s">
        <v>171</v>
      </c>
      <c r="Q134" s="1007" t="s">
        <v>172</v>
      </c>
      <c r="R134" s="1007" t="s">
        <v>73</v>
      </c>
      <c r="S134" s="1007" t="s">
        <v>120</v>
      </c>
      <c r="T134" s="1007">
        <v>555</v>
      </c>
      <c r="U134" s="1007">
        <v>660</v>
      </c>
      <c r="V134" s="1007">
        <v>0.36599999999999999</v>
      </c>
      <c r="W134" s="1007">
        <v>20</v>
      </c>
      <c r="X134" s="1007">
        <v>1</v>
      </c>
      <c r="Y134" s="1007" t="s">
        <v>75</v>
      </c>
      <c r="Z134" s="1007" t="s">
        <v>75</v>
      </c>
      <c r="AB134" s="1008">
        <v>46054</v>
      </c>
      <c r="AC134" s="1007">
        <v>5</v>
      </c>
      <c r="AD134" s="1007" t="s">
        <v>745</v>
      </c>
      <c r="AF134" s="1007" t="s">
        <v>122</v>
      </c>
      <c r="AG134" s="1007" t="s">
        <v>123</v>
      </c>
      <c r="AH134" s="1007" t="s">
        <v>78</v>
      </c>
      <c r="AI134" s="1008">
        <v>46063</v>
      </c>
      <c r="AJ134" s="1008">
        <v>46065</v>
      </c>
      <c r="AK134" s="1008">
        <v>46078</v>
      </c>
      <c r="AL134" s="1008">
        <v>46108</v>
      </c>
      <c r="AM134" s="1008">
        <v>46136</v>
      </c>
      <c r="AN134" s="1008">
        <v>46137</v>
      </c>
      <c r="AO134" s="1007" t="s">
        <v>402</v>
      </c>
      <c r="AP134" s="1007" t="s">
        <v>739</v>
      </c>
      <c r="AQ134" s="1007" t="s">
        <v>80</v>
      </c>
      <c r="AR134" s="1007" t="s">
        <v>740</v>
      </c>
      <c r="AS134" s="1007" t="s">
        <v>741</v>
      </c>
      <c r="AT134" s="1007" t="s">
        <v>741</v>
      </c>
      <c r="AU134" s="1007">
        <v>59</v>
      </c>
      <c r="AW134" s="1008">
        <v>46137</v>
      </c>
      <c r="AX134" s="1007" t="s">
        <v>84</v>
      </c>
      <c r="AY134" s="1008">
        <v>46150</v>
      </c>
      <c r="AZ134" s="1007">
        <v>8</v>
      </c>
      <c r="BA134" s="1008">
        <v>46145</v>
      </c>
      <c r="BB134" s="1007">
        <v>2026</v>
      </c>
      <c r="BC134" s="1007">
        <v>5</v>
      </c>
      <c r="BD134" s="1007">
        <v>18</v>
      </c>
      <c r="BE134" s="1007">
        <v>33</v>
      </c>
      <c r="BF134" s="1007">
        <v>660</v>
      </c>
      <c r="BG134" s="1007" t="s">
        <v>108</v>
      </c>
      <c r="BH134" s="1007" t="s">
        <v>86</v>
      </c>
    </row>
    <row r="135" spans="1:60">
      <c r="A135" s="1007" t="s">
        <v>746</v>
      </c>
      <c r="B135" s="1007" t="s">
        <v>111</v>
      </c>
      <c r="C135" s="1007" t="s">
        <v>112</v>
      </c>
      <c r="D135" s="1007" t="s">
        <v>113</v>
      </c>
      <c r="E135" s="1007" t="s">
        <v>64</v>
      </c>
      <c r="F135" s="1007" t="s">
        <v>114</v>
      </c>
      <c r="G135" s="1007" t="s">
        <v>402</v>
      </c>
      <c r="H135" s="1007" t="s">
        <v>115</v>
      </c>
      <c r="I135" s="1007" t="s">
        <v>68</v>
      </c>
      <c r="J135" s="1007" t="s">
        <v>116</v>
      </c>
      <c r="K135" s="1007" t="s">
        <v>266</v>
      </c>
      <c r="M135" s="1007" t="s">
        <v>68</v>
      </c>
      <c r="N135" s="1007" t="s">
        <v>68</v>
      </c>
      <c r="O135" s="1007" t="s">
        <v>70</v>
      </c>
      <c r="P135" s="1007" t="s">
        <v>118</v>
      </c>
      <c r="Q135" s="1007" t="s">
        <v>119</v>
      </c>
      <c r="R135" s="1007" t="s">
        <v>73</v>
      </c>
      <c r="S135" s="1007" t="s">
        <v>120</v>
      </c>
      <c r="T135" s="1007">
        <v>640</v>
      </c>
      <c r="U135" s="1007">
        <v>3456</v>
      </c>
      <c r="V135" s="1007">
        <v>2.2120000000000002</v>
      </c>
      <c r="W135" s="1007">
        <v>96</v>
      </c>
      <c r="X135" s="1007">
        <v>6</v>
      </c>
      <c r="Y135" s="1007" t="s">
        <v>75</v>
      </c>
      <c r="Z135" s="1007" t="s">
        <v>75</v>
      </c>
      <c r="AB135" s="1008">
        <v>46057</v>
      </c>
      <c r="AC135" s="1007">
        <v>6</v>
      </c>
      <c r="AD135" s="1007" t="s">
        <v>747</v>
      </c>
      <c r="AF135" s="1007" t="s">
        <v>122</v>
      </c>
      <c r="AG135" s="1007" t="s">
        <v>123</v>
      </c>
      <c r="AH135" s="1007" t="s">
        <v>124</v>
      </c>
      <c r="AI135" s="1008">
        <v>46063</v>
      </c>
      <c r="AJ135" s="1008">
        <v>46067</v>
      </c>
      <c r="AK135" s="1008">
        <v>46067</v>
      </c>
      <c r="AL135" s="1008">
        <v>46107</v>
      </c>
      <c r="AM135" s="1008">
        <v>46112</v>
      </c>
      <c r="AN135" s="1008">
        <v>46112</v>
      </c>
      <c r="AO135" s="1007" t="s">
        <v>402</v>
      </c>
      <c r="AP135" s="1007" t="s">
        <v>748</v>
      </c>
      <c r="AQ135" s="1007" t="s">
        <v>80</v>
      </c>
      <c r="AR135" s="1007" t="s">
        <v>749</v>
      </c>
      <c r="AS135" s="1007" t="s">
        <v>750</v>
      </c>
      <c r="AT135" s="1007" t="s">
        <v>750</v>
      </c>
      <c r="AU135" s="1007">
        <v>45</v>
      </c>
      <c r="AW135" s="1008">
        <v>46112</v>
      </c>
      <c r="AX135" s="1007" t="s">
        <v>84</v>
      </c>
      <c r="AY135" s="1008">
        <v>46121</v>
      </c>
      <c r="AZ135" s="1007">
        <v>9</v>
      </c>
      <c r="BA135" s="1008">
        <v>46121</v>
      </c>
      <c r="BB135" s="1007">
        <v>2026</v>
      </c>
      <c r="BC135" s="1007">
        <v>4</v>
      </c>
      <c r="BD135" s="1007">
        <v>15</v>
      </c>
      <c r="BE135" s="1007">
        <v>36</v>
      </c>
      <c r="BF135" s="1007">
        <v>576</v>
      </c>
      <c r="BG135" s="1007" t="s">
        <v>128</v>
      </c>
      <c r="BH135" s="1007" t="s">
        <v>86</v>
      </c>
    </row>
    <row r="136" spans="1:60">
      <c r="A136" s="1007" t="s">
        <v>751</v>
      </c>
      <c r="B136" s="1007" t="s">
        <v>111</v>
      </c>
      <c r="C136" s="1007" t="s">
        <v>112</v>
      </c>
      <c r="D136" s="1007" t="s">
        <v>113</v>
      </c>
      <c r="E136" s="1007" t="s">
        <v>64</v>
      </c>
      <c r="F136" s="1007" t="s">
        <v>114</v>
      </c>
      <c r="G136" s="1007" t="s">
        <v>402</v>
      </c>
      <c r="H136" s="1007" t="s">
        <v>115</v>
      </c>
      <c r="I136" s="1007" t="s">
        <v>68</v>
      </c>
      <c r="J136" s="1007" t="s">
        <v>116</v>
      </c>
      <c r="K136" s="1007" t="s">
        <v>266</v>
      </c>
      <c r="M136" s="1007" t="s">
        <v>68</v>
      </c>
      <c r="N136" s="1007" t="s">
        <v>68</v>
      </c>
      <c r="O136" s="1007" t="s">
        <v>70</v>
      </c>
      <c r="P136" s="1007" t="s">
        <v>118</v>
      </c>
      <c r="Q136" s="1007" t="s">
        <v>119</v>
      </c>
      <c r="R136" s="1007" t="s">
        <v>73</v>
      </c>
      <c r="S136" s="1007" t="s">
        <v>120</v>
      </c>
      <c r="T136" s="1007">
        <v>640</v>
      </c>
      <c r="U136" s="1007">
        <v>1152</v>
      </c>
      <c r="V136" s="1007">
        <v>0.73699999999999999</v>
      </c>
      <c r="W136" s="1007">
        <v>32</v>
      </c>
      <c r="X136" s="1007">
        <v>2</v>
      </c>
      <c r="Y136" s="1007" t="s">
        <v>75</v>
      </c>
      <c r="Z136" s="1007" t="s">
        <v>75</v>
      </c>
      <c r="AB136" s="1008">
        <v>46058</v>
      </c>
      <c r="AC136" s="1007">
        <v>6</v>
      </c>
      <c r="AD136" s="1007" t="s">
        <v>752</v>
      </c>
      <c r="AF136" s="1007" t="s">
        <v>122</v>
      </c>
      <c r="AG136" s="1007" t="s">
        <v>123</v>
      </c>
      <c r="AH136" s="1007" t="s">
        <v>124</v>
      </c>
      <c r="AI136" s="1008">
        <v>46063</v>
      </c>
      <c r="AJ136" s="1008">
        <v>46065</v>
      </c>
      <c r="AK136" s="1008">
        <v>46065</v>
      </c>
      <c r="AL136" s="1008">
        <v>46114</v>
      </c>
      <c r="AM136" s="1008">
        <v>46125</v>
      </c>
      <c r="AN136" s="1008">
        <v>46126</v>
      </c>
      <c r="AO136" s="1007" t="s">
        <v>402</v>
      </c>
      <c r="AP136" s="1007" t="s">
        <v>739</v>
      </c>
      <c r="AQ136" s="1007" t="s">
        <v>80</v>
      </c>
      <c r="AR136" s="1007" t="s">
        <v>753</v>
      </c>
      <c r="AS136" s="1007" t="s">
        <v>754</v>
      </c>
      <c r="AT136" s="1007" t="s">
        <v>754</v>
      </c>
      <c r="AU136" s="1007">
        <v>61</v>
      </c>
      <c r="AW136" s="1008">
        <v>46126</v>
      </c>
      <c r="AX136" s="1007" t="s">
        <v>84</v>
      </c>
      <c r="AY136" s="1008">
        <v>46135</v>
      </c>
      <c r="AZ136" s="1007">
        <v>9</v>
      </c>
      <c r="BA136" s="1008">
        <v>46135</v>
      </c>
      <c r="BB136" s="1007">
        <v>2026</v>
      </c>
      <c r="BC136" s="1007">
        <v>4</v>
      </c>
      <c r="BD136" s="1007">
        <v>17</v>
      </c>
      <c r="BE136" s="1007">
        <v>36</v>
      </c>
      <c r="BF136" s="1007">
        <v>576</v>
      </c>
      <c r="BG136" s="1007" t="s">
        <v>128</v>
      </c>
      <c r="BH136" s="1007" t="s">
        <v>86</v>
      </c>
    </row>
    <row r="137" spans="1:60">
      <c r="A137" s="1007" t="s">
        <v>755</v>
      </c>
      <c r="B137" s="1007" t="s">
        <v>111</v>
      </c>
      <c r="C137" s="1007" t="s">
        <v>112</v>
      </c>
      <c r="D137" s="1007" t="s">
        <v>113</v>
      </c>
      <c r="E137" s="1007" t="s">
        <v>64</v>
      </c>
      <c r="F137" s="1007" t="s">
        <v>114</v>
      </c>
      <c r="G137" s="1007" t="s">
        <v>402</v>
      </c>
      <c r="H137" s="1007" t="s">
        <v>115</v>
      </c>
      <c r="I137" s="1007" t="s">
        <v>68</v>
      </c>
      <c r="J137" s="1007" t="s">
        <v>116</v>
      </c>
      <c r="K137" s="1007" t="s">
        <v>266</v>
      </c>
      <c r="M137" s="1007" t="s">
        <v>68</v>
      </c>
      <c r="N137" s="1007" t="s">
        <v>68</v>
      </c>
      <c r="O137" s="1007" t="s">
        <v>70</v>
      </c>
      <c r="P137" s="1007" t="s">
        <v>118</v>
      </c>
      <c r="Q137" s="1007" t="s">
        <v>119</v>
      </c>
      <c r="R137" s="1007" t="s">
        <v>73</v>
      </c>
      <c r="S137" s="1007" t="s">
        <v>120</v>
      </c>
      <c r="T137" s="1007">
        <v>640</v>
      </c>
      <c r="U137" s="1007">
        <v>4032</v>
      </c>
      <c r="V137" s="1007">
        <v>2.58</v>
      </c>
      <c r="W137" s="1007">
        <v>112</v>
      </c>
      <c r="X137" s="1007">
        <v>7</v>
      </c>
      <c r="Y137" s="1007" t="s">
        <v>75</v>
      </c>
      <c r="Z137" s="1007" t="s">
        <v>75</v>
      </c>
      <c r="AB137" s="1008">
        <v>46058</v>
      </c>
      <c r="AC137" s="1007">
        <v>6</v>
      </c>
      <c r="AD137" s="1007" t="s">
        <v>756</v>
      </c>
      <c r="AF137" s="1007" t="s">
        <v>122</v>
      </c>
      <c r="AG137" s="1007" t="s">
        <v>123</v>
      </c>
      <c r="AH137" s="1007" t="s">
        <v>124</v>
      </c>
      <c r="AI137" s="1008">
        <v>46063</v>
      </c>
      <c r="AJ137" s="1008">
        <v>46065</v>
      </c>
      <c r="AK137" s="1008">
        <v>46065</v>
      </c>
      <c r="AL137" s="1008">
        <v>46114</v>
      </c>
      <c r="AM137" s="1008">
        <v>46125</v>
      </c>
      <c r="AN137" s="1008">
        <v>46126</v>
      </c>
      <c r="AO137" s="1007" t="s">
        <v>402</v>
      </c>
      <c r="AP137" s="1007" t="s">
        <v>739</v>
      </c>
      <c r="AQ137" s="1007" t="s">
        <v>80</v>
      </c>
      <c r="AR137" s="1007" t="s">
        <v>753</v>
      </c>
      <c r="AS137" s="1007" t="s">
        <v>754</v>
      </c>
      <c r="AT137" s="1007" t="s">
        <v>754</v>
      </c>
      <c r="AU137" s="1007">
        <v>61</v>
      </c>
      <c r="AW137" s="1008">
        <v>46126</v>
      </c>
      <c r="AX137" s="1007" t="s">
        <v>84</v>
      </c>
      <c r="AY137" s="1008">
        <v>46135</v>
      </c>
      <c r="AZ137" s="1007">
        <v>9</v>
      </c>
      <c r="BA137" s="1008">
        <v>46135</v>
      </c>
      <c r="BB137" s="1007">
        <v>2026</v>
      </c>
      <c r="BC137" s="1007">
        <v>4</v>
      </c>
      <c r="BD137" s="1007">
        <v>17</v>
      </c>
      <c r="BE137" s="1007">
        <v>36</v>
      </c>
      <c r="BF137" s="1007">
        <v>576</v>
      </c>
      <c r="BG137" s="1007" t="s">
        <v>128</v>
      </c>
      <c r="BH137" s="1007" t="s">
        <v>86</v>
      </c>
    </row>
    <row r="138" spans="1:60">
      <c r="A138" s="1007" t="s">
        <v>757</v>
      </c>
      <c r="B138" s="1007" t="s">
        <v>111</v>
      </c>
      <c r="C138" s="1007" t="s">
        <v>112</v>
      </c>
      <c r="D138" s="1007" t="s">
        <v>113</v>
      </c>
      <c r="E138" s="1007" t="s">
        <v>64</v>
      </c>
      <c r="F138" s="1007" t="s">
        <v>114</v>
      </c>
      <c r="G138" s="1007" t="s">
        <v>402</v>
      </c>
      <c r="H138" s="1007" t="s">
        <v>115</v>
      </c>
      <c r="I138" s="1007" t="s">
        <v>68</v>
      </c>
      <c r="J138" s="1007" t="s">
        <v>116</v>
      </c>
      <c r="K138" s="1007" t="s">
        <v>266</v>
      </c>
      <c r="M138" s="1007" t="s">
        <v>68</v>
      </c>
      <c r="N138" s="1007" t="s">
        <v>68</v>
      </c>
      <c r="O138" s="1007" t="s">
        <v>70</v>
      </c>
      <c r="P138" s="1007" t="s">
        <v>118</v>
      </c>
      <c r="Q138" s="1007" t="s">
        <v>119</v>
      </c>
      <c r="R138" s="1007" t="s">
        <v>73</v>
      </c>
      <c r="S138" s="1007" t="s">
        <v>120</v>
      </c>
      <c r="T138" s="1007">
        <v>640</v>
      </c>
      <c r="U138" s="1007">
        <v>5760</v>
      </c>
      <c r="V138" s="1007">
        <v>3.6859999999999999</v>
      </c>
      <c r="W138" s="1007">
        <v>160</v>
      </c>
      <c r="X138" s="1007">
        <v>10</v>
      </c>
      <c r="Y138" s="1007" t="s">
        <v>75</v>
      </c>
      <c r="Z138" s="1007" t="s">
        <v>75</v>
      </c>
      <c r="AB138" s="1008">
        <v>46059</v>
      </c>
      <c r="AC138" s="1007">
        <v>6</v>
      </c>
      <c r="AD138" s="1007" t="s">
        <v>758</v>
      </c>
      <c r="AF138" s="1007" t="s">
        <v>122</v>
      </c>
      <c r="AG138" s="1007" t="s">
        <v>123</v>
      </c>
      <c r="AH138" s="1007" t="s">
        <v>124</v>
      </c>
      <c r="AI138" s="1008">
        <v>46063</v>
      </c>
      <c r="AJ138" s="1008">
        <v>46065</v>
      </c>
      <c r="AK138" s="1008">
        <v>46065</v>
      </c>
      <c r="AL138" s="1008">
        <v>46114</v>
      </c>
      <c r="AM138" s="1008">
        <v>46125</v>
      </c>
      <c r="AN138" s="1008">
        <v>46126</v>
      </c>
      <c r="AO138" s="1007" t="s">
        <v>402</v>
      </c>
      <c r="AP138" s="1007" t="s">
        <v>739</v>
      </c>
      <c r="AQ138" s="1007" t="s">
        <v>80</v>
      </c>
      <c r="AR138" s="1007" t="s">
        <v>759</v>
      </c>
      <c r="AS138" s="1007" t="s">
        <v>760</v>
      </c>
      <c r="AT138" s="1007" t="s">
        <v>760</v>
      </c>
      <c r="AU138" s="1007">
        <v>61</v>
      </c>
      <c r="AW138" s="1008">
        <v>46126</v>
      </c>
      <c r="AX138" s="1007" t="s">
        <v>84</v>
      </c>
      <c r="AY138" s="1008">
        <v>46135</v>
      </c>
      <c r="AZ138" s="1007">
        <v>9</v>
      </c>
      <c r="BA138" s="1008">
        <v>46135</v>
      </c>
      <c r="BB138" s="1007">
        <v>2026</v>
      </c>
      <c r="BC138" s="1007">
        <v>4</v>
      </c>
      <c r="BD138" s="1007">
        <v>17</v>
      </c>
      <c r="BE138" s="1007">
        <v>36</v>
      </c>
      <c r="BF138" s="1007">
        <v>576</v>
      </c>
      <c r="BG138" s="1007" t="s">
        <v>128</v>
      </c>
      <c r="BH138" s="1007" t="s">
        <v>86</v>
      </c>
    </row>
    <row r="139" spans="1:60">
      <c r="A139" s="1007" t="s">
        <v>112</v>
      </c>
      <c r="B139" s="1007" t="s">
        <v>111</v>
      </c>
      <c r="C139" s="1007" t="s">
        <v>203</v>
      </c>
      <c r="D139" s="1007" t="s">
        <v>113</v>
      </c>
      <c r="E139" s="1007" t="s">
        <v>64</v>
      </c>
      <c r="F139" s="1007" t="s">
        <v>114</v>
      </c>
      <c r="G139" s="1007" t="s">
        <v>402</v>
      </c>
      <c r="H139" s="1007" t="s">
        <v>115</v>
      </c>
      <c r="I139" s="1007" t="s">
        <v>68</v>
      </c>
      <c r="J139" s="1007" t="s">
        <v>116</v>
      </c>
      <c r="K139" s="1007" t="s">
        <v>266</v>
      </c>
      <c r="M139" s="1007" t="s">
        <v>68</v>
      </c>
      <c r="N139" s="1007" t="s">
        <v>68</v>
      </c>
      <c r="O139" s="1007" t="s">
        <v>70</v>
      </c>
      <c r="P139" s="1007" t="s">
        <v>118</v>
      </c>
      <c r="Q139" s="1007" t="s">
        <v>119</v>
      </c>
      <c r="R139" s="1007" t="s">
        <v>73</v>
      </c>
      <c r="S139" s="1007" t="s">
        <v>120</v>
      </c>
      <c r="T139" s="1007">
        <v>640</v>
      </c>
      <c r="U139" s="1007">
        <v>2787</v>
      </c>
      <c r="V139" s="1007">
        <v>1.784</v>
      </c>
      <c r="W139" s="1007">
        <v>77.400000000000006</v>
      </c>
      <c r="X139" s="1007">
        <v>4.8</v>
      </c>
      <c r="Y139" s="1007" t="s">
        <v>75</v>
      </c>
      <c r="Z139" s="1007" t="s">
        <v>75</v>
      </c>
      <c r="AB139" s="1008">
        <v>46059</v>
      </c>
      <c r="AC139" s="1007">
        <v>6</v>
      </c>
      <c r="AD139" s="1007" t="s">
        <v>761</v>
      </c>
      <c r="AF139" s="1007" t="s">
        <v>122</v>
      </c>
      <c r="AG139" s="1007" t="s">
        <v>123</v>
      </c>
      <c r="AH139" s="1007" t="s">
        <v>124</v>
      </c>
      <c r="AI139" s="1008">
        <v>46063</v>
      </c>
      <c r="AJ139" s="1008">
        <v>46065</v>
      </c>
      <c r="AK139" s="1008">
        <v>46065</v>
      </c>
      <c r="AL139" s="1008">
        <v>46114</v>
      </c>
      <c r="AM139" s="1008">
        <v>46125</v>
      </c>
      <c r="AN139" s="1008">
        <v>46126</v>
      </c>
      <c r="AO139" s="1007" t="s">
        <v>402</v>
      </c>
      <c r="AP139" s="1007" t="s">
        <v>739</v>
      </c>
      <c r="AQ139" s="1007" t="s">
        <v>80</v>
      </c>
      <c r="AR139" s="1007" t="s">
        <v>759</v>
      </c>
      <c r="AS139" s="1007" t="s">
        <v>760</v>
      </c>
      <c r="AT139" s="1007" t="s">
        <v>760</v>
      </c>
      <c r="AU139" s="1007">
        <v>61</v>
      </c>
      <c r="AW139" s="1008">
        <v>46126</v>
      </c>
      <c r="AX139" s="1007" t="s">
        <v>84</v>
      </c>
      <c r="AY139" s="1008">
        <v>46135</v>
      </c>
      <c r="AZ139" s="1007">
        <v>9</v>
      </c>
      <c r="BA139" s="1008">
        <v>46135</v>
      </c>
      <c r="BB139" s="1007">
        <v>2026</v>
      </c>
      <c r="BC139" s="1007">
        <v>4</v>
      </c>
      <c r="BD139" s="1007">
        <v>17</v>
      </c>
      <c r="BE139" s="1007">
        <v>36</v>
      </c>
      <c r="BF139" s="1007">
        <v>576</v>
      </c>
      <c r="BG139" s="1007" t="s">
        <v>128</v>
      </c>
      <c r="BH139" s="1007" t="s">
        <v>86</v>
      </c>
    </row>
    <row r="140" spans="1:60">
      <c r="A140" s="1007" t="s">
        <v>762</v>
      </c>
      <c r="B140" s="1007" t="s">
        <v>111</v>
      </c>
      <c r="C140" s="1007" t="s">
        <v>203</v>
      </c>
      <c r="D140" s="1007" t="s">
        <v>63</v>
      </c>
      <c r="E140" s="1007" t="s">
        <v>64</v>
      </c>
      <c r="F140" s="1007" t="s">
        <v>65</v>
      </c>
      <c r="G140" s="1007" t="s">
        <v>402</v>
      </c>
      <c r="H140" s="1007" t="s">
        <v>67</v>
      </c>
      <c r="I140" s="1007" t="s">
        <v>68</v>
      </c>
      <c r="J140" s="1007" t="s">
        <v>232</v>
      </c>
      <c r="M140" s="1007" t="s">
        <v>68</v>
      </c>
      <c r="N140" s="1007" t="s">
        <v>68</v>
      </c>
      <c r="O140" s="1007" t="s">
        <v>473</v>
      </c>
      <c r="P140" s="1007" t="s">
        <v>763</v>
      </c>
      <c r="Q140" s="1007" t="s">
        <v>764</v>
      </c>
      <c r="R140" s="1007" t="s">
        <v>73</v>
      </c>
      <c r="S140" s="1007" t="s">
        <v>74</v>
      </c>
      <c r="T140" s="1007">
        <v>450</v>
      </c>
      <c r="U140" s="1007">
        <v>864</v>
      </c>
      <c r="V140" s="1007">
        <v>0.38900000000000001</v>
      </c>
      <c r="W140" s="1007">
        <v>24</v>
      </c>
      <c r="X140" s="1007">
        <v>1</v>
      </c>
      <c r="Y140" s="1007" t="s">
        <v>75</v>
      </c>
      <c r="Z140" s="1007" t="s">
        <v>75</v>
      </c>
      <c r="AB140" s="1008">
        <v>46058</v>
      </c>
      <c r="AC140" s="1007">
        <v>6</v>
      </c>
      <c r="AD140" s="1007" t="s">
        <v>765</v>
      </c>
      <c r="AF140" s="1007" t="s">
        <v>122</v>
      </c>
      <c r="AG140" s="1007" t="s">
        <v>123</v>
      </c>
      <c r="AH140" s="1007" t="s">
        <v>78</v>
      </c>
      <c r="AI140" s="1008">
        <v>46063</v>
      </c>
      <c r="AJ140" s="1008">
        <v>46067</v>
      </c>
      <c r="AK140" s="1008">
        <v>46067</v>
      </c>
      <c r="AL140" s="1008">
        <v>46092</v>
      </c>
      <c r="AM140" s="1008">
        <v>46115</v>
      </c>
      <c r="AN140" s="1008">
        <v>46119</v>
      </c>
      <c r="AO140" s="1007" t="s">
        <v>402</v>
      </c>
      <c r="AP140" s="1007" t="s">
        <v>748</v>
      </c>
      <c r="AQ140" s="1007" t="s">
        <v>80</v>
      </c>
      <c r="AR140" s="1007" t="s">
        <v>766</v>
      </c>
      <c r="AS140" s="1007" t="s">
        <v>767</v>
      </c>
      <c r="AT140" s="1007" t="s">
        <v>767</v>
      </c>
      <c r="AU140" s="1007">
        <v>52</v>
      </c>
      <c r="AW140" s="1008">
        <v>46119</v>
      </c>
      <c r="AX140" s="1007" t="s">
        <v>84</v>
      </c>
      <c r="AY140" s="1008">
        <v>46129</v>
      </c>
      <c r="AZ140" s="1007">
        <v>8</v>
      </c>
      <c r="BA140" s="1008">
        <v>46127</v>
      </c>
      <c r="BB140" s="1007">
        <v>2026</v>
      </c>
      <c r="BC140" s="1007">
        <v>4</v>
      </c>
      <c r="BD140" s="1007">
        <v>16</v>
      </c>
      <c r="BE140" s="1007">
        <v>36</v>
      </c>
      <c r="BF140" s="1007">
        <v>864</v>
      </c>
      <c r="BG140" s="1007" t="s">
        <v>85</v>
      </c>
      <c r="BH140" s="1007" t="s">
        <v>86</v>
      </c>
    </row>
    <row r="141" spans="1:60">
      <c r="A141" s="1007" t="s">
        <v>768</v>
      </c>
      <c r="B141" s="1007" t="s">
        <v>61</v>
      </c>
      <c r="C141" s="1007" t="s">
        <v>769</v>
      </c>
      <c r="D141" s="1007" t="s">
        <v>63</v>
      </c>
      <c r="E141" s="1007" t="s">
        <v>64</v>
      </c>
      <c r="F141" s="1007" t="s">
        <v>100</v>
      </c>
      <c r="G141" s="1007" t="s">
        <v>402</v>
      </c>
      <c r="H141" s="1007" t="s">
        <v>67</v>
      </c>
      <c r="I141" s="1007" t="s">
        <v>68</v>
      </c>
      <c r="J141" s="1007" t="s">
        <v>293</v>
      </c>
      <c r="M141" s="1007" t="s">
        <v>68</v>
      </c>
      <c r="N141" s="1007" t="s">
        <v>68</v>
      </c>
      <c r="O141" s="1007" t="s">
        <v>70</v>
      </c>
      <c r="P141" s="1007" t="s">
        <v>560</v>
      </c>
      <c r="Q141" s="1007" t="s">
        <v>196</v>
      </c>
      <c r="R141" s="1007" t="s">
        <v>73</v>
      </c>
      <c r="S141" s="1007" t="s">
        <v>120</v>
      </c>
      <c r="T141" s="1007">
        <v>450</v>
      </c>
      <c r="U141" s="1007">
        <v>2736</v>
      </c>
      <c r="V141" s="1007">
        <v>1.2310000000000001</v>
      </c>
      <c r="W141" s="1007">
        <v>76</v>
      </c>
      <c r="X141" s="1007">
        <v>2.9</v>
      </c>
      <c r="Y141" s="1007" t="s">
        <v>75</v>
      </c>
      <c r="Z141" s="1007" t="s">
        <v>75</v>
      </c>
      <c r="AB141" s="1008">
        <v>46055</v>
      </c>
      <c r="AC141" s="1007">
        <v>6</v>
      </c>
      <c r="AD141" s="1007" t="s">
        <v>770</v>
      </c>
      <c r="AF141" s="1007" t="s">
        <v>77</v>
      </c>
      <c r="AG141" s="1007" t="s">
        <v>61</v>
      </c>
      <c r="AH141" s="1007" t="s">
        <v>105</v>
      </c>
      <c r="AI141" s="1008">
        <v>46066</v>
      </c>
      <c r="AJ141" s="1008">
        <v>46065</v>
      </c>
      <c r="AK141" s="1008">
        <v>46065</v>
      </c>
      <c r="AL141" s="1008">
        <v>46119</v>
      </c>
      <c r="AM141" s="1008">
        <v>46141</v>
      </c>
      <c r="AN141" s="1008">
        <v>46137</v>
      </c>
      <c r="AO141" s="1007" t="s">
        <v>402</v>
      </c>
      <c r="AP141" s="1007" t="s">
        <v>771</v>
      </c>
      <c r="AQ141" s="1007" t="s">
        <v>80</v>
      </c>
      <c r="AR141" s="1007" t="s">
        <v>772</v>
      </c>
      <c r="AS141" s="1007" t="s">
        <v>773</v>
      </c>
      <c r="AT141" s="1007" t="s">
        <v>773</v>
      </c>
      <c r="AU141" s="1007">
        <v>72</v>
      </c>
      <c r="AW141" s="1008">
        <v>46137</v>
      </c>
      <c r="AX141" s="1007" t="s">
        <v>84</v>
      </c>
      <c r="AY141" s="1008">
        <v>46150</v>
      </c>
      <c r="AZ141" s="1007">
        <v>7</v>
      </c>
      <c r="BA141" s="1008">
        <v>46144</v>
      </c>
      <c r="BB141" s="1007">
        <v>2026</v>
      </c>
      <c r="BC141" s="1007">
        <v>5</v>
      </c>
      <c r="BD141" s="1007">
        <v>18</v>
      </c>
      <c r="BE141" s="1007">
        <v>36</v>
      </c>
      <c r="BF141" s="1007">
        <v>936</v>
      </c>
      <c r="BG141" s="1007" t="s">
        <v>94</v>
      </c>
      <c r="BH141" s="1007" t="s">
        <v>109</v>
      </c>
    </row>
    <row r="142" spans="1:60">
      <c r="A142" s="1007" t="s">
        <v>774</v>
      </c>
      <c r="B142" s="1007" t="s">
        <v>61</v>
      </c>
      <c r="C142" s="1007" t="s">
        <v>775</v>
      </c>
      <c r="D142" s="1007" t="s">
        <v>63</v>
      </c>
      <c r="E142" s="1007" t="s">
        <v>64</v>
      </c>
      <c r="F142" s="1007" t="s">
        <v>65</v>
      </c>
      <c r="G142" s="1007" t="s">
        <v>402</v>
      </c>
      <c r="H142" s="1007" t="s">
        <v>67</v>
      </c>
      <c r="I142" s="1007" t="s">
        <v>68</v>
      </c>
      <c r="J142" s="1007" t="s">
        <v>690</v>
      </c>
      <c r="L142" s="1007" t="s">
        <v>197</v>
      </c>
      <c r="M142" s="1007" t="s">
        <v>68</v>
      </c>
      <c r="N142" s="1007" t="s">
        <v>68</v>
      </c>
      <c r="O142" s="1007" t="s">
        <v>70</v>
      </c>
      <c r="P142" s="1007" t="s">
        <v>91</v>
      </c>
      <c r="Q142" s="1007" t="s">
        <v>92</v>
      </c>
      <c r="R142" s="1007" t="s">
        <v>73</v>
      </c>
      <c r="S142" s="1007" t="s">
        <v>74</v>
      </c>
      <c r="T142" s="1007">
        <v>450</v>
      </c>
      <c r="U142" s="1007">
        <v>1872</v>
      </c>
      <c r="V142" s="1007">
        <v>0.84199999999999997</v>
      </c>
      <c r="W142" s="1007">
        <v>52</v>
      </c>
      <c r="X142" s="1007">
        <v>2</v>
      </c>
      <c r="Y142" s="1007" t="s">
        <v>75</v>
      </c>
      <c r="Z142" s="1007" t="s">
        <v>75</v>
      </c>
      <c r="AA142" s="1007" t="s">
        <v>197</v>
      </c>
      <c r="AB142" s="1008">
        <v>46056</v>
      </c>
      <c r="AC142" s="1007">
        <v>6</v>
      </c>
      <c r="AD142" s="1007" t="s">
        <v>776</v>
      </c>
      <c r="AE142" s="1007" t="s">
        <v>197</v>
      </c>
      <c r="AF142" s="1007" t="s">
        <v>77</v>
      </c>
      <c r="AG142" s="1007" t="s">
        <v>61</v>
      </c>
      <c r="AH142" s="1007" t="s">
        <v>78</v>
      </c>
      <c r="AI142" s="1008">
        <v>46066</v>
      </c>
      <c r="AJ142" s="1008">
        <v>46065</v>
      </c>
      <c r="AK142" s="1008">
        <v>46065</v>
      </c>
      <c r="AL142" s="1008">
        <v>46139</v>
      </c>
      <c r="AM142" s="1008">
        <v>46146</v>
      </c>
      <c r="AN142" s="1008">
        <v>46144</v>
      </c>
      <c r="AO142" s="1007" t="s">
        <v>402</v>
      </c>
      <c r="AP142" s="1007" t="s">
        <v>771</v>
      </c>
      <c r="AQ142" s="1007" t="s">
        <v>80</v>
      </c>
      <c r="AR142" s="1007" t="s">
        <v>777</v>
      </c>
      <c r="AS142" s="1007" t="s">
        <v>778</v>
      </c>
      <c r="AT142" s="1007" t="s">
        <v>778</v>
      </c>
      <c r="AU142" s="1007">
        <v>79</v>
      </c>
      <c r="AV142" s="1007" t="s">
        <v>197</v>
      </c>
      <c r="AW142" s="1008">
        <v>46144</v>
      </c>
      <c r="AX142" s="1007" t="s">
        <v>84</v>
      </c>
      <c r="AY142" s="1008">
        <v>46160</v>
      </c>
      <c r="AZ142" s="1007">
        <v>8</v>
      </c>
      <c r="BA142" s="1008">
        <v>46152</v>
      </c>
      <c r="BB142" s="1007">
        <v>2026</v>
      </c>
      <c r="BC142" s="1007">
        <v>5</v>
      </c>
      <c r="BD142" s="1007">
        <v>19</v>
      </c>
      <c r="BE142" s="1007">
        <v>36</v>
      </c>
      <c r="BF142" s="1007">
        <v>936</v>
      </c>
      <c r="BG142" s="1007" t="s">
        <v>94</v>
      </c>
      <c r="BH142" s="1007" t="s">
        <v>86</v>
      </c>
    </row>
    <row r="143" spans="1:60">
      <c r="A143" s="1007" t="s">
        <v>775</v>
      </c>
      <c r="B143" s="1007" t="s">
        <v>61</v>
      </c>
      <c r="C143" s="1007" t="s">
        <v>203</v>
      </c>
      <c r="D143" s="1007" t="s">
        <v>63</v>
      </c>
      <c r="E143" s="1007" t="s">
        <v>64</v>
      </c>
      <c r="F143" s="1007" t="s">
        <v>65</v>
      </c>
      <c r="G143" s="1007" t="s">
        <v>402</v>
      </c>
      <c r="H143" s="1007" t="s">
        <v>67</v>
      </c>
      <c r="I143" s="1007" t="s">
        <v>68</v>
      </c>
      <c r="J143" s="1007" t="s">
        <v>690</v>
      </c>
      <c r="L143" s="1007" t="s">
        <v>197</v>
      </c>
      <c r="M143" s="1007" t="s">
        <v>68</v>
      </c>
      <c r="N143" s="1007" t="s">
        <v>68</v>
      </c>
      <c r="O143" s="1007" t="s">
        <v>70</v>
      </c>
      <c r="P143" s="1007" t="s">
        <v>91</v>
      </c>
      <c r="Q143" s="1007" t="s">
        <v>92</v>
      </c>
      <c r="R143" s="1007" t="s">
        <v>73</v>
      </c>
      <c r="S143" s="1007" t="s">
        <v>74</v>
      </c>
      <c r="T143" s="1007">
        <v>450</v>
      </c>
      <c r="U143" s="1007">
        <v>4428</v>
      </c>
      <c r="V143" s="1007">
        <v>1.9930000000000001</v>
      </c>
      <c r="W143" s="1007">
        <v>123</v>
      </c>
      <c r="X143" s="1007">
        <v>4.7</v>
      </c>
      <c r="Y143" s="1007" t="s">
        <v>75</v>
      </c>
      <c r="Z143" s="1007" t="s">
        <v>75</v>
      </c>
      <c r="AA143" s="1007" t="s">
        <v>197</v>
      </c>
      <c r="AB143" s="1008">
        <v>46056</v>
      </c>
      <c r="AC143" s="1007">
        <v>6</v>
      </c>
      <c r="AD143" s="1007" t="s">
        <v>776</v>
      </c>
      <c r="AE143" s="1007" t="s">
        <v>197</v>
      </c>
      <c r="AF143" s="1007" t="s">
        <v>77</v>
      </c>
      <c r="AG143" s="1007" t="s">
        <v>61</v>
      </c>
      <c r="AH143" s="1007" t="s">
        <v>78</v>
      </c>
      <c r="AI143" s="1008">
        <v>46066</v>
      </c>
      <c r="AJ143" s="1008">
        <v>46065</v>
      </c>
      <c r="AK143" s="1008">
        <v>46065</v>
      </c>
      <c r="AL143" s="1008">
        <v>46139</v>
      </c>
      <c r="AM143" s="1008">
        <v>46146</v>
      </c>
      <c r="AN143" s="1008">
        <v>46144</v>
      </c>
      <c r="AO143" s="1007" t="s">
        <v>402</v>
      </c>
      <c r="AP143" s="1007" t="s">
        <v>771</v>
      </c>
      <c r="AQ143" s="1007" t="s">
        <v>80</v>
      </c>
      <c r="AR143" s="1007" t="s">
        <v>777</v>
      </c>
      <c r="AS143" s="1007" t="s">
        <v>778</v>
      </c>
      <c r="AT143" s="1007" t="s">
        <v>778</v>
      </c>
      <c r="AU143" s="1007">
        <v>79</v>
      </c>
      <c r="AV143" s="1007" t="s">
        <v>197</v>
      </c>
      <c r="AW143" s="1008">
        <v>46144</v>
      </c>
      <c r="AX143" s="1007" t="s">
        <v>84</v>
      </c>
      <c r="AY143" s="1008">
        <v>46160</v>
      </c>
      <c r="AZ143" s="1007">
        <v>8</v>
      </c>
      <c r="BA143" s="1008">
        <v>46152</v>
      </c>
      <c r="BB143" s="1007">
        <v>2026</v>
      </c>
      <c r="BC143" s="1007">
        <v>5</v>
      </c>
      <c r="BD143" s="1007">
        <v>19</v>
      </c>
      <c r="BE143" s="1007">
        <v>36</v>
      </c>
      <c r="BF143" s="1007">
        <v>936</v>
      </c>
      <c r="BG143" s="1007" t="s">
        <v>94</v>
      </c>
      <c r="BH143" s="1007" t="s">
        <v>86</v>
      </c>
    </row>
    <row r="144" spans="1:60">
      <c r="A144" s="1007" t="s">
        <v>779</v>
      </c>
      <c r="B144" s="1007" t="s">
        <v>61</v>
      </c>
      <c r="C144" s="1007" t="s">
        <v>780</v>
      </c>
      <c r="D144" s="1007" t="s">
        <v>63</v>
      </c>
      <c r="E144" s="1007" t="s">
        <v>64</v>
      </c>
      <c r="F144" s="1007" t="s">
        <v>65</v>
      </c>
      <c r="G144" s="1007" t="s">
        <v>402</v>
      </c>
      <c r="H144" s="1007" t="s">
        <v>67</v>
      </c>
      <c r="I144" s="1007" t="s">
        <v>68</v>
      </c>
      <c r="J144" s="1007" t="s">
        <v>690</v>
      </c>
      <c r="M144" s="1007" t="s">
        <v>68</v>
      </c>
      <c r="N144" s="1007" t="s">
        <v>68</v>
      </c>
      <c r="O144" s="1007" t="s">
        <v>70</v>
      </c>
      <c r="P144" s="1007" t="s">
        <v>204</v>
      </c>
      <c r="Q144" s="1007" t="s">
        <v>205</v>
      </c>
      <c r="R144" s="1007" t="s">
        <v>73</v>
      </c>
      <c r="S144" s="1007" t="s">
        <v>74</v>
      </c>
      <c r="T144" s="1007">
        <v>455</v>
      </c>
      <c r="U144" s="1007">
        <v>5868</v>
      </c>
      <c r="V144" s="1007">
        <v>2.67</v>
      </c>
      <c r="W144" s="1007">
        <v>163</v>
      </c>
      <c r="X144" s="1007">
        <v>6.3</v>
      </c>
      <c r="Y144" s="1007" t="s">
        <v>75</v>
      </c>
      <c r="Z144" s="1007" t="s">
        <v>75</v>
      </c>
      <c r="AB144" s="1008">
        <v>46056</v>
      </c>
      <c r="AC144" s="1007">
        <v>6</v>
      </c>
      <c r="AD144" s="1007" t="s">
        <v>781</v>
      </c>
      <c r="AF144" s="1007" t="s">
        <v>77</v>
      </c>
      <c r="AG144" s="1007" t="s">
        <v>61</v>
      </c>
      <c r="AH144" s="1007" t="s">
        <v>78</v>
      </c>
      <c r="AI144" s="1008">
        <v>46066</v>
      </c>
      <c r="AJ144" s="1008">
        <v>46065</v>
      </c>
      <c r="AK144" s="1008">
        <v>46065</v>
      </c>
      <c r="AL144" s="1008">
        <v>46139</v>
      </c>
      <c r="AM144" s="1008">
        <v>46146</v>
      </c>
      <c r="AN144" s="1008">
        <v>46144</v>
      </c>
      <c r="AO144" s="1007" t="s">
        <v>402</v>
      </c>
      <c r="AP144" s="1007" t="s">
        <v>771</v>
      </c>
      <c r="AQ144" s="1007" t="s">
        <v>80</v>
      </c>
      <c r="AR144" s="1007" t="s">
        <v>777</v>
      </c>
      <c r="AS144" s="1007" t="s">
        <v>778</v>
      </c>
      <c r="AT144" s="1007" t="s">
        <v>778</v>
      </c>
      <c r="AU144" s="1007">
        <v>79</v>
      </c>
      <c r="AW144" s="1008">
        <v>46144</v>
      </c>
      <c r="AX144" s="1007" t="s">
        <v>84</v>
      </c>
      <c r="AY144" s="1008">
        <v>46160</v>
      </c>
      <c r="AZ144" s="1007">
        <v>8</v>
      </c>
      <c r="BA144" s="1008">
        <v>46152</v>
      </c>
      <c r="BB144" s="1007">
        <v>2026</v>
      </c>
      <c r="BC144" s="1007">
        <v>5</v>
      </c>
      <c r="BD144" s="1007">
        <v>19</v>
      </c>
      <c r="BE144" s="1007">
        <v>36</v>
      </c>
      <c r="BF144" s="1007">
        <v>936</v>
      </c>
      <c r="BG144" s="1007" t="s">
        <v>94</v>
      </c>
      <c r="BH144" s="1007" t="s">
        <v>86</v>
      </c>
    </row>
    <row r="145" spans="1:60">
      <c r="A145" s="1007" t="s">
        <v>782</v>
      </c>
      <c r="B145" s="1007" t="s">
        <v>61</v>
      </c>
      <c r="C145" s="1007" t="s">
        <v>688</v>
      </c>
      <c r="D145" s="1007" t="s">
        <v>63</v>
      </c>
      <c r="E145" s="1007" t="s">
        <v>64</v>
      </c>
      <c r="F145" s="1007" t="s">
        <v>65</v>
      </c>
      <c r="G145" s="1007" t="s">
        <v>402</v>
      </c>
      <c r="H145" s="1007" t="s">
        <v>67</v>
      </c>
      <c r="I145" s="1007" t="s">
        <v>68</v>
      </c>
      <c r="J145" s="1007" t="s">
        <v>690</v>
      </c>
      <c r="M145" s="1007" t="s">
        <v>68</v>
      </c>
      <c r="N145" s="1007" t="s">
        <v>68</v>
      </c>
      <c r="O145" s="1007" t="s">
        <v>70</v>
      </c>
      <c r="P145" s="1007" t="s">
        <v>691</v>
      </c>
      <c r="Q145" s="1007" t="s">
        <v>692</v>
      </c>
      <c r="R145" s="1007" t="s">
        <v>73</v>
      </c>
      <c r="S145" s="1007" t="s">
        <v>74</v>
      </c>
      <c r="T145" s="1007">
        <v>505</v>
      </c>
      <c r="U145" s="1007">
        <v>864</v>
      </c>
      <c r="V145" s="1007">
        <v>0.436</v>
      </c>
      <c r="W145" s="1007">
        <v>24</v>
      </c>
      <c r="X145" s="1007">
        <v>1</v>
      </c>
      <c r="Y145" s="1007" t="s">
        <v>75</v>
      </c>
      <c r="Z145" s="1007" t="s">
        <v>75</v>
      </c>
      <c r="AB145" s="1008">
        <v>46056</v>
      </c>
      <c r="AC145" s="1007">
        <v>6</v>
      </c>
      <c r="AD145" s="1007" t="s">
        <v>783</v>
      </c>
      <c r="AF145" s="1007" t="s">
        <v>77</v>
      </c>
      <c r="AG145" s="1007" t="s">
        <v>61</v>
      </c>
      <c r="AH145" s="1007" t="s">
        <v>78</v>
      </c>
      <c r="AI145" s="1008">
        <v>46066</v>
      </c>
      <c r="AJ145" s="1008">
        <v>46065</v>
      </c>
      <c r="AK145" s="1008">
        <v>46065</v>
      </c>
      <c r="AL145" s="1008">
        <v>46139</v>
      </c>
      <c r="AM145" s="1008">
        <v>46146</v>
      </c>
      <c r="AN145" s="1008">
        <v>46144</v>
      </c>
      <c r="AO145" s="1007" t="s">
        <v>402</v>
      </c>
      <c r="AP145" s="1007" t="s">
        <v>771</v>
      </c>
      <c r="AQ145" s="1007" t="s">
        <v>80</v>
      </c>
      <c r="AR145" s="1007" t="s">
        <v>777</v>
      </c>
      <c r="AS145" s="1007" t="s">
        <v>778</v>
      </c>
      <c r="AT145" s="1007" t="s">
        <v>778</v>
      </c>
      <c r="AU145" s="1007">
        <v>79</v>
      </c>
      <c r="AW145" s="1008">
        <v>46144</v>
      </c>
      <c r="AX145" s="1007" t="s">
        <v>84</v>
      </c>
      <c r="AY145" s="1008">
        <v>46160</v>
      </c>
      <c r="AZ145" s="1007">
        <v>8</v>
      </c>
      <c r="BA145" s="1008">
        <v>46152</v>
      </c>
      <c r="BB145" s="1007">
        <v>2026</v>
      </c>
      <c r="BC145" s="1007">
        <v>5</v>
      </c>
      <c r="BD145" s="1007">
        <v>19</v>
      </c>
      <c r="BE145" s="1007">
        <v>36</v>
      </c>
      <c r="BF145" s="1007">
        <v>864</v>
      </c>
      <c r="BG145" s="1007" t="s">
        <v>85</v>
      </c>
      <c r="BH145" s="1007" t="s">
        <v>86</v>
      </c>
    </row>
    <row r="146" spans="1:60">
      <c r="A146" s="1007" t="s">
        <v>784</v>
      </c>
      <c r="B146" s="1007" t="s">
        <v>77</v>
      </c>
      <c r="C146" s="1007" t="s">
        <v>688</v>
      </c>
      <c r="D146" s="1007" t="s">
        <v>63</v>
      </c>
      <c r="E146" s="1007" t="s">
        <v>64</v>
      </c>
      <c r="F146" s="1007" t="s">
        <v>65</v>
      </c>
      <c r="G146" s="1007" t="s">
        <v>402</v>
      </c>
      <c r="H146" s="1007" t="s">
        <v>67</v>
      </c>
      <c r="I146" s="1007" t="s">
        <v>68</v>
      </c>
      <c r="J146" s="1007" t="s">
        <v>690</v>
      </c>
      <c r="M146" s="1007" t="s">
        <v>68</v>
      </c>
      <c r="N146" s="1007">
        <v>46045</v>
      </c>
      <c r="O146" s="1007" t="s">
        <v>70</v>
      </c>
      <c r="P146" s="1007" t="s">
        <v>691</v>
      </c>
      <c r="Q146" s="1007" t="s">
        <v>692</v>
      </c>
      <c r="R146" s="1007" t="s">
        <v>73</v>
      </c>
      <c r="S146" s="1007" t="s">
        <v>74</v>
      </c>
      <c r="T146" s="1007">
        <v>505</v>
      </c>
      <c r="U146" s="1007">
        <v>864</v>
      </c>
      <c r="V146" s="1007">
        <v>0.436</v>
      </c>
      <c r="W146" s="1007">
        <v>24</v>
      </c>
      <c r="X146" s="1007">
        <v>1</v>
      </c>
      <c r="Y146" s="1007" t="s">
        <v>75</v>
      </c>
      <c r="Z146" s="1007" t="s">
        <v>75</v>
      </c>
      <c r="AB146" s="1008">
        <v>46056</v>
      </c>
      <c r="AC146" s="1007">
        <v>6</v>
      </c>
      <c r="AD146" s="1007" t="s">
        <v>785</v>
      </c>
      <c r="AF146" s="1007" t="s">
        <v>77</v>
      </c>
      <c r="AG146" s="1007" t="s">
        <v>61</v>
      </c>
      <c r="AH146" s="1007" t="s">
        <v>78</v>
      </c>
      <c r="AI146" s="1008">
        <v>46066</v>
      </c>
      <c r="AJ146" s="1008">
        <v>46065</v>
      </c>
      <c r="AK146" s="1008">
        <v>46065</v>
      </c>
      <c r="AL146" s="1008">
        <v>46139</v>
      </c>
      <c r="AM146" s="1008">
        <v>46146</v>
      </c>
      <c r="AN146" s="1008">
        <v>46144</v>
      </c>
      <c r="AO146" s="1007" t="s">
        <v>402</v>
      </c>
      <c r="AP146" s="1007" t="s">
        <v>771</v>
      </c>
      <c r="AQ146" s="1007" t="s">
        <v>80</v>
      </c>
      <c r="AR146" s="1007" t="s">
        <v>777</v>
      </c>
      <c r="AS146" s="1007" t="s">
        <v>778</v>
      </c>
      <c r="AT146" s="1007" t="s">
        <v>778</v>
      </c>
      <c r="AU146" s="1007">
        <v>79</v>
      </c>
      <c r="AW146" s="1008">
        <v>46144</v>
      </c>
      <c r="AX146" s="1007" t="s">
        <v>84</v>
      </c>
      <c r="AY146" s="1008">
        <v>46160</v>
      </c>
      <c r="AZ146" s="1007">
        <v>8</v>
      </c>
      <c r="BA146" s="1008">
        <v>46152</v>
      </c>
      <c r="BB146" s="1007">
        <v>2026</v>
      </c>
      <c r="BC146" s="1007">
        <v>5</v>
      </c>
      <c r="BD146" s="1007">
        <v>19</v>
      </c>
      <c r="BE146" s="1007">
        <v>36</v>
      </c>
      <c r="BF146" s="1007">
        <v>864</v>
      </c>
      <c r="BG146" s="1007" t="s">
        <v>85</v>
      </c>
      <c r="BH146" s="1007" t="s">
        <v>86</v>
      </c>
    </row>
    <row r="147" spans="1:60">
      <c r="A147" s="1007" t="s">
        <v>786</v>
      </c>
      <c r="B147" s="1007" t="s">
        <v>77</v>
      </c>
      <c r="C147" s="1007" t="s">
        <v>688</v>
      </c>
      <c r="D147" s="1007" t="s">
        <v>63</v>
      </c>
      <c r="E147" s="1007" t="s">
        <v>64</v>
      </c>
      <c r="F147" s="1007" t="s">
        <v>65</v>
      </c>
      <c r="G147" s="1007" t="s">
        <v>402</v>
      </c>
      <c r="H147" s="1007" t="s">
        <v>67</v>
      </c>
      <c r="I147" s="1007" t="s">
        <v>68</v>
      </c>
      <c r="J147" s="1007" t="s">
        <v>690</v>
      </c>
      <c r="M147" s="1007" t="s">
        <v>68</v>
      </c>
      <c r="N147" s="1007">
        <v>46045</v>
      </c>
      <c r="O147" s="1007" t="s">
        <v>70</v>
      </c>
      <c r="P147" s="1007" t="s">
        <v>691</v>
      </c>
      <c r="Q147" s="1007" t="s">
        <v>692</v>
      </c>
      <c r="R147" s="1007" t="s">
        <v>73</v>
      </c>
      <c r="S147" s="1007" t="s">
        <v>74</v>
      </c>
      <c r="T147" s="1007">
        <v>505</v>
      </c>
      <c r="U147" s="1007">
        <v>2592</v>
      </c>
      <c r="V147" s="1007">
        <v>1.3089999999999999</v>
      </c>
      <c r="W147" s="1007">
        <v>72</v>
      </c>
      <c r="X147" s="1007">
        <v>3</v>
      </c>
      <c r="Y147" s="1007" t="s">
        <v>75</v>
      </c>
      <c r="Z147" s="1007" t="s">
        <v>75</v>
      </c>
      <c r="AB147" s="1008">
        <v>46058</v>
      </c>
      <c r="AC147" s="1007">
        <v>6</v>
      </c>
      <c r="AD147" s="1007" t="s">
        <v>787</v>
      </c>
      <c r="AF147" s="1007" t="s">
        <v>77</v>
      </c>
      <c r="AG147" s="1007" t="s">
        <v>61</v>
      </c>
      <c r="AH147" s="1007" t="s">
        <v>78</v>
      </c>
      <c r="AI147" s="1008">
        <v>46066</v>
      </c>
      <c r="AJ147" s="1008">
        <v>46065</v>
      </c>
      <c r="AK147" s="1008">
        <v>46065</v>
      </c>
      <c r="AL147" s="1008">
        <v>46139</v>
      </c>
      <c r="AM147" s="1008">
        <v>46146</v>
      </c>
      <c r="AN147" s="1008">
        <v>46144</v>
      </c>
      <c r="AO147" s="1007" t="s">
        <v>402</v>
      </c>
      <c r="AP147" s="1007" t="s">
        <v>771</v>
      </c>
      <c r="AQ147" s="1007" t="s">
        <v>80</v>
      </c>
      <c r="AR147" s="1007" t="s">
        <v>788</v>
      </c>
      <c r="AS147" s="1007" t="s">
        <v>789</v>
      </c>
      <c r="AT147" s="1007" t="s">
        <v>789</v>
      </c>
      <c r="AU147" s="1007">
        <v>79</v>
      </c>
      <c r="AW147" s="1008">
        <v>46144</v>
      </c>
      <c r="AX147" s="1007" t="s">
        <v>84</v>
      </c>
      <c r="AY147" s="1008">
        <v>46160</v>
      </c>
      <c r="AZ147" s="1007">
        <v>8</v>
      </c>
      <c r="BA147" s="1008">
        <v>46152</v>
      </c>
      <c r="BB147" s="1007">
        <v>2026</v>
      </c>
      <c r="BC147" s="1007">
        <v>5</v>
      </c>
      <c r="BD147" s="1007">
        <v>19</v>
      </c>
      <c r="BE147" s="1007">
        <v>36</v>
      </c>
      <c r="BF147" s="1007">
        <v>864</v>
      </c>
      <c r="BG147" s="1007" t="s">
        <v>85</v>
      </c>
      <c r="BH147" s="1007" t="s">
        <v>86</v>
      </c>
    </row>
    <row r="148" spans="1:60">
      <c r="A148" s="1007" t="s">
        <v>790</v>
      </c>
      <c r="B148" s="1007" t="s">
        <v>61</v>
      </c>
      <c r="C148" s="1007" t="s">
        <v>203</v>
      </c>
      <c r="D148" s="1007" t="s">
        <v>63</v>
      </c>
      <c r="E148" s="1007" t="s">
        <v>64</v>
      </c>
      <c r="F148" s="1007" t="s">
        <v>100</v>
      </c>
      <c r="G148" s="1007" t="s">
        <v>402</v>
      </c>
      <c r="H148" s="1007" t="s">
        <v>67</v>
      </c>
      <c r="I148" s="1007" t="s">
        <v>68</v>
      </c>
      <c r="J148" s="1007" t="s">
        <v>483</v>
      </c>
      <c r="M148" s="1007" t="s">
        <v>68</v>
      </c>
      <c r="N148" s="1007">
        <v>46045</v>
      </c>
      <c r="O148" s="1007" t="s">
        <v>70</v>
      </c>
      <c r="P148" s="1007" t="s">
        <v>791</v>
      </c>
      <c r="Q148" s="1007" t="s">
        <v>571</v>
      </c>
      <c r="R148" s="1007" t="s">
        <v>73</v>
      </c>
      <c r="S148" s="1007" t="s">
        <v>120</v>
      </c>
      <c r="T148" s="1007">
        <v>445</v>
      </c>
      <c r="U148" s="1007">
        <v>4680</v>
      </c>
      <c r="V148" s="1007">
        <v>2.0830000000000002</v>
      </c>
      <c r="W148" s="1007">
        <v>130</v>
      </c>
      <c r="X148" s="1007">
        <v>5</v>
      </c>
      <c r="Y148" s="1007" t="s">
        <v>75</v>
      </c>
      <c r="Z148" s="1007" t="s">
        <v>75</v>
      </c>
      <c r="AB148" s="1008">
        <v>46057</v>
      </c>
      <c r="AC148" s="1007">
        <v>6</v>
      </c>
      <c r="AD148" s="1007" t="s">
        <v>792</v>
      </c>
      <c r="AF148" s="1007" t="s">
        <v>77</v>
      </c>
      <c r="AG148" s="1007" t="s">
        <v>61</v>
      </c>
      <c r="AH148" s="1007" t="s">
        <v>105</v>
      </c>
      <c r="AI148" s="1008">
        <v>46066</v>
      </c>
      <c r="AJ148" s="1008">
        <v>46065</v>
      </c>
      <c r="AK148" s="1008">
        <v>46065</v>
      </c>
      <c r="AL148" s="1008">
        <v>46119</v>
      </c>
      <c r="AM148" s="1008">
        <v>46141</v>
      </c>
      <c r="AN148" s="1008">
        <v>46137</v>
      </c>
      <c r="AO148" s="1007" t="s">
        <v>402</v>
      </c>
      <c r="AP148" s="1007" t="s">
        <v>771</v>
      </c>
      <c r="AQ148" s="1007" t="s">
        <v>80</v>
      </c>
      <c r="AR148" s="1007" t="s">
        <v>793</v>
      </c>
      <c r="AS148" s="1007" t="s">
        <v>794</v>
      </c>
      <c r="AT148" s="1007" t="s">
        <v>794</v>
      </c>
      <c r="AU148" s="1007">
        <v>72</v>
      </c>
      <c r="AW148" s="1008">
        <v>46137</v>
      </c>
      <c r="AX148" s="1007" t="s">
        <v>84</v>
      </c>
      <c r="AY148" s="1008">
        <v>46150</v>
      </c>
      <c r="AZ148" s="1007">
        <v>7</v>
      </c>
      <c r="BA148" s="1008">
        <v>46144</v>
      </c>
      <c r="BB148" s="1007">
        <v>2026</v>
      </c>
      <c r="BC148" s="1007">
        <v>5</v>
      </c>
      <c r="BD148" s="1007">
        <v>18</v>
      </c>
      <c r="BE148" s="1007">
        <v>36</v>
      </c>
      <c r="BF148" s="1007">
        <v>936</v>
      </c>
      <c r="BG148" s="1007" t="s">
        <v>85</v>
      </c>
      <c r="BH148" s="1007" t="s">
        <v>109</v>
      </c>
    </row>
    <row r="149" spans="1:60">
      <c r="A149" s="1007" t="s">
        <v>795</v>
      </c>
      <c r="B149" s="1007" t="s">
        <v>61</v>
      </c>
      <c r="C149" s="1007" t="s">
        <v>796</v>
      </c>
      <c r="D149" s="1007" t="s">
        <v>63</v>
      </c>
      <c r="E149" s="1007" t="s">
        <v>64</v>
      </c>
      <c r="F149" s="1007" t="s">
        <v>100</v>
      </c>
      <c r="G149" s="1007" t="s">
        <v>402</v>
      </c>
      <c r="H149" s="1007" t="s">
        <v>67</v>
      </c>
      <c r="I149" s="1007" t="s">
        <v>68</v>
      </c>
      <c r="J149" s="1007" t="s">
        <v>483</v>
      </c>
      <c r="M149" s="1007" t="s">
        <v>68</v>
      </c>
      <c r="N149" s="1007">
        <v>46045</v>
      </c>
      <c r="O149" s="1007" t="s">
        <v>70</v>
      </c>
      <c r="P149" s="1007" t="s">
        <v>570</v>
      </c>
      <c r="Q149" s="1007" t="s">
        <v>571</v>
      </c>
      <c r="R149" s="1007" t="s">
        <v>73</v>
      </c>
      <c r="S149" s="1007" t="s">
        <v>120</v>
      </c>
      <c r="T149" s="1007">
        <v>445</v>
      </c>
      <c r="U149" s="1007">
        <v>3744</v>
      </c>
      <c r="V149" s="1007">
        <v>1.6659999999999999</v>
      </c>
      <c r="W149" s="1007">
        <v>104</v>
      </c>
      <c r="X149" s="1007">
        <v>4</v>
      </c>
      <c r="Y149" s="1007" t="s">
        <v>75</v>
      </c>
      <c r="Z149" s="1007" t="s">
        <v>75</v>
      </c>
      <c r="AB149" s="1008">
        <v>46057</v>
      </c>
      <c r="AC149" s="1007">
        <v>6</v>
      </c>
      <c r="AD149" s="1007" t="s">
        <v>797</v>
      </c>
      <c r="AF149" s="1007" t="s">
        <v>77</v>
      </c>
      <c r="AG149" s="1007" t="s">
        <v>61</v>
      </c>
      <c r="AH149" s="1007" t="s">
        <v>105</v>
      </c>
      <c r="AI149" s="1008">
        <v>46066</v>
      </c>
      <c r="AJ149" s="1008">
        <v>46065</v>
      </c>
      <c r="AK149" s="1008">
        <v>46065</v>
      </c>
      <c r="AL149" s="1008">
        <v>46119</v>
      </c>
      <c r="AM149" s="1008">
        <v>46141</v>
      </c>
      <c r="AN149" s="1008">
        <v>46137</v>
      </c>
      <c r="AO149" s="1007" t="s">
        <v>402</v>
      </c>
      <c r="AP149" s="1007" t="s">
        <v>771</v>
      </c>
      <c r="AQ149" s="1007" t="s">
        <v>80</v>
      </c>
      <c r="AR149" s="1007" t="s">
        <v>793</v>
      </c>
      <c r="AS149" s="1007" t="s">
        <v>794</v>
      </c>
      <c r="AT149" s="1007" t="s">
        <v>794</v>
      </c>
      <c r="AU149" s="1007">
        <v>72</v>
      </c>
      <c r="AW149" s="1008">
        <v>46137</v>
      </c>
      <c r="AX149" s="1007" t="s">
        <v>84</v>
      </c>
      <c r="AY149" s="1008">
        <v>46150</v>
      </c>
      <c r="AZ149" s="1007">
        <v>7</v>
      </c>
      <c r="BA149" s="1008">
        <v>46144</v>
      </c>
      <c r="BB149" s="1007">
        <v>2026</v>
      </c>
      <c r="BC149" s="1007">
        <v>5</v>
      </c>
      <c r="BD149" s="1007">
        <v>18</v>
      </c>
      <c r="BE149" s="1007">
        <v>36</v>
      </c>
      <c r="BF149" s="1007">
        <v>936</v>
      </c>
      <c r="BG149" s="1007" t="s">
        <v>94</v>
      </c>
      <c r="BH149" s="1007" t="s">
        <v>109</v>
      </c>
    </row>
    <row r="150" spans="1:60">
      <c r="A150" s="1007" t="s">
        <v>193</v>
      </c>
      <c r="B150" s="1007" t="s">
        <v>61</v>
      </c>
      <c r="C150" s="1007" t="s">
        <v>203</v>
      </c>
      <c r="D150" s="1007" t="s">
        <v>63</v>
      </c>
      <c r="E150" s="1007" t="s">
        <v>64</v>
      </c>
      <c r="F150" s="1007" t="s">
        <v>100</v>
      </c>
      <c r="G150" s="1007" t="s">
        <v>402</v>
      </c>
      <c r="H150" s="1007" t="s">
        <v>67</v>
      </c>
      <c r="I150" s="1007" t="s">
        <v>68</v>
      </c>
      <c r="J150" s="1007" t="s">
        <v>483</v>
      </c>
      <c r="M150" s="1007" t="s">
        <v>68</v>
      </c>
      <c r="N150" s="1007">
        <v>46045</v>
      </c>
      <c r="O150" s="1007" t="s">
        <v>70</v>
      </c>
      <c r="P150" s="1007" t="s">
        <v>195</v>
      </c>
      <c r="Q150" s="1007" t="s">
        <v>196</v>
      </c>
      <c r="R150" s="1007" t="s">
        <v>73</v>
      </c>
      <c r="S150" s="1007" t="s">
        <v>74</v>
      </c>
      <c r="T150" s="1007">
        <v>450</v>
      </c>
      <c r="U150" s="1007">
        <v>4680</v>
      </c>
      <c r="V150" s="1007">
        <v>2.1059999999999999</v>
      </c>
      <c r="W150" s="1007">
        <v>130</v>
      </c>
      <c r="X150" s="1007">
        <v>5</v>
      </c>
      <c r="Y150" s="1007" t="s">
        <v>75</v>
      </c>
      <c r="Z150" s="1007" t="s">
        <v>75</v>
      </c>
      <c r="AB150" s="1008">
        <v>46057</v>
      </c>
      <c r="AC150" s="1007">
        <v>6</v>
      </c>
      <c r="AD150" s="1007" t="s">
        <v>798</v>
      </c>
      <c r="AF150" s="1007" t="s">
        <v>77</v>
      </c>
      <c r="AG150" s="1007" t="s">
        <v>61</v>
      </c>
      <c r="AH150" s="1007" t="s">
        <v>105</v>
      </c>
      <c r="AI150" s="1008">
        <v>46066</v>
      </c>
      <c r="AJ150" s="1008">
        <v>46065</v>
      </c>
      <c r="AK150" s="1008">
        <v>46065</v>
      </c>
      <c r="AL150" s="1008">
        <v>46119</v>
      </c>
      <c r="AM150" s="1008">
        <v>46141</v>
      </c>
      <c r="AN150" s="1008">
        <v>46137</v>
      </c>
      <c r="AO150" s="1007" t="s">
        <v>402</v>
      </c>
      <c r="AP150" s="1007" t="s">
        <v>771</v>
      </c>
      <c r="AQ150" s="1007" t="s">
        <v>80</v>
      </c>
      <c r="AR150" s="1007" t="s">
        <v>793</v>
      </c>
      <c r="AS150" s="1007" t="s">
        <v>794</v>
      </c>
      <c r="AT150" s="1007" t="s">
        <v>794</v>
      </c>
      <c r="AU150" s="1007">
        <v>72</v>
      </c>
      <c r="AW150" s="1008">
        <v>46137</v>
      </c>
      <c r="AX150" s="1007" t="s">
        <v>84</v>
      </c>
      <c r="AY150" s="1008">
        <v>46150</v>
      </c>
      <c r="AZ150" s="1007">
        <v>7</v>
      </c>
      <c r="BA150" s="1008">
        <v>46144</v>
      </c>
      <c r="BB150" s="1007">
        <v>2026</v>
      </c>
      <c r="BC150" s="1007">
        <v>5</v>
      </c>
      <c r="BD150" s="1007">
        <v>18</v>
      </c>
      <c r="BE150" s="1007">
        <v>36</v>
      </c>
      <c r="BF150" s="1007">
        <v>936</v>
      </c>
      <c r="BG150" s="1007" t="s">
        <v>85</v>
      </c>
      <c r="BH150" s="1007" t="s">
        <v>109</v>
      </c>
    </row>
    <row r="151" spans="1:60">
      <c r="A151" s="1007" t="s">
        <v>799</v>
      </c>
      <c r="B151" s="1007" t="s">
        <v>800</v>
      </c>
      <c r="C151" s="1007" t="s">
        <v>801</v>
      </c>
      <c r="D151" s="1007" t="s">
        <v>63</v>
      </c>
      <c r="E151" s="1007" t="s">
        <v>64</v>
      </c>
      <c r="F151" s="1007" t="s">
        <v>100</v>
      </c>
      <c r="G151" s="1007" t="s">
        <v>402</v>
      </c>
      <c r="H151" s="1007" t="s">
        <v>67</v>
      </c>
      <c r="I151" s="1007" t="s">
        <v>68</v>
      </c>
      <c r="J151" s="1007" t="s">
        <v>419</v>
      </c>
      <c r="M151" s="1007" t="s">
        <v>68</v>
      </c>
      <c r="N151" s="1007">
        <v>46045</v>
      </c>
      <c r="O151" s="1007" t="s">
        <v>70</v>
      </c>
      <c r="P151" s="1007" t="s">
        <v>420</v>
      </c>
      <c r="Q151" s="1007" t="s">
        <v>421</v>
      </c>
      <c r="R151" s="1007" t="s">
        <v>73</v>
      </c>
      <c r="S151" s="1007" t="s">
        <v>120</v>
      </c>
      <c r="T151" s="1007">
        <v>505</v>
      </c>
      <c r="U151" s="1007">
        <v>864</v>
      </c>
      <c r="V151" s="1007">
        <v>0.436</v>
      </c>
      <c r="W151" s="1007">
        <v>24</v>
      </c>
      <c r="X151" s="1007">
        <v>1</v>
      </c>
      <c r="Y151" s="1007" t="s">
        <v>75</v>
      </c>
      <c r="Z151" s="1007" t="s">
        <v>75</v>
      </c>
      <c r="AB151" s="1008">
        <v>46058</v>
      </c>
      <c r="AC151" s="1007">
        <v>6</v>
      </c>
      <c r="AD151" s="1007" t="s">
        <v>802</v>
      </c>
      <c r="AF151" s="1007" t="s">
        <v>77</v>
      </c>
      <c r="AG151" s="1007" t="s">
        <v>61</v>
      </c>
      <c r="AH151" s="1007" t="s">
        <v>105</v>
      </c>
      <c r="AI151" s="1008">
        <v>46066</v>
      </c>
      <c r="AJ151" s="1008">
        <v>46065</v>
      </c>
      <c r="AK151" s="1008">
        <v>46065</v>
      </c>
      <c r="AL151" s="1008">
        <v>46119</v>
      </c>
      <c r="AM151" s="1008">
        <v>46141</v>
      </c>
      <c r="AN151" s="1008">
        <v>46137</v>
      </c>
      <c r="AO151" s="1007" t="s">
        <v>402</v>
      </c>
      <c r="AP151" s="1007" t="s">
        <v>771</v>
      </c>
      <c r="AQ151" s="1007" t="s">
        <v>80</v>
      </c>
      <c r="AR151" s="1007" t="s">
        <v>803</v>
      </c>
      <c r="AS151" s="1007" t="s">
        <v>804</v>
      </c>
      <c r="AT151" s="1007" t="s">
        <v>804</v>
      </c>
      <c r="AU151" s="1007">
        <v>72</v>
      </c>
      <c r="AW151" s="1008">
        <v>46137</v>
      </c>
      <c r="AX151" s="1007" t="s">
        <v>84</v>
      </c>
      <c r="AY151" s="1008">
        <v>46150</v>
      </c>
      <c r="AZ151" s="1007">
        <v>7</v>
      </c>
      <c r="BA151" s="1008">
        <v>46144</v>
      </c>
      <c r="BB151" s="1007">
        <v>2026</v>
      </c>
      <c r="BC151" s="1007">
        <v>5</v>
      </c>
      <c r="BD151" s="1007">
        <v>18</v>
      </c>
      <c r="BE151" s="1007">
        <v>36</v>
      </c>
      <c r="BF151" s="1007">
        <v>864</v>
      </c>
      <c r="BG151" s="1007" t="s">
        <v>85</v>
      </c>
      <c r="BH151" s="1007" t="s">
        <v>109</v>
      </c>
    </row>
    <row r="152" spans="1:60">
      <c r="A152" s="1007" t="s">
        <v>805</v>
      </c>
      <c r="B152" s="1007" t="s">
        <v>61</v>
      </c>
      <c r="C152" s="1007" t="s">
        <v>418</v>
      </c>
      <c r="D152" s="1007" t="s">
        <v>63</v>
      </c>
      <c r="E152" s="1007" t="s">
        <v>64</v>
      </c>
      <c r="F152" s="1007" t="s">
        <v>100</v>
      </c>
      <c r="G152" s="1007" t="s">
        <v>402</v>
      </c>
      <c r="H152" s="1007" t="s">
        <v>67</v>
      </c>
      <c r="I152" s="1007" t="s">
        <v>68</v>
      </c>
      <c r="J152" s="1007" t="s">
        <v>419</v>
      </c>
      <c r="M152" s="1007" t="s">
        <v>68</v>
      </c>
      <c r="N152" s="1007">
        <v>46045</v>
      </c>
      <c r="O152" s="1007" t="s">
        <v>70</v>
      </c>
      <c r="P152" s="1007" t="s">
        <v>420</v>
      </c>
      <c r="Q152" s="1007" t="s">
        <v>421</v>
      </c>
      <c r="R152" s="1007" t="s">
        <v>73</v>
      </c>
      <c r="S152" s="1007" t="s">
        <v>120</v>
      </c>
      <c r="T152" s="1007">
        <v>505</v>
      </c>
      <c r="U152" s="1007">
        <v>3456</v>
      </c>
      <c r="V152" s="1007">
        <v>1.7450000000000001</v>
      </c>
      <c r="W152" s="1007">
        <v>96</v>
      </c>
      <c r="X152" s="1007">
        <v>4</v>
      </c>
      <c r="Y152" s="1007" t="s">
        <v>75</v>
      </c>
      <c r="Z152" s="1007" t="s">
        <v>75</v>
      </c>
      <c r="AB152" s="1008">
        <v>46058</v>
      </c>
      <c r="AC152" s="1007">
        <v>6</v>
      </c>
      <c r="AD152" s="1007" t="s">
        <v>806</v>
      </c>
      <c r="AF152" s="1007" t="s">
        <v>77</v>
      </c>
      <c r="AG152" s="1007" t="s">
        <v>61</v>
      </c>
      <c r="AH152" s="1007" t="s">
        <v>105</v>
      </c>
      <c r="AI152" s="1008">
        <v>46066</v>
      </c>
      <c r="AJ152" s="1008">
        <v>46065</v>
      </c>
      <c r="AK152" s="1008">
        <v>46065</v>
      </c>
      <c r="AL152" s="1008">
        <v>46119</v>
      </c>
      <c r="AM152" s="1008">
        <v>46141</v>
      </c>
      <c r="AN152" s="1008">
        <v>46137</v>
      </c>
      <c r="AO152" s="1007" t="s">
        <v>402</v>
      </c>
      <c r="AP152" s="1007" t="s">
        <v>771</v>
      </c>
      <c r="AQ152" s="1007" t="s">
        <v>80</v>
      </c>
      <c r="AR152" s="1007" t="s">
        <v>803</v>
      </c>
      <c r="AS152" s="1007" t="s">
        <v>804</v>
      </c>
      <c r="AT152" s="1007" t="s">
        <v>804</v>
      </c>
      <c r="AU152" s="1007">
        <v>72</v>
      </c>
      <c r="AW152" s="1008">
        <v>46137</v>
      </c>
      <c r="AX152" s="1007" t="s">
        <v>84</v>
      </c>
      <c r="AY152" s="1008">
        <v>46150</v>
      </c>
      <c r="AZ152" s="1007">
        <v>7</v>
      </c>
      <c r="BA152" s="1008">
        <v>46144</v>
      </c>
      <c r="BB152" s="1007">
        <v>2026</v>
      </c>
      <c r="BC152" s="1007">
        <v>5</v>
      </c>
      <c r="BD152" s="1007">
        <v>18</v>
      </c>
      <c r="BE152" s="1007">
        <v>36</v>
      </c>
      <c r="BF152" s="1007">
        <v>864</v>
      </c>
      <c r="BG152" s="1007" t="s">
        <v>85</v>
      </c>
      <c r="BH152" s="1007" t="s">
        <v>109</v>
      </c>
    </row>
    <row r="153" spans="1:60">
      <c r="A153" s="1007" t="s">
        <v>801</v>
      </c>
      <c r="B153" s="1007" t="s">
        <v>800</v>
      </c>
      <c r="C153" s="1007" t="s">
        <v>203</v>
      </c>
      <c r="D153" s="1007" t="s">
        <v>63</v>
      </c>
      <c r="E153" s="1007" t="s">
        <v>64</v>
      </c>
      <c r="F153" s="1007" t="s">
        <v>100</v>
      </c>
      <c r="G153" s="1007" t="s">
        <v>402</v>
      </c>
      <c r="H153" s="1007" t="s">
        <v>67</v>
      </c>
      <c r="I153" s="1007" t="s">
        <v>68</v>
      </c>
      <c r="J153" s="1007" t="s">
        <v>807</v>
      </c>
      <c r="M153" s="1007" t="s">
        <v>68</v>
      </c>
      <c r="N153" s="1007">
        <v>46045</v>
      </c>
      <c r="O153" s="1007" t="s">
        <v>70</v>
      </c>
      <c r="P153" s="1007" t="s">
        <v>420</v>
      </c>
      <c r="Q153" s="1007" t="s">
        <v>421</v>
      </c>
      <c r="R153" s="1007" t="s">
        <v>73</v>
      </c>
      <c r="S153" s="1007" t="s">
        <v>120</v>
      </c>
      <c r="T153" s="1007">
        <v>505</v>
      </c>
      <c r="U153" s="1007">
        <v>4320</v>
      </c>
      <c r="V153" s="1007">
        <v>2.1819999999999999</v>
      </c>
      <c r="W153" s="1007">
        <v>120</v>
      </c>
      <c r="X153" s="1007">
        <v>5</v>
      </c>
      <c r="Y153" s="1007" t="s">
        <v>75</v>
      </c>
      <c r="Z153" s="1007" t="s">
        <v>75</v>
      </c>
      <c r="AB153" s="1008">
        <v>46060</v>
      </c>
      <c r="AC153" s="1007">
        <v>6</v>
      </c>
      <c r="AD153" s="1007" t="s">
        <v>808</v>
      </c>
      <c r="AF153" s="1007" t="s">
        <v>77</v>
      </c>
      <c r="AG153" s="1007" t="s">
        <v>61</v>
      </c>
      <c r="AH153" s="1007" t="s">
        <v>105</v>
      </c>
      <c r="AI153" s="1008">
        <v>46066</v>
      </c>
      <c r="AJ153" s="1008">
        <v>46065</v>
      </c>
      <c r="AK153" s="1008">
        <v>46065</v>
      </c>
      <c r="AL153" s="1008">
        <v>46119</v>
      </c>
      <c r="AM153" s="1008">
        <v>46141</v>
      </c>
      <c r="AN153" s="1008">
        <v>46137</v>
      </c>
      <c r="AO153" s="1007" t="s">
        <v>402</v>
      </c>
      <c r="AP153" s="1007" t="s">
        <v>771</v>
      </c>
      <c r="AQ153" s="1007" t="s">
        <v>80</v>
      </c>
      <c r="AR153" s="1007" t="s">
        <v>809</v>
      </c>
      <c r="AS153" s="1007" t="s">
        <v>810</v>
      </c>
      <c r="AT153" s="1007" t="s">
        <v>810</v>
      </c>
      <c r="AU153" s="1007">
        <v>72</v>
      </c>
      <c r="AW153" s="1008">
        <v>46137</v>
      </c>
      <c r="AX153" s="1007" t="s">
        <v>84</v>
      </c>
      <c r="AY153" s="1008">
        <v>46150</v>
      </c>
      <c r="AZ153" s="1007">
        <v>7</v>
      </c>
      <c r="BA153" s="1008">
        <v>46144</v>
      </c>
      <c r="BB153" s="1007">
        <v>2026</v>
      </c>
      <c r="BC153" s="1007">
        <v>5</v>
      </c>
      <c r="BD153" s="1007">
        <v>18</v>
      </c>
      <c r="BE153" s="1007">
        <v>36</v>
      </c>
      <c r="BF153" s="1007">
        <v>864</v>
      </c>
      <c r="BG153" s="1007" t="s">
        <v>85</v>
      </c>
      <c r="BH153" s="1007" t="s">
        <v>109</v>
      </c>
    </row>
    <row r="154" spans="1:60">
      <c r="A154" s="1007" t="s">
        <v>811</v>
      </c>
      <c r="B154" s="1007" t="s">
        <v>800</v>
      </c>
      <c r="C154" s="1007" t="s">
        <v>801</v>
      </c>
      <c r="D154" s="1007" t="s">
        <v>63</v>
      </c>
      <c r="E154" s="1007" t="s">
        <v>64</v>
      </c>
      <c r="F154" s="1007" t="s">
        <v>450</v>
      </c>
      <c r="G154" s="1007" t="s">
        <v>402</v>
      </c>
      <c r="H154" s="1007" t="s">
        <v>451</v>
      </c>
      <c r="I154" s="1007" t="s">
        <v>68</v>
      </c>
      <c r="J154" s="1007" t="s">
        <v>812</v>
      </c>
      <c r="K154" s="1007" t="s">
        <v>328</v>
      </c>
      <c r="M154" s="1007" t="s">
        <v>68</v>
      </c>
      <c r="N154" s="1007">
        <v>46045</v>
      </c>
      <c r="O154" s="1007" t="s">
        <v>70</v>
      </c>
      <c r="P154" s="1007" t="s">
        <v>420</v>
      </c>
      <c r="Q154" s="1007" t="s">
        <v>421</v>
      </c>
      <c r="R154" s="1007" t="s">
        <v>73</v>
      </c>
      <c r="S154" s="1007" t="s">
        <v>120</v>
      </c>
      <c r="T154" s="1007">
        <v>505</v>
      </c>
      <c r="U154" s="1007">
        <v>864</v>
      </c>
      <c r="V154" s="1007">
        <v>0.436</v>
      </c>
      <c r="W154" s="1007">
        <v>24</v>
      </c>
      <c r="X154" s="1007">
        <v>1</v>
      </c>
      <c r="Y154" s="1007" t="s">
        <v>75</v>
      </c>
      <c r="Z154" s="1007" t="s">
        <v>75</v>
      </c>
      <c r="AB154" s="1008">
        <v>46061</v>
      </c>
      <c r="AC154" s="1007">
        <v>6</v>
      </c>
      <c r="AD154" s="1007" t="s">
        <v>813</v>
      </c>
      <c r="AF154" s="1007" t="s">
        <v>77</v>
      </c>
      <c r="AG154" s="1007" t="s">
        <v>61</v>
      </c>
      <c r="AH154" s="1007" t="s">
        <v>456</v>
      </c>
      <c r="AI154" s="1008">
        <v>46070</v>
      </c>
      <c r="AJ154" s="1008">
        <v>46072</v>
      </c>
      <c r="AK154" s="1008">
        <v>46072</v>
      </c>
      <c r="AL154" s="1008">
        <v>46131</v>
      </c>
      <c r="AM154" s="1008">
        <v>46138</v>
      </c>
      <c r="AN154" s="1008">
        <v>46138</v>
      </c>
      <c r="AO154" s="1007" t="s">
        <v>402</v>
      </c>
      <c r="AP154" s="1007" t="s">
        <v>814</v>
      </c>
      <c r="AQ154" s="1007" t="s">
        <v>80</v>
      </c>
      <c r="AR154" s="1007" t="s">
        <v>815</v>
      </c>
      <c r="AS154" s="1007" t="s">
        <v>816</v>
      </c>
      <c r="AT154" s="1007" t="s">
        <v>816</v>
      </c>
      <c r="AU154" s="1007">
        <v>66</v>
      </c>
      <c r="AW154" s="1008">
        <v>46138</v>
      </c>
      <c r="AX154" s="1007" t="s">
        <v>84</v>
      </c>
      <c r="AY154" s="1008">
        <v>46153</v>
      </c>
      <c r="AZ154" s="1007">
        <v>7</v>
      </c>
      <c r="BA154" s="1008">
        <v>46145</v>
      </c>
      <c r="BB154" s="1007">
        <v>2026</v>
      </c>
      <c r="BC154" s="1007">
        <v>5</v>
      </c>
      <c r="BD154" s="1007">
        <v>18</v>
      </c>
      <c r="BE154" s="1007">
        <v>36</v>
      </c>
      <c r="BF154" s="1007">
        <v>864</v>
      </c>
      <c r="BG154" s="1007" t="s">
        <v>85</v>
      </c>
      <c r="BH154" s="1007" t="s">
        <v>109</v>
      </c>
    </row>
    <row r="155" spans="1:60">
      <c r="A155" s="1007" t="s">
        <v>817</v>
      </c>
      <c r="B155" s="1007" t="s">
        <v>61</v>
      </c>
      <c r="C155" s="1007" t="s">
        <v>796</v>
      </c>
      <c r="D155" s="1007" t="s">
        <v>63</v>
      </c>
      <c r="E155" s="1007" t="s">
        <v>64</v>
      </c>
      <c r="F155" s="1007" t="s">
        <v>100</v>
      </c>
      <c r="G155" s="1007" t="s">
        <v>402</v>
      </c>
      <c r="H155" s="1007" t="s">
        <v>67</v>
      </c>
      <c r="I155" s="1007" t="s">
        <v>68</v>
      </c>
      <c r="J155" s="1007" t="s">
        <v>483</v>
      </c>
      <c r="M155" s="1007" t="s">
        <v>68</v>
      </c>
      <c r="N155" s="1007">
        <v>46045</v>
      </c>
      <c r="O155" s="1007" t="s">
        <v>70</v>
      </c>
      <c r="P155" s="1007" t="s">
        <v>570</v>
      </c>
      <c r="Q155" s="1007" t="s">
        <v>571</v>
      </c>
      <c r="R155" s="1007" t="s">
        <v>73</v>
      </c>
      <c r="S155" s="1007" t="s">
        <v>120</v>
      </c>
      <c r="T155" s="1007">
        <v>445</v>
      </c>
      <c r="U155" s="1007">
        <v>4680</v>
      </c>
      <c r="V155" s="1007">
        <v>2.0830000000000002</v>
      </c>
      <c r="W155" s="1007">
        <v>130</v>
      </c>
      <c r="X155" s="1007">
        <v>5</v>
      </c>
      <c r="Y155" s="1007" t="s">
        <v>75</v>
      </c>
      <c r="Z155" s="1007" t="s">
        <v>75</v>
      </c>
      <c r="AB155" s="1008">
        <v>46061</v>
      </c>
      <c r="AC155" s="1007">
        <v>6</v>
      </c>
      <c r="AD155" s="1007" t="s">
        <v>818</v>
      </c>
      <c r="AF155" s="1007" t="s">
        <v>77</v>
      </c>
      <c r="AG155" s="1007" t="s">
        <v>61</v>
      </c>
      <c r="AH155" s="1007" t="s">
        <v>105</v>
      </c>
      <c r="AI155" s="1008">
        <v>46066</v>
      </c>
      <c r="AJ155" s="1008">
        <v>46065</v>
      </c>
      <c r="AK155" s="1008">
        <v>46065</v>
      </c>
      <c r="AL155" s="1008">
        <v>46119</v>
      </c>
      <c r="AM155" s="1008">
        <v>46133</v>
      </c>
      <c r="AN155" s="1008">
        <v>46133</v>
      </c>
      <c r="AO155" s="1007" t="s">
        <v>402</v>
      </c>
      <c r="AP155" s="1007" t="s">
        <v>771</v>
      </c>
      <c r="AQ155" s="1007" t="s">
        <v>80</v>
      </c>
      <c r="AR155" s="1007" t="s">
        <v>819</v>
      </c>
      <c r="AS155" s="1007" t="s">
        <v>820</v>
      </c>
      <c r="AT155" s="1007" t="s">
        <v>820</v>
      </c>
      <c r="AU155" s="1007">
        <v>68</v>
      </c>
      <c r="AW155" s="1008">
        <v>46133</v>
      </c>
      <c r="AX155" s="1007" t="s">
        <v>84</v>
      </c>
      <c r="AY155" s="1008">
        <v>46147</v>
      </c>
      <c r="AZ155" s="1007">
        <v>7</v>
      </c>
      <c r="BA155" s="1008">
        <v>46140</v>
      </c>
      <c r="BB155" s="1007">
        <v>2026</v>
      </c>
      <c r="BC155" s="1007">
        <v>4</v>
      </c>
      <c r="BD155" s="1007">
        <v>18</v>
      </c>
      <c r="BE155" s="1007">
        <v>36</v>
      </c>
      <c r="BF155" s="1007">
        <v>936</v>
      </c>
      <c r="BG155" s="1007" t="s">
        <v>94</v>
      </c>
      <c r="BH155" s="1007" t="s">
        <v>109</v>
      </c>
    </row>
    <row r="156" spans="1:60">
      <c r="A156" s="1007" t="s">
        <v>821</v>
      </c>
      <c r="B156" s="1007" t="s">
        <v>111</v>
      </c>
      <c r="C156" s="1007" t="s">
        <v>376</v>
      </c>
      <c r="D156" s="1007" t="s">
        <v>113</v>
      </c>
      <c r="E156" s="1007" t="s">
        <v>64</v>
      </c>
      <c r="F156" s="1007" t="s">
        <v>65</v>
      </c>
      <c r="G156" s="1007" t="s">
        <v>402</v>
      </c>
      <c r="H156" s="1007" t="s">
        <v>67</v>
      </c>
      <c r="I156" s="1007" t="s">
        <v>822</v>
      </c>
      <c r="J156" s="1007" t="s">
        <v>377</v>
      </c>
      <c r="K156" s="1007" t="s">
        <v>328</v>
      </c>
      <c r="M156" s="1007" t="s">
        <v>68</v>
      </c>
      <c r="N156" s="1007" t="s">
        <v>68</v>
      </c>
      <c r="O156" s="1007" t="s">
        <v>70</v>
      </c>
      <c r="P156" s="1007" t="s">
        <v>378</v>
      </c>
      <c r="Q156" s="1007" t="s">
        <v>379</v>
      </c>
      <c r="R156" s="1007" t="s">
        <v>73</v>
      </c>
      <c r="S156" s="1007" t="s">
        <v>120</v>
      </c>
      <c r="T156" s="1007">
        <v>620</v>
      </c>
      <c r="U156" s="1007">
        <v>10800</v>
      </c>
      <c r="V156" s="1007">
        <v>6.6959999999999997</v>
      </c>
      <c r="W156" s="1007">
        <v>300</v>
      </c>
      <c r="X156" s="1007">
        <v>15</v>
      </c>
      <c r="Y156" s="1007" t="s">
        <v>75</v>
      </c>
      <c r="Z156" s="1007" t="s">
        <v>75</v>
      </c>
      <c r="AB156" s="1008">
        <v>46063</v>
      </c>
      <c r="AC156" s="1007">
        <v>7</v>
      </c>
      <c r="AD156" s="1007" t="s">
        <v>823</v>
      </c>
      <c r="AF156" s="1007" t="s">
        <v>122</v>
      </c>
      <c r="AG156" s="1007" t="s">
        <v>123</v>
      </c>
      <c r="AH156" s="1007" t="s">
        <v>356</v>
      </c>
      <c r="AI156" s="1008">
        <v>46068</v>
      </c>
      <c r="AJ156" s="1008">
        <v>46068</v>
      </c>
      <c r="AK156" s="1008">
        <v>46079</v>
      </c>
      <c r="AL156" s="1008">
        <v>46095</v>
      </c>
      <c r="AM156" s="1008">
        <v>46112</v>
      </c>
      <c r="AN156" s="1008">
        <v>46115</v>
      </c>
      <c r="AO156" s="1007" t="s">
        <v>402</v>
      </c>
      <c r="AP156" s="1007" t="s">
        <v>824</v>
      </c>
      <c r="AQ156" s="1007" t="s">
        <v>161</v>
      </c>
      <c r="AR156" s="1007" t="s">
        <v>825</v>
      </c>
      <c r="AS156" s="1007" t="s">
        <v>826</v>
      </c>
      <c r="AT156" s="1007" t="s">
        <v>826</v>
      </c>
      <c r="AU156" s="1007">
        <v>36</v>
      </c>
      <c r="AW156" s="1008">
        <v>46115</v>
      </c>
      <c r="AX156" s="1007" t="s">
        <v>84</v>
      </c>
      <c r="AY156" s="1008">
        <v>46127</v>
      </c>
      <c r="AZ156" s="1007">
        <v>8</v>
      </c>
      <c r="BA156" s="1008">
        <v>46123</v>
      </c>
      <c r="BB156" s="1007">
        <v>2026</v>
      </c>
      <c r="BC156" s="1007">
        <v>4</v>
      </c>
      <c r="BD156" s="1007">
        <v>15</v>
      </c>
      <c r="BE156" s="1007">
        <v>36</v>
      </c>
      <c r="BF156" s="1007">
        <v>720</v>
      </c>
      <c r="BG156" s="1007" t="s">
        <v>128</v>
      </c>
      <c r="BH156" s="1007" t="s">
        <v>109</v>
      </c>
    </row>
    <row r="157" spans="1:60">
      <c r="A157" s="1007" t="s">
        <v>827</v>
      </c>
      <c r="B157" s="1007" t="s">
        <v>111</v>
      </c>
      <c r="C157" s="1007" t="s">
        <v>168</v>
      </c>
      <c r="D157" s="1007" t="s">
        <v>63</v>
      </c>
      <c r="E157" s="1007" t="s">
        <v>64</v>
      </c>
      <c r="F157" s="1007" t="s">
        <v>100</v>
      </c>
      <c r="G157" s="1007" t="s">
        <v>66</v>
      </c>
      <c r="H157" s="1007" t="s">
        <v>67</v>
      </c>
      <c r="I157" s="1007" t="s">
        <v>68</v>
      </c>
      <c r="J157" s="1007" t="s">
        <v>169</v>
      </c>
      <c r="M157" s="1007" t="s">
        <v>68</v>
      </c>
      <c r="N157" s="1007" t="s">
        <v>68</v>
      </c>
      <c r="O157" s="1007" t="s">
        <v>70</v>
      </c>
      <c r="P157" s="1007" t="s">
        <v>171</v>
      </c>
      <c r="Q157" s="1007" t="s">
        <v>172</v>
      </c>
      <c r="R157" s="1007" t="s">
        <v>73</v>
      </c>
      <c r="S157" s="1007" t="s">
        <v>120</v>
      </c>
      <c r="T157" s="1007">
        <v>555</v>
      </c>
      <c r="U157" s="1007">
        <v>1320</v>
      </c>
      <c r="V157" s="1007">
        <v>0.73299999999999998</v>
      </c>
      <c r="W157" s="1007">
        <v>40</v>
      </c>
      <c r="X157" s="1007">
        <v>2</v>
      </c>
      <c r="Y157" s="1007" t="s">
        <v>75</v>
      </c>
      <c r="Z157" s="1007" t="s">
        <v>75</v>
      </c>
      <c r="AB157" s="1008">
        <v>46061</v>
      </c>
      <c r="AC157" s="1007">
        <v>6</v>
      </c>
      <c r="AD157" s="1007" t="s">
        <v>828</v>
      </c>
      <c r="AF157" s="1007" t="s">
        <v>122</v>
      </c>
      <c r="AG157" s="1007" t="s">
        <v>123</v>
      </c>
      <c r="AH157" s="1007" t="s">
        <v>105</v>
      </c>
      <c r="AI157" s="1008">
        <v>46067</v>
      </c>
      <c r="AJ157" s="1008">
        <v>46087</v>
      </c>
      <c r="AK157" s="1008">
        <v>46086</v>
      </c>
      <c r="AL157" s="1008">
        <v>46108</v>
      </c>
      <c r="AM157" s="1008">
        <v>46133</v>
      </c>
      <c r="AN157" s="1008">
        <v>46133</v>
      </c>
      <c r="AO157" s="1007" t="s">
        <v>402</v>
      </c>
      <c r="AP157" s="1007" t="s">
        <v>829</v>
      </c>
      <c r="AQ157" s="1007" t="s">
        <v>80</v>
      </c>
      <c r="AR157" s="1007" t="s">
        <v>830</v>
      </c>
      <c r="AS157" s="1007" t="s">
        <v>831</v>
      </c>
      <c r="AT157" s="1007" t="s">
        <v>831</v>
      </c>
      <c r="AU157" s="1007">
        <v>47</v>
      </c>
      <c r="AW157" s="1008">
        <v>46133</v>
      </c>
      <c r="AX157" s="1007" t="s">
        <v>84</v>
      </c>
      <c r="AY157" s="1008">
        <v>46147</v>
      </c>
      <c r="AZ157" s="1007">
        <v>7</v>
      </c>
      <c r="BA157" s="1008">
        <v>46140</v>
      </c>
      <c r="BB157" s="1007">
        <v>2026</v>
      </c>
      <c r="BC157" s="1007">
        <v>4</v>
      </c>
      <c r="BD157" s="1007">
        <v>18</v>
      </c>
      <c r="BE157" s="1007">
        <v>33</v>
      </c>
      <c r="BF157" s="1007">
        <v>660</v>
      </c>
      <c r="BG157" s="1007" t="s">
        <v>108</v>
      </c>
      <c r="BH157" s="1007" t="s">
        <v>109</v>
      </c>
    </row>
    <row r="158" spans="1:60">
      <c r="A158" s="1007" t="s">
        <v>832</v>
      </c>
      <c r="B158" s="1007" t="s">
        <v>111</v>
      </c>
      <c r="C158" s="1007" t="s">
        <v>376</v>
      </c>
      <c r="D158" s="1007" t="s">
        <v>113</v>
      </c>
      <c r="E158" s="1007" t="s">
        <v>64</v>
      </c>
      <c r="F158" s="1007" t="s">
        <v>65</v>
      </c>
      <c r="G158" s="1007" t="s">
        <v>402</v>
      </c>
      <c r="H158" s="1007" t="s">
        <v>67</v>
      </c>
      <c r="I158" s="1007" t="s">
        <v>68</v>
      </c>
      <c r="J158" s="1007" t="s">
        <v>377</v>
      </c>
      <c r="K158" s="1007" t="s">
        <v>328</v>
      </c>
      <c r="M158" s="1007" t="s">
        <v>68</v>
      </c>
      <c r="N158" s="1007">
        <v>46045</v>
      </c>
      <c r="O158" s="1007" t="s">
        <v>70</v>
      </c>
      <c r="P158" s="1007" t="s">
        <v>378</v>
      </c>
      <c r="Q158" s="1007" t="s">
        <v>379</v>
      </c>
      <c r="R158" s="1007" t="s">
        <v>73</v>
      </c>
      <c r="S158" s="1007" t="s">
        <v>120</v>
      </c>
      <c r="T158" s="1007">
        <v>620</v>
      </c>
      <c r="U158" s="1007">
        <v>5040</v>
      </c>
      <c r="V158" s="1007">
        <v>3.125</v>
      </c>
      <c r="W158" s="1007">
        <v>140</v>
      </c>
      <c r="X158" s="1007">
        <v>7</v>
      </c>
      <c r="Y158" s="1007" t="s">
        <v>75</v>
      </c>
      <c r="Z158" s="1007" t="s">
        <v>75</v>
      </c>
      <c r="AB158" s="1008">
        <v>46066</v>
      </c>
      <c r="AC158" s="1007">
        <v>7</v>
      </c>
      <c r="AD158" s="1007" t="s">
        <v>833</v>
      </c>
      <c r="AF158" s="1007" t="s">
        <v>122</v>
      </c>
      <c r="AG158" s="1007" t="s">
        <v>123</v>
      </c>
      <c r="AH158" s="1007" t="s">
        <v>78</v>
      </c>
      <c r="AI158" s="1008">
        <v>46071</v>
      </c>
      <c r="AJ158" s="1008">
        <v>46075</v>
      </c>
      <c r="AK158" s="1008">
        <v>46075</v>
      </c>
      <c r="AL158" s="1008">
        <v>46119</v>
      </c>
      <c r="AM158" s="1008">
        <v>46125</v>
      </c>
      <c r="AN158" s="1008">
        <v>46125</v>
      </c>
      <c r="AO158" s="1007" t="s">
        <v>402</v>
      </c>
      <c r="AP158" s="1007" t="s">
        <v>834</v>
      </c>
      <c r="AQ158" s="1007" t="s">
        <v>80</v>
      </c>
      <c r="AR158" s="1007" t="s">
        <v>835</v>
      </c>
      <c r="AS158" s="1007" t="s">
        <v>836</v>
      </c>
      <c r="AT158" s="1007" t="s">
        <v>836</v>
      </c>
      <c r="AU158" s="1007">
        <v>50</v>
      </c>
      <c r="AW158" s="1008">
        <v>46125</v>
      </c>
      <c r="AX158" s="1007" t="s">
        <v>84</v>
      </c>
      <c r="AY158" s="1008">
        <v>46133</v>
      </c>
      <c r="AZ158" s="1007">
        <v>8</v>
      </c>
      <c r="BA158" s="1008">
        <v>46133</v>
      </c>
      <c r="BB158" s="1007">
        <v>2026</v>
      </c>
      <c r="BC158" s="1007">
        <v>4</v>
      </c>
      <c r="BD158" s="1007">
        <v>17</v>
      </c>
      <c r="BE158" s="1007">
        <v>36</v>
      </c>
      <c r="BF158" s="1007">
        <v>720</v>
      </c>
      <c r="BG158" s="1007" t="s">
        <v>128</v>
      </c>
      <c r="BH158" s="1007" t="s">
        <v>86</v>
      </c>
    </row>
    <row r="159" spans="1:60">
      <c r="A159" s="1007" t="s">
        <v>837</v>
      </c>
      <c r="B159" s="1007" t="s">
        <v>111</v>
      </c>
      <c r="C159" s="1007" t="s">
        <v>838</v>
      </c>
      <c r="D159" s="1007" t="s">
        <v>63</v>
      </c>
      <c r="E159" s="1007" t="s">
        <v>144</v>
      </c>
      <c r="F159" s="1007" t="s">
        <v>145</v>
      </c>
      <c r="G159" s="1007" t="s">
        <v>402</v>
      </c>
      <c r="H159" s="1007" t="s">
        <v>593</v>
      </c>
      <c r="I159" s="1007" t="s">
        <v>68</v>
      </c>
      <c r="J159" s="1007" t="s">
        <v>594</v>
      </c>
      <c r="K159" s="1007" t="s">
        <v>839</v>
      </c>
      <c r="M159" s="1007" t="s">
        <v>840</v>
      </c>
      <c r="N159" s="1007">
        <v>46045</v>
      </c>
      <c r="O159" s="1007" t="s">
        <v>132</v>
      </c>
      <c r="P159" s="1007" t="s">
        <v>841</v>
      </c>
      <c r="Q159" s="1007" t="s">
        <v>842</v>
      </c>
      <c r="R159" s="1007" t="s">
        <v>73</v>
      </c>
      <c r="S159" s="1007" t="s">
        <v>120</v>
      </c>
      <c r="T159" s="1007">
        <v>515</v>
      </c>
      <c r="U159" s="1007">
        <v>3168</v>
      </c>
      <c r="V159" s="1007">
        <v>1.6319999999999999</v>
      </c>
      <c r="W159" s="1007">
        <v>88</v>
      </c>
      <c r="X159" s="1007">
        <v>4</v>
      </c>
      <c r="Y159" s="1007" t="s">
        <v>75</v>
      </c>
      <c r="Z159" s="1007" t="s">
        <v>75</v>
      </c>
      <c r="AB159" s="1008">
        <v>46060</v>
      </c>
      <c r="AC159" s="1007">
        <v>6</v>
      </c>
      <c r="AD159" s="1007" t="s">
        <v>843</v>
      </c>
      <c r="AF159" s="1007" t="s">
        <v>122</v>
      </c>
      <c r="AG159" s="1007" t="s">
        <v>123</v>
      </c>
      <c r="AH159" s="1007" t="s">
        <v>124</v>
      </c>
      <c r="AI159" s="1008">
        <v>46069</v>
      </c>
      <c r="AJ159" s="1008">
        <v>46072</v>
      </c>
      <c r="AK159" s="1008">
        <v>46072</v>
      </c>
      <c r="AL159" s="1008">
        <v>46121</v>
      </c>
      <c r="AM159" s="1008">
        <v>46123</v>
      </c>
      <c r="AN159" s="1008">
        <v>46127</v>
      </c>
      <c r="AO159" s="1007" t="s">
        <v>402</v>
      </c>
      <c r="AP159" s="1007" t="s">
        <v>844</v>
      </c>
      <c r="AQ159" s="1007" t="s">
        <v>80</v>
      </c>
      <c r="AR159" s="1007" t="s">
        <v>845</v>
      </c>
      <c r="AS159" s="1007" t="s">
        <v>846</v>
      </c>
      <c r="AT159" s="1007" t="s">
        <v>846</v>
      </c>
      <c r="AU159" s="1007">
        <v>55</v>
      </c>
      <c r="AW159" s="1008">
        <v>46127</v>
      </c>
      <c r="AX159" s="1007" t="s">
        <v>84</v>
      </c>
      <c r="AY159" s="1008">
        <v>46135</v>
      </c>
      <c r="AZ159" s="1007" t="s">
        <v>152</v>
      </c>
      <c r="BA159" s="1008">
        <v>46127</v>
      </c>
      <c r="BB159" s="1007">
        <v>2026</v>
      </c>
      <c r="BC159" s="1007">
        <v>4</v>
      </c>
      <c r="BD159" s="1007">
        <v>16</v>
      </c>
      <c r="BE159" s="1007">
        <v>36</v>
      </c>
      <c r="BF159" s="1007">
        <v>792</v>
      </c>
      <c r="BG159" s="1007" t="s">
        <v>108</v>
      </c>
      <c r="BH159" s="1007" t="s">
        <v>86</v>
      </c>
    </row>
    <row r="160" spans="1:60">
      <c r="A160" s="1007" t="s">
        <v>847</v>
      </c>
      <c r="B160" s="1007" t="s">
        <v>77</v>
      </c>
      <c r="C160" s="1007" t="s">
        <v>705</v>
      </c>
      <c r="D160" s="1007" t="s">
        <v>63</v>
      </c>
      <c r="E160" s="1007" t="s">
        <v>64</v>
      </c>
      <c r="F160" s="1007" t="s">
        <v>100</v>
      </c>
      <c r="G160" s="1007" t="s">
        <v>402</v>
      </c>
      <c r="H160" s="1007" t="s">
        <v>67</v>
      </c>
      <c r="I160" s="1007" t="s">
        <v>68</v>
      </c>
      <c r="J160" s="1007" t="s">
        <v>848</v>
      </c>
      <c r="M160" s="1007" t="s">
        <v>68</v>
      </c>
      <c r="N160" s="1007">
        <v>46045</v>
      </c>
      <c r="O160" s="1007" t="s">
        <v>70</v>
      </c>
      <c r="P160" s="1007" t="s">
        <v>706</v>
      </c>
      <c r="Q160" s="1007" t="s">
        <v>707</v>
      </c>
      <c r="R160" s="1007" t="s">
        <v>73</v>
      </c>
      <c r="S160" s="1007" t="s">
        <v>74</v>
      </c>
      <c r="T160" s="1007">
        <v>500</v>
      </c>
      <c r="U160" s="1007">
        <v>72</v>
      </c>
      <c r="V160" s="1007">
        <v>3.5999999999999997E-2</v>
      </c>
      <c r="W160" s="1007">
        <v>2</v>
      </c>
      <c r="X160" s="1007">
        <v>0.1</v>
      </c>
      <c r="Y160" s="1007" t="s">
        <v>75</v>
      </c>
      <c r="Z160" s="1007" t="s">
        <v>75</v>
      </c>
      <c r="AB160" s="1008">
        <v>46062</v>
      </c>
      <c r="AC160" s="1007">
        <v>7</v>
      </c>
      <c r="AD160" s="1007" t="s">
        <v>849</v>
      </c>
      <c r="AF160" s="1007" t="s">
        <v>77</v>
      </c>
      <c r="AG160" s="1007" t="s">
        <v>61</v>
      </c>
      <c r="AH160" s="1007" t="s">
        <v>105</v>
      </c>
      <c r="AI160" s="1008">
        <v>46080</v>
      </c>
      <c r="AJ160" s="1008">
        <v>46081</v>
      </c>
      <c r="AK160" s="1008">
        <v>46081</v>
      </c>
      <c r="AL160" s="1008">
        <v>46139</v>
      </c>
      <c r="AM160" s="1008">
        <v>46141</v>
      </c>
      <c r="AN160" s="1008">
        <v>46137</v>
      </c>
      <c r="AO160" s="1007" t="s">
        <v>402</v>
      </c>
      <c r="AP160" s="1007" t="s">
        <v>850</v>
      </c>
      <c r="AQ160" s="1007" t="s">
        <v>80</v>
      </c>
      <c r="AR160" s="1007" t="s">
        <v>851</v>
      </c>
      <c r="AS160" s="1007" t="s">
        <v>852</v>
      </c>
      <c r="AT160" s="1007" t="s">
        <v>852</v>
      </c>
      <c r="AU160" s="1007">
        <v>56</v>
      </c>
      <c r="AW160" s="1008">
        <v>46137</v>
      </c>
      <c r="AX160" s="1007" t="s">
        <v>84</v>
      </c>
      <c r="AY160" s="1008">
        <v>46150</v>
      </c>
      <c r="AZ160" s="1007">
        <v>7</v>
      </c>
      <c r="BA160" s="1008">
        <v>46144</v>
      </c>
      <c r="BB160" s="1007">
        <v>2026</v>
      </c>
      <c r="BC160" s="1007">
        <v>5</v>
      </c>
      <c r="BD160" s="1007">
        <v>18</v>
      </c>
      <c r="BE160" s="1007">
        <v>36</v>
      </c>
      <c r="BF160" s="1007">
        <v>864</v>
      </c>
      <c r="BG160" s="1007" t="s">
        <v>85</v>
      </c>
      <c r="BH160" s="1007" t="s">
        <v>109</v>
      </c>
    </row>
    <row r="161" spans="1:60">
      <c r="A161" s="1007" t="s">
        <v>688</v>
      </c>
      <c r="B161" s="1007" t="s">
        <v>77</v>
      </c>
      <c r="C161" s="1007" t="s">
        <v>203</v>
      </c>
      <c r="D161" s="1007" t="s">
        <v>63</v>
      </c>
      <c r="E161" s="1007" t="s">
        <v>64</v>
      </c>
      <c r="F161" s="1007" t="s">
        <v>100</v>
      </c>
      <c r="G161" s="1007" t="s">
        <v>402</v>
      </c>
      <c r="H161" s="1007" t="s">
        <v>67</v>
      </c>
      <c r="I161" s="1007" t="s">
        <v>68</v>
      </c>
      <c r="J161" s="1007" t="s">
        <v>853</v>
      </c>
      <c r="M161" s="1007" t="s">
        <v>68</v>
      </c>
      <c r="N161" s="1007">
        <v>46045</v>
      </c>
      <c r="O161" s="1007" t="s">
        <v>70</v>
      </c>
      <c r="P161" s="1007" t="s">
        <v>691</v>
      </c>
      <c r="Q161" s="1007" t="s">
        <v>692</v>
      </c>
      <c r="R161" s="1007" t="s">
        <v>73</v>
      </c>
      <c r="S161" s="1007" t="s">
        <v>74</v>
      </c>
      <c r="T161" s="1007">
        <v>505</v>
      </c>
      <c r="U161" s="1007">
        <v>36</v>
      </c>
      <c r="V161" s="1007">
        <v>1.7999999999999999E-2</v>
      </c>
      <c r="W161" s="1007">
        <v>1</v>
      </c>
      <c r="X161" s="1007">
        <v>0</v>
      </c>
      <c r="Y161" s="1007" t="s">
        <v>75</v>
      </c>
      <c r="Z161" s="1007" t="s">
        <v>75</v>
      </c>
      <c r="AB161" s="1008">
        <v>46062</v>
      </c>
      <c r="AC161" s="1007">
        <v>7</v>
      </c>
      <c r="AD161" s="1007" t="s">
        <v>854</v>
      </c>
      <c r="AF161" s="1007" t="s">
        <v>77</v>
      </c>
      <c r="AG161" s="1007" t="s">
        <v>61</v>
      </c>
      <c r="AH161" s="1007" t="s">
        <v>105</v>
      </c>
      <c r="AI161" s="1008">
        <v>46080</v>
      </c>
      <c r="AJ161" s="1008">
        <v>46081</v>
      </c>
      <c r="AK161" s="1008">
        <v>46081</v>
      </c>
      <c r="AL161" s="1008">
        <v>46139</v>
      </c>
      <c r="AM161" s="1008">
        <v>46141</v>
      </c>
      <c r="AN161" s="1008">
        <v>46137</v>
      </c>
      <c r="AO161" s="1007" t="s">
        <v>402</v>
      </c>
      <c r="AP161" s="1007" t="s">
        <v>850</v>
      </c>
      <c r="AQ161" s="1007" t="s">
        <v>80</v>
      </c>
      <c r="AR161" s="1007" t="s">
        <v>851</v>
      </c>
      <c r="AS161" s="1007" t="s">
        <v>852</v>
      </c>
      <c r="AT161" s="1007" t="s">
        <v>852</v>
      </c>
      <c r="AU161" s="1007">
        <v>56</v>
      </c>
      <c r="AW161" s="1008">
        <v>46137</v>
      </c>
      <c r="AX161" s="1007" t="s">
        <v>84</v>
      </c>
      <c r="AY161" s="1008">
        <v>46150</v>
      </c>
      <c r="AZ161" s="1007">
        <v>7</v>
      </c>
      <c r="BA161" s="1008">
        <v>46144</v>
      </c>
      <c r="BB161" s="1007">
        <v>2026</v>
      </c>
      <c r="BC161" s="1007">
        <v>5</v>
      </c>
      <c r="BD161" s="1007">
        <v>18</v>
      </c>
      <c r="BE161" s="1007">
        <v>36</v>
      </c>
      <c r="BF161" s="1007">
        <v>864</v>
      </c>
      <c r="BG161" s="1007" t="s">
        <v>85</v>
      </c>
      <c r="BH161" s="1007" t="s">
        <v>109</v>
      </c>
    </row>
    <row r="162" spans="1:60">
      <c r="A162" s="1007" t="s">
        <v>855</v>
      </c>
      <c r="B162" s="1007" t="s">
        <v>61</v>
      </c>
      <c r="C162" s="1007" t="s">
        <v>584</v>
      </c>
      <c r="D162" s="1007" t="s">
        <v>63</v>
      </c>
      <c r="E162" s="1007" t="s">
        <v>64</v>
      </c>
      <c r="F162" s="1007" t="s">
        <v>100</v>
      </c>
      <c r="G162" s="1007" t="s">
        <v>402</v>
      </c>
      <c r="H162" s="1007" t="s">
        <v>67</v>
      </c>
      <c r="I162" s="1007" t="s">
        <v>68</v>
      </c>
      <c r="J162" s="1007" t="s">
        <v>856</v>
      </c>
      <c r="M162" s="1007" t="s">
        <v>68</v>
      </c>
      <c r="N162" s="1007">
        <v>46045</v>
      </c>
      <c r="O162" s="1007" t="s">
        <v>70</v>
      </c>
      <c r="P162" s="1007" t="s">
        <v>585</v>
      </c>
      <c r="Q162" s="1007" t="s">
        <v>103</v>
      </c>
      <c r="R162" s="1007" t="s">
        <v>331</v>
      </c>
      <c r="S162" s="1007" t="s">
        <v>120</v>
      </c>
      <c r="T162" s="1007">
        <v>620</v>
      </c>
      <c r="U162" s="1007">
        <v>612</v>
      </c>
      <c r="V162" s="1007">
        <v>0.379</v>
      </c>
      <c r="W162" s="1007">
        <v>17</v>
      </c>
      <c r="X162" s="1007">
        <v>0.9</v>
      </c>
      <c r="Y162" s="1007" t="s">
        <v>75</v>
      </c>
      <c r="Z162" s="1007" t="s">
        <v>75</v>
      </c>
      <c r="AB162" s="1008">
        <v>46062</v>
      </c>
      <c r="AC162" s="1007">
        <v>7</v>
      </c>
      <c r="AD162" s="1007" t="s">
        <v>857</v>
      </c>
      <c r="AF162" s="1007" t="s">
        <v>77</v>
      </c>
      <c r="AG162" s="1007" t="s">
        <v>61</v>
      </c>
      <c r="AH162" s="1007" t="s">
        <v>105</v>
      </c>
      <c r="AI162" s="1008">
        <v>46080</v>
      </c>
      <c r="AJ162" s="1008">
        <v>46081</v>
      </c>
      <c r="AK162" s="1008">
        <v>46081</v>
      </c>
      <c r="AL162" s="1008">
        <v>46139</v>
      </c>
      <c r="AM162" s="1008">
        <v>46141</v>
      </c>
      <c r="AN162" s="1008">
        <v>46137</v>
      </c>
      <c r="AO162" s="1007" t="s">
        <v>402</v>
      </c>
      <c r="AP162" s="1007" t="s">
        <v>850</v>
      </c>
      <c r="AQ162" s="1007" t="s">
        <v>80</v>
      </c>
      <c r="AR162" s="1007" t="s">
        <v>851</v>
      </c>
      <c r="AS162" s="1007" t="s">
        <v>852</v>
      </c>
      <c r="AT162" s="1007" t="s">
        <v>852</v>
      </c>
      <c r="AU162" s="1007">
        <v>56</v>
      </c>
      <c r="AW162" s="1008">
        <v>46137</v>
      </c>
      <c r="AX162" s="1007" t="s">
        <v>84</v>
      </c>
      <c r="AY162" s="1008">
        <v>46150</v>
      </c>
      <c r="AZ162" s="1007">
        <v>7</v>
      </c>
      <c r="BA162" s="1008">
        <v>46144</v>
      </c>
      <c r="BB162" s="1007">
        <v>2026</v>
      </c>
      <c r="BC162" s="1007">
        <v>5</v>
      </c>
      <c r="BD162" s="1007">
        <v>18</v>
      </c>
      <c r="BE162" s="1007">
        <v>36</v>
      </c>
      <c r="BF162" s="1007">
        <v>720</v>
      </c>
      <c r="BG162" s="1007" t="s">
        <v>128</v>
      </c>
      <c r="BH162" s="1007" t="s">
        <v>109</v>
      </c>
    </row>
    <row r="163" spans="1:60">
      <c r="A163" s="1007" t="s">
        <v>858</v>
      </c>
      <c r="B163" s="1007" t="s">
        <v>77</v>
      </c>
      <c r="C163" s="1007" t="s">
        <v>203</v>
      </c>
      <c r="D163" s="1007" t="s">
        <v>63</v>
      </c>
      <c r="E163" s="1007" t="s">
        <v>64</v>
      </c>
      <c r="F163" s="1007" t="s">
        <v>65</v>
      </c>
      <c r="G163" s="1007" t="s">
        <v>402</v>
      </c>
      <c r="H163" s="1007" t="s">
        <v>67</v>
      </c>
      <c r="I163" s="1007" t="s">
        <v>68</v>
      </c>
      <c r="J163" s="1007" t="s">
        <v>859</v>
      </c>
      <c r="M163" s="1007" t="s">
        <v>68</v>
      </c>
      <c r="N163" s="1007" t="s">
        <v>68</v>
      </c>
      <c r="O163" s="1007" t="s">
        <v>70</v>
      </c>
      <c r="P163" s="1007" t="s">
        <v>860</v>
      </c>
      <c r="Q163" s="1007" t="s">
        <v>861</v>
      </c>
      <c r="R163" s="1007" t="s">
        <v>73</v>
      </c>
      <c r="S163" s="1007" t="s">
        <v>74</v>
      </c>
      <c r="T163" s="1007">
        <v>445</v>
      </c>
      <c r="U163" s="1007">
        <v>576</v>
      </c>
      <c r="V163" s="1007">
        <v>0.25600000000000001</v>
      </c>
      <c r="W163" s="1007">
        <v>16</v>
      </c>
      <c r="X163" s="1007">
        <v>0.6</v>
      </c>
      <c r="Y163" s="1007" t="s">
        <v>75</v>
      </c>
      <c r="Z163" s="1007" t="s">
        <v>75</v>
      </c>
      <c r="AB163" s="1008">
        <v>46062</v>
      </c>
      <c r="AC163" s="1007">
        <v>7</v>
      </c>
      <c r="AD163" s="1007" t="s">
        <v>862</v>
      </c>
      <c r="AF163" s="1007" t="s">
        <v>77</v>
      </c>
      <c r="AG163" s="1007" t="s">
        <v>61</v>
      </c>
      <c r="AH163" s="1007" t="s">
        <v>78</v>
      </c>
      <c r="AI163" s="1008">
        <v>46070</v>
      </c>
      <c r="AJ163" s="1008">
        <v>46072</v>
      </c>
      <c r="AK163" s="1008">
        <v>46072</v>
      </c>
      <c r="AL163" s="1008">
        <v>46146</v>
      </c>
      <c r="AM163" s="1008">
        <v>46153</v>
      </c>
      <c r="AN163" s="1008">
        <v>46159</v>
      </c>
      <c r="AO163" s="1007" t="s">
        <v>402</v>
      </c>
      <c r="AP163" s="1007" t="s">
        <v>814</v>
      </c>
      <c r="AQ163" s="1007" t="s">
        <v>80</v>
      </c>
      <c r="AR163" s="1007" t="s">
        <v>863</v>
      </c>
      <c r="AS163" s="1007" t="s">
        <v>864</v>
      </c>
      <c r="AT163" s="1007" t="s">
        <v>864</v>
      </c>
      <c r="AU163" s="1007">
        <v>87</v>
      </c>
      <c r="AW163" s="1008">
        <v>46159</v>
      </c>
      <c r="AX163" s="1007" t="s">
        <v>84</v>
      </c>
      <c r="AY163" s="1008">
        <v>46171</v>
      </c>
      <c r="AZ163" s="1007">
        <v>8</v>
      </c>
      <c r="BA163" s="1008">
        <v>46167</v>
      </c>
      <c r="BB163" s="1007">
        <v>2026</v>
      </c>
      <c r="BC163" s="1007">
        <v>5</v>
      </c>
      <c r="BD163" s="1007">
        <v>22</v>
      </c>
      <c r="BE163" s="1007">
        <v>36</v>
      </c>
      <c r="BF163" s="1007">
        <v>936</v>
      </c>
      <c r="BG163" s="1007" t="s">
        <v>94</v>
      </c>
      <c r="BH163" s="1007" t="s">
        <v>86</v>
      </c>
    </row>
    <row r="164" spans="1:60">
      <c r="A164" s="1007" t="s">
        <v>780</v>
      </c>
      <c r="B164" s="1007" t="s">
        <v>61</v>
      </c>
      <c r="C164" s="1007" t="s">
        <v>203</v>
      </c>
      <c r="D164" s="1007" t="s">
        <v>63</v>
      </c>
      <c r="E164" s="1007" t="s">
        <v>64</v>
      </c>
      <c r="F164" s="1007" t="s">
        <v>65</v>
      </c>
      <c r="G164" s="1007" t="s">
        <v>402</v>
      </c>
      <c r="H164" s="1007" t="s">
        <v>67</v>
      </c>
      <c r="I164" s="1007" t="s">
        <v>68</v>
      </c>
      <c r="J164" s="1007" t="s">
        <v>865</v>
      </c>
      <c r="M164" s="1007" t="s">
        <v>68</v>
      </c>
      <c r="N164" s="1007" t="s">
        <v>68</v>
      </c>
      <c r="O164" s="1007" t="s">
        <v>70</v>
      </c>
      <c r="P164" s="1007" t="s">
        <v>204</v>
      </c>
      <c r="Q164" s="1007" t="s">
        <v>205</v>
      </c>
      <c r="R164" s="1007" t="s">
        <v>73</v>
      </c>
      <c r="S164" s="1007" t="s">
        <v>74</v>
      </c>
      <c r="T164" s="1007">
        <v>455</v>
      </c>
      <c r="U164" s="1007">
        <v>360</v>
      </c>
      <c r="V164" s="1007">
        <v>0.16400000000000001</v>
      </c>
      <c r="W164" s="1007">
        <v>10</v>
      </c>
      <c r="X164" s="1007">
        <v>0.4</v>
      </c>
      <c r="Y164" s="1007" t="s">
        <v>75</v>
      </c>
      <c r="Z164" s="1007" t="s">
        <v>75</v>
      </c>
      <c r="AB164" s="1008">
        <v>46062</v>
      </c>
      <c r="AC164" s="1007">
        <v>7</v>
      </c>
      <c r="AD164" s="1007" t="s">
        <v>866</v>
      </c>
      <c r="AF164" s="1007" t="s">
        <v>77</v>
      </c>
      <c r="AG164" s="1007" t="s">
        <v>61</v>
      </c>
      <c r="AH164" s="1007" t="s">
        <v>78</v>
      </c>
      <c r="AI164" s="1008">
        <v>46070</v>
      </c>
      <c r="AJ164" s="1008">
        <v>46072</v>
      </c>
      <c r="AK164" s="1008">
        <v>46072</v>
      </c>
      <c r="AL164" s="1008">
        <v>46146</v>
      </c>
      <c r="AM164" s="1008">
        <v>46153</v>
      </c>
      <c r="AN164" s="1008">
        <v>46159</v>
      </c>
      <c r="AO164" s="1007" t="s">
        <v>402</v>
      </c>
      <c r="AP164" s="1007" t="s">
        <v>814</v>
      </c>
      <c r="AQ164" s="1007" t="s">
        <v>80</v>
      </c>
      <c r="AR164" s="1007" t="s">
        <v>863</v>
      </c>
      <c r="AS164" s="1007" t="s">
        <v>864</v>
      </c>
      <c r="AT164" s="1007" t="s">
        <v>864</v>
      </c>
      <c r="AU164" s="1007">
        <v>87</v>
      </c>
      <c r="AW164" s="1008">
        <v>46159</v>
      </c>
      <c r="AX164" s="1007" t="s">
        <v>84</v>
      </c>
      <c r="AY164" s="1008">
        <v>46171</v>
      </c>
      <c r="AZ164" s="1007">
        <v>8</v>
      </c>
      <c r="BA164" s="1008">
        <v>46167</v>
      </c>
      <c r="BB164" s="1007">
        <v>2026</v>
      </c>
      <c r="BC164" s="1007">
        <v>5</v>
      </c>
      <c r="BD164" s="1007">
        <v>22</v>
      </c>
      <c r="BE164" s="1007">
        <v>36</v>
      </c>
      <c r="BF164" s="1007">
        <v>936</v>
      </c>
      <c r="BG164" s="1007" t="s">
        <v>94</v>
      </c>
      <c r="BH164" s="1007" t="s">
        <v>86</v>
      </c>
    </row>
    <row r="165" spans="1:60">
      <c r="A165" s="1007" t="s">
        <v>867</v>
      </c>
      <c r="B165" s="1007" t="s">
        <v>61</v>
      </c>
      <c r="C165" s="1007" t="s">
        <v>203</v>
      </c>
      <c r="D165" s="1007" t="s">
        <v>63</v>
      </c>
      <c r="E165" s="1007" t="s">
        <v>144</v>
      </c>
      <c r="F165" s="1007" t="s">
        <v>145</v>
      </c>
      <c r="G165" s="1007" t="s">
        <v>402</v>
      </c>
      <c r="H165" s="1007" t="s">
        <v>868</v>
      </c>
      <c r="I165" s="1007" t="s">
        <v>869</v>
      </c>
      <c r="J165" s="1007" t="s">
        <v>147</v>
      </c>
      <c r="K165" s="1007" t="s">
        <v>870</v>
      </c>
      <c r="M165" s="1007" t="s">
        <v>840</v>
      </c>
      <c r="N165" s="1007">
        <v>46045</v>
      </c>
      <c r="O165" s="1007" t="s">
        <v>70</v>
      </c>
      <c r="P165" s="1007" t="s">
        <v>71</v>
      </c>
      <c r="Q165" s="1007" t="s">
        <v>72</v>
      </c>
      <c r="R165" s="1007" t="s">
        <v>73</v>
      </c>
      <c r="S165" s="1007" t="s">
        <v>74</v>
      </c>
      <c r="T165" s="1007">
        <v>500</v>
      </c>
      <c r="U165" s="1007">
        <v>864</v>
      </c>
      <c r="V165" s="1007">
        <v>0.432</v>
      </c>
      <c r="W165" s="1007">
        <v>24</v>
      </c>
      <c r="X165" s="1007">
        <v>1</v>
      </c>
      <c r="Y165" s="1007" t="s">
        <v>75</v>
      </c>
      <c r="Z165" s="1007" t="s">
        <v>75</v>
      </c>
      <c r="AB165" s="1008">
        <v>46079</v>
      </c>
      <c r="AC165" s="1007">
        <v>9</v>
      </c>
      <c r="AD165" s="1007" t="s">
        <v>871</v>
      </c>
      <c r="AF165" s="1007" t="s">
        <v>77</v>
      </c>
      <c r="AG165" s="1007" t="s">
        <v>61</v>
      </c>
      <c r="AH165" s="1007" t="s">
        <v>78</v>
      </c>
      <c r="AI165" s="1008">
        <v>46084</v>
      </c>
      <c r="AJ165" s="1008">
        <v>46084</v>
      </c>
      <c r="AK165" s="1008">
        <v>46084</v>
      </c>
      <c r="AL165" s="1008">
        <v>46160</v>
      </c>
      <c r="AM165" s="1008">
        <v>46169</v>
      </c>
      <c r="AN165" s="1008">
        <v>46165</v>
      </c>
      <c r="AO165" s="1007" t="s">
        <v>402</v>
      </c>
      <c r="AP165" s="1007" t="s">
        <v>872</v>
      </c>
      <c r="AQ165" s="1007" t="s">
        <v>80</v>
      </c>
      <c r="AR165" s="1007" t="s">
        <v>873</v>
      </c>
      <c r="AS165" s="1007" t="s">
        <v>874</v>
      </c>
      <c r="AT165" s="1007" t="s">
        <v>875</v>
      </c>
      <c r="AU165" s="1007">
        <v>81</v>
      </c>
      <c r="AW165" s="1008">
        <v>46165</v>
      </c>
      <c r="AX165" s="1007" t="s">
        <v>84</v>
      </c>
      <c r="AY165" s="1008">
        <v>46174</v>
      </c>
      <c r="AZ165" s="1007" t="s">
        <v>152</v>
      </c>
      <c r="BA165" s="1008">
        <v>46165</v>
      </c>
      <c r="BB165" s="1007">
        <v>2026</v>
      </c>
      <c r="BC165" s="1007">
        <v>5</v>
      </c>
      <c r="BD165" s="1007">
        <v>21</v>
      </c>
      <c r="BE165" s="1007">
        <v>36</v>
      </c>
      <c r="BF165" s="1007">
        <v>864</v>
      </c>
      <c r="BG165" s="1007" t="s">
        <v>85</v>
      </c>
      <c r="BH165" s="1007" t="s">
        <v>86</v>
      </c>
    </row>
    <row r="166" spans="1:60">
      <c r="A166" s="1007" t="s">
        <v>876</v>
      </c>
      <c r="B166" s="1007" t="s">
        <v>61</v>
      </c>
      <c r="C166" s="1007" t="s">
        <v>203</v>
      </c>
      <c r="D166" s="1007" t="s">
        <v>63</v>
      </c>
      <c r="E166" s="1007" t="s">
        <v>64</v>
      </c>
      <c r="F166" s="1007" t="s">
        <v>65</v>
      </c>
      <c r="G166" s="1007" t="s">
        <v>402</v>
      </c>
      <c r="H166" s="1007" t="s">
        <v>67</v>
      </c>
      <c r="I166" s="1007" t="s">
        <v>869</v>
      </c>
      <c r="J166" s="1007" t="s">
        <v>96</v>
      </c>
      <c r="M166" s="1007" t="s">
        <v>68</v>
      </c>
      <c r="N166" s="1007">
        <v>46045</v>
      </c>
      <c r="O166" s="1007" t="s">
        <v>70</v>
      </c>
      <c r="P166" s="1007" t="s">
        <v>71</v>
      </c>
      <c r="Q166" s="1007" t="s">
        <v>72</v>
      </c>
      <c r="R166" s="1007" t="s">
        <v>73</v>
      </c>
      <c r="S166" s="1007" t="s">
        <v>74</v>
      </c>
      <c r="T166" s="1007">
        <v>500</v>
      </c>
      <c r="U166" s="1007">
        <v>1728</v>
      </c>
      <c r="V166" s="1007">
        <v>0.86399999999999999</v>
      </c>
      <c r="W166" s="1007">
        <v>48</v>
      </c>
      <c r="X166" s="1007">
        <v>2</v>
      </c>
      <c r="Y166" s="1007" t="s">
        <v>75</v>
      </c>
      <c r="Z166" s="1007" t="s">
        <v>75</v>
      </c>
      <c r="AB166" s="1008">
        <v>46079</v>
      </c>
      <c r="AC166" s="1007">
        <v>9</v>
      </c>
      <c r="AD166" s="1007" t="s">
        <v>877</v>
      </c>
      <c r="AF166" s="1007" t="s">
        <v>77</v>
      </c>
      <c r="AG166" s="1007" t="s">
        <v>61</v>
      </c>
      <c r="AH166" s="1007" t="s">
        <v>78</v>
      </c>
      <c r="AI166" s="1008">
        <v>46084</v>
      </c>
      <c r="AJ166" s="1008">
        <v>46084</v>
      </c>
      <c r="AK166" s="1008">
        <v>46084</v>
      </c>
      <c r="AL166" s="1008">
        <v>46160</v>
      </c>
      <c r="AM166" s="1008">
        <v>46169</v>
      </c>
      <c r="AN166" s="1008">
        <v>46165</v>
      </c>
      <c r="AO166" s="1007" t="s">
        <v>402</v>
      </c>
      <c r="AP166" s="1007" t="s">
        <v>872</v>
      </c>
      <c r="AQ166" s="1007" t="s">
        <v>80</v>
      </c>
      <c r="AR166" s="1007" t="s">
        <v>878</v>
      </c>
      <c r="AS166" s="1007" t="s">
        <v>875</v>
      </c>
      <c r="AT166" s="1007" t="s">
        <v>875</v>
      </c>
      <c r="AU166" s="1007">
        <v>81</v>
      </c>
      <c r="AW166" s="1008">
        <v>46165</v>
      </c>
      <c r="AX166" s="1007" t="s">
        <v>84</v>
      </c>
      <c r="AY166" s="1008">
        <v>46177</v>
      </c>
      <c r="AZ166" s="1007">
        <v>8</v>
      </c>
      <c r="BA166" s="1008">
        <v>46173</v>
      </c>
      <c r="BB166" s="1007">
        <v>2026</v>
      </c>
      <c r="BC166" s="1007">
        <v>5</v>
      </c>
      <c r="BD166" s="1007">
        <v>22</v>
      </c>
      <c r="BE166" s="1007">
        <v>36</v>
      </c>
      <c r="BF166" s="1007">
        <v>864</v>
      </c>
      <c r="BG166" s="1007" t="s">
        <v>85</v>
      </c>
      <c r="BH166" s="1007" t="s">
        <v>86</v>
      </c>
    </row>
    <row r="167" spans="1:60">
      <c r="A167" s="1007" t="s">
        <v>62</v>
      </c>
      <c r="B167" s="1007" t="s">
        <v>61</v>
      </c>
      <c r="C167" s="1007" t="s">
        <v>203</v>
      </c>
      <c r="D167" s="1007" t="s">
        <v>63</v>
      </c>
      <c r="E167" s="1007" t="s">
        <v>64</v>
      </c>
      <c r="F167" s="1007" t="s">
        <v>65</v>
      </c>
      <c r="G167" s="1007" t="s">
        <v>402</v>
      </c>
      <c r="H167" s="1007" t="s">
        <v>67</v>
      </c>
      <c r="I167" s="1007" t="s">
        <v>869</v>
      </c>
      <c r="J167" s="1007" t="s">
        <v>96</v>
      </c>
      <c r="M167" s="1007" t="s">
        <v>68</v>
      </c>
      <c r="N167" s="1007">
        <v>46045</v>
      </c>
      <c r="O167" s="1007" t="s">
        <v>70</v>
      </c>
      <c r="P167" s="1007" t="s">
        <v>71</v>
      </c>
      <c r="Q167" s="1007" t="s">
        <v>72</v>
      </c>
      <c r="R167" s="1007" t="s">
        <v>73</v>
      </c>
      <c r="S167" s="1007" t="s">
        <v>74</v>
      </c>
      <c r="T167" s="1007">
        <v>500</v>
      </c>
      <c r="U167" s="1007">
        <v>1728</v>
      </c>
      <c r="V167" s="1007">
        <v>0.86399999999999999</v>
      </c>
      <c r="W167" s="1007">
        <v>48</v>
      </c>
      <c r="X167" s="1007">
        <v>2</v>
      </c>
      <c r="Y167" s="1007" t="s">
        <v>75</v>
      </c>
      <c r="Z167" s="1007" t="s">
        <v>75</v>
      </c>
      <c r="AB167" s="1008">
        <v>46079</v>
      </c>
      <c r="AC167" s="1007">
        <v>9</v>
      </c>
      <c r="AD167" s="1007" t="s">
        <v>879</v>
      </c>
      <c r="AF167" s="1007" t="s">
        <v>77</v>
      </c>
      <c r="AG167" s="1007" t="s">
        <v>61</v>
      </c>
      <c r="AH167" s="1007" t="s">
        <v>78</v>
      </c>
      <c r="AI167" s="1008">
        <v>46084</v>
      </c>
      <c r="AJ167" s="1008">
        <v>46084</v>
      </c>
      <c r="AK167" s="1008">
        <v>46084</v>
      </c>
      <c r="AL167" s="1008">
        <v>46160</v>
      </c>
      <c r="AM167" s="1008">
        <v>46169</v>
      </c>
      <c r="AN167" s="1008">
        <v>46165</v>
      </c>
      <c r="AO167" s="1007" t="s">
        <v>402</v>
      </c>
      <c r="AP167" s="1007" t="s">
        <v>872</v>
      </c>
      <c r="AQ167" s="1007" t="s">
        <v>80</v>
      </c>
      <c r="AR167" s="1007" t="s">
        <v>878</v>
      </c>
      <c r="AS167" s="1007" t="s">
        <v>875</v>
      </c>
      <c r="AT167" s="1007" t="s">
        <v>875</v>
      </c>
      <c r="AU167" s="1007">
        <v>81</v>
      </c>
      <c r="AW167" s="1008">
        <v>46165</v>
      </c>
      <c r="AX167" s="1007" t="s">
        <v>84</v>
      </c>
      <c r="AY167" s="1008">
        <v>46181</v>
      </c>
      <c r="AZ167" s="1007">
        <v>8</v>
      </c>
      <c r="BA167" s="1008">
        <v>46173</v>
      </c>
      <c r="BB167" s="1007">
        <v>2026</v>
      </c>
      <c r="BC167" s="1007">
        <v>5</v>
      </c>
      <c r="BD167" s="1007">
        <v>22</v>
      </c>
      <c r="BE167" s="1007">
        <v>36</v>
      </c>
      <c r="BF167" s="1007">
        <v>864</v>
      </c>
      <c r="BG167" s="1007" t="s">
        <v>85</v>
      </c>
      <c r="BH167" s="1007" t="s">
        <v>86</v>
      </c>
    </row>
    <row r="168" spans="1:60">
      <c r="A168" s="1007" t="s">
        <v>880</v>
      </c>
      <c r="B168" s="1007" t="s">
        <v>61</v>
      </c>
      <c r="C168" s="1007" t="s">
        <v>203</v>
      </c>
      <c r="D168" s="1007" t="s">
        <v>63</v>
      </c>
      <c r="E168" s="1007" t="s">
        <v>144</v>
      </c>
      <c r="F168" s="1007" t="s">
        <v>145</v>
      </c>
      <c r="G168" s="1007" t="s">
        <v>402</v>
      </c>
      <c r="H168" s="1007" t="s">
        <v>881</v>
      </c>
      <c r="I168" s="1007" t="s">
        <v>882</v>
      </c>
      <c r="J168" s="1007" t="s">
        <v>883</v>
      </c>
      <c r="K168" s="1007" t="s">
        <v>884</v>
      </c>
      <c r="M168" s="1007" t="s">
        <v>840</v>
      </c>
      <c r="N168" s="1007">
        <v>46045</v>
      </c>
      <c r="O168" s="1007" t="s">
        <v>70</v>
      </c>
      <c r="P168" s="1007" t="s">
        <v>885</v>
      </c>
      <c r="Q168" s="1007" t="s">
        <v>886</v>
      </c>
      <c r="R168" s="1007" t="s">
        <v>73</v>
      </c>
      <c r="S168" s="1007" t="s">
        <v>120</v>
      </c>
      <c r="T168" s="1007">
        <v>615</v>
      </c>
      <c r="U168" s="1007">
        <v>2880</v>
      </c>
      <c r="V168" s="1007">
        <v>1.7709999999999999</v>
      </c>
      <c r="W168" s="1007">
        <v>80</v>
      </c>
      <c r="X168" s="1007">
        <v>4</v>
      </c>
      <c r="Y168" s="1007" t="s">
        <v>75</v>
      </c>
      <c r="Z168" s="1007" t="s">
        <v>75</v>
      </c>
      <c r="AB168" s="1008">
        <v>46082</v>
      </c>
      <c r="AC168" s="1007">
        <v>9</v>
      </c>
      <c r="AD168" s="1007" t="s">
        <v>887</v>
      </c>
      <c r="AF168" s="1007" t="s">
        <v>77</v>
      </c>
      <c r="AG168" s="1007" t="s">
        <v>61</v>
      </c>
      <c r="AH168" s="1007" t="s">
        <v>888</v>
      </c>
      <c r="AI168" s="1008">
        <v>46088</v>
      </c>
      <c r="AJ168" s="1008">
        <v>46088</v>
      </c>
      <c r="AK168" s="1008">
        <v>46088</v>
      </c>
      <c r="AL168" s="1008">
        <v>46148</v>
      </c>
      <c r="AM168" s="1008">
        <v>46169</v>
      </c>
      <c r="AN168" s="1008">
        <v>46169</v>
      </c>
      <c r="AO168" s="1007" t="s">
        <v>402</v>
      </c>
      <c r="AP168" s="1007" t="s">
        <v>889</v>
      </c>
      <c r="AQ168" s="1007" t="s">
        <v>80</v>
      </c>
      <c r="AR168" s="1007" t="s">
        <v>890</v>
      </c>
      <c r="AS168" s="1007" t="s">
        <v>891</v>
      </c>
      <c r="AT168" s="1007" t="s">
        <v>891</v>
      </c>
      <c r="AU168" s="1007">
        <v>81</v>
      </c>
      <c r="AW168" s="1008">
        <v>46169</v>
      </c>
      <c r="AX168" s="1007" t="s">
        <v>84</v>
      </c>
      <c r="AY168" s="1008">
        <v>46162</v>
      </c>
      <c r="AZ168" s="1007" t="s">
        <v>152</v>
      </c>
      <c r="BA168" s="1008">
        <v>46169</v>
      </c>
      <c r="BB168" s="1007">
        <v>2026</v>
      </c>
      <c r="BC168" s="1007">
        <v>5</v>
      </c>
      <c r="BD168" s="1007">
        <v>22</v>
      </c>
      <c r="BE168" s="1007">
        <v>36</v>
      </c>
      <c r="BF168" s="1007">
        <v>720</v>
      </c>
      <c r="BG168" s="1007" t="s">
        <v>108</v>
      </c>
      <c r="BH168" s="1007" t="s">
        <v>109</v>
      </c>
    </row>
    <row r="169" spans="1:60">
      <c r="A169" s="1007" t="s">
        <v>892</v>
      </c>
      <c r="B169" s="1007" t="s">
        <v>111</v>
      </c>
      <c r="C169" s="1007" t="s">
        <v>376</v>
      </c>
      <c r="D169" s="1007" t="s">
        <v>113</v>
      </c>
      <c r="E169" s="1007" t="s">
        <v>64</v>
      </c>
      <c r="F169" s="1007" t="s">
        <v>65</v>
      </c>
      <c r="G169" s="1007" t="s">
        <v>402</v>
      </c>
      <c r="H169" s="1007" t="s">
        <v>67</v>
      </c>
      <c r="I169" s="1007" t="s">
        <v>822</v>
      </c>
      <c r="J169" s="1007" t="s">
        <v>377</v>
      </c>
      <c r="K169" s="1007" t="s">
        <v>328</v>
      </c>
      <c r="M169" s="1007" t="s">
        <v>68</v>
      </c>
      <c r="N169" s="1007">
        <v>46045</v>
      </c>
      <c r="O169" s="1007" t="s">
        <v>70</v>
      </c>
      <c r="P169" s="1007" t="s">
        <v>378</v>
      </c>
      <c r="Q169" s="1007" t="s">
        <v>379</v>
      </c>
      <c r="R169" s="1007" t="s">
        <v>73</v>
      </c>
      <c r="S169" s="1007" t="s">
        <v>120</v>
      </c>
      <c r="T169" s="1007">
        <v>620</v>
      </c>
      <c r="U169" s="1007">
        <v>8640</v>
      </c>
      <c r="V169" s="1007">
        <v>5.3570000000000002</v>
      </c>
      <c r="W169" s="1007">
        <v>240</v>
      </c>
      <c r="X169" s="1007">
        <v>12</v>
      </c>
      <c r="Y169" s="1007" t="s">
        <v>75</v>
      </c>
      <c r="Z169" s="1007" t="s">
        <v>75</v>
      </c>
      <c r="AB169" s="1008">
        <v>46078</v>
      </c>
      <c r="AC169" s="1007">
        <v>9</v>
      </c>
      <c r="AD169" s="1007" t="s">
        <v>893</v>
      </c>
      <c r="AF169" s="1007" t="s">
        <v>122</v>
      </c>
      <c r="AG169" s="1007" t="s">
        <v>123</v>
      </c>
      <c r="AH169" s="1007" t="s">
        <v>356</v>
      </c>
      <c r="AI169" s="1008">
        <v>46089</v>
      </c>
      <c r="AJ169" s="1008">
        <v>46097</v>
      </c>
      <c r="AK169" s="1008">
        <v>46089</v>
      </c>
      <c r="AL169" s="1008">
        <v>46126</v>
      </c>
      <c r="AM169" s="1008">
        <v>46126</v>
      </c>
      <c r="AN169" s="1008">
        <v>46124</v>
      </c>
      <c r="AO169" s="1007" t="s">
        <v>402</v>
      </c>
      <c r="AP169" s="1007" t="s">
        <v>894</v>
      </c>
      <c r="AQ169" s="1007" t="s">
        <v>161</v>
      </c>
      <c r="AR169" s="1007" t="s">
        <v>895</v>
      </c>
      <c r="AS169" s="1007" t="s">
        <v>896</v>
      </c>
      <c r="AT169" s="1007" t="s">
        <v>896</v>
      </c>
      <c r="AU169" s="1007">
        <v>35</v>
      </c>
      <c r="AW169" s="1008">
        <v>46124</v>
      </c>
      <c r="AX169" s="1007" t="s">
        <v>84</v>
      </c>
      <c r="AY169" s="1008">
        <v>46139</v>
      </c>
      <c r="AZ169" s="1007">
        <v>8</v>
      </c>
      <c r="BA169" s="1008">
        <v>46132</v>
      </c>
      <c r="BB169" s="1007">
        <v>2026</v>
      </c>
      <c r="BC169" s="1007">
        <v>4</v>
      </c>
      <c r="BD169" s="1007">
        <v>17</v>
      </c>
      <c r="BE169" s="1007">
        <v>36</v>
      </c>
      <c r="BF169" s="1007">
        <v>720</v>
      </c>
      <c r="BG169" s="1007" t="s">
        <v>128</v>
      </c>
      <c r="BH169" s="1007" t="s">
        <v>109</v>
      </c>
    </row>
    <row r="170" spans="1:60">
      <c r="A170" s="1007" t="s">
        <v>897</v>
      </c>
      <c r="B170" s="1007" t="s">
        <v>111</v>
      </c>
      <c r="C170" s="1007" t="s">
        <v>376</v>
      </c>
      <c r="D170" s="1007" t="s">
        <v>113</v>
      </c>
      <c r="E170" s="1007" t="s">
        <v>64</v>
      </c>
      <c r="F170" s="1007" t="s">
        <v>65</v>
      </c>
      <c r="G170" s="1007" t="s">
        <v>402</v>
      </c>
      <c r="H170" s="1007" t="s">
        <v>67</v>
      </c>
      <c r="I170" s="1007" t="s">
        <v>822</v>
      </c>
      <c r="J170" s="1007" t="s">
        <v>377</v>
      </c>
      <c r="K170" s="1007" t="s">
        <v>328</v>
      </c>
      <c r="M170" s="1007" t="s">
        <v>68</v>
      </c>
      <c r="N170" s="1007">
        <v>46045</v>
      </c>
      <c r="O170" s="1007" t="s">
        <v>70</v>
      </c>
      <c r="P170" s="1007" t="s">
        <v>378</v>
      </c>
      <c r="Q170" s="1007" t="s">
        <v>379</v>
      </c>
      <c r="R170" s="1007" t="s">
        <v>73</v>
      </c>
      <c r="S170" s="1007" t="s">
        <v>120</v>
      </c>
      <c r="T170" s="1007">
        <v>620</v>
      </c>
      <c r="U170" s="1007">
        <v>648</v>
      </c>
      <c r="V170" s="1007">
        <v>0.40200000000000002</v>
      </c>
      <c r="W170" s="1007">
        <v>18</v>
      </c>
      <c r="X170" s="1007">
        <v>0.9</v>
      </c>
      <c r="Y170" s="1007" t="s">
        <v>75</v>
      </c>
      <c r="Z170" s="1007" t="s">
        <v>75</v>
      </c>
      <c r="AB170" s="1008">
        <v>46078</v>
      </c>
      <c r="AC170" s="1007">
        <v>9</v>
      </c>
      <c r="AD170" s="1007" t="s">
        <v>898</v>
      </c>
      <c r="AF170" s="1007" t="s">
        <v>122</v>
      </c>
      <c r="AG170" s="1007" t="s">
        <v>123</v>
      </c>
      <c r="AH170" s="1007" t="s">
        <v>356</v>
      </c>
      <c r="AI170" s="1008">
        <v>46089</v>
      </c>
      <c r="AJ170" s="1008">
        <v>46088</v>
      </c>
      <c r="AK170" s="1008">
        <v>46089</v>
      </c>
      <c r="AL170" s="1008">
        <v>46126</v>
      </c>
      <c r="AM170" s="1008">
        <v>46126</v>
      </c>
      <c r="AN170" s="1008">
        <v>46124</v>
      </c>
      <c r="AO170" s="1007" t="s">
        <v>402</v>
      </c>
      <c r="AP170" s="1007" t="s">
        <v>899</v>
      </c>
      <c r="AQ170" s="1007" t="s">
        <v>80</v>
      </c>
      <c r="AR170" s="1007" t="s">
        <v>900</v>
      </c>
      <c r="AS170" s="1007" t="s">
        <v>901</v>
      </c>
      <c r="AT170" s="1007" t="s">
        <v>901</v>
      </c>
      <c r="AU170" s="1007">
        <v>35</v>
      </c>
      <c r="AW170" s="1008">
        <v>46124</v>
      </c>
      <c r="AX170" s="1007" t="s">
        <v>84</v>
      </c>
      <c r="AY170" s="1008">
        <v>46133</v>
      </c>
      <c r="AZ170" s="1007">
        <v>8</v>
      </c>
      <c r="BA170" s="1008">
        <v>46132</v>
      </c>
      <c r="BB170" s="1007">
        <v>2026</v>
      </c>
      <c r="BC170" s="1007">
        <v>4</v>
      </c>
      <c r="BD170" s="1007">
        <v>17</v>
      </c>
      <c r="BE170" s="1007">
        <v>36</v>
      </c>
      <c r="BF170" s="1007">
        <v>720</v>
      </c>
      <c r="BG170" s="1007" t="s">
        <v>128</v>
      </c>
      <c r="BH170" s="1007" t="s">
        <v>109</v>
      </c>
    </row>
    <row r="171" spans="1:60">
      <c r="A171" s="1007" t="s">
        <v>902</v>
      </c>
      <c r="B171" s="1007" t="s">
        <v>111</v>
      </c>
      <c r="C171" s="1007" t="s">
        <v>584</v>
      </c>
      <c r="D171" s="1007" t="s">
        <v>63</v>
      </c>
      <c r="E171" s="1007" t="s">
        <v>64</v>
      </c>
      <c r="F171" s="1007" t="s">
        <v>100</v>
      </c>
      <c r="G171" s="1007" t="s">
        <v>402</v>
      </c>
      <c r="H171" s="1007" t="s">
        <v>67</v>
      </c>
      <c r="I171" s="1007" t="s">
        <v>689</v>
      </c>
      <c r="J171" s="1007" t="s">
        <v>903</v>
      </c>
      <c r="M171" s="1007" t="s">
        <v>68</v>
      </c>
      <c r="N171" s="1007">
        <v>46073</v>
      </c>
      <c r="O171" s="1007" t="s">
        <v>70</v>
      </c>
      <c r="P171" s="1007" t="s">
        <v>585</v>
      </c>
      <c r="Q171" s="1007" t="s">
        <v>103</v>
      </c>
      <c r="R171" s="1007" t="s">
        <v>331</v>
      </c>
      <c r="S171" s="1007" t="s">
        <v>120</v>
      </c>
      <c r="T171" s="1007">
        <v>620</v>
      </c>
      <c r="U171" s="1007">
        <v>7200</v>
      </c>
      <c r="V171" s="1007">
        <v>4.4640000000000004</v>
      </c>
      <c r="W171" s="1007">
        <v>200</v>
      </c>
      <c r="X171" s="1007">
        <v>10</v>
      </c>
      <c r="Y171" s="1007" t="s">
        <v>75</v>
      </c>
      <c r="Z171" s="1007" t="s">
        <v>75</v>
      </c>
      <c r="AB171" s="1008">
        <v>46080</v>
      </c>
      <c r="AC171" s="1007">
        <v>9</v>
      </c>
      <c r="AD171" s="1007" t="s">
        <v>904</v>
      </c>
      <c r="AF171" s="1007" t="s">
        <v>122</v>
      </c>
      <c r="AG171" s="1007" t="s">
        <v>123</v>
      </c>
      <c r="AH171" s="1007" t="s">
        <v>105</v>
      </c>
      <c r="AI171" s="1008">
        <v>46091</v>
      </c>
      <c r="AJ171" s="1008">
        <v>46096</v>
      </c>
      <c r="AK171" s="1008">
        <v>46096</v>
      </c>
      <c r="AL171" s="1008">
        <v>46126</v>
      </c>
      <c r="AM171" s="1008">
        <v>46142</v>
      </c>
      <c r="AN171" s="1008">
        <v>46141</v>
      </c>
      <c r="AO171" s="1007" t="s">
        <v>402</v>
      </c>
      <c r="AP171" s="1007" t="s">
        <v>872</v>
      </c>
      <c r="AQ171" s="1007" t="s">
        <v>80</v>
      </c>
      <c r="AR171" s="1007" t="s">
        <v>905</v>
      </c>
      <c r="AS171" s="1007" t="s">
        <v>906</v>
      </c>
      <c r="AT171" s="1007" t="s">
        <v>906</v>
      </c>
      <c r="AU171" s="1007">
        <v>45</v>
      </c>
      <c r="AW171" s="1008">
        <v>46141</v>
      </c>
      <c r="AX171" s="1007" t="s">
        <v>84</v>
      </c>
      <c r="AY171" s="1008">
        <v>46163</v>
      </c>
      <c r="AZ171" s="1007">
        <v>7</v>
      </c>
      <c r="BA171" s="1008">
        <v>46148</v>
      </c>
      <c r="BB171" s="1007">
        <v>2026</v>
      </c>
      <c r="BC171" s="1007">
        <v>5</v>
      </c>
      <c r="BD171" s="1007">
        <v>19</v>
      </c>
      <c r="BE171" s="1007">
        <v>36</v>
      </c>
      <c r="BF171" s="1007">
        <v>720</v>
      </c>
      <c r="BG171" s="1007" t="s">
        <v>128</v>
      </c>
      <c r="BH171" s="1007" t="s">
        <v>109</v>
      </c>
    </row>
    <row r="172" spans="1:60">
      <c r="A172" s="1007" t="s">
        <v>907</v>
      </c>
      <c r="B172" s="1007" t="s">
        <v>111</v>
      </c>
      <c r="C172" s="1007" t="s">
        <v>584</v>
      </c>
      <c r="D172" s="1007" t="s">
        <v>63</v>
      </c>
      <c r="E172" s="1007" t="s">
        <v>64</v>
      </c>
      <c r="F172" s="1007" t="s">
        <v>100</v>
      </c>
      <c r="G172" s="1007" t="s">
        <v>402</v>
      </c>
      <c r="H172" s="1007" t="s">
        <v>67</v>
      </c>
      <c r="I172" s="1007" t="s">
        <v>689</v>
      </c>
      <c r="J172" s="1007" t="s">
        <v>101</v>
      </c>
      <c r="M172" s="1007" t="s">
        <v>68</v>
      </c>
      <c r="N172" s="1007">
        <v>46073</v>
      </c>
      <c r="O172" s="1007" t="s">
        <v>70</v>
      </c>
      <c r="P172" s="1007" t="s">
        <v>585</v>
      </c>
      <c r="Q172" s="1007" t="s">
        <v>103</v>
      </c>
      <c r="R172" s="1007" t="s">
        <v>331</v>
      </c>
      <c r="S172" s="1007" t="s">
        <v>120</v>
      </c>
      <c r="T172" s="1007">
        <v>620</v>
      </c>
      <c r="U172" s="1007">
        <v>5760</v>
      </c>
      <c r="V172" s="1007">
        <v>3.5710000000000002</v>
      </c>
      <c r="W172" s="1007">
        <v>160</v>
      </c>
      <c r="X172" s="1007">
        <v>8</v>
      </c>
      <c r="Y172" s="1007" t="s">
        <v>75</v>
      </c>
      <c r="Z172" s="1007" t="s">
        <v>75</v>
      </c>
      <c r="AB172" s="1008">
        <v>46081</v>
      </c>
      <c r="AC172" s="1007">
        <v>9</v>
      </c>
      <c r="AD172" s="1007" t="s">
        <v>908</v>
      </c>
      <c r="AF172" s="1007" t="s">
        <v>122</v>
      </c>
      <c r="AG172" s="1007" t="s">
        <v>123</v>
      </c>
      <c r="AH172" s="1007" t="s">
        <v>105</v>
      </c>
      <c r="AI172" s="1008">
        <v>46091</v>
      </c>
      <c r="AJ172" s="1008">
        <v>46096</v>
      </c>
      <c r="AK172" s="1008">
        <v>46096</v>
      </c>
      <c r="AL172" s="1008">
        <v>46126</v>
      </c>
      <c r="AM172" s="1008">
        <v>46142</v>
      </c>
      <c r="AN172" s="1008">
        <v>46141</v>
      </c>
      <c r="AO172" s="1007" t="s">
        <v>402</v>
      </c>
      <c r="AP172" s="1007" t="s">
        <v>872</v>
      </c>
      <c r="AQ172" s="1007" t="s">
        <v>80</v>
      </c>
      <c r="AR172" s="1007" t="s">
        <v>909</v>
      </c>
      <c r="AS172" s="1007" t="s">
        <v>910</v>
      </c>
      <c r="AT172" s="1007" t="s">
        <v>910</v>
      </c>
      <c r="AU172" s="1007">
        <v>45</v>
      </c>
      <c r="AW172" s="1008">
        <v>46141</v>
      </c>
      <c r="AX172" s="1007" t="s">
        <v>84</v>
      </c>
      <c r="AY172" s="1008">
        <v>46163</v>
      </c>
      <c r="AZ172" s="1007">
        <v>7</v>
      </c>
      <c r="BA172" s="1008">
        <v>46148</v>
      </c>
      <c r="BB172" s="1007">
        <v>2026</v>
      </c>
      <c r="BC172" s="1007">
        <v>5</v>
      </c>
      <c r="BD172" s="1007">
        <v>19</v>
      </c>
      <c r="BE172" s="1007">
        <v>36</v>
      </c>
      <c r="BF172" s="1007">
        <v>720</v>
      </c>
      <c r="BG172" s="1007" t="s">
        <v>128</v>
      </c>
      <c r="BH172" s="1007" t="s">
        <v>109</v>
      </c>
    </row>
    <row r="173" spans="1:60">
      <c r="A173" s="1007" t="s">
        <v>911</v>
      </c>
      <c r="B173" s="1007" t="s">
        <v>111</v>
      </c>
      <c r="C173" s="1007" t="s">
        <v>584</v>
      </c>
      <c r="D173" s="1007" t="s">
        <v>113</v>
      </c>
      <c r="E173" s="1007" t="s">
        <v>64</v>
      </c>
      <c r="F173" s="1007" t="s">
        <v>100</v>
      </c>
      <c r="G173" s="1007" t="s">
        <v>402</v>
      </c>
      <c r="H173" s="1007" t="s">
        <v>67</v>
      </c>
      <c r="I173" s="1007" t="s">
        <v>689</v>
      </c>
      <c r="J173" s="1007" t="s">
        <v>912</v>
      </c>
      <c r="M173" s="1007" t="s">
        <v>68</v>
      </c>
      <c r="N173" s="1007">
        <v>46073</v>
      </c>
      <c r="O173" s="1007" t="s">
        <v>70</v>
      </c>
      <c r="P173" s="1007" t="s">
        <v>585</v>
      </c>
      <c r="Q173" s="1007" t="s">
        <v>103</v>
      </c>
      <c r="R173" s="1007" t="s">
        <v>331</v>
      </c>
      <c r="S173" s="1007" t="s">
        <v>120</v>
      </c>
      <c r="T173" s="1007">
        <v>620</v>
      </c>
      <c r="U173" s="1007">
        <v>10800</v>
      </c>
      <c r="V173" s="1007">
        <v>6.6959999999999997</v>
      </c>
      <c r="W173" s="1007">
        <v>300</v>
      </c>
      <c r="X173" s="1007">
        <v>15</v>
      </c>
      <c r="Y173" s="1007" t="s">
        <v>75</v>
      </c>
      <c r="Z173" s="1007" t="s">
        <v>75</v>
      </c>
      <c r="AB173" s="1008">
        <v>46086</v>
      </c>
      <c r="AC173" s="1007">
        <v>10</v>
      </c>
      <c r="AD173" s="1007" t="s">
        <v>913</v>
      </c>
      <c r="AF173" s="1007" t="s">
        <v>122</v>
      </c>
      <c r="AG173" s="1007" t="s">
        <v>123</v>
      </c>
      <c r="AH173" s="1007" t="s">
        <v>105</v>
      </c>
      <c r="AI173" s="1008">
        <v>46096</v>
      </c>
      <c r="AJ173" s="1008">
        <v>46096</v>
      </c>
      <c r="AK173" s="1008">
        <v>46096</v>
      </c>
      <c r="AL173" s="1008">
        <v>46133</v>
      </c>
      <c r="AM173" s="1008">
        <v>46142</v>
      </c>
      <c r="AN173" s="1008">
        <v>46141</v>
      </c>
      <c r="AO173" s="1007" t="s">
        <v>402</v>
      </c>
      <c r="AP173" s="1007" t="s">
        <v>889</v>
      </c>
      <c r="AQ173" s="1007" t="s">
        <v>80</v>
      </c>
      <c r="AR173" s="1007" t="s">
        <v>914</v>
      </c>
      <c r="AS173" s="1007" t="s">
        <v>915</v>
      </c>
      <c r="AT173" s="1007" t="s">
        <v>915</v>
      </c>
      <c r="AU173" s="1007">
        <v>45</v>
      </c>
      <c r="AW173" s="1008">
        <v>46141</v>
      </c>
      <c r="AX173" s="1007" t="s">
        <v>84</v>
      </c>
      <c r="AY173" s="1008">
        <v>46163</v>
      </c>
      <c r="AZ173" s="1007">
        <v>7</v>
      </c>
      <c r="BA173" s="1008">
        <v>46148</v>
      </c>
      <c r="BB173" s="1007">
        <v>2026</v>
      </c>
      <c r="BC173" s="1007">
        <v>5</v>
      </c>
      <c r="BD173" s="1007">
        <v>19</v>
      </c>
      <c r="BE173" s="1007">
        <v>36</v>
      </c>
      <c r="BF173" s="1007">
        <v>720</v>
      </c>
      <c r="BG173" s="1007" t="s">
        <v>128</v>
      </c>
      <c r="BH173" s="1007" t="s">
        <v>109</v>
      </c>
    </row>
    <row r="174" spans="1:60">
      <c r="A174" s="1007" t="s">
        <v>916</v>
      </c>
      <c r="B174" s="1007" t="s">
        <v>111</v>
      </c>
      <c r="C174" s="1007" t="s">
        <v>584</v>
      </c>
      <c r="D174" s="1007" t="s">
        <v>63</v>
      </c>
      <c r="E174" s="1007" t="s">
        <v>64</v>
      </c>
      <c r="F174" s="1007" t="s">
        <v>100</v>
      </c>
      <c r="G174" s="1007" t="s">
        <v>402</v>
      </c>
      <c r="H174" s="1007" t="s">
        <v>67</v>
      </c>
      <c r="I174" s="1007" t="s">
        <v>689</v>
      </c>
      <c r="J174" s="1007" t="s">
        <v>917</v>
      </c>
      <c r="M174" s="1007" t="s">
        <v>68</v>
      </c>
      <c r="N174" s="1007">
        <v>46073</v>
      </c>
      <c r="O174" s="1007" t="s">
        <v>70</v>
      </c>
      <c r="P174" s="1007" t="s">
        <v>585</v>
      </c>
      <c r="Q174" s="1007" t="s">
        <v>103</v>
      </c>
      <c r="R174" s="1007" t="s">
        <v>331</v>
      </c>
      <c r="S174" s="1007" t="s">
        <v>120</v>
      </c>
      <c r="T174" s="1007">
        <v>620</v>
      </c>
      <c r="U174" s="1007">
        <v>5760</v>
      </c>
      <c r="V174" s="1007">
        <v>3.5710000000000002</v>
      </c>
      <c r="W174" s="1007">
        <v>160</v>
      </c>
      <c r="X174" s="1007">
        <v>8</v>
      </c>
      <c r="Y174" s="1007" t="s">
        <v>75</v>
      </c>
      <c r="Z174" s="1007" t="s">
        <v>75</v>
      </c>
      <c r="AB174" s="1008">
        <v>46092</v>
      </c>
      <c r="AC174" s="1007">
        <v>11</v>
      </c>
      <c r="AD174" s="1007" t="s">
        <v>918</v>
      </c>
      <c r="AF174" s="1007" t="s">
        <v>122</v>
      </c>
      <c r="AG174" s="1007" t="s">
        <v>123</v>
      </c>
      <c r="AH174" s="1007" t="s">
        <v>105</v>
      </c>
      <c r="AI174" s="1008">
        <v>46096</v>
      </c>
      <c r="AJ174" s="1008">
        <v>46103</v>
      </c>
      <c r="AK174" s="1008">
        <v>46103</v>
      </c>
      <c r="AL174" s="1008">
        <v>46133</v>
      </c>
      <c r="AM174" s="1008">
        <v>46150</v>
      </c>
      <c r="AN174" s="1008">
        <v>46148</v>
      </c>
      <c r="AO174" s="1007" t="s">
        <v>402</v>
      </c>
      <c r="AP174" s="1007" t="s">
        <v>889</v>
      </c>
      <c r="AQ174" s="1007" t="s">
        <v>80</v>
      </c>
      <c r="AR174" s="1007" t="s">
        <v>919</v>
      </c>
      <c r="AS174" s="1007" t="s">
        <v>920</v>
      </c>
      <c r="AT174" s="1007" t="s">
        <v>920</v>
      </c>
      <c r="AU174" s="1007">
        <v>45</v>
      </c>
      <c r="AW174" s="1008">
        <v>46148</v>
      </c>
      <c r="AX174" s="1007" t="s">
        <v>84</v>
      </c>
      <c r="AY174" s="1008">
        <v>46164</v>
      </c>
      <c r="AZ174" s="1007">
        <v>7</v>
      </c>
      <c r="BA174" s="1008">
        <v>46155</v>
      </c>
      <c r="BB174" s="1007">
        <v>2026</v>
      </c>
      <c r="BC174" s="1007">
        <v>5</v>
      </c>
      <c r="BD174" s="1007">
        <v>20</v>
      </c>
      <c r="BE174" s="1007">
        <v>36</v>
      </c>
      <c r="BF174" s="1007">
        <v>720</v>
      </c>
      <c r="BG174" s="1007" t="s">
        <v>128</v>
      </c>
      <c r="BH174" s="1007" t="s">
        <v>109</v>
      </c>
    </row>
    <row r="175" spans="1:60">
      <c r="A175" s="1007" t="s">
        <v>921</v>
      </c>
      <c r="B175" s="1007" t="s">
        <v>61</v>
      </c>
      <c r="C175" s="1007" t="s">
        <v>922</v>
      </c>
      <c r="D175" s="1007" t="s">
        <v>63</v>
      </c>
      <c r="E175" s="1007" t="s">
        <v>64</v>
      </c>
      <c r="F175" s="1007" t="s">
        <v>100</v>
      </c>
      <c r="G175" s="1007" t="s">
        <v>402</v>
      </c>
      <c r="H175" s="1007" t="s">
        <v>67</v>
      </c>
      <c r="I175" s="1007" t="s">
        <v>689</v>
      </c>
      <c r="J175" s="1007" t="s">
        <v>923</v>
      </c>
      <c r="M175" s="1007" t="s">
        <v>68</v>
      </c>
      <c r="N175" s="1007">
        <v>46045</v>
      </c>
      <c r="O175" s="1007" t="s">
        <v>70</v>
      </c>
      <c r="P175" s="1007" t="s">
        <v>885</v>
      </c>
      <c r="Q175" s="1007" t="s">
        <v>886</v>
      </c>
      <c r="R175" s="1007" t="s">
        <v>73</v>
      </c>
      <c r="S175" s="1007" t="s">
        <v>120</v>
      </c>
      <c r="T175" s="1007">
        <v>615</v>
      </c>
      <c r="U175" s="1007">
        <v>720</v>
      </c>
      <c r="V175" s="1007">
        <v>0.443</v>
      </c>
      <c r="W175" s="1007">
        <v>20</v>
      </c>
      <c r="X175" s="1007">
        <v>1</v>
      </c>
      <c r="Y175" s="1007" t="s">
        <v>75</v>
      </c>
      <c r="Z175" s="1007" t="s">
        <v>75</v>
      </c>
      <c r="AB175" s="1008">
        <v>46091</v>
      </c>
      <c r="AC175" s="1007">
        <v>11</v>
      </c>
      <c r="AD175" s="1007" t="s">
        <v>924</v>
      </c>
      <c r="AF175" s="1007" t="s">
        <v>77</v>
      </c>
      <c r="AG175" s="1007" t="s">
        <v>61</v>
      </c>
      <c r="AH175" s="1007" t="s">
        <v>105</v>
      </c>
      <c r="AI175" s="1008">
        <v>46095</v>
      </c>
      <c r="AJ175" s="1008">
        <v>46095</v>
      </c>
      <c r="AK175" s="1008">
        <v>46095</v>
      </c>
      <c r="AL175" s="1008">
        <v>46142</v>
      </c>
      <c r="AM175" s="1008">
        <v>46154</v>
      </c>
      <c r="AN175" s="1008">
        <v>46157</v>
      </c>
      <c r="AP175" s="1007" t="s">
        <v>925</v>
      </c>
      <c r="AQ175" s="1007" t="s">
        <v>80</v>
      </c>
      <c r="AR175" s="1007" t="s">
        <v>926</v>
      </c>
      <c r="AS175" s="1007" t="s">
        <v>927</v>
      </c>
      <c r="AT175" s="1007" t="s">
        <v>927</v>
      </c>
      <c r="AU175" s="1007">
        <v>62</v>
      </c>
      <c r="AW175" s="1008">
        <v>46157</v>
      </c>
      <c r="AX175" s="1007" t="s">
        <v>84</v>
      </c>
      <c r="AY175" s="1008">
        <v>46171</v>
      </c>
      <c r="AZ175" s="1007">
        <v>7</v>
      </c>
      <c r="BA175" s="1008">
        <v>46164</v>
      </c>
      <c r="BB175" s="1007">
        <v>2026</v>
      </c>
      <c r="BC175" s="1007">
        <v>5</v>
      </c>
      <c r="BD175" s="1007">
        <v>21</v>
      </c>
      <c r="BE175" s="1007">
        <v>36</v>
      </c>
      <c r="BF175" s="1007">
        <v>720</v>
      </c>
      <c r="BG175" s="1007" t="s">
        <v>108</v>
      </c>
      <c r="BH175" s="1007" t="s">
        <v>109</v>
      </c>
    </row>
    <row r="176" spans="1:60">
      <c r="A176" s="1007" t="s">
        <v>584</v>
      </c>
      <c r="B176" s="1007" t="s">
        <v>111</v>
      </c>
      <c r="C176" s="1007" t="s">
        <v>203</v>
      </c>
      <c r="D176" s="1007" t="s">
        <v>113</v>
      </c>
      <c r="E176" s="1007" t="s">
        <v>64</v>
      </c>
      <c r="F176" s="1007" t="s">
        <v>65</v>
      </c>
      <c r="G176" s="1007" t="s">
        <v>402</v>
      </c>
      <c r="H176" s="1007" t="s">
        <v>67</v>
      </c>
      <c r="I176" s="1007" t="s">
        <v>689</v>
      </c>
      <c r="J176" s="1007" t="s">
        <v>928</v>
      </c>
      <c r="M176" s="1007" t="s">
        <v>68</v>
      </c>
      <c r="N176" s="1007">
        <v>46073</v>
      </c>
      <c r="O176" s="1007" t="s">
        <v>70</v>
      </c>
      <c r="P176" s="1007" t="s">
        <v>585</v>
      </c>
      <c r="Q176" s="1007" t="s">
        <v>103</v>
      </c>
      <c r="R176" s="1007" t="s">
        <v>331</v>
      </c>
      <c r="S176" s="1007" t="s">
        <v>120</v>
      </c>
      <c r="T176" s="1007">
        <v>620</v>
      </c>
      <c r="U176" s="1007">
        <v>108</v>
      </c>
      <c r="V176" s="1007">
        <v>6.7000000000000004E-2</v>
      </c>
      <c r="W176" s="1007">
        <v>3</v>
      </c>
      <c r="X176" s="1007">
        <v>0.2</v>
      </c>
      <c r="Y176" s="1007" t="s">
        <v>75</v>
      </c>
      <c r="Z176" s="1007" t="s">
        <v>75</v>
      </c>
      <c r="AB176" s="1008">
        <v>46100</v>
      </c>
      <c r="AC176" s="1007">
        <v>12</v>
      </c>
      <c r="AD176" s="1007" t="s">
        <v>929</v>
      </c>
      <c r="AF176" s="1007" t="s">
        <v>122</v>
      </c>
      <c r="AG176" s="1007" t="s">
        <v>123</v>
      </c>
      <c r="AH176" s="1007" t="s">
        <v>78</v>
      </c>
      <c r="AI176" s="1008">
        <v>46105</v>
      </c>
      <c r="AJ176" s="1008">
        <v>46105</v>
      </c>
      <c r="AK176" s="1008">
        <v>46105</v>
      </c>
      <c r="AL176" s="1008">
        <v>46154</v>
      </c>
      <c r="AM176" s="1008">
        <v>46151</v>
      </c>
      <c r="AN176" s="1008">
        <v>46151</v>
      </c>
      <c r="AO176" s="1007" t="s">
        <v>402</v>
      </c>
      <c r="AP176" s="1007" t="s">
        <v>930</v>
      </c>
      <c r="AQ176" s="1007" t="s">
        <v>80</v>
      </c>
      <c r="AR176" s="1007" t="s">
        <v>931</v>
      </c>
      <c r="AS176" s="1007" t="s">
        <v>932</v>
      </c>
      <c r="AT176" s="1007" t="s">
        <v>932</v>
      </c>
      <c r="AU176" s="1007">
        <v>46</v>
      </c>
      <c r="AW176" s="1008">
        <v>46151</v>
      </c>
      <c r="AX176" s="1007" t="s">
        <v>84</v>
      </c>
      <c r="AY176" s="1008">
        <v>46173</v>
      </c>
      <c r="AZ176" s="1007">
        <v>8</v>
      </c>
      <c r="BA176" s="1008">
        <v>46159</v>
      </c>
      <c r="BB176" s="1007">
        <v>2026</v>
      </c>
      <c r="BC176" s="1007">
        <v>5</v>
      </c>
      <c r="BD176" s="1007">
        <v>20</v>
      </c>
      <c r="BE176" s="1007">
        <v>36</v>
      </c>
      <c r="BF176" s="1007">
        <v>720</v>
      </c>
      <c r="BG176" s="1007" t="s">
        <v>128</v>
      </c>
      <c r="BH176" s="1007" t="s">
        <v>86</v>
      </c>
    </row>
    <row r="177" spans="1:60">
      <c r="A177" s="1007" t="s">
        <v>401</v>
      </c>
      <c r="B177" s="1007" t="s">
        <v>111</v>
      </c>
      <c r="C177" s="1007" t="s">
        <v>203</v>
      </c>
      <c r="D177" s="1007" t="s">
        <v>63</v>
      </c>
      <c r="E177" s="1007" t="s">
        <v>64</v>
      </c>
      <c r="F177" s="1007" t="s">
        <v>65</v>
      </c>
      <c r="G177" s="1007" t="s">
        <v>402</v>
      </c>
      <c r="H177" s="1007" t="s">
        <v>67</v>
      </c>
      <c r="I177" s="1007" t="s">
        <v>689</v>
      </c>
      <c r="J177" s="1007" t="s">
        <v>933</v>
      </c>
      <c r="M177" s="1007" t="s">
        <v>68</v>
      </c>
      <c r="N177" s="1007">
        <v>46045</v>
      </c>
      <c r="O177" s="1007" t="s">
        <v>132</v>
      </c>
      <c r="P177" s="1007" t="s">
        <v>405</v>
      </c>
      <c r="Q177" s="1007" t="s">
        <v>406</v>
      </c>
      <c r="R177" s="1007" t="s">
        <v>73</v>
      </c>
      <c r="S177" s="1007" t="s">
        <v>120</v>
      </c>
      <c r="T177" s="1007">
        <v>510</v>
      </c>
      <c r="U177" s="1007">
        <v>252</v>
      </c>
      <c r="V177" s="1007">
        <v>0.129</v>
      </c>
      <c r="W177" s="1007">
        <v>7</v>
      </c>
      <c r="X177" s="1007">
        <v>0.3</v>
      </c>
      <c r="Y177" s="1007" t="s">
        <v>75</v>
      </c>
      <c r="Z177" s="1007" t="s">
        <v>75</v>
      </c>
      <c r="AB177" s="1008">
        <v>46100</v>
      </c>
      <c r="AC177" s="1007">
        <v>12</v>
      </c>
      <c r="AD177" s="1007" t="s">
        <v>934</v>
      </c>
      <c r="AF177" s="1007" t="s">
        <v>122</v>
      </c>
      <c r="AG177" s="1007" t="s">
        <v>123</v>
      </c>
      <c r="AH177" s="1007" t="s">
        <v>78</v>
      </c>
      <c r="AI177" s="1008">
        <v>46105</v>
      </c>
      <c r="AJ177" s="1008">
        <v>46105</v>
      </c>
      <c r="AK177" s="1008">
        <v>46105</v>
      </c>
      <c r="AL177" s="1008">
        <v>46154</v>
      </c>
      <c r="AM177" s="1008">
        <v>46151</v>
      </c>
      <c r="AN177" s="1008">
        <v>46151</v>
      </c>
      <c r="AO177" s="1007" t="s">
        <v>402</v>
      </c>
      <c r="AP177" s="1007" t="s">
        <v>930</v>
      </c>
      <c r="AQ177" s="1007" t="s">
        <v>80</v>
      </c>
      <c r="AR177" s="1007" t="s">
        <v>931</v>
      </c>
      <c r="AS177" s="1007" t="s">
        <v>932</v>
      </c>
      <c r="AT177" s="1007" t="s">
        <v>932</v>
      </c>
      <c r="AU177" s="1007">
        <v>46</v>
      </c>
      <c r="AW177" s="1008">
        <v>46151</v>
      </c>
      <c r="AX177" s="1007" t="s">
        <v>84</v>
      </c>
      <c r="AY177" s="1008">
        <v>46173</v>
      </c>
      <c r="AZ177" s="1007">
        <v>8</v>
      </c>
      <c r="BA177" s="1008">
        <v>46159</v>
      </c>
      <c r="BB177" s="1007">
        <v>2026</v>
      </c>
      <c r="BC177" s="1007">
        <v>5</v>
      </c>
      <c r="BD177" s="1007">
        <v>20</v>
      </c>
      <c r="BE177" s="1007">
        <v>36</v>
      </c>
      <c r="BF177" s="1007">
        <v>792</v>
      </c>
      <c r="BG177" s="1007" t="s">
        <v>108</v>
      </c>
      <c r="BH177" s="1007" t="s">
        <v>86</v>
      </c>
    </row>
    <row r="178" spans="1:60">
      <c r="A178" s="1007" t="s">
        <v>935</v>
      </c>
      <c r="B178" s="1007" t="s">
        <v>61</v>
      </c>
      <c r="C178" s="1007" t="s">
        <v>922</v>
      </c>
      <c r="D178" s="1007" t="s">
        <v>63</v>
      </c>
      <c r="E178" s="1007" t="s">
        <v>64</v>
      </c>
      <c r="F178" s="1007" t="s">
        <v>100</v>
      </c>
      <c r="G178" s="1007" t="s">
        <v>402</v>
      </c>
      <c r="H178" s="1007" t="s">
        <v>67</v>
      </c>
      <c r="I178" s="1007" t="s">
        <v>689</v>
      </c>
      <c r="J178" s="1007" t="s">
        <v>923</v>
      </c>
      <c r="M178" s="1007" t="s">
        <v>68</v>
      </c>
      <c r="N178" s="1007">
        <v>46045</v>
      </c>
      <c r="O178" s="1007" t="s">
        <v>70</v>
      </c>
      <c r="P178" s="1007" t="s">
        <v>885</v>
      </c>
      <c r="Q178" s="1007" t="s">
        <v>886</v>
      </c>
      <c r="R178" s="1007" t="s">
        <v>73</v>
      </c>
      <c r="S178" s="1007" t="s">
        <v>120</v>
      </c>
      <c r="T178" s="1007">
        <v>615</v>
      </c>
      <c r="U178" s="1007">
        <v>720</v>
      </c>
      <c r="V178" s="1007">
        <v>0.443</v>
      </c>
      <c r="W178" s="1007">
        <v>20</v>
      </c>
      <c r="X178" s="1007">
        <v>1</v>
      </c>
      <c r="Y178" s="1007" t="s">
        <v>75</v>
      </c>
      <c r="Z178" s="1007" t="s">
        <v>75</v>
      </c>
      <c r="AB178" s="1008">
        <v>46098</v>
      </c>
      <c r="AC178" s="1007">
        <v>12</v>
      </c>
      <c r="AD178" s="1007" t="s">
        <v>936</v>
      </c>
      <c r="AF178" s="1007" t="s">
        <v>77</v>
      </c>
      <c r="AG178" s="1007" t="s">
        <v>61</v>
      </c>
      <c r="AH178" s="1007" t="s">
        <v>105</v>
      </c>
      <c r="AI178" s="1008">
        <v>46103</v>
      </c>
      <c r="AJ178" s="1008">
        <v>46103</v>
      </c>
      <c r="AK178" s="1008">
        <v>46103</v>
      </c>
      <c r="AL178" s="1008">
        <v>46147</v>
      </c>
      <c r="AM178" s="1008">
        <v>46154</v>
      </c>
      <c r="AN178" s="1008">
        <v>46157</v>
      </c>
      <c r="AO178" s="1007" t="s">
        <v>402</v>
      </c>
      <c r="AP178" s="1007" t="s">
        <v>937</v>
      </c>
      <c r="AQ178" s="1007" t="s">
        <v>80</v>
      </c>
      <c r="AR178" s="1007" t="s">
        <v>938</v>
      </c>
      <c r="AS178" s="1007" t="s">
        <v>939</v>
      </c>
      <c r="AT178" s="1007" t="s">
        <v>939</v>
      </c>
      <c r="AU178" s="1007">
        <v>54</v>
      </c>
      <c r="AW178" s="1008">
        <v>46157</v>
      </c>
      <c r="AX178" s="1007" t="s">
        <v>84</v>
      </c>
      <c r="AY178" s="1008">
        <v>46171</v>
      </c>
      <c r="AZ178" s="1007">
        <v>7</v>
      </c>
      <c r="BA178" s="1008">
        <v>46164</v>
      </c>
      <c r="BB178" s="1007">
        <v>2026</v>
      </c>
      <c r="BC178" s="1007">
        <v>5</v>
      </c>
      <c r="BD178" s="1007">
        <v>21</v>
      </c>
      <c r="BE178" s="1007">
        <v>36</v>
      </c>
      <c r="BF178" s="1007">
        <v>720</v>
      </c>
      <c r="BG178" s="1007" t="s">
        <v>108</v>
      </c>
      <c r="BH178" s="1007" t="s">
        <v>109</v>
      </c>
    </row>
    <row r="179" spans="1:60">
      <c r="A179" s="1007" t="s">
        <v>940</v>
      </c>
      <c r="B179" s="1007" t="s">
        <v>111</v>
      </c>
      <c r="C179" s="1007" t="s">
        <v>203</v>
      </c>
      <c r="D179" s="1007" t="s">
        <v>63</v>
      </c>
      <c r="E179" s="1007" t="s">
        <v>144</v>
      </c>
      <c r="F179" s="1007" t="s">
        <v>145</v>
      </c>
      <c r="G179" s="1007" t="s">
        <v>68</v>
      </c>
      <c r="H179" s="1007" t="s">
        <v>941</v>
      </c>
      <c r="I179" s="1007" t="s">
        <v>689</v>
      </c>
      <c r="J179" s="1007" t="s">
        <v>942</v>
      </c>
      <c r="M179" s="1007" t="s">
        <v>68</v>
      </c>
      <c r="N179" s="1007">
        <v>46045</v>
      </c>
      <c r="O179" s="1007" t="s">
        <v>70</v>
      </c>
      <c r="P179" s="1007" t="s">
        <v>943</v>
      </c>
      <c r="Q179" s="1007" t="s">
        <v>886</v>
      </c>
      <c r="R179" s="1007" t="s">
        <v>73</v>
      </c>
      <c r="S179" s="1007" t="s">
        <v>74</v>
      </c>
      <c r="T179" s="1007">
        <v>615</v>
      </c>
      <c r="U179" s="1007">
        <v>1440</v>
      </c>
      <c r="V179" s="1007">
        <v>0.88600000000000001</v>
      </c>
      <c r="W179" s="1007">
        <v>40</v>
      </c>
      <c r="X179" s="1007">
        <v>2</v>
      </c>
      <c r="Y179" s="1007" t="s">
        <v>75</v>
      </c>
      <c r="Z179" s="1007" t="s">
        <v>75</v>
      </c>
      <c r="AB179" s="1008">
        <v>46112</v>
      </c>
      <c r="AC179" s="1007">
        <v>14</v>
      </c>
      <c r="AD179" s="1007" t="s">
        <v>944</v>
      </c>
      <c r="AE179" s="1007" t="s">
        <v>68</v>
      </c>
      <c r="AF179" s="1007" t="s">
        <v>945</v>
      </c>
      <c r="AG179" s="1007" t="s">
        <v>123</v>
      </c>
      <c r="AH179" s="1007" t="s">
        <v>946</v>
      </c>
      <c r="AI179" s="1008">
        <v>46112</v>
      </c>
      <c r="AJ179" s="1008">
        <v>46113</v>
      </c>
      <c r="AK179" s="1008">
        <v>46115</v>
      </c>
      <c r="AL179" s="1008">
        <v>46118</v>
      </c>
      <c r="AM179" s="1008">
        <v>46126</v>
      </c>
      <c r="AN179" s="1008">
        <v>46127</v>
      </c>
      <c r="AO179" s="1007" t="s">
        <v>402</v>
      </c>
      <c r="AP179" s="1007" t="s">
        <v>947</v>
      </c>
      <c r="AQ179" s="1007" t="s">
        <v>161</v>
      </c>
      <c r="AR179" s="1007" t="s">
        <v>944</v>
      </c>
      <c r="AS179" s="1007" t="s">
        <v>948</v>
      </c>
      <c r="AT179" s="1007" t="s">
        <v>948</v>
      </c>
      <c r="AU179" s="1007">
        <v>12</v>
      </c>
      <c r="AW179" s="1008">
        <v>46127</v>
      </c>
      <c r="AX179" s="1007" t="s">
        <v>152</v>
      </c>
      <c r="AZ179" s="1007" t="s">
        <v>515</v>
      </c>
      <c r="BA179" s="1008">
        <v>46127</v>
      </c>
      <c r="BB179" s="1007">
        <v>2026</v>
      </c>
      <c r="BC179" s="1007">
        <v>4</v>
      </c>
      <c r="BD179" s="1007">
        <v>16</v>
      </c>
      <c r="BE179" s="1007">
        <v>36</v>
      </c>
      <c r="BF179" s="1007">
        <v>720</v>
      </c>
      <c r="BG179" s="1007" t="s">
        <v>108</v>
      </c>
      <c r="BH179" s="1007" t="s">
        <v>68</v>
      </c>
    </row>
    <row r="180" spans="1:60">
      <c r="A180" s="1007" t="s">
        <v>922</v>
      </c>
      <c r="B180" s="1007" t="s">
        <v>61</v>
      </c>
      <c r="C180" s="1007" t="s">
        <v>203</v>
      </c>
      <c r="D180" s="1007" t="s">
        <v>63</v>
      </c>
      <c r="E180" s="1007" t="s">
        <v>144</v>
      </c>
      <c r="F180" s="1007" t="s">
        <v>145</v>
      </c>
      <c r="G180" s="1007" t="s">
        <v>156</v>
      </c>
      <c r="H180" s="1007" t="s">
        <v>941</v>
      </c>
      <c r="I180" s="1007" t="s">
        <v>68</v>
      </c>
      <c r="J180" s="1007" t="s">
        <v>949</v>
      </c>
      <c r="K180" s="1007" t="s">
        <v>950</v>
      </c>
      <c r="M180" s="1007" t="s">
        <v>68</v>
      </c>
      <c r="N180" s="1007">
        <v>46045</v>
      </c>
      <c r="O180" s="1007" t="s">
        <v>70</v>
      </c>
      <c r="P180" s="1007" t="s">
        <v>885</v>
      </c>
      <c r="Q180" s="1007" t="s">
        <v>886</v>
      </c>
      <c r="R180" s="1007" t="s">
        <v>73</v>
      </c>
      <c r="S180" s="1007" t="s">
        <v>120</v>
      </c>
      <c r="T180" s="1007">
        <v>615</v>
      </c>
      <c r="U180" s="1007">
        <v>3600</v>
      </c>
      <c r="V180" s="1007">
        <v>2.214</v>
      </c>
      <c r="W180" s="1007">
        <v>100</v>
      </c>
      <c r="X180" s="1007">
        <v>5</v>
      </c>
      <c r="Y180" s="1007" t="s">
        <v>75</v>
      </c>
      <c r="Z180" s="1007" t="s">
        <v>951</v>
      </c>
      <c r="AA180" s="1007" t="s">
        <v>197</v>
      </c>
      <c r="AB180" s="1008">
        <v>46058</v>
      </c>
      <c r="AC180" s="1007">
        <v>6</v>
      </c>
      <c r="AD180" s="1007" t="s">
        <v>952</v>
      </c>
      <c r="AE180" s="1007" t="s">
        <v>68</v>
      </c>
      <c r="AF180" s="1007" t="s">
        <v>77</v>
      </c>
      <c r="AG180" s="1007" t="s">
        <v>61</v>
      </c>
      <c r="AH180" s="1007" t="s">
        <v>953</v>
      </c>
      <c r="AI180" s="1008">
        <v>46070</v>
      </c>
      <c r="AJ180" s="1008">
        <v>46071</v>
      </c>
      <c r="AK180" s="1008">
        <v>46071</v>
      </c>
      <c r="AL180" s="1008">
        <v>46101</v>
      </c>
      <c r="AM180" s="1008" t="s">
        <v>197</v>
      </c>
      <c r="AN180" s="1008" t="s">
        <v>197</v>
      </c>
      <c r="AO180" s="1007" t="s">
        <v>156</v>
      </c>
      <c r="AP180" s="1007" t="s">
        <v>954</v>
      </c>
      <c r="AQ180" s="1007" t="s">
        <v>161</v>
      </c>
      <c r="AR180" s="1007" t="s">
        <v>952</v>
      </c>
      <c r="AS180" s="1007" t="s">
        <v>955</v>
      </c>
      <c r="AT180" s="1007" t="s">
        <v>956</v>
      </c>
      <c r="AU180" s="1007">
        <v>0</v>
      </c>
      <c r="AV180" s="1007" t="s">
        <v>197</v>
      </c>
      <c r="AW180" s="1008">
        <v>46101</v>
      </c>
      <c r="AX180" s="1007" t="s">
        <v>152</v>
      </c>
      <c r="AY180" s="1008" t="s">
        <v>197</v>
      </c>
      <c r="AZ180" s="1007" t="s">
        <v>515</v>
      </c>
      <c r="BA180" s="1008">
        <v>46101</v>
      </c>
      <c r="BB180" s="1007">
        <v>2026</v>
      </c>
      <c r="BC180" s="1007">
        <v>3</v>
      </c>
      <c r="BD180" s="1007">
        <v>12</v>
      </c>
      <c r="BE180" s="1007">
        <v>36</v>
      </c>
      <c r="BF180" s="1007">
        <v>720</v>
      </c>
      <c r="BG180" s="1007" t="s">
        <v>108</v>
      </c>
      <c r="BH180" s="1007" t="s">
        <v>68</v>
      </c>
    </row>
    <row r="181" spans="1:60">
      <c r="A181" s="1007" t="s">
        <v>957</v>
      </c>
      <c r="B181" s="1007" t="s">
        <v>111</v>
      </c>
      <c r="C181" s="1007" t="s">
        <v>130</v>
      </c>
      <c r="D181" s="1007" t="s">
        <v>63</v>
      </c>
      <c r="E181" s="1007" t="s">
        <v>144</v>
      </c>
      <c r="F181" s="1007" t="s">
        <v>145</v>
      </c>
      <c r="G181" s="1007" t="s">
        <v>156</v>
      </c>
      <c r="H181" s="1007" t="s">
        <v>941</v>
      </c>
      <c r="I181" s="1007" t="s">
        <v>68</v>
      </c>
      <c r="J181" s="1007" t="s">
        <v>949</v>
      </c>
      <c r="K181" s="1007" t="s">
        <v>950</v>
      </c>
      <c r="M181" s="1007" t="s">
        <v>68</v>
      </c>
      <c r="N181" s="1007" t="s">
        <v>68</v>
      </c>
      <c r="O181" s="1007" t="s">
        <v>132</v>
      </c>
      <c r="P181" s="1007" t="s">
        <v>133</v>
      </c>
      <c r="Q181" s="1007" t="s">
        <v>134</v>
      </c>
      <c r="R181" s="1007" t="s">
        <v>73</v>
      </c>
      <c r="S181" s="1007" t="s">
        <v>120</v>
      </c>
      <c r="T181" s="1007">
        <v>720</v>
      </c>
      <c r="U181" s="1007">
        <v>1188</v>
      </c>
      <c r="V181" s="1007">
        <v>0.85499999999999998</v>
      </c>
      <c r="W181" s="1007">
        <v>36</v>
      </c>
      <c r="X181" s="1007">
        <v>2</v>
      </c>
      <c r="Y181" s="1007" t="s">
        <v>75</v>
      </c>
      <c r="Z181" s="1007" t="s">
        <v>75</v>
      </c>
      <c r="AB181" s="1008">
        <v>46063</v>
      </c>
      <c r="AC181" s="1007">
        <v>7</v>
      </c>
      <c r="AD181" s="1007" t="s">
        <v>958</v>
      </c>
      <c r="AE181" s="1007" t="s">
        <v>68</v>
      </c>
      <c r="AF181" s="1007" t="s">
        <v>122</v>
      </c>
      <c r="AG181" s="1007" t="s">
        <v>123</v>
      </c>
      <c r="AH181" s="1007" t="s">
        <v>953</v>
      </c>
      <c r="AI181" s="1008">
        <v>46070</v>
      </c>
      <c r="AJ181" s="1008">
        <v>46084</v>
      </c>
      <c r="AK181" s="1008">
        <v>46084</v>
      </c>
      <c r="AL181" s="1008">
        <v>46093</v>
      </c>
      <c r="AM181" s="1008">
        <v>46114</v>
      </c>
      <c r="AN181" s="1008">
        <v>46114</v>
      </c>
      <c r="AO181" s="1007" t="s">
        <v>156</v>
      </c>
      <c r="AP181" s="1007" t="s">
        <v>959</v>
      </c>
      <c r="AQ181" s="1007" t="s">
        <v>161</v>
      </c>
      <c r="AR181" s="1007" t="s">
        <v>958</v>
      </c>
      <c r="AS181" s="1007" t="s">
        <v>960</v>
      </c>
      <c r="AT181" s="1007" t="s">
        <v>961</v>
      </c>
      <c r="AU181" s="1007">
        <v>30</v>
      </c>
      <c r="AW181" s="1008">
        <v>46114</v>
      </c>
      <c r="AX181" s="1007" t="s">
        <v>152</v>
      </c>
      <c r="AZ181" s="1007" t="s">
        <v>515</v>
      </c>
      <c r="BA181" s="1008">
        <v>46114</v>
      </c>
      <c r="BB181" s="1007">
        <v>2026</v>
      </c>
      <c r="BC181" s="1007">
        <v>4</v>
      </c>
      <c r="BD181" s="1007">
        <v>14</v>
      </c>
      <c r="BE181" s="1007">
        <v>33</v>
      </c>
      <c r="BF181" s="1007">
        <v>594</v>
      </c>
      <c r="BG181" s="1007" t="s">
        <v>108</v>
      </c>
      <c r="BH181" s="1007" t="s">
        <v>68</v>
      </c>
    </row>
    <row r="182" spans="1:60">
      <c r="A182" s="1007" t="s">
        <v>962</v>
      </c>
      <c r="B182" s="1007" t="s">
        <v>61</v>
      </c>
      <c r="C182" s="1007" t="s">
        <v>963</v>
      </c>
      <c r="D182" s="1007" t="s">
        <v>63</v>
      </c>
      <c r="E182" s="1007" t="s">
        <v>144</v>
      </c>
      <c r="F182" s="1007" t="s">
        <v>145</v>
      </c>
      <c r="G182" s="1007" t="s">
        <v>402</v>
      </c>
      <c r="H182" s="1007" t="s">
        <v>526</v>
      </c>
      <c r="I182" s="1007" t="s">
        <v>68</v>
      </c>
      <c r="J182" s="1007" t="s">
        <v>527</v>
      </c>
      <c r="K182" s="1007" t="s">
        <v>964</v>
      </c>
      <c r="M182" s="1007" t="s">
        <v>68</v>
      </c>
      <c r="N182" s="1007" t="s">
        <v>68</v>
      </c>
      <c r="O182" s="1007" t="s">
        <v>70</v>
      </c>
      <c r="P182" s="1007" t="s">
        <v>965</v>
      </c>
      <c r="Q182" s="1007" t="s">
        <v>966</v>
      </c>
      <c r="R182" s="1007" t="s">
        <v>73</v>
      </c>
      <c r="S182" s="1007" t="s">
        <v>967</v>
      </c>
      <c r="T182" s="1007">
        <v>455</v>
      </c>
      <c r="U182" s="1007">
        <v>9360</v>
      </c>
      <c r="V182" s="1007">
        <v>4.2587999999999999</v>
      </c>
      <c r="W182" s="1007">
        <v>260</v>
      </c>
      <c r="X182" s="1007">
        <v>10</v>
      </c>
      <c r="Y182" s="1007" t="s">
        <v>75</v>
      </c>
      <c r="Z182" s="1007" t="s">
        <v>75</v>
      </c>
      <c r="AB182" s="1008">
        <v>46047</v>
      </c>
      <c r="AC182" s="1007">
        <v>4</v>
      </c>
      <c r="AD182" s="1007" t="s">
        <v>968</v>
      </c>
      <c r="AF182" s="1007" t="s">
        <v>77</v>
      </c>
      <c r="AG182" s="1007" t="s">
        <v>61</v>
      </c>
      <c r="AH182" s="1007" t="s">
        <v>532</v>
      </c>
      <c r="AI182" s="1008">
        <v>46053</v>
      </c>
      <c r="AK182" s="1008">
        <v>46057</v>
      </c>
      <c r="AL182" s="1008">
        <v>46120</v>
      </c>
      <c r="AM182" s="1008">
        <v>46127</v>
      </c>
      <c r="AN182" s="1008">
        <v>46127</v>
      </c>
      <c r="AO182" s="1007" t="s">
        <v>402</v>
      </c>
      <c r="AP182" s="1007" t="s">
        <v>969</v>
      </c>
      <c r="AQ182" s="1007" t="s">
        <v>161</v>
      </c>
      <c r="AR182" s="1007" t="s">
        <v>970</v>
      </c>
      <c r="AS182" s="1007" t="s">
        <v>971</v>
      </c>
      <c r="AT182" s="1007" t="s">
        <v>972</v>
      </c>
      <c r="AU182" s="1007">
        <v>70</v>
      </c>
      <c r="AW182" s="1008">
        <v>46127</v>
      </c>
      <c r="AX182" s="1007" t="s">
        <v>973</v>
      </c>
      <c r="AY182" s="1008">
        <v>46133</v>
      </c>
      <c r="AZ182" s="1007">
        <v>0</v>
      </c>
      <c r="BA182" s="1008">
        <v>46127</v>
      </c>
      <c r="BB182" s="1007">
        <v>2026</v>
      </c>
      <c r="BC182" s="1007">
        <v>4</v>
      </c>
      <c r="BD182" s="1007">
        <v>16</v>
      </c>
      <c r="BE182" s="1007">
        <v>36</v>
      </c>
      <c r="BF182" s="1007">
        <v>936</v>
      </c>
      <c r="BG182" s="1007" t="s">
        <v>85</v>
      </c>
      <c r="BH182" s="1007" t="s">
        <v>109</v>
      </c>
    </row>
    <row r="183" spans="1:60">
      <c r="A183" s="1007" t="s">
        <v>974</v>
      </c>
      <c r="B183" s="1007" t="s">
        <v>61</v>
      </c>
      <c r="C183" s="1007" t="s">
        <v>963</v>
      </c>
      <c r="D183" s="1007" t="s">
        <v>63</v>
      </c>
      <c r="E183" s="1007" t="s">
        <v>64</v>
      </c>
      <c r="F183" s="1007" t="s">
        <v>100</v>
      </c>
      <c r="G183" s="1007" t="s">
        <v>66</v>
      </c>
      <c r="H183" s="1007" t="s">
        <v>67</v>
      </c>
      <c r="I183" s="1007" t="s">
        <v>68</v>
      </c>
      <c r="J183" s="1007" t="s">
        <v>419</v>
      </c>
      <c r="M183" s="1007" t="s">
        <v>68</v>
      </c>
      <c r="N183" s="1007" t="s">
        <v>68</v>
      </c>
      <c r="O183" s="1007" t="s">
        <v>70</v>
      </c>
      <c r="P183" s="1007" t="s">
        <v>965</v>
      </c>
      <c r="Q183" s="1007" t="s">
        <v>966</v>
      </c>
      <c r="R183" s="1007" t="s">
        <v>73</v>
      </c>
      <c r="S183" s="1007" t="s">
        <v>967</v>
      </c>
      <c r="T183" s="1007">
        <v>455</v>
      </c>
      <c r="U183" s="1007">
        <v>3744</v>
      </c>
      <c r="V183" s="1007">
        <v>1.7035199999999999</v>
      </c>
      <c r="W183" s="1007">
        <v>104</v>
      </c>
      <c r="X183" s="1007">
        <v>4</v>
      </c>
      <c r="Y183" s="1007" t="s">
        <v>75</v>
      </c>
      <c r="Z183" s="1007" t="s">
        <v>75</v>
      </c>
      <c r="AB183" s="1008">
        <v>46043</v>
      </c>
      <c r="AC183" s="1007">
        <v>4</v>
      </c>
      <c r="AD183" s="1007" t="s">
        <v>975</v>
      </c>
      <c r="AF183" s="1007" t="s">
        <v>77</v>
      </c>
      <c r="AG183" s="1007" t="s">
        <v>61</v>
      </c>
      <c r="AH183" s="1007" t="s">
        <v>105</v>
      </c>
      <c r="AI183" s="1008">
        <v>46054</v>
      </c>
      <c r="AJ183" s="1008">
        <v>46054</v>
      </c>
      <c r="AK183" s="1008">
        <v>46055</v>
      </c>
      <c r="AL183" s="1008">
        <v>46094</v>
      </c>
      <c r="AM183" s="1008">
        <v>46109</v>
      </c>
      <c r="AN183" s="1008">
        <v>46118</v>
      </c>
      <c r="AO183" s="1007" t="s">
        <v>66</v>
      </c>
      <c r="AP183" s="1007" t="s">
        <v>580</v>
      </c>
      <c r="AQ183" s="1007" t="s">
        <v>80</v>
      </c>
      <c r="AR183" s="1007" t="s">
        <v>976</v>
      </c>
      <c r="AS183" s="1007" t="s">
        <v>977</v>
      </c>
      <c r="AT183" s="1007" t="s">
        <v>977</v>
      </c>
      <c r="AU183" s="1007">
        <v>63</v>
      </c>
      <c r="AW183" s="1008">
        <v>46118</v>
      </c>
      <c r="AX183" s="1007" t="s">
        <v>973</v>
      </c>
      <c r="AY183" s="1008">
        <v>46124</v>
      </c>
      <c r="AZ183" s="1007">
        <v>7</v>
      </c>
      <c r="BA183" s="1008">
        <v>46125</v>
      </c>
      <c r="BB183" s="1007">
        <v>2026</v>
      </c>
      <c r="BC183" s="1007">
        <v>4</v>
      </c>
      <c r="BD183" s="1007">
        <v>16</v>
      </c>
      <c r="BE183" s="1007">
        <v>36</v>
      </c>
      <c r="BF183" s="1007">
        <v>936</v>
      </c>
      <c r="BG183" s="1007" t="s">
        <v>85</v>
      </c>
      <c r="BH183" s="1007" t="s">
        <v>109</v>
      </c>
    </row>
    <row r="184" spans="1:60">
      <c r="A184" s="1007" t="s">
        <v>978</v>
      </c>
      <c r="B184" s="1007" t="s">
        <v>61</v>
      </c>
      <c r="C184" s="1007" t="s">
        <v>963</v>
      </c>
      <c r="D184" s="1007" t="s">
        <v>63</v>
      </c>
      <c r="E184" s="1007" t="s">
        <v>64</v>
      </c>
      <c r="F184" s="1007" t="s">
        <v>100</v>
      </c>
      <c r="G184" s="1007" t="s">
        <v>66</v>
      </c>
      <c r="H184" s="1007" t="s">
        <v>67</v>
      </c>
      <c r="I184" s="1007" t="s">
        <v>68</v>
      </c>
      <c r="J184" s="1007" t="s">
        <v>979</v>
      </c>
      <c r="K184" s="1007" t="s">
        <v>980</v>
      </c>
      <c r="M184" s="1007" t="s">
        <v>68</v>
      </c>
      <c r="N184" s="1007" t="s">
        <v>68</v>
      </c>
      <c r="O184" s="1007" t="s">
        <v>70</v>
      </c>
      <c r="P184" s="1007" t="s">
        <v>965</v>
      </c>
      <c r="Q184" s="1007" t="s">
        <v>966</v>
      </c>
      <c r="R184" s="1007" t="s">
        <v>73</v>
      </c>
      <c r="S184" s="1007" t="s">
        <v>967</v>
      </c>
      <c r="T184" s="1007">
        <v>455</v>
      </c>
      <c r="U184" s="1007">
        <v>2808</v>
      </c>
      <c r="V184" s="1007">
        <v>1.2776400000000001</v>
      </c>
      <c r="W184" s="1007">
        <v>78</v>
      </c>
      <c r="X184" s="1007">
        <v>3</v>
      </c>
      <c r="Y184" s="1007" t="s">
        <v>75</v>
      </c>
      <c r="Z184" s="1007" t="s">
        <v>75</v>
      </c>
      <c r="AB184" s="1008">
        <v>46043</v>
      </c>
      <c r="AC184" s="1007">
        <v>4</v>
      </c>
      <c r="AD184" s="1007" t="s">
        <v>981</v>
      </c>
      <c r="AF184" s="1007" t="s">
        <v>77</v>
      </c>
      <c r="AG184" s="1007" t="s">
        <v>61</v>
      </c>
      <c r="AH184" s="1007" t="s">
        <v>105</v>
      </c>
      <c r="AI184" s="1008">
        <v>46054</v>
      </c>
      <c r="AJ184" s="1008">
        <v>46054</v>
      </c>
      <c r="AK184" s="1008">
        <v>46055</v>
      </c>
      <c r="AL184" s="1008">
        <v>46094</v>
      </c>
      <c r="AM184" s="1008">
        <v>46109</v>
      </c>
      <c r="AN184" s="1008">
        <v>46118</v>
      </c>
      <c r="AO184" s="1007" t="s">
        <v>66</v>
      </c>
      <c r="AP184" s="1007" t="s">
        <v>580</v>
      </c>
      <c r="AQ184" s="1007" t="s">
        <v>80</v>
      </c>
      <c r="AR184" s="1007" t="s">
        <v>982</v>
      </c>
      <c r="AS184" s="1007" t="s">
        <v>983</v>
      </c>
      <c r="AT184" s="1007" t="s">
        <v>983</v>
      </c>
      <c r="AU184" s="1007">
        <v>63</v>
      </c>
      <c r="AW184" s="1008">
        <v>46118</v>
      </c>
      <c r="AX184" s="1007" t="s">
        <v>973</v>
      </c>
      <c r="AY184" s="1008">
        <v>46128</v>
      </c>
      <c r="AZ184" s="1007">
        <v>7</v>
      </c>
      <c r="BA184" s="1008">
        <v>46125</v>
      </c>
      <c r="BB184" s="1007">
        <v>2026</v>
      </c>
      <c r="BC184" s="1007">
        <v>4</v>
      </c>
      <c r="BD184" s="1007">
        <v>16</v>
      </c>
      <c r="BE184" s="1007">
        <v>36</v>
      </c>
      <c r="BF184" s="1007">
        <v>936</v>
      </c>
      <c r="BG184" s="1007" t="s">
        <v>85</v>
      </c>
      <c r="BH184" s="1007" t="s">
        <v>109</v>
      </c>
    </row>
    <row r="185" spans="1:60">
      <c r="A185" s="1007" t="s">
        <v>984</v>
      </c>
      <c r="B185" s="1007" t="s">
        <v>61</v>
      </c>
      <c r="C185" s="1007" t="s">
        <v>985</v>
      </c>
      <c r="D185" s="1007" t="s">
        <v>63</v>
      </c>
      <c r="E185" s="1007" t="s">
        <v>64</v>
      </c>
      <c r="F185" s="1007" t="s">
        <v>100</v>
      </c>
      <c r="G185" s="1007" t="s">
        <v>66</v>
      </c>
      <c r="H185" s="1007" t="s">
        <v>67</v>
      </c>
      <c r="I185" s="1007" t="s">
        <v>68</v>
      </c>
      <c r="J185" s="1007" t="s">
        <v>578</v>
      </c>
      <c r="M185" s="1007" t="s">
        <v>68</v>
      </c>
      <c r="N185" s="1007" t="s">
        <v>68</v>
      </c>
      <c r="O185" s="1007" t="s">
        <v>70</v>
      </c>
      <c r="P185" s="1007" t="s">
        <v>195</v>
      </c>
      <c r="Q185" s="1007" t="s">
        <v>196</v>
      </c>
      <c r="R185" s="1007" t="s">
        <v>73</v>
      </c>
      <c r="S185" s="1007" t="s">
        <v>967</v>
      </c>
      <c r="T185" s="1007">
        <v>450</v>
      </c>
      <c r="U185" s="1007">
        <v>1872</v>
      </c>
      <c r="V185" s="1007">
        <v>0.84240000000000004</v>
      </c>
      <c r="W185" s="1007">
        <v>52</v>
      </c>
      <c r="X185" s="1007">
        <v>2</v>
      </c>
      <c r="Y185" s="1007" t="s">
        <v>75</v>
      </c>
      <c r="Z185" s="1007" t="s">
        <v>75</v>
      </c>
      <c r="AA185" s="1007" t="s">
        <v>986</v>
      </c>
      <c r="AB185" s="1008">
        <v>46043</v>
      </c>
      <c r="AC185" s="1007">
        <v>4</v>
      </c>
      <c r="AD185" s="1007" t="s">
        <v>987</v>
      </c>
      <c r="AF185" s="1007" t="s">
        <v>77</v>
      </c>
      <c r="AG185" s="1007" t="s">
        <v>61</v>
      </c>
      <c r="AH185" s="1007" t="s">
        <v>105</v>
      </c>
      <c r="AI185" s="1008">
        <v>46054</v>
      </c>
      <c r="AJ185" s="1008">
        <v>46054</v>
      </c>
      <c r="AK185" s="1008">
        <v>46055</v>
      </c>
      <c r="AL185" s="1008">
        <v>46094</v>
      </c>
      <c r="AM185" s="1008">
        <v>46116</v>
      </c>
      <c r="AN185" s="1008">
        <v>46118</v>
      </c>
      <c r="AO185" s="1007" t="s">
        <v>66</v>
      </c>
      <c r="AP185" s="1007" t="s">
        <v>580</v>
      </c>
      <c r="AQ185" s="1007" t="s">
        <v>80</v>
      </c>
      <c r="AR185" s="1007" t="s">
        <v>988</v>
      </c>
      <c r="AS185" s="1007" t="s">
        <v>989</v>
      </c>
      <c r="AT185" s="1007" t="s">
        <v>989</v>
      </c>
      <c r="AU185" s="1007">
        <v>63</v>
      </c>
      <c r="AW185" s="1008">
        <v>46118</v>
      </c>
      <c r="AX185" s="1007" t="s">
        <v>973</v>
      </c>
      <c r="AY185" s="1008">
        <v>46128</v>
      </c>
      <c r="AZ185" s="1007">
        <v>7</v>
      </c>
      <c r="BA185" s="1008">
        <v>46125</v>
      </c>
      <c r="BB185" s="1007">
        <v>2026</v>
      </c>
      <c r="BC185" s="1007">
        <v>4</v>
      </c>
      <c r="BD185" s="1007">
        <v>16</v>
      </c>
      <c r="BE185" s="1007">
        <v>36</v>
      </c>
      <c r="BF185" s="1007">
        <v>936</v>
      </c>
      <c r="BG185" s="1007" t="s">
        <v>85</v>
      </c>
      <c r="BH185" s="1007" t="s">
        <v>109</v>
      </c>
    </row>
    <row r="186" spans="1:60">
      <c r="A186" s="1007" t="s">
        <v>990</v>
      </c>
      <c r="B186" s="1007" t="s">
        <v>111</v>
      </c>
      <c r="C186" s="1007" t="s">
        <v>991</v>
      </c>
      <c r="D186" s="1007" t="s">
        <v>63</v>
      </c>
      <c r="E186" s="1007" t="s">
        <v>64</v>
      </c>
      <c r="F186" s="1007" t="s">
        <v>100</v>
      </c>
      <c r="G186" s="1007" t="s">
        <v>402</v>
      </c>
      <c r="H186" s="1007" t="s">
        <v>67</v>
      </c>
      <c r="I186" s="1007" t="s">
        <v>68</v>
      </c>
      <c r="J186" s="1007" t="s">
        <v>101</v>
      </c>
      <c r="M186" s="1007" t="s">
        <v>68</v>
      </c>
      <c r="N186" s="1007">
        <v>46048</v>
      </c>
      <c r="O186" s="1007" t="s">
        <v>132</v>
      </c>
      <c r="P186" s="1007" t="s">
        <v>133</v>
      </c>
      <c r="Q186" s="1007" t="s">
        <v>134</v>
      </c>
      <c r="R186" s="1007" t="s">
        <v>73</v>
      </c>
      <c r="S186" s="1007" t="s">
        <v>992</v>
      </c>
      <c r="T186" s="1007">
        <v>720</v>
      </c>
      <c r="U186" s="1007">
        <v>2376</v>
      </c>
      <c r="V186" s="1007">
        <v>1.71072</v>
      </c>
      <c r="W186" s="1007">
        <v>72</v>
      </c>
      <c r="X186" s="1007">
        <v>4</v>
      </c>
      <c r="Y186" s="1007" t="s">
        <v>75</v>
      </c>
      <c r="Z186" s="1007" t="s">
        <v>75</v>
      </c>
      <c r="AB186" s="1008">
        <v>46057</v>
      </c>
      <c r="AC186" s="1007">
        <v>6</v>
      </c>
      <c r="AD186" s="1007" t="s">
        <v>993</v>
      </c>
      <c r="AF186" s="1007" t="s">
        <v>122</v>
      </c>
      <c r="AG186" s="1007" t="s">
        <v>123</v>
      </c>
      <c r="AH186" s="1007" t="s">
        <v>105</v>
      </c>
      <c r="AI186" s="1008">
        <v>46062</v>
      </c>
      <c r="AJ186" s="1008">
        <v>46067</v>
      </c>
      <c r="AK186" s="1008">
        <v>46069</v>
      </c>
      <c r="AL186" s="1008">
        <v>46099</v>
      </c>
      <c r="AM186" s="1008">
        <v>46126</v>
      </c>
      <c r="AN186" s="1008">
        <v>46127</v>
      </c>
      <c r="AO186" s="1007" t="s">
        <v>402</v>
      </c>
      <c r="AP186" s="1007" t="s">
        <v>731</v>
      </c>
      <c r="AQ186" s="1007" t="s">
        <v>80</v>
      </c>
      <c r="AR186" s="1007" t="s">
        <v>732</v>
      </c>
      <c r="AS186" s="1007" t="s">
        <v>733</v>
      </c>
      <c r="AT186" s="1007" t="s">
        <v>733</v>
      </c>
      <c r="AU186" s="1007">
        <v>58</v>
      </c>
      <c r="AW186" s="1008">
        <v>46127</v>
      </c>
      <c r="AX186" s="1007" t="s">
        <v>973</v>
      </c>
      <c r="AY186" s="1008">
        <v>46133</v>
      </c>
      <c r="AZ186" s="1007">
        <v>7</v>
      </c>
      <c r="BA186" s="1008">
        <v>46134</v>
      </c>
      <c r="BB186" s="1007">
        <v>2026</v>
      </c>
      <c r="BC186" s="1007">
        <v>4</v>
      </c>
      <c r="BD186" s="1007">
        <v>17</v>
      </c>
      <c r="BE186" s="1007">
        <v>33</v>
      </c>
      <c r="BF186" s="1007">
        <v>594</v>
      </c>
      <c r="BG186" s="1007" t="s">
        <v>108</v>
      </c>
      <c r="BH186" s="1007" t="s">
        <v>109</v>
      </c>
    </row>
    <row r="187" spans="1:60">
      <c r="A187" s="1007" t="s">
        <v>994</v>
      </c>
      <c r="B187" s="1007" t="s">
        <v>111</v>
      </c>
      <c r="C187" s="1007" t="s">
        <v>991</v>
      </c>
      <c r="D187" s="1007" t="s">
        <v>63</v>
      </c>
      <c r="E187" s="1007" t="s">
        <v>64</v>
      </c>
      <c r="F187" s="1007" t="s">
        <v>100</v>
      </c>
      <c r="G187" s="1007" t="s">
        <v>402</v>
      </c>
      <c r="H187" s="1007" t="s">
        <v>67</v>
      </c>
      <c r="I187" s="1007" t="s">
        <v>68</v>
      </c>
      <c r="J187" s="1007" t="s">
        <v>995</v>
      </c>
      <c r="M187" s="1007" t="s">
        <v>68</v>
      </c>
      <c r="N187" s="1007">
        <v>46048</v>
      </c>
      <c r="O187" s="1007" t="s">
        <v>132</v>
      </c>
      <c r="P187" s="1007" t="s">
        <v>133</v>
      </c>
      <c r="Q187" s="1007" t="s">
        <v>134</v>
      </c>
      <c r="R187" s="1007" t="s">
        <v>73</v>
      </c>
      <c r="S187" s="1007" t="s">
        <v>992</v>
      </c>
      <c r="T187" s="1007">
        <v>720</v>
      </c>
      <c r="U187" s="1007">
        <v>5940</v>
      </c>
      <c r="V187" s="1007">
        <v>4.2767999999999997</v>
      </c>
      <c r="W187" s="1007">
        <v>180</v>
      </c>
      <c r="X187" s="1007">
        <v>10</v>
      </c>
      <c r="Y187" s="1007" t="s">
        <v>75</v>
      </c>
      <c r="Z187" s="1007" t="s">
        <v>75</v>
      </c>
      <c r="AB187" s="1008">
        <v>46055</v>
      </c>
      <c r="AC187" s="1007">
        <v>6</v>
      </c>
      <c r="AD187" s="1007" t="s">
        <v>996</v>
      </c>
      <c r="AF187" s="1007" t="s">
        <v>122</v>
      </c>
      <c r="AG187" s="1007" t="s">
        <v>123</v>
      </c>
      <c r="AH187" s="1007" t="s">
        <v>105</v>
      </c>
      <c r="AI187" s="1008">
        <v>46063</v>
      </c>
      <c r="AJ187" s="1008">
        <v>46069</v>
      </c>
      <c r="AK187" s="1008">
        <v>46069</v>
      </c>
      <c r="AL187" s="1008">
        <v>46102</v>
      </c>
      <c r="AM187" s="1008">
        <v>46126</v>
      </c>
      <c r="AN187" s="1008">
        <v>46127</v>
      </c>
      <c r="AO187" s="1007" t="s">
        <v>402</v>
      </c>
      <c r="AP187" s="1007" t="s">
        <v>997</v>
      </c>
      <c r="AQ187" s="1007" t="s">
        <v>80</v>
      </c>
      <c r="AR187" s="1007" t="s">
        <v>998</v>
      </c>
      <c r="AS187" s="1007" t="s">
        <v>999</v>
      </c>
      <c r="AT187" s="1007" t="s">
        <v>999</v>
      </c>
      <c r="AU187" s="1007">
        <v>58</v>
      </c>
      <c r="AW187" s="1008">
        <v>46127</v>
      </c>
      <c r="AX187" s="1007" t="s">
        <v>973</v>
      </c>
      <c r="AY187" s="1008">
        <v>46133</v>
      </c>
      <c r="AZ187" s="1007">
        <v>7</v>
      </c>
      <c r="BA187" s="1008">
        <v>46134</v>
      </c>
      <c r="BB187" s="1007">
        <v>2026</v>
      </c>
      <c r="BC187" s="1007">
        <v>4</v>
      </c>
      <c r="BD187" s="1007">
        <v>17</v>
      </c>
      <c r="BE187" s="1007">
        <v>33</v>
      </c>
      <c r="BF187" s="1007">
        <v>594</v>
      </c>
      <c r="BG187" s="1007" t="s">
        <v>108</v>
      </c>
      <c r="BH187" s="1007" t="s">
        <v>109</v>
      </c>
    </row>
    <row r="188" spans="1:60">
      <c r="A188" s="1007" t="s">
        <v>1000</v>
      </c>
      <c r="B188" s="1007" t="s">
        <v>111</v>
      </c>
      <c r="C188" s="1007" t="s">
        <v>203</v>
      </c>
      <c r="D188" s="1007" t="s">
        <v>63</v>
      </c>
      <c r="E188" s="1007" t="s">
        <v>64</v>
      </c>
      <c r="F188" s="1007" t="s">
        <v>100</v>
      </c>
      <c r="G188" s="1007" t="s">
        <v>402</v>
      </c>
      <c r="H188" s="1007" t="s">
        <v>67</v>
      </c>
      <c r="I188" s="1007" t="s">
        <v>68</v>
      </c>
      <c r="J188" s="1007" t="s">
        <v>1001</v>
      </c>
      <c r="M188" s="1007" t="s">
        <v>68</v>
      </c>
      <c r="N188" s="1007">
        <v>46045</v>
      </c>
      <c r="O188" s="1007" t="s">
        <v>70</v>
      </c>
      <c r="P188" s="1007" t="s">
        <v>1002</v>
      </c>
      <c r="Q188" s="1007" t="s">
        <v>330</v>
      </c>
      <c r="R188" s="1007" t="s">
        <v>73</v>
      </c>
      <c r="S188" s="1007" t="s">
        <v>992</v>
      </c>
      <c r="T188" s="1007">
        <v>625</v>
      </c>
      <c r="U188" s="1007">
        <v>7920</v>
      </c>
      <c r="V188" s="1007">
        <v>4.95</v>
      </c>
      <c r="W188" s="1007">
        <v>220</v>
      </c>
      <c r="X188" s="1007">
        <v>11</v>
      </c>
      <c r="Y188" s="1007" t="s">
        <v>75</v>
      </c>
      <c r="Z188" s="1007" t="s">
        <v>75</v>
      </c>
      <c r="AB188" s="1008">
        <v>46054</v>
      </c>
      <c r="AC188" s="1007">
        <v>5</v>
      </c>
      <c r="AD188" s="1007" t="s">
        <v>1003</v>
      </c>
      <c r="AF188" s="1007" t="s">
        <v>122</v>
      </c>
      <c r="AG188" s="1007" t="s">
        <v>123</v>
      </c>
      <c r="AH188" s="1007" t="s">
        <v>105</v>
      </c>
      <c r="AI188" s="1008">
        <v>46063</v>
      </c>
      <c r="AJ188" s="1008">
        <v>46066</v>
      </c>
      <c r="AK188" s="1008">
        <v>46065</v>
      </c>
      <c r="AL188" s="1008">
        <v>46098</v>
      </c>
      <c r="AM188" s="1008">
        <v>46109</v>
      </c>
      <c r="AN188" s="1008">
        <v>46109</v>
      </c>
      <c r="AO188" s="1007" t="s">
        <v>402</v>
      </c>
      <c r="AP188" s="1007" t="s">
        <v>694</v>
      </c>
      <c r="AQ188" s="1007" t="s">
        <v>80</v>
      </c>
      <c r="AR188" s="1007" t="s">
        <v>1004</v>
      </c>
      <c r="AS188" s="1007" t="s">
        <v>1005</v>
      </c>
      <c r="AT188" s="1007" t="s">
        <v>1005</v>
      </c>
      <c r="AU188" s="1007">
        <v>44</v>
      </c>
      <c r="AW188" s="1008">
        <v>46109</v>
      </c>
      <c r="AX188" s="1007" t="s">
        <v>973</v>
      </c>
      <c r="AY188" s="1008">
        <v>46124</v>
      </c>
      <c r="AZ188" s="1007">
        <v>7</v>
      </c>
      <c r="BA188" s="1008">
        <v>46116</v>
      </c>
      <c r="BB188" s="1007">
        <v>2026</v>
      </c>
      <c r="BC188" s="1007">
        <v>4</v>
      </c>
      <c r="BD188" s="1007">
        <v>14</v>
      </c>
      <c r="BE188" s="1007">
        <v>36</v>
      </c>
      <c r="BF188" s="1007">
        <v>720</v>
      </c>
      <c r="BG188" s="1007" t="s">
        <v>128</v>
      </c>
      <c r="BH188" s="1007" t="s">
        <v>109</v>
      </c>
    </row>
    <row r="189" spans="1:60">
      <c r="A189" s="1007" t="s">
        <v>1006</v>
      </c>
      <c r="B189" s="1007" t="s">
        <v>111</v>
      </c>
      <c r="C189" s="1007" t="s">
        <v>1007</v>
      </c>
      <c r="D189" s="1007" t="s">
        <v>63</v>
      </c>
      <c r="E189" s="1007" t="s">
        <v>64</v>
      </c>
      <c r="F189" s="1007" t="s">
        <v>65</v>
      </c>
      <c r="G189" s="1007" t="s">
        <v>402</v>
      </c>
      <c r="H189" s="1007" t="s">
        <v>67</v>
      </c>
      <c r="I189" s="1007" t="s">
        <v>68</v>
      </c>
      <c r="J189" s="1007" t="s">
        <v>1008</v>
      </c>
      <c r="M189" s="1007" t="s">
        <v>68</v>
      </c>
      <c r="N189" s="1007">
        <v>46045</v>
      </c>
      <c r="O189" s="1007" t="s">
        <v>70</v>
      </c>
      <c r="P189" s="1007" t="s">
        <v>102</v>
      </c>
      <c r="Q189" s="1007" t="s">
        <v>103</v>
      </c>
      <c r="R189" s="1007" t="s">
        <v>73</v>
      </c>
      <c r="S189" s="1007" t="s">
        <v>967</v>
      </c>
      <c r="T189" s="1007">
        <v>620</v>
      </c>
      <c r="U189" s="1007">
        <v>1440</v>
      </c>
      <c r="V189" s="1007">
        <v>0.89280000000000004</v>
      </c>
      <c r="W189" s="1007">
        <v>40</v>
      </c>
      <c r="X189" s="1007">
        <v>2</v>
      </c>
      <c r="Y189" s="1007" t="s">
        <v>75</v>
      </c>
      <c r="Z189" s="1007" t="s">
        <v>75</v>
      </c>
      <c r="AB189" s="1008">
        <v>46054</v>
      </c>
      <c r="AC189" s="1007">
        <v>5</v>
      </c>
      <c r="AD189" s="1007" t="s">
        <v>1009</v>
      </c>
      <c r="AF189" s="1007" t="s">
        <v>122</v>
      </c>
      <c r="AG189" s="1007" t="s">
        <v>123</v>
      </c>
      <c r="AH189" s="1007" t="s">
        <v>78</v>
      </c>
      <c r="AI189" s="1008">
        <v>46063</v>
      </c>
      <c r="AJ189" s="1008">
        <v>46065</v>
      </c>
      <c r="AK189" s="1008">
        <v>46078</v>
      </c>
      <c r="AL189" s="1008">
        <v>46101</v>
      </c>
      <c r="AM189" s="1008">
        <v>46136</v>
      </c>
      <c r="AN189" s="1008">
        <v>46137</v>
      </c>
      <c r="AO189" s="1007" t="s">
        <v>402</v>
      </c>
      <c r="AP189" s="1007" t="s">
        <v>739</v>
      </c>
      <c r="AQ189" s="1007" t="s">
        <v>80</v>
      </c>
      <c r="AR189" s="1007" t="s">
        <v>740</v>
      </c>
      <c r="AS189" s="1007" t="s">
        <v>741</v>
      </c>
      <c r="AT189" s="1007" t="s">
        <v>741</v>
      </c>
      <c r="AU189" s="1007">
        <v>59</v>
      </c>
      <c r="AW189" s="1008">
        <v>46137</v>
      </c>
      <c r="AX189" s="1007" t="s">
        <v>973</v>
      </c>
      <c r="AY189" s="1008">
        <v>46149</v>
      </c>
      <c r="AZ189" s="1007">
        <v>8</v>
      </c>
      <c r="BA189" s="1008">
        <v>46145</v>
      </c>
      <c r="BB189" s="1007">
        <v>2026</v>
      </c>
      <c r="BC189" s="1007">
        <v>5</v>
      </c>
      <c r="BD189" s="1007">
        <v>18</v>
      </c>
      <c r="BE189" s="1007">
        <v>36</v>
      </c>
      <c r="BF189" s="1007">
        <v>720</v>
      </c>
      <c r="BG189" s="1007" t="s">
        <v>108</v>
      </c>
      <c r="BH189" s="1007" t="s">
        <v>86</v>
      </c>
    </row>
    <row r="190" spans="1:60">
      <c r="A190" s="1007" t="s">
        <v>985</v>
      </c>
      <c r="B190" s="1007" t="s">
        <v>61</v>
      </c>
      <c r="C190" s="1007" t="s">
        <v>203</v>
      </c>
      <c r="D190" s="1007" t="s">
        <v>63</v>
      </c>
      <c r="E190" s="1007" t="s">
        <v>64</v>
      </c>
      <c r="F190" s="1007" t="s">
        <v>100</v>
      </c>
      <c r="G190" s="1007" t="s">
        <v>402</v>
      </c>
      <c r="H190" s="1007" t="s">
        <v>67</v>
      </c>
      <c r="I190" s="1007" t="s">
        <v>68</v>
      </c>
      <c r="J190" s="1007" t="s">
        <v>293</v>
      </c>
      <c r="M190" s="1007" t="s">
        <v>68</v>
      </c>
      <c r="N190" s="1007">
        <v>46055</v>
      </c>
      <c r="O190" s="1007" t="s">
        <v>70</v>
      </c>
      <c r="P190" s="1007" t="s">
        <v>195</v>
      </c>
      <c r="Q190" s="1007" t="s">
        <v>196</v>
      </c>
      <c r="R190" s="1007" t="s">
        <v>73</v>
      </c>
      <c r="S190" s="1007" t="s">
        <v>967</v>
      </c>
      <c r="T190" s="1007">
        <v>450</v>
      </c>
      <c r="U190" s="1007">
        <v>936</v>
      </c>
      <c r="V190" s="1007">
        <v>0.42120000000000002</v>
      </c>
      <c r="W190" s="1007">
        <v>26</v>
      </c>
      <c r="X190" s="1007">
        <v>1</v>
      </c>
      <c r="Y190" s="1007" t="s">
        <v>75</v>
      </c>
      <c r="Z190" s="1007" t="s">
        <v>75</v>
      </c>
      <c r="AB190" s="1008">
        <v>46055</v>
      </c>
      <c r="AC190" s="1007">
        <v>6</v>
      </c>
      <c r="AD190" s="1007" t="s">
        <v>1010</v>
      </c>
      <c r="AF190" s="1007" t="s">
        <v>77</v>
      </c>
      <c r="AG190" s="1007" t="s">
        <v>61</v>
      </c>
      <c r="AH190" s="1007" t="s">
        <v>105</v>
      </c>
      <c r="AI190" s="1008">
        <v>46066</v>
      </c>
      <c r="AJ190" s="1008">
        <v>46065</v>
      </c>
      <c r="AK190" s="1008">
        <v>46065</v>
      </c>
      <c r="AL190" s="1008">
        <v>46119</v>
      </c>
      <c r="AM190" s="1008">
        <v>46141</v>
      </c>
      <c r="AN190" s="1008">
        <v>46137</v>
      </c>
      <c r="AO190" s="1007" t="s">
        <v>402</v>
      </c>
      <c r="AP190" s="1007" t="s">
        <v>771</v>
      </c>
      <c r="AQ190" s="1007" t="s">
        <v>80</v>
      </c>
      <c r="AR190" s="1007" t="s">
        <v>772</v>
      </c>
      <c r="AS190" s="1007" t="s">
        <v>773</v>
      </c>
      <c r="AT190" s="1007" t="s">
        <v>773</v>
      </c>
      <c r="AU190" s="1007">
        <v>72</v>
      </c>
      <c r="AW190" s="1008">
        <v>46137</v>
      </c>
      <c r="AX190" s="1007" t="s">
        <v>973</v>
      </c>
      <c r="AY190" s="1008">
        <v>46149</v>
      </c>
      <c r="AZ190" s="1007">
        <v>7</v>
      </c>
      <c r="BA190" s="1008">
        <v>46144</v>
      </c>
      <c r="BB190" s="1007">
        <v>2026</v>
      </c>
      <c r="BC190" s="1007">
        <v>5</v>
      </c>
      <c r="BD190" s="1007">
        <v>18</v>
      </c>
      <c r="BE190" s="1007">
        <v>36</v>
      </c>
      <c r="BF190" s="1007">
        <v>936</v>
      </c>
      <c r="BG190" s="1007" t="s">
        <v>85</v>
      </c>
      <c r="BH190" s="1007" t="s">
        <v>109</v>
      </c>
    </row>
    <row r="191" spans="1:60">
      <c r="A191" s="1007" t="s">
        <v>1011</v>
      </c>
      <c r="B191" s="1007" t="s">
        <v>61</v>
      </c>
      <c r="C191" s="1007" t="s">
        <v>963</v>
      </c>
      <c r="D191" s="1007" t="s">
        <v>63</v>
      </c>
      <c r="E191" s="1007" t="s">
        <v>64</v>
      </c>
      <c r="F191" s="1007" t="s">
        <v>100</v>
      </c>
      <c r="G191" s="1007" t="s">
        <v>402</v>
      </c>
      <c r="H191" s="1007" t="s">
        <v>67</v>
      </c>
      <c r="I191" s="1007" t="s">
        <v>68</v>
      </c>
      <c r="J191" s="1007" t="s">
        <v>293</v>
      </c>
      <c r="M191" s="1007" t="s">
        <v>68</v>
      </c>
      <c r="N191" s="1007">
        <v>46055</v>
      </c>
      <c r="O191" s="1007" t="s">
        <v>70</v>
      </c>
      <c r="P191" s="1007" t="s">
        <v>965</v>
      </c>
      <c r="Q191" s="1007" t="s">
        <v>966</v>
      </c>
      <c r="R191" s="1007" t="s">
        <v>73</v>
      </c>
      <c r="S191" s="1007" t="s">
        <v>967</v>
      </c>
      <c r="T191" s="1007">
        <v>455</v>
      </c>
      <c r="U191" s="1007">
        <v>936</v>
      </c>
      <c r="V191" s="1007">
        <v>0.42587999999999998</v>
      </c>
      <c r="W191" s="1007">
        <v>26</v>
      </c>
      <c r="X191" s="1007">
        <v>1</v>
      </c>
      <c r="Y191" s="1007" t="s">
        <v>75</v>
      </c>
      <c r="Z191" s="1007" t="s">
        <v>75</v>
      </c>
      <c r="AB191" s="1008">
        <v>46055</v>
      </c>
      <c r="AC191" s="1007">
        <v>6</v>
      </c>
      <c r="AD191" s="1007" t="s">
        <v>1012</v>
      </c>
      <c r="AF191" s="1007" t="s">
        <v>77</v>
      </c>
      <c r="AG191" s="1007" t="s">
        <v>61</v>
      </c>
      <c r="AH191" s="1007" t="s">
        <v>105</v>
      </c>
      <c r="AI191" s="1008">
        <v>46066</v>
      </c>
      <c r="AJ191" s="1008">
        <v>46065</v>
      </c>
      <c r="AK191" s="1008">
        <v>46065</v>
      </c>
      <c r="AL191" s="1008">
        <v>46119</v>
      </c>
      <c r="AM191" s="1008">
        <v>46141</v>
      </c>
      <c r="AN191" s="1008">
        <v>46137</v>
      </c>
      <c r="AO191" s="1007" t="s">
        <v>402</v>
      </c>
      <c r="AP191" s="1007" t="s">
        <v>771</v>
      </c>
      <c r="AQ191" s="1007" t="s">
        <v>80</v>
      </c>
      <c r="AR191" s="1007" t="s">
        <v>772</v>
      </c>
      <c r="AS191" s="1007" t="s">
        <v>773</v>
      </c>
      <c r="AT191" s="1007" t="s">
        <v>773</v>
      </c>
      <c r="AU191" s="1007">
        <v>72</v>
      </c>
      <c r="AW191" s="1008">
        <v>46137</v>
      </c>
      <c r="AX191" s="1007" t="s">
        <v>973</v>
      </c>
      <c r="AY191" s="1008">
        <v>46147</v>
      </c>
      <c r="AZ191" s="1007">
        <v>7</v>
      </c>
      <c r="BA191" s="1008">
        <v>46144</v>
      </c>
      <c r="BB191" s="1007">
        <v>2026</v>
      </c>
      <c r="BC191" s="1007">
        <v>5</v>
      </c>
      <c r="BD191" s="1007">
        <v>18</v>
      </c>
      <c r="BE191" s="1007">
        <v>36</v>
      </c>
      <c r="BF191" s="1007">
        <v>936</v>
      </c>
      <c r="BG191" s="1007" t="s">
        <v>85</v>
      </c>
      <c r="BH191" s="1007" t="s">
        <v>109</v>
      </c>
    </row>
    <row r="192" spans="1:60">
      <c r="A192" s="1007" t="s">
        <v>1013</v>
      </c>
      <c r="B192" s="1007" t="s">
        <v>61</v>
      </c>
      <c r="C192" s="1007" t="s">
        <v>963</v>
      </c>
      <c r="D192" s="1007" t="s">
        <v>63</v>
      </c>
      <c r="E192" s="1007" t="s">
        <v>64</v>
      </c>
      <c r="F192" s="1007" t="s">
        <v>100</v>
      </c>
      <c r="G192" s="1007" t="s">
        <v>402</v>
      </c>
      <c r="H192" s="1007" t="s">
        <v>67</v>
      </c>
      <c r="I192" s="1007" t="s">
        <v>68</v>
      </c>
      <c r="J192" s="1007" t="s">
        <v>419</v>
      </c>
      <c r="M192" s="1007" t="s">
        <v>68</v>
      </c>
      <c r="N192" s="1007">
        <v>46055</v>
      </c>
      <c r="O192" s="1007" t="s">
        <v>70</v>
      </c>
      <c r="P192" s="1007" t="s">
        <v>965</v>
      </c>
      <c r="Q192" s="1007" t="s">
        <v>966</v>
      </c>
      <c r="R192" s="1007" t="s">
        <v>73</v>
      </c>
      <c r="S192" s="1007" t="s">
        <v>967</v>
      </c>
      <c r="T192" s="1007">
        <v>455</v>
      </c>
      <c r="U192" s="1007">
        <v>2808</v>
      </c>
      <c r="V192" s="1007">
        <v>1.2776400000000001</v>
      </c>
      <c r="W192" s="1007">
        <v>78</v>
      </c>
      <c r="X192" s="1007">
        <v>3</v>
      </c>
      <c r="Y192" s="1007" t="s">
        <v>75</v>
      </c>
      <c r="Z192" s="1007" t="s">
        <v>75</v>
      </c>
      <c r="AB192" s="1008">
        <v>46058</v>
      </c>
      <c r="AC192" s="1007">
        <v>6</v>
      </c>
      <c r="AD192" s="1007" t="s">
        <v>1014</v>
      </c>
      <c r="AF192" s="1007" t="s">
        <v>77</v>
      </c>
      <c r="AG192" s="1007" t="s">
        <v>61</v>
      </c>
      <c r="AH192" s="1007" t="s">
        <v>105</v>
      </c>
      <c r="AI192" s="1008">
        <v>46066</v>
      </c>
      <c r="AJ192" s="1008">
        <v>46065</v>
      </c>
      <c r="AK192" s="1008">
        <v>46065</v>
      </c>
      <c r="AL192" s="1008">
        <v>46119</v>
      </c>
      <c r="AM192" s="1008">
        <v>46141</v>
      </c>
      <c r="AN192" s="1008">
        <v>46137</v>
      </c>
      <c r="AO192" s="1007" t="s">
        <v>402</v>
      </c>
      <c r="AP192" s="1007" t="s">
        <v>771</v>
      </c>
      <c r="AQ192" s="1007" t="s">
        <v>80</v>
      </c>
      <c r="AR192" s="1007" t="s">
        <v>803</v>
      </c>
      <c r="AS192" s="1007" t="s">
        <v>804</v>
      </c>
      <c r="AT192" s="1007" t="s">
        <v>804</v>
      </c>
      <c r="AU192" s="1007">
        <v>72</v>
      </c>
      <c r="AW192" s="1008">
        <v>46137</v>
      </c>
      <c r="AX192" s="1007" t="s">
        <v>973</v>
      </c>
      <c r="AY192" s="1008">
        <v>46149</v>
      </c>
      <c r="AZ192" s="1007">
        <v>7</v>
      </c>
      <c r="BA192" s="1008">
        <v>46144</v>
      </c>
      <c r="BB192" s="1007">
        <v>2026</v>
      </c>
      <c r="BC192" s="1007">
        <v>5</v>
      </c>
      <c r="BD192" s="1007">
        <v>18</v>
      </c>
      <c r="BE192" s="1007">
        <v>36</v>
      </c>
      <c r="BF192" s="1007">
        <v>936</v>
      </c>
      <c r="BG192" s="1007" t="s">
        <v>85</v>
      </c>
      <c r="BH192" s="1007" t="s">
        <v>109</v>
      </c>
    </row>
    <row r="193" spans="1:60">
      <c r="A193" s="1007" t="s">
        <v>1015</v>
      </c>
      <c r="B193" s="1007" t="s">
        <v>61</v>
      </c>
      <c r="C193" s="1007" t="s">
        <v>1016</v>
      </c>
      <c r="D193" s="1007" t="s">
        <v>63</v>
      </c>
      <c r="E193" s="1007" t="s">
        <v>64</v>
      </c>
      <c r="F193" s="1007" t="s">
        <v>100</v>
      </c>
      <c r="G193" s="1007" t="s">
        <v>402</v>
      </c>
      <c r="H193" s="1007" t="s">
        <v>67</v>
      </c>
      <c r="I193" s="1007" t="s">
        <v>68</v>
      </c>
      <c r="J193" s="1007" t="s">
        <v>293</v>
      </c>
      <c r="M193" s="1007" t="s">
        <v>68</v>
      </c>
      <c r="N193" s="1007">
        <v>46055</v>
      </c>
      <c r="O193" s="1007" t="s">
        <v>70</v>
      </c>
      <c r="P193" s="1007" t="s">
        <v>195</v>
      </c>
      <c r="Q193" s="1007" t="s">
        <v>196</v>
      </c>
      <c r="R193" s="1007" t="s">
        <v>73</v>
      </c>
      <c r="S193" s="1007" t="s">
        <v>967</v>
      </c>
      <c r="T193" s="1007">
        <v>450</v>
      </c>
      <c r="U193" s="1007">
        <v>1872</v>
      </c>
      <c r="V193" s="1007">
        <v>0.84240000000000004</v>
      </c>
      <c r="W193" s="1007">
        <v>52</v>
      </c>
      <c r="X193" s="1007">
        <v>2</v>
      </c>
      <c r="Y193" s="1007" t="s">
        <v>75</v>
      </c>
      <c r="Z193" s="1007" t="s">
        <v>75</v>
      </c>
      <c r="AB193" s="1008">
        <v>46059</v>
      </c>
      <c r="AC193" s="1007">
        <v>6</v>
      </c>
      <c r="AD193" s="1007" t="s">
        <v>1017</v>
      </c>
      <c r="AF193" s="1007" t="s">
        <v>77</v>
      </c>
      <c r="AG193" s="1007" t="s">
        <v>61</v>
      </c>
      <c r="AH193" s="1007" t="s">
        <v>105</v>
      </c>
      <c r="AI193" s="1008">
        <v>46066</v>
      </c>
      <c r="AJ193" s="1008">
        <v>46065</v>
      </c>
      <c r="AK193" s="1008">
        <v>46065</v>
      </c>
      <c r="AL193" s="1008">
        <v>46119</v>
      </c>
      <c r="AM193" s="1008">
        <v>46141</v>
      </c>
      <c r="AN193" s="1008">
        <v>46137</v>
      </c>
      <c r="AO193" s="1007" t="s">
        <v>402</v>
      </c>
      <c r="AP193" s="1007" t="s">
        <v>771</v>
      </c>
      <c r="AQ193" s="1007" t="s">
        <v>80</v>
      </c>
      <c r="AR193" s="1007" t="s">
        <v>1018</v>
      </c>
      <c r="AS193" s="1007" t="s">
        <v>1019</v>
      </c>
      <c r="AT193" s="1007" t="s">
        <v>1019</v>
      </c>
      <c r="AU193" s="1007">
        <v>72</v>
      </c>
      <c r="AW193" s="1008">
        <v>46137</v>
      </c>
      <c r="AX193" s="1007" t="s">
        <v>973</v>
      </c>
      <c r="AY193" s="1008">
        <v>46149</v>
      </c>
      <c r="AZ193" s="1007">
        <v>7</v>
      </c>
      <c r="BA193" s="1008">
        <v>46144</v>
      </c>
      <c r="BB193" s="1007">
        <v>2026</v>
      </c>
      <c r="BC193" s="1007">
        <v>5</v>
      </c>
      <c r="BD193" s="1007">
        <v>18</v>
      </c>
      <c r="BE193" s="1007">
        <v>36</v>
      </c>
      <c r="BF193" s="1007">
        <v>936</v>
      </c>
      <c r="BG193" s="1007" t="s">
        <v>85</v>
      </c>
      <c r="BH193" s="1007" t="s">
        <v>109</v>
      </c>
    </row>
    <row r="194" spans="1:60">
      <c r="A194" s="1007" t="s">
        <v>1020</v>
      </c>
      <c r="B194" s="1007" t="s">
        <v>61</v>
      </c>
      <c r="C194" s="1007" t="s">
        <v>1021</v>
      </c>
      <c r="D194" s="1007" t="s">
        <v>63</v>
      </c>
      <c r="E194" s="1007" t="s">
        <v>64</v>
      </c>
      <c r="F194" s="1007" t="s">
        <v>100</v>
      </c>
      <c r="G194" s="1007" t="s">
        <v>402</v>
      </c>
      <c r="H194" s="1007" t="s">
        <v>67</v>
      </c>
      <c r="I194" s="1007" t="s">
        <v>68</v>
      </c>
      <c r="J194" s="1007" t="s">
        <v>293</v>
      </c>
      <c r="M194" s="1007" t="s">
        <v>68</v>
      </c>
      <c r="N194" s="1007">
        <v>46055</v>
      </c>
      <c r="O194" s="1007" t="s">
        <v>70</v>
      </c>
      <c r="P194" s="1007" t="s">
        <v>965</v>
      </c>
      <c r="Q194" s="1007" t="s">
        <v>966</v>
      </c>
      <c r="R194" s="1007" t="s">
        <v>73</v>
      </c>
      <c r="S194" s="1007" t="s">
        <v>967</v>
      </c>
      <c r="T194" s="1007">
        <v>455</v>
      </c>
      <c r="U194" s="1007">
        <v>7488</v>
      </c>
      <c r="V194" s="1007">
        <v>3.4070399999999998</v>
      </c>
      <c r="W194" s="1007">
        <v>208</v>
      </c>
      <c r="X194" s="1007">
        <v>8</v>
      </c>
      <c r="Y194" s="1007" t="s">
        <v>75</v>
      </c>
      <c r="Z194" s="1007" t="s">
        <v>75</v>
      </c>
      <c r="AB194" s="1008">
        <v>46059</v>
      </c>
      <c r="AC194" s="1007">
        <v>6</v>
      </c>
      <c r="AD194" s="1007" t="s">
        <v>1022</v>
      </c>
      <c r="AF194" s="1007" t="s">
        <v>77</v>
      </c>
      <c r="AG194" s="1007" t="s">
        <v>61</v>
      </c>
      <c r="AH194" s="1007" t="s">
        <v>105</v>
      </c>
      <c r="AI194" s="1008">
        <v>46066</v>
      </c>
      <c r="AJ194" s="1008">
        <v>46065</v>
      </c>
      <c r="AK194" s="1008">
        <v>46065</v>
      </c>
      <c r="AL194" s="1008">
        <v>46119</v>
      </c>
      <c r="AM194" s="1008">
        <v>46141</v>
      </c>
      <c r="AN194" s="1008">
        <v>46137</v>
      </c>
      <c r="AO194" s="1007" t="s">
        <v>402</v>
      </c>
      <c r="AP194" s="1007" t="s">
        <v>771</v>
      </c>
      <c r="AQ194" s="1007" t="s">
        <v>80</v>
      </c>
      <c r="AR194" s="1007" t="s">
        <v>1018</v>
      </c>
      <c r="AS194" s="1007" t="s">
        <v>1019</v>
      </c>
      <c r="AT194" s="1007" t="s">
        <v>1019</v>
      </c>
      <c r="AU194" s="1007">
        <v>72</v>
      </c>
      <c r="AW194" s="1008">
        <v>46137</v>
      </c>
      <c r="AX194" s="1007" t="s">
        <v>973</v>
      </c>
      <c r="AY194" s="1008">
        <v>46149</v>
      </c>
      <c r="AZ194" s="1007">
        <v>7</v>
      </c>
      <c r="BA194" s="1008">
        <v>46144</v>
      </c>
      <c r="BB194" s="1007">
        <v>2026</v>
      </c>
      <c r="BC194" s="1007">
        <v>5</v>
      </c>
      <c r="BD194" s="1007">
        <v>18</v>
      </c>
      <c r="BE194" s="1007">
        <v>36</v>
      </c>
      <c r="BF194" s="1007">
        <v>936</v>
      </c>
      <c r="BG194" s="1007" t="s">
        <v>85</v>
      </c>
      <c r="BH194" s="1007" t="s">
        <v>109</v>
      </c>
    </row>
    <row r="195" spans="1:60">
      <c r="A195" s="1007" t="s">
        <v>1023</v>
      </c>
      <c r="B195" s="1007" t="s">
        <v>61</v>
      </c>
      <c r="C195" s="1007" t="s">
        <v>1021</v>
      </c>
      <c r="D195" s="1007" t="s">
        <v>63</v>
      </c>
      <c r="E195" s="1007" t="s">
        <v>64</v>
      </c>
      <c r="F195" s="1007" t="s">
        <v>100</v>
      </c>
      <c r="G195" s="1007" t="s">
        <v>402</v>
      </c>
      <c r="H195" s="1007" t="s">
        <v>67</v>
      </c>
      <c r="I195" s="1007" t="s">
        <v>68</v>
      </c>
      <c r="J195" s="1007" t="s">
        <v>1024</v>
      </c>
      <c r="M195" s="1007" t="s">
        <v>68</v>
      </c>
      <c r="N195" s="1007">
        <v>46055</v>
      </c>
      <c r="O195" s="1007" t="s">
        <v>70</v>
      </c>
      <c r="P195" s="1007" t="s">
        <v>965</v>
      </c>
      <c r="Q195" s="1007" t="s">
        <v>966</v>
      </c>
      <c r="R195" s="1007" t="s">
        <v>73</v>
      </c>
      <c r="S195" s="1007" t="s">
        <v>967</v>
      </c>
      <c r="T195" s="1007">
        <v>455</v>
      </c>
      <c r="U195" s="1007">
        <v>3744</v>
      </c>
      <c r="V195" s="1007">
        <v>1.7035199999999999</v>
      </c>
      <c r="W195" s="1007">
        <v>104</v>
      </c>
      <c r="X195" s="1007">
        <v>4</v>
      </c>
      <c r="Y195" s="1007" t="s">
        <v>75</v>
      </c>
      <c r="Z195" s="1007" t="s">
        <v>75</v>
      </c>
      <c r="AB195" s="1008">
        <v>46060</v>
      </c>
      <c r="AC195" s="1007">
        <v>6</v>
      </c>
      <c r="AD195" s="1007" t="s">
        <v>1025</v>
      </c>
      <c r="AF195" s="1007" t="s">
        <v>77</v>
      </c>
      <c r="AG195" s="1007" t="s">
        <v>61</v>
      </c>
      <c r="AH195" s="1007" t="s">
        <v>105</v>
      </c>
      <c r="AI195" s="1008">
        <v>46066</v>
      </c>
      <c r="AJ195" s="1008">
        <v>46065</v>
      </c>
      <c r="AK195" s="1008">
        <v>46065</v>
      </c>
      <c r="AL195" s="1008">
        <v>46119</v>
      </c>
      <c r="AM195" s="1008">
        <v>46141</v>
      </c>
      <c r="AN195" s="1008">
        <v>46137</v>
      </c>
      <c r="AO195" s="1007" t="s">
        <v>402</v>
      </c>
      <c r="AP195" s="1007" t="s">
        <v>771</v>
      </c>
      <c r="AQ195" s="1007" t="s">
        <v>80</v>
      </c>
      <c r="AR195" s="1007" t="s">
        <v>809</v>
      </c>
      <c r="AS195" s="1007" t="s">
        <v>810</v>
      </c>
      <c r="AT195" s="1007" t="s">
        <v>810</v>
      </c>
      <c r="AU195" s="1007">
        <v>72</v>
      </c>
      <c r="AW195" s="1008">
        <v>46137</v>
      </c>
      <c r="AX195" s="1007" t="s">
        <v>973</v>
      </c>
      <c r="AY195" s="1008">
        <v>46149</v>
      </c>
      <c r="AZ195" s="1007">
        <v>7</v>
      </c>
      <c r="BA195" s="1008">
        <v>46144</v>
      </c>
      <c r="BB195" s="1007">
        <v>2026</v>
      </c>
      <c r="BC195" s="1007">
        <v>5</v>
      </c>
      <c r="BD195" s="1007">
        <v>18</v>
      </c>
      <c r="BE195" s="1007">
        <v>36</v>
      </c>
      <c r="BF195" s="1007">
        <v>936</v>
      </c>
      <c r="BG195" s="1007" t="s">
        <v>85</v>
      </c>
      <c r="BH195" s="1007" t="s">
        <v>109</v>
      </c>
    </row>
    <row r="196" spans="1:60">
      <c r="A196" s="1007" t="s">
        <v>1026</v>
      </c>
      <c r="B196" s="1007" t="s">
        <v>61</v>
      </c>
      <c r="C196" s="1007" t="s">
        <v>1021</v>
      </c>
      <c r="D196" s="1007" t="s">
        <v>63</v>
      </c>
      <c r="E196" s="1007" t="s">
        <v>64</v>
      </c>
      <c r="F196" s="1007" t="s">
        <v>100</v>
      </c>
      <c r="G196" s="1007" t="s">
        <v>402</v>
      </c>
      <c r="H196" s="1007" t="s">
        <v>67</v>
      </c>
      <c r="I196" s="1007" t="s">
        <v>68</v>
      </c>
      <c r="J196" s="1007" t="s">
        <v>419</v>
      </c>
      <c r="M196" s="1007" t="s">
        <v>68</v>
      </c>
      <c r="N196" s="1007">
        <v>46055</v>
      </c>
      <c r="O196" s="1007" t="s">
        <v>70</v>
      </c>
      <c r="P196" s="1007" t="s">
        <v>965</v>
      </c>
      <c r="Q196" s="1007" t="s">
        <v>966</v>
      </c>
      <c r="R196" s="1007" t="s">
        <v>73</v>
      </c>
      <c r="S196" s="1007" t="s">
        <v>967</v>
      </c>
      <c r="T196" s="1007">
        <v>455</v>
      </c>
      <c r="U196" s="1007">
        <v>3744</v>
      </c>
      <c r="V196" s="1007">
        <v>1.7035199999999999</v>
      </c>
      <c r="W196" s="1007">
        <v>104</v>
      </c>
      <c r="X196" s="1007">
        <v>4</v>
      </c>
      <c r="Y196" s="1007" t="s">
        <v>75</v>
      </c>
      <c r="Z196" s="1007" t="s">
        <v>75</v>
      </c>
      <c r="AB196" s="1008">
        <v>46060</v>
      </c>
      <c r="AC196" s="1007">
        <v>6</v>
      </c>
      <c r="AD196" s="1007" t="s">
        <v>1027</v>
      </c>
      <c r="AF196" s="1007" t="s">
        <v>77</v>
      </c>
      <c r="AG196" s="1007" t="s">
        <v>61</v>
      </c>
      <c r="AH196" s="1007" t="s">
        <v>105</v>
      </c>
      <c r="AI196" s="1008">
        <v>46066</v>
      </c>
      <c r="AJ196" s="1008">
        <v>46065</v>
      </c>
      <c r="AK196" s="1008">
        <v>46065</v>
      </c>
      <c r="AL196" s="1008">
        <v>46119</v>
      </c>
      <c r="AM196" s="1008">
        <v>46141</v>
      </c>
      <c r="AN196" s="1008">
        <v>46137</v>
      </c>
      <c r="AO196" s="1007" t="s">
        <v>402</v>
      </c>
      <c r="AP196" s="1007" t="s">
        <v>771</v>
      </c>
      <c r="AQ196" s="1007" t="s">
        <v>80</v>
      </c>
      <c r="AR196" s="1007" t="s">
        <v>809</v>
      </c>
      <c r="AS196" s="1007" t="s">
        <v>810</v>
      </c>
      <c r="AT196" s="1007" t="s">
        <v>810</v>
      </c>
      <c r="AU196" s="1007">
        <v>72</v>
      </c>
      <c r="AW196" s="1008">
        <v>46137</v>
      </c>
      <c r="AX196" s="1007" t="s">
        <v>973</v>
      </c>
      <c r="AY196" s="1008">
        <v>46149</v>
      </c>
      <c r="AZ196" s="1007">
        <v>7</v>
      </c>
      <c r="BA196" s="1008">
        <v>46144</v>
      </c>
      <c r="BB196" s="1007">
        <v>2026</v>
      </c>
      <c r="BC196" s="1007">
        <v>5</v>
      </c>
      <c r="BD196" s="1007">
        <v>18</v>
      </c>
      <c r="BE196" s="1007">
        <v>36</v>
      </c>
      <c r="BF196" s="1007">
        <v>936</v>
      </c>
      <c r="BG196" s="1007" t="s">
        <v>85</v>
      </c>
      <c r="BH196" s="1007" t="s">
        <v>109</v>
      </c>
    </row>
    <row r="197" spans="1:60">
      <c r="A197" s="1007" t="s">
        <v>1028</v>
      </c>
      <c r="B197" s="1007" t="s">
        <v>111</v>
      </c>
      <c r="C197" s="1007" t="s">
        <v>203</v>
      </c>
      <c r="D197" s="1007" t="s">
        <v>63</v>
      </c>
      <c r="E197" s="1007" t="s">
        <v>144</v>
      </c>
      <c r="F197" s="1007" t="s">
        <v>145</v>
      </c>
      <c r="G197" s="1007" t="s">
        <v>402</v>
      </c>
      <c r="H197" s="1007" t="s">
        <v>1029</v>
      </c>
      <c r="I197" s="1007" t="s">
        <v>882</v>
      </c>
      <c r="J197" s="1007" t="s">
        <v>1030</v>
      </c>
      <c r="K197" s="1007" t="s">
        <v>1031</v>
      </c>
      <c r="M197" s="1007" t="s">
        <v>840</v>
      </c>
      <c r="N197" s="1007">
        <v>46045</v>
      </c>
      <c r="O197" s="1007" t="s">
        <v>1032</v>
      </c>
      <c r="P197" s="1007" t="s">
        <v>1033</v>
      </c>
      <c r="Q197" s="1007" t="s">
        <v>886</v>
      </c>
      <c r="R197" s="1007" t="s">
        <v>73</v>
      </c>
      <c r="S197" s="1007" t="s">
        <v>992</v>
      </c>
      <c r="T197" s="1007">
        <v>615</v>
      </c>
      <c r="U197" s="1007">
        <v>468</v>
      </c>
      <c r="V197" s="1007">
        <v>0.28782000000000002</v>
      </c>
      <c r="W197" s="1007">
        <v>13</v>
      </c>
      <c r="X197" s="1007">
        <v>0.65</v>
      </c>
      <c r="Y197" s="1007" t="s">
        <v>75</v>
      </c>
      <c r="Z197" s="1007" t="s">
        <v>75</v>
      </c>
      <c r="AB197" s="1008">
        <v>46060</v>
      </c>
      <c r="AC197" s="1007">
        <v>6</v>
      </c>
      <c r="AD197" s="1007" t="s">
        <v>1034</v>
      </c>
      <c r="AF197" s="1007" t="s">
        <v>122</v>
      </c>
      <c r="AG197" s="1007" t="s">
        <v>123</v>
      </c>
      <c r="AH197" s="1007" t="s">
        <v>888</v>
      </c>
      <c r="AI197" s="1008">
        <v>46070</v>
      </c>
      <c r="AJ197" s="1008">
        <v>46071</v>
      </c>
      <c r="AK197" s="1008">
        <v>46071</v>
      </c>
      <c r="AL197" s="1008">
        <v>46120</v>
      </c>
      <c r="AM197" s="1008">
        <v>46126</v>
      </c>
      <c r="AN197" s="1008">
        <v>46125</v>
      </c>
      <c r="AO197" s="1007" t="s">
        <v>402</v>
      </c>
      <c r="AP197" s="1007" t="s">
        <v>1035</v>
      </c>
      <c r="AQ197" s="1007" t="s">
        <v>80</v>
      </c>
      <c r="AR197" s="1007" t="s">
        <v>1036</v>
      </c>
      <c r="AS197" s="1007" t="s">
        <v>1037</v>
      </c>
      <c r="AT197" s="1007" t="s">
        <v>1037</v>
      </c>
      <c r="AU197" s="1007">
        <v>54</v>
      </c>
      <c r="AW197" s="1008">
        <v>46125</v>
      </c>
      <c r="AX197" s="1007" t="s">
        <v>973</v>
      </c>
      <c r="AY197" s="1008">
        <v>46133</v>
      </c>
      <c r="AZ197" s="1007">
        <v>0</v>
      </c>
      <c r="BA197" s="1008">
        <v>46125</v>
      </c>
      <c r="BB197" s="1007">
        <v>2026</v>
      </c>
      <c r="BC197" s="1007">
        <v>4</v>
      </c>
      <c r="BD197" s="1007">
        <v>16</v>
      </c>
      <c r="BE197" s="1007">
        <v>36</v>
      </c>
      <c r="BF197" s="1007">
        <v>720</v>
      </c>
      <c r="BG197" s="1007" t="s">
        <v>108</v>
      </c>
      <c r="BH197" s="1007" t="s">
        <v>109</v>
      </c>
    </row>
    <row r="198" spans="1:60">
      <c r="A198" s="1007" t="s">
        <v>1038</v>
      </c>
      <c r="B198" s="1007" t="s">
        <v>111</v>
      </c>
      <c r="C198" s="1007" t="s">
        <v>203</v>
      </c>
      <c r="D198" s="1007" t="s">
        <v>63</v>
      </c>
      <c r="E198" s="1007" t="s">
        <v>144</v>
      </c>
      <c r="F198" s="1007" t="s">
        <v>145</v>
      </c>
      <c r="G198" s="1007" t="s">
        <v>402</v>
      </c>
      <c r="H198" s="1007" t="s">
        <v>1029</v>
      </c>
      <c r="I198" s="1007" t="s">
        <v>882</v>
      </c>
      <c r="J198" s="1007" t="s">
        <v>1030</v>
      </c>
      <c r="K198" s="1007" t="s">
        <v>1031</v>
      </c>
      <c r="M198" s="1007" t="s">
        <v>840</v>
      </c>
      <c r="N198" s="1007">
        <v>46045</v>
      </c>
      <c r="O198" s="1007" t="s">
        <v>1032</v>
      </c>
      <c r="P198" s="1007" t="s">
        <v>943</v>
      </c>
      <c r="Q198" s="1007" t="s">
        <v>886</v>
      </c>
      <c r="R198" s="1007" t="s">
        <v>73</v>
      </c>
      <c r="S198" s="1007" t="s">
        <v>967</v>
      </c>
      <c r="T198" s="1007">
        <v>615</v>
      </c>
      <c r="U198" s="1007">
        <v>684</v>
      </c>
      <c r="V198" s="1007">
        <v>0.42065999999999998</v>
      </c>
      <c r="W198" s="1007">
        <v>19</v>
      </c>
      <c r="X198" s="1007">
        <v>0.95</v>
      </c>
      <c r="Y198" s="1007" t="s">
        <v>75</v>
      </c>
      <c r="Z198" s="1007" t="s">
        <v>75</v>
      </c>
      <c r="AB198" s="1008">
        <v>46060</v>
      </c>
      <c r="AC198" s="1007">
        <v>6</v>
      </c>
      <c r="AD198" s="1007" t="s">
        <v>1039</v>
      </c>
      <c r="AF198" s="1007" t="s">
        <v>122</v>
      </c>
      <c r="AG198" s="1007" t="s">
        <v>123</v>
      </c>
      <c r="AH198" s="1007" t="s">
        <v>888</v>
      </c>
      <c r="AI198" s="1008">
        <v>46070</v>
      </c>
      <c r="AJ198" s="1008">
        <v>46071</v>
      </c>
      <c r="AK198" s="1008">
        <v>46071</v>
      </c>
      <c r="AL198" s="1008">
        <v>46120</v>
      </c>
      <c r="AM198" s="1008">
        <v>46126</v>
      </c>
      <c r="AN198" s="1008">
        <v>46125</v>
      </c>
      <c r="AO198" s="1007" t="s">
        <v>402</v>
      </c>
      <c r="AP198" s="1007" t="s">
        <v>1035</v>
      </c>
      <c r="AQ198" s="1007" t="s">
        <v>80</v>
      </c>
      <c r="AR198" s="1007" t="s">
        <v>1036</v>
      </c>
      <c r="AS198" s="1007" t="s">
        <v>1037</v>
      </c>
      <c r="AT198" s="1007" t="s">
        <v>1037</v>
      </c>
      <c r="AU198" s="1007">
        <v>54</v>
      </c>
      <c r="AW198" s="1008">
        <v>46125</v>
      </c>
      <c r="AX198" s="1007" t="s">
        <v>973</v>
      </c>
      <c r="AY198" s="1008">
        <v>46133</v>
      </c>
      <c r="AZ198" s="1007">
        <v>0</v>
      </c>
      <c r="BA198" s="1008">
        <v>46125</v>
      </c>
      <c r="BB198" s="1007">
        <v>2026</v>
      </c>
      <c r="BC198" s="1007">
        <v>4</v>
      </c>
      <c r="BD198" s="1007">
        <v>16</v>
      </c>
      <c r="BE198" s="1007">
        <v>36</v>
      </c>
      <c r="BF198" s="1007">
        <v>720</v>
      </c>
      <c r="BG198" s="1007" t="s">
        <v>108</v>
      </c>
      <c r="BH198" s="1007" t="s">
        <v>109</v>
      </c>
    </row>
    <row r="199" spans="1:60">
      <c r="A199" s="1007" t="s">
        <v>1040</v>
      </c>
      <c r="B199" s="1007" t="s">
        <v>111</v>
      </c>
      <c r="C199" s="1007" t="s">
        <v>203</v>
      </c>
      <c r="D199" s="1007" t="s">
        <v>63</v>
      </c>
      <c r="E199" s="1007" t="s">
        <v>144</v>
      </c>
      <c r="F199" s="1007" t="s">
        <v>145</v>
      </c>
      <c r="G199" s="1007" t="s">
        <v>402</v>
      </c>
      <c r="H199" s="1007" t="s">
        <v>1029</v>
      </c>
      <c r="I199" s="1007" t="s">
        <v>882</v>
      </c>
      <c r="J199" s="1007" t="s">
        <v>1030</v>
      </c>
      <c r="K199" s="1007" t="s">
        <v>1031</v>
      </c>
      <c r="M199" s="1007" t="s">
        <v>840</v>
      </c>
      <c r="N199" s="1007">
        <v>46045</v>
      </c>
      <c r="O199" s="1007" t="s">
        <v>1032</v>
      </c>
      <c r="P199" s="1007" t="s">
        <v>102</v>
      </c>
      <c r="Q199" s="1007" t="s">
        <v>103</v>
      </c>
      <c r="R199" s="1007" t="s">
        <v>73</v>
      </c>
      <c r="S199" s="1007" t="s">
        <v>967</v>
      </c>
      <c r="T199" s="1007">
        <v>620</v>
      </c>
      <c r="U199" s="1007">
        <v>1584</v>
      </c>
      <c r="V199" s="1007">
        <v>0.98207999999999995</v>
      </c>
      <c r="W199" s="1007">
        <v>44</v>
      </c>
      <c r="X199" s="1007">
        <v>2.2000000000000002</v>
      </c>
      <c r="Y199" s="1007" t="s">
        <v>75</v>
      </c>
      <c r="Z199" s="1007" t="s">
        <v>75</v>
      </c>
      <c r="AB199" s="1008">
        <v>46060</v>
      </c>
      <c r="AC199" s="1007">
        <v>6</v>
      </c>
      <c r="AD199" s="1007" t="s">
        <v>1041</v>
      </c>
      <c r="AF199" s="1007" t="s">
        <v>122</v>
      </c>
      <c r="AG199" s="1007" t="s">
        <v>123</v>
      </c>
      <c r="AH199" s="1007" t="s">
        <v>888</v>
      </c>
      <c r="AI199" s="1008">
        <v>46070</v>
      </c>
      <c r="AJ199" s="1008">
        <v>46071</v>
      </c>
      <c r="AK199" s="1008">
        <v>46071</v>
      </c>
      <c r="AL199" s="1008">
        <v>46120</v>
      </c>
      <c r="AM199" s="1008">
        <v>46126</v>
      </c>
      <c r="AN199" s="1008">
        <v>46125</v>
      </c>
      <c r="AO199" s="1007" t="s">
        <v>402</v>
      </c>
      <c r="AP199" s="1007" t="s">
        <v>1035</v>
      </c>
      <c r="AQ199" s="1007" t="s">
        <v>80</v>
      </c>
      <c r="AR199" s="1007" t="s">
        <v>1036</v>
      </c>
      <c r="AS199" s="1007" t="s">
        <v>1037</v>
      </c>
      <c r="AT199" s="1007" t="s">
        <v>1037</v>
      </c>
      <c r="AU199" s="1007">
        <v>54</v>
      </c>
      <c r="AW199" s="1008">
        <v>46125</v>
      </c>
      <c r="AX199" s="1007" t="s">
        <v>973</v>
      </c>
      <c r="AY199" s="1008">
        <v>46133</v>
      </c>
      <c r="AZ199" s="1007">
        <v>0</v>
      </c>
      <c r="BA199" s="1008">
        <v>46125</v>
      </c>
      <c r="BB199" s="1007">
        <v>2026</v>
      </c>
      <c r="BC199" s="1007">
        <v>4</v>
      </c>
      <c r="BD199" s="1007">
        <v>16</v>
      </c>
      <c r="BE199" s="1007">
        <v>36</v>
      </c>
      <c r="BF199" s="1007">
        <v>720</v>
      </c>
      <c r="BG199" s="1007" t="s">
        <v>108</v>
      </c>
      <c r="BH199" s="1007" t="s">
        <v>109</v>
      </c>
    </row>
    <row r="200" spans="1:60">
      <c r="A200" s="1007" t="s">
        <v>1042</v>
      </c>
      <c r="B200" s="1007" t="s">
        <v>111</v>
      </c>
      <c r="C200" s="1007" t="s">
        <v>203</v>
      </c>
      <c r="D200" s="1007" t="s">
        <v>63</v>
      </c>
      <c r="E200" s="1007" t="s">
        <v>144</v>
      </c>
      <c r="F200" s="1007" t="s">
        <v>145</v>
      </c>
      <c r="G200" s="1007" t="s">
        <v>402</v>
      </c>
      <c r="H200" s="1007" t="s">
        <v>1029</v>
      </c>
      <c r="I200" s="1007" t="s">
        <v>882</v>
      </c>
      <c r="J200" s="1007" t="s">
        <v>1030</v>
      </c>
      <c r="K200" s="1007" t="s">
        <v>1031</v>
      </c>
      <c r="M200" s="1007" t="s">
        <v>840</v>
      </c>
      <c r="N200" s="1007">
        <v>46045</v>
      </c>
      <c r="O200" s="1007" t="s">
        <v>1032</v>
      </c>
      <c r="P200" s="1007" t="s">
        <v>1043</v>
      </c>
      <c r="Q200" s="1007" t="s">
        <v>330</v>
      </c>
      <c r="R200" s="1007" t="s">
        <v>73</v>
      </c>
      <c r="S200" s="1007" t="s">
        <v>967</v>
      </c>
      <c r="T200" s="1007">
        <v>625</v>
      </c>
      <c r="U200" s="1007">
        <v>144</v>
      </c>
      <c r="V200" s="1007">
        <v>0.09</v>
      </c>
      <c r="W200" s="1007">
        <v>4</v>
      </c>
      <c r="X200" s="1007">
        <v>0.2</v>
      </c>
      <c r="Y200" s="1007" t="s">
        <v>75</v>
      </c>
      <c r="Z200" s="1007" t="s">
        <v>75</v>
      </c>
      <c r="AB200" s="1008">
        <v>46060</v>
      </c>
      <c r="AC200" s="1007">
        <v>6</v>
      </c>
      <c r="AD200" s="1007" t="s">
        <v>1044</v>
      </c>
      <c r="AF200" s="1007" t="s">
        <v>122</v>
      </c>
      <c r="AG200" s="1007" t="s">
        <v>123</v>
      </c>
      <c r="AH200" s="1007" t="s">
        <v>888</v>
      </c>
      <c r="AI200" s="1008">
        <v>46070</v>
      </c>
      <c r="AJ200" s="1008">
        <v>46071</v>
      </c>
      <c r="AK200" s="1008">
        <v>46071</v>
      </c>
      <c r="AL200" s="1008">
        <v>46120</v>
      </c>
      <c r="AM200" s="1008">
        <v>46126</v>
      </c>
      <c r="AN200" s="1008">
        <v>46125</v>
      </c>
      <c r="AO200" s="1007" t="s">
        <v>402</v>
      </c>
      <c r="AP200" s="1007" t="s">
        <v>1035</v>
      </c>
      <c r="AQ200" s="1007" t="s">
        <v>80</v>
      </c>
      <c r="AR200" s="1007" t="s">
        <v>1036</v>
      </c>
      <c r="AS200" s="1007" t="s">
        <v>1037</v>
      </c>
      <c r="AT200" s="1007" t="s">
        <v>1037</v>
      </c>
      <c r="AU200" s="1007">
        <v>54</v>
      </c>
      <c r="AW200" s="1008">
        <v>46125</v>
      </c>
      <c r="AX200" s="1007" t="s">
        <v>973</v>
      </c>
      <c r="AY200" s="1008">
        <v>46133</v>
      </c>
      <c r="AZ200" s="1007">
        <v>0</v>
      </c>
      <c r="BA200" s="1008">
        <v>46125</v>
      </c>
      <c r="BB200" s="1007">
        <v>2026</v>
      </c>
      <c r="BC200" s="1007">
        <v>4</v>
      </c>
      <c r="BD200" s="1007">
        <v>16</v>
      </c>
      <c r="BE200" s="1007">
        <v>36</v>
      </c>
      <c r="BF200" s="1007">
        <v>720</v>
      </c>
      <c r="BG200" s="1007" t="s">
        <v>108</v>
      </c>
      <c r="BH200" s="1007" t="s">
        <v>109</v>
      </c>
    </row>
    <row r="201" spans="1:60">
      <c r="A201" s="1007" t="s">
        <v>1045</v>
      </c>
      <c r="B201" s="1007" t="s">
        <v>111</v>
      </c>
      <c r="C201" s="1007" t="s">
        <v>1046</v>
      </c>
      <c r="D201" s="1007" t="s">
        <v>63</v>
      </c>
      <c r="E201" s="1007" t="s">
        <v>64</v>
      </c>
      <c r="F201" s="1007" t="s">
        <v>100</v>
      </c>
      <c r="G201" s="1007" t="s">
        <v>402</v>
      </c>
      <c r="H201" s="1007" t="s">
        <v>67</v>
      </c>
      <c r="I201" s="1007" t="s">
        <v>689</v>
      </c>
      <c r="J201" s="1007" t="s">
        <v>1047</v>
      </c>
      <c r="M201" s="1007" t="s">
        <v>68</v>
      </c>
      <c r="N201" s="1007">
        <v>46062</v>
      </c>
      <c r="O201" s="1007" t="s">
        <v>70</v>
      </c>
      <c r="P201" s="1007" t="s">
        <v>1002</v>
      </c>
      <c r="Q201" s="1007" t="s">
        <v>330</v>
      </c>
      <c r="R201" s="1007" t="s">
        <v>73</v>
      </c>
      <c r="S201" s="1007" t="s">
        <v>992</v>
      </c>
      <c r="T201" s="1007">
        <v>625</v>
      </c>
      <c r="U201" s="1007">
        <v>5040</v>
      </c>
      <c r="V201" s="1007">
        <v>3.15</v>
      </c>
      <c r="W201" s="1007">
        <v>140</v>
      </c>
      <c r="X201" s="1007">
        <v>7</v>
      </c>
      <c r="Y201" s="1007" t="s">
        <v>75</v>
      </c>
      <c r="Z201" s="1007" t="s">
        <v>75</v>
      </c>
      <c r="AB201" s="1008">
        <v>46064</v>
      </c>
      <c r="AC201" s="1007">
        <v>7</v>
      </c>
      <c r="AD201" s="1007" t="s">
        <v>1048</v>
      </c>
      <c r="AF201" s="1007" t="s">
        <v>122</v>
      </c>
      <c r="AG201" s="1007" t="s">
        <v>123</v>
      </c>
      <c r="AH201" s="1007" t="s">
        <v>105</v>
      </c>
      <c r="AI201" s="1008">
        <v>46070</v>
      </c>
      <c r="AJ201" s="1008">
        <v>46069</v>
      </c>
      <c r="AK201" s="1008">
        <v>46069</v>
      </c>
      <c r="AL201" s="1008">
        <v>46109</v>
      </c>
      <c r="AM201" s="1008">
        <v>46126</v>
      </c>
      <c r="AN201" s="1008">
        <v>46127</v>
      </c>
      <c r="AO201" s="1007" t="s">
        <v>402</v>
      </c>
      <c r="AP201" s="1007" t="s">
        <v>1049</v>
      </c>
      <c r="AQ201" s="1007" t="s">
        <v>80</v>
      </c>
      <c r="AR201" s="1007" t="s">
        <v>1050</v>
      </c>
      <c r="AS201" s="1007" t="s">
        <v>1051</v>
      </c>
      <c r="AT201" s="1007" t="s">
        <v>1051</v>
      </c>
      <c r="AU201" s="1007">
        <v>58</v>
      </c>
      <c r="AW201" s="1008">
        <v>46127</v>
      </c>
      <c r="AX201" s="1007" t="s">
        <v>973</v>
      </c>
      <c r="AY201" s="1008">
        <v>46133</v>
      </c>
      <c r="AZ201" s="1007">
        <v>7</v>
      </c>
      <c r="BA201" s="1008">
        <v>46134</v>
      </c>
      <c r="BB201" s="1007">
        <v>2026</v>
      </c>
      <c r="BC201" s="1007">
        <v>4</v>
      </c>
      <c r="BD201" s="1007">
        <v>17</v>
      </c>
      <c r="BE201" s="1007">
        <v>36</v>
      </c>
      <c r="BF201" s="1007">
        <v>720</v>
      </c>
      <c r="BG201" s="1007" t="s">
        <v>128</v>
      </c>
      <c r="BH201" s="1007" t="s">
        <v>109</v>
      </c>
    </row>
    <row r="202" spans="1:60">
      <c r="A202" s="1007" t="s">
        <v>1052</v>
      </c>
      <c r="B202" s="1007" t="s">
        <v>111</v>
      </c>
      <c r="C202" s="1007" t="s">
        <v>1046</v>
      </c>
      <c r="D202" s="1007" t="s">
        <v>63</v>
      </c>
      <c r="E202" s="1007" t="s">
        <v>64</v>
      </c>
      <c r="F202" s="1007" t="s">
        <v>100</v>
      </c>
      <c r="G202" s="1007" t="s">
        <v>402</v>
      </c>
      <c r="H202" s="1007" t="s">
        <v>67</v>
      </c>
      <c r="I202" s="1007" t="s">
        <v>689</v>
      </c>
      <c r="J202" s="1007" t="s">
        <v>1047</v>
      </c>
      <c r="M202" s="1007" t="s">
        <v>68</v>
      </c>
      <c r="N202" s="1007">
        <v>46062</v>
      </c>
      <c r="O202" s="1007" t="s">
        <v>70</v>
      </c>
      <c r="P202" s="1007" t="s">
        <v>1002</v>
      </c>
      <c r="Q202" s="1007" t="s">
        <v>330</v>
      </c>
      <c r="R202" s="1007" t="s">
        <v>73</v>
      </c>
      <c r="S202" s="1007" t="s">
        <v>992</v>
      </c>
      <c r="T202" s="1007">
        <v>625</v>
      </c>
      <c r="U202" s="1007">
        <v>3600</v>
      </c>
      <c r="V202" s="1007">
        <v>2.25</v>
      </c>
      <c r="W202" s="1007">
        <v>100</v>
      </c>
      <c r="X202" s="1007">
        <v>5</v>
      </c>
      <c r="Y202" s="1007" t="s">
        <v>75</v>
      </c>
      <c r="Z202" s="1007" t="s">
        <v>75</v>
      </c>
      <c r="AB202" s="1008">
        <v>46065</v>
      </c>
      <c r="AC202" s="1007">
        <v>7</v>
      </c>
      <c r="AD202" s="1007" t="s">
        <v>1053</v>
      </c>
      <c r="AF202" s="1007" t="s">
        <v>122</v>
      </c>
      <c r="AG202" s="1007" t="s">
        <v>123</v>
      </c>
      <c r="AH202" s="1007" t="s">
        <v>105</v>
      </c>
      <c r="AI202" s="1008">
        <v>46070</v>
      </c>
      <c r="AJ202" s="1008">
        <v>46087</v>
      </c>
      <c r="AK202" s="1008">
        <v>46086</v>
      </c>
      <c r="AL202" s="1008">
        <v>46109</v>
      </c>
      <c r="AM202" s="1008">
        <v>46133</v>
      </c>
      <c r="AN202" s="1008">
        <v>46133</v>
      </c>
      <c r="AO202" s="1007" t="s">
        <v>402</v>
      </c>
      <c r="AP202" s="1007" t="s">
        <v>1049</v>
      </c>
      <c r="AQ202" s="1007" t="s">
        <v>80</v>
      </c>
      <c r="AR202" s="1007" t="s">
        <v>1054</v>
      </c>
      <c r="AS202" s="1007" t="s">
        <v>1055</v>
      </c>
      <c r="AT202" s="1007" t="s">
        <v>1055</v>
      </c>
      <c r="AU202" s="1007">
        <v>47</v>
      </c>
      <c r="AW202" s="1008">
        <v>46133</v>
      </c>
      <c r="AX202" s="1007" t="s">
        <v>973</v>
      </c>
      <c r="AY202" s="1008">
        <v>46146</v>
      </c>
      <c r="AZ202" s="1007">
        <v>7</v>
      </c>
      <c r="BA202" s="1008">
        <v>46140</v>
      </c>
      <c r="BB202" s="1007">
        <v>2026</v>
      </c>
      <c r="BC202" s="1007">
        <v>4</v>
      </c>
      <c r="BD202" s="1007">
        <v>18</v>
      </c>
      <c r="BE202" s="1007">
        <v>36</v>
      </c>
      <c r="BF202" s="1007">
        <v>720</v>
      </c>
      <c r="BG202" s="1007" t="s">
        <v>128</v>
      </c>
      <c r="BH202" s="1007" t="s">
        <v>109</v>
      </c>
    </row>
    <row r="203" spans="1:60">
      <c r="A203" s="1007" t="s">
        <v>1056</v>
      </c>
      <c r="B203" s="1007" t="s">
        <v>111</v>
      </c>
      <c r="C203" s="1007" t="s">
        <v>1007</v>
      </c>
      <c r="D203" s="1007" t="s">
        <v>63</v>
      </c>
      <c r="E203" s="1007" t="s">
        <v>64</v>
      </c>
      <c r="F203" s="1007" t="s">
        <v>100</v>
      </c>
      <c r="G203" s="1007" t="s">
        <v>402</v>
      </c>
      <c r="H203" s="1007" t="s">
        <v>67</v>
      </c>
      <c r="I203" s="1007" t="s">
        <v>68</v>
      </c>
      <c r="J203" s="1007" t="s">
        <v>101</v>
      </c>
      <c r="M203" s="1007" t="s">
        <v>68</v>
      </c>
      <c r="N203" s="1007">
        <v>46045</v>
      </c>
      <c r="O203" s="1007" t="s">
        <v>70</v>
      </c>
      <c r="P203" s="1007" t="s">
        <v>102</v>
      </c>
      <c r="Q203" s="1007" t="s">
        <v>103</v>
      </c>
      <c r="R203" s="1007" t="s">
        <v>73</v>
      </c>
      <c r="S203" s="1007" t="s">
        <v>967</v>
      </c>
      <c r="T203" s="1007">
        <v>620</v>
      </c>
      <c r="U203" s="1007">
        <v>5040</v>
      </c>
      <c r="V203" s="1007">
        <v>3.1248</v>
      </c>
      <c r="W203" s="1007">
        <v>140</v>
      </c>
      <c r="X203" s="1007">
        <v>7</v>
      </c>
      <c r="Y203" s="1007" t="s">
        <v>75</v>
      </c>
      <c r="Z203" s="1007" t="s">
        <v>75</v>
      </c>
      <c r="AB203" s="1008">
        <v>46061</v>
      </c>
      <c r="AC203" s="1007">
        <v>6</v>
      </c>
      <c r="AD203" s="1007" t="s">
        <v>1057</v>
      </c>
      <c r="AF203" s="1007" t="s">
        <v>122</v>
      </c>
      <c r="AG203" s="1007" t="s">
        <v>123</v>
      </c>
      <c r="AH203" s="1007" t="s">
        <v>105</v>
      </c>
      <c r="AI203" s="1008">
        <v>46067</v>
      </c>
      <c r="AJ203" s="1008">
        <v>46087</v>
      </c>
      <c r="AK203" s="1008">
        <v>46086</v>
      </c>
      <c r="AL203" s="1008">
        <v>46108</v>
      </c>
      <c r="AM203" s="1008">
        <v>46133</v>
      </c>
      <c r="AN203" s="1008">
        <v>46133</v>
      </c>
      <c r="AO203" s="1007" t="s">
        <v>402</v>
      </c>
      <c r="AP203" s="1007" t="s">
        <v>829</v>
      </c>
      <c r="AQ203" s="1007" t="s">
        <v>80</v>
      </c>
      <c r="AR203" s="1007" t="s">
        <v>830</v>
      </c>
      <c r="AS203" s="1007" t="s">
        <v>831</v>
      </c>
      <c r="AT203" s="1007" t="s">
        <v>831</v>
      </c>
      <c r="AU203" s="1007">
        <v>47</v>
      </c>
      <c r="AW203" s="1008">
        <v>46133</v>
      </c>
      <c r="AX203" s="1007" t="s">
        <v>973</v>
      </c>
      <c r="AY203" s="1008">
        <v>46146</v>
      </c>
      <c r="AZ203" s="1007">
        <v>7</v>
      </c>
      <c r="BA203" s="1008">
        <v>46140</v>
      </c>
      <c r="BB203" s="1007">
        <v>2026</v>
      </c>
      <c r="BC203" s="1007">
        <v>4</v>
      </c>
      <c r="BD203" s="1007">
        <v>18</v>
      </c>
      <c r="BE203" s="1007">
        <v>36</v>
      </c>
      <c r="BF203" s="1007">
        <v>720</v>
      </c>
      <c r="BG203" s="1007" t="s">
        <v>108</v>
      </c>
      <c r="BH203" s="1007" t="s">
        <v>109</v>
      </c>
    </row>
    <row r="204" spans="1:60">
      <c r="A204" s="1007" t="s">
        <v>1058</v>
      </c>
      <c r="B204" s="1007" t="s">
        <v>111</v>
      </c>
      <c r="C204" s="1007" t="s">
        <v>991</v>
      </c>
      <c r="D204" s="1007" t="s">
        <v>63</v>
      </c>
      <c r="E204" s="1007" t="s">
        <v>64</v>
      </c>
      <c r="F204" s="1007" t="s">
        <v>100</v>
      </c>
      <c r="G204" s="1007" t="s">
        <v>402</v>
      </c>
      <c r="H204" s="1007" t="s">
        <v>67</v>
      </c>
      <c r="I204" s="1007" t="s">
        <v>68</v>
      </c>
      <c r="J204" s="1007" t="s">
        <v>101</v>
      </c>
      <c r="M204" s="1007" t="s">
        <v>68</v>
      </c>
      <c r="N204" s="1007">
        <v>46048</v>
      </c>
      <c r="O204" s="1007" t="s">
        <v>132</v>
      </c>
      <c r="P204" s="1007" t="s">
        <v>133</v>
      </c>
      <c r="Q204" s="1007" t="s">
        <v>134</v>
      </c>
      <c r="R204" s="1007" t="s">
        <v>73</v>
      </c>
      <c r="S204" s="1007" t="s">
        <v>992</v>
      </c>
      <c r="T204" s="1007">
        <v>720</v>
      </c>
      <c r="U204" s="1007">
        <v>594</v>
      </c>
      <c r="V204" s="1007">
        <v>0.42768</v>
      </c>
      <c r="W204" s="1007">
        <v>18</v>
      </c>
      <c r="X204" s="1007">
        <v>1</v>
      </c>
      <c r="Y204" s="1007" t="s">
        <v>75</v>
      </c>
      <c r="Z204" s="1007" t="s">
        <v>75</v>
      </c>
      <c r="AB204" s="1008">
        <v>46061</v>
      </c>
      <c r="AC204" s="1007">
        <v>6</v>
      </c>
      <c r="AD204" s="1007" t="s">
        <v>1059</v>
      </c>
      <c r="AF204" s="1007" t="s">
        <v>122</v>
      </c>
      <c r="AG204" s="1007" t="s">
        <v>123</v>
      </c>
      <c r="AH204" s="1007" t="s">
        <v>105</v>
      </c>
      <c r="AI204" s="1008">
        <v>46067</v>
      </c>
      <c r="AJ204" s="1008">
        <v>46087</v>
      </c>
      <c r="AK204" s="1008">
        <v>46086</v>
      </c>
      <c r="AL204" s="1008">
        <v>46108</v>
      </c>
      <c r="AM204" s="1008">
        <v>46133</v>
      </c>
      <c r="AN204" s="1008">
        <v>46133</v>
      </c>
      <c r="AO204" s="1007" t="s">
        <v>402</v>
      </c>
      <c r="AP204" s="1007" t="s">
        <v>829</v>
      </c>
      <c r="AQ204" s="1007" t="s">
        <v>80</v>
      </c>
      <c r="AR204" s="1007" t="s">
        <v>830</v>
      </c>
      <c r="AS204" s="1007" t="s">
        <v>831</v>
      </c>
      <c r="AT204" s="1007" t="s">
        <v>831</v>
      </c>
      <c r="AU204" s="1007">
        <v>47</v>
      </c>
      <c r="AW204" s="1008">
        <v>46133</v>
      </c>
      <c r="AX204" s="1007" t="s">
        <v>973</v>
      </c>
      <c r="AY204" s="1008">
        <v>46146</v>
      </c>
      <c r="AZ204" s="1007">
        <v>7</v>
      </c>
      <c r="BA204" s="1008">
        <v>46140</v>
      </c>
      <c r="BB204" s="1007">
        <v>2026</v>
      </c>
      <c r="BC204" s="1007">
        <v>4</v>
      </c>
      <c r="BD204" s="1007">
        <v>18</v>
      </c>
      <c r="BE204" s="1007">
        <v>33</v>
      </c>
      <c r="BF204" s="1007">
        <v>594</v>
      </c>
      <c r="BG204" s="1007" t="s">
        <v>108</v>
      </c>
      <c r="BH204" s="1007" t="s">
        <v>109</v>
      </c>
    </row>
    <row r="205" spans="1:60">
      <c r="A205" s="1007" t="s">
        <v>1060</v>
      </c>
      <c r="B205" s="1007" t="s">
        <v>111</v>
      </c>
      <c r="C205" s="1007" t="s">
        <v>1061</v>
      </c>
      <c r="D205" s="1007" t="s">
        <v>63</v>
      </c>
      <c r="E205" s="1007" t="s">
        <v>64</v>
      </c>
      <c r="F205" s="1007" t="s">
        <v>100</v>
      </c>
      <c r="G205" s="1007" t="s">
        <v>402</v>
      </c>
      <c r="H205" s="1007" t="s">
        <v>67</v>
      </c>
      <c r="I205" s="1007" t="s">
        <v>869</v>
      </c>
      <c r="J205" s="1007" t="s">
        <v>101</v>
      </c>
      <c r="M205" s="1007" t="s">
        <v>68</v>
      </c>
      <c r="N205" s="1007">
        <v>46069</v>
      </c>
      <c r="O205" s="1007" t="s">
        <v>132</v>
      </c>
      <c r="P205" s="1007" t="s">
        <v>1062</v>
      </c>
      <c r="Q205" s="1007" t="s">
        <v>1063</v>
      </c>
      <c r="R205" s="1007" t="s">
        <v>73</v>
      </c>
      <c r="S205" s="1007" t="s">
        <v>967</v>
      </c>
      <c r="T205" s="1007">
        <v>470</v>
      </c>
      <c r="U205" s="1007">
        <v>3456</v>
      </c>
      <c r="V205" s="1007">
        <v>1.62432</v>
      </c>
      <c r="W205" s="1007">
        <v>96</v>
      </c>
      <c r="X205" s="1007">
        <v>4</v>
      </c>
      <c r="Y205" s="1007" t="s">
        <v>75</v>
      </c>
      <c r="Z205" s="1007" t="s">
        <v>75</v>
      </c>
      <c r="AB205" s="1008">
        <v>46064</v>
      </c>
      <c r="AC205" s="1007">
        <v>7</v>
      </c>
      <c r="AD205" s="1007" t="s">
        <v>1064</v>
      </c>
      <c r="AF205" s="1007" t="s">
        <v>122</v>
      </c>
      <c r="AG205" s="1007" t="s">
        <v>123</v>
      </c>
      <c r="AH205" s="1007" t="s">
        <v>105</v>
      </c>
      <c r="AI205" s="1008">
        <v>46071</v>
      </c>
      <c r="AJ205" s="1008">
        <v>46075</v>
      </c>
      <c r="AK205" s="1008">
        <v>46075</v>
      </c>
      <c r="AL205" s="1008">
        <v>46106</v>
      </c>
      <c r="AM205" s="1008">
        <v>46114</v>
      </c>
      <c r="AN205" s="1008">
        <v>46116</v>
      </c>
      <c r="AO205" s="1007" t="s">
        <v>402</v>
      </c>
      <c r="AP205" s="1007" t="s">
        <v>1065</v>
      </c>
      <c r="AQ205" s="1007" t="s">
        <v>80</v>
      </c>
      <c r="AR205" s="1007" t="s">
        <v>1066</v>
      </c>
      <c r="AS205" s="1007" t="s">
        <v>1067</v>
      </c>
      <c r="AT205" s="1007" t="s">
        <v>1067</v>
      </c>
      <c r="AU205" s="1007">
        <v>41</v>
      </c>
      <c r="AW205" s="1008">
        <v>46116</v>
      </c>
      <c r="AX205" s="1007" t="s">
        <v>973</v>
      </c>
      <c r="AY205" s="1008">
        <v>46125</v>
      </c>
      <c r="AZ205" s="1007">
        <v>7</v>
      </c>
      <c r="BA205" s="1008">
        <v>46123</v>
      </c>
      <c r="BB205" s="1007">
        <v>2026</v>
      </c>
      <c r="BC205" s="1007">
        <v>4</v>
      </c>
      <c r="BD205" s="1007">
        <v>15</v>
      </c>
      <c r="BE205" s="1007">
        <v>36</v>
      </c>
      <c r="BF205" s="1007">
        <v>864</v>
      </c>
      <c r="BG205" s="1007" t="s">
        <v>108</v>
      </c>
      <c r="BH205" s="1007" t="s">
        <v>109</v>
      </c>
    </row>
    <row r="206" spans="1:60">
      <c r="A206" s="1007" t="s">
        <v>1068</v>
      </c>
      <c r="B206" s="1007" t="s">
        <v>111</v>
      </c>
      <c r="C206" s="1007" t="s">
        <v>1061</v>
      </c>
      <c r="D206" s="1007" t="s">
        <v>63</v>
      </c>
      <c r="E206" s="1007" t="s">
        <v>64</v>
      </c>
      <c r="F206" s="1007" t="s">
        <v>450</v>
      </c>
      <c r="G206" s="1007" t="s">
        <v>402</v>
      </c>
      <c r="H206" s="1007" t="s">
        <v>451</v>
      </c>
      <c r="I206" s="1007" t="s">
        <v>689</v>
      </c>
      <c r="J206" s="1007" t="s">
        <v>812</v>
      </c>
      <c r="M206" s="1007" t="s">
        <v>68</v>
      </c>
      <c r="N206" s="1007">
        <v>46069</v>
      </c>
      <c r="O206" s="1007" t="s">
        <v>132</v>
      </c>
      <c r="P206" s="1007" t="s">
        <v>1062</v>
      </c>
      <c r="Q206" s="1007" t="s">
        <v>1063</v>
      </c>
      <c r="R206" s="1007" t="s">
        <v>73</v>
      </c>
      <c r="S206" s="1007" t="s">
        <v>967</v>
      </c>
      <c r="T206" s="1007">
        <v>470</v>
      </c>
      <c r="U206" s="1007">
        <v>864</v>
      </c>
      <c r="V206" s="1007">
        <v>0.40608</v>
      </c>
      <c r="W206" s="1007">
        <v>24</v>
      </c>
      <c r="X206" s="1007">
        <v>1</v>
      </c>
      <c r="Y206" s="1007" t="s">
        <v>75</v>
      </c>
      <c r="Z206" s="1007" t="s">
        <v>75</v>
      </c>
      <c r="AB206" s="1008">
        <v>46064</v>
      </c>
      <c r="AC206" s="1007">
        <v>7</v>
      </c>
      <c r="AD206" s="1007" t="s">
        <v>1069</v>
      </c>
      <c r="AF206" s="1007" t="s">
        <v>122</v>
      </c>
      <c r="AG206" s="1007" t="s">
        <v>123</v>
      </c>
      <c r="AH206" s="1007" t="s">
        <v>456</v>
      </c>
      <c r="AI206" s="1008">
        <v>46070</v>
      </c>
      <c r="AJ206" s="1008">
        <v>46079</v>
      </c>
      <c r="AK206" s="1008">
        <v>46079</v>
      </c>
      <c r="AL206" s="1008">
        <v>46110</v>
      </c>
      <c r="AM206" s="1008">
        <v>46124</v>
      </c>
      <c r="AN206" s="1008">
        <v>46124</v>
      </c>
      <c r="AO206" s="1007" t="s">
        <v>402</v>
      </c>
      <c r="AP206" s="1007" t="s">
        <v>1035</v>
      </c>
      <c r="AQ206" s="1007" t="s">
        <v>80</v>
      </c>
      <c r="AR206" s="1007" t="s">
        <v>1070</v>
      </c>
      <c r="AS206" s="1007" t="s">
        <v>1071</v>
      </c>
      <c r="AT206" s="1007" t="s">
        <v>1071</v>
      </c>
      <c r="AU206" s="1007">
        <v>45</v>
      </c>
      <c r="AW206" s="1008">
        <v>46124</v>
      </c>
      <c r="AX206" s="1007" t="s">
        <v>973</v>
      </c>
      <c r="AY206" s="1008">
        <v>46131</v>
      </c>
      <c r="AZ206" s="1007">
        <v>7</v>
      </c>
      <c r="BA206" s="1008">
        <v>46131</v>
      </c>
      <c r="BB206" s="1007">
        <v>2026</v>
      </c>
      <c r="BC206" s="1007">
        <v>4</v>
      </c>
      <c r="BD206" s="1007">
        <v>16</v>
      </c>
      <c r="BE206" s="1007">
        <v>36</v>
      </c>
      <c r="BF206" s="1007">
        <v>864</v>
      </c>
      <c r="BG206" s="1007" t="s">
        <v>108</v>
      </c>
      <c r="BH206" s="1007" t="s">
        <v>109</v>
      </c>
    </row>
    <row r="207" spans="1:60">
      <c r="A207" s="1007" t="s">
        <v>1072</v>
      </c>
      <c r="B207" s="1007" t="s">
        <v>61</v>
      </c>
      <c r="C207" s="1007" t="s">
        <v>203</v>
      </c>
      <c r="D207" s="1007" t="s">
        <v>63</v>
      </c>
      <c r="E207" s="1007" t="s">
        <v>144</v>
      </c>
      <c r="F207" s="1007" t="s">
        <v>145</v>
      </c>
      <c r="G207" s="1007" t="s">
        <v>402</v>
      </c>
      <c r="H207" s="1007" t="s">
        <v>1029</v>
      </c>
      <c r="I207" s="1007" t="s">
        <v>68</v>
      </c>
      <c r="J207" s="1007" t="s">
        <v>1030</v>
      </c>
      <c r="K207" s="1007" t="s">
        <v>1031</v>
      </c>
      <c r="M207" s="1007" t="s">
        <v>840</v>
      </c>
      <c r="N207" s="1007">
        <v>46045</v>
      </c>
      <c r="O207" s="1007" t="s">
        <v>1032</v>
      </c>
      <c r="P207" s="1007" t="s">
        <v>885</v>
      </c>
      <c r="Q207" s="1007" t="s">
        <v>886</v>
      </c>
      <c r="R207" s="1007" t="s">
        <v>73</v>
      </c>
      <c r="S207" s="1007" t="s">
        <v>992</v>
      </c>
      <c r="T207" s="1007">
        <v>615</v>
      </c>
      <c r="U207" s="1007">
        <v>144</v>
      </c>
      <c r="V207" s="1007">
        <v>8.856E-2</v>
      </c>
      <c r="W207" s="1007">
        <v>4</v>
      </c>
      <c r="X207" s="1007">
        <v>0.2</v>
      </c>
      <c r="Y207" s="1007" t="s">
        <v>75</v>
      </c>
      <c r="Z207" s="1007" t="s">
        <v>75</v>
      </c>
      <c r="AB207" s="1008">
        <v>46062</v>
      </c>
      <c r="AC207" s="1007">
        <v>7</v>
      </c>
      <c r="AD207" s="1007" t="s">
        <v>1073</v>
      </c>
      <c r="AF207" s="1007" t="s">
        <v>77</v>
      </c>
      <c r="AG207" s="1007" t="s">
        <v>61</v>
      </c>
      <c r="AH207" s="1007" t="s">
        <v>888</v>
      </c>
      <c r="AI207" s="1008">
        <v>46080</v>
      </c>
      <c r="AJ207" s="1008">
        <v>46081</v>
      </c>
      <c r="AK207" s="1008">
        <v>46081</v>
      </c>
      <c r="AL207" s="1008">
        <v>46141</v>
      </c>
      <c r="AM207" s="1008">
        <v>46148</v>
      </c>
      <c r="AN207" s="1008">
        <v>46147</v>
      </c>
      <c r="AO207" s="1007" t="s">
        <v>402</v>
      </c>
      <c r="AP207" s="1007" t="s">
        <v>850</v>
      </c>
      <c r="AQ207" s="1007" t="s">
        <v>80</v>
      </c>
      <c r="AR207" s="1007" t="s">
        <v>1074</v>
      </c>
      <c r="AS207" s="1007" t="s">
        <v>1075</v>
      </c>
      <c r="AT207" s="1007" t="s">
        <v>1075</v>
      </c>
      <c r="AU207" s="1007">
        <v>66</v>
      </c>
      <c r="AW207" s="1008">
        <v>46147</v>
      </c>
      <c r="AX207" s="1007" t="s">
        <v>973</v>
      </c>
      <c r="AY207" s="1008">
        <v>46154</v>
      </c>
      <c r="AZ207" s="1007">
        <v>0</v>
      </c>
      <c r="BA207" s="1008">
        <v>46147</v>
      </c>
      <c r="BB207" s="1007">
        <v>2026</v>
      </c>
      <c r="BC207" s="1007">
        <v>5</v>
      </c>
      <c r="BD207" s="1007">
        <v>19</v>
      </c>
      <c r="BE207" s="1007">
        <v>36</v>
      </c>
      <c r="BF207" s="1007">
        <v>720</v>
      </c>
      <c r="BG207" s="1007" t="s">
        <v>108</v>
      </c>
      <c r="BH207" s="1007" t="s">
        <v>109</v>
      </c>
    </row>
    <row r="208" spans="1:60">
      <c r="A208" s="1007" t="s">
        <v>1076</v>
      </c>
      <c r="B208" s="1007" t="s">
        <v>61</v>
      </c>
      <c r="C208" s="1007" t="s">
        <v>203</v>
      </c>
      <c r="D208" s="1007" t="s">
        <v>63</v>
      </c>
      <c r="E208" s="1007" t="s">
        <v>144</v>
      </c>
      <c r="F208" s="1007" t="s">
        <v>145</v>
      </c>
      <c r="G208" s="1007" t="s">
        <v>402</v>
      </c>
      <c r="H208" s="1007" t="s">
        <v>1029</v>
      </c>
      <c r="I208" s="1007" t="s">
        <v>68</v>
      </c>
      <c r="J208" s="1007" t="s">
        <v>1030</v>
      </c>
      <c r="K208" s="1007" t="s">
        <v>1031</v>
      </c>
      <c r="M208" s="1007" t="s">
        <v>840</v>
      </c>
      <c r="N208" s="1007">
        <v>46045</v>
      </c>
      <c r="O208" s="1007" t="s">
        <v>1032</v>
      </c>
      <c r="P208" s="1007" t="s">
        <v>1077</v>
      </c>
      <c r="Q208" s="1007" t="s">
        <v>103</v>
      </c>
      <c r="R208" s="1007" t="s">
        <v>73</v>
      </c>
      <c r="S208" s="1007" t="s">
        <v>992</v>
      </c>
      <c r="T208" s="1007">
        <v>620</v>
      </c>
      <c r="U208" s="1007">
        <v>2736</v>
      </c>
      <c r="V208" s="1007">
        <v>1.6963200000000001</v>
      </c>
      <c r="W208" s="1007">
        <v>76</v>
      </c>
      <c r="X208" s="1007">
        <v>3.8</v>
      </c>
      <c r="Y208" s="1007" t="s">
        <v>75</v>
      </c>
      <c r="Z208" s="1007" t="s">
        <v>75</v>
      </c>
      <c r="AB208" s="1008">
        <v>46062</v>
      </c>
      <c r="AC208" s="1007">
        <v>7</v>
      </c>
      <c r="AD208" s="1007" t="s">
        <v>1078</v>
      </c>
      <c r="AF208" s="1007" t="s">
        <v>77</v>
      </c>
      <c r="AG208" s="1007" t="s">
        <v>61</v>
      </c>
      <c r="AH208" s="1007" t="s">
        <v>888</v>
      </c>
      <c r="AI208" s="1008">
        <v>46080</v>
      </c>
      <c r="AJ208" s="1008">
        <v>46081</v>
      </c>
      <c r="AK208" s="1008">
        <v>46081</v>
      </c>
      <c r="AL208" s="1008">
        <v>46141</v>
      </c>
      <c r="AM208" s="1008">
        <v>46148</v>
      </c>
      <c r="AN208" s="1008">
        <v>46147</v>
      </c>
      <c r="AO208" s="1007" t="s">
        <v>402</v>
      </c>
      <c r="AP208" s="1007" t="s">
        <v>850</v>
      </c>
      <c r="AQ208" s="1007" t="s">
        <v>80</v>
      </c>
      <c r="AR208" s="1007" t="s">
        <v>1074</v>
      </c>
      <c r="AS208" s="1007" t="s">
        <v>1075</v>
      </c>
      <c r="AT208" s="1007" t="s">
        <v>1075</v>
      </c>
      <c r="AU208" s="1007">
        <v>66</v>
      </c>
      <c r="AW208" s="1008">
        <v>46147</v>
      </c>
      <c r="AX208" s="1007" t="s">
        <v>973</v>
      </c>
      <c r="AY208" s="1008">
        <v>46154</v>
      </c>
      <c r="AZ208" s="1007">
        <v>0</v>
      </c>
      <c r="BA208" s="1008">
        <v>46147</v>
      </c>
      <c r="BB208" s="1007">
        <v>2026</v>
      </c>
      <c r="BC208" s="1007">
        <v>5</v>
      </c>
      <c r="BD208" s="1007">
        <v>19</v>
      </c>
      <c r="BE208" s="1007">
        <v>36</v>
      </c>
      <c r="BF208" s="1007">
        <v>720</v>
      </c>
      <c r="BG208" s="1007" t="s">
        <v>108</v>
      </c>
      <c r="BH208" s="1007" t="s">
        <v>109</v>
      </c>
    </row>
    <row r="209" spans="1:60">
      <c r="A209" s="1007" t="s">
        <v>1079</v>
      </c>
      <c r="B209" s="1007" t="s">
        <v>61</v>
      </c>
      <c r="C209" s="1007" t="s">
        <v>1021</v>
      </c>
      <c r="D209" s="1007" t="s">
        <v>63</v>
      </c>
      <c r="E209" s="1007" t="s">
        <v>144</v>
      </c>
      <c r="F209" s="1007" t="s">
        <v>145</v>
      </c>
      <c r="G209" s="1007" t="s">
        <v>402</v>
      </c>
      <c r="H209" s="1007" t="s">
        <v>1080</v>
      </c>
      <c r="I209" s="1007" t="s">
        <v>882</v>
      </c>
      <c r="J209" s="1007" t="s">
        <v>1081</v>
      </c>
      <c r="K209" s="1007" t="s">
        <v>1082</v>
      </c>
      <c r="M209" s="1007" t="s">
        <v>840</v>
      </c>
      <c r="N209" s="1007">
        <v>46055</v>
      </c>
      <c r="O209" s="1007" t="s">
        <v>70</v>
      </c>
      <c r="P209" s="1007" t="s">
        <v>965</v>
      </c>
      <c r="Q209" s="1007" t="s">
        <v>966</v>
      </c>
      <c r="R209" s="1007" t="s">
        <v>73</v>
      </c>
      <c r="S209" s="1007" t="s">
        <v>967</v>
      </c>
      <c r="T209" s="1007">
        <v>455</v>
      </c>
      <c r="U209" s="1007">
        <v>1872</v>
      </c>
      <c r="V209" s="1007">
        <v>0.85175999999999996</v>
      </c>
      <c r="W209" s="1007">
        <v>52</v>
      </c>
      <c r="X209" s="1007">
        <v>2</v>
      </c>
      <c r="Y209" s="1007" t="s">
        <v>75</v>
      </c>
      <c r="Z209" s="1007" t="s">
        <v>75</v>
      </c>
      <c r="AB209" s="1008">
        <v>46061</v>
      </c>
      <c r="AC209" s="1007">
        <v>6</v>
      </c>
      <c r="AD209" s="1007" t="s">
        <v>1083</v>
      </c>
      <c r="AF209" s="1007" t="s">
        <v>77</v>
      </c>
      <c r="AG209" s="1007" t="s">
        <v>61</v>
      </c>
      <c r="AH209" s="1007" t="s">
        <v>1084</v>
      </c>
      <c r="AI209" s="1008">
        <v>46070</v>
      </c>
      <c r="AJ209" s="1008">
        <v>46071</v>
      </c>
      <c r="AK209" s="1008">
        <v>46071</v>
      </c>
      <c r="AL209" s="1008">
        <v>46131</v>
      </c>
      <c r="AM209" s="1008">
        <v>46138</v>
      </c>
      <c r="AN209" s="1008">
        <v>46139</v>
      </c>
      <c r="AO209" s="1007" t="s">
        <v>402</v>
      </c>
      <c r="AP209" s="1007" t="s">
        <v>1085</v>
      </c>
      <c r="AQ209" s="1007" t="s">
        <v>161</v>
      </c>
      <c r="AR209" s="1007" t="s">
        <v>1086</v>
      </c>
      <c r="AS209" s="1007" t="s">
        <v>1087</v>
      </c>
      <c r="AT209" s="1007" t="s">
        <v>1087</v>
      </c>
      <c r="AU209" s="1007">
        <v>68</v>
      </c>
      <c r="AW209" s="1008">
        <v>46139</v>
      </c>
      <c r="AX209" s="1007" t="s">
        <v>973</v>
      </c>
      <c r="AY209" s="1008">
        <v>46152</v>
      </c>
      <c r="AZ209" s="1007">
        <v>0</v>
      </c>
      <c r="BA209" s="1008">
        <v>46139</v>
      </c>
      <c r="BB209" s="1007">
        <v>2026</v>
      </c>
      <c r="BC209" s="1007">
        <v>4</v>
      </c>
      <c r="BD209" s="1007">
        <v>18</v>
      </c>
      <c r="BE209" s="1007">
        <v>36</v>
      </c>
      <c r="BF209" s="1007">
        <v>936</v>
      </c>
      <c r="BG209" s="1007" t="s">
        <v>85</v>
      </c>
      <c r="BH209" s="1007" t="s">
        <v>109</v>
      </c>
    </row>
    <row r="210" spans="1:60">
      <c r="A210" s="1007" t="s">
        <v>1088</v>
      </c>
      <c r="B210" s="1007" t="s">
        <v>61</v>
      </c>
      <c r="C210" s="1007" t="s">
        <v>1021</v>
      </c>
      <c r="D210" s="1007" t="s">
        <v>63</v>
      </c>
      <c r="E210" s="1007" t="s">
        <v>144</v>
      </c>
      <c r="F210" s="1007" t="s">
        <v>145</v>
      </c>
      <c r="G210" s="1007" t="s">
        <v>402</v>
      </c>
      <c r="H210" s="1007" t="s">
        <v>1080</v>
      </c>
      <c r="I210" s="1007" t="s">
        <v>882</v>
      </c>
      <c r="J210" s="1007" t="s">
        <v>1081</v>
      </c>
      <c r="K210" s="1007" t="s">
        <v>1082</v>
      </c>
      <c r="M210" s="1007" t="s">
        <v>840</v>
      </c>
      <c r="N210" s="1007">
        <v>46055</v>
      </c>
      <c r="O210" s="1007" t="s">
        <v>70</v>
      </c>
      <c r="P210" s="1007" t="s">
        <v>965</v>
      </c>
      <c r="Q210" s="1007" t="s">
        <v>966</v>
      </c>
      <c r="R210" s="1007" t="s">
        <v>73</v>
      </c>
      <c r="S210" s="1007" t="s">
        <v>967</v>
      </c>
      <c r="T210" s="1007">
        <v>455</v>
      </c>
      <c r="U210" s="1007">
        <v>1872</v>
      </c>
      <c r="V210" s="1007">
        <v>0.85175999999999996</v>
      </c>
      <c r="W210" s="1007">
        <v>52</v>
      </c>
      <c r="X210" s="1007">
        <v>2</v>
      </c>
      <c r="Y210" s="1007" t="s">
        <v>75</v>
      </c>
      <c r="Z210" s="1007" t="s">
        <v>75</v>
      </c>
      <c r="AB210" s="1008">
        <v>46061</v>
      </c>
      <c r="AC210" s="1007">
        <v>6</v>
      </c>
      <c r="AD210" s="1007" t="s">
        <v>1089</v>
      </c>
      <c r="AF210" s="1007" t="s">
        <v>77</v>
      </c>
      <c r="AG210" s="1007" t="s">
        <v>61</v>
      </c>
      <c r="AH210" s="1007" t="s">
        <v>1084</v>
      </c>
      <c r="AI210" s="1008">
        <v>46070</v>
      </c>
      <c r="AJ210" s="1008">
        <v>46071</v>
      </c>
      <c r="AK210" s="1008">
        <v>46071</v>
      </c>
      <c r="AL210" s="1008">
        <v>46131</v>
      </c>
      <c r="AM210" s="1008">
        <v>46138</v>
      </c>
      <c r="AN210" s="1008">
        <v>46139</v>
      </c>
      <c r="AO210" s="1007" t="s">
        <v>402</v>
      </c>
      <c r="AP210" s="1007" t="s">
        <v>1085</v>
      </c>
      <c r="AQ210" s="1007" t="s">
        <v>161</v>
      </c>
      <c r="AR210" s="1007" t="s">
        <v>1086</v>
      </c>
      <c r="AS210" s="1007" t="s">
        <v>1087</v>
      </c>
      <c r="AT210" s="1007" t="s">
        <v>1087</v>
      </c>
      <c r="AU210" s="1007">
        <v>68</v>
      </c>
      <c r="AW210" s="1008">
        <v>46139</v>
      </c>
      <c r="AX210" s="1007" t="s">
        <v>973</v>
      </c>
      <c r="AY210" s="1008">
        <v>46152</v>
      </c>
      <c r="AZ210" s="1007">
        <v>0</v>
      </c>
      <c r="BA210" s="1008">
        <v>46139</v>
      </c>
      <c r="BB210" s="1007">
        <v>2026</v>
      </c>
      <c r="BC210" s="1007">
        <v>4</v>
      </c>
      <c r="BD210" s="1007">
        <v>18</v>
      </c>
      <c r="BE210" s="1007">
        <v>36</v>
      </c>
      <c r="BF210" s="1007">
        <v>936</v>
      </c>
      <c r="BG210" s="1007" t="s">
        <v>85</v>
      </c>
      <c r="BH210" s="1007" t="s">
        <v>109</v>
      </c>
    </row>
    <row r="211" spans="1:60">
      <c r="A211" s="1007" t="s">
        <v>1090</v>
      </c>
      <c r="B211" s="1007" t="s">
        <v>111</v>
      </c>
      <c r="C211" s="1007" t="s">
        <v>1091</v>
      </c>
      <c r="D211" s="1007" t="s">
        <v>63</v>
      </c>
      <c r="E211" s="1007" t="s">
        <v>64</v>
      </c>
      <c r="F211" s="1007" t="s">
        <v>100</v>
      </c>
      <c r="G211" s="1007" t="s">
        <v>402</v>
      </c>
      <c r="H211" s="1007" t="s">
        <v>67</v>
      </c>
      <c r="I211" s="1007" t="s">
        <v>822</v>
      </c>
      <c r="J211" s="1007" t="s">
        <v>293</v>
      </c>
      <c r="M211" s="1007" t="s">
        <v>68</v>
      </c>
      <c r="N211" s="1007">
        <v>46069</v>
      </c>
      <c r="O211" s="1007" t="s">
        <v>132</v>
      </c>
      <c r="P211" s="1007" t="s">
        <v>189</v>
      </c>
      <c r="Q211" s="1007" t="s">
        <v>190</v>
      </c>
      <c r="R211" s="1007" t="s">
        <v>73</v>
      </c>
      <c r="S211" s="1007" t="s">
        <v>967</v>
      </c>
      <c r="T211" s="1007">
        <v>465</v>
      </c>
      <c r="U211" s="1007">
        <v>4320</v>
      </c>
      <c r="V211" s="1007">
        <v>2.0087999999999999</v>
      </c>
      <c r="W211" s="1007">
        <v>120</v>
      </c>
      <c r="X211" s="1007">
        <v>5</v>
      </c>
      <c r="Y211" s="1007" t="s">
        <v>75</v>
      </c>
      <c r="Z211" s="1007" t="s">
        <v>75</v>
      </c>
      <c r="AB211" s="1008">
        <v>46073</v>
      </c>
      <c r="AC211" s="1007">
        <v>8</v>
      </c>
      <c r="AD211" s="1007" t="s">
        <v>1092</v>
      </c>
      <c r="AF211" s="1007" t="s">
        <v>122</v>
      </c>
      <c r="AG211" s="1007" t="s">
        <v>123</v>
      </c>
      <c r="AH211" s="1007" t="s">
        <v>105</v>
      </c>
      <c r="AI211" s="1008">
        <v>46076</v>
      </c>
      <c r="AJ211" s="1008">
        <v>46076</v>
      </c>
      <c r="AK211" s="1008">
        <v>46076</v>
      </c>
      <c r="AL211" s="1008">
        <v>46113</v>
      </c>
      <c r="AM211" s="1008">
        <v>46122</v>
      </c>
      <c r="AN211" s="1008">
        <v>46122</v>
      </c>
      <c r="AO211" s="1007" t="s">
        <v>402</v>
      </c>
      <c r="AQ211" s="1007" t="s">
        <v>80</v>
      </c>
      <c r="AR211" s="1007" t="s">
        <v>1093</v>
      </c>
      <c r="AS211" s="1007" t="s">
        <v>1094</v>
      </c>
      <c r="AT211" s="1007" t="s">
        <v>1094</v>
      </c>
      <c r="AU211" s="1007">
        <v>46</v>
      </c>
      <c r="AW211" s="1008">
        <v>46122</v>
      </c>
      <c r="AX211" s="1007" t="s">
        <v>973</v>
      </c>
      <c r="AY211" s="1008">
        <v>46131</v>
      </c>
      <c r="AZ211" s="1007">
        <v>7</v>
      </c>
      <c r="BA211" s="1008">
        <v>46129</v>
      </c>
      <c r="BB211" s="1007">
        <v>2026</v>
      </c>
      <c r="BC211" s="1007">
        <v>4</v>
      </c>
      <c r="BD211" s="1007">
        <v>16</v>
      </c>
      <c r="BE211" s="1007">
        <v>36</v>
      </c>
      <c r="BF211" s="1007">
        <v>864</v>
      </c>
      <c r="BG211" s="1007" t="s">
        <v>108</v>
      </c>
      <c r="BH211" s="1007" t="s">
        <v>109</v>
      </c>
    </row>
    <row r="212" spans="1:60">
      <c r="A212" s="1007" t="s">
        <v>1095</v>
      </c>
      <c r="B212" s="1007" t="s">
        <v>111</v>
      </c>
      <c r="C212" s="1007" t="s">
        <v>1061</v>
      </c>
      <c r="D212" s="1007" t="s">
        <v>63</v>
      </c>
      <c r="E212" s="1007" t="s">
        <v>64</v>
      </c>
      <c r="F212" s="1007" t="s">
        <v>100</v>
      </c>
      <c r="G212" s="1007" t="s">
        <v>402</v>
      </c>
      <c r="H212" s="1007" t="s">
        <v>67</v>
      </c>
      <c r="I212" s="1007" t="s">
        <v>822</v>
      </c>
      <c r="J212" s="1007" t="s">
        <v>1096</v>
      </c>
      <c r="M212" s="1007" t="s">
        <v>68</v>
      </c>
      <c r="N212" s="1007">
        <v>46069</v>
      </c>
      <c r="O212" s="1007" t="s">
        <v>132</v>
      </c>
      <c r="P212" s="1007" t="s">
        <v>1062</v>
      </c>
      <c r="Q212" s="1007" t="s">
        <v>1063</v>
      </c>
      <c r="R212" s="1007" t="s">
        <v>73</v>
      </c>
      <c r="S212" s="1007" t="s">
        <v>967</v>
      </c>
      <c r="T212" s="1007">
        <v>470</v>
      </c>
      <c r="U212" s="1007">
        <v>4320</v>
      </c>
      <c r="V212" s="1007">
        <v>2.0304000000000002</v>
      </c>
      <c r="W212" s="1007">
        <v>120</v>
      </c>
      <c r="X212" s="1007">
        <v>5</v>
      </c>
      <c r="Y212" s="1007" t="s">
        <v>75</v>
      </c>
      <c r="Z212" s="1007" t="s">
        <v>75</v>
      </c>
      <c r="AB212" s="1008">
        <v>46073</v>
      </c>
      <c r="AC212" s="1007">
        <v>8</v>
      </c>
      <c r="AD212" s="1007" t="s">
        <v>1097</v>
      </c>
      <c r="AF212" s="1007" t="s">
        <v>122</v>
      </c>
      <c r="AG212" s="1007" t="s">
        <v>123</v>
      </c>
      <c r="AH212" s="1007" t="s">
        <v>105</v>
      </c>
      <c r="AI212" s="1008">
        <v>46076</v>
      </c>
      <c r="AJ212" s="1008">
        <v>46076</v>
      </c>
      <c r="AK212" s="1008">
        <v>46076</v>
      </c>
      <c r="AL212" s="1008">
        <v>46113</v>
      </c>
      <c r="AM212" s="1008">
        <v>46122</v>
      </c>
      <c r="AN212" s="1008">
        <v>46122</v>
      </c>
      <c r="AO212" s="1007" t="s">
        <v>402</v>
      </c>
      <c r="AQ212" s="1007" t="s">
        <v>80</v>
      </c>
      <c r="AR212" s="1007" t="s">
        <v>1093</v>
      </c>
      <c r="AS212" s="1007" t="s">
        <v>1094</v>
      </c>
      <c r="AT212" s="1007" t="s">
        <v>1094</v>
      </c>
      <c r="AU212" s="1007">
        <v>46</v>
      </c>
      <c r="AW212" s="1008">
        <v>46122</v>
      </c>
      <c r="AX212" s="1007" t="s">
        <v>973</v>
      </c>
      <c r="AY212" s="1008">
        <v>46131</v>
      </c>
      <c r="AZ212" s="1007">
        <v>7</v>
      </c>
      <c r="BA212" s="1008">
        <v>46129</v>
      </c>
      <c r="BB212" s="1007">
        <v>2026</v>
      </c>
      <c r="BC212" s="1007">
        <v>4</v>
      </c>
      <c r="BD212" s="1007">
        <v>16</v>
      </c>
      <c r="BE212" s="1007">
        <v>36</v>
      </c>
      <c r="BF212" s="1007">
        <v>864</v>
      </c>
      <c r="BG212" s="1007" t="s">
        <v>108</v>
      </c>
      <c r="BH212" s="1007" t="s">
        <v>109</v>
      </c>
    </row>
    <row r="213" spans="1:60">
      <c r="A213" s="1007" t="s">
        <v>1098</v>
      </c>
      <c r="B213" s="1007" t="s">
        <v>111</v>
      </c>
      <c r="C213" s="1007" t="s">
        <v>1061</v>
      </c>
      <c r="D213" s="1007" t="s">
        <v>63</v>
      </c>
      <c r="E213" s="1007" t="s">
        <v>64</v>
      </c>
      <c r="F213" s="1007" t="s">
        <v>100</v>
      </c>
      <c r="G213" s="1007" t="s">
        <v>402</v>
      </c>
      <c r="H213" s="1007" t="s">
        <v>67</v>
      </c>
      <c r="I213" s="1007" t="s">
        <v>869</v>
      </c>
      <c r="J213" s="1007" t="s">
        <v>101</v>
      </c>
      <c r="M213" s="1007" t="s">
        <v>68</v>
      </c>
      <c r="N213" s="1007">
        <v>46069</v>
      </c>
      <c r="O213" s="1007" t="s">
        <v>132</v>
      </c>
      <c r="P213" s="1007" t="s">
        <v>1062</v>
      </c>
      <c r="Q213" s="1007" t="s">
        <v>1063</v>
      </c>
      <c r="R213" s="1007" t="s">
        <v>73</v>
      </c>
      <c r="S213" s="1007" t="s">
        <v>967</v>
      </c>
      <c r="T213" s="1007">
        <v>470</v>
      </c>
      <c r="U213" s="1007">
        <v>3456</v>
      </c>
      <c r="V213" s="1007">
        <v>1.62432</v>
      </c>
      <c r="W213" s="1007">
        <v>96</v>
      </c>
      <c r="X213" s="1007">
        <v>4</v>
      </c>
      <c r="Y213" s="1007" t="s">
        <v>75</v>
      </c>
      <c r="Z213" s="1007" t="s">
        <v>75</v>
      </c>
      <c r="AB213" s="1008">
        <v>46066</v>
      </c>
      <c r="AC213" s="1007">
        <v>7</v>
      </c>
      <c r="AD213" s="1007" t="s">
        <v>1099</v>
      </c>
      <c r="AF213" s="1007" t="s">
        <v>122</v>
      </c>
      <c r="AG213" s="1007" t="s">
        <v>123</v>
      </c>
      <c r="AH213" s="1007" t="s">
        <v>105</v>
      </c>
      <c r="AI213" s="1008">
        <v>46076</v>
      </c>
      <c r="AJ213" s="1008">
        <v>46076</v>
      </c>
      <c r="AK213" s="1008">
        <v>46076</v>
      </c>
      <c r="AL213" s="1008">
        <v>46113</v>
      </c>
      <c r="AM213" s="1008">
        <v>46122</v>
      </c>
      <c r="AN213" s="1008">
        <v>46122</v>
      </c>
      <c r="AO213" s="1007" t="s">
        <v>402</v>
      </c>
      <c r="AQ213" s="1007" t="s">
        <v>80</v>
      </c>
      <c r="AR213" s="1007" t="s">
        <v>1100</v>
      </c>
      <c r="AS213" s="1007" t="s">
        <v>1101</v>
      </c>
      <c r="AT213" s="1007" t="s">
        <v>1101</v>
      </c>
      <c r="AU213" s="1007">
        <v>46</v>
      </c>
      <c r="AW213" s="1008">
        <v>46122</v>
      </c>
      <c r="AX213" s="1007" t="s">
        <v>973</v>
      </c>
      <c r="AY213" s="1008">
        <v>46131</v>
      </c>
      <c r="AZ213" s="1007">
        <v>7</v>
      </c>
      <c r="BA213" s="1008">
        <v>46129</v>
      </c>
      <c r="BB213" s="1007">
        <v>2026</v>
      </c>
      <c r="BC213" s="1007">
        <v>4</v>
      </c>
      <c r="BD213" s="1007">
        <v>16</v>
      </c>
      <c r="BE213" s="1007">
        <v>36</v>
      </c>
      <c r="BF213" s="1007">
        <v>864</v>
      </c>
      <c r="BG213" s="1007" t="s">
        <v>108</v>
      </c>
      <c r="BH213" s="1007" t="s">
        <v>109</v>
      </c>
    </row>
    <row r="214" spans="1:60">
      <c r="A214" s="1007" t="s">
        <v>1102</v>
      </c>
      <c r="B214" s="1007" t="s">
        <v>111</v>
      </c>
      <c r="C214" s="1007" t="s">
        <v>203</v>
      </c>
      <c r="D214" s="1007" t="s">
        <v>63</v>
      </c>
      <c r="E214" s="1007" t="s">
        <v>64</v>
      </c>
      <c r="F214" s="1007" t="s">
        <v>100</v>
      </c>
      <c r="G214" s="1007" t="s">
        <v>402</v>
      </c>
      <c r="H214" s="1007" t="s">
        <v>67</v>
      </c>
      <c r="I214" s="1007" t="s">
        <v>882</v>
      </c>
      <c r="J214" s="1007" t="s">
        <v>1103</v>
      </c>
      <c r="M214" s="1007" t="s">
        <v>68</v>
      </c>
      <c r="N214" s="1007">
        <v>46045</v>
      </c>
      <c r="O214" s="1007" t="s">
        <v>713</v>
      </c>
      <c r="P214" s="1007" t="s">
        <v>1104</v>
      </c>
      <c r="Q214" s="1007" t="s">
        <v>1105</v>
      </c>
      <c r="R214" s="1007" t="s">
        <v>73</v>
      </c>
      <c r="S214" s="1007" t="s">
        <v>992</v>
      </c>
      <c r="T214" s="1007">
        <v>455</v>
      </c>
      <c r="U214" s="1007">
        <v>288</v>
      </c>
      <c r="V214" s="1007">
        <v>0.13103999999999999</v>
      </c>
      <c r="W214" s="1007">
        <v>8</v>
      </c>
      <c r="X214" s="1007">
        <v>0.33333333333333331</v>
      </c>
      <c r="Y214" s="1007" t="s">
        <v>75</v>
      </c>
      <c r="Z214" s="1007" t="s">
        <v>75</v>
      </c>
      <c r="AB214" s="1008">
        <v>46066</v>
      </c>
      <c r="AC214" s="1007">
        <v>7</v>
      </c>
      <c r="AD214" s="1007" t="s">
        <v>1106</v>
      </c>
      <c r="AF214" s="1007" t="s">
        <v>122</v>
      </c>
      <c r="AG214" s="1007" t="s">
        <v>123</v>
      </c>
      <c r="AH214" s="1007" t="s">
        <v>105</v>
      </c>
      <c r="AI214" s="1008">
        <v>46076</v>
      </c>
      <c r="AJ214" s="1008">
        <v>46076</v>
      </c>
      <c r="AK214" s="1008">
        <v>46076</v>
      </c>
      <c r="AL214" s="1008">
        <v>46113</v>
      </c>
      <c r="AM214" s="1008">
        <v>46122</v>
      </c>
      <c r="AN214" s="1008">
        <v>46122</v>
      </c>
      <c r="AO214" s="1007" t="s">
        <v>402</v>
      </c>
      <c r="AQ214" s="1007" t="s">
        <v>80</v>
      </c>
      <c r="AR214" s="1007" t="s">
        <v>1100</v>
      </c>
      <c r="AS214" s="1007" t="s">
        <v>1101</v>
      </c>
      <c r="AT214" s="1007" t="s">
        <v>1101</v>
      </c>
      <c r="AU214" s="1007">
        <v>46</v>
      </c>
      <c r="AW214" s="1008">
        <v>46122</v>
      </c>
      <c r="AX214" s="1007" t="s">
        <v>973</v>
      </c>
      <c r="AY214" s="1008">
        <v>46131</v>
      </c>
      <c r="AZ214" s="1007">
        <v>7</v>
      </c>
      <c r="BA214" s="1008">
        <v>46129</v>
      </c>
      <c r="BB214" s="1007">
        <v>2026</v>
      </c>
      <c r="BC214" s="1007">
        <v>4</v>
      </c>
      <c r="BD214" s="1007">
        <v>16</v>
      </c>
      <c r="BE214" s="1007">
        <v>36</v>
      </c>
      <c r="BF214" s="1007">
        <v>864</v>
      </c>
      <c r="BG214" s="1007" t="s">
        <v>108</v>
      </c>
      <c r="BH214" s="1007" t="s">
        <v>109</v>
      </c>
    </row>
    <row r="215" spans="1:60">
      <c r="A215" s="1007" t="s">
        <v>1107</v>
      </c>
      <c r="B215" s="1007" t="s">
        <v>111</v>
      </c>
      <c r="C215" s="1007" t="s">
        <v>203</v>
      </c>
      <c r="D215" s="1007" t="s">
        <v>63</v>
      </c>
      <c r="E215" s="1007" t="s">
        <v>64</v>
      </c>
      <c r="F215" s="1007" t="s">
        <v>100</v>
      </c>
      <c r="G215" s="1007" t="s">
        <v>402</v>
      </c>
      <c r="H215" s="1007" t="s">
        <v>67</v>
      </c>
      <c r="I215" s="1007" t="s">
        <v>882</v>
      </c>
      <c r="J215" s="1007" t="s">
        <v>1108</v>
      </c>
      <c r="M215" s="1007" t="s">
        <v>68</v>
      </c>
      <c r="N215" s="1007">
        <v>46045</v>
      </c>
      <c r="O215" s="1007" t="s">
        <v>713</v>
      </c>
      <c r="P215" s="1007" t="s">
        <v>1109</v>
      </c>
      <c r="Q215" s="1007" t="s">
        <v>454</v>
      </c>
      <c r="R215" s="1007" t="s">
        <v>73</v>
      </c>
      <c r="S215" s="1007" t="s">
        <v>992</v>
      </c>
      <c r="T215" s="1007">
        <v>460</v>
      </c>
      <c r="U215" s="1007">
        <v>576</v>
      </c>
      <c r="V215" s="1007">
        <v>0.26495999999999997</v>
      </c>
      <c r="W215" s="1007">
        <v>16</v>
      </c>
      <c r="X215" s="1007">
        <v>0.66666666666666663</v>
      </c>
      <c r="Y215" s="1007" t="s">
        <v>75</v>
      </c>
      <c r="Z215" s="1007" t="s">
        <v>75</v>
      </c>
      <c r="AB215" s="1008">
        <v>46066</v>
      </c>
      <c r="AC215" s="1007">
        <v>7</v>
      </c>
      <c r="AD215" s="1007" t="s">
        <v>1110</v>
      </c>
      <c r="AF215" s="1007" t="s">
        <v>122</v>
      </c>
      <c r="AG215" s="1007" t="s">
        <v>123</v>
      </c>
      <c r="AH215" s="1007" t="s">
        <v>105</v>
      </c>
      <c r="AI215" s="1008">
        <v>46076</v>
      </c>
      <c r="AJ215" s="1008">
        <v>46076</v>
      </c>
      <c r="AK215" s="1008">
        <v>46076</v>
      </c>
      <c r="AL215" s="1008">
        <v>46113</v>
      </c>
      <c r="AM215" s="1008">
        <v>46122</v>
      </c>
      <c r="AN215" s="1008">
        <v>46122</v>
      </c>
      <c r="AO215" s="1007" t="s">
        <v>402</v>
      </c>
      <c r="AQ215" s="1007" t="s">
        <v>80</v>
      </c>
      <c r="AR215" s="1007" t="s">
        <v>1100</v>
      </c>
      <c r="AS215" s="1007" t="s">
        <v>1101</v>
      </c>
      <c r="AT215" s="1007" t="s">
        <v>1101</v>
      </c>
      <c r="AU215" s="1007">
        <v>46</v>
      </c>
      <c r="AW215" s="1008">
        <v>46122</v>
      </c>
      <c r="AX215" s="1007" t="s">
        <v>973</v>
      </c>
      <c r="AY215" s="1008">
        <v>46131</v>
      </c>
      <c r="AZ215" s="1007">
        <v>7</v>
      </c>
      <c r="BA215" s="1008">
        <v>46129</v>
      </c>
      <c r="BB215" s="1007">
        <v>2026</v>
      </c>
      <c r="BC215" s="1007">
        <v>4</v>
      </c>
      <c r="BD215" s="1007">
        <v>16</v>
      </c>
      <c r="BE215" s="1007">
        <v>36</v>
      </c>
      <c r="BF215" s="1007">
        <v>864</v>
      </c>
      <c r="BG215" s="1007" t="s">
        <v>108</v>
      </c>
      <c r="BH215" s="1007" t="s">
        <v>109</v>
      </c>
    </row>
    <row r="216" spans="1:60">
      <c r="A216" s="1007" t="s">
        <v>1111</v>
      </c>
      <c r="B216" s="1007" t="s">
        <v>111</v>
      </c>
      <c r="C216" s="1007" t="s">
        <v>1091</v>
      </c>
      <c r="D216" s="1007" t="s">
        <v>63</v>
      </c>
      <c r="E216" s="1007" t="s">
        <v>64</v>
      </c>
      <c r="F216" s="1007" t="s">
        <v>450</v>
      </c>
      <c r="G216" s="1007" t="s">
        <v>402</v>
      </c>
      <c r="H216" s="1007" t="s">
        <v>451</v>
      </c>
      <c r="I216" s="1007" t="s">
        <v>822</v>
      </c>
      <c r="J216" s="1007" t="s">
        <v>1112</v>
      </c>
      <c r="K216" s="1007" t="s">
        <v>1113</v>
      </c>
      <c r="M216" s="1007" t="s">
        <v>68</v>
      </c>
      <c r="N216" s="1007">
        <v>46055</v>
      </c>
      <c r="O216" s="1007" t="s">
        <v>132</v>
      </c>
      <c r="P216" s="1007" t="s">
        <v>189</v>
      </c>
      <c r="Q216" s="1007" t="s">
        <v>190</v>
      </c>
      <c r="R216" s="1007" t="s">
        <v>73</v>
      </c>
      <c r="S216" s="1007" t="s">
        <v>967</v>
      </c>
      <c r="T216" s="1007">
        <v>465</v>
      </c>
      <c r="U216" s="1007">
        <v>1728</v>
      </c>
      <c r="V216" s="1007">
        <v>0.80352000000000001</v>
      </c>
      <c r="W216" s="1007">
        <v>48</v>
      </c>
      <c r="X216" s="1007">
        <v>2</v>
      </c>
      <c r="Y216" s="1007" t="s">
        <v>75</v>
      </c>
      <c r="Z216" s="1007" t="s">
        <v>75</v>
      </c>
      <c r="AB216" s="1008">
        <v>46073</v>
      </c>
      <c r="AC216" s="1007">
        <v>8</v>
      </c>
      <c r="AD216" s="1007" t="s">
        <v>1114</v>
      </c>
      <c r="AF216" s="1007" t="s">
        <v>122</v>
      </c>
      <c r="AG216" s="1007" t="s">
        <v>123</v>
      </c>
      <c r="AH216" s="1007" t="s">
        <v>456</v>
      </c>
      <c r="AI216" s="1008">
        <v>46076</v>
      </c>
      <c r="AJ216" s="1008">
        <v>46079</v>
      </c>
      <c r="AK216" s="1008">
        <v>46079</v>
      </c>
      <c r="AL216" s="1008">
        <v>46117</v>
      </c>
      <c r="AM216" s="1008">
        <v>46124</v>
      </c>
      <c r="AN216" s="1008">
        <v>46124</v>
      </c>
      <c r="AO216" s="1007" t="s">
        <v>402</v>
      </c>
      <c r="AQ216" s="1007" t="s">
        <v>80</v>
      </c>
      <c r="AR216" s="1007" t="s">
        <v>1115</v>
      </c>
      <c r="AS216" s="1007" t="s">
        <v>1116</v>
      </c>
      <c r="AT216" s="1007" t="s">
        <v>1116</v>
      </c>
      <c r="AU216" s="1007">
        <v>45</v>
      </c>
      <c r="AW216" s="1008">
        <v>46124</v>
      </c>
      <c r="AX216" s="1007" t="s">
        <v>973</v>
      </c>
      <c r="AY216" s="1008">
        <v>46131</v>
      </c>
      <c r="AZ216" s="1007">
        <v>7</v>
      </c>
      <c r="BA216" s="1008">
        <v>46131</v>
      </c>
      <c r="BB216" s="1007">
        <v>2026</v>
      </c>
      <c r="BC216" s="1007">
        <v>4</v>
      </c>
      <c r="BD216" s="1007">
        <v>16</v>
      </c>
      <c r="BE216" s="1007">
        <v>36</v>
      </c>
      <c r="BF216" s="1007">
        <v>864</v>
      </c>
      <c r="BG216" s="1007" t="s">
        <v>108</v>
      </c>
      <c r="BH216" s="1007" t="s">
        <v>109</v>
      </c>
    </row>
    <row r="217" spans="1:60">
      <c r="A217" s="1007" t="s">
        <v>1117</v>
      </c>
      <c r="B217" s="1007" t="s">
        <v>111</v>
      </c>
      <c r="C217" s="1007" t="s">
        <v>1061</v>
      </c>
      <c r="D217" s="1007" t="s">
        <v>63</v>
      </c>
      <c r="E217" s="1007" t="s">
        <v>64</v>
      </c>
      <c r="F217" s="1007" t="s">
        <v>450</v>
      </c>
      <c r="G217" s="1007" t="s">
        <v>402</v>
      </c>
      <c r="H217" s="1007" t="s">
        <v>451</v>
      </c>
      <c r="I217" s="1007" t="s">
        <v>822</v>
      </c>
      <c r="J217" s="1007" t="s">
        <v>1112</v>
      </c>
      <c r="K217" s="1007" t="s">
        <v>1113</v>
      </c>
      <c r="M217" s="1007" t="s">
        <v>68</v>
      </c>
      <c r="N217" s="1007">
        <v>46069</v>
      </c>
      <c r="O217" s="1007" t="s">
        <v>132</v>
      </c>
      <c r="P217" s="1007" t="s">
        <v>1062</v>
      </c>
      <c r="Q217" s="1007" t="s">
        <v>1063</v>
      </c>
      <c r="R217" s="1007" t="s">
        <v>73</v>
      </c>
      <c r="S217" s="1007" t="s">
        <v>967</v>
      </c>
      <c r="T217" s="1007">
        <v>470</v>
      </c>
      <c r="U217" s="1007">
        <v>2592</v>
      </c>
      <c r="V217" s="1007">
        <v>1.21824</v>
      </c>
      <c r="W217" s="1007">
        <v>72</v>
      </c>
      <c r="X217" s="1007">
        <v>3</v>
      </c>
      <c r="Y217" s="1007" t="s">
        <v>75</v>
      </c>
      <c r="Z217" s="1007" t="s">
        <v>75</v>
      </c>
      <c r="AB217" s="1008">
        <v>46073</v>
      </c>
      <c r="AC217" s="1007">
        <v>8</v>
      </c>
      <c r="AD217" s="1007" t="s">
        <v>1118</v>
      </c>
      <c r="AF217" s="1007" t="s">
        <v>122</v>
      </c>
      <c r="AG217" s="1007" t="s">
        <v>123</v>
      </c>
      <c r="AH217" s="1007" t="s">
        <v>456</v>
      </c>
      <c r="AI217" s="1008">
        <v>46076</v>
      </c>
      <c r="AJ217" s="1008">
        <v>46079</v>
      </c>
      <c r="AK217" s="1008">
        <v>46079</v>
      </c>
      <c r="AL217" s="1008">
        <v>46117</v>
      </c>
      <c r="AM217" s="1008">
        <v>46124</v>
      </c>
      <c r="AN217" s="1008">
        <v>46124</v>
      </c>
      <c r="AO217" s="1007" t="s">
        <v>402</v>
      </c>
      <c r="AQ217" s="1007" t="s">
        <v>80</v>
      </c>
      <c r="AR217" s="1007" t="s">
        <v>1115</v>
      </c>
      <c r="AS217" s="1007" t="s">
        <v>1116</v>
      </c>
      <c r="AT217" s="1007" t="s">
        <v>1116</v>
      </c>
      <c r="AU217" s="1007">
        <v>45</v>
      </c>
      <c r="AW217" s="1008">
        <v>46124</v>
      </c>
      <c r="AX217" s="1007" t="s">
        <v>973</v>
      </c>
      <c r="AY217" s="1008">
        <v>46138</v>
      </c>
      <c r="AZ217" s="1007">
        <v>7</v>
      </c>
      <c r="BA217" s="1008">
        <v>46131</v>
      </c>
      <c r="BB217" s="1007">
        <v>2026</v>
      </c>
      <c r="BC217" s="1007">
        <v>4</v>
      </c>
      <c r="BD217" s="1007">
        <v>16</v>
      </c>
      <c r="BE217" s="1007">
        <v>36</v>
      </c>
      <c r="BF217" s="1007">
        <v>864</v>
      </c>
      <c r="BG217" s="1007" t="s">
        <v>108</v>
      </c>
      <c r="BH217" s="1007" t="s">
        <v>109</v>
      </c>
    </row>
    <row r="218" spans="1:60">
      <c r="A218" s="1007" t="s">
        <v>1119</v>
      </c>
      <c r="B218" s="1007" t="s">
        <v>111</v>
      </c>
      <c r="C218" s="1007" t="s">
        <v>1061</v>
      </c>
      <c r="D218" s="1007" t="s">
        <v>63</v>
      </c>
      <c r="E218" s="1007" t="s">
        <v>64</v>
      </c>
      <c r="F218" s="1007" t="s">
        <v>65</v>
      </c>
      <c r="G218" s="1007" t="s">
        <v>402</v>
      </c>
      <c r="H218" s="1007" t="s">
        <v>67</v>
      </c>
      <c r="I218" s="1007" t="s">
        <v>869</v>
      </c>
      <c r="J218" s="1007" t="s">
        <v>1008</v>
      </c>
      <c r="M218" s="1007" t="s">
        <v>68</v>
      </c>
      <c r="N218" s="1007">
        <v>46055</v>
      </c>
      <c r="O218" s="1007" t="s">
        <v>132</v>
      </c>
      <c r="P218" s="1007" t="s">
        <v>1062</v>
      </c>
      <c r="Q218" s="1007" t="s">
        <v>1063</v>
      </c>
      <c r="R218" s="1007" t="s">
        <v>73</v>
      </c>
      <c r="S218" s="1007" t="s">
        <v>967</v>
      </c>
      <c r="T218" s="1007">
        <v>470</v>
      </c>
      <c r="U218" s="1007">
        <v>6048</v>
      </c>
      <c r="V218" s="1007">
        <v>2.8425600000000002</v>
      </c>
      <c r="W218" s="1007">
        <v>168</v>
      </c>
      <c r="X218" s="1007">
        <v>7</v>
      </c>
      <c r="Y218" s="1007" t="s">
        <v>75</v>
      </c>
      <c r="Z218" s="1007" t="s">
        <v>75</v>
      </c>
      <c r="AB218" s="1008">
        <v>46072</v>
      </c>
      <c r="AC218" s="1007">
        <v>8</v>
      </c>
      <c r="AD218" s="1007" t="s">
        <v>1120</v>
      </c>
      <c r="AF218" s="1007" t="s">
        <v>122</v>
      </c>
      <c r="AG218" s="1007" t="s">
        <v>123</v>
      </c>
      <c r="AH218" s="1007" t="s">
        <v>78</v>
      </c>
      <c r="AI218" s="1008">
        <v>46076</v>
      </c>
      <c r="AJ218" s="1008">
        <v>46078</v>
      </c>
      <c r="AK218" s="1008">
        <v>46078</v>
      </c>
      <c r="AL218" s="1008">
        <v>46125</v>
      </c>
      <c r="AM218" s="1008">
        <v>46136</v>
      </c>
      <c r="AN218" s="1008">
        <v>46137</v>
      </c>
      <c r="AO218" s="1007" t="s">
        <v>402</v>
      </c>
      <c r="AQ218" s="1007" t="s">
        <v>80</v>
      </c>
      <c r="AR218" s="1007" t="s">
        <v>1121</v>
      </c>
      <c r="AS218" s="1007" t="s">
        <v>1122</v>
      </c>
      <c r="AT218" s="1007" t="s">
        <v>1122</v>
      </c>
      <c r="AU218" s="1007">
        <v>59</v>
      </c>
      <c r="AW218" s="1008">
        <v>46137</v>
      </c>
      <c r="AX218" s="1007" t="s">
        <v>973</v>
      </c>
      <c r="AY218" s="1008">
        <v>46149</v>
      </c>
      <c r="AZ218" s="1007">
        <v>8</v>
      </c>
      <c r="BA218" s="1008">
        <v>46145</v>
      </c>
      <c r="BB218" s="1007">
        <v>2026</v>
      </c>
      <c r="BC218" s="1007">
        <v>5</v>
      </c>
      <c r="BD218" s="1007">
        <v>18</v>
      </c>
      <c r="BE218" s="1007">
        <v>36</v>
      </c>
      <c r="BF218" s="1007">
        <v>864</v>
      </c>
      <c r="BG218" s="1007" t="s">
        <v>108</v>
      </c>
      <c r="BH218" s="1007" t="s">
        <v>86</v>
      </c>
    </row>
    <row r="219" spans="1:60">
      <c r="A219" s="1007" t="s">
        <v>1123</v>
      </c>
      <c r="B219" s="1007" t="s">
        <v>111</v>
      </c>
      <c r="C219" s="1007" t="s">
        <v>1007</v>
      </c>
      <c r="D219" s="1007" t="s">
        <v>63</v>
      </c>
      <c r="E219" s="1007" t="s">
        <v>144</v>
      </c>
      <c r="F219" s="1007" t="s">
        <v>145</v>
      </c>
      <c r="G219" s="1007" t="s">
        <v>402</v>
      </c>
      <c r="H219" s="1007" t="s">
        <v>593</v>
      </c>
      <c r="I219" s="1007" t="s">
        <v>882</v>
      </c>
      <c r="J219" s="1007" t="s">
        <v>594</v>
      </c>
      <c r="K219" s="1007" t="s">
        <v>1124</v>
      </c>
      <c r="M219" s="1007" t="s">
        <v>840</v>
      </c>
      <c r="N219" s="1007">
        <v>46045</v>
      </c>
      <c r="O219" s="1007" t="s">
        <v>70</v>
      </c>
      <c r="P219" s="1007" t="s">
        <v>102</v>
      </c>
      <c r="Q219" s="1007" t="s">
        <v>103</v>
      </c>
      <c r="R219" s="1007" t="s">
        <v>73</v>
      </c>
      <c r="S219" s="1007" t="s">
        <v>967</v>
      </c>
      <c r="T219" s="1007">
        <v>620</v>
      </c>
      <c r="U219" s="1007">
        <v>1440</v>
      </c>
      <c r="V219" s="1007">
        <v>0.89280000000000004</v>
      </c>
      <c r="W219" s="1007">
        <v>40</v>
      </c>
      <c r="X219" s="1007">
        <v>2</v>
      </c>
      <c r="Y219" s="1007" t="s">
        <v>75</v>
      </c>
      <c r="Z219" s="1007" t="s">
        <v>75</v>
      </c>
      <c r="AB219" s="1008">
        <v>46066</v>
      </c>
      <c r="AC219" s="1007">
        <v>7</v>
      </c>
      <c r="AD219" s="1007" t="s">
        <v>1125</v>
      </c>
      <c r="AF219" s="1007" t="s">
        <v>122</v>
      </c>
      <c r="AG219" s="1007" t="s">
        <v>123</v>
      </c>
      <c r="AH219" s="1007" t="s">
        <v>124</v>
      </c>
      <c r="AI219" s="1008">
        <v>46076</v>
      </c>
      <c r="AJ219" s="1008">
        <v>46078</v>
      </c>
      <c r="AK219" s="1008">
        <v>46078</v>
      </c>
      <c r="AL219" s="1008">
        <v>46128</v>
      </c>
      <c r="AM219" s="1008">
        <v>46134</v>
      </c>
      <c r="AN219" s="1008">
        <v>46134</v>
      </c>
      <c r="AO219" s="1007" t="s">
        <v>402</v>
      </c>
      <c r="AP219" s="1007" t="s">
        <v>1126</v>
      </c>
      <c r="AQ219" s="1007" t="s">
        <v>80</v>
      </c>
      <c r="AR219" s="1007" t="s">
        <v>1127</v>
      </c>
      <c r="AS219" s="1007" t="s">
        <v>1128</v>
      </c>
      <c r="AT219" s="1007" t="s">
        <v>1128</v>
      </c>
      <c r="AU219" s="1007">
        <v>56</v>
      </c>
      <c r="AW219" s="1008">
        <v>46134</v>
      </c>
      <c r="AX219" s="1007" t="s">
        <v>973</v>
      </c>
      <c r="AY219" s="1008">
        <v>46141</v>
      </c>
      <c r="AZ219" s="1007">
        <v>0</v>
      </c>
      <c r="BA219" s="1008">
        <v>46134</v>
      </c>
      <c r="BB219" s="1007">
        <v>2026</v>
      </c>
      <c r="BC219" s="1007">
        <v>4</v>
      </c>
      <c r="BD219" s="1007">
        <v>17</v>
      </c>
      <c r="BE219" s="1007">
        <v>36</v>
      </c>
      <c r="BF219" s="1007">
        <v>720</v>
      </c>
      <c r="BG219" s="1007" t="s">
        <v>108</v>
      </c>
      <c r="BH219" s="1007" t="s">
        <v>86</v>
      </c>
    </row>
    <row r="220" spans="1:60">
      <c r="A220" s="1007" t="s">
        <v>1129</v>
      </c>
      <c r="B220" s="1007" t="s">
        <v>111</v>
      </c>
      <c r="C220" s="1007" t="s">
        <v>991</v>
      </c>
      <c r="D220" s="1007" t="s">
        <v>63</v>
      </c>
      <c r="E220" s="1007" t="s">
        <v>144</v>
      </c>
      <c r="F220" s="1007" t="s">
        <v>145</v>
      </c>
      <c r="G220" s="1007" t="s">
        <v>402</v>
      </c>
      <c r="H220" s="1007" t="s">
        <v>593</v>
      </c>
      <c r="I220" s="1007" t="s">
        <v>882</v>
      </c>
      <c r="J220" s="1007" t="s">
        <v>594</v>
      </c>
      <c r="K220" s="1007" t="s">
        <v>1124</v>
      </c>
      <c r="M220" s="1007" t="s">
        <v>840</v>
      </c>
      <c r="N220" s="1007">
        <v>46048</v>
      </c>
      <c r="O220" s="1007" t="s">
        <v>132</v>
      </c>
      <c r="P220" s="1007" t="s">
        <v>133</v>
      </c>
      <c r="Q220" s="1007" t="s">
        <v>134</v>
      </c>
      <c r="R220" s="1007" t="s">
        <v>73</v>
      </c>
      <c r="S220" s="1007" t="s">
        <v>992</v>
      </c>
      <c r="T220" s="1007">
        <v>720</v>
      </c>
      <c r="U220" s="1007">
        <v>2970</v>
      </c>
      <c r="V220" s="1007">
        <v>2.1383999999999999</v>
      </c>
      <c r="W220" s="1007">
        <v>90</v>
      </c>
      <c r="X220" s="1007">
        <v>5</v>
      </c>
      <c r="Y220" s="1007" t="s">
        <v>75</v>
      </c>
      <c r="Z220" s="1007" t="s">
        <v>75</v>
      </c>
      <c r="AB220" s="1008">
        <v>46066</v>
      </c>
      <c r="AC220" s="1007">
        <v>7</v>
      </c>
      <c r="AD220" s="1007" t="s">
        <v>1130</v>
      </c>
      <c r="AF220" s="1007" t="s">
        <v>122</v>
      </c>
      <c r="AG220" s="1007" t="s">
        <v>123</v>
      </c>
      <c r="AH220" s="1007" t="s">
        <v>124</v>
      </c>
      <c r="AI220" s="1008">
        <v>46076</v>
      </c>
      <c r="AJ220" s="1008">
        <v>46078</v>
      </c>
      <c r="AK220" s="1008">
        <v>46078</v>
      </c>
      <c r="AL220" s="1008">
        <v>46128</v>
      </c>
      <c r="AM220" s="1008">
        <v>46134</v>
      </c>
      <c r="AN220" s="1008">
        <v>46134</v>
      </c>
      <c r="AO220" s="1007" t="s">
        <v>402</v>
      </c>
      <c r="AP220" s="1007" t="s">
        <v>1126</v>
      </c>
      <c r="AQ220" s="1007" t="s">
        <v>80</v>
      </c>
      <c r="AR220" s="1007" t="s">
        <v>1127</v>
      </c>
      <c r="AS220" s="1007" t="s">
        <v>1128</v>
      </c>
      <c r="AT220" s="1007" t="s">
        <v>1128</v>
      </c>
      <c r="AU220" s="1007">
        <v>56</v>
      </c>
      <c r="AW220" s="1008">
        <v>46134</v>
      </c>
      <c r="AX220" s="1007" t="s">
        <v>973</v>
      </c>
      <c r="AY220" s="1008">
        <v>46141</v>
      </c>
      <c r="AZ220" s="1007">
        <v>0</v>
      </c>
      <c r="BA220" s="1008">
        <v>46134</v>
      </c>
      <c r="BB220" s="1007">
        <v>2026</v>
      </c>
      <c r="BC220" s="1007">
        <v>4</v>
      </c>
      <c r="BD220" s="1007">
        <v>17</v>
      </c>
      <c r="BE220" s="1007">
        <v>33</v>
      </c>
      <c r="BF220" s="1007">
        <v>594</v>
      </c>
      <c r="BG220" s="1007" t="s">
        <v>108</v>
      </c>
      <c r="BH220" s="1007" t="s">
        <v>86</v>
      </c>
    </row>
    <row r="221" spans="1:60">
      <c r="A221" s="1007" t="s">
        <v>1131</v>
      </c>
      <c r="B221" s="1007" t="s">
        <v>61</v>
      </c>
      <c r="C221" s="1007" t="s">
        <v>1016</v>
      </c>
      <c r="D221" s="1007" t="s">
        <v>63</v>
      </c>
      <c r="E221" s="1007" t="s">
        <v>64</v>
      </c>
      <c r="F221" s="1007" t="s">
        <v>100</v>
      </c>
      <c r="G221" s="1007" t="s">
        <v>402</v>
      </c>
      <c r="H221" s="1007" t="s">
        <v>67</v>
      </c>
      <c r="I221" s="1007" t="s">
        <v>689</v>
      </c>
      <c r="J221" s="1007" t="s">
        <v>1132</v>
      </c>
      <c r="M221" s="1007" t="s">
        <v>840</v>
      </c>
      <c r="N221" s="1007">
        <v>46055</v>
      </c>
      <c r="O221" s="1007" t="s">
        <v>70</v>
      </c>
      <c r="P221" s="1007" t="s">
        <v>195</v>
      </c>
      <c r="Q221" s="1007" t="s">
        <v>196</v>
      </c>
      <c r="R221" s="1007" t="s">
        <v>73</v>
      </c>
      <c r="S221" s="1007" t="s">
        <v>967</v>
      </c>
      <c r="T221" s="1007">
        <v>450</v>
      </c>
      <c r="U221" s="1007">
        <v>4680</v>
      </c>
      <c r="V221" s="1007">
        <v>2.1059999999999999</v>
      </c>
      <c r="W221" s="1007">
        <v>130</v>
      </c>
      <c r="X221" s="1007">
        <v>5</v>
      </c>
      <c r="Y221" s="1007" t="s">
        <v>75</v>
      </c>
      <c r="Z221" s="1007" t="s">
        <v>75</v>
      </c>
      <c r="AB221" s="1008">
        <v>46077</v>
      </c>
      <c r="AC221" s="1007">
        <v>9</v>
      </c>
      <c r="AD221" s="1007" t="s">
        <v>1133</v>
      </c>
      <c r="AF221" s="1007" t="s">
        <v>77</v>
      </c>
      <c r="AG221" s="1007" t="s">
        <v>61</v>
      </c>
      <c r="AH221" s="1007" t="s">
        <v>105</v>
      </c>
      <c r="AI221" s="1008">
        <v>46084</v>
      </c>
      <c r="AJ221" s="1008">
        <v>46084</v>
      </c>
      <c r="AK221" s="1008">
        <v>46085</v>
      </c>
      <c r="AL221" s="1008">
        <v>46126</v>
      </c>
      <c r="AM221" s="1008">
        <v>46142</v>
      </c>
      <c r="AN221" s="1008">
        <v>46142</v>
      </c>
      <c r="AO221" s="1007" t="s">
        <v>402</v>
      </c>
      <c r="AP221" s="1007" t="s">
        <v>872</v>
      </c>
      <c r="AQ221" s="1007" t="s">
        <v>80</v>
      </c>
      <c r="AR221" s="1007" t="s">
        <v>1134</v>
      </c>
      <c r="AS221" s="1007" t="s">
        <v>1135</v>
      </c>
      <c r="AT221" s="1007" t="s">
        <v>1135</v>
      </c>
      <c r="AU221" s="1007">
        <v>57</v>
      </c>
      <c r="AW221" s="1008">
        <v>46142</v>
      </c>
      <c r="AX221" s="1007" t="s">
        <v>973</v>
      </c>
      <c r="AY221" s="1008">
        <v>46162</v>
      </c>
      <c r="AZ221" s="1007">
        <v>7</v>
      </c>
      <c r="BA221" s="1008">
        <v>46149</v>
      </c>
      <c r="BB221" s="1007">
        <v>2026</v>
      </c>
      <c r="BC221" s="1007">
        <v>5</v>
      </c>
      <c r="BD221" s="1007">
        <v>19</v>
      </c>
      <c r="BE221" s="1007">
        <v>36</v>
      </c>
      <c r="BF221" s="1007">
        <v>936</v>
      </c>
      <c r="BG221" s="1007" t="s">
        <v>85</v>
      </c>
      <c r="BH221" s="1007" t="s">
        <v>109</v>
      </c>
    </row>
    <row r="222" spans="1:60">
      <c r="A222" s="1007" t="s">
        <v>1136</v>
      </c>
      <c r="B222" s="1007" t="s">
        <v>61</v>
      </c>
      <c r="C222" s="1007" t="s">
        <v>1021</v>
      </c>
      <c r="D222" s="1007" t="s">
        <v>63</v>
      </c>
      <c r="E222" s="1007" t="s">
        <v>144</v>
      </c>
      <c r="F222" s="1007" t="s">
        <v>145</v>
      </c>
      <c r="G222" s="1007" t="s">
        <v>402</v>
      </c>
      <c r="H222" s="1007" t="s">
        <v>1137</v>
      </c>
      <c r="I222" s="1007" t="s">
        <v>689</v>
      </c>
      <c r="J222" s="1007" t="s">
        <v>1138</v>
      </c>
      <c r="K222" s="1007" t="s">
        <v>1139</v>
      </c>
      <c r="M222" s="1007" t="s">
        <v>840</v>
      </c>
      <c r="N222" s="1007">
        <v>46055</v>
      </c>
      <c r="O222" s="1007" t="s">
        <v>70</v>
      </c>
      <c r="P222" s="1007" t="s">
        <v>965</v>
      </c>
      <c r="Q222" s="1007" t="s">
        <v>966</v>
      </c>
      <c r="R222" s="1007" t="s">
        <v>73</v>
      </c>
      <c r="S222" s="1007" t="s">
        <v>967</v>
      </c>
      <c r="T222" s="1007">
        <v>455</v>
      </c>
      <c r="U222" s="1007">
        <v>3744</v>
      </c>
      <c r="V222" s="1007">
        <v>1.7035199999999999</v>
      </c>
      <c r="W222" s="1007">
        <v>104</v>
      </c>
      <c r="X222" s="1007">
        <v>4</v>
      </c>
      <c r="Y222" s="1007" t="s">
        <v>75</v>
      </c>
      <c r="Z222" s="1007" t="s">
        <v>75</v>
      </c>
      <c r="AB222" s="1008">
        <v>46077</v>
      </c>
      <c r="AC222" s="1007">
        <v>9</v>
      </c>
      <c r="AD222" s="1007" t="s">
        <v>1140</v>
      </c>
      <c r="AF222" s="1007" t="s">
        <v>77</v>
      </c>
      <c r="AG222" s="1007" t="s">
        <v>61</v>
      </c>
      <c r="AH222" s="1007" t="s">
        <v>105</v>
      </c>
      <c r="AI222" s="1008">
        <v>46084</v>
      </c>
      <c r="AJ222" s="1008">
        <v>46084</v>
      </c>
      <c r="AK222" s="1008">
        <v>46084</v>
      </c>
      <c r="AL222" s="1008">
        <v>46126</v>
      </c>
      <c r="AM222" s="1008">
        <v>46142</v>
      </c>
      <c r="AN222" s="1008">
        <v>46141</v>
      </c>
      <c r="AO222" s="1007" t="s">
        <v>402</v>
      </c>
      <c r="AP222" s="1007" t="s">
        <v>872</v>
      </c>
      <c r="AQ222" s="1007" t="s">
        <v>80</v>
      </c>
      <c r="AR222" s="1007" t="s">
        <v>1141</v>
      </c>
      <c r="AS222" s="1007" t="s">
        <v>1142</v>
      </c>
      <c r="AT222" s="1007" t="s">
        <v>1135</v>
      </c>
      <c r="AU222" s="1007">
        <v>57</v>
      </c>
      <c r="AW222" s="1008">
        <v>46141</v>
      </c>
      <c r="AX222" s="1007" t="s">
        <v>973</v>
      </c>
      <c r="AY222" s="1008">
        <v>46139</v>
      </c>
      <c r="AZ222" s="1007">
        <v>0</v>
      </c>
      <c r="BA222" s="1008">
        <v>46141</v>
      </c>
      <c r="BB222" s="1007">
        <v>2026</v>
      </c>
      <c r="BC222" s="1007">
        <v>4</v>
      </c>
      <c r="BD222" s="1007">
        <v>18</v>
      </c>
      <c r="BE222" s="1007">
        <v>36</v>
      </c>
      <c r="BF222" s="1007">
        <v>936</v>
      </c>
      <c r="BG222" s="1007" t="s">
        <v>85</v>
      </c>
      <c r="BH222" s="1007" t="s">
        <v>109</v>
      </c>
    </row>
    <row r="223" spans="1:60">
      <c r="A223" s="1007" t="s">
        <v>1143</v>
      </c>
      <c r="B223" s="1007" t="s">
        <v>61</v>
      </c>
      <c r="C223" s="1007" t="s">
        <v>1016</v>
      </c>
      <c r="D223" s="1007" t="s">
        <v>63</v>
      </c>
      <c r="E223" s="1007" t="s">
        <v>64</v>
      </c>
      <c r="F223" s="1007" t="s">
        <v>100</v>
      </c>
      <c r="G223" s="1007" t="s">
        <v>402</v>
      </c>
      <c r="H223" s="1007" t="s">
        <v>67</v>
      </c>
      <c r="I223" s="1007" t="s">
        <v>689</v>
      </c>
      <c r="J223" s="1007" t="s">
        <v>1144</v>
      </c>
      <c r="M223" s="1007" t="s">
        <v>68</v>
      </c>
      <c r="N223" s="1007">
        <v>46069</v>
      </c>
      <c r="O223" s="1007" t="s">
        <v>70</v>
      </c>
      <c r="P223" s="1007" t="s">
        <v>195</v>
      </c>
      <c r="Q223" s="1007" t="s">
        <v>196</v>
      </c>
      <c r="R223" s="1007" t="s">
        <v>73</v>
      </c>
      <c r="S223" s="1007" t="s">
        <v>967</v>
      </c>
      <c r="T223" s="1007">
        <v>450</v>
      </c>
      <c r="U223" s="1007">
        <v>1872</v>
      </c>
      <c r="V223" s="1007">
        <v>0.84240000000000004</v>
      </c>
      <c r="W223" s="1007">
        <v>52</v>
      </c>
      <c r="X223" s="1007">
        <v>2</v>
      </c>
      <c r="Y223" s="1007" t="s">
        <v>75</v>
      </c>
      <c r="Z223" s="1007" t="s">
        <v>75</v>
      </c>
      <c r="AB223" s="1008">
        <v>46080</v>
      </c>
      <c r="AC223" s="1007">
        <v>9</v>
      </c>
      <c r="AD223" s="1007" t="s">
        <v>1145</v>
      </c>
      <c r="AF223" s="1007" t="s">
        <v>77</v>
      </c>
      <c r="AG223" s="1007" t="s">
        <v>61</v>
      </c>
      <c r="AH223" s="1007" t="s">
        <v>105</v>
      </c>
      <c r="AI223" s="1008">
        <v>46084</v>
      </c>
      <c r="AJ223" s="1008">
        <v>46084</v>
      </c>
      <c r="AK223" s="1008">
        <v>46084</v>
      </c>
      <c r="AL223" s="1008">
        <v>46126</v>
      </c>
      <c r="AM223" s="1008">
        <v>46142</v>
      </c>
      <c r="AN223" s="1008">
        <v>46141</v>
      </c>
      <c r="AO223" s="1007" t="s">
        <v>146</v>
      </c>
      <c r="AP223" s="1007" t="s">
        <v>872</v>
      </c>
      <c r="AQ223" s="1007" t="s">
        <v>80</v>
      </c>
      <c r="AR223" s="1007" t="s">
        <v>1146</v>
      </c>
      <c r="AS223" s="1007" t="s">
        <v>1147</v>
      </c>
      <c r="AT223" s="1007" t="s">
        <v>1147</v>
      </c>
      <c r="AU223" s="1007">
        <v>57</v>
      </c>
      <c r="AW223" s="1008">
        <v>46141</v>
      </c>
      <c r="AX223" s="1007" t="s">
        <v>973</v>
      </c>
      <c r="AY223" s="1008">
        <v>46162</v>
      </c>
      <c r="AZ223" s="1007">
        <v>7</v>
      </c>
      <c r="BA223" s="1008">
        <v>46148</v>
      </c>
      <c r="BB223" s="1007">
        <v>2026</v>
      </c>
      <c r="BC223" s="1007">
        <v>5</v>
      </c>
      <c r="BD223" s="1007">
        <v>19</v>
      </c>
      <c r="BE223" s="1007">
        <v>36</v>
      </c>
      <c r="BF223" s="1007">
        <v>936</v>
      </c>
      <c r="BG223" s="1007" t="s">
        <v>85</v>
      </c>
      <c r="BH223" s="1007" t="s">
        <v>109</v>
      </c>
    </row>
    <row r="224" spans="1:60">
      <c r="A224" s="1007" t="s">
        <v>1148</v>
      </c>
      <c r="B224" s="1007" t="s">
        <v>61</v>
      </c>
      <c r="C224" s="1007" t="s">
        <v>1149</v>
      </c>
      <c r="D224" s="1007" t="s">
        <v>63</v>
      </c>
      <c r="E224" s="1007" t="s">
        <v>64</v>
      </c>
      <c r="F224" s="1007" t="s">
        <v>100</v>
      </c>
      <c r="G224" s="1007" t="s">
        <v>402</v>
      </c>
      <c r="H224" s="1007" t="s">
        <v>67</v>
      </c>
      <c r="I224" s="1007" t="s">
        <v>689</v>
      </c>
      <c r="J224" s="1007" t="s">
        <v>1150</v>
      </c>
      <c r="M224" s="1007" t="s">
        <v>68</v>
      </c>
      <c r="N224" s="1007">
        <v>46048</v>
      </c>
      <c r="O224" s="1007" t="s">
        <v>70</v>
      </c>
      <c r="P224" s="1007" t="s">
        <v>1151</v>
      </c>
      <c r="Q224" s="1007" t="s">
        <v>421</v>
      </c>
      <c r="R224" s="1007" t="s">
        <v>73</v>
      </c>
      <c r="S224" s="1007" t="s">
        <v>967</v>
      </c>
      <c r="T224" s="1007">
        <v>505</v>
      </c>
      <c r="U224" s="1007">
        <v>2592</v>
      </c>
      <c r="V224" s="1007">
        <v>1.3089599999999999</v>
      </c>
      <c r="W224" s="1007">
        <v>72</v>
      </c>
      <c r="X224" s="1007">
        <v>3</v>
      </c>
      <c r="Y224" s="1007" t="s">
        <v>75</v>
      </c>
      <c r="Z224" s="1007" t="s">
        <v>75</v>
      </c>
      <c r="AB224" s="1008">
        <v>46078</v>
      </c>
      <c r="AC224" s="1007">
        <v>9</v>
      </c>
      <c r="AD224" s="1007" t="s">
        <v>1152</v>
      </c>
      <c r="AF224" s="1007" t="s">
        <v>77</v>
      </c>
      <c r="AG224" s="1007" t="s">
        <v>61</v>
      </c>
      <c r="AH224" s="1007" t="s">
        <v>105</v>
      </c>
      <c r="AI224" s="1008">
        <v>46084</v>
      </c>
      <c r="AJ224" s="1008">
        <v>46084</v>
      </c>
      <c r="AK224" s="1008">
        <v>46084</v>
      </c>
      <c r="AL224" s="1008">
        <v>46126</v>
      </c>
      <c r="AM224" s="1008">
        <v>46142</v>
      </c>
      <c r="AN224" s="1008">
        <v>46141</v>
      </c>
      <c r="AO224" s="1007" t="s">
        <v>402</v>
      </c>
      <c r="AP224" s="1007" t="s">
        <v>872</v>
      </c>
      <c r="AQ224" s="1007" t="s">
        <v>80</v>
      </c>
      <c r="AR224" s="1007" t="s">
        <v>1153</v>
      </c>
      <c r="AS224" s="1007" t="s">
        <v>1154</v>
      </c>
      <c r="AT224" s="1007" t="s">
        <v>1154</v>
      </c>
      <c r="AU224" s="1007">
        <v>57</v>
      </c>
      <c r="AW224" s="1008">
        <v>46141</v>
      </c>
      <c r="AX224" s="1007" t="s">
        <v>973</v>
      </c>
      <c r="AY224" s="1008">
        <v>46152</v>
      </c>
      <c r="AZ224" s="1007">
        <v>7</v>
      </c>
      <c r="BA224" s="1008">
        <v>46148</v>
      </c>
      <c r="BB224" s="1007">
        <v>2026</v>
      </c>
      <c r="BC224" s="1007">
        <v>5</v>
      </c>
      <c r="BD224" s="1007">
        <v>19</v>
      </c>
      <c r="BE224" s="1007">
        <v>36</v>
      </c>
      <c r="BF224" s="1007">
        <v>864</v>
      </c>
      <c r="BG224" s="1007" t="s">
        <v>85</v>
      </c>
      <c r="BH224" s="1007" t="s">
        <v>109</v>
      </c>
    </row>
    <row r="225" spans="1:60">
      <c r="A225" s="1007" t="s">
        <v>1155</v>
      </c>
      <c r="B225" s="1007" t="s">
        <v>61</v>
      </c>
      <c r="C225" s="1007" t="s">
        <v>1149</v>
      </c>
      <c r="D225" s="1007" t="s">
        <v>63</v>
      </c>
      <c r="E225" s="1007" t="s">
        <v>144</v>
      </c>
      <c r="F225" s="1007" t="s">
        <v>145</v>
      </c>
      <c r="G225" s="1007" t="s">
        <v>146</v>
      </c>
      <c r="H225" s="1007" t="s">
        <v>1156</v>
      </c>
      <c r="I225" s="1007" t="s">
        <v>689</v>
      </c>
      <c r="J225" s="1007" t="s">
        <v>1157</v>
      </c>
      <c r="K225" s="1007" t="s">
        <v>1158</v>
      </c>
      <c r="M225" s="1007" t="s">
        <v>840</v>
      </c>
      <c r="N225" s="1007">
        <v>46048</v>
      </c>
      <c r="O225" s="1007" t="s">
        <v>70</v>
      </c>
      <c r="P225" s="1007" t="s">
        <v>1151</v>
      </c>
      <c r="Q225" s="1007" t="s">
        <v>421</v>
      </c>
      <c r="R225" s="1007" t="s">
        <v>73</v>
      </c>
      <c r="S225" s="1007" t="s">
        <v>967</v>
      </c>
      <c r="T225" s="1007">
        <v>505</v>
      </c>
      <c r="U225" s="1007">
        <v>1728</v>
      </c>
      <c r="V225" s="1007">
        <v>0.87263999999999997</v>
      </c>
      <c r="W225" s="1007">
        <v>48</v>
      </c>
      <c r="X225" s="1007">
        <v>2</v>
      </c>
      <c r="Y225" s="1007" t="s">
        <v>75</v>
      </c>
      <c r="Z225" s="1007" t="s">
        <v>75</v>
      </c>
      <c r="AB225" s="1008">
        <v>46078</v>
      </c>
      <c r="AC225" s="1007">
        <v>9</v>
      </c>
      <c r="AD225" s="1007" t="s">
        <v>1159</v>
      </c>
      <c r="AF225" s="1007" t="s">
        <v>77</v>
      </c>
      <c r="AG225" s="1007" t="s">
        <v>61</v>
      </c>
      <c r="AH225" s="1007" t="s">
        <v>105</v>
      </c>
      <c r="AI225" s="1008">
        <v>46084</v>
      </c>
      <c r="AJ225" s="1008">
        <v>46084</v>
      </c>
      <c r="AK225" s="1008">
        <v>46084</v>
      </c>
      <c r="AL225" s="1008">
        <v>46126</v>
      </c>
      <c r="AM225" s="1008">
        <v>46142</v>
      </c>
      <c r="AN225" s="1008">
        <v>46141</v>
      </c>
      <c r="AO225" s="1007" t="s">
        <v>146</v>
      </c>
      <c r="AP225" s="1007" t="s">
        <v>872</v>
      </c>
      <c r="AQ225" s="1007" t="s">
        <v>80</v>
      </c>
      <c r="AR225" s="1007" t="s">
        <v>1153</v>
      </c>
      <c r="AS225" s="1007" t="s">
        <v>1160</v>
      </c>
      <c r="AT225" s="1007" t="s">
        <v>1154</v>
      </c>
      <c r="AU225" s="1007">
        <v>57</v>
      </c>
      <c r="AW225" s="1008">
        <v>46141</v>
      </c>
      <c r="AX225" s="1007" t="s">
        <v>973</v>
      </c>
      <c r="AY225" s="1008">
        <v>46152</v>
      </c>
      <c r="AZ225" s="1007">
        <v>0</v>
      </c>
      <c r="BA225" s="1008">
        <v>46141</v>
      </c>
      <c r="BB225" s="1007">
        <v>2026</v>
      </c>
      <c r="BC225" s="1007">
        <v>4</v>
      </c>
      <c r="BD225" s="1007">
        <v>18</v>
      </c>
      <c r="BE225" s="1007">
        <v>36</v>
      </c>
      <c r="BF225" s="1007">
        <v>864</v>
      </c>
      <c r="BG225" s="1007" t="s">
        <v>85</v>
      </c>
      <c r="BH225" s="1007" t="s">
        <v>109</v>
      </c>
    </row>
    <row r="226" spans="1:60">
      <c r="A226" s="1007" t="s">
        <v>1161</v>
      </c>
      <c r="B226" s="1007" t="s">
        <v>61</v>
      </c>
      <c r="C226" s="1007" t="s">
        <v>1162</v>
      </c>
      <c r="D226" s="1007" t="s">
        <v>113</v>
      </c>
      <c r="E226" s="1007" t="s">
        <v>64</v>
      </c>
      <c r="F226" s="1007" t="s">
        <v>65</v>
      </c>
      <c r="G226" s="1007" t="s">
        <v>402</v>
      </c>
      <c r="H226" s="1007" t="s">
        <v>67</v>
      </c>
      <c r="I226" s="1007" t="s">
        <v>689</v>
      </c>
      <c r="J226" s="1007" t="s">
        <v>1163</v>
      </c>
      <c r="M226" s="1007" t="s">
        <v>68</v>
      </c>
      <c r="N226" s="1007">
        <v>46045</v>
      </c>
      <c r="O226" s="1007" t="s">
        <v>713</v>
      </c>
      <c r="P226" s="1007" t="s">
        <v>1164</v>
      </c>
      <c r="Q226" s="1007" t="s">
        <v>1165</v>
      </c>
      <c r="R226" s="1007" t="s">
        <v>73</v>
      </c>
      <c r="S226" s="1007" t="s">
        <v>1166</v>
      </c>
      <c r="T226" s="1007">
        <v>620</v>
      </c>
      <c r="U226" s="1007">
        <v>144</v>
      </c>
      <c r="V226" s="1007">
        <v>8.9279999999999998E-2</v>
      </c>
      <c r="W226" s="1007">
        <v>4</v>
      </c>
      <c r="X226" s="1007">
        <v>0.25</v>
      </c>
      <c r="Y226" s="1007" t="s">
        <v>75</v>
      </c>
      <c r="Z226" s="1007" t="s">
        <v>75</v>
      </c>
      <c r="AB226" s="1008">
        <v>46079</v>
      </c>
      <c r="AC226" s="1007">
        <v>9</v>
      </c>
      <c r="AD226" s="1007" t="s">
        <v>1167</v>
      </c>
      <c r="AF226" s="1007" t="s">
        <v>77</v>
      </c>
      <c r="AG226" s="1007" t="s">
        <v>61</v>
      </c>
      <c r="AH226" s="1007" t="s">
        <v>356</v>
      </c>
      <c r="AI226" s="1008">
        <v>46083</v>
      </c>
      <c r="AJ226" s="1008">
        <v>46084</v>
      </c>
      <c r="AK226" s="1008">
        <v>46084</v>
      </c>
      <c r="AL226" s="1008">
        <v>46133</v>
      </c>
      <c r="AM226" s="1008">
        <v>46139</v>
      </c>
      <c r="AN226" s="1008">
        <v>46140</v>
      </c>
      <c r="AO226" s="1007" t="s">
        <v>402</v>
      </c>
      <c r="AP226" s="1007" t="s">
        <v>1168</v>
      </c>
      <c r="AQ226" s="1007" t="s">
        <v>161</v>
      </c>
      <c r="AR226" s="1007" t="s">
        <v>1169</v>
      </c>
      <c r="AS226" s="1007" t="s">
        <v>1170</v>
      </c>
      <c r="AT226" s="1007" t="s">
        <v>1170</v>
      </c>
      <c r="AU226" s="1007">
        <v>56</v>
      </c>
      <c r="AW226" s="1008">
        <v>46140</v>
      </c>
      <c r="AX226" s="1007" t="s">
        <v>973</v>
      </c>
      <c r="AY226" s="1008">
        <v>46152</v>
      </c>
      <c r="AZ226" s="1007">
        <v>8</v>
      </c>
      <c r="BA226" s="1008">
        <v>46148</v>
      </c>
      <c r="BB226" s="1007">
        <v>2026</v>
      </c>
      <c r="BC226" s="1007">
        <v>5</v>
      </c>
      <c r="BD226" s="1007">
        <v>19</v>
      </c>
      <c r="BE226" s="1007">
        <v>36</v>
      </c>
      <c r="BF226" s="1007">
        <v>576</v>
      </c>
      <c r="BG226" s="1007" t="s">
        <v>108</v>
      </c>
      <c r="BH226" s="1007" t="s">
        <v>109</v>
      </c>
    </row>
    <row r="227" spans="1:60">
      <c r="A227" s="1007" t="s">
        <v>1171</v>
      </c>
      <c r="B227" s="1007" t="s">
        <v>61</v>
      </c>
      <c r="C227" s="1007" t="s">
        <v>203</v>
      </c>
      <c r="D227" s="1007" t="s">
        <v>113</v>
      </c>
      <c r="E227" s="1007" t="s">
        <v>64</v>
      </c>
      <c r="F227" s="1007" t="s">
        <v>65</v>
      </c>
      <c r="G227" s="1007" t="s">
        <v>402</v>
      </c>
      <c r="H227" s="1007" t="s">
        <v>67</v>
      </c>
      <c r="I227" s="1007" t="s">
        <v>689</v>
      </c>
      <c r="J227" s="1007" t="s">
        <v>1172</v>
      </c>
      <c r="M227" s="1007" t="s">
        <v>68</v>
      </c>
      <c r="N227" s="1007">
        <v>46045</v>
      </c>
      <c r="O227" s="1007" t="s">
        <v>713</v>
      </c>
      <c r="P227" s="1007" t="s">
        <v>714</v>
      </c>
      <c r="Q227" s="1007" t="s">
        <v>1173</v>
      </c>
      <c r="R227" s="1007" t="s">
        <v>73</v>
      </c>
      <c r="S227" s="1007" t="s">
        <v>1166</v>
      </c>
      <c r="T227" s="1007">
        <v>625</v>
      </c>
      <c r="U227" s="1007">
        <v>288</v>
      </c>
      <c r="V227" s="1007">
        <v>0.18</v>
      </c>
      <c r="W227" s="1007">
        <v>8</v>
      </c>
      <c r="X227" s="1007">
        <v>0.5</v>
      </c>
      <c r="Y227" s="1007" t="s">
        <v>75</v>
      </c>
      <c r="Z227" s="1007" t="s">
        <v>75</v>
      </c>
      <c r="AB227" s="1008">
        <v>46079</v>
      </c>
      <c r="AC227" s="1007">
        <v>9</v>
      </c>
      <c r="AD227" s="1007" t="s">
        <v>1174</v>
      </c>
      <c r="AF227" s="1007" t="s">
        <v>77</v>
      </c>
      <c r="AG227" s="1007" t="s">
        <v>61</v>
      </c>
      <c r="AH227" s="1007" t="s">
        <v>356</v>
      </c>
      <c r="AI227" s="1008">
        <v>46083</v>
      </c>
      <c r="AJ227" s="1008">
        <v>46084</v>
      </c>
      <c r="AK227" s="1008">
        <v>46084</v>
      </c>
      <c r="AL227" s="1008">
        <v>46133</v>
      </c>
      <c r="AM227" s="1008">
        <v>46139</v>
      </c>
      <c r="AN227" s="1008">
        <v>46140</v>
      </c>
      <c r="AO227" s="1007" t="s">
        <v>402</v>
      </c>
      <c r="AP227" s="1007" t="s">
        <v>1168</v>
      </c>
      <c r="AQ227" s="1007" t="s">
        <v>161</v>
      </c>
      <c r="AR227" s="1007" t="s">
        <v>1169</v>
      </c>
      <c r="AS227" s="1007" t="s">
        <v>1170</v>
      </c>
      <c r="AT227" s="1007" t="s">
        <v>1170</v>
      </c>
      <c r="AU227" s="1007">
        <v>56</v>
      </c>
      <c r="AW227" s="1008">
        <v>46140</v>
      </c>
      <c r="AX227" s="1007" t="s">
        <v>973</v>
      </c>
      <c r="AY227" s="1008">
        <v>46152</v>
      </c>
      <c r="AZ227" s="1007">
        <v>8</v>
      </c>
      <c r="BA227" s="1008">
        <v>46148</v>
      </c>
      <c r="BB227" s="1007">
        <v>2026</v>
      </c>
      <c r="BC227" s="1007">
        <v>5</v>
      </c>
      <c r="BD227" s="1007">
        <v>19</v>
      </c>
      <c r="BE227" s="1007">
        <v>36</v>
      </c>
      <c r="BF227" s="1007">
        <v>576</v>
      </c>
      <c r="BG227" s="1007" t="s">
        <v>108</v>
      </c>
      <c r="BH227" s="1007" t="s">
        <v>109</v>
      </c>
    </row>
    <row r="228" spans="1:60">
      <c r="A228" s="1007" t="s">
        <v>1175</v>
      </c>
      <c r="B228" s="1007" t="s">
        <v>61</v>
      </c>
      <c r="C228" s="1007" t="s">
        <v>1176</v>
      </c>
      <c r="D228" s="1007" t="s">
        <v>113</v>
      </c>
      <c r="E228" s="1007" t="s">
        <v>64</v>
      </c>
      <c r="F228" s="1007" t="s">
        <v>65</v>
      </c>
      <c r="G228" s="1007" t="s">
        <v>402</v>
      </c>
      <c r="H228" s="1007" t="s">
        <v>67</v>
      </c>
      <c r="I228" s="1007" t="s">
        <v>822</v>
      </c>
      <c r="J228" s="1007" t="s">
        <v>1177</v>
      </c>
      <c r="M228" s="1007" t="s">
        <v>68</v>
      </c>
      <c r="N228" s="1007">
        <v>46045</v>
      </c>
      <c r="O228" s="1007" t="s">
        <v>713</v>
      </c>
      <c r="P228" s="1007" t="s">
        <v>714</v>
      </c>
      <c r="Q228" s="1007" t="s">
        <v>1173</v>
      </c>
      <c r="R228" s="1007" t="s">
        <v>73</v>
      </c>
      <c r="S228" s="1007" t="s">
        <v>1166</v>
      </c>
      <c r="T228" s="1007">
        <v>625</v>
      </c>
      <c r="U228" s="1007">
        <v>3600</v>
      </c>
      <c r="V228" s="1007">
        <v>2.25</v>
      </c>
      <c r="W228" s="1007">
        <v>100</v>
      </c>
      <c r="X228" s="1007">
        <v>6.25</v>
      </c>
      <c r="Y228" s="1007" t="s">
        <v>75</v>
      </c>
      <c r="Z228" s="1007" t="s">
        <v>75</v>
      </c>
      <c r="AB228" s="1008">
        <v>46079</v>
      </c>
      <c r="AC228" s="1007">
        <v>9</v>
      </c>
      <c r="AD228" s="1007" t="s">
        <v>1178</v>
      </c>
      <c r="AF228" s="1007" t="s">
        <v>77</v>
      </c>
      <c r="AG228" s="1007" t="s">
        <v>61</v>
      </c>
      <c r="AH228" s="1007" t="s">
        <v>356</v>
      </c>
      <c r="AI228" s="1008">
        <v>46083</v>
      </c>
      <c r="AJ228" s="1008">
        <v>46084</v>
      </c>
      <c r="AK228" s="1008">
        <v>46084</v>
      </c>
      <c r="AL228" s="1008">
        <v>46133</v>
      </c>
      <c r="AM228" s="1008">
        <v>46139</v>
      </c>
      <c r="AN228" s="1008">
        <v>46140</v>
      </c>
      <c r="AO228" s="1007" t="s">
        <v>402</v>
      </c>
      <c r="AP228" s="1007" t="s">
        <v>1168</v>
      </c>
      <c r="AQ228" s="1007" t="s">
        <v>161</v>
      </c>
      <c r="AR228" s="1007" t="s">
        <v>1169</v>
      </c>
      <c r="AS228" s="1007" t="s">
        <v>1170</v>
      </c>
      <c r="AT228" s="1007" t="s">
        <v>1170</v>
      </c>
      <c r="AU228" s="1007">
        <v>56</v>
      </c>
      <c r="AW228" s="1008">
        <v>46140</v>
      </c>
      <c r="AX228" s="1007" t="s">
        <v>973</v>
      </c>
      <c r="AY228" s="1008">
        <v>46152</v>
      </c>
      <c r="AZ228" s="1007">
        <v>8</v>
      </c>
      <c r="BA228" s="1008">
        <v>46148</v>
      </c>
      <c r="BB228" s="1007">
        <v>2026</v>
      </c>
      <c r="BC228" s="1007">
        <v>5</v>
      </c>
      <c r="BD228" s="1007">
        <v>19</v>
      </c>
      <c r="BE228" s="1007">
        <v>36</v>
      </c>
      <c r="BF228" s="1007">
        <v>576</v>
      </c>
      <c r="BG228" s="1007" t="s">
        <v>108</v>
      </c>
      <c r="BH228" s="1007" t="s">
        <v>109</v>
      </c>
    </row>
    <row r="229" spans="1:60">
      <c r="A229" s="1007" t="s">
        <v>1176</v>
      </c>
      <c r="B229" s="1007" t="s">
        <v>61</v>
      </c>
      <c r="C229" s="1007" t="s">
        <v>203</v>
      </c>
      <c r="D229" s="1007" t="s">
        <v>113</v>
      </c>
      <c r="E229" s="1007" t="s">
        <v>64</v>
      </c>
      <c r="F229" s="1007" t="s">
        <v>65</v>
      </c>
      <c r="G229" s="1007" t="s">
        <v>402</v>
      </c>
      <c r="H229" s="1007" t="s">
        <v>67</v>
      </c>
      <c r="I229" s="1007" t="s">
        <v>822</v>
      </c>
      <c r="J229" s="1007" t="s">
        <v>1177</v>
      </c>
      <c r="M229" s="1007" t="s">
        <v>68</v>
      </c>
      <c r="N229" s="1007">
        <v>46045</v>
      </c>
      <c r="O229" s="1007" t="s">
        <v>713</v>
      </c>
      <c r="P229" s="1007" t="s">
        <v>714</v>
      </c>
      <c r="Q229" s="1007" t="s">
        <v>1173</v>
      </c>
      <c r="R229" s="1007" t="s">
        <v>73</v>
      </c>
      <c r="S229" s="1007" t="s">
        <v>1166</v>
      </c>
      <c r="T229" s="1007">
        <v>625</v>
      </c>
      <c r="U229" s="1007">
        <v>4032</v>
      </c>
      <c r="V229" s="1007">
        <v>2.52</v>
      </c>
      <c r="W229" s="1007">
        <v>112</v>
      </c>
      <c r="X229" s="1007">
        <v>7</v>
      </c>
      <c r="Y229" s="1007" t="s">
        <v>75</v>
      </c>
      <c r="Z229" s="1007" t="s">
        <v>75</v>
      </c>
      <c r="AB229" s="1008">
        <v>46078</v>
      </c>
      <c r="AC229" s="1007">
        <v>9</v>
      </c>
      <c r="AD229" s="1007" t="s">
        <v>1179</v>
      </c>
      <c r="AF229" s="1007" t="s">
        <v>77</v>
      </c>
      <c r="AG229" s="1007" t="s">
        <v>61</v>
      </c>
      <c r="AH229" s="1007" t="s">
        <v>356</v>
      </c>
      <c r="AI229" s="1008">
        <v>46083</v>
      </c>
      <c r="AJ229" s="1008">
        <v>46084</v>
      </c>
      <c r="AK229" s="1008">
        <v>46084</v>
      </c>
      <c r="AL229" s="1008">
        <v>46133</v>
      </c>
      <c r="AM229" s="1008">
        <v>46139</v>
      </c>
      <c r="AN229" s="1008">
        <v>46140</v>
      </c>
      <c r="AO229" s="1007" t="s">
        <v>402</v>
      </c>
      <c r="AP229" s="1007" t="s">
        <v>1168</v>
      </c>
      <c r="AQ229" s="1007" t="s">
        <v>161</v>
      </c>
      <c r="AR229" s="1007" t="s">
        <v>1180</v>
      </c>
      <c r="AS229" s="1007" t="s">
        <v>1181</v>
      </c>
      <c r="AT229" s="1007" t="s">
        <v>1181</v>
      </c>
      <c r="AU229" s="1007">
        <v>56</v>
      </c>
      <c r="AW229" s="1008">
        <v>46140</v>
      </c>
      <c r="AX229" s="1007" t="s">
        <v>973</v>
      </c>
      <c r="AY229" s="1008">
        <v>46152</v>
      </c>
      <c r="AZ229" s="1007">
        <v>8</v>
      </c>
      <c r="BA229" s="1008">
        <v>46148</v>
      </c>
      <c r="BB229" s="1007">
        <v>2026</v>
      </c>
      <c r="BC229" s="1007">
        <v>5</v>
      </c>
      <c r="BD229" s="1007">
        <v>19</v>
      </c>
      <c r="BE229" s="1007">
        <v>36</v>
      </c>
      <c r="BF229" s="1007">
        <v>576</v>
      </c>
      <c r="BG229" s="1007" t="s">
        <v>108</v>
      </c>
      <c r="BH229" s="1007" t="s">
        <v>109</v>
      </c>
    </row>
    <row r="230" spans="1:60">
      <c r="A230" s="1007" t="s">
        <v>1182</v>
      </c>
      <c r="B230" s="1007" t="s">
        <v>111</v>
      </c>
      <c r="C230" s="1007" t="s">
        <v>1183</v>
      </c>
      <c r="D230" s="1007" t="s">
        <v>113</v>
      </c>
      <c r="E230" s="1007" t="s">
        <v>64</v>
      </c>
      <c r="F230" s="1007" t="s">
        <v>65</v>
      </c>
      <c r="G230" s="1007" t="s">
        <v>402</v>
      </c>
      <c r="H230" s="1007" t="s">
        <v>67</v>
      </c>
      <c r="I230" s="1007" t="s">
        <v>822</v>
      </c>
      <c r="J230" s="1007" t="s">
        <v>1184</v>
      </c>
      <c r="K230" s="1007" t="s">
        <v>328</v>
      </c>
      <c r="M230" s="1007" t="s">
        <v>68</v>
      </c>
      <c r="N230" s="1007">
        <v>46045</v>
      </c>
      <c r="O230" s="1007" t="s">
        <v>713</v>
      </c>
      <c r="P230" s="1007" t="s">
        <v>1185</v>
      </c>
      <c r="Q230" s="1007" t="s">
        <v>1186</v>
      </c>
      <c r="R230" s="1007" t="s">
        <v>73</v>
      </c>
      <c r="S230" s="1007" t="s">
        <v>1187</v>
      </c>
      <c r="T230" s="1007">
        <v>615</v>
      </c>
      <c r="U230" s="1007">
        <v>1440</v>
      </c>
      <c r="V230" s="1007">
        <v>0.88560000000000005</v>
      </c>
      <c r="W230" s="1007">
        <v>40</v>
      </c>
      <c r="X230" s="1007">
        <v>2</v>
      </c>
      <c r="Y230" s="1007" t="s">
        <v>75</v>
      </c>
      <c r="Z230" s="1007" t="s">
        <v>75</v>
      </c>
      <c r="AB230" s="1008">
        <v>46076</v>
      </c>
      <c r="AC230" s="1007">
        <v>9</v>
      </c>
      <c r="AD230" s="1007" t="s">
        <v>1188</v>
      </c>
      <c r="AF230" s="1007" t="s">
        <v>122</v>
      </c>
      <c r="AG230" s="1007" t="s">
        <v>123</v>
      </c>
      <c r="AH230" s="1007" t="s">
        <v>356</v>
      </c>
      <c r="AI230" s="1008">
        <v>46079</v>
      </c>
      <c r="AJ230" s="1008">
        <v>46079</v>
      </c>
      <c r="AK230" s="1008">
        <v>46079</v>
      </c>
      <c r="AL230" s="1008">
        <v>46132</v>
      </c>
      <c r="AM230" s="1008">
        <v>46135</v>
      </c>
      <c r="AN230" s="1008">
        <v>46135</v>
      </c>
      <c r="AO230" s="1007" t="s">
        <v>402</v>
      </c>
      <c r="AP230" s="1007" t="s">
        <v>1189</v>
      </c>
      <c r="AQ230" s="1007" t="s">
        <v>80</v>
      </c>
      <c r="AR230" s="1007" t="s">
        <v>1190</v>
      </c>
      <c r="AS230" s="1007" t="s">
        <v>1191</v>
      </c>
      <c r="AT230" s="1007" t="s">
        <v>1191</v>
      </c>
      <c r="AU230" s="1007">
        <v>56</v>
      </c>
      <c r="AW230" s="1008">
        <v>46135</v>
      </c>
      <c r="AX230" s="1007" t="s">
        <v>973</v>
      </c>
      <c r="AY230" s="1008">
        <v>46148</v>
      </c>
      <c r="AZ230" s="1007">
        <v>8</v>
      </c>
      <c r="BA230" s="1008">
        <v>46143</v>
      </c>
      <c r="BB230" s="1007">
        <v>2026</v>
      </c>
      <c r="BC230" s="1007">
        <v>5</v>
      </c>
      <c r="BD230" s="1007">
        <v>18</v>
      </c>
      <c r="BE230" s="1007">
        <v>36</v>
      </c>
      <c r="BF230" s="1007">
        <v>720</v>
      </c>
      <c r="BG230" s="1007" t="s">
        <v>108</v>
      </c>
      <c r="BH230" s="1007" t="s">
        <v>109</v>
      </c>
    </row>
    <row r="231" spans="1:60">
      <c r="A231" s="1007" t="s">
        <v>1192</v>
      </c>
      <c r="B231" s="1007" t="s">
        <v>111</v>
      </c>
      <c r="C231" s="1007" t="s">
        <v>1091</v>
      </c>
      <c r="D231" s="1007" t="s">
        <v>63</v>
      </c>
      <c r="E231" s="1007" t="s">
        <v>64</v>
      </c>
      <c r="F231" s="1007" t="s">
        <v>100</v>
      </c>
      <c r="G231" s="1007" t="s">
        <v>402</v>
      </c>
      <c r="H231" s="1007" t="s">
        <v>67</v>
      </c>
      <c r="I231" s="1007" t="s">
        <v>689</v>
      </c>
      <c r="J231" s="1007" t="s">
        <v>293</v>
      </c>
      <c r="M231" s="1007" t="s">
        <v>68</v>
      </c>
      <c r="N231" s="1007">
        <v>46069</v>
      </c>
      <c r="O231" s="1007" t="s">
        <v>132</v>
      </c>
      <c r="P231" s="1007" t="s">
        <v>189</v>
      </c>
      <c r="Q231" s="1007" t="s">
        <v>190</v>
      </c>
      <c r="R231" s="1007" t="s">
        <v>73</v>
      </c>
      <c r="S231" s="1007" t="s">
        <v>967</v>
      </c>
      <c r="T231" s="1007">
        <v>465</v>
      </c>
      <c r="U231" s="1007">
        <v>4320</v>
      </c>
      <c r="V231" s="1007">
        <v>2.0087999999999999</v>
      </c>
      <c r="W231" s="1007">
        <v>120</v>
      </c>
      <c r="X231" s="1007">
        <v>5</v>
      </c>
      <c r="Y231" s="1007" t="s">
        <v>75</v>
      </c>
      <c r="Z231" s="1007" t="s">
        <v>75</v>
      </c>
      <c r="AB231" s="1008">
        <v>46077</v>
      </c>
      <c r="AC231" s="1007">
        <v>9</v>
      </c>
      <c r="AD231" s="1007" t="s">
        <v>1193</v>
      </c>
      <c r="AF231" s="1007" t="s">
        <v>122</v>
      </c>
      <c r="AG231" s="1007" t="s">
        <v>123</v>
      </c>
      <c r="AH231" s="1007" t="s">
        <v>105</v>
      </c>
      <c r="AI231" s="1008">
        <v>46088</v>
      </c>
      <c r="AJ231" s="1008">
        <v>46086</v>
      </c>
      <c r="AK231" s="1008">
        <v>46090</v>
      </c>
      <c r="AL231" s="1008">
        <v>46122</v>
      </c>
      <c r="AM231" s="1008">
        <v>46141</v>
      </c>
      <c r="AN231" s="1008">
        <v>46137</v>
      </c>
      <c r="AO231" s="1007" t="s">
        <v>402</v>
      </c>
      <c r="AP231" s="1007" t="s">
        <v>850</v>
      </c>
      <c r="AQ231" s="1007" t="s">
        <v>80</v>
      </c>
      <c r="AR231" s="1007" t="s">
        <v>1194</v>
      </c>
      <c r="AS231" s="1007" t="s">
        <v>1195</v>
      </c>
      <c r="AT231" s="1007" t="s">
        <v>1195</v>
      </c>
      <c r="AU231" s="1007">
        <v>47</v>
      </c>
      <c r="AW231" s="1008">
        <v>46137</v>
      </c>
      <c r="AX231" s="1007" t="s">
        <v>973</v>
      </c>
      <c r="AY231" s="1008">
        <v>46149</v>
      </c>
      <c r="AZ231" s="1007">
        <v>7</v>
      </c>
      <c r="BA231" s="1008">
        <v>46144</v>
      </c>
      <c r="BB231" s="1007">
        <v>2026</v>
      </c>
      <c r="BC231" s="1007">
        <v>5</v>
      </c>
      <c r="BD231" s="1007">
        <v>18</v>
      </c>
      <c r="BE231" s="1007">
        <v>36</v>
      </c>
      <c r="BF231" s="1007">
        <v>864</v>
      </c>
      <c r="BG231" s="1007" t="s">
        <v>108</v>
      </c>
      <c r="BH231" s="1007" t="s">
        <v>109</v>
      </c>
    </row>
    <row r="232" spans="1:60">
      <c r="A232" s="1007" t="s">
        <v>1196</v>
      </c>
      <c r="B232" s="1007" t="s">
        <v>111</v>
      </c>
      <c r="C232" s="1007" t="s">
        <v>1091</v>
      </c>
      <c r="D232" s="1007" t="s">
        <v>63</v>
      </c>
      <c r="E232" s="1007" t="s">
        <v>64</v>
      </c>
      <c r="F232" s="1007" t="s">
        <v>100</v>
      </c>
      <c r="G232" s="1007" t="s">
        <v>402</v>
      </c>
      <c r="H232" s="1007" t="s">
        <v>67</v>
      </c>
      <c r="I232" s="1007" t="s">
        <v>689</v>
      </c>
      <c r="J232" s="1007" t="s">
        <v>1197</v>
      </c>
      <c r="M232" s="1007" t="s">
        <v>68</v>
      </c>
      <c r="N232" s="1007">
        <v>46055</v>
      </c>
      <c r="O232" s="1007" t="s">
        <v>132</v>
      </c>
      <c r="P232" s="1007" t="s">
        <v>189</v>
      </c>
      <c r="Q232" s="1007" t="s">
        <v>190</v>
      </c>
      <c r="R232" s="1007" t="s">
        <v>73</v>
      </c>
      <c r="S232" s="1007" t="s">
        <v>967</v>
      </c>
      <c r="T232" s="1007">
        <v>465</v>
      </c>
      <c r="U232" s="1007">
        <v>5184</v>
      </c>
      <c r="V232" s="1007">
        <v>2.4105599999999998</v>
      </c>
      <c r="W232" s="1007">
        <v>144</v>
      </c>
      <c r="X232" s="1007">
        <v>6</v>
      </c>
      <c r="Y232" s="1007" t="s">
        <v>75</v>
      </c>
      <c r="Z232" s="1007" t="s">
        <v>75</v>
      </c>
      <c r="AB232" s="1008">
        <v>46079</v>
      </c>
      <c r="AC232" s="1007">
        <v>9</v>
      </c>
      <c r="AD232" s="1007" t="s">
        <v>1198</v>
      </c>
      <c r="AF232" s="1007" t="s">
        <v>122</v>
      </c>
      <c r="AG232" s="1007" t="s">
        <v>123</v>
      </c>
      <c r="AH232" s="1007" t="s">
        <v>105</v>
      </c>
      <c r="AI232" s="1008">
        <v>46088</v>
      </c>
      <c r="AJ232" s="1008">
        <v>46086</v>
      </c>
      <c r="AK232" s="1008">
        <v>46090</v>
      </c>
      <c r="AL232" s="1008">
        <v>46122</v>
      </c>
      <c r="AM232" s="1008">
        <v>46141</v>
      </c>
      <c r="AN232" s="1008">
        <v>46137</v>
      </c>
      <c r="AO232" s="1007" t="s">
        <v>402</v>
      </c>
      <c r="AP232" s="1007" t="s">
        <v>1199</v>
      </c>
      <c r="AQ232" s="1007" t="s">
        <v>80</v>
      </c>
      <c r="AR232" s="1007" t="s">
        <v>1194</v>
      </c>
      <c r="AS232" s="1007" t="s">
        <v>1195</v>
      </c>
      <c r="AT232" s="1007" t="s">
        <v>1195</v>
      </c>
      <c r="AU232" s="1007">
        <v>47</v>
      </c>
      <c r="AW232" s="1008">
        <v>46137</v>
      </c>
      <c r="AX232" s="1007" t="s">
        <v>973</v>
      </c>
      <c r="AY232" s="1008">
        <v>46149</v>
      </c>
      <c r="AZ232" s="1007">
        <v>7</v>
      </c>
      <c r="BA232" s="1008">
        <v>46144</v>
      </c>
      <c r="BB232" s="1007">
        <v>2026</v>
      </c>
      <c r="BC232" s="1007">
        <v>5</v>
      </c>
      <c r="BD232" s="1007">
        <v>18</v>
      </c>
      <c r="BE232" s="1007">
        <v>36</v>
      </c>
      <c r="BF232" s="1007">
        <v>864</v>
      </c>
      <c r="BG232" s="1007" t="s">
        <v>108</v>
      </c>
      <c r="BH232" s="1007" t="s">
        <v>109</v>
      </c>
    </row>
    <row r="233" spans="1:60">
      <c r="A233" s="1007" t="s">
        <v>1200</v>
      </c>
      <c r="B233" s="1007" t="s">
        <v>111</v>
      </c>
      <c r="C233" s="1007" t="s">
        <v>1061</v>
      </c>
      <c r="D233" s="1007" t="s">
        <v>63</v>
      </c>
      <c r="E233" s="1007" t="s">
        <v>64</v>
      </c>
      <c r="F233" s="1007" t="s">
        <v>100</v>
      </c>
      <c r="G233" s="1007" t="s">
        <v>402</v>
      </c>
      <c r="H233" s="1007" t="s">
        <v>67</v>
      </c>
      <c r="I233" s="1007" t="s">
        <v>689</v>
      </c>
      <c r="J233" s="1007" t="s">
        <v>101</v>
      </c>
      <c r="M233" s="1007" t="s">
        <v>68</v>
      </c>
      <c r="N233" s="1007" t="s">
        <v>68</v>
      </c>
      <c r="O233" s="1007" t="s">
        <v>132</v>
      </c>
      <c r="P233" s="1007" t="s">
        <v>1062</v>
      </c>
      <c r="Q233" s="1007" t="s">
        <v>1063</v>
      </c>
      <c r="R233" s="1007" t="s">
        <v>73</v>
      </c>
      <c r="S233" s="1007" t="s">
        <v>967</v>
      </c>
      <c r="T233" s="1007">
        <v>470</v>
      </c>
      <c r="U233" s="1007">
        <v>864</v>
      </c>
      <c r="V233" s="1007">
        <v>0.40608</v>
      </c>
      <c r="W233" s="1007">
        <v>24</v>
      </c>
      <c r="X233" s="1007">
        <v>1</v>
      </c>
      <c r="Y233" s="1007" t="s">
        <v>75</v>
      </c>
      <c r="Z233" s="1007" t="s">
        <v>75</v>
      </c>
      <c r="AB233" s="1008">
        <v>46079</v>
      </c>
      <c r="AC233" s="1007">
        <v>9</v>
      </c>
      <c r="AD233" s="1007" t="s">
        <v>1201</v>
      </c>
      <c r="AF233" s="1007" t="s">
        <v>122</v>
      </c>
      <c r="AG233" s="1007" t="s">
        <v>123</v>
      </c>
      <c r="AH233" s="1007" t="s">
        <v>105</v>
      </c>
      <c r="AI233" s="1008">
        <v>46088</v>
      </c>
      <c r="AJ233" s="1008">
        <v>46086</v>
      </c>
      <c r="AK233" s="1008">
        <v>46090</v>
      </c>
      <c r="AL233" s="1008">
        <v>46122</v>
      </c>
      <c r="AM233" s="1008">
        <v>46141</v>
      </c>
      <c r="AN233" s="1008">
        <v>46137</v>
      </c>
      <c r="AO233" s="1007" t="s">
        <v>402</v>
      </c>
      <c r="AP233" s="1007" t="s">
        <v>1199</v>
      </c>
      <c r="AQ233" s="1007" t="s">
        <v>80</v>
      </c>
      <c r="AR233" s="1007" t="s">
        <v>1194</v>
      </c>
      <c r="AS233" s="1007" t="s">
        <v>1195</v>
      </c>
      <c r="AT233" s="1007" t="s">
        <v>1195</v>
      </c>
      <c r="AU233" s="1007">
        <v>47</v>
      </c>
      <c r="AW233" s="1008">
        <v>46137</v>
      </c>
      <c r="AX233" s="1007" t="s">
        <v>973</v>
      </c>
      <c r="AY233" s="1008">
        <v>46149</v>
      </c>
      <c r="AZ233" s="1007">
        <v>7</v>
      </c>
      <c r="BA233" s="1008">
        <v>46144</v>
      </c>
      <c r="BB233" s="1007">
        <v>2026</v>
      </c>
      <c r="BC233" s="1007">
        <v>5</v>
      </c>
      <c r="BD233" s="1007">
        <v>18</v>
      </c>
      <c r="BE233" s="1007">
        <v>36</v>
      </c>
      <c r="BF233" s="1007">
        <v>864</v>
      </c>
      <c r="BG233" s="1007" t="s">
        <v>108</v>
      </c>
      <c r="BH233" s="1007" t="s">
        <v>109</v>
      </c>
    </row>
    <row r="234" spans="1:60">
      <c r="A234" s="1007" t="s">
        <v>1202</v>
      </c>
      <c r="B234" s="1007" t="s">
        <v>111</v>
      </c>
      <c r="C234" s="1007" t="s">
        <v>1091</v>
      </c>
      <c r="D234" s="1007" t="s">
        <v>63</v>
      </c>
      <c r="E234" s="1007" t="s">
        <v>64</v>
      </c>
      <c r="F234" s="1007" t="s">
        <v>450</v>
      </c>
      <c r="G234" s="1007" t="s">
        <v>402</v>
      </c>
      <c r="H234" s="1007" t="s">
        <v>451</v>
      </c>
      <c r="I234" s="1007" t="s">
        <v>689</v>
      </c>
      <c r="J234" s="1007" t="s">
        <v>1203</v>
      </c>
      <c r="M234" s="1007" t="s">
        <v>68</v>
      </c>
      <c r="N234" s="1007">
        <v>46069</v>
      </c>
      <c r="O234" s="1007" t="s">
        <v>132</v>
      </c>
      <c r="P234" s="1007" t="s">
        <v>189</v>
      </c>
      <c r="Q234" s="1007" t="s">
        <v>190</v>
      </c>
      <c r="R234" s="1007" t="s">
        <v>73</v>
      </c>
      <c r="S234" s="1007" t="s">
        <v>967</v>
      </c>
      <c r="T234" s="1007">
        <v>465</v>
      </c>
      <c r="U234" s="1007">
        <v>864</v>
      </c>
      <c r="V234" s="1007">
        <v>0.40176000000000001</v>
      </c>
      <c r="W234" s="1007">
        <v>24</v>
      </c>
      <c r="X234" s="1007">
        <v>1</v>
      </c>
      <c r="Y234" s="1007" t="s">
        <v>75</v>
      </c>
      <c r="Z234" s="1007" t="s">
        <v>75</v>
      </c>
      <c r="AB234" s="1008">
        <v>46077</v>
      </c>
      <c r="AC234" s="1007">
        <v>9</v>
      </c>
      <c r="AD234" s="1007" t="s">
        <v>1204</v>
      </c>
      <c r="AF234" s="1007" t="s">
        <v>122</v>
      </c>
      <c r="AG234" s="1007" t="s">
        <v>123</v>
      </c>
      <c r="AH234" s="1007" t="s">
        <v>456</v>
      </c>
      <c r="AI234" s="1008">
        <v>46083</v>
      </c>
      <c r="AJ234" s="1008">
        <v>46082</v>
      </c>
      <c r="AK234" s="1008">
        <v>46082</v>
      </c>
      <c r="AL234" s="1008">
        <v>46124</v>
      </c>
      <c r="AM234" s="1008">
        <v>46131</v>
      </c>
      <c r="AN234" s="1008">
        <v>46131</v>
      </c>
      <c r="AO234" s="1007" t="s">
        <v>402</v>
      </c>
      <c r="AP234" s="1007" t="s">
        <v>1205</v>
      </c>
      <c r="AQ234" s="1007" t="s">
        <v>80</v>
      </c>
      <c r="AR234" s="1007" t="s">
        <v>1206</v>
      </c>
      <c r="AS234" s="1007" t="s">
        <v>1207</v>
      </c>
      <c r="AT234" s="1007" t="s">
        <v>1207</v>
      </c>
      <c r="AU234" s="1007">
        <v>49</v>
      </c>
      <c r="AW234" s="1008">
        <v>46131</v>
      </c>
      <c r="AX234" s="1007" t="s">
        <v>973</v>
      </c>
      <c r="AY234" s="1008">
        <v>46145</v>
      </c>
      <c r="AZ234" s="1007">
        <v>7</v>
      </c>
      <c r="BA234" s="1008">
        <v>46138</v>
      </c>
      <c r="BB234" s="1007">
        <v>2026</v>
      </c>
      <c r="BC234" s="1007">
        <v>4</v>
      </c>
      <c r="BD234" s="1007">
        <v>17</v>
      </c>
      <c r="BE234" s="1007">
        <v>36</v>
      </c>
      <c r="BF234" s="1007">
        <v>864</v>
      </c>
      <c r="BG234" s="1007" t="s">
        <v>108</v>
      </c>
      <c r="BH234" s="1007" t="s">
        <v>109</v>
      </c>
    </row>
    <row r="235" spans="1:60">
      <c r="A235" s="1007" t="s">
        <v>1208</v>
      </c>
      <c r="B235" s="1007" t="s">
        <v>111</v>
      </c>
      <c r="C235" s="1007" t="s">
        <v>1183</v>
      </c>
      <c r="D235" s="1007" t="s">
        <v>113</v>
      </c>
      <c r="E235" s="1007" t="s">
        <v>64</v>
      </c>
      <c r="F235" s="1007" t="s">
        <v>65</v>
      </c>
      <c r="G235" s="1007" t="s">
        <v>402</v>
      </c>
      <c r="H235" s="1007" t="s">
        <v>67</v>
      </c>
      <c r="I235" s="1007" t="s">
        <v>822</v>
      </c>
      <c r="J235" s="1007" t="s">
        <v>1184</v>
      </c>
      <c r="K235" s="1007" t="s">
        <v>328</v>
      </c>
      <c r="M235" s="1007" t="s">
        <v>68</v>
      </c>
      <c r="N235" s="1007">
        <v>46045</v>
      </c>
      <c r="O235" s="1007" t="s">
        <v>713</v>
      </c>
      <c r="P235" s="1007" t="s">
        <v>1185</v>
      </c>
      <c r="Q235" s="1007" t="s">
        <v>1186</v>
      </c>
      <c r="R235" s="1007" t="s">
        <v>73</v>
      </c>
      <c r="S235" s="1007" t="s">
        <v>1187</v>
      </c>
      <c r="T235" s="1007">
        <v>615</v>
      </c>
      <c r="U235" s="1007">
        <v>720</v>
      </c>
      <c r="V235" s="1007">
        <v>0.44280000000000003</v>
      </c>
      <c r="W235" s="1007">
        <v>20</v>
      </c>
      <c r="X235" s="1007">
        <v>1</v>
      </c>
      <c r="Y235" s="1007" t="s">
        <v>75</v>
      </c>
      <c r="Z235" s="1007" t="s">
        <v>75</v>
      </c>
      <c r="AB235" s="1008">
        <v>46078</v>
      </c>
      <c r="AC235" s="1007">
        <v>9</v>
      </c>
      <c r="AD235" s="1007" t="s">
        <v>1209</v>
      </c>
      <c r="AF235" s="1007" t="s">
        <v>122</v>
      </c>
      <c r="AG235" s="1007" t="s">
        <v>123</v>
      </c>
      <c r="AH235" s="1007" t="s">
        <v>356</v>
      </c>
      <c r="AI235" s="1008">
        <v>46089</v>
      </c>
      <c r="AJ235" s="1008">
        <v>46088</v>
      </c>
      <c r="AK235" s="1008">
        <v>46089</v>
      </c>
      <c r="AL235" s="1008">
        <v>46126</v>
      </c>
      <c r="AM235" s="1008">
        <v>46126</v>
      </c>
      <c r="AN235" s="1008">
        <v>46124</v>
      </c>
      <c r="AO235" s="1007" t="s">
        <v>402</v>
      </c>
      <c r="AP235" s="1007" t="s">
        <v>899</v>
      </c>
      <c r="AQ235" s="1007" t="s">
        <v>80</v>
      </c>
      <c r="AR235" s="1007" t="s">
        <v>900</v>
      </c>
      <c r="AS235" s="1007" t="s">
        <v>901</v>
      </c>
      <c r="AT235" s="1007" t="s">
        <v>901</v>
      </c>
      <c r="AU235" s="1007">
        <v>35</v>
      </c>
      <c r="AW235" s="1008">
        <v>46124</v>
      </c>
      <c r="AX235" s="1007" t="s">
        <v>973</v>
      </c>
      <c r="AY235" s="1008">
        <v>46132</v>
      </c>
      <c r="AZ235" s="1007">
        <v>8</v>
      </c>
      <c r="BA235" s="1008">
        <v>46132</v>
      </c>
      <c r="BB235" s="1007">
        <v>2026</v>
      </c>
      <c r="BC235" s="1007">
        <v>4</v>
      </c>
      <c r="BD235" s="1007">
        <v>17</v>
      </c>
      <c r="BE235" s="1007">
        <v>36</v>
      </c>
      <c r="BF235" s="1007">
        <v>720</v>
      </c>
      <c r="BG235" s="1007" t="s">
        <v>108</v>
      </c>
      <c r="BH235" s="1007" t="s">
        <v>109</v>
      </c>
    </row>
    <row r="236" spans="1:60">
      <c r="A236" s="1007" t="s">
        <v>1210</v>
      </c>
      <c r="B236" s="1007" t="s">
        <v>111</v>
      </c>
      <c r="C236" s="1007" t="s">
        <v>991</v>
      </c>
      <c r="D236" s="1007" t="s">
        <v>63</v>
      </c>
      <c r="E236" s="1007" t="s">
        <v>64</v>
      </c>
      <c r="F236" s="1007" t="s">
        <v>100</v>
      </c>
      <c r="G236" s="1007" t="s">
        <v>402</v>
      </c>
      <c r="H236" s="1007" t="s">
        <v>67</v>
      </c>
      <c r="I236" s="1007" t="s">
        <v>689</v>
      </c>
      <c r="J236" s="1007" t="s">
        <v>101</v>
      </c>
      <c r="M236" s="1007" t="s">
        <v>68</v>
      </c>
      <c r="N236" s="1007">
        <v>46048</v>
      </c>
      <c r="O236" s="1007" t="s">
        <v>132</v>
      </c>
      <c r="P236" s="1007" t="s">
        <v>133</v>
      </c>
      <c r="Q236" s="1007" t="s">
        <v>134</v>
      </c>
      <c r="R236" s="1007" t="s">
        <v>73</v>
      </c>
      <c r="S236" s="1007" t="s">
        <v>992</v>
      </c>
      <c r="T236" s="1007">
        <v>720</v>
      </c>
      <c r="U236" s="1007">
        <v>2970</v>
      </c>
      <c r="V236" s="1007">
        <v>2.1383999999999999</v>
      </c>
      <c r="W236" s="1007">
        <v>90</v>
      </c>
      <c r="X236" s="1007">
        <v>5</v>
      </c>
      <c r="Y236" s="1007" t="s">
        <v>75</v>
      </c>
      <c r="Z236" s="1007" t="s">
        <v>75</v>
      </c>
      <c r="AB236" s="1008">
        <v>46082</v>
      </c>
      <c r="AC236" s="1007">
        <v>9</v>
      </c>
      <c r="AD236" s="1007" t="s">
        <v>1211</v>
      </c>
      <c r="AF236" s="1007" t="s">
        <v>122</v>
      </c>
      <c r="AG236" s="1007" t="s">
        <v>123</v>
      </c>
      <c r="AH236" s="1007" t="s">
        <v>105</v>
      </c>
      <c r="AI236" s="1008">
        <v>46091</v>
      </c>
      <c r="AJ236" s="1008">
        <v>46096</v>
      </c>
      <c r="AK236" s="1008">
        <v>46097</v>
      </c>
      <c r="AL236" s="1008">
        <v>46127</v>
      </c>
      <c r="AM236" s="1008">
        <v>46137</v>
      </c>
      <c r="AN236" s="1008">
        <v>46137</v>
      </c>
      <c r="AO236" s="1007" t="s">
        <v>402</v>
      </c>
      <c r="AP236" s="1007" t="s">
        <v>1212</v>
      </c>
      <c r="AQ236" s="1007" t="s">
        <v>80</v>
      </c>
      <c r="AR236" s="1007" t="s">
        <v>1213</v>
      </c>
      <c r="AS236" s="1007" t="s">
        <v>1214</v>
      </c>
      <c r="AT236" s="1007" t="s">
        <v>1214</v>
      </c>
      <c r="AU236" s="1007">
        <v>40</v>
      </c>
      <c r="AW236" s="1008">
        <v>46137</v>
      </c>
      <c r="AX236" s="1007" t="s">
        <v>973</v>
      </c>
      <c r="AY236" s="1008">
        <v>46149</v>
      </c>
      <c r="AZ236" s="1007">
        <v>7</v>
      </c>
      <c r="BA236" s="1008">
        <v>46144</v>
      </c>
      <c r="BB236" s="1007">
        <v>2026</v>
      </c>
      <c r="BC236" s="1007">
        <v>5</v>
      </c>
      <c r="BD236" s="1007">
        <v>18</v>
      </c>
      <c r="BE236" s="1007">
        <v>33</v>
      </c>
      <c r="BF236" s="1007">
        <v>594</v>
      </c>
      <c r="BG236" s="1007" t="s">
        <v>108</v>
      </c>
      <c r="BH236" s="1007" t="s">
        <v>109</v>
      </c>
    </row>
    <row r="237" spans="1:60">
      <c r="A237" s="1007" t="s">
        <v>1215</v>
      </c>
      <c r="B237" s="1007" t="s">
        <v>111</v>
      </c>
      <c r="C237" s="1007" t="s">
        <v>1061</v>
      </c>
      <c r="D237" s="1007" t="s">
        <v>63</v>
      </c>
      <c r="E237" s="1007" t="s">
        <v>64</v>
      </c>
      <c r="F237" s="1007" t="s">
        <v>100</v>
      </c>
      <c r="G237" s="1007" t="s">
        <v>402</v>
      </c>
      <c r="H237" s="1007" t="s">
        <v>67</v>
      </c>
      <c r="I237" s="1007" t="s">
        <v>689</v>
      </c>
      <c r="J237" s="1007" t="s">
        <v>101</v>
      </c>
      <c r="M237" s="1007" t="s">
        <v>68</v>
      </c>
      <c r="N237" s="1007">
        <v>46076</v>
      </c>
      <c r="O237" s="1007" t="s">
        <v>132</v>
      </c>
      <c r="P237" s="1007" t="s">
        <v>1062</v>
      </c>
      <c r="Q237" s="1007" t="s">
        <v>1063</v>
      </c>
      <c r="R237" s="1007" t="s">
        <v>73</v>
      </c>
      <c r="S237" s="1007" t="s">
        <v>967</v>
      </c>
      <c r="T237" s="1007">
        <v>470</v>
      </c>
      <c r="U237" s="1007">
        <v>3456</v>
      </c>
      <c r="V237" s="1007">
        <v>1.62432</v>
      </c>
      <c r="W237" s="1007">
        <v>96</v>
      </c>
      <c r="X237" s="1007">
        <v>4</v>
      </c>
      <c r="Y237" s="1007" t="s">
        <v>75</v>
      </c>
      <c r="Z237" s="1007" t="s">
        <v>75</v>
      </c>
      <c r="AB237" s="1008">
        <v>46082</v>
      </c>
      <c r="AC237" s="1007">
        <v>9</v>
      </c>
      <c r="AD237" s="1007" t="s">
        <v>1216</v>
      </c>
      <c r="AF237" s="1007" t="s">
        <v>122</v>
      </c>
      <c r="AG237" s="1007" t="s">
        <v>123</v>
      </c>
      <c r="AH237" s="1007" t="s">
        <v>105</v>
      </c>
      <c r="AI237" s="1008">
        <v>46091</v>
      </c>
      <c r="AJ237" s="1008">
        <v>46096</v>
      </c>
      <c r="AK237" s="1008">
        <v>46096</v>
      </c>
      <c r="AL237" s="1008">
        <v>46126</v>
      </c>
      <c r="AM237" s="1008">
        <v>46142</v>
      </c>
      <c r="AN237" s="1008">
        <v>46141</v>
      </c>
      <c r="AO237" s="1007" t="s">
        <v>402</v>
      </c>
      <c r="AP237" s="1007" t="s">
        <v>872</v>
      </c>
      <c r="AQ237" s="1007" t="s">
        <v>80</v>
      </c>
      <c r="AR237" s="1007" t="s">
        <v>909</v>
      </c>
      <c r="AS237" s="1007" t="s">
        <v>910</v>
      </c>
      <c r="AT237" s="1007" t="s">
        <v>910</v>
      </c>
      <c r="AU237" s="1007">
        <v>45</v>
      </c>
      <c r="AW237" s="1008">
        <v>46141</v>
      </c>
      <c r="AX237" s="1007" t="s">
        <v>973</v>
      </c>
      <c r="AY237" s="1008">
        <v>46162</v>
      </c>
      <c r="AZ237" s="1007">
        <v>7</v>
      </c>
      <c r="BA237" s="1008">
        <v>46148</v>
      </c>
      <c r="BB237" s="1007">
        <v>2026</v>
      </c>
      <c r="BC237" s="1007">
        <v>5</v>
      </c>
      <c r="BD237" s="1007">
        <v>19</v>
      </c>
      <c r="BE237" s="1007">
        <v>36</v>
      </c>
      <c r="BF237" s="1007">
        <v>864</v>
      </c>
      <c r="BG237" s="1007" t="s">
        <v>108</v>
      </c>
      <c r="BH237" s="1007" t="s">
        <v>109</v>
      </c>
    </row>
    <row r="238" spans="1:60">
      <c r="A238" s="1007" t="s">
        <v>1217</v>
      </c>
      <c r="B238" s="1007" t="s">
        <v>111</v>
      </c>
      <c r="C238" s="1007" t="s">
        <v>991</v>
      </c>
      <c r="D238" s="1007" t="s">
        <v>63</v>
      </c>
      <c r="E238" s="1007" t="s">
        <v>64</v>
      </c>
      <c r="F238" s="1007" t="s">
        <v>100</v>
      </c>
      <c r="G238" s="1007" t="s">
        <v>402</v>
      </c>
      <c r="H238" s="1007" t="s">
        <v>67</v>
      </c>
      <c r="I238" s="1007" t="s">
        <v>689</v>
      </c>
      <c r="J238" s="1007" t="s">
        <v>101</v>
      </c>
      <c r="M238" s="1007" t="s">
        <v>68</v>
      </c>
      <c r="N238" s="1007">
        <v>46048</v>
      </c>
      <c r="O238" s="1007" t="s">
        <v>132</v>
      </c>
      <c r="P238" s="1007" t="s">
        <v>133</v>
      </c>
      <c r="Q238" s="1007" t="s">
        <v>134</v>
      </c>
      <c r="R238" s="1007" t="s">
        <v>73</v>
      </c>
      <c r="S238" s="1007" t="s">
        <v>992</v>
      </c>
      <c r="T238" s="1007">
        <v>720</v>
      </c>
      <c r="U238" s="1007">
        <v>1188</v>
      </c>
      <c r="V238" s="1007">
        <v>0.85536000000000001</v>
      </c>
      <c r="W238" s="1007">
        <v>36</v>
      </c>
      <c r="X238" s="1007">
        <v>2</v>
      </c>
      <c r="Y238" s="1007" t="s">
        <v>75</v>
      </c>
      <c r="Z238" s="1007" t="s">
        <v>75</v>
      </c>
      <c r="AB238" s="1008">
        <v>46082</v>
      </c>
      <c r="AC238" s="1007">
        <v>9</v>
      </c>
      <c r="AD238" s="1007" t="s">
        <v>1218</v>
      </c>
      <c r="AF238" s="1007" t="s">
        <v>122</v>
      </c>
      <c r="AG238" s="1007" t="s">
        <v>123</v>
      </c>
      <c r="AH238" s="1007" t="s">
        <v>105</v>
      </c>
      <c r="AI238" s="1008">
        <v>46091</v>
      </c>
      <c r="AJ238" s="1008">
        <v>46096</v>
      </c>
      <c r="AK238" s="1008">
        <v>46096</v>
      </c>
      <c r="AL238" s="1008">
        <v>46126</v>
      </c>
      <c r="AM238" s="1008">
        <v>46142</v>
      </c>
      <c r="AN238" s="1008">
        <v>46141</v>
      </c>
      <c r="AO238" s="1007" t="s">
        <v>402</v>
      </c>
      <c r="AP238" s="1007" t="s">
        <v>872</v>
      </c>
      <c r="AQ238" s="1007" t="s">
        <v>80</v>
      </c>
      <c r="AR238" s="1007" t="s">
        <v>909</v>
      </c>
      <c r="AS238" s="1007" t="s">
        <v>910</v>
      </c>
      <c r="AT238" s="1007" t="s">
        <v>910</v>
      </c>
      <c r="AU238" s="1007">
        <v>45</v>
      </c>
      <c r="AW238" s="1008">
        <v>46141</v>
      </c>
      <c r="AX238" s="1007" t="s">
        <v>973</v>
      </c>
      <c r="AY238" s="1008">
        <v>46162</v>
      </c>
      <c r="AZ238" s="1007">
        <v>7</v>
      </c>
      <c r="BA238" s="1008">
        <v>46148</v>
      </c>
      <c r="BB238" s="1007">
        <v>2026</v>
      </c>
      <c r="BC238" s="1007">
        <v>5</v>
      </c>
      <c r="BD238" s="1007">
        <v>19</v>
      </c>
      <c r="BE238" s="1007">
        <v>33</v>
      </c>
      <c r="BF238" s="1007">
        <v>594</v>
      </c>
      <c r="BG238" s="1007" t="s">
        <v>108</v>
      </c>
      <c r="BH238" s="1007" t="s">
        <v>109</v>
      </c>
    </row>
    <row r="239" spans="1:60">
      <c r="A239" s="1007" t="s">
        <v>1219</v>
      </c>
      <c r="B239" s="1007" t="s">
        <v>111</v>
      </c>
      <c r="C239" s="1007" t="s">
        <v>203</v>
      </c>
      <c r="D239" s="1007" t="s">
        <v>63</v>
      </c>
      <c r="E239" s="1007" t="s">
        <v>64</v>
      </c>
      <c r="F239" s="1007" t="s">
        <v>65</v>
      </c>
      <c r="G239" s="1007" t="s">
        <v>402</v>
      </c>
      <c r="H239" s="1007" t="s">
        <v>67</v>
      </c>
      <c r="I239" s="1007" t="s">
        <v>882</v>
      </c>
      <c r="J239" s="1007" t="s">
        <v>1220</v>
      </c>
      <c r="M239" s="1007" t="s">
        <v>68</v>
      </c>
      <c r="N239" s="1007">
        <v>46045</v>
      </c>
      <c r="O239" s="1007" t="s">
        <v>713</v>
      </c>
      <c r="P239" s="1007" t="s">
        <v>1221</v>
      </c>
      <c r="Q239" s="1007" t="s">
        <v>1222</v>
      </c>
      <c r="R239" s="1007" t="s">
        <v>73</v>
      </c>
      <c r="S239" s="1007" t="s">
        <v>1187</v>
      </c>
      <c r="T239" s="1007">
        <v>545</v>
      </c>
      <c r="U239" s="1007">
        <v>3498</v>
      </c>
      <c r="V239" s="1007">
        <v>1.9064099999999999</v>
      </c>
      <c r="W239" s="1007">
        <v>106</v>
      </c>
      <c r="X239" s="1007">
        <v>5.3</v>
      </c>
      <c r="Y239" s="1007" t="s">
        <v>75</v>
      </c>
      <c r="Z239" s="1007" t="s">
        <v>75</v>
      </c>
      <c r="AB239" s="1008">
        <v>46082</v>
      </c>
      <c r="AC239" s="1007">
        <v>9</v>
      </c>
      <c r="AD239" s="1007" t="s">
        <v>1223</v>
      </c>
      <c r="AF239" s="1007" t="s">
        <v>122</v>
      </c>
      <c r="AG239" s="1007" t="s">
        <v>123</v>
      </c>
      <c r="AH239" s="1007" t="s">
        <v>78</v>
      </c>
      <c r="AI239" s="1008">
        <v>46092</v>
      </c>
      <c r="AJ239" s="1008">
        <v>46092</v>
      </c>
      <c r="AK239" s="1008">
        <v>46094</v>
      </c>
      <c r="AL239" s="1008">
        <v>46143</v>
      </c>
      <c r="AM239" s="1008">
        <v>46144</v>
      </c>
      <c r="AN239" s="1008">
        <v>46144</v>
      </c>
      <c r="AO239" s="1007" t="s">
        <v>402</v>
      </c>
      <c r="AP239" s="1007" t="s">
        <v>1224</v>
      </c>
      <c r="AQ239" s="1007" t="s">
        <v>80</v>
      </c>
      <c r="AR239" s="1007" t="s">
        <v>1225</v>
      </c>
      <c r="AS239" s="1007" t="s">
        <v>1226</v>
      </c>
      <c r="AT239" s="1007" t="s">
        <v>1226</v>
      </c>
      <c r="AU239" s="1007">
        <v>50</v>
      </c>
      <c r="AW239" s="1008">
        <v>46144</v>
      </c>
      <c r="AX239" s="1007" t="s">
        <v>973</v>
      </c>
      <c r="AY239" s="1008">
        <v>46159</v>
      </c>
      <c r="AZ239" s="1007">
        <v>8</v>
      </c>
      <c r="BA239" s="1008">
        <v>46152</v>
      </c>
      <c r="BB239" s="1007">
        <v>2026</v>
      </c>
      <c r="BC239" s="1007">
        <v>5</v>
      </c>
      <c r="BD239" s="1007">
        <v>19</v>
      </c>
      <c r="BE239" s="1007">
        <v>33</v>
      </c>
      <c r="BF239" s="1007">
        <v>660</v>
      </c>
      <c r="BG239" s="1007" t="s">
        <v>108</v>
      </c>
      <c r="BH239" s="1007" t="s">
        <v>86</v>
      </c>
    </row>
    <row r="240" spans="1:60">
      <c r="A240" s="1007" t="s">
        <v>1227</v>
      </c>
      <c r="B240" s="1007" t="s">
        <v>111</v>
      </c>
      <c r="C240" s="1007" t="s">
        <v>203</v>
      </c>
      <c r="D240" s="1007" t="s">
        <v>63</v>
      </c>
      <c r="E240" s="1007" t="s">
        <v>64</v>
      </c>
      <c r="F240" s="1007" t="s">
        <v>65</v>
      </c>
      <c r="G240" s="1007" t="s">
        <v>402</v>
      </c>
      <c r="H240" s="1007" t="s">
        <v>67</v>
      </c>
      <c r="I240" s="1007" t="s">
        <v>882</v>
      </c>
      <c r="J240" s="1007" t="s">
        <v>1228</v>
      </c>
      <c r="M240" s="1007" t="s">
        <v>68</v>
      </c>
      <c r="N240" s="1007">
        <v>46045</v>
      </c>
      <c r="O240" s="1007" t="s">
        <v>713</v>
      </c>
      <c r="P240" s="1007" t="s">
        <v>462</v>
      </c>
      <c r="Q240" s="1007" t="s">
        <v>1229</v>
      </c>
      <c r="R240" s="1007" t="s">
        <v>73</v>
      </c>
      <c r="S240" s="1007" t="s">
        <v>1187</v>
      </c>
      <c r="T240" s="1007">
        <v>550</v>
      </c>
      <c r="U240" s="1007">
        <v>462</v>
      </c>
      <c r="V240" s="1007">
        <v>0.25409999999999999</v>
      </c>
      <c r="W240" s="1007">
        <v>14</v>
      </c>
      <c r="X240" s="1007">
        <v>0.7</v>
      </c>
      <c r="Y240" s="1007" t="s">
        <v>75</v>
      </c>
      <c r="Z240" s="1007" t="s">
        <v>75</v>
      </c>
      <c r="AB240" s="1008">
        <v>46082</v>
      </c>
      <c r="AC240" s="1007">
        <v>9</v>
      </c>
      <c r="AD240" s="1007" t="s">
        <v>1230</v>
      </c>
      <c r="AF240" s="1007" t="s">
        <v>122</v>
      </c>
      <c r="AG240" s="1007" t="s">
        <v>123</v>
      </c>
      <c r="AH240" s="1007" t="s">
        <v>78</v>
      </c>
      <c r="AI240" s="1008">
        <v>46092</v>
      </c>
      <c r="AJ240" s="1008">
        <v>46092</v>
      </c>
      <c r="AK240" s="1008">
        <v>46094</v>
      </c>
      <c r="AL240" s="1008">
        <v>46143</v>
      </c>
      <c r="AM240" s="1008">
        <v>46144</v>
      </c>
      <c r="AN240" s="1008">
        <v>46144</v>
      </c>
      <c r="AO240" s="1007" t="s">
        <v>402</v>
      </c>
      <c r="AP240" s="1007" t="s">
        <v>1224</v>
      </c>
      <c r="AQ240" s="1007" t="s">
        <v>80</v>
      </c>
      <c r="AR240" s="1007" t="s">
        <v>1225</v>
      </c>
      <c r="AS240" s="1007" t="s">
        <v>1226</v>
      </c>
      <c r="AT240" s="1007" t="s">
        <v>1226</v>
      </c>
      <c r="AU240" s="1007">
        <v>50</v>
      </c>
      <c r="AW240" s="1008">
        <v>46144</v>
      </c>
      <c r="AX240" s="1007" t="s">
        <v>973</v>
      </c>
      <c r="AY240" s="1008">
        <v>46159</v>
      </c>
      <c r="AZ240" s="1007">
        <v>8</v>
      </c>
      <c r="BA240" s="1008">
        <v>46152</v>
      </c>
      <c r="BB240" s="1007">
        <v>2026</v>
      </c>
      <c r="BC240" s="1007">
        <v>5</v>
      </c>
      <c r="BD240" s="1007">
        <v>19</v>
      </c>
      <c r="BE240" s="1007">
        <v>33</v>
      </c>
      <c r="BF240" s="1007">
        <v>660</v>
      </c>
      <c r="BG240" s="1007" t="s">
        <v>108</v>
      </c>
      <c r="BH240" s="1007" t="s">
        <v>86</v>
      </c>
    </row>
    <row r="241" spans="1:60">
      <c r="A241" s="1007" t="s">
        <v>1231</v>
      </c>
      <c r="B241" s="1007" t="s">
        <v>61</v>
      </c>
      <c r="C241" s="1007" t="s">
        <v>203</v>
      </c>
      <c r="D241" s="1007" t="s">
        <v>63</v>
      </c>
      <c r="E241" s="1007" t="s">
        <v>144</v>
      </c>
      <c r="F241" s="1007" t="s">
        <v>145</v>
      </c>
      <c r="G241" s="1007" t="s">
        <v>402</v>
      </c>
      <c r="H241" s="1007" t="s">
        <v>538</v>
      </c>
      <c r="I241" s="1007" t="s">
        <v>882</v>
      </c>
      <c r="J241" s="1007" t="s">
        <v>1232</v>
      </c>
      <c r="K241" s="1007" t="s">
        <v>1233</v>
      </c>
      <c r="M241" s="1007" t="s">
        <v>840</v>
      </c>
      <c r="N241" s="1007">
        <v>46045</v>
      </c>
      <c r="O241" s="1007" t="s">
        <v>1032</v>
      </c>
      <c r="P241" s="1007" t="s">
        <v>1234</v>
      </c>
      <c r="Q241" s="1007" t="s">
        <v>1235</v>
      </c>
      <c r="R241" s="1007" t="s">
        <v>73</v>
      </c>
      <c r="S241" s="1007" t="s">
        <v>992</v>
      </c>
      <c r="T241" s="1007">
        <v>440</v>
      </c>
      <c r="U241" s="1007">
        <v>4392</v>
      </c>
      <c r="V241" s="1007">
        <v>1.93248</v>
      </c>
      <c r="W241" s="1007">
        <v>122</v>
      </c>
      <c r="X241" s="1007">
        <v>4.6923076923076925</v>
      </c>
      <c r="Y241" s="1007" t="s">
        <v>75</v>
      </c>
      <c r="Z241" s="1007" t="s">
        <v>75</v>
      </c>
      <c r="AB241" s="1008">
        <v>46081</v>
      </c>
      <c r="AC241" s="1007">
        <v>9</v>
      </c>
      <c r="AD241" s="1007" t="s">
        <v>1236</v>
      </c>
      <c r="AF241" s="1007" t="s">
        <v>77</v>
      </c>
      <c r="AG241" s="1007" t="s">
        <v>61</v>
      </c>
      <c r="AH241" s="1007" t="s">
        <v>541</v>
      </c>
      <c r="AI241" s="1008">
        <v>46088</v>
      </c>
      <c r="AJ241" s="1008">
        <v>46091</v>
      </c>
      <c r="AK241" s="1008">
        <v>46090</v>
      </c>
      <c r="AL241" s="1008">
        <v>46154</v>
      </c>
      <c r="AM241" s="1008">
        <v>46168</v>
      </c>
      <c r="AN241" s="1008">
        <v>46164</v>
      </c>
      <c r="AO241" s="1007" t="s">
        <v>402</v>
      </c>
      <c r="AP241" s="1007" t="s">
        <v>1237</v>
      </c>
      <c r="AQ241" s="1007" t="s">
        <v>161</v>
      </c>
      <c r="AR241" s="1007" t="s">
        <v>1238</v>
      </c>
      <c r="AS241" s="1007" t="s">
        <v>1239</v>
      </c>
      <c r="AT241" s="1007" t="s">
        <v>1239</v>
      </c>
      <c r="AU241" s="1007">
        <v>74</v>
      </c>
      <c r="AW241" s="1008">
        <v>46164</v>
      </c>
      <c r="AX241" s="1007" t="s">
        <v>973</v>
      </c>
      <c r="AY241" s="1008">
        <v>46167</v>
      </c>
      <c r="AZ241" s="1007">
        <v>0</v>
      </c>
      <c r="BA241" s="1008">
        <v>46164</v>
      </c>
      <c r="BB241" s="1007">
        <v>2026</v>
      </c>
      <c r="BC241" s="1007">
        <v>5</v>
      </c>
      <c r="BD241" s="1007">
        <v>21</v>
      </c>
      <c r="BE241" s="1007">
        <v>36</v>
      </c>
      <c r="BF241" s="1007">
        <v>936</v>
      </c>
      <c r="BG241" s="1007" t="s">
        <v>85</v>
      </c>
      <c r="BH241" s="1007" t="s">
        <v>109</v>
      </c>
    </row>
    <row r="242" spans="1:60">
      <c r="A242" s="1007" t="s">
        <v>1240</v>
      </c>
      <c r="B242" s="1007" t="s">
        <v>61</v>
      </c>
      <c r="C242" s="1007" t="s">
        <v>203</v>
      </c>
      <c r="D242" s="1007" t="s">
        <v>63</v>
      </c>
      <c r="E242" s="1007" t="s">
        <v>144</v>
      </c>
      <c r="F242" s="1007" t="s">
        <v>145</v>
      </c>
      <c r="G242" s="1007" t="s">
        <v>402</v>
      </c>
      <c r="H242" s="1007" t="s">
        <v>538</v>
      </c>
      <c r="I242" s="1007" t="s">
        <v>882</v>
      </c>
      <c r="J242" s="1007" t="s">
        <v>1232</v>
      </c>
      <c r="K242" s="1007" t="s">
        <v>1233</v>
      </c>
      <c r="M242" s="1007" t="s">
        <v>840</v>
      </c>
      <c r="N242" s="1007">
        <v>46045</v>
      </c>
      <c r="O242" s="1007" t="s">
        <v>1032</v>
      </c>
      <c r="P242" s="1007" t="s">
        <v>570</v>
      </c>
      <c r="Q242" s="1007" t="s">
        <v>571</v>
      </c>
      <c r="R242" s="1007" t="s">
        <v>73</v>
      </c>
      <c r="S242" s="1007" t="s">
        <v>992</v>
      </c>
      <c r="T242" s="1007">
        <v>445</v>
      </c>
      <c r="U242" s="1007">
        <v>8352</v>
      </c>
      <c r="V242" s="1007">
        <v>3.7166399999999999</v>
      </c>
      <c r="W242" s="1007">
        <v>232</v>
      </c>
      <c r="X242" s="1007">
        <v>8.9230769230769234</v>
      </c>
      <c r="Y242" s="1007" t="s">
        <v>75</v>
      </c>
      <c r="Z242" s="1007" t="s">
        <v>75</v>
      </c>
      <c r="AB242" s="1008">
        <v>46081</v>
      </c>
      <c r="AC242" s="1007">
        <v>9</v>
      </c>
      <c r="AD242" s="1007" t="s">
        <v>1241</v>
      </c>
      <c r="AF242" s="1007" t="s">
        <v>77</v>
      </c>
      <c r="AG242" s="1007" t="s">
        <v>61</v>
      </c>
      <c r="AH242" s="1007" t="s">
        <v>541</v>
      </c>
      <c r="AI242" s="1008">
        <v>46088</v>
      </c>
      <c r="AJ242" s="1008">
        <v>46091</v>
      </c>
      <c r="AK242" s="1008">
        <v>46090</v>
      </c>
      <c r="AL242" s="1008">
        <v>46154</v>
      </c>
      <c r="AM242" s="1008">
        <v>46168</v>
      </c>
      <c r="AN242" s="1008">
        <v>46164</v>
      </c>
      <c r="AO242" s="1007" t="s">
        <v>402</v>
      </c>
      <c r="AP242" s="1007" t="s">
        <v>1237</v>
      </c>
      <c r="AQ242" s="1007" t="s">
        <v>161</v>
      </c>
      <c r="AR242" s="1007" t="s">
        <v>1238</v>
      </c>
      <c r="AS242" s="1007" t="s">
        <v>1239</v>
      </c>
      <c r="AT242" s="1007" t="s">
        <v>1239</v>
      </c>
      <c r="AU242" s="1007">
        <v>74</v>
      </c>
      <c r="AW242" s="1008">
        <v>46164</v>
      </c>
      <c r="AX242" s="1007" t="s">
        <v>973</v>
      </c>
      <c r="AY242" s="1008">
        <v>46167</v>
      </c>
      <c r="AZ242" s="1007">
        <v>0</v>
      </c>
      <c r="BA242" s="1008">
        <v>46164</v>
      </c>
      <c r="BB242" s="1007">
        <v>2026</v>
      </c>
      <c r="BC242" s="1007">
        <v>5</v>
      </c>
      <c r="BD242" s="1007">
        <v>21</v>
      </c>
      <c r="BE242" s="1007">
        <v>36</v>
      </c>
      <c r="BF242" s="1007">
        <v>936</v>
      </c>
      <c r="BG242" s="1007" t="s">
        <v>94</v>
      </c>
      <c r="BH242" s="1007" t="s">
        <v>109</v>
      </c>
    </row>
    <row r="243" spans="1:60">
      <c r="A243" s="1007" t="s">
        <v>1242</v>
      </c>
      <c r="B243" s="1007" t="s">
        <v>61</v>
      </c>
      <c r="C243" s="1007" t="s">
        <v>203</v>
      </c>
      <c r="D243" s="1007" t="s">
        <v>63</v>
      </c>
      <c r="E243" s="1007" t="s">
        <v>144</v>
      </c>
      <c r="F243" s="1007" t="s">
        <v>145</v>
      </c>
      <c r="G243" s="1007" t="s">
        <v>402</v>
      </c>
      <c r="H243" s="1007" t="s">
        <v>538</v>
      </c>
      <c r="I243" s="1007" t="s">
        <v>822</v>
      </c>
      <c r="J243" s="1007" t="s">
        <v>1232</v>
      </c>
      <c r="K243" s="1007" t="s">
        <v>1233</v>
      </c>
      <c r="M243" s="1007" t="s">
        <v>840</v>
      </c>
      <c r="N243" s="1007">
        <v>46046</v>
      </c>
      <c r="O243" s="1007" t="s">
        <v>1032</v>
      </c>
      <c r="P243" s="1007" t="s">
        <v>791</v>
      </c>
      <c r="Q243" s="1007" t="s">
        <v>571</v>
      </c>
      <c r="R243" s="1007" t="s">
        <v>73</v>
      </c>
      <c r="S243" s="1007" t="s">
        <v>992</v>
      </c>
      <c r="T243" s="1007">
        <v>445</v>
      </c>
      <c r="U243" s="1007">
        <v>720</v>
      </c>
      <c r="V243" s="1007">
        <v>0.32040000000000002</v>
      </c>
      <c r="W243" s="1007">
        <v>20</v>
      </c>
      <c r="X243" s="1007">
        <v>0.76923076923076927</v>
      </c>
      <c r="Y243" s="1007" t="s">
        <v>75</v>
      </c>
      <c r="Z243" s="1007" t="s">
        <v>75</v>
      </c>
      <c r="AB243" s="1008">
        <v>46081</v>
      </c>
      <c r="AC243" s="1007">
        <v>9</v>
      </c>
      <c r="AD243" s="1007" t="s">
        <v>1243</v>
      </c>
      <c r="AF243" s="1007" t="s">
        <v>77</v>
      </c>
      <c r="AG243" s="1007" t="s">
        <v>61</v>
      </c>
      <c r="AH243" s="1007" t="s">
        <v>541</v>
      </c>
      <c r="AI243" s="1008">
        <v>46088</v>
      </c>
      <c r="AJ243" s="1008">
        <v>46091</v>
      </c>
      <c r="AK243" s="1008">
        <v>46090</v>
      </c>
      <c r="AL243" s="1008">
        <v>46154</v>
      </c>
      <c r="AM243" s="1008">
        <v>46168</v>
      </c>
      <c r="AN243" s="1008">
        <v>46164</v>
      </c>
      <c r="AO243" s="1007" t="s">
        <v>402</v>
      </c>
      <c r="AP243" s="1007" t="s">
        <v>1237</v>
      </c>
      <c r="AQ243" s="1007" t="s">
        <v>161</v>
      </c>
      <c r="AR243" s="1007" t="s">
        <v>1238</v>
      </c>
      <c r="AS243" s="1007" t="s">
        <v>1239</v>
      </c>
      <c r="AT243" s="1007" t="s">
        <v>1239</v>
      </c>
      <c r="AU243" s="1007">
        <v>74</v>
      </c>
      <c r="AW243" s="1008">
        <v>46164</v>
      </c>
      <c r="AX243" s="1007" t="s">
        <v>973</v>
      </c>
      <c r="AY243" s="1008">
        <v>46167</v>
      </c>
      <c r="AZ243" s="1007">
        <v>0</v>
      </c>
      <c r="BA243" s="1008">
        <v>46164</v>
      </c>
      <c r="BB243" s="1007">
        <v>2026</v>
      </c>
      <c r="BC243" s="1007">
        <v>5</v>
      </c>
      <c r="BD243" s="1007">
        <v>21</v>
      </c>
      <c r="BE243" s="1007">
        <v>36</v>
      </c>
      <c r="BF243" s="1007">
        <v>936</v>
      </c>
      <c r="BG243" s="1007" t="s">
        <v>85</v>
      </c>
      <c r="BH243" s="1007" t="s">
        <v>109</v>
      </c>
    </row>
    <row r="244" spans="1:60">
      <c r="A244" s="1007" t="s">
        <v>1244</v>
      </c>
      <c r="B244" s="1007" t="s">
        <v>61</v>
      </c>
      <c r="C244" s="1007" t="s">
        <v>203</v>
      </c>
      <c r="D244" s="1007" t="s">
        <v>63</v>
      </c>
      <c r="E244" s="1007" t="s">
        <v>144</v>
      </c>
      <c r="F244" s="1007" t="s">
        <v>145</v>
      </c>
      <c r="G244" s="1007" t="s">
        <v>402</v>
      </c>
      <c r="H244" s="1007" t="s">
        <v>538</v>
      </c>
      <c r="I244" s="1007" t="s">
        <v>882</v>
      </c>
      <c r="J244" s="1007" t="s">
        <v>1232</v>
      </c>
      <c r="K244" s="1007" t="s">
        <v>1233</v>
      </c>
      <c r="M244" s="1007" t="s">
        <v>840</v>
      </c>
      <c r="N244" s="1007">
        <v>46045</v>
      </c>
      <c r="O244" s="1007" t="s">
        <v>1032</v>
      </c>
      <c r="P244" s="1007" t="s">
        <v>560</v>
      </c>
      <c r="Q244" s="1007" t="s">
        <v>196</v>
      </c>
      <c r="R244" s="1007" t="s">
        <v>73</v>
      </c>
      <c r="S244" s="1007" t="s">
        <v>992</v>
      </c>
      <c r="T244" s="1007">
        <v>450</v>
      </c>
      <c r="U244" s="1007">
        <v>1044</v>
      </c>
      <c r="V244" s="1007">
        <v>0.4698</v>
      </c>
      <c r="W244" s="1007">
        <v>29</v>
      </c>
      <c r="X244" s="1007">
        <v>1.1153846153846154</v>
      </c>
      <c r="Y244" s="1007" t="s">
        <v>75</v>
      </c>
      <c r="Z244" s="1007" t="s">
        <v>75</v>
      </c>
      <c r="AB244" s="1008">
        <v>46081</v>
      </c>
      <c r="AC244" s="1007">
        <v>9</v>
      </c>
      <c r="AD244" s="1007" t="s">
        <v>1245</v>
      </c>
      <c r="AF244" s="1007" t="s">
        <v>77</v>
      </c>
      <c r="AG244" s="1007" t="s">
        <v>61</v>
      </c>
      <c r="AH244" s="1007" t="s">
        <v>541</v>
      </c>
      <c r="AI244" s="1008">
        <v>46088</v>
      </c>
      <c r="AJ244" s="1008">
        <v>46091</v>
      </c>
      <c r="AK244" s="1008">
        <v>46090</v>
      </c>
      <c r="AL244" s="1008">
        <v>46154</v>
      </c>
      <c r="AM244" s="1008">
        <v>46168</v>
      </c>
      <c r="AN244" s="1008">
        <v>46164</v>
      </c>
      <c r="AO244" s="1007" t="s">
        <v>402</v>
      </c>
      <c r="AP244" s="1007" t="s">
        <v>1237</v>
      </c>
      <c r="AQ244" s="1007" t="s">
        <v>161</v>
      </c>
      <c r="AR244" s="1007" t="s">
        <v>1238</v>
      </c>
      <c r="AS244" s="1007" t="s">
        <v>1239</v>
      </c>
      <c r="AT244" s="1007" t="s">
        <v>1239</v>
      </c>
      <c r="AU244" s="1007">
        <v>74</v>
      </c>
      <c r="AW244" s="1008">
        <v>46164</v>
      </c>
      <c r="AX244" s="1007" t="s">
        <v>973</v>
      </c>
      <c r="AY244" s="1008">
        <v>46167</v>
      </c>
      <c r="AZ244" s="1007">
        <v>0</v>
      </c>
      <c r="BA244" s="1008">
        <v>46164</v>
      </c>
      <c r="BB244" s="1007">
        <v>2026</v>
      </c>
      <c r="BC244" s="1007">
        <v>5</v>
      </c>
      <c r="BD244" s="1007">
        <v>21</v>
      </c>
      <c r="BE244" s="1007">
        <v>36</v>
      </c>
      <c r="BF244" s="1007">
        <v>936</v>
      </c>
      <c r="BG244" s="1007" t="s">
        <v>94</v>
      </c>
      <c r="BH244" s="1007" t="s">
        <v>109</v>
      </c>
    </row>
    <row r="245" spans="1:60">
      <c r="A245" s="1007" t="s">
        <v>1246</v>
      </c>
      <c r="B245" s="1007" t="s">
        <v>61</v>
      </c>
      <c r="C245" s="1007" t="s">
        <v>203</v>
      </c>
      <c r="D245" s="1007" t="s">
        <v>63</v>
      </c>
      <c r="E245" s="1007" t="s">
        <v>144</v>
      </c>
      <c r="F245" s="1007" t="s">
        <v>145</v>
      </c>
      <c r="G245" s="1007" t="s">
        <v>402</v>
      </c>
      <c r="H245" s="1007" t="s">
        <v>538</v>
      </c>
      <c r="I245" s="1007" t="s">
        <v>882</v>
      </c>
      <c r="J245" s="1007" t="s">
        <v>1232</v>
      </c>
      <c r="K245" s="1007" t="s">
        <v>1233</v>
      </c>
      <c r="M245" s="1007" t="s">
        <v>840</v>
      </c>
      <c r="N245" s="1007" t="s">
        <v>68</v>
      </c>
      <c r="O245" s="1007" t="s">
        <v>1032</v>
      </c>
      <c r="P245" s="1007" t="s">
        <v>1247</v>
      </c>
      <c r="Q245" s="1007" t="s">
        <v>196</v>
      </c>
      <c r="R245" s="1007" t="s">
        <v>73</v>
      </c>
      <c r="S245" s="1007" t="s">
        <v>992</v>
      </c>
      <c r="T245" s="1007">
        <v>450</v>
      </c>
      <c r="U245" s="1007">
        <v>360</v>
      </c>
      <c r="V245" s="1007">
        <v>0.16200000000000001</v>
      </c>
      <c r="W245" s="1007">
        <v>10</v>
      </c>
      <c r="X245" s="1007">
        <v>0.38461538461538464</v>
      </c>
      <c r="Y245" s="1007" t="s">
        <v>75</v>
      </c>
      <c r="Z245" s="1007" t="s">
        <v>75</v>
      </c>
      <c r="AB245" s="1008">
        <v>46081</v>
      </c>
      <c r="AC245" s="1007">
        <v>9</v>
      </c>
      <c r="AD245" s="1007" t="s">
        <v>1248</v>
      </c>
      <c r="AF245" s="1007" t="s">
        <v>77</v>
      </c>
      <c r="AG245" s="1007" t="s">
        <v>61</v>
      </c>
      <c r="AH245" s="1007" t="s">
        <v>541</v>
      </c>
      <c r="AI245" s="1008">
        <v>46088</v>
      </c>
      <c r="AJ245" s="1008">
        <v>46091</v>
      </c>
      <c r="AK245" s="1008">
        <v>46090</v>
      </c>
      <c r="AL245" s="1008">
        <v>46154</v>
      </c>
      <c r="AM245" s="1008">
        <v>46168</v>
      </c>
      <c r="AN245" s="1008">
        <v>46164</v>
      </c>
      <c r="AO245" s="1007" t="s">
        <v>402</v>
      </c>
      <c r="AP245" s="1007" t="s">
        <v>1237</v>
      </c>
      <c r="AQ245" s="1007" t="s">
        <v>161</v>
      </c>
      <c r="AR245" s="1007" t="s">
        <v>1238</v>
      </c>
      <c r="AS245" s="1007" t="s">
        <v>1239</v>
      </c>
      <c r="AT245" s="1007" t="s">
        <v>1239</v>
      </c>
      <c r="AU245" s="1007">
        <v>74</v>
      </c>
      <c r="AW245" s="1008">
        <v>46164</v>
      </c>
      <c r="AX245" s="1007" t="s">
        <v>973</v>
      </c>
      <c r="AY245" s="1008">
        <v>46167</v>
      </c>
      <c r="AZ245" s="1007">
        <v>0</v>
      </c>
      <c r="BA245" s="1008">
        <v>46164</v>
      </c>
      <c r="BB245" s="1007">
        <v>2026</v>
      </c>
      <c r="BC245" s="1007">
        <v>5</v>
      </c>
      <c r="BD245" s="1007">
        <v>21</v>
      </c>
      <c r="BE245" s="1007">
        <v>36</v>
      </c>
      <c r="BF245" s="1007">
        <v>936</v>
      </c>
      <c r="BG245" s="1007" t="s">
        <v>85</v>
      </c>
      <c r="BH245" s="1007" t="s">
        <v>109</v>
      </c>
    </row>
    <row r="246" spans="1:60">
      <c r="A246" s="1007" t="s">
        <v>1249</v>
      </c>
      <c r="B246" s="1007" t="s">
        <v>61</v>
      </c>
      <c r="C246" s="1007" t="s">
        <v>203</v>
      </c>
      <c r="D246" s="1007" t="s">
        <v>63</v>
      </c>
      <c r="E246" s="1007" t="s">
        <v>144</v>
      </c>
      <c r="F246" s="1007" t="s">
        <v>145</v>
      </c>
      <c r="G246" s="1007" t="s">
        <v>402</v>
      </c>
      <c r="H246" s="1007" t="s">
        <v>538</v>
      </c>
      <c r="I246" s="1007" t="s">
        <v>882</v>
      </c>
      <c r="J246" s="1007" t="s">
        <v>1232</v>
      </c>
      <c r="K246" s="1007" t="s">
        <v>1233</v>
      </c>
      <c r="M246" s="1007" t="s">
        <v>840</v>
      </c>
      <c r="N246" s="1007">
        <v>46045</v>
      </c>
      <c r="O246" s="1007" t="s">
        <v>1032</v>
      </c>
      <c r="P246" s="1007" t="s">
        <v>1250</v>
      </c>
      <c r="Q246" s="1007" t="s">
        <v>1251</v>
      </c>
      <c r="R246" s="1007" t="s">
        <v>73</v>
      </c>
      <c r="S246" s="1007" t="s">
        <v>992</v>
      </c>
      <c r="T246" s="1007">
        <v>440</v>
      </c>
      <c r="U246" s="1007">
        <v>108</v>
      </c>
      <c r="V246" s="1007">
        <v>4.752E-2</v>
      </c>
      <c r="W246" s="1007">
        <v>3</v>
      </c>
      <c r="X246" s="1007">
        <v>0.11538461538461539</v>
      </c>
      <c r="Y246" s="1007" t="s">
        <v>75</v>
      </c>
      <c r="Z246" s="1007" t="s">
        <v>75</v>
      </c>
      <c r="AB246" s="1008">
        <v>46081</v>
      </c>
      <c r="AC246" s="1007">
        <v>9</v>
      </c>
      <c r="AD246" s="1007" t="s">
        <v>1252</v>
      </c>
      <c r="AF246" s="1007" t="s">
        <v>77</v>
      </c>
      <c r="AG246" s="1007" t="s">
        <v>61</v>
      </c>
      <c r="AH246" s="1007" t="s">
        <v>541</v>
      </c>
      <c r="AI246" s="1008">
        <v>46088</v>
      </c>
      <c r="AJ246" s="1008">
        <v>46091</v>
      </c>
      <c r="AK246" s="1008">
        <v>46090</v>
      </c>
      <c r="AL246" s="1008">
        <v>46154</v>
      </c>
      <c r="AM246" s="1008">
        <v>46168</v>
      </c>
      <c r="AN246" s="1008">
        <v>46164</v>
      </c>
      <c r="AO246" s="1007" t="s">
        <v>402</v>
      </c>
      <c r="AP246" s="1007" t="s">
        <v>1237</v>
      </c>
      <c r="AQ246" s="1007" t="s">
        <v>161</v>
      </c>
      <c r="AR246" s="1007" t="s">
        <v>1238</v>
      </c>
      <c r="AS246" s="1007" t="s">
        <v>1239</v>
      </c>
      <c r="AT246" s="1007" t="s">
        <v>1239</v>
      </c>
      <c r="AU246" s="1007">
        <v>74</v>
      </c>
      <c r="AW246" s="1008">
        <v>46164</v>
      </c>
      <c r="AX246" s="1007" t="s">
        <v>973</v>
      </c>
      <c r="AY246" s="1008">
        <v>46167</v>
      </c>
      <c r="AZ246" s="1007">
        <v>0</v>
      </c>
      <c r="BA246" s="1008">
        <v>46164</v>
      </c>
      <c r="BB246" s="1007">
        <v>2026</v>
      </c>
      <c r="BC246" s="1007">
        <v>5</v>
      </c>
      <c r="BD246" s="1007">
        <v>21</v>
      </c>
      <c r="BE246" s="1007">
        <v>36</v>
      </c>
      <c r="BF246" s="1007">
        <v>936</v>
      </c>
      <c r="BG246" s="1007" t="s">
        <v>85</v>
      </c>
      <c r="BH246" s="1007" t="s">
        <v>109</v>
      </c>
    </row>
    <row r="247" spans="1:60">
      <c r="A247" s="1007" t="s">
        <v>1253</v>
      </c>
      <c r="B247" s="1007" t="s">
        <v>61</v>
      </c>
      <c r="C247" s="1007" t="s">
        <v>203</v>
      </c>
      <c r="D247" s="1007" t="s">
        <v>63</v>
      </c>
      <c r="E247" s="1007" t="s">
        <v>144</v>
      </c>
      <c r="F247" s="1007" t="s">
        <v>145</v>
      </c>
      <c r="G247" s="1007" t="s">
        <v>402</v>
      </c>
      <c r="H247" s="1007" t="s">
        <v>538</v>
      </c>
      <c r="I247" s="1007" t="s">
        <v>882</v>
      </c>
      <c r="J247" s="1007" t="s">
        <v>1254</v>
      </c>
      <c r="K247" s="1007" t="s">
        <v>1233</v>
      </c>
      <c r="M247" s="1007" t="s">
        <v>840</v>
      </c>
      <c r="N247" s="1007">
        <v>46045</v>
      </c>
      <c r="O247" s="1007" t="s">
        <v>1032</v>
      </c>
      <c r="P247" s="1007" t="s">
        <v>1255</v>
      </c>
      <c r="Q247" s="1007" t="s">
        <v>72</v>
      </c>
      <c r="R247" s="1007" t="s">
        <v>73</v>
      </c>
      <c r="S247" s="1007" t="s">
        <v>992</v>
      </c>
      <c r="T247" s="1007">
        <v>500</v>
      </c>
      <c r="U247" s="1007">
        <v>180</v>
      </c>
      <c r="V247" s="1007">
        <v>0.09</v>
      </c>
      <c r="W247" s="1007">
        <v>5</v>
      </c>
      <c r="X247" s="1007">
        <v>0.20833333333333334</v>
      </c>
      <c r="Y247" s="1007" t="s">
        <v>75</v>
      </c>
      <c r="Z247" s="1007" t="s">
        <v>75</v>
      </c>
      <c r="AB247" s="1008">
        <v>46081</v>
      </c>
      <c r="AC247" s="1007">
        <v>9</v>
      </c>
      <c r="AD247" s="1007" t="s">
        <v>1256</v>
      </c>
      <c r="AF247" s="1007" t="s">
        <v>77</v>
      </c>
      <c r="AG247" s="1007" t="s">
        <v>61</v>
      </c>
      <c r="AH247" s="1007" t="s">
        <v>541</v>
      </c>
      <c r="AI247" s="1008">
        <v>46088</v>
      </c>
      <c r="AJ247" s="1008">
        <v>46091</v>
      </c>
      <c r="AK247" s="1008">
        <v>46090</v>
      </c>
      <c r="AL247" s="1008">
        <v>46154</v>
      </c>
      <c r="AM247" s="1008">
        <v>46168</v>
      </c>
      <c r="AN247" s="1008">
        <v>46164</v>
      </c>
      <c r="AO247" s="1007" t="s">
        <v>402</v>
      </c>
      <c r="AP247" s="1007" t="s">
        <v>1237</v>
      </c>
      <c r="AQ247" s="1007" t="s">
        <v>161</v>
      </c>
      <c r="AR247" s="1007" t="s">
        <v>1238</v>
      </c>
      <c r="AS247" s="1007" t="s">
        <v>1239</v>
      </c>
      <c r="AT247" s="1007" t="s">
        <v>1239</v>
      </c>
      <c r="AU247" s="1007">
        <v>74</v>
      </c>
      <c r="AW247" s="1008">
        <v>46164</v>
      </c>
      <c r="AX247" s="1007" t="s">
        <v>973</v>
      </c>
      <c r="AY247" s="1008">
        <v>46167</v>
      </c>
      <c r="AZ247" s="1007">
        <v>0</v>
      </c>
      <c r="BA247" s="1008">
        <v>46164</v>
      </c>
      <c r="BB247" s="1007">
        <v>2026</v>
      </c>
      <c r="BC247" s="1007">
        <v>5</v>
      </c>
      <c r="BD247" s="1007">
        <v>21</v>
      </c>
      <c r="BE247" s="1007">
        <v>36</v>
      </c>
      <c r="BF247" s="1007">
        <v>864</v>
      </c>
      <c r="BG247" s="1007" t="s">
        <v>85</v>
      </c>
      <c r="BH247" s="1007" t="s">
        <v>109</v>
      </c>
    </row>
    <row r="248" spans="1:60">
      <c r="A248" s="1007" t="s">
        <v>1257</v>
      </c>
      <c r="B248" s="1007" t="s">
        <v>61</v>
      </c>
      <c r="C248" s="1007" t="s">
        <v>203</v>
      </c>
      <c r="D248" s="1007" t="s">
        <v>63</v>
      </c>
      <c r="E248" s="1007" t="s">
        <v>144</v>
      </c>
      <c r="F248" s="1007" t="s">
        <v>145</v>
      </c>
      <c r="G248" s="1007" t="s">
        <v>402</v>
      </c>
      <c r="H248" s="1007" t="s">
        <v>538</v>
      </c>
      <c r="I248" s="1007" t="s">
        <v>882</v>
      </c>
      <c r="J248" s="1007" t="s">
        <v>1258</v>
      </c>
      <c r="K248" s="1007" t="s">
        <v>1233</v>
      </c>
      <c r="M248" s="1007" t="s">
        <v>840</v>
      </c>
      <c r="N248" s="1007">
        <v>46045</v>
      </c>
      <c r="O248" s="1007" t="s">
        <v>1032</v>
      </c>
      <c r="P248" s="1007" t="s">
        <v>1259</v>
      </c>
      <c r="Q248" s="1007" t="s">
        <v>421</v>
      </c>
      <c r="R248" s="1007" t="s">
        <v>73</v>
      </c>
      <c r="S248" s="1007" t="s">
        <v>992</v>
      </c>
      <c r="T248" s="1007">
        <v>505</v>
      </c>
      <c r="U248" s="1007">
        <v>684</v>
      </c>
      <c r="V248" s="1007">
        <v>0.34542</v>
      </c>
      <c r="W248" s="1007">
        <v>19</v>
      </c>
      <c r="X248" s="1007">
        <v>0.79166666666666663</v>
      </c>
      <c r="Y248" s="1007" t="s">
        <v>75</v>
      </c>
      <c r="Z248" s="1007" t="s">
        <v>75</v>
      </c>
      <c r="AB248" s="1008">
        <v>46081</v>
      </c>
      <c r="AC248" s="1007">
        <v>9</v>
      </c>
      <c r="AD248" s="1007" t="s">
        <v>1260</v>
      </c>
      <c r="AF248" s="1007" t="s">
        <v>77</v>
      </c>
      <c r="AG248" s="1007" t="s">
        <v>61</v>
      </c>
      <c r="AH248" s="1007" t="s">
        <v>541</v>
      </c>
      <c r="AI248" s="1008">
        <v>46088</v>
      </c>
      <c r="AJ248" s="1008">
        <v>46091</v>
      </c>
      <c r="AK248" s="1008">
        <v>46090</v>
      </c>
      <c r="AL248" s="1008">
        <v>46154</v>
      </c>
      <c r="AM248" s="1008">
        <v>46168</v>
      </c>
      <c r="AN248" s="1008">
        <v>46164</v>
      </c>
      <c r="AO248" s="1007" t="s">
        <v>402</v>
      </c>
      <c r="AP248" s="1007" t="s">
        <v>1237</v>
      </c>
      <c r="AQ248" s="1007" t="s">
        <v>161</v>
      </c>
      <c r="AR248" s="1007" t="s">
        <v>1238</v>
      </c>
      <c r="AS248" s="1007" t="s">
        <v>1239</v>
      </c>
      <c r="AT248" s="1007" t="s">
        <v>1239</v>
      </c>
      <c r="AU248" s="1007">
        <v>74</v>
      </c>
      <c r="AW248" s="1008">
        <v>46164</v>
      </c>
      <c r="AX248" s="1007" t="s">
        <v>973</v>
      </c>
      <c r="AY248" s="1008">
        <v>46167</v>
      </c>
      <c r="AZ248" s="1007">
        <v>0</v>
      </c>
      <c r="BA248" s="1008">
        <v>46164</v>
      </c>
      <c r="BB248" s="1007">
        <v>2026</v>
      </c>
      <c r="BC248" s="1007">
        <v>5</v>
      </c>
      <c r="BD248" s="1007">
        <v>21</v>
      </c>
      <c r="BE248" s="1007">
        <v>36</v>
      </c>
      <c r="BF248" s="1007">
        <v>864</v>
      </c>
      <c r="BG248" s="1007" t="s">
        <v>85</v>
      </c>
      <c r="BH248" s="1007" t="s">
        <v>109</v>
      </c>
    </row>
    <row r="249" spans="1:60">
      <c r="A249" s="1007" t="s">
        <v>1261</v>
      </c>
      <c r="B249" s="1007" t="s">
        <v>61</v>
      </c>
      <c r="C249" s="1007" t="s">
        <v>1016</v>
      </c>
      <c r="D249" s="1007" t="s">
        <v>63</v>
      </c>
      <c r="E249" s="1007" t="s">
        <v>144</v>
      </c>
      <c r="F249" s="1007" t="s">
        <v>145</v>
      </c>
      <c r="G249" s="1007" t="s">
        <v>402</v>
      </c>
      <c r="H249" s="1007" t="s">
        <v>1262</v>
      </c>
      <c r="I249" s="1007" t="s">
        <v>689</v>
      </c>
      <c r="J249" s="1007" t="s">
        <v>1263</v>
      </c>
      <c r="K249" s="1007" t="s">
        <v>1264</v>
      </c>
      <c r="M249" s="1007" t="s">
        <v>840</v>
      </c>
      <c r="N249" s="1007">
        <v>46076</v>
      </c>
      <c r="O249" s="1007" t="s">
        <v>70</v>
      </c>
      <c r="P249" s="1007" t="s">
        <v>195</v>
      </c>
      <c r="Q249" s="1007" t="s">
        <v>196</v>
      </c>
      <c r="R249" s="1007" t="s">
        <v>73</v>
      </c>
      <c r="S249" s="1007" t="s">
        <v>967</v>
      </c>
      <c r="T249" s="1007">
        <v>450</v>
      </c>
      <c r="U249" s="1007">
        <v>936</v>
      </c>
      <c r="V249" s="1007">
        <v>0.42120000000000002</v>
      </c>
      <c r="W249" s="1007">
        <v>26</v>
      </c>
      <c r="X249" s="1007">
        <v>1</v>
      </c>
      <c r="Y249" s="1007" t="s">
        <v>75</v>
      </c>
      <c r="Z249" s="1007" t="s">
        <v>75</v>
      </c>
      <c r="AB249" s="1008">
        <v>46084</v>
      </c>
      <c r="AC249" s="1007">
        <v>10</v>
      </c>
      <c r="AD249" s="1007" t="s">
        <v>1265</v>
      </c>
      <c r="AF249" s="1007" t="s">
        <v>77</v>
      </c>
      <c r="AG249" s="1007" t="s">
        <v>61</v>
      </c>
      <c r="AH249" s="1007" t="s">
        <v>105</v>
      </c>
      <c r="AI249" s="1008">
        <v>46088</v>
      </c>
      <c r="AJ249" s="1008">
        <v>46088</v>
      </c>
      <c r="AK249" s="1008">
        <v>46088</v>
      </c>
      <c r="AL249" s="1008">
        <v>46133</v>
      </c>
      <c r="AM249" s="1008">
        <v>46142</v>
      </c>
      <c r="AN249" s="1008">
        <v>46141</v>
      </c>
      <c r="AO249" s="1007" t="s">
        <v>402</v>
      </c>
      <c r="AP249" s="1007" t="s">
        <v>889</v>
      </c>
      <c r="AQ249" s="1007" t="s">
        <v>80</v>
      </c>
      <c r="AR249" s="1007" t="s">
        <v>1266</v>
      </c>
      <c r="AS249" s="1007" t="s">
        <v>1267</v>
      </c>
      <c r="AT249" s="1007" t="s">
        <v>1267</v>
      </c>
      <c r="AU249" s="1007">
        <v>53</v>
      </c>
      <c r="AW249" s="1008">
        <v>46141</v>
      </c>
      <c r="AX249" s="1007" t="s">
        <v>973</v>
      </c>
      <c r="AY249" s="1008">
        <v>46145</v>
      </c>
      <c r="AZ249" s="1007">
        <v>0</v>
      </c>
      <c r="BA249" s="1008">
        <v>46141</v>
      </c>
      <c r="BB249" s="1007">
        <v>2026</v>
      </c>
      <c r="BC249" s="1007">
        <v>4</v>
      </c>
      <c r="BD249" s="1007">
        <v>18</v>
      </c>
      <c r="BE249" s="1007">
        <v>36</v>
      </c>
      <c r="BF249" s="1007">
        <v>936</v>
      </c>
      <c r="BG249" s="1007" t="s">
        <v>85</v>
      </c>
      <c r="BH249" s="1007" t="s">
        <v>109</v>
      </c>
    </row>
    <row r="250" spans="1:60">
      <c r="A250" s="1007" t="s">
        <v>1268</v>
      </c>
      <c r="B250" s="1007" t="s">
        <v>61</v>
      </c>
      <c r="C250" s="1007" t="s">
        <v>1016</v>
      </c>
      <c r="D250" s="1007" t="s">
        <v>63</v>
      </c>
      <c r="E250" s="1007" t="s">
        <v>144</v>
      </c>
      <c r="F250" s="1007" t="s">
        <v>145</v>
      </c>
      <c r="G250" s="1007" t="s">
        <v>402</v>
      </c>
      <c r="H250" s="1007" t="s">
        <v>1269</v>
      </c>
      <c r="I250" s="1007" t="s">
        <v>689</v>
      </c>
      <c r="J250" s="1007" t="s">
        <v>1270</v>
      </c>
      <c r="K250" s="1007" t="s">
        <v>1271</v>
      </c>
      <c r="M250" s="1007" t="s">
        <v>840</v>
      </c>
      <c r="N250" s="1007">
        <v>46076</v>
      </c>
      <c r="O250" s="1007" t="s">
        <v>70</v>
      </c>
      <c r="P250" s="1007" t="s">
        <v>195</v>
      </c>
      <c r="Q250" s="1007" t="s">
        <v>196</v>
      </c>
      <c r="R250" s="1007" t="s">
        <v>73</v>
      </c>
      <c r="S250" s="1007" t="s">
        <v>967</v>
      </c>
      <c r="T250" s="1007">
        <v>450</v>
      </c>
      <c r="U250" s="1007">
        <v>1872</v>
      </c>
      <c r="V250" s="1007">
        <v>0.84240000000000004</v>
      </c>
      <c r="W250" s="1007">
        <v>52</v>
      </c>
      <c r="X250" s="1007">
        <v>2</v>
      </c>
      <c r="Y250" s="1007" t="s">
        <v>75</v>
      </c>
      <c r="Z250" s="1007" t="s">
        <v>75</v>
      </c>
      <c r="AB250" s="1008">
        <v>46084</v>
      </c>
      <c r="AC250" s="1007">
        <v>10</v>
      </c>
      <c r="AD250" s="1007" t="s">
        <v>1272</v>
      </c>
      <c r="AF250" s="1007" t="s">
        <v>77</v>
      </c>
      <c r="AG250" s="1007" t="s">
        <v>61</v>
      </c>
      <c r="AH250" s="1007" t="s">
        <v>105</v>
      </c>
      <c r="AI250" s="1008">
        <v>46088</v>
      </c>
      <c r="AJ250" s="1008">
        <v>46088</v>
      </c>
      <c r="AK250" s="1008">
        <v>46088</v>
      </c>
      <c r="AL250" s="1008">
        <v>46133</v>
      </c>
      <c r="AM250" s="1008">
        <v>46142</v>
      </c>
      <c r="AN250" s="1008">
        <v>46141</v>
      </c>
      <c r="AO250" s="1007" t="s">
        <v>402</v>
      </c>
      <c r="AP250" s="1007" t="s">
        <v>889</v>
      </c>
      <c r="AQ250" s="1007" t="s">
        <v>80</v>
      </c>
      <c r="AR250" s="1007" t="s">
        <v>1266</v>
      </c>
      <c r="AS250" s="1007" t="s">
        <v>1273</v>
      </c>
      <c r="AT250" s="1007" t="s">
        <v>1267</v>
      </c>
      <c r="AU250" s="1007">
        <v>53</v>
      </c>
      <c r="AW250" s="1008">
        <v>46141</v>
      </c>
      <c r="AX250" s="1007" t="s">
        <v>973</v>
      </c>
      <c r="AY250" s="1008">
        <v>46145</v>
      </c>
      <c r="AZ250" s="1007">
        <v>0</v>
      </c>
      <c r="BA250" s="1008">
        <v>46141</v>
      </c>
      <c r="BB250" s="1007">
        <v>2026</v>
      </c>
      <c r="BC250" s="1007">
        <v>4</v>
      </c>
      <c r="BD250" s="1007">
        <v>18</v>
      </c>
      <c r="BE250" s="1007">
        <v>36</v>
      </c>
      <c r="BF250" s="1007">
        <v>936</v>
      </c>
      <c r="BG250" s="1007" t="s">
        <v>85</v>
      </c>
      <c r="BH250" s="1007" t="s">
        <v>109</v>
      </c>
    </row>
    <row r="251" spans="1:60">
      <c r="A251" s="1007" t="s">
        <v>1274</v>
      </c>
      <c r="B251" s="1007" t="s">
        <v>61</v>
      </c>
      <c r="C251" s="1007" t="s">
        <v>1016</v>
      </c>
      <c r="D251" s="1007" t="s">
        <v>63</v>
      </c>
      <c r="E251" s="1007" t="s">
        <v>144</v>
      </c>
      <c r="F251" s="1007" t="s">
        <v>145</v>
      </c>
      <c r="G251" s="1007" t="s">
        <v>402</v>
      </c>
      <c r="H251" s="1007" t="s">
        <v>1275</v>
      </c>
      <c r="I251" s="1007" t="s">
        <v>689</v>
      </c>
      <c r="J251" s="1007" t="s">
        <v>1270</v>
      </c>
      <c r="K251" s="1007" t="s">
        <v>1276</v>
      </c>
      <c r="M251" s="1007" t="s">
        <v>840</v>
      </c>
      <c r="N251" s="1007">
        <v>46076</v>
      </c>
      <c r="O251" s="1007" t="s">
        <v>70</v>
      </c>
      <c r="P251" s="1007" t="s">
        <v>195</v>
      </c>
      <c r="Q251" s="1007" t="s">
        <v>196</v>
      </c>
      <c r="R251" s="1007" t="s">
        <v>73</v>
      </c>
      <c r="S251" s="1007" t="s">
        <v>967</v>
      </c>
      <c r="T251" s="1007">
        <v>450</v>
      </c>
      <c r="U251" s="1007">
        <v>936</v>
      </c>
      <c r="V251" s="1007">
        <v>0.42120000000000002</v>
      </c>
      <c r="W251" s="1007">
        <v>26</v>
      </c>
      <c r="X251" s="1007">
        <v>1</v>
      </c>
      <c r="Y251" s="1007" t="s">
        <v>75</v>
      </c>
      <c r="Z251" s="1007" t="s">
        <v>75</v>
      </c>
      <c r="AB251" s="1008">
        <v>46084</v>
      </c>
      <c r="AC251" s="1007">
        <v>10</v>
      </c>
      <c r="AD251" s="1007" t="s">
        <v>1277</v>
      </c>
      <c r="AF251" s="1007" t="s">
        <v>77</v>
      </c>
      <c r="AG251" s="1007" t="s">
        <v>61</v>
      </c>
      <c r="AH251" s="1007" t="s">
        <v>105</v>
      </c>
      <c r="AI251" s="1008">
        <v>46088</v>
      </c>
      <c r="AJ251" s="1008">
        <v>46088</v>
      </c>
      <c r="AK251" s="1008">
        <v>46088</v>
      </c>
      <c r="AL251" s="1008">
        <v>46133</v>
      </c>
      <c r="AM251" s="1008">
        <v>46142</v>
      </c>
      <c r="AN251" s="1008">
        <v>46141</v>
      </c>
      <c r="AO251" s="1007" t="s">
        <v>402</v>
      </c>
      <c r="AP251" s="1007" t="s">
        <v>889</v>
      </c>
      <c r="AQ251" s="1007" t="s">
        <v>80</v>
      </c>
      <c r="AR251" s="1007" t="s">
        <v>1266</v>
      </c>
      <c r="AS251" s="1007" t="s">
        <v>1278</v>
      </c>
      <c r="AT251" s="1007" t="s">
        <v>1267</v>
      </c>
      <c r="AU251" s="1007">
        <v>53</v>
      </c>
      <c r="AW251" s="1008">
        <v>46141</v>
      </c>
      <c r="AX251" s="1007" t="s">
        <v>973</v>
      </c>
      <c r="AY251" s="1008">
        <v>46145</v>
      </c>
      <c r="AZ251" s="1007">
        <v>0</v>
      </c>
      <c r="BA251" s="1008">
        <v>46141</v>
      </c>
      <c r="BB251" s="1007">
        <v>2026</v>
      </c>
      <c r="BC251" s="1007">
        <v>4</v>
      </c>
      <c r="BD251" s="1007">
        <v>18</v>
      </c>
      <c r="BE251" s="1007">
        <v>36</v>
      </c>
      <c r="BF251" s="1007">
        <v>936</v>
      </c>
      <c r="BG251" s="1007" t="s">
        <v>85</v>
      </c>
      <c r="BH251" s="1007" t="s">
        <v>109</v>
      </c>
    </row>
    <row r="252" spans="1:60">
      <c r="A252" s="1007" t="s">
        <v>1279</v>
      </c>
      <c r="B252" s="1007" t="s">
        <v>61</v>
      </c>
      <c r="C252" s="1007" t="s">
        <v>1016</v>
      </c>
      <c r="D252" s="1007" t="s">
        <v>63</v>
      </c>
      <c r="E252" s="1007" t="s">
        <v>144</v>
      </c>
      <c r="F252" s="1007" t="s">
        <v>145</v>
      </c>
      <c r="G252" s="1007" t="s">
        <v>402</v>
      </c>
      <c r="H252" s="1007" t="s">
        <v>1280</v>
      </c>
      <c r="I252" s="1007" t="s">
        <v>689</v>
      </c>
      <c r="J252" s="1007" t="s">
        <v>1270</v>
      </c>
      <c r="K252" s="1007" t="s">
        <v>1281</v>
      </c>
      <c r="M252" s="1007" t="s">
        <v>840</v>
      </c>
      <c r="N252" s="1007">
        <v>46076</v>
      </c>
      <c r="O252" s="1007" t="s">
        <v>70</v>
      </c>
      <c r="P252" s="1007" t="s">
        <v>195</v>
      </c>
      <c r="Q252" s="1007" t="s">
        <v>196</v>
      </c>
      <c r="R252" s="1007" t="s">
        <v>73</v>
      </c>
      <c r="S252" s="1007" t="s">
        <v>967</v>
      </c>
      <c r="T252" s="1007">
        <v>450</v>
      </c>
      <c r="U252" s="1007">
        <v>1872</v>
      </c>
      <c r="V252" s="1007">
        <v>0.84240000000000004</v>
      </c>
      <c r="W252" s="1007">
        <v>52</v>
      </c>
      <c r="X252" s="1007">
        <v>2</v>
      </c>
      <c r="Y252" s="1007" t="s">
        <v>75</v>
      </c>
      <c r="Z252" s="1007" t="s">
        <v>75</v>
      </c>
      <c r="AB252" s="1008">
        <v>46084</v>
      </c>
      <c r="AC252" s="1007">
        <v>10</v>
      </c>
      <c r="AD252" s="1007" t="s">
        <v>1282</v>
      </c>
      <c r="AF252" s="1007" t="s">
        <v>77</v>
      </c>
      <c r="AG252" s="1007" t="s">
        <v>61</v>
      </c>
      <c r="AH252" s="1007" t="s">
        <v>105</v>
      </c>
      <c r="AI252" s="1008">
        <v>46088</v>
      </c>
      <c r="AJ252" s="1008">
        <v>46088</v>
      </c>
      <c r="AK252" s="1008">
        <v>46088</v>
      </c>
      <c r="AL252" s="1008">
        <v>46133</v>
      </c>
      <c r="AM252" s="1008">
        <v>46142</v>
      </c>
      <c r="AN252" s="1008">
        <v>46141</v>
      </c>
      <c r="AO252" s="1007" t="s">
        <v>402</v>
      </c>
      <c r="AP252" s="1007" t="s">
        <v>889</v>
      </c>
      <c r="AQ252" s="1007" t="s">
        <v>80</v>
      </c>
      <c r="AR252" s="1007" t="s">
        <v>1266</v>
      </c>
      <c r="AS252" s="1007" t="s">
        <v>1283</v>
      </c>
      <c r="AT252" s="1007" t="s">
        <v>1267</v>
      </c>
      <c r="AU252" s="1007">
        <v>53</v>
      </c>
      <c r="AW252" s="1008">
        <v>46141</v>
      </c>
      <c r="AX252" s="1007" t="s">
        <v>973</v>
      </c>
      <c r="AY252" s="1008">
        <v>46145</v>
      </c>
      <c r="AZ252" s="1007">
        <v>0</v>
      </c>
      <c r="BA252" s="1008">
        <v>46141</v>
      </c>
      <c r="BB252" s="1007">
        <v>2026</v>
      </c>
      <c r="BC252" s="1007">
        <v>4</v>
      </c>
      <c r="BD252" s="1007">
        <v>18</v>
      </c>
      <c r="BE252" s="1007">
        <v>36</v>
      </c>
      <c r="BF252" s="1007">
        <v>936</v>
      </c>
      <c r="BG252" s="1007" t="s">
        <v>85</v>
      </c>
      <c r="BH252" s="1007" t="s">
        <v>109</v>
      </c>
    </row>
    <row r="253" spans="1:60">
      <c r="A253" s="1007" t="s">
        <v>1284</v>
      </c>
      <c r="B253" s="1007" t="s">
        <v>61</v>
      </c>
      <c r="C253" s="1007" t="s">
        <v>1016</v>
      </c>
      <c r="D253" s="1007" t="s">
        <v>63</v>
      </c>
      <c r="E253" s="1007" t="s">
        <v>144</v>
      </c>
      <c r="F253" s="1007" t="s">
        <v>145</v>
      </c>
      <c r="G253" s="1007" t="s">
        <v>402</v>
      </c>
      <c r="H253" s="1007" t="s">
        <v>1275</v>
      </c>
      <c r="I253" s="1007" t="s">
        <v>689</v>
      </c>
      <c r="J253" s="1007" t="s">
        <v>1270</v>
      </c>
      <c r="K253" s="1007" t="s">
        <v>1276</v>
      </c>
      <c r="M253" s="1007" t="s">
        <v>840</v>
      </c>
      <c r="N253" s="1007">
        <v>46076</v>
      </c>
      <c r="O253" s="1007" t="s">
        <v>70</v>
      </c>
      <c r="P253" s="1007" t="s">
        <v>195</v>
      </c>
      <c r="Q253" s="1007" t="s">
        <v>196</v>
      </c>
      <c r="R253" s="1007" t="s">
        <v>73</v>
      </c>
      <c r="S253" s="1007" t="s">
        <v>967</v>
      </c>
      <c r="T253" s="1007">
        <v>450</v>
      </c>
      <c r="U253" s="1007">
        <v>3744</v>
      </c>
      <c r="V253" s="1007">
        <v>1.6848000000000001</v>
      </c>
      <c r="W253" s="1007">
        <v>104</v>
      </c>
      <c r="X253" s="1007">
        <v>4</v>
      </c>
      <c r="Y253" s="1007" t="s">
        <v>75</v>
      </c>
      <c r="Z253" s="1007" t="s">
        <v>75</v>
      </c>
      <c r="AB253" s="1008">
        <v>46084</v>
      </c>
      <c r="AC253" s="1007">
        <v>10</v>
      </c>
      <c r="AD253" s="1007" t="s">
        <v>1277</v>
      </c>
      <c r="AF253" s="1007" t="s">
        <v>77</v>
      </c>
      <c r="AG253" s="1007" t="s">
        <v>61</v>
      </c>
      <c r="AH253" s="1007" t="s">
        <v>105</v>
      </c>
      <c r="AI253" s="1008">
        <v>46088</v>
      </c>
      <c r="AJ253" s="1008">
        <v>46088</v>
      </c>
      <c r="AK253" s="1008">
        <v>46088</v>
      </c>
      <c r="AL253" s="1008">
        <v>46133</v>
      </c>
      <c r="AM253" s="1008">
        <v>46142</v>
      </c>
      <c r="AN253" s="1008">
        <v>46141</v>
      </c>
      <c r="AO253" s="1007" t="s">
        <v>402</v>
      </c>
      <c r="AP253" s="1007" t="s">
        <v>889</v>
      </c>
      <c r="AQ253" s="1007" t="s">
        <v>80</v>
      </c>
      <c r="AR253" s="1007" t="s">
        <v>1266</v>
      </c>
      <c r="AS253" s="1007" t="s">
        <v>1278</v>
      </c>
      <c r="AT253" s="1007" t="s">
        <v>1278</v>
      </c>
      <c r="AU253" s="1007">
        <v>53</v>
      </c>
      <c r="AW253" s="1008">
        <v>46141</v>
      </c>
      <c r="AX253" s="1007" t="s">
        <v>973</v>
      </c>
      <c r="AY253" s="1008">
        <v>46145</v>
      </c>
      <c r="AZ253" s="1007">
        <v>0</v>
      </c>
      <c r="BA253" s="1008">
        <v>46141</v>
      </c>
      <c r="BB253" s="1007">
        <v>2026</v>
      </c>
      <c r="BC253" s="1007">
        <v>4</v>
      </c>
      <c r="BD253" s="1007">
        <v>18</v>
      </c>
      <c r="BE253" s="1007">
        <v>36</v>
      </c>
      <c r="BF253" s="1007">
        <v>936</v>
      </c>
      <c r="BG253" s="1007" t="s">
        <v>85</v>
      </c>
      <c r="BH253" s="1007" t="s">
        <v>109</v>
      </c>
    </row>
    <row r="254" spans="1:60">
      <c r="A254" s="1007" t="s">
        <v>1285</v>
      </c>
      <c r="B254" s="1007" t="s">
        <v>61</v>
      </c>
      <c r="C254" s="1007" t="s">
        <v>1286</v>
      </c>
      <c r="D254" s="1007" t="s">
        <v>63</v>
      </c>
      <c r="E254" s="1007" t="s">
        <v>64</v>
      </c>
      <c r="F254" s="1007" t="s">
        <v>450</v>
      </c>
      <c r="G254" s="1007" t="s">
        <v>402</v>
      </c>
      <c r="H254" s="1007" t="s">
        <v>451</v>
      </c>
      <c r="I254" s="1007" t="s">
        <v>689</v>
      </c>
      <c r="J254" s="1007" t="s">
        <v>1287</v>
      </c>
      <c r="M254" s="1007" t="s">
        <v>68</v>
      </c>
      <c r="N254" s="1007">
        <v>46048</v>
      </c>
      <c r="O254" s="1007" t="s">
        <v>70</v>
      </c>
      <c r="P254" s="1007" t="s">
        <v>1151</v>
      </c>
      <c r="Q254" s="1007" t="s">
        <v>421</v>
      </c>
      <c r="R254" s="1007" t="s">
        <v>73</v>
      </c>
      <c r="S254" s="1007" t="s">
        <v>967</v>
      </c>
      <c r="T254" s="1007">
        <v>505</v>
      </c>
      <c r="U254" s="1007">
        <v>864</v>
      </c>
      <c r="V254" s="1007">
        <v>0.43631999999999999</v>
      </c>
      <c r="W254" s="1007">
        <v>24</v>
      </c>
      <c r="X254" s="1007">
        <v>1</v>
      </c>
      <c r="Y254" s="1007" t="s">
        <v>75</v>
      </c>
      <c r="Z254" s="1007" t="s">
        <v>75</v>
      </c>
      <c r="AB254" s="1008">
        <v>46082</v>
      </c>
      <c r="AC254" s="1007">
        <v>9</v>
      </c>
      <c r="AD254" s="1007" t="s">
        <v>1288</v>
      </c>
      <c r="AF254" s="1007" t="s">
        <v>77</v>
      </c>
      <c r="AG254" s="1007" t="s">
        <v>61</v>
      </c>
      <c r="AH254" s="1007" t="s">
        <v>456</v>
      </c>
      <c r="AI254" s="1008">
        <v>46088</v>
      </c>
      <c r="AJ254" s="1008">
        <v>46088</v>
      </c>
      <c r="AK254" s="1008">
        <v>46088</v>
      </c>
      <c r="AL254" s="1008">
        <v>46138</v>
      </c>
      <c r="AM254" s="1008">
        <v>46160</v>
      </c>
      <c r="AN254" s="1008">
        <v>46160</v>
      </c>
      <c r="AO254" s="1007" t="s">
        <v>402</v>
      </c>
      <c r="AP254" s="1007" t="s">
        <v>889</v>
      </c>
      <c r="AQ254" s="1007" t="s">
        <v>80</v>
      </c>
      <c r="AR254" s="1007" t="s">
        <v>1289</v>
      </c>
      <c r="AS254" s="1007" t="s">
        <v>1290</v>
      </c>
      <c r="AT254" s="1007" t="s">
        <v>1290</v>
      </c>
      <c r="AU254" s="1007">
        <v>72</v>
      </c>
      <c r="AW254" s="1008">
        <v>46160</v>
      </c>
      <c r="AX254" s="1007" t="s">
        <v>973</v>
      </c>
      <c r="AY254" s="1008">
        <v>46173</v>
      </c>
      <c r="AZ254" s="1007">
        <v>7</v>
      </c>
      <c r="BA254" s="1008">
        <v>46167</v>
      </c>
      <c r="BB254" s="1007">
        <v>2026</v>
      </c>
      <c r="BC254" s="1007">
        <v>5</v>
      </c>
      <c r="BD254" s="1007">
        <v>22</v>
      </c>
      <c r="BE254" s="1007">
        <v>36</v>
      </c>
      <c r="BF254" s="1007">
        <v>864</v>
      </c>
      <c r="BG254" s="1007" t="s">
        <v>85</v>
      </c>
      <c r="BH254" s="1007" t="s">
        <v>109</v>
      </c>
    </row>
    <row r="255" spans="1:60">
      <c r="A255" s="1007" t="s">
        <v>1291</v>
      </c>
      <c r="B255" s="1007" t="s">
        <v>61</v>
      </c>
      <c r="C255" s="1007" t="s">
        <v>1286</v>
      </c>
      <c r="D255" s="1007" t="s">
        <v>63</v>
      </c>
      <c r="E255" s="1007" t="s">
        <v>64</v>
      </c>
      <c r="F255" s="1007" t="s">
        <v>450</v>
      </c>
      <c r="G255" s="1007" t="s">
        <v>402</v>
      </c>
      <c r="H255" s="1007" t="s">
        <v>451</v>
      </c>
      <c r="I255" s="1007" t="s">
        <v>689</v>
      </c>
      <c r="J255" s="1007" t="s">
        <v>1292</v>
      </c>
      <c r="M255" s="1007" t="s">
        <v>68</v>
      </c>
      <c r="N255" s="1007">
        <v>46048</v>
      </c>
      <c r="O255" s="1007" t="s">
        <v>70</v>
      </c>
      <c r="P255" s="1007" t="s">
        <v>1151</v>
      </c>
      <c r="Q255" s="1007" t="s">
        <v>421</v>
      </c>
      <c r="R255" s="1007" t="s">
        <v>73</v>
      </c>
      <c r="S255" s="1007" t="s">
        <v>967</v>
      </c>
      <c r="T255" s="1007">
        <v>505</v>
      </c>
      <c r="U255" s="1007">
        <v>1728</v>
      </c>
      <c r="V255" s="1007">
        <v>0.87263999999999997</v>
      </c>
      <c r="W255" s="1007">
        <v>48</v>
      </c>
      <c r="X255" s="1007">
        <v>2</v>
      </c>
      <c r="Y255" s="1007" t="s">
        <v>75</v>
      </c>
      <c r="Z255" s="1007" t="s">
        <v>75</v>
      </c>
      <c r="AB255" s="1008">
        <v>46082</v>
      </c>
      <c r="AC255" s="1007">
        <v>9</v>
      </c>
      <c r="AD255" s="1007" t="s">
        <v>1293</v>
      </c>
      <c r="AF255" s="1007" t="s">
        <v>77</v>
      </c>
      <c r="AG255" s="1007" t="s">
        <v>61</v>
      </c>
      <c r="AH255" s="1007" t="s">
        <v>456</v>
      </c>
      <c r="AI255" s="1008">
        <v>46088</v>
      </c>
      <c r="AJ255" s="1008">
        <v>46088</v>
      </c>
      <c r="AK255" s="1008">
        <v>46088</v>
      </c>
      <c r="AL255" s="1008">
        <v>46138</v>
      </c>
      <c r="AM255" s="1008">
        <v>46160</v>
      </c>
      <c r="AN255" s="1008">
        <v>46160</v>
      </c>
      <c r="AO255" s="1007" t="s">
        <v>402</v>
      </c>
      <c r="AP255" s="1007" t="s">
        <v>889</v>
      </c>
      <c r="AQ255" s="1007" t="s">
        <v>80</v>
      </c>
      <c r="AR255" s="1007" t="s">
        <v>1289</v>
      </c>
      <c r="AS255" s="1007" t="s">
        <v>1290</v>
      </c>
      <c r="AT255" s="1007" t="s">
        <v>1290</v>
      </c>
      <c r="AU255" s="1007">
        <v>72</v>
      </c>
      <c r="AW255" s="1008">
        <v>46160</v>
      </c>
      <c r="AX255" s="1007" t="s">
        <v>973</v>
      </c>
      <c r="AY255" s="1008">
        <v>46173</v>
      </c>
      <c r="AZ255" s="1007">
        <v>7</v>
      </c>
      <c r="BA255" s="1008">
        <v>46167</v>
      </c>
      <c r="BB255" s="1007">
        <v>2026</v>
      </c>
      <c r="BC255" s="1007">
        <v>5</v>
      </c>
      <c r="BD255" s="1007">
        <v>22</v>
      </c>
      <c r="BE255" s="1007">
        <v>36</v>
      </c>
      <c r="BF255" s="1007">
        <v>864</v>
      </c>
      <c r="BG255" s="1007" t="s">
        <v>85</v>
      </c>
      <c r="BH255" s="1007" t="s">
        <v>109</v>
      </c>
    </row>
    <row r="256" spans="1:60">
      <c r="A256" s="1007" t="s">
        <v>1294</v>
      </c>
      <c r="B256" s="1007" t="s">
        <v>61</v>
      </c>
      <c r="C256" s="1007" t="s">
        <v>1149</v>
      </c>
      <c r="D256" s="1007" t="s">
        <v>63</v>
      </c>
      <c r="E256" s="1007" t="s">
        <v>64</v>
      </c>
      <c r="F256" s="1007" t="s">
        <v>450</v>
      </c>
      <c r="G256" s="1007" t="s">
        <v>402</v>
      </c>
      <c r="H256" s="1007" t="s">
        <v>451</v>
      </c>
      <c r="I256" s="1007" t="s">
        <v>689</v>
      </c>
      <c r="J256" s="1007" t="s">
        <v>1287</v>
      </c>
      <c r="M256" s="1007" t="s">
        <v>68</v>
      </c>
      <c r="N256" s="1007">
        <v>46048</v>
      </c>
      <c r="O256" s="1007" t="s">
        <v>70</v>
      </c>
      <c r="P256" s="1007" t="s">
        <v>1151</v>
      </c>
      <c r="Q256" s="1007" t="s">
        <v>421</v>
      </c>
      <c r="R256" s="1007" t="s">
        <v>73</v>
      </c>
      <c r="S256" s="1007" t="s">
        <v>967</v>
      </c>
      <c r="T256" s="1007">
        <v>505</v>
      </c>
      <c r="U256" s="1007">
        <v>1728</v>
      </c>
      <c r="V256" s="1007">
        <v>0.87263999999999997</v>
      </c>
      <c r="W256" s="1007">
        <v>48</v>
      </c>
      <c r="X256" s="1007">
        <v>2</v>
      </c>
      <c r="Y256" s="1007" t="s">
        <v>75</v>
      </c>
      <c r="Z256" s="1007" t="s">
        <v>75</v>
      </c>
      <c r="AB256" s="1008">
        <v>46082</v>
      </c>
      <c r="AC256" s="1007">
        <v>9</v>
      </c>
      <c r="AD256" s="1007" t="s">
        <v>1295</v>
      </c>
      <c r="AF256" s="1007" t="s">
        <v>77</v>
      </c>
      <c r="AG256" s="1007" t="s">
        <v>61</v>
      </c>
      <c r="AH256" s="1007" t="s">
        <v>456</v>
      </c>
      <c r="AI256" s="1008">
        <v>46088</v>
      </c>
      <c r="AJ256" s="1008">
        <v>46088</v>
      </c>
      <c r="AK256" s="1008">
        <v>46088</v>
      </c>
      <c r="AL256" s="1008">
        <v>46138</v>
      </c>
      <c r="AM256" s="1008">
        <v>46160</v>
      </c>
      <c r="AN256" s="1008">
        <v>46160</v>
      </c>
      <c r="AO256" s="1007" t="s">
        <v>402</v>
      </c>
      <c r="AP256" s="1007" t="s">
        <v>1296</v>
      </c>
      <c r="AQ256" s="1007" t="s">
        <v>80</v>
      </c>
      <c r="AR256" s="1007" t="s">
        <v>1289</v>
      </c>
      <c r="AS256" s="1007" t="s">
        <v>1290</v>
      </c>
      <c r="AT256" s="1007" t="s">
        <v>1290</v>
      </c>
      <c r="AU256" s="1007">
        <v>72</v>
      </c>
      <c r="AW256" s="1008">
        <v>46160</v>
      </c>
      <c r="AX256" s="1007" t="s">
        <v>973</v>
      </c>
      <c r="AY256" s="1008">
        <v>46173</v>
      </c>
      <c r="AZ256" s="1007">
        <v>7</v>
      </c>
      <c r="BA256" s="1008">
        <v>46167</v>
      </c>
      <c r="BB256" s="1007">
        <v>2026</v>
      </c>
      <c r="BC256" s="1007">
        <v>5</v>
      </c>
      <c r="BD256" s="1007">
        <v>22</v>
      </c>
      <c r="BE256" s="1007">
        <v>36</v>
      </c>
      <c r="BF256" s="1007">
        <v>864</v>
      </c>
      <c r="BG256" s="1007" t="s">
        <v>85</v>
      </c>
      <c r="BH256" s="1007" t="s">
        <v>109</v>
      </c>
    </row>
    <row r="257" spans="1:60">
      <c r="A257" s="1007" t="s">
        <v>1297</v>
      </c>
      <c r="B257" s="1007" t="s">
        <v>111</v>
      </c>
      <c r="C257" s="1007" t="s">
        <v>203</v>
      </c>
      <c r="D257" s="1007" t="s">
        <v>63</v>
      </c>
      <c r="E257" s="1007" t="s">
        <v>144</v>
      </c>
      <c r="F257" s="1007" t="s">
        <v>145</v>
      </c>
      <c r="G257" s="1007" t="s">
        <v>402</v>
      </c>
      <c r="H257" s="1007" t="s">
        <v>1029</v>
      </c>
      <c r="I257" s="1007" t="s">
        <v>689</v>
      </c>
      <c r="J257" s="1007" t="s">
        <v>1030</v>
      </c>
      <c r="K257" s="1007" t="s">
        <v>1298</v>
      </c>
      <c r="M257" s="1007" t="s">
        <v>840</v>
      </c>
      <c r="N257" s="1007">
        <v>46045</v>
      </c>
      <c r="O257" s="1007" t="s">
        <v>713</v>
      </c>
      <c r="P257" s="1007" t="s">
        <v>1299</v>
      </c>
      <c r="Q257" s="1007" t="s">
        <v>1300</v>
      </c>
      <c r="R257" s="1007" t="s">
        <v>73</v>
      </c>
      <c r="S257" s="1007" t="s">
        <v>967</v>
      </c>
      <c r="T257" s="1007">
        <v>720</v>
      </c>
      <c r="U257" s="1007">
        <v>1782</v>
      </c>
      <c r="V257" s="1007">
        <v>1.28304</v>
      </c>
      <c r="W257" s="1007">
        <v>54</v>
      </c>
      <c r="X257" s="1007">
        <v>3</v>
      </c>
      <c r="Y257" s="1007" t="s">
        <v>75</v>
      </c>
      <c r="Z257" s="1007" t="s">
        <v>75</v>
      </c>
      <c r="AB257" s="1008">
        <v>46084</v>
      </c>
      <c r="AC257" s="1007">
        <v>10</v>
      </c>
      <c r="AD257" s="1007" t="s">
        <v>1301</v>
      </c>
      <c r="AF257" s="1007" t="s">
        <v>122</v>
      </c>
      <c r="AG257" s="1007" t="s">
        <v>123</v>
      </c>
      <c r="AH257" s="1007" t="s">
        <v>888</v>
      </c>
      <c r="AI257" s="1008">
        <v>46091</v>
      </c>
      <c r="AJ257" s="1008">
        <v>46090</v>
      </c>
      <c r="AK257" s="1008">
        <v>46090</v>
      </c>
      <c r="AL257" s="1008">
        <v>46141</v>
      </c>
      <c r="AM257" s="1008">
        <v>46140</v>
      </c>
      <c r="AN257" s="1008">
        <v>46140</v>
      </c>
      <c r="AO257" s="1007" t="s">
        <v>402</v>
      </c>
      <c r="AP257" s="1007" t="s">
        <v>1302</v>
      </c>
      <c r="AQ257" s="1007" t="s">
        <v>80</v>
      </c>
      <c r="AR257" s="1007" t="s">
        <v>1303</v>
      </c>
      <c r="AS257" s="1007" t="s">
        <v>1304</v>
      </c>
      <c r="AT257" s="1007" t="s">
        <v>1304</v>
      </c>
      <c r="AU257" s="1007">
        <v>50</v>
      </c>
      <c r="AW257" s="1008">
        <v>46140</v>
      </c>
      <c r="AX257" s="1007" t="s">
        <v>973</v>
      </c>
      <c r="AY257" s="1008">
        <v>46154</v>
      </c>
      <c r="AZ257" s="1007">
        <v>0</v>
      </c>
      <c r="BA257" s="1008">
        <v>46140</v>
      </c>
      <c r="BB257" s="1007">
        <v>2026</v>
      </c>
      <c r="BC257" s="1007">
        <v>4</v>
      </c>
      <c r="BD257" s="1007">
        <v>18</v>
      </c>
      <c r="BE257" s="1007">
        <v>33</v>
      </c>
      <c r="BF257" s="1007">
        <v>594</v>
      </c>
      <c r="BG257" s="1007" t="s">
        <v>108</v>
      </c>
      <c r="BH257" s="1007" t="s">
        <v>109</v>
      </c>
    </row>
    <row r="258" spans="1:60">
      <c r="A258" s="1007" t="s">
        <v>1305</v>
      </c>
      <c r="B258" s="1007" t="s">
        <v>111</v>
      </c>
      <c r="C258" s="1007" t="s">
        <v>1046</v>
      </c>
      <c r="D258" s="1007" t="s">
        <v>63</v>
      </c>
      <c r="E258" s="1007" t="s">
        <v>64</v>
      </c>
      <c r="F258" s="1007" t="s">
        <v>100</v>
      </c>
      <c r="G258" s="1007" t="s">
        <v>402</v>
      </c>
      <c r="H258" s="1007" t="s">
        <v>67</v>
      </c>
      <c r="I258" s="1007" t="s">
        <v>822</v>
      </c>
      <c r="J258" s="1007" t="s">
        <v>1047</v>
      </c>
      <c r="M258" s="1007" t="s">
        <v>68</v>
      </c>
      <c r="N258" s="1007">
        <v>46069</v>
      </c>
      <c r="O258" s="1007" t="s">
        <v>70</v>
      </c>
      <c r="P258" s="1007" t="s">
        <v>1002</v>
      </c>
      <c r="Q258" s="1007" t="s">
        <v>330</v>
      </c>
      <c r="R258" s="1007" t="s">
        <v>73</v>
      </c>
      <c r="S258" s="1007" t="s">
        <v>992</v>
      </c>
      <c r="T258" s="1007">
        <v>625</v>
      </c>
      <c r="U258" s="1007">
        <v>7920</v>
      </c>
      <c r="V258" s="1007">
        <v>4.95</v>
      </c>
      <c r="W258" s="1007">
        <v>220</v>
      </c>
      <c r="X258" s="1007">
        <v>11</v>
      </c>
      <c r="Y258" s="1007" t="s">
        <v>75</v>
      </c>
      <c r="Z258" s="1007" t="s">
        <v>75</v>
      </c>
      <c r="AB258" s="1008">
        <v>46083</v>
      </c>
      <c r="AC258" s="1007">
        <v>10</v>
      </c>
      <c r="AD258" s="1007" t="s">
        <v>1306</v>
      </c>
      <c r="AF258" s="1007" t="s">
        <v>122</v>
      </c>
      <c r="AG258" s="1007" t="s">
        <v>123</v>
      </c>
      <c r="AH258" s="1007" t="s">
        <v>105</v>
      </c>
      <c r="AI258" s="1008">
        <v>46091</v>
      </c>
      <c r="AJ258" s="1008">
        <v>46096</v>
      </c>
      <c r="AK258" s="1008">
        <v>46096</v>
      </c>
      <c r="AL258" s="1008">
        <v>46126</v>
      </c>
      <c r="AM258" s="1008">
        <v>46142</v>
      </c>
      <c r="AN258" s="1008">
        <v>46141</v>
      </c>
      <c r="AO258" s="1007" t="s">
        <v>402</v>
      </c>
      <c r="AP258" s="1007" t="s">
        <v>872</v>
      </c>
      <c r="AQ258" s="1007" t="s">
        <v>80</v>
      </c>
      <c r="AR258" s="1007" t="s">
        <v>1307</v>
      </c>
      <c r="AS258" s="1007" t="s">
        <v>1308</v>
      </c>
      <c r="AT258" s="1007" t="s">
        <v>1308</v>
      </c>
      <c r="AU258" s="1007">
        <v>45</v>
      </c>
      <c r="AW258" s="1008">
        <v>46141</v>
      </c>
      <c r="AX258" s="1007" t="s">
        <v>973</v>
      </c>
      <c r="AY258" s="1008">
        <v>46162</v>
      </c>
      <c r="AZ258" s="1007">
        <v>7</v>
      </c>
      <c r="BA258" s="1008">
        <v>46148</v>
      </c>
      <c r="BB258" s="1007">
        <v>2026</v>
      </c>
      <c r="BC258" s="1007">
        <v>5</v>
      </c>
      <c r="BD258" s="1007">
        <v>19</v>
      </c>
      <c r="BE258" s="1007">
        <v>36</v>
      </c>
      <c r="BF258" s="1007">
        <v>720</v>
      </c>
      <c r="BG258" s="1007" t="s">
        <v>128</v>
      </c>
      <c r="BH258" s="1007" t="s">
        <v>109</v>
      </c>
    </row>
    <row r="259" spans="1:60">
      <c r="A259" s="1007" t="s">
        <v>1309</v>
      </c>
      <c r="B259" s="1007" t="s">
        <v>111</v>
      </c>
      <c r="C259" s="1007" t="s">
        <v>1310</v>
      </c>
      <c r="D259" s="1007" t="s">
        <v>63</v>
      </c>
      <c r="E259" s="1007" t="s">
        <v>64</v>
      </c>
      <c r="F259" s="1007" t="s">
        <v>100</v>
      </c>
      <c r="G259" s="1007" t="s">
        <v>402</v>
      </c>
      <c r="H259" s="1007" t="s">
        <v>67</v>
      </c>
      <c r="I259" s="1007" t="s">
        <v>689</v>
      </c>
      <c r="J259" s="1007" t="s">
        <v>483</v>
      </c>
      <c r="M259" s="1007" t="s">
        <v>68</v>
      </c>
      <c r="N259" s="1007">
        <v>46083</v>
      </c>
      <c r="O259" s="1007" t="s">
        <v>473</v>
      </c>
      <c r="P259" s="1007" t="s">
        <v>529</v>
      </c>
      <c r="Q259" s="1007" t="s">
        <v>1311</v>
      </c>
      <c r="R259" s="1007" t="s">
        <v>73</v>
      </c>
      <c r="S259" s="1007" t="s">
        <v>967</v>
      </c>
      <c r="T259" s="1007">
        <v>455</v>
      </c>
      <c r="U259" s="1007">
        <v>3456</v>
      </c>
      <c r="V259" s="1007">
        <v>1.5724800000000001</v>
      </c>
      <c r="W259" s="1007">
        <v>96</v>
      </c>
      <c r="X259" s="1007">
        <v>4</v>
      </c>
      <c r="Y259" s="1007" t="s">
        <v>75</v>
      </c>
      <c r="Z259" s="1007" t="s">
        <v>75</v>
      </c>
      <c r="AB259" s="1008">
        <v>46085</v>
      </c>
      <c r="AC259" s="1007">
        <v>10</v>
      </c>
      <c r="AD259" s="1007" t="s">
        <v>1312</v>
      </c>
      <c r="AF259" s="1007" t="s">
        <v>122</v>
      </c>
      <c r="AG259" s="1007" t="s">
        <v>123</v>
      </c>
      <c r="AH259" s="1007" t="s">
        <v>105</v>
      </c>
      <c r="AI259" s="1008">
        <v>46091</v>
      </c>
      <c r="AJ259" s="1008">
        <v>46090</v>
      </c>
      <c r="AK259" s="1008">
        <v>46090</v>
      </c>
      <c r="AL259" s="1008">
        <v>46122</v>
      </c>
      <c r="AM259" s="1008">
        <v>46141</v>
      </c>
      <c r="AN259" s="1008">
        <v>46137</v>
      </c>
      <c r="AO259" s="1007" t="s">
        <v>402</v>
      </c>
      <c r="AP259" s="1007" t="s">
        <v>872</v>
      </c>
      <c r="AQ259" s="1007" t="s">
        <v>80</v>
      </c>
      <c r="AR259" s="1007" t="s">
        <v>1313</v>
      </c>
      <c r="AS259" s="1007" t="s">
        <v>1314</v>
      </c>
      <c r="AT259" s="1007" t="s">
        <v>1314</v>
      </c>
      <c r="AU259" s="1007">
        <v>47</v>
      </c>
      <c r="AW259" s="1008">
        <v>46137</v>
      </c>
      <c r="AX259" s="1007" t="s">
        <v>973</v>
      </c>
      <c r="AY259" s="1008">
        <v>46149</v>
      </c>
      <c r="AZ259" s="1007">
        <v>7</v>
      </c>
      <c r="BA259" s="1008">
        <v>46144</v>
      </c>
      <c r="BB259" s="1007">
        <v>2026</v>
      </c>
      <c r="BC259" s="1007">
        <v>5</v>
      </c>
      <c r="BD259" s="1007">
        <v>18</v>
      </c>
      <c r="BE259" s="1007">
        <v>36</v>
      </c>
      <c r="BF259" s="1007">
        <v>864</v>
      </c>
      <c r="BG259" s="1007" t="s">
        <v>85</v>
      </c>
      <c r="BH259" s="1007" t="s">
        <v>109</v>
      </c>
    </row>
    <row r="260" spans="1:60">
      <c r="A260" s="1007" t="s">
        <v>1315</v>
      </c>
      <c r="B260" s="1007" t="s">
        <v>111</v>
      </c>
      <c r="C260" s="1007" t="s">
        <v>1091</v>
      </c>
      <c r="D260" s="1007" t="s">
        <v>63</v>
      </c>
      <c r="E260" s="1007" t="s">
        <v>64</v>
      </c>
      <c r="F260" s="1007" t="s">
        <v>100</v>
      </c>
      <c r="G260" s="1007" t="s">
        <v>402</v>
      </c>
      <c r="H260" s="1007" t="s">
        <v>67</v>
      </c>
      <c r="I260" s="1007" t="s">
        <v>689</v>
      </c>
      <c r="J260" s="1007" t="s">
        <v>101</v>
      </c>
      <c r="M260" s="1007" t="s">
        <v>68</v>
      </c>
      <c r="N260" s="1007">
        <v>46069</v>
      </c>
      <c r="O260" s="1007" t="s">
        <v>132</v>
      </c>
      <c r="P260" s="1007" t="s">
        <v>189</v>
      </c>
      <c r="Q260" s="1007" t="s">
        <v>190</v>
      </c>
      <c r="R260" s="1007" t="s">
        <v>73</v>
      </c>
      <c r="S260" s="1007" t="s">
        <v>967</v>
      </c>
      <c r="T260" s="1007">
        <v>465</v>
      </c>
      <c r="U260" s="1007">
        <v>3456</v>
      </c>
      <c r="V260" s="1007">
        <v>1.60704</v>
      </c>
      <c r="W260" s="1007">
        <v>96</v>
      </c>
      <c r="X260" s="1007">
        <v>4</v>
      </c>
      <c r="Y260" s="1007" t="s">
        <v>75</v>
      </c>
      <c r="Z260" s="1007" t="s">
        <v>75</v>
      </c>
      <c r="AB260" s="1008">
        <v>46085</v>
      </c>
      <c r="AC260" s="1007">
        <v>10</v>
      </c>
      <c r="AD260" s="1007" t="s">
        <v>1316</v>
      </c>
      <c r="AF260" s="1007" t="s">
        <v>122</v>
      </c>
      <c r="AG260" s="1007" t="s">
        <v>123</v>
      </c>
      <c r="AH260" s="1007" t="s">
        <v>105</v>
      </c>
      <c r="AI260" s="1008">
        <v>46091</v>
      </c>
      <c r="AJ260" s="1008">
        <v>46090</v>
      </c>
      <c r="AK260" s="1008">
        <v>46090</v>
      </c>
      <c r="AL260" s="1008">
        <v>46122</v>
      </c>
      <c r="AM260" s="1008">
        <v>46141</v>
      </c>
      <c r="AN260" s="1008">
        <v>46137</v>
      </c>
      <c r="AO260" s="1007" t="s">
        <v>402</v>
      </c>
      <c r="AP260" s="1007" t="s">
        <v>872</v>
      </c>
      <c r="AQ260" s="1007" t="s">
        <v>80</v>
      </c>
      <c r="AR260" s="1007" t="s">
        <v>1313</v>
      </c>
      <c r="AS260" s="1007" t="s">
        <v>1314</v>
      </c>
      <c r="AT260" s="1007" t="s">
        <v>1314</v>
      </c>
      <c r="AU260" s="1007">
        <v>47</v>
      </c>
      <c r="AW260" s="1008">
        <v>46137</v>
      </c>
      <c r="AX260" s="1007" t="s">
        <v>973</v>
      </c>
      <c r="AY260" s="1008">
        <v>46149</v>
      </c>
      <c r="AZ260" s="1007">
        <v>7</v>
      </c>
      <c r="BA260" s="1008">
        <v>46144</v>
      </c>
      <c r="BB260" s="1007">
        <v>2026</v>
      </c>
      <c r="BC260" s="1007">
        <v>5</v>
      </c>
      <c r="BD260" s="1007">
        <v>18</v>
      </c>
      <c r="BE260" s="1007">
        <v>36</v>
      </c>
      <c r="BF260" s="1007">
        <v>864</v>
      </c>
      <c r="BG260" s="1007" t="s">
        <v>108</v>
      </c>
      <c r="BH260" s="1007" t="s">
        <v>109</v>
      </c>
    </row>
    <row r="261" spans="1:60">
      <c r="A261" s="1007" t="s">
        <v>1317</v>
      </c>
      <c r="B261" s="1007" t="s">
        <v>111</v>
      </c>
      <c r="C261" s="1007" t="s">
        <v>1318</v>
      </c>
      <c r="D261" s="1007" t="s">
        <v>63</v>
      </c>
      <c r="E261" s="1007" t="s">
        <v>64</v>
      </c>
      <c r="F261" s="1007" t="s">
        <v>100</v>
      </c>
      <c r="G261" s="1007" t="s">
        <v>402</v>
      </c>
      <c r="H261" s="1007" t="s">
        <v>67</v>
      </c>
      <c r="I261" s="1007" t="s">
        <v>689</v>
      </c>
      <c r="J261" s="1007" t="s">
        <v>483</v>
      </c>
      <c r="M261" s="1007" t="s">
        <v>68</v>
      </c>
      <c r="N261" s="1007" t="s">
        <v>68</v>
      </c>
      <c r="O261" s="1007" t="s">
        <v>473</v>
      </c>
      <c r="P261" s="1007" t="s">
        <v>474</v>
      </c>
      <c r="Q261" s="1007" t="s">
        <v>1319</v>
      </c>
      <c r="R261" s="1007" t="s">
        <v>73</v>
      </c>
      <c r="S261" s="1007" t="s">
        <v>967</v>
      </c>
      <c r="T261" s="1007">
        <v>460</v>
      </c>
      <c r="U261" s="1007">
        <v>1728</v>
      </c>
      <c r="V261" s="1007">
        <v>0.79488000000000003</v>
      </c>
      <c r="W261" s="1007">
        <v>48</v>
      </c>
      <c r="X261" s="1007">
        <v>2</v>
      </c>
      <c r="Y261" s="1007" t="s">
        <v>75</v>
      </c>
      <c r="Z261" s="1007" t="s">
        <v>75</v>
      </c>
      <c r="AB261" s="1008">
        <v>46085</v>
      </c>
      <c r="AC261" s="1007">
        <v>10</v>
      </c>
      <c r="AD261" s="1007" t="s">
        <v>1320</v>
      </c>
      <c r="AF261" s="1007" t="s">
        <v>122</v>
      </c>
      <c r="AG261" s="1007" t="s">
        <v>123</v>
      </c>
      <c r="AH261" s="1007" t="s">
        <v>105</v>
      </c>
      <c r="AI261" s="1008">
        <v>46091</v>
      </c>
      <c r="AJ261" s="1008">
        <v>46090</v>
      </c>
      <c r="AK261" s="1008">
        <v>46090</v>
      </c>
      <c r="AL261" s="1008">
        <v>46122</v>
      </c>
      <c r="AM261" s="1008">
        <v>46141</v>
      </c>
      <c r="AN261" s="1008">
        <v>46137</v>
      </c>
      <c r="AO261" s="1007" t="s">
        <v>402</v>
      </c>
      <c r="AP261" s="1007" t="s">
        <v>872</v>
      </c>
      <c r="AQ261" s="1007" t="s">
        <v>80</v>
      </c>
      <c r="AR261" s="1007" t="s">
        <v>1313</v>
      </c>
      <c r="AS261" s="1007" t="s">
        <v>1314</v>
      </c>
      <c r="AT261" s="1007" t="s">
        <v>1314</v>
      </c>
      <c r="AU261" s="1007">
        <v>47</v>
      </c>
      <c r="AW261" s="1008">
        <v>46137</v>
      </c>
      <c r="AX261" s="1007" t="s">
        <v>973</v>
      </c>
      <c r="AY261" s="1008">
        <v>46149</v>
      </c>
      <c r="AZ261" s="1007">
        <v>7</v>
      </c>
      <c r="BA261" s="1008">
        <v>46144</v>
      </c>
      <c r="BB261" s="1007">
        <v>2026</v>
      </c>
      <c r="BC261" s="1007">
        <v>5</v>
      </c>
      <c r="BD261" s="1007">
        <v>18</v>
      </c>
      <c r="BE261" s="1007">
        <v>36</v>
      </c>
      <c r="BF261" s="1007">
        <v>864</v>
      </c>
      <c r="BG261" s="1007" t="s">
        <v>85</v>
      </c>
      <c r="BH261" s="1007" t="s">
        <v>109</v>
      </c>
    </row>
    <row r="262" spans="1:60">
      <c r="A262" s="1007" t="s">
        <v>1321</v>
      </c>
      <c r="B262" s="1007" t="s">
        <v>111</v>
      </c>
      <c r="C262" s="1007" t="s">
        <v>1061</v>
      </c>
      <c r="D262" s="1007" t="s">
        <v>63</v>
      </c>
      <c r="E262" s="1007" t="s">
        <v>64</v>
      </c>
      <c r="F262" s="1007" t="s">
        <v>100</v>
      </c>
      <c r="G262" s="1007" t="s">
        <v>402</v>
      </c>
      <c r="H262" s="1007" t="s">
        <v>67</v>
      </c>
      <c r="I262" s="1007" t="s">
        <v>869</v>
      </c>
      <c r="J262" s="1007" t="s">
        <v>101</v>
      </c>
      <c r="M262" s="1007" t="s">
        <v>68</v>
      </c>
      <c r="N262" s="1007">
        <v>46076</v>
      </c>
      <c r="O262" s="1007" t="s">
        <v>132</v>
      </c>
      <c r="P262" s="1007" t="s">
        <v>1062</v>
      </c>
      <c r="Q262" s="1007" t="s">
        <v>1063</v>
      </c>
      <c r="R262" s="1007" t="s">
        <v>73</v>
      </c>
      <c r="S262" s="1007" t="s">
        <v>967</v>
      </c>
      <c r="T262" s="1007">
        <v>470</v>
      </c>
      <c r="U262" s="1007">
        <v>1728</v>
      </c>
      <c r="V262" s="1007">
        <v>0.81215999999999999</v>
      </c>
      <c r="W262" s="1007">
        <v>48</v>
      </c>
      <c r="X262" s="1007">
        <v>2</v>
      </c>
      <c r="Y262" s="1007" t="s">
        <v>75</v>
      </c>
      <c r="Z262" s="1007" t="s">
        <v>75</v>
      </c>
      <c r="AB262" s="1008">
        <v>46083</v>
      </c>
      <c r="AC262" s="1007">
        <v>10</v>
      </c>
      <c r="AD262" s="1007" t="s">
        <v>1322</v>
      </c>
      <c r="AF262" s="1007" t="s">
        <v>122</v>
      </c>
      <c r="AG262" s="1007" t="s">
        <v>123</v>
      </c>
      <c r="AH262" s="1007" t="s">
        <v>105</v>
      </c>
      <c r="AI262" s="1008">
        <v>46091</v>
      </c>
      <c r="AJ262" s="1008">
        <v>46090</v>
      </c>
      <c r="AK262" s="1008">
        <v>46090</v>
      </c>
      <c r="AL262" s="1008">
        <v>46122</v>
      </c>
      <c r="AM262" s="1008">
        <v>46141</v>
      </c>
      <c r="AN262" s="1008">
        <v>46137</v>
      </c>
      <c r="AO262" s="1007" t="s">
        <v>402</v>
      </c>
      <c r="AP262" s="1007" t="s">
        <v>872</v>
      </c>
      <c r="AQ262" s="1007" t="s">
        <v>80</v>
      </c>
      <c r="AR262" s="1007" t="s">
        <v>1323</v>
      </c>
      <c r="AS262" s="1007" t="s">
        <v>1324</v>
      </c>
      <c r="AT262" s="1007" t="s">
        <v>1324</v>
      </c>
      <c r="AU262" s="1007">
        <v>47</v>
      </c>
      <c r="AW262" s="1008">
        <v>46137</v>
      </c>
      <c r="AX262" s="1007" t="s">
        <v>973</v>
      </c>
      <c r="AY262" s="1008">
        <v>46149</v>
      </c>
      <c r="AZ262" s="1007">
        <v>7</v>
      </c>
      <c r="BA262" s="1008">
        <v>46144</v>
      </c>
      <c r="BB262" s="1007">
        <v>2026</v>
      </c>
      <c r="BC262" s="1007">
        <v>5</v>
      </c>
      <c r="BD262" s="1007">
        <v>18</v>
      </c>
      <c r="BE262" s="1007">
        <v>36</v>
      </c>
      <c r="BF262" s="1007">
        <v>864</v>
      </c>
      <c r="BG262" s="1007" t="s">
        <v>108</v>
      </c>
      <c r="BH262" s="1007" t="s">
        <v>109</v>
      </c>
    </row>
    <row r="263" spans="1:60">
      <c r="A263" s="1007" t="s">
        <v>1325</v>
      </c>
      <c r="B263" s="1007" t="s">
        <v>111</v>
      </c>
      <c r="C263" s="1007" t="s">
        <v>1326</v>
      </c>
      <c r="D263" s="1007" t="s">
        <v>113</v>
      </c>
      <c r="E263" s="1007" t="s">
        <v>64</v>
      </c>
      <c r="F263" s="1007" t="s">
        <v>65</v>
      </c>
      <c r="G263" s="1007" t="s">
        <v>402</v>
      </c>
      <c r="H263" s="1007" t="s">
        <v>67</v>
      </c>
      <c r="I263" s="1007" t="s">
        <v>822</v>
      </c>
      <c r="J263" s="1007" t="s">
        <v>1327</v>
      </c>
      <c r="M263" s="1007" t="s">
        <v>68</v>
      </c>
      <c r="N263" s="1007" t="s">
        <v>68</v>
      </c>
      <c r="O263" s="1007" t="s">
        <v>70</v>
      </c>
      <c r="P263" s="1007" t="s">
        <v>218</v>
      </c>
      <c r="Q263" s="1007" t="s">
        <v>219</v>
      </c>
      <c r="R263" s="1007" t="s">
        <v>73</v>
      </c>
      <c r="S263" s="1007" t="s">
        <v>992</v>
      </c>
      <c r="T263" s="1007">
        <v>625</v>
      </c>
      <c r="U263" s="1007">
        <v>1440</v>
      </c>
      <c r="V263" s="1007">
        <v>0.9</v>
      </c>
      <c r="W263" s="1007">
        <v>40</v>
      </c>
      <c r="X263" s="1007">
        <v>2</v>
      </c>
      <c r="Y263" s="1007" t="s">
        <v>75</v>
      </c>
      <c r="Z263" s="1007" t="s">
        <v>75</v>
      </c>
      <c r="AB263" s="1008">
        <v>46084</v>
      </c>
      <c r="AC263" s="1007">
        <v>10</v>
      </c>
      <c r="AD263" s="1007" t="s">
        <v>1328</v>
      </c>
      <c r="AF263" s="1007" t="s">
        <v>122</v>
      </c>
      <c r="AG263" s="1007" t="s">
        <v>123</v>
      </c>
      <c r="AH263" s="1007" t="s">
        <v>78</v>
      </c>
      <c r="AI263" s="1008">
        <v>46094</v>
      </c>
      <c r="AJ263" s="1008">
        <v>46096</v>
      </c>
      <c r="AK263" s="1008">
        <v>46097</v>
      </c>
      <c r="AL263" s="1008">
        <v>46140</v>
      </c>
      <c r="AM263" s="1008">
        <v>46145</v>
      </c>
      <c r="AN263" s="1008">
        <v>46148</v>
      </c>
      <c r="AO263" s="1007" t="s">
        <v>402</v>
      </c>
      <c r="AP263" s="1007" t="s">
        <v>1329</v>
      </c>
      <c r="AQ263" s="1007" t="s">
        <v>80</v>
      </c>
      <c r="AR263" s="1007" t="s">
        <v>1330</v>
      </c>
      <c r="AS263" s="1007" t="s">
        <v>1331</v>
      </c>
      <c r="AT263" s="1007" t="s">
        <v>1331</v>
      </c>
      <c r="AU263" s="1007">
        <v>51</v>
      </c>
      <c r="AW263" s="1008">
        <v>46148</v>
      </c>
      <c r="AX263" s="1007" t="s">
        <v>973</v>
      </c>
      <c r="AY263" s="1008">
        <v>46159</v>
      </c>
      <c r="AZ263" s="1007">
        <v>8</v>
      </c>
      <c r="BA263" s="1008">
        <v>46156</v>
      </c>
      <c r="BB263" s="1007">
        <v>2026</v>
      </c>
      <c r="BC263" s="1007">
        <v>5</v>
      </c>
      <c r="BD263" s="1007">
        <v>20</v>
      </c>
      <c r="BE263" s="1007">
        <v>36</v>
      </c>
      <c r="BF263" s="1007">
        <v>720</v>
      </c>
      <c r="BG263" s="1007" t="s">
        <v>128</v>
      </c>
      <c r="BH263" s="1007" t="s">
        <v>86</v>
      </c>
    </row>
    <row r="264" spans="1:60">
      <c r="A264" s="1007" t="s">
        <v>1332</v>
      </c>
      <c r="B264" s="1007" t="s">
        <v>111</v>
      </c>
      <c r="C264" s="1007" t="s">
        <v>1333</v>
      </c>
      <c r="D264" s="1007" t="s">
        <v>113</v>
      </c>
      <c r="E264" s="1007" t="s">
        <v>64</v>
      </c>
      <c r="F264" s="1007" t="s">
        <v>65</v>
      </c>
      <c r="G264" s="1007" t="s">
        <v>402</v>
      </c>
      <c r="H264" s="1007" t="s">
        <v>67</v>
      </c>
      <c r="I264" s="1007" t="s">
        <v>822</v>
      </c>
      <c r="J264" s="1007" t="s">
        <v>1327</v>
      </c>
      <c r="M264" s="1007" t="s">
        <v>68</v>
      </c>
      <c r="N264" s="1007" t="s">
        <v>68</v>
      </c>
      <c r="O264" s="1007" t="s">
        <v>70</v>
      </c>
      <c r="P264" s="1007" t="s">
        <v>1334</v>
      </c>
      <c r="Q264" s="1007" t="s">
        <v>1335</v>
      </c>
      <c r="R264" s="1007" t="s">
        <v>73</v>
      </c>
      <c r="S264" s="1007" t="s">
        <v>992</v>
      </c>
      <c r="T264" s="1007">
        <v>630</v>
      </c>
      <c r="U264" s="1007">
        <v>3600</v>
      </c>
      <c r="V264" s="1007">
        <v>2.2679999999999998</v>
      </c>
      <c r="W264" s="1007">
        <v>100</v>
      </c>
      <c r="X264" s="1007">
        <v>5</v>
      </c>
      <c r="Y264" s="1007" t="s">
        <v>75</v>
      </c>
      <c r="Z264" s="1007" t="s">
        <v>75</v>
      </c>
      <c r="AB264" s="1008">
        <v>46084</v>
      </c>
      <c r="AC264" s="1007">
        <v>10</v>
      </c>
      <c r="AD264" s="1007" t="s">
        <v>1336</v>
      </c>
      <c r="AF264" s="1007" t="s">
        <v>122</v>
      </c>
      <c r="AG264" s="1007" t="s">
        <v>123</v>
      </c>
      <c r="AH264" s="1007" t="s">
        <v>78</v>
      </c>
      <c r="AI264" s="1008">
        <v>46094</v>
      </c>
      <c r="AJ264" s="1008">
        <v>46096</v>
      </c>
      <c r="AK264" s="1008">
        <v>46097</v>
      </c>
      <c r="AL264" s="1008">
        <v>46140</v>
      </c>
      <c r="AM264" s="1008">
        <v>46145</v>
      </c>
      <c r="AN264" s="1008">
        <v>46148</v>
      </c>
      <c r="AO264" s="1007" t="s">
        <v>402</v>
      </c>
      <c r="AP264" s="1007" t="s">
        <v>1329</v>
      </c>
      <c r="AQ264" s="1007" t="s">
        <v>80</v>
      </c>
      <c r="AR264" s="1007" t="s">
        <v>1330</v>
      </c>
      <c r="AS264" s="1007" t="s">
        <v>1331</v>
      </c>
      <c r="AT264" s="1007" t="s">
        <v>1331</v>
      </c>
      <c r="AU264" s="1007">
        <v>51</v>
      </c>
      <c r="AW264" s="1008">
        <v>46148</v>
      </c>
      <c r="AX264" s="1007" t="s">
        <v>973</v>
      </c>
      <c r="AY264" s="1008">
        <v>46159</v>
      </c>
      <c r="AZ264" s="1007">
        <v>8</v>
      </c>
      <c r="BA264" s="1008">
        <v>46156</v>
      </c>
      <c r="BB264" s="1007">
        <v>2026</v>
      </c>
      <c r="BC264" s="1007">
        <v>5</v>
      </c>
      <c r="BD264" s="1007">
        <v>20</v>
      </c>
      <c r="BE264" s="1007">
        <v>36</v>
      </c>
      <c r="BF264" s="1007">
        <v>720</v>
      </c>
      <c r="BG264" s="1007" t="s">
        <v>94</v>
      </c>
      <c r="BH264" s="1007" t="s">
        <v>86</v>
      </c>
    </row>
    <row r="265" spans="1:60">
      <c r="A265" s="1007" t="s">
        <v>1337</v>
      </c>
      <c r="B265" s="1007" t="s">
        <v>111</v>
      </c>
      <c r="C265" s="1007" t="s">
        <v>1333</v>
      </c>
      <c r="D265" s="1007" t="s">
        <v>113</v>
      </c>
      <c r="E265" s="1007" t="s">
        <v>64</v>
      </c>
      <c r="F265" s="1007" t="s">
        <v>65</v>
      </c>
      <c r="G265" s="1007" t="s">
        <v>402</v>
      </c>
      <c r="H265" s="1007" t="s">
        <v>67</v>
      </c>
      <c r="I265" s="1007" t="s">
        <v>822</v>
      </c>
      <c r="J265" s="1007" t="s">
        <v>1327</v>
      </c>
      <c r="M265" s="1007" t="s">
        <v>68</v>
      </c>
      <c r="N265" s="1007" t="s">
        <v>68</v>
      </c>
      <c r="O265" s="1007" t="s">
        <v>70</v>
      </c>
      <c r="P265" s="1007" t="s">
        <v>1334</v>
      </c>
      <c r="Q265" s="1007" t="s">
        <v>1335</v>
      </c>
      <c r="R265" s="1007" t="s">
        <v>73</v>
      </c>
      <c r="S265" s="1007" t="s">
        <v>992</v>
      </c>
      <c r="T265" s="1007">
        <v>630</v>
      </c>
      <c r="U265" s="1007">
        <v>5760</v>
      </c>
      <c r="V265" s="1007">
        <v>3.6288</v>
      </c>
      <c r="W265" s="1007">
        <v>160</v>
      </c>
      <c r="X265" s="1007">
        <v>8</v>
      </c>
      <c r="Y265" s="1007" t="s">
        <v>75</v>
      </c>
      <c r="Z265" s="1007" t="s">
        <v>75</v>
      </c>
      <c r="AB265" s="1008">
        <v>46084</v>
      </c>
      <c r="AC265" s="1007">
        <v>10</v>
      </c>
      <c r="AD265" s="1007" t="s">
        <v>1338</v>
      </c>
      <c r="AF265" s="1007" t="s">
        <v>122</v>
      </c>
      <c r="AG265" s="1007" t="s">
        <v>123</v>
      </c>
      <c r="AH265" s="1007" t="s">
        <v>78</v>
      </c>
      <c r="AI265" s="1008">
        <v>46092</v>
      </c>
      <c r="AJ265" s="1008">
        <v>46094</v>
      </c>
      <c r="AK265" s="1008">
        <v>46094</v>
      </c>
      <c r="AL265" s="1008">
        <v>46143</v>
      </c>
      <c r="AM265" s="1008">
        <v>46144</v>
      </c>
      <c r="AN265" s="1008">
        <v>46144</v>
      </c>
      <c r="AO265" s="1007" t="s">
        <v>402</v>
      </c>
      <c r="AP265" s="1007" t="s">
        <v>1224</v>
      </c>
      <c r="AQ265" s="1007" t="s">
        <v>80</v>
      </c>
      <c r="AR265" s="1007" t="s">
        <v>1339</v>
      </c>
      <c r="AS265" s="1007" t="s">
        <v>1340</v>
      </c>
      <c r="AT265" s="1007" t="s">
        <v>1340</v>
      </c>
      <c r="AU265" s="1007">
        <v>50</v>
      </c>
      <c r="AW265" s="1008">
        <v>46144</v>
      </c>
      <c r="AX265" s="1007" t="s">
        <v>973</v>
      </c>
      <c r="AY265" s="1008">
        <v>46159</v>
      </c>
      <c r="AZ265" s="1007">
        <v>8</v>
      </c>
      <c r="BA265" s="1008">
        <v>46152</v>
      </c>
      <c r="BB265" s="1007">
        <v>2026</v>
      </c>
      <c r="BC265" s="1007">
        <v>5</v>
      </c>
      <c r="BD265" s="1007">
        <v>19</v>
      </c>
      <c r="BE265" s="1007">
        <v>36</v>
      </c>
      <c r="BF265" s="1007">
        <v>720</v>
      </c>
      <c r="BG265" s="1007" t="s">
        <v>94</v>
      </c>
      <c r="BH265" s="1007" t="s">
        <v>86</v>
      </c>
    </row>
    <row r="266" spans="1:60">
      <c r="A266" s="1007" t="s">
        <v>1341</v>
      </c>
      <c r="B266" s="1007" t="s">
        <v>111</v>
      </c>
      <c r="C266" s="1007" t="s">
        <v>1318</v>
      </c>
      <c r="D266" s="1007" t="s">
        <v>63</v>
      </c>
      <c r="E266" s="1007" t="s">
        <v>64</v>
      </c>
      <c r="F266" s="1007" t="s">
        <v>310</v>
      </c>
      <c r="G266" s="1007" t="s">
        <v>402</v>
      </c>
      <c r="H266" s="1007" t="s">
        <v>311</v>
      </c>
      <c r="I266" s="1007" t="s">
        <v>689</v>
      </c>
      <c r="J266" s="1007" t="s">
        <v>1342</v>
      </c>
      <c r="M266" s="1007" t="s">
        <v>68</v>
      </c>
      <c r="N266" s="1007">
        <v>46083</v>
      </c>
      <c r="O266" s="1007" t="s">
        <v>473</v>
      </c>
      <c r="P266" s="1007" t="s">
        <v>474</v>
      </c>
      <c r="Q266" s="1007" t="s">
        <v>1319</v>
      </c>
      <c r="R266" s="1007" t="s">
        <v>73</v>
      </c>
      <c r="S266" s="1007" t="s">
        <v>967</v>
      </c>
      <c r="T266" s="1007">
        <v>460</v>
      </c>
      <c r="U266" s="1007">
        <v>3456</v>
      </c>
      <c r="V266" s="1007">
        <v>1.5897600000000001</v>
      </c>
      <c r="W266" s="1007">
        <v>96</v>
      </c>
      <c r="X266" s="1007">
        <v>4</v>
      </c>
      <c r="Y266" s="1007" t="s">
        <v>75</v>
      </c>
      <c r="Z266" s="1007" t="s">
        <v>75</v>
      </c>
      <c r="AB266" s="1008">
        <v>46083</v>
      </c>
      <c r="AC266" s="1007">
        <v>10</v>
      </c>
      <c r="AD266" s="1007" t="s">
        <v>1343</v>
      </c>
      <c r="AF266" s="1007" t="s">
        <v>122</v>
      </c>
      <c r="AG266" s="1007" t="s">
        <v>123</v>
      </c>
      <c r="AH266" s="1007" t="s">
        <v>314</v>
      </c>
      <c r="AI266" s="1008">
        <v>46092</v>
      </c>
      <c r="AJ266" s="1008">
        <v>46094</v>
      </c>
      <c r="AK266" s="1008">
        <v>46094</v>
      </c>
      <c r="AL266" s="1008">
        <v>46138</v>
      </c>
      <c r="AM266" s="1008">
        <v>46148</v>
      </c>
      <c r="AN266" s="1008">
        <v>46148</v>
      </c>
      <c r="AO266" s="1007" t="s">
        <v>402</v>
      </c>
      <c r="AP266" s="1007" t="s">
        <v>1224</v>
      </c>
      <c r="AQ266" s="1007" t="s">
        <v>80</v>
      </c>
      <c r="AR266" s="1007" t="s">
        <v>1344</v>
      </c>
      <c r="AS266" s="1007" t="s">
        <v>1345</v>
      </c>
      <c r="AT266" s="1007" t="s">
        <v>1345</v>
      </c>
      <c r="AU266" s="1007">
        <v>54</v>
      </c>
      <c r="AW266" s="1008">
        <v>46148</v>
      </c>
      <c r="AX266" s="1007" t="s">
        <v>973</v>
      </c>
      <c r="AY266" s="1008">
        <v>46161</v>
      </c>
      <c r="AZ266" s="1007">
        <v>13</v>
      </c>
      <c r="BA266" s="1008">
        <v>46161</v>
      </c>
      <c r="BB266" s="1007">
        <v>2026</v>
      </c>
      <c r="BC266" s="1007">
        <v>5</v>
      </c>
      <c r="BD266" s="1007">
        <v>21</v>
      </c>
      <c r="BE266" s="1007">
        <v>36</v>
      </c>
      <c r="BF266" s="1007">
        <v>864</v>
      </c>
      <c r="BG266" s="1007" t="s">
        <v>85</v>
      </c>
      <c r="BH266" s="1007" t="s">
        <v>86</v>
      </c>
    </row>
    <row r="267" spans="1:60">
      <c r="A267" s="1007" t="s">
        <v>1346</v>
      </c>
      <c r="B267" s="1007" t="s">
        <v>111</v>
      </c>
      <c r="C267" s="1007" t="s">
        <v>203</v>
      </c>
      <c r="D267" s="1007" t="s">
        <v>63</v>
      </c>
      <c r="E267" s="1007" t="s">
        <v>144</v>
      </c>
      <c r="F267" s="1007" t="s">
        <v>145</v>
      </c>
      <c r="G267" s="1007" t="s">
        <v>402</v>
      </c>
      <c r="H267" s="1007" t="s">
        <v>538</v>
      </c>
      <c r="I267" s="1007" t="s">
        <v>882</v>
      </c>
      <c r="J267" s="1007" t="s">
        <v>1232</v>
      </c>
      <c r="K267" s="1007" t="s">
        <v>1233</v>
      </c>
      <c r="M267" s="1007" t="s">
        <v>840</v>
      </c>
      <c r="N267" s="1007">
        <v>46045</v>
      </c>
      <c r="O267" s="1007" t="s">
        <v>1032</v>
      </c>
      <c r="P267" s="1007" t="s">
        <v>1347</v>
      </c>
      <c r="Q267" s="1007" t="s">
        <v>1348</v>
      </c>
      <c r="R267" s="1007" t="s">
        <v>73</v>
      </c>
      <c r="S267" s="1007" t="s">
        <v>992</v>
      </c>
      <c r="T267" s="1007">
        <v>710</v>
      </c>
      <c r="U267" s="1007">
        <v>132</v>
      </c>
      <c r="V267" s="1007">
        <v>9.3719999999999998E-2</v>
      </c>
      <c r="W267" s="1007">
        <v>4</v>
      </c>
      <c r="X267" s="1007">
        <v>0.22222222222222221</v>
      </c>
      <c r="Y267" s="1007" t="s">
        <v>75</v>
      </c>
      <c r="Z267" s="1007" t="s">
        <v>75</v>
      </c>
      <c r="AB267" s="1008">
        <v>46086</v>
      </c>
      <c r="AC267" s="1007">
        <v>10</v>
      </c>
      <c r="AD267" s="1007" t="s">
        <v>1349</v>
      </c>
      <c r="AF267" s="1007" t="s">
        <v>122</v>
      </c>
      <c r="AG267" s="1007" t="s">
        <v>123</v>
      </c>
      <c r="AH267" s="1007" t="s">
        <v>541</v>
      </c>
      <c r="AI267" s="1008">
        <v>46091</v>
      </c>
      <c r="AJ267" s="1008">
        <v>46091</v>
      </c>
      <c r="AK267" s="1008">
        <v>46091</v>
      </c>
      <c r="AL267" s="1008">
        <v>46154</v>
      </c>
      <c r="AM267" s="1008">
        <v>46161</v>
      </c>
      <c r="AN267" s="1008">
        <v>46162</v>
      </c>
      <c r="AO267" s="1007" t="s">
        <v>402</v>
      </c>
      <c r="AP267" s="1007" t="s">
        <v>1350</v>
      </c>
      <c r="AQ267" s="1007" t="s">
        <v>161</v>
      </c>
      <c r="AR267" s="1007" t="s">
        <v>1351</v>
      </c>
      <c r="AS267" s="1007" t="s">
        <v>1352</v>
      </c>
      <c r="AT267" s="1007" t="s">
        <v>1353</v>
      </c>
      <c r="AU267" s="1007">
        <v>71</v>
      </c>
      <c r="AW267" s="1008">
        <v>46162</v>
      </c>
      <c r="AX267" s="1007" t="s">
        <v>973</v>
      </c>
      <c r="AY267" s="1008">
        <v>46167</v>
      </c>
      <c r="AZ267" s="1007">
        <v>0</v>
      </c>
      <c r="BA267" s="1008">
        <v>46162</v>
      </c>
      <c r="BB267" s="1007">
        <v>2026</v>
      </c>
      <c r="BC267" s="1007">
        <v>5</v>
      </c>
      <c r="BD267" s="1007">
        <v>21</v>
      </c>
      <c r="BE267" s="1007">
        <v>33</v>
      </c>
      <c r="BF267" s="1007">
        <v>594</v>
      </c>
      <c r="BG267" s="1007" t="s">
        <v>128</v>
      </c>
      <c r="BH267" s="1007" t="s">
        <v>109</v>
      </c>
    </row>
    <row r="268" spans="1:60">
      <c r="A268" s="1007" t="s">
        <v>1354</v>
      </c>
      <c r="B268" s="1007" t="s">
        <v>111</v>
      </c>
      <c r="C268" s="1007" t="s">
        <v>203</v>
      </c>
      <c r="D268" s="1007" t="s">
        <v>63</v>
      </c>
      <c r="E268" s="1007" t="s">
        <v>144</v>
      </c>
      <c r="F268" s="1007" t="s">
        <v>145</v>
      </c>
      <c r="G268" s="1007" t="s">
        <v>402</v>
      </c>
      <c r="H268" s="1007" t="s">
        <v>538</v>
      </c>
      <c r="I268" s="1007" t="s">
        <v>882</v>
      </c>
      <c r="J268" s="1007" t="s">
        <v>1232</v>
      </c>
      <c r="K268" s="1007" t="s">
        <v>1233</v>
      </c>
      <c r="M268" s="1007" t="s">
        <v>840</v>
      </c>
      <c r="N268" s="1007">
        <v>46045</v>
      </c>
      <c r="O268" s="1007" t="s">
        <v>1032</v>
      </c>
      <c r="P268" s="1007" t="s">
        <v>1355</v>
      </c>
      <c r="Q268" s="1007" t="s">
        <v>1356</v>
      </c>
      <c r="R268" s="1007" t="s">
        <v>73</v>
      </c>
      <c r="S268" s="1007" t="s">
        <v>992</v>
      </c>
      <c r="T268" s="1007">
        <v>715</v>
      </c>
      <c r="U268" s="1007">
        <v>462</v>
      </c>
      <c r="V268" s="1007">
        <v>0.33033000000000001</v>
      </c>
      <c r="W268" s="1007">
        <v>14</v>
      </c>
      <c r="X268" s="1007">
        <v>0.77777777777777779</v>
      </c>
      <c r="Y268" s="1007" t="s">
        <v>75</v>
      </c>
      <c r="Z268" s="1007" t="s">
        <v>75</v>
      </c>
      <c r="AB268" s="1008">
        <v>46086</v>
      </c>
      <c r="AC268" s="1007">
        <v>10</v>
      </c>
      <c r="AD268" s="1007" t="s">
        <v>1357</v>
      </c>
      <c r="AF268" s="1007" t="s">
        <v>122</v>
      </c>
      <c r="AG268" s="1007" t="s">
        <v>123</v>
      </c>
      <c r="AH268" s="1007" t="s">
        <v>541</v>
      </c>
      <c r="AI268" s="1008">
        <v>46091</v>
      </c>
      <c r="AJ268" s="1008">
        <v>46091</v>
      </c>
      <c r="AK268" s="1008">
        <v>46091</v>
      </c>
      <c r="AL268" s="1008">
        <v>46154</v>
      </c>
      <c r="AM268" s="1008">
        <v>46161</v>
      </c>
      <c r="AN268" s="1008">
        <v>46162</v>
      </c>
      <c r="AO268" s="1007" t="s">
        <v>402</v>
      </c>
      <c r="AP268" s="1007" t="s">
        <v>1350</v>
      </c>
      <c r="AQ268" s="1007" t="s">
        <v>161</v>
      </c>
      <c r="AR268" s="1007" t="s">
        <v>1351</v>
      </c>
      <c r="AS268" s="1007" t="s">
        <v>1352</v>
      </c>
      <c r="AT268" s="1007" t="s">
        <v>1353</v>
      </c>
      <c r="AU268" s="1007">
        <v>71</v>
      </c>
      <c r="AW268" s="1008">
        <v>46162</v>
      </c>
      <c r="AX268" s="1007" t="s">
        <v>973</v>
      </c>
      <c r="AY268" s="1008">
        <v>46167</v>
      </c>
      <c r="AZ268" s="1007">
        <v>0</v>
      </c>
      <c r="BA268" s="1008">
        <v>46162</v>
      </c>
      <c r="BB268" s="1007">
        <v>2026</v>
      </c>
      <c r="BC268" s="1007">
        <v>5</v>
      </c>
      <c r="BD268" s="1007">
        <v>21</v>
      </c>
      <c r="BE268" s="1007">
        <v>33</v>
      </c>
      <c r="BF268" s="1007">
        <v>594</v>
      </c>
      <c r="BG268" s="1007" t="s">
        <v>128</v>
      </c>
      <c r="BH268" s="1007" t="s">
        <v>109</v>
      </c>
    </row>
    <row r="269" spans="1:60">
      <c r="A269" s="1007" t="s">
        <v>1358</v>
      </c>
      <c r="B269" s="1007" t="s">
        <v>61</v>
      </c>
      <c r="C269" s="1007" t="s">
        <v>1016</v>
      </c>
      <c r="D269" s="1007" t="s">
        <v>63</v>
      </c>
      <c r="E269" s="1007" t="s">
        <v>64</v>
      </c>
      <c r="F269" s="1007" t="s">
        <v>100</v>
      </c>
      <c r="G269" s="1007" t="s">
        <v>402</v>
      </c>
      <c r="H269" s="1007" t="s">
        <v>67</v>
      </c>
      <c r="I269" s="1007" t="s">
        <v>689</v>
      </c>
      <c r="J269" s="1007" t="s">
        <v>1132</v>
      </c>
      <c r="M269" s="1007" t="s">
        <v>840</v>
      </c>
      <c r="N269" s="1007">
        <v>46069</v>
      </c>
      <c r="O269" s="1007" t="s">
        <v>70</v>
      </c>
      <c r="P269" s="1007" t="s">
        <v>195</v>
      </c>
      <c r="Q269" s="1007" t="s">
        <v>196</v>
      </c>
      <c r="R269" s="1007" t="s">
        <v>73</v>
      </c>
      <c r="S269" s="1007" t="s">
        <v>967</v>
      </c>
      <c r="T269" s="1007">
        <v>450</v>
      </c>
      <c r="U269" s="1007">
        <v>4680</v>
      </c>
      <c r="V269" s="1007">
        <v>2.1059999999999999</v>
      </c>
      <c r="W269" s="1007">
        <v>130</v>
      </c>
      <c r="X269" s="1007">
        <v>5</v>
      </c>
      <c r="Y269" s="1007" t="s">
        <v>75</v>
      </c>
      <c r="Z269" s="1007" t="s">
        <v>75</v>
      </c>
      <c r="AB269" s="1008">
        <v>46084</v>
      </c>
      <c r="AC269" s="1007">
        <v>10</v>
      </c>
      <c r="AD269" s="1007" t="s">
        <v>1359</v>
      </c>
      <c r="AF269" s="1007" t="s">
        <v>77</v>
      </c>
      <c r="AG269" s="1007" t="s">
        <v>61</v>
      </c>
      <c r="AH269" s="1007" t="s">
        <v>105</v>
      </c>
      <c r="AI269" s="1008">
        <v>46088</v>
      </c>
      <c r="AJ269" s="1008">
        <v>46088</v>
      </c>
      <c r="AK269" s="1008">
        <v>46088</v>
      </c>
      <c r="AL269" s="1008">
        <v>46141</v>
      </c>
      <c r="AM269" s="1008">
        <v>46142</v>
      </c>
      <c r="AN269" s="1008">
        <v>46141</v>
      </c>
      <c r="AO269" s="1007" t="s">
        <v>402</v>
      </c>
      <c r="AP269" s="1007" t="s">
        <v>889</v>
      </c>
      <c r="AQ269" s="1007" t="s">
        <v>80</v>
      </c>
      <c r="AR269" s="1007" t="s">
        <v>1360</v>
      </c>
      <c r="AS269" s="1007" t="s">
        <v>1361</v>
      </c>
      <c r="AT269" s="1007" t="s">
        <v>1361</v>
      </c>
      <c r="AU269" s="1007">
        <v>53</v>
      </c>
      <c r="AW269" s="1008">
        <v>46141</v>
      </c>
      <c r="AX269" s="1007" t="s">
        <v>973</v>
      </c>
      <c r="AY269" s="1008">
        <v>46162</v>
      </c>
      <c r="AZ269" s="1007">
        <v>7</v>
      </c>
      <c r="BA269" s="1008">
        <v>46148</v>
      </c>
      <c r="BB269" s="1007">
        <v>2026</v>
      </c>
      <c r="BC269" s="1007">
        <v>5</v>
      </c>
      <c r="BD269" s="1007">
        <v>19</v>
      </c>
      <c r="BE269" s="1007">
        <v>36</v>
      </c>
      <c r="BF269" s="1007">
        <v>936</v>
      </c>
      <c r="BG269" s="1007" t="s">
        <v>85</v>
      </c>
      <c r="BH269" s="1007" t="s">
        <v>109</v>
      </c>
    </row>
    <row r="270" spans="1:60">
      <c r="A270" s="1007" t="s">
        <v>1362</v>
      </c>
      <c r="B270" s="1007" t="s">
        <v>61</v>
      </c>
      <c r="C270" s="1007" t="s">
        <v>1016</v>
      </c>
      <c r="D270" s="1007" t="s">
        <v>63</v>
      </c>
      <c r="E270" s="1007" t="s">
        <v>64</v>
      </c>
      <c r="F270" s="1007" t="s">
        <v>100</v>
      </c>
      <c r="G270" s="1007" t="s">
        <v>402</v>
      </c>
      <c r="H270" s="1007" t="s">
        <v>67</v>
      </c>
      <c r="I270" s="1007" t="s">
        <v>689</v>
      </c>
      <c r="J270" s="1007" t="s">
        <v>1363</v>
      </c>
      <c r="M270" s="1007" t="s">
        <v>68</v>
      </c>
      <c r="N270" s="1007">
        <v>46069</v>
      </c>
      <c r="O270" s="1007" t="s">
        <v>70</v>
      </c>
      <c r="P270" s="1007" t="s">
        <v>195</v>
      </c>
      <c r="Q270" s="1007" t="s">
        <v>196</v>
      </c>
      <c r="R270" s="1007" t="s">
        <v>73</v>
      </c>
      <c r="S270" s="1007" t="s">
        <v>967</v>
      </c>
      <c r="T270" s="1007">
        <v>450</v>
      </c>
      <c r="U270" s="1007">
        <v>1872</v>
      </c>
      <c r="V270" s="1007">
        <v>0.84240000000000004</v>
      </c>
      <c r="W270" s="1007">
        <v>52</v>
      </c>
      <c r="X270" s="1007">
        <v>2</v>
      </c>
      <c r="Y270" s="1007" t="s">
        <v>75</v>
      </c>
      <c r="Z270" s="1007" t="s">
        <v>75</v>
      </c>
      <c r="AB270" s="1008">
        <v>46083</v>
      </c>
      <c r="AC270" s="1007">
        <v>10</v>
      </c>
      <c r="AD270" s="1007" t="s">
        <v>1364</v>
      </c>
      <c r="AF270" s="1007" t="s">
        <v>77</v>
      </c>
      <c r="AG270" s="1007" t="s">
        <v>61</v>
      </c>
      <c r="AH270" s="1007" t="s">
        <v>105</v>
      </c>
      <c r="AI270" s="1008">
        <v>46088</v>
      </c>
      <c r="AJ270" s="1008">
        <v>46088</v>
      </c>
      <c r="AK270" s="1008">
        <v>46088</v>
      </c>
      <c r="AL270" s="1008">
        <v>46133</v>
      </c>
      <c r="AM270" s="1008">
        <v>46142</v>
      </c>
      <c r="AN270" s="1008">
        <v>46141</v>
      </c>
      <c r="AO270" s="1007" t="s">
        <v>402</v>
      </c>
      <c r="AP270" s="1007" t="s">
        <v>889</v>
      </c>
      <c r="AQ270" s="1007" t="s">
        <v>80</v>
      </c>
      <c r="AR270" s="1007" t="s">
        <v>1365</v>
      </c>
      <c r="AS270" s="1007" t="s">
        <v>1366</v>
      </c>
      <c r="AT270" s="1007" t="s">
        <v>1366</v>
      </c>
      <c r="AU270" s="1007">
        <v>53</v>
      </c>
      <c r="AW270" s="1008">
        <v>46141</v>
      </c>
      <c r="AX270" s="1007" t="s">
        <v>973</v>
      </c>
      <c r="AY270" s="1008">
        <v>46162</v>
      </c>
      <c r="AZ270" s="1007">
        <v>7</v>
      </c>
      <c r="BA270" s="1008">
        <v>46148</v>
      </c>
      <c r="BB270" s="1007">
        <v>2026</v>
      </c>
      <c r="BC270" s="1007">
        <v>5</v>
      </c>
      <c r="BD270" s="1007">
        <v>19</v>
      </c>
      <c r="BE270" s="1007">
        <v>36</v>
      </c>
      <c r="BF270" s="1007">
        <v>936</v>
      </c>
      <c r="BG270" s="1007" t="s">
        <v>85</v>
      </c>
      <c r="BH270" s="1007" t="s">
        <v>109</v>
      </c>
    </row>
    <row r="271" spans="1:60">
      <c r="A271" s="1007" t="s">
        <v>1367</v>
      </c>
      <c r="B271" s="1007" t="s">
        <v>61</v>
      </c>
      <c r="C271" s="1007" t="s">
        <v>1016</v>
      </c>
      <c r="D271" s="1007" t="s">
        <v>63</v>
      </c>
      <c r="E271" s="1007" t="s">
        <v>64</v>
      </c>
      <c r="F271" s="1007" t="s">
        <v>100</v>
      </c>
      <c r="G271" s="1007" t="s">
        <v>402</v>
      </c>
      <c r="H271" s="1007" t="s">
        <v>67</v>
      </c>
      <c r="I271" s="1007" t="s">
        <v>689</v>
      </c>
      <c r="J271" s="1007" t="s">
        <v>1368</v>
      </c>
      <c r="M271" s="1007" t="s">
        <v>68</v>
      </c>
      <c r="N271" s="1007">
        <v>46069</v>
      </c>
      <c r="O271" s="1007" t="s">
        <v>70</v>
      </c>
      <c r="P271" s="1007" t="s">
        <v>195</v>
      </c>
      <c r="Q271" s="1007" t="s">
        <v>196</v>
      </c>
      <c r="R271" s="1007" t="s">
        <v>73</v>
      </c>
      <c r="S271" s="1007" t="s">
        <v>967</v>
      </c>
      <c r="T271" s="1007">
        <v>450</v>
      </c>
      <c r="U271" s="1007">
        <v>1872</v>
      </c>
      <c r="V271" s="1007">
        <v>0.84240000000000004</v>
      </c>
      <c r="W271" s="1007">
        <v>52</v>
      </c>
      <c r="X271" s="1007">
        <v>2</v>
      </c>
      <c r="Y271" s="1007" t="s">
        <v>75</v>
      </c>
      <c r="Z271" s="1007" t="s">
        <v>75</v>
      </c>
      <c r="AB271" s="1008">
        <v>46083</v>
      </c>
      <c r="AC271" s="1007">
        <v>10</v>
      </c>
      <c r="AD271" s="1007" t="s">
        <v>1369</v>
      </c>
      <c r="AF271" s="1007" t="s">
        <v>77</v>
      </c>
      <c r="AG271" s="1007" t="s">
        <v>61</v>
      </c>
      <c r="AH271" s="1007" t="s">
        <v>105</v>
      </c>
      <c r="AI271" s="1008">
        <v>46088</v>
      </c>
      <c r="AJ271" s="1008">
        <v>46088</v>
      </c>
      <c r="AK271" s="1008">
        <v>46088</v>
      </c>
      <c r="AL271" s="1008">
        <v>46133</v>
      </c>
      <c r="AM271" s="1008">
        <v>46142</v>
      </c>
      <c r="AN271" s="1008">
        <v>46141</v>
      </c>
      <c r="AO271" s="1007" t="s">
        <v>402</v>
      </c>
      <c r="AP271" s="1007" t="s">
        <v>889</v>
      </c>
      <c r="AQ271" s="1007" t="s">
        <v>80</v>
      </c>
      <c r="AR271" s="1007" t="s">
        <v>1365</v>
      </c>
      <c r="AS271" s="1007" t="s">
        <v>1366</v>
      </c>
      <c r="AT271" s="1007" t="s">
        <v>1366</v>
      </c>
      <c r="AU271" s="1007">
        <v>53</v>
      </c>
      <c r="AW271" s="1008">
        <v>46141</v>
      </c>
      <c r="AX271" s="1007" t="s">
        <v>973</v>
      </c>
      <c r="AY271" s="1008">
        <v>46162</v>
      </c>
      <c r="AZ271" s="1007">
        <v>7</v>
      </c>
      <c r="BA271" s="1008">
        <v>46148</v>
      </c>
      <c r="BB271" s="1007">
        <v>2026</v>
      </c>
      <c r="BC271" s="1007">
        <v>5</v>
      </c>
      <c r="BD271" s="1007">
        <v>19</v>
      </c>
      <c r="BE271" s="1007">
        <v>36</v>
      </c>
      <c r="BF271" s="1007">
        <v>936</v>
      </c>
      <c r="BG271" s="1007" t="s">
        <v>85</v>
      </c>
      <c r="BH271" s="1007" t="s">
        <v>109</v>
      </c>
    </row>
    <row r="272" spans="1:60">
      <c r="A272" s="1007" t="s">
        <v>1370</v>
      </c>
      <c r="B272" s="1007" t="s">
        <v>61</v>
      </c>
      <c r="C272" s="1007" t="s">
        <v>1016</v>
      </c>
      <c r="D272" s="1007" t="s">
        <v>63</v>
      </c>
      <c r="E272" s="1007" t="s">
        <v>64</v>
      </c>
      <c r="F272" s="1007" t="s">
        <v>100</v>
      </c>
      <c r="G272" s="1007" t="s">
        <v>402</v>
      </c>
      <c r="H272" s="1007" t="s">
        <v>67</v>
      </c>
      <c r="I272" s="1007" t="s">
        <v>689</v>
      </c>
      <c r="J272" s="1007" t="s">
        <v>1371</v>
      </c>
      <c r="M272" s="1007" t="s">
        <v>68</v>
      </c>
      <c r="N272" s="1007">
        <v>46069</v>
      </c>
      <c r="O272" s="1007" t="s">
        <v>70</v>
      </c>
      <c r="P272" s="1007" t="s">
        <v>195</v>
      </c>
      <c r="Q272" s="1007" t="s">
        <v>196</v>
      </c>
      <c r="R272" s="1007" t="s">
        <v>73</v>
      </c>
      <c r="S272" s="1007" t="s">
        <v>967</v>
      </c>
      <c r="T272" s="1007">
        <v>450</v>
      </c>
      <c r="U272" s="1007">
        <v>936</v>
      </c>
      <c r="V272" s="1007">
        <v>0.42120000000000002</v>
      </c>
      <c r="W272" s="1007">
        <v>26</v>
      </c>
      <c r="X272" s="1007">
        <v>1</v>
      </c>
      <c r="Y272" s="1007" t="s">
        <v>75</v>
      </c>
      <c r="Z272" s="1007" t="s">
        <v>75</v>
      </c>
      <c r="AB272" s="1008">
        <v>46083</v>
      </c>
      <c r="AC272" s="1007">
        <v>10</v>
      </c>
      <c r="AD272" s="1007" t="s">
        <v>1372</v>
      </c>
      <c r="AF272" s="1007" t="s">
        <v>77</v>
      </c>
      <c r="AG272" s="1007" t="s">
        <v>61</v>
      </c>
      <c r="AH272" s="1007" t="s">
        <v>105</v>
      </c>
      <c r="AI272" s="1008">
        <v>46088</v>
      </c>
      <c r="AJ272" s="1008">
        <v>46088</v>
      </c>
      <c r="AK272" s="1008">
        <v>46088</v>
      </c>
      <c r="AL272" s="1008">
        <v>46133</v>
      </c>
      <c r="AM272" s="1008">
        <v>46142</v>
      </c>
      <c r="AN272" s="1008">
        <v>46141</v>
      </c>
      <c r="AO272" s="1007" t="s">
        <v>402</v>
      </c>
      <c r="AP272" s="1007" t="s">
        <v>889</v>
      </c>
      <c r="AQ272" s="1007" t="s">
        <v>80</v>
      </c>
      <c r="AR272" s="1007" t="s">
        <v>1365</v>
      </c>
      <c r="AS272" s="1007" t="s">
        <v>1366</v>
      </c>
      <c r="AT272" s="1007" t="s">
        <v>1366</v>
      </c>
      <c r="AU272" s="1007">
        <v>53</v>
      </c>
      <c r="AW272" s="1008">
        <v>46141</v>
      </c>
      <c r="AX272" s="1007" t="s">
        <v>973</v>
      </c>
      <c r="AY272" s="1008">
        <v>46162</v>
      </c>
      <c r="AZ272" s="1007">
        <v>7</v>
      </c>
      <c r="BA272" s="1008">
        <v>46148</v>
      </c>
      <c r="BB272" s="1007">
        <v>2026</v>
      </c>
      <c r="BC272" s="1007">
        <v>5</v>
      </c>
      <c r="BD272" s="1007">
        <v>19</v>
      </c>
      <c r="BE272" s="1007">
        <v>36</v>
      </c>
      <c r="BF272" s="1007">
        <v>936</v>
      </c>
      <c r="BG272" s="1007" t="s">
        <v>85</v>
      </c>
      <c r="BH272" s="1007" t="s">
        <v>109</v>
      </c>
    </row>
    <row r="273" spans="1:60">
      <c r="A273" s="1007" t="s">
        <v>1373</v>
      </c>
      <c r="B273" s="1007" t="s">
        <v>61</v>
      </c>
      <c r="C273" s="1007" t="s">
        <v>1149</v>
      </c>
      <c r="D273" s="1007" t="s">
        <v>63</v>
      </c>
      <c r="E273" s="1007" t="s">
        <v>64</v>
      </c>
      <c r="F273" s="1007" t="s">
        <v>100</v>
      </c>
      <c r="G273" s="1007" t="s">
        <v>402</v>
      </c>
      <c r="H273" s="1007" t="s">
        <v>67</v>
      </c>
      <c r="I273" s="1007" t="s">
        <v>689</v>
      </c>
      <c r="J273" s="1007" t="s">
        <v>101</v>
      </c>
      <c r="M273" s="1007" t="s">
        <v>68</v>
      </c>
      <c r="N273" s="1007">
        <v>46048</v>
      </c>
      <c r="O273" s="1007" t="s">
        <v>70</v>
      </c>
      <c r="P273" s="1007" t="s">
        <v>1151</v>
      </c>
      <c r="Q273" s="1007" t="s">
        <v>421</v>
      </c>
      <c r="R273" s="1007" t="s">
        <v>73</v>
      </c>
      <c r="S273" s="1007" t="s">
        <v>967</v>
      </c>
      <c r="T273" s="1007">
        <v>505</v>
      </c>
      <c r="U273" s="1007">
        <v>2592</v>
      </c>
      <c r="V273" s="1007">
        <v>1.3089599999999999</v>
      </c>
      <c r="W273" s="1007">
        <v>72</v>
      </c>
      <c r="X273" s="1007">
        <v>3</v>
      </c>
      <c r="Y273" s="1007" t="s">
        <v>75</v>
      </c>
      <c r="Z273" s="1007" t="s">
        <v>75</v>
      </c>
      <c r="AB273" s="1008">
        <v>46083</v>
      </c>
      <c r="AC273" s="1007">
        <v>10</v>
      </c>
      <c r="AD273" s="1007" t="s">
        <v>1374</v>
      </c>
      <c r="AF273" s="1007" t="s">
        <v>77</v>
      </c>
      <c r="AG273" s="1007" t="s">
        <v>61</v>
      </c>
      <c r="AH273" s="1007" t="s">
        <v>105</v>
      </c>
      <c r="AI273" s="1008">
        <v>46088</v>
      </c>
      <c r="AJ273" s="1008">
        <v>46088</v>
      </c>
      <c r="AK273" s="1008">
        <v>46088</v>
      </c>
      <c r="AL273" s="1008">
        <v>46133</v>
      </c>
      <c r="AM273" s="1008">
        <v>46142</v>
      </c>
      <c r="AN273" s="1008">
        <v>46141</v>
      </c>
      <c r="AO273" s="1007" t="s">
        <v>402</v>
      </c>
      <c r="AP273" s="1007" t="s">
        <v>889</v>
      </c>
      <c r="AQ273" s="1007" t="s">
        <v>80</v>
      </c>
      <c r="AR273" s="1007" t="s">
        <v>1365</v>
      </c>
      <c r="AS273" s="1007" t="s">
        <v>1366</v>
      </c>
      <c r="AT273" s="1007" t="s">
        <v>1366</v>
      </c>
      <c r="AU273" s="1007">
        <v>53</v>
      </c>
      <c r="AW273" s="1008">
        <v>46141</v>
      </c>
      <c r="AX273" s="1007" t="s">
        <v>973</v>
      </c>
      <c r="AY273" s="1008">
        <v>46162</v>
      </c>
      <c r="AZ273" s="1007">
        <v>7</v>
      </c>
      <c r="BA273" s="1008">
        <v>46148</v>
      </c>
      <c r="BB273" s="1007">
        <v>2026</v>
      </c>
      <c r="BC273" s="1007">
        <v>5</v>
      </c>
      <c r="BD273" s="1007">
        <v>19</v>
      </c>
      <c r="BE273" s="1007">
        <v>36</v>
      </c>
      <c r="BF273" s="1007">
        <v>864</v>
      </c>
      <c r="BG273" s="1007" t="s">
        <v>85</v>
      </c>
      <c r="BH273" s="1007" t="s">
        <v>109</v>
      </c>
    </row>
    <row r="274" spans="1:60">
      <c r="A274" s="1007" t="s">
        <v>1375</v>
      </c>
      <c r="B274" s="1007" t="s">
        <v>61</v>
      </c>
      <c r="C274" s="1007" t="s">
        <v>1149</v>
      </c>
      <c r="D274" s="1007" t="s">
        <v>63</v>
      </c>
      <c r="E274" s="1007" t="s">
        <v>64</v>
      </c>
      <c r="F274" s="1007" t="s">
        <v>100</v>
      </c>
      <c r="G274" s="1007" t="s">
        <v>402</v>
      </c>
      <c r="H274" s="1007" t="s">
        <v>67</v>
      </c>
      <c r="I274" s="1007" t="s">
        <v>689</v>
      </c>
      <c r="J274" s="1007" t="s">
        <v>1376</v>
      </c>
      <c r="M274" s="1007" t="s">
        <v>68</v>
      </c>
      <c r="N274" s="1007">
        <v>46048</v>
      </c>
      <c r="O274" s="1007" t="s">
        <v>70</v>
      </c>
      <c r="P274" s="1007" t="s">
        <v>1151</v>
      </c>
      <c r="Q274" s="1007" t="s">
        <v>421</v>
      </c>
      <c r="R274" s="1007" t="s">
        <v>73</v>
      </c>
      <c r="S274" s="1007" t="s">
        <v>967</v>
      </c>
      <c r="T274" s="1007">
        <v>505</v>
      </c>
      <c r="U274" s="1007">
        <v>6912</v>
      </c>
      <c r="V274" s="1007">
        <v>3.4905599999999999</v>
      </c>
      <c r="W274" s="1007">
        <v>192</v>
      </c>
      <c r="X274" s="1007">
        <v>8</v>
      </c>
      <c r="Y274" s="1007" t="s">
        <v>75</v>
      </c>
      <c r="Z274" s="1007" t="s">
        <v>75</v>
      </c>
      <c r="AB274" s="1008">
        <v>46083</v>
      </c>
      <c r="AC274" s="1007">
        <v>10</v>
      </c>
      <c r="AD274" s="1007" t="s">
        <v>1377</v>
      </c>
      <c r="AF274" s="1007" t="s">
        <v>77</v>
      </c>
      <c r="AG274" s="1007" t="s">
        <v>61</v>
      </c>
      <c r="AH274" s="1007" t="s">
        <v>105</v>
      </c>
      <c r="AI274" s="1008">
        <v>46088</v>
      </c>
      <c r="AJ274" s="1008">
        <v>46088</v>
      </c>
      <c r="AK274" s="1008">
        <v>46088</v>
      </c>
      <c r="AL274" s="1008">
        <v>46133</v>
      </c>
      <c r="AM274" s="1008">
        <v>46142</v>
      </c>
      <c r="AN274" s="1008">
        <v>46141</v>
      </c>
      <c r="AO274" s="1007" t="s">
        <v>402</v>
      </c>
      <c r="AP274" s="1007" t="s">
        <v>889</v>
      </c>
      <c r="AQ274" s="1007" t="s">
        <v>80</v>
      </c>
      <c r="AR274" s="1007" t="s">
        <v>1378</v>
      </c>
      <c r="AS274" s="1007" t="s">
        <v>1379</v>
      </c>
      <c r="AT274" s="1007" t="s">
        <v>1379</v>
      </c>
      <c r="AU274" s="1007">
        <v>53</v>
      </c>
      <c r="AW274" s="1008">
        <v>46141</v>
      </c>
      <c r="AX274" s="1007" t="s">
        <v>973</v>
      </c>
      <c r="AY274" s="1008">
        <v>46162</v>
      </c>
      <c r="AZ274" s="1007">
        <v>7</v>
      </c>
      <c r="BA274" s="1008">
        <v>46148</v>
      </c>
      <c r="BB274" s="1007">
        <v>2026</v>
      </c>
      <c r="BC274" s="1007">
        <v>5</v>
      </c>
      <c r="BD274" s="1007">
        <v>19</v>
      </c>
      <c r="BE274" s="1007">
        <v>36</v>
      </c>
      <c r="BF274" s="1007">
        <v>864</v>
      </c>
      <c r="BG274" s="1007" t="s">
        <v>85</v>
      </c>
      <c r="BH274" s="1007" t="s">
        <v>109</v>
      </c>
    </row>
    <row r="275" spans="1:60">
      <c r="A275" s="1007" t="s">
        <v>1380</v>
      </c>
      <c r="B275" s="1007" t="s">
        <v>61</v>
      </c>
      <c r="C275" s="1007" t="s">
        <v>1016</v>
      </c>
      <c r="D275" s="1007" t="s">
        <v>63</v>
      </c>
      <c r="E275" s="1007" t="s">
        <v>144</v>
      </c>
      <c r="F275" s="1007" t="s">
        <v>145</v>
      </c>
      <c r="G275" s="1007" t="s">
        <v>402</v>
      </c>
      <c r="H275" s="1007" t="s">
        <v>1381</v>
      </c>
      <c r="I275" s="1007" t="s">
        <v>689</v>
      </c>
      <c r="J275" s="1007" t="s">
        <v>1270</v>
      </c>
      <c r="K275" s="1007" t="s">
        <v>1382</v>
      </c>
      <c r="M275" s="1007" t="s">
        <v>840</v>
      </c>
      <c r="N275" s="1007">
        <v>46076</v>
      </c>
      <c r="O275" s="1007" t="s">
        <v>70</v>
      </c>
      <c r="P275" s="1007" t="s">
        <v>195</v>
      </c>
      <c r="Q275" s="1007" t="s">
        <v>196</v>
      </c>
      <c r="R275" s="1007" t="s">
        <v>73</v>
      </c>
      <c r="S275" s="1007" t="s">
        <v>967</v>
      </c>
      <c r="T275" s="1007">
        <v>450</v>
      </c>
      <c r="U275" s="1007">
        <v>1872</v>
      </c>
      <c r="V275" s="1007">
        <v>0.84240000000000004</v>
      </c>
      <c r="W275" s="1007">
        <v>52</v>
      </c>
      <c r="X275" s="1007">
        <v>2</v>
      </c>
      <c r="Y275" s="1007" t="s">
        <v>75</v>
      </c>
      <c r="Z275" s="1007" t="s">
        <v>75</v>
      </c>
      <c r="AB275" s="1008">
        <v>46082</v>
      </c>
      <c r="AC275" s="1007">
        <v>9</v>
      </c>
      <c r="AD275" s="1007" t="s">
        <v>1383</v>
      </c>
      <c r="AF275" s="1007" t="s">
        <v>77</v>
      </c>
      <c r="AG275" s="1007" t="s">
        <v>61</v>
      </c>
      <c r="AH275" s="1007" t="s">
        <v>105</v>
      </c>
      <c r="AI275" s="1008">
        <v>46088</v>
      </c>
      <c r="AJ275" s="1008">
        <v>46088</v>
      </c>
      <c r="AK275" s="1008">
        <v>46088</v>
      </c>
      <c r="AL275" s="1008">
        <v>46133</v>
      </c>
      <c r="AM275" s="1008">
        <v>46142</v>
      </c>
      <c r="AN275" s="1008">
        <v>46141</v>
      </c>
      <c r="AO275" s="1007" t="s">
        <v>402</v>
      </c>
      <c r="AP275" s="1007" t="s">
        <v>889</v>
      </c>
      <c r="AQ275" s="1007" t="s">
        <v>80</v>
      </c>
      <c r="AR275" s="1007" t="s">
        <v>1384</v>
      </c>
      <c r="AS275" s="1007" t="s">
        <v>1385</v>
      </c>
      <c r="AT275" s="1007" t="s">
        <v>1386</v>
      </c>
      <c r="AU275" s="1007">
        <v>53</v>
      </c>
      <c r="AW275" s="1008">
        <v>46141</v>
      </c>
      <c r="AX275" s="1007" t="s">
        <v>973</v>
      </c>
      <c r="AY275" s="1008">
        <v>46145</v>
      </c>
      <c r="AZ275" s="1007">
        <v>0</v>
      </c>
      <c r="BA275" s="1008">
        <v>46141</v>
      </c>
      <c r="BB275" s="1007">
        <v>2026</v>
      </c>
      <c r="BC275" s="1007">
        <v>4</v>
      </c>
      <c r="BD275" s="1007">
        <v>18</v>
      </c>
      <c r="BE275" s="1007">
        <v>36</v>
      </c>
      <c r="BF275" s="1007">
        <v>936</v>
      </c>
      <c r="BG275" s="1007" t="s">
        <v>85</v>
      </c>
      <c r="BH275" s="1007" t="s">
        <v>109</v>
      </c>
    </row>
    <row r="276" spans="1:60">
      <c r="A276" s="1007" t="s">
        <v>1387</v>
      </c>
      <c r="B276" s="1007" t="s">
        <v>61</v>
      </c>
      <c r="C276" s="1007" t="s">
        <v>1016</v>
      </c>
      <c r="D276" s="1007" t="s">
        <v>63</v>
      </c>
      <c r="E276" s="1007" t="s">
        <v>64</v>
      </c>
      <c r="F276" s="1007" t="s">
        <v>100</v>
      </c>
      <c r="G276" s="1007" t="s">
        <v>402</v>
      </c>
      <c r="H276" s="1007" t="s">
        <v>67</v>
      </c>
      <c r="I276" s="1007" t="s">
        <v>689</v>
      </c>
      <c r="J276" s="1007" t="s">
        <v>1263</v>
      </c>
      <c r="K276" s="1007" t="s">
        <v>1264</v>
      </c>
      <c r="M276" s="1007" t="s">
        <v>840</v>
      </c>
      <c r="N276" s="1007">
        <v>46076</v>
      </c>
      <c r="O276" s="1007" t="s">
        <v>70</v>
      </c>
      <c r="P276" s="1007" t="s">
        <v>195</v>
      </c>
      <c r="Q276" s="1007" t="s">
        <v>196</v>
      </c>
      <c r="R276" s="1007" t="s">
        <v>73</v>
      </c>
      <c r="S276" s="1007" t="s">
        <v>967</v>
      </c>
      <c r="T276" s="1007">
        <v>450</v>
      </c>
      <c r="U276" s="1007">
        <v>2808</v>
      </c>
      <c r="V276" s="1007">
        <v>1.2636000000000001</v>
      </c>
      <c r="W276" s="1007">
        <v>78</v>
      </c>
      <c r="X276" s="1007">
        <v>3</v>
      </c>
      <c r="Y276" s="1007" t="s">
        <v>75</v>
      </c>
      <c r="Z276" s="1007" t="s">
        <v>75</v>
      </c>
      <c r="AB276" s="1008">
        <v>46082</v>
      </c>
      <c r="AC276" s="1007">
        <v>9</v>
      </c>
      <c r="AD276" s="1007" t="s">
        <v>1388</v>
      </c>
      <c r="AF276" s="1007" t="s">
        <v>77</v>
      </c>
      <c r="AG276" s="1007" t="s">
        <v>61</v>
      </c>
      <c r="AH276" s="1007" t="s">
        <v>105</v>
      </c>
      <c r="AI276" s="1008">
        <v>46088</v>
      </c>
      <c r="AJ276" s="1008">
        <v>46088</v>
      </c>
      <c r="AK276" s="1008">
        <v>46088</v>
      </c>
      <c r="AL276" s="1008">
        <v>46133</v>
      </c>
      <c r="AM276" s="1008">
        <v>46142</v>
      </c>
      <c r="AN276" s="1008">
        <v>46141</v>
      </c>
      <c r="AO276" s="1007" t="s">
        <v>402</v>
      </c>
      <c r="AP276" s="1007" t="s">
        <v>889</v>
      </c>
      <c r="AQ276" s="1007" t="s">
        <v>80</v>
      </c>
      <c r="AR276" s="1007" t="s">
        <v>1384</v>
      </c>
      <c r="AS276" s="1007" t="s">
        <v>1386</v>
      </c>
      <c r="AT276" s="1007" t="s">
        <v>1386</v>
      </c>
      <c r="AU276" s="1007">
        <v>53</v>
      </c>
      <c r="AW276" s="1008">
        <v>46141</v>
      </c>
      <c r="AX276" s="1007" t="s">
        <v>973</v>
      </c>
      <c r="AY276" s="1008">
        <v>46153</v>
      </c>
      <c r="AZ276" s="1007">
        <v>7</v>
      </c>
      <c r="BA276" s="1008">
        <v>46148</v>
      </c>
      <c r="BB276" s="1007">
        <v>2026</v>
      </c>
      <c r="BC276" s="1007">
        <v>5</v>
      </c>
      <c r="BD276" s="1007">
        <v>19</v>
      </c>
      <c r="BE276" s="1007">
        <v>36</v>
      </c>
      <c r="BF276" s="1007">
        <v>936</v>
      </c>
      <c r="BG276" s="1007" t="s">
        <v>85</v>
      </c>
      <c r="BH276" s="1007" t="s">
        <v>109</v>
      </c>
    </row>
    <row r="277" spans="1:60">
      <c r="A277" s="1007" t="s">
        <v>1389</v>
      </c>
      <c r="B277" s="1007" t="s">
        <v>61</v>
      </c>
      <c r="C277" s="1007" t="s">
        <v>1016</v>
      </c>
      <c r="D277" s="1007" t="s">
        <v>63</v>
      </c>
      <c r="E277" s="1007" t="s">
        <v>144</v>
      </c>
      <c r="F277" s="1007" t="s">
        <v>145</v>
      </c>
      <c r="G277" s="1007" t="s">
        <v>402</v>
      </c>
      <c r="H277" s="1007" t="s">
        <v>1381</v>
      </c>
      <c r="I277" s="1007" t="s">
        <v>689</v>
      </c>
      <c r="J277" s="1007" t="s">
        <v>1270</v>
      </c>
      <c r="K277" s="1007" t="s">
        <v>1382</v>
      </c>
      <c r="M277" s="1007" t="s">
        <v>840</v>
      </c>
      <c r="N277" s="1007">
        <v>46076</v>
      </c>
      <c r="O277" s="1007" t="s">
        <v>70</v>
      </c>
      <c r="P277" s="1007" t="s">
        <v>195</v>
      </c>
      <c r="Q277" s="1007" t="s">
        <v>196</v>
      </c>
      <c r="R277" s="1007" t="s">
        <v>73</v>
      </c>
      <c r="S277" s="1007" t="s">
        <v>967</v>
      </c>
      <c r="T277" s="1007">
        <v>450</v>
      </c>
      <c r="U277" s="1007">
        <v>4680</v>
      </c>
      <c r="V277" s="1007">
        <v>2.1059999999999999</v>
      </c>
      <c r="W277" s="1007">
        <v>130</v>
      </c>
      <c r="X277" s="1007">
        <v>5</v>
      </c>
      <c r="Y277" s="1007" t="s">
        <v>75</v>
      </c>
      <c r="Z277" s="1007" t="s">
        <v>75</v>
      </c>
      <c r="AB277" s="1008">
        <v>46082</v>
      </c>
      <c r="AC277" s="1007">
        <v>9</v>
      </c>
      <c r="AD277" s="1007" t="s">
        <v>1383</v>
      </c>
      <c r="AF277" s="1007" t="s">
        <v>77</v>
      </c>
      <c r="AG277" s="1007" t="s">
        <v>61</v>
      </c>
      <c r="AH277" s="1007" t="s">
        <v>105</v>
      </c>
      <c r="AI277" s="1008">
        <v>46088</v>
      </c>
      <c r="AJ277" s="1008">
        <v>46088</v>
      </c>
      <c r="AK277" s="1008">
        <v>46088</v>
      </c>
      <c r="AL277" s="1008">
        <v>46133</v>
      </c>
      <c r="AM277" s="1008">
        <v>46142</v>
      </c>
      <c r="AN277" s="1008">
        <v>46141</v>
      </c>
      <c r="AO277" s="1007" t="s">
        <v>402</v>
      </c>
      <c r="AP277" s="1007" t="s">
        <v>889</v>
      </c>
      <c r="AQ277" s="1007" t="s">
        <v>80</v>
      </c>
      <c r="AR277" s="1007" t="s">
        <v>1384</v>
      </c>
      <c r="AS277" s="1007" t="s">
        <v>1385</v>
      </c>
      <c r="AT277" s="1007" t="s">
        <v>1385</v>
      </c>
      <c r="AU277" s="1007">
        <v>53</v>
      </c>
      <c r="AW277" s="1008">
        <v>46141</v>
      </c>
      <c r="AX277" s="1007" t="s">
        <v>973</v>
      </c>
      <c r="AY277" s="1008">
        <v>46145</v>
      </c>
      <c r="AZ277" s="1007">
        <v>0</v>
      </c>
      <c r="BA277" s="1008">
        <v>46141</v>
      </c>
      <c r="BB277" s="1007">
        <v>2026</v>
      </c>
      <c r="BC277" s="1007">
        <v>4</v>
      </c>
      <c r="BD277" s="1007">
        <v>18</v>
      </c>
      <c r="BE277" s="1007">
        <v>36</v>
      </c>
      <c r="BF277" s="1007">
        <v>936</v>
      </c>
      <c r="BG277" s="1007" t="s">
        <v>85</v>
      </c>
      <c r="BH277" s="1007" t="s">
        <v>109</v>
      </c>
    </row>
    <row r="278" spans="1:60">
      <c r="A278" s="1007" t="s">
        <v>1390</v>
      </c>
      <c r="B278" s="1007" t="s">
        <v>61</v>
      </c>
      <c r="C278" s="1007" t="s">
        <v>1176</v>
      </c>
      <c r="D278" s="1007" t="s">
        <v>113</v>
      </c>
      <c r="E278" s="1007" t="s">
        <v>64</v>
      </c>
      <c r="F278" s="1007" t="s">
        <v>65</v>
      </c>
      <c r="G278" s="1007" t="s">
        <v>402</v>
      </c>
      <c r="H278" s="1007" t="s">
        <v>67</v>
      </c>
      <c r="I278" s="1007" t="s">
        <v>822</v>
      </c>
      <c r="J278" s="1007" t="s">
        <v>1177</v>
      </c>
      <c r="M278" s="1007" t="s">
        <v>68</v>
      </c>
      <c r="N278" s="1007">
        <v>46045</v>
      </c>
      <c r="O278" s="1007" t="s">
        <v>713</v>
      </c>
      <c r="P278" s="1007" t="s">
        <v>714</v>
      </c>
      <c r="Q278" s="1007" t="s">
        <v>1173</v>
      </c>
      <c r="R278" s="1007" t="s">
        <v>73</v>
      </c>
      <c r="S278" s="1007" t="s">
        <v>1166</v>
      </c>
      <c r="T278" s="1007">
        <v>625</v>
      </c>
      <c r="U278" s="1007">
        <v>7488</v>
      </c>
      <c r="V278" s="1007">
        <v>4.68</v>
      </c>
      <c r="W278" s="1007">
        <v>208</v>
      </c>
      <c r="X278" s="1007">
        <v>13</v>
      </c>
      <c r="Y278" s="1007" t="s">
        <v>75</v>
      </c>
      <c r="Z278" s="1007" t="s">
        <v>75</v>
      </c>
      <c r="AB278" s="1008">
        <v>46086</v>
      </c>
      <c r="AC278" s="1007">
        <v>10</v>
      </c>
      <c r="AD278" s="1007" t="s">
        <v>1391</v>
      </c>
      <c r="AF278" s="1007" t="s">
        <v>77</v>
      </c>
      <c r="AG278" s="1007" t="s">
        <v>61</v>
      </c>
      <c r="AH278" s="1007" t="s">
        <v>356</v>
      </c>
      <c r="AI278" s="1008">
        <v>46091</v>
      </c>
      <c r="AJ278" s="1008">
        <v>46091</v>
      </c>
      <c r="AK278" s="1008">
        <v>46091</v>
      </c>
      <c r="AL278" s="1008">
        <v>46140</v>
      </c>
      <c r="AM278" s="1008">
        <v>46140</v>
      </c>
      <c r="AN278" s="1008">
        <v>46140</v>
      </c>
      <c r="AO278" s="1007" t="s">
        <v>402</v>
      </c>
      <c r="AP278" s="1007" t="s">
        <v>1392</v>
      </c>
      <c r="AQ278" s="1007" t="s">
        <v>161</v>
      </c>
      <c r="AR278" s="1007" t="s">
        <v>1393</v>
      </c>
      <c r="AS278" s="1007">
        <v>273285388</v>
      </c>
      <c r="AT278" s="1007">
        <v>273285388</v>
      </c>
      <c r="AU278" s="1007">
        <v>49</v>
      </c>
      <c r="AW278" s="1008">
        <v>46140</v>
      </c>
      <c r="AX278" s="1007" t="s">
        <v>973</v>
      </c>
      <c r="AY278" s="1008">
        <v>46152</v>
      </c>
      <c r="AZ278" s="1007">
        <v>8</v>
      </c>
      <c r="BA278" s="1008">
        <v>46148</v>
      </c>
      <c r="BB278" s="1007">
        <v>2026</v>
      </c>
      <c r="BC278" s="1007">
        <v>5</v>
      </c>
      <c r="BD278" s="1007">
        <v>19</v>
      </c>
      <c r="BE278" s="1007">
        <v>36</v>
      </c>
      <c r="BF278" s="1007">
        <v>576</v>
      </c>
      <c r="BG278" s="1007" t="s">
        <v>108</v>
      </c>
      <c r="BH278" s="1007" t="s">
        <v>109</v>
      </c>
    </row>
    <row r="279" spans="1:60">
      <c r="A279" s="1007" t="s">
        <v>1394</v>
      </c>
      <c r="B279" s="1007" t="s">
        <v>61</v>
      </c>
      <c r="C279" s="1007" t="s">
        <v>1149</v>
      </c>
      <c r="D279" s="1007" t="s">
        <v>63</v>
      </c>
      <c r="E279" s="1007" t="s">
        <v>64</v>
      </c>
      <c r="F279" s="1007" t="s">
        <v>65</v>
      </c>
      <c r="G279" s="1007" t="s">
        <v>402</v>
      </c>
      <c r="H279" s="1007" t="s">
        <v>67</v>
      </c>
      <c r="I279" s="1007" t="s">
        <v>1395</v>
      </c>
      <c r="J279" s="1007" t="s">
        <v>96</v>
      </c>
      <c r="M279" s="1007" t="s">
        <v>68</v>
      </c>
      <c r="N279" s="1007">
        <v>46048</v>
      </c>
      <c r="O279" s="1007" t="s">
        <v>70</v>
      </c>
      <c r="P279" s="1007" t="s">
        <v>1151</v>
      </c>
      <c r="Q279" s="1007" t="s">
        <v>421</v>
      </c>
      <c r="R279" s="1007" t="s">
        <v>73</v>
      </c>
      <c r="S279" s="1007" t="s">
        <v>967</v>
      </c>
      <c r="T279" s="1007">
        <v>505</v>
      </c>
      <c r="U279" s="1007">
        <v>4320</v>
      </c>
      <c r="V279" s="1007">
        <v>2.1816</v>
      </c>
      <c r="W279" s="1007">
        <v>120</v>
      </c>
      <c r="X279" s="1007">
        <v>5</v>
      </c>
      <c r="Y279" s="1007" t="s">
        <v>951</v>
      </c>
      <c r="Z279" s="1007" t="s">
        <v>75</v>
      </c>
      <c r="AB279" s="1008">
        <v>46083</v>
      </c>
      <c r="AC279" s="1007">
        <v>10</v>
      </c>
      <c r="AD279" s="1007" t="s">
        <v>1396</v>
      </c>
      <c r="AF279" s="1007" t="s">
        <v>77</v>
      </c>
      <c r="AG279" s="1007" t="s">
        <v>61</v>
      </c>
      <c r="AH279" s="1007" t="s">
        <v>78</v>
      </c>
      <c r="AI279" s="1008">
        <v>46088</v>
      </c>
      <c r="AJ279" s="1008">
        <v>46088</v>
      </c>
      <c r="AK279" s="1008">
        <v>46088</v>
      </c>
      <c r="AL279" s="1008">
        <v>46153</v>
      </c>
      <c r="AM279" s="1008">
        <v>46184</v>
      </c>
      <c r="AN279" s="1008">
        <v>46184</v>
      </c>
      <c r="AO279" s="1007" t="s">
        <v>402</v>
      </c>
      <c r="AP279" s="1007" t="s">
        <v>889</v>
      </c>
      <c r="AQ279" s="1007" t="s">
        <v>80</v>
      </c>
      <c r="AR279" s="1007" t="s">
        <v>1397</v>
      </c>
      <c r="AS279" s="1007" t="s">
        <v>1398</v>
      </c>
      <c r="AT279" s="1007" t="s">
        <v>1398</v>
      </c>
      <c r="AU279" s="1007">
        <v>96</v>
      </c>
      <c r="AW279" s="1008">
        <v>46184</v>
      </c>
      <c r="AX279" s="1007" t="s">
        <v>973</v>
      </c>
      <c r="AY279" s="1008">
        <v>46198</v>
      </c>
      <c r="AZ279" s="1007">
        <v>8</v>
      </c>
      <c r="BA279" s="1008">
        <v>46192</v>
      </c>
      <c r="BB279" s="1007">
        <v>2026</v>
      </c>
      <c r="BC279" s="1007">
        <v>6</v>
      </c>
      <c r="BD279" s="1007">
        <v>25</v>
      </c>
      <c r="BE279" s="1007">
        <v>36</v>
      </c>
      <c r="BF279" s="1007">
        <v>864</v>
      </c>
      <c r="BG279" s="1007" t="s">
        <v>85</v>
      </c>
      <c r="BH279" s="1007" t="s">
        <v>86</v>
      </c>
    </row>
    <row r="280" spans="1:60">
      <c r="A280" s="1007" t="s">
        <v>1399</v>
      </c>
      <c r="B280" s="1007" t="s">
        <v>111</v>
      </c>
      <c r="C280" s="1007" t="s">
        <v>1400</v>
      </c>
      <c r="D280" s="1007" t="s">
        <v>113</v>
      </c>
      <c r="E280" s="1007" t="s">
        <v>144</v>
      </c>
      <c r="F280" s="1007" t="s">
        <v>145</v>
      </c>
      <c r="G280" s="1007" t="s">
        <v>156</v>
      </c>
      <c r="H280" s="1007" t="s">
        <v>68</v>
      </c>
      <c r="I280" s="1007" t="s">
        <v>68</v>
      </c>
      <c r="J280" s="1007" t="s">
        <v>1401</v>
      </c>
      <c r="K280" s="1007" t="s">
        <v>1402</v>
      </c>
      <c r="M280" s="1007" t="s">
        <v>68</v>
      </c>
      <c r="N280" s="1007">
        <v>46076</v>
      </c>
      <c r="O280" s="1007" t="s">
        <v>70</v>
      </c>
      <c r="P280" s="1007" t="s">
        <v>329</v>
      </c>
      <c r="Q280" s="1007" t="s">
        <v>330</v>
      </c>
      <c r="R280" s="1007" t="s">
        <v>331</v>
      </c>
      <c r="S280" s="1007" t="s">
        <v>992</v>
      </c>
      <c r="T280" s="1007">
        <v>625</v>
      </c>
      <c r="U280" s="1007">
        <v>12240</v>
      </c>
      <c r="V280" s="1007">
        <v>7.65</v>
      </c>
      <c r="W280" s="1007">
        <v>340</v>
      </c>
      <c r="X280" s="1007">
        <v>17</v>
      </c>
      <c r="Y280" s="1007" t="s">
        <v>75</v>
      </c>
      <c r="Z280" s="1007" t="s">
        <v>75</v>
      </c>
      <c r="AB280" s="1008">
        <v>46089</v>
      </c>
      <c r="AC280" s="1007">
        <v>10</v>
      </c>
      <c r="AD280" s="1007" t="s">
        <v>1403</v>
      </c>
      <c r="AF280" s="1007" t="s">
        <v>122</v>
      </c>
      <c r="AG280" s="1007" t="s">
        <v>123</v>
      </c>
      <c r="AH280" s="1007" t="s">
        <v>1404</v>
      </c>
      <c r="AI280" s="1008">
        <v>46092</v>
      </c>
      <c r="AJ280" s="1008">
        <v>46098</v>
      </c>
      <c r="AK280" s="1008">
        <v>46098</v>
      </c>
      <c r="AL280" s="1008">
        <v>46146</v>
      </c>
      <c r="AM280" s="1008">
        <v>46160</v>
      </c>
      <c r="AN280" s="1008">
        <v>46158</v>
      </c>
      <c r="AO280" s="1007" t="s">
        <v>156</v>
      </c>
      <c r="AP280" s="1007" t="s">
        <v>1405</v>
      </c>
      <c r="AQ280" s="1007" t="s">
        <v>161</v>
      </c>
      <c r="AR280" s="1007" t="s">
        <v>1406</v>
      </c>
      <c r="AS280" s="1007" t="s">
        <v>1407</v>
      </c>
      <c r="AT280" s="1007" t="s">
        <v>1408</v>
      </c>
      <c r="AU280" s="1007">
        <v>60</v>
      </c>
      <c r="AW280" s="1008">
        <v>46158</v>
      </c>
      <c r="AX280" s="1007" t="s">
        <v>973</v>
      </c>
      <c r="AY280" s="1008">
        <v>46159</v>
      </c>
      <c r="AZ280" s="1007">
        <v>0</v>
      </c>
      <c r="BA280" s="1008">
        <v>46158</v>
      </c>
      <c r="BB280" s="1007">
        <v>2026</v>
      </c>
      <c r="BC280" s="1007">
        <v>5</v>
      </c>
      <c r="BD280" s="1007">
        <v>20</v>
      </c>
      <c r="BE280" s="1007">
        <v>36</v>
      </c>
      <c r="BF280" s="1007">
        <v>720</v>
      </c>
      <c r="BG280" s="1007" t="s">
        <v>128</v>
      </c>
      <c r="BH280" s="1007" t="s">
        <v>68</v>
      </c>
    </row>
    <row r="281" spans="1:60">
      <c r="A281" s="1007" t="s">
        <v>1409</v>
      </c>
      <c r="B281" s="1007" t="s">
        <v>111</v>
      </c>
      <c r="C281" s="1007" t="s">
        <v>1410</v>
      </c>
      <c r="D281" s="1007" t="s">
        <v>113</v>
      </c>
      <c r="E281" s="1007" t="s">
        <v>144</v>
      </c>
      <c r="F281" s="1007" t="s">
        <v>145</v>
      </c>
      <c r="G281" s="1007" t="s">
        <v>156</v>
      </c>
      <c r="H281" s="1007" t="s">
        <v>68</v>
      </c>
      <c r="I281" s="1007" t="s">
        <v>68</v>
      </c>
      <c r="J281" s="1007" t="s">
        <v>1401</v>
      </c>
      <c r="K281" s="1007" t="s">
        <v>1402</v>
      </c>
      <c r="M281" s="1007" t="s">
        <v>68</v>
      </c>
      <c r="N281" s="1007">
        <v>46076</v>
      </c>
      <c r="O281" s="1007" t="s">
        <v>70</v>
      </c>
      <c r="P281" s="1007" t="s">
        <v>585</v>
      </c>
      <c r="Q281" s="1007" t="s">
        <v>103</v>
      </c>
      <c r="R281" s="1007" t="s">
        <v>331</v>
      </c>
      <c r="S281" s="1007" t="s">
        <v>992</v>
      </c>
      <c r="T281" s="1007">
        <v>620</v>
      </c>
      <c r="U281" s="1007">
        <v>12240</v>
      </c>
      <c r="V281" s="1007">
        <v>7.5888</v>
      </c>
      <c r="W281" s="1007">
        <v>340</v>
      </c>
      <c r="X281" s="1007">
        <v>17</v>
      </c>
      <c r="Y281" s="1007" t="s">
        <v>75</v>
      </c>
      <c r="Z281" s="1007" t="s">
        <v>75</v>
      </c>
      <c r="AB281" s="1008">
        <v>46087</v>
      </c>
      <c r="AC281" s="1007">
        <v>10</v>
      </c>
      <c r="AD281" s="1007" t="s">
        <v>1411</v>
      </c>
      <c r="AF281" s="1007" t="s">
        <v>122</v>
      </c>
      <c r="AG281" s="1007" t="s">
        <v>123</v>
      </c>
      <c r="AH281" s="1007" t="s">
        <v>1404</v>
      </c>
      <c r="AI281" s="1008">
        <v>46092</v>
      </c>
      <c r="AJ281" s="1008">
        <v>46098</v>
      </c>
      <c r="AK281" s="1008">
        <v>46098</v>
      </c>
      <c r="AL281" s="1008">
        <v>46146</v>
      </c>
      <c r="AM281" s="1008">
        <v>46160</v>
      </c>
      <c r="AN281" s="1008">
        <v>46160</v>
      </c>
      <c r="AO281" s="1007" t="s">
        <v>156</v>
      </c>
      <c r="AP281" s="1007" t="s">
        <v>1405</v>
      </c>
      <c r="AQ281" s="1007" t="s">
        <v>161</v>
      </c>
      <c r="AR281" s="1007" t="s">
        <v>1412</v>
      </c>
      <c r="AS281" s="1007" t="s">
        <v>1413</v>
      </c>
      <c r="AT281" s="1007" t="s">
        <v>1414</v>
      </c>
      <c r="AU281" s="1007">
        <v>62</v>
      </c>
      <c r="AW281" s="1008">
        <v>46160</v>
      </c>
      <c r="AX281" s="1007" t="s">
        <v>973</v>
      </c>
      <c r="AY281" s="1008">
        <v>46159</v>
      </c>
      <c r="AZ281" s="1007">
        <v>0</v>
      </c>
      <c r="BA281" s="1008">
        <v>46160</v>
      </c>
      <c r="BB281" s="1007">
        <v>2026</v>
      </c>
      <c r="BC281" s="1007">
        <v>5</v>
      </c>
      <c r="BD281" s="1007">
        <v>21</v>
      </c>
      <c r="BE281" s="1007">
        <v>36</v>
      </c>
      <c r="BF281" s="1007">
        <v>720</v>
      </c>
      <c r="BG281" s="1007" t="s">
        <v>128</v>
      </c>
      <c r="BH281" s="1007" t="s">
        <v>68</v>
      </c>
    </row>
    <row r="282" spans="1:60">
      <c r="A282" s="1007" t="s">
        <v>1415</v>
      </c>
      <c r="B282" s="1007" t="s">
        <v>111</v>
      </c>
      <c r="C282" s="1007" t="s">
        <v>1400</v>
      </c>
      <c r="D282" s="1007" t="s">
        <v>113</v>
      </c>
      <c r="E282" s="1007" t="s">
        <v>144</v>
      </c>
      <c r="F282" s="1007" t="s">
        <v>145</v>
      </c>
      <c r="G282" s="1007" t="s">
        <v>156</v>
      </c>
      <c r="H282" s="1007" t="s">
        <v>68</v>
      </c>
      <c r="I282" s="1007" t="s">
        <v>68</v>
      </c>
      <c r="J282" s="1007" t="s">
        <v>1401</v>
      </c>
      <c r="K282" s="1007" t="s">
        <v>1402</v>
      </c>
      <c r="M282" s="1007" t="s">
        <v>68</v>
      </c>
      <c r="N282" s="1007">
        <v>46076</v>
      </c>
      <c r="O282" s="1007" t="s">
        <v>70</v>
      </c>
      <c r="P282" s="1007" t="s">
        <v>329</v>
      </c>
      <c r="Q282" s="1007" t="s">
        <v>330</v>
      </c>
      <c r="R282" s="1007" t="s">
        <v>331</v>
      </c>
      <c r="S282" s="1007" t="s">
        <v>992</v>
      </c>
      <c r="T282" s="1007">
        <v>625</v>
      </c>
      <c r="U282" s="1007">
        <v>12240</v>
      </c>
      <c r="V282" s="1007">
        <v>7.65</v>
      </c>
      <c r="W282" s="1007">
        <v>340</v>
      </c>
      <c r="X282" s="1007">
        <v>17</v>
      </c>
      <c r="Y282" s="1007" t="s">
        <v>75</v>
      </c>
      <c r="Z282" s="1007" t="s">
        <v>75</v>
      </c>
      <c r="AB282" s="1008">
        <v>46094</v>
      </c>
      <c r="AC282" s="1007">
        <v>11</v>
      </c>
      <c r="AD282" s="1007" t="s">
        <v>1416</v>
      </c>
      <c r="AF282" s="1007" t="s">
        <v>122</v>
      </c>
      <c r="AG282" s="1007" t="s">
        <v>123</v>
      </c>
      <c r="AH282" s="1007" t="s">
        <v>1404</v>
      </c>
      <c r="AI282" s="1008">
        <v>46099</v>
      </c>
      <c r="AJ282" s="1008">
        <v>46101</v>
      </c>
      <c r="AK282" s="1008">
        <v>46105</v>
      </c>
      <c r="AL282" s="1008">
        <v>46154</v>
      </c>
      <c r="AM282" s="1008">
        <v>46172</v>
      </c>
      <c r="AN282" s="1008">
        <v>46172</v>
      </c>
      <c r="AO282" s="1007" t="s">
        <v>156</v>
      </c>
      <c r="AP282" s="1007" t="s">
        <v>1417</v>
      </c>
      <c r="AQ282" s="1007" t="s">
        <v>161</v>
      </c>
      <c r="AR282" s="1007" t="s">
        <v>1418</v>
      </c>
      <c r="AS282" s="1007" t="s">
        <v>1419</v>
      </c>
      <c r="AT282" s="1007" t="s">
        <v>1420</v>
      </c>
      <c r="AU282" s="1007">
        <v>67</v>
      </c>
      <c r="AW282" s="1008">
        <v>46172</v>
      </c>
      <c r="AX282" s="1007" t="s">
        <v>973</v>
      </c>
      <c r="AY282" s="1008">
        <v>46167</v>
      </c>
      <c r="AZ282" s="1007">
        <v>0</v>
      </c>
      <c r="BA282" s="1008">
        <v>46172</v>
      </c>
      <c r="BB282" s="1007">
        <v>2026</v>
      </c>
      <c r="BC282" s="1007">
        <v>5</v>
      </c>
      <c r="BD282" s="1007">
        <v>22</v>
      </c>
      <c r="BE282" s="1007">
        <v>36</v>
      </c>
      <c r="BF282" s="1007">
        <v>720</v>
      </c>
      <c r="BG282" s="1007" t="s">
        <v>128</v>
      </c>
      <c r="BH282" s="1007" t="s">
        <v>68</v>
      </c>
    </row>
    <row r="283" spans="1:60">
      <c r="A283" s="1007" t="s">
        <v>1421</v>
      </c>
      <c r="B283" s="1007" t="s">
        <v>111</v>
      </c>
      <c r="C283" s="1007" t="s">
        <v>1410</v>
      </c>
      <c r="D283" s="1007" t="s">
        <v>113</v>
      </c>
      <c r="E283" s="1007" t="s">
        <v>144</v>
      </c>
      <c r="F283" s="1007" t="s">
        <v>145</v>
      </c>
      <c r="G283" s="1007" t="s">
        <v>156</v>
      </c>
      <c r="H283" s="1007" t="s">
        <v>68</v>
      </c>
      <c r="I283" s="1007" t="s">
        <v>68</v>
      </c>
      <c r="J283" s="1007" t="s">
        <v>1401</v>
      </c>
      <c r="K283" s="1007" t="s">
        <v>1402</v>
      </c>
      <c r="M283" s="1007" t="s">
        <v>68</v>
      </c>
      <c r="N283" s="1007">
        <v>46076</v>
      </c>
      <c r="O283" s="1007" t="s">
        <v>70</v>
      </c>
      <c r="P283" s="1007" t="s">
        <v>585</v>
      </c>
      <c r="Q283" s="1007" t="s">
        <v>103</v>
      </c>
      <c r="R283" s="1007" t="s">
        <v>331</v>
      </c>
      <c r="S283" s="1007" t="s">
        <v>992</v>
      </c>
      <c r="T283" s="1007">
        <v>620</v>
      </c>
      <c r="U283" s="1007">
        <v>12240</v>
      </c>
      <c r="V283" s="1007">
        <v>7.5888</v>
      </c>
      <c r="W283" s="1007">
        <v>340</v>
      </c>
      <c r="X283" s="1007">
        <v>17</v>
      </c>
      <c r="Y283" s="1007" t="s">
        <v>75</v>
      </c>
      <c r="Z283" s="1007" t="s">
        <v>75</v>
      </c>
      <c r="AB283" s="1008">
        <v>46095</v>
      </c>
      <c r="AC283" s="1007">
        <v>11</v>
      </c>
      <c r="AD283" s="1007" t="s">
        <v>1422</v>
      </c>
      <c r="AF283" s="1007" t="s">
        <v>122</v>
      </c>
      <c r="AG283" s="1007" t="s">
        <v>123</v>
      </c>
      <c r="AH283" s="1007" t="s">
        <v>1404</v>
      </c>
      <c r="AI283" s="1008">
        <v>46099</v>
      </c>
      <c r="AJ283" s="1008">
        <v>46101</v>
      </c>
      <c r="AK283" s="1008">
        <v>46105</v>
      </c>
      <c r="AL283" s="1008">
        <v>46154</v>
      </c>
      <c r="AM283" s="1008">
        <v>46172</v>
      </c>
      <c r="AN283" s="1008">
        <v>46172</v>
      </c>
      <c r="AO283" s="1007" t="s">
        <v>156</v>
      </c>
      <c r="AP283" s="1007" t="s">
        <v>1417</v>
      </c>
      <c r="AQ283" s="1007" t="s">
        <v>161</v>
      </c>
      <c r="AR283" s="1007" t="s">
        <v>1423</v>
      </c>
      <c r="AS283" s="1007" t="s">
        <v>1424</v>
      </c>
      <c r="AT283" s="1007" t="s">
        <v>1425</v>
      </c>
      <c r="AU283" s="1007">
        <v>67</v>
      </c>
      <c r="AW283" s="1008">
        <v>46172</v>
      </c>
      <c r="AX283" s="1007" t="s">
        <v>973</v>
      </c>
      <c r="AY283" s="1008">
        <v>46167</v>
      </c>
      <c r="AZ283" s="1007">
        <v>0</v>
      </c>
      <c r="BA283" s="1008">
        <v>46172</v>
      </c>
      <c r="BB283" s="1007">
        <v>2026</v>
      </c>
      <c r="BC283" s="1007">
        <v>5</v>
      </c>
      <c r="BD283" s="1007">
        <v>22</v>
      </c>
      <c r="BE283" s="1007">
        <v>36</v>
      </c>
      <c r="BF283" s="1007">
        <v>720</v>
      </c>
      <c r="BG283" s="1007" t="s">
        <v>128</v>
      </c>
      <c r="BH283" s="1007" t="s">
        <v>68</v>
      </c>
    </row>
    <row r="284" spans="1:60">
      <c r="A284" s="1007" t="s">
        <v>1426</v>
      </c>
      <c r="B284" s="1007" t="s">
        <v>111</v>
      </c>
      <c r="C284" s="1007" t="s">
        <v>1427</v>
      </c>
      <c r="D284" s="1007" t="s">
        <v>113</v>
      </c>
      <c r="E284" s="1007" t="s">
        <v>64</v>
      </c>
      <c r="F284" s="1007" t="s">
        <v>65</v>
      </c>
      <c r="G284" s="1007" t="s">
        <v>402</v>
      </c>
      <c r="H284" s="1007" t="s">
        <v>67</v>
      </c>
      <c r="I284" s="1007" t="s">
        <v>822</v>
      </c>
      <c r="J284" s="1007" t="s">
        <v>1428</v>
      </c>
      <c r="K284" s="1007" t="s">
        <v>328</v>
      </c>
      <c r="M284" s="1007" t="s">
        <v>68</v>
      </c>
      <c r="N284" s="1007">
        <v>46045</v>
      </c>
      <c r="O284" s="1007" t="s">
        <v>713</v>
      </c>
      <c r="P284" s="1007" t="s">
        <v>1429</v>
      </c>
      <c r="Q284" s="1007" t="s">
        <v>1430</v>
      </c>
      <c r="R284" s="1007" t="s">
        <v>73</v>
      </c>
      <c r="S284" s="1007" t="s">
        <v>1187</v>
      </c>
      <c r="T284" s="1007">
        <v>620</v>
      </c>
      <c r="U284" s="1007">
        <v>4248</v>
      </c>
      <c r="V284" s="1007">
        <v>2.6337600000000001</v>
      </c>
      <c r="W284" s="1007">
        <v>118</v>
      </c>
      <c r="X284" s="1007">
        <v>5.9</v>
      </c>
      <c r="Y284" s="1007" t="s">
        <v>75</v>
      </c>
      <c r="Z284" s="1007" t="s">
        <v>75</v>
      </c>
      <c r="AB284" s="1008">
        <v>46087</v>
      </c>
      <c r="AC284" s="1007">
        <v>10</v>
      </c>
      <c r="AD284" s="1007" t="s">
        <v>1431</v>
      </c>
      <c r="AF284" s="1007" t="s">
        <v>122</v>
      </c>
      <c r="AG284" s="1007" t="s">
        <v>123</v>
      </c>
      <c r="AH284" s="1007" t="s">
        <v>356</v>
      </c>
      <c r="AI284" s="1008">
        <v>46096</v>
      </c>
      <c r="AJ284" s="1008">
        <v>46103</v>
      </c>
      <c r="AK284" s="1008">
        <v>46101</v>
      </c>
      <c r="AL284" s="1008">
        <v>46133</v>
      </c>
      <c r="AM284" s="1008">
        <v>46139</v>
      </c>
      <c r="AN284" s="1008">
        <v>46141</v>
      </c>
      <c r="AO284" s="1007" t="s">
        <v>402</v>
      </c>
      <c r="AP284" s="1007" t="s">
        <v>1432</v>
      </c>
      <c r="AQ284" s="1007" t="s">
        <v>161</v>
      </c>
      <c r="AR284" s="1007" t="s">
        <v>1433</v>
      </c>
      <c r="AS284" s="1007" t="s">
        <v>1434</v>
      </c>
      <c r="AT284" s="1007" t="s">
        <v>1434</v>
      </c>
      <c r="AU284" s="1007">
        <v>40</v>
      </c>
      <c r="AW284" s="1008">
        <v>46141</v>
      </c>
      <c r="AX284" s="1007" t="s">
        <v>973</v>
      </c>
      <c r="AY284" s="1008">
        <v>46152</v>
      </c>
      <c r="AZ284" s="1007">
        <v>8</v>
      </c>
      <c r="BA284" s="1008">
        <v>46149</v>
      </c>
      <c r="BB284" s="1007">
        <v>2026</v>
      </c>
      <c r="BC284" s="1007">
        <v>5</v>
      </c>
      <c r="BD284" s="1007">
        <v>19</v>
      </c>
      <c r="BE284" s="1007">
        <v>36</v>
      </c>
      <c r="BF284" s="1007">
        <v>720</v>
      </c>
      <c r="BG284" s="1007" t="s">
        <v>108</v>
      </c>
      <c r="BH284" s="1007" t="s">
        <v>109</v>
      </c>
    </row>
    <row r="285" spans="1:60">
      <c r="A285" s="1007" t="s">
        <v>1435</v>
      </c>
      <c r="B285" s="1007" t="s">
        <v>111</v>
      </c>
      <c r="C285" s="1007" t="s">
        <v>1427</v>
      </c>
      <c r="D285" s="1007" t="s">
        <v>113</v>
      </c>
      <c r="E285" s="1007" t="s">
        <v>64</v>
      </c>
      <c r="F285" s="1007" t="s">
        <v>65</v>
      </c>
      <c r="G285" s="1007" t="s">
        <v>402</v>
      </c>
      <c r="H285" s="1007" t="s">
        <v>67</v>
      </c>
      <c r="I285" s="1007" t="s">
        <v>822</v>
      </c>
      <c r="J285" s="1007" t="s">
        <v>1428</v>
      </c>
      <c r="K285" s="1007" t="s">
        <v>328</v>
      </c>
      <c r="M285" s="1007" t="s">
        <v>68</v>
      </c>
      <c r="N285" s="1007">
        <v>46045</v>
      </c>
      <c r="O285" s="1007" t="s">
        <v>713</v>
      </c>
      <c r="P285" s="1007" t="s">
        <v>1429</v>
      </c>
      <c r="Q285" s="1007" t="s">
        <v>1430</v>
      </c>
      <c r="R285" s="1007" t="s">
        <v>73</v>
      </c>
      <c r="S285" s="1007" t="s">
        <v>1187</v>
      </c>
      <c r="T285" s="1007">
        <v>620</v>
      </c>
      <c r="U285" s="1007">
        <v>3960</v>
      </c>
      <c r="V285" s="1007">
        <v>2.4552</v>
      </c>
      <c r="W285" s="1007">
        <v>110</v>
      </c>
      <c r="X285" s="1007">
        <v>5.5</v>
      </c>
      <c r="Y285" s="1007" t="s">
        <v>75</v>
      </c>
      <c r="Z285" s="1007" t="s">
        <v>75</v>
      </c>
      <c r="AB285" s="1008">
        <v>46087</v>
      </c>
      <c r="AC285" s="1007">
        <v>10</v>
      </c>
      <c r="AD285" s="1007" t="s">
        <v>1436</v>
      </c>
      <c r="AF285" s="1007" t="s">
        <v>122</v>
      </c>
      <c r="AG285" s="1007" t="s">
        <v>123</v>
      </c>
      <c r="AH285" s="1007" t="s">
        <v>356</v>
      </c>
      <c r="AI285" s="1008">
        <v>46096</v>
      </c>
      <c r="AJ285" s="1008">
        <v>46103</v>
      </c>
      <c r="AK285" s="1008">
        <v>46101</v>
      </c>
      <c r="AL285" s="1008">
        <v>46133</v>
      </c>
      <c r="AM285" s="1008">
        <v>46139</v>
      </c>
      <c r="AN285" s="1008">
        <v>46141</v>
      </c>
      <c r="AO285" s="1007" t="s">
        <v>402</v>
      </c>
      <c r="AP285" s="1007" t="s">
        <v>1432</v>
      </c>
      <c r="AQ285" s="1007" t="s">
        <v>161</v>
      </c>
      <c r="AR285" s="1007" t="s">
        <v>1433</v>
      </c>
      <c r="AS285" s="1007" t="s">
        <v>1434</v>
      </c>
      <c r="AT285" s="1007" t="s">
        <v>1434</v>
      </c>
      <c r="AU285" s="1007">
        <v>40</v>
      </c>
      <c r="AW285" s="1008">
        <v>46141</v>
      </c>
      <c r="AX285" s="1007" t="s">
        <v>973</v>
      </c>
      <c r="AY285" s="1008">
        <v>46152</v>
      </c>
      <c r="AZ285" s="1007">
        <v>8</v>
      </c>
      <c r="BA285" s="1008">
        <v>46149</v>
      </c>
      <c r="BB285" s="1007">
        <v>2026</v>
      </c>
      <c r="BC285" s="1007">
        <v>5</v>
      </c>
      <c r="BD285" s="1007">
        <v>19</v>
      </c>
      <c r="BE285" s="1007">
        <v>36</v>
      </c>
      <c r="BF285" s="1007">
        <v>720</v>
      </c>
      <c r="BG285" s="1007" t="s">
        <v>108</v>
      </c>
      <c r="BH285" s="1007" t="s">
        <v>109</v>
      </c>
    </row>
    <row r="286" spans="1:60">
      <c r="A286" s="1007" t="s">
        <v>1437</v>
      </c>
      <c r="B286" s="1007" t="s">
        <v>111</v>
      </c>
      <c r="C286" s="1007" t="s">
        <v>1183</v>
      </c>
      <c r="D286" s="1007" t="s">
        <v>113</v>
      </c>
      <c r="E286" s="1007" t="s">
        <v>64</v>
      </c>
      <c r="F286" s="1007" t="s">
        <v>65</v>
      </c>
      <c r="G286" s="1007" t="s">
        <v>402</v>
      </c>
      <c r="H286" s="1007" t="s">
        <v>67</v>
      </c>
      <c r="I286" s="1007" t="s">
        <v>822</v>
      </c>
      <c r="J286" s="1007" t="s">
        <v>1184</v>
      </c>
      <c r="K286" s="1007" t="s">
        <v>328</v>
      </c>
      <c r="M286" s="1007" t="s">
        <v>68</v>
      </c>
      <c r="N286" s="1007">
        <v>46045</v>
      </c>
      <c r="O286" s="1007" t="s">
        <v>713</v>
      </c>
      <c r="P286" s="1007" t="s">
        <v>1185</v>
      </c>
      <c r="Q286" s="1007" t="s">
        <v>1186</v>
      </c>
      <c r="R286" s="1007" t="s">
        <v>73</v>
      </c>
      <c r="S286" s="1007" t="s">
        <v>1187</v>
      </c>
      <c r="T286" s="1007">
        <v>615</v>
      </c>
      <c r="U286" s="1007">
        <v>3240</v>
      </c>
      <c r="V286" s="1007">
        <v>1.9925999999999999</v>
      </c>
      <c r="W286" s="1007">
        <v>90</v>
      </c>
      <c r="X286" s="1007">
        <v>4.5</v>
      </c>
      <c r="Y286" s="1007" t="s">
        <v>75</v>
      </c>
      <c r="Z286" s="1007" t="s">
        <v>75</v>
      </c>
      <c r="AB286" s="1008">
        <v>46087</v>
      </c>
      <c r="AC286" s="1007">
        <v>10</v>
      </c>
      <c r="AD286" s="1007" t="s">
        <v>1438</v>
      </c>
      <c r="AF286" s="1007" t="s">
        <v>122</v>
      </c>
      <c r="AG286" s="1007" t="s">
        <v>123</v>
      </c>
      <c r="AH286" s="1007" t="s">
        <v>356</v>
      </c>
      <c r="AI286" s="1008">
        <v>46096</v>
      </c>
      <c r="AJ286" s="1008">
        <v>46103</v>
      </c>
      <c r="AK286" s="1008">
        <v>46101</v>
      </c>
      <c r="AL286" s="1008">
        <v>46133</v>
      </c>
      <c r="AM286" s="1008">
        <v>46139</v>
      </c>
      <c r="AN286" s="1008">
        <v>46141</v>
      </c>
      <c r="AO286" s="1007" t="s">
        <v>402</v>
      </c>
      <c r="AP286" s="1007" t="s">
        <v>1432</v>
      </c>
      <c r="AQ286" s="1007" t="s">
        <v>161</v>
      </c>
      <c r="AR286" s="1007" t="s">
        <v>1433</v>
      </c>
      <c r="AS286" s="1007" t="s">
        <v>1434</v>
      </c>
      <c r="AT286" s="1007" t="s">
        <v>1434</v>
      </c>
      <c r="AU286" s="1007">
        <v>40</v>
      </c>
      <c r="AW286" s="1008">
        <v>46141</v>
      </c>
      <c r="AX286" s="1007" t="s">
        <v>973</v>
      </c>
      <c r="AY286" s="1008">
        <v>46152</v>
      </c>
      <c r="AZ286" s="1007">
        <v>8</v>
      </c>
      <c r="BA286" s="1008">
        <v>46149</v>
      </c>
      <c r="BB286" s="1007">
        <v>2026</v>
      </c>
      <c r="BC286" s="1007">
        <v>5</v>
      </c>
      <c r="BD286" s="1007">
        <v>19</v>
      </c>
      <c r="BE286" s="1007">
        <v>36</v>
      </c>
      <c r="BF286" s="1007">
        <v>720</v>
      </c>
      <c r="BG286" s="1007" t="s">
        <v>108</v>
      </c>
      <c r="BH286" s="1007" t="s">
        <v>109</v>
      </c>
    </row>
    <row r="287" spans="1:60">
      <c r="A287" s="1007" t="s">
        <v>1439</v>
      </c>
      <c r="B287" s="1007" t="s">
        <v>111</v>
      </c>
      <c r="C287" s="1007" t="s">
        <v>203</v>
      </c>
      <c r="D287" s="1007" t="s">
        <v>113</v>
      </c>
      <c r="E287" s="1007" t="s">
        <v>64</v>
      </c>
      <c r="F287" s="1007" t="s">
        <v>100</v>
      </c>
      <c r="G287" s="1007" t="s">
        <v>402</v>
      </c>
      <c r="H287" s="1007" t="s">
        <v>67</v>
      </c>
      <c r="I287" s="1007" t="s">
        <v>689</v>
      </c>
      <c r="J287" s="1007" t="s">
        <v>1440</v>
      </c>
      <c r="M287" s="1007" t="s">
        <v>68</v>
      </c>
      <c r="N287" s="1007">
        <v>46045</v>
      </c>
      <c r="O287" s="1007" t="s">
        <v>713</v>
      </c>
      <c r="P287" s="1007" t="s">
        <v>1185</v>
      </c>
      <c r="Q287" s="1007" t="s">
        <v>1186</v>
      </c>
      <c r="R287" s="1007" t="s">
        <v>73</v>
      </c>
      <c r="S287" s="1007" t="s">
        <v>1187</v>
      </c>
      <c r="T287" s="1007">
        <v>615</v>
      </c>
      <c r="U287" s="1007">
        <v>3852</v>
      </c>
      <c r="V287" s="1007">
        <v>2.3689800000000001</v>
      </c>
      <c r="W287" s="1007">
        <v>107</v>
      </c>
      <c r="X287" s="1007">
        <v>5.35</v>
      </c>
      <c r="Y287" s="1007" t="s">
        <v>75</v>
      </c>
      <c r="Z287" s="1007" t="s">
        <v>75</v>
      </c>
      <c r="AB287" s="1008">
        <v>46085</v>
      </c>
      <c r="AC287" s="1007">
        <v>10</v>
      </c>
      <c r="AD287" s="1007" t="s">
        <v>1441</v>
      </c>
      <c r="AF287" s="1007" t="s">
        <v>122</v>
      </c>
      <c r="AG287" s="1007" t="s">
        <v>123</v>
      </c>
      <c r="AH287" s="1007" t="s">
        <v>105</v>
      </c>
      <c r="AI287" s="1008">
        <v>46096</v>
      </c>
      <c r="AJ287" s="1008">
        <v>46103</v>
      </c>
      <c r="AK287" s="1008">
        <v>46103</v>
      </c>
      <c r="AL287" s="1008">
        <v>46133</v>
      </c>
      <c r="AM287" s="1008">
        <v>46150</v>
      </c>
      <c r="AN287" s="1008">
        <v>46148</v>
      </c>
      <c r="AO287" s="1007" t="s">
        <v>402</v>
      </c>
      <c r="AP287" s="1007" t="s">
        <v>889</v>
      </c>
      <c r="AQ287" s="1007" t="s">
        <v>80</v>
      </c>
      <c r="AR287" s="1007" t="s">
        <v>1442</v>
      </c>
      <c r="AS287" s="1007" t="s">
        <v>1443</v>
      </c>
      <c r="AT287" s="1007" t="s">
        <v>1443</v>
      </c>
      <c r="AU287" s="1007">
        <v>45</v>
      </c>
      <c r="AW287" s="1008">
        <v>46148</v>
      </c>
      <c r="AX287" s="1007" t="s">
        <v>973</v>
      </c>
      <c r="AY287" s="1008">
        <v>46163</v>
      </c>
      <c r="AZ287" s="1007">
        <v>7</v>
      </c>
      <c r="BA287" s="1008">
        <v>46155</v>
      </c>
      <c r="BB287" s="1007">
        <v>2026</v>
      </c>
      <c r="BC287" s="1007">
        <v>5</v>
      </c>
      <c r="BD287" s="1007">
        <v>20</v>
      </c>
      <c r="BE287" s="1007">
        <v>36</v>
      </c>
      <c r="BF287" s="1007">
        <v>720</v>
      </c>
      <c r="BG287" s="1007" t="s">
        <v>108</v>
      </c>
      <c r="BH287" s="1007" t="s">
        <v>109</v>
      </c>
    </row>
    <row r="288" spans="1:60">
      <c r="A288" s="1007" t="s">
        <v>1444</v>
      </c>
      <c r="B288" s="1007" t="s">
        <v>111</v>
      </c>
      <c r="C288" s="1007" t="s">
        <v>1445</v>
      </c>
      <c r="D288" s="1007" t="s">
        <v>113</v>
      </c>
      <c r="E288" s="1007" t="s">
        <v>64</v>
      </c>
      <c r="F288" s="1007" t="s">
        <v>100</v>
      </c>
      <c r="G288" s="1007" t="s">
        <v>402</v>
      </c>
      <c r="H288" s="1007" t="s">
        <v>67</v>
      </c>
      <c r="I288" s="1007" t="s">
        <v>689</v>
      </c>
      <c r="J288" s="1007" t="s">
        <v>1446</v>
      </c>
      <c r="M288" s="1007" t="s">
        <v>68</v>
      </c>
      <c r="N288" s="1007">
        <v>46045</v>
      </c>
      <c r="O288" s="1007" t="s">
        <v>713</v>
      </c>
      <c r="P288" s="1007" t="s">
        <v>1429</v>
      </c>
      <c r="Q288" s="1007" t="s">
        <v>1430</v>
      </c>
      <c r="R288" s="1007" t="s">
        <v>73</v>
      </c>
      <c r="S288" s="1007" t="s">
        <v>1187</v>
      </c>
      <c r="T288" s="1007">
        <v>620</v>
      </c>
      <c r="U288" s="1007">
        <v>3348</v>
      </c>
      <c r="V288" s="1007">
        <v>2.0757599999999998</v>
      </c>
      <c r="W288" s="1007">
        <v>93</v>
      </c>
      <c r="X288" s="1007">
        <v>4.6500000000000004</v>
      </c>
      <c r="Y288" s="1007" t="s">
        <v>75</v>
      </c>
      <c r="Z288" s="1007" t="s">
        <v>75</v>
      </c>
      <c r="AB288" s="1008">
        <v>46085</v>
      </c>
      <c r="AC288" s="1007">
        <v>10</v>
      </c>
      <c r="AD288" s="1007" t="s">
        <v>1447</v>
      </c>
      <c r="AF288" s="1007" t="s">
        <v>122</v>
      </c>
      <c r="AG288" s="1007" t="s">
        <v>123</v>
      </c>
      <c r="AH288" s="1007" t="s">
        <v>105</v>
      </c>
      <c r="AI288" s="1008">
        <v>46096</v>
      </c>
      <c r="AJ288" s="1008">
        <v>46103</v>
      </c>
      <c r="AK288" s="1008">
        <v>46103</v>
      </c>
      <c r="AL288" s="1008">
        <v>46133</v>
      </c>
      <c r="AM288" s="1008">
        <v>46150</v>
      </c>
      <c r="AN288" s="1008">
        <v>46148</v>
      </c>
      <c r="AO288" s="1007" t="s">
        <v>402</v>
      </c>
      <c r="AP288" s="1007" t="s">
        <v>889</v>
      </c>
      <c r="AQ288" s="1007" t="s">
        <v>80</v>
      </c>
      <c r="AR288" s="1007" t="s">
        <v>1442</v>
      </c>
      <c r="AS288" s="1007" t="s">
        <v>1443</v>
      </c>
      <c r="AT288" s="1007" t="s">
        <v>1443</v>
      </c>
      <c r="AU288" s="1007">
        <v>45</v>
      </c>
      <c r="AW288" s="1008">
        <v>46148</v>
      </c>
      <c r="AX288" s="1007" t="s">
        <v>973</v>
      </c>
      <c r="AY288" s="1008">
        <v>46163</v>
      </c>
      <c r="AZ288" s="1007">
        <v>7</v>
      </c>
      <c r="BA288" s="1008">
        <v>46155</v>
      </c>
      <c r="BB288" s="1007">
        <v>2026</v>
      </c>
      <c r="BC288" s="1007">
        <v>5</v>
      </c>
      <c r="BD288" s="1007">
        <v>20</v>
      </c>
      <c r="BE288" s="1007">
        <v>36</v>
      </c>
      <c r="BF288" s="1007">
        <v>720</v>
      </c>
      <c r="BG288" s="1007" t="s">
        <v>108</v>
      </c>
      <c r="BH288" s="1007" t="s">
        <v>109</v>
      </c>
    </row>
    <row r="289" spans="1:60">
      <c r="A289" s="1007" t="s">
        <v>1448</v>
      </c>
      <c r="B289" s="1007" t="s">
        <v>111</v>
      </c>
      <c r="C289" s="1007" t="s">
        <v>1061</v>
      </c>
      <c r="D289" s="1007" t="s">
        <v>63</v>
      </c>
      <c r="E289" s="1007" t="s">
        <v>144</v>
      </c>
      <c r="F289" s="1007" t="s">
        <v>145</v>
      </c>
      <c r="G289" s="1007" t="s">
        <v>402</v>
      </c>
      <c r="H289" s="1007" t="s">
        <v>1449</v>
      </c>
      <c r="I289" s="1007" t="s">
        <v>689</v>
      </c>
      <c r="J289" s="1007" t="s">
        <v>1450</v>
      </c>
      <c r="K289" s="1007" t="s">
        <v>1451</v>
      </c>
      <c r="L289" s="1007">
        <v>6</v>
      </c>
      <c r="M289" s="1007" t="s">
        <v>840</v>
      </c>
      <c r="N289" s="1007">
        <v>46076</v>
      </c>
      <c r="O289" s="1007" t="s">
        <v>132</v>
      </c>
      <c r="P289" s="1007" t="s">
        <v>1062</v>
      </c>
      <c r="Q289" s="1007" t="s">
        <v>1063</v>
      </c>
      <c r="R289" s="1007" t="s">
        <v>73</v>
      </c>
      <c r="S289" s="1007" t="s">
        <v>967</v>
      </c>
      <c r="T289" s="1007">
        <v>470</v>
      </c>
      <c r="U289" s="1007">
        <v>2592</v>
      </c>
      <c r="V289" s="1007">
        <v>1.21824</v>
      </c>
      <c r="W289" s="1007">
        <v>72</v>
      </c>
      <c r="X289" s="1007">
        <v>3</v>
      </c>
      <c r="Y289" s="1007" t="s">
        <v>75</v>
      </c>
      <c r="Z289" s="1007" t="s">
        <v>75</v>
      </c>
      <c r="AB289" s="1008">
        <v>46086</v>
      </c>
      <c r="AC289" s="1007">
        <v>10</v>
      </c>
      <c r="AD289" s="1007" t="s">
        <v>1452</v>
      </c>
      <c r="AF289" s="1007" t="s">
        <v>122</v>
      </c>
      <c r="AG289" s="1007" t="s">
        <v>123</v>
      </c>
      <c r="AH289" s="1007" t="s">
        <v>105</v>
      </c>
      <c r="AI289" s="1008">
        <v>46096</v>
      </c>
      <c r="AJ289" s="1008">
        <v>46103</v>
      </c>
      <c r="AK289" s="1008">
        <v>46103</v>
      </c>
      <c r="AL289" s="1008">
        <v>46133</v>
      </c>
      <c r="AM289" s="1008">
        <v>46150</v>
      </c>
      <c r="AN289" s="1008">
        <v>46148</v>
      </c>
      <c r="AO289" s="1007" t="s">
        <v>402</v>
      </c>
      <c r="AP289" s="1007" t="s">
        <v>889</v>
      </c>
      <c r="AQ289" s="1007" t="s">
        <v>80</v>
      </c>
      <c r="AR289" s="1007" t="s">
        <v>1453</v>
      </c>
      <c r="AS289" s="1007" t="s">
        <v>1454</v>
      </c>
      <c r="AT289" s="1007" t="s">
        <v>1443</v>
      </c>
      <c r="AU289" s="1007">
        <v>45</v>
      </c>
      <c r="AW289" s="1008">
        <v>46148</v>
      </c>
      <c r="AX289" s="1007" t="s">
        <v>973</v>
      </c>
      <c r="AY289" s="1008">
        <v>46138</v>
      </c>
      <c r="AZ289" s="1007">
        <v>0</v>
      </c>
      <c r="BA289" s="1008">
        <v>46148</v>
      </c>
      <c r="BB289" s="1007">
        <v>2026</v>
      </c>
      <c r="BC289" s="1007">
        <v>5</v>
      </c>
      <c r="BD289" s="1007">
        <v>19</v>
      </c>
      <c r="BE289" s="1007">
        <v>36</v>
      </c>
      <c r="BF289" s="1007">
        <v>864</v>
      </c>
      <c r="BG289" s="1007" t="s">
        <v>108</v>
      </c>
      <c r="BH289" s="1007" t="s">
        <v>109</v>
      </c>
    </row>
    <row r="290" spans="1:60">
      <c r="A290" s="1007" t="s">
        <v>1455</v>
      </c>
      <c r="B290" s="1007" t="s">
        <v>111</v>
      </c>
      <c r="C290" s="1007" t="s">
        <v>1061</v>
      </c>
      <c r="D290" s="1007" t="s">
        <v>63</v>
      </c>
      <c r="E290" s="1007" t="s">
        <v>144</v>
      </c>
      <c r="F290" s="1007" t="s">
        <v>145</v>
      </c>
      <c r="G290" s="1007" t="s">
        <v>402</v>
      </c>
      <c r="H290" s="1007" t="s">
        <v>1449</v>
      </c>
      <c r="I290" s="1007" t="s">
        <v>689</v>
      </c>
      <c r="J290" s="1007" t="s">
        <v>1450</v>
      </c>
      <c r="K290" s="1007" t="s">
        <v>1451</v>
      </c>
      <c r="L290" s="1007">
        <v>7</v>
      </c>
      <c r="M290" s="1007" t="s">
        <v>840</v>
      </c>
      <c r="N290" s="1007">
        <v>46076</v>
      </c>
      <c r="O290" s="1007" t="s">
        <v>132</v>
      </c>
      <c r="P290" s="1007" t="s">
        <v>1062</v>
      </c>
      <c r="Q290" s="1007" t="s">
        <v>1063</v>
      </c>
      <c r="R290" s="1007" t="s">
        <v>73</v>
      </c>
      <c r="S290" s="1007" t="s">
        <v>967</v>
      </c>
      <c r="T290" s="1007">
        <v>470</v>
      </c>
      <c r="U290" s="1007">
        <v>1728</v>
      </c>
      <c r="V290" s="1007">
        <v>0.81215999999999999</v>
      </c>
      <c r="W290" s="1007">
        <v>48</v>
      </c>
      <c r="X290" s="1007">
        <v>2</v>
      </c>
      <c r="Y290" s="1007" t="s">
        <v>75</v>
      </c>
      <c r="Z290" s="1007" t="s">
        <v>75</v>
      </c>
      <c r="AA290" s="1007" t="s">
        <v>1456</v>
      </c>
      <c r="AB290" s="1008">
        <v>46086</v>
      </c>
      <c r="AC290" s="1007">
        <v>10</v>
      </c>
      <c r="AD290" s="1007" t="s">
        <v>1457</v>
      </c>
      <c r="AF290" s="1007" t="s">
        <v>122</v>
      </c>
      <c r="AG290" s="1007" t="s">
        <v>123</v>
      </c>
      <c r="AH290" s="1007" t="s">
        <v>105</v>
      </c>
      <c r="AI290" s="1008">
        <v>46096</v>
      </c>
      <c r="AJ290" s="1008">
        <v>46103</v>
      </c>
      <c r="AK290" s="1008">
        <v>46103</v>
      </c>
      <c r="AL290" s="1008">
        <v>46133</v>
      </c>
      <c r="AM290" s="1008">
        <v>46150</v>
      </c>
      <c r="AN290" s="1008">
        <v>46148</v>
      </c>
      <c r="AO290" s="1007" t="s">
        <v>402</v>
      </c>
      <c r="AP290" s="1007" t="s">
        <v>889</v>
      </c>
      <c r="AQ290" s="1007" t="s">
        <v>80</v>
      </c>
      <c r="AR290" s="1007" t="s">
        <v>1453</v>
      </c>
      <c r="AS290" s="1007" t="s">
        <v>1454</v>
      </c>
      <c r="AT290" s="1007" t="s">
        <v>1443</v>
      </c>
      <c r="AU290" s="1007">
        <v>45</v>
      </c>
      <c r="AW290" s="1008">
        <v>46148</v>
      </c>
      <c r="AX290" s="1007" t="s">
        <v>973</v>
      </c>
      <c r="AY290" s="1008">
        <v>46163</v>
      </c>
      <c r="AZ290" s="1007">
        <v>0</v>
      </c>
      <c r="BA290" s="1008">
        <v>46148</v>
      </c>
      <c r="BB290" s="1007">
        <v>2026</v>
      </c>
      <c r="BC290" s="1007">
        <v>5</v>
      </c>
      <c r="BD290" s="1007">
        <v>19</v>
      </c>
      <c r="BE290" s="1007">
        <v>36</v>
      </c>
      <c r="BF290" s="1007">
        <v>864</v>
      </c>
      <c r="BG290" s="1007" t="s">
        <v>108</v>
      </c>
      <c r="BH290" s="1007" t="s">
        <v>109</v>
      </c>
    </row>
    <row r="291" spans="1:60">
      <c r="A291" s="1007" t="s">
        <v>1458</v>
      </c>
      <c r="B291" s="1007" t="s">
        <v>111</v>
      </c>
      <c r="C291" s="1007" t="s">
        <v>1459</v>
      </c>
      <c r="D291" s="1007" t="s">
        <v>63</v>
      </c>
      <c r="E291" s="1007" t="s">
        <v>64</v>
      </c>
      <c r="F291" s="1007" t="s">
        <v>100</v>
      </c>
      <c r="G291" s="1007" t="s">
        <v>402</v>
      </c>
      <c r="H291" s="1007" t="s">
        <v>67</v>
      </c>
      <c r="I291" s="1007" t="s">
        <v>689</v>
      </c>
      <c r="J291" s="1007" t="s">
        <v>1460</v>
      </c>
      <c r="M291" s="1007" t="s">
        <v>68</v>
      </c>
      <c r="N291" s="1007">
        <v>46097</v>
      </c>
      <c r="O291" s="1007" t="s">
        <v>70</v>
      </c>
      <c r="P291" s="1007" t="s">
        <v>1461</v>
      </c>
      <c r="Q291" s="1007" t="s">
        <v>103</v>
      </c>
      <c r="R291" s="1007" t="s">
        <v>73</v>
      </c>
      <c r="S291" s="1007" t="s">
        <v>992</v>
      </c>
      <c r="T291" s="1007">
        <v>620</v>
      </c>
      <c r="U291" s="1007">
        <v>7920</v>
      </c>
      <c r="V291" s="1007">
        <v>4.9104000000000001</v>
      </c>
      <c r="W291" s="1007">
        <v>220</v>
      </c>
      <c r="X291" s="1007">
        <v>11</v>
      </c>
      <c r="Y291" s="1007" t="s">
        <v>75</v>
      </c>
      <c r="Z291" s="1007" t="s">
        <v>75</v>
      </c>
      <c r="AA291" s="1007" t="s">
        <v>1456</v>
      </c>
      <c r="AB291" s="1008">
        <v>46090</v>
      </c>
      <c r="AC291" s="1007">
        <v>11</v>
      </c>
      <c r="AD291" s="1007" t="s">
        <v>1462</v>
      </c>
      <c r="AF291" s="1007" t="s">
        <v>122</v>
      </c>
      <c r="AG291" s="1007" t="s">
        <v>123</v>
      </c>
      <c r="AH291" s="1007" t="s">
        <v>105</v>
      </c>
      <c r="AI291" s="1008">
        <v>46096</v>
      </c>
      <c r="AJ291" s="1008">
        <v>46103</v>
      </c>
      <c r="AK291" s="1008">
        <v>46103</v>
      </c>
      <c r="AL291" s="1008">
        <v>46133</v>
      </c>
      <c r="AM291" s="1008">
        <v>46150</v>
      </c>
      <c r="AN291" s="1008">
        <v>46148</v>
      </c>
      <c r="AO291" s="1007" t="s">
        <v>402</v>
      </c>
      <c r="AP291" s="1007" t="s">
        <v>889</v>
      </c>
      <c r="AQ291" s="1007" t="s">
        <v>80</v>
      </c>
      <c r="AR291" s="1007" t="s">
        <v>1463</v>
      </c>
      <c r="AS291" s="1007" t="s">
        <v>1464</v>
      </c>
      <c r="AT291" s="1007" t="s">
        <v>1464</v>
      </c>
      <c r="AU291" s="1007">
        <v>45</v>
      </c>
      <c r="AW291" s="1008">
        <v>46148</v>
      </c>
      <c r="AX291" s="1007" t="s">
        <v>973</v>
      </c>
      <c r="AY291" s="1008">
        <v>46163</v>
      </c>
      <c r="AZ291" s="1007">
        <v>7</v>
      </c>
      <c r="BA291" s="1008">
        <v>46155</v>
      </c>
      <c r="BB291" s="1007">
        <v>2026</v>
      </c>
      <c r="BC291" s="1007">
        <v>5</v>
      </c>
      <c r="BD291" s="1007">
        <v>20</v>
      </c>
      <c r="BE291" s="1007">
        <v>36</v>
      </c>
      <c r="BF291" s="1007">
        <v>720</v>
      </c>
      <c r="BG291" s="1007" t="s">
        <v>128</v>
      </c>
      <c r="BH291" s="1007" t="s">
        <v>109</v>
      </c>
    </row>
    <row r="292" spans="1:60">
      <c r="A292" s="1007" t="s">
        <v>1465</v>
      </c>
      <c r="B292" s="1007" t="s">
        <v>111</v>
      </c>
      <c r="C292" s="1007" t="s">
        <v>1061</v>
      </c>
      <c r="D292" s="1007" t="s">
        <v>63</v>
      </c>
      <c r="E292" s="1007" t="s">
        <v>64</v>
      </c>
      <c r="F292" s="1007" t="s">
        <v>100</v>
      </c>
      <c r="G292" s="1007" t="s">
        <v>402</v>
      </c>
      <c r="H292" s="1007" t="s">
        <v>67</v>
      </c>
      <c r="I292" s="1007" t="s">
        <v>689</v>
      </c>
      <c r="J292" s="1007" t="s">
        <v>101</v>
      </c>
      <c r="M292" s="1007" t="s">
        <v>68</v>
      </c>
      <c r="N292" s="1007">
        <v>46076</v>
      </c>
      <c r="O292" s="1007" t="s">
        <v>132</v>
      </c>
      <c r="P292" s="1007" t="s">
        <v>1062</v>
      </c>
      <c r="Q292" s="1007" t="s">
        <v>1063</v>
      </c>
      <c r="R292" s="1007" t="s">
        <v>73</v>
      </c>
      <c r="S292" s="1007" t="s">
        <v>967</v>
      </c>
      <c r="T292" s="1007">
        <v>470</v>
      </c>
      <c r="U292" s="1007">
        <v>3456</v>
      </c>
      <c r="V292" s="1007">
        <v>1.62432</v>
      </c>
      <c r="W292" s="1007">
        <v>96</v>
      </c>
      <c r="X292" s="1007">
        <v>4</v>
      </c>
      <c r="Y292" s="1007" t="s">
        <v>75</v>
      </c>
      <c r="Z292" s="1007" t="s">
        <v>75</v>
      </c>
      <c r="AB292" s="1008">
        <v>46091</v>
      </c>
      <c r="AC292" s="1007">
        <v>11</v>
      </c>
      <c r="AD292" s="1007" t="s">
        <v>1466</v>
      </c>
      <c r="AF292" s="1007" t="s">
        <v>122</v>
      </c>
      <c r="AG292" s="1007" t="s">
        <v>123</v>
      </c>
      <c r="AH292" s="1007" t="s">
        <v>105</v>
      </c>
      <c r="AI292" s="1008">
        <v>46096</v>
      </c>
      <c r="AJ292" s="1008">
        <v>46103</v>
      </c>
      <c r="AK292" s="1008">
        <v>46103</v>
      </c>
      <c r="AL292" s="1008">
        <v>46133</v>
      </c>
      <c r="AM292" s="1008">
        <v>46150</v>
      </c>
      <c r="AN292" s="1008">
        <v>46148</v>
      </c>
      <c r="AO292" s="1007" t="s">
        <v>402</v>
      </c>
      <c r="AP292" s="1007" t="s">
        <v>889</v>
      </c>
      <c r="AQ292" s="1007" t="s">
        <v>80</v>
      </c>
      <c r="AR292" s="1007" t="s">
        <v>1463</v>
      </c>
      <c r="AS292" s="1007" t="s">
        <v>1464</v>
      </c>
      <c r="AT292" s="1007" t="s">
        <v>1464</v>
      </c>
      <c r="AU292" s="1007">
        <v>45</v>
      </c>
      <c r="AW292" s="1008">
        <v>46148</v>
      </c>
      <c r="AX292" s="1007" t="s">
        <v>973</v>
      </c>
      <c r="AY292" s="1008">
        <v>46163</v>
      </c>
      <c r="AZ292" s="1007">
        <v>7</v>
      </c>
      <c r="BA292" s="1008">
        <v>46155</v>
      </c>
      <c r="BB292" s="1007">
        <v>2026</v>
      </c>
      <c r="BC292" s="1007">
        <v>5</v>
      </c>
      <c r="BD292" s="1007">
        <v>20</v>
      </c>
      <c r="BE292" s="1007">
        <v>36</v>
      </c>
      <c r="BF292" s="1007">
        <v>864</v>
      </c>
      <c r="BG292" s="1007" t="s">
        <v>108</v>
      </c>
      <c r="BH292" s="1007" t="s">
        <v>109</v>
      </c>
    </row>
    <row r="293" spans="1:60">
      <c r="A293" s="1007" t="s">
        <v>1467</v>
      </c>
      <c r="B293" s="1007" t="s">
        <v>111</v>
      </c>
      <c r="C293" s="1007" t="s">
        <v>1459</v>
      </c>
      <c r="D293" s="1007" t="s">
        <v>63</v>
      </c>
      <c r="E293" s="1007" t="s">
        <v>64</v>
      </c>
      <c r="F293" s="1007" t="s">
        <v>100</v>
      </c>
      <c r="G293" s="1007" t="s">
        <v>402</v>
      </c>
      <c r="H293" s="1007" t="s">
        <v>67</v>
      </c>
      <c r="I293" s="1007" t="s">
        <v>689</v>
      </c>
      <c r="J293" s="1007" t="s">
        <v>101</v>
      </c>
      <c r="M293" s="1007" t="s">
        <v>68</v>
      </c>
      <c r="N293" s="1007">
        <v>46097</v>
      </c>
      <c r="O293" s="1007" t="s">
        <v>70</v>
      </c>
      <c r="P293" s="1007" t="s">
        <v>1461</v>
      </c>
      <c r="Q293" s="1007" t="s">
        <v>103</v>
      </c>
      <c r="R293" s="1007" t="s">
        <v>73</v>
      </c>
      <c r="S293" s="1007" t="s">
        <v>992</v>
      </c>
      <c r="T293" s="1007">
        <v>620</v>
      </c>
      <c r="U293" s="1007">
        <v>2160</v>
      </c>
      <c r="V293" s="1007">
        <v>1.3391999999999999</v>
      </c>
      <c r="W293" s="1007">
        <v>60</v>
      </c>
      <c r="X293" s="1007">
        <v>3</v>
      </c>
      <c r="Y293" s="1007" t="s">
        <v>75</v>
      </c>
      <c r="Z293" s="1007" t="s">
        <v>75</v>
      </c>
      <c r="AA293" s="1007" t="s">
        <v>1456</v>
      </c>
      <c r="AB293" s="1008">
        <v>46092</v>
      </c>
      <c r="AC293" s="1007">
        <v>11</v>
      </c>
      <c r="AD293" s="1007" t="s">
        <v>1468</v>
      </c>
      <c r="AF293" s="1007" t="s">
        <v>122</v>
      </c>
      <c r="AG293" s="1007" t="s">
        <v>123</v>
      </c>
      <c r="AH293" s="1007" t="s">
        <v>105</v>
      </c>
      <c r="AI293" s="1008">
        <v>46096</v>
      </c>
      <c r="AJ293" s="1008">
        <v>46103</v>
      </c>
      <c r="AK293" s="1008">
        <v>46103</v>
      </c>
      <c r="AL293" s="1008">
        <v>46133</v>
      </c>
      <c r="AM293" s="1008">
        <v>46150</v>
      </c>
      <c r="AN293" s="1008">
        <v>46148</v>
      </c>
      <c r="AO293" s="1007" t="s">
        <v>402</v>
      </c>
      <c r="AP293" s="1007" t="s">
        <v>889</v>
      </c>
      <c r="AQ293" s="1007" t="s">
        <v>80</v>
      </c>
      <c r="AR293" s="1007" t="s">
        <v>919</v>
      </c>
      <c r="AS293" s="1007" t="s">
        <v>920</v>
      </c>
      <c r="AT293" s="1007" t="s">
        <v>920</v>
      </c>
      <c r="AU293" s="1007">
        <v>45</v>
      </c>
      <c r="AW293" s="1008">
        <v>46148</v>
      </c>
      <c r="AX293" s="1007" t="s">
        <v>973</v>
      </c>
      <c r="AY293" s="1008">
        <v>46163</v>
      </c>
      <c r="AZ293" s="1007">
        <v>7</v>
      </c>
      <c r="BA293" s="1008">
        <v>46155</v>
      </c>
      <c r="BB293" s="1007">
        <v>2026</v>
      </c>
      <c r="BC293" s="1007">
        <v>5</v>
      </c>
      <c r="BD293" s="1007">
        <v>20</v>
      </c>
      <c r="BE293" s="1007">
        <v>36</v>
      </c>
      <c r="BF293" s="1007">
        <v>720</v>
      </c>
      <c r="BG293" s="1007" t="s">
        <v>128</v>
      </c>
      <c r="BH293" s="1007" t="s">
        <v>109</v>
      </c>
    </row>
    <row r="294" spans="1:60">
      <c r="A294" s="1007" t="s">
        <v>1469</v>
      </c>
      <c r="B294" s="1007" t="s">
        <v>111</v>
      </c>
      <c r="C294" s="1007" t="s">
        <v>1459</v>
      </c>
      <c r="D294" s="1007" t="s">
        <v>63</v>
      </c>
      <c r="E294" s="1007" t="s">
        <v>64</v>
      </c>
      <c r="F294" s="1007" t="s">
        <v>100</v>
      </c>
      <c r="G294" s="1007" t="s">
        <v>402</v>
      </c>
      <c r="H294" s="1007" t="s">
        <v>67</v>
      </c>
      <c r="I294" s="1007" t="s">
        <v>689</v>
      </c>
      <c r="J294" s="1007" t="s">
        <v>917</v>
      </c>
      <c r="M294" s="1007" t="s">
        <v>68</v>
      </c>
      <c r="N294" s="1007">
        <v>46097</v>
      </c>
      <c r="O294" s="1007" t="s">
        <v>70</v>
      </c>
      <c r="P294" s="1007" t="s">
        <v>1461</v>
      </c>
      <c r="Q294" s="1007" t="s">
        <v>103</v>
      </c>
      <c r="R294" s="1007" t="s">
        <v>73</v>
      </c>
      <c r="S294" s="1007" t="s">
        <v>992</v>
      </c>
      <c r="T294" s="1007">
        <v>620</v>
      </c>
      <c r="U294" s="1007">
        <v>2880</v>
      </c>
      <c r="V294" s="1007">
        <v>1.7856000000000001</v>
      </c>
      <c r="W294" s="1007">
        <v>80</v>
      </c>
      <c r="X294" s="1007">
        <v>4</v>
      </c>
      <c r="Y294" s="1007" t="s">
        <v>75</v>
      </c>
      <c r="Z294" s="1007" t="s">
        <v>75</v>
      </c>
      <c r="AA294" s="1007" t="s">
        <v>1456</v>
      </c>
      <c r="AB294" s="1008">
        <v>46092</v>
      </c>
      <c r="AC294" s="1007">
        <v>11</v>
      </c>
      <c r="AD294" s="1007" t="s">
        <v>1470</v>
      </c>
      <c r="AF294" s="1007" t="s">
        <v>122</v>
      </c>
      <c r="AG294" s="1007" t="s">
        <v>123</v>
      </c>
      <c r="AH294" s="1007" t="s">
        <v>105</v>
      </c>
      <c r="AI294" s="1008">
        <v>46096</v>
      </c>
      <c r="AJ294" s="1008">
        <v>46103</v>
      </c>
      <c r="AK294" s="1008">
        <v>46103</v>
      </c>
      <c r="AL294" s="1008">
        <v>46133</v>
      </c>
      <c r="AM294" s="1008">
        <v>46150</v>
      </c>
      <c r="AN294" s="1008">
        <v>46148</v>
      </c>
      <c r="AO294" s="1007" t="s">
        <v>402</v>
      </c>
      <c r="AP294" s="1007" t="s">
        <v>889</v>
      </c>
      <c r="AQ294" s="1007" t="s">
        <v>80</v>
      </c>
      <c r="AR294" s="1007" t="s">
        <v>919</v>
      </c>
      <c r="AS294" s="1007" t="s">
        <v>920</v>
      </c>
      <c r="AT294" s="1007" t="s">
        <v>920</v>
      </c>
      <c r="AU294" s="1007">
        <v>45</v>
      </c>
      <c r="AW294" s="1008">
        <v>46148</v>
      </c>
      <c r="AX294" s="1007" t="s">
        <v>973</v>
      </c>
      <c r="AY294" s="1008">
        <v>46163</v>
      </c>
      <c r="AZ294" s="1007">
        <v>7</v>
      </c>
      <c r="BA294" s="1008">
        <v>46155</v>
      </c>
      <c r="BB294" s="1007">
        <v>2026</v>
      </c>
      <c r="BC294" s="1007">
        <v>5</v>
      </c>
      <c r="BD294" s="1007">
        <v>20</v>
      </c>
      <c r="BE294" s="1007">
        <v>36</v>
      </c>
      <c r="BF294" s="1007">
        <v>720</v>
      </c>
      <c r="BG294" s="1007" t="s">
        <v>128</v>
      </c>
      <c r="BH294" s="1007" t="s">
        <v>109</v>
      </c>
    </row>
    <row r="295" spans="1:60">
      <c r="A295" s="1007" t="s">
        <v>1471</v>
      </c>
      <c r="B295" s="1007" t="s">
        <v>111</v>
      </c>
      <c r="C295" s="1007" t="s">
        <v>1046</v>
      </c>
      <c r="D295" s="1007" t="s">
        <v>63</v>
      </c>
      <c r="E295" s="1007" t="s">
        <v>64</v>
      </c>
      <c r="F295" s="1007" t="s">
        <v>100</v>
      </c>
      <c r="G295" s="1007" t="s">
        <v>402</v>
      </c>
      <c r="H295" s="1007" t="s">
        <v>67</v>
      </c>
      <c r="I295" s="1007" t="s">
        <v>822</v>
      </c>
      <c r="J295" s="1007" t="s">
        <v>1047</v>
      </c>
      <c r="M295" s="1007" t="s">
        <v>68</v>
      </c>
      <c r="N295" s="1007">
        <v>46069</v>
      </c>
      <c r="O295" s="1007" t="s">
        <v>70</v>
      </c>
      <c r="P295" s="1007" t="s">
        <v>1002</v>
      </c>
      <c r="Q295" s="1007" t="s">
        <v>330</v>
      </c>
      <c r="R295" s="1007" t="s">
        <v>73</v>
      </c>
      <c r="S295" s="1007" t="s">
        <v>992</v>
      </c>
      <c r="T295" s="1007">
        <v>625</v>
      </c>
      <c r="U295" s="1007">
        <v>7200</v>
      </c>
      <c r="V295" s="1007">
        <v>4.5</v>
      </c>
      <c r="W295" s="1007">
        <v>200</v>
      </c>
      <c r="X295" s="1007">
        <v>10</v>
      </c>
      <c r="Y295" s="1007" t="s">
        <v>75</v>
      </c>
      <c r="Z295" s="1007" t="s">
        <v>75</v>
      </c>
      <c r="AA295" s="1007" t="s">
        <v>1472</v>
      </c>
      <c r="AB295" s="1008">
        <v>46090</v>
      </c>
      <c r="AC295" s="1007">
        <v>11</v>
      </c>
      <c r="AD295" s="1007" t="s">
        <v>1473</v>
      </c>
      <c r="AF295" s="1007" t="s">
        <v>122</v>
      </c>
      <c r="AG295" s="1007" t="s">
        <v>123</v>
      </c>
      <c r="AH295" s="1007" t="s">
        <v>105</v>
      </c>
      <c r="AI295" s="1008">
        <v>46096</v>
      </c>
      <c r="AJ295" s="1008">
        <v>46103</v>
      </c>
      <c r="AK295" s="1008">
        <v>46103</v>
      </c>
      <c r="AL295" s="1008">
        <v>46133</v>
      </c>
      <c r="AM295" s="1008">
        <v>46150</v>
      </c>
      <c r="AN295" s="1008">
        <v>46148</v>
      </c>
      <c r="AO295" s="1007" t="s">
        <v>402</v>
      </c>
      <c r="AP295" s="1007" t="s">
        <v>889</v>
      </c>
      <c r="AQ295" s="1007" t="s">
        <v>80</v>
      </c>
      <c r="AR295" s="1007" t="s">
        <v>1474</v>
      </c>
      <c r="AS295" s="1007" t="s">
        <v>1475</v>
      </c>
      <c r="AT295" s="1007" t="s">
        <v>1475</v>
      </c>
      <c r="AU295" s="1007">
        <v>45</v>
      </c>
      <c r="AW295" s="1008">
        <v>46148</v>
      </c>
      <c r="AX295" s="1007" t="s">
        <v>973</v>
      </c>
      <c r="AY295" s="1008">
        <v>46163</v>
      </c>
      <c r="AZ295" s="1007">
        <v>7</v>
      </c>
      <c r="BA295" s="1008">
        <v>46155</v>
      </c>
      <c r="BB295" s="1007">
        <v>2026</v>
      </c>
      <c r="BC295" s="1007">
        <v>5</v>
      </c>
      <c r="BD295" s="1007">
        <v>20</v>
      </c>
      <c r="BE295" s="1007">
        <v>36</v>
      </c>
      <c r="BF295" s="1007">
        <v>720</v>
      </c>
      <c r="BG295" s="1007" t="s">
        <v>128</v>
      </c>
      <c r="BH295" s="1007" t="s">
        <v>109</v>
      </c>
    </row>
    <row r="296" spans="1:60">
      <c r="A296" s="1007" t="s">
        <v>1476</v>
      </c>
      <c r="B296" s="1007" t="s">
        <v>111</v>
      </c>
      <c r="C296" s="1007" t="s">
        <v>1318</v>
      </c>
      <c r="D296" s="1007" t="s">
        <v>63</v>
      </c>
      <c r="E296" s="1007" t="s">
        <v>64</v>
      </c>
      <c r="F296" s="1007" t="s">
        <v>100</v>
      </c>
      <c r="G296" s="1007" t="s">
        <v>402</v>
      </c>
      <c r="H296" s="1007" t="s">
        <v>67</v>
      </c>
      <c r="I296" s="1007" t="s">
        <v>689</v>
      </c>
      <c r="J296" s="1007" t="s">
        <v>483</v>
      </c>
      <c r="M296" s="1007" t="s">
        <v>68</v>
      </c>
      <c r="N296" s="1007">
        <v>46083</v>
      </c>
      <c r="O296" s="1007" t="s">
        <v>473</v>
      </c>
      <c r="P296" s="1007" t="s">
        <v>474</v>
      </c>
      <c r="Q296" s="1007" t="s">
        <v>1319</v>
      </c>
      <c r="R296" s="1007" t="s">
        <v>73</v>
      </c>
      <c r="S296" s="1007" t="s">
        <v>967</v>
      </c>
      <c r="T296" s="1007">
        <v>460</v>
      </c>
      <c r="U296" s="1007">
        <v>8640</v>
      </c>
      <c r="V296" s="1007">
        <v>3.9744000000000002</v>
      </c>
      <c r="W296" s="1007">
        <v>240</v>
      </c>
      <c r="X296" s="1007">
        <v>10</v>
      </c>
      <c r="Y296" s="1007" t="s">
        <v>75</v>
      </c>
      <c r="Z296" s="1007" t="s">
        <v>75</v>
      </c>
      <c r="AA296" s="1007" t="s">
        <v>1477</v>
      </c>
      <c r="AB296" s="1008">
        <v>46092</v>
      </c>
      <c r="AC296" s="1007">
        <v>11</v>
      </c>
      <c r="AD296" s="1007" t="s">
        <v>1478</v>
      </c>
      <c r="AF296" s="1007" t="s">
        <v>122</v>
      </c>
      <c r="AG296" s="1007" t="s">
        <v>123</v>
      </c>
      <c r="AH296" s="1007" t="s">
        <v>105</v>
      </c>
      <c r="AI296" s="1008">
        <v>46096</v>
      </c>
      <c r="AJ296" s="1008">
        <v>46103</v>
      </c>
      <c r="AK296" s="1008">
        <v>46103</v>
      </c>
      <c r="AL296" s="1008">
        <v>46133</v>
      </c>
      <c r="AM296" s="1008">
        <v>46150</v>
      </c>
      <c r="AN296" s="1008">
        <v>46148</v>
      </c>
      <c r="AO296" s="1007" t="s">
        <v>402</v>
      </c>
      <c r="AP296" s="1007" t="s">
        <v>889</v>
      </c>
      <c r="AQ296" s="1007" t="s">
        <v>80</v>
      </c>
      <c r="AR296" s="1007" t="s">
        <v>1479</v>
      </c>
      <c r="AS296" s="1007" t="s">
        <v>1480</v>
      </c>
      <c r="AT296" s="1007" t="s">
        <v>1480</v>
      </c>
      <c r="AU296" s="1007">
        <v>45</v>
      </c>
      <c r="AW296" s="1008">
        <v>46148</v>
      </c>
      <c r="AX296" s="1007" t="s">
        <v>973</v>
      </c>
      <c r="AY296" s="1008">
        <v>46163</v>
      </c>
      <c r="AZ296" s="1007">
        <v>7</v>
      </c>
      <c r="BA296" s="1008">
        <v>46155</v>
      </c>
      <c r="BB296" s="1007">
        <v>2026</v>
      </c>
      <c r="BC296" s="1007">
        <v>5</v>
      </c>
      <c r="BD296" s="1007">
        <v>20</v>
      </c>
      <c r="BE296" s="1007">
        <v>36</v>
      </c>
      <c r="BF296" s="1007">
        <v>864</v>
      </c>
      <c r="BG296" s="1007" t="s">
        <v>85</v>
      </c>
      <c r="BH296" s="1007" t="s">
        <v>109</v>
      </c>
    </row>
    <row r="297" spans="1:60">
      <c r="A297" s="1007" t="s">
        <v>1481</v>
      </c>
      <c r="B297" s="1007" t="s">
        <v>111</v>
      </c>
      <c r="C297" s="1007" t="s">
        <v>1482</v>
      </c>
      <c r="D297" s="1007" t="s">
        <v>63</v>
      </c>
      <c r="E297" s="1007" t="s">
        <v>64</v>
      </c>
      <c r="F297" s="1007" t="s">
        <v>100</v>
      </c>
      <c r="G297" s="1007" t="s">
        <v>402</v>
      </c>
      <c r="H297" s="1007" t="s">
        <v>67</v>
      </c>
      <c r="I297" s="1007" t="s">
        <v>689</v>
      </c>
      <c r="J297" s="1007" t="s">
        <v>101</v>
      </c>
      <c r="M297" s="1007" t="s">
        <v>68</v>
      </c>
      <c r="N297" s="1007">
        <v>46093</v>
      </c>
      <c r="O297" s="1007" t="s">
        <v>70</v>
      </c>
      <c r="P297" s="1007" t="s">
        <v>1483</v>
      </c>
      <c r="Q297" s="1007" t="s">
        <v>1484</v>
      </c>
      <c r="R297" s="1007" t="s">
        <v>73</v>
      </c>
      <c r="S297" s="1007" t="s">
        <v>992</v>
      </c>
      <c r="T297" s="1007">
        <v>725</v>
      </c>
      <c r="U297" s="1007">
        <v>8910</v>
      </c>
      <c r="V297" s="1007">
        <v>6.4597499999999997</v>
      </c>
      <c r="W297" s="1007">
        <v>270</v>
      </c>
      <c r="X297" s="1007">
        <v>15</v>
      </c>
      <c r="Y297" s="1007" t="s">
        <v>75</v>
      </c>
      <c r="Z297" s="1007" t="s">
        <v>75</v>
      </c>
      <c r="AA297" s="1007" t="s">
        <v>1456</v>
      </c>
      <c r="AB297" s="1008">
        <v>46094</v>
      </c>
      <c r="AC297" s="1007">
        <v>11</v>
      </c>
      <c r="AD297" s="1007" t="s">
        <v>1485</v>
      </c>
      <c r="AF297" s="1007" t="s">
        <v>122</v>
      </c>
      <c r="AG297" s="1007" t="s">
        <v>123</v>
      </c>
      <c r="AH297" s="1007" t="s">
        <v>105</v>
      </c>
      <c r="AI297" s="1008">
        <v>46097</v>
      </c>
      <c r="AJ297" s="1008">
        <v>46112</v>
      </c>
      <c r="AK297" s="1008">
        <v>46112</v>
      </c>
      <c r="AL297" s="1008">
        <v>46134</v>
      </c>
      <c r="AM297" s="1008">
        <v>46154</v>
      </c>
      <c r="AN297" s="1008">
        <v>46157</v>
      </c>
      <c r="AO297" s="1007" t="s">
        <v>402</v>
      </c>
      <c r="AP297" s="1007" t="s">
        <v>1486</v>
      </c>
      <c r="AQ297" s="1007" t="s">
        <v>80</v>
      </c>
      <c r="AR297" s="1007" t="s">
        <v>1487</v>
      </c>
      <c r="AS297" s="1007" t="s">
        <v>1488</v>
      </c>
      <c r="AT297" s="1007" t="s">
        <v>1488</v>
      </c>
      <c r="AU297" s="1007">
        <v>45</v>
      </c>
      <c r="AW297" s="1008">
        <v>46157</v>
      </c>
      <c r="AX297" s="1007" t="s">
        <v>973</v>
      </c>
      <c r="AY297" s="1008">
        <v>46168</v>
      </c>
      <c r="AZ297" s="1007">
        <v>7</v>
      </c>
      <c r="BA297" s="1008">
        <v>46164</v>
      </c>
      <c r="BB297" s="1007">
        <v>2026</v>
      </c>
      <c r="BC297" s="1007">
        <v>5</v>
      </c>
      <c r="BD297" s="1007">
        <v>21</v>
      </c>
      <c r="BE297" s="1007">
        <v>33</v>
      </c>
      <c r="BF297" s="1007">
        <v>594</v>
      </c>
      <c r="BG297" s="1007" t="s">
        <v>128</v>
      </c>
      <c r="BH297" s="1007" t="s">
        <v>109</v>
      </c>
    </row>
    <row r="298" spans="1:60">
      <c r="A298" s="1007" t="s">
        <v>1489</v>
      </c>
      <c r="B298" s="1007" t="s">
        <v>111</v>
      </c>
      <c r="C298" s="1007" t="s">
        <v>1310</v>
      </c>
      <c r="D298" s="1007" t="s">
        <v>63</v>
      </c>
      <c r="E298" s="1007" t="s">
        <v>64</v>
      </c>
      <c r="F298" s="1007" t="s">
        <v>100</v>
      </c>
      <c r="G298" s="1007" t="s">
        <v>402</v>
      </c>
      <c r="H298" s="1007" t="s">
        <v>67</v>
      </c>
      <c r="I298" s="1007" t="s">
        <v>689</v>
      </c>
      <c r="J298" s="1007" t="s">
        <v>1490</v>
      </c>
      <c r="M298" s="1007" t="s">
        <v>68</v>
      </c>
      <c r="N298" s="1007">
        <v>46083</v>
      </c>
      <c r="O298" s="1007" t="s">
        <v>473</v>
      </c>
      <c r="P298" s="1007" t="s">
        <v>529</v>
      </c>
      <c r="Q298" s="1007" t="s">
        <v>1311</v>
      </c>
      <c r="R298" s="1007" t="s">
        <v>73</v>
      </c>
      <c r="S298" s="1007" t="s">
        <v>967</v>
      </c>
      <c r="T298" s="1007">
        <v>455</v>
      </c>
      <c r="U298" s="1007">
        <v>4320</v>
      </c>
      <c r="V298" s="1007">
        <v>1.9656</v>
      </c>
      <c r="W298" s="1007">
        <v>120</v>
      </c>
      <c r="X298" s="1007">
        <v>5</v>
      </c>
      <c r="Y298" s="1007" t="s">
        <v>75</v>
      </c>
      <c r="Z298" s="1007" t="s">
        <v>75</v>
      </c>
      <c r="AA298" s="1007" t="s">
        <v>1491</v>
      </c>
      <c r="AB298" s="1008">
        <v>46093</v>
      </c>
      <c r="AC298" s="1007">
        <v>11</v>
      </c>
      <c r="AD298" s="1007" t="s">
        <v>1492</v>
      </c>
      <c r="AF298" s="1007" t="s">
        <v>122</v>
      </c>
      <c r="AG298" s="1007" t="s">
        <v>123</v>
      </c>
      <c r="AH298" s="1007" t="s">
        <v>105</v>
      </c>
      <c r="AI298" s="1008">
        <v>46097</v>
      </c>
      <c r="AJ298" s="1008">
        <v>46100</v>
      </c>
      <c r="AK298" s="1008">
        <v>46102</v>
      </c>
      <c r="AL298" s="1008">
        <v>46134</v>
      </c>
      <c r="AM298" s="1008">
        <v>46143</v>
      </c>
      <c r="AN298" s="1008">
        <v>46144</v>
      </c>
      <c r="AO298" s="1007" t="s">
        <v>402</v>
      </c>
      <c r="AP298" s="1007" t="s">
        <v>1486</v>
      </c>
      <c r="AQ298" s="1007" t="s">
        <v>80</v>
      </c>
      <c r="AR298" s="1007" t="s">
        <v>1493</v>
      </c>
      <c r="AS298" s="1007" t="s">
        <v>1494</v>
      </c>
      <c r="AT298" s="1007" t="s">
        <v>1494</v>
      </c>
      <c r="AU298" s="1007">
        <v>42</v>
      </c>
      <c r="AW298" s="1008">
        <v>46144</v>
      </c>
      <c r="AX298" s="1007" t="s">
        <v>973</v>
      </c>
      <c r="AY298" s="1008">
        <v>46155</v>
      </c>
      <c r="AZ298" s="1007">
        <v>7</v>
      </c>
      <c r="BA298" s="1008">
        <v>46151</v>
      </c>
      <c r="BB298" s="1007">
        <v>2026</v>
      </c>
      <c r="BC298" s="1007">
        <v>5</v>
      </c>
      <c r="BD298" s="1007">
        <v>19</v>
      </c>
      <c r="BE298" s="1007">
        <v>36</v>
      </c>
      <c r="BF298" s="1007">
        <v>864</v>
      </c>
      <c r="BG298" s="1007" t="s">
        <v>85</v>
      </c>
      <c r="BH298" s="1007" t="s">
        <v>109</v>
      </c>
    </row>
    <row r="299" spans="1:60">
      <c r="A299" s="1007" t="s">
        <v>1495</v>
      </c>
      <c r="B299" s="1007" t="s">
        <v>111</v>
      </c>
      <c r="C299" s="1007" t="s">
        <v>1046</v>
      </c>
      <c r="D299" s="1007" t="s">
        <v>63</v>
      </c>
      <c r="E299" s="1007" t="s">
        <v>64</v>
      </c>
      <c r="F299" s="1007" t="s">
        <v>100</v>
      </c>
      <c r="G299" s="1007" t="s">
        <v>402</v>
      </c>
      <c r="H299" s="1007" t="s">
        <v>67</v>
      </c>
      <c r="I299" s="1007" t="s">
        <v>822</v>
      </c>
      <c r="J299" s="1007" t="s">
        <v>1047</v>
      </c>
      <c r="M299" s="1007" t="s">
        <v>68</v>
      </c>
      <c r="N299" s="1007">
        <v>46069</v>
      </c>
      <c r="O299" s="1007" t="s">
        <v>70</v>
      </c>
      <c r="P299" s="1007" t="s">
        <v>1002</v>
      </c>
      <c r="Q299" s="1007" t="s">
        <v>330</v>
      </c>
      <c r="R299" s="1007" t="s">
        <v>73</v>
      </c>
      <c r="S299" s="1007" t="s">
        <v>992</v>
      </c>
      <c r="T299" s="1007">
        <v>625</v>
      </c>
      <c r="U299" s="1007">
        <v>720</v>
      </c>
      <c r="V299" s="1007">
        <v>0.45</v>
      </c>
      <c r="W299" s="1007">
        <v>20</v>
      </c>
      <c r="X299" s="1007">
        <v>1</v>
      </c>
      <c r="Y299" s="1007" t="s">
        <v>75</v>
      </c>
      <c r="Z299" s="1007" t="s">
        <v>75</v>
      </c>
      <c r="AA299" s="1007" t="s">
        <v>1472</v>
      </c>
      <c r="AB299" s="1008">
        <v>46093</v>
      </c>
      <c r="AC299" s="1007">
        <v>11</v>
      </c>
      <c r="AD299" s="1007" t="s">
        <v>1496</v>
      </c>
      <c r="AF299" s="1007" t="s">
        <v>122</v>
      </c>
      <c r="AG299" s="1007" t="s">
        <v>123</v>
      </c>
      <c r="AH299" s="1007" t="s">
        <v>105</v>
      </c>
      <c r="AI299" s="1008">
        <v>46096</v>
      </c>
      <c r="AJ299" s="1008">
        <v>46100</v>
      </c>
      <c r="AK299" s="1008">
        <v>46103</v>
      </c>
      <c r="AL299" s="1008">
        <v>46133</v>
      </c>
      <c r="AM299" s="1008">
        <v>46151</v>
      </c>
      <c r="AN299" s="1008">
        <v>46153</v>
      </c>
      <c r="AO299" s="1007" t="s">
        <v>402</v>
      </c>
      <c r="AP299" s="1007" t="s">
        <v>1486</v>
      </c>
      <c r="AQ299" s="1007" t="s">
        <v>80</v>
      </c>
      <c r="AR299" s="1007" t="s">
        <v>1497</v>
      </c>
      <c r="AS299" s="1007" t="s">
        <v>1498</v>
      </c>
      <c r="AT299" s="1007" t="s">
        <v>1498</v>
      </c>
      <c r="AU299" s="1007">
        <v>50</v>
      </c>
      <c r="AW299" s="1008">
        <v>46153</v>
      </c>
      <c r="AX299" s="1007" t="s">
        <v>973</v>
      </c>
      <c r="AY299" s="1008">
        <v>46159</v>
      </c>
      <c r="AZ299" s="1007">
        <v>7</v>
      </c>
      <c r="BA299" s="1008">
        <v>46160</v>
      </c>
      <c r="BB299" s="1007">
        <v>2026</v>
      </c>
      <c r="BC299" s="1007">
        <v>5</v>
      </c>
      <c r="BD299" s="1007">
        <v>21</v>
      </c>
      <c r="BE299" s="1007">
        <v>36</v>
      </c>
      <c r="BF299" s="1007">
        <v>720</v>
      </c>
      <c r="BG299" s="1007" t="s">
        <v>128</v>
      </c>
      <c r="BH299" s="1007" t="s">
        <v>109</v>
      </c>
    </row>
    <row r="300" spans="1:60">
      <c r="A300" s="1007" t="s">
        <v>1499</v>
      </c>
      <c r="B300" s="1007" t="s">
        <v>111</v>
      </c>
      <c r="C300" s="1007" t="s">
        <v>1318</v>
      </c>
      <c r="D300" s="1007" t="s">
        <v>63</v>
      </c>
      <c r="E300" s="1007" t="s">
        <v>64</v>
      </c>
      <c r="F300" s="1007" t="s">
        <v>100</v>
      </c>
      <c r="G300" s="1007" t="s">
        <v>402</v>
      </c>
      <c r="H300" s="1007" t="s">
        <v>67</v>
      </c>
      <c r="I300" s="1007" t="s">
        <v>689</v>
      </c>
      <c r="J300" s="1007" t="s">
        <v>483</v>
      </c>
      <c r="M300" s="1007" t="s">
        <v>68</v>
      </c>
      <c r="N300" s="1007">
        <v>46083</v>
      </c>
      <c r="O300" s="1007" t="s">
        <v>473</v>
      </c>
      <c r="P300" s="1007" t="s">
        <v>474</v>
      </c>
      <c r="Q300" s="1007" t="s">
        <v>1319</v>
      </c>
      <c r="R300" s="1007" t="s">
        <v>73</v>
      </c>
      <c r="S300" s="1007" t="s">
        <v>967</v>
      </c>
      <c r="T300" s="1007">
        <v>460</v>
      </c>
      <c r="U300" s="1007">
        <v>864</v>
      </c>
      <c r="V300" s="1007">
        <v>0.39744000000000002</v>
      </c>
      <c r="W300" s="1007">
        <v>24</v>
      </c>
      <c r="X300" s="1007">
        <v>1</v>
      </c>
      <c r="Y300" s="1007" t="s">
        <v>75</v>
      </c>
      <c r="Z300" s="1007" t="s">
        <v>75</v>
      </c>
      <c r="AA300" s="1007" t="s">
        <v>1500</v>
      </c>
      <c r="AB300" s="1008">
        <v>46093</v>
      </c>
      <c r="AC300" s="1007">
        <v>11</v>
      </c>
      <c r="AD300" s="1007" t="s">
        <v>1501</v>
      </c>
      <c r="AF300" s="1007" t="s">
        <v>122</v>
      </c>
      <c r="AG300" s="1007" t="s">
        <v>123</v>
      </c>
      <c r="AH300" s="1007" t="s">
        <v>105</v>
      </c>
      <c r="AI300" s="1008">
        <v>46097</v>
      </c>
      <c r="AJ300" s="1008">
        <v>46100</v>
      </c>
      <c r="AK300" s="1008">
        <v>46103</v>
      </c>
      <c r="AL300" s="1008">
        <v>46134</v>
      </c>
      <c r="AM300" s="1008">
        <v>46151</v>
      </c>
      <c r="AN300" s="1008">
        <v>46153</v>
      </c>
      <c r="AO300" s="1007" t="s">
        <v>402</v>
      </c>
      <c r="AP300" s="1007" t="s">
        <v>1486</v>
      </c>
      <c r="AQ300" s="1007" t="s">
        <v>80</v>
      </c>
      <c r="AR300" s="1007" t="s">
        <v>1497</v>
      </c>
      <c r="AS300" s="1007" t="s">
        <v>1498</v>
      </c>
      <c r="AT300" s="1007" t="s">
        <v>1498</v>
      </c>
      <c r="AU300" s="1007">
        <v>50</v>
      </c>
      <c r="AW300" s="1008">
        <v>46153</v>
      </c>
      <c r="AX300" s="1007" t="s">
        <v>973</v>
      </c>
      <c r="AY300" s="1008">
        <v>46159</v>
      </c>
      <c r="AZ300" s="1007">
        <v>7</v>
      </c>
      <c r="BA300" s="1008">
        <v>46160</v>
      </c>
      <c r="BB300" s="1007">
        <v>2026</v>
      </c>
      <c r="BC300" s="1007">
        <v>5</v>
      </c>
      <c r="BD300" s="1007">
        <v>21</v>
      </c>
      <c r="BE300" s="1007">
        <v>36</v>
      </c>
      <c r="BF300" s="1007">
        <v>864</v>
      </c>
      <c r="BG300" s="1007" t="s">
        <v>85</v>
      </c>
      <c r="BH300" s="1007" t="s">
        <v>109</v>
      </c>
    </row>
    <row r="301" spans="1:60">
      <c r="A301" s="1007" t="s">
        <v>1482</v>
      </c>
      <c r="B301" s="1007" t="s">
        <v>111</v>
      </c>
      <c r="C301" s="1007" t="s">
        <v>203</v>
      </c>
      <c r="D301" s="1007" t="s">
        <v>63</v>
      </c>
      <c r="E301" s="1007" t="s">
        <v>64</v>
      </c>
      <c r="F301" s="1007" t="s">
        <v>100</v>
      </c>
      <c r="G301" s="1007" t="s">
        <v>402</v>
      </c>
      <c r="H301" s="1007" t="s">
        <v>67</v>
      </c>
      <c r="I301" s="1007" t="s">
        <v>689</v>
      </c>
      <c r="J301" s="1007" t="s">
        <v>101</v>
      </c>
      <c r="M301" s="1007" t="s">
        <v>68</v>
      </c>
      <c r="N301" s="1007">
        <v>46093</v>
      </c>
      <c r="O301" s="1007" t="s">
        <v>70</v>
      </c>
      <c r="P301" s="1007" t="s">
        <v>1483</v>
      </c>
      <c r="Q301" s="1007" t="s">
        <v>1484</v>
      </c>
      <c r="R301" s="1007" t="s">
        <v>73</v>
      </c>
      <c r="S301" s="1007" t="s">
        <v>992</v>
      </c>
      <c r="T301" s="1007">
        <v>725</v>
      </c>
      <c r="U301" s="1007">
        <v>594</v>
      </c>
      <c r="V301" s="1007">
        <v>0.43064999999999998</v>
      </c>
      <c r="W301" s="1007">
        <v>18</v>
      </c>
      <c r="X301" s="1007">
        <v>1</v>
      </c>
      <c r="Y301" s="1007" t="s">
        <v>75</v>
      </c>
      <c r="Z301" s="1007" t="s">
        <v>75</v>
      </c>
      <c r="AA301" s="1007" t="s">
        <v>1456</v>
      </c>
      <c r="AB301" s="1008">
        <v>46093</v>
      </c>
      <c r="AC301" s="1007">
        <v>11</v>
      </c>
      <c r="AD301" s="1007" t="s">
        <v>1502</v>
      </c>
      <c r="AF301" s="1007" t="s">
        <v>122</v>
      </c>
      <c r="AG301" s="1007" t="s">
        <v>123</v>
      </c>
      <c r="AH301" s="1007" t="s">
        <v>105</v>
      </c>
      <c r="AI301" s="1008">
        <v>46097</v>
      </c>
      <c r="AJ301" s="1008">
        <v>46100</v>
      </c>
      <c r="AK301" s="1008">
        <v>46103</v>
      </c>
      <c r="AL301" s="1008">
        <v>46134</v>
      </c>
      <c r="AM301" s="1008">
        <v>46151</v>
      </c>
      <c r="AN301" s="1008">
        <v>46153</v>
      </c>
      <c r="AO301" s="1007" t="s">
        <v>402</v>
      </c>
      <c r="AP301" s="1007" t="s">
        <v>1486</v>
      </c>
      <c r="AQ301" s="1007" t="s">
        <v>80</v>
      </c>
      <c r="AR301" s="1007" t="s">
        <v>1497</v>
      </c>
      <c r="AS301" s="1007" t="s">
        <v>1498</v>
      </c>
      <c r="AT301" s="1007" t="s">
        <v>1498</v>
      </c>
      <c r="AU301" s="1007">
        <v>50</v>
      </c>
      <c r="AW301" s="1008">
        <v>46153</v>
      </c>
      <c r="AX301" s="1007" t="s">
        <v>973</v>
      </c>
      <c r="AY301" s="1008">
        <v>46159</v>
      </c>
      <c r="AZ301" s="1007">
        <v>7</v>
      </c>
      <c r="BA301" s="1008">
        <v>46160</v>
      </c>
      <c r="BB301" s="1007">
        <v>2026</v>
      </c>
      <c r="BC301" s="1007">
        <v>5</v>
      </c>
      <c r="BD301" s="1007">
        <v>21</v>
      </c>
      <c r="BE301" s="1007">
        <v>33</v>
      </c>
      <c r="BF301" s="1007">
        <v>594</v>
      </c>
      <c r="BG301" s="1007" t="s">
        <v>128</v>
      </c>
      <c r="BH301" s="1007" t="s">
        <v>109</v>
      </c>
    </row>
    <row r="302" spans="1:60">
      <c r="A302" s="1007" t="s">
        <v>1503</v>
      </c>
      <c r="B302" s="1007" t="s">
        <v>111</v>
      </c>
      <c r="C302" s="1007" t="s">
        <v>1310</v>
      </c>
      <c r="D302" s="1007" t="s">
        <v>63</v>
      </c>
      <c r="E302" s="1007" t="s">
        <v>64</v>
      </c>
      <c r="F302" s="1007" t="s">
        <v>100</v>
      </c>
      <c r="G302" s="1007" t="s">
        <v>402</v>
      </c>
      <c r="H302" s="1007" t="s">
        <v>67</v>
      </c>
      <c r="I302" s="1007" t="s">
        <v>689</v>
      </c>
      <c r="J302" s="1007" t="s">
        <v>483</v>
      </c>
      <c r="M302" s="1007" t="s">
        <v>68</v>
      </c>
      <c r="N302" s="1007">
        <v>46083</v>
      </c>
      <c r="O302" s="1007" t="s">
        <v>473</v>
      </c>
      <c r="P302" s="1007" t="s">
        <v>529</v>
      </c>
      <c r="Q302" s="1007" t="s">
        <v>1311</v>
      </c>
      <c r="R302" s="1007" t="s">
        <v>73</v>
      </c>
      <c r="S302" s="1007" t="s">
        <v>967</v>
      </c>
      <c r="T302" s="1007">
        <v>455</v>
      </c>
      <c r="U302" s="1007">
        <v>6912</v>
      </c>
      <c r="V302" s="1007">
        <v>3.1449600000000002</v>
      </c>
      <c r="W302" s="1007">
        <v>192</v>
      </c>
      <c r="X302" s="1007">
        <v>8</v>
      </c>
      <c r="Y302" s="1007" t="s">
        <v>75</v>
      </c>
      <c r="Z302" s="1007" t="s">
        <v>75</v>
      </c>
      <c r="AA302" s="1007" t="s">
        <v>1504</v>
      </c>
      <c r="AB302" s="1008">
        <v>46093</v>
      </c>
      <c r="AC302" s="1007">
        <v>11</v>
      </c>
      <c r="AD302" s="1007" t="s">
        <v>1505</v>
      </c>
      <c r="AF302" s="1007" t="s">
        <v>122</v>
      </c>
      <c r="AG302" s="1007" t="s">
        <v>123</v>
      </c>
      <c r="AH302" s="1007" t="s">
        <v>105</v>
      </c>
      <c r="AI302" s="1008">
        <v>46097</v>
      </c>
      <c r="AJ302" s="1008">
        <v>46100</v>
      </c>
      <c r="AK302" s="1008">
        <v>46103</v>
      </c>
      <c r="AL302" s="1008">
        <v>46134</v>
      </c>
      <c r="AM302" s="1008">
        <v>46151</v>
      </c>
      <c r="AN302" s="1008">
        <v>46153</v>
      </c>
      <c r="AO302" s="1007" t="s">
        <v>402</v>
      </c>
      <c r="AP302" s="1007" t="s">
        <v>1486</v>
      </c>
      <c r="AQ302" s="1007" t="s">
        <v>80</v>
      </c>
      <c r="AR302" s="1007" t="s">
        <v>1497</v>
      </c>
      <c r="AS302" s="1007" t="s">
        <v>1498</v>
      </c>
      <c r="AT302" s="1007" t="s">
        <v>1498</v>
      </c>
      <c r="AU302" s="1007">
        <v>50</v>
      </c>
      <c r="AW302" s="1008">
        <v>46153</v>
      </c>
      <c r="AX302" s="1007" t="s">
        <v>973</v>
      </c>
      <c r="AY302" s="1008">
        <v>46159</v>
      </c>
      <c r="AZ302" s="1007">
        <v>7</v>
      </c>
      <c r="BA302" s="1008">
        <v>46160</v>
      </c>
      <c r="BB302" s="1007">
        <v>2026</v>
      </c>
      <c r="BC302" s="1007">
        <v>5</v>
      </c>
      <c r="BD302" s="1007">
        <v>21</v>
      </c>
      <c r="BE302" s="1007">
        <v>36</v>
      </c>
      <c r="BF302" s="1007">
        <v>864</v>
      </c>
      <c r="BG302" s="1007" t="s">
        <v>85</v>
      </c>
      <c r="BH302" s="1007" t="s">
        <v>109</v>
      </c>
    </row>
    <row r="303" spans="1:60">
      <c r="A303" s="1007" t="s">
        <v>1506</v>
      </c>
      <c r="B303" s="1007" t="s">
        <v>111</v>
      </c>
      <c r="C303" s="1007" t="s">
        <v>1326</v>
      </c>
      <c r="D303" s="1007" t="s">
        <v>113</v>
      </c>
      <c r="E303" s="1007" t="s">
        <v>64</v>
      </c>
      <c r="F303" s="1007" t="s">
        <v>65</v>
      </c>
      <c r="G303" s="1007" t="s">
        <v>402</v>
      </c>
      <c r="H303" s="1007" t="s">
        <v>67</v>
      </c>
      <c r="I303" s="1007" t="s">
        <v>822</v>
      </c>
      <c r="J303" s="1007" t="s">
        <v>1327</v>
      </c>
      <c r="M303" s="1007" t="s">
        <v>68</v>
      </c>
      <c r="N303" s="1007" t="s">
        <v>68</v>
      </c>
      <c r="O303" s="1007" t="s">
        <v>70</v>
      </c>
      <c r="P303" s="1007" t="s">
        <v>218</v>
      </c>
      <c r="Q303" s="1007" t="s">
        <v>219</v>
      </c>
      <c r="R303" s="1007" t="s">
        <v>73</v>
      </c>
      <c r="S303" s="1007" t="s">
        <v>992</v>
      </c>
      <c r="T303" s="1007">
        <v>625</v>
      </c>
      <c r="U303" s="1007">
        <v>6480</v>
      </c>
      <c r="V303" s="1007">
        <v>4.05</v>
      </c>
      <c r="W303" s="1007">
        <v>180</v>
      </c>
      <c r="X303" s="1007">
        <v>9</v>
      </c>
      <c r="Y303" s="1007" t="s">
        <v>75</v>
      </c>
      <c r="Z303" s="1007" t="s">
        <v>75</v>
      </c>
      <c r="AB303" s="1008">
        <v>46091</v>
      </c>
      <c r="AC303" s="1007">
        <v>11</v>
      </c>
      <c r="AD303" s="1007" t="s">
        <v>1507</v>
      </c>
      <c r="AF303" s="1007" t="s">
        <v>122</v>
      </c>
      <c r="AG303" s="1007" t="s">
        <v>123</v>
      </c>
      <c r="AH303" s="1007" t="s">
        <v>78</v>
      </c>
      <c r="AI303" s="1008">
        <v>46096</v>
      </c>
      <c r="AJ303" s="1008">
        <v>46095</v>
      </c>
      <c r="AK303" s="1008">
        <v>46095</v>
      </c>
      <c r="AL303" s="1008">
        <v>46146</v>
      </c>
      <c r="AM303" s="1008">
        <v>46153</v>
      </c>
      <c r="AN303" s="1008">
        <v>46159</v>
      </c>
      <c r="AO303" s="1007" t="s">
        <v>402</v>
      </c>
      <c r="AP303" s="1007" t="s">
        <v>1508</v>
      </c>
      <c r="AQ303" s="1007" t="s">
        <v>80</v>
      </c>
      <c r="AR303" s="1007" t="s">
        <v>1509</v>
      </c>
      <c r="AS303" s="1007" t="s">
        <v>1510</v>
      </c>
      <c r="AT303" s="1007" t="s">
        <v>1510</v>
      </c>
      <c r="AU303" s="1007">
        <v>64</v>
      </c>
      <c r="AW303" s="1008">
        <v>46159</v>
      </c>
      <c r="AX303" s="1007" t="s">
        <v>973</v>
      </c>
      <c r="AY303" s="1008">
        <v>46170</v>
      </c>
      <c r="AZ303" s="1007">
        <v>8</v>
      </c>
      <c r="BA303" s="1008">
        <v>46167</v>
      </c>
      <c r="BB303" s="1007">
        <v>2026</v>
      </c>
      <c r="BC303" s="1007">
        <v>5</v>
      </c>
      <c r="BD303" s="1007">
        <v>22</v>
      </c>
      <c r="BE303" s="1007">
        <v>36</v>
      </c>
      <c r="BF303" s="1007">
        <v>720</v>
      </c>
      <c r="BG303" s="1007" t="s">
        <v>128</v>
      </c>
      <c r="BH303" s="1007" t="s">
        <v>86</v>
      </c>
    </row>
    <row r="304" spans="1:60">
      <c r="A304" s="1007" t="s">
        <v>1511</v>
      </c>
      <c r="B304" s="1007" t="s">
        <v>111</v>
      </c>
      <c r="C304" s="1007" t="s">
        <v>1333</v>
      </c>
      <c r="D304" s="1007" t="s">
        <v>113</v>
      </c>
      <c r="E304" s="1007" t="s">
        <v>64</v>
      </c>
      <c r="F304" s="1007" t="s">
        <v>65</v>
      </c>
      <c r="G304" s="1007" t="s">
        <v>402</v>
      </c>
      <c r="H304" s="1007" t="s">
        <v>67</v>
      </c>
      <c r="I304" s="1007" t="s">
        <v>822</v>
      </c>
      <c r="J304" s="1007" t="s">
        <v>1327</v>
      </c>
      <c r="M304" s="1007" t="s">
        <v>68</v>
      </c>
      <c r="N304" s="1007" t="s">
        <v>68</v>
      </c>
      <c r="O304" s="1007" t="s">
        <v>70</v>
      </c>
      <c r="P304" s="1007" t="s">
        <v>1334</v>
      </c>
      <c r="Q304" s="1007" t="s">
        <v>1335</v>
      </c>
      <c r="R304" s="1007" t="s">
        <v>73</v>
      </c>
      <c r="S304" s="1007" t="s">
        <v>992</v>
      </c>
      <c r="T304" s="1007">
        <v>630</v>
      </c>
      <c r="U304" s="1007">
        <v>4320</v>
      </c>
      <c r="V304" s="1007">
        <v>2.7216</v>
      </c>
      <c r="W304" s="1007">
        <v>120</v>
      </c>
      <c r="X304" s="1007">
        <v>6</v>
      </c>
      <c r="Y304" s="1007" t="s">
        <v>75</v>
      </c>
      <c r="Z304" s="1007" t="s">
        <v>75</v>
      </c>
      <c r="AB304" s="1008">
        <v>46091</v>
      </c>
      <c r="AC304" s="1007">
        <v>11</v>
      </c>
      <c r="AD304" s="1007" t="s">
        <v>1512</v>
      </c>
      <c r="AF304" s="1007" t="s">
        <v>122</v>
      </c>
      <c r="AG304" s="1007" t="s">
        <v>123</v>
      </c>
      <c r="AH304" s="1007" t="s">
        <v>78</v>
      </c>
      <c r="AI304" s="1008">
        <v>46096</v>
      </c>
      <c r="AJ304" s="1008">
        <v>46095</v>
      </c>
      <c r="AK304" s="1008">
        <v>46095</v>
      </c>
      <c r="AL304" s="1008">
        <v>46146</v>
      </c>
      <c r="AM304" s="1008">
        <v>46153</v>
      </c>
      <c r="AN304" s="1008">
        <v>46159</v>
      </c>
      <c r="AO304" s="1007" t="s">
        <v>402</v>
      </c>
      <c r="AP304" s="1007" t="s">
        <v>1508</v>
      </c>
      <c r="AQ304" s="1007" t="s">
        <v>80</v>
      </c>
      <c r="AR304" s="1007" t="s">
        <v>1509</v>
      </c>
      <c r="AS304" s="1007" t="s">
        <v>1510</v>
      </c>
      <c r="AT304" s="1007" t="s">
        <v>1510</v>
      </c>
      <c r="AU304" s="1007">
        <v>64</v>
      </c>
      <c r="AW304" s="1008">
        <v>46159</v>
      </c>
      <c r="AX304" s="1007" t="s">
        <v>973</v>
      </c>
      <c r="AY304" s="1008">
        <v>46170</v>
      </c>
      <c r="AZ304" s="1007">
        <v>8</v>
      </c>
      <c r="BA304" s="1008">
        <v>46167</v>
      </c>
      <c r="BB304" s="1007">
        <v>2026</v>
      </c>
      <c r="BC304" s="1007">
        <v>5</v>
      </c>
      <c r="BD304" s="1007">
        <v>22</v>
      </c>
      <c r="BE304" s="1007">
        <v>36</v>
      </c>
      <c r="BF304" s="1007">
        <v>720</v>
      </c>
      <c r="BG304" s="1007" t="s">
        <v>94</v>
      </c>
      <c r="BH304" s="1007" t="s">
        <v>86</v>
      </c>
    </row>
    <row r="305" spans="1:60">
      <c r="A305" s="1007" t="s">
        <v>1513</v>
      </c>
      <c r="B305" s="1007" t="s">
        <v>111</v>
      </c>
      <c r="C305" s="1007" t="s">
        <v>1318</v>
      </c>
      <c r="D305" s="1007" t="s">
        <v>63</v>
      </c>
      <c r="E305" s="1007" t="s">
        <v>64</v>
      </c>
      <c r="F305" s="1007" t="s">
        <v>114</v>
      </c>
      <c r="G305" s="1007" t="s">
        <v>402</v>
      </c>
      <c r="H305" s="1007" t="s">
        <v>115</v>
      </c>
      <c r="I305" s="1007" t="s">
        <v>689</v>
      </c>
      <c r="J305" s="1007" t="s">
        <v>646</v>
      </c>
      <c r="M305" s="1007" t="s">
        <v>68</v>
      </c>
      <c r="N305" s="1007">
        <v>46083</v>
      </c>
      <c r="O305" s="1007" t="s">
        <v>473</v>
      </c>
      <c r="P305" s="1007" t="s">
        <v>474</v>
      </c>
      <c r="Q305" s="1007" t="s">
        <v>1319</v>
      </c>
      <c r="R305" s="1007" t="s">
        <v>73</v>
      </c>
      <c r="S305" s="1007" t="s">
        <v>967</v>
      </c>
      <c r="T305" s="1007">
        <v>460</v>
      </c>
      <c r="U305" s="1007">
        <v>1728</v>
      </c>
      <c r="V305" s="1007">
        <v>0.79488000000000003</v>
      </c>
      <c r="W305" s="1007">
        <v>48</v>
      </c>
      <c r="X305" s="1007">
        <v>2</v>
      </c>
      <c r="Y305" s="1007" t="s">
        <v>75</v>
      </c>
      <c r="Z305" s="1007" t="s">
        <v>75</v>
      </c>
      <c r="AA305" s="1007" t="s">
        <v>1514</v>
      </c>
      <c r="AB305" s="1008">
        <v>46088</v>
      </c>
      <c r="AC305" s="1007">
        <v>10</v>
      </c>
      <c r="AD305" s="1007" t="s">
        <v>1515</v>
      </c>
      <c r="AF305" s="1007" t="s">
        <v>122</v>
      </c>
      <c r="AG305" s="1007" t="s">
        <v>123</v>
      </c>
      <c r="AH305" s="1007" t="s">
        <v>124</v>
      </c>
      <c r="AI305" s="1008">
        <v>46096</v>
      </c>
      <c r="AJ305" s="1008">
        <v>46095</v>
      </c>
      <c r="AK305" s="1008">
        <v>46095</v>
      </c>
      <c r="AL305" s="1008">
        <v>46149</v>
      </c>
      <c r="AM305" s="1008">
        <v>46162</v>
      </c>
      <c r="AN305" s="1008">
        <v>46162</v>
      </c>
      <c r="AO305" s="1007" t="s">
        <v>402</v>
      </c>
      <c r="AP305" s="1007" t="s">
        <v>1508</v>
      </c>
      <c r="AQ305" s="1007" t="s">
        <v>80</v>
      </c>
      <c r="AR305" s="1007" t="s">
        <v>1516</v>
      </c>
      <c r="AS305" s="1007" t="s">
        <v>1517</v>
      </c>
      <c r="AT305" s="1007" t="s">
        <v>1517</v>
      </c>
      <c r="AU305" s="1007">
        <v>67</v>
      </c>
      <c r="AW305" s="1008">
        <v>46162</v>
      </c>
      <c r="AX305" s="1007" t="s">
        <v>973</v>
      </c>
      <c r="AY305" s="1008">
        <v>46175</v>
      </c>
      <c r="AZ305" s="1007">
        <v>9</v>
      </c>
      <c r="BA305" s="1008">
        <v>46171</v>
      </c>
      <c r="BB305" s="1007">
        <v>2026</v>
      </c>
      <c r="BC305" s="1007">
        <v>5</v>
      </c>
      <c r="BD305" s="1007">
        <v>22</v>
      </c>
      <c r="BE305" s="1007">
        <v>36</v>
      </c>
      <c r="BF305" s="1007">
        <v>864</v>
      </c>
      <c r="BG305" s="1007" t="s">
        <v>85</v>
      </c>
      <c r="BH305" s="1007" t="s">
        <v>86</v>
      </c>
    </row>
    <row r="306" spans="1:60">
      <c r="A306" s="1007" t="s">
        <v>1518</v>
      </c>
      <c r="B306" s="1007" t="s">
        <v>1519</v>
      </c>
      <c r="C306" s="1007" t="s">
        <v>1520</v>
      </c>
      <c r="D306" s="1007" t="s">
        <v>63</v>
      </c>
      <c r="E306" s="1007" t="s">
        <v>64</v>
      </c>
      <c r="F306" s="1007" t="s">
        <v>100</v>
      </c>
      <c r="G306" s="1007" t="s">
        <v>402</v>
      </c>
      <c r="H306" s="1007" t="s">
        <v>67</v>
      </c>
      <c r="I306" s="1007" t="s">
        <v>689</v>
      </c>
      <c r="J306" s="1007" t="s">
        <v>483</v>
      </c>
      <c r="M306" s="1007" t="s">
        <v>68</v>
      </c>
      <c r="N306" s="1007">
        <v>46090</v>
      </c>
      <c r="O306" s="1007" t="s">
        <v>284</v>
      </c>
      <c r="P306" s="1007" t="s">
        <v>1521</v>
      </c>
      <c r="Q306" s="1007" t="s">
        <v>1522</v>
      </c>
      <c r="R306" s="1007" t="s">
        <v>73</v>
      </c>
      <c r="S306" s="1007" t="s">
        <v>967</v>
      </c>
      <c r="T306" s="1007">
        <v>490</v>
      </c>
      <c r="U306" s="1007">
        <v>3456</v>
      </c>
      <c r="V306" s="1007">
        <v>1.6934400000000001</v>
      </c>
      <c r="W306" s="1007">
        <v>96</v>
      </c>
      <c r="X306" s="1007">
        <v>4</v>
      </c>
      <c r="Y306" s="1007" t="s">
        <v>75</v>
      </c>
      <c r="Z306" s="1007" t="s">
        <v>75</v>
      </c>
      <c r="AA306" s="1007" t="s">
        <v>1523</v>
      </c>
      <c r="AB306" s="1008">
        <v>46091</v>
      </c>
      <c r="AC306" s="1007">
        <v>11</v>
      </c>
      <c r="AD306" s="1007" t="s">
        <v>1524</v>
      </c>
      <c r="AF306" s="1007" t="s">
        <v>1525</v>
      </c>
      <c r="AG306" s="1007" t="s">
        <v>123</v>
      </c>
      <c r="AH306" s="1007" t="s">
        <v>105</v>
      </c>
      <c r="AI306" s="1008">
        <v>46100</v>
      </c>
      <c r="AJ306" s="1008">
        <v>46100</v>
      </c>
      <c r="AK306" s="1008">
        <v>46101</v>
      </c>
      <c r="AL306" s="1008">
        <v>46143</v>
      </c>
      <c r="AM306" s="1008">
        <v>46148</v>
      </c>
      <c r="AN306" s="1008">
        <v>46161</v>
      </c>
      <c r="AO306" s="1007" t="s">
        <v>402</v>
      </c>
      <c r="AP306" s="1007" t="s">
        <v>1526</v>
      </c>
      <c r="AQ306" s="1007" t="s">
        <v>161</v>
      </c>
      <c r="AR306" s="1007" t="s">
        <v>1527</v>
      </c>
      <c r="AS306" s="1007" t="s">
        <v>1528</v>
      </c>
      <c r="AT306" s="1007" t="s">
        <v>1529</v>
      </c>
      <c r="AU306" s="1007">
        <v>60</v>
      </c>
      <c r="AW306" s="1008">
        <v>46161</v>
      </c>
      <c r="AX306" s="1007" t="s">
        <v>973</v>
      </c>
      <c r="AY306" s="1008">
        <v>46175</v>
      </c>
      <c r="AZ306" s="1007">
        <v>7</v>
      </c>
      <c r="BA306" s="1008">
        <v>46168</v>
      </c>
      <c r="BB306" s="1007">
        <v>2026</v>
      </c>
      <c r="BC306" s="1007">
        <v>5</v>
      </c>
      <c r="BD306" s="1007">
        <v>22</v>
      </c>
      <c r="BE306" s="1007">
        <v>36</v>
      </c>
      <c r="BF306" s="1007">
        <v>864</v>
      </c>
      <c r="BG306" s="1007" t="s">
        <v>85</v>
      </c>
      <c r="BH306" s="1007" t="s">
        <v>109</v>
      </c>
    </row>
    <row r="307" spans="1:60">
      <c r="A307" s="1007" t="s">
        <v>1530</v>
      </c>
      <c r="B307" s="1007" t="s">
        <v>1519</v>
      </c>
      <c r="C307" s="1007" t="s">
        <v>1531</v>
      </c>
      <c r="D307" s="1007" t="s">
        <v>63</v>
      </c>
      <c r="E307" s="1007" t="s">
        <v>64</v>
      </c>
      <c r="F307" s="1007" t="s">
        <v>100</v>
      </c>
      <c r="G307" s="1007" t="s">
        <v>402</v>
      </c>
      <c r="H307" s="1007" t="s">
        <v>67</v>
      </c>
      <c r="I307" s="1007" t="s">
        <v>689</v>
      </c>
      <c r="J307" s="1007" t="s">
        <v>483</v>
      </c>
      <c r="M307" s="1007" t="s">
        <v>68</v>
      </c>
      <c r="N307" s="1007">
        <v>46090</v>
      </c>
      <c r="O307" s="1007" t="s">
        <v>284</v>
      </c>
      <c r="P307" s="1007" t="s">
        <v>1532</v>
      </c>
      <c r="Q307" s="1007" t="s">
        <v>1533</v>
      </c>
      <c r="R307" s="1007" t="s">
        <v>73</v>
      </c>
      <c r="S307" s="1007" t="s">
        <v>967</v>
      </c>
      <c r="T307" s="1007">
        <v>495</v>
      </c>
      <c r="U307" s="1007">
        <v>864</v>
      </c>
      <c r="V307" s="1007">
        <v>0.42768</v>
      </c>
      <c r="W307" s="1007">
        <v>24</v>
      </c>
      <c r="X307" s="1007">
        <v>1</v>
      </c>
      <c r="Y307" s="1007" t="s">
        <v>75</v>
      </c>
      <c r="Z307" s="1007" t="s">
        <v>75</v>
      </c>
      <c r="AA307" s="1007" t="s">
        <v>1534</v>
      </c>
      <c r="AB307" s="1008">
        <v>46091</v>
      </c>
      <c r="AC307" s="1007">
        <v>11</v>
      </c>
      <c r="AD307" s="1007" t="s">
        <v>1535</v>
      </c>
      <c r="AF307" s="1007" t="s">
        <v>1525</v>
      </c>
      <c r="AG307" s="1007" t="s">
        <v>123</v>
      </c>
      <c r="AH307" s="1007" t="s">
        <v>105</v>
      </c>
      <c r="AI307" s="1008">
        <v>46100</v>
      </c>
      <c r="AJ307" s="1008">
        <v>46100</v>
      </c>
      <c r="AK307" s="1008">
        <v>46101</v>
      </c>
      <c r="AL307" s="1008">
        <v>46143</v>
      </c>
      <c r="AM307" s="1008">
        <v>46148</v>
      </c>
      <c r="AN307" s="1008">
        <v>46161</v>
      </c>
      <c r="AO307" s="1007" t="s">
        <v>402</v>
      </c>
      <c r="AP307" s="1007" t="s">
        <v>1526</v>
      </c>
      <c r="AQ307" s="1007" t="s">
        <v>161</v>
      </c>
      <c r="AR307" s="1007" t="s">
        <v>1527</v>
      </c>
      <c r="AS307" s="1007" t="s">
        <v>1528</v>
      </c>
      <c r="AT307" s="1007" t="s">
        <v>1529</v>
      </c>
      <c r="AU307" s="1007">
        <v>60</v>
      </c>
      <c r="AW307" s="1008">
        <v>46161</v>
      </c>
      <c r="AX307" s="1007" t="s">
        <v>973</v>
      </c>
      <c r="AY307" s="1008">
        <v>46174</v>
      </c>
      <c r="AZ307" s="1007">
        <v>7</v>
      </c>
      <c r="BA307" s="1008">
        <v>46168</v>
      </c>
      <c r="BB307" s="1007">
        <v>2026</v>
      </c>
      <c r="BC307" s="1007">
        <v>5</v>
      </c>
      <c r="BD307" s="1007">
        <v>22</v>
      </c>
      <c r="BE307" s="1007">
        <v>36</v>
      </c>
      <c r="BF307" s="1007">
        <v>864</v>
      </c>
      <c r="BG307" s="1007" t="s">
        <v>85</v>
      </c>
      <c r="BH307" s="1007" t="s">
        <v>109</v>
      </c>
    </row>
    <row r="308" spans="1:60">
      <c r="A308" s="1007" t="s">
        <v>1536</v>
      </c>
      <c r="B308" s="1007" t="s">
        <v>1519</v>
      </c>
      <c r="C308" s="1007" t="s">
        <v>1531</v>
      </c>
      <c r="D308" s="1007" t="s">
        <v>63</v>
      </c>
      <c r="E308" s="1007" t="s">
        <v>144</v>
      </c>
      <c r="F308" s="1007" t="s">
        <v>145</v>
      </c>
      <c r="G308" s="1007" t="s">
        <v>402</v>
      </c>
      <c r="H308" s="1007" t="s">
        <v>538</v>
      </c>
      <c r="I308" s="1007" t="s">
        <v>689</v>
      </c>
      <c r="J308" s="1007" t="s">
        <v>1537</v>
      </c>
      <c r="K308" s="1007" t="s">
        <v>1538</v>
      </c>
      <c r="M308" s="1007" t="s">
        <v>840</v>
      </c>
      <c r="N308" s="1007">
        <v>46090</v>
      </c>
      <c r="O308" s="1007" t="s">
        <v>284</v>
      </c>
      <c r="P308" s="1007" t="s">
        <v>1532</v>
      </c>
      <c r="Q308" s="1007" t="s">
        <v>1533</v>
      </c>
      <c r="R308" s="1007" t="s">
        <v>73</v>
      </c>
      <c r="S308" s="1007" t="s">
        <v>967</v>
      </c>
      <c r="T308" s="1007">
        <v>495</v>
      </c>
      <c r="U308" s="1007">
        <v>864</v>
      </c>
      <c r="V308" s="1007">
        <v>0.42768</v>
      </c>
      <c r="W308" s="1007">
        <v>24</v>
      </c>
      <c r="X308" s="1007">
        <v>1</v>
      </c>
      <c r="Y308" s="1007" t="s">
        <v>75</v>
      </c>
      <c r="Z308" s="1007" t="s">
        <v>75</v>
      </c>
      <c r="AA308" s="1007" t="s">
        <v>1534</v>
      </c>
      <c r="AB308" s="1008">
        <v>46093</v>
      </c>
      <c r="AC308" s="1007">
        <v>11</v>
      </c>
      <c r="AD308" s="1007" t="s">
        <v>1539</v>
      </c>
      <c r="AF308" s="1007" t="s">
        <v>1525</v>
      </c>
      <c r="AG308" s="1007" t="s">
        <v>123</v>
      </c>
      <c r="AH308" s="1007" t="s">
        <v>541</v>
      </c>
      <c r="AI308" s="1008">
        <v>46101</v>
      </c>
      <c r="AJ308" s="1008">
        <v>46100</v>
      </c>
      <c r="AK308" s="1008">
        <v>46100</v>
      </c>
      <c r="AL308" s="1008">
        <v>46161</v>
      </c>
      <c r="AM308" s="1008">
        <v>46171</v>
      </c>
      <c r="AN308" s="1008">
        <v>46172</v>
      </c>
      <c r="AO308" s="1007" t="s">
        <v>402</v>
      </c>
      <c r="AP308" s="1007" t="s">
        <v>1540</v>
      </c>
      <c r="AQ308" s="1007" t="s">
        <v>161</v>
      </c>
      <c r="AR308" s="1007" t="s">
        <v>1541</v>
      </c>
      <c r="AS308" s="1007" t="s">
        <v>1542</v>
      </c>
      <c r="AT308" s="1007" t="s">
        <v>1542</v>
      </c>
      <c r="AU308" s="1007">
        <v>72</v>
      </c>
      <c r="AW308" s="1008">
        <v>46172</v>
      </c>
      <c r="AX308" s="1007" t="s">
        <v>973</v>
      </c>
      <c r="AY308" s="1008">
        <v>46177</v>
      </c>
      <c r="AZ308" s="1007">
        <v>0</v>
      </c>
      <c r="BA308" s="1008">
        <v>46172</v>
      </c>
      <c r="BB308" s="1007">
        <v>2026</v>
      </c>
      <c r="BC308" s="1007">
        <v>5</v>
      </c>
      <c r="BD308" s="1007">
        <v>22</v>
      </c>
      <c r="BE308" s="1007">
        <v>36</v>
      </c>
      <c r="BF308" s="1007">
        <v>864</v>
      </c>
      <c r="BG308" s="1007" t="s">
        <v>85</v>
      </c>
      <c r="BH308" s="1007" t="s">
        <v>109</v>
      </c>
    </row>
    <row r="309" spans="1:60">
      <c r="A309" s="1007" t="s">
        <v>1543</v>
      </c>
      <c r="B309" s="1007" t="s">
        <v>1519</v>
      </c>
      <c r="C309" s="1007" t="s">
        <v>1520</v>
      </c>
      <c r="D309" s="1007" t="s">
        <v>63</v>
      </c>
      <c r="E309" s="1007" t="s">
        <v>144</v>
      </c>
      <c r="F309" s="1007" t="s">
        <v>145</v>
      </c>
      <c r="G309" s="1007" t="s">
        <v>402</v>
      </c>
      <c r="H309" s="1007" t="s">
        <v>538</v>
      </c>
      <c r="I309" s="1007" t="s">
        <v>689</v>
      </c>
      <c r="J309" s="1007" t="s">
        <v>1537</v>
      </c>
      <c r="K309" s="1007" t="s">
        <v>1538</v>
      </c>
      <c r="M309" s="1007" t="s">
        <v>840</v>
      </c>
      <c r="N309" s="1007">
        <v>46090</v>
      </c>
      <c r="O309" s="1007" t="s">
        <v>284</v>
      </c>
      <c r="P309" s="1007" t="s">
        <v>1521</v>
      </c>
      <c r="Q309" s="1007" t="s">
        <v>1522</v>
      </c>
      <c r="R309" s="1007" t="s">
        <v>73</v>
      </c>
      <c r="S309" s="1007" t="s">
        <v>967</v>
      </c>
      <c r="T309" s="1007">
        <v>490</v>
      </c>
      <c r="U309" s="1007">
        <v>1728</v>
      </c>
      <c r="V309" s="1007">
        <v>0.84672000000000003</v>
      </c>
      <c r="W309" s="1007">
        <v>48</v>
      </c>
      <c r="X309" s="1007">
        <v>2</v>
      </c>
      <c r="Y309" s="1007" t="s">
        <v>75</v>
      </c>
      <c r="Z309" s="1007" t="s">
        <v>75</v>
      </c>
      <c r="AA309" s="1007" t="s">
        <v>1544</v>
      </c>
      <c r="AB309" s="1008">
        <v>46093</v>
      </c>
      <c r="AC309" s="1007">
        <v>11</v>
      </c>
      <c r="AD309" s="1007" t="s">
        <v>1545</v>
      </c>
      <c r="AF309" s="1007" t="s">
        <v>1525</v>
      </c>
      <c r="AG309" s="1007" t="s">
        <v>123</v>
      </c>
      <c r="AH309" s="1007" t="s">
        <v>541</v>
      </c>
      <c r="AI309" s="1008">
        <v>46101</v>
      </c>
      <c r="AJ309" s="1008">
        <v>46100</v>
      </c>
      <c r="AK309" s="1008">
        <v>46100</v>
      </c>
      <c r="AL309" s="1008">
        <v>46161</v>
      </c>
      <c r="AM309" s="1008">
        <v>46171</v>
      </c>
      <c r="AN309" s="1008">
        <v>46172</v>
      </c>
      <c r="AO309" s="1007" t="s">
        <v>402</v>
      </c>
      <c r="AP309" s="1007" t="s">
        <v>1540</v>
      </c>
      <c r="AQ309" s="1007" t="s">
        <v>161</v>
      </c>
      <c r="AR309" s="1007" t="s">
        <v>1541</v>
      </c>
      <c r="AS309" s="1007" t="s">
        <v>1546</v>
      </c>
      <c r="AT309" s="1007" t="s">
        <v>1542</v>
      </c>
      <c r="AU309" s="1007">
        <v>72</v>
      </c>
      <c r="AW309" s="1008">
        <v>46172</v>
      </c>
      <c r="AX309" s="1007" t="s">
        <v>973</v>
      </c>
      <c r="AY309" s="1008">
        <v>46177</v>
      </c>
      <c r="AZ309" s="1007">
        <v>0</v>
      </c>
      <c r="BA309" s="1008">
        <v>46172</v>
      </c>
      <c r="BB309" s="1007">
        <v>2026</v>
      </c>
      <c r="BC309" s="1007">
        <v>5</v>
      </c>
      <c r="BD309" s="1007">
        <v>22</v>
      </c>
      <c r="BE309" s="1007">
        <v>36</v>
      </c>
      <c r="BF309" s="1007">
        <v>864</v>
      </c>
      <c r="BG309" s="1007" t="s">
        <v>85</v>
      </c>
      <c r="BH309" s="1007" t="s">
        <v>109</v>
      </c>
    </row>
    <row r="310" spans="1:60">
      <c r="A310" s="1007" t="s">
        <v>1547</v>
      </c>
      <c r="B310" s="1007" t="s">
        <v>111</v>
      </c>
      <c r="C310" s="1007" t="s">
        <v>1318</v>
      </c>
      <c r="D310" s="1007" t="s">
        <v>63</v>
      </c>
      <c r="E310" s="1007" t="s">
        <v>144</v>
      </c>
      <c r="F310" s="1007" t="s">
        <v>145</v>
      </c>
      <c r="G310" s="1007" t="s">
        <v>402</v>
      </c>
      <c r="H310" s="1007" t="s">
        <v>538</v>
      </c>
      <c r="I310" s="1007" t="s">
        <v>689</v>
      </c>
      <c r="J310" s="1007" t="s">
        <v>1537</v>
      </c>
      <c r="K310" s="1007" t="s">
        <v>1538</v>
      </c>
      <c r="M310" s="1007" t="s">
        <v>840</v>
      </c>
      <c r="N310" s="1007">
        <v>46083</v>
      </c>
      <c r="O310" s="1007" t="s">
        <v>473</v>
      </c>
      <c r="P310" s="1007" t="s">
        <v>474</v>
      </c>
      <c r="Q310" s="1007" t="s">
        <v>1319</v>
      </c>
      <c r="R310" s="1007" t="s">
        <v>73</v>
      </c>
      <c r="S310" s="1007" t="s">
        <v>967</v>
      </c>
      <c r="T310" s="1007">
        <v>460</v>
      </c>
      <c r="U310" s="1007">
        <v>8640</v>
      </c>
      <c r="V310" s="1007">
        <v>3.9744000000000002</v>
      </c>
      <c r="W310" s="1007">
        <v>240</v>
      </c>
      <c r="X310" s="1007">
        <v>10</v>
      </c>
      <c r="Y310" s="1007" t="s">
        <v>75</v>
      </c>
      <c r="Z310" s="1007" t="s">
        <v>75</v>
      </c>
      <c r="AA310" s="1007" t="s">
        <v>1548</v>
      </c>
      <c r="AB310" s="1008">
        <v>46093</v>
      </c>
      <c r="AC310" s="1007">
        <v>11</v>
      </c>
      <c r="AD310" s="1007" t="s">
        <v>1549</v>
      </c>
      <c r="AF310" s="1007" t="s">
        <v>122</v>
      </c>
      <c r="AG310" s="1007" t="s">
        <v>123</v>
      </c>
      <c r="AH310" s="1007" t="s">
        <v>541</v>
      </c>
      <c r="AI310" s="1008">
        <v>46103</v>
      </c>
      <c r="AJ310" s="1008">
        <v>46102</v>
      </c>
      <c r="AK310" s="1008">
        <v>46102</v>
      </c>
      <c r="AL310" s="1008">
        <v>46161</v>
      </c>
      <c r="AM310" s="1008">
        <v>46163</v>
      </c>
      <c r="AN310" s="1008">
        <v>46163</v>
      </c>
      <c r="AO310" s="1007" t="s">
        <v>402</v>
      </c>
      <c r="AP310" s="1007" t="s">
        <v>1550</v>
      </c>
      <c r="AQ310" s="1007" t="s">
        <v>161</v>
      </c>
      <c r="AR310" s="1007" t="s">
        <v>1551</v>
      </c>
      <c r="AS310" s="1007" t="s">
        <v>1552</v>
      </c>
      <c r="AT310" s="1007" t="s">
        <v>1553</v>
      </c>
      <c r="AU310" s="1007">
        <v>61</v>
      </c>
      <c r="AW310" s="1008">
        <v>46163</v>
      </c>
      <c r="AX310" s="1007" t="s">
        <v>973</v>
      </c>
      <c r="AY310" s="1008">
        <v>46177</v>
      </c>
      <c r="AZ310" s="1007">
        <v>0</v>
      </c>
      <c r="BA310" s="1008">
        <v>46163</v>
      </c>
      <c r="BB310" s="1007">
        <v>2026</v>
      </c>
      <c r="BC310" s="1007">
        <v>5</v>
      </c>
      <c r="BD310" s="1007">
        <v>21</v>
      </c>
      <c r="BE310" s="1007">
        <v>36</v>
      </c>
      <c r="BF310" s="1007">
        <v>864</v>
      </c>
      <c r="BG310" s="1007" t="s">
        <v>85</v>
      </c>
      <c r="BH310" s="1007" t="s">
        <v>109</v>
      </c>
    </row>
    <row r="311" spans="1:60">
      <c r="A311" s="1007" t="s">
        <v>1554</v>
      </c>
      <c r="B311" s="1007" t="s">
        <v>1519</v>
      </c>
      <c r="C311" s="1007" t="s">
        <v>1531</v>
      </c>
      <c r="D311" s="1007" t="s">
        <v>63</v>
      </c>
      <c r="E311" s="1007" t="s">
        <v>64</v>
      </c>
      <c r="F311" s="1007" t="s">
        <v>310</v>
      </c>
      <c r="G311" s="1007" t="s">
        <v>402</v>
      </c>
      <c r="H311" s="1007" t="s">
        <v>311</v>
      </c>
      <c r="I311" s="1007" t="s">
        <v>689</v>
      </c>
      <c r="J311" s="1007" t="s">
        <v>1342</v>
      </c>
      <c r="M311" s="1007" t="s">
        <v>68</v>
      </c>
      <c r="N311" s="1007">
        <v>46090</v>
      </c>
      <c r="O311" s="1007" t="s">
        <v>284</v>
      </c>
      <c r="P311" s="1007" t="s">
        <v>1532</v>
      </c>
      <c r="Q311" s="1007" t="s">
        <v>1533</v>
      </c>
      <c r="R311" s="1007" t="s">
        <v>73</v>
      </c>
      <c r="S311" s="1007" t="s">
        <v>967</v>
      </c>
      <c r="T311" s="1007">
        <v>495</v>
      </c>
      <c r="U311" s="1007">
        <v>5184</v>
      </c>
      <c r="V311" s="1007">
        <v>2.5660799999999999</v>
      </c>
      <c r="W311" s="1007">
        <v>144</v>
      </c>
      <c r="X311" s="1007">
        <v>6</v>
      </c>
      <c r="Y311" s="1007" t="s">
        <v>75</v>
      </c>
      <c r="Z311" s="1007" t="s">
        <v>75</v>
      </c>
      <c r="AB311" s="1008">
        <v>46091</v>
      </c>
      <c r="AC311" s="1007">
        <v>11</v>
      </c>
      <c r="AD311" s="1007" t="s">
        <v>1555</v>
      </c>
      <c r="AF311" s="1007" t="s">
        <v>122</v>
      </c>
      <c r="AG311" s="1007" t="s">
        <v>123</v>
      </c>
      <c r="AH311" s="1007" t="s">
        <v>314</v>
      </c>
      <c r="AI311" s="1008">
        <v>46096</v>
      </c>
      <c r="AJ311" s="1008">
        <v>46095</v>
      </c>
      <c r="AK311" s="1008">
        <v>46095</v>
      </c>
      <c r="AL311" s="1008">
        <v>46141</v>
      </c>
      <c r="AM311" s="1008">
        <v>46155</v>
      </c>
      <c r="AN311" s="1008">
        <v>46155</v>
      </c>
      <c r="AO311" s="1007" t="s">
        <v>402</v>
      </c>
      <c r="AP311" s="1007" t="s">
        <v>1508</v>
      </c>
      <c r="AQ311" s="1007" t="s">
        <v>80</v>
      </c>
      <c r="AR311" s="1007" t="s">
        <v>1556</v>
      </c>
      <c r="AS311" s="1007" t="s">
        <v>1557</v>
      </c>
      <c r="AT311" s="1007" t="s">
        <v>1557</v>
      </c>
      <c r="AU311" s="1007">
        <v>60</v>
      </c>
      <c r="AW311" s="1008">
        <v>46155</v>
      </c>
      <c r="AX311" s="1007" t="s">
        <v>973</v>
      </c>
      <c r="AY311" s="1008">
        <v>46168</v>
      </c>
      <c r="AZ311" s="1007">
        <v>13</v>
      </c>
      <c r="BA311" s="1008">
        <v>46168</v>
      </c>
      <c r="BB311" s="1007">
        <v>2026</v>
      </c>
      <c r="BC311" s="1007">
        <v>5</v>
      </c>
      <c r="BD311" s="1007">
        <v>22</v>
      </c>
      <c r="BE311" s="1007">
        <v>36</v>
      </c>
      <c r="BF311" s="1007">
        <v>864</v>
      </c>
      <c r="BG311" s="1007" t="s">
        <v>85</v>
      </c>
      <c r="BH311" s="1007" t="s">
        <v>86</v>
      </c>
    </row>
    <row r="312" spans="1:60">
      <c r="A312" s="1007" t="s">
        <v>1558</v>
      </c>
      <c r="B312" s="1007" t="s">
        <v>1519</v>
      </c>
      <c r="C312" s="1007" t="s">
        <v>1520</v>
      </c>
      <c r="D312" s="1007" t="s">
        <v>63</v>
      </c>
      <c r="E312" s="1007" t="s">
        <v>64</v>
      </c>
      <c r="F312" s="1007" t="s">
        <v>310</v>
      </c>
      <c r="G312" s="1007" t="s">
        <v>402</v>
      </c>
      <c r="H312" s="1007" t="s">
        <v>311</v>
      </c>
      <c r="I312" s="1007" t="s">
        <v>689</v>
      </c>
      <c r="J312" s="1007" t="s">
        <v>1559</v>
      </c>
      <c r="M312" s="1007" t="s">
        <v>68</v>
      </c>
      <c r="N312" s="1007">
        <v>46090</v>
      </c>
      <c r="O312" s="1007" t="s">
        <v>284</v>
      </c>
      <c r="P312" s="1007" t="s">
        <v>1521</v>
      </c>
      <c r="Q312" s="1007" t="s">
        <v>1522</v>
      </c>
      <c r="R312" s="1007" t="s">
        <v>73</v>
      </c>
      <c r="S312" s="1007" t="s">
        <v>967</v>
      </c>
      <c r="T312" s="1007">
        <v>490</v>
      </c>
      <c r="U312" s="1007">
        <v>2592</v>
      </c>
      <c r="V312" s="1007">
        <v>1.2700800000000001</v>
      </c>
      <c r="W312" s="1007">
        <v>72</v>
      </c>
      <c r="X312" s="1007">
        <v>3</v>
      </c>
      <c r="Y312" s="1007" t="s">
        <v>75</v>
      </c>
      <c r="Z312" s="1007" t="s">
        <v>75</v>
      </c>
      <c r="AB312" s="1008">
        <v>46093</v>
      </c>
      <c r="AC312" s="1007">
        <v>11</v>
      </c>
      <c r="AD312" s="1007" t="s">
        <v>1560</v>
      </c>
      <c r="AF312" s="1007" t="s">
        <v>122</v>
      </c>
      <c r="AG312" s="1007" t="s">
        <v>123</v>
      </c>
      <c r="AH312" s="1007" t="s">
        <v>1561</v>
      </c>
      <c r="AI312" s="1008">
        <v>46099</v>
      </c>
      <c r="AJ312" s="1008">
        <v>46099</v>
      </c>
      <c r="AK312" s="1008">
        <v>46100</v>
      </c>
      <c r="AL312" s="1008">
        <v>46157</v>
      </c>
      <c r="AM312" s="1008">
        <v>46159</v>
      </c>
      <c r="AN312" s="1008">
        <v>46158</v>
      </c>
      <c r="AO312" s="1007" t="s">
        <v>402</v>
      </c>
      <c r="AP312" s="1007" t="s">
        <v>1562</v>
      </c>
      <c r="AQ312" s="1007" t="s">
        <v>80</v>
      </c>
      <c r="AR312" s="1007" t="s">
        <v>1563</v>
      </c>
      <c r="AS312" s="1007" t="s">
        <v>1564</v>
      </c>
      <c r="AT312" s="1007" t="s">
        <v>1564</v>
      </c>
      <c r="AU312" s="1007">
        <v>58</v>
      </c>
      <c r="AW312" s="1008">
        <v>46158</v>
      </c>
      <c r="AX312" s="1007" t="s">
        <v>973</v>
      </c>
      <c r="AY312" s="1008">
        <v>46170</v>
      </c>
      <c r="AZ312" s="1007">
        <v>13</v>
      </c>
      <c r="BA312" s="1008">
        <v>46171</v>
      </c>
      <c r="BB312" s="1007">
        <v>2026</v>
      </c>
      <c r="BC312" s="1007">
        <v>5</v>
      </c>
      <c r="BD312" s="1007">
        <v>22</v>
      </c>
      <c r="BE312" s="1007">
        <v>36</v>
      </c>
      <c r="BF312" s="1007">
        <v>864</v>
      </c>
      <c r="BG312" s="1007" t="s">
        <v>85</v>
      </c>
      <c r="BH312" s="1007" t="s">
        <v>86</v>
      </c>
    </row>
    <row r="313" spans="1:60">
      <c r="A313" s="1007" t="s">
        <v>1565</v>
      </c>
      <c r="B313" s="1007" t="s">
        <v>1566</v>
      </c>
      <c r="C313" s="1007" t="s">
        <v>1567</v>
      </c>
      <c r="D313" s="1007" t="s">
        <v>63</v>
      </c>
      <c r="E313" s="1007" t="s">
        <v>64</v>
      </c>
      <c r="F313" s="1007" t="s">
        <v>100</v>
      </c>
      <c r="G313" s="1007" t="s">
        <v>402</v>
      </c>
      <c r="H313" s="1007" t="s">
        <v>67</v>
      </c>
      <c r="I313" s="1007" t="s">
        <v>689</v>
      </c>
      <c r="J313" s="1007" t="s">
        <v>1568</v>
      </c>
      <c r="M313" s="1007" t="s">
        <v>68</v>
      </c>
      <c r="N313" s="1007">
        <v>46090</v>
      </c>
      <c r="O313" s="1007" t="s">
        <v>284</v>
      </c>
      <c r="P313" s="1007" t="s">
        <v>1569</v>
      </c>
      <c r="Q313" s="1007" t="s">
        <v>1570</v>
      </c>
      <c r="R313" s="1007" t="s">
        <v>73</v>
      </c>
      <c r="S313" s="1007" t="s">
        <v>992</v>
      </c>
      <c r="T313" s="1007">
        <v>650</v>
      </c>
      <c r="U313" s="1007">
        <v>4320</v>
      </c>
      <c r="V313" s="1007">
        <v>2.8079999999999998</v>
      </c>
      <c r="W313" s="1007">
        <v>120</v>
      </c>
      <c r="X313" s="1007">
        <v>6</v>
      </c>
      <c r="Y313" s="1007" t="s">
        <v>75</v>
      </c>
      <c r="Z313" s="1007" t="s">
        <v>75</v>
      </c>
      <c r="AA313" s="1007" t="s">
        <v>1571</v>
      </c>
      <c r="AB313" s="1008">
        <v>46093</v>
      </c>
      <c r="AC313" s="1007">
        <v>11</v>
      </c>
      <c r="AD313" s="1007" t="s">
        <v>1572</v>
      </c>
      <c r="AF313" s="1007" t="s">
        <v>1525</v>
      </c>
      <c r="AG313" s="1007" t="s">
        <v>123</v>
      </c>
      <c r="AH313" s="1007" t="s">
        <v>105</v>
      </c>
      <c r="AI313" s="1008">
        <v>46100</v>
      </c>
      <c r="AJ313" s="1008">
        <v>46100</v>
      </c>
      <c r="AK313" s="1008">
        <v>46101</v>
      </c>
      <c r="AL313" s="1008">
        <v>46144</v>
      </c>
      <c r="AM313" s="1008">
        <v>46159</v>
      </c>
      <c r="AN313" s="1008">
        <v>46159</v>
      </c>
      <c r="AO313" s="1007" t="s">
        <v>402</v>
      </c>
      <c r="AP313" s="1007" t="s">
        <v>1526</v>
      </c>
      <c r="AQ313" s="1007" t="s">
        <v>161</v>
      </c>
      <c r="AR313" s="1007" t="s">
        <v>1573</v>
      </c>
      <c r="AS313" s="1007" t="s">
        <v>1574</v>
      </c>
      <c r="AT313" s="1007" t="s">
        <v>1575</v>
      </c>
      <c r="AU313" s="1007">
        <v>58</v>
      </c>
      <c r="AW313" s="1008">
        <v>46159</v>
      </c>
      <c r="AX313" s="1007" t="s">
        <v>973</v>
      </c>
      <c r="AY313" s="1008">
        <v>46175</v>
      </c>
      <c r="AZ313" s="1007">
        <v>7</v>
      </c>
      <c r="BA313" s="1008">
        <v>46166</v>
      </c>
      <c r="BB313" s="1007">
        <v>2026</v>
      </c>
      <c r="BC313" s="1007">
        <v>5</v>
      </c>
      <c r="BD313" s="1007">
        <v>21</v>
      </c>
      <c r="BE313" s="1007">
        <v>36</v>
      </c>
      <c r="BF313" s="1007">
        <v>720</v>
      </c>
      <c r="BG313" s="1007" t="s">
        <v>108</v>
      </c>
      <c r="BH313" s="1007" t="s">
        <v>109</v>
      </c>
    </row>
    <row r="314" spans="1:60">
      <c r="A314" s="1007" t="s">
        <v>1576</v>
      </c>
      <c r="B314" s="1007" t="s">
        <v>1566</v>
      </c>
      <c r="C314" s="1007" t="s">
        <v>1567</v>
      </c>
      <c r="D314" s="1007" t="s">
        <v>63</v>
      </c>
      <c r="E314" s="1007" t="s">
        <v>64</v>
      </c>
      <c r="F314" s="1007" t="s">
        <v>100</v>
      </c>
      <c r="G314" s="1007" t="s">
        <v>402</v>
      </c>
      <c r="H314" s="1007" t="s">
        <v>67</v>
      </c>
      <c r="I314" s="1007" t="s">
        <v>689</v>
      </c>
      <c r="J314" s="1007" t="s">
        <v>1568</v>
      </c>
      <c r="M314" s="1007" t="s">
        <v>68</v>
      </c>
      <c r="N314" s="1007">
        <v>46097</v>
      </c>
      <c r="O314" s="1007" t="s">
        <v>284</v>
      </c>
      <c r="P314" s="1007" t="s">
        <v>1569</v>
      </c>
      <c r="Q314" s="1007" t="s">
        <v>1570</v>
      </c>
      <c r="R314" s="1007" t="s">
        <v>73</v>
      </c>
      <c r="S314" s="1007" t="s">
        <v>992</v>
      </c>
      <c r="T314" s="1007">
        <v>650</v>
      </c>
      <c r="U314" s="1007">
        <v>5760</v>
      </c>
      <c r="V314" s="1007">
        <v>3.7440000000000002</v>
      </c>
      <c r="W314" s="1007">
        <v>160</v>
      </c>
      <c r="X314" s="1007">
        <v>8</v>
      </c>
      <c r="Y314" s="1007" t="s">
        <v>75</v>
      </c>
      <c r="Z314" s="1007" t="s">
        <v>75</v>
      </c>
      <c r="AA314" s="1007" t="s">
        <v>1577</v>
      </c>
      <c r="AB314" s="1008">
        <v>46095</v>
      </c>
      <c r="AC314" s="1007">
        <v>11</v>
      </c>
      <c r="AD314" s="1007" t="s">
        <v>1578</v>
      </c>
      <c r="AF314" s="1007" t="s">
        <v>1525</v>
      </c>
      <c r="AG314" s="1007" t="s">
        <v>123</v>
      </c>
      <c r="AH314" s="1007" t="s">
        <v>105</v>
      </c>
      <c r="AI314" s="1008">
        <v>46100</v>
      </c>
      <c r="AJ314" s="1008">
        <v>46100</v>
      </c>
      <c r="AK314" s="1008">
        <v>46101</v>
      </c>
      <c r="AL314" s="1008">
        <v>46144</v>
      </c>
      <c r="AM314" s="1008">
        <v>46159</v>
      </c>
      <c r="AN314" s="1008">
        <v>46159</v>
      </c>
      <c r="AO314" s="1007" t="s">
        <v>402</v>
      </c>
      <c r="AP314" s="1007" t="s">
        <v>1526</v>
      </c>
      <c r="AQ314" s="1007" t="s">
        <v>161</v>
      </c>
      <c r="AR314" s="1007" t="s">
        <v>1579</v>
      </c>
      <c r="AS314" s="1007" t="s">
        <v>1580</v>
      </c>
      <c r="AT314" s="1007" t="s">
        <v>1581</v>
      </c>
      <c r="AU314" s="1007">
        <v>58</v>
      </c>
      <c r="AW314" s="1008">
        <v>46159</v>
      </c>
      <c r="AX314" s="1007" t="s">
        <v>973</v>
      </c>
      <c r="AY314" s="1008">
        <v>46175</v>
      </c>
      <c r="AZ314" s="1007">
        <v>7</v>
      </c>
      <c r="BA314" s="1008">
        <v>46166</v>
      </c>
      <c r="BB314" s="1007">
        <v>2026</v>
      </c>
      <c r="BC314" s="1007">
        <v>5</v>
      </c>
      <c r="BD314" s="1007">
        <v>21</v>
      </c>
      <c r="BE314" s="1007">
        <v>36</v>
      </c>
      <c r="BF314" s="1007">
        <v>720</v>
      </c>
      <c r="BG314" s="1007" t="s">
        <v>108</v>
      </c>
      <c r="BH314" s="1007" t="s">
        <v>109</v>
      </c>
    </row>
    <row r="315" spans="1:60">
      <c r="A315" s="1007" t="s">
        <v>1582</v>
      </c>
      <c r="B315" s="1007" t="s">
        <v>1566</v>
      </c>
      <c r="C315" s="1007" t="s">
        <v>1583</v>
      </c>
      <c r="D315" s="1007" t="s">
        <v>63</v>
      </c>
      <c r="E315" s="1007" t="s">
        <v>64</v>
      </c>
      <c r="F315" s="1007" t="s">
        <v>100</v>
      </c>
      <c r="G315" s="1007" t="s">
        <v>402</v>
      </c>
      <c r="H315" s="1007" t="s">
        <v>67</v>
      </c>
      <c r="I315" s="1007" t="s">
        <v>689</v>
      </c>
      <c r="J315" s="1007" t="s">
        <v>1568</v>
      </c>
      <c r="M315" s="1007" t="s">
        <v>68</v>
      </c>
      <c r="N315" s="1007">
        <v>46097</v>
      </c>
      <c r="O315" s="1007" t="s">
        <v>284</v>
      </c>
      <c r="P315" s="1007" t="s">
        <v>1584</v>
      </c>
      <c r="Q315" s="1007" t="s">
        <v>1585</v>
      </c>
      <c r="R315" s="1007" t="s">
        <v>73</v>
      </c>
      <c r="S315" s="1007" t="s">
        <v>992</v>
      </c>
      <c r="T315" s="1007">
        <v>645</v>
      </c>
      <c r="U315" s="1007">
        <v>1440</v>
      </c>
      <c r="V315" s="1007">
        <v>0.92879999999999996</v>
      </c>
      <c r="W315" s="1007">
        <v>40</v>
      </c>
      <c r="X315" s="1007">
        <v>2</v>
      </c>
      <c r="Y315" s="1007" t="s">
        <v>75</v>
      </c>
      <c r="Z315" s="1007" t="s">
        <v>75</v>
      </c>
      <c r="AA315" s="1007" t="s">
        <v>1577</v>
      </c>
      <c r="AB315" s="1008">
        <v>46095</v>
      </c>
      <c r="AC315" s="1007">
        <v>11</v>
      </c>
      <c r="AD315" s="1007" t="s">
        <v>1586</v>
      </c>
      <c r="AF315" s="1007" t="s">
        <v>1525</v>
      </c>
      <c r="AG315" s="1007" t="s">
        <v>123</v>
      </c>
      <c r="AH315" s="1007" t="s">
        <v>105</v>
      </c>
      <c r="AI315" s="1008">
        <v>46100</v>
      </c>
      <c r="AJ315" s="1008">
        <v>46100</v>
      </c>
      <c r="AK315" s="1008">
        <v>46101</v>
      </c>
      <c r="AL315" s="1008">
        <v>46144</v>
      </c>
      <c r="AM315" s="1008">
        <v>46159</v>
      </c>
      <c r="AN315" s="1008">
        <v>46159</v>
      </c>
      <c r="AO315" s="1007" t="s">
        <v>402</v>
      </c>
      <c r="AP315" s="1007" t="s">
        <v>1526</v>
      </c>
      <c r="AQ315" s="1007" t="s">
        <v>161</v>
      </c>
      <c r="AR315" s="1007" t="s">
        <v>1579</v>
      </c>
      <c r="AS315" s="1007" t="s">
        <v>1580</v>
      </c>
      <c r="AT315" s="1007" t="s">
        <v>1581</v>
      </c>
      <c r="AU315" s="1007">
        <v>58</v>
      </c>
      <c r="AW315" s="1008">
        <v>46159</v>
      </c>
      <c r="AX315" s="1007" t="s">
        <v>973</v>
      </c>
      <c r="AY315" s="1008">
        <v>46175</v>
      </c>
      <c r="AZ315" s="1007">
        <v>7</v>
      </c>
      <c r="BA315" s="1008">
        <v>46166</v>
      </c>
      <c r="BB315" s="1007">
        <v>2026</v>
      </c>
      <c r="BC315" s="1007">
        <v>5</v>
      </c>
      <c r="BD315" s="1007">
        <v>21</v>
      </c>
      <c r="BE315" s="1007">
        <v>36</v>
      </c>
      <c r="BF315" s="1007">
        <v>720</v>
      </c>
      <c r="BG315" s="1007" t="s">
        <v>108</v>
      </c>
      <c r="BH315" s="1007" t="s">
        <v>109</v>
      </c>
    </row>
    <row r="316" spans="1:60">
      <c r="A316" s="1007" t="s">
        <v>1587</v>
      </c>
      <c r="B316" s="1007" t="s">
        <v>111</v>
      </c>
      <c r="C316" s="1007" t="s">
        <v>991</v>
      </c>
      <c r="D316" s="1007" t="s">
        <v>63</v>
      </c>
      <c r="E316" s="1007" t="s">
        <v>64</v>
      </c>
      <c r="F316" s="1007" t="s">
        <v>100</v>
      </c>
      <c r="G316" s="1007" t="s">
        <v>402</v>
      </c>
      <c r="H316" s="1007" t="s">
        <v>67</v>
      </c>
      <c r="I316" s="1007" t="s">
        <v>68</v>
      </c>
      <c r="J316" s="1007" t="s">
        <v>1588</v>
      </c>
      <c r="M316" s="1007" t="s">
        <v>68</v>
      </c>
      <c r="N316" s="1007">
        <v>46048</v>
      </c>
      <c r="O316" s="1007" t="s">
        <v>132</v>
      </c>
      <c r="P316" s="1007" t="s">
        <v>133</v>
      </c>
      <c r="Q316" s="1007" t="s">
        <v>134</v>
      </c>
      <c r="R316" s="1007" t="s">
        <v>73</v>
      </c>
      <c r="S316" s="1007" t="s">
        <v>992</v>
      </c>
      <c r="T316" s="1007">
        <v>720</v>
      </c>
      <c r="U316" s="1007">
        <v>1188</v>
      </c>
      <c r="V316" s="1007">
        <v>0.85536000000000001</v>
      </c>
      <c r="W316" s="1007">
        <v>36</v>
      </c>
      <c r="X316" s="1007">
        <v>2</v>
      </c>
      <c r="Y316" s="1007" t="s">
        <v>75</v>
      </c>
      <c r="Z316" s="1007" t="s">
        <v>75</v>
      </c>
      <c r="AB316" s="1008">
        <v>46095</v>
      </c>
      <c r="AC316" s="1007">
        <v>11</v>
      </c>
      <c r="AD316" s="1007" t="s">
        <v>1589</v>
      </c>
      <c r="AF316" s="1007" t="s">
        <v>122</v>
      </c>
      <c r="AG316" s="1007" t="s">
        <v>123</v>
      </c>
      <c r="AH316" s="1007" t="s">
        <v>105</v>
      </c>
      <c r="AI316" s="1008">
        <v>46099</v>
      </c>
      <c r="AJ316" s="1008">
        <v>46098</v>
      </c>
      <c r="AK316" s="1008">
        <v>46100</v>
      </c>
      <c r="AL316" s="1008">
        <v>46149</v>
      </c>
      <c r="AM316" s="1008">
        <v>46149</v>
      </c>
      <c r="AN316" s="1008">
        <v>46149</v>
      </c>
      <c r="AO316" s="1007" t="s">
        <v>402</v>
      </c>
      <c r="AP316" s="1007" t="s">
        <v>1590</v>
      </c>
      <c r="AQ316" s="1007" t="s">
        <v>161</v>
      </c>
      <c r="AR316" s="1007" t="s">
        <v>1591</v>
      </c>
      <c r="AS316" s="1007">
        <v>267391376</v>
      </c>
      <c r="AT316" s="1007">
        <v>267391376</v>
      </c>
      <c r="AU316" s="1007">
        <v>49</v>
      </c>
      <c r="AW316" s="1008">
        <v>46149</v>
      </c>
      <c r="AX316" s="1007" t="s">
        <v>973</v>
      </c>
      <c r="AY316" s="1008">
        <v>46162</v>
      </c>
      <c r="AZ316" s="1007">
        <v>7</v>
      </c>
      <c r="BA316" s="1008">
        <v>46156</v>
      </c>
      <c r="BB316" s="1007">
        <v>2026</v>
      </c>
      <c r="BC316" s="1007">
        <v>5</v>
      </c>
      <c r="BD316" s="1007">
        <v>20</v>
      </c>
      <c r="BE316" s="1007">
        <v>33</v>
      </c>
      <c r="BF316" s="1007">
        <v>594</v>
      </c>
      <c r="BG316" s="1007" t="s">
        <v>108</v>
      </c>
      <c r="BH316" s="1007" t="s">
        <v>109</v>
      </c>
    </row>
    <row r="317" spans="1:60">
      <c r="A317" s="1007" t="s">
        <v>1592</v>
      </c>
      <c r="B317" s="1007" t="s">
        <v>61</v>
      </c>
      <c r="C317" s="1007" t="s">
        <v>1593</v>
      </c>
      <c r="D317" s="1007" t="s">
        <v>63</v>
      </c>
      <c r="E317" s="1007" t="s">
        <v>64</v>
      </c>
      <c r="F317" s="1007" t="s">
        <v>65</v>
      </c>
      <c r="G317" s="1007" t="s">
        <v>402</v>
      </c>
      <c r="H317" s="1007" t="s">
        <v>67</v>
      </c>
      <c r="I317" s="1007" t="s">
        <v>689</v>
      </c>
      <c r="J317" s="1007" t="s">
        <v>1568</v>
      </c>
      <c r="M317" s="1007" t="s">
        <v>68</v>
      </c>
      <c r="N317" s="1007">
        <v>46083</v>
      </c>
      <c r="O317" s="1007" t="s">
        <v>70</v>
      </c>
      <c r="P317" s="1007" t="s">
        <v>71</v>
      </c>
      <c r="Q317" s="1007" t="s">
        <v>72</v>
      </c>
      <c r="R317" s="1007" t="s">
        <v>73</v>
      </c>
      <c r="S317" s="1007" t="s">
        <v>967</v>
      </c>
      <c r="T317" s="1007">
        <v>500</v>
      </c>
      <c r="U317" s="1007">
        <v>6912</v>
      </c>
      <c r="V317" s="1007">
        <v>3.456</v>
      </c>
      <c r="W317" s="1007">
        <v>192</v>
      </c>
      <c r="X317" s="1007">
        <v>8</v>
      </c>
      <c r="Y317" s="1007" t="s">
        <v>75</v>
      </c>
      <c r="Z317" s="1007" t="s">
        <v>75</v>
      </c>
      <c r="AA317" s="1007" t="s">
        <v>1594</v>
      </c>
      <c r="AB317" s="1008">
        <v>46092</v>
      </c>
      <c r="AC317" s="1007">
        <v>11</v>
      </c>
      <c r="AD317" s="1007" t="s">
        <v>1595</v>
      </c>
      <c r="AF317" s="1007" t="s">
        <v>77</v>
      </c>
      <c r="AG317" s="1007" t="s">
        <v>61</v>
      </c>
      <c r="AH317" s="1007" t="s">
        <v>356</v>
      </c>
      <c r="AI317" s="1008">
        <v>46098</v>
      </c>
      <c r="AJ317" s="1008">
        <v>46098</v>
      </c>
      <c r="AK317" s="1008">
        <v>46098</v>
      </c>
      <c r="AL317" s="1008">
        <v>46147</v>
      </c>
      <c r="AM317" s="1008">
        <v>46144</v>
      </c>
      <c r="AN317" s="1008">
        <v>46144</v>
      </c>
      <c r="AO317" s="1007" t="s">
        <v>402</v>
      </c>
      <c r="AP317" s="1007" t="s">
        <v>1596</v>
      </c>
      <c r="AQ317" s="1007" t="s">
        <v>161</v>
      </c>
      <c r="AR317" s="1007" t="s">
        <v>986</v>
      </c>
      <c r="AS317" s="1007" t="s">
        <v>1597</v>
      </c>
      <c r="AT317" s="1007">
        <v>267064335</v>
      </c>
      <c r="AU317" s="1007">
        <v>46</v>
      </c>
      <c r="AW317" s="1008">
        <v>46144</v>
      </c>
      <c r="AX317" s="1007" t="s">
        <v>973</v>
      </c>
      <c r="AY317" s="1008">
        <v>46157</v>
      </c>
      <c r="AZ317" s="1007">
        <v>8</v>
      </c>
      <c r="BA317" s="1008">
        <v>46152</v>
      </c>
      <c r="BB317" s="1007">
        <v>2026</v>
      </c>
      <c r="BC317" s="1007">
        <v>5</v>
      </c>
      <c r="BD317" s="1007">
        <v>19</v>
      </c>
      <c r="BE317" s="1007">
        <v>36</v>
      </c>
      <c r="BF317" s="1007">
        <v>864</v>
      </c>
      <c r="BG317" s="1007" t="s">
        <v>85</v>
      </c>
      <c r="BH317" s="1007" t="s">
        <v>109</v>
      </c>
    </row>
    <row r="318" spans="1:60">
      <c r="A318" s="1007" t="s">
        <v>1598</v>
      </c>
      <c r="B318" s="1007" t="s">
        <v>61</v>
      </c>
      <c r="C318" s="1007" t="s">
        <v>1593</v>
      </c>
      <c r="D318" s="1007" t="s">
        <v>63</v>
      </c>
      <c r="E318" s="1007" t="s">
        <v>144</v>
      </c>
      <c r="F318" s="1007" t="s">
        <v>145</v>
      </c>
      <c r="G318" s="1007" t="s">
        <v>402</v>
      </c>
      <c r="H318" s="1007" t="s">
        <v>868</v>
      </c>
      <c r="I318" s="1007" t="s">
        <v>689</v>
      </c>
      <c r="J318" s="1007" t="s">
        <v>147</v>
      </c>
      <c r="K318" s="1007" t="s">
        <v>870</v>
      </c>
      <c r="M318" s="1007" t="s">
        <v>840</v>
      </c>
      <c r="N318" s="1007">
        <v>46090</v>
      </c>
      <c r="O318" s="1007" t="s">
        <v>70</v>
      </c>
      <c r="P318" s="1007" t="s">
        <v>71</v>
      </c>
      <c r="Q318" s="1007" t="s">
        <v>72</v>
      </c>
      <c r="R318" s="1007" t="s">
        <v>73</v>
      </c>
      <c r="S318" s="1007" t="s">
        <v>967</v>
      </c>
      <c r="T318" s="1007">
        <v>500</v>
      </c>
      <c r="U318" s="1007">
        <v>1728</v>
      </c>
      <c r="V318" s="1007">
        <v>0.86399999999999999</v>
      </c>
      <c r="W318" s="1007">
        <v>48</v>
      </c>
      <c r="X318" s="1007">
        <v>2</v>
      </c>
      <c r="Y318" s="1007" t="s">
        <v>75</v>
      </c>
      <c r="Z318" s="1007" t="s">
        <v>75</v>
      </c>
      <c r="AA318" s="1007" t="s">
        <v>1599</v>
      </c>
      <c r="AB318" s="1008">
        <v>46092</v>
      </c>
      <c r="AC318" s="1007">
        <v>11</v>
      </c>
      <c r="AD318" s="1007" t="s">
        <v>1600</v>
      </c>
      <c r="AF318" s="1007" t="s">
        <v>77</v>
      </c>
      <c r="AG318" s="1007" t="s">
        <v>61</v>
      </c>
      <c r="AH318" s="1007" t="s">
        <v>356</v>
      </c>
      <c r="AI318" s="1008">
        <v>46098</v>
      </c>
      <c r="AJ318" s="1008">
        <v>46098</v>
      </c>
      <c r="AK318" s="1008">
        <v>46098</v>
      </c>
      <c r="AL318" s="1008">
        <v>46147</v>
      </c>
      <c r="AM318" s="1008">
        <v>46144</v>
      </c>
      <c r="AN318" s="1008">
        <v>46144</v>
      </c>
      <c r="AO318" s="1007" t="s">
        <v>402</v>
      </c>
      <c r="AP318" s="1007" t="s">
        <v>1596</v>
      </c>
      <c r="AQ318" s="1007" t="s">
        <v>161</v>
      </c>
      <c r="AR318" s="1007" t="s">
        <v>1601</v>
      </c>
      <c r="AS318" s="1007" t="s">
        <v>1602</v>
      </c>
      <c r="AT318" s="1007">
        <v>267064412</v>
      </c>
      <c r="AU318" s="1007">
        <v>46</v>
      </c>
      <c r="AW318" s="1008">
        <v>46144</v>
      </c>
      <c r="AX318" s="1007" t="s">
        <v>973</v>
      </c>
      <c r="AY318" s="1008">
        <v>46160</v>
      </c>
      <c r="AZ318" s="1007">
        <v>0</v>
      </c>
      <c r="BA318" s="1008">
        <v>46144</v>
      </c>
      <c r="BB318" s="1007">
        <v>2026</v>
      </c>
      <c r="BC318" s="1007">
        <v>5</v>
      </c>
      <c r="BD318" s="1007">
        <v>18</v>
      </c>
      <c r="BE318" s="1007">
        <v>36</v>
      </c>
      <c r="BF318" s="1007">
        <v>864</v>
      </c>
      <c r="BG318" s="1007" t="s">
        <v>85</v>
      </c>
      <c r="BH318" s="1007" t="s">
        <v>109</v>
      </c>
    </row>
    <row r="319" spans="1:60">
      <c r="A319" s="1007" t="s">
        <v>1603</v>
      </c>
      <c r="B319" s="1007" t="s">
        <v>61</v>
      </c>
      <c r="C319" s="1007" t="s">
        <v>1593</v>
      </c>
      <c r="D319" s="1007" t="s">
        <v>63</v>
      </c>
      <c r="E319" s="1007" t="s">
        <v>64</v>
      </c>
      <c r="F319" s="1007" t="s">
        <v>65</v>
      </c>
      <c r="G319" s="1007" t="s">
        <v>402</v>
      </c>
      <c r="H319" s="1007" t="s">
        <v>67</v>
      </c>
      <c r="I319" s="1007" t="s">
        <v>689</v>
      </c>
      <c r="J319" s="1007" t="s">
        <v>1604</v>
      </c>
      <c r="M319" s="1007" t="s">
        <v>68</v>
      </c>
      <c r="N319" s="1007">
        <v>46090</v>
      </c>
      <c r="O319" s="1007" t="s">
        <v>70</v>
      </c>
      <c r="P319" s="1007" t="s">
        <v>71</v>
      </c>
      <c r="Q319" s="1007" t="s">
        <v>72</v>
      </c>
      <c r="R319" s="1007" t="s">
        <v>73</v>
      </c>
      <c r="S319" s="1007" t="s">
        <v>967</v>
      </c>
      <c r="T319" s="1007">
        <v>500</v>
      </c>
      <c r="U319" s="1007">
        <v>1728</v>
      </c>
      <c r="V319" s="1007">
        <v>0.86399999999999999</v>
      </c>
      <c r="W319" s="1007">
        <v>48</v>
      </c>
      <c r="X319" s="1007">
        <v>2</v>
      </c>
      <c r="Y319" s="1007" t="s">
        <v>75</v>
      </c>
      <c r="Z319" s="1007" t="s">
        <v>75</v>
      </c>
      <c r="AA319" s="1007" t="s">
        <v>1599</v>
      </c>
      <c r="AB319" s="1008">
        <v>46092</v>
      </c>
      <c r="AC319" s="1007">
        <v>11</v>
      </c>
      <c r="AD319" s="1007" t="s">
        <v>1605</v>
      </c>
      <c r="AF319" s="1007" t="s">
        <v>77</v>
      </c>
      <c r="AG319" s="1007" t="s">
        <v>61</v>
      </c>
      <c r="AH319" s="1007" t="s">
        <v>356</v>
      </c>
      <c r="AI319" s="1008">
        <v>46098</v>
      </c>
      <c r="AJ319" s="1008">
        <v>46098</v>
      </c>
      <c r="AK319" s="1008">
        <v>46098</v>
      </c>
      <c r="AL319" s="1008">
        <v>46147</v>
      </c>
      <c r="AM319" s="1008">
        <v>46144</v>
      </c>
      <c r="AN319" s="1008">
        <v>46144</v>
      </c>
      <c r="AO319" s="1007" t="s">
        <v>402</v>
      </c>
      <c r="AP319" s="1007" t="s">
        <v>1596</v>
      </c>
      <c r="AQ319" s="1007" t="s">
        <v>161</v>
      </c>
      <c r="AR319" s="1007" t="s">
        <v>1601</v>
      </c>
      <c r="AS319" s="1007" t="s">
        <v>1606</v>
      </c>
      <c r="AT319" s="1007">
        <v>267064412</v>
      </c>
      <c r="AU319" s="1007">
        <v>46</v>
      </c>
      <c r="AW319" s="1008">
        <v>46144</v>
      </c>
      <c r="AX319" s="1007" t="s">
        <v>973</v>
      </c>
      <c r="AY319" s="1008">
        <v>46159</v>
      </c>
      <c r="AZ319" s="1007">
        <v>8</v>
      </c>
      <c r="BA319" s="1008">
        <v>46152</v>
      </c>
      <c r="BB319" s="1007">
        <v>2026</v>
      </c>
      <c r="BC319" s="1007">
        <v>5</v>
      </c>
      <c r="BD319" s="1007">
        <v>19</v>
      </c>
      <c r="BE319" s="1007">
        <v>36</v>
      </c>
      <c r="BF319" s="1007">
        <v>864</v>
      </c>
      <c r="BG319" s="1007" t="s">
        <v>85</v>
      </c>
      <c r="BH319" s="1007" t="s">
        <v>109</v>
      </c>
    </row>
    <row r="320" spans="1:60">
      <c r="A320" s="1007" t="s">
        <v>1607</v>
      </c>
      <c r="B320" s="1007" t="s">
        <v>61</v>
      </c>
      <c r="C320" s="1007" t="s">
        <v>1593</v>
      </c>
      <c r="D320" s="1007" t="s">
        <v>63</v>
      </c>
      <c r="E320" s="1007" t="s">
        <v>64</v>
      </c>
      <c r="F320" s="1007" t="s">
        <v>65</v>
      </c>
      <c r="G320" s="1007" t="s">
        <v>402</v>
      </c>
      <c r="H320" s="1007" t="s">
        <v>67</v>
      </c>
      <c r="I320" s="1007" t="s">
        <v>689</v>
      </c>
      <c r="J320" s="1007" t="s">
        <v>690</v>
      </c>
      <c r="M320" s="1007" t="s">
        <v>68</v>
      </c>
      <c r="N320" s="1007">
        <v>46083</v>
      </c>
      <c r="O320" s="1007" t="s">
        <v>70</v>
      </c>
      <c r="P320" s="1007" t="s">
        <v>71</v>
      </c>
      <c r="Q320" s="1007" t="s">
        <v>72</v>
      </c>
      <c r="R320" s="1007" t="s">
        <v>73</v>
      </c>
      <c r="S320" s="1007" t="s">
        <v>967</v>
      </c>
      <c r="T320" s="1007">
        <v>500</v>
      </c>
      <c r="U320" s="1007">
        <v>5184</v>
      </c>
      <c r="V320" s="1007">
        <v>2.5920000000000001</v>
      </c>
      <c r="W320" s="1007">
        <v>144</v>
      </c>
      <c r="X320" s="1007">
        <v>6</v>
      </c>
      <c r="Y320" s="1007" t="s">
        <v>75</v>
      </c>
      <c r="Z320" s="1007" t="s">
        <v>75</v>
      </c>
      <c r="AA320" s="1007" t="s">
        <v>1608</v>
      </c>
      <c r="AB320" s="1008">
        <v>46092</v>
      </c>
      <c r="AC320" s="1007">
        <v>11</v>
      </c>
      <c r="AD320" s="1007" t="s">
        <v>1609</v>
      </c>
      <c r="AF320" s="1007" t="s">
        <v>77</v>
      </c>
      <c r="AG320" s="1007" t="s">
        <v>61</v>
      </c>
      <c r="AH320" s="1007" t="s">
        <v>356</v>
      </c>
      <c r="AI320" s="1008">
        <v>46098</v>
      </c>
      <c r="AJ320" s="1008">
        <v>46098</v>
      </c>
      <c r="AK320" s="1008">
        <v>46098</v>
      </c>
      <c r="AL320" s="1008">
        <v>46147</v>
      </c>
      <c r="AM320" s="1008">
        <v>46144</v>
      </c>
      <c r="AN320" s="1008">
        <v>46144</v>
      </c>
      <c r="AO320" s="1007" t="s">
        <v>402</v>
      </c>
      <c r="AP320" s="1007" t="s">
        <v>1596</v>
      </c>
      <c r="AQ320" s="1007" t="s">
        <v>161</v>
      </c>
      <c r="AR320" s="1007" t="s">
        <v>1601</v>
      </c>
      <c r="AS320" s="1007" t="s">
        <v>1606</v>
      </c>
      <c r="AT320" s="1007">
        <v>267064412</v>
      </c>
      <c r="AU320" s="1007">
        <v>46</v>
      </c>
      <c r="AW320" s="1008">
        <v>46144</v>
      </c>
      <c r="AX320" s="1007" t="s">
        <v>973</v>
      </c>
      <c r="AY320" s="1008">
        <v>46157</v>
      </c>
      <c r="AZ320" s="1007">
        <v>8</v>
      </c>
      <c r="BA320" s="1008">
        <v>46152</v>
      </c>
      <c r="BB320" s="1007">
        <v>2026</v>
      </c>
      <c r="BC320" s="1007">
        <v>5</v>
      </c>
      <c r="BD320" s="1007">
        <v>19</v>
      </c>
      <c r="BE320" s="1007">
        <v>36</v>
      </c>
      <c r="BF320" s="1007">
        <v>864</v>
      </c>
      <c r="BG320" s="1007" t="s">
        <v>85</v>
      </c>
      <c r="BH320" s="1007" t="s">
        <v>109</v>
      </c>
    </row>
    <row r="321" spans="1:60">
      <c r="A321" s="1007" t="s">
        <v>1610</v>
      </c>
      <c r="B321" s="1007" t="s">
        <v>61</v>
      </c>
      <c r="C321" s="1007" t="s">
        <v>1286</v>
      </c>
      <c r="D321" s="1007" t="s">
        <v>63</v>
      </c>
      <c r="E321" s="1007" t="s">
        <v>64</v>
      </c>
      <c r="F321" s="1007" t="s">
        <v>100</v>
      </c>
      <c r="G321" s="1007" t="s">
        <v>402</v>
      </c>
      <c r="H321" s="1007" t="s">
        <v>67</v>
      </c>
      <c r="I321" s="1007" t="s">
        <v>689</v>
      </c>
      <c r="J321" s="1007" t="s">
        <v>101</v>
      </c>
      <c r="M321" s="1007" t="s">
        <v>68</v>
      </c>
      <c r="N321" s="1007">
        <v>46104</v>
      </c>
      <c r="O321" s="1007" t="s">
        <v>70</v>
      </c>
      <c r="P321" s="1007" t="s">
        <v>1151</v>
      </c>
      <c r="Q321" s="1007" t="s">
        <v>421</v>
      </c>
      <c r="R321" s="1007" t="s">
        <v>73</v>
      </c>
      <c r="S321" s="1007" t="s">
        <v>967</v>
      </c>
      <c r="T321" s="1007">
        <v>505</v>
      </c>
      <c r="U321" s="1007">
        <v>2592</v>
      </c>
      <c r="V321" s="1007">
        <v>1.3089599999999999</v>
      </c>
      <c r="W321" s="1007">
        <v>72</v>
      </c>
      <c r="X321" s="1007">
        <v>3</v>
      </c>
      <c r="Y321" s="1007" t="s">
        <v>75</v>
      </c>
      <c r="Z321" s="1007" t="s">
        <v>75</v>
      </c>
      <c r="AA321" s="1007" t="s">
        <v>1456</v>
      </c>
      <c r="AB321" s="1008">
        <v>46091</v>
      </c>
      <c r="AC321" s="1007">
        <v>11</v>
      </c>
      <c r="AD321" s="1007" t="s">
        <v>1611</v>
      </c>
      <c r="AF321" s="1007" t="s">
        <v>77</v>
      </c>
      <c r="AG321" s="1007" t="s">
        <v>61</v>
      </c>
      <c r="AH321" s="1007" t="s">
        <v>105</v>
      </c>
      <c r="AI321" s="1008">
        <v>46095</v>
      </c>
      <c r="AJ321" s="1008">
        <v>46095</v>
      </c>
      <c r="AK321" s="1008">
        <v>46095</v>
      </c>
      <c r="AL321" s="1008">
        <v>46142</v>
      </c>
      <c r="AM321" s="1008">
        <v>46150</v>
      </c>
      <c r="AN321" s="1008">
        <v>46148</v>
      </c>
      <c r="AO321" s="1007" t="s">
        <v>402</v>
      </c>
      <c r="AP321" s="1007" t="s">
        <v>925</v>
      </c>
      <c r="AQ321" s="1007" t="s">
        <v>80</v>
      </c>
      <c r="AR321" s="1007" t="s">
        <v>1612</v>
      </c>
      <c r="AS321" s="1007" t="s">
        <v>1613</v>
      </c>
      <c r="AT321" s="1007" t="s">
        <v>1613</v>
      </c>
      <c r="AU321" s="1007">
        <v>53</v>
      </c>
      <c r="AW321" s="1008">
        <v>46148</v>
      </c>
      <c r="AX321" s="1007" t="s">
        <v>973</v>
      </c>
      <c r="AY321" s="1008">
        <v>46163</v>
      </c>
      <c r="AZ321" s="1007">
        <v>7</v>
      </c>
      <c r="BA321" s="1008">
        <v>46155</v>
      </c>
      <c r="BB321" s="1007">
        <v>2026</v>
      </c>
      <c r="BC321" s="1007">
        <v>5</v>
      </c>
      <c r="BD321" s="1007">
        <v>20</v>
      </c>
      <c r="BE321" s="1007">
        <v>36</v>
      </c>
      <c r="BF321" s="1007">
        <v>864</v>
      </c>
      <c r="BG321" s="1007" t="s">
        <v>85</v>
      </c>
      <c r="BH321" s="1007" t="s">
        <v>109</v>
      </c>
    </row>
    <row r="322" spans="1:60">
      <c r="A322" s="1007" t="s">
        <v>1614</v>
      </c>
      <c r="B322" s="1007" t="s">
        <v>61</v>
      </c>
      <c r="C322" s="1007" t="s">
        <v>1016</v>
      </c>
      <c r="D322" s="1007" t="s">
        <v>63</v>
      </c>
      <c r="E322" s="1007" t="s">
        <v>144</v>
      </c>
      <c r="F322" s="1007" t="s">
        <v>145</v>
      </c>
      <c r="G322" s="1007" t="s">
        <v>402</v>
      </c>
      <c r="H322" s="1007" t="s">
        <v>538</v>
      </c>
      <c r="I322" s="1007" t="s">
        <v>689</v>
      </c>
      <c r="J322" s="1007" t="s">
        <v>1615</v>
      </c>
      <c r="K322" s="1007" t="s">
        <v>1538</v>
      </c>
      <c r="M322" s="1007" t="s">
        <v>840</v>
      </c>
      <c r="N322" s="1007">
        <v>46076</v>
      </c>
      <c r="O322" s="1007" t="s">
        <v>70</v>
      </c>
      <c r="P322" s="1007" t="s">
        <v>195</v>
      </c>
      <c r="Q322" s="1007" t="s">
        <v>196</v>
      </c>
      <c r="R322" s="1007" t="s">
        <v>73</v>
      </c>
      <c r="S322" s="1007" t="s">
        <v>967</v>
      </c>
      <c r="T322" s="1007">
        <v>450</v>
      </c>
      <c r="U322" s="1007">
        <v>8424</v>
      </c>
      <c r="V322" s="1007">
        <v>3.7907999999999999</v>
      </c>
      <c r="W322" s="1007">
        <v>234</v>
      </c>
      <c r="X322" s="1007">
        <v>9</v>
      </c>
      <c r="Y322" s="1007" t="s">
        <v>75</v>
      </c>
      <c r="Z322" s="1007" t="s">
        <v>75</v>
      </c>
      <c r="AA322" s="1007" t="s">
        <v>1456</v>
      </c>
      <c r="AB322" s="1008">
        <v>46093</v>
      </c>
      <c r="AC322" s="1007">
        <v>11</v>
      </c>
      <c r="AD322" s="1007" t="s">
        <v>1616</v>
      </c>
      <c r="AF322" s="1007" t="s">
        <v>77</v>
      </c>
      <c r="AG322" s="1007" t="s">
        <v>61</v>
      </c>
      <c r="AH322" s="1007" t="s">
        <v>1617</v>
      </c>
      <c r="AI322" s="1008">
        <v>46098</v>
      </c>
      <c r="AJ322" s="1008">
        <v>46098</v>
      </c>
      <c r="AK322" s="1008">
        <v>46097</v>
      </c>
      <c r="AL322" s="1008">
        <v>46168</v>
      </c>
      <c r="AM322" s="1008">
        <v>46157</v>
      </c>
      <c r="AN322" s="1008">
        <v>46158</v>
      </c>
      <c r="AO322" s="1007" t="s">
        <v>402</v>
      </c>
      <c r="AP322" s="1007" t="s">
        <v>1618</v>
      </c>
      <c r="AQ322" s="1007" t="s">
        <v>161</v>
      </c>
      <c r="AR322" s="1007" t="s">
        <v>1619</v>
      </c>
      <c r="AS322" s="1007" t="s">
        <v>1620</v>
      </c>
      <c r="AT322" s="1007" t="s">
        <v>1620</v>
      </c>
      <c r="AU322" s="1007">
        <v>61</v>
      </c>
      <c r="AW322" s="1008">
        <v>46158</v>
      </c>
      <c r="AX322" s="1007" t="s">
        <v>973</v>
      </c>
      <c r="AY322" s="1008">
        <v>46181</v>
      </c>
      <c r="AZ322" s="1007">
        <v>0</v>
      </c>
      <c r="BA322" s="1008">
        <v>46158</v>
      </c>
      <c r="BB322" s="1007">
        <v>2026</v>
      </c>
      <c r="BC322" s="1007">
        <v>5</v>
      </c>
      <c r="BD322" s="1007">
        <v>20</v>
      </c>
      <c r="BE322" s="1007">
        <v>36</v>
      </c>
      <c r="BF322" s="1007">
        <v>936</v>
      </c>
      <c r="BG322" s="1007" t="s">
        <v>85</v>
      </c>
      <c r="BH322" s="1007" t="e">
        <v>#N/A</v>
      </c>
    </row>
    <row r="323" spans="1:60">
      <c r="A323" s="1007" t="s">
        <v>1621</v>
      </c>
      <c r="B323" s="1007" t="s">
        <v>61</v>
      </c>
      <c r="C323" s="1007" t="s">
        <v>1286</v>
      </c>
      <c r="D323" s="1007" t="s">
        <v>63</v>
      </c>
      <c r="E323" s="1007" t="s">
        <v>64</v>
      </c>
      <c r="F323" s="1007" t="s">
        <v>100</v>
      </c>
      <c r="G323" s="1007" t="s">
        <v>402</v>
      </c>
      <c r="H323" s="1007" t="s">
        <v>67</v>
      </c>
      <c r="I323" s="1007" t="s">
        <v>689</v>
      </c>
      <c r="J323" s="1007" t="s">
        <v>1622</v>
      </c>
      <c r="M323" s="1007" t="s">
        <v>68</v>
      </c>
      <c r="N323" s="1007">
        <v>46090</v>
      </c>
      <c r="O323" s="1007" t="s">
        <v>70</v>
      </c>
      <c r="P323" s="1007" t="s">
        <v>1151</v>
      </c>
      <c r="Q323" s="1007" t="s">
        <v>421</v>
      </c>
      <c r="R323" s="1007" t="s">
        <v>73</v>
      </c>
      <c r="S323" s="1007" t="s">
        <v>967</v>
      </c>
      <c r="T323" s="1007">
        <v>505</v>
      </c>
      <c r="U323" s="1007">
        <v>8640</v>
      </c>
      <c r="V323" s="1007">
        <v>4.3632</v>
      </c>
      <c r="W323" s="1007">
        <v>240</v>
      </c>
      <c r="X323" s="1007">
        <v>10</v>
      </c>
      <c r="Y323" s="1007" t="s">
        <v>75</v>
      </c>
      <c r="Z323" s="1007" t="s">
        <v>75</v>
      </c>
      <c r="AB323" s="1008">
        <v>46091</v>
      </c>
      <c r="AC323" s="1007">
        <v>11</v>
      </c>
      <c r="AD323" s="1007" t="s">
        <v>1623</v>
      </c>
      <c r="AF323" s="1007" t="s">
        <v>77</v>
      </c>
      <c r="AG323" s="1007" t="s">
        <v>61</v>
      </c>
      <c r="AH323" s="1007" t="s">
        <v>105</v>
      </c>
      <c r="AI323" s="1008">
        <v>46095</v>
      </c>
      <c r="AJ323" s="1008">
        <v>46095</v>
      </c>
      <c r="AK323" s="1008">
        <v>46095</v>
      </c>
      <c r="AL323" s="1008">
        <v>46142</v>
      </c>
      <c r="AM323" s="1008">
        <v>46150</v>
      </c>
      <c r="AN323" s="1008">
        <v>46148</v>
      </c>
      <c r="AO323" s="1007" t="s">
        <v>402</v>
      </c>
      <c r="AP323" s="1007" t="s">
        <v>925</v>
      </c>
      <c r="AQ323" s="1007" t="s">
        <v>80</v>
      </c>
      <c r="AR323" s="1007" t="s">
        <v>1624</v>
      </c>
      <c r="AS323" s="1007" t="s">
        <v>1625</v>
      </c>
      <c r="AT323" s="1007" t="s">
        <v>1625</v>
      </c>
      <c r="AU323" s="1007">
        <v>53</v>
      </c>
      <c r="AW323" s="1008">
        <v>46148</v>
      </c>
      <c r="AX323" s="1007" t="s">
        <v>973</v>
      </c>
      <c r="AY323" s="1008">
        <v>46163</v>
      </c>
      <c r="AZ323" s="1007">
        <v>7</v>
      </c>
      <c r="BA323" s="1008">
        <v>46155</v>
      </c>
      <c r="BB323" s="1007">
        <v>2026</v>
      </c>
      <c r="BC323" s="1007">
        <v>5</v>
      </c>
      <c r="BD323" s="1007">
        <v>20</v>
      </c>
      <c r="BE323" s="1007">
        <v>36</v>
      </c>
      <c r="BF323" s="1007">
        <v>864</v>
      </c>
      <c r="BG323" s="1007" t="s">
        <v>85</v>
      </c>
      <c r="BH323" s="1007" t="s">
        <v>109</v>
      </c>
    </row>
    <row r="324" spans="1:60">
      <c r="A324" s="1007" t="s">
        <v>1626</v>
      </c>
      <c r="B324" s="1007" t="s">
        <v>61</v>
      </c>
      <c r="C324" s="1007" t="s">
        <v>203</v>
      </c>
      <c r="D324" s="1007" t="s">
        <v>113</v>
      </c>
      <c r="E324" s="1007" t="s">
        <v>64</v>
      </c>
      <c r="F324" s="1007" t="s">
        <v>100</v>
      </c>
      <c r="G324" s="1007" t="s">
        <v>402</v>
      </c>
      <c r="H324" s="1007" t="s">
        <v>67</v>
      </c>
      <c r="I324" s="1007" t="s">
        <v>689</v>
      </c>
      <c r="J324" s="1007" t="s">
        <v>1627</v>
      </c>
      <c r="M324" s="1007" t="s">
        <v>68</v>
      </c>
      <c r="N324" s="1007">
        <v>46045</v>
      </c>
      <c r="O324" s="1007" t="s">
        <v>713</v>
      </c>
      <c r="P324" s="1007" t="s">
        <v>1628</v>
      </c>
      <c r="Q324" s="1007" t="s">
        <v>1629</v>
      </c>
      <c r="R324" s="1007" t="s">
        <v>73</v>
      </c>
      <c r="S324" s="1007" t="s">
        <v>1166</v>
      </c>
      <c r="T324" s="1007">
        <v>630</v>
      </c>
      <c r="U324" s="1007">
        <v>108</v>
      </c>
      <c r="V324" s="1007">
        <v>6.8040000000000003E-2</v>
      </c>
      <c r="W324" s="1007">
        <v>3</v>
      </c>
      <c r="X324" s="1007">
        <v>0.1875</v>
      </c>
      <c r="Y324" s="1007" t="s">
        <v>75</v>
      </c>
      <c r="Z324" s="1007" t="s">
        <v>75</v>
      </c>
      <c r="AB324" s="1008">
        <v>46090</v>
      </c>
      <c r="AC324" s="1007">
        <v>11</v>
      </c>
      <c r="AD324" s="1007" t="s">
        <v>1630</v>
      </c>
      <c r="AF324" s="1007" t="s">
        <v>77</v>
      </c>
      <c r="AG324" s="1007" t="s">
        <v>61</v>
      </c>
      <c r="AH324" s="1007" t="s">
        <v>105</v>
      </c>
      <c r="AI324" s="1008">
        <v>46096</v>
      </c>
      <c r="AJ324" s="1008">
        <v>46103</v>
      </c>
      <c r="AK324" s="1008">
        <v>46103</v>
      </c>
      <c r="AL324" s="1008">
        <v>46139</v>
      </c>
      <c r="AM324" s="1008">
        <v>46147</v>
      </c>
      <c r="AN324" s="1008">
        <v>46147</v>
      </c>
      <c r="AO324" s="1007" t="s">
        <v>402</v>
      </c>
      <c r="AP324" s="1007" t="s">
        <v>1631</v>
      </c>
      <c r="AQ324" s="1007" t="s">
        <v>161</v>
      </c>
      <c r="AR324" s="1007" t="s">
        <v>1632</v>
      </c>
      <c r="AS324" s="1007" t="s">
        <v>1633</v>
      </c>
      <c r="AT324" s="1007">
        <v>267006396</v>
      </c>
      <c r="AU324" s="1007">
        <v>44</v>
      </c>
      <c r="AW324" s="1008">
        <v>46147</v>
      </c>
      <c r="AX324" s="1007" t="s">
        <v>973</v>
      </c>
      <c r="AY324" s="1008">
        <v>46153</v>
      </c>
      <c r="AZ324" s="1007">
        <v>7</v>
      </c>
      <c r="BA324" s="1008">
        <v>46154</v>
      </c>
      <c r="BB324" s="1007">
        <v>2026</v>
      </c>
      <c r="BC324" s="1007">
        <v>5</v>
      </c>
      <c r="BD324" s="1007">
        <v>20</v>
      </c>
      <c r="BE324" s="1007">
        <v>36</v>
      </c>
      <c r="BF324" s="1007">
        <v>576</v>
      </c>
      <c r="BG324" s="1007" t="s">
        <v>108</v>
      </c>
      <c r="BH324" s="1007" t="s">
        <v>109</v>
      </c>
    </row>
    <row r="325" spans="1:60">
      <c r="A325" s="1007" t="s">
        <v>1634</v>
      </c>
      <c r="B325" s="1007" t="s">
        <v>61</v>
      </c>
      <c r="C325" s="1007" t="s">
        <v>1162</v>
      </c>
      <c r="D325" s="1007" t="s">
        <v>113</v>
      </c>
      <c r="E325" s="1007" t="s">
        <v>64</v>
      </c>
      <c r="F325" s="1007" t="s">
        <v>100</v>
      </c>
      <c r="G325" s="1007" t="s">
        <v>402</v>
      </c>
      <c r="H325" s="1007" t="s">
        <v>67</v>
      </c>
      <c r="I325" s="1007" t="s">
        <v>689</v>
      </c>
      <c r="J325" s="1007" t="s">
        <v>1635</v>
      </c>
      <c r="M325" s="1007" t="s">
        <v>68</v>
      </c>
      <c r="N325" s="1007">
        <v>46045</v>
      </c>
      <c r="O325" s="1007" t="s">
        <v>713</v>
      </c>
      <c r="P325" s="1007" t="s">
        <v>1164</v>
      </c>
      <c r="Q325" s="1007" t="s">
        <v>1165</v>
      </c>
      <c r="R325" s="1007" t="s">
        <v>73</v>
      </c>
      <c r="S325" s="1007" t="s">
        <v>1166</v>
      </c>
      <c r="T325" s="1007">
        <v>620</v>
      </c>
      <c r="U325" s="1007">
        <v>4500</v>
      </c>
      <c r="V325" s="1007">
        <v>2.79</v>
      </c>
      <c r="W325" s="1007">
        <v>125</v>
      </c>
      <c r="X325" s="1007">
        <v>7.8125</v>
      </c>
      <c r="Y325" s="1007" t="s">
        <v>75</v>
      </c>
      <c r="Z325" s="1007" t="s">
        <v>75</v>
      </c>
      <c r="AB325" s="1008">
        <v>46090</v>
      </c>
      <c r="AC325" s="1007">
        <v>11</v>
      </c>
      <c r="AD325" s="1007" t="s">
        <v>1636</v>
      </c>
      <c r="AF325" s="1007" t="s">
        <v>77</v>
      </c>
      <c r="AG325" s="1007" t="s">
        <v>61</v>
      </c>
      <c r="AH325" s="1007" t="s">
        <v>105</v>
      </c>
      <c r="AI325" s="1008">
        <v>46096</v>
      </c>
      <c r="AJ325" s="1008">
        <v>46103</v>
      </c>
      <c r="AK325" s="1008">
        <v>46103</v>
      </c>
      <c r="AL325" s="1008">
        <v>46139</v>
      </c>
      <c r="AM325" s="1008">
        <v>46147</v>
      </c>
      <c r="AN325" s="1008">
        <v>46147</v>
      </c>
      <c r="AO325" s="1007" t="s">
        <v>402</v>
      </c>
      <c r="AP325" s="1007" t="s">
        <v>1631</v>
      </c>
      <c r="AQ325" s="1007" t="s">
        <v>161</v>
      </c>
      <c r="AR325" s="1007" t="s">
        <v>1632</v>
      </c>
      <c r="AS325" s="1007" t="s">
        <v>1633</v>
      </c>
      <c r="AT325" s="1007">
        <v>267006396</v>
      </c>
      <c r="AU325" s="1007">
        <v>44</v>
      </c>
      <c r="AW325" s="1008">
        <v>46147</v>
      </c>
      <c r="AX325" s="1007" t="s">
        <v>973</v>
      </c>
      <c r="AY325" s="1008">
        <v>46153</v>
      </c>
      <c r="AZ325" s="1007">
        <v>7</v>
      </c>
      <c r="BA325" s="1008">
        <v>46154</v>
      </c>
      <c r="BB325" s="1007">
        <v>2026</v>
      </c>
      <c r="BC325" s="1007">
        <v>5</v>
      </c>
      <c r="BD325" s="1007">
        <v>20</v>
      </c>
      <c r="BE325" s="1007">
        <v>36</v>
      </c>
      <c r="BF325" s="1007">
        <v>576</v>
      </c>
      <c r="BG325" s="1007" t="s">
        <v>108</v>
      </c>
      <c r="BH325" s="1007" t="s">
        <v>109</v>
      </c>
    </row>
    <row r="326" spans="1:60">
      <c r="A326" s="1007" t="s">
        <v>1637</v>
      </c>
      <c r="B326" s="1007" t="s">
        <v>61</v>
      </c>
      <c r="C326" s="1007" t="s">
        <v>1162</v>
      </c>
      <c r="D326" s="1007" t="s">
        <v>113</v>
      </c>
      <c r="E326" s="1007" t="s">
        <v>64</v>
      </c>
      <c r="F326" s="1007" t="s">
        <v>100</v>
      </c>
      <c r="G326" s="1007" t="s">
        <v>402</v>
      </c>
      <c r="H326" s="1007" t="s">
        <v>67</v>
      </c>
      <c r="I326" s="1007" t="s">
        <v>689</v>
      </c>
      <c r="J326" s="1007" t="s">
        <v>1635</v>
      </c>
      <c r="M326" s="1007" t="s">
        <v>68</v>
      </c>
      <c r="N326" s="1007">
        <v>46045</v>
      </c>
      <c r="O326" s="1007" t="s">
        <v>713</v>
      </c>
      <c r="P326" s="1007" t="s">
        <v>1164</v>
      </c>
      <c r="Q326" s="1007" t="s">
        <v>1165</v>
      </c>
      <c r="R326" s="1007" t="s">
        <v>73</v>
      </c>
      <c r="S326" s="1007" t="s">
        <v>1166</v>
      </c>
      <c r="T326" s="1007">
        <v>620</v>
      </c>
      <c r="U326" s="1007">
        <v>4608</v>
      </c>
      <c r="V326" s="1007">
        <v>2.8569599999999999</v>
      </c>
      <c r="W326" s="1007">
        <v>128</v>
      </c>
      <c r="X326" s="1007">
        <v>8</v>
      </c>
      <c r="Y326" s="1007" t="s">
        <v>75</v>
      </c>
      <c r="Z326" s="1007" t="s">
        <v>75</v>
      </c>
      <c r="AB326" s="1008">
        <v>46090</v>
      </c>
      <c r="AC326" s="1007">
        <v>11</v>
      </c>
      <c r="AD326" s="1007" t="s">
        <v>1638</v>
      </c>
      <c r="AF326" s="1007" t="s">
        <v>77</v>
      </c>
      <c r="AG326" s="1007" t="s">
        <v>61</v>
      </c>
      <c r="AH326" s="1007" t="s">
        <v>105</v>
      </c>
      <c r="AI326" s="1008">
        <v>46096</v>
      </c>
      <c r="AJ326" s="1008">
        <v>46103</v>
      </c>
      <c r="AK326" s="1008">
        <v>46103</v>
      </c>
      <c r="AL326" s="1008">
        <v>46139</v>
      </c>
      <c r="AM326" s="1008">
        <v>46147</v>
      </c>
      <c r="AN326" s="1008">
        <v>46147</v>
      </c>
      <c r="AO326" s="1007" t="s">
        <v>402</v>
      </c>
      <c r="AP326" s="1007" t="s">
        <v>1631</v>
      </c>
      <c r="AQ326" s="1007" t="s">
        <v>161</v>
      </c>
      <c r="AR326" s="1007" t="s">
        <v>1632</v>
      </c>
      <c r="AS326" s="1007" t="s">
        <v>1633</v>
      </c>
      <c r="AT326" s="1007">
        <v>267006396</v>
      </c>
      <c r="AU326" s="1007">
        <v>44</v>
      </c>
      <c r="AW326" s="1008">
        <v>46147</v>
      </c>
      <c r="AX326" s="1007" t="s">
        <v>973</v>
      </c>
      <c r="AY326" s="1008">
        <v>46153</v>
      </c>
      <c r="AZ326" s="1007">
        <v>7</v>
      </c>
      <c r="BA326" s="1008">
        <v>46154</v>
      </c>
      <c r="BB326" s="1007">
        <v>2026</v>
      </c>
      <c r="BC326" s="1007">
        <v>5</v>
      </c>
      <c r="BD326" s="1007">
        <v>20</v>
      </c>
      <c r="BE326" s="1007">
        <v>36</v>
      </c>
      <c r="BF326" s="1007">
        <v>576</v>
      </c>
      <c r="BG326" s="1007" t="s">
        <v>108</v>
      </c>
      <c r="BH326" s="1007" t="s">
        <v>109</v>
      </c>
    </row>
    <row r="327" spans="1:60">
      <c r="A327" s="1007" t="s">
        <v>1639</v>
      </c>
      <c r="B327" s="1007" t="s">
        <v>61</v>
      </c>
      <c r="C327" s="1007" t="s">
        <v>1286</v>
      </c>
      <c r="D327" s="1007" t="s">
        <v>63</v>
      </c>
      <c r="E327" s="1007" t="s">
        <v>64</v>
      </c>
      <c r="F327" s="1007" t="s">
        <v>100</v>
      </c>
      <c r="G327" s="1007" t="s">
        <v>402</v>
      </c>
      <c r="H327" s="1007" t="s">
        <v>67</v>
      </c>
      <c r="I327" s="1007" t="s">
        <v>689</v>
      </c>
      <c r="J327" s="1007" t="s">
        <v>101</v>
      </c>
      <c r="M327" s="1007" t="s">
        <v>68</v>
      </c>
      <c r="N327" s="1007">
        <v>46097</v>
      </c>
      <c r="O327" s="1007" t="s">
        <v>70</v>
      </c>
      <c r="P327" s="1007" t="s">
        <v>1151</v>
      </c>
      <c r="Q327" s="1007" t="s">
        <v>421</v>
      </c>
      <c r="R327" s="1007" t="s">
        <v>73</v>
      </c>
      <c r="S327" s="1007" t="s">
        <v>967</v>
      </c>
      <c r="T327" s="1007">
        <v>505</v>
      </c>
      <c r="U327" s="1007">
        <v>9504</v>
      </c>
      <c r="V327" s="1007">
        <v>4.7995200000000002</v>
      </c>
      <c r="W327" s="1007">
        <v>264</v>
      </c>
      <c r="X327" s="1007">
        <v>11</v>
      </c>
      <c r="Y327" s="1007" t="s">
        <v>75</v>
      </c>
      <c r="Z327" s="1007" t="s">
        <v>75</v>
      </c>
      <c r="AA327" s="1007" t="s">
        <v>1456</v>
      </c>
      <c r="AB327" s="1008">
        <v>46091</v>
      </c>
      <c r="AC327" s="1007">
        <v>11</v>
      </c>
      <c r="AD327" s="1007" t="s">
        <v>1640</v>
      </c>
      <c r="AF327" s="1007" t="s">
        <v>77</v>
      </c>
      <c r="AG327" s="1007" t="s">
        <v>61</v>
      </c>
      <c r="AH327" s="1007" t="s">
        <v>105</v>
      </c>
      <c r="AI327" s="1008">
        <v>46095</v>
      </c>
      <c r="AJ327" s="1008">
        <v>46095</v>
      </c>
      <c r="AK327" s="1008">
        <v>46095</v>
      </c>
      <c r="AL327" s="1008">
        <v>46142</v>
      </c>
      <c r="AM327" s="1008">
        <v>46154</v>
      </c>
      <c r="AN327" s="1008">
        <v>46157</v>
      </c>
      <c r="AO327" s="1007" t="s">
        <v>402</v>
      </c>
      <c r="AP327" s="1007" t="s">
        <v>925</v>
      </c>
      <c r="AQ327" s="1007" t="s">
        <v>80</v>
      </c>
      <c r="AR327" s="1007" t="s">
        <v>926</v>
      </c>
      <c r="AS327" s="1007" t="s">
        <v>927</v>
      </c>
      <c r="AT327" s="1007" t="s">
        <v>927</v>
      </c>
      <c r="AU327" s="1007">
        <v>62</v>
      </c>
      <c r="AW327" s="1008">
        <v>46157</v>
      </c>
      <c r="AX327" s="1007" t="s">
        <v>973</v>
      </c>
      <c r="AY327" s="1008">
        <v>46170</v>
      </c>
      <c r="AZ327" s="1007">
        <v>7</v>
      </c>
      <c r="BA327" s="1008">
        <v>46164</v>
      </c>
      <c r="BB327" s="1007">
        <v>2026</v>
      </c>
      <c r="BC327" s="1007">
        <v>5</v>
      </c>
      <c r="BD327" s="1007">
        <v>21</v>
      </c>
      <c r="BE327" s="1007">
        <v>36</v>
      </c>
      <c r="BF327" s="1007">
        <v>864</v>
      </c>
      <c r="BG327" s="1007" t="s">
        <v>85</v>
      </c>
      <c r="BH327" s="1007" t="s">
        <v>109</v>
      </c>
    </row>
    <row r="328" spans="1:60">
      <c r="A328" s="1007" t="s">
        <v>1641</v>
      </c>
      <c r="B328" s="1007" t="s">
        <v>111</v>
      </c>
      <c r="C328" s="1007" t="s">
        <v>1061</v>
      </c>
      <c r="D328" s="1007" t="s">
        <v>63</v>
      </c>
      <c r="E328" s="1007" t="s">
        <v>64</v>
      </c>
      <c r="F328" s="1007" t="s">
        <v>450</v>
      </c>
      <c r="G328" s="1007" t="s">
        <v>402</v>
      </c>
      <c r="H328" s="1007" t="s">
        <v>451</v>
      </c>
      <c r="I328" s="1007" t="s">
        <v>689</v>
      </c>
      <c r="J328" s="1007" t="s">
        <v>1112</v>
      </c>
      <c r="K328" s="1007" t="s">
        <v>1113</v>
      </c>
      <c r="M328" s="1007" t="s">
        <v>68</v>
      </c>
      <c r="N328" s="1007">
        <v>46076</v>
      </c>
      <c r="O328" s="1007" t="s">
        <v>132</v>
      </c>
      <c r="P328" s="1007" t="s">
        <v>1062</v>
      </c>
      <c r="Q328" s="1007" t="s">
        <v>1063</v>
      </c>
      <c r="R328" s="1007" t="s">
        <v>73</v>
      </c>
      <c r="S328" s="1007" t="s">
        <v>967</v>
      </c>
      <c r="T328" s="1007">
        <v>470</v>
      </c>
      <c r="U328" s="1007">
        <v>3456</v>
      </c>
      <c r="V328" s="1007">
        <v>1.62432</v>
      </c>
      <c r="W328" s="1007">
        <v>96</v>
      </c>
      <c r="X328" s="1007">
        <v>4</v>
      </c>
      <c r="Y328" s="1007" t="s">
        <v>75</v>
      </c>
      <c r="Z328" s="1007" t="s">
        <v>75</v>
      </c>
      <c r="AB328" s="1008">
        <v>46097</v>
      </c>
      <c r="AC328" s="1007">
        <v>12</v>
      </c>
      <c r="AD328" s="1007" t="s">
        <v>1642</v>
      </c>
      <c r="AF328" s="1007" t="s">
        <v>1643</v>
      </c>
      <c r="AG328" s="1007" t="s">
        <v>123</v>
      </c>
      <c r="AH328" s="1007" t="s">
        <v>456</v>
      </c>
      <c r="AI328" s="1008">
        <v>46103</v>
      </c>
      <c r="AJ328" s="1008">
        <v>46110</v>
      </c>
      <c r="AK328" s="1008">
        <v>46110</v>
      </c>
      <c r="AL328" s="1008">
        <v>46141</v>
      </c>
      <c r="AM328" s="1008">
        <v>46160</v>
      </c>
      <c r="AN328" s="1008">
        <v>46157</v>
      </c>
      <c r="AO328" s="1007" t="s">
        <v>402</v>
      </c>
      <c r="AP328" s="1007" t="s">
        <v>1644</v>
      </c>
      <c r="AQ328" s="1007" t="s">
        <v>80</v>
      </c>
      <c r="AR328" s="1007" t="s">
        <v>1645</v>
      </c>
      <c r="AS328" s="1007" t="s">
        <v>1646</v>
      </c>
      <c r="AT328" s="1007" t="s">
        <v>1646</v>
      </c>
      <c r="AU328" s="1007">
        <v>47</v>
      </c>
      <c r="AW328" s="1008">
        <v>46157</v>
      </c>
      <c r="AX328" s="1007" t="s">
        <v>973</v>
      </c>
      <c r="AY328" s="1008">
        <v>46170</v>
      </c>
      <c r="AZ328" s="1007">
        <v>7</v>
      </c>
      <c r="BA328" s="1008">
        <v>46164</v>
      </c>
      <c r="BB328" s="1007">
        <v>2026</v>
      </c>
      <c r="BC328" s="1007">
        <v>5</v>
      </c>
      <c r="BD328" s="1007">
        <v>21</v>
      </c>
      <c r="BE328" s="1007">
        <v>36</v>
      </c>
      <c r="BF328" s="1007">
        <v>864</v>
      </c>
      <c r="BG328" s="1007" t="s">
        <v>108</v>
      </c>
      <c r="BH328" s="1007" t="s">
        <v>109</v>
      </c>
    </row>
    <row r="329" spans="1:60">
      <c r="A329" s="1007" t="s">
        <v>1647</v>
      </c>
      <c r="B329" s="1007" t="s">
        <v>111</v>
      </c>
      <c r="C329" s="1007" t="s">
        <v>1061</v>
      </c>
      <c r="D329" s="1007" t="s">
        <v>63</v>
      </c>
      <c r="E329" s="1007" t="s">
        <v>64</v>
      </c>
      <c r="F329" s="1007" t="s">
        <v>100</v>
      </c>
      <c r="G329" s="1007" t="s">
        <v>402</v>
      </c>
      <c r="H329" s="1007" t="s">
        <v>67</v>
      </c>
      <c r="I329" s="1007" t="s">
        <v>869</v>
      </c>
      <c r="J329" s="1007" t="s">
        <v>101</v>
      </c>
      <c r="M329" s="1007" t="s">
        <v>68</v>
      </c>
      <c r="N329" s="1007">
        <v>46076</v>
      </c>
      <c r="O329" s="1007" t="s">
        <v>132</v>
      </c>
      <c r="P329" s="1007" t="s">
        <v>1062</v>
      </c>
      <c r="Q329" s="1007" t="s">
        <v>1063</v>
      </c>
      <c r="R329" s="1007" t="s">
        <v>73</v>
      </c>
      <c r="S329" s="1007" t="s">
        <v>967</v>
      </c>
      <c r="T329" s="1007">
        <v>470</v>
      </c>
      <c r="U329" s="1007">
        <v>5184</v>
      </c>
      <c r="V329" s="1007">
        <v>2.43648</v>
      </c>
      <c r="W329" s="1007">
        <v>144</v>
      </c>
      <c r="X329" s="1007">
        <v>6</v>
      </c>
      <c r="Y329" s="1007" t="s">
        <v>75</v>
      </c>
      <c r="Z329" s="1007" t="s">
        <v>75</v>
      </c>
      <c r="AB329" s="1008">
        <v>46095</v>
      </c>
      <c r="AC329" s="1007">
        <v>11</v>
      </c>
      <c r="AD329" s="1007" t="s">
        <v>1648</v>
      </c>
      <c r="AF329" s="1007" t="s">
        <v>122</v>
      </c>
      <c r="AG329" s="1007" t="s">
        <v>123</v>
      </c>
      <c r="AH329" s="1007" t="s">
        <v>105</v>
      </c>
      <c r="AI329" s="1008">
        <v>46102</v>
      </c>
      <c r="AJ329" s="1008">
        <v>46103</v>
      </c>
      <c r="AK329" s="1008">
        <v>46103</v>
      </c>
      <c r="AL329" s="1008">
        <v>46144</v>
      </c>
      <c r="AM329" s="1008">
        <v>46151</v>
      </c>
      <c r="AN329" s="1008">
        <v>46153</v>
      </c>
      <c r="AO329" s="1007" t="s">
        <v>402</v>
      </c>
      <c r="AP329" s="1007" t="s">
        <v>1644</v>
      </c>
      <c r="AQ329" s="1007" t="s">
        <v>80</v>
      </c>
      <c r="AR329" s="1007" t="s">
        <v>1649</v>
      </c>
      <c r="AS329" s="1007" t="s">
        <v>1650</v>
      </c>
      <c r="AT329" s="1007" t="s">
        <v>1650</v>
      </c>
      <c r="AU329" s="1007">
        <v>50</v>
      </c>
      <c r="AW329" s="1008">
        <v>46153</v>
      </c>
      <c r="AX329" s="1007" t="s">
        <v>973</v>
      </c>
      <c r="AY329" s="1008">
        <v>46159</v>
      </c>
      <c r="AZ329" s="1007">
        <v>7</v>
      </c>
      <c r="BA329" s="1008">
        <v>46160</v>
      </c>
      <c r="BB329" s="1007">
        <v>2026</v>
      </c>
      <c r="BC329" s="1007">
        <v>5</v>
      </c>
      <c r="BD329" s="1007">
        <v>21</v>
      </c>
      <c r="BE329" s="1007">
        <v>36</v>
      </c>
      <c r="BF329" s="1007">
        <v>864</v>
      </c>
      <c r="BG329" s="1007" t="s">
        <v>108</v>
      </c>
      <c r="BH329" s="1007" t="s">
        <v>109</v>
      </c>
    </row>
    <row r="330" spans="1:60">
      <c r="A330" s="1007" t="s">
        <v>1651</v>
      </c>
      <c r="B330" s="1007" t="s">
        <v>111</v>
      </c>
      <c r="C330" s="1007" t="s">
        <v>991</v>
      </c>
      <c r="D330" s="1007" t="s">
        <v>63</v>
      </c>
      <c r="E330" s="1007" t="s">
        <v>64</v>
      </c>
      <c r="F330" s="1007" t="s">
        <v>100</v>
      </c>
      <c r="G330" s="1007" t="s">
        <v>402</v>
      </c>
      <c r="H330" s="1007" t="s">
        <v>67</v>
      </c>
      <c r="I330" s="1007" t="s">
        <v>1395</v>
      </c>
      <c r="J330" s="1007" t="s">
        <v>101</v>
      </c>
      <c r="M330" s="1007" t="s">
        <v>68</v>
      </c>
      <c r="N330" s="1007">
        <v>46048</v>
      </c>
      <c r="O330" s="1007" t="s">
        <v>132</v>
      </c>
      <c r="P330" s="1007" t="s">
        <v>133</v>
      </c>
      <c r="Q330" s="1007" t="s">
        <v>134</v>
      </c>
      <c r="R330" s="1007" t="s">
        <v>73</v>
      </c>
      <c r="S330" s="1007" t="s">
        <v>992</v>
      </c>
      <c r="T330" s="1007">
        <v>720</v>
      </c>
      <c r="U330" s="1007">
        <v>4158</v>
      </c>
      <c r="V330" s="1007">
        <v>2.99376</v>
      </c>
      <c r="W330" s="1007">
        <v>126</v>
      </c>
      <c r="X330" s="1007">
        <v>7</v>
      </c>
      <c r="Y330" s="1007" t="s">
        <v>75</v>
      </c>
      <c r="Z330" s="1007" t="s">
        <v>75</v>
      </c>
      <c r="AB330" s="1008">
        <v>46095</v>
      </c>
      <c r="AC330" s="1007">
        <v>11</v>
      </c>
      <c r="AD330" s="1007" t="s">
        <v>1652</v>
      </c>
      <c r="AF330" s="1007" t="s">
        <v>122</v>
      </c>
      <c r="AG330" s="1007" t="s">
        <v>123</v>
      </c>
      <c r="AH330" s="1007" t="s">
        <v>105</v>
      </c>
      <c r="AI330" s="1008">
        <v>46102</v>
      </c>
      <c r="AJ330" s="1008">
        <v>46103</v>
      </c>
      <c r="AK330" s="1008">
        <v>46103</v>
      </c>
      <c r="AL330" s="1008">
        <v>46144</v>
      </c>
      <c r="AM330" s="1008">
        <v>46151</v>
      </c>
      <c r="AN330" s="1008">
        <v>46153</v>
      </c>
      <c r="AO330" s="1007" t="s">
        <v>402</v>
      </c>
      <c r="AP330" s="1007" t="s">
        <v>1644</v>
      </c>
      <c r="AQ330" s="1007" t="s">
        <v>80</v>
      </c>
      <c r="AR330" s="1007" t="s">
        <v>1649</v>
      </c>
      <c r="AS330" s="1007" t="s">
        <v>1650</v>
      </c>
      <c r="AT330" s="1007" t="s">
        <v>1650</v>
      </c>
      <c r="AU330" s="1007">
        <v>50</v>
      </c>
      <c r="AW330" s="1008">
        <v>46153</v>
      </c>
      <c r="AX330" s="1007" t="s">
        <v>973</v>
      </c>
      <c r="AY330" s="1008">
        <v>46159</v>
      </c>
      <c r="AZ330" s="1007">
        <v>7</v>
      </c>
      <c r="BA330" s="1008">
        <v>46160</v>
      </c>
      <c r="BB330" s="1007">
        <v>2026</v>
      </c>
      <c r="BC330" s="1007">
        <v>5</v>
      </c>
      <c r="BD330" s="1007">
        <v>21</v>
      </c>
      <c r="BE330" s="1007">
        <v>33</v>
      </c>
      <c r="BF330" s="1007">
        <v>594</v>
      </c>
      <c r="BG330" s="1007" t="s">
        <v>108</v>
      </c>
      <c r="BH330" s="1007" t="s">
        <v>109</v>
      </c>
    </row>
    <row r="331" spans="1:60">
      <c r="A331" s="1007" t="s">
        <v>1653</v>
      </c>
      <c r="B331" s="1007" t="s">
        <v>111</v>
      </c>
      <c r="C331" s="1007" t="s">
        <v>991</v>
      </c>
      <c r="D331" s="1007" t="s">
        <v>63</v>
      </c>
      <c r="E331" s="1007" t="s">
        <v>64</v>
      </c>
      <c r="F331" s="1007" t="s">
        <v>100</v>
      </c>
      <c r="G331" s="1007" t="s">
        <v>402</v>
      </c>
      <c r="H331" s="1007" t="s">
        <v>67</v>
      </c>
      <c r="I331" s="1007" t="s">
        <v>689</v>
      </c>
      <c r="J331" s="1007" t="s">
        <v>1654</v>
      </c>
      <c r="M331" s="1007" t="s">
        <v>68</v>
      </c>
      <c r="N331" s="1007">
        <v>46048</v>
      </c>
      <c r="O331" s="1007" t="s">
        <v>132</v>
      </c>
      <c r="P331" s="1007" t="s">
        <v>133</v>
      </c>
      <c r="Q331" s="1007" t="s">
        <v>134</v>
      </c>
      <c r="R331" s="1007" t="s">
        <v>73</v>
      </c>
      <c r="S331" s="1007" t="s">
        <v>992</v>
      </c>
      <c r="T331" s="1007">
        <v>720</v>
      </c>
      <c r="U331" s="1007">
        <v>1188</v>
      </c>
      <c r="V331" s="1007">
        <v>0.85536000000000001</v>
      </c>
      <c r="W331" s="1007">
        <v>36</v>
      </c>
      <c r="X331" s="1007">
        <v>2</v>
      </c>
      <c r="Y331" s="1007" t="s">
        <v>75</v>
      </c>
      <c r="Z331" s="1007" t="s">
        <v>75</v>
      </c>
      <c r="AB331" s="1008">
        <v>46095</v>
      </c>
      <c r="AC331" s="1007">
        <v>11</v>
      </c>
      <c r="AD331" s="1007" t="s">
        <v>1655</v>
      </c>
      <c r="AF331" s="1007" t="s">
        <v>122</v>
      </c>
      <c r="AG331" s="1007" t="s">
        <v>123</v>
      </c>
      <c r="AH331" s="1007" t="s">
        <v>105</v>
      </c>
      <c r="AI331" s="1008">
        <v>46102</v>
      </c>
      <c r="AJ331" s="1008">
        <v>46103</v>
      </c>
      <c r="AK331" s="1008">
        <v>46103</v>
      </c>
      <c r="AL331" s="1008">
        <v>46144</v>
      </c>
      <c r="AM331" s="1008">
        <v>46151</v>
      </c>
      <c r="AN331" s="1008">
        <v>46153</v>
      </c>
      <c r="AO331" s="1007" t="s">
        <v>402</v>
      </c>
      <c r="AP331" s="1007" t="s">
        <v>1644</v>
      </c>
      <c r="AQ331" s="1007" t="s">
        <v>80</v>
      </c>
      <c r="AR331" s="1007" t="s">
        <v>1649</v>
      </c>
      <c r="AS331" s="1007" t="s">
        <v>1650</v>
      </c>
      <c r="AT331" s="1007" t="s">
        <v>1650</v>
      </c>
      <c r="AU331" s="1007">
        <v>50</v>
      </c>
      <c r="AW331" s="1008">
        <v>46153</v>
      </c>
      <c r="AX331" s="1007" t="s">
        <v>973</v>
      </c>
      <c r="AY331" s="1008">
        <v>46159</v>
      </c>
      <c r="AZ331" s="1007">
        <v>7</v>
      </c>
      <c r="BA331" s="1008">
        <v>46160</v>
      </c>
      <c r="BB331" s="1007">
        <v>2026</v>
      </c>
      <c r="BC331" s="1007">
        <v>5</v>
      </c>
      <c r="BD331" s="1007">
        <v>21</v>
      </c>
      <c r="BE331" s="1007">
        <v>33</v>
      </c>
      <c r="BF331" s="1007">
        <v>594</v>
      </c>
      <c r="BG331" s="1007" t="s">
        <v>108</v>
      </c>
      <c r="BH331" s="1007" t="s">
        <v>109</v>
      </c>
    </row>
    <row r="332" spans="1:60">
      <c r="A332" s="1007" t="s">
        <v>1656</v>
      </c>
      <c r="B332" s="1007" t="s">
        <v>111</v>
      </c>
      <c r="C332" s="1007" t="s">
        <v>1046</v>
      </c>
      <c r="D332" s="1007" t="s">
        <v>63</v>
      </c>
      <c r="E332" s="1007" t="s">
        <v>64</v>
      </c>
      <c r="F332" s="1007" t="s">
        <v>100</v>
      </c>
      <c r="G332" s="1007" t="s">
        <v>402</v>
      </c>
      <c r="H332" s="1007" t="s">
        <v>67</v>
      </c>
      <c r="I332" s="1007" t="s">
        <v>822</v>
      </c>
      <c r="J332" s="1007" t="s">
        <v>1047</v>
      </c>
      <c r="M332" s="1007" t="s">
        <v>68</v>
      </c>
      <c r="N332" s="1007">
        <v>46069</v>
      </c>
      <c r="O332" s="1007" t="s">
        <v>70</v>
      </c>
      <c r="P332" s="1007" t="s">
        <v>1002</v>
      </c>
      <c r="Q332" s="1007" t="s">
        <v>330</v>
      </c>
      <c r="R332" s="1007" t="s">
        <v>73</v>
      </c>
      <c r="S332" s="1007" t="s">
        <v>992</v>
      </c>
      <c r="T332" s="1007">
        <v>625</v>
      </c>
      <c r="U332" s="1007">
        <v>7920</v>
      </c>
      <c r="V332" s="1007">
        <v>4.95</v>
      </c>
      <c r="W332" s="1007">
        <v>220</v>
      </c>
      <c r="X332" s="1007">
        <v>11</v>
      </c>
      <c r="Y332" s="1007" t="s">
        <v>75</v>
      </c>
      <c r="Z332" s="1007" t="s">
        <v>75</v>
      </c>
      <c r="AA332" s="1007" t="s">
        <v>1500</v>
      </c>
      <c r="AB332" s="1008">
        <v>46096</v>
      </c>
      <c r="AC332" s="1007">
        <v>11</v>
      </c>
      <c r="AD332" s="1007" t="s">
        <v>1657</v>
      </c>
      <c r="AF332" s="1007" t="s">
        <v>122</v>
      </c>
      <c r="AG332" s="1007" t="s">
        <v>123</v>
      </c>
      <c r="AH332" s="1007" t="s">
        <v>105</v>
      </c>
      <c r="AI332" s="1008">
        <v>46103</v>
      </c>
      <c r="AJ332" s="1008">
        <v>46103</v>
      </c>
      <c r="AK332" s="1008">
        <v>46103</v>
      </c>
      <c r="AL332" s="1008">
        <v>46140</v>
      </c>
      <c r="AM332" s="1008">
        <v>46150</v>
      </c>
      <c r="AN332" s="1008">
        <v>46148</v>
      </c>
      <c r="AO332" s="1007" t="s">
        <v>402</v>
      </c>
      <c r="AP332" s="1007" t="s">
        <v>925</v>
      </c>
      <c r="AQ332" s="1007" t="s">
        <v>80</v>
      </c>
      <c r="AR332" s="1007" t="s">
        <v>1658</v>
      </c>
      <c r="AS332" s="1007" t="s">
        <v>1659</v>
      </c>
      <c r="AT332" s="1007" t="s">
        <v>1659</v>
      </c>
      <c r="AU332" s="1007">
        <v>45</v>
      </c>
      <c r="AW332" s="1008">
        <v>46148</v>
      </c>
      <c r="AX332" s="1007" t="s">
        <v>973</v>
      </c>
      <c r="AY332" s="1008">
        <v>46163</v>
      </c>
      <c r="AZ332" s="1007">
        <v>7</v>
      </c>
      <c r="BA332" s="1008">
        <v>46155</v>
      </c>
      <c r="BB332" s="1007">
        <v>2026</v>
      </c>
      <c r="BC332" s="1007">
        <v>5</v>
      </c>
      <c r="BD332" s="1007">
        <v>20</v>
      </c>
      <c r="BE332" s="1007">
        <v>36</v>
      </c>
      <c r="BF332" s="1007">
        <v>720</v>
      </c>
      <c r="BG332" s="1007" t="s">
        <v>128</v>
      </c>
      <c r="BH332" s="1007" t="s">
        <v>109</v>
      </c>
    </row>
    <row r="333" spans="1:60">
      <c r="A333" s="1007" t="s">
        <v>1660</v>
      </c>
      <c r="B333" s="1007" t="s">
        <v>111</v>
      </c>
      <c r="C333" s="1007" t="s">
        <v>1482</v>
      </c>
      <c r="D333" s="1007" t="s">
        <v>63</v>
      </c>
      <c r="E333" s="1007" t="s">
        <v>64</v>
      </c>
      <c r="F333" s="1007" t="s">
        <v>100</v>
      </c>
      <c r="G333" s="1007" t="s">
        <v>402</v>
      </c>
      <c r="H333" s="1007" t="s">
        <v>67</v>
      </c>
      <c r="I333" s="1007" t="s">
        <v>689</v>
      </c>
      <c r="J333" s="1007" t="s">
        <v>101</v>
      </c>
      <c r="M333" s="1007" t="s">
        <v>68</v>
      </c>
      <c r="N333" s="1007">
        <v>46093</v>
      </c>
      <c r="O333" s="1007" t="s">
        <v>70</v>
      </c>
      <c r="P333" s="1007" t="s">
        <v>1483</v>
      </c>
      <c r="Q333" s="1007" t="s">
        <v>1484</v>
      </c>
      <c r="R333" s="1007" t="s">
        <v>73</v>
      </c>
      <c r="S333" s="1007" t="s">
        <v>992</v>
      </c>
      <c r="T333" s="1007">
        <v>725</v>
      </c>
      <c r="U333" s="1007">
        <v>8910</v>
      </c>
      <c r="V333" s="1007">
        <v>6.4597499999999997</v>
      </c>
      <c r="W333" s="1007">
        <v>270</v>
      </c>
      <c r="X333" s="1007">
        <v>15</v>
      </c>
      <c r="Y333" s="1007" t="s">
        <v>75</v>
      </c>
      <c r="Z333" s="1007" t="s">
        <v>75</v>
      </c>
      <c r="AB333" s="1008">
        <v>46096</v>
      </c>
      <c r="AC333" s="1007">
        <v>11</v>
      </c>
      <c r="AD333" s="1007" t="s">
        <v>1661</v>
      </c>
      <c r="AF333" s="1007" t="s">
        <v>1643</v>
      </c>
      <c r="AG333" s="1007" t="s">
        <v>123</v>
      </c>
      <c r="AH333" s="1007" t="s">
        <v>105</v>
      </c>
      <c r="AI333" s="1008">
        <v>46102</v>
      </c>
      <c r="AJ333" s="1008">
        <v>46112</v>
      </c>
      <c r="AK333" s="1008">
        <v>46112</v>
      </c>
      <c r="AL333" s="1008">
        <v>46144</v>
      </c>
      <c r="AM333" s="1008">
        <v>46154</v>
      </c>
      <c r="AN333" s="1008">
        <v>46157</v>
      </c>
      <c r="AO333" s="1007" t="s">
        <v>402</v>
      </c>
      <c r="AP333" s="1007" t="s">
        <v>1644</v>
      </c>
      <c r="AQ333" s="1007" t="s">
        <v>80</v>
      </c>
      <c r="AR333" s="1007" t="s">
        <v>1662</v>
      </c>
      <c r="AS333" s="1007" t="s">
        <v>1663</v>
      </c>
      <c r="AT333" s="1007" t="s">
        <v>1663</v>
      </c>
      <c r="AU333" s="1007">
        <v>45</v>
      </c>
      <c r="AW333" s="1008">
        <v>46157</v>
      </c>
      <c r="AX333" s="1007" t="s">
        <v>973</v>
      </c>
      <c r="AY333" s="1008">
        <v>46168</v>
      </c>
      <c r="AZ333" s="1007">
        <v>7</v>
      </c>
      <c r="BA333" s="1008">
        <v>46164</v>
      </c>
      <c r="BB333" s="1007">
        <v>2026</v>
      </c>
      <c r="BC333" s="1007">
        <v>5</v>
      </c>
      <c r="BD333" s="1007">
        <v>21</v>
      </c>
      <c r="BE333" s="1007">
        <v>33</v>
      </c>
      <c r="BF333" s="1007">
        <v>594</v>
      </c>
      <c r="BG333" s="1007" t="s">
        <v>128</v>
      </c>
      <c r="BH333" s="1007" t="s">
        <v>109</v>
      </c>
    </row>
    <row r="334" spans="1:60">
      <c r="A334" s="1007" t="s">
        <v>1664</v>
      </c>
      <c r="B334" s="1007" t="s">
        <v>111</v>
      </c>
      <c r="C334" s="1007" t="s">
        <v>1482</v>
      </c>
      <c r="D334" s="1007" t="s">
        <v>63</v>
      </c>
      <c r="E334" s="1007" t="s">
        <v>64</v>
      </c>
      <c r="F334" s="1007" t="s">
        <v>100</v>
      </c>
      <c r="G334" s="1007" t="s">
        <v>402</v>
      </c>
      <c r="H334" s="1007" t="s">
        <v>67</v>
      </c>
      <c r="I334" s="1007" t="s">
        <v>689</v>
      </c>
      <c r="J334" s="1007" t="s">
        <v>101</v>
      </c>
      <c r="M334" s="1007" t="s">
        <v>68</v>
      </c>
      <c r="N334" s="1007">
        <v>46093</v>
      </c>
      <c r="O334" s="1007" t="s">
        <v>70</v>
      </c>
      <c r="P334" s="1007" t="s">
        <v>1483</v>
      </c>
      <c r="Q334" s="1007" t="s">
        <v>1484</v>
      </c>
      <c r="R334" s="1007" t="s">
        <v>73</v>
      </c>
      <c r="S334" s="1007" t="s">
        <v>992</v>
      </c>
      <c r="T334" s="1007">
        <v>725</v>
      </c>
      <c r="U334" s="1007">
        <v>594</v>
      </c>
      <c r="V334" s="1007">
        <v>0.43064999999999998</v>
      </c>
      <c r="W334" s="1007">
        <v>18</v>
      </c>
      <c r="X334" s="1007">
        <v>1</v>
      </c>
      <c r="Y334" s="1007" t="s">
        <v>75</v>
      </c>
      <c r="Z334" s="1007" t="s">
        <v>75</v>
      </c>
      <c r="AB334" s="1008">
        <v>46097</v>
      </c>
      <c r="AC334" s="1007">
        <v>12</v>
      </c>
      <c r="AD334" s="1007" t="s">
        <v>1665</v>
      </c>
      <c r="AF334" s="1007" t="s">
        <v>122</v>
      </c>
      <c r="AG334" s="1007" t="s">
        <v>123</v>
      </c>
      <c r="AH334" s="1007" t="s">
        <v>105</v>
      </c>
      <c r="AI334" s="1008">
        <v>46100</v>
      </c>
      <c r="AJ334" s="1008">
        <v>46101</v>
      </c>
      <c r="AK334" s="1008">
        <v>46101</v>
      </c>
      <c r="AL334" s="1008">
        <v>46140</v>
      </c>
      <c r="AM334" s="1008">
        <v>46151</v>
      </c>
      <c r="AN334" s="1008">
        <v>46151</v>
      </c>
      <c r="AO334" s="1007" t="s">
        <v>402</v>
      </c>
      <c r="AP334" s="1007" t="s">
        <v>1666</v>
      </c>
      <c r="AQ334" s="1007" t="s">
        <v>161</v>
      </c>
      <c r="AR334" s="1007" t="s">
        <v>1667</v>
      </c>
      <c r="AS334" s="1007" t="s">
        <v>1668</v>
      </c>
      <c r="AT334" s="1007" t="s">
        <v>1669</v>
      </c>
      <c r="AU334" s="1007">
        <v>50</v>
      </c>
      <c r="AW334" s="1008">
        <v>46151</v>
      </c>
      <c r="AX334" s="1007" t="s">
        <v>973</v>
      </c>
      <c r="AY334" s="1008">
        <v>46153</v>
      </c>
      <c r="AZ334" s="1007">
        <v>7</v>
      </c>
      <c r="BA334" s="1008">
        <v>46158</v>
      </c>
      <c r="BB334" s="1007">
        <v>2026</v>
      </c>
      <c r="BC334" s="1007">
        <v>5</v>
      </c>
      <c r="BD334" s="1007">
        <v>20</v>
      </c>
      <c r="BE334" s="1007">
        <v>33</v>
      </c>
      <c r="BF334" s="1007">
        <v>594</v>
      </c>
      <c r="BG334" s="1007" t="s">
        <v>128</v>
      </c>
      <c r="BH334" s="1007" t="s">
        <v>109</v>
      </c>
    </row>
    <row r="335" spans="1:60">
      <c r="A335" s="1007" t="s">
        <v>1670</v>
      </c>
      <c r="B335" s="1007" t="s">
        <v>111</v>
      </c>
      <c r="C335" s="1007" t="s">
        <v>991</v>
      </c>
      <c r="D335" s="1007" t="s">
        <v>63</v>
      </c>
      <c r="E335" s="1007" t="s">
        <v>64</v>
      </c>
      <c r="F335" s="1007" t="s">
        <v>100</v>
      </c>
      <c r="G335" s="1007" t="s">
        <v>402</v>
      </c>
      <c r="H335" s="1007" t="s">
        <v>67</v>
      </c>
      <c r="I335" s="1007" t="s">
        <v>689</v>
      </c>
      <c r="J335" s="1007" t="s">
        <v>101</v>
      </c>
      <c r="M335" s="1007" t="s">
        <v>68</v>
      </c>
      <c r="N335" s="1007">
        <v>46048</v>
      </c>
      <c r="O335" s="1007" t="s">
        <v>132</v>
      </c>
      <c r="P335" s="1007" t="s">
        <v>133</v>
      </c>
      <c r="Q335" s="1007" t="s">
        <v>134</v>
      </c>
      <c r="R335" s="1007" t="s">
        <v>73</v>
      </c>
      <c r="S335" s="1007" t="s">
        <v>992</v>
      </c>
      <c r="T335" s="1007">
        <v>720</v>
      </c>
      <c r="U335" s="1007">
        <v>2970</v>
      </c>
      <c r="V335" s="1007">
        <v>2.1383999999999999</v>
      </c>
      <c r="W335" s="1007">
        <v>90</v>
      </c>
      <c r="X335" s="1007">
        <v>5</v>
      </c>
      <c r="Y335" s="1007" t="s">
        <v>75</v>
      </c>
      <c r="Z335" s="1007" t="s">
        <v>75</v>
      </c>
      <c r="AB335" s="1008">
        <v>46097</v>
      </c>
      <c r="AC335" s="1007">
        <v>12</v>
      </c>
      <c r="AD335" s="1007" t="s">
        <v>1671</v>
      </c>
      <c r="AF335" s="1007" t="s">
        <v>122</v>
      </c>
      <c r="AG335" s="1007" t="s">
        <v>123</v>
      </c>
      <c r="AH335" s="1007" t="s">
        <v>105</v>
      </c>
      <c r="AI335" s="1008">
        <v>46100</v>
      </c>
      <c r="AJ335" s="1008">
        <v>46101</v>
      </c>
      <c r="AK335" s="1008">
        <v>46101</v>
      </c>
      <c r="AL335" s="1008">
        <v>46140</v>
      </c>
      <c r="AM335" s="1008">
        <v>46151</v>
      </c>
      <c r="AN335" s="1008">
        <v>46151</v>
      </c>
      <c r="AO335" s="1007" t="s">
        <v>402</v>
      </c>
      <c r="AP335" s="1007" t="s">
        <v>1666</v>
      </c>
      <c r="AQ335" s="1007" t="s">
        <v>161</v>
      </c>
      <c r="AR335" s="1007" t="s">
        <v>1667</v>
      </c>
      <c r="AS335" s="1007" t="s">
        <v>1668</v>
      </c>
      <c r="AT335" s="1007" t="s">
        <v>1669</v>
      </c>
      <c r="AU335" s="1007">
        <v>50</v>
      </c>
      <c r="AW335" s="1008">
        <v>46151</v>
      </c>
      <c r="AX335" s="1007" t="s">
        <v>973</v>
      </c>
      <c r="AY335" s="1008">
        <v>46153</v>
      </c>
      <c r="AZ335" s="1007">
        <v>7</v>
      </c>
      <c r="BA335" s="1008">
        <v>46158</v>
      </c>
      <c r="BB335" s="1007">
        <v>2026</v>
      </c>
      <c r="BC335" s="1007">
        <v>5</v>
      </c>
      <c r="BD335" s="1007">
        <v>20</v>
      </c>
      <c r="BE335" s="1007">
        <v>33</v>
      </c>
      <c r="BF335" s="1007">
        <v>594</v>
      </c>
      <c r="BG335" s="1007" t="s">
        <v>108</v>
      </c>
      <c r="BH335" s="1007" t="s">
        <v>109</v>
      </c>
    </row>
    <row r="336" spans="1:60">
      <c r="A336" s="1007" t="s">
        <v>1672</v>
      </c>
      <c r="B336" s="1007" t="s">
        <v>111</v>
      </c>
      <c r="C336" s="1007" t="s">
        <v>1318</v>
      </c>
      <c r="D336" s="1007" t="s">
        <v>63</v>
      </c>
      <c r="E336" s="1007" t="s">
        <v>64</v>
      </c>
      <c r="F336" s="1007" t="s">
        <v>100</v>
      </c>
      <c r="G336" s="1007" t="s">
        <v>402</v>
      </c>
      <c r="H336" s="1007" t="s">
        <v>67</v>
      </c>
      <c r="I336" s="1007" t="s">
        <v>689</v>
      </c>
      <c r="J336" s="1007" t="s">
        <v>483</v>
      </c>
      <c r="M336" s="1007" t="s">
        <v>68</v>
      </c>
      <c r="N336" s="1007">
        <v>46083</v>
      </c>
      <c r="O336" s="1007" t="s">
        <v>473</v>
      </c>
      <c r="P336" s="1007" t="s">
        <v>474</v>
      </c>
      <c r="Q336" s="1007" t="s">
        <v>1319</v>
      </c>
      <c r="R336" s="1007" t="s">
        <v>73</v>
      </c>
      <c r="S336" s="1007" t="s">
        <v>967</v>
      </c>
      <c r="T336" s="1007">
        <v>460</v>
      </c>
      <c r="U336" s="1007">
        <v>6048</v>
      </c>
      <c r="V336" s="1007">
        <v>2.7820800000000001</v>
      </c>
      <c r="W336" s="1007">
        <v>168</v>
      </c>
      <c r="X336" s="1007">
        <v>7</v>
      </c>
      <c r="Y336" s="1007" t="s">
        <v>75</v>
      </c>
      <c r="Z336" s="1007" t="s">
        <v>75</v>
      </c>
      <c r="AA336" s="1007" t="s">
        <v>1548</v>
      </c>
      <c r="AB336" s="1008">
        <v>46097</v>
      </c>
      <c r="AC336" s="1007">
        <v>12</v>
      </c>
      <c r="AD336" s="1007" t="s">
        <v>1673</v>
      </c>
      <c r="AF336" s="1007" t="s">
        <v>122</v>
      </c>
      <c r="AG336" s="1007" t="s">
        <v>123</v>
      </c>
      <c r="AH336" s="1007" t="s">
        <v>105</v>
      </c>
      <c r="AI336" s="1008">
        <v>46100</v>
      </c>
      <c r="AJ336" s="1008">
        <v>46101</v>
      </c>
      <c r="AK336" s="1008">
        <v>46101</v>
      </c>
      <c r="AL336" s="1008">
        <v>46147</v>
      </c>
      <c r="AM336" s="1008">
        <v>46151</v>
      </c>
      <c r="AN336" s="1008">
        <v>46152</v>
      </c>
      <c r="AO336" s="1007" t="s">
        <v>402</v>
      </c>
      <c r="AP336" s="1007" t="s">
        <v>1674</v>
      </c>
      <c r="AQ336" s="1007" t="s">
        <v>161</v>
      </c>
      <c r="AR336" s="1007" t="s">
        <v>1675</v>
      </c>
      <c r="AS336" s="1007" t="s">
        <v>1676</v>
      </c>
      <c r="AT336" s="1007" t="s">
        <v>1677</v>
      </c>
      <c r="AU336" s="1007">
        <v>51</v>
      </c>
      <c r="AW336" s="1008">
        <v>46152</v>
      </c>
      <c r="AX336" s="1007" t="s">
        <v>973</v>
      </c>
      <c r="AY336" s="1008">
        <v>46153</v>
      </c>
      <c r="AZ336" s="1007">
        <v>7</v>
      </c>
      <c r="BA336" s="1008">
        <v>46159</v>
      </c>
      <c r="BB336" s="1007">
        <v>2026</v>
      </c>
      <c r="BC336" s="1007">
        <v>5</v>
      </c>
      <c r="BD336" s="1007">
        <v>20</v>
      </c>
      <c r="BE336" s="1007">
        <v>36</v>
      </c>
      <c r="BF336" s="1007">
        <v>864</v>
      </c>
      <c r="BG336" s="1007" t="s">
        <v>85</v>
      </c>
      <c r="BH336" s="1007" t="s">
        <v>109</v>
      </c>
    </row>
    <row r="337" spans="1:60">
      <c r="A337" s="1007" t="s">
        <v>1678</v>
      </c>
      <c r="B337" s="1007" t="s">
        <v>111</v>
      </c>
      <c r="C337" s="1007" t="s">
        <v>1679</v>
      </c>
      <c r="D337" s="1007" t="s">
        <v>63</v>
      </c>
      <c r="E337" s="1007" t="s">
        <v>64</v>
      </c>
      <c r="F337" s="1007" t="s">
        <v>100</v>
      </c>
      <c r="G337" s="1007" t="s">
        <v>402</v>
      </c>
      <c r="H337" s="1007" t="s">
        <v>67</v>
      </c>
      <c r="I337" s="1007" t="s">
        <v>689</v>
      </c>
      <c r="J337" s="1007" t="s">
        <v>1680</v>
      </c>
      <c r="M337" s="1007" t="s">
        <v>68</v>
      </c>
      <c r="N337" s="1007">
        <v>46093</v>
      </c>
      <c r="O337" s="1007" t="s">
        <v>70</v>
      </c>
      <c r="P337" s="1007" t="s">
        <v>1681</v>
      </c>
      <c r="Q337" s="1007" t="s">
        <v>1682</v>
      </c>
      <c r="R337" s="1007" t="s">
        <v>73</v>
      </c>
      <c r="S337" s="1007" t="s">
        <v>992</v>
      </c>
      <c r="T337" s="1007">
        <v>730</v>
      </c>
      <c r="U337" s="1007">
        <v>1782</v>
      </c>
      <c r="V337" s="1007">
        <v>1.3008599999999999</v>
      </c>
      <c r="W337" s="1007">
        <v>54</v>
      </c>
      <c r="X337" s="1007">
        <v>3</v>
      </c>
      <c r="Y337" s="1007" t="s">
        <v>75</v>
      </c>
      <c r="Z337" s="1007" t="s">
        <v>75</v>
      </c>
      <c r="AB337" s="1008">
        <v>46096</v>
      </c>
      <c r="AC337" s="1007">
        <v>11</v>
      </c>
      <c r="AD337" s="1007" t="s">
        <v>1683</v>
      </c>
      <c r="AF337" s="1007" t="s">
        <v>122</v>
      </c>
      <c r="AG337" s="1007" t="s">
        <v>123</v>
      </c>
      <c r="AH337" s="1007" t="s">
        <v>105</v>
      </c>
      <c r="AI337" s="1008">
        <v>46103</v>
      </c>
      <c r="AJ337" s="1008">
        <v>46104</v>
      </c>
      <c r="AK337" s="1008">
        <v>46104</v>
      </c>
      <c r="AL337" s="1008">
        <v>46140</v>
      </c>
      <c r="AM337" s="1008">
        <v>46151</v>
      </c>
      <c r="AN337" s="1008">
        <v>46148</v>
      </c>
      <c r="AO337" s="1007" t="s">
        <v>402</v>
      </c>
      <c r="AP337" s="1007" t="s">
        <v>1684</v>
      </c>
      <c r="AQ337" s="1007" t="s">
        <v>161</v>
      </c>
      <c r="AR337" s="1007" t="s">
        <v>1685</v>
      </c>
      <c r="AS337" s="1007" t="s">
        <v>1686</v>
      </c>
      <c r="AT337" s="1007" t="s">
        <v>1687</v>
      </c>
      <c r="AU337" s="1007">
        <v>44</v>
      </c>
      <c r="AW337" s="1008">
        <v>46148</v>
      </c>
      <c r="AX337" s="1007" t="s">
        <v>973</v>
      </c>
      <c r="AY337" s="1008">
        <v>46155</v>
      </c>
      <c r="AZ337" s="1007">
        <v>7</v>
      </c>
      <c r="BA337" s="1008">
        <v>46155</v>
      </c>
      <c r="BB337" s="1007">
        <v>2026</v>
      </c>
      <c r="BC337" s="1007">
        <v>5</v>
      </c>
      <c r="BD337" s="1007">
        <v>20</v>
      </c>
      <c r="BE337" s="1007">
        <v>33</v>
      </c>
      <c r="BF337" s="1007">
        <v>594</v>
      </c>
      <c r="BG337" s="1007" t="s">
        <v>94</v>
      </c>
      <c r="BH337" s="1007" t="s">
        <v>109</v>
      </c>
    </row>
    <row r="338" spans="1:60">
      <c r="A338" s="1007" t="s">
        <v>1688</v>
      </c>
      <c r="B338" s="1007" t="s">
        <v>111</v>
      </c>
      <c r="C338" s="1007" t="s">
        <v>1459</v>
      </c>
      <c r="D338" s="1007" t="s">
        <v>63</v>
      </c>
      <c r="E338" s="1007" t="s">
        <v>64</v>
      </c>
      <c r="F338" s="1007" t="s">
        <v>100</v>
      </c>
      <c r="G338" s="1007" t="s">
        <v>402</v>
      </c>
      <c r="H338" s="1007" t="s">
        <v>67</v>
      </c>
      <c r="I338" s="1007" t="s">
        <v>689</v>
      </c>
      <c r="J338" s="1007" t="s">
        <v>101</v>
      </c>
      <c r="M338" s="1007" t="s">
        <v>68</v>
      </c>
      <c r="N338" s="1007">
        <v>46097</v>
      </c>
      <c r="O338" s="1007" t="s">
        <v>70</v>
      </c>
      <c r="P338" s="1007" t="s">
        <v>1461</v>
      </c>
      <c r="Q338" s="1007" t="s">
        <v>103</v>
      </c>
      <c r="R338" s="1007" t="s">
        <v>73</v>
      </c>
      <c r="S338" s="1007" t="s">
        <v>992</v>
      </c>
      <c r="T338" s="1007">
        <v>620</v>
      </c>
      <c r="U338" s="1007">
        <v>2160</v>
      </c>
      <c r="V338" s="1007">
        <v>1.3391999999999999</v>
      </c>
      <c r="W338" s="1007">
        <v>60</v>
      </c>
      <c r="X338" s="1007">
        <v>3</v>
      </c>
      <c r="Y338" s="1007" t="s">
        <v>75</v>
      </c>
      <c r="Z338" s="1007" t="s">
        <v>75</v>
      </c>
      <c r="AB338" s="1008">
        <v>46096</v>
      </c>
      <c r="AC338" s="1007">
        <v>11</v>
      </c>
      <c r="AD338" s="1007" t="s">
        <v>1689</v>
      </c>
      <c r="AF338" s="1007" t="s">
        <v>122</v>
      </c>
      <c r="AG338" s="1007" t="s">
        <v>123</v>
      </c>
      <c r="AH338" s="1007" t="s">
        <v>105</v>
      </c>
      <c r="AI338" s="1008">
        <v>46103</v>
      </c>
      <c r="AJ338" s="1008">
        <v>46104</v>
      </c>
      <c r="AK338" s="1008">
        <v>46104</v>
      </c>
      <c r="AL338" s="1008">
        <v>46140</v>
      </c>
      <c r="AM338" s="1008">
        <v>46151</v>
      </c>
      <c r="AN338" s="1008">
        <v>46148</v>
      </c>
      <c r="AO338" s="1007" t="s">
        <v>402</v>
      </c>
      <c r="AP338" s="1007" t="s">
        <v>1684</v>
      </c>
      <c r="AQ338" s="1007" t="s">
        <v>161</v>
      </c>
      <c r="AR338" s="1007" t="s">
        <v>1685</v>
      </c>
      <c r="AS338" s="1007" t="s">
        <v>1686</v>
      </c>
      <c r="AT338" s="1007" t="s">
        <v>1687</v>
      </c>
      <c r="AU338" s="1007">
        <v>44</v>
      </c>
      <c r="AW338" s="1008">
        <v>46148</v>
      </c>
      <c r="AX338" s="1007" t="s">
        <v>973</v>
      </c>
      <c r="AY338" s="1008">
        <v>46155</v>
      </c>
      <c r="AZ338" s="1007">
        <v>7</v>
      </c>
      <c r="BA338" s="1008">
        <v>46155</v>
      </c>
      <c r="BB338" s="1007">
        <v>2026</v>
      </c>
      <c r="BC338" s="1007">
        <v>5</v>
      </c>
      <c r="BD338" s="1007">
        <v>20</v>
      </c>
      <c r="BE338" s="1007">
        <v>36</v>
      </c>
      <c r="BF338" s="1007">
        <v>720</v>
      </c>
      <c r="BG338" s="1007" t="s">
        <v>128</v>
      </c>
      <c r="BH338" s="1007" t="s">
        <v>109</v>
      </c>
    </row>
    <row r="339" spans="1:60">
      <c r="A339" s="1007" t="s">
        <v>1690</v>
      </c>
      <c r="B339" s="1007" t="s">
        <v>111</v>
      </c>
      <c r="C339" s="1007" t="s">
        <v>1459</v>
      </c>
      <c r="D339" s="1007" t="s">
        <v>63</v>
      </c>
      <c r="E339" s="1007" t="s">
        <v>64</v>
      </c>
      <c r="F339" s="1007" t="s">
        <v>100</v>
      </c>
      <c r="G339" s="1007" t="s">
        <v>402</v>
      </c>
      <c r="H339" s="1007" t="s">
        <v>67</v>
      </c>
      <c r="I339" s="1007" t="s">
        <v>689</v>
      </c>
      <c r="J339" s="1007" t="s">
        <v>101</v>
      </c>
      <c r="M339" s="1007" t="s">
        <v>68</v>
      </c>
      <c r="N339" s="1007">
        <v>46097</v>
      </c>
      <c r="O339" s="1007" t="s">
        <v>70</v>
      </c>
      <c r="P339" s="1007" t="s">
        <v>1461</v>
      </c>
      <c r="Q339" s="1007" t="s">
        <v>103</v>
      </c>
      <c r="R339" s="1007" t="s">
        <v>73</v>
      </c>
      <c r="S339" s="1007" t="s">
        <v>992</v>
      </c>
      <c r="T339" s="1007">
        <v>620</v>
      </c>
      <c r="U339" s="1007">
        <v>10800</v>
      </c>
      <c r="V339" s="1007">
        <v>6.6959999999999997</v>
      </c>
      <c r="W339" s="1007">
        <v>300</v>
      </c>
      <c r="X339" s="1007">
        <v>15</v>
      </c>
      <c r="Y339" s="1007" t="s">
        <v>75</v>
      </c>
      <c r="Z339" s="1007" t="s">
        <v>75</v>
      </c>
      <c r="AB339" s="1008">
        <v>46097</v>
      </c>
      <c r="AC339" s="1007">
        <v>12</v>
      </c>
      <c r="AD339" s="1007" t="s">
        <v>1691</v>
      </c>
      <c r="AF339" s="1007" t="s">
        <v>1643</v>
      </c>
      <c r="AG339" s="1007" t="s">
        <v>123</v>
      </c>
      <c r="AH339" s="1007" t="s">
        <v>105</v>
      </c>
      <c r="AI339" s="1008">
        <v>46102</v>
      </c>
      <c r="AJ339" s="1008">
        <v>46112</v>
      </c>
      <c r="AK339" s="1008">
        <v>46112</v>
      </c>
      <c r="AL339" s="1008">
        <v>46140</v>
      </c>
      <c r="AM339" s="1008">
        <v>46154</v>
      </c>
      <c r="AN339" s="1008">
        <v>46157</v>
      </c>
      <c r="AO339" s="1007" t="s">
        <v>402</v>
      </c>
      <c r="AP339" s="1007" t="s">
        <v>1644</v>
      </c>
      <c r="AQ339" s="1007" t="s">
        <v>80</v>
      </c>
      <c r="AR339" s="1007" t="s">
        <v>1692</v>
      </c>
      <c r="AS339" s="1007" t="s">
        <v>1693</v>
      </c>
      <c r="AT339" s="1007" t="s">
        <v>1693</v>
      </c>
      <c r="AU339" s="1007">
        <v>45</v>
      </c>
      <c r="AW339" s="1008">
        <v>46157</v>
      </c>
      <c r="AX339" s="1007" t="s">
        <v>973</v>
      </c>
      <c r="AY339" s="1008">
        <v>46170</v>
      </c>
      <c r="AZ339" s="1007">
        <v>7</v>
      </c>
      <c r="BA339" s="1008">
        <v>46164</v>
      </c>
      <c r="BB339" s="1007">
        <v>2026</v>
      </c>
      <c r="BC339" s="1007">
        <v>5</v>
      </c>
      <c r="BD339" s="1007">
        <v>21</v>
      </c>
      <c r="BE339" s="1007">
        <v>36</v>
      </c>
      <c r="BF339" s="1007">
        <v>720</v>
      </c>
      <c r="BG339" s="1007" t="s">
        <v>128</v>
      </c>
      <c r="BH339" s="1007" t="s">
        <v>109</v>
      </c>
    </row>
    <row r="340" spans="1:60">
      <c r="A340" s="1007" t="s">
        <v>1679</v>
      </c>
      <c r="B340" s="1007" t="s">
        <v>111</v>
      </c>
      <c r="C340" s="1007" t="s">
        <v>203</v>
      </c>
      <c r="D340" s="1007" t="s">
        <v>63</v>
      </c>
      <c r="E340" s="1007" t="s">
        <v>64</v>
      </c>
      <c r="F340" s="1007" t="s">
        <v>100</v>
      </c>
      <c r="G340" s="1007" t="s">
        <v>402</v>
      </c>
      <c r="H340" s="1007" t="s">
        <v>67</v>
      </c>
      <c r="I340" s="1007" t="s">
        <v>689</v>
      </c>
      <c r="J340" s="1007" t="s">
        <v>1680</v>
      </c>
      <c r="M340" s="1007" t="s">
        <v>68</v>
      </c>
      <c r="N340" s="1007">
        <v>46093</v>
      </c>
      <c r="O340" s="1007" t="s">
        <v>70</v>
      </c>
      <c r="P340" s="1007" t="s">
        <v>1681</v>
      </c>
      <c r="Q340" s="1007" t="s">
        <v>1682</v>
      </c>
      <c r="R340" s="1007" t="s">
        <v>73</v>
      </c>
      <c r="S340" s="1007" t="s">
        <v>992</v>
      </c>
      <c r="T340" s="1007">
        <v>730</v>
      </c>
      <c r="U340" s="1007">
        <v>6534</v>
      </c>
      <c r="V340" s="1007">
        <v>4.7698200000000002</v>
      </c>
      <c r="W340" s="1007">
        <v>198</v>
      </c>
      <c r="X340" s="1007">
        <v>11</v>
      </c>
      <c r="Y340" s="1007" t="s">
        <v>75</v>
      </c>
      <c r="Z340" s="1007" t="s">
        <v>75</v>
      </c>
      <c r="AB340" s="1008">
        <v>46097</v>
      </c>
      <c r="AC340" s="1007">
        <v>12</v>
      </c>
      <c r="AD340" s="1007" t="s">
        <v>1694</v>
      </c>
      <c r="AF340" s="1007" t="s">
        <v>1643</v>
      </c>
      <c r="AG340" s="1007" t="s">
        <v>123</v>
      </c>
      <c r="AH340" s="1007" t="s">
        <v>105</v>
      </c>
      <c r="AI340" s="1008">
        <v>46102</v>
      </c>
      <c r="AJ340" s="1008">
        <v>46112</v>
      </c>
      <c r="AK340" s="1008">
        <v>46112</v>
      </c>
      <c r="AL340" s="1008">
        <v>46140</v>
      </c>
      <c r="AM340" s="1008">
        <v>46154</v>
      </c>
      <c r="AN340" s="1008">
        <v>46157</v>
      </c>
      <c r="AO340" s="1007" t="s">
        <v>402</v>
      </c>
      <c r="AP340" s="1007" t="s">
        <v>1644</v>
      </c>
      <c r="AQ340" s="1007" t="s">
        <v>80</v>
      </c>
      <c r="AR340" s="1007" t="s">
        <v>1695</v>
      </c>
      <c r="AS340" s="1007" t="s">
        <v>1696</v>
      </c>
      <c r="AT340" s="1007" t="s">
        <v>1696</v>
      </c>
      <c r="AU340" s="1007">
        <v>45</v>
      </c>
      <c r="AW340" s="1008">
        <v>46157</v>
      </c>
      <c r="AX340" s="1007" t="s">
        <v>973</v>
      </c>
      <c r="AY340" s="1008">
        <v>46170</v>
      </c>
      <c r="AZ340" s="1007">
        <v>7</v>
      </c>
      <c r="BA340" s="1008">
        <v>46164</v>
      </c>
      <c r="BB340" s="1007">
        <v>2026</v>
      </c>
      <c r="BC340" s="1007">
        <v>5</v>
      </c>
      <c r="BD340" s="1007">
        <v>21</v>
      </c>
      <c r="BE340" s="1007">
        <v>33</v>
      </c>
      <c r="BF340" s="1007">
        <v>594</v>
      </c>
      <c r="BG340" s="1007" t="s">
        <v>94</v>
      </c>
      <c r="BH340" s="1007" t="s">
        <v>109</v>
      </c>
    </row>
    <row r="341" spans="1:60">
      <c r="A341" s="1007" t="s">
        <v>1697</v>
      </c>
      <c r="B341" s="1007" t="s">
        <v>111</v>
      </c>
      <c r="C341" s="1007" t="s">
        <v>1459</v>
      </c>
      <c r="D341" s="1007" t="s">
        <v>63</v>
      </c>
      <c r="E341" s="1007" t="s">
        <v>64</v>
      </c>
      <c r="F341" s="1007" t="s">
        <v>100</v>
      </c>
      <c r="G341" s="1007" t="s">
        <v>402</v>
      </c>
      <c r="H341" s="1007" t="s">
        <v>67</v>
      </c>
      <c r="I341" s="1007" t="s">
        <v>689</v>
      </c>
      <c r="J341" s="1007" t="s">
        <v>917</v>
      </c>
      <c r="M341" s="1007" t="s">
        <v>68</v>
      </c>
      <c r="N341" s="1007">
        <v>46097</v>
      </c>
      <c r="O341" s="1007" t="s">
        <v>70</v>
      </c>
      <c r="P341" s="1007" t="s">
        <v>1461</v>
      </c>
      <c r="Q341" s="1007" t="s">
        <v>103</v>
      </c>
      <c r="R341" s="1007" t="s">
        <v>73</v>
      </c>
      <c r="S341" s="1007" t="s">
        <v>992</v>
      </c>
      <c r="T341" s="1007">
        <v>620</v>
      </c>
      <c r="U341" s="1007">
        <v>1440</v>
      </c>
      <c r="V341" s="1007">
        <v>0.89280000000000004</v>
      </c>
      <c r="W341" s="1007">
        <v>40</v>
      </c>
      <c r="X341" s="1007">
        <v>2</v>
      </c>
      <c r="Y341" s="1007" t="s">
        <v>75</v>
      </c>
      <c r="Z341" s="1007" t="s">
        <v>75</v>
      </c>
      <c r="AB341" s="1008">
        <v>46098</v>
      </c>
      <c r="AC341" s="1007">
        <v>12</v>
      </c>
      <c r="AD341" s="1007" t="s">
        <v>1698</v>
      </c>
      <c r="AF341" s="1007" t="s">
        <v>1643</v>
      </c>
      <c r="AG341" s="1007" t="s">
        <v>123</v>
      </c>
      <c r="AH341" s="1007" t="s">
        <v>105</v>
      </c>
      <c r="AI341" s="1008">
        <v>46103</v>
      </c>
      <c r="AJ341" s="1008">
        <v>46112</v>
      </c>
      <c r="AK341" s="1008">
        <v>46112</v>
      </c>
      <c r="AL341" s="1008">
        <v>46140</v>
      </c>
      <c r="AM341" s="1008">
        <v>46154</v>
      </c>
      <c r="AN341" s="1008">
        <v>46157</v>
      </c>
      <c r="AO341" s="1007" t="s">
        <v>402</v>
      </c>
      <c r="AP341" s="1007" t="s">
        <v>925</v>
      </c>
      <c r="AQ341" s="1007" t="s">
        <v>80</v>
      </c>
      <c r="AR341" s="1007" t="s">
        <v>1699</v>
      </c>
      <c r="AS341" s="1007" t="s">
        <v>1700</v>
      </c>
      <c r="AT341" s="1007" t="s">
        <v>1700</v>
      </c>
      <c r="AU341" s="1007">
        <v>45</v>
      </c>
      <c r="AW341" s="1008">
        <v>46157</v>
      </c>
      <c r="AX341" s="1007" t="s">
        <v>973</v>
      </c>
      <c r="AY341" s="1008">
        <v>46170</v>
      </c>
      <c r="AZ341" s="1007">
        <v>7</v>
      </c>
      <c r="BA341" s="1008">
        <v>46164</v>
      </c>
      <c r="BB341" s="1007">
        <v>2026</v>
      </c>
      <c r="BC341" s="1007">
        <v>5</v>
      </c>
      <c r="BD341" s="1007">
        <v>21</v>
      </c>
      <c r="BE341" s="1007">
        <v>36</v>
      </c>
      <c r="BF341" s="1007">
        <v>720</v>
      </c>
      <c r="BG341" s="1007" t="s">
        <v>128</v>
      </c>
      <c r="BH341" s="1007" t="s">
        <v>109</v>
      </c>
    </row>
    <row r="342" spans="1:60">
      <c r="A342" s="1007" t="s">
        <v>1701</v>
      </c>
      <c r="B342" s="1007" t="s">
        <v>111</v>
      </c>
      <c r="C342" s="1007" t="s">
        <v>1061</v>
      </c>
      <c r="D342" s="1007" t="s">
        <v>63</v>
      </c>
      <c r="E342" s="1007" t="s">
        <v>64</v>
      </c>
      <c r="F342" s="1007" t="s">
        <v>100</v>
      </c>
      <c r="G342" s="1007" t="s">
        <v>402</v>
      </c>
      <c r="H342" s="1007" t="s">
        <v>67</v>
      </c>
      <c r="I342" s="1007" t="s">
        <v>689</v>
      </c>
      <c r="J342" s="1007" t="s">
        <v>1702</v>
      </c>
      <c r="M342" s="1007" t="s">
        <v>68</v>
      </c>
      <c r="N342" s="1007">
        <v>46076</v>
      </c>
      <c r="O342" s="1007" t="s">
        <v>132</v>
      </c>
      <c r="P342" s="1007" t="s">
        <v>1062</v>
      </c>
      <c r="Q342" s="1007" t="s">
        <v>1063</v>
      </c>
      <c r="R342" s="1007" t="s">
        <v>73</v>
      </c>
      <c r="S342" s="1007" t="s">
        <v>967</v>
      </c>
      <c r="T342" s="1007">
        <v>470</v>
      </c>
      <c r="U342" s="1007">
        <v>1728</v>
      </c>
      <c r="V342" s="1007">
        <v>0.81215999999999999</v>
      </c>
      <c r="W342" s="1007">
        <v>48</v>
      </c>
      <c r="X342" s="1007">
        <v>2</v>
      </c>
      <c r="Y342" s="1007" t="s">
        <v>75</v>
      </c>
      <c r="Z342" s="1007" t="s">
        <v>75</v>
      </c>
      <c r="AB342" s="1008">
        <v>46098</v>
      </c>
      <c r="AC342" s="1007">
        <v>12</v>
      </c>
      <c r="AD342" s="1007" t="s">
        <v>1703</v>
      </c>
      <c r="AF342" s="1007" t="s">
        <v>1643</v>
      </c>
      <c r="AG342" s="1007" t="s">
        <v>123</v>
      </c>
      <c r="AH342" s="1007" t="s">
        <v>105</v>
      </c>
      <c r="AI342" s="1008">
        <v>46103</v>
      </c>
      <c r="AJ342" s="1008">
        <v>46112</v>
      </c>
      <c r="AK342" s="1008">
        <v>46112</v>
      </c>
      <c r="AL342" s="1008">
        <v>46140</v>
      </c>
      <c r="AM342" s="1008">
        <v>46154</v>
      </c>
      <c r="AN342" s="1008">
        <v>46157</v>
      </c>
      <c r="AO342" s="1007" t="s">
        <v>402</v>
      </c>
      <c r="AP342" s="1007" t="s">
        <v>925</v>
      </c>
      <c r="AQ342" s="1007" t="s">
        <v>80</v>
      </c>
      <c r="AR342" s="1007" t="s">
        <v>1699</v>
      </c>
      <c r="AS342" s="1007" t="s">
        <v>1700</v>
      </c>
      <c r="AT342" s="1007" t="s">
        <v>1700</v>
      </c>
      <c r="AU342" s="1007">
        <v>45</v>
      </c>
      <c r="AW342" s="1008">
        <v>46157</v>
      </c>
      <c r="AX342" s="1007" t="s">
        <v>973</v>
      </c>
      <c r="AY342" s="1008">
        <v>46170</v>
      </c>
      <c r="AZ342" s="1007">
        <v>7</v>
      </c>
      <c r="BA342" s="1008">
        <v>46164</v>
      </c>
      <c r="BB342" s="1007">
        <v>2026</v>
      </c>
      <c r="BC342" s="1007">
        <v>5</v>
      </c>
      <c r="BD342" s="1007">
        <v>21</v>
      </c>
      <c r="BE342" s="1007">
        <v>36</v>
      </c>
      <c r="BF342" s="1007">
        <v>864</v>
      </c>
      <c r="BG342" s="1007" t="s">
        <v>108</v>
      </c>
      <c r="BH342" s="1007" t="s">
        <v>109</v>
      </c>
    </row>
    <row r="343" spans="1:60">
      <c r="A343" s="1007" t="s">
        <v>1704</v>
      </c>
      <c r="B343" s="1007" t="s">
        <v>111</v>
      </c>
      <c r="C343" s="1007" t="s">
        <v>1318</v>
      </c>
      <c r="D343" s="1007" t="s">
        <v>63</v>
      </c>
      <c r="E343" s="1007" t="s">
        <v>64</v>
      </c>
      <c r="F343" s="1007" t="s">
        <v>100</v>
      </c>
      <c r="G343" s="1007" t="s">
        <v>402</v>
      </c>
      <c r="H343" s="1007" t="s">
        <v>67</v>
      </c>
      <c r="I343" s="1007" t="s">
        <v>689</v>
      </c>
      <c r="J343" s="1007" t="s">
        <v>483</v>
      </c>
      <c r="M343" s="1007" t="s">
        <v>68</v>
      </c>
      <c r="N343" s="1007">
        <v>46083</v>
      </c>
      <c r="O343" s="1007" t="s">
        <v>473</v>
      </c>
      <c r="P343" s="1007" t="s">
        <v>474</v>
      </c>
      <c r="Q343" s="1007" t="s">
        <v>1319</v>
      </c>
      <c r="R343" s="1007" t="s">
        <v>73</v>
      </c>
      <c r="S343" s="1007" t="s">
        <v>967</v>
      </c>
      <c r="T343" s="1007">
        <v>460</v>
      </c>
      <c r="U343" s="1007">
        <v>3456</v>
      </c>
      <c r="V343" s="1007">
        <v>1.5897600000000001</v>
      </c>
      <c r="W343" s="1007">
        <v>96</v>
      </c>
      <c r="X343" s="1007">
        <v>4</v>
      </c>
      <c r="Y343" s="1007" t="s">
        <v>75</v>
      </c>
      <c r="Z343" s="1007" t="s">
        <v>75</v>
      </c>
      <c r="AB343" s="1008">
        <v>46098</v>
      </c>
      <c r="AC343" s="1007">
        <v>12</v>
      </c>
      <c r="AD343" s="1007" t="s">
        <v>1705</v>
      </c>
      <c r="AF343" s="1007" t="s">
        <v>1643</v>
      </c>
      <c r="AG343" s="1007" t="s">
        <v>123</v>
      </c>
      <c r="AH343" s="1007" t="s">
        <v>105</v>
      </c>
      <c r="AI343" s="1008">
        <v>46103</v>
      </c>
      <c r="AJ343" s="1008">
        <v>46112</v>
      </c>
      <c r="AK343" s="1008">
        <v>46112</v>
      </c>
      <c r="AL343" s="1008">
        <v>46140</v>
      </c>
      <c r="AM343" s="1008">
        <v>46154</v>
      </c>
      <c r="AN343" s="1008">
        <v>46157</v>
      </c>
      <c r="AO343" s="1007" t="s">
        <v>402</v>
      </c>
      <c r="AP343" s="1007" t="s">
        <v>925</v>
      </c>
      <c r="AQ343" s="1007" t="s">
        <v>80</v>
      </c>
      <c r="AR343" s="1007" t="s">
        <v>1699</v>
      </c>
      <c r="AS343" s="1007" t="s">
        <v>1700</v>
      </c>
      <c r="AT343" s="1007" t="s">
        <v>1700</v>
      </c>
      <c r="AU343" s="1007">
        <v>45</v>
      </c>
      <c r="AW343" s="1008">
        <v>46157</v>
      </c>
      <c r="AX343" s="1007" t="s">
        <v>973</v>
      </c>
      <c r="AY343" s="1008">
        <v>46170</v>
      </c>
      <c r="AZ343" s="1007">
        <v>7</v>
      </c>
      <c r="BA343" s="1008">
        <v>46164</v>
      </c>
      <c r="BB343" s="1007">
        <v>2026</v>
      </c>
      <c r="BC343" s="1007">
        <v>5</v>
      </c>
      <c r="BD343" s="1007">
        <v>21</v>
      </c>
      <c r="BE343" s="1007">
        <v>36</v>
      </c>
      <c r="BF343" s="1007">
        <v>864</v>
      </c>
      <c r="BG343" s="1007" t="s">
        <v>85</v>
      </c>
      <c r="BH343" s="1007" t="s">
        <v>109</v>
      </c>
    </row>
    <row r="344" spans="1:60">
      <c r="A344" s="1007" t="s">
        <v>1706</v>
      </c>
      <c r="B344" s="1007" t="s">
        <v>111</v>
      </c>
      <c r="C344" s="1007" t="s">
        <v>1046</v>
      </c>
      <c r="D344" s="1007" t="s">
        <v>63</v>
      </c>
      <c r="E344" s="1007" t="s">
        <v>64</v>
      </c>
      <c r="F344" s="1007" t="s">
        <v>100</v>
      </c>
      <c r="G344" s="1007" t="s">
        <v>402</v>
      </c>
      <c r="H344" s="1007" t="s">
        <v>67</v>
      </c>
      <c r="I344" s="1007" t="s">
        <v>689</v>
      </c>
      <c r="J344" s="1007" t="s">
        <v>1707</v>
      </c>
      <c r="M344" s="1007" t="s">
        <v>68</v>
      </c>
      <c r="N344" s="1007">
        <v>46097</v>
      </c>
      <c r="O344" s="1007" t="s">
        <v>70</v>
      </c>
      <c r="P344" s="1007" t="s">
        <v>1002</v>
      </c>
      <c r="Q344" s="1007" t="s">
        <v>330</v>
      </c>
      <c r="R344" s="1007" t="s">
        <v>73</v>
      </c>
      <c r="S344" s="1007" t="s">
        <v>992</v>
      </c>
      <c r="T344" s="1007">
        <v>625</v>
      </c>
      <c r="U344" s="1007">
        <v>5040</v>
      </c>
      <c r="V344" s="1007">
        <v>3.15</v>
      </c>
      <c r="W344" s="1007">
        <v>140</v>
      </c>
      <c r="X344" s="1007">
        <v>7</v>
      </c>
      <c r="Y344" s="1007" t="s">
        <v>75</v>
      </c>
      <c r="Z344" s="1007" t="s">
        <v>75</v>
      </c>
      <c r="AA344" s="1007" t="s">
        <v>1504</v>
      </c>
      <c r="AB344" s="1008">
        <v>46098</v>
      </c>
      <c r="AC344" s="1007">
        <v>12</v>
      </c>
      <c r="AD344" s="1007" t="s">
        <v>1708</v>
      </c>
      <c r="AF344" s="1007" t="s">
        <v>1643</v>
      </c>
      <c r="AG344" s="1007" t="s">
        <v>123</v>
      </c>
      <c r="AH344" s="1007" t="s">
        <v>105</v>
      </c>
      <c r="AI344" s="1008">
        <v>46103</v>
      </c>
      <c r="AJ344" s="1008">
        <v>46112</v>
      </c>
      <c r="AK344" s="1008">
        <v>46112</v>
      </c>
      <c r="AL344" s="1008">
        <v>46140</v>
      </c>
      <c r="AM344" s="1008">
        <v>46154</v>
      </c>
      <c r="AN344" s="1008">
        <v>46157</v>
      </c>
      <c r="AO344" s="1007" t="s">
        <v>402</v>
      </c>
      <c r="AP344" s="1007" t="s">
        <v>925</v>
      </c>
      <c r="AQ344" s="1007" t="s">
        <v>80</v>
      </c>
      <c r="AR344" s="1007" t="s">
        <v>1699</v>
      </c>
      <c r="AS344" s="1007" t="s">
        <v>1700</v>
      </c>
      <c r="AT344" s="1007" t="s">
        <v>1700</v>
      </c>
      <c r="AU344" s="1007">
        <v>45</v>
      </c>
      <c r="AW344" s="1008">
        <v>46157</v>
      </c>
      <c r="AX344" s="1007" t="s">
        <v>973</v>
      </c>
      <c r="AY344" s="1008">
        <v>46168</v>
      </c>
      <c r="AZ344" s="1007">
        <v>7</v>
      </c>
      <c r="BA344" s="1008">
        <v>46164</v>
      </c>
      <c r="BB344" s="1007">
        <v>2026</v>
      </c>
      <c r="BC344" s="1007">
        <v>5</v>
      </c>
      <c r="BD344" s="1007">
        <v>21</v>
      </c>
      <c r="BE344" s="1007">
        <v>36</v>
      </c>
      <c r="BF344" s="1007">
        <v>720</v>
      </c>
      <c r="BG344" s="1007" t="s">
        <v>128</v>
      </c>
      <c r="BH344" s="1007" t="s">
        <v>109</v>
      </c>
    </row>
    <row r="345" spans="1:60">
      <c r="A345" s="1007" t="s">
        <v>1709</v>
      </c>
      <c r="B345" s="1007" t="s">
        <v>111</v>
      </c>
      <c r="C345" s="1007" t="s">
        <v>1310</v>
      </c>
      <c r="D345" s="1007" t="s">
        <v>63</v>
      </c>
      <c r="E345" s="1007" t="s">
        <v>64</v>
      </c>
      <c r="F345" s="1007" t="s">
        <v>100</v>
      </c>
      <c r="G345" s="1007" t="s">
        <v>402</v>
      </c>
      <c r="H345" s="1007" t="s">
        <v>67</v>
      </c>
      <c r="I345" s="1007" t="s">
        <v>689</v>
      </c>
      <c r="J345" s="1007" t="s">
        <v>483</v>
      </c>
      <c r="M345" s="1007" t="s">
        <v>68</v>
      </c>
      <c r="N345" s="1007">
        <v>46083</v>
      </c>
      <c r="O345" s="1007" t="s">
        <v>473</v>
      </c>
      <c r="P345" s="1007" t="s">
        <v>529</v>
      </c>
      <c r="Q345" s="1007" t="s">
        <v>1311</v>
      </c>
      <c r="R345" s="1007" t="s">
        <v>73</v>
      </c>
      <c r="S345" s="1007" t="s">
        <v>967</v>
      </c>
      <c r="T345" s="1007">
        <v>455</v>
      </c>
      <c r="U345" s="1007">
        <v>1728</v>
      </c>
      <c r="V345" s="1007">
        <v>0.78624000000000005</v>
      </c>
      <c r="W345" s="1007">
        <v>48</v>
      </c>
      <c r="X345" s="1007">
        <v>2</v>
      </c>
      <c r="Y345" s="1007" t="s">
        <v>75</v>
      </c>
      <c r="Z345" s="1007" t="s">
        <v>75</v>
      </c>
      <c r="AA345" s="1007" t="s">
        <v>1548</v>
      </c>
      <c r="AB345" s="1008">
        <v>46098</v>
      </c>
      <c r="AC345" s="1007">
        <v>12</v>
      </c>
      <c r="AD345" s="1007" t="s">
        <v>1710</v>
      </c>
      <c r="AF345" s="1007" t="s">
        <v>1643</v>
      </c>
      <c r="AG345" s="1007" t="s">
        <v>123</v>
      </c>
      <c r="AH345" s="1007" t="s">
        <v>105</v>
      </c>
      <c r="AI345" s="1008">
        <v>46103</v>
      </c>
      <c r="AJ345" s="1008">
        <v>46112</v>
      </c>
      <c r="AK345" s="1008">
        <v>46112</v>
      </c>
      <c r="AL345" s="1008">
        <v>46140</v>
      </c>
      <c r="AM345" s="1008">
        <v>46154</v>
      </c>
      <c r="AN345" s="1008">
        <v>46157</v>
      </c>
      <c r="AO345" s="1007" t="s">
        <v>402</v>
      </c>
      <c r="AP345" s="1007" t="s">
        <v>925</v>
      </c>
      <c r="AQ345" s="1007" t="s">
        <v>80</v>
      </c>
      <c r="AR345" s="1007" t="s">
        <v>1711</v>
      </c>
      <c r="AS345" s="1007" t="s">
        <v>1712</v>
      </c>
      <c r="AT345" s="1007" t="s">
        <v>1712</v>
      </c>
      <c r="AU345" s="1007">
        <v>45</v>
      </c>
      <c r="AW345" s="1008">
        <v>46157</v>
      </c>
      <c r="AX345" s="1007" t="s">
        <v>973</v>
      </c>
      <c r="AY345" s="1008">
        <v>46170</v>
      </c>
      <c r="AZ345" s="1007">
        <v>7</v>
      </c>
      <c r="BA345" s="1008">
        <v>46164</v>
      </c>
      <c r="BB345" s="1007">
        <v>2026</v>
      </c>
      <c r="BC345" s="1007">
        <v>5</v>
      </c>
      <c r="BD345" s="1007">
        <v>21</v>
      </c>
      <c r="BE345" s="1007">
        <v>36</v>
      </c>
      <c r="BF345" s="1007">
        <v>864</v>
      </c>
      <c r="BG345" s="1007" t="s">
        <v>85</v>
      </c>
      <c r="BH345" s="1007" t="s">
        <v>109</v>
      </c>
    </row>
    <row r="346" spans="1:60">
      <c r="A346" s="1007" t="s">
        <v>1713</v>
      </c>
      <c r="B346" s="1007" t="s">
        <v>111</v>
      </c>
      <c r="C346" s="1007" t="s">
        <v>1318</v>
      </c>
      <c r="D346" s="1007" t="s">
        <v>63</v>
      </c>
      <c r="E346" s="1007" t="s">
        <v>64</v>
      </c>
      <c r="F346" s="1007" t="s">
        <v>100</v>
      </c>
      <c r="G346" s="1007" t="s">
        <v>402</v>
      </c>
      <c r="H346" s="1007" t="s">
        <v>67</v>
      </c>
      <c r="I346" s="1007" t="s">
        <v>689</v>
      </c>
      <c r="J346" s="1007" t="s">
        <v>483</v>
      </c>
      <c r="M346" s="1007" t="s">
        <v>68</v>
      </c>
      <c r="N346" s="1007">
        <v>46083</v>
      </c>
      <c r="O346" s="1007" t="s">
        <v>473</v>
      </c>
      <c r="P346" s="1007" t="s">
        <v>474</v>
      </c>
      <c r="Q346" s="1007" t="s">
        <v>1319</v>
      </c>
      <c r="R346" s="1007" t="s">
        <v>73</v>
      </c>
      <c r="S346" s="1007" t="s">
        <v>967</v>
      </c>
      <c r="T346" s="1007">
        <v>460</v>
      </c>
      <c r="U346" s="1007">
        <v>2592</v>
      </c>
      <c r="V346" s="1007">
        <v>1.19232</v>
      </c>
      <c r="W346" s="1007">
        <v>72</v>
      </c>
      <c r="X346" s="1007">
        <v>3</v>
      </c>
      <c r="Y346" s="1007" t="s">
        <v>75</v>
      </c>
      <c r="Z346" s="1007" t="s">
        <v>75</v>
      </c>
      <c r="AB346" s="1008">
        <v>46098</v>
      </c>
      <c r="AC346" s="1007">
        <v>12</v>
      </c>
      <c r="AD346" s="1007" t="s">
        <v>1714</v>
      </c>
      <c r="AF346" s="1007" t="s">
        <v>1643</v>
      </c>
      <c r="AG346" s="1007" t="s">
        <v>123</v>
      </c>
      <c r="AH346" s="1007" t="s">
        <v>105</v>
      </c>
      <c r="AI346" s="1008">
        <v>46103</v>
      </c>
      <c r="AJ346" s="1008">
        <v>46112</v>
      </c>
      <c r="AK346" s="1008">
        <v>46112</v>
      </c>
      <c r="AL346" s="1008">
        <v>46140</v>
      </c>
      <c r="AM346" s="1008">
        <v>46154</v>
      </c>
      <c r="AN346" s="1008">
        <v>46157</v>
      </c>
      <c r="AO346" s="1007" t="s">
        <v>402</v>
      </c>
      <c r="AP346" s="1007" t="s">
        <v>925</v>
      </c>
      <c r="AQ346" s="1007" t="s">
        <v>80</v>
      </c>
      <c r="AR346" s="1007" t="s">
        <v>1711</v>
      </c>
      <c r="AS346" s="1007" t="s">
        <v>1712</v>
      </c>
      <c r="AT346" s="1007" t="s">
        <v>1712</v>
      </c>
      <c r="AU346" s="1007">
        <v>45</v>
      </c>
      <c r="AW346" s="1008">
        <v>46157</v>
      </c>
      <c r="AX346" s="1007" t="s">
        <v>973</v>
      </c>
      <c r="AY346" s="1008">
        <v>46170</v>
      </c>
      <c r="AZ346" s="1007">
        <v>7</v>
      </c>
      <c r="BA346" s="1008">
        <v>46164</v>
      </c>
      <c r="BB346" s="1007">
        <v>2026</v>
      </c>
      <c r="BC346" s="1007">
        <v>5</v>
      </c>
      <c r="BD346" s="1007">
        <v>21</v>
      </c>
      <c r="BE346" s="1007">
        <v>36</v>
      </c>
      <c r="BF346" s="1007">
        <v>864</v>
      </c>
      <c r="BG346" s="1007" t="s">
        <v>85</v>
      </c>
      <c r="BH346" s="1007" t="s">
        <v>109</v>
      </c>
    </row>
    <row r="347" spans="1:60">
      <c r="A347" s="1007" t="s">
        <v>1715</v>
      </c>
      <c r="B347" s="1007" t="s">
        <v>111</v>
      </c>
      <c r="C347" s="1007" t="s">
        <v>1310</v>
      </c>
      <c r="D347" s="1007" t="s">
        <v>63</v>
      </c>
      <c r="E347" s="1007" t="s">
        <v>64</v>
      </c>
      <c r="F347" s="1007" t="s">
        <v>100</v>
      </c>
      <c r="G347" s="1007" t="s">
        <v>402</v>
      </c>
      <c r="H347" s="1007" t="s">
        <v>67</v>
      </c>
      <c r="I347" s="1007" t="s">
        <v>689</v>
      </c>
      <c r="J347" s="1007" t="s">
        <v>483</v>
      </c>
      <c r="M347" s="1007" t="s">
        <v>68</v>
      </c>
      <c r="N347" s="1007">
        <v>46083</v>
      </c>
      <c r="O347" s="1007" t="s">
        <v>473</v>
      </c>
      <c r="P347" s="1007" t="s">
        <v>529</v>
      </c>
      <c r="Q347" s="1007" t="s">
        <v>1311</v>
      </c>
      <c r="R347" s="1007" t="s">
        <v>73</v>
      </c>
      <c r="S347" s="1007" t="s">
        <v>967</v>
      </c>
      <c r="T347" s="1007">
        <v>455</v>
      </c>
      <c r="U347" s="1007">
        <v>1728</v>
      </c>
      <c r="V347" s="1007">
        <v>0.78624000000000005</v>
      </c>
      <c r="W347" s="1007">
        <v>48</v>
      </c>
      <c r="X347" s="1007">
        <v>2</v>
      </c>
      <c r="Y347" s="1007" t="s">
        <v>75</v>
      </c>
      <c r="Z347" s="1007" t="s">
        <v>75</v>
      </c>
      <c r="AB347" s="1008">
        <v>46099</v>
      </c>
      <c r="AC347" s="1007">
        <v>12</v>
      </c>
      <c r="AD347" s="1007" t="s">
        <v>1716</v>
      </c>
      <c r="AF347" s="1007" t="s">
        <v>1643</v>
      </c>
      <c r="AG347" s="1007" t="s">
        <v>123</v>
      </c>
      <c r="AH347" s="1007" t="s">
        <v>105</v>
      </c>
      <c r="AI347" s="1008">
        <v>46103</v>
      </c>
      <c r="AJ347" s="1008">
        <v>46112</v>
      </c>
      <c r="AK347" s="1008">
        <v>46112</v>
      </c>
      <c r="AL347" s="1008">
        <v>46140</v>
      </c>
      <c r="AM347" s="1008">
        <v>46154</v>
      </c>
      <c r="AN347" s="1008">
        <v>46157</v>
      </c>
      <c r="AO347" s="1007" t="s">
        <v>402</v>
      </c>
      <c r="AP347" s="1007" t="s">
        <v>925</v>
      </c>
      <c r="AQ347" s="1007" t="s">
        <v>80</v>
      </c>
      <c r="AR347" s="1007" t="s">
        <v>1711</v>
      </c>
      <c r="AS347" s="1007" t="s">
        <v>1712</v>
      </c>
      <c r="AT347" s="1007" t="s">
        <v>1712</v>
      </c>
      <c r="AU347" s="1007">
        <v>45</v>
      </c>
      <c r="AW347" s="1008">
        <v>46157</v>
      </c>
      <c r="AX347" s="1007" t="s">
        <v>973</v>
      </c>
      <c r="AY347" s="1008">
        <v>46170</v>
      </c>
      <c r="AZ347" s="1007">
        <v>7</v>
      </c>
      <c r="BA347" s="1008">
        <v>46164</v>
      </c>
      <c r="BB347" s="1007">
        <v>2026</v>
      </c>
      <c r="BC347" s="1007">
        <v>5</v>
      </c>
      <c r="BD347" s="1007">
        <v>21</v>
      </c>
      <c r="BE347" s="1007">
        <v>36</v>
      </c>
      <c r="BF347" s="1007">
        <v>864</v>
      </c>
      <c r="BG347" s="1007" t="s">
        <v>85</v>
      </c>
      <c r="BH347" s="1007" t="s">
        <v>109</v>
      </c>
    </row>
    <row r="348" spans="1:60">
      <c r="A348" s="1007" t="s">
        <v>1717</v>
      </c>
      <c r="B348" s="1007" t="s">
        <v>111</v>
      </c>
      <c r="C348" s="1007" t="s">
        <v>1091</v>
      </c>
      <c r="D348" s="1007" t="s">
        <v>63</v>
      </c>
      <c r="E348" s="1007" t="s">
        <v>64</v>
      </c>
      <c r="F348" s="1007" t="s">
        <v>100</v>
      </c>
      <c r="G348" s="1007" t="s">
        <v>402</v>
      </c>
      <c r="H348" s="1007" t="s">
        <v>67</v>
      </c>
      <c r="I348" s="1007" t="s">
        <v>689</v>
      </c>
      <c r="J348" s="1007" t="s">
        <v>101</v>
      </c>
      <c r="M348" s="1007" t="s">
        <v>68</v>
      </c>
      <c r="N348" s="1007">
        <v>46069</v>
      </c>
      <c r="O348" s="1007" t="s">
        <v>132</v>
      </c>
      <c r="P348" s="1007" t="s">
        <v>189</v>
      </c>
      <c r="Q348" s="1007" t="s">
        <v>190</v>
      </c>
      <c r="R348" s="1007" t="s">
        <v>73</v>
      </c>
      <c r="S348" s="1007" t="s">
        <v>967</v>
      </c>
      <c r="T348" s="1007">
        <v>465</v>
      </c>
      <c r="U348" s="1007">
        <v>2592</v>
      </c>
      <c r="V348" s="1007">
        <v>1.2052799999999999</v>
      </c>
      <c r="W348" s="1007">
        <v>72</v>
      </c>
      <c r="X348" s="1007">
        <v>3</v>
      </c>
      <c r="Y348" s="1007" t="s">
        <v>75</v>
      </c>
      <c r="Z348" s="1007" t="s">
        <v>75</v>
      </c>
      <c r="AA348" s="1007" t="s">
        <v>1548</v>
      </c>
      <c r="AB348" s="1008">
        <v>46099</v>
      </c>
      <c r="AC348" s="1007">
        <v>12</v>
      </c>
      <c r="AD348" s="1007" t="s">
        <v>1718</v>
      </c>
      <c r="AF348" s="1007" t="s">
        <v>1643</v>
      </c>
      <c r="AG348" s="1007" t="s">
        <v>123</v>
      </c>
      <c r="AH348" s="1007" t="s">
        <v>105</v>
      </c>
      <c r="AI348" s="1008">
        <v>46103</v>
      </c>
      <c r="AJ348" s="1008">
        <v>46112</v>
      </c>
      <c r="AK348" s="1008">
        <v>46112</v>
      </c>
      <c r="AL348" s="1008">
        <v>46140</v>
      </c>
      <c r="AM348" s="1008">
        <v>46154</v>
      </c>
      <c r="AN348" s="1008">
        <v>46157</v>
      </c>
      <c r="AO348" s="1007" t="s">
        <v>402</v>
      </c>
      <c r="AP348" s="1007" t="s">
        <v>925</v>
      </c>
      <c r="AQ348" s="1007" t="s">
        <v>80</v>
      </c>
      <c r="AR348" s="1007" t="s">
        <v>1711</v>
      </c>
      <c r="AS348" s="1007" t="s">
        <v>1712</v>
      </c>
      <c r="AT348" s="1007" t="s">
        <v>1712</v>
      </c>
      <c r="AU348" s="1007">
        <v>45</v>
      </c>
      <c r="AW348" s="1008">
        <v>46157</v>
      </c>
      <c r="AX348" s="1007" t="s">
        <v>973</v>
      </c>
      <c r="AY348" s="1008">
        <v>46170</v>
      </c>
      <c r="AZ348" s="1007">
        <v>7</v>
      </c>
      <c r="BA348" s="1008">
        <v>46164</v>
      </c>
      <c r="BB348" s="1007">
        <v>2026</v>
      </c>
      <c r="BC348" s="1007">
        <v>5</v>
      </c>
      <c r="BD348" s="1007">
        <v>21</v>
      </c>
      <c r="BE348" s="1007">
        <v>36</v>
      </c>
      <c r="BF348" s="1007">
        <v>864</v>
      </c>
      <c r="BG348" s="1007" t="s">
        <v>108</v>
      </c>
      <c r="BH348" s="1007" t="s">
        <v>109</v>
      </c>
    </row>
    <row r="349" spans="1:60">
      <c r="A349" s="1007" t="s">
        <v>1719</v>
      </c>
      <c r="B349" s="1007" t="s">
        <v>111</v>
      </c>
      <c r="C349" s="1007" t="s">
        <v>1310</v>
      </c>
      <c r="D349" s="1007" t="s">
        <v>63</v>
      </c>
      <c r="E349" s="1007" t="s">
        <v>64</v>
      </c>
      <c r="F349" s="1007" t="s">
        <v>100</v>
      </c>
      <c r="G349" s="1007" t="s">
        <v>402</v>
      </c>
      <c r="H349" s="1007" t="s">
        <v>67</v>
      </c>
      <c r="I349" s="1007" t="s">
        <v>689</v>
      </c>
      <c r="J349" s="1007" t="s">
        <v>96</v>
      </c>
      <c r="M349" s="1007" t="s">
        <v>68</v>
      </c>
      <c r="N349" s="1007">
        <v>46083</v>
      </c>
      <c r="O349" s="1007" t="s">
        <v>473</v>
      </c>
      <c r="P349" s="1007" t="s">
        <v>529</v>
      </c>
      <c r="Q349" s="1007" t="s">
        <v>1311</v>
      </c>
      <c r="R349" s="1007" t="s">
        <v>73</v>
      </c>
      <c r="S349" s="1007" t="s">
        <v>967</v>
      </c>
      <c r="T349" s="1007">
        <v>455</v>
      </c>
      <c r="U349" s="1007">
        <v>4320</v>
      </c>
      <c r="V349" s="1007">
        <v>1.9656</v>
      </c>
      <c r="W349" s="1007">
        <v>120</v>
      </c>
      <c r="X349" s="1007">
        <v>5</v>
      </c>
      <c r="Y349" s="1007" t="s">
        <v>75</v>
      </c>
      <c r="Z349" s="1007" t="s">
        <v>75</v>
      </c>
      <c r="AB349" s="1008">
        <v>46099</v>
      </c>
      <c r="AC349" s="1007">
        <v>12</v>
      </c>
      <c r="AD349" s="1007" t="s">
        <v>1716</v>
      </c>
      <c r="AF349" s="1007" t="s">
        <v>1643</v>
      </c>
      <c r="AG349" s="1007" t="s">
        <v>123</v>
      </c>
      <c r="AH349" s="1007" t="s">
        <v>105</v>
      </c>
      <c r="AI349" s="1008">
        <v>46103</v>
      </c>
      <c r="AJ349" s="1008">
        <v>46110</v>
      </c>
      <c r="AK349" s="1008">
        <v>46110</v>
      </c>
      <c r="AL349" s="1008">
        <v>46140</v>
      </c>
      <c r="AM349" s="1008">
        <v>46169</v>
      </c>
      <c r="AN349" s="1008">
        <v>46170</v>
      </c>
      <c r="AO349" s="1007" t="s">
        <v>402</v>
      </c>
      <c r="AP349" s="1007" t="s">
        <v>1720</v>
      </c>
      <c r="AQ349" s="1007" t="s">
        <v>80</v>
      </c>
      <c r="AR349" s="1007" t="s">
        <v>1721</v>
      </c>
      <c r="AS349" s="1007" t="s">
        <v>1722</v>
      </c>
      <c r="AT349" s="1007" t="s">
        <v>1722</v>
      </c>
      <c r="AU349" s="1007">
        <v>60</v>
      </c>
      <c r="AW349" s="1008">
        <v>46170</v>
      </c>
      <c r="AX349" s="1007" t="s">
        <v>973</v>
      </c>
      <c r="AY349" s="1008">
        <v>46170</v>
      </c>
      <c r="AZ349" s="1007">
        <v>7</v>
      </c>
      <c r="BA349" s="1008">
        <v>46177</v>
      </c>
      <c r="BB349" s="1007">
        <v>2026</v>
      </c>
      <c r="BC349" s="1007">
        <v>6</v>
      </c>
      <c r="BD349" s="1007">
        <v>23</v>
      </c>
      <c r="BE349" s="1007">
        <v>36</v>
      </c>
      <c r="BF349" s="1007">
        <v>864</v>
      </c>
      <c r="BG349" s="1007" t="s">
        <v>85</v>
      </c>
      <c r="BH349" s="1007" t="s">
        <v>109</v>
      </c>
    </row>
    <row r="350" spans="1:60">
      <c r="A350" s="1007" t="s">
        <v>1723</v>
      </c>
      <c r="B350" s="1007" t="s">
        <v>111</v>
      </c>
      <c r="C350" s="1007" t="s">
        <v>1318</v>
      </c>
      <c r="D350" s="1007" t="s">
        <v>63</v>
      </c>
      <c r="E350" s="1007" t="s">
        <v>64</v>
      </c>
      <c r="F350" s="1007" t="s">
        <v>310</v>
      </c>
      <c r="G350" s="1007" t="s">
        <v>402</v>
      </c>
      <c r="H350" s="1007" t="s">
        <v>311</v>
      </c>
      <c r="I350" s="1007" t="s">
        <v>689</v>
      </c>
      <c r="J350" s="1007" t="s">
        <v>1342</v>
      </c>
      <c r="M350" s="1007" t="s">
        <v>68</v>
      </c>
      <c r="N350" s="1007">
        <v>46083</v>
      </c>
      <c r="O350" s="1007" t="s">
        <v>473</v>
      </c>
      <c r="P350" s="1007" t="s">
        <v>474</v>
      </c>
      <c r="Q350" s="1007" t="s">
        <v>1319</v>
      </c>
      <c r="R350" s="1007" t="s">
        <v>73</v>
      </c>
      <c r="S350" s="1007" t="s">
        <v>967</v>
      </c>
      <c r="T350" s="1007">
        <v>460</v>
      </c>
      <c r="U350" s="1007">
        <v>2592</v>
      </c>
      <c r="V350" s="1007">
        <v>1.19232</v>
      </c>
      <c r="W350" s="1007">
        <v>72</v>
      </c>
      <c r="X350" s="1007">
        <v>3</v>
      </c>
      <c r="Y350" s="1007" t="s">
        <v>75</v>
      </c>
      <c r="Z350" s="1007" t="s">
        <v>75</v>
      </c>
      <c r="AB350" s="1008">
        <v>46104</v>
      </c>
      <c r="AC350" s="1007">
        <v>13</v>
      </c>
      <c r="AD350" s="1007" t="s">
        <v>1724</v>
      </c>
      <c r="AF350" s="1007" t="s">
        <v>1643</v>
      </c>
      <c r="AG350" s="1007" t="s">
        <v>123</v>
      </c>
      <c r="AH350" s="1007" t="s">
        <v>314</v>
      </c>
      <c r="AI350" s="1008">
        <v>46111</v>
      </c>
      <c r="AJ350" s="1008">
        <v>46114</v>
      </c>
      <c r="AK350" s="1008">
        <v>46114</v>
      </c>
      <c r="AL350" s="1008">
        <v>46155</v>
      </c>
      <c r="AM350" s="1008">
        <v>46162</v>
      </c>
      <c r="AN350" s="1008">
        <v>46162</v>
      </c>
      <c r="AO350" s="1007" t="s">
        <v>402</v>
      </c>
      <c r="AP350" s="1007" t="s">
        <v>1725</v>
      </c>
      <c r="AQ350" s="1007" t="s">
        <v>80</v>
      </c>
      <c r="AR350" s="1007" t="s">
        <v>1726</v>
      </c>
      <c r="AS350" s="1007" t="s">
        <v>1727</v>
      </c>
      <c r="AT350" s="1007" t="s">
        <v>1727</v>
      </c>
      <c r="AU350" s="1007">
        <v>48</v>
      </c>
      <c r="AW350" s="1008">
        <v>46162</v>
      </c>
      <c r="AX350" s="1007" t="s">
        <v>973</v>
      </c>
      <c r="AY350" s="1008">
        <v>46175</v>
      </c>
      <c r="AZ350" s="1007">
        <v>13</v>
      </c>
      <c r="BA350" s="1008">
        <v>46175</v>
      </c>
      <c r="BB350" s="1007">
        <v>2026</v>
      </c>
      <c r="BC350" s="1007">
        <v>6</v>
      </c>
      <c r="BD350" s="1007">
        <v>23</v>
      </c>
      <c r="BE350" s="1007">
        <v>36</v>
      </c>
      <c r="BF350" s="1007">
        <v>864</v>
      </c>
      <c r="BG350" s="1007" t="s">
        <v>85</v>
      </c>
      <c r="BH350" s="1007" t="s">
        <v>86</v>
      </c>
    </row>
    <row r="351" spans="1:60">
      <c r="A351" s="1007" t="s">
        <v>1728</v>
      </c>
      <c r="B351" s="1007" t="s">
        <v>111</v>
      </c>
      <c r="C351" s="1007" t="s">
        <v>1729</v>
      </c>
      <c r="D351" s="1007" t="s">
        <v>63</v>
      </c>
      <c r="E351" s="1007" t="s">
        <v>64</v>
      </c>
      <c r="F351" s="1007" t="s">
        <v>310</v>
      </c>
      <c r="G351" s="1007" t="s">
        <v>402</v>
      </c>
      <c r="H351" s="1007" t="s">
        <v>311</v>
      </c>
      <c r="I351" s="1007" t="s">
        <v>689</v>
      </c>
      <c r="J351" s="1007" t="s">
        <v>1730</v>
      </c>
      <c r="M351" s="1007" t="s">
        <v>68</v>
      </c>
      <c r="N351" s="1007">
        <v>46111</v>
      </c>
      <c r="O351" s="1007" t="s">
        <v>170</v>
      </c>
      <c r="P351" s="1007" t="s">
        <v>171</v>
      </c>
      <c r="Q351" s="1007" t="s">
        <v>1731</v>
      </c>
      <c r="R351" s="1007" t="s">
        <v>73</v>
      </c>
      <c r="S351" s="1007" t="s">
        <v>992</v>
      </c>
      <c r="T351" s="1007">
        <v>555</v>
      </c>
      <c r="U351" s="1007">
        <v>1320</v>
      </c>
      <c r="V351" s="1007">
        <v>0.73260000000000003</v>
      </c>
      <c r="W351" s="1007">
        <v>40</v>
      </c>
      <c r="X351" s="1007">
        <v>2</v>
      </c>
      <c r="Y351" s="1007" t="s">
        <v>75</v>
      </c>
      <c r="Z351" s="1007" t="s">
        <v>75</v>
      </c>
      <c r="AB351" s="1008">
        <v>46107</v>
      </c>
      <c r="AC351" s="1007">
        <v>13</v>
      </c>
      <c r="AD351" s="1007" t="s">
        <v>1732</v>
      </c>
      <c r="AF351" s="1007" t="s">
        <v>1643</v>
      </c>
      <c r="AG351" s="1007" t="s">
        <v>123</v>
      </c>
      <c r="AH351" s="1007" t="s">
        <v>314</v>
      </c>
      <c r="AI351" s="1008">
        <v>46111</v>
      </c>
      <c r="AJ351" s="1008">
        <v>46114</v>
      </c>
      <c r="AK351" s="1008">
        <v>46114</v>
      </c>
      <c r="AL351" s="1008">
        <v>46155</v>
      </c>
      <c r="AM351" s="1008">
        <v>46162</v>
      </c>
      <c r="AN351" s="1008">
        <v>46162</v>
      </c>
      <c r="AP351" s="1007" t="s">
        <v>1725</v>
      </c>
      <c r="AQ351" s="1007" t="s">
        <v>80</v>
      </c>
      <c r="AR351" s="1007" t="s">
        <v>1726</v>
      </c>
      <c r="AS351" s="1007" t="s">
        <v>1727</v>
      </c>
      <c r="AT351" s="1007" t="s">
        <v>1727</v>
      </c>
      <c r="AU351" s="1007">
        <v>48</v>
      </c>
      <c r="AW351" s="1008">
        <v>46162</v>
      </c>
      <c r="AX351" s="1007" t="s">
        <v>973</v>
      </c>
      <c r="AY351" s="1008">
        <v>46175</v>
      </c>
      <c r="AZ351" s="1007">
        <v>13</v>
      </c>
      <c r="BA351" s="1008">
        <v>46175</v>
      </c>
      <c r="BB351" s="1007">
        <v>2026</v>
      </c>
      <c r="BC351" s="1007">
        <v>6</v>
      </c>
      <c r="BD351" s="1007">
        <v>23</v>
      </c>
      <c r="BE351" s="1007">
        <v>33</v>
      </c>
      <c r="BF351" s="1007">
        <v>660</v>
      </c>
      <c r="BG351" s="1007" t="s">
        <v>108</v>
      </c>
      <c r="BH351" s="1007" t="s">
        <v>86</v>
      </c>
    </row>
    <row r="352" spans="1:60">
      <c r="A352" s="1007" t="s">
        <v>1733</v>
      </c>
      <c r="B352" s="1007" t="s">
        <v>111</v>
      </c>
      <c r="C352" s="1007" t="s">
        <v>1734</v>
      </c>
      <c r="D352" s="1007" t="s">
        <v>113</v>
      </c>
      <c r="E352" s="1007" t="s">
        <v>64</v>
      </c>
      <c r="F352" s="1007" t="s">
        <v>65</v>
      </c>
      <c r="G352" s="1007" t="s">
        <v>402</v>
      </c>
      <c r="H352" s="1007" t="s">
        <v>67</v>
      </c>
      <c r="I352" s="1007" t="s">
        <v>822</v>
      </c>
      <c r="J352" s="1007" t="s">
        <v>1327</v>
      </c>
      <c r="M352" s="1007" t="s">
        <v>68</v>
      </c>
      <c r="N352" s="1007" t="s">
        <v>68</v>
      </c>
      <c r="O352" s="1007" t="s">
        <v>70</v>
      </c>
      <c r="P352" s="1007" t="s">
        <v>378</v>
      </c>
      <c r="Q352" s="1007" t="s">
        <v>379</v>
      </c>
      <c r="R352" s="1007" t="s">
        <v>73</v>
      </c>
      <c r="S352" s="1007" t="s">
        <v>992</v>
      </c>
      <c r="T352" s="1007">
        <v>620</v>
      </c>
      <c r="U352" s="1007">
        <v>1440</v>
      </c>
      <c r="V352" s="1007">
        <v>0.89280000000000004</v>
      </c>
      <c r="W352" s="1007">
        <v>40</v>
      </c>
      <c r="X352" s="1007">
        <v>2</v>
      </c>
      <c r="Y352" s="1007" t="s">
        <v>75</v>
      </c>
      <c r="Z352" s="1007" t="s">
        <v>75</v>
      </c>
      <c r="AA352" s="1007" t="s">
        <v>1735</v>
      </c>
      <c r="AB352" s="1008">
        <v>46101</v>
      </c>
      <c r="AC352" s="1007">
        <v>12</v>
      </c>
      <c r="AD352" s="1007" t="s">
        <v>1736</v>
      </c>
      <c r="AF352" s="1007" t="s">
        <v>122</v>
      </c>
      <c r="AG352" s="1007" t="s">
        <v>123</v>
      </c>
      <c r="AH352" s="1007" t="s">
        <v>78</v>
      </c>
      <c r="AI352" s="1008">
        <v>46105</v>
      </c>
      <c r="AJ352" s="1008">
        <v>46105</v>
      </c>
      <c r="AK352" s="1008">
        <v>46105</v>
      </c>
      <c r="AL352" s="1008">
        <v>46154</v>
      </c>
      <c r="AM352" s="1008">
        <v>46151</v>
      </c>
      <c r="AN352" s="1008">
        <v>46151</v>
      </c>
      <c r="AO352" s="1007" t="s">
        <v>402</v>
      </c>
      <c r="AP352" s="1007" t="s">
        <v>930</v>
      </c>
      <c r="AQ352" s="1007" t="s">
        <v>80</v>
      </c>
      <c r="AR352" s="1007" t="s">
        <v>931</v>
      </c>
      <c r="AS352" s="1007" t="s">
        <v>932</v>
      </c>
      <c r="AT352" s="1007" t="s">
        <v>932</v>
      </c>
      <c r="AU352" s="1007">
        <v>46</v>
      </c>
      <c r="AW352" s="1008">
        <v>46151</v>
      </c>
      <c r="AX352" s="1007" t="s">
        <v>973</v>
      </c>
      <c r="AY352" s="1008">
        <v>46160</v>
      </c>
      <c r="AZ352" s="1007">
        <v>8</v>
      </c>
      <c r="BA352" s="1008">
        <v>46159</v>
      </c>
      <c r="BB352" s="1007">
        <v>2026</v>
      </c>
      <c r="BC352" s="1007">
        <v>5</v>
      </c>
      <c r="BD352" s="1007">
        <v>20</v>
      </c>
      <c r="BE352" s="1007">
        <v>36</v>
      </c>
      <c r="BF352" s="1007">
        <v>720</v>
      </c>
      <c r="BG352" s="1007" t="s">
        <v>128</v>
      </c>
      <c r="BH352" s="1007" t="s">
        <v>86</v>
      </c>
    </row>
    <row r="353" spans="1:60">
      <c r="A353" s="1007" t="s">
        <v>1737</v>
      </c>
      <c r="B353" s="1007" t="s">
        <v>111</v>
      </c>
      <c r="C353" s="1007" t="s">
        <v>1734</v>
      </c>
      <c r="D353" s="1007" t="s">
        <v>113</v>
      </c>
      <c r="E353" s="1007" t="s">
        <v>64</v>
      </c>
      <c r="F353" s="1007" t="s">
        <v>65</v>
      </c>
      <c r="G353" s="1007" t="s">
        <v>402</v>
      </c>
      <c r="H353" s="1007" t="s">
        <v>67</v>
      </c>
      <c r="I353" s="1007" t="s">
        <v>822</v>
      </c>
      <c r="J353" s="1007" t="s">
        <v>1327</v>
      </c>
      <c r="M353" s="1007" t="s">
        <v>68</v>
      </c>
      <c r="N353" s="1007" t="s">
        <v>68</v>
      </c>
      <c r="O353" s="1007" t="s">
        <v>70</v>
      </c>
      <c r="P353" s="1007" t="s">
        <v>378</v>
      </c>
      <c r="Q353" s="1007" t="s">
        <v>379</v>
      </c>
      <c r="R353" s="1007" t="s">
        <v>73</v>
      </c>
      <c r="S353" s="1007" t="s">
        <v>992</v>
      </c>
      <c r="T353" s="1007">
        <v>620</v>
      </c>
      <c r="U353" s="1007">
        <v>612</v>
      </c>
      <c r="V353" s="1007">
        <v>0.37944</v>
      </c>
      <c r="W353" s="1007">
        <v>17</v>
      </c>
      <c r="X353" s="1007">
        <v>0.85</v>
      </c>
      <c r="Y353" s="1007" t="s">
        <v>75</v>
      </c>
      <c r="Z353" s="1007" t="s">
        <v>75</v>
      </c>
      <c r="AB353" s="1008">
        <v>46100</v>
      </c>
      <c r="AC353" s="1007">
        <v>12</v>
      </c>
      <c r="AD353" s="1007" t="s">
        <v>1738</v>
      </c>
      <c r="AF353" s="1007" t="s">
        <v>122</v>
      </c>
      <c r="AG353" s="1007" t="s">
        <v>123</v>
      </c>
      <c r="AH353" s="1007" t="s">
        <v>78</v>
      </c>
      <c r="AI353" s="1008">
        <v>46105</v>
      </c>
      <c r="AJ353" s="1008">
        <v>46105</v>
      </c>
      <c r="AK353" s="1008">
        <v>46105</v>
      </c>
      <c r="AL353" s="1008">
        <v>46154</v>
      </c>
      <c r="AM353" s="1008">
        <v>46151</v>
      </c>
      <c r="AN353" s="1008">
        <v>46151</v>
      </c>
      <c r="AO353" s="1007" t="s">
        <v>402</v>
      </c>
      <c r="AP353" s="1007" t="s">
        <v>1739</v>
      </c>
      <c r="AQ353" s="1007" t="s">
        <v>80</v>
      </c>
      <c r="AR353" s="1007" t="s">
        <v>931</v>
      </c>
      <c r="AS353" s="1007" t="s">
        <v>932</v>
      </c>
      <c r="AT353" s="1007" t="s">
        <v>932</v>
      </c>
      <c r="AU353" s="1007">
        <v>46</v>
      </c>
      <c r="AW353" s="1008">
        <v>46151</v>
      </c>
      <c r="AX353" s="1007" t="s">
        <v>973</v>
      </c>
      <c r="AY353" s="1008">
        <v>46160</v>
      </c>
      <c r="AZ353" s="1007">
        <v>8</v>
      </c>
      <c r="BA353" s="1008">
        <v>46159</v>
      </c>
      <c r="BB353" s="1007">
        <v>2026</v>
      </c>
      <c r="BC353" s="1007">
        <v>5</v>
      </c>
      <c r="BD353" s="1007">
        <v>20</v>
      </c>
      <c r="BE353" s="1007">
        <v>36</v>
      </c>
      <c r="BF353" s="1007">
        <v>720</v>
      </c>
      <c r="BG353" s="1007" t="s">
        <v>128</v>
      </c>
      <c r="BH353" s="1007" t="s">
        <v>86</v>
      </c>
    </row>
    <row r="354" spans="1:60">
      <c r="A354" s="1007" t="s">
        <v>1740</v>
      </c>
      <c r="B354" s="1007" t="s">
        <v>111</v>
      </c>
      <c r="C354" s="1007" t="s">
        <v>1326</v>
      </c>
      <c r="D354" s="1007" t="s">
        <v>113</v>
      </c>
      <c r="E354" s="1007" t="s">
        <v>64</v>
      </c>
      <c r="F354" s="1007" t="s">
        <v>65</v>
      </c>
      <c r="G354" s="1007" t="s">
        <v>402</v>
      </c>
      <c r="H354" s="1007" t="s">
        <v>67</v>
      </c>
      <c r="I354" s="1007" t="s">
        <v>822</v>
      </c>
      <c r="J354" s="1007" t="s">
        <v>1327</v>
      </c>
      <c r="M354" s="1007" t="s">
        <v>68</v>
      </c>
      <c r="N354" s="1007" t="s">
        <v>68</v>
      </c>
      <c r="O354" s="1007" t="s">
        <v>70</v>
      </c>
      <c r="P354" s="1007" t="s">
        <v>218</v>
      </c>
      <c r="Q354" s="1007" t="s">
        <v>219</v>
      </c>
      <c r="R354" s="1007" t="s">
        <v>73</v>
      </c>
      <c r="S354" s="1007" t="s">
        <v>992</v>
      </c>
      <c r="T354" s="1007">
        <v>625</v>
      </c>
      <c r="U354" s="1007">
        <v>1008</v>
      </c>
      <c r="V354" s="1007">
        <v>0.63</v>
      </c>
      <c r="W354" s="1007">
        <v>28</v>
      </c>
      <c r="X354" s="1007">
        <v>1.4</v>
      </c>
      <c r="Y354" s="1007" t="s">
        <v>75</v>
      </c>
      <c r="Z354" s="1007" t="s">
        <v>75</v>
      </c>
      <c r="AB354" s="1008">
        <v>46100</v>
      </c>
      <c r="AC354" s="1007">
        <v>12</v>
      </c>
      <c r="AD354" s="1007" t="s">
        <v>1741</v>
      </c>
      <c r="AF354" s="1007" t="s">
        <v>122</v>
      </c>
      <c r="AG354" s="1007" t="s">
        <v>123</v>
      </c>
      <c r="AH354" s="1007" t="s">
        <v>78</v>
      </c>
      <c r="AI354" s="1008">
        <v>46105</v>
      </c>
      <c r="AJ354" s="1008">
        <v>46105</v>
      </c>
      <c r="AK354" s="1008">
        <v>46105</v>
      </c>
      <c r="AL354" s="1008">
        <v>46154</v>
      </c>
      <c r="AM354" s="1008">
        <v>46151</v>
      </c>
      <c r="AN354" s="1008">
        <v>46151</v>
      </c>
      <c r="AO354" s="1007" t="s">
        <v>402</v>
      </c>
      <c r="AP354" s="1007" t="s">
        <v>930</v>
      </c>
      <c r="AQ354" s="1007" t="s">
        <v>80</v>
      </c>
      <c r="AR354" s="1007" t="s">
        <v>931</v>
      </c>
      <c r="AS354" s="1007" t="s">
        <v>932</v>
      </c>
      <c r="AT354" s="1007" t="s">
        <v>932</v>
      </c>
      <c r="AU354" s="1007">
        <v>46</v>
      </c>
      <c r="AW354" s="1008">
        <v>46151</v>
      </c>
      <c r="AX354" s="1007" t="s">
        <v>973</v>
      </c>
      <c r="AY354" s="1008">
        <v>46160</v>
      </c>
      <c r="AZ354" s="1007">
        <v>8</v>
      </c>
      <c r="BA354" s="1008">
        <v>46159</v>
      </c>
      <c r="BB354" s="1007">
        <v>2026</v>
      </c>
      <c r="BC354" s="1007">
        <v>5</v>
      </c>
      <c r="BD354" s="1007">
        <v>20</v>
      </c>
      <c r="BE354" s="1007">
        <v>36</v>
      </c>
      <c r="BF354" s="1007">
        <v>720</v>
      </c>
      <c r="BG354" s="1007" t="s">
        <v>128</v>
      </c>
      <c r="BH354" s="1007" t="s">
        <v>86</v>
      </c>
    </row>
    <row r="355" spans="1:60">
      <c r="A355" s="1007" t="s">
        <v>1742</v>
      </c>
      <c r="B355" s="1007" t="s">
        <v>111</v>
      </c>
      <c r="C355" s="1007" t="s">
        <v>1333</v>
      </c>
      <c r="D355" s="1007" t="s">
        <v>113</v>
      </c>
      <c r="E355" s="1007" t="s">
        <v>64</v>
      </c>
      <c r="F355" s="1007" t="s">
        <v>65</v>
      </c>
      <c r="G355" s="1007" t="s">
        <v>402</v>
      </c>
      <c r="H355" s="1007" t="s">
        <v>67</v>
      </c>
      <c r="I355" s="1007" t="s">
        <v>822</v>
      </c>
      <c r="J355" s="1007" t="s">
        <v>1327</v>
      </c>
      <c r="M355" s="1007" t="s">
        <v>68</v>
      </c>
      <c r="N355" s="1007" t="s">
        <v>68</v>
      </c>
      <c r="O355" s="1007" t="s">
        <v>70</v>
      </c>
      <c r="P355" s="1007" t="s">
        <v>1334</v>
      </c>
      <c r="Q355" s="1007" t="s">
        <v>1335</v>
      </c>
      <c r="R355" s="1007" t="s">
        <v>73</v>
      </c>
      <c r="S355" s="1007" t="s">
        <v>992</v>
      </c>
      <c r="T355" s="1007">
        <v>630</v>
      </c>
      <c r="U355" s="1007">
        <v>540</v>
      </c>
      <c r="V355" s="1007">
        <v>0.3402</v>
      </c>
      <c r="W355" s="1007">
        <v>15</v>
      </c>
      <c r="X355" s="1007">
        <v>0.75</v>
      </c>
      <c r="Y355" s="1007" t="s">
        <v>75</v>
      </c>
      <c r="Z355" s="1007" t="s">
        <v>75</v>
      </c>
      <c r="AB355" s="1008">
        <v>46100</v>
      </c>
      <c r="AC355" s="1007">
        <v>12</v>
      </c>
      <c r="AD355" s="1007" t="s">
        <v>1743</v>
      </c>
      <c r="AF355" s="1007" t="s">
        <v>122</v>
      </c>
      <c r="AG355" s="1007" t="s">
        <v>123</v>
      </c>
      <c r="AH355" s="1007" t="s">
        <v>78</v>
      </c>
      <c r="AI355" s="1008">
        <v>46105</v>
      </c>
      <c r="AJ355" s="1008">
        <v>46105</v>
      </c>
      <c r="AK355" s="1008">
        <v>46105</v>
      </c>
      <c r="AL355" s="1008">
        <v>46154</v>
      </c>
      <c r="AM355" s="1008">
        <v>46151</v>
      </c>
      <c r="AN355" s="1008">
        <v>46151</v>
      </c>
      <c r="AO355" s="1007" t="s">
        <v>402</v>
      </c>
      <c r="AP355" s="1007" t="s">
        <v>930</v>
      </c>
      <c r="AQ355" s="1007" t="s">
        <v>80</v>
      </c>
      <c r="AR355" s="1007" t="s">
        <v>931</v>
      </c>
      <c r="AS355" s="1007" t="s">
        <v>932</v>
      </c>
      <c r="AT355" s="1007" t="s">
        <v>932</v>
      </c>
      <c r="AU355" s="1007">
        <v>46</v>
      </c>
      <c r="AW355" s="1008">
        <v>46151</v>
      </c>
      <c r="AX355" s="1007" t="s">
        <v>973</v>
      </c>
      <c r="AY355" s="1008">
        <v>46160</v>
      </c>
      <c r="AZ355" s="1007">
        <v>8</v>
      </c>
      <c r="BA355" s="1008">
        <v>46159</v>
      </c>
      <c r="BB355" s="1007">
        <v>2026</v>
      </c>
      <c r="BC355" s="1007">
        <v>5</v>
      </c>
      <c r="BD355" s="1007">
        <v>20</v>
      </c>
      <c r="BE355" s="1007">
        <v>36</v>
      </c>
      <c r="BF355" s="1007">
        <v>720</v>
      </c>
      <c r="BG355" s="1007" t="s">
        <v>94</v>
      </c>
      <c r="BH355" s="1007" t="s">
        <v>86</v>
      </c>
    </row>
    <row r="356" spans="1:60">
      <c r="A356" s="1007" t="s">
        <v>1744</v>
      </c>
      <c r="B356" s="1007" t="s">
        <v>111</v>
      </c>
      <c r="C356" s="1007" t="s">
        <v>1734</v>
      </c>
      <c r="D356" s="1007" t="s">
        <v>113</v>
      </c>
      <c r="E356" s="1007" t="s">
        <v>64</v>
      </c>
      <c r="F356" s="1007" t="s">
        <v>65</v>
      </c>
      <c r="G356" s="1007" t="s">
        <v>402</v>
      </c>
      <c r="H356" s="1007" t="s">
        <v>67</v>
      </c>
      <c r="I356" s="1007" t="s">
        <v>822</v>
      </c>
      <c r="J356" s="1007" t="s">
        <v>1745</v>
      </c>
      <c r="M356" s="1007" t="s">
        <v>68</v>
      </c>
      <c r="N356" s="1007" t="s">
        <v>68</v>
      </c>
      <c r="O356" s="1007" t="s">
        <v>70</v>
      </c>
      <c r="P356" s="1007" t="s">
        <v>378</v>
      </c>
      <c r="Q356" s="1007" t="s">
        <v>379</v>
      </c>
      <c r="R356" s="1007" t="s">
        <v>73</v>
      </c>
      <c r="S356" s="1007" t="s">
        <v>992</v>
      </c>
      <c r="T356" s="1007">
        <v>620</v>
      </c>
      <c r="U356" s="1007">
        <v>288</v>
      </c>
      <c r="V356" s="1007">
        <v>0.17856</v>
      </c>
      <c r="W356" s="1007">
        <v>8</v>
      </c>
      <c r="X356" s="1007">
        <v>0.4</v>
      </c>
      <c r="Y356" s="1007" t="s">
        <v>75</v>
      </c>
      <c r="Z356" s="1007" t="s">
        <v>75</v>
      </c>
      <c r="AB356" s="1008">
        <v>46100</v>
      </c>
      <c r="AC356" s="1007">
        <v>12</v>
      </c>
      <c r="AD356" s="1007" t="s">
        <v>1746</v>
      </c>
      <c r="AF356" s="1007" t="s">
        <v>122</v>
      </c>
      <c r="AG356" s="1007" t="s">
        <v>123</v>
      </c>
      <c r="AH356" s="1007" t="s">
        <v>78</v>
      </c>
      <c r="AI356" s="1008">
        <v>46105</v>
      </c>
      <c r="AJ356" s="1008">
        <v>46105</v>
      </c>
      <c r="AK356" s="1008">
        <v>46105</v>
      </c>
      <c r="AL356" s="1008">
        <v>46154</v>
      </c>
      <c r="AM356" s="1008">
        <v>46151</v>
      </c>
      <c r="AN356" s="1008">
        <v>46151</v>
      </c>
      <c r="AO356" s="1007" t="s">
        <v>402</v>
      </c>
      <c r="AP356" s="1007" t="s">
        <v>930</v>
      </c>
      <c r="AQ356" s="1007" t="s">
        <v>80</v>
      </c>
      <c r="AR356" s="1007" t="s">
        <v>931</v>
      </c>
      <c r="AS356" s="1007" t="s">
        <v>932</v>
      </c>
      <c r="AT356" s="1007" t="s">
        <v>932</v>
      </c>
      <c r="AU356" s="1007">
        <v>46</v>
      </c>
      <c r="AW356" s="1008">
        <v>46151</v>
      </c>
      <c r="AX356" s="1007" t="s">
        <v>973</v>
      </c>
      <c r="AY356" s="1008">
        <v>46160</v>
      </c>
      <c r="AZ356" s="1007">
        <v>8</v>
      </c>
      <c r="BA356" s="1008">
        <v>46159</v>
      </c>
      <c r="BB356" s="1007">
        <v>2026</v>
      </c>
      <c r="BC356" s="1007">
        <v>5</v>
      </c>
      <c r="BD356" s="1007">
        <v>20</v>
      </c>
      <c r="BE356" s="1007">
        <v>36</v>
      </c>
      <c r="BF356" s="1007">
        <v>720</v>
      </c>
      <c r="BG356" s="1007" t="s">
        <v>128</v>
      </c>
      <c r="BH356" s="1007" t="s">
        <v>86</v>
      </c>
    </row>
    <row r="357" spans="1:60">
      <c r="A357" s="1007" t="s">
        <v>1445</v>
      </c>
      <c r="B357" s="1007" t="s">
        <v>111</v>
      </c>
      <c r="C357" s="1007" t="s">
        <v>203</v>
      </c>
      <c r="D357" s="1007" t="s">
        <v>113</v>
      </c>
      <c r="E357" s="1007" t="s">
        <v>64</v>
      </c>
      <c r="F357" s="1007" t="s">
        <v>65</v>
      </c>
      <c r="G357" s="1007" t="s">
        <v>402</v>
      </c>
      <c r="H357" s="1007" t="s">
        <v>67</v>
      </c>
      <c r="I357" s="1007" t="s">
        <v>689</v>
      </c>
      <c r="J357" s="1007" t="s">
        <v>1747</v>
      </c>
      <c r="M357" s="1007" t="s">
        <v>68</v>
      </c>
      <c r="N357" s="1007">
        <v>46045</v>
      </c>
      <c r="O357" s="1007" t="s">
        <v>713</v>
      </c>
      <c r="P357" s="1007" t="s">
        <v>1429</v>
      </c>
      <c r="Q357" s="1007" t="s">
        <v>1430</v>
      </c>
      <c r="R357" s="1007" t="s">
        <v>73</v>
      </c>
      <c r="S357" s="1007" t="s">
        <v>1187</v>
      </c>
      <c r="T357" s="1007">
        <v>620</v>
      </c>
      <c r="U357" s="1007">
        <v>72</v>
      </c>
      <c r="V357" s="1007">
        <v>4.4639999999999999E-2</v>
      </c>
      <c r="W357" s="1007">
        <v>2</v>
      </c>
      <c r="X357" s="1007">
        <v>0.1</v>
      </c>
      <c r="Y357" s="1007" t="s">
        <v>75</v>
      </c>
      <c r="Z357" s="1007" t="s">
        <v>75</v>
      </c>
      <c r="AB357" s="1008">
        <v>46100</v>
      </c>
      <c r="AC357" s="1007">
        <v>12</v>
      </c>
      <c r="AD357" s="1007" t="s">
        <v>1748</v>
      </c>
      <c r="AF357" s="1007" t="s">
        <v>122</v>
      </c>
      <c r="AG357" s="1007" t="s">
        <v>123</v>
      </c>
      <c r="AH357" s="1007" t="s">
        <v>78</v>
      </c>
      <c r="AI357" s="1008">
        <v>46105</v>
      </c>
      <c r="AJ357" s="1008">
        <v>46105</v>
      </c>
      <c r="AK357" s="1008">
        <v>46105</v>
      </c>
      <c r="AL357" s="1008">
        <v>46154</v>
      </c>
      <c r="AM357" s="1008">
        <v>46151</v>
      </c>
      <c r="AN357" s="1008">
        <v>46151</v>
      </c>
      <c r="AO357" s="1007" t="s">
        <v>402</v>
      </c>
      <c r="AP357" s="1007" t="s">
        <v>930</v>
      </c>
      <c r="AQ357" s="1007" t="s">
        <v>80</v>
      </c>
      <c r="AR357" s="1007" t="s">
        <v>931</v>
      </c>
      <c r="AS357" s="1007" t="s">
        <v>932</v>
      </c>
      <c r="AT357" s="1007" t="s">
        <v>932</v>
      </c>
      <c r="AU357" s="1007">
        <v>46</v>
      </c>
      <c r="AW357" s="1008">
        <v>46151</v>
      </c>
      <c r="AX357" s="1007" t="s">
        <v>973</v>
      </c>
      <c r="AY357" s="1008">
        <v>46160</v>
      </c>
      <c r="AZ357" s="1007">
        <v>8</v>
      </c>
      <c r="BA357" s="1008">
        <v>46159</v>
      </c>
      <c r="BB357" s="1007">
        <v>2026</v>
      </c>
      <c r="BC357" s="1007">
        <v>5</v>
      </c>
      <c r="BD357" s="1007">
        <v>20</v>
      </c>
      <c r="BE357" s="1007">
        <v>36</v>
      </c>
      <c r="BF357" s="1007">
        <v>720</v>
      </c>
      <c r="BG357" s="1007" t="s">
        <v>108</v>
      </c>
      <c r="BH357" s="1007" t="s">
        <v>86</v>
      </c>
    </row>
    <row r="358" spans="1:60">
      <c r="A358" s="1007" t="s">
        <v>1749</v>
      </c>
      <c r="B358" s="1007" t="s">
        <v>111</v>
      </c>
      <c r="C358" s="1007" t="s">
        <v>991</v>
      </c>
      <c r="D358" s="1007" t="s">
        <v>63</v>
      </c>
      <c r="E358" s="1007" t="s">
        <v>144</v>
      </c>
      <c r="F358" s="1007" t="s">
        <v>145</v>
      </c>
      <c r="G358" s="1007" t="s">
        <v>402</v>
      </c>
      <c r="H358" s="1007" t="s">
        <v>593</v>
      </c>
      <c r="I358" s="1007" t="s">
        <v>869</v>
      </c>
      <c r="J358" s="1007" t="s">
        <v>594</v>
      </c>
      <c r="K358" s="1007" t="s">
        <v>1750</v>
      </c>
      <c r="M358" s="1007" t="s">
        <v>840</v>
      </c>
      <c r="N358" s="1007">
        <v>46048</v>
      </c>
      <c r="O358" s="1007" t="s">
        <v>132</v>
      </c>
      <c r="P358" s="1007" t="s">
        <v>133</v>
      </c>
      <c r="Q358" s="1007" t="s">
        <v>134</v>
      </c>
      <c r="R358" s="1007" t="s">
        <v>73</v>
      </c>
      <c r="S358" s="1007" t="s">
        <v>992</v>
      </c>
      <c r="T358" s="1007">
        <v>720</v>
      </c>
      <c r="U358" s="1007">
        <v>2970</v>
      </c>
      <c r="V358" s="1007">
        <v>2.1383999999999999</v>
      </c>
      <c r="W358" s="1007">
        <v>90</v>
      </c>
      <c r="X358" s="1007">
        <v>5</v>
      </c>
      <c r="Y358" s="1007" t="s">
        <v>75</v>
      </c>
      <c r="Z358" s="1007" t="s">
        <v>75</v>
      </c>
      <c r="AB358" s="1008">
        <v>46100</v>
      </c>
      <c r="AC358" s="1007">
        <v>12</v>
      </c>
      <c r="AD358" s="1007" t="s">
        <v>1751</v>
      </c>
      <c r="AE358" s="1007" t="s">
        <v>1752</v>
      </c>
      <c r="AF358" s="1007" t="s">
        <v>122</v>
      </c>
      <c r="AG358" s="1007" t="s">
        <v>123</v>
      </c>
      <c r="AH358" s="1007" t="s">
        <v>124</v>
      </c>
      <c r="AI358" s="1008">
        <v>46106</v>
      </c>
      <c r="AJ358" s="1008">
        <v>46108</v>
      </c>
      <c r="AK358" s="1008">
        <v>46108</v>
      </c>
      <c r="AL358" s="1008">
        <v>46149</v>
      </c>
      <c r="AM358" s="1008">
        <v>46149</v>
      </c>
      <c r="AN358" s="1008">
        <v>46149</v>
      </c>
      <c r="AO358" s="1007" t="s">
        <v>402</v>
      </c>
      <c r="AP358" s="1007" t="s">
        <v>1753</v>
      </c>
      <c r="AQ358" s="1007" t="s">
        <v>80</v>
      </c>
      <c r="AR358" s="1007" t="s">
        <v>1754</v>
      </c>
      <c r="AS358" s="1007" t="s">
        <v>1755</v>
      </c>
      <c r="AT358" s="1007" t="s">
        <v>1755</v>
      </c>
      <c r="AU358" s="1007">
        <v>41</v>
      </c>
      <c r="AW358" s="1008">
        <v>46149</v>
      </c>
      <c r="AX358" s="1007" t="s">
        <v>973</v>
      </c>
      <c r="AY358" s="1008">
        <v>46162</v>
      </c>
      <c r="AZ358" s="1007">
        <v>0</v>
      </c>
      <c r="BA358" s="1008">
        <v>46149</v>
      </c>
      <c r="BB358" s="1007">
        <v>2026</v>
      </c>
      <c r="BC358" s="1007">
        <v>5</v>
      </c>
      <c r="BD358" s="1007">
        <v>19</v>
      </c>
      <c r="BE358" s="1007">
        <v>33</v>
      </c>
      <c r="BF358" s="1007">
        <v>594</v>
      </c>
      <c r="BG358" s="1007" t="s">
        <v>108</v>
      </c>
      <c r="BH358" s="1007" t="s">
        <v>86</v>
      </c>
    </row>
    <row r="359" spans="1:60">
      <c r="A359" s="1007" t="s">
        <v>1756</v>
      </c>
      <c r="B359" s="1007" t="s">
        <v>1757</v>
      </c>
      <c r="C359" s="1007" t="s">
        <v>1593</v>
      </c>
      <c r="D359" s="1007" t="s">
        <v>63</v>
      </c>
      <c r="E359" s="1007" t="s">
        <v>144</v>
      </c>
      <c r="F359" s="1007" t="s">
        <v>145</v>
      </c>
      <c r="G359" s="1007" t="s">
        <v>402</v>
      </c>
      <c r="H359" s="1007" t="s">
        <v>881</v>
      </c>
      <c r="I359" s="1007" t="s">
        <v>689</v>
      </c>
      <c r="J359" s="1007" t="s">
        <v>1758</v>
      </c>
      <c r="K359" s="1007" t="s">
        <v>1759</v>
      </c>
      <c r="M359" s="1007" t="s">
        <v>840</v>
      </c>
      <c r="N359" s="1007">
        <v>46090</v>
      </c>
      <c r="O359" s="1007" t="s">
        <v>70</v>
      </c>
      <c r="P359" s="1007" t="s">
        <v>71</v>
      </c>
      <c r="Q359" s="1007" t="s">
        <v>72</v>
      </c>
      <c r="R359" s="1007" t="s">
        <v>73</v>
      </c>
      <c r="S359" s="1007" t="s">
        <v>967</v>
      </c>
      <c r="T359" s="1007">
        <v>500</v>
      </c>
      <c r="U359" s="1007">
        <v>2592</v>
      </c>
      <c r="V359" s="1007">
        <v>1.296</v>
      </c>
      <c r="W359" s="1007">
        <v>72</v>
      </c>
      <c r="X359" s="1007">
        <v>3</v>
      </c>
      <c r="Y359" s="1007" t="s">
        <v>75</v>
      </c>
      <c r="Z359" s="1007" t="s">
        <v>75</v>
      </c>
      <c r="AA359" s="1007" t="s">
        <v>1760</v>
      </c>
      <c r="AB359" s="1008">
        <v>46109</v>
      </c>
      <c r="AC359" s="1007">
        <v>13</v>
      </c>
      <c r="AD359" s="1007" t="s">
        <v>1761</v>
      </c>
      <c r="AF359" s="1007" t="s">
        <v>1762</v>
      </c>
      <c r="AG359" s="1007" t="s">
        <v>123</v>
      </c>
      <c r="AH359" s="1007" t="s">
        <v>888</v>
      </c>
      <c r="AI359" s="1008">
        <v>46112</v>
      </c>
      <c r="AJ359" s="1008">
        <v>46112</v>
      </c>
      <c r="AK359" s="1008">
        <v>46113</v>
      </c>
      <c r="AL359" s="1008">
        <v>46162</v>
      </c>
      <c r="AM359" s="1008">
        <v>46162</v>
      </c>
      <c r="AN359" s="1008">
        <v>46162</v>
      </c>
      <c r="AO359" s="1007" t="s">
        <v>402</v>
      </c>
      <c r="AP359" s="1007" t="s">
        <v>1763</v>
      </c>
      <c r="AQ359" s="1007" t="s">
        <v>80</v>
      </c>
      <c r="AR359" s="1007" t="s">
        <v>1764</v>
      </c>
      <c r="AS359" s="1007" t="s">
        <v>1765</v>
      </c>
      <c r="AT359" s="1007" t="s">
        <v>1765</v>
      </c>
      <c r="AU359" s="1007">
        <v>49</v>
      </c>
      <c r="AW359" s="1008">
        <v>46162</v>
      </c>
      <c r="AX359" s="1007" t="s">
        <v>973</v>
      </c>
      <c r="AY359" s="1008">
        <v>46175</v>
      </c>
      <c r="AZ359" s="1007">
        <v>0</v>
      </c>
      <c r="BA359" s="1008">
        <v>46162</v>
      </c>
      <c r="BB359" s="1007">
        <v>2026</v>
      </c>
      <c r="BC359" s="1007">
        <v>5</v>
      </c>
      <c r="BD359" s="1007">
        <v>21</v>
      </c>
      <c r="BE359" s="1007">
        <v>36</v>
      </c>
      <c r="BF359" s="1007">
        <v>864</v>
      </c>
      <c r="BG359" s="1007" t="s">
        <v>85</v>
      </c>
      <c r="BH359" s="1007" t="s">
        <v>109</v>
      </c>
    </row>
    <row r="360" spans="1:60">
      <c r="A360" s="1007" t="s">
        <v>1766</v>
      </c>
      <c r="B360" s="1007" t="s">
        <v>1757</v>
      </c>
      <c r="C360" s="1007" t="s">
        <v>1593</v>
      </c>
      <c r="D360" s="1007" t="s">
        <v>63</v>
      </c>
      <c r="E360" s="1007" t="s">
        <v>64</v>
      </c>
      <c r="F360" s="1007" t="s">
        <v>100</v>
      </c>
      <c r="G360" s="1007" t="s">
        <v>402</v>
      </c>
      <c r="H360" s="1007" t="s">
        <v>67</v>
      </c>
      <c r="I360" s="1007" t="s">
        <v>689</v>
      </c>
      <c r="J360" s="1007" t="s">
        <v>1767</v>
      </c>
      <c r="M360" s="1007" t="s">
        <v>68</v>
      </c>
      <c r="N360" s="1007">
        <v>46104</v>
      </c>
      <c r="O360" s="1007" t="s">
        <v>70</v>
      </c>
      <c r="P360" s="1007" t="s">
        <v>71</v>
      </c>
      <c r="Q360" s="1007" t="s">
        <v>72</v>
      </c>
      <c r="R360" s="1007" t="s">
        <v>73</v>
      </c>
      <c r="S360" s="1007" t="s">
        <v>967</v>
      </c>
      <c r="T360" s="1007">
        <v>500</v>
      </c>
      <c r="U360" s="1007">
        <v>2592</v>
      </c>
      <c r="V360" s="1007">
        <v>1.296</v>
      </c>
      <c r="W360" s="1007">
        <v>72</v>
      </c>
      <c r="X360" s="1007">
        <v>3</v>
      </c>
      <c r="Y360" s="1007" t="s">
        <v>75</v>
      </c>
      <c r="Z360" s="1007" t="s">
        <v>75</v>
      </c>
      <c r="AA360" s="1007" t="s">
        <v>1768</v>
      </c>
      <c r="AB360" s="1008">
        <v>46097</v>
      </c>
      <c r="AC360" s="1007">
        <v>12</v>
      </c>
      <c r="AD360" s="1007" t="s">
        <v>1769</v>
      </c>
      <c r="AF360" s="1007" t="s">
        <v>122</v>
      </c>
      <c r="AG360" s="1007" t="s">
        <v>123</v>
      </c>
      <c r="AH360" s="1007" t="s">
        <v>105</v>
      </c>
      <c r="AI360" s="1008">
        <v>46103</v>
      </c>
      <c r="AJ360" s="1008">
        <v>46103</v>
      </c>
      <c r="AK360" s="1008">
        <v>46103</v>
      </c>
      <c r="AL360" s="1008">
        <v>46144</v>
      </c>
      <c r="AM360" s="1008">
        <v>46151</v>
      </c>
      <c r="AN360" s="1008">
        <v>46153</v>
      </c>
      <c r="AO360" s="1007" t="s">
        <v>402</v>
      </c>
      <c r="AP360" s="1007" t="s">
        <v>1720</v>
      </c>
      <c r="AQ360" s="1007" t="s">
        <v>80</v>
      </c>
      <c r="AR360" s="1007" t="s">
        <v>1770</v>
      </c>
      <c r="AS360" s="1007" t="s">
        <v>1771</v>
      </c>
      <c r="AT360" s="1007" t="s">
        <v>1771</v>
      </c>
      <c r="AU360" s="1007">
        <v>50</v>
      </c>
      <c r="AW360" s="1008">
        <v>46153</v>
      </c>
      <c r="AX360" s="1007" t="s">
        <v>973</v>
      </c>
      <c r="AY360" s="1008">
        <v>46159</v>
      </c>
      <c r="AZ360" s="1007">
        <v>7</v>
      </c>
      <c r="BA360" s="1008">
        <v>46160</v>
      </c>
      <c r="BB360" s="1007">
        <v>2026</v>
      </c>
      <c r="BC360" s="1007">
        <v>5</v>
      </c>
      <c r="BD360" s="1007">
        <v>21</v>
      </c>
      <c r="BE360" s="1007">
        <v>36</v>
      </c>
      <c r="BF360" s="1007">
        <v>864</v>
      </c>
      <c r="BG360" s="1007" t="s">
        <v>85</v>
      </c>
      <c r="BH360" s="1007" t="s">
        <v>109</v>
      </c>
    </row>
    <row r="361" spans="1:60">
      <c r="A361" s="1007" t="s">
        <v>1772</v>
      </c>
      <c r="B361" s="1007" t="s">
        <v>1757</v>
      </c>
      <c r="C361" s="1007" t="s">
        <v>1286</v>
      </c>
      <c r="D361" s="1007" t="s">
        <v>63</v>
      </c>
      <c r="E361" s="1007" t="s">
        <v>64</v>
      </c>
      <c r="F361" s="1007" t="s">
        <v>100</v>
      </c>
      <c r="G361" s="1007" t="s">
        <v>402</v>
      </c>
      <c r="H361" s="1007" t="s">
        <v>67</v>
      </c>
      <c r="I361" s="1007" t="s">
        <v>689</v>
      </c>
      <c r="J361" s="1007" t="s">
        <v>101</v>
      </c>
      <c r="M361" s="1007" t="s">
        <v>68</v>
      </c>
      <c r="N361" s="1007">
        <v>46104</v>
      </c>
      <c r="O361" s="1007" t="s">
        <v>70</v>
      </c>
      <c r="P361" s="1007" t="s">
        <v>1151</v>
      </c>
      <c r="Q361" s="1007" t="s">
        <v>421</v>
      </c>
      <c r="R361" s="1007" t="s">
        <v>73</v>
      </c>
      <c r="S361" s="1007" t="s">
        <v>967</v>
      </c>
      <c r="T361" s="1007">
        <v>505</v>
      </c>
      <c r="U361" s="1007">
        <v>4320</v>
      </c>
      <c r="V361" s="1007">
        <v>2.1816</v>
      </c>
      <c r="W361" s="1007">
        <v>120</v>
      </c>
      <c r="X361" s="1007">
        <v>5</v>
      </c>
      <c r="Y361" s="1007" t="s">
        <v>75</v>
      </c>
      <c r="Z361" s="1007" t="s">
        <v>75</v>
      </c>
      <c r="AA361" s="1007" t="s">
        <v>1773</v>
      </c>
      <c r="AB361" s="1008">
        <v>46097</v>
      </c>
      <c r="AC361" s="1007">
        <v>12</v>
      </c>
      <c r="AD361" s="1007" t="s">
        <v>1774</v>
      </c>
      <c r="AF361" s="1007" t="s">
        <v>122</v>
      </c>
      <c r="AG361" s="1007" t="s">
        <v>123</v>
      </c>
      <c r="AH361" s="1007" t="s">
        <v>105</v>
      </c>
      <c r="AI361" s="1008">
        <v>46103</v>
      </c>
      <c r="AJ361" s="1008">
        <v>46103</v>
      </c>
      <c r="AK361" s="1008">
        <v>46103</v>
      </c>
      <c r="AL361" s="1008">
        <v>46144</v>
      </c>
      <c r="AM361" s="1008">
        <v>46151</v>
      </c>
      <c r="AN361" s="1008">
        <v>46153</v>
      </c>
      <c r="AO361" s="1007" t="s">
        <v>402</v>
      </c>
      <c r="AP361" s="1007" t="s">
        <v>1720</v>
      </c>
      <c r="AQ361" s="1007" t="s">
        <v>80</v>
      </c>
      <c r="AR361" s="1007" t="s">
        <v>1770</v>
      </c>
      <c r="AS361" s="1007" t="s">
        <v>1771</v>
      </c>
      <c r="AT361" s="1007" t="s">
        <v>1771</v>
      </c>
      <c r="AU361" s="1007">
        <v>50</v>
      </c>
      <c r="AW361" s="1008">
        <v>46153</v>
      </c>
      <c r="AX361" s="1007" t="s">
        <v>973</v>
      </c>
      <c r="AY361" s="1008">
        <v>46159</v>
      </c>
      <c r="AZ361" s="1007">
        <v>7</v>
      </c>
      <c r="BA361" s="1008">
        <v>46160</v>
      </c>
      <c r="BB361" s="1007">
        <v>2026</v>
      </c>
      <c r="BC361" s="1007">
        <v>5</v>
      </c>
      <c r="BD361" s="1007">
        <v>21</v>
      </c>
      <c r="BE361" s="1007">
        <v>36</v>
      </c>
      <c r="BF361" s="1007">
        <v>864</v>
      </c>
      <c r="BG361" s="1007" t="s">
        <v>85</v>
      </c>
      <c r="BH361" s="1007" t="s">
        <v>109</v>
      </c>
    </row>
    <row r="362" spans="1:60">
      <c r="A362" s="1007" t="s">
        <v>1775</v>
      </c>
      <c r="B362" s="1007" t="s">
        <v>1519</v>
      </c>
      <c r="C362" s="1007" t="s">
        <v>1520</v>
      </c>
      <c r="D362" s="1007" t="s">
        <v>63</v>
      </c>
      <c r="E362" s="1007" t="s">
        <v>64</v>
      </c>
      <c r="F362" s="1007" t="s">
        <v>310</v>
      </c>
      <c r="G362" s="1007" t="s">
        <v>402</v>
      </c>
      <c r="H362" s="1007" t="s">
        <v>311</v>
      </c>
      <c r="I362" s="1007" t="s">
        <v>689</v>
      </c>
      <c r="J362" s="1007" t="s">
        <v>1342</v>
      </c>
      <c r="M362" s="1007" t="s">
        <v>68</v>
      </c>
      <c r="N362" s="1007">
        <v>46090</v>
      </c>
      <c r="O362" s="1007" t="s">
        <v>284</v>
      </c>
      <c r="P362" s="1007" t="s">
        <v>1521</v>
      </c>
      <c r="Q362" s="1007" t="s">
        <v>1522</v>
      </c>
      <c r="R362" s="1007" t="s">
        <v>73</v>
      </c>
      <c r="S362" s="1007" t="s">
        <v>967</v>
      </c>
      <c r="T362" s="1007">
        <v>490</v>
      </c>
      <c r="U362" s="1007">
        <v>6048</v>
      </c>
      <c r="V362" s="1007">
        <v>2.9635199999999999</v>
      </c>
      <c r="W362" s="1007">
        <v>168</v>
      </c>
      <c r="X362" s="1007">
        <v>7</v>
      </c>
      <c r="Y362" s="1007" t="s">
        <v>75</v>
      </c>
      <c r="Z362" s="1007" t="s">
        <v>75</v>
      </c>
      <c r="AA362" s="1007" t="s">
        <v>1544</v>
      </c>
      <c r="AB362" s="1008">
        <v>46108</v>
      </c>
      <c r="AC362" s="1007">
        <v>13</v>
      </c>
      <c r="AD362" s="1007" t="s">
        <v>1776</v>
      </c>
      <c r="AF362" s="1007" t="s">
        <v>945</v>
      </c>
      <c r="AG362" s="1007" t="s">
        <v>123</v>
      </c>
      <c r="AH362" s="1007" t="s">
        <v>314</v>
      </c>
      <c r="AI362" s="1008">
        <v>46111</v>
      </c>
      <c r="AJ362" s="1008">
        <v>46114</v>
      </c>
      <c r="AK362" s="1008">
        <v>46114</v>
      </c>
      <c r="AL362" s="1008">
        <v>46155</v>
      </c>
      <c r="AM362" s="1008">
        <v>46159</v>
      </c>
      <c r="AN362" s="1008">
        <v>46162</v>
      </c>
      <c r="AO362" s="1007" t="s">
        <v>402</v>
      </c>
      <c r="AP362" s="1007" t="s">
        <v>1725</v>
      </c>
      <c r="AQ362" s="1007" t="s">
        <v>80</v>
      </c>
      <c r="AR362" s="1007" t="s">
        <v>1777</v>
      </c>
      <c r="AS362" s="1007" t="s">
        <v>1778</v>
      </c>
      <c r="AT362" s="1007" t="s">
        <v>1778</v>
      </c>
      <c r="AU362" s="1007">
        <v>48</v>
      </c>
      <c r="AW362" s="1008">
        <v>46162</v>
      </c>
      <c r="AX362" s="1007" t="s">
        <v>973</v>
      </c>
      <c r="AY362" s="1008">
        <v>46175</v>
      </c>
      <c r="AZ362" s="1007">
        <v>13</v>
      </c>
      <c r="BA362" s="1008">
        <v>46175</v>
      </c>
      <c r="BB362" s="1007">
        <v>2026</v>
      </c>
      <c r="BC362" s="1007">
        <v>6</v>
      </c>
      <c r="BD362" s="1007">
        <v>23</v>
      </c>
      <c r="BE362" s="1007">
        <v>36</v>
      </c>
      <c r="BF362" s="1007">
        <v>864</v>
      </c>
      <c r="BG362" s="1007" t="s">
        <v>85</v>
      </c>
      <c r="BH362" s="1007" t="s">
        <v>86</v>
      </c>
    </row>
    <row r="363" spans="1:60">
      <c r="A363" s="1007" t="s">
        <v>1779</v>
      </c>
      <c r="B363" s="1007" t="s">
        <v>1566</v>
      </c>
      <c r="C363" s="1007" t="s">
        <v>1583</v>
      </c>
      <c r="D363" s="1007" t="s">
        <v>63</v>
      </c>
      <c r="E363" s="1007" t="s">
        <v>64</v>
      </c>
      <c r="F363" s="1007" t="s">
        <v>100</v>
      </c>
      <c r="G363" s="1007" t="s">
        <v>402</v>
      </c>
      <c r="H363" s="1007" t="s">
        <v>67</v>
      </c>
      <c r="I363" s="1007" t="s">
        <v>689</v>
      </c>
      <c r="J363" s="1007" t="s">
        <v>1568</v>
      </c>
      <c r="M363" s="1007" t="s">
        <v>68</v>
      </c>
      <c r="N363" s="1007">
        <v>46097</v>
      </c>
      <c r="O363" s="1007" t="s">
        <v>284</v>
      </c>
      <c r="P363" s="1007" t="s">
        <v>1584</v>
      </c>
      <c r="Q363" s="1007" t="s">
        <v>1585</v>
      </c>
      <c r="R363" s="1007" t="s">
        <v>73</v>
      </c>
      <c r="S363" s="1007" t="s">
        <v>992</v>
      </c>
      <c r="T363" s="1007">
        <v>645</v>
      </c>
      <c r="U363" s="1007">
        <v>4320</v>
      </c>
      <c r="V363" s="1007">
        <v>2.7864</v>
      </c>
      <c r="W363" s="1007">
        <v>120</v>
      </c>
      <c r="X363" s="1007">
        <v>6</v>
      </c>
      <c r="Y363" s="1007" t="s">
        <v>75</v>
      </c>
      <c r="Z363" s="1007" t="s">
        <v>75</v>
      </c>
      <c r="AA363" s="1007" t="s">
        <v>1780</v>
      </c>
      <c r="AB363" s="1008">
        <v>46097</v>
      </c>
      <c r="AC363" s="1007">
        <v>12</v>
      </c>
      <c r="AD363" s="1007" t="s">
        <v>1781</v>
      </c>
      <c r="AF363" s="1007" t="s">
        <v>1525</v>
      </c>
      <c r="AG363" s="1007" t="s">
        <v>123</v>
      </c>
      <c r="AH363" s="1007" t="s">
        <v>105</v>
      </c>
      <c r="AI363" s="1008">
        <v>46103</v>
      </c>
      <c r="AJ363" s="1008">
        <v>46107</v>
      </c>
      <c r="AK363" s="1008">
        <v>46107</v>
      </c>
      <c r="AL363" s="1008">
        <v>46150</v>
      </c>
      <c r="AM363" s="1008">
        <v>46148</v>
      </c>
      <c r="AN363" s="1008">
        <v>46148</v>
      </c>
      <c r="AO363" s="1007" t="s">
        <v>402</v>
      </c>
      <c r="AP363" s="1007" t="s">
        <v>1782</v>
      </c>
      <c r="AQ363" s="1007" t="s">
        <v>161</v>
      </c>
      <c r="AR363" s="1007" t="s">
        <v>1783</v>
      </c>
      <c r="AS363" s="1007" t="s">
        <v>1784</v>
      </c>
      <c r="AT363" s="1007" t="s">
        <v>1784</v>
      </c>
      <c r="AU363" s="1007">
        <v>41</v>
      </c>
      <c r="AW363" s="1008">
        <v>46148</v>
      </c>
      <c r="AX363" s="1007" t="s">
        <v>973</v>
      </c>
      <c r="AY363" s="1008">
        <v>46163</v>
      </c>
      <c r="AZ363" s="1007">
        <v>7</v>
      </c>
      <c r="BA363" s="1008">
        <v>46155</v>
      </c>
      <c r="BB363" s="1007">
        <v>2026</v>
      </c>
      <c r="BC363" s="1007">
        <v>5</v>
      </c>
      <c r="BD363" s="1007">
        <v>20</v>
      </c>
      <c r="BE363" s="1007">
        <v>36</v>
      </c>
      <c r="BF363" s="1007">
        <v>720</v>
      </c>
      <c r="BG363" s="1007" t="s">
        <v>108</v>
      </c>
      <c r="BH363" s="1007" t="s">
        <v>109</v>
      </c>
    </row>
    <row r="364" spans="1:60">
      <c r="A364" s="1007" t="s">
        <v>1785</v>
      </c>
      <c r="B364" s="1007" t="s">
        <v>1566</v>
      </c>
      <c r="C364" s="1007" t="s">
        <v>1567</v>
      </c>
      <c r="D364" s="1007" t="s">
        <v>63</v>
      </c>
      <c r="E364" s="1007" t="s">
        <v>64</v>
      </c>
      <c r="F364" s="1007" t="s">
        <v>100</v>
      </c>
      <c r="G364" s="1007" t="s">
        <v>402</v>
      </c>
      <c r="H364" s="1007" t="s">
        <v>67</v>
      </c>
      <c r="I364" s="1007" t="s">
        <v>689</v>
      </c>
      <c r="J364" s="1007" t="s">
        <v>1568</v>
      </c>
      <c r="M364" s="1007" t="s">
        <v>68</v>
      </c>
      <c r="N364" s="1007">
        <v>46097</v>
      </c>
      <c r="O364" s="1007" t="s">
        <v>284</v>
      </c>
      <c r="P364" s="1007" t="s">
        <v>1569</v>
      </c>
      <c r="Q364" s="1007" t="s">
        <v>1570</v>
      </c>
      <c r="R364" s="1007" t="s">
        <v>73</v>
      </c>
      <c r="S364" s="1007" t="s">
        <v>992</v>
      </c>
      <c r="T364" s="1007">
        <v>650</v>
      </c>
      <c r="U364" s="1007">
        <v>2880</v>
      </c>
      <c r="V364" s="1007">
        <v>1.8720000000000001</v>
      </c>
      <c r="W364" s="1007">
        <v>80</v>
      </c>
      <c r="X364" s="1007">
        <v>4</v>
      </c>
      <c r="Y364" s="1007" t="s">
        <v>75</v>
      </c>
      <c r="Z364" s="1007" t="s">
        <v>75</v>
      </c>
      <c r="AB364" s="1008">
        <v>46097</v>
      </c>
      <c r="AC364" s="1007">
        <v>12</v>
      </c>
      <c r="AD364" s="1007" t="s">
        <v>1786</v>
      </c>
      <c r="AF364" s="1007" t="s">
        <v>1525</v>
      </c>
      <c r="AG364" s="1007" t="s">
        <v>123</v>
      </c>
      <c r="AH364" s="1007" t="s">
        <v>105</v>
      </c>
      <c r="AI364" s="1008">
        <v>46103</v>
      </c>
      <c r="AJ364" s="1008">
        <v>46107</v>
      </c>
      <c r="AK364" s="1008">
        <v>46107</v>
      </c>
      <c r="AL364" s="1008">
        <v>46150</v>
      </c>
      <c r="AM364" s="1008">
        <v>46148</v>
      </c>
      <c r="AN364" s="1008">
        <v>46148</v>
      </c>
      <c r="AO364" s="1007" t="s">
        <v>402</v>
      </c>
      <c r="AP364" s="1007" t="s">
        <v>1782</v>
      </c>
      <c r="AQ364" s="1007" t="s">
        <v>161</v>
      </c>
      <c r="AR364" s="1007" t="s">
        <v>1783</v>
      </c>
      <c r="AS364" s="1007" t="s">
        <v>1784</v>
      </c>
      <c r="AT364" s="1007" t="s">
        <v>1784</v>
      </c>
      <c r="AU364" s="1007">
        <v>41</v>
      </c>
      <c r="AW364" s="1008">
        <v>46148</v>
      </c>
      <c r="AX364" s="1007" t="s">
        <v>973</v>
      </c>
      <c r="AY364" s="1008">
        <v>46163</v>
      </c>
      <c r="AZ364" s="1007">
        <v>7</v>
      </c>
      <c r="BA364" s="1008">
        <v>46155</v>
      </c>
      <c r="BB364" s="1007">
        <v>2026</v>
      </c>
      <c r="BC364" s="1007">
        <v>5</v>
      </c>
      <c r="BD364" s="1007">
        <v>20</v>
      </c>
      <c r="BE364" s="1007">
        <v>36</v>
      </c>
      <c r="BF364" s="1007">
        <v>720</v>
      </c>
      <c r="BG364" s="1007" t="s">
        <v>108</v>
      </c>
      <c r="BH364" s="1007" t="s">
        <v>109</v>
      </c>
    </row>
    <row r="365" spans="1:60">
      <c r="A365" s="1007" t="s">
        <v>1787</v>
      </c>
      <c r="B365" s="1007" t="s">
        <v>1566</v>
      </c>
      <c r="C365" s="1007" t="s">
        <v>1583</v>
      </c>
      <c r="D365" s="1007" t="s">
        <v>63</v>
      </c>
      <c r="E365" s="1007" t="s">
        <v>64</v>
      </c>
      <c r="F365" s="1007" t="s">
        <v>100</v>
      </c>
      <c r="G365" s="1007" t="s">
        <v>402</v>
      </c>
      <c r="H365" s="1007" t="s">
        <v>67</v>
      </c>
      <c r="I365" s="1007" t="s">
        <v>689</v>
      </c>
      <c r="J365" s="1007" t="s">
        <v>1568</v>
      </c>
      <c r="M365" s="1007" t="s">
        <v>68</v>
      </c>
      <c r="N365" s="1007">
        <v>46097</v>
      </c>
      <c r="O365" s="1007" t="s">
        <v>284</v>
      </c>
      <c r="P365" s="1007" t="s">
        <v>1584</v>
      </c>
      <c r="Q365" s="1007" t="s">
        <v>1585</v>
      </c>
      <c r="R365" s="1007" t="s">
        <v>73</v>
      </c>
      <c r="S365" s="1007" t="s">
        <v>992</v>
      </c>
      <c r="T365" s="1007">
        <v>645</v>
      </c>
      <c r="U365" s="1007">
        <v>6480</v>
      </c>
      <c r="V365" s="1007">
        <v>4.1795999999999998</v>
      </c>
      <c r="W365" s="1007">
        <v>180</v>
      </c>
      <c r="X365" s="1007">
        <v>9</v>
      </c>
      <c r="Y365" s="1007" t="s">
        <v>75</v>
      </c>
      <c r="Z365" s="1007" t="s">
        <v>75</v>
      </c>
      <c r="AA365" s="1007" t="s">
        <v>1788</v>
      </c>
      <c r="AB365" s="1008">
        <v>46098</v>
      </c>
      <c r="AC365" s="1007">
        <v>12</v>
      </c>
      <c r="AD365" s="1007" t="s">
        <v>1789</v>
      </c>
      <c r="AF365" s="1007" t="s">
        <v>1525</v>
      </c>
      <c r="AG365" s="1007" t="s">
        <v>123</v>
      </c>
      <c r="AH365" s="1007" t="s">
        <v>105</v>
      </c>
      <c r="AI365" s="1008">
        <v>46103</v>
      </c>
      <c r="AJ365" s="1008">
        <v>46107</v>
      </c>
      <c r="AK365" s="1008">
        <v>46107</v>
      </c>
      <c r="AL365" s="1008">
        <v>46150</v>
      </c>
      <c r="AM365" s="1008">
        <v>46148</v>
      </c>
      <c r="AN365" s="1008">
        <v>46148</v>
      </c>
      <c r="AO365" s="1007" t="s">
        <v>402</v>
      </c>
      <c r="AP365" s="1007" t="s">
        <v>1782</v>
      </c>
      <c r="AQ365" s="1007" t="s">
        <v>161</v>
      </c>
      <c r="AR365" s="1007" t="s">
        <v>1790</v>
      </c>
      <c r="AS365" s="1007" t="s">
        <v>1791</v>
      </c>
      <c r="AT365" s="1007" t="s">
        <v>1792</v>
      </c>
      <c r="AU365" s="1007">
        <v>41</v>
      </c>
      <c r="AW365" s="1008">
        <v>46148</v>
      </c>
      <c r="AX365" s="1007" t="s">
        <v>973</v>
      </c>
      <c r="AY365" s="1008">
        <v>46155</v>
      </c>
      <c r="AZ365" s="1007">
        <v>7</v>
      </c>
      <c r="BA365" s="1008">
        <v>46155</v>
      </c>
      <c r="BB365" s="1007">
        <v>2026</v>
      </c>
      <c r="BC365" s="1007">
        <v>5</v>
      </c>
      <c r="BD365" s="1007">
        <v>20</v>
      </c>
      <c r="BE365" s="1007">
        <v>36</v>
      </c>
      <c r="BF365" s="1007">
        <v>720</v>
      </c>
      <c r="BG365" s="1007" t="s">
        <v>108</v>
      </c>
      <c r="BH365" s="1007" t="s">
        <v>109</v>
      </c>
    </row>
    <row r="366" spans="1:60">
      <c r="A366" s="1007" t="s">
        <v>1793</v>
      </c>
      <c r="B366" s="1007" t="s">
        <v>1566</v>
      </c>
      <c r="C366" s="1007" t="s">
        <v>1567</v>
      </c>
      <c r="D366" s="1007" t="s">
        <v>63</v>
      </c>
      <c r="E366" s="1007" t="s">
        <v>64</v>
      </c>
      <c r="F366" s="1007" t="s">
        <v>100</v>
      </c>
      <c r="G366" s="1007" t="s">
        <v>402</v>
      </c>
      <c r="H366" s="1007" t="s">
        <v>67</v>
      </c>
      <c r="I366" s="1007" t="s">
        <v>689</v>
      </c>
      <c r="J366" s="1007" t="s">
        <v>1568</v>
      </c>
      <c r="M366" s="1007" t="s">
        <v>68</v>
      </c>
      <c r="N366" s="1007">
        <v>46097</v>
      </c>
      <c r="O366" s="1007" t="s">
        <v>284</v>
      </c>
      <c r="P366" s="1007" t="s">
        <v>1569</v>
      </c>
      <c r="Q366" s="1007" t="s">
        <v>1570</v>
      </c>
      <c r="R366" s="1007" t="s">
        <v>73</v>
      </c>
      <c r="S366" s="1007" t="s">
        <v>992</v>
      </c>
      <c r="T366" s="1007">
        <v>650</v>
      </c>
      <c r="U366" s="1007">
        <v>2880</v>
      </c>
      <c r="V366" s="1007">
        <v>1.8720000000000001</v>
      </c>
      <c r="W366" s="1007">
        <v>80</v>
      </c>
      <c r="X366" s="1007">
        <v>4</v>
      </c>
      <c r="Y366" s="1007" t="s">
        <v>75</v>
      </c>
      <c r="Z366" s="1007" t="s">
        <v>75</v>
      </c>
      <c r="AA366" s="1007" t="s">
        <v>1794</v>
      </c>
      <c r="AB366" s="1008">
        <v>46099</v>
      </c>
      <c r="AC366" s="1007">
        <v>12</v>
      </c>
      <c r="AD366" s="1007" t="s">
        <v>1795</v>
      </c>
      <c r="AF366" s="1007" t="s">
        <v>1525</v>
      </c>
      <c r="AG366" s="1007" t="s">
        <v>123</v>
      </c>
      <c r="AH366" s="1007" t="s">
        <v>105</v>
      </c>
      <c r="AI366" s="1008">
        <v>46103</v>
      </c>
      <c r="AJ366" s="1008">
        <v>46107</v>
      </c>
      <c r="AK366" s="1008">
        <v>46107</v>
      </c>
      <c r="AL366" s="1008">
        <v>46150</v>
      </c>
      <c r="AM366" s="1008">
        <v>46148</v>
      </c>
      <c r="AN366" s="1008">
        <v>46148</v>
      </c>
      <c r="AO366" s="1007" t="s">
        <v>402</v>
      </c>
      <c r="AP366" s="1007" t="s">
        <v>1782</v>
      </c>
      <c r="AQ366" s="1007" t="s">
        <v>161</v>
      </c>
      <c r="AR366" s="1007" t="s">
        <v>1796</v>
      </c>
      <c r="AS366" s="1007" t="s">
        <v>1797</v>
      </c>
      <c r="AT366" s="1007" t="s">
        <v>1798</v>
      </c>
      <c r="AU366" s="1007">
        <v>41</v>
      </c>
      <c r="AW366" s="1008">
        <v>46148</v>
      </c>
      <c r="AX366" s="1007" t="s">
        <v>973</v>
      </c>
      <c r="AY366" s="1008">
        <v>46163</v>
      </c>
      <c r="AZ366" s="1007">
        <v>7</v>
      </c>
      <c r="BA366" s="1008">
        <v>46155</v>
      </c>
      <c r="BB366" s="1007">
        <v>2026</v>
      </c>
      <c r="BC366" s="1007">
        <v>5</v>
      </c>
      <c r="BD366" s="1007">
        <v>20</v>
      </c>
      <c r="BE366" s="1007">
        <v>36</v>
      </c>
      <c r="BF366" s="1007">
        <v>720</v>
      </c>
      <c r="BG366" s="1007" t="s">
        <v>108</v>
      </c>
      <c r="BH366" s="1007" t="s">
        <v>109</v>
      </c>
    </row>
    <row r="367" spans="1:60">
      <c r="A367" s="1007" t="s">
        <v>1799</v>
      </c>
      <c r="B367" s="1007" t="s">
        <v>1566</v>
      </c>
      <c r="C367" s="1007" t="s">
        <v>1583</v>
      </c>
      <c r="D367" s="1007" t="s">
        <v>63</v>
      </c>
      <c r="E367" s="1007" t="s">
        <v>64</v>
      </c>
      <c r="F367" s="1007" t="s">
        <v>100</v>
      </c>
      <c r="G367" s="1007" t="s">
        <v>402</v>
      </c>
      <c r="H367" s="1007" t="s">
        <v>67</v>
      </c>
      <c r="I367" s="1007" t="s">
        <v>689</v>
      </c>
      <c r="J367" s="1007" t="s">
        <v>1568</v>
      </c>
      <c r="M367" s="1007" t="s">
        <v>68</v>
      </c>
      <c r="N367" s="1007" t="s">
        <v>68</v>
      </c>
      <c r="O367" s="1007" t="s">
        <v>284</v>
      </c>
      <c r="P367" s="1007" t="s">
        <v>1584</v>
      </c>
      <c r="Q367" s="1007" t="s">
        <v>1585</v>
      </c>
      <c r="R367" s="1007" t="s">
        <v>73</v>
      </c>
      <c r="S367" s="1007" t="s">
        <v>992</v>
      </c>
      <c r="T367" s="1007">
        <v>645</v>
      </c>
      <c r="U367" s="1007">
        <v>3600</v>
      </c>
      <c r="V367" s="1007">
        <v>2.3220000000000001</v>
      </c>
      <c r="W367" s="1007">
        <v>100</v>
      </c>
      <c r="X367" s="1007">
        <v>5</v>
      </c>
      <c r="Y367" s="1007" t="s">
        <v>75</v>
      </c>
      <c r="Z367" s="1007" t="s">
        <v>75</v>
      </c>
      <c r="AB367" s="1008">
        <v>46099</v>
      </c>
      <c r="AC367" s="1007">
        <v>12</v>
      </c>
      <c r="AD367" s="1007" t="s">
        <v>1800</v>
      </c>
      <c r="AF367" s="1007" t="s">
        <v>1525</v>
      </c>
      <c r="AG367" s="1007" t="s">
        <v>123</v>
      </c>
      <c r="AH367" s="1007" t="s">
        <v>105</v>
      </c>
      <c r="AI367" s="1008">
        <v>46103</v>
      </c>
      <c r="AJ367" s="1008">
        <v>46107</v>
      </c>
      <c r="AK367" s="1008">
        <v>46107</v>
      </c>
      <c r="AL367" s="1008">
        <v>46150</v>
      </c>
      <c r="AM367" s="1008">
        <v>46148</v>
      </c>
      <c r="AN367" s="1008">
        <v>46148</v>
      </c>
      <c r="AO367" s="1007" t="s">
        <v>402</v>
      </c>
      <c r="AP367" s="1007" t="s">
        <v>1782</v>
      </c>
      <c r="AQ367" s="1007" t="s">
        <v>161</v>
      </c>
      <c r="AR367" s="1007" t="s">
        <v>1796</v>
      </c>
      <c r="AS367" s="1007" t="s">
        <v>1797</v>
      </c>
      <c r="AT367" s="1007" t="s">
        <v>1798</v>
      </c>
      <c r="AU367" s="1007">
        <v>41</v>
      </c>
      <c r="AW367" s="1008">
        <v>46148</v>
      </c>
      <c r="AX367" s="1007" t="s">
        <v>973</v>
      </c>
      <c r="AY367" s="1008">
        <v>46155</v>
      </c>
      <c r="AZ367" s="1007">
        <v>7</v>
      </c>
      <c r="BA367" s="1008">
        <v>46155</v>
      </c>
      <c r="BB367" s="1007">
        <v>2026</v>
      </c>
      <c r="BC367" s="1007">
        <v>5</v>
      </c>
      <c r="BD367" s="1007">
        <v>20</v>
      </c>
      <c r="BE367" s="1007">
        <v>36</v>
      </c>
      <c r="BF367" s="1007">
        <v>720</v>
      </c>
      <c r="BG367" s="1007" t="s">
        <v>108</v>
      </c>
      <c r="BH367" s="1007" t="s">
        <v>109</v>
      </c>
    </row>
    <row r="368" spans="1:60">
      <c r="A368" s="1007" t="s">
        <v>1801</v>
      </c>
      <c r="B368" s="1007" t="s">
        <v>1802</v>
      </c>
      <c r="C368" s="1007" t="s">
        <v>1803</v>
      </c>
      <c r="D368" s="1007" t="s">
        <v>113</v>
      </c>
      <c r="E368" s="1007" t="s">
        <v>144</v>
      </c>
      <c r="F368" s="1007" t="s">
        <v>145</v>
      </c>
      <c r="G368" s="1007" t="s">
        <v>402</v>
      </c>
      <c r="H368" s="1007" t="s">
        <v>1449</v>
      </c>
      <c r="I368" s="1007" t="s">
        <v>822</v>
      </c>
      <c r="J368" s="1007" t="s">
        <v>1804</v>
      </c>
      <c r="K368" s="1007" t="s">
        <v>1805</v>
      </c>
      <c r="M368" s="1007" t="s">
        <v>840</v>
      </c>
      <c r="N368" s="1007">
        <v>46097</v>
      </c>
      <c r="O368" s="1007" t="s">
        <v>70</v>
      </c>
      <c r="P368" s="1007" t="s">
        <v>1806</v>
      </c>
      <c r="Q368" s="1007" t="s">
        <v>1807</v>
      </c>
      <c r="R368" s="1007" t="s">
        <v>331</v>
      </c>
      <c r="S368" s="1007" t="s">
        <v>1808</v>
      </c>
      <c r="T368" s="1007">
        <v>720</v>
      </c>
      <c r="U368" s="1007">
        <v>3564</v>
      </c>
      <c r="V368" s="1007">
        <v>2.5660799999999999</v>
      </c>
      <c r="W368" s="1007">
        <v>108</v>
      </c>
      <c r="X368" s="1007">
        <v>6</v>
      </c>
      <c r="Y368" s="1007" t="s">
        <v>75</v>
      </c>
      <c r="Z368" s="1007" t="s">
        <v>75</v>
      </c>
      <c r="AA368" s="1007" t="s">
        <v>1809</v>
      </c>
      <c r="AB368" s="1008">
        <v>46097</v>
      </c>
      <c r="AC368" s="1007">
        <v>12</v>
      </c>
      <c r="AD368" s="1007" t="s">
        <v>1810</v>
      </c>
      <c r="AF368" s="1007" t="s">
        <v>1525</v>
      </c>
      <c r="AG368" s="1007" t="s">
        <v>123</v>
      </c>
      <c r="AH368" s="1007" t="s">
        <v>105</v>
      </c>
      <c r="AI368" s="1008">
        <v>46101</v>
      </c>
      <c r="AJ368" s="1008">
        <v>46101</v>
      </c>
      <c r="AK368" s="1008">
        <v>46101</v>
      </c>
      <c r="AL368" s="1008">
        <v>46139</v>
      </c>
      <c r="AM368" s="1008">
        <v>46143</v>
      </c>
      <c r="AN368" s="1008">
        <v>46143</v>
      </c>
      <c r="AO368" s="1007" t="s">
        <v>402</v>
      </c>
      <c r="AP368" s="1007" t="s">
        <v>1811</v>
      </c>
      <c r="AQ368" s="1007" t="s">
        <v>161</v>
      </c>
      <c r="AR368" s="1007" t="s">
        <v>1812</v>
      </c>
      <c r="AS368" s="1007">
        <v>285716532</v>
      </c>
      <c r="AT368" s="1007">
        <v>285716532</v>
      </c>
      <c r="AU368" s="1007">
        <v>42</v>
      </c>
      <c r="AW368" s="1008">
        <v>46143</v>
      </c>
      <c r="AX368" s="1007" t="s">
        <v>973</v>
      </c>
      <c r="AY368" s="1008">
        <v>46152</v>
      </c>
      <c r="AZ368" s="1007">
        <v>0</v>
      </c>
      <c r="BA368" s="1008">
        <v>46143</v>
      </c>
      <c r="BB368" s="1007">
        <v>2026</v>
      </c>
      <c r="BC368" s="1007">
        <v>5</v>
      </c>
      <c r="BD368" s="1007">
        <v>18</v>
      </c>
      <c r="BE368" s="1007">
        <v>33</v>
      </c>
      <c r="BF368" s="1007">
        <v>594</v>
      </c>
      <c r="BG368" s="1007" t="s">
        <v>94</v>
      </c>
      <c r="BH368" s="1007" t="s">
        <v>109</v>
      </c>
    </row>
    <row r="369" spans="1:60">
      <c r="A369" s="1007" t="s">
        <v>1813</v>
      </c>
      <c r="B369" s="1007" t="s">
        <v>1802</v>
      </c>
      <c r="C369" s="1007" t="s">
        <v>1803</v>
      </c>
      <c r="D369" s="1007" t="s">
        <v>113</v>
      </c>
      <c r="E369" s="1007" t="s">
        <v>144</v>
      </c>
      <c r="F369" s="1007" t="s">
        <v>145</v>
      </c>
      <c r="G369" s="1007" t="s">
        <v>402</v>
      </c>
      <c r="H369" s="1007" t="s">
        <v>1449</v>
      </c>
      <c r="I369" s="1007" t="s">
        <v>822</v>
      </c>
      <c r="J369" s="1007" t="s">
        <v>1814</v>
      </c>
      <c r="K369" s="1007" t="s">
        <v>1805</v>
      </c>
      <c r="M369" s="1007" t="s">
        <v>840</v>
      </c>
      <c r="N369" s="1007">
        <v>46097</v>
      </c>
      <c r="O369" s="1007" t="s">
        <v>70</v>
      </c>
      <c r="P369" s="1007" t="s">
        <v>1806</v>
      </c>
      <c r="Q369" s="1007" t="s">
        <v>1807</v>
      </c>
      <c r="R369" s="1007" t="s">
        <v>331</v>
      </c>
      <c r="S369" s="1007" t="s">
        <v>1808</v>
      </c>
      <c r="T369" s="1007">
        <v>720</v>
      </c>
      <c r="U369" s="1007">
        <v>4158</v>
      </c>
      <c r="V369" s="1007">
        <v>2.99376</v>
      </c>
      <c r="W369" s="1007">
        <v>126</v>
      </c>
      <c r="X369" s="1007">
        <v>7</v>
      </c>
      <c r="Y369" s="1007" t="s">
        <v>75</v>
      </c>
      <c r="Z369" s="1007" t="s">
        <v>75</v>
      </c>
      <c r="AA369" s="1007" t="s">
        <v>1809</v>
      </c>
      <c r="AB369" s="1008">
        <v>46096</v>
      </c>
      <c r="AC369" s="1007">
        <v>11</v>
      </c>
      <c r="AD369" s="1007" t="s">
        <v>1815</v>
      </c>
      <c r="AF369" s="1007" t="s">
        <v>1525</v>
      </c>
      <c r="AG369" s="1007" t="s">
        <v>123</v>
      </c>
      <c r="AH369" s="1007" t="s">
        <v>105</v>
      </c>
      <c r="AI369" s="1008">
        <v>46101</v>
      </c>
      <c r="AJ369" s="1008">
        <v>46101</v>
      </c>
      <c r="AK369" s="1008">
        <v>46101</v>
      </c>
      <c r="AL369" s="1008">
        <v>46139</v>
      </c>
      <c r="AM369" s="1008">
        <v>46143</v>
      </c>
      <c r="AN369" s="1008">
        <v>46143</v>
      </c>
      <c r="AO369" s="1007" t="s">
        <v>402</v>
      </c>
      <c r="AP369" s="1007" t="s">
        <v>1811</v>
      </c>
      <c r="AQ369" s="1007" t="s">
        <v>161</v>
      </c>
      <c r="AR369" s="1007" t="s">
        <v>1812</v>
      </c>
      <c r="AS369" s="1007">
        <v>285716532</v>
      </c>
      <c r="AT369" s="1007">
        <v>285716532</v>
      </c>
      <c r="AU369" s="1007">
        <v>42</v>
      </c>
      <c r="AW369" s="1008">
        <v>46143</v>
      </c>
      <c r="AX369" s="1007" t="s">
        <v>973</v>
      </c>
      <c r="AY369" s="1008">
        <v>46152</v>
      </c>
      <c r="AZ369" s="1007">
        <v>0</v>
      </c>
      <c r="BA369" s="1008">
        <v>46143</v>
      </c>
      <c r="BB369" s="1007">
        <v>2026</v>
      </c>
      <c r="BC369" s="1007">
        <v>5</v>
      </c>
      <c r="BD369" s="1007">
        <v>18</v>
      </c>
      <c r="BE369" s="1007">
        <v>33</v>
      </c>
      <c r="BF369" s="1007">
        <v>594</v>
      </c>
      <c r="BG369" s="1007" t="s">
        <v>94</v>
      </c>
      <c r="BH369" s="1007" t="s">
        <v>109</v>
      </c>
    </row>
    <row r="370" spans="1:60">
      <c r="A370" s="1007" t="s">
        <v>1816</v>
      </c>
      <c r="B370" s="1007" t="s">
        <v>1802</v>
      </c>
      <c r="C370" s="1007" t="s">
        <v>1803</v>
      </c>
      <c r="D370" s="1007" t="s">
        <v>113</v>
      </c>
      <c r="E370" s="1007" t="s">
        <v>144</v>
      </c>
      <c r="F370" s="1007" t="s">
        <v>145</v>
      </c>
      <c r="G370" s="1007" t="s">
        <v>402</v>
      </c>
      <c r="H370" s="1007" t="s">
        <v>1449</v>
      </c>
      <c r="I370" s="1007" t="s">
        <v>822</v>
      </c>
      <c r="J370" s="1007" t="s">
        <v>1817</v>
      </c>
      <c r="K370" s="1007" t="s">
        <v>1805</v>
      </c>
      <c r="M370" s="1007" t="s">
        <v>840</v>
      </c>
      <c r="N370" s="1007">
        <v>46097</v>
      </c>
      <c r="O370" s="1007" t="s">
        <v>70</v>
      </c>
      <c r="P370" s="1007" t="s">
        <v>1806</v>
      </c>
      <c r="Q370" s="1007" t="s">
        <v>1807</v>
      </c>
      <c r="R370" s="1007" t="s">
        <v>331</v>
      </c>
      <c r="S370" s="1007" t="s">
        <v>1808</v>
      </c>
      <c r="T370" s="1007">
        <v>720</v>
      </c>
      <c r="U370" s="1007">
        <v>5940</v>
      </c>
      <c r="V370" s="1007">
        <v>4.2767999999999997</v>
      </c>
      <c r="W370" s="1007">
        <v>180</v>
      </c>
      <c r="X370" s="1007">
        <v>10</v>
      </c>
      <c r="Y370" s="1007" t="s">
        <v>75</v>
      </c>
      <c r="Z370" s="1007" t="s">
        <v>75</v>
      </c>
      <c r="AA370" s="1007" t="s">
        <v>1809</v>
      </c>
      <c r="AB370" s="1008">
        <v>46101</v>
      </c>
      <c r="AC370" s="1007">
        <v>12</v>
      </c>
      <c r="AD370" s="1007" t="s">
        <v>1818</v>
      </c>
      <c r="AF370" s="1007" t="s">
        <v>122</v>
      </c>
      <c r="AG370" s="1007" t="s">
        <v>123</v>
      </c>
      <c r="AH370" s="1007" t="s">
        <v>105</v>
      </c>
      <c r="AI370" s="1008">
        <v>46105</v>
      </c>
      <c r="AJ370" s="1008">
        <v>46115</v>
      </c>
      <c r="AK370" s="1008">
        <v>46111</v>
      </c>
      <c r="AL370" s="1008">
        <v>46147</v>
      </c>
      <c r="AM370" s="1008">
        <v>46166</v>
      </c>
      <c r="AN370" s="1008">
        <v>46167</v>
      </c>
      <c r="AO370" s="1007" t="s">
        <v>402</v>
      </c>
      <c r="AP370" s="1007" t="s">
        <v>1819</v>
      </c>
      <c r="AQ370" s="1007" t="s">
        <v>161</v>
      </c>
      <c r="AR370" s="1007" t="s">
        <v>1820</v>
      </c>
      <c r="AS370" s="1007" t="s">
        <v>1821</v>
      </c>
      <c r="AT370" s="1007" t="s">
        <v>1821</v>
      </c>
      <c r="AU370" s="1007">
        <v>56</v>
      </c>
      <c r="AW370" s="1008">
        <v>46167</v>
      </c>
      <c r="AX370" s="1007" t="s">
        <v>973</v>
      </c>
      <c r="AY370" s="1008">
        <v>46160</v>
      </c>
      <c r="AZ370" s="1007">
        <v>0</v>
      </c>
      <c r="BA370" s="1008">
        <v>46167</v>
      </c>
      <c r="BB370" s="1007">
        <v>2026</v>
      </c>
      <c r="BC370" s="1007">
        <v>5</v>
      </c>
      <c r="BD370" s="1007">
        <v>22</v>
      </c>
      <c r="BE370" s="1007">
        <v>33</v>
      </c>
      <c r="BF370" s="1007">
        <v>594</v>
      </c>
      <c r="BG370" s="1007" t="s">
        <v>94</v>
      </c>
      <c r="BH370" s="1007" t="s">
        <v>109</v>
      </c>
    </row>
    <row r="371" spans="1:60">
      <c r="A371" s="1007" t="s">
        <v>1822</v>
      </c>
      <c r="B371" s="1007" t="s">
        <v>1802</v>
      </c>
      <c r="C371" s="1007" t="s">
        <v>1803</v>
      </c>
      <c r="D371" s="1007" t="s">
        <v>113</v>
      </c>
      <c r="E371" s="1007" t="s">
        <v>144</v>
      </c>
      <c r="F371" s="1007" t="s">
        <v>145</v>
      </c>
      <c r="G371" s="1007" t="s">
        <v>402</v>
      </c>
      <c r="H371" s="1007" t="s">
        <v>1449</v>
      </c>
      <c r="I371" s="1007" t="s">
        <v>822</v>
      </c>
      <c r="J371" s="1007" t="s">
        <v>1823</v>
      </c>
      <c r="K371" s="1007" t="s">
        <v>1805</v>
      </c>
      <c r="M371" s="1007" t="s">
        <v>840</v>
      </c>
      <c r="N371" s="1007">
        <v>46097</v>
      </c>
      <c r="O371" s="1007" t="s">
        <v>70</v>
      </c>
      <c r="P371" s="1007" t="s">
        <v>1806</v>
      </c>
      <c r="Q371" s="1007" t="s">
        <v>1807</v>
      </c>
      <c r="R371" s="1007" t="s">
        <v>331</v>
      </c>
      <c r="S371" s="1007" t="s">
        <v>1808</v>
      </c>
      <c r="T371" s="1007">
        <v>720</v>
      </c>
      <c r="U371" s="1007">
        <v>5346</v>
      </c>
      <c r="V371" s="1007">
        <v>3.8491200000000001</v>
      </c>
      <c r="W371" s="1007">
        <v>162</v>
      </c>
      <c r="X371" s="1007">
        <v>9</v>
      </c>
      <c r="Y371" s="1007" t="s">
        <v>75</v>
      </c>
      <c r="Z371" s="1007" t="s">
        <v>75</v>
      </c>
      <c r="AA371" s="1007" t="s">
        <v>1809</v>
      </c>
      <c r="AB371" s="1008">
        <v>46100</v>
      </c>
      <c r="AC371" s="1007">
        <v>12</v>
      </c>
      <c r="AD371" s="1007" t="s">
        <v>1824</v>
      </c>
      <c r="AF371" s="1007" t="s">
        <v>122</v>
      </c>
      <c r="AG371" s="1007" t="s">
        <v>123</v>
      </c>
      <c r="AH371" s="1007" t="s">
        <v>105</v>
      </c>
      <c r="AI371" s="1008">
        <v>46105</v>
      </c>
      <c r="AJ371" s="1008">
        <v>46115</v>
      </c>
      <c r="AK371" s="1008">
        <v>46111</v>
      </c>
      <c r="AL371" s="1008">
        <v>46147</v>
      </c>
      <c r="AM371" s="1008">
        <v>46166</v>
      </c>
      <c r="AN371" s="1008">
        <v>46167</v>
      </c>
      <c r="AO371" s="1007" t="s">
        <v>402</v>
      </c>
      <c r="AP371" s="1007" t="s">
        <v>1819</v>
      </c>
      <c r="AQ371" s="1007" t="s">
        <v>161</v>
      </c>
      <c r="AR371" s="1007" t="s">
        <v>1820</v>
      </c>
      <c r="AS371" s="1007" t="s">
        <v>1821</v>
      </c>
      <c r="AT371" s="1007" t="s">
        <v>1821</v>
      </c>
      <c r="AU371" s="1007">
        <v>56</v>
      </c>
      <c r="AW371" s="1008">
        <v>46167</v>
      </c>
      <c r="AX371" s="1007" t="s">
        <v>973</v>
      </c>
      <c r="AY371" s="1008">
        <v>46160</v>
      </c>
      <c r="AZ371" s="1007">
        <v>0</v>
      </c>
      <c r="BA371" s="1008">
        <v>46167</v>
      </c>
      <c r="BB371" s="1007">
        <v>2026</v>
      </c>
      <c r="BC371" s="1007">
        <v>5</v>
      </c>
      <c r="BD371" s="1007">
        <v>22</v>
      </c>
      <c r="BE371" s="1007">
        <v>33</v>
      </c>
      <c r="BF371" s="1007">
        <v>594</v>
      </c>
      <c r="BG371" s="1007" t="s">
        <v>94</v>
      </c>
      <c r="BH371" s="1007" t="s">
        <v>109</v>
      </c>
    </row>
    <row r="372" spans="1:60">
      <c r="A372" s="1007" t="s">
        <v>1825</v>
      </c>
      <c r="B372" s="1007" t="s">
        <v>1802</v>
      </c>
      <c r="C372" s="1007" t="s">
        <v>1803</v>
      </c>
      <c r="D372" s="1007" t="s">
        <v>113</v>
      </c>
      <c r="E372" s="1007" t="s">
        <v>144</v>
      </c>
      <c r="F372" s="1007" t="s">
        <v>145</v>
      </c>
      <c r="G372" s="1007" t="s">
        <v>402</v>
      </c>
      <c r="H372" s="1007" t="s">
        <v>1449</v>
      </c>
      <c r="I372" s="1007" t="s">
        <v>822</v>
      </c>
      <c r="J372" s="1007" t="s">
        <v>1826</v>
      </c>
      <c r="K372" s="1007" t="s">
        <v>1805</v>
      </c>
      <c r="M372" s="1007" t="s">
        <v>840</v>
      </c>
      <c r="N372" s="1007">
        <v>46097</v>
      </c>
      <c r="O372" s="1007" t="s">
        <v>70</v>
      </c>
      <c r="P372" s="1007" t="s">
        <v>1806</v>
      </c>
      <c r="Q372" s="1007" t="s">
        <v>1807</v>
      </c>
      <c r="R372" s="1007" t="s">
        <v>331</v>
      </c>
      <c r="S372" s="1007" t="s">
        <v>1808</v>
      </c>
      <c r="T372" s="1007">
        <v>720</v>
      </c>
      <c r="U372" s="1007">
        <v>4752</v>
      </c>
      <c r="V372" s="1007">
        <v>3.42144</v>
      </c>
      <c r="W372" s="1007">
        <v>144</v>
      </c>
      <c r="X372" s="1007">
        <v>8</v>
      </c>
      <c r="Y372" s="1007" t="s">
        <v>75</v>
      </c>
      <c r="Z372" s="1007" t="s">
        <v>75</v>
      </c>
      <c r="AA372" s="1007" t="s">
        <v>1809</v>
      </c>
      <c r="AB372" s="1008">
        <v>46099</v>
      </c>
      <c r="AC372" s="1007">
        <v>12</v>
      </c>
      <c r="AD372" s="1007" t="s">
        <v>1827</v>
      </c>
      <c r="AF372" s="1007" t="s">
        <v>1525</v>
      </c>
      <c r="AG372" s="1007" t="s">
        <v>123</v>
      </c>
      <c r="AH372" s="1007" t="s">
        <v>105</v>
      </c>
      <c r="AI372" s="1008">
        <v>46105</v>
      </c>
      <c r="AJ372" s="1008">
        <v>46107</v>
      </c>
      <c r="AK372" s="1008">
        <v>46107</v>
      </c>
      <c r="AL372" s="1008">
        <v>46150</v>
      </c>
      <c r="AM372" s="1008">
        <v>46148</v>
      </c>
      <c r="AN372" s="1008">
        <v>46148</v>
      </c>
      <c r="AO372" s="1007" t="s">
        <v>402</v>
      </c>
      <c r="AP372" s="1007" t="s">
        <v>1782</v>
      </c>
      <c r="AQ372" s="1007" t="s">
        <v>161</v>
      </c>
      <c r="AR372" s="1007" t="s">
        <v>1828</v>
      </c>
      <c r="AS372" s="1007" t="s">
        <v>1829</v>
      </c>
      <c r="AT372" s="1007" t="s">
        <v>1830</v>
      </c>
      <c r="AU372" s="1007">
        <v>41</v>
      </c>
      <c r="AW372" s="1008">
        <v>46148</v>
      </c>
      <c r="AX372" s="1007" t="s">
        <v>973</v>
      </c>
      <c r="AY372" s="1008">
        <v>46163</v>
      </c>
      <c r="AZ372" s="1007">
        <v>0</v>
      </c>
      <c r="BA372" s="1008">
        <v>46148</v>
      </c>
      <c r="BB372" s="1007">
        <v>2026</v>
      </c>
      <c r="BC372" s="1007">
        <v>5</v>
      </c>
      <c r="BD372" s="1007">
        <v>19</v>
      </c>
      <c r="BE372" s="1007">
        <v>33</v>
      </c>
      <c r="BF372" s="1007">
        <v>594</v>
      </c>
      <c r="BG372" s="1007" t="s">
        <v>94</v>
      </c>
      <c r="BH372" s="1007" t="s">
        <v>109</v>
      </c>
    </row>
    <row r="373" spans="1:60">
      <c r="A373" s="1007" t="s">
        <v>1831</v>
      </c>
      <c r="B373" s="1007" t="s">
        <v>61</v>
      </c>
      <c r="C373" s="1007" t="s">
        <v>1286</v>
      </c>
      <c r="D373" s="1007" t="s">
        <v>63</v>
      </c>
      <c r="E373" s="1007" t="s">
        <v>64</v>
      </c>
      <c r="F373" s="1007" t="s">
        <v>450</v>
      </c>
      <c r="G373" s="1007" t="s">
        <v>402</v>
      </c>
      <c r="H373" s="1007" t="s">
        <v>451</v>
      </c>
      <c r="I373" s="1007" t="s">
        <v>689</v>
      </c>
      <c r="J373" s="1007" t="s">
        <v>1832</v>
      </c>
      <c r="M373" s="1007" t="s">
        <v>68</v>
      </c>
      <c r="N373" s="1007">
        <v>46097</v>
      </c>
      <c r="O373" s="1007" t="s">
        <v>70</v>
      </c>
      <c r="P373" s="1007" t="s">
        <v>1151</v>
      </c>
      <c r="Q373" s="1007" t="s">
        <v>421</v>
      </c>
      <c r="R373" s="1007" t="s">
        <v>73</v>
      </c>
      <c r="S373" s="1007" t="s">
        <v>967</v>
      </c>
      <c r="T373" s="1007">
        <v>505</v>
      </c>
      <c r="U373" s="1007">
        <v>1728</v>
      </c>
      <c r="V373" s="1007">
        <v>0.87263999999999997</v>
      </c>
      <c r="W373" s="1007">
        <v>48</v>
      </c>
      <c r="X373" s="1007">
        <v>2</v>
      </c>
      <c r="Y373" s="1007" t="s">
        <v>75</v>
      </c>
      <c r="Z373" s="1007" t="s">
        <v>75</v>
      </c>
      <c r="AA373" s="1007" t="s">
        <v>1456</v>
      </c>
      <c r="AB373" s="1008">
        <v>46096</v>
      </c>
      <c r="AC373" s="1007">
        <v>11</v>
      </c>
      <c r="AD373" s="1007" t="s">
        <v>1833</v>
      </c>
      <c r="AF373" s="1007" t="s">
        <v>77</v>
      </c>
      <c r="AG373" s="1007" t="s">
        <v>61</v>
      </c>
      <c r="AH373" s="1007" t="s">
        <v>456</v>
      </c>
      <c r="AI373" s="1008">
        <v>46102</v>
      </c>
      <c r="AJ373" s="1008">
        <v>46101</v>
      </c>
      <c r="AK373" s="1008">
        <v>46101</v>
      </c>
      <c r="AL373" s="1008">
        <v>46152</v>
      </c>
      <c r="AM373" s="1008">
        <v>46154</v>
      </c>
      <c r="AN373" s="1008">
        <v>46155</v>
      </c>
      <c r="AO373" s="1007" t="s">
        <v>402</v>
      </c>
      <c r="AP373" s="1007" t="s">
        <v>1834</v>
      </c>
      <c r="AQ373" s="1007" t="s">
        <v>161</v>
      </c>
      <c r="AR373" s="1007" t="s">
        <v>1835</v>
      </c>
      <c r="AS373" s="1007" t="s">
        <v>1836</v>
      </c>
      <c r="AT373" s="1007" t="s">
        <v>1836</v>
      </c>
      <c r="AU373" s="1007">
        <v>54</v>
      </c>
      <c r="AW373" s="1008">
        <v>46155</v>
      </c>
      <c r="AX373" s="1007" t="s">
        <v>973</v>
      </c>
      <c r="AY373" s="1008">
        <v>46166</v>
      </c>
      <c r="AZ373" s="1007">
        <v>7</v>
      </c>
      <c r="BA373" s="1008">
        <v>46162</v>
      </c>
      <c r="BB373" s="1007">
        <v>2026</v>
      </c>
      <c r="BC373" s="1007">
        <v>5</v>
      </c>
      <c r="BD373" s="1007">
        <v>21</v>
      </c>
      <c r="BE373" s="1007">
        <v>36</v>
      </c>
      <c r="BF373" s="1007">
        <v>864</v>
      </c>
      <c r="BG373" s="1007" t="s">
        <v>85</v>
      </c>
      <c r="BH373" s="1007" t="s">
        <v>109</v>
      </c>
    </row>
    <row r="374" spans="1:60">
      <c r="A374" s="1007" t="s">
        <v>1837</v>
      </c>
      <c r="B374" s="1007" t="s">
        <v>61</v>
      </c>
      <c r="C374" s="1007" t="s">
        <v>1838</v>
      </c>
      <c r="D374" s="1007" t="s">
        <v>63</v>
      </c>
      <c r="E374" s="1007" t="s">
        <v>64</v>
      </c>
      <c r="F374" s="1007" t="s">
        <v>65</v>
      </c>
      <c r="G374" s="1007" t="s">
        <v>402</v>
      </c>
      <c r="H374" s="1007" t="s">
        <v>67</v>
      </c>
      <c r="I374" s="1007" t="s">
        <v>869</v>
      </c>
      <c r="J374" s="1007" t="s">
        <v>690</v>
      </c>
      <c r="M374" s="1007" t="s">
        <v>68</v>
      </c>
      <c r="N374" s="1007">
        <v>46104</v>
      </c>
      <c r="O374" s="1007" t="s">
        <v>70</v>
      </c>
      <c r="P374" s="1007" t="s">
        <v>204</v>
      </c>
      <c r="Q374" s="1007" t="s">
        <v>205</v>
      </c>
      <c r="R374" s="1007" t="s">
        <v>73</v>
      </c>
      <c r="S374" s="1007" t="s">
        <v>967</v>
      </c>
      <c r="T374" s="1007">
        <v>455</v>
      </c>
      <c r="U374" s="1007">
        <v>936</v>
      </c>
      <c r="V374" s="1007">
        <v>0.42587999999999998</v>
      </c>
      <c r="W374" s="1007">
        <v>26</v>
      </c>
      <c r="X374" s="1007">
        <v>1</v>
      </c>
      <c r="Y374" s="1007" t="s">
        <v>75</v>
      </c>
      <c r="Z374" s="1007" t="s">
        <v>75</v>
      </c>
      <c r="AA374" s="1007" t="s">
        <v>1839</v>
      </c>
      <c r="AB374" s="1008">
        <v>46098</v>
      </c>
      <c r="AC374" s="1007">
        <v>12</v>
      </c>
      <c r="AD374" s="1007" t="s">
        <v>1840</v>
      </c>
      <c r="AF374" s="1007" t="s">
        <v>77</v>
      </c>
      <c r="AG374" s="1007" t="s">
        <v>61</v>
      </c>
      <c r="AH374" s="1007" t="s">
        <v>356</v>
      </c>
      <c r="AI374" s="1008">
        <v>46103</v>
      </c>
      <c r="AJ374" s="1008">
        <v>46103</v>
      </c>
      <c r="AK374" s="1008">
        <v>46103</v>
      </c>
      <c r="AL374" s="1008">
        <v>46154</v>
      </c>
      <c r="AM374" s="1008">
        <v>46161</v>
      </c>
      <c r="AN374" s="1008">
        <v>46162</v>
      </c>
      <c r="AO374" s="1007" t="s">
        <v>402</v>
      </c>
      <c r="AP374" s="1007" t="s">
        <v>937</v>
      </c>
      <c r="AQ374" s="1007" t="s">
        <v>80</v>
      </c>
      <c r="AR374" s="1007" t="s">
        <v>1841</v>
      </c>
      <c r="AS374" s="1007" t="s">
        <v>1842</v>
      </c>
      <c r="AT374" s="1007" t="s">
        <v>1842</v>
      </c>
      <c r="AU374" s="1007">
        <v>59</v>
      </c>
      <c r="AW374" s="1008">
        <v>46162</v>
      </c>
      <c r="AX374" s="1007" t="s">
        <v>973</v>
      </c>
      <c r="AY374" s="1008">
        <v>46175</v>
      </c>
      <c r="AZ374" s="1007">
        <v>8</v>
      </c>
      <c r="BA374" s="1008">
        <v>46170</v>
      </c>
      <c r="BB374" s="1007">
        <v>2026</v>
      </c>
      <c r="BC374" s="1007">
        <v>5</v>
      </c>
      <c r="BD374" s="1007">
        <v>22</v>
      </c>
      <c r="BE374" s="1007">
        <v>36</v>
      </c>
      <c r="BF374" s="1007">
        <v>936</v>
      </c>
      <c r="BG374" s="1007" t="s">
        <v>94</v>
      </c>
      <c r="BH374" s="1007" t="s">
        <v>109</v>
      </c>
    </row>
    <row r="375" spans="1:60">
      <c r="A375" s="1007" t="s">
        <v>1843</v>
      </c>
      <c r="B375" s="1007" t="s">
        <v>61</v>
      </c>
      <c r="C375" s="1007" t="s">
        <v>1838</v>
      </c>
      <c r="D375" s="1007" t="s">
        <v>63</v>
      </c>
      <c r="E375" s="1007" t="s">
        <v>64</v>
      </c>
      <c r="F375" s="1007" t="s">
        <v>65</v>
      </c>
      <c r="G375" s="1007" t="s">
        <v>402</v>
      </c>
      <c r="H375" s="1007" t="s">
        <v>67</v>
      </c>
      <c r="I375" s="1007" t="s">
        <v>869</v>
      </c>
      <c r="J375" s="1007" t="s">
        <v>96</v>
      </c>
      <c r="M375" s="1007" t="s">
        <v>68</v>
      </c>
      <c r="N375" s="1007">
        <v>46104</v>
      </c>
      <c r="O375" s="1007" t="s">
        <v>70</v>
      </c>
      <c r="P375" s="1007" t="s">
        <v>204</v>
      </c>
      <c r="Q375" s="1007" t="s">
        <v>205</v>
      </c>
      <c r="R375" s="1007" t="s">
        <v>73</v>
      </c>
      <c r="S375" s="1007" t="s">
        <v>967</v>
      </c>
      <c r="T375" s="1007">
        <v>455</v>
      </c>
      <c r="U375" s="1007">
        <v>1872</v>
      </c>
      <c r="V375" s="1007">
        <v>0.85175999999999996</v>
      </c>
      <c r="W375" s="1007">
        <v>52</v>
      </c>
      <c r="X375" s="1007">
        <v>2</v>
      </c>
      <c r="Y375" s="1007" t="s">
        <v>951</v>
      </c>
      <c r="Z375" s="1007" t="s">
        <v>75</v>
      </c>
      <c r="AA375" s="1007" t="s">
        <v>1839</v>
      </c>
      <c r="AB375" s="1008">
        <v>46098</v>
      </c>
      <c r="AC375" s="1007">
        <v>12</v>
      </c>
      <c r="AD375" s="1007" t="s">
        <v>1844</v>
      </c>
      <c r="AF375" s="1007" t="s">
        <v>77</v>
      </c>
      <c r="AG375" s="1007" t="s">
        <v>61</v>
      </c>
      <c r="AH375" s="1007" t="s">
        <v>78</v>
      </c>
      <c r="AI375" s="1008">
        <v>46103</v>
      </c>
      <c r="AJ375" s="1008">
        <v>46103</v>
      </c>
      <c r="AK375" s="1008">
        <v>46103</v>
      </c>
      <c r="AL375" s="1008">
        <v>46161</v>
      </c>
      <c r="AM375" s="1008">
        <v>46182</v>
      </c>
      <c r="AN375" s="1008">
        <v>46183</v>
      </c>
      <c r="AO375" s="1007" t="s">
        <v>402</v>
      </c>
      <c r="AP375" s="1007" t="s">
        <v>937</v>
      </c>
      <c r="AQ375" s="1007" t="s">
        <v>80</v>
      </c>
      <c r="AR375" s="1007" t="s">
        <v>1845</v>
      </c>
      <c r="AS375" s="1007" t="s">
        <v>1846</v>
      </c>
      <c r="AT375" s="1007" t="s">
        <v>1846</v>
      </c>
      <c r="AU375" s="1007">
        <v>80</v>
      </c>
      <c r="AW375" s="1008">
        <v>46183</v>
      </c>
      <c r="AX375" s="1007" t="s">
        <v>973</v>
      </c>
      <c r="AY375" s="1008">
        <v>46194</v>
      </c>
      <c r="AZ375" s="1007">
        <v>8</v>
      </c>
      <c r="BA375" s="1008">
        <v>46191</v>
      </c>
      <c r="BB375" s="1007">
        <v>2026</v>
      </c>
      <c r="BC375" s="1007">
        <v>6</v>
      </c>
      <c r="BD375" s="1007">
        <v>25</v>
      </c>
      <c r="BE375" s="1007">
        <v>36</v>
      </c>
      <c r="BF375" s="1007">
        <v>936</v>
      </c>
      <c r="BG375" s="1007" t="s">
        <v>94</v>
      </c>
      <c r="BH375" s="1007" t="s">
        <v>86</v>
      </c>
    </row>
    <row r="376" spans="1:60">
      <c r="A376" s="1007" t="s">
        <v>1847</v>
      </c>
      <c r="B376" s="1007" t="s">
        <v>61</v>
      </c>
      <c r="C376" s="1007" t="s">
        <v>1838</v>
      </c>
      <c r="D376" s="1007" t="s">
        <v>63</v>
      </c>
      <c r="E376" s="1007" t="s">
        <v>64</v>
      </c>
      <c r="F376" s="1007" t="s">
        <v>65</v>
      </c>
      <c r="G376" s="1007" t="s">
        <v>402</v>
      </c>
      <c r="H376" s="1007" t="s">
        <v>67</v>
      </c>
      <c r="I376" s="1007" t="s">
        <v>869</v>
      </c>
      <c r="J376" s="1007" t="s">
        <v>96</v>
      </c>
      <c r="M376" s="1007" t="s">
        <v>68</v>
      </c>
      <c r="N376" s="1007">
        <v>46104</v>
      </c>
      <c r="O376" s="1007" t="s">
        <v>70</v>
      </c>
      <c r="P376" s="1007" t="s">
        <v>204</v>
      </c>
      <c r="Q376" s="1007" t="s">
        <v>205</v>
      </c>
      <c r="R376" s="1007" t="s">
        <v>73</v>
      </c>
      <c r="S376" s="1007" t="s">
        <v>967</v>
      </c>
      <c r="T376" s="1007">
        <v>455</v>
      </c>
      <c r="U376" s="1007">
        <v>1872</v>
      </c>
      <c r="V376" s="1007">
        <v>0.85175999999999996</v>
      </c>
      <c r="W376" s="1007">
        <v>52</v>
      </c>
      <c r="X376" s="1007">
        <v>2</v>
      </c>
      <c r="Y376" s="1007" t="s">
        <v>951</v>
      </c>
      <c r="Z376" s="1007" t="s">
        <v>75</v>
      </c>
      <c r="AA376" s="1007" t="s">
        <v>1839</v>
      </c>
      <c r="AB376" s="1008">
        <v>46098</v>
      </c>
      <c r="AC376" s="1007">
        <v>12</v>
      </c>
      <c r="AD376" s="1007" t="s">
        <v>1848</v>
      </c>
      <c r="AF376" s="1007" t="s">
        <v>77</v>
      </c>
      <c r="AG376" s="1007" t="s">
        <v>61</v>
      </c>
      <c r="AH376" s="1007" t="s">
        <v>78</v>
      </c>
      <c r="AI376" s="1008">
        <v>46103</v>
      </c>
      <c r="AJ376" s="1008">
        <v>46103</v>
      </c>
      <c r="AK376" s="1008">
        <v>46103</v>
      </c>
      <c r="AL376" s="1008">
        <v>46161</v>
      </c>
      <c r="AM376" s="1008">
        <v>46182</v>
      </c>
      <c r="AN376" s="1008">
        <v>46183</v>
      </c>
      <c r="AO376" s="1007" t="s">
        <v>402</v>
      </c>
      <c r="AP376" s="1007" t="s">
        <v>937</v>
      </c>
      <c r="AQ376" s="1007" t="s">
        <v>80</v>
      </c>
      <c r="AR376" s="1007" t="s">
        <v>1845</v>
      </c>
      <c r="AS376" s="1007" t="s">
        <v>1846</v>
      </c>
      <c r="AT376" s="1007" t="s">
        <v>1846</v>
      </c>
      <c r="AU376" s="1007">
        <v>80</v>
      </c>
      <c r="AW376" s="1008">
        <v>46183</v>
      </c>
      <c r="AX376" s="1007" t="s">
        <v>973</v>
      </c>
      <c r="AY376" s="1008">
        <v>46195</v>
      </c>
      <c r="AZ376" s="1007">
        <v>8</v>
      </c>
      <c r="BA376" s="1008">
        <v>46191</v>
      </c>
      <c r="BB376" s="1007">
        <v>2026</v>
      </c>
      <c r="BC376" s="1007">
        <v>6</v>
      </c>
      <c r="BD376" s="1007">
        <v>25</v>
      </c>
      <c r="BE376" s="1007">
        <v>36</v>
      </c>
      <c r="BF376" s="1007">
        <v>936</v>
      </c>
      <c r="BG376" s="1007" t="s">
        <v>94</v>
      </c>
      <c r="BH376" s="1007" t="s">
        <v>86</v>
      </c>
    </row>
    <row r="377" spans="1:60">
      <c r="A377" s="1007" t="s">
        <v>1849</v>
      </c>
      <c r="B377" s="1007" t="s">
        <v>61</v>
      </c>
      <c r="C377" s="1007" t="s">
        <v>1838</v>
      </c>
      <c r="D377" s="1007" t="s">
        <v>63</v>
      </c>
      <c r="E377" s="1007" t="s">
        <v>64</v>
      </c>
      <c r="F377" s="1007" t="s">
        <v>65</v>
      </c>
      <c r="G377" s="1007" t="s">
        <v>402</v>
      </c>
      <c r="H377" s="1007" t="s">
        <v>67</v>
      </c>
      <c r="I377" s="1007" t="s">
        <v>869</v>
      </c>
      <c r="J377" s="1007" t="s">
        <v>690</v>
      </c>
      <c r="M377" s="1007" t="s">
        <v>68</v>
      </c>
      <c r="N377" s="1007">
        <v>46104</v>
      </c>
      <c r="O377" s="1007" t="s">
        <v>70</v>
      </c>
      <c r="P377" s="1007" t="s">
        <v>204</v>
      </c>
      <c r="Q377" s="1007" t="s">
        <v>205</v>
      </c>
      <c r="R377" s="1007" t="s">
        <v>73</v>
      </c>
      <c r="S377" s="1007" t="s">
        <v>967</v>
      </c>
      <c r="T377" s="1007">
        <v>455</v>
      </c>
      <c r="U377" s="1007">
        <v>1872</v>
      </c>
      <c r="V377" s="1007">
        <v>0.85175999999999996</v>
      </c>
      <c r="W377" s="1007">
        <v>52</v>
      </c>
      <c r="X377" s="1007">
        <v>2</v>
      </c>
      <c r="Y377" s="1007" t="s">
        <v>75</v>
      </c>
      <c r="Z377" s="1007" t="s">
        <v>75</v>
      </c>
      <c r="AB377" s="1008">
        <v>46098</v>
      </c>
      <c r="AC377" s="1007">
        <v>12</v>
      </c>
      <c r="AD377" s="1007" t="s">
        <v>1850</v>
      </c>
      <c r="AF377" s="1007" t="s">
        <v>77</v>
      </c>
      <c r="AG377" s="1007" t="s">
        <v>61</v>
      </c>
      <c r="AH377" s="1007" t="s">
        <v>78</v>
      </c>
      <c r="AI377" s="1008">
        <v>46103</v>
      </c>
      <c r="AJ377" s="1008">
        <v>46103</v>
      </c>
      <c r="AK377" s="1008">
        <v>46103</v>
      </c>
      <c r="AL377" s="1008">
        <v>46161</v>
      </c>
      <c r="AM377" s="1008">
        <v>46166</v>
      </c>
      <c r="AN377" s="1008">
        <v>46164</v>
      </c>
      <c r="AO377" s="1007" t="s">
        <v>402</v>
      </c>
      <c r="AP377" s="1007" t="s">
        <v>937</v>
      </c>
      <c r="AQ377" s="1007" t="s">
        <v>80</v>
      </c>
      <c r="AR377" s="1007" t="s">
        <v>1851</v>
      </c>
      <c r="AS377" s="1007" t="s">
        <v>1852</v>
      </c>
      <c r="AT377" s="1007" t="s">
        <v>1852</v>
      </c>
      <c r="AU377" s="1007">
        <v>61</v>
      </c>
      <c r="AW377" s="1008">
        <v>46164</v>
      </c>
      <c r="AX377" s="1007" t="s">
        <v>973</v>
      </c>
      <c r="AY377" s="1008">
        <v>46177</v>
      </c>
      <c r="AZ377" s="1007">
        <v>8</v>
      </c>
      <c r="BA377" s="1008">
        <v>46172</v>
      </c>
      <c r="BB377" s="1007">
        <v>2026</v>
      </c>
      <c r="BC377" s="1007">
        <v>5</v>
      </c>
      <c r="BD377" s="1007">
        <v>22</v>
      </c>
      <c r="BE377" s="1007">
        <v>36</v>
      </c>
      <c r="BF377" s="1007">
        <v>936</v>
      </c>
      <c r="BG377" s="1007" t="s">
        <v>94</v>
      </c>
      <c r="BH377" s="1007" t="s">
        <v>86</v>
      </c>
    </row>
    <row r="378" spans="1:60">
      <c r="A378" s="1007" t="s">
        <v>1853</v>
      </c>
      <c r="B378" s="1007" t="s">
        <v>1802</v>
      </c>
      <c r="C378" s="1007" t="s">
        <v>1803</v>
      </c>
      <c r="D378" s="1007" t="s">
        <v>113</v>
      </c>
      <c r="E378" s="1007" t="s">
        <v>144</v>
      </c>
      <c r="F378" s="1007" t="s">
        <v>145</v>
      </c>
      <c r="G378" s="1007" t="s">
        <v>402</v>
      </c>
      <c r="H378" s="1007" t="s">
        <v>1449</v>
      </c>
      <c r="I378" s="1007" t="s">
        <v>822</v>
      </c>
      <c r="J378" s="1007" t="s">
        <v>1854</v>
      </c>
      <c r="K378" s="1007" t="s">
        <v>1805</v>
      </c>
      <c r="M378" s="1007" t="s">
        <v>840</v>
      </c>
      <c r="N378" s="1007">
        <v>46097</v>
      </c>
      <c r="O378" s="1007" t="s">
        <v>70</v>
      </c>
      <c r="P378" s="1007" t="s">
        <v>1806</v>
      </c>
      <c r="Q378" s="1007" t="s">
        <v>1807</v>
      </c>
      <c r="R378" s="1007" t="s">
        <v>331</v>
      </c>
      <c r="S378" s="1007" t="s">
        <v>1808</v>
      </c>
      <c r="T378" s="1007">
        <v>720</v>
      </c>
      <c r="U378" s="1007">
        <v>1782</v>
      </c>
      <c r="V378" s="1007">
        <v>1.28304</v>
      </c>
      <c r="W378" s="1007">
        <v>54</v>
      </c>
      <c r="X378" s="1007">
        <v>3</v>
      </c>
      <c r="Y378" s="1007" t="s">
        <v>75</v>
      </c>
      <c r="Z378" s="1007" t="s">
        <v>75</v>
      </c>
      <c r="AA378" s="1007" t="s">
        <v>1809</v>
      </c>
      <c r="AB378" s="1008">
        <v>46106</v>
      </c>
      <c r="AC378" s="1007">
        <v>13</v>
      </c>
      <c r="AD378" s="1007" t="s">
        <v>1855</v>
      </c>
      <c r="AF378" s="1007" t="s">
        <v>945</v>
      </c>
      <c r="AG378" s="1007" t="s">
        <v>123</v>
      </c>
      <c r="AH378" s="1007" t="s">
        <v>105</v>
      </c>
      <c r="AI378" s="1008">
        <v>46110</v>
      </c>
      <c r="AJ378" s="1008">
        <v>46110</v>
      </c>
      <c r="AK378" s="1008">
        <v>46110</v>
      </c>
      <c r="AL378" s="1008">
        <v>46150</v>
      </c>
      <c r="AM378" s="1008">
        <v>46169</v>
      </c>
      <c r="AN378" s="1008">
        <v>46170</v>
      </c>
      <c r="AO378" s="1007" t="s">
        <v>402</v>
      </c>
      <c r="AP378" s="1007" t="s">
        <v>1720</v>
      </c>
      <c r="AQ378" s="1007" t="s">
        <v>80</v>
      </c>
      <c r="AR378" s="1007" t="s">
        <v>1856</v>
      </c>
      <c r="AS378" s="1007" t="s">
        <v>1857</v>
      </c>
      <c r="AT378" s="1007" t="s">
        <v>1857</v>
      </c>
      <c r="AU378" s="1007">
        <v>60</v>
      </c>
      <c r="AW378" s="1008">
        <v>46170</v>
      </c>
      <c r="AX378" s="1007" t="s">
        <v>973</v>
      </c>
      <c r="AY378" s="1008">
        <v>46163</v>
      </c>
      <c r="AZ378" s="1007">
        <v>0</v>
      </c>
      <c r="BA378" s="1008">
        <v>46170</v>
      </c>
      <c r="BB378" s="1007">
        <v>2026</v>
      </c>
      <c r="BC378" s="1007">
        <v>5</v>
      </c>
      <c r="BD378" s="1007">
        <v>22</v>
      </c>
      <c r="BE378" s="1007">
        <v>33</v>
      </c>
      <c r="BF378" s="1007">
        <v>594</v>
      </c>
      <c r="BG378" s="1007" t="s">
        <v>94</v>
      </c>
      <c r="BH378" s="1007" t="s">
        <v>109</v>
      </c>
    </row>
    <row r="379" spans="1:60">
      <c r="A379" s="1007" t="s">
        <v>1858</v>
      </c>
      <c r="B379" s="1007" t="s">
        <v>1802</v>
      </c>
      <c r="C379" s="1007" t="s">
        <v>1803</v>
      </c>
      <c r="D379" s="1007" t="s">
        <v>113</v>
      </c>
      <c r="E379" s="1007" t="s">
        <v>144</v>
      </c>
      <c r="F379" s="1007" t="s">
        <v>145</v>
      </c>
      <c r="G379" s="1007" t="s">
        <v>402</v>
      </c>
      <c r="H379" s="1007" t="s">
        <v>1449</v>
      </c>
      <c r="I379" s="1007" t="s">
        <v>822</v>
      </c>
      <c r="J379" s="1007" t="s">
        <v>1854</v>
      </c>
      <c r="K379" s="1007" t="s">
        <v>1805</v>
      </c>
      <c r="M379" s="1007" t="s">
        <v>840</v>
      </c>
      <c r="N379" s="1007">
        <v>46097</v>
      </c>
      <c r="O379" s="1007" t="s">
        <v>70</v>
      </c>
      <c r="P379" s="1007" t="s">
        <v>1806</v>
      </c>
      <c r="Q379" s="1007" t="s">
        <v>1807</v>
      </c>
      <c r="R379" s="1007" t="s">
        <v>331</v>
      </c>
      <c r="S379" s="1007" t="s">
        <v>1808</v>
      </c>
      <c r="T379" s="1007">
        <v>720</v>
      </c>
      <c r="U379" s="1007">
        <v>1188</v>
      </c>
      <c r="V379" s="1007">
        <v>0.85536000000000001</v>
      </c>
      <c r="W379" s="1007">
        <v>36</v>
      </c>
      <c r="X379" s="1007">
        <v>2</v>
      </c>
      <c r="Y379" s="1007" t="s">
        <v>75</v>
      </c>
      <c r="Z379" s="1007" t="s">
        <v>75</v>
      </c>
      <c r="AA379" s="1007" t="s">
        <v>1809</v>
      </c>
      <c r="AB379" s="1008">
        <v>46107</v>
      </c>
      <c r="AC379" s="1007">
        <v>13</v>
      </c>
      <c r="AD379" s="1007" t="s">
        <v>1859</v>
      </c>
      <c r="AF379" s="1007" t="s">
        <v>945</v>
      </c>
      <c r="AG379" s="1007" t="s">
        <v>123</v>
      </c>
      <c r="AH379" s="1007" t="s">
        <v>105</v>
      </c>
      <c r="AI379" s="1008">
        <v>46110</v>
      </c>
      <c r="AJ379" s="1008">
        <v>46112</v>
      </c>
      <c r="AK379" s="1008">
        <v>46112</v>
      </c>
      <c r="AL379" s="1008">
        <v>46147</v>
      </c>
      <c r="AM379" s="1008">
        <v>46154</v>
      </c>
      <c r="AN379" s="1008">
        <v>46157</v>
      </c>
      <c r="AO379" s="1007" t="s">
        <v>402</v>
      </c>
      <c r="AP379" s="1007" t="s">
        <v>937</v>
      </c>
      <c r="AQ379" s="1007" t="s">
        <v>80</v>
      </c>
      <c r="AR379" s="1007" t="s">
        <v>1860</v>
      </c>
      <c r="AS379" s="1007" t="s">
        <v>1861</v>
      </c>
      <c r="AT379" s="1007" t="s">
        <v>1861</v>
      </c>
      <c r="AU379" s="1007">
        <v>45</v>
      </c>
      <c r="AW379" s="1008">
        <v>46157</v>
      </c>
      <c r="AX379" s="1007" t="s">
        <v>973</v>
      </c>
      <c r="AY379" s="1008">
        <v>46160</v>
      </c>
      <c r="AZ379" s="1007">
        <v>0</v>
      </c>
      <c r="BA379" s="1008">
        <v>46157</v>
      </c>
      <c r="BB379" s="1007">
        <v>2026</v>
      </c>
      <c r="BC379" s="1007">
        <v>5</v>
      </c>
      <c r="BD379" s="1007">
        <v>20</v>
      </c>
      <c r="BE379" s="1007">
        <v>33</v>
      </c>
      <c r="BF379" s="1007">
        <v>594</v>
      </c>
      <c r="BG379" s="1007" t="s">
        <v>94</v>
      </c>
      <c r="BH379" s="1007" t="s">
        <v>109</v>
      </c>
    </row>
    <row r="380" spans="1:60">
      <c r="A380" s="1007" t="s">
        <v>1862</v>
      </c>
      <c r="B380" s="1007" t="s">
        <v>111</v>
      </c>
      <c r="C380" s="1007" t="s">
        <v>1091</v>
      </c>
      <c r="D380" s="1007" t="s">
        <v>63</v>
      </c>
      <c r="E380" s="1007" t="s">
        <v>64</v>
      </c>
      <c r="F380" s="1007" t="s">
        <v>100</v>
      </c>
      <c r="G380" s="1007" t="s">
        <v>402</v>
      </c>
      <c r="H380" s="1007" t="s">
        <v>67</v>
      </c>
      <c r="I380" s="1007" t="s">
        <v>689</v>
      </c>
      <c r="J380" s="1007" t="s">
        <v>293</v>
      </c>
      <c r="M380" s="1007" t="s">
        <v>68</v>
      </c>
      <c r="N380" s="1007" t="s">
        <v>68</v>
      </c>
      <c r="O380" s="1007" t="s">
        <v>132</v>
      </c>
      <c r="P380" s="1007" t="s">
        <v>189</v>
      </c>
      <c r="Q380" s="1007" t="s">
        <v>190</v>
      </c>
      <c r="R380" s="1007" t="s">
        <v>73</v>
      </c>
      <c r="S380" s="1007" t="s">
        <v>967</v>
      </c>
      <c r="T380" s="1007">
        <v>465</v>
      </c>
      <c r="U380" s="1007">
        <v>864</v>
      </c>
      <c r="V380" s="1007">
        <v>0.40176000000000001</v>
      </c>
      <c r="W380" s="1007">
        <v>24</v>
      </c>
      <c r="X380" s="1007">
        <v>1</v>
      </c>
      <c r="Y380" s="1007" t="s">
        <v>75</v>
      </c>
      <c r="Z380" s="1007" t="s">
        <v>75</v>
      </c>
      <c r="AB380" s="1008">
        <v>46103</v>
      </c>
      <c r="AC380" s="1007">
        <v>12</v>
      </c>
      <c r="AD380" s="1007" t="s">
        <v>1863</v>
      </c>
      <c r="AF380" s="1007" t="s">
        <v>1643</v>
      </c>
      <c r="AG380" s="1007" t="s">
        <v>123</v>
      </c>
      <c r="AH380" s="1007" t="s">
        <v>105</v>
      </c>
      <c r="AI380" s="1008">
        <v>46110</v>
      </c>
      <c r="AJ380" s="1008">
        <v>46112</v>
      </c>
      <c r="AK380" s="1008">
        <v>46112</v>
      </c>
      <c r="AL380" s="1008">
        <v>46147</v>
      </c>
      <c r="AM380" s="1008">
        <v>46154</v>
      </c>
      <c r="AN380" s="1008">
        <v>46157</v>
      </c>
      <c r="AO380" s="1007" t="s">
        <v>402</v>
      </c>
      <c r="AP380" s="1007" t="s">
        <v>937</v>
      </c>
      <c r="AQ380" s="1007" t="s">
        <v>80</v>
      </c>
      <c r="AR380" s="1007" t="s">
        <v>1864</v>
      </c>
      <c r="AS380" s="1007" t="s">
        <v>1865</v>
      </c>
      <c r="AT380" s="1007" t="s">
        <v>1866</v>
      </c>
      <c r="AU380" s="1007">
        <v>45</v>
      </c>
      <c r="AW380" s="1008">
        <v>46157</v>
      </c>
      <c r="AX380" s="1007" t="s">
        <v>973</v>
      </c>
      <c r="AY380" s="1008">
        <v>46166</v>
      </c>
      <c r="AZ380" s="1007">
        <v>7</v>
      </c>
      <c r="BA380" s="1008">
        <v>46164</v>
      </c>
      <c r="BB380" s="1007">
        <v>2026</v>
      </c>
      <c r="BC380" s="1007">
        <v>5</v>
      </c>
      <c r="BD380" s="1007">
        <v>21</v>
      </c>
      <c r="BE380" s="1007">
        <v>36</v>
      </c>
      <c r="BF380" s="1007">
        <v>864</v>
      </c>
      <c r="BG380" s="1007" t="s">
        <v>108</v>
      </c>
      <c r="BH380" s="1007" t="s">
        <v>109</v>
      </c>
    </row>
    <row r="381" spans="1:60">
      <c r="A381" s="1007" t="s">
        <v>1867</v>
      </c>
      <c r="B381" s="1007" t="s">
        <v>111</v>
      </c>
      <c r="C381" s="1007" t="s">
        <v>1091</v>
      </c>
      <c r="D381" s="1007" t="s">
        <v>63</v>
      </c>
      <c r="E381" s="1007" t="s">
        <v>144</v>
      </c>
      <c r="F381" s="1007" t="s">
        <v>145</v>
      </c>
      <c r="G381" s="1007" t="s">
        <v>402</v>
      </c>
      <c r="H381" s="1007" t="s">
        <v>1449</v>
      </c>
      <c r="I381" s="1007" t="s">
        <v>689</v>
      </c>
      <c r="J381" s="1007" t="s">
        <v>1450</v>
      </c>
      <c r="K381" s="1007" t="s">
        <v>1451</v>
      </c>
      <c r="L381" s="1007">
        <v>5</v>
      </c>
      <c r="M381" s="1007" t="s">
        <v>840</v>
      </c>
      <c r="N381" s="1007">
        <v>46069</v>
      </c>
      <c r="O381" s="1007" t="s">
        <v>132</v>
      </c>
      <c r="P381" s="1007" t="s">
        <v>189</v>
      </c>
      <c r="Q381" s="1007" t="s">
        <v>190</v>
      </c>
      <c r="R381" s="1007" t="s">
        <v>73</v>
      </c>
      <c r="S381" s="1007" t="s">
        <v>967</v>
      </c>
      <c r="T381" s="1007">
        <v>465</v>
      </c>
      <c r="U381" s="1007">
        <v>3456</v>
      </c>
      <c r="V381" s="1007">
        <v>1.60704</v>
      </c>
      <c r="W381" s="1007">
        <v>96</v>
      </c>
      <c r="X381" s="1007">
        <v>4</v>
      </c>
      <c r="Y381" s="1007" t="s">
        <v>75</v>
      </c>
      <c r="Z381" s="1007" t="s">
        <v>75</v>
      </c>
      <c r="AA381" s="1007" t="s">
        <v>1868</v>
      </c>
      <c r="AB381" s="1008">
        <v>46103</v>
      </c>
      <c r="AC381" s="1007">
        <v>12</v>
      </c>
      <c r="AD381" s="1007" t="s">
        <v>1869</v>
      </c>
      <c r="AF381" s="1007" t="s">
        <v>1643</v>
      </c>
      <c r="AG381" s="1007" t="s">
        <v>123</v>
      </c>
      <c r="AH381" s="1007" t="s">
        <v>105</v>
      </c>
      <c r="AI381" s="1008">
        <v>46110</v>
      </c>
      <c r="AJ381" s="1008">
        <v>46112</v>
      </c>
      <c r="AK381" s="1008">
        <v>46112</v>
      </c>
      <c r="AL381" s="1008">
        <v>46147</v>
      </c>
      <c r="AM381" s="1008">
        <v>46154</v>
      </c>
      <c r="AN381" s="1008">
        <v>46157</v>
      </c>
      <c r="AO381" s="1007" t="s">
        <v>402</v>
      </c>
      <c r="AP381" s="1007" t="s">
        <v>937</v>
      </c>
      <c r="AQ381" s="1007" t="s">
        <v>80</v>
      </c>
      <c r="AR381" s="1007" t="s">
        <v>1870</v>
      </c>
      <c r="AS381" s="1007" t="s">
        <v>1866</v>
      </c>
      <c r="AT381" s="1007" t="s">
        <v>1866</v>
      </c>
      <c r="AU381" s="1007">
        <v>45</v>
      </c>
      <c r="AW381" s="1008">
        <v>46157</v>
      </c>
      <c r="AX381" s="1007" t="s">
        <v>973</v>
      </c>
      <c r="AY381" s="1008">
        <v>46138</v>
      </c>
      <c r="AZ381" s="1007">
        <v>0</v>
      </c>
      <c r="BA381" s="1008">
        <v>46157</v>
      </c>
      <c r="BB381" s="1007">
        <v>2026</v>
      </c>
      <c r="BC381" s="1007">
        <v>5</v>
      </c>
      <c r="BD381" s="1007">
        <v>20</v>
      </c>
      <c r="BE381" s="1007">
        <v>36</v>
      </c>
      <c r="BF381" s="1007">
        <v>864</v>
      </c>
      <c r="BG381" s="1007" t="s">
        <v>108</v>
      </c>
      <c r="BH381" s="1007" t="s">
        <v>109</v>
      </c>
    </row>
    <row r="382" spans="1:60">
      <c r="A382" s="1007" t="s">
        <v>1871</v>
      </c>
      <c r="B382" s="1007" t="s">
        <v>111</v>
      </c>
      <c r="C382" s="1007" t="s">
        <v>1091</v>
      </c>
      <c r="D382" s="1007" t="s">
        <v>63</v>
      </c>
      <c r="E382" s="1007" t="s">
        <v>144</v>
      </c>
      <c r="F382" s="1007" t="s">
        <v>145</v>
      </c>
      <c r="G382" s="1007" t="s">
        <v>402</v>
      </c>
      <c r="H382" s="1007" t="s">
        <v>1449</v>
      </c>
      <c r="I382" s="1007" t="s">
        <v>689</v>
      </c>
      <c r="J382" s="1007" t="s">
        <v>1450</v>
      </c>
      <c r="K382" s="1007" t="s">
        <v>1451</v>
      </c>
      <c r="L382" s="1007">
        <v>10</v>
      </c>
      <c r="M382" s="1007" t="s">
        <v>840</v>
      </c>
      <c r="N382" s="1007">
        <v>46069</v>
      </c>
      <c r="O382" s="1007" t="s">
        <v>132</v>
      </c>
      <c r="P382" s="1007" t="s">
        <v>189</v>
      </c>
      <c r="Q382" s="1007" t="s">
        <v>190</v>
      </c>
      <c r="R382" s="1007" t="s">
        <v>73</v>
      </c>
      <c r="S382" s="1007" t="s">
        <v>967</v>
      </c>
      <c r="T382" s="1007">
        <v>465</v>
      </c>
      <c r="U382" s="1007">
        <v>864</v>
      </c>
      <c r="V382" s="1007">
        <v>0.40176000000000001</v>
      </c>
      <c r="W382" s="1007">
        <v>24</v>
      </c>
      <c r="X382" s="1007">
        <v>1</v>
      </c>
      <c r="Y382" s="1007" t="s">
        <v>75</v>
      </c>
      <c r="Z382" s="1007" t="s">
        <v>75</v>
      </c>
      <c r="AB382" s="1008">
        <v>46103</v>
      </c>
      <c r="AC382" s="1007">
        <v>12</v>
      </c>
      <c r="AD382" s="1007" t="s">
        <v>1872</v>
      </c>
      <c r="AF382" s="1007" t="s">
        <v>1643</v>
      </c>
      <c r="AG382" s="1007" t="s">
        <v>123</v>
      </c>
      <c r="AH382" s="1007" t="s">
        <v>105</v>
      </c>
      <c r="AI382" s="1008">
        <v>46110</v>
      </c>
      <c r="AJ382" s="1008">
        <v>46112</v>
      </c>
      <c r="AK382" s="1008">
        <v>46112</v>
      </c>
      <c r="AL382" s="1008">
        <v>46147</v>
      </c>
      <c r="AM382" s="1008">
        <v>46154</v>
      </c>
      <c r="AN382" s="1008">
        <v>46157</v>
      </c>
      <c r="AO382" s="1007" t="s">
        <v>402</v>
      </c>
      <c r="AP382" s="1007" t="s">
        <v>937</v>
      </c>
      <c r="AQ382" s="1007" t="s">
        <v>80</v>
      </c>
      <c r="AR382" s="1007" t="s">
        <v>1870</v>
      </c>
      <c r="AS382" s="1007" t="s">
        <v>1866</v>
      </c>
      <c r="AT382" s="1007" t="s">
        <v>1866</v>
      </c>
      <c r="AU382" s="1007">
        <v>45</v>
      </c>
      <c r="AW382" s="1008">
        <v>46157</v>
      </c>
      <c r="AX382" s="1007" t="s">
        <v>973</v>
      </c>
      <c r="AY382" s="1008">
        <v>46166</v>
      </c>
      <c r="AZ382" s="1007">
        <v>0</v>
      </c>
      <c r="BA382" s="1008">
        <v>46157</v>
      </c>
      <c r="BB382" s="1007">
        <v>2026</v>
      </c>
      <c r="BC382" s="1007">
        <v>5</v>
      </c>
      <c r="BD382" s="1007">
        <v>20</v>
      </c>
      <c r="BE382" s="1007">
        <v>36</v>
      </c>
      <c r="BF382" s="1007">
        <v>864</v>
      </c>
      <c r="BG382" s="1007" t="s">
        <v>108</v>
      </c>
      <c r="BH382" s="1007" t="s">
        <v>109</v>
      </c>
    </row>
    <row r="383" spans="1:60">
      <c r="A383" s="1007" t="s">
        <v>1873</v>
      </c>
      <c r="B383" s="1007" t="s">
        <v>111</v>
      </c>
      <c r="C383" s="1007" t="s">
        <v>1091</v>
      </c>
      <c r="D383" s="1007" t="s">
        <v>63</v>
      </c>
      <c r="E383" s="1007" t="s">
        <v>64</v>
      </c>
      <c r="F383" s="1007" t="s">
        <v>100</v>
      </c>
      <c r="G383" s="1007" t="s">
        <v>402</v>
      </c>
      <c r="H383" s="1007" t="s">
        <v>67</v>
      </c>
      <c r="I383" s="1007" t="s">
        <v>689</v>
      </c>
      <c r="J383" s="1007" t="s">
        <v>101</v>
      </c>
      <c r="M383" s="1007" t="s">
        <v>68</v>
      </c>
      <c r="N383" s="1007">
        <v>46069</v>
      </c>
      <c r="O383" s="1007" t="s">
        <v>132</v>
      </c>
      <c r="P383" s="1007" t="s">
        <v>189</v>
      </c>
      <c r="Q383" s="1007" t="s">
        <v>190</v>
      </c>
      <c r="R383" s="1007" t="s">
        <v>73</v>
      </c>
      <c r="S383" s="1007" t="s">
        <v>967</v>
      </c>
      <c r="T383" s="1007">
        <v>465</v>
      </c>
      <c r="U383" s="1007">
        <v>2592</v>
      </c>
      <c r="V383" s="1007">
        <v>1.2052799999999999</v>
      </c>
      <c r="W383" s="1007">
        <v>72</v>
      </c>
      <c r="X383" s="1007">
        <v>3</v>
      </c>
      <c r="Y383" s="1007" t="s">
        <v>75</v>
      </c>
      <c r="Z383" s="1007" t="s">
        <v>75</v>
      </c>
      <c r="AB383" s="1008">
        <v>46103</v>
      </c>
      <c r="AC383" s="1007">
        <v>12</v>
      </c>
      <c r="AD383" s="1007" t="s">
        <v>1874</v>
      </c>
      <c r="AF383" s="1007" t="s">
        <v>1643</v>
      </c>
      <c r="AG383" s="1007" t="s">
        <v>123</v>
      </c>
      <c r="AH383" s="1007" t="s">
        <v>105</v>
      </c>
      <c r="AI383" s="1008">
        <v>46110</v>
      </c>
      <c r="AJ383" s="1008">
        <v>46112</v>
      </c>
      <c r="AK383" s="1008">
        <v>46112</v>
      </c>
      <c r="AL383" s="1008">
        <v>46147</v>
      </c>
      <c r="AM383" s="1008">
        <v>46154</v>
      </c>
      <c r="AN383" s="1008">
        <v>46157</v>
      </c>
      <c r="AO383" s="1007" t="s">
        <v>402</v>
      </c>
      <c r="AP383" s="1007" t="s">
        <v>937</v>
      </c>
      <c r="AQ383" s="1007" t="s">
        <v>80</v>
      </c>
      <c r="AR383" s="1007" t="s">
        <v>1864</v>
      </c>
      <c r="AS383" s="1007" t="s">
        <v>1865</v>
      </c>
      <c r="AT383" s="1007" t="s">
        <v>1866</v>
      </c>
      <c r="AU383" s="1007">
        <v>45</v>
      </c>
      <c r="AW383" s="1008">
        <v>46157</v>
      </c>
      <c r="AX383" s="1007" t="s">
        <v>973</v>
      </c>
      <c r="AY383" s="1008">
        <v>46172</v>
      </c>
      <c r="AZ383" s="1007">
        <v>7</v>
      </c>
      <c r="BA383" s="1008">
        <v>46164</v>
      </c>
      <c r="BB383" s="1007">
        <v>2026</v>
      </c>
      <c r="BC383" s="1007">
        <v>5</v>
      </c>
      <c r="BD383" s="1007">
        <v>21</v>
      </c>
      <c r="BE383" s="1007">
        <v>36</v>
      </c>
      <c r="BF383" s="1007">
        <v>864</v>
      </c>
      <c r="BG383" s="1007" t="s">
        <v>108</v>
      </c>
      <c r="BH383" s="1007" t="s">
        <v>109</v>
      </c>
    </row>
    <row r="384" spans="1:60">
      <c r="A384" s="1007" t="s">
        <v>1875</v>
      </c>
      <c r="B384" s="1007" t="s">
        <v>111</v>
      </c>
      <c r="C384" s="1007" t="s">
        <v>1876</v>
      </c>
      <c r="D384" s="1007" t="s">
        <v>63</v>
      </c>
      <c r="E384" s="1007" t="s">
        <v>64</v>
      </c>
      <c r="F384" s="1007" t="s">
        <v>100</v>
      </c>
      <c r="G384" s="1007" t="s">
        <v>402</v>
      </c>
      <c r="H384" s="1007" t="s">
        <v>67</v>
      </c>
      <c r="I384" s="1007" t="s">
        <v>689</v>
      </c>
      <c r="J384" s="1007" t="s">
        <v>483</v>
      </c>
      <c r="M384" s="1007" t="s">
        <v>68</v>
      </c>
      <c r="N384" s="1007">
        <v>46083</v>
      </c>
      <c r="O384" s="1007" t="s">
        <v>473</v>
      </c>
      <c r="P384" s="1007" t="s">
        <v>529</v>
      </c>
      <c r="Q384" s="1007" t="s">
        <v>1311</v>
      </c>
      <c r="R384" s="1007" t="s">
        <v>73</v>
      </c>
      <c r="S384" s="1007" t="s">
        <v>967</v>
      </c>
      <c r="T384" s="1007">
        <v>455</v>
      </c>
      <c r="U384" s="1007">
        <v>4320</v>
      </c>
      <c r="V384" s="1007">
        <v>1.9656</v>
      </c>
      <c r="W384" s="1007">
        <v>120</v>
      </c>
      <c r="X384" s="1007">
        <v>5</v>
      </c>
      <c r="Y384" s="1007" t="s">
        <v>75</v>
      </c>
      <c r="Z384" s="1007" t="s">
        <v>75</v>
      </c>
      <c r="AA384" s="1007" t="s">
        <v>1548</v>
      </c>
      <c r="AB384" s="1008">
        <v>46102</v>
      </c>
      <c r="AC384" s="1007">
        <v>12</v>
      </c>
      <c r="AD384" s="1007" t="s">
        <v>1877</v>
      </c>
      <c r="AF384" s="1007" t="s">
        <v>1643</v>
      </c>
      <c r="AG384" s="1007" t="s">
        <v>123</v>
      </c>
      <c r="AH384" s="1007" t="s">
        <v>105</v>
      </c>
      <c r="AI384" s="1008">
        <v>46111</v>
      </c>
      <c r="AJ384" s="1008">
        <v>46111</v>
      </c>
      <c r="AK384" s="1008">
        <v>46111</v>
      </c>
      <c r="AL384" s="1008">
        <v>46148</v>
      </c>
      <c r="AM384" s="1008">
        <v>46157</v>
      </c>
      <c r="AN384" s="1008">
        <v>46156</v>
      </c>
      <c r="AO384" s="1007" t="s">
        <v>402</v>
      </c>
      <c r="AP384" s="1007" t="s">
        <v>1878</v>
      </c>
      <c r="AQ384" s="1007" t="s">
        <v>80</v>
      </c>
      <c r="AR384" s="1007" t="s">
        <v>1879</v>
      </c>
      <c r="AS384" s="1007" t="s">
        <v>1880</v>
      </c>
      <c r="AT384" s="1007" t="s">
        <v>1880</v>
      </c>
      <c r="AU384" s="1007">
        <v>45</v>
      </c>
      <c r="AW384" s="1008">
        <v>46156</v>
      </c>
      <c r="AX384" s="1007" t="s">
        <v>973</v>
      </c>
      <c r="AY384" s="1008">
        <v>46169</v>
      </c>
      <c r="AZ384" s="1007">
        <v>7</v>
      </c>
      <c r="BA384" s="1008">
        <v>46163</v>
      </c>
      <c r="BB384" s="1007">
        <v>2026</v>
      </c>
      <c r="BC384" s="1007">
        <v>5</v>
      </c>
      <c r="BD384" s="1007">
        <v>21</v>
      </c>
      <c r="BE384" s="1007">
        <v>36</v>
      </c>
      <c r="BF384" s="1007">
        <v>864</v>
      </c>
      <c r="BG384" s="1007" t="s">
        <v>85</v>
      </c>
      <c r="BH384" s="1007" t="s">
        <v>109</v>
      </c>
    </row>
    <row r="385" spans="1:60">
      <c r="A385" s="1007" t="s">
        <v>1881</v>
      </c>
      <c r="B385" s="1007" t="s">
        <v>1757</v>
      </c>
      <c r="C385" s="1007" t="s">
        <v>1286</v>
      </c>
      <c r="D385" s="1007" t="s">
        <v>63</v>
      </c>
      <c r="E385" s="1007" t="s">
        <v>144</v>
      </c>
      <c r="F385" s="1007" t="s">
        <v>145</v>
      </c>
      <c r="G385" s="1007" t="s">
        <v>146</v>
      </c>
      <c r="H385" s="1007" t="s">
        <v>157</v>
      </c>
      <c r="I385" s="1007" t="s">
        <v>689</v>
      </c>
      <c r="J385" s="1007" t="s">
        <v>157</v>
      </c>
      <c r="K385" s="1007" t="s">
        <v>1882</v>
      </c>
      <c r="M385" s="1007" t="s">
        <v>840</v>
      </c>
      <c r="N385" s="1007">
        <v>46104</v>
      </c>
      <c r="O385" s="1007" t="s">
        <v>70</v>
      </c>
      <c r="P385" s="1007" t="s">
        <v>1151</v>
      </c>
      <c r="Q385" s="1007" t="s">
        <v>421</v>
      </c>
      <c r="R385" s="1007" t="s">
        <v>73</v>
      </c>
      <c r="S385" s="1007" t="s">
        <v>967</v>
      </c>
      <c r="T385" s="1007">
        <v>505</v>
      </c>
      <c r="U385" s="1007">
        <v>1728</v>
      </c>
      <c r="V385" s="1007">
        <v>0.87263999999999997</v>
      </c>
      <c r="W385" s="1007">
        <v>48</v>
      </c>
      <c r="X385" s="1007">
        <v>2</v>
      </c>
      <c r="Y385" s="1007" t="s">
        <v>75</v>
      </c>
      <c r="Z385" s="1007" t="s">
        <v>75</v>
      </c>
      <c r="AA385" s="1007" t="s">
        <v>1883</v>
      </c>
      <c r="AB385" s="1008">
        <v>46109</v>
      </c>
      <c r="AC385" s="1007">
        <v>13</v>
      </c>
      <c r="AD385" s="1007" t="s">
        <v>1884</v>
      </c>
      <c r="AF385" s="1007" t="s">
        <v>1762</v>
      </c>
      <c r="AG385" s="1007" t="s">
        <v>123</v>
      </c>
      <c r="AH385" s="1007" t="s">
        <v>159</v>
      </c>
      <c r="AI385" s="1008">
        <v>46113</v>
      </c>
      <c r="AJ385" s="1008">
        <v>46113</v>
      </c>
      <c r="AK385" s="1008">
        <v>46113</v>
      </c>
      <c r="AL385" s="1008">
        <v>46172</v>
      </c>
      <c r="AM385" s="1008">
        <v>46172</v>
      </c>
      <c r="AN385" s="1008">
        <v>46172</v>
      </c>
      <c r="AO385" s="1007" t="s">
        <v>402</v>
      </c>
      <c r="AP385" s="1007" t="s">
        <v>1885</v>
      </c>
      <c r="AQ385" s="1007" t="s">
        <v>161</v>
      </c>
      <c r="AR385" s="1007" t="s">
        <v>1886</v>
      </c>
      <c r="AS385" s="1007">
        <v>267445298</v>
      </c>
      <c r="AT385" s="1007">
        <v>267445298</v>
      </c>
      <c r="AU385" s="1007">
        <v>59</v>
      </c>
      <c r="AW385" s="1008">
        <v>46172</v>
      </c>
      <c r="AX385" s="1007" t="s">
        <v>973</v>
      </c>
      <c r="AY385" s="1008">
        <v>46184</v>
      </c>
      <c r="AZ385" s="1007">
        <v>0</v>
      </c>
      <c r="BA385" s="1008">
        <v>46172</v>
      </c>
      <c r="BB385" s="1007">
        <v>2026</v>
      </c>
      <c r="BC385" s="1007">
        <v>5</v>
      </c>
      <c r="BD385" s="1007">
        <v>22</v>
      </c>
      <c r="BE385" s="1007">
        <v>36</v>
      </c>
      <c r="BF385" s="1007">
        <v>864</v>
      </c>
      <c r="BG385" s="1007" t="s">
        <v>85</v>
      </c>
      <c r="BH385" s="1007" t="s">
        <v>109</v>
      </c>
    </row>
    <row r="386" spans="1:60">
      <c r="A386" s="1007" t="s">
        <v>1887</v>
      </c>
      <c r="B386" s="1007" t="s">
        <v>1888</v>
      </c>
      <c r="C386" s="1007" t="s">
        <v>1016</v>
      </c>
      <c r="D386" s="1007" t="s">
        <v>63</v>
      </c>
      <c r="E386" s="1007" t="s">
        <v>144</v>
      </c>
      <c r="F386" s="1007" t="s">
        <v>145</v>
      </c>
      <c r="G386" s="1007" t="s">
        <v>402</v>
      </c>
      <c r="H386" s="1007" t="s">
        <v>157</v>
      </c>
      <c r="I386" s="1007" t="s">
        <v>689</v>
      </c>
      <c r="J386" s="1007" t="s">
        <v>157</v>
      </c>
      <c r="K386" s="1007" t="s">
        <v>1882</v>
      </c>
      <c r="M386" s="1007" t="s">
        <v>840</v>
      </c>
      <c r="N386" s="1007">
        <v>46069</v>
      </c>
      <c r="O386" s="1007" t="s">
        <v>70</v>
      </c>
      <c r="P386" s="1007" t="s">
        <v>195</v>
      </c>
      <c r="Q386" s="1007" t="s">
        <v>196</v>
      </c>
      <c r="R386" s="1007" t="s">
        <v>73</v>
      </c>
      <c r="S386" s="1007" t="s">
        <v>967</v>
      </c>
      <c r="T386" s="1007">
        <v>450</v>
      </c>
      <c r="U386" s="1007">
        <v>1872</v>
      </c>
      <c r="V386" s="1007">
        <v>0.84240000000000004</v>
      </c>
      <c r="W386" s="1007">
        <v>52</v>
      </c>
      <c r="X386" s="1007">
        <v>2</v>
      </c>
      <c r="Y386" s="1007" t="s">
        <v>75</v>
      </c>
      <c r="Z386" s="1007" t="s">
        <v>75</v>
      </c>
      <c r="AA386" s="1007" t="s">
        <v>1889</v>
      </c>
      <c r="AB386" s="1008">
        <v>46108</v>
      </c>
      <c r="AC386" s="1007">
        <v>13</v>
      </c>
      <c r="AD386" s="1007" t="s">
        <v>1890</v>
      </c>
      <c r="AF386" s="1007" t="s">
        <v>1891</v>
      </c>
      <c r="AG386" s="1007" t="s">
        <v>123</v>
      </c>
      <c r="AH386" s="1007" t="s">
        <v>159</v>
      </c>
      <c r="AI386" s="1008">
        <v>46113</v>
      </c>
      <c r="AJ386" s="1008">
        <v>46113</v>
      </c>
      <c r="AK386" s="1008">
        <v>46113</v>
      </c>
      <c r="AL386" s="1008">
        <v>46172</v>
      </c>
      <c r="AM386" s="1008">
        <v>46172</v>
      </c>
      <c r="AN386" s="1008">
        <v>46172</v>
      </c>
      <c r="AO386" s="1007" t="s">
        <v>402</v>
      </c>
      <c r="AP386" s="1007" t="s">
        <v>1885</v>
      </c>
      <c r="AQ386" s="1007" t="s">
        <v>161</v>
      </c>
      <c r="AR386" s="1007" t="s">
        <v>1886</v>
      </c>
      <c r="AS386" s="1007">
        <v>267445298</v>
      </c>
      <c r="AT386" s="1007">
        <v>267721245</v>
      </c>
      <c r="AU386" s="1007">
        <v>59</v>
      </c>
      <c r="AW386" s="1008">
        <v>46172</v>
      </c>
      <c r="AX386" s="1007" t="s">
        <v>973</v>
      </c>
      <c r="AY386" s="1008">
        <v>46184</v>
      </c>
      <c r="AZ386" s="1007">
        <v>0</v>
      </c>
      <c r="BA386" s="1008">
        <v>46172</v>
      </c>
      <c r="BB386" s="1007">
        <v>2026</v>
      </c>
      <c r="BC386" s="1007">
        <v>5</v>
      </c>
      <c r="BD386" s="1007">
        <v>22</v>
      </c>
      <c r="BE386" s="1007">
        <v>36</v>
      </c>
      <c r="BF386" s="1007">
        <v>936</v>
      </c>
      <c r="BG386" s="1007" t="s">
        <v>85</v>
      </c>
      <c r="BH386" s="1007" t="s">
        <v>109</v>
      </c>
    </row>
    <row r="387" spans="1:60">
      <c r="A387" s="1007" t="s">
        <v>1892</v>
      </c>
      <c r="B387" s="1007" t="s">
        <v>111</v>
      </c>
      <c r="C387" s="1007" t="s">
        <v>1893</v>
      </c>
      <c r="D387" s="1007" t="s">
        <v>63</v>
      </c>
      <c r="E387" s="1007" t="s">
        <v>144</v>
      </c>
      <c r="F387" s="1007" t="s">
        <v>145</v>
      </c>
      <c r="G387" s="1007" t="s">
        <v>402</v>
      </c>
      <c r="H387" s="1007" t="s">
        <v>593</v>
      </c>
      <c r="I387" s="1007" t="s">
        <v>869</v>
      </c>
      <c r="J387" s="1007" t="s">
        <v>594</v>
      </c>
      <c r="K387" s="1007" t="s">
        <v>1124</v>
      </c>
      <c r="M387" s="1007" t="s">
        <v>840</v>
      </c>
      <c r="N387" s="1007">
        <v>46111</v>
      </c>
      <c r="O387" s="1007" t="s">
        <v>132</v>
      </c>
      <c r="P387" s="1007" t="s">
        <v>1894</v>
      </c>
      <c r="Q387" s="1007" t="s">
        <v>1895</v>
      </c>
      <c r="R387" s="1007" t="s">
        <v>73</v>
      </c>
      <c r="S387" s="1007" t="s">
        <v>992</v>
      </c>
      <c r="T387" s="1007">
        <v>560</v>
      </c>
      <c r="U387" s="1007">
        <v>3300</v>
      </c>
      <c r="V387" s="1007">
        <v>1.8480000000000001</v>
      </c>
      <c r="W387" s="1007">
        <v>100</v>
      </c>
      <c r="X387" s="1007">
        <v>5</v>
      </c>
      <c r="Y387" s="1007" t="s">
        <v>75</v>
      </c>
      <c r="Z387" s="1007" t="s">
        <v>75</v>
      </c>
      <c r="AA387" s="1007" t="s">
        <v>1896</v>
      </c>
      <c r="AB387" s="1008">
        <v>46108</v>
      </c>
      <c r="AC387" s="1007">
        <v>13</v>
      </c>
      <c r="AD387" s="1007" t="s">
        <v>1897</v>
      </c>
      <c r="AF387" s="1007" t="s">
        <v>1643</v>
      </c>
      <c r="AG387" s="1007" t="s">
        <v>123</v>
      </c>
      <c r="AH387" s="1007" t="s">
        <v>124</v>
      </c>
      <c r="AI387" s="1008">
        <v>46114</v>
      </c>
      <c r="AJ387" s="1008">
        <v>46115</v>
      </c>
      <c r="AK387" s="1008">
        <v>46117</v>
      </c>
      <c r="AL387" s="1008">
        <v>46156</v>
      </c>
      <c r="AM387" s="1008">
        <v>46156</v>
      </c>
      <c r="AN387" s="1008">
        <v>46158</v>
      </c>
      <c r="AO387" s="1007" t="s">
        <v>402</v>
      </c>
      <c r="AP387" s="1007" t="s">
        <v>1898</v>
      </c>
      <c r="AQ387" s="1007" t="s">
        <v>80</v>
      </c>
      <c r="AR387" s="1007" t="s">
        <v>1899</v>
      </c>
      <c r="AS387" s="1007" t="s">
        <v>1900</v>
      </c>
      <c r="AT387" s="1007" t="s">
        <v>1900</v>
      </c>
      <c r="AU387" s="1007">
        <v>41</v>
      </c>
      <c r="AW387" s="1008">
        <v>46158</v>
      </c>
      <c r="AX387" s="1007" t="s">
        <v>973</v>
      </c>
      <c r="AY387" s="1008">
        <v>46169</v>
      </c>
      <c r="AZ387" s="1007">
        <v>0</v>
      </c>
      <c r="BA387" s="1008">
        <v>46158</v>
      </c>
      <c r="BB387" s="1007">
        <v>2026</v>
      </c>
      <c r="BC387" s="1007">
        <v>5</v>
      </c>
      <c r="BD387" s="1007">
        <v>20</v>
      </c>
      <c r="BE387" s="1007">
        <v>33</v>
      </c>
      <c r="BF387" s="1007">
        <v>660</v>
      </c>
      <c r="BG387" s="1007" t="s">
        <v>108</v>
      </c>
      <c r="BH387" s="1007" t="s">
        <v>86</v>
      </c>
    </row>
    <row r="388" spans="1:60">
      <c r="A388" s="1007" t="s">
        <v>1901</v>
      </c>
      <c r="B388" s="1007" t="s">
        <v>111</v>
      </c>
      <c r="C388" s="1007" t="s">
        <v>1902</v>
      </c>
      <c r="D388" s="1007" t="s">
        <v>63</v>
      </c>
      <c r="E388" s="1007" t="s">
        <v>144</v>
      </c>
      <c r="F388" s="1007" t="s">
        <v>145</v>
      </c>
      <c r="G388" s="1007" t="s">
        <v>402</v>
      </c>
      <c r="H388" s="1007" t="s">
        <v>1903</v>
      </c>
      <c r="I388" s="1007" t="s">
        <v>869</v>
      </c>
      <c r="J388" s="1007" t="s">
        <v>1903</v>
      </c>
      <c r="K388" s="1007" t="s">
        <v>1904</v>
      </c>
      <c r="M388" s="1007" t="s">
        <v>840</v>
      </c>
      <c r="N388" s="1007">
        <v>46111</v>
      </c>
      <c r="O388" s="1007" t="s">
        <v>132</v>
      </c>
      <c r="P388" s="1007" t="s">
        <v>1905</v>
      </c>
      <c r="Q388" s="1007" t="s">
        <v>1906</v>
      </c>
      <c r="R388" s="1007" t="s">
        <v>73</v>
      </c>
      <c r="S388" s="1007" t="s">
        <v>992</v>
      </c>
      <c r="T388" s="1007">
        <v>555</v>
      </c>
      <c r="U388" s="1007">
        <v>2640</v>
      </c>
      <c r="V388" s="1007">
        <v>1.4652000000000001</v>
      </c>
      <c r="W388" s="1007">
        <v>80</v>
      </c>
      <c r="X388" s="1007">
        <v>4</v>
      </c>
      <c r="Y388" s="1007" t="s">
        <v>75</v>
      </c>
      <c r="Z388" s="1007" t="s">
        <v>75</v>
      </c>
      <c r="AA388" s="1007" t="s">
        <v>1907</v>
      </c>
      <c r="AB388" s="1008">
        <v>46106</v>
      </c>
      <c r="AC388" s="1007">
        <v>13</v>
      </c>
      <c r="AD388" s="1007" t="s">
        <v>1908</v>
      </c>
      <c r="AF388" s="1007" t="s">
        <v>1643</v>
      </c>
      <c r="AG388" s="1007" t="s">
        <v>123</v>
      </c>
      <c r="AH388" s="1007" t="s">
        <v>124</v>
      </c>
      <c r="AI388" s="1008">
        <v>46111</v>
      </c>
      <c r="AJ388" s="1008">
        <v>46114</v>
      </c>
      <c r="AK388" s="1008">
        <v>46114</v>
      </c>
      <c r="AL388" s="1008">
        <v>46163</v>
      </c>
      <c r="AM388" s="1008">
        <v>46170</v>
      </c>
      <c r="AN388" s="1008">
        <v>46171</v>
      </c>
      <c r="AO388" s="1007" t="s">
        <v>402</v>
      </c>
      <c r="AP388" s="1007" t="s">
        <v>1725</v>
      </c>
      <c r="AQ388" s="1007" t="s">
        <v>80</v>
      </c>
      <c r="AR388" s="1007" t="s">
        <v>1909</v>
      </c>
      <c r="AS388" s="1007" t="s">
        <v>1910</v>
      </c>
      <c r="AT388" s="1007" t="s">
        <v>1910</v>
      </c>
      <c r="AU388" s="1007">
        <v>57</v>
      </c>
      <c r="AW388" s="1008">
        <v>46171</v>
      </c>
      <c r="AX388" s="1007" t="s">
        <v>973</v>
      </c>
      <c r="AY388" s="1008">
        <v>46176</v>
      </c>
      <c r="AZ388" s="1007">
        <v>0</v>
      </c>
      <c r="BA388" s="1008">
        <v>46171</v>
      </c>
      <c r="BB388" s="1007">
        <v>2026</v>
      </c>
      <c r="BC388" s="1007">
        <v>5</v>
      </c>
      <c r="BD388" s="1007">
        <v>22</v>
      </c>
      <c r="BE388" s="1007">
        <v>33</v>
      </c>
      <c r="BF388" s="1007">
        <v>660</v>
      </c>
      <c r="BG388" s="1007" t="s">
        <v>108</v>
      </c>
      <c r="BH388" s="1007" t="s">
        <v>86</v>
      </c>
    </row>
    <row r="389" spans="1:60">
      <c r="A389" s="1007" t="s">
        <v>1911</v>
      </c>
      <c r="B389" s="1007" t="s">
        <v>111</v>
      </c>
      <c r="C389" s="1007" t="s">
        <v>1902</v>
      </c>
      <c r="D389" s="1007" t="s">
        <v>63</v>
      </c>
      <c r="E389" s="1007" t="s">
        <v>144</v>
      </c>
      <c r="F389" s="1007" t="s">
        <v>145</v>
      </c>
      <c r="G389" s="1007" t="s">
        <v>402</v>
      </c>
      <c r="H389" s="1007" t="s">
        <v>1912</v>
      </c>
      <c r="I389" s="1007" t="s">
        <v>869</v>
      </c>
      <c r="J389" s="1007" t="s">
        <v>1913</v>
      </c>
      <c r="K389" s="1007" t="s">
        <v>1914</v>
      </c>
      <c r="M389" s="1007" t="s">
        <v>840</v>
      </c>
      <c r="N389" s="1007">
        <v>46111</v>
      </c>
      <c r="O389" s="1007" t="s">
        <v>132</v>
      </c>
      <c r="P389" s="1007" t="s">
        <v>1905</v>
      </c>
      <c r="Q389" s="1007" t="s">
        <v>1906</v>
      </c>
      <c r="R389" s="1007" t="s">
        <v>73</v>
      </c>
      <c r="S389" s="1007" t="s">
        <v>992</v>
      </c>
      <c r="T389" s="1007">
        <v>555</v>
      </c>
      <c r="U389" s="1007">
        <v>1320</v>
      </c>
      <c r="V389" s="1007">
        <v>0.73260000000000003</v>
      </c>
      <c r="W389" s="1007">
        <v>40</v>
      </c>
      <c r="X389" s="1007">
        <v>2</v>
      </c>
      <c r="Y389" s="1007" t="s">
        <v>75</v>
      </c>
      <c r="Z389" s="1007" t="s">
        <v>75</v>
      </c>
      <c r="AA389" s="1007" t="s">
        <v>1907</v>
      </c>
      <c r="AB389" s="1008">
        <v>46106</v>
      </c>
      <c r="AC389" s="1007">
        <v>13</v>
      </c>
      <c r="AD389" s="1007" t="s">
        <v>1915</v>
      </c>
      <c r="AF389" s="1007" t="s">
        <v>1643</v>
      </c>
      <c r="AG389" s="1007" t="s">
        <v>123</v>
      </c>
      <c r="AH389" s="1007" t="s">
        <v>124</v>
      </c>
      <c r="AI389" s="1008">
        <v>46111</v>
      </c>
      <c r="AJ389" s="1008">
        <v>46114</v>
      </c>
      <c r="AK389" s="1008">
        <v>46114</v>
      </c>
      <c r="AL389" s="1008">
        <v>46163</v>
      </c>
      <c r="AM389" s="1008">
        <v>46170</v>
      </c>
      <c r="AN389" s="1008">
        <v>46171</v>
      </c>
      <c r="AO389" s="1007" t="s">
        <v>402</v>
      </c>
      <c r="AP389" s="1007" t="s">
        <v>1725</v>
      </c>
      <c r="AQ389" s="1007" t="s">
        <v>80</v>
      </c>
      <c r="AR389" s="1007" t="s">
        <v>1916</v>
      </c>
      <c r="AS389" s="1007" t="s">
        <v>1917</v>
      </c>
      <c r="AT389" s="1007" t="s">
        <v>1917</v>
      </c>
      <c r="AU389" s="1007">
        <v>57</v>
      </c>
      <c r="AW389" s="1008">
        <v>46171</v>
      </c>
      <c r="AX389" s="1007" t="s">
        <v>973</v>
      </c>
      <c r="AY389" s="1008">
        <v>46176</v>
      </c>
      <c r="AZ389" s="1007">
        <v>0</v>
      </c>
      <c r="BA389" s="1008">
        <v>46171</v>
      </c>
      <c r="BB389" s="1007">
        <v>2026</v>
      </c>
      <c r="BC389" s="1007">
        <v>5</v>
      </c>
      <c r="BD389" s="1007">
        <v>22</v>
      </c>
      <c r="BE389" s="1007">
        <v>33</v>
      </c>
      <c r="BF389" s="1007">
        <v>660</v>
      </c>
      <c r="BG389" s="1007" t="s">
        <v>108</v>
      </c>
      <c r="BH389" s="1007" t="s">
        <v>86</v>
      </c>
    </row>
    <row r="390" spans="1:60">
      <c r="A390" s="1007" t="s">
        <v>1918</v>
      </c>
      <c r="B390" s="1007" t="s">
        <v>111</v>
      </c>
      <c r="C390" s="1007" t="s">
        <v>1902</v>
      </c>
      <c r="D390" s="1007" t="s">
        <v>63</v>
      </c>
      <c r="E390" s="1007" t="s">
        <v>144</v>
      </c>
      <c r="F390" s="1007" t="s">
        <v>145</v>
      </c>
      <c r="G390" s="1007" t="s">
        <v>402</v>
      </c>
      <c r="H390" s="1007" t="s">
        <v>1912</v>
      </c>
      <c r="I390" s="1007" t="s">
        <v>869</v>
      </c>
      <c r="J390" s="1007" t="s">
        <v>1913</v>
      </c>
      <c r="K390" s="1007" t="s">
        <v>1914</v>
      </c>
      <c r="M390" s="1007" t="s">
        <v>840</v>
      </c>
      <c r="N390" s="1007">
        <v>46111</v>
      </c>
      <c r="O390" s="1007" t="s">
        <v>132</v>
      </c>
      <c r="P390" s="1007" t="s">
        <v>1905</v>
      </c>
      <c r="Q390" s="1007" t="s">
        <v>1906</v>
      </c>
      <c r="R390" s="1007" t="s">
        <v>73</v>
      </c>
      <c r="S390" s="1007" t="s">
        <v>992</v>
      </c>
      <c r="T390" s="1007">
        <v>555</v>
      </c>
      <c r="U390" s="1007">
        <v>1320</v>
      </c>
      <c r="V390" s="1007">
        <v>0.73260000000000003</v>
      </c>
      <c r="W390" s="1007">
        <v>40</v>
      </c>
      <c r="X390" s="1007">
        <v>2</v>
      </c>
      <c r="Y390" s="1007" t="s">
        <v>75</v>
      </c>
      <c r="Z390" s="1007" t="s">
        <v>75</v>
      </c>
      <c r="AA390" s="1007" t="s">
        <v>1907</v>
      </c>
      <c r="AB390" s="1008">
        <v>46108</v>
      </c>
      <c r="AC390" s="1007">
        <v>13</v>
      </c>
      <c r="AD390" s="1007" t="s">
        <v>1919</v>
      </c>
      <c r="AF390" s="1007" t="s">
        <v>1643</v>
      </c>
      <c r="AG390" s="1007" t="s">
        <v>123</v>
      </c>
      <c r="AH390" s="1007" t="s">
        <v>124</v>
      </c>
      <c r="AI390" s="1008">
        <v>46114</v>
      </c>
      <c r="AJ390" s="1008">
        <v>46116</v>
      </c>
      <c r="AK390" s="1008">
        <v>46116</v>
      </c>
      <c r="AL390" s="1008">
        <v>46156</v>
      </c>
      <c r="AM390" s="1008">
        <v>46164</v>
      </c>
      <c r="AN390" s="1008">
        <v>46165</v>
      </c>
      <c r="AO390" s="1007" t="s">
        <v>402</v>
      </c>
      <c r="AP390" s="1007" t="s">
        <v>1920</v>
      </c>
      <c r="AQ390" s="1007" t="s">
        <v>80</v>
      </c>
      <c r="AR390" s="1007" t="s">
        <v>1921</v>
      </c>
      <c r="AS390" s="1007" t="s">
        <v>1922</v>
      </c>
      <c r="AT390" s="1007" t="s">
        <v>1922</v>
      </c>
      <c r="AU390" s="1007">
        <v>49</v>
      </c>
      <c r="AW390" s="1008">
        <v>46165</v>
      </c>
      <c r="AX390" s="1007" t="s">
        <v>973</v>
      </c>
      <c r="AY390" s="1008">
        <v>46169</v>
      </c>
      <c r="AZ390" s="1007">
        <v>0</v>
      </c>
      <c r="BA390" s="1008">
        <v>46165</v>
      </c>
      <c r="BB390" s="1007">
        <v>2026</v>
      </c>
      <c r="BC390" s="1007">
        <v>5</v>
      </c>
      <c r="BD390" s="1007">
        <v>21</v>
      </c>
      <c r="BE390" s="1007">
        <v>33</v>
      </c>
      <c r="BF390" s="1007">
        <v>660</v>
      </c>
      <c r="BG390" s="1007" t="s">
        <v>108</v>
      </c>
      <c r="BH390" s="1007" t="s">
        <v>86</v>
      </c>
    </row>
    <row r="391" spans="1:60">
      <c r="A391" s="1007" t="s">
        <v>1923</v>
      </c>
      <c r="B391" s="1007" t="s">
        <v>1757</v>
      </c>
      <c r="C391" s="1007" t="s">
        <v>1593</v>
      </c>
      <c r="D391" s="1007" t="s">
        <v>63</v>
      </c>
      <c r="E391" s="1007" t="s">
        <v>144</v>
      </c>
      <c r="F391" s="1007" t="s">
        <v>145</v>
      </c>
      <c r="G391" s="1007" t="s">
        <v>402</v>
      </c>
      <c r="H391" s="1007" t="s">
        <v>1029</v>
      </c>
      <c r="I391" s="1007" t="s">
        <v>689</v>
      </c>
      <c r="J391" s="1007" t="s">
        <v>1924</v>
      </c>
      <c r="K391" s="1007" t="s">
        <v>1925</v>
      </c>
      <c r="M391" s="1007" t="s">
        <v>840</v>
      </c>
      <c r="N391" s="1007">
        <v>46104</v>
      </c>
      <c r="O391" s="1007" t="s">
        <v>70</v>
      </c>
      <c r="P391" s="1007" t="s">
        <v>71</v>
      </c>
      <c r="Q391" s="1007" t="s">
        <v>72</v>
      </c>
      <c r="R391" s="1007" t="s">
        <v>73</v>
      </c>
      <c r="S391" s="1007" t="s">
        <v>967</v>
      </c>
      <c r="T391" s="1007">
        <v>500</v>
      </c>
      <c r="U391" s="1007">
        <v>2592</v>
      </c>
      <c r="V391" s="1007">
        <v>1.296</v>
      </c>
      <c r="W391" s="1007">
        <v>72</v>
      </c>
      <c r="X391" s="1007">
        <v>3</v>
      </c>
      <c r="Y391" s="1007" t="s">
        <v>75</v>
      </c>
      <c r="Z391" s="1007" t="s">
        <v>75</v>
      </c>
      <c r="AA391" s="1007" t="s">
        <v>1926</v>
      </c>
      <c r="AB391" s="1008">
        <v>46105</v>
      </c>
      <c r="AC391" s="1007">
        <v>13</v>
      </c>
      <c r="AD391" s="1007" t="s">
        <v>1927</v>
      </c>
      <c r="AF391" s="1007" t="s">
        <v>1762</v>
      </c>
      <c r="AG391" s="1007" t="s">
        <v>123</v>
      </c>
      <c r="AH391" s="1007" t="s">
        <v>888</v>
      </c>
      <c r="AI391" s="1008">
        <v>46108</v>
      </c>
      <c r="AJ391" s="1008">
        <v>46109</v>
      </c>
      <c r="AK391" s="1008">
        <v>46109</v>
      </c>
      <c r="AL391" s="1008">
        <v>46172</v>
      </c>
      <c r="AM391" s="1008">
        <v>46172</v>
      </c>
      <c r="AN391" s="1008">
        <v>46174</v>
      </c>
      <c r="AO391" s="1007" t="s">
        <v>402</v>
      </c>
      <c r="AP391" s="1007" t="s">
        <v>1928</v>
      </c>
      <c r="AQ391" s="1007" t="s">
        <v>161</v>
      </c>
      <c r="AR391" s="1007" t="s">
        <v>1929</v>
      </c>
      <c r="AS391" s="1007" t="s">
        <v>1930</v>
      </c>
      <c r="AT391" s="1007">
        <v>267777421</v>
      </c>
      <c r="AU391" s="1007">
        <v>65</v>
      </c>
      <c r="AW391" s="1008">
        <v>46174</v>
      </c>
      <c r="AX391" s="1007" t="s">
        <v>973</v>
      </c>
      <c r="AY391" s="1008">
        <v>46184</v>
      </c>
      <c r="AZ391" s="1007">
        <v>0</v>
      </c>
      <c r="BA391" s="1008">
        <v>46174</v>
      </c>
      <c r="BB391" s="1007">
        <v>2026</v>
      </c>
      <c r="BC391" s="1007">
        <v>6</v>
      </c>
      <c r="BD391" s="1007">
        <v>23</v>
      </c>
      <c r="BE391" s="1007">
        <v>36</v>
      </c>
      <c r="BF391" s="1007">
        <v>864</v>
      </c>
      <c r="BG391" s="1007" t="s">
        <v>85</v>
      </c>
      <c r="BH391" s="1007" t="s">
        <v>109</v>
      </c>
    </row>
    <row r="392" spans="1:60">
      <c r="A392" s="1007" t="s">
        <v>1931</v>
      </c>
      <c r="B392" s="1007" t="s">
        <v>1757</v>
      </c>
      <c r="C392" s="1007" t="s">
        <v>1593</v>
      </c>
      <c r="D392" s="1007" t="s">
        <v>63</v>
      </c>
      <c r="E392" s="1007" t="s">
        <v>144</v>
      </c>
      <c r="F392" s="1007" t="s">
        <v>145</v>
      </c>
      <c r="G392" s="1007" t="s">
        <v>402</v>
      </c>
      <c r="H392" s="1007" t="s">
        <v>1029</v>
      </c>
      <c r="I392" s="1007" t="s">
        <v>689</v>
      </c>
      <c r="J392" s="1007" t="s">
        <v>1924</v>
      </c>
      <c r="K392" s="1007" t="s">
        <v>1925</v>
      </c>
      <c r="M392" s="1007" t="s">
        <v>840</v>
      </c>
      <c r="N392" s="1007">
        <v>46104</v>
      </c>
      <c r="O392" s="1007" t="s">
        <v>70</v>
      </c>
      <c r="P392" s="1007" t="s">
        <v>71</v>
      </c>
      <c r="Q392" s="1007" t="s">
        <v>72</v>
      </c>
      <c r="R392" s="1007" t="s">
        <v>73</v>
      </c>
      <c r="S392" s="1007" t="s">
        <v>967</v>
      </c>
      <c r="T392" s="1007">
        <v>500</v>
      </c>
      <c r="U392" s="1007">
        <v>1728</v>
      </c>
      <c r="V392" s="1007">
        <v>0.86399999999999999</v>
      </c>
      <c r="W392" s="1007">
        <v>48</v>
      </c>
      <c r="X392" s="1007">
        <v>2</v>
      </c>
      <c r="Y392" s="1007" t="s">
        <v>75</v>
      </c>
      <c r="Z392" s="1007" t="s">
        <v>75</v>
      </c>
      <c r="AA392" s="1007" t="s">
        <v>1926</v>
      </c>
      <c r="AB392" s="1008">
        <v>46105</v>
      </c>
      <c r="AC392" s="1007">
        <v>13</v>
      </c>
      <c r="AD392" s="1007" t="s">
        <v>1932</v>
      </c>
      <c r="AF392" s="1007" t="s">
        <v>1762</v>
      </c>
      <c r="AG392" s="1007" t="s">
        <v>123</v>
      </c>
      <c r="AH392" s="1007" t="s">
        <v>888</v>
      </c>
      <c r="AI392" s="1008">
        <v>46108</v>
      </c>
      <c r="AJ392" s="1008">
        <v>46109</v>
      </c>
      <c r="AK392" s="1008">
        <v>46109</v>
      </c>
      <c r="AL392" s="1008">
        <v>46172</v>
      </c>
      <c r="AM392" s="1008">
        <v>46172</v>
      </c>
      <c r="AN392" s="1008">
        <v>46174</v>
      </c>
      <c r="AO392" s="1007" t="s">
        <v>402</v>
      </c>
      <c r="AP392" s="1007" t="s">
        <v>1928</v>
      </c>
      <c r="AQ392" s="1007" t="s">
        <v>161</v>
      </c>
      <c r="AR392" s="1007" t="s">
        <v>1929</v>
      </c>
      <c r="AS392" s="1007" t="s">
        <v>1930</v>
      </c>
      <c r="AT392" s="1007">
        <v>267777421</v>
      </c>
      <c r="AU392" s="1007">
        <v>65</v>
      </c>
      <c r="AW392" s="1008">
        <v>46174</v>
      </c>
      <c r="AX392" s="1007" t="s">
        <v>973</v>
      </c>
      <c r="AY392" s="1008">
        <v>46184</v>
      </c>
      <c r="AZ392" s="1007">
        <v>0</v>
      </c>
      <c r="BA392" s="1008">
        <v>46174</v>
      </c>
      <c r="BB392" s="1007">
        <v>2026</v>
      </c>
      <c r="BC392" s="1007">
        <v>6</v>
      </c>
      <c r="BD392" s="1007">
        <v>23</v>
      </c>
      <c r="BE392" s="1007">
        <v>36</v>
      </c>
      <c r="BF392" s="1007">
        <v>864</v>
      </c>
      <c r="BG392" s="1007" t="s">
        <v>85</v>
      </c>
      <c r="BH392" s="1007" t="s">
        <v>109</v>
      </c>
    </row>
    <row r="393" spans="1:60">
      <c r="A393" s="1007" t="s">
        <v>1933</v>
      </c>
      <c r="B393" s="1007" t="s">
        <v>61</v>
      </c>
      <c r="C393" s="1007" t="s">
        <v>1838</v>
      </c>
      <c r="D393" s="1007" t="s">
        <v>63</v>
      </c>
      <c r="E393" s="1007" t="s">
        <v>64</v>
      </c>
      <c r="F393" s="1007" t="s">
        <v>65</v>
      </c>
      <c r="G393" s="1007" t="s">
        <v>402</v>
      </c>
      <c r="H393" s="1007" t="s">
        <v>67</v>
      </c>
      <c r="I393" s="1007" t="s">
        <v>869</v>
      </c>
      <c r="J393" s="1007" t="s">
        <v>96</v>
      </c>
      <c r="M393" s="1007" t="s">
        <v>68</v>
      </c>
      <c r="N393" s="1007">
        <v>46104</v>
      </c>
      <c r="O393" s="1007" t="s">
        <v>70</v>
      </c>
      <c r="P393" s="1007" t="s">
        <v>204</v>
      </c>
      <c r="Q393" s="1007" t="s">
        <v>205</v>
      </c>
      <c r="R393" s="1007" t="s">
        <v>73</v>
      </c>
      <c r="S393" s="1007" t="s">
        <v>967</v>
      </c>
      <c r="T393" s="1007">
        <v>455</v>
      </c>
      <c r="U393" s="1007">
        <v>936</v>
      </c>
      <c r="V393" s="1007">
        <v>0.42587999999999998</v>
      </c>
      <c r="W393" s="1007">
        <v>26</v>
      </c>
      <c r="X393" s="1007">
        <v>1</v>
      </c>
      <c r="Y393" s="1007" t="s">
        <v>951</v>
      </c>
      <c r="Z393" s="1007" t="s">
        <v>75</v>
      </c>
      <c r="AB393" s="1008">
        <v>46106</v>
      </c>
      <c r="AC393" s="1007">
        <v>13</v>
      </c>
      <c r="AD393" s="1007" t="s">
        <v>1934</v>
      </c>
      <c r="AF393" s="1007" t="s">
        <v>1935</v>
      </c>
      <c r="AG393" s="1007" t="s">
        <v>61</v>
      </c>
      <c r="AH393" s="1007" t="s">
        <v>78</v>
      </c>
      <c r="AI393" s="1008">
        <v>46110</v>
      </c>
      <c r="AJ393" s="1008">
        <v>46110</v>
      </c>
      <c r="AK393" s="1008">
        <v>46110</v>
      </c>
      <c r="AL393" s="1008">
        <v>46168</v>
      </c>
      <c r="AM393" s="1008">
        <v>46190</v>
      </c>
      <c r="AN393" s="1008">
        <v>46191</v>
      </c>
      <c r="AO393" s="1007" t="s">
        <v>402</v>
      </c>
      <c r="AP393" s="1007" t="s">
        <v>1936</v>
      </c>
      <c r="AQ393" s="1007" t="s">
        <v>80</v>
      </c>
      <c r="AR393" s="1007" t="s">
        <v>1937</v>
      </c>
      <c r="AS393" s="1007" t="s">
        <v>1938</v>
      </c>
      <c r="AT393" s="1007" t="s">
        <v>1938</v>
      </c>
      <c r="AU393" s="1007">
        <v>81</v>
      </c>
      <c r="AW393" s="1008">
        <v>46191</v>
      </c>
      <c r="AX393" s="1007" t="s">
        <v>973</v>
      </c>
      <c r="AY393" s="1008">
        <v>46204</v>
      </c>
      <c r="AZ393" s="1007">
        <v>8</v>
      </c>
      <c r="BA393" s="1008">
        <v>46199</v>
      </c>
      <c r="BB393" s="1007">
        <v>2026</v>
      </c>
      <c r="BC393" s="1007">
        <v>6</v>
      </c>
      <c r="BD393" s="1007">
        <v>26</v>
      </c>
      <c r="BE393" s="1007">
        <v>36</v>
      </c>
      <c r="BF393" s="1007">
        <v>936</v>
      </c>
      <c r="BG393" s="1007" t="s">
        <v>94</v>
      </c>
      <c r="BH393" s="1007" t="s">
        <v>86</v>
      </c>
    </row>
    <row r="394" spans="1:60">
      <c r="A394" s="1007" t="s">
        <v>1939</v>
      </c>
      <c r="B394" s="1007" t="s">
        <v>61</v>
      </c>
      <c r="C394" s="1007" t="s">
        <v>1940</v>
      </c>
      <c r="D394" s="1007" t="s">
        <v>63</v>
      </c>
      <c r="E394" s="1007" t="s">
        <v>64</v>
      </c>
      <c r="F394" s="1007" t="s">
        <v>65</v>
      </c>
      <c r="G394" s="1007" t="s">
        <v>402</v>
      </c>
      <c r="H394" s="1007" t="s">
        <v>67</v>
      </c>
      <c r="I394" s="1007" t="s">
        <v>869</v>
      </c>
      <c r="J394" s="1007" t="s">
        <v>96</v>
      </c>
      <c r="M394" s="1007" t="s">
        <v>68</v>
      </c>
      <c r="N394" s="1007">
        <v>46104</v>
      </c>
      <c r="O394" s="1007" t="s">
        <v>70</v>
      </c>
      <c r="P394" s="1007" t="s">
        <v>91</v>
      </c>
      <c r="Q394" s="1007" t="s">
        <v>92</v>
      </c>
      <c r="R394" s="1007" t="s">
        <v>73</v>
      </c>
      <c r="S394" s="1007" t="s">
        <v>967</v>
      </c>
      <c r="T394" s="1007">
        <v>450</v>
      </c>
      <c r="U394" s="1007">
        <v>936</v>
      </c>
      <c r="V394" s="1007">
        <v>0.42120000000000002</v>
      </c>
      <c r="W394" s="1007">
        <v>26</v>
      </c>
      <c r="X394" s="1007">
        <v>1</v>
      </c>
      <c r="Y394" s="1007" t="s">
        <v>951</v>
      </c>
      <c r="Z394" s="1007" t="s">
        <v>75</v>
      </c>
      <c r="AA394" s="1007" t="s">
        <v>1907</v>
      </c>
      <c r="AB394" s="1008">
        <v>46106</v>
      </c>
      <c r="AC394" s="1007">
        <v>13</v>
      </c>
      <c r="AD394" s="1007" t="s">
        <v>1941</v>
      </c>
      <c r="AF394" s="1007" t="s">
        <v>1935</v>
      </c>
      <c r="AG394" s="1007" t="s">
        <v>61</v>
      </c>
      <c r="AH394" s="1007" t="s">
        <v>78</v>
      </c>
      <c r="AI394" s="1008">
        <v>46110</v>
      </c>
      <c r="AJ394" s="1008">
        <v>46110</v>
      </c>
      <c r="AK394" s="1008">
        <v>46110</v>
      </c>
      <c r="AL394" s="1008">
        <v>46168</v>
      </c>
      <c r="AM394" s="1008">
        <v>46190</v>
      </c>
      <c r="AN394" s="1008">
        <v>46191</v>
      </c>
      <c r="AO394" s="1007" t="s">
        <v>402</v>
      </c>
      <c r="AP394" s="1007" t="s">
        <v>1936</v>
      </c>
      <c r="AQ394" s="1007" t="s">
        <v>80</v>
      </c>
      <c r="AR394" s="1007" t="s">
        <v>1937</v>
      </c>
      <c r="AS394" s="1007" t="s">
        <v>1938</v>
      </c>
      <c r="AT394" s="1007" t="s">
        <v>1938</v>
      </c>
      <c r="AU394" s="1007">
        <v>81</v>
      </c>
      <c r="AW394" s="1008">
        <v>46191</v>
      </c>
      <c r="AX394" s="1007" t="s">
        <v>973</v>
      </c>
      <c r="AY394" s="1008">
        <v>46204</v>
      </c>
      <c r="AZ394" s="1007">
        <v>8</v>
      </c>
      <c r="BA394" s="1008">
        <v>46199</v>
      </c>
      <c r="BB394" s="1007">
        <v>2026</v>
      </c>
      <c r="BC394" s="1007">
        <v>6</v>
      </c>
      <c r="BD394" s="1007">
        <v>26</v>
      </c>
      <c r="BE394" s="1007">
        <v>36</v>
      </c>
      <c r="BF394" s="1007">
        <v>936</v>
      </c>
      <c r="BG394" s="1007" t="s">
        <v>94</v>
      </c>
      <c r="BH394" s="1007" t="s">
        <v>86</v>
      </c>
    </row>
    <row r="395" spans="1:60">
      <c r="A395" s="1007" t="s">
        <v>1942</v>
      </c>
      <c r="B395" s="1007" t="s">
        <v>1757</v>
      </c>
      <c r="C395" s="1007" t="s">
        <v>1593</v>
      </c>
      <c r="D395" s="1007" t="s">
        <v>63</v>
      </c>
      <c r="E395" s="1007" t="s">
        <v>144</v>
      </c>
      <c r="F395" s="1007" t="s">
        <v>145</v>
      </c>
      <c r="G395" s="1007" t="s">
        <v>402</v>
      </c>
      <c r="H395" s="1007" t="s">
        <v>881</v>
      </c>
      <c r="I395" s="1007" t="s">
        <v>689</v>
      </c>
      <c r="J395" s="1007" t="s">
        <v>1758</v>
      </c>
      <c r="K395" s="1007" t="s">
        <v>1759</v>
      </c>
      <c r="M395" s="1007" t="s">
        <v>840</v>
      </c>
      <c r="N395" s="1007">
        <v>46090</v>
      </c>
      <c r="O395" s="1007" t="s">
        <v>70</v>
      </c>
      <c r="P395" s="1007" t="s">
        <v>71</v>
      </c>
      <c r="Q395" s="1007" t="s">
        <v>72</v>
      </c>
      <c r="R395" s="1007" t="s">
        <v>73</v>
      </c>
      <c r="S395" s="1007" t="s">
        <v>967</v>
      </c>
      <c r="T395" s="1007">
        <v>500</v>
      </c>
      <c r="U395" s="1007">
        <v>2592</v>
      </c>
      <c r="V395" s="1007">
        <v>1.296</v>
      </c>
      <c r="W395" s="1007">
        <v>72</v>
      </c>
      <c r="X395" s="1007">
        <v>3</v>
      </c>
      <c r="Y395" s="1007" t="s">
        <v>75</v>
      </c>
      <c r="Z395" s="1007" t="s">
        <v>75</v>
      </c>
      <c r="AA395" s="1007" t="s">
        <v>1760</v>
      </c>
      <c r="AB395" s="1008">
        <v>46117</v>
      </c>
      <c r="AC395" s="1007">
        <v>14</v>
      </c>
      <c r="AD395" s="1007" t="s">
        <v>1943</v>
      </c>
      <c r="AF395" s="1007" t="s">
        <v>1762</v>
      </c>
      <c r="AG395" s="1007" t="s">
        <v>123</v>
      </c>
      <c r="AH395" s="1007" t="s">
        <v>888</v>
      </c>
      <c r="AI395" s="1008">
        <v>46120</v>
      </c>
      <c r="AJ395" s="1008">
        <v>46120</v>
      </c>
      <c r="AK395" s="1008">
        <v>46120</v>
      </c>
      <c r="AL395" s="1008">
        <v>46169</v>
      </c>
      <c r="AM395" s="1008">
        <v>46169</v>
      </c>
      <c r="AN395" s="1008">
        <v>46169</v>
      </c>
      <c r="AO395" s="1007" t="s">
        <v>402</v>
      </c>
      <c r="AP395" s="1007" t="s">
        <v>1944</v>
      </c>
      <c r="AQ395" s="1007" t="s">
        <v>80</v>
      </c>
      <c r="AR395" s="1007" t="s">
        <v>1945</v>
      </c>
      <c r="AS395" s="1007" t="s">
        <v>1946</v>
      </c>
      <c r="AT395" s="1007" t="s">
        <v>1946</v>
      </c>
      <c r="AU395" s="1007">
        <v>49</v>
      </c>
      <c r="AW395" s="1008">
        <v>46169</v>
      </c>
      <c r="AX395" s="1007" t="s">
        <v>973</v>
      </c>
      <c r="AY395" s="1008">
        <v>46182</v>
      </c>
      <c r="AZ395" s="1007">
        <v>0</v>
      </c>
      <c r="BA395" s="1008">
        <v>46169</v>
      </c>
      <c r="BB395" s="1007">
        <v>2026</v>
      </c>
      <c r="BC395" s="1007">
        <v>5</v>
      </c>
      <c r="BD395" s="1007">
        <v>22</v>
      </c>
      <c r="BE395" s="1007">
        <v>36</v>
      </c>
      <c r="BF395" s="1007">
        <v>864</v>
      </c>
      <c r="BG395" s="1007" t="s">
        <v>85</v>
      </c>
      <c r="BH395" s="1007" t="s">
        <v>109</v>
      </c>
    </row>
    <row r="396" spans="1:60">
      <c r="A396" s="1007" t="s">
        <v>1947</v>
      </c>
      <c r="B396" s="1007" t="s">
        <v>1757</v>
      </c>
      <c r="C396" s="1007" t="s">
        <v>1286</v>
      </c>
      <c r="D396" s="1007" t="s">
        <v>63</v>
      </c>
      <c r="E396" s="1007" t="s">
        <v>64</v>
      </c>
      <c r="F396" s="1007" t="s">
        <v>450</v>
      </c>
      <c r="G396" s="1007" t="s">
        <v>402</v>
      </c>
      <c r="H396" s="1007" t="s">
        <v>451</v>
      </c>
      <c r="I396" s="1007" t="s">
        <v>689</v>
      </c>
      <c r="J396" s="1007" t="s">
        <v>1832</v>
      </c>
      <c r="M396" s="1007" t="s">
        <v>68</v>
      </c>
      <c r="N396" s="1007">
        <v>46104</v>
      </c>
      <c r="O396" s="1007" t="s">
        <v>70</v>
      </c>
      <c r="P396" s="1007" t="s">
        <v>1151</v>
      </c>
      <c r="Q396" s="1007" t="s">
        <v>421</v>
      </c>
      <c r="R396" s="1007" t="s">
        <v>73</v>
      </c>
      <c r="S396" s="1007" t="s">
        <v>967</v>
      </c>
      <c r="T396" s="1007">
        <v>505</v>
      </c>
      <c r="U396" s="1007">
        <v>1728</v>
      </c>
      <c r="V396" s="1007">
        <v>0.87263999999999997</v>
      </c>
      <c r="W396" s="1007">
        <v>48</v>
      </c>
      <c r="X396" s="1007">
        <v>2</v>
      </c>
      <c r="Y396" s="1007" t="s">
        <v>75</v>
      </c>
      <c r="Z396" s="1007" t="s">
        <v>75</v>
      </c>
      <c r="AA396" s="1007" t="s">
        <v>1883</v>
      </c>
      <c r="AB396" s="1008">
        <v>46115</v>
      </c>
      <c r="AC396" s="1007">
        <v>14</v>
      </c>
      <c r="AD396" s="1007" t="s">
        <v>1948</v>
      </c>
      <c r="AF396" s="1007" t="s">
        <v>1762</v>
      </c>
      <c r="AG396" s="1007" t="s">
        <v>123</v>
      </c>
      <c r="AH396" s="1007" t="s">
        <v>456</v>
      </c>
      <c r="AI396" s="1008">
        <v>46118</v>
      </c>
      <c r="AJ396" s="1008">
        <v>46118</v>
      </c>
      <c r="AK396" s="1008">
        <v>46119</v>
      </c>
      <c r="AL396" s="1008">
        <v>46155</v>
      </c>
      <c r="AM396" s="1008">
        <v>46166</v>
      </c>
      <c r="AN396" s="1008">
        <v>46167</v>
      </c>
      <c r="AO396" s="1007" t="s">
        <v>402</v>
      </c>
      <c r="AP396" s="1007" t="s">
        <v>1949</v>
      </c>
      <c r="AQ396" s="1007" t="s">
        <v>80</v>
      </c>
      <c r="AR396" s="1007" t="s">
        <v>1950</v>
      </c>
      <c r="AS396" s="1007" t="s">
        <v>1951</v>
      </c>
      <c r="AT396" s="1007" t="s">
        <v>1951</v>
      </c>
      <c r="AU396" s="1007">
        <v>48</v>
      </c>
      <c r="AW396" s="1008">
        <v>46167</v>
      </c>
      <c r="AX396" s="1007" t="s">
        <v>973</v>
      </c>
      <c r="AY396" s="1008">
        <v>46180</v>
      </c>
      <c r="AZ396" s="1007">
        <v>7</v>
      </c>
      <c r="BA396" s="1008">
        <v>46174</v>
      </c>
      <c r="BB396" s="1007">
        <v>2026</v>
      </c>
      <c r="BC396" s="1007">
        <v>6</v>
      </c>
      <c r="BD396" s="1007">
        <v>23</v>
      </c>
      <c r="BE396" s="1007">
        <v>36</v>
      </c>
      <c r="BF396" s="1007">
        <v>864</v>
      </c>
      <c r="BG396" s="1007" t="s">
        <v>85</v>
      </c>
      <c r="BH396" s="1007" t="s">
        <v>109</v>
      </c>
    </row>
    <row r="397" spans="1:60">
      <c r="A397" s="1007" t="s">
        <v>1952</v>
      </c>
      <c r="B397" s="1007" t="s">
        <v>1802</v>
      </c>
      <c r="C397" s="1007" t="s">
        <v>1803</v>
      </c>
      <c r="D397" s="1007" t="s">
        <v>113</v>
      </c>
      <c r="E397" s="1007" t="s">
        <v>144</v>
      </c>
      <c r="F397" s="1007" t="s">
        <v>145</v>
      </c>
      <c r="G397" s="1007" t="s">
        <v>402</v>
      </c>
      <c r="H397" s="1007" t="s">
        <v>1449</v>
      </c>
      <c r="I397" s="1007" t="s">
        <v>822</v>
      </c>
      <c r="J397" s="1007" t="s">
        <v>1854</v>
      </c>
      <c r="K397" s="1007" t="s">
        <v>1805</v>
      </c>
      <c r="M397" s="1007" t="s">
        <v>840</v>
      </c>
      <c r="N397" s="1007">
        <v>46097</v>
      </c>
      <c r="O397" s="1007" t="s">
        <v>70</v>
      </c>
      <c r="P397" s="1007" t="s">
        <v>1806</v>
      </c>
      <c r="Q397" s="1007" t="s">
        <v>1807</v>
      </c>
      <c r="R397" s="1007" t="s">
        <v>331</v>
      </c>
      <c r="S397" s="1007" t="s">
        <v>1808</v>
      </c>
      <c r="T397" s="1007">
        <v>720</v>
      </c>
      <c r="U397" s="1007">
        <v>1782</v>
      </c>
      <c r="V397" s="1007">
        <v>1.28304</v>
      </c>
      <c r="W397" s="1007">
        <v>54</v>
      </c>
      <c r="X397" s="1007">
        <v>3</v>
      </c>
      <c r="Y397" s="1007" t="s">
        <v>75</v>
      </c>
      <c r="Z397" s="1007" t="s">
        <v>75</v>
      </c>
      <c r="AA397" s="1007" t="s">
        <v>1809</v>
      </c>
      <c r="AB397" s="1008">
        <v>46115</v>
      </c>
      <c r="AC397" s="1007">
        <v>14</v>
      </c>
      <c r="AD397" s="1007" t="s">
        <v>1953</v>
      </c>
      <c r="AF397" s="1007" t="s">
        <v>945</v>
      </c>
      <c r="AG397" s="1007" t="s">
        <v>123</v>
      </c>
      <c r="AH397" s="1007" t="s">
        <v>105</v>
      </c>
      <c r="AI397" s="1008">
        <v>46118</v>
      </c>
      <c r="AJ397" s="1008">
        <v>46119</v>
      </c>
      <c r="AK397" s="1008">
        <v>46119</v>
      </c>
      <c r="AL397" s="1008">
        <v>46155</v>
      </c>
      <c r="AM397" s="1008">
        <v>46163</v>
      </c>
      <c r="AN397" s="1008">
        <v>46163</v>
      </c>
      <c r="AO397" s="1007" t="s">
        <v>402</v>
      </c>
      <c r="AP397" s="1007" t="s">
        <v>1949</v>
      </c>
      <c r="AQ397" s="1007" t="s">
        <v>80</v>
      </c>
      <c r="AR397" s="1007" t="s">
        <v>1954</v>
      </c>
      <c r="AS397" s="1007" t="s">
        <v>1955</v>
      </c>
      <c r="AT397" s="1007" t="s">
        <v>1955</v>
      </c>
      <c r="AU397" s="1007">
        <v>44</v>
      </c>
      <c r="AW397" s="1008">
        <v>46163</v>
      </c>
      <c r="AX397" s="1007" t="s">
        <v>973</v>
      </c>
      <c r="AY397" s="1008">
        <v>46154</v>
      </c>
      <c r="AZ397" s="1007">
        <v>0</v>
      </c>
      <c r="BA397" s="1008">
        <v>46163</v>
      </c>
      <c r="BB397" s="1007">
        <v>2026</v>
      </c>
      <c r="BC397" s="1007">
        <v>5</v>
      </c>
      <c r="BD397" s="1007">
        <v>21</v>
      </c>
      <c r="BE397" s="1007">
        <v>33</v>
      </c>
      <c r="BF397" s="1007">
        <v>594</v>
      </c>
      <c r="BG397" s="1007" t="s">
        <v>94</v>
      </c>
      <c r="BH397" s="1007" t="s">
        <v>109</v>
      </c>
    </row>
    <row r="398" spans="1:60">
      <c r="A398" s="1007" t="s">
        <v>1956</v>
      </c>
      <c r="B398" s="1007" t="s">
        <v>1802</v>
      </c>
      <c r="C398" s="1007" t="s">
        <v>1803</v>
      </c>
      <c r="D398" s="1007" t="s">
        <v>113</v>
      </c>
      <c r="E398" s="1007" t="s">
        <v>144</v>
      </c>
      <c r="F398" s="1007" t="s">
        <v>145</v>
      </c>
      <c r="G398" s="1007" t="s">
        <v>402</v>
      </c>
      <c r="H398" s="1007" t="s">
        <v>1449</v>
      </c>
      <c r="I398" s="1007" t="s">
        <v>822</v>
      </c>
      <c r="J398" s="1007" t="s">
        <v>1957</v>
      </c>
      <c r="K398" s="1007" t="s">
        <v>1805</v>
      </c>
      <c r="M398" s="1007" t="s">
        <v>840</v>
      </c>
      <c r="N398" s="1007">
        <v>46104</v>
      </c>
      <c r="O398" s="1007" t="s">
        <v>70</v>
      </c>
      <c r="P398" s="1007" t="s">
        <v>1806</v>
      </c>
      <c r="Q398" s="1007" t="s">
        <v>1807</v>
      </c>
      <c r="R398" s="1007" t="s">
        <v>331</v>
      </c>
      <c r="S398" s="1007" t="s">
        <v>1808</v>
      </c>
      <c r="T398" s="1007">
        <v>720</v>
      </c>
      <c r="U398" s="1007">
        <v>3564</v>
      </c>
      <c r="V398" s="1007">
        <v>2.5660799999999999</v>
      </c>
      <c r="W398" s="1007">
        <v>108</v>
      </c>
      <c r="X398" s="1007">
        <v>6</v>
      </c>
      <c r="Y398" s="1007" t="s">
        <v>75</v>
      </c>
      <c r="Z398" s="1007" t="s">
        <v>75</v>
      </c>
      <c r="AA398" s="1007" t="s">
        <v>1958</v>
      </c>
      <c r="AB398" s="1008">
        <v>46114</v>
      </c>
      <c r="AC398" s="1007">
        <v>14</v>
      </c>
      <c r="AD398" s="1007" t="s">
        <v>1959</v>
      </c>
      <c r="AF398" s="1007" t="s">
        <v>945</v>
      </c>
      <c r="AG398" s="1007" t="s">
        <v>123</v>
      </c>
      <c r="AH398" s="1007" t="s">
        <v>105</v>
      </c>
      <c r="AI398" s="1008">
        <v>46117</v>
      </c>
      <c r="AJ398" s="1008">
        <v>46118</v>
      </c>
      <c r="AK398" s="1008">
        <v>46118</v>
      </c>
      <c r="AL398" s="1008">
        <v>46154</v>
      </c>
      <c r="AM398" s="1008">
        <v>46164</v>
      </c>
      <c r="AN398" s="1008">
        <v>46164</v>
      </c>
      <c r="AO398" s="1007" t="s">
        <v>402</v>
      </c>
      <c r="AP398" s="1007" t="s">
        <v>1960</v>
      </c>
      <c r="AQ398" s="1007" t="s">
        <v>80</v>
      </c>
      <c r="AR398" s="1007" t="s">
        <v>1961</v>
      </c>
      <c r="AS398" s="1007" t="s">
        <v>1962</v>
      </c>
      <c r="AT398" s="1007" t="s">
        <v>1962</v>
      </c>
      <c r="AU398" s="1007">
        <v>46</v>
      </c>
      <c r="AW398" s="1008">
        <v>46164</v>
      </c>
      <c r="AX398" s="1007" t="s">
        <v>973</v>
      </c>
      <c r="AY398" s="1008">
        <v>46153</v>
      </c>
      <c r="AZ398" s="1007">
        <v>0</v>
      </c>
      <c r="BA398" s="1008">
        <v>46164</v>
      </c>
      <c r="BB398" s="1007">
        <v>2026</v>
      </c>
      <c r="BC398" s="1007">
        <v>5</v>
      </c>
      <c r="BD398" s="1007">
        <v>21</v>
      </c>
      <c r="BE398" s="1007">
        <v>33</v>
      </c>
      <c r="BF398" s="1007">
        <v>594</v>
      </c>
      <c r="BG398" s="1007" t="s">
        <v>94</v>
      </c>
      <c r="BH398" s="1007" t="s">
        <v>109</v>
      </c>
    </row>
    <row r="399" spans="1:60">
      <c r="A399" s="1007" t="s">
        <v>1963</v>
      </c>
      <c r="B399" s="1007" t="s">
        <v>1802</v>
      </c>
      <c r="C399" s="1007" t="s">
        <v>1803</v>
      </c>
      <c r="D399" s="1007" t="s">
        <v>113</v>
      </c>
      <c r="E399" s="1007" t="s">
        <v>144</v>
      </c>
      <c r="F399" s="1007" t="s">
        <v>145</v>
      </c>
      <c r="G399" s="1007" t="s">
        <v>402</v>
      </c>
      <c r="H399" s="1007" t="s">
        <v>1449</v>
      </c>
      <c r="I399" s="1007" t="s">
        <v>822</v>
      </c>
      <c r="J399" s="1007" t="s">
        <v>1964</v>
      </c>
      <c r="K399" s="1007" t="s">
        <v>1805</v>
      </c>
      <c r="M399" s="1007" t="s">
        <v>840</v>
      </c>
      <c r="N399" s="1007">
        <v>46104</v>
      </c>
      <c r="O399" s="1007" t="s">
        <v>70</v>
      </c>
      <c r="P399" s="1007" t="s">
        <v>1806</v>
      </c>
      <c r="Q399" s="1007" t="s">
        <v>1807</v>
      </c>
      <c r="R399" s="1007" t="s">
        <v>331</v>
      </c>
      <c r="S399" s="1007" t="s">
        <v>1808</v>
      </c>
      <c r="T399" s="1007">
        <v>720</v>
      </c>
      <c r="U399" s="1007">
        <v>1188</v>
      </c>
      <c r="V399" s="1007">
        <v>0.85536000000000001</v>
      </c>
      <c r="W399" s="1007">
        <v>36</v>
      </c>
      <c r="X399" s="1007">
        <v>2</v>
      </c>
      <c r="Y399" s="1007" t="s">
        <v>75</v>
      </c>
      <c r="Z399" s="1007" t="s">
        <v>75</v>
      </c>
      <c r="AA399" s="1007" t="s">
        <v>1958</v>
      </c>
      <c r="AB399" s="1008">
        <v>46114</v>
      </c>
      <c r="AC399" s="1007">
        <v>14</v>
      </c>
      <c r="AD399" s="1007" t="s">
        <v>1965</v>
      </c>
      <c r="AF399" s="1007" t="s">
        <v>945</v>
      </c>
      <c r="AG399" s="1007" t="s">
        <v>123</v>
      </c>
      <c r="AH399" s="1007" t="s">
        <v>105</v>
      </c>
      <c r="AI399" s="1008">
        <v>46117</v>
      </c>
      <c r="AJ399" s="1008">
        <v>46118</v>
      </c>
      <c r="AK399" s="1008">
        <v>46118</v>
      </c>
      <c r="AL399" s="1008">
        <v>46154</v>
      </c>
      <c r="AM399" s="1008">
        <v>46164</v>
      </c>
      <c r="AN399" s="1008">
        <v>46164</v>
      </c>
      <c r="AO399" s="1007" t="s">
        <v>402</v>
      </c>
      <c r="AP399" s="1007" t="s">
        <v>1960</v>
      </c>
      <c r="AQ399" s="1007" t="s">
        <v>80</v>
      </c>
      <c r="AR399" s="1007" t="s">
        <v>1966</v>
      </c>
      <c r="AS399" s="1007" t="s">
        <v>1967</v>
      </c>
      <c r="AT399" s="1007" t="s">
        <v>1967</v>
      </c>
      <c r="AU399" s="1007">
        <v>46</v>
      </c>
      <c r="AW399" s="1008">
        <v>46164</v>
      </c>
      <c r="AX399" s="1007" t="s">
        <v>973</v>
      </c>
      <c r="AY399" s="1008">
        <v>46153</v>
      </c>
      <c r="AZ399" s="1007">
        <v>0</v>
      </c>
      <c r="BA399" s="1008">
        <v>46164</v>
      </c>
      <c r="BB399" s="1007">
        <v>2026</v>
      </c>
      <c r="BC399" s="1007">
        <v>5</v>
      </c>
      <c r="BD399" s="1007">
        <v>21</v>
      </c>
      <c r="BE399" s="1007">
        <v>33</v>
      </c>
      <c r="BF399" s="1007">
        <v>594</v>
      </c>
      <c r="BG399" s="1007" t="s">
        <v>94</v>
      </c>
      <c r="BH399" s="1007" t="s">
        <v>109</v>
      </c>
    </row>
    <row r="400" spans="1:60">
      <c r="A400" s="1007" t="s">
        <v>1968</v>
      </c>
      <c r="B400" s="1007" t="s">
        <v>1802</v>
      </c>
      <c r="C400" s="1007" t="s">
        <v>1803</v>
      </c>
      <c r="D400" s="1007" t="s">
        <v>113</v>
      </c>
      <c r="E400" s="1007" t="s">
        <v>144</v>
      </c>
      <c r="F400" s="1007" t="s">
        <v>145</v>
      </c>
      <c r="G400" s="1007" t="s">
        <v>402</v>
      </c>
      <c r="H400" s="1007" t="s">
        <v>1449</v>
      </c>
      <c r="I400" s="1007" t="s">
        <v>822</v>
      </c>
      <c r="J400" s="1007" t="s">
        <v>1957</v>
      </c>
      <c r="K400" s="1007" t="s">
        <v>1805</v>
      </c>
      <c r="M400" s="1007" t="s">
        <v>840</v>
      </c>
      <c r="N400" s="1007">
        <v>46104</v>
      </c>
      <c r="O400" s="1007" t="s">
        <v>70</v>
      </c>
      <c r="P400" s="1007" t="s">
        <v>1806</v>
      </c>
      <c r="Q400" s="1007" t="s">
        <v>1807</v>
      </c>
      <c r="R400" s="1007" t="s">
        <v>331</v>
      </c>
      <c r="S400" s="1007" t="s">
        <v>1808</v>
      </c>
      <c r="T400" s="1007">
        <v>720</v>
      </c>
      <c r="U400" s="1007">
        <v>1782</v>
      </c>
      <c r="V400" s="1007">
        <v>1.28304</v>
      </c>
      <c r="W400" s="1007">
        <v>54</v>
      </c>
      <c r="X400" s="1007">
        <v>3</v>
      </c>
      <c r="Y400" s="1007" t="s">
        <v>75</v>
      </c>
      <c r="Z400" s="1007" t="s">
        <v>75</v>
      </c>
      <c r="AA400" s="1007" t="s">
        <v>1958</v>
      </c>
      <c r="AB400" s="1008">
        <v>46114</v>
      </c>
      <c r="AC400" s="1007">
        <v>14</v>
      </c>
      <c r="AD400" s="1007" t="s">
        <v>1969</v>
      </c>
      <c r="AF400" s="1007" t="s">
        <v>945</v>
      </c>
      <c r="AG400" s="1007" t="s">
        <v>123</v>
      </c>
      <c r="AH400" s="1007" t="s">
        <v>105</v>
      </c>
      <c r="AI400" s="1008">
        <v>46117</v>
      </c>
      <c r="AJ400" s="1008">
        <v>46118</v>
      </c>
      <c r="AK400" s="1008">
        <v>46118</v>
      </c>
      <c r="AL400" s="1008">
        <v>46154</v>
      </c>
      <c r="AM400" s="1008">
        <v>46164</v>
      </c>
      <c r="AN400" s="1008">
        <v>46164</v>
      </c>
      <c r="AO400" s="1007" t="s">
        <v>402</v>
      </c>
      <c r="AP400" s="1007" t="s">
        <v>1960</v>
      </c>
      <c r="AQ400" s="1007" t="s">
        <v>80</v>
      </c>
      <c r="AR400" s="1007" t="s">
        <v>1966</v>
      </c>
      <c r="AS400" s="1007" t="s">
        <v>1967</v>
      </c>
      <c r="AT400" s="1007" t="s">
        <v>1967</v>
      </c>
      <c r="AU400" s="1007">
        <v>46</v>
      </c>
      <c r="AW400" s="1008">
        <v>46164</v>
      </c>
      <c r="AX400" s="1007" t="s">
        <v>973</v>
      </c>
      <c r="AY400" s="1008">
        <v>46167</v>
      </c>
      <c r="AZ400" s="1007">
        <v>0</v>
      </c>
      <c r="BA400" s="1008">
        <v>46164</v>
      </c>
      <c r="BB400" s="1007">
        <v>2026</v>
      </c>
      <c r="BC400" s="1007">
        <v>5</v>
      </c>
      <c r="BD400" s="1007">
        <v>21</v>
      </c>
      <c r="BE400" s="1007">
        <v>33</v>
      </c>
      <c r="BF400" s="1007">
        <v>594</v>
      </c>
      <c r="BG400" s="1007" t="s">
        <v>94</v>
      </c>
      <c r="BH400" s="1007" t="s">
        <v>109</v>
      </c>
    </row>
    <row r="401" spans="1:60">
      <c r="A401" s="1007" t="s">
        <v>1970</v>
      </c>
      <c r="B401" s="1007" t="s">
        <v>1802</v>
      </c>
      <c r="C401" s="1007" t="s">
        <v>1803</v>
      </c>
      <c r="D401" s="1007" t="s">
        <v>113</v>
      </c>
      <c r="E401" s="1007" t="s">
        <v>144</v>
      </c>
      <c r="F401" s="1007" t="s">
        <v>145</v>
      </c>
      <c r="G401" s="1007" t="s">
        <v>402</v>
      </c>
      <c r="H401" s="1007" t="s">
        <v>1449</v>
      </c>
      <c r="I401" s="1007" t="s">
        <v>822</v>
      </c>
      <c r="J401" s="1007" t="s">
        <v>1964</v>
      </c>
      <c r="K401" s="1007" t="s">
        <v>1805</v>
      </c>
      <c r="M401" s="1007" t="s">
        <v>840</v>
      </c>
      <c r="N401" s="1007">
        <v>46104</v>
      </c>
      <c r="O401" s="1007" t="s">
        <v>70</v>
      </c>
      <c r="P401" s="1007" t="s">
        <v>1806</v>
      </c>
      <c r="Q401" s="1007" t="s">
        <v>1807</v>
      </c>
      <c r="R401" s="1007" t="s">
        <v>331</v>
      </c>
      <c r="S401" s="1007" t="s">
        <v>1808</v>
      </c>
      <c r="T401" s="1007">
        <v>720</v>
      </c>
      <c r="U401" s="1007">
        <v>594</v>
      </c>
      <c r="V401" s="1007">
        <v>0.42768</v>
      </c>
      <c r="W401" s="1007">
        <v>18</v>
      </c>
      <c r="X401" s="1007">
        <v>1</v>
      </c>
      <c r="Y401" s="1007" t="s">
        <v>75</v>
      </c>
      <c r="Z401" s="1007" t="s">
        <v>75</v>
      </c>
      <c r="AA401" s="1007" t="s">
        <v>1958</v>
      </c>
      <c r="AB401" s="1008">
        <v>46113</v>
      </c>
      <c r="AC401" s="1007">
        <v>14</v>
      </c>
      <c r="AD401" s="1007" t="s">
        <v>1971</v>
      </c>
      <c r="AF401" s="1007" t="s">
        <v>945</v>
      </c>
      <c r="AG401" s="1007" t="s">
        <v>123</v>
      </c>
      <c r="AH401" s="1007" t="s">
        <v>105</v>
      </c>
      <c r="AI401" s="1008">
        <v>46116</v>
      </c>
      <c r="AJ401" s="1008">
        <v>46117</v>
      </c>
      <c r="AK401" s="1008">
        <v>46117</v>
      </c>
      <c r="AL401" s="1008">
        <v>46158</v>
      </c>
      <c r="AM401" s="1008">
        <v>46159</v>
      </c>
      <c r="AN401" s="1008">
        <v>46159</v>
      </c>
      <c r="AO401" s="1007" t="s">
        <v>402</v>
      </c>
      <c r="AP401" s="1007" t="s">
        <v>1972</v>
      </c>
      <c r="AQ401" s="1007" t="s">
        <v>80</v>
      </c>
      <c r="AR401" s="1007" t="s">
        <v>1973</v>
      </c>
      <c r="AS401" s="1007" t="s">
        <v>1974</v>
      </c>
      <c r="AT401" s="1007" t="s">
        <v>1974</v>
      </c>
      <c r="AU401" s="1007">
        <v>42</v>
      </c>
      <c r="AW401" s="1008">
        <v>46159</v>
      </c>
      <c r="AX401" s="1007" t="s">
        <v>973</v>
      </c>
      <c r="AY401" s="1008">
        <v>46156</v>
      </c>
      <c r="AZ401" s="1007">
        <v>0</v>
      </c>
      <c r="BA401" s="1008">
        <v>46159</v>
      </c>
      <c r="BB401" s="1007">
        <v>2026</v>
      </c>
      <c r="BC401" s="1007">
        <v>5</v>
      </c>
      <c r="BD401" s="1007">
        <v>20</v>
      </c>
      <c r="BE401" s="1007">
        <v>33</v>
      </c>
      <c r="BF401" s="1007">
        <v>594</v>
      </c>
      <c r="BG401" s="1007" t="s">
        <v>94</v>
      </c>
      <c r="BH401" s="1007" t="s">
        <v>109</v>
      </c>
    </row>
    <row r="402" spans="1:60">
      <c r="A402" s="1007" t="s">
        <v>1975</v>
      </c>
      <c r="B402" s="1007" t="s">
        <v>111</v>
      </c>
      <c r="C402" s="1007" t="s">
        <v>1976</v>
      </c>
      <c r="D402" s="1007" t="s">
        <v>63</v>
      </c>
      <c r="E402" s="1007" t="s">
        <v>64</v>
      </c>
      <c r="F402" s="1007" t="s">
        <v>310</v>
      </c>
      <c r="G402" s="1007" t="s">
        <v>402</v>
      </c>
      <c r="H402" s="1007" t="s">
        <v>311</v>
      </c>
      <c r="I402" s="1007" t="s">
        <v>882</v>
      </c>
      <c r="J402" s="1007" t="s">
        <v>96</v>
      </c>
      <c r="M402" s="1007" t="s">
        <v>68</v>
      </c>
      <c r="N402" s="1007">
        <v>46111</v>
      </c>
      <c r="O402" s="1007" t="s">
        <v>170</v>
      </c>
      <c r="P402" s="1007" t="s">
        <v>1977</v>
      </c>
      <c r="Q402" s="1007" t="s">
        <v>1978</v>
      </c>
      <c r="R402" s="1007" t="s">
        <v>73</v>
      </c>
      <c r="S402" s="1007" t="s">
        <v>992</v>
      </c>
      <c r="T402" s="1007">
        <v>560</v>
      </c>
      <c r="U402" s="1007">
        <v>3300</v>
      </c>
      <c r="V402" s="1007">
        <v>1.8480000000000001</v>
      </c>
      <c r="W402" s="1007">
        <v>100</v>
      </c>
      <c r="X402" s="1007">
        <v>5</v>
      </c>
      <c r="Y402" s="1007" t="s">
        <v>75</v>
      </c>
      <c r="Z402" s="1007" t="s">
        <v>75</v>
      </c>
      <c r="AB402" s="1008">
        <v>46113</v>
      </c>
      <c r="AC402" s="1007">
        <v>14</v>
      </c>
      <c r="AD402" s="1007" t="s">
        <v>1979</v>
      </c>
      <c r="AF402" s="1007" t="s">
        <v>945</v>
      </c>
      <c r="AG402" s="1007" t="s">
        <v>123</v>
      </c>
      <c r="AH402" s="1007" t="s">
        <v>314</v>
      </c>
      <c r="AI402" s="1008">
        <v>46115</v>
      </c>
      <c r="AJ402" s="1008">
        <v>46119</v>
      </c>
      <c r="AK402" s="1008">
        <v>46119</v>
      </c>
      <c r="AL402" s="1008">
        <v>46162</v>
      </c>
      <c r="AM402" s="1008">
        <v>46169</v>
      </c>
      <c r="AN402" s="1008">
        <v>46169</v>
      </c>
      <c r="AO402" s="1007" t="s">
        <v>402</v>
      </c>
      <c r="AP402" s="1007" t="s">
        <v>1980</v>
      </c>
      <c r="AQ402" s="1007" t="s">
        <v>80</v>
      </c>
      <c r="AR402" s="1007" t="s">
        <v>1981</v>
      </c>
      <c r="AS402" s="1007" t="s">
        <v>1982</v>
      </c>
      <c r="AT402" s="1007" t="s">
        <v>1982</v>
      </c>
      <c r="AU402" s="1007">
        <v>50</v>
      </c>
      <c r="AW402" s="1008">
        <v>46169</v>
      </c>
      <c r="AX402" s="1007" t="s">
        <v>973</v>
      </c>
      <c r="AY402" s="1008">
        <v>46182</v>
      </c>
      <c r="AZ402" s="1007">
        <v>13</v>
      </c>
      <c r="BA402" s="1008">
        <v>46182</v>
      </c>
      <c r="BB402" s="1007">
        <v>2026</v>
      </c>
      <c r="BC402" s="1007">
        <v>6</v>
      </c>
      <c r="BD402" s="1007">
        <v>24</v>
      </c>
      <c r="BE402" s="1007">
        <v>33</v>
      </c>
      <c r="BF402" s="1007">
        <v>660</v>
      </c>
      <c r="BG402" s="1007" t="s">
        <v>108</v>
      </c>
      <c r="BH402" s="1007" t="s">
        <v>86</v>
      </c>
    </row>
    <row r="403" spans="1:60">
      <c r="A403" s="1007" t="s">
        <v>1983</v>
      </c>
      <c r="B403" s="1007" t="s">
        <v>111</v>
      </c>
      <c r="C403" s="1007" t="s">
        <v>1729</v>
      </c>
      <c r="D403" s="1007" t="s">
        <v>63</v>
      </c>
      <c r="E403" s="1007" t="s">
        <v>64</v>
      </c>
      <c r="F403" s="1007" t="s">
        <v>310</v>
      </c>
      <c r="G403" s="1007" t="s">
        <v>402</v>
      </c>
      <c r="H403" s="1007" t="s">
        <v>311</v>
      </c>
      <c r="I403" s="1007" t="s">
        <v>1395</v>
      </c>
      <c r="J403" s="1007" t="s">
        <v>96</v>
      </c>
      <c r="M403" s="1007" t="s">
        <v>68</v>
      </c>
      <c r="N403" s="1007">
        <v>46111</v>
      </c>
      <c r="O403" s="1007" t="s">
        <v>170</v>
      </c>
      <c r="P403" s="1007" t="s">
        <v>171</v>
      </c>
      <c r="Q403" s="1007" t="s">
        <v>1731</v>
      </c>
      <c r="R403" s="1007" t="s">
        <v>73</v>
      </c>
      <c r="S403" s="1007" t="s">
        <v>992</v>
      </c>
      <c r="T403" s="1007">
        <v>555</v>
      </c>
      <c r="U403" s="1007">
        <v>1980</v>
      </c>
      <c r="V403" s="1007">
        <v>1.0989</v>
      </c>
      <c r="W403" s="1007">
        <v>60</v>
      </c>
      <c r="X403" s="1007">
        <v>3</v>
      </c>
      <c r="Y403" s="1007" t="s">
        <v>75</v>
      </c>
      <c r="Z403" s="1007" t="s">
        <v>75</v>
      </c>
      <c r="AB403" s="1008">
        <v>46113</v>
      </c>
      <c r="AC403" s="1007">
        <v>14</v>
      </c>
      <c r="AD403" s="1007" t="s">
        <v>1984</v>
      </c>
      <c r="AF403" s="1007" t="s">
        <v>945</v>
      </c>
      <c r="AG403" s="1007" t="s">
        <v>123</v>
      </c>
      <c r="AH403" s="1007" t="s">
        <v>314</v>
      </c>
      <c r="AI403" s="1008">
        <v>46115</v>
      </c>
      <c r="AJ403" s="1008">
        <v>46119</v>
      </c>
      <c r="AK403" s="1008">
        <v>46119</v>
      </c>
      <c r="AL403" s="1008">
        <v>46162</v>
      </c>
      <c r="AM403" s="1008">
        <v>46169</v>
      </c>
      <c r="AN403" s="1008">
        <v>46169</v>
      </c>
      <c r="AO403" s="1007" t="s">
        <v>402</v>
      </c>
      <c r="AP403" s="1007" t="s">
        <v>1980</v>
      </c>
      <c r="AQ403" s="1007" t="s">
        <v>80</v>
      </c>
      <c r="AR403" s="1007" t="s">
        <v>1981</v>
      </c>
      <c r="AS403" s="1007" t="s">
        <v>1982</v>
      </c>
      <c r="AT403" s="1007" t="s">
        <v>1982</v>
      </c>
      <c r="AU403" s="1007">
        <v>50</v>
      </c>
      <c r="AW403" s="1008">
        <v>46169</v>
      </c>
      <c r="AX403" s="1007" t="s">
        <v>973</v>
      </c>
      <c r="AY403" s="1008">
        <v>46182</v>
      </c>
      <c r="AZ403" s="1007">
        <v>13</v>
      </c>
      <c r="BA403" s="1008">
        <v>46182</v>
      </c>
      <c r="BB403" s="1007">
        <v>2026</v>
      </c>
      <c r="BC403" s="1007">
        <v>6</v>
      </c>
      <c r="BD403" s="1007">
        <v>24</v>
      </c>
      <c r="BE403" s="1007">
        <v>33</v>
      </c>
      <c r="BF403" s="1007">
        <v>660</v>
      </c>
      <c r="BG403" s="1007" t="s">
        <v>108</v>
      </c>
      <c r="BH403" s="1007" t="s">
        <v>86</v>
      </c>
    </row>
    <row r="404" spans="1:60">
      <c r="A404" s="1007" t="s">
        <v>1985</v>
      </c>
      <c r="B404" s="1007" t="s">
        <v>111</v>
      </c>
      <c r="C404" s="1007" t="s">
        <v>1976</v>
      </c>
      <c r="D404" s="1007" t="s">
        <v>63</v>
      </c>
      <c r="E404" s="1007" t="s">
        <v>64</v>
      </c>
      <c r="F404" s="1007" t="s">
        <v>310</v>
      </c>
      <c r="G404" s="1007" t="s">
        <v>402</v>
      </c>
      <c r="H404" s="1007" t="s">
        <v>311</v>
      </c>
      <c r="I404" s="1007" t="s">
        <v>882</v>
      </c>
      <c r="J404" s="1007" t="s">
        <v>96</v>
      </c>
      <c r="M404" s="1007" t="s">
        <v>68</v>
      </c>
      <c r="N404" s="1007">
        <v>46111</v>
      </c>
      <c r="O404" s="1007" t="s">
        <v>170</v>
      </c>
      <c r="P404" s="1007" t="s">
        <v>1977</v>
      </c>
      <c r="Q404" s="1007" t="s">
        <v>1978</v>
      </c>
      <c r="R404" s="1007" t="s">
        <v>73</v>
      </c>
      <c r="S404" s="1007" t="s">
        <v>992</v>
      </c>
      <c r="T404" s="1007">
        <v>560</v>
      </c>
      <c r="U404" s="1007">
        <v>5940</v>
      </c>
      <c r="V404" s="1007">
        <v>3.3264</v>
      </c>
      <c r="W404" s="1007">
        <v>180</v>
      </c>
      <c r="X404" s="1007">
        <v>9</v>
      </c>
      <c r="Y404" s="1007" t="s">
        <v>75</v>
      </c>
      <c r="Z404" s="1007" t="s">
        <v>75</v>
      </c>
      <c r="AA404" s="1007" t="s">
        <v>1986</v>
      </c>
      <c r="AB404" s="1008">
        <v>46113</v>
      </c>
      <c r="AC404" s="1007">
        <v>14</v>
      </c>
      <c r="AD404" s="1007" t="s">
        <v>1987</v>
      </c>
      <c r="AF404" s="1007" t="s">
        <v>945</v>
      </c>
      <c r="AG404" s="1007" t="s">
        <v>123</v>
      </c>
      <c r="AH404" s="1007" t="s">
        <v>314</v>
      </c>
      <c r="AI404" s="1008">
        <v>46116</v>
      </c>
      <c r="AJ404" s="1008">
        <v>46119</v>
      </c>
      <c r="AK404" s="1008">
        <v>46119</v>
      </c>
      <c r="AL404" s="1008">
        <v>46162</v>
      </c>
      <c r="AM404" s="1008">
        <v>46169</v>
      </c>
      <c r="AN404" s="1008">
        <v>46169</v>
      </c>
      <c r="AO404" s="1007" t="s">
        <v>402</v>
      </c>
      <c r="AP404" s="1007" t="s">
        <v>1980</v>
      </c>
      <c r="AQ404" s="1007" t="s">
        <v>80</v>
      </c>
      <c r="AR404" s="1007" t="s">
        <v>1988</v>
      </c>
      <c r="AS404" s="1007" t="s">
        <v>1989</v>
      </c>
      <c r="AT404" s="1007" t="s">
        <v>1989</v>
      </c>
      <c r="AU404" s="1007">
        <v>50</v>
      </c>
      <c r="AW404" s="1008">
        <v>46169</v>
      </c>
      <c r="AX404" s="1007" t="s">
        <v>973</v>
      </c>
      <c r="AY404" s="1008">
        <v>46182</v>
      </c>
      <c r="AZ404" s="1007">
        <v>13</v>
      </c>
      <c r="BA404" s="1008">
        <v>46182</v>
      </c>
      <c r="BB404" s="1007">
        <v>2026</v>
      </c>
      <c r="BC404" s="1007">
        <v>6</v>
      </c>
      <c r="BD404" s="1007">
        <v>24</v>
      </c>
      <c r="BE404" s="1007">
        <v>33</v>
      </c>
      <c r="BF404" s="1007">
        <v>660</v>
      </c>
      <c r="BG404" s="1007" t="s">
        <v>108</v>
      </c>
      <c r="BH404" s="1007" t="s">
        <v>86</v>
      </c>
    </row>
    <row r="405" spans="1:60">
      <c r="A405" s="1007" t="s">
        <v>1990</v>
      </c>
      <c r="B405" s="1007" t="s">
        <v>111</v>
      </c>
      <c r="C405" s="1007" t="s">
        <v>1976</v>
      </c>
      <c r="D405" s="1007" t="s">
        <v>63</v>
      </c>
      <c r="E405" s="1007" t="s">
        <v>64</v>
      </c>
      <c r="F405" s="1007" t="s">
        <v>65</v>
      </c>
      <c r="G405" s="1007" t="s">
        <v>402</v>
      </c>
      <c r="H405" s="1007" t="s">
        <v>67</v>
      </c>
      <c r="I405" s="1007" t="s">
        <v>882</v>
      </c>
      <c r="J405" s="1007" t="s">
        <v>69</v>
      </c>
      <c r="M405" s="1007" t="s">
        <v>68</v>
      </c>
      <c r="N405" s="1007">
        <v>46111</v>
      </c>
      <c r="O405" s="1007" t="s">
        <v>170</v>
      </c>
      <c r="P405" s="1007" t="s">
        <v>1977</v>
      </c>
      <c r="Q405" s="1007" t="s">
        <v>1978</v>
      </c>
      <c r="R405" s="1007" t="s">
        <v>73</v>
      </c>
      <c r="S405" s="1007" t="s">
        <v>992</v>
      </c>
      <c r="T405" s="1007">
        <v>560</v>
      </c>
      <c r="U405" s="1007">
        <v>3267</v>
      </c>
      <c r="V405" s="1007">
        <v>1.82952</v>
      </c>
      <c r="W405" s="1007">
        <v>99</v>
      </c>
      <c r="X405" s="1007">
        <v>4.95</v>
      </c>
      <c r="Y405" s="1007" t="s">
        <v>75</v>
      </c>
      <c r="Z405" s="1007" t="s">
        <v>75</v>
      </c>
      <c r="AA405" s="1007" t="s">
        <v>1991</v>
      </c>
      <c r="AB405" s="1008">
        <v>46116</v>
      </c>
      <c r="AC405" s="1007">
        <v>14</v>
      </c>
      <c r="AD405" s="1007" t="s">
        <v>1992</v>
      </c>
      <c r="AF405" s="1007" t="s">
        <v>945</v>
      </c>
      <c r="AG405" s="1007" t="s">
        <v>123</v>
      </c>
      <c r="AH405" s="1007" t="s">
        <v>78</v>
      </c>
      <c r="AI405" s="1008">
        <v>46119</v>
      </c>
      <c r="AJ405" s="1008">
        <v>46120</v>
      </c>
      <c r="AK405" s="1008">
        <v>46120</v>
      </c>
      <c r="AL405" s="1008">
        <v>46168</v>
      </c>
      <c r="AM405" s="1008">
        <v>46166</v>
      </c>
      <c r="AN405" s="1008">
        <v>46164</v>
      </c>
      <c r="AO405" s="1007" t="s">
        <v>402</v>
      </c>
      <c r="AP405" s="1007" t="s">
        <v>1993</v>
      </c>
      <c r="AQ405" s="1007" t="s">
        <v>80</v>
      </c>
      <c r="AR405" s="1007" t="s">
        <v>1994</v>
      </c>
      <c r="AS405" s="1007" t="s">
        <v>1995</v>
      </c>
      <c r="AT405" s="1007" t="s">
        <v>1995</v>
      </c>
      <c r="AU405" s="1007">
        <v>44</v>
      </c>
      <c r="AW405" s="1008">
        <v>46164</v>
      </c>
      <c r="AX405" s="1007" t="s">
        <v>973</v>
      </c>
      <c r="AY405" s="1008">
        <v>46177</v>
      </c>
      <c r="AZ405" s="1007">
        <v>8</v>
      </c>
      <c r="BA405" s="1008">
        <v>46172</v>
      </c>
      <c r="BB405" s="1007">
        <v>2026</v>
      </c>
      <c r="BC405" s="1007">
        <v>5</v>
      </c>
      <c r="BD405" s="1007">
        <v>22</v>
      </c>
      <c r="BE405" s="1007">
        <v>33</v>
      </c>
      <c r="BF405" s="1007">
        <v>660</v>
      </c>
      <c r="BG405" s="1007" t="s">
        <v>108</v>
      </c>
      <c r="BH405" s="1007" t="s">
        <v>86</v>
      </c>
    </row>
    <row r="406" spans="1:60">
      <c r="A406" s="1007" t="s">
        <v>1996</v>
      </c>
      <c r="B406" s="1007" t="s">
        <v>111</v>
      </c>
      <c r="C406" s="1007" t="s">
        <v>1729</v>
      </c>
      <c r="D406" s="1007" t="s">
        <v>63</v>
      </c>
      <c r="E406" s="1007" t="s">
        <v>64</v>
      </c>
      <c r="F406" s="1007" t="s">
        <v>310</v>
      </c>
      <c r="G406" s="1007" t="s">
        <v>402</v>
      </c>
      <c r="H406" s="1007" t="s">
        <v>311</v>
      </c>
      <c r="I406" s="1007" t="s">
        <v>1395</v>
      </c>
      <c r="J406" s="1007" t="s">
        <v>96</v>
      </c>
      <c r="M406" s="1007" t="s">
        <v>68</v>
      </c>
      <c r="N406" s="1007">
        <v>46111</v>
      </c>
      <c r="O406" s="1007" t="s">
        <v>170</v>
      </c>
      <c r="P406" s="1007" t="s">
        <v>171</v>
      </c>
      <c r="Q406" s="1007" t="s">
        <v>1731</v>
      </c>
      <c r="R406" s="1007" t="s">
        <v>73</v>
      </c>
      <c r="S406" s="1007" t="s">
        <v>992</v>
      </c>
      <c r="T406" s="1007">
        <v>555</v>
      </c>
      <c r="U406" s="1007">
        <v>3300</v>
      </c>
      <c r="V406" s="1007">
        <v>1.8314999999999999</v>
      </c>
      <c r="W406" s="1007">
        <v>100</v>
      </c>
      <c r="X406" s="1007">
        <v>5</v>
      </c>
      <c r="Y406" s="1007" t="s">
        <v>951</v>
      </c>
      <c r="Z406" s="1007" t="s">
        <v>75</v>
      </c>
      <c r="AA406" s="1007" t="s">
        <v>1997</v>
      </c>
      <c r="AB406" s="1008">
        <v>46117</v>
      </c>
      <c r="AC406" s="1007">
        <v>14</v>
      </c>
      <c r="AD406" s="1007" t="s">
        <v>1998</v>
      </c>
      <c r="AF406" s="1007" t="s">
        <v>1999</v>
      </c>
      <c r="AG406" s="1007" t="s">
        <v>123</v>
      </c>
      <c r="AH406" s="1007" t="s">
        <v>1561</v>
      </c>
      <c r="AI406" s="1008">
        <v>46124</v>
      </c>
      <c r="AJ406" s="1008">
        <v>46125</v>
      </c>
      <c r="AK406" s="1008">
        <v>46125</v>
      </c>
      <c r="AL406" s="1008">
        <v>46167</v>
      </c>
      <c r="AM406" s="1008">
        <v>46182</v>
      </c>
      <c r="AN406" s="1008">
        <v>46182</v>
      </c>
      <c r="AO406" s="1007" t="s">
        <v>402</v>
      </c>
      <c r="AP406" s="1007" t="s">
        <v>2000</v>
      </c>
      <c r="AQ406" s="1007" t="s">
        <v>80</v>
      </c>
      <c r="AR406" s="1007" t="s">
        <v>2001</v>
      </c>
      <c r="AS406" s="1007" t="s">
        <v>2002</v>
      </c>
      <c r="AT406" s="1007" t="s">
        <v>2002</v>
      </c>
      <c r="AU406" s="1007">
        <v>57</v>
      </c>
      <c r="AW406" s="1008">
        <v>46182</v>
      </c>
      <c r="AX406" s="1007" t="s">
        <v>973</v>
      </c>
      <c r="AY406" s="1008">
        <v>46201</v>
      </c>
      <c r="AZ406" s="1007">
        <v>13</v>
      </c>
      <c r="BA406" s="1008">
        <v>46195</v>
      </c>
      <c r="BB406" s="1007">
        <v>2026</v>
      </c>
      <c r="BC406" s="1007">
        <v>6</v>
      </c>
      <c r="BD406" s="1007">
        <v>26</v>
      </c>
      <c r="BE406" s="1007">
        <v>33</v>
      </c>
      <c r="BF406" s="1007">
        <v>660</v>
      </c>
      <c r="BG406" s="1007" t="s">
        <v>108</v>
      </c>
      <c r="BH406" s="1007" t="s">
        <v>86</v>
      </c>
    </row>
    <row r="407" spans="1:60">
      <c r="A407" s="1007" t="s">
        <v>2003</v>
      </c>
      <c r="B407" s="1007" t="s">
        <v>61</v>
      </c>
      <c r="C407" s="1007" t="s">
        <v>1838</v>
      </c>
      <c r="D407" s="1007" t="s">
        <v>63</v>
      </c>
      <c r="E407" s="1007" t="s">
        <v>64</v>
      </c>
      <c r="F407" s="1007" t="s">
        <v>65</v>
      </c>
      <c r="G407" s="1007" t="s">
        <v>402</v>
      </c>
      <c r="H407" s="1007" t="s">
        <v>67</v>
      </c>
      <c r="I407" s="1007" t="s">
        <v>2004</v>
      </c>
      <c r="J407" s="1007" t="s">
        <v>96</v>
      </c>
      <c r="M407" s="1007" t="s">
        <v>68</v>
      </c>
      <c r="N407" s="1007">
        <v>46111</v>
      </c>
      <c r="O407" s="1007" t="s">
        <v>70</v>
      </c>
      <c r="P407" s="1007" t="s">
        <v>204</v>
      </c>
      <c r="Q407" s="1007" t="s">
        <v>205</v>
      </c>
      <c r="R407" s="1007" t="s">
        <v>73</v>
      </c>
      <c r="S407" s="1007" t="s">
        <v>967</v>
      </c>
      <c r="T407" s="1007">
        <v>455</v>
      </c>
      <c r="U407" s="1007">
        <v>1872</v>
      </c>
      <c r="V407" s="1007">
        <v>0.85175999999999996</v>
      </c>
      <c r="W407" s="1007">
        <v>52</v>
      </c>
      <c r="X407" s="1007">
        <v>2</v>
      </c>
      <c r="Y407" s="1007" t="s">
        <v>75</v>
      </c>
      <c r="Z407" s="1007" t="s">
        <v>75</v>
      </c>
      <c r="AA407" s="1007" t="s">
        <v>1896</v>
      </c>
      <c r="AB407" s="1008">
        <v>46111</v>
      </c>
      <c r="AC407" s="1007">
        <v>14</v>
      </c>
      <c r="AD407" s="1007" t="s">
        <v>2005</v>
      </c>
      <c r="AF407" s="1007" t="s">
        <v>1935</v>
      </c>
      <c r="AG407" s="1007" t="s">
        <v>61</v>
      </c>
      <c r="AH407" s="1007" t="s">
        <v>78</v>
      </c>
      <c r="AI407" s="1008">
        <v>46116</v>
      </c>
      <c r="AJ407" s="1008">
        <v>46116</v>
      </c>
      <c r="AK407" s="1008">
        <v>46117</v>
      </c>
      <c r="AL407" s="1008">
        <v>46181</v>
      </c>
      <c r="AM407" s="1008">
        <v>46171</v>
      </c>
      <c r="AN407" s="1008">
        <v>46175</v>
      </c>
      <c r="AO407" s="1007" t="s">
        <v>402</v>
      </c>
      <c r="AP407" s="1007" t="s">
        <v>2006</v>
      </c>
      <c r="AQ407" s="1007" t="s">
        <v>80</v>
      </c>
      <c r="AR407" s="1007" t="s">
        <v>2007</v>
      </c>
      <c r="AS407" s="1007" t="s">
        <v>2008</v>
      </c>
      <c r="AT407" s="1007" t="s">
        <v>2008</v>
      </c>
      <c r="AU407" s="1007">
        <v>58</v>
      </c>
      <c r="AW407" s="1008">
        <v>46175</v>
      </c>
      <c r="AX407" s="1007" t="s">
        <v>973</v>
      </c>
      <c r="AY407" s="1008">
        <v>46187</v>
      </c>
      <c r="AZ407" s="1007">
        <v>8</v>
      </c>
      <c r="BA407" s="1008">
        <v>46183</v>
      </c>
      <c r="BB407" s="1007">
        <v>2026</v>
      </c>
      <c r="BC407" s="1007">
        <v>6</v>
      </c>
      <c r="BD407" s="1007">
        <v>24</v>
      </c>
      <c r="BE407" s="1007">
        <v>36</v>
      </c>
      <c r="BF407" s="1007">
        <v>936</v>
      </c>
      <c r="BG407" s="1007" t="s">
        <v>94</v>
      </c>
      <c r="BH407" s="1007" t="s">
        <v>86</v>
      </c>
    </row>
    <row r="408" spans="1:60">
      <c r="A408" s="1007" t="s">
        <v>2009</v>
      </c>
      <c r="B408" s="1007" t="s">
        <v>61</v>
      </c>
      <c r="C408" s="1007" t="s">
        <v>1838</v>
      </c>
      <c r="D408" s="1007" t="s">
        <v>63</v>
      </c>
      <c r="E408" s="1007" t="s">
        <v>64</v>
      </c>
      <c r="F408" s="1007" t="s">
        <v>65</v>
      </c>
      <c r="G408" s="1007" t="s">
        <v>402</v>
      </c>
      <c r="H408" s="1007" t="s">
        <v>67</v>
      </c>
      <c r="I408" s="1007" t="s">
        <v>2004</v>
      </c>
      <c r="J408" s="1007" t="s">
        <v>96</v>
      </c>
      <c r="M408" s="1007" t="s">
        <v>68</v>
      </c>
      <c r="N408" s="1007">
        <v>46111</v>
      </c>
      <c r="O408" s="1007" t="s">
        <v>70</v>
      </c>
      <c r="P408" s="1007" t="s">
        <v>204</v>
      </c>
      <c r="Q408" s="1007" t="s">
        <v>205</v>
      </c>
      <c r="R408" s="1007" t="s">
        <v>73</v>
      </c>
      <c r="S408" s="1007" t="s">
        <v>967</v>
      </c>
      <c r="T408" s="1007">
        <v>455</v>
      </c>
      <c r="U408" s="1007">
        <v>3744</v>
      </c>
      <c r="V408" s="1007">
        <v>1.7035199999999999</v>
      </c>
      <c r="W408" s="1007">
        <v>104</v>
      </c>
      <c r="X408" s="1007">
        <v>4</v>
      </c>
      <c r="Y408" s="1007" t="s">
        <v>75</v>
      </c>
      <c r="Z408" s="1007" t="s">
        <v>75</v>
      </c>
      <c r="AA408" s="1007" t="s">
        <v>1896</v>
      </c>
      <c r="AB408" s="1008">
        <v>46111</v>
      </c>
      <c r="AC408" s="1007">
        <v>14</v>
      </c>
      <c r="AD408" s="1007" t="s">
        <v>2010</v>
      </c>
      <c r="AF408" s="1007" t="s">
        <v>1935</v>
      </c>
      <c r="AG408" s="1007" t="s">
        <v>61</v>
      </c>
      <c r="AH408" s="1007" t="s">
        <v>78</v>
      </c>
      <c r="AI408" s="1008">
        <v>46116</v>
      </c>
      <c r="AJ408" s="1008">
        <v>46116</v>
      </c>
      <c r="AK408" s="1008">
        <v>46117</v>
      </c>
      <c r="AL408" s="1008">
        <v>46181</v>
      </c>
      <c r="AM408" s="1008">
        <v>46181</v>
      </c>
      <c r="AN408" s="1008">
        <v>46179</v>
      </c>
      <c r="AO408" s="1007" t="s">
        <v>402</v>
      </c>
      <c r="AP408" s="1007" t="s">
        <v>2006</v>
      </c>
      <c r="AQ408" s="1007" t="s">
        <v>80</v>
      </c>
      <c r="AR408" s="1007" t="s">
        <v>2011</v>
      </c>
      <c r="AS408" s="1007" t="s">
        <v>2012</v>
      </c>
      <c r="AT408" s="1007" t="s">
        <v>2012</v>
      </c>
      <c r="AU408" s="1007">
        <v>62</v>
      </c>
      <c r="AW408" s="1008">
        <v>46179</v>
      </c>
      <c r="AX408" s="1007" t="s">
        <v>973</v>
      </c>
      <c r="AY408" s="1008">
        <v>46191</v>
      </c>
      <c r="AZ408" s="1007">
        <v>8</v>
      </c>
      <c r="BA408" s="1008">
        <v>46187</v>
      </c>
      <c r="BB408" s="1007">
        <v>2026</v>
      </c>
      <c r="BC408" s="1007">
        <v>6</v>
      </c>
      <c r="BD408" s="1007">
        <v>24</v>
      </c>
      <c r="BE408" s="1007">
        <v>36</v>
      </c>
      <c r="BF408" s="1007">
        <v>936</v>
      </c>
      <c r="BG408" s="1007" t="s">
        <v>94</v>
      </c>
      <c r="BH408" s="1007" t="s">
        <v>86</v>
      </c>
    </row>
    <row r="409" spans="1:60">
      <c r="A409" s="1007" t="s">
        <v>2013</v>
      </c>
      <c r="B409" s="1007" t="s">
        <v>61</v>
      </c>
      <c r="C409" s="1007" t="s">
        <v>1940</v>
      </c>
      <c r="D409" s="1007" t="s">
        <v>63</v>
      </c>
      <c r="E409" s="1007" t="s">
        <v>64</v>
      </c>
      <c r="F409" s="1007" t="s">
        <v>65</v>
      </c>
      <c r="G409" s="1007" t="s">
        <v>402</v>
      </c>
      <c r="H409" s="1007" t="s">
        <v>67</v>
      </c>
      <c r="I409" s="1007" t="s">
        <v>882</v>
      </c>
      <c r="J409" s="1007" t="s">
        <v>96</v>
      </c>
      <c r="M409" s="1007" t="s">
        <v>68</v>
      </c>
      <c r="N409" s="1007">
        <v>46111</v>
      </c>
      <c r="O409" s="1007" t="s">
        <v>70</v>
      </c>
      <c r="P409" s="1007" t="s">
        <v>91</v>
      </c>
      <c r="Q409" s="1007" t="s">
        <v>92</v>
      </c>
      <c r="R409" s="1007" t="s">
        <v>73</v>
      </c>
      <c r="S409" s="1007" t="s">
        <v>967</v>
      </c>
      <c r="T409" s="1007">
        <v>450</v>
      </c>
      <c r="U409" s="1007">
        <v>936</v>
      </c>
      <c r="V409" s="1007">
        <v>0.42120000000000002</v>
      </c>
      <c r="W409" s="1007">
        <v>26</v>
      </c>
      <c r="X409" s="1007">
        <v>1</v>
      </c>
      <c r="Y409" s="1007" t="s">
        <v>75</v>
      </c>
      <c r="Z409" s="1007" t="s">
        <v>75</v>
      </c>
      <c r="AA409" s="1007" t="s">
        <v>1991</v>
      </c>
      <c r="AB409" s="1008">
        <v>46111</v>
      </c>
      <c r="AC409" s="1007">
        <v>14</v>
      </c>
      <c r="AD409" s="1007" t="s">
        <v>2014</v>
      </c>
      <c r="AF409" s="1007" t="s">
        <v>1935</v>
      </c>
      <c r="AG409" s="1007" t="s">
        <v>61</v>
      </c>
      <c r="AH409" s="1007" t="s">
        <v>356</v>
      </c>
      <c r="AI409" s="1008">
        <v>46116</v>
      </c>
      <c r="AJ409" s="1008">
        <v>46116</v>
      </c>
      <c r="AK409" s="1008">
        <v>46117</v>
      </c>
      <c r="AL409" s="1008">
        <v>46168</v>
      </c>
      <c r="AM409" s="1008">
        <v>46170</v>
      </c>
      <c r="AN409" s="1008">
        <v>46170</v>
      </c>
      <c r="AO409" s="1007" t="s">
        <v>402</v>
      </c>
      <c r="AP409" s="1007" t="s">
        <v>2006</v>
      </c>
      <c r="AQ409" s="1007" t="s">
        <v>80</v>
      </c>
      <c r="AR409" s="1007" t="s">
        <v>2015</v>
      </c>
      <c r="AS409" s="1007" t="s">
        <v>2016</v>
      </c>
      <c r="AT409" s="1007" t="s">
        <v>2016</v>
      </c>
      <c r="AU409" s="1007">
        <v>53</v>
      </c>
      <c r="AW409" s="1008">
        <v>46170</v>
      </c>
      <c r="AX409" s="1007" t="s">
        <v>973</v>
      </c>
      <c r="AY409" s="1008">
        <v>46183</v>
      </c>
      <c r="AZ409" s="1007">
        <v>8</v>
      </c>
      <c r="BA409" s="1008">
        <v>46178</v>
      </c>
      <c r="BB409" s="1007">
        <v>2026</v>
      </c>
      <c r="BC409" s="1007">
        <v>6</v>
      </c>
      <c r="BD409" s="1007">
        <v>23</v>
      </c>
      <c r="BE409" s="1007">
        <v>36</v>
      </c>
      <c r="BF409" s="1007">
        <v>936</v>
      </c>
      <c r="BG409" s="1007" t="s">
        <v>94</v>
      </c>
      <c r="BH409" s="1007" t="s">
        <v>109</v>
      </c>
    </row>
    <row r="410" spans="1:60">
      <c r="A410" s="1007" t="s">
        <v>2017</v>
      </c>
      <c r="B410" s="1007" t="s">
        <v>1757</v>
      </c>
      <c r="C410" s="1007" t="s">
        <v>1593</v>
      </c>
      <c r="D410" s="1007" t="s">
        <v>63</v>
      </c>
      <c r="E410" s="1007" t="s">
        <v>144</v>
      </c>
      <c r="F410" s="1007" t="s">
        <v>145</v>
      </c>
      <c r="G410" s="1007" t="s">
        <v>402</v>
      </c>
      <c r="H410" s="1007" t="s">
        <v>881</v>
      </c>
      <c r="I410" s="1007" t="s">
        <v>689</v>
      </c>
      <c r="J410" s="1007" t="s">
        <v>1758</v>
      </c>
      <c r="K410" s="1007" t="s">
        <v>1759</v>
      </c>
      <c r="M410" s="1007" t="s">
        <v>840</v>
      </c>
      <c r="N410" s="1007">
        <v>46090</v>
      </c>
      <c r="O410" s="1007" t="s">
        <v>70</v>
      </c>
      <c r="P410" s="1007" t="s">
        <v>71</v>
      </c>
      <c r="Q410" s="1007" t="s">
        <v>72</v>
      </c>
      <c r="R410" s="1007" t="s">
        <v>73</v>
      </c>
      <c r="S410" s="1007" t="s">
        <v>967</v>
      </c>
      <c r="T410" s="1007">
        <v>500</v>
      </c>
      <c r="U410" s="1007">
        <v>3456</v>
      </c>
      <c r="V410" s="1007">
        <v>1.728</v>
      </c>
      <c r="W410" s="1007">
        <v>96</v>
      </c>
      <c r="X410" s="1007">
        <v>4</v>
      </c>
      <c r="Y410" s="1007" t="s">
        <v>75</v>
      </c>
      <c r="Z410" s="1007" t="s">
        <v>75</v>
      </c>
      <c r="AA410" s="1007" t="s">
        <v>1760</v>
      </c>
      <c r="AB410" s="1008">
        <v>46118</v>
      </c>
      <c r="AC410" s="1007">
        <v>15</v>
      </c>
      <c r="AD410" s="1007" t="s">
        <v>2018</v>
      </c>
      <c r="AF410" s="1007" t="s">
        <v>1762</v>
      </c>
      <c r="AG410" s="1007" t="s">
        <v>123</v>
      </c>
      <c r="AH410" s="1007" t="s">
        <v>888</v>
      </c>
      <c r="AI410" s="1008">
        <v>46123</v>
      </c>
      <c r="AJ410" s="1008">
        <v>46123</v>
      </c>
      <c r="AK410" s="1008">
        <v>46123</v>
      </c>
      <c r="AL410" s="1008">
        <v>46177</v>
      </c>
      <c r="AM410" s="1008">
        <v>46174</v>
      </c>
      <c r="AN410" s="1008">
        <v>46176</v>
      </c>
      <c r="AO410" s="1007" t="s">
        <v>402</v>
      </c>
      <c r="AP410" s="1007" t="s">
        <v>2019</v>
      </c>
      <c r="AQ410" s="1007" t="s">
        <v>161</v>
      </c>
      <c r="AR410" s="1007" t="s">
        <v>2020</v>
      </c>
      <c r="AS410" s="1007" t="s">
        <v>2021</v>
      </c>
      <c r="AT410" s="1007" t="s">
        <v>2022</v>
      </c>
      <c r="AU410" s="1007">
        <v>53</v>
      </c>
      <c r="AW410" s="1008">
        <v>46176</v>
      </c>
      <c r="AX410" s="1007" t="s">
        <v>973</v>
      </c>
      <c r="AY410" s="1008">
        <v>46194</v>
      </c>
      <c r="AZ410" s="1007">
        <v>0</v>
      </c>
      <c r="BA410" s="1008">
        <v>46176</v>
      </c>
      <c r="BB410" s="1007">
        <v>2026</v>
      </c>
      <c r="BC410" s="1007">
        <v>6</v>
      </c>
      <c r="BD410" s="1007">
        <v>23</v>
      </c>
      <c r="BE410" s="1007">
        <v>36</v>
      </c>
      <c r="BF410" s="1007">
        <v>864</v>
      </c>
      <c r="BG410" s="1007" t="s">
        <v>85</v>
      </c>
      <c r="BH410" s="1007" t="s">
        <v>109</v>
      </c>
    </row>
    <row r="411" spans="1:60">
      <c r="A411" s="1007" t="s">
        <v>2023</v>
      </c>
      <c r="B411" s="1007" t="s">
        <v>1757</v>
      </c>
      <c r="C411" s="1007" t="s">
        <v>1593</v>
      </c>
      <c r="D411" s="1007" t="s">
        <v>63</v>
      </c>
      <c r="E411" s="1007" t="s">
        <v>144</v>
      </c>
      <c r="F411" s="1007" t="s">
        <v>145</v>
      </c>
      <c r="G411" s="1007" t="s">
        <v>402</v>
      </c>
      <c r="H411" s="1007" t="s">
        <v>881</v>
      </c>
      <c r="I411" s="1007" t="s">
        <v>689</v>
      </c>
      <c r="J411" s="1007" t="s">
        <v>1758</v>
      </c>
      <c r="K411" s="1007" t="s">
        <v>2024</v>
      </c>
      <c r="M411" s="1007" t="s">
        <v>840</v>
      </c>
      <c r="N411" s="1007">
        <v>46090</v>
      </c>
      <c r="O411" s="1007" t="s">
        <v>70</v>
      </c>
      <c r="P411" s="1007" t="s">
        <v>71</v>
      </c>
      <c r="Q411" s="1007" t="s">
        <v>72</v>
      </c>
      <c r="R411" s="1007" t="s">
        <v>73</v>
      </c>
      <c r="S411" s="1007" t="s">
        <v>967</v>
      </c>
      <c r="T411" s="1007">
        <v>500</v>
      </c>
      <c r="U411" s="1007">
        <v>4320</v>
      </c>
      <c r="V411" s="1007">
        <v>2.16</v>
      </c>
      <c r="W411" s="1007">
        <v>120</v>
      </c>
      <c r="X411" s="1007">
        <v>5</v>
      </c>
      <c r="Y411" s="1007" t="s">
        <v>75</v>
      </c>
      <c r="Z411" s="1007" t="s">
        <v>75</v>
      </c>
      <c r="AA411" s="1007" t="s">
        <v>1760</v>
      </c>
      <c r="AB411" s="1008">
        <v>46118</v>
      </c>
      <c r="AC411" s="1007">
        <v>15</v>
      </c>
      <c r="AD411" s="1007" t="s">
        <v>2025</v>
      </c>
      <c r="AF411" s="1007" t="s">
        <v>1762</v>
      </c>
      <c r="AG411" s="1007" t="s">
        <v>123</v>
      </c>
      <c r="AH411" s="1007" t="s">
        <v>888</v>
      </c>
      <c r="AI411" s="1008">
        <v>46123</v>
      </c>
      <c r="AJ411" s="1008">
        <v>46123</v>
      </c>
      <c r="AK411" s="1008">
        <v>46123</v>
      </c>
      <c r="AL411" s="1008">
        <v>46177</v>
      </c>
      <c r="AM411" s="1008">
        <v>46174</v>
      </c>
      <c r="AN411" s="1008">
        <v>46176</v>
      </c>
      <c r="AO411" s="1007" t="s">
        <v>402</v>
      </c>
      <c r="AP411" s="1007" t="s">
        <v>2019</v>
      </c>
      <c r="AQ411" s="1007" t="s">
        <v>161</v>
      </c>
      <c r="AR411" s="1007" t="s">
        <v>2020</v>
      </c>
      <c r="AS411" s="1007" t="s">
        <v>2026</v>
      </c>
      <c r="AT411" s="1007" t="s">
        <v>2022</v>
      </c>
      <c r="AU411" s="1007">
        <v>53</v>
      </c>
      <c r="AW411" s="1008">
        <v>46176</v>
      </c>
      <c r="AX411" s="1007" t="s">
        <v>973</v>
      </c>
      <c r="AY411" s="1008">
        <v>46194</v>
      </c>
      <c r="AZ411" s="1007">
        <v>0</v>
      </c>
      <c r="BA411" s="1008">
        <v>46176</v>
      </c>
      <c r="BB411" s="1007">
        <v>2026</v>
      </c>
      <c r="BC411" s="1007">
        <v>6</v>
      </c>
      <c r="BD411" s="1007">
        <v>23</v>
      </c>
      <c r="BE411" s="1007">
        <v>36</v>
      </c>
      <c r="BF411" s="1007">
        <v>864</v>
      </c>
      <c r="BG411" s="1007" t="s">
        <v>85</v>
      </c>
      <c r="BH411" s="1007" t="s">
        <v>109</v>
      </c>
    </row>
    <row r="412" spans="1:60">
      <c r="A412" s="1007" t="s">
        <v>2027</v>
      </c>
      <c r="B412" s="1007" t="s">
        <v>1757</v>
      </c>
      <c r="C412" s="1007" t="s">
        <v>1593</v>
      </c>
      <c r="D412" s="1007" t="s">
        <v>63</v>
      </c>
      <c r="E412" s="1007" t="s">
        <v>144</v>
      </c>
      <c r="F412" s="1007" t="s">
        <v>145</v>
      </c>
      <c r="G412" s="1007" t="s">
        <v>402</v>
      </c>
      <c r="H412" s="1007" t="s">
        <v>881</v>
      </c>
      <c r="I412" s="1007" t="s">
        <v>689</v>
      </c>
      <c r="J412" s="1007" t="s">
        <v>1758</v>
      </c>
      <c r="K412" s="1007" t="s">
        <v>2028</v>
      </c>
      <c r="M412" s="1007" t="s">
        <v>840</v>
      </c>
      <c r="N412" s="1007">
        <v>46090</v>
      </c>
      <c r="O412" s="1007" t="s">
        <v>70</v>
      </c>
      <c r="P412" s="1007" t="s">
        <v>71</v>
      </c>
      <c r="Q412" s="1007" t="s">
        <v>72</v>
      </c>
      <c r="R412" s="1007" t="s">
        <v>73</v>
      </c>
      <c r="S412" s="1007" t="s">
        <v>967</v>
      </c>
      <c r="T412" s="1007">
        <v>500</v>
      </c>
      <c r="U412" s="1007">
        <v>4320</v>
      </c>
      <c r="V412" s="1007">
        <v>2.16</v>
      </c>
      <c r="W412" s="1007">
        <v>120</v>
      </c>
      <c r="X412" s="1007">
        <v>5</v>
      </c>
      <c r="Y412" s="1007" t="s">
        <v>75</v>
      </c>
      <c r="Z412" s="1007" t="s">
        <v>75</v>
      </c>
      <c r="AA412" s="1007" t="s">
        <v>2029</v>
      </c>
      <c r="AB412" s="1008">
        <v>46118</v>
      </c>
      <c r="AC412" s="1007">
        <v>15</v>
      </c>
      <c r="AD412" s="1007" t="s">
        <v>2030</v>
      </c>
      <c r="AF412" s="1007" t="s">
        <v>1762</v>
      </c>
      <c r="AG412" s="1007" t="s">
        <v>123</v>
      </c>
      <c r="AH412" s="1007" t="s">
        <v>888</v>
      </c>
      <c r="AI412" s="1008">
        <v>46123</v>
      </c>
      <c r="AJ412" s="1008">
        <v>46123</v>
      </c>
      <c r="AK412" s="1008">
        <v>46123</v>
      </c>
      <c r="AL412" s="1008">
        <v>46177</v>
      </c>
      <c r="AM412" s="1008">
        <v>46174</v>
      </c>
      <c r="AN412" s="1008">
        <v>46176</v>
      </c>
      <c r="AO412" s="1007" t="s">
        <v>402</v>
      </c>
      <c r="AP412" s="1007" t="s">
        <v>2019</v>
      </c>
      <c r="AQ412" s="1007" t="s">
        <v>161</v>
      </c>
      <c r="AR412" s="1007" t="s">
        <v>2020</v>
      </c>
      <c r="AS412" s="1007" t="s">
        <v>2026</v>
      </c>
      <c r="AT412" s="1007" t="s">
        <v>2022</v>
      </c>
      <c r="AU412" s="1007">
        <v>53</v>
      </c>
      <c r="AW412" s="1008">
        <v>46176</v>
      </c>
      <c r="AX412" s="1007" t="s">
        <v>973</v>
      </c>
      <c r="AY412" s="1008">
        <v>46194</v>
      </c>
      <c r="AZ412" s="1007">
        <v>0</v>
      </c>
      <c r="BA412" s="1008">
        <v>46176</v>
      </c>
      <c r="BB412" s="1007">
        <v>2026</v>
      </c>
      <c r="BC412" s="1007">
        <v>6</v>
      </c>
      <c r="BD412" s="1007">
        <v>23</v>
      </c>
      <c r="BE412" s="1007">
        <v>36</v>
      </c>
      <c r="BF412" s="1007">
        <v>864</v>
      </c>
      <c r="BG412" s="1007" t="s">
        <v>85</v>
      </c>
      <c r="BH412" s="1007" t="s">
        <v>109</v>
      </c>
    </row>
    <row r="413" spans="1:60">
      <c r="A413" s="1007" t="s">
        <v>2031</v>
      </c>
      <c r="B413" s="1007" t="s">
        <v>1757</v>
      </c>
      <c r="C413" s="1007" t="s">
        <v>1286</v>
      </c>
      <c r="D413" s="1007" t="s">
        <v>63</v>
      </c>
      <c r="E413" s="1007" t="s">
        <v>64</v>
      </c>
      <c r="F413" s="1007" t="s">
        <v>450</v>
      </c>
      <c r="G413" s="1007" t="s">
        <v>402</v>
      </c>
      <c r="H413" s="1007" t="s">
        <v>451</v>
      </c>
      <c r="I413" s="1007" t="s">
        <v>689</v>
      </c>
      <c r="J413" s="1007" t="s">
        <v>1832</v>
      </c>
      <c r="M413" s="1007" t="s">
        <v>68</v>
      </c>
      <c r="N413" s="1007">
        <v>46104</v>
      </c>
      <c r="O413" s="1007" t="s">
        <v>70</v>
      </c>
      <c r="P413" s="1007" t="s">
        <v>1151</v>
      </c>
      <c r="Q413" s="1007" t="s">
        <v>421</v>
      </c>
      <c r="R413" s="1007" t="s">
        <v>73</v>
      </c>
      <c r="S413" s="1007" t="s">
        <v>967</v>
      </c>
      <c r="T413" s="1007">
        <v>505</v>
      </c>
      <c r="U413" s="1007">
        <v>3456</v>
      </c>
      <c r="V413" s="1007">
        <v>1.7452799999999999</v>
      </c>
      <c r="W413" s="1007">
        <v>96</v>
      </c>
      <c r="X413" s="1007">
        <v>4</v>
      </c>
      <c r="Y413" s="1007" t="s">
        <v>75</v>
      </c>
      <c r="Z413" s="1007" t="s">
        <v>75</v>
      </c>
      <c r="AA413" s="1007" t="s">
        <v>1883</v>
      </c>
      <c r="AB413" s="1008">
        <v>46123</v>
      </c>
      <c r="AC413" s="1007">
        <v>15</v>
      </c>
      <c r="AD413" s="1007" t="s">
        <v>2032</v>
      </c>
      <c r="AF413" s="1007" t="s">
        <v>1762</v>
      </c>
      <c r="AG413" s="1007" t="s">
        <v>123</v>
      </c>
      <c r="AH413" s="1007" t="s">
        <v>456</v>
      </c>
      <c r="AI413" s="1008">
        <v>46125</v>
      </c>
      <c r="AJ413" s="1008">
        <v>46125</v>
      </c>
      <c r="AK413" s="1008">
        <v>46126</v>
      </c>
      <c r="AL413" s="1008">
        <v>46171</v>
      </c>
      <c r="AM413" s="1008">
        <v>46176</v>
      </c>
      <c r="AN413" s="1008">
        <v>46178</v>
      </c>
      <c r="AO413" s="1007" t="s">
        <v>402</v>
      </c>
      <c r="AP413" s="1007" t="s">
        <v>2033</v>
      </c>
      <c r="AQ413" s="1007" t="s">
        <v>161</v>
      </c>
      <c r="AR413" s="1007" t="s">
        <v>2034</v>
      </c>
      <c r="AS413" s="1007" t="s">
        <v>2035</v>
      </c>
      <c r="AT413" s="1007" t="s">
        <v>2036</v>
      </c>
      <c r="AU413" s="1007">
        <v>52</v>
      </c>
      <c r="AW413" s="1008">
        <v>46178</v>
      </c>
      <c r="AX413" s="1007" t="s">
        <v>973</v>
      </c>
      <c r="AY413" s="1008">
        <v>46191</v>
      </c>
      <c r="AZ413" s="1007">
        <v>7</v>
      </c>
      <c r="BA413" s="1008">
        <v>46185</v>
      </c>
      <c r="BB413" s="1007">
        <v>2026</v>
      </c>
      <c r="BC413" s="1007">
        <v>6</v>
      </c>
      <c r="BD413" s="1007">
        <v>24</v>
      </c>
      <c r="BE413" s="1007">
        <v>36</v>
      </c>
      <c r="BF413" s="1007">
        <v>864</v>
      </c>
      <c r="BG413" s="1007" t="s">
        <v>85</v>
      </c>
      <c r="BH413" s="1007" t="s">
        <v>109</v>
      </c>
    </row>
    <row r="414" spans="1:60">
      <c r="A414" s="1007" t="s">
        <v>2037</v>
      </c>
      <c r="B414" s="1007" t="s">
        <v>1888</v>
      </c>
      <c r="C414" s="1007" t="s">
        <v>1016</v>
      </c>
      <c r="D414" s="1007" t="s">
        <v>63</v>
      </c>
      <c r="E414" s="1007" t="s">
        <v>64</v>
      </c>
      <c r="F414" s="1007" t="s">
        <v>450</v>
      </c>
      <c r="G414" s="1007" t="s">
        <v>402</v>
      </c>
      <c r="H414" s="1007" t="s">
        <v>451</v>
      </c>
      <c r="I414" s="1007" t="s">
        <v>689</v>
      </c>
      <c r="J414" s="1007" t="s">
        <v>96</v>
      </c>
      <c r="M414" s="1007" t="s">
        <v>68</v>
      </c>
      <c r="N414" s="1007">
        <v>46111</v>
      </c>
      <c r="O414" s="1007" t="s">
        <v>70</v>
      </c>
      <c r="P414" s="1007" t="s">
        <v>195</v>
      </c>
      <c r="Q414" s="1007" t="s">
        <v>196</v>
      </c>
      <c r="R414" s="1007" t="s">
        <v>73</v>
      </c>
      <c r="S414" s="1007" t="s">
        <v>967</v>
      </c>
      <c r="T414" s="1007">
        <v>450</v>
      </c>
      <c r="U414" s="1007">
        <v>1872</v>
      </c>
      <c r="V414" s="1007">
        <v>0.84240000000000004</v>
      </c>
      <c r="W414" s="1007">
        <v>52</v>
      </c>
      <c r="X414" s="1007">
        <v>2</v>
      </c>
      <c r="Y414" s="1007" t="s">
        <v>75</v>
      </c>
      <c r="Z414" s="1007" t="s">
        <v>75</v>
      </c>
      <c r="AA414" s="1007" t="s">
        <v>2038</v>
      </c>
      <c r="AB414" s="1008">
        <v>46123</v>
      </c>
      <c r="AC414" s="1007">
        <v>15</v>
      </c>
      <c r="AD414" s="1007" t="s">
        <v>2039</v>
      </c>
      <c r="AF414" s="1007" t="s">
        <v>1891</v>
      </c>
      <c r="AG414" s="1007" t="s">
        <v>123</v>
      </c>
      <c r="AH414" s="1007" t="s">
        <v>456</v>
      </c>
      <c r="AI414" s="1008">
        <v>46125</v>
      </c>
      <c r="AJ414" s="1008">
        <v>46125</v>
      </c>
      <c r="AK414" s="1008">
        <v>46126</v>
      </c>
      <c r="AL414" s="1008">
        <v>46171</v>
      </c>
      <c r="AM414" s="1008">
        <v>46176</v>
      </c>
      <c r="AN414" s="1008">
        <v>46178</v>
      </c>
      <c r="AO414" s="1007" t="s">
        <v>402</v>
      </c>
      <c r="AP414" s="1007" t="s">
        <v>2033</v>
      </c>
      <c r="AQ414" s="1007" t="s">
        <v>161</v>
      </c>
      <c r="AR414" s="1007" t="s">
        <v>2040</v>
      </c>
      <c r="AS414" s="1007" t="s">
        <v>2041</v>
      </c>
      <c r="AT414" s="1007" t="s">
        <v>2042</v>
      </c>
      <c r="AU414" s="1007">
        <v>52</v>
      </c>
      <c r="AW414" s="1008">
        <v>46178</v>
      </c>
      <c r="AX414" s="1007" t="s">
        <v>973</v>
      </c>
      <c r="AY414" s="1008">
        <v>46191</v>
      </c>
      <c r="AZ414" s="1007">
        <v>7</v>
      </c>
      <c r="BA414" s="1008">
        <v>46185</v>
      </c>
      <c r="BB414" s="1007">
        <v>2026</v>
      </c>
      <c r="BC414" s="1007">
        <v>6</v>
      </c>
      <c r="BD414" s="1007">
        <v>24</v>
      </c>
      <c r="BE414" s="1007">
        <v>36</v>
      </c>
      <c r="BF414" s="1007">
        <v>936</v>
      </c>
      <c r="BG414" s="1007" t="s">
        <v>85</v>
      </c>
      <c r="BH414" s="1007" t="s">
        <v>109</v>
      </c>
    </row>
    <row r="415" spans="1:60">
      <c r="A415" s="1007" t="s">
        <v>2043</v>
      </c>
      <c r="B415" s="1007" t="s">
        <v>1757</v>
      </c>
      <c r="C415" s="1007" t="s">
        <v>1286</v>
      </c>
      <c r="D415" s="1007" t="s">
        <v>63</v>
      </c>
      <c r="E415" s="1007" t="s">
        <v>64</v>
      </c>
      <c r="F415" s="1007" t="s">
        <v>450</v>
      </c>
      <c r="G415" s="1007" t="s">
        <v>402</v>
      </c>
      <c r="H415" s="1007" t="s">
        <v>451</v>
      </c>
      <c r="I415" s="1007" t="s">
        <v>689</v>
      </c>
      <c r="J415" s="1007" t="s">
        <v>1832</v>
      </c>
      <c r="M415" s="1007" t="s">
        <v>68</v>
      </c>
      <c r="N415" s="1007">
        <v>46104</v>
      </c>
      <c r="O415" s="1007" t="s">
        <v>70</v>
      </c>
      <c r="P415" s="1007" t="s">
        <v>1151</v>
      </c>
      <c r="Q415" s="1007" t="s">
        <v>421</v>
      </c>
      <c r="R415" s="1007" t="s">
        <v>73</v>
      </c>
      <c r="S415" s="1007" t="s">
        <v>967</v>
      </c>
      <c r="T415" s="1007">
        <v>505</v>
      </c>
      <c r="U415" s="1007">
        <v>4320</v>
      </c>
      <c r="V415" s="1007">
        <v>2.1816</v>
      </c>
      <c r="W415" s="1007">
        <v>120</v>
      </c>
      <c r="X415" s="1007">
        <v>5</v>
      </c>
      <c r="Y415" s="1007" t="s">
        <v>75</v>
      </c>
      <c r="Z415" s="1007" t="s">
        <v>75</v>
      </c>
      <c r="AA415" s="1007" t="s">
        <v>1883</v>
      </c>
      <c r="AB415" s="1008">
        <v>46121</v>
      </c>
      <c r="AC415" s="1007">
        <v>15</v>
      </c>
      <c r="AD415" s="1007" t="s">
        <v>2044</v>
      </c>
      <c r="AF415" s="1007" t="s">
        <v>1762</v>
      </c>
      <c r="AG415" s="1007" t="s">
        <v>123</v>
      </c>
      <c r="AH415" s="1007" t="s">
        <v>456</v>
      </c>
      <c r="AI415" s="1008">
        <v>46124</v>
      </c>
      <c r="AJ415" s="1008">
        <v>46125</v>
      </c>
      <c r="AK415" s="1008">
        <v>46125</v>
      </c>
      <c r="AL415" s="1008">
        <v>46165</v>
      </c>
      <c r="AM415" s="1008">
        <v>46165</v>
      </c>
      <c r="AN415" s="1008">
        <v>46168</v>
      </c>
      <c r="AO415" s="1007" t="s">
        <v>402</v>
      </c>
      <c r="AP415" s="1007" t="s">
        <v>2045</v>
      </c>
      <c r="AQ415" s="1007" t="s">
        <v>80</v>
      </c>
      <c r="AR415" s="1007" t="s">
        <v>2046</v>
      </c>
      <c r="AS415" s="1007" t="s">
        <v>2047</v>
      </c>
      <c r="AT415" s="1007" t="s">
        <v>2047</v>
      </c>
      <c r="AU415" s="1007">
        <v>43</v>
      </c>
      <c r="AW415" s="1008">
        <v>46168</v>
      </c>
      <c r="AX415" s="1007" t="s">
        <v>973</v>
      </c>
      <c r="AY415" s="1008">
        <v>46180</v>
      </c>
      <c r="AZ415" s="1007">
        <v>7</v>
      </c>
      <c r="BA415" s="1008">
        <v>46175</v>
      </c>
      <c r="BB415" s="1007">
        <v>2026</v>
      </c>
      <c r="BC415" s="1007">
        <v>6</v>
      </c>
      <c r="BD415" s="1007">
        <v>23</v>
      </c>
      <c r="BE415" s="1007">
        <v>36</v>
      </c>
      <c r="BF415" s="1007">
        <v>864</v>
      </c>
      <c r="BG415" s="1007" t="s">
        <v>85</v>
      </c>
      <c r="BH415" s="1007" t="s">
        <v>109</v>
      </c>
    </row>
    <row r="416" spans="1:60">
      <c r="A416" s="1007" t="s">
        <v>2048</v>
      </c>
      <c r="B416" s="1007" t="s">
        <v>1802</v>
      </c>
      <c r="C416" s="1007" t="s">
        <v>1803</v>
      </c>
      <c r="D416" s="1007" t="s">
        <v>113</v>
      </c>
      <c r="E416" s="1007" t="s">
        <v>144</v>
      </c>
      <c r="F416" s="1007" t="s">
        <v>145</v>
      </c>
      <c r="G416" s="1007" t="s">
        <v>402</v>
      </c>
      <c r="H416" s="1007" t="s">
        <v>1449</v>
      </c>
      <c r="I416" s="1007" t="s">
        <v>822</v>
      </c>
      <c r="J416" s="1007" t="s">
        <v>1964</v>
      </c>
      <c r="K416" s="1007" t="s">
        <v>1805</v>
      </c>
      <c r="M416" s="1007" t="s">
        <v>840</v>
      </c>
      <c r="N416" s="1007">
        <v>46104</v>
      </c>
      <c r="O416" s="1007" t="s">
        <v>70</v>
      </c>
      <c r="P416" s="1007" t="s">
        <v>1806</v>
      </c>
      <c r="Q416" s="1007" t="s">
        <v>1807</v>
      </c>
      <c r="R416" s="1007" t="s">
        <v>331</v>
      </c>
      <c r="S416" s="1007" t="s">
        <v>1808</v>
      </c>
      <c r="T416" s="1007">
        <v>720</v>
      </c>
      <c r="U416" s="1007">
        <v>2970</v>
      </c>
      <c r="V416" s="1007">
        <v>2.1383999999999999</v>
      </c>
      <c r="W416" s="1007">
        <v>90</v>
      </c>
      <c r="X416" s="1007">
        <v>5</v>
      </c>
      <c r="Y416" s="1007" t="s">
        <v>75</v>
      </c>
      <c r="Z416" s="1007" t="s">
        <v>75</v>
      </c>
      <c r="AA416" s="1007" t="s">
        <v>1958</v>
      </c>
      <c r="AB416" s="1008">
        <v>46121</v>
      </c>
      <c r="AC416" s="1007">
        <v>15</v>
      </c>
      <c r="AD416" s="1007" t="s">
        <v>2049</v>
      </c>
      <c r="AF416" s="1007" t="s">
        <v>945</v>
      </c>
      <c r="AG416" s="1007" t="s">
        <v>123</v>
      </c>
      <c r="AH416" s="1007" t="s">
        <v>105</v>
      </c>
      <c r="AI416" s="1008">
        <v>46124</v>
      </c>
      <c r="AJ416" s="1008">
        <v>46125</v>
      </c>
      <c r="AK416" s="1008">
        <v>46125</v>
      </c>
      <c r="AL416" s="1008">
        <v>46169</v>
      </c>
      <c r="AM416" s="1008">
        <v>46172</v>
      </c>
      <c r="AN416" s="1008">
        <v>46170</v>
      </c>
      <c r="AO416" s="1007" t="s">
        <v>402</v>
      </c>
      <c r="AP416" s="1007" t="s">
        <v>2045</v>
      </c>
      <c r="AQ416" s="1007" t="s">
        <v>80</v>
      </c>
      <c r="AR416" s="1007" t="s">
        <v>2050</v>
      </c>
      <c r="AS416" s="1007" t="s">
        <v>2051</v>
      </c>
      <c r="AT416" s="1007" t="s">
        <v>2051</v>
      </c>
      <c r="AU416" s="1007">
        <v>45</v>
      </c>
      <c r="AW416" s="1008">
        <v>46170</v>
      </c>
      <c r="AX416" s="1007" t="s">
        <v>973</v>
      </c>
      <c r="AY416" s="1008">
        <v>46176</v>
      </c>
      <c r="AZ416" s="1007">
        <v>0</v>
      </c>
      <c r="BA416" s="1008">
        <v>46170</v>
      </c>
      <c r="BB416" s="1007">
        <v>2026</v>
      </c>
      <c r="BC416" s="1007">
        <v>5</v>
      </c>
      <c r="BD416" s="1007">
        <v>22</v>
      </c>
      <c r="BE416" s="1007">
        <v>33</v>
      </c>
      <c r="BF416" s="1007">
        <v>594</v>
      </c>
      <c r="BG416" s="1007" t="s">
        <v>94</v>
      </c>
      <c r="BH416" s="1007" t="s">
        <v>109</v>
      </c>
    </row>
    <row r="417" spans="1:60">
      <c r="A417" s="1007" t="s">
        <v>2052</v>
      </c>
      <c r="B417" s="1007" t="s">
        <v>1888</v>
      </c>
      <c r="C417" s="1007" t="s">
        <v>1016</v>
      </c>
      <c r="D417" s="1007" t="s">
        <v>63</v>
      </c>
      <c r="E417" s="1007" t="s">
        <v>144</v>
      </c>
      <c r="F417" s="1007" t="s">
        <v>145</v>
      </c>
      <c r="G417" s="1007" t="s">
        <v>402</v>
      </c>
      <c r="H417" s="1007" t="s">
        <v>1449</v>
      </c>
      <c r="I417" s="1007" t="s">
        <v>689</v>
      </c>
      <c r="J417" s="1007" t="s">
        <v>2053</v>
      </c>
      <c r="K417" s="1007" t="s">
        <v>1451</v>
      </c>
      <c r="L417" s="1007">
        <v>3</v>
      </c>
      <c r="M417" s="1007" t="s">
        <v>840</v>
      </c>
      <c r="N417" s="1007">
        <v>46104</v>
      </c>
      <c r="O417" s="1007" t="s">
        <v>70</v>
      </c>
      <c r="P417" s="1007" t="s">
        <v>195</v>
      </c>
      <c r="Q417" s="1007" t="s">
        <v>196</v>
      </c>
      <c r="R417" s="1007" t="s">
        <v>73</v>
      </c>
      <c r="S417" s="1007" t="s">
        <v>967</v>
      </c>
      <c r="T417" s="1007">
        <v>450</v>
      </c>
      <c r="U417" s="1007">
        <v>10296</v>
      </c>
      <c r="V417" s="1007">
        <v>4.6332000000000004</v>
      </c>
      <c r="W417" s="1007">
        <v>286</v>
      </c>
      <c r="X417" s="1007">
        <v>11</v>
      </c>
      <c r="Y417" s="1007" t="s">
        <v>75</v>
      </c>
      <c r="Z417" s="1007" t="s">
        <v>75</v>
      </c>
      <c r="AA417" s="1007" t="s">
        <v>2054</v>
      </c>
      <c r="AB417" s="1008">
        <v>46120</v>
      </c>
      <c r="AC417" s="1007">
        <v>15</v>
      </c>
      <c r="AD417" s="1007" t="s">
        <v>2055</v>
      </c>
      <c r="AF417" s="1007" t="s">
        <v>1891</v>
      </c>
      <c r="AG417" s="1007" t="s">
        <v>123</v>
      </c>
      <c r="AH417" s="1007" t="s">
        <v>105</v>
      </c>
      <c r="AI417" s="1008">
        <v>46124</v>
      </c>
      <c r="AJ417" s="1008">
        <v>46127</v>
      </c>
      <c r="AK417" s="1008">
        <v>46127</v>
      </c>
      <c r="AL417" s="1008">
        <v>46161</v>
      </c>
      <c r="AM417" s="1008">
        <v>46172</v>
      </c>
      <c r="AN417" s="1008">
        <v>46174</v>
      </c>
      <c r="AO417" s="1007" t="s">
        <v>402</v>
      </c>
      <c r="AP417" s="1007" t="s">
        <v>2006</v>
      </c>
      <c r="AQ417" s="1007" t="s">
        <v>80</v>
      </c>
      <c r="AR417" s="1007" t="s">
        <v>2056</v>
      </c>
      <c r="AS417" s="1007" t="s">
        <v>2057</v>
      </c>
      <c r="AT417" s="1007" t="s">
        <v>2058</v>
      </c>
      <c r="AU417" s="1007">
        <v>47</v>
      </c>
      <c r="AW417" s="1008">
        <v>46174</v>
      </c>
      <c r="AX417" s="1007" t="s">
        <v>973</v>
      </c>
      <c r="AY417" s="1008">
        <v>46167</v>
      </c>
      <c r="AZ417" s="1007">
        <v>0</v>
      </c>
      <c r="BA417" s="1008">
        <v>46174</v>
      </c>
      <c r="BB417" s="1007">
        <v>2026</v>
      </c>
      <c r="BC417" s="1007">
        <v>6</v>
      </c>
      <c r="BD417" s="1007">
        <v>23</v>
      </c>
      <c r="BE417" s="1007">
        <v>36</v>
      </c>
      <c r="BF417" s="1007">
        <v>936</v>
      </c>
      <c r="BG417" s="1007" t="s">
        <v>85</v>
      </c>
      <c r="BH417" s="1007" t="s">
        <v>109</v>
      </c>
    </row>
    <row r="418" spans="1:60">
      <c r="A418" s="1007" t="s">
        <v>2059</v>
      </c>
      <c r="B418" s="1007" t="s">
        <v>1888</v>
      </c>
      <c r="C418" s="1007" t="s">
        <v>1016</v>
      </c>
      <c r="D418" s="1007" t="s">
        <v>63</v>
      </c>
      <c r="E418" s="1007" t="s">
        <v>144</v>
      </c>
      <c r="F418" s="1007" t="s">
        <v>145</v>
      </c>
      <c r="G418" s="1007" t="s">
        <v>402</v>
      </c>
      <c r="H418" s="1007" t="s">
        <v>1449</v>
      </c>
      <c r="I418" s="1007" t="s">
        <v>689</v>
      </c>
      <c r="J418" s="1007" t="s">
        <v>2053</v>
      </c>
      <c r="K418" s="1007" t="s">
        <v>1451</v>
      </c>
      <c r="L418" s="1007">
        <v>4</v>
      </c>
      <c r="M418" s="1007" t="s">
        <v>840</v>
      </c>
      <c r="N418" s="1007">
        <v>46104</v>
      </c>
      <c r="O418" s="1007" t="s">
        <v>70</v>
      </c>
      <c r="P418" s="1007" t="s">
        <v>195</v>
      </c>
      <c r="Q418" s="1007" t="s">
        <v>196</v>
      </c>
      <c r="R418" s="1007" t="s">
        <v>73</v>
      </c>
      <c r="S418" s="1007" t="s">
        <v>967</v>
      </c>
      <c r="T418" s="1007">
        <v>450</v>
      </c>
      <c r="U418" s="1007">
        <v>2808</v>
      </c>
      <c r="V418" s="1007">
        <v>1.2636000000000001</v>
      </c>
      <c r="W418" s="1007">
        <v>78</v>
      </c>
      <c r="X418" s="1007">
        <v>3</v>
      </c>
      <c r="Y418" s="1007" t="s">
        <v>75</v>
      </c>
      <c r="Z418" s="1007" t="s">
        <v>75</v>
      </c>
      <c r="AA418" s="1007" t="s">
        <v>2054</v>
      </c>
      <c r="AB418" s="1008">
        <v>46121</v>
      </c>
      <c r="AC418" s="1007">
        <v>15</v>
      </c>
      <c r="AD418" s="1007" t="s">
        <v>2060</v>
      </c>
      <c r="AF418" s="1007" t="s">
        <v>1891</v>
      </c>
      <c r="AG418" s="1007" t="s">
        <v>123</v>
      </c>
      <c r="AH418" s="1007" t="s">
        <v>105</v>
      </c>
      <c r="AI418" s="1008">
        <v>46124</v>
      </c>
      <c r="AJ418" s="1008">
        <v>46125</v>
      </c>
      <c r="AK418" s="1008">
        <v>46125</v>
      </c>
      <c r="AL418" s="1008">
        <v>46169</v>
      </c>
      <c r="AM418" s="1008">
        <v>46172</v>
      </c>
      <c r="AN418" s="1008">
        <v>46170</v>
      </c>
      <c r="AO418" s="1007" t="s">
        <v>402</v>
      </c>
      <c r="AP418" s="1007" t="s">
        <v>2045</v>
      </c>
      <c r="AQ418" s="1007" t="s">
        <v>80</v>
      </c>
      <c r="AR418" s="1007" t="s">
        <v>2061</v>
      </c>
      <c r="AS418" s="1007" t="s">
        <v>2062</v>
      </c>
      <c r="AT418" s="1007" t="s">
        <v>2062</v>
      </c>
      <c r="AU418" s="1007">
        <v>45</v>
      </c>
      <c r="AW418" s="1008">
        <v>46170</v>
      </c>
      <c r="AX418" s="1007" t="s">
        <v>973</v>
      </c>
      <c r="AY418" s="1008">
        <v>46183</v>
      </c>
      <c r="AZ418" s="1007">
        <v>0</v>
      </c>
      <c r="BA418" s="1008">
        <v>46170</v>
      </c>
      <c r="BB418" s="1007">
        <v>2026</v>
      </c>
      <c r="BC418" s="1007">
        <v>5</v>
      </c>
      <c r="BD418" s="1007">
        <v>22</v>
      </c>
      <c r="BE418" s="1007">
        <v>36</v>
      </c>
      <c r="BF418" s="1007">
        <v>936</v>
      </c>
      <c r="BG418" s="1007" t="s">
        <v>85</v>
      </c>
      <c r="BH418" s="1007" t="s">
        <v>109</v>
      </c>
    </row>
    <row r="419" spans="1:60">
      <c r="A419" s="1007" t="s">
        <v>2063</v>
      </c>
      <c r="B419" s="1007" t="s">
        <v>1888</v>
      </c>
      <c r="C419" s="1007" t="s">
        <v>1016</v>
      </c>
      <c r="D419" s="1007" t="s">
        <v>63</v>
      </c>
      <c r="E419" s="1007" t="s">
        <v>64</v>
      </c>
      <c r="F419" s="1007" t="s">
        <v>100</v>
      </c>
      <c r="G419" s="1007" t="s">
        <v>402</v>
      </c>
      <c r="H419" s="1007" t="s">
        <v>67</v>
      </c>
      <c r="I419" s="1007" t="s">
        <v>689</v>
      </c>
      <c r="J419" s="1007" t="s">
        <v>483</v>
      </c>
      <c r="M419" s="1007" t="s">
        <v>68</v>
      </c>
      <c r="N419" s="1007">
        <v>46104</v>
      </c>
      <c r="O419" s="1007" t="s">
        <v>70</v>
      </c>
      <c r="P419" s="1007" t="s">
        <v>195</v>
      </c>
      <c r="Q419" s="1007" t="s">
        <v>196</v>
      </c>
      <c r="R419" s="1007" t="s">
        <v>73</v>
      </c>
      <c r="S419" s="1007" t="s">
        <v>967</v>
      </c>
      <c r="T419" s="1007">
        <v>450</v>
      </c>
      <c r="U419" s="1007">
        <v>936</v>
      </c>
      <c r="V419" s="1007">
        <v>0.42120000000000002</v>
      </c>
      <c r="W419" s="1007">
        <v>26</v>
      </c>
      <c r="X419" s="1007">
        <v>1</v>
      </c>
      <c r="Y419" s="1007" t="s">
        <v>75</v>
      </c>
      <c r="Z419" s="1007" t="s">
        <v>75</v>
      </c>
      <c r="AA419" s="1007" t="s">
        <v>2054</v>
      </c>
      <c r="AB419" s="1008">
        <v>46120</v>
      </c>
      <c r="AC419" s="1007">
        <v>15</v>
      </c>
      <c r="AD419" s="1007" t="s">
        <v>2064</v>
      </c>
      <c r="AF419" s="1007" t="s">
        <v>1891</v>
      </c>
      <c r="AG419" s="1007" t="s">
        <v>123</v>
      </c>
      <c r="AH419" s="1007" t="s">
        <v>105</v>
      </c>
      <c r="AI419" s="1008">
        <v>46124</v>
      </c>
      <c r="AJ419" s="1008">
        <v>46125</v>
      </c>
      <c r="AK419" s="1008">
        <v>46125</v>
      </c>
      <c r="AL419" s="1008">
        <v>46165</v>
      </c>
      <c r="AM419" s="1008">
        <v>46165</v>
      </c>
      <c r="AN419" s="1008">
        <v>46166</v>
      </c>
      <c r="AO419" s="1007" t="s">
        <v>402</v>
      </c>
      <c r="AP419" s="1007" t="s">
        <v>2065</v>
      </c>
      <c r="AQ419" s="1007" t="s">
        <v>80</v>
      </c>
      <c r="AR419" s="1007" t="s">
        <v>2066</v>
      </c>
      <c r="AS419" s="1007" t="s">
        <v>2067</v>
      </c>
      <c r="AT419" s="1007" t="s">
        <v>2067</v>
      </c>
      <c r="AU419" s="1007">
        <v>41</v>
      </c>
      <c r="AW419" s="1008">
        <v>46166</v>
      </c>
      <c r="AX419" s="1007" t="s">
        <v>973</v>
      </c>
      <c r="AY419" s="1008">
        <v>46180</v>
      </c>
      <c r="AZ419" s="1007">
        <v>7</v>
      </c>
      <c r="BA419" s="1008">
        <v>46173</v>
      </c>
      <c r="BB419" s="1007">
        <v>2026</v>
      </c>
      <c r="BC419" s="1007">
        <v>5</v>
      </c>
      <c r="BD419" s="1007">
        <v>22</v>
      </c>
      <c r="BE419" s="1007">
        <v>36</v>
      </c>
      <c r="BF419" s="1007">
        <v>936</v>
      </c>
      <c r="BG419" s="1007" t="s">
        <v>85</v>
      </c>
      <c r="BH419" s="1007" t="s">
        <v>109</v>
      </c>
    </row>
    <row r="420" spans="1:60">
      <c r="A420" s="1007" t="s">
        <v>2068</v>
      </c>
      <c r="B420" s="1007" t="s">
        <v>1888</v>
      </c>
      <c r="C420" s="1007" t="s">
        <v>1016</v>
      </c>
      <c r="D420" s="1007" t="s">
        <v>63</v>
      </c>
      <c r="E420" s="1007" t="s">
        <v>64</v>
      </c>
      <c r="F420" s="1007" t="s">
        <v>100</v>
      </c>
      <c r="G420" s="1007" t="s">
        <v>402</v>
      </c>
      <c r="H420" s="1007" t="s">
        <v>67</v>
      </c>
      <c r="I420" s="1007" t="s">
        <v>689</v>
      </c>
      <c r="J420" s="1007" t="s">
        <v>483</v>
      </c>
      <c r="M420" s="1007" t="s">
        <v>68</v>
      </c>
      <c r="N420" s="1007">
        <v>46111</v>
      </c>
      <c r="O420" s="1007" t="s">
        <v>70</v>
      </c>
      <c r="P420" s="1007" t="s">
        <v>195</v>
      </c>
      <c r="Q420" s="1007" t="s">
        <v>196</v>
      </c>
      <c r="R420" s="1007" t="s">
        <v>73</v>
      </c>
      <c r="S420" s="1007" t="s">
        <v>967</v>
      </c>
      <c r="T420" s="1007">
        <v>450</v>
      </c>
      <c r="U420" s="1007">
        <v>936</v>
      </c>
      <c r="V420" s="1007">
        <v>0.42120000000000002</v>
      </c>
      <c r="W420" s="1007">
        <v>26</v>
      </c>
      <c r="X420" s="1007">
        <v>1</v>
      </c>
      <c r="Y420" s="1007" t="s">
        <v>75</v>
      </c>
      <c r="Z420" s="1007" t="s">
        <v>75</v>
      </c>
      <c r="AB420" s="1008">
        <v>46120</v>
      </c>
      <c r="AC420" s="1007">
        <v>15</v>
      </c>
      <c r="AD420" s="1007" t="s">
        <v>2069</v>
      </c>
      <c r="AF420" s="1007" t="s">
        <v>1891</v>
      </c>
      <c r="AG420" s="1007" t="s">
        <v>123</v>
      </c>
      <c r="AH420" s="1007" t="s">
        <v>105</v>
      </c>
      <c r="AI420" s="1008">
        <v>46124</v>
      </c>
      <c r="AJ420" s="1008">
        <v>46125</v>
      </c>
      <c r="AK420" s="1008">
        <v>46125</v>
      </c>
      <c r="AL420" s="1008">
        <v>46165</v>
      </c>
      <c r="AM420" s="1008">
        <v>46165</v>
      </c>
      <c r="AN420" s="1008">
        <v>46166</v>
      </c>
      <c r="AO420" s="1007" t="s">
        <v>402</v>
      </c>
      <c r="AP420" s="1007" t="s">
        <v>2065</v>
      </c>
      <c r="AQ420" s="1007" t="s">
        <v>80</v>
      </c>
      <c r="AR420" s="1007" t="s">
        <v>2066</v>
      </c>
      <c r="AS420" s="1007" t="s">
        <v>2067</v>
      </c>
      <c r="AT420" s="1007" t="s">
        <v>2067</v>
      </c>
      <c r="AU420" s="1007">
        <v>41</v>
      </c>
      <c r="AW420" s="1008">
        <v>46166</v>
      </c>
      <c r="AX420" s="1007" t="s">
        <v>973</v>
      </c>
      <c r="AY420" s="1008">
        <v>46180</v>
      </c>
      <c r="AZ420" s="1007">
        <v>7</v>
      </c>
      <c r="BA420" s="1008">
        <v>46173</v>
      </c>
      <c r="BB420" s="1007">
        <v>2026</v>
      </c>
      <c r="BC420" s="1007">
        <v>5</v>
      </c>
      <c r="BD420" s="1007">
        <v>22</v>
      </c>
      <c r="BE420" s="1007">
        <v>36</v>
      </c>
      <c r="BF420" s="1007">
        <v>936</v>
      </c>
      <c r="BG420" s="1007" t="s">
        <v>85</v>
      </c>
      <c r="BH420" s="1007" t="s">
        <v>109</v>
      </c>
    </row>
    <row r="421" spans="1:60">
      <c r="A421" s="1007" t="s">
        <v>1893</v>
      </c>
      <c r="B421" s="1007" t="s">
        <v>111</v>
      </c>
      <c r="C421" s="1007" t="s">
        <v>203</v>
      </c>
      <c r="D421" s="1007" t="s">
        <v>63</v>
      </c>
      <c r="E421" s="1007" t="s">
        <v>144</v>
      </c>
      <c r="F421" s="1007" t="s">
        <v>145</v>
      </c>
      <c r="G421" s="1007" t="s">
        <v>402</v>
      </c>
      <c r="H421" s="1007" t="s">
        <v>593</v>
      </c>
      <c r="I421" s="1007" t="s">
        <v>689</v>
      </c>
      <c r="J421" s="1007" t="s">
        <v>2070</v>
      </c>
      <c r="K421" s="1007" t="s">
        <v>2071</v>
      </c>
      <c r="M421" s="1007" t="s">
        <v>840</v>
      </c>
      <c r="N421" s="1007">
        <v>46111</v>
      </c>
      <c r="O421" s="1007" t="s">
        <v>132</v>
      </c>
      <c r="P421" s="1007" t="s">
        <v>1894</v>
      </c>
      <c r="Q421" s="1007" t="s">
        <v>1895</v>
      </c>
      <c r="R421" s="1007" t="s">
        <v>73</v>
      </c>
      <c r="S421" s="1007" t="s">
        <v>992</v>
      </c>
      <c r="T421" s="1007">
        <v>560</v>
      </c>
      <c r="U421" s="1007">
        <v>2640</v>
      </c>
      <c r="V421" s="1007">
        <v>1.4783999999999999</v>
      </c>
      <c r="W421" s="1007">
        <v>80</v>
      </c>
      <c r="X421" s="1007">
        <v>4</v>
      </c>
      <c r="Y421" s="1007" t="s">
        <v>951</v>
      </c>
      <c r="Z421" s="1007" t="s">
        <v>75</v>
      </c>
      <c r="AA421" s="1007" t="s">
        <v>1896</v>
      </c>
      <c r="AB421" s="1008">
        <v>46119</v>
      </c>
      <c r="AC421" s="1007">
        <v>15</v>
      </c>
      <c r="AD421" s="1007" t="s">
        <v>2072</v>
      </c>
      <c r="AF421" s="1007" t="s">
        <v>945</v>
      </c>
      <c r="AG421" s="1007" t="s">
        <v>123</v>
      </c>
      <c r="AH421" s="1007" t="s">
        <v>124</v>
      </c>
      <c r="AI421" s="1008">
        <v>46122</v>
      </c>
      <c r="AJ421" s="1008">
        <v>46122</v>
      </c>
      <c r="AK421" s="1008">
        <v>46124</v>
      </c>
      <c r="AL421" s="1008">
        <v>46177</v>
      </c>
      <c r="AM421" s="1008">
        <v>46207</v>
      </c>
      <c r="AN421" s="1008">
        <v>46207</v>
      </c>
      <c r="AO421" s="1007" t="s">
        <v>402</v>
      </c>
      <c r="AP421" s="1007" t="s">
        <v>2073</v>
      </c>
      <c r="AQ421" s="1007" t="s">
        <v>80</v>
      </c>
      <c r="AR421" s="1007" t="s">
        <v>2074</v>
      </c>
      <c r="AS421" s="1007" t="s">
        <v>2075</v>
      </c>
      <c r="AT421" s="1007" t="s">
        <v>2075</v>
      </c>
      <c r="AU421" s="1007">
        <v>83</v>
      </c>
      <c r="AW421" s="1008">
        <v>46207</v>
      </c>
      <c r="AX421" s="1007" t="s">
        <v>973</v>
      </c>
      <c r="AY421" s="1008">
        <v>46190</v>
      </c>
      <c r="AZ421" s="1007">
        <v>0</v>
      </c>
      <c r="BA421" s="1008">
        <v>46207</v>
      </c>
      <c r="BB421" s="1007">
        <v>2026</v>
      </c>
      <c r="BC421" s="1007">
        <v>7</v>
      </c>
      <c r="BD421" s="1007">
        <v>27</v>
      </c>
      <c r="BE421" s="1007">
        <v>33</v>
      </c>
      <c r="BF421" s="1007">
        <v>660</v>
      </c>
      <c r="BG421" s="1007" t="s">
        <v>108</v>
      </c>
      <c r="BH421" s="1007" t="s">
        <v>86</v>
      </c>
    </row>
    <row r="422" spans="1:60">
      <c r="A422" s="1007" t="s">
        <v>2076</v>
      </c>
      <c r="B422" s="1007" t="s">
        <v>111</v>
      </c>
      <c r="C422" s="1007" t="s">
        <v>1729</v>
      </c>
      <c r="D422" s="1007" t="s">
        <v>63</v>
      </c>
      <c r="E422" s="1007" t="s">
        <v>64</v>
      </c>
      <c r="F422" s="1007" t="s">
        <v>310</v>
      </c>
      <c r="G422" s="1007" t="s">
        <v>402</v>
      </c>
      <c r="H422" s="1007" t="s">
        <v>311</v>
      </c>
      <c r="I422" s="1007" t="s">
        <v>1395</v>
      </c>
      <c r="J422" s="1007" t="s">
        <v>96</v>
      </c>
      <c r="M422" s="1007" t="s">
        <v>68</v>
      </c>
      <c r="N422" s="1007">
        <v>46111</v>
      </c>
      <c r="O422" s="1007" t="s">
        <v>170</v>
      </c>
      <c r="P422" s="1007" t="s">
        <v>171</v>
      </c>
      <c r="Q422" s="1007" t="s">
        <v>1731</v>
      </c>
      <c r="R422" s="1007" t="s">
        <v>73</v>
      </c>
      <c r="S422" s="1007" t="s">
        <v>992</v>
      </c>
      <c r="T422" s="1007">
        <v>555</v>
      </c>
      <c r="U422" s="1007">
        <v>2640</v>
      </c>
      <c r="V422" s="1007">
        <v>1.4652000000000001</v>
      </c>
      <c r="W422" s="1007">
        <v>80</v>
      </c>
      <c r="X422" s="1007">
        <v>4</v>
      </c>
      <c r="Y422" s="1007" t="s">
        <v>75</v>
      </c>
      <c r="Z422" s="1007" t="s">
        <v>75</v>
      </c>
      <c r="AA422" s="1007" t="s">
        <v>2077</v>
      </c>
      <c r="AB422" s="1008">
        <v>46117</v>
      </c>
      <c r="AC422" s="1007">
        <v>14</v>
      </c>
      <c r="AD422" s="1007" t="s">
        <v>2078</v>
      </c>
      <c r="AF422" s="1007" t="s">
        <v>1999</v>
      </c>
      <c r="AG422" s="1007" t="s">
        <v>123</v>
      </c>
      <c r="AH422" s="1007" t="s">
        <v>314</v>
      </c>
      <c r="AI422" s="1008">
        <v>46122</v>
      </c>
      <c r="AJ422" s="1008">
        <v>46122</v>
      </c>
      <c r="AK422" s="1008">
        <v>46124</v>
      </c>
      <c r="AL422" s="1008">
        <v>46169</v>
      </c>
      <c r="AM422" s="1008">
        <v>46169</v>
      </c>
      <c r="AN422" s="1008">
        <v>46175</v>
      </c>
      <c r="AO422" s="1007" t="s">
        <v>402</v>
      </c>
      <c r="AP422" s="1007" t="s">
        <v>2073</v>
      </c>
      <c r="AQ422" s="1007" t="s">
        <v>80</v>
      </c>
      <c r="AR422" s="1007" t="s">
        <v>2079</v>
      </c>
      <c r="AS422" s="1007" t="s">
        <v>2080</v>
      </c>
      <c r="AT422" s="1007" t="s">
        <v>2080</v>
      </c>
      <c r="AU422" s="1007">
        <v>51</v>
      </c>
      <c r="AW422" s="1008">
        <v>46175</v>
      </c>
      <c r="AX422" s="1007" t="s">
        <v>973</v>
      </c>
      <c r="AY422" s="1008">
        <v>46189</v>
      </c>
      <c r="AZ422" s="1007">
        <v>13</v>
      </c>
      <c r="BA422" s="1008">
        <v>46188</v>
      </c>
      <c r="BB422" s="1007">
        <v>2026</v>
      </c>
      <c r="BC422" s="1007">
        <v>6</v>
      </c>
      <c r="BD422" s="1007">
        <v>25</v>
      </c>
      <c r="BE422" s="1007">
        <v>33</v>
      </c>
      <c r="BF422" s="1007">
        <v>660</v>
      </c>
      <c r="BG422" s="1007" t="s">
        <v>108</v>
      </c>
      <c r="BH422" s="1007" t="s">
        <v>86</v>
      </c>
    </row>
    <row r="423" spans="1:60">
      <c r="A423" s="1007" t="s">
        <v>2081</v>
      </c>
      <c r="B423" s="1007" t="s">
        <v>111</v>
      </c>
      <c r="C423" s="1007" t="s">
        <v>1729</v>
      </c>
      <c r="D423" s="1007" t="s">
        <v>63</v>
      </c>
      <c r="E423" s="1007" t="s">
        <v>64</v>
      </c>
      <c r="F423" s="1007" t="s">
        <v>310</v>
      </c>
      <c r="G423" s="1007" t="s">
        <v>402</v>
      </c>
      <c r="H423" s="1007" t="s">
        <v>311</v>
      </c>
      <c r="I423" s="1007" t="s">
        <v>1395</v>
      </c>
      <c r="J423" s="1007" t="s">
        <v>96</v>
      </c>
      <c r="M423" s="1007" t="s">
        <v>68</v>
      </c>
      <c r="N423" s="1007">
        <v>46111</v>
      </c>
      <c r="O423" s="1007" t="s">
        <v>170</v>
      </c>
      <c r="P423" s="1007" t="s">
        <v>171</v>
      </c>
      <c r="Q423" s="1007" t="s">
        <v>1731</v>
      </c>
      <c r="R423" s="1007" t="s">
        <v>73</v>
      </c>
      <c r="S423" s="1007" t="s">
        <v>992</v>
      </c>
      <c r="T423" s="1007">
        <v>555</v>
      </c>
      <c r="U423" s="1007">
        <v>660</v>
      </c>
      <c r="V423" s="1007">
        <v>0.36630000000000001</v>
      </c>
      <c r="W423" s="1007">
        <v>20</v>
      </c>
      <c r="X423" s="1007">
        <v>1</v>
      </c>
      <c r="Y423" s="1007" t="s">
        <v>75</v>
      </c>
      <c r="Z423" s="1007" t="s">
        <v>75</v>
      </c>
      <c r="AA423" s="1007" t="s">
        <v>2082</v>
      </c>
      <c r="AB423" s="1008">
        <v>46117</v>
      </c>
      <c r="AC423" s="1007">
        <v>14</v>
      </c>
      <c r="AD423" s="1007" t="s">
        <v>2083</v>
      </c>
      <c r="AF423" s="1007" t="s">
        <v>1999</v>
      </c>
      <c r="AG423" s="1007" t="s">
        <v>123</v>
      </c>
      <c r="AH423" s="1007" t="s">
        <v>1561</v>
      </c>
      <c r="AI423" s="1008">
        <v>46122</v>
      </c>
      <c r="AJ423" s="1008">
        <v>46122</v>
      </c>
      <c r="AK423" s="1008">
        <v>46124</v>
      </c>
      <c r="AL423" s="1008">
        <v>46166</v>
      </c>
      <c r="AM423" s="1008">
        <v>46174</v>
      </c>
      <c r="AN423" s="1008">
        <v>46174</v>
      </c>
      <c r="AO423" s="1007" t="s">
        <v>402</v>
      </c>
      <c r="AP423" s="1007" t="s">
        <v>2073</v>
      </c>
      <c r="AQ423" s="1007" t="s">
        <v>80</v>
      </c>
      <c r="AR423" s="1007" t="s">
        <v>2084</v>
      </c>
      <c r="AS423" s="1007" t="s">
        <v>2085</v>
      </c>
      <c r="AT423" s="1007" t="s">
        <v>2085</v>
      </c>
      <c r="AU423" s="1007">
        <v>50</v>
      </c>
      <c r="AW423" s="1008">
        <v>46174</v>
      </c>
      <c r="AX423" s="1007" t="s">
        <v>973</v>
      </c>
      <c r="AY423" s="1008">
        <v>46188</v>
      </c>
      <c r="AZ423" s="1007">
        <v>13</v>
      </c>
      <c r="BA423" s="1008">
        <v>46187</v>
      </c>
      <c r="BB423" s="1007">
        <v>2026</v>
      </c>
      <c r="BC423" s="1007">
        <v>6</v>
      </c>
      <c r="BD423" s="1007">
        <v>24</v>
      </c>
      <c r="BE423" s="1007">
        <v>33</v>
      </c>
      <c r="BF423" s="1007">
        <v>660</v>
      </c>
      <c r="BG423" s="1007" t="s">
        <v>108</v>
      </c>
      <c r="BH423" s="1007" t="s">
        <v>86</v>
      </c>
    </row>
    <row r="424" spans="1:60">
      <c r="A424" s="1007" t="s">
        <v>2086</v>
      </c>
      <c r="B424" s="1007" t="s">
        <v>61</v>
      </c>
      <c r="C424" s="1007" t="s">
        <v>2087</v>
      </c>
      <c r="D424" s="1007" t="s">
        <v>63</v>
      </c>
      <c r="E424" s="1007" t="s">
        <v>64</v>
      </c>
      <c r="F424" s="1007" t="s">
        <v>65</v>
      </c>
      <c r="G424" s="1007" t="s">
        <v>402</v>
      </c>
      <c r="H424" s="1007" t="s">
        <v>67</v>
      </c>
      <c r="I424" s="1007" t="s">
        <v>869</v>
      </c>
      <c r="J424" s="1007" t="s">
        <v>96</v>
      </c>
      <c r="M424" s="1007" t="s">
        <v>68</v>
      </c>
      <c r="N424" s="1007">
        <v>46111</v>
      </c>
      <c r="O424" s="1007" t="s">
        <v>70</v>
      </c>
      <c r="P424" s="1007" t="s">
        <v>706</v>
      </c>
      <c r="Q424" s="1007" t="s">
        <v>707</v>
      </c>
      <c r="R424" s="1007" t="s">
        <v>73</v>
      </c>
      <c r="S424" s="1007" t="s">
        <v>967</v>
      </c>
      <c r="T424" s="1007">
        <v>500</v>
      </c>
      <c r="U424" s="1007">
        <v>3456</v>
      </c>
      <c r="V424" s="1007">
        <v>1.728</v>
      </c>
      <c r="W424" s="1007">
        <v>96</v>
      </c>
      <c r="X424" s="1007">
        <v>4</v>
      </c>
      <c r="Y424" s="1007" t="s">
        <v>951</v>
      </c>
      <c r="Z424" s="1007" t="s">
        <v>75</v>
      </c>
      <c r="AA424" s="1007" t="s">
        <v>2088</v>
      </c>
      <c r="AB424" s="1008">
        <v>46119</v>
      </c>
      <c r="AC424" s="1007">
        <v>15</v>
      </c>
      <c r="AD424" s="1007" t="s">
        <v>2089</v>
      </c>
      <c r="AF424" s="1007" t="s">
        <v>1935</v>
      </c>
      <c r="AG424" s="1007" t="s">
        <v>61</v>
      </c>
      <c r="AH424" s="1007" t="s">
        <v>78</v>
      </c>
      <c r="AI424" s="1008">
        <v>46123</v>
      </c>
      <c r="AJ424" s="1008">
        <v>46123</v>
      </c>
      <c r="AK424" s="1008">
        <v>46122</v>
      </c>
      <c r="AL424" s="1008">
        <v>46188</v>
      </c>
      <c r="AM424" s="1008">
        <v>46193</v>
      </c>
      <c r="AN424" s="1008">
        <v>46195</v>
      </c>
      <c r="AO424" s="1007" t="s">
        <v>402</v>
      </c>
      <c r="AP424" s="1007" t="s">
        <v>2090</v>
      </c>
      <c r="AQ424" s="1007" t="s">
        <v>80</v>
      </c>
      <c r="AR424" s="1007" t="s">
        <v>2091</v>
      </c>
      <c r="AS424" s="1007" t="s">
        <v>2092</v>
      </c>
      <c r="AT424" s="1007" t="s">
        <v>2092</v>
      </c>
      <c r="AU424" s="1007">
        <v>73</v>
      </c>
      <c r="AW424" s="1008">
        <v>46195</v>
      </c>
      <c r="AX424" s="1007" t="s">
        <v>973</v>
      </c>
      <c r="AY424" s="1008">
        <v>46205</v>
      </c>
      <c r="AZ424" s="1007">
        <v>8</v>
      </c>
      <c r="BA424" s="1008">
        <v>46203</v>
      </c>
      <c r="BB424" s="1007">
        <v>2026</v>
      </c>
      <c r="BC424" s="1007">
        <v>6</v>
      </c>
      <c r="BD424" s="1007">
        <v>27</v>
      </c>
      <c r="BE424" s="1007">
        <v>36</v>
      </c>
      <c r="BF424" s="1007">
        <v>864</v>
      </c>
      <c r="BG424" s="1007" t="s">
        <v>85</v>
      </c>
      <c r="BH424" s="1007" t="s">
        <v>86</v>
      </c>
    </row>
    <row r="425" spans="1:60">
      <c r="A425" s="1007" t="s">
        <v>2093</v>
      </c>
      <c r="B425" s="1007" t="s">
        <v>61</v>
      </c>
      <c r="C425" s="1007" t="s">
        <v>1940</v>
      </c>
      <c r="D425" s="1007" t="s">
        <v>63</v>
      </c>
      <c r="E425" s="1007" t="s">
        <v>64</v>
      </c>
      <c r="F425" s="1007" t="s">
        <v>65</v>
      </c>
      <c r="G425" s="1007" t="s">
        <v>402</v>
      </c>
      <c r="H425" s="1007" t="s">
        <v>67</v>
      </c>
      <c r="I425" s="1007" t="s">
        <v>882</v>
      </c>
      <c r="J425" s="1007" t="s">
        <v>96</v>
      </c>
      <c r="M425" s="1007" t="s">
        <v>68</v>
      </c>
      <c r="N425" s="1007">
        <v>46111</v>
      </c>
      <c r="O425" s="1007" t="s">
        <v>70</v>
      </c>
      <c r="P425" s="1007" t="s">
        <v>91</v>
      </c>
      <c r="Q425" s="1007" t="s">
        <v>92</v>
      </c>
      <c r="R425" s="1007" t="s">
        <v>73</v>
      </c>
      <c r="S425" s="1007" t="s">
        <v>967</v>
      </c>
      <c r="T425" s="1007">
        <v>450</v>
      </c>
      <c r="U425" s="1007">
        <v>936</v>
      </c>
      <c r="V425" s="1007">
        <v>0.42120000000000002</v>
      </c>
      <c r="W425" s="1007">
        <v>26</v>
      </c>
      <c r="X425" s="1007">
        <v>1</v>
      </c>
      <c r="Y425" s="1007" t="s">
        <v>75</v>
      </c>
      <c r="Z425" s="1007" t="s">
        <v>75</v>
      </c>
      <c r="AA425" s="1007" t="s">
        <v>1991</v>
      </c>
      <c r="AB425" s="1008">
        <v>46119</v>
      </c>
      <c r="AC425" s="1007">
        <v>15</v>
      </c>
      <c r="AD425" s="1007" t="s">
        <v>2094</v>
      </c>
      <c r="AF425" s="1007" t="s">
        <v>1935</v>
      </c>
      <c r="AG425" s="1007" t="s">
        <v>61</v>
      </c>
      <c r="AH425" s="1007" t="s">
        <v>356</v>
      </c>
      <c r="AI425" s="1008">
        <v>46123</v>
      </c>
      <c r="AJ425" s="1008">
        <v>46123</v>
      </c>
      <c r="AK425" s="1008">
        <v>46122</v>
      </c>
      <c r="AL425" s="1008">
        <v>46175</v>
      </c>
      <c r="AM425" s="1008">
        <v>46174</v>
      </c>
      <c r="AN425" s="1008">
        <v>46175</v>
      </c>
      <c r="AO425" s="1007" t="s">
        <v>402</v>
      </c>
      <c r="AP425" s="1007" t="s">
        <v>2090</v>
      </c>
      <c r="AQ425" s="1007" t="s">
        <v>80</v>
      </c>
      <c r="AR425" s="1007" t="s">
        <v>2095</v>
      </c>
      <c r="AS425" s="1007" t="s">
        <v>2096</v>
      </c>
      <c r="AT425" s="1007" t="s">
        <v>2096</v>
      </c>
      <c r="AU425" s="1007">
        <v>53</v>
      </c>
      <c r="AW425" s="1008">
        <v>46175</v>
      </c>
      <c r="AX425" s="1007" t="s">
        <v>973</v>
      </c>
      <c r="AY425" s="1008">
        <v>46188</v>
      </c>
      <c r="AZ425" s="1007">
        <v>8</v>
      </c>
      <c r="BA425" s="1008">
        <v>46183</v>
      </c>
      <c r="BB425" s="1007">
        <v>2026</v>
      </c>
      <c r="BC425" s="1007">
        <v>6</v>
      </c>
      <c r="BD425" s="1007">
        <v>24</v>
      </c>
      <c r="BE425" s="1007">
        <v>36</v>
      </c>
      <c r="BF425" s="1007">
        <v>936</v>
      </c>
      <c r="BG425" s="1007" t="s">
        <v>94</v>
      </c>
      <c r="BH425" s="1007" t="s">
        <v>109</v>
      </c>
    </row>
    <row r="426" spans="1:60">
      <c r="A426" s="1007" t="s">
        <v>2097</v>
      </c>
      <c r="B426" s="1007" t="s">
        <v>61</v>
      </c>
      <c r="C426" s="1007" t="s">
        <v>2087</v>
      </c>
      <c r="D426" s="1007" t="s">
        <v>63</v>
      </c>
      <c r="E426" s="1007" t="s">
        <v>64</v>
      </c>
      <c r="F426" s="1007" t="s">
        <v>65</v>
      </c>
      <c r="G426" s="1007" t="s">
        <v>402</v>
      </c>
      <c r="H426" s="1007" t="s">
        <v>67</v>
      </c>
      <c r="I426" s="1007" t="s">
        <v>869</v>
      </c>
      <c r="J426" s="1007" t="s">
        <v>96</v>
      </c>
      <c r="M426" s="1007" t="s">
        <v>68</v>
      </c>
      <c r="N426" s="1007">
        <v>46111</v>
      </c>
      <c r="O426" s="1007" t="s">
        <v>70</v>
      </c>
      <c r="P426" s="1007" t="s">
        <v>706</v>
      </c>
      <c r="Q426" s="1007" t="s">
        <v>707</v>
      </c>
      <c r="R426" s="1007" t="s">
        <v>73</v>
      </c>
      <c r="S426" s="1007" t="s">
        <v>967</v>
      </c>
      <c r="T426" s="1007">
        <v>500</v>
      </c>
      <c r="U426" s="1007">
        <v>864</v>
      </c>
      <c r="V426" s="1007">
        <v>0.432</v>
      </c>
      <c r="W426" s="1007">
        <v>24</v>
      </c>
      <c r="X426" s="1007">
        <v>1</v>
      </c>
      <c r="Y426" s="1007" t="s">
        <v>951</v>
      </c>
      <c r="Z426" s="1007" t="s">
        <v>75</v>
      </c>
      <c r="AA426" s="1007" t="s">
        <v>2088</v>
      </c>
      <c r="AB426" s="1008">
        <v>46121</v>
      </c>
      <c r="AC426" s="1007">
        <v>15</v>
      </c>
      <c r="AD426" s="1007" t="s">
        <v>2098</v>
      </c>
      <c r="AF426" s="1007" t="s">
        <v>1935</v>
      </c>
      <c r="AG426" s="1007" t="s">
        <v>61</v>
      </c>
      <c r="AH426" s="1007" t="s">
        <v>356</v>
      </c>
      <c r="AI426" s="1008">
        <v>46128</v>
      </c>
      <c r="AJ426" s="1008">
        <v>46136</v>
      </c>
      <c r="AK426" s="1008">
        <v>46136</v>
      </c>
      <c r="AL426" s="1008">
        <v>46182</v>
      </c>
      <c r="AM426" s="1008">
        <v>46196</v>
      </c>
      <c r="AN426" s="1008">
        <v>46203</v>
      </c>
      <c r="AO426" s="1007" t="s">
        <v>402</v>
      </c>
      <c r="AP426" s="1007" t="s">
        <v>2099</v>
      </c>
      <c r="AQ426" s="1007" t="s">
        <v>161</v>
      </c>
      <c r="AR426" s="1007" t="s">
        <v>2100</v>
      </c>
      <c r="AS426" s="1007" t="s">
        <v>2101</v>
      </c>
      <c r="AT426" s="1007" t="s">
        <v>2101</v>
      </c>
      <c r="AU426" s="1007">
        <v>67</v>
      </c>
      <c r="AW426" s="1008">
        <v>46203</v>
      </c>
      <c r="AX426" s="1007" t="s">
        <v>973</v>
      </c>
      <c r="AY426" s="1008">
        <v>46209</v>
      </c>
      <c r="AZ426" s="1007">
        <v>8</v>
      </c>
      <c r="BA426" s="1008">
        <v>46211</v>
      </c>
      <c r="BB426" s="1007">
        <v>2026</v>
      </c>
      <c r="BC426" s="1007">
        <v>7</v>
      </c>
      <c r="BD426" s="1007">
        <v>28</v>
      </c>
      <c r="BE426" s="1007">
        <v>36</v>
      </c>
      <c r="BF426" s="1007">
        <v>864</v>
      </c>
      <c r="BG426" s="1007" t="s">
        <v>85</v>
      </c>
      <c r="BH426" s="1007" t="s">
        <v>109</v>
      </c>
    </row>
    <row r="427" spans="1:60">
      <c r="A427" s="1007" t="s">
        <v>2102</v>
      </c>
      <c r="B427" s="1007" t="s">
        <v>61</v>
      </c>
      <c r="C427" s="1007" t="s">
        <v>1940</v>
      </c>
      <c r="D427" s="1007" t="s">
        <v>63</v>
      </c>
      <c r="E427" s="1007" t="s">
        <v>64</v>
      </c>
      <c r="F427" s="1007" t="s">
        <v>65</v>
      </c>
      <c r="G427" s="1007" t="s">
        <v>402</v>
      </c>
      <c r="H427" s="1007" t="s">
        <v>67</v>
      </c>
      <c r="I427" s="1007" t="s">
        <v>1395</v>
      </c>
      <c r="J427" s="1007" t="s">
        <v>96</v>
      </c>
      <c r="M427" s="1007" t="s">
        <v>68</v>
      </c>
      <c r="N427" s="1007">
        <v>46104</v>
      </c>
      <c r="O427" s="1007" t="s">
        <v>70</v>
      </c>
      <c r="P427" s="1007" t="s">
        <v>91</v>
      </c>
      <c r="Q427" s="1007" t="s">
        <v>92</v>
      </c>
      <c r="R427" s="1007" t="s">
        <v>73</v>
      </c>
      <c r="S427" s="1007" t="s">
        <v>967</v>
      </c>
      <c r="T427" s="1007">
        <v>450</v>
      </c>
      <c r="U427" s="1007">
        <v>0</v>
      </c>
      <c r="V427" s="1007">
        <v>0</v>
      </c>
      <c r="W427" s="1007">
        <v>0</v>
      </c>
      <c r="X427" s="1007">
        <v>0</v>
      </c>
      <c r="Y427" s="1007" t="s">
        <v>951</v>
      </c>
      <c r="Z427" s="1007" t="s">
        <v>75</v>
      </c>
      <c r="AA427" s="1007" t="s">
        <v>1907</v>
      </c>
      <c r="AB427" s="1008">
        <v>46121</v>
      </c>
      <c r="AC427" s="1007">
        <v>15</v>
      </c>
      <c r="AD427" s="1007" t="s">
        <v>2103</v>
      </c>
      <c r="AF427" s="1007" t="s">
        <v>1935</v>
      </c>
      <c r="AG427" s="1007" t="s">
        <v>61</v>
      </c>
      <c r="AH427" s="1007" t="s">
        <v>356</v>
      </c>
      <c r="AI427" s="1008">
        <v>46128</v>
      </c>
      <c r="AJ427" s="1008">
        <v>46136</v>
      </c>
      <c r="AK427" s="1008">
        <v>46136</v>
      </c>
      <c r="AL427" s="1008">
        <v>46182</v>
      </c>
      <c r="AM427" s="1008">
        <v>46196</v>
      </c>
      <c r="AN427" s="1008">
        <v>46203</v>
      </c>
      <c r="AO427" s="1007" t="s">
        <v>402</v>
      </c>
      <c r="AP427" s="1007" t="s">
        <v>2099</v>
      </c>
      <c r="AQ427" s="1007" t="s">
        <v>161</v>
      </c>
      <c r="AR427" s="1007" t="s">
        <v>2100</v>
      </c>
      <c r="AS427" s="1007" t="s">
        <v>2101</v>
      </c>
      <c r="AT427" s="1007" t="s">
        <v>2101</v>
      </c>
      <c r="AU427" s="1007">
        <v>67</v>
      </c>
      <c r="AW427" s="1008">
        <v>46203</v>
      </c>
      <c r="AX427" s="1007" t="s">
        <v>973</v>
      </c>
      <c r="AY427" s="1008">
        <v>46208</v>
      </c>
      <c r="AZ427" s="1007">
        <v>8</v>
      </c>
      <c r="BA427" s="1008">
        <v>46211</v>
      </c>
      <c r="BB427" s="1007">
        <v>2026</v>
      </c>
      <c r="BC427" s="1007">
        <v>7</v>
      </c>
      <c r="BD427" s="1007">
        <v>28</v>
      </c>
      <c r="BE427" s="1007">
        <v>36</v>
      </c>
      <c r="BF427" s="1007">
        <v>936</v>
      </c>
      <c r="BG427" s="1007" t="s">
        <v>94</v>
      </c>
      <c r="BH427" s="1007" t="s">
        <v>109</v>
      </c>
    </row>
    <row r="428" spans="1:60">
      <c r="A428" s="1007" t="s">
        <v>2104</v>
      </c>
      <c r="B428" s="1007" t="s">
        <v>61</v>
      </c>
      <c r="C428" s="1007" t="s">
        <v>1838</v>
      </c>
      <c r="D428" s="1007" t="s">
        <v>63</v>
      </c>
      <c r="E428" s="1007" t="s">
        <v>64</v>
      </c>
      <c r="F428" s="1007" t="s">
        <v>65</v>
      </c>
      <c r="G428" s="1007" t="s">
        <v>402</v>
      </c>
      <c r="H428" s="1007" t="s">
        <v>67</v>
      </c>
      <c r="I428" s="1007" t="s">
        <v>2004</v>
      </c>
      <c r="J428" s="1007" t="s">
        <v>96</v>
      </c>
      <c r="M428" s="1007" t="s">
        <v>68</v>
      </c>
      <c r="N428" s="1007">
        <v>46111</v>
      </c>
      <c r="O428" s="1007" t="s">
        <v>70</v>
      </c>
      <c r="P428" s="1007" t="s">
        <v>204</v>
      </c>
      <c r="Q428" s="1007" t="s">
        <v>205</v>
      </c>
      <c r="R428" s="1007" t="s">
        <v>73</v>
      </c>
      <c r="S428" s="1007" t="s">
        <v>967</v>
      </c>
      <c r="T428" s="1007">
        <v>455</v>
      </c>
      <c r="U428" s="1007">
        <v>3744</v>
      </c>
      <c r="V428" s="1007">
        <v>1.7035199999999999</v>
      </c>
      <c r="W428" s="1007">
        <v>104</v>
      </c>
      <c r="X428" s="1007">
        <v>4</v>
      </c>
      <c r="Y428" s="1007" t="s">
        <v>951</v>
      </c>
      <c r="Z428" s="1007" t="s">
        <v>75</v>
      </c>
      <c r="AA428" s="1007" t="s">
        <v>1896</v>
      </c>
      <c r="AB428" s="1008">
        <v>46126</v>
      </c>
      <c r="AC428" s="1007">
        <v>16</v>
      </c>
      <c r="AD428" s="1007" t="s">
        <v>2105</v>
      </c>
      <c r="AF428" s="1007" t="s">
        <v>1935</v>
      </c>
      <c r="AG428" s="1007" t="s">
        <v>61</v>
      </c>
      <c r="AH428" s="1007" t="s">
        <v>356</v>
      </c>
      <c r="AI428" s="1008">
        <v>46131</v>
      </c>
      <c r="AJ428" s="1008">
        <v>46131</v>
      </c>
      <c r="AK428" s="1008">
        <v>46131</v>
      </c>
      <c r="AL428" s="1008">
        <v>46182</v>
      </c>
      <c r="AM428" s="1008">
        <v>46196</v>
      </c>
      <c r="AN428" s="1008">
        <v>46190</v>
      </c>
      <c r="AO428" s="1007" t="s">
        <v>402</v>
      </c>
      <c r="AP428" s="1007" t="s">
        <v>2106</v>
      </c>
      <c r="AQ428" s="1007" t="s">
        <v>161</v>
      </c>
      <c r="AR428" s="1007" t="s">
        <v>2107</v>
      </c>
      <c r="AS428" s="1007" t="s">
        <v>2108</v>
      </c>
      <c r="AT428" s="1007">
        <v>273285267</v>
      </c>
      <c r="AU428" s="1007">
        <v>59</v>
      </c>
      <c r="AW428" s="1008">
        <v>46190</v>
      </c>
      <c r="AX428" s="1007" t="s">
        <v>973</v>
      </c>
      <c r="AY428" s="1008">
        <v>46202</v>
      </c>
      <c r="AZ428" s="1007">
        <v>8</v>
      </c>
      <c r="BA428" s="1008">
        <v>46198</v>
      </c>
      <c r="BB428" s="1007">
        <v>2026</v>
      </c>
      <c r="BC428" s="1007">
        <v>6</v>
      </c>
      <c r="BD428" s="1007">
        <v>26</v>
      </c>
      <c r="BE428" s="1007">
        <v>36</v>
      </c>
      <c r="BF428" s="1007">
        <v>936</v>
      </c>
      <c r="BG428" s="1007" t="s">
        <v>94</v>
      </c>
      <c r="BH428" s="1007" t="s">
        <v>109</v>
      </c>
    </row>
    <row r="429" spans="1:60">
      <c r="A429" s="1007" t="s">
        <v>2109</v>
      </c>
      <c r="B429" s="1007" t="s">
        <v>61</v>
      </c>
      <c r="C429" s="1007" t="s">
        <v>1838</v>
      </c>
      <c r="D429" s="1007" t="s">
        <v>63</v>
      </c>
      <c r="E429" s="1007" t="s">
        <v>64</v>
      </c>
      <c r="F429" s="1007" t="s">
        <v>65</v>
      </c>
      <c r="G429" s="1007" t="s">
        <v>402</v>
      </c>
      <c r="H429" s="1007" t="s">
        <v>67</v>
      </c>
      <c r="I429" s="1007" t="s">
        <v>1395</v>
      </c>
      <c r="J429" s="1007" t="s">
        <v>96</v>
      </c>
      <c r="M429" s="1007" t="s">
        <v>68</v>
      </c>
      <c r="N429" s="1007">
        <v>46111</v>
      </c>
      <c r="O429" s="1007" t="s">
        <v>70</v>
      </c>
      <c r="P429" s="1007" t="s">
        <v>204</v>
      </c>
      <c r="Q429" s="1007" t="s">
        <v>205</v>
      </c>
      <c r="R429" s="1007" t="s">
        <v>73</v>
      </c>
      <c r="S429" s="1007" t="s">
        <v>967</v>
      </c>
      <c r="T429" s="1007">
        <v>455</v>
      </c>
      <c r="U429" s="1007">
        <v>5616</v>
      </c>
      <c r="V429" s="1007">
        <v>2.5552800000000002</v>
      </c>
      <c r="W429" s="1007">
        <v>156</v>
      </c>
      <c r="X429" s="1007">
        <v>6</v>
      </c>
      <c r="Y429" s="1007" t="s">
        <v>951</v>
      </c>
      <c r="Z429" s="1007" t="s">
        <v>75</v>
      </c>
      <c r="AA429" s="1007" t="s">
        <v>1896</v>
      </c>
      <c r="AB429" s="1008">
        <v>46126</v>
      </c>
      <c r="AC429" s="1007">
        <v>16</v>
      </c>
      <c r="AD429" s="1007" t="s">
        <v>2110</v>
      </c>
      <c r="AF429" s="1007" t="s">
        <v>1935</v>
      </c>
      <c r="AG429" s="1007" t="s">
        <v>61</v>
      </c>
      <c r="AH429" s="1007" t="s">
        <v>356</v>
      </c>
      <c r="AI429" s="1008">
        <v>46131</v>
      </c>
      <c r="AJ429" s="1008">
        <v>46131</v>
      </c>
      <c r="AK429" s="1008">
        <v>46131</v>
      </c>
      <c r="AL429" s="1008">
        <v>46182</v>
      </c>
      <c r="AM429" s="1008">
        <v>46196</v>
      </c>
      <c r="AN429" s="1008">
        <v>46190</v>
      </c>
      <c r="AO429" s="1007" t="s">
        <v>402</v>
      </c>
      <c r="AP429" s="1007" t="s">
        <v>2106</v>
      </c>
      <c r="AQ429" s="1007" t="s">
        <v>161</v>
      </c>
      <c r="AR429" s="1007" t="s">
        <v>2107</v>
      </c>
      <c r="AS429" s="1007" t="s">
        <v>2108</v>
      </c>
      <c r="AT429" s="1007">
        <v>273285267</v>
      </c>
      <c r="AU429" s="1007">
        <v>59</v>
      </c>
      <c r="AW429" s="1008">
        <v>46190</v>
      </c>
      <c r="AX429" s="1007" t="s">
        <v>973</v>
      </c>
      <c r="AY429" s="1008">
        <v>46202</v>
      </c>
      <c r="AZ429" s="1007">
        <v>8</v>
      </c>
      <c r="BA429" s="1008">
        <v>46198</v>
      </c>
      <c r="BB429" s="1007">
        <v>2026</v>
      </c>
      <c r="BC429" s="1007">
        <v>6</v>
      </c>
      <c r="BD429" s="1007">
        <v>26</v>
      </c>
      <c r="BE429" s="1007">
        <v>36</v>
      </c>
      <c r="BF429" s="1007">
        <v>936</v>
      </c>
      <c r="BG429" s="1007" t="s">
        <v>94</v>
      </c>
      <c r="BH429" s="1007" t="s">
        <v>109</v>
      </c>
    </row>
    <row r="430" spans="1:60">
      <c r="A430" s="1007" t="s">
        <v>2111</v>
      </c>
      <c r="B430" s="1007" t="s">
        <v>1888</v>
      </c>
      <c r="C430" s="1007" t="s">
        <v>1016</v>
      </c>
      <c r="D430" s="1007" t="s">
        <v>63</v>
      </c>
      <c r="E430" s="1007" t="s">
        <v>144</v>
      </c>
      <c r="F430" s="1007" t="s">
        <v>145</v>
      </c>
      <c r="G430" s="1007" t="s">
        <v>402</v>
      </c>
      <c r="H430" s="1007" t="s">
        <v>538</v>
      </c>
      <c r="I430" s="1007" t="s">
        <v>689</v>
      </c>
      <c r="J430" s="1007" t="s">
        <v>1615</v>
      </c>
      <c r="K430" s="1007" t="s">
        <v>1538</v>
      </c>
      <c r="M430" s="1007" t="s">
        <v>840</v>
      </c>
      <c r="N430" s="1007">
        <v>46076</v>
      </c>
      <c r="O430" s="1007" t="s">
        <v>70</v>
      </c>
      <c r="P430" s="1007" t="s">
        <v>195</v>
      </c>
      <c r="Q430" s="1007" t="s">
        <v>196</v>
      </c>
      <c r="R430" s="1007" t="s">
        <v>73</v>
      </c>
      <c r="S430" s="1007" t="s">
        <v>967</v>
      </c>
      <c r="T430" s="1007">
        <v>450</v>
      </c>
      <c r="U430" s="1007">
        <v>936</v>
      </c>
      <c r="V430" s="1007">
        <v>0.42120000000000002</v>
      </c>
      <c r="W430" s="1007">
        <v>26</v>
      </c>
      <c r="X430" s="1007">
        <v>1</v>
      </c>
      <c r="Y430" s="1007" t="s">
        <v>951</v>
      </c>
      <c r="Z430" s="1007" t="s">
        <v>75</v>
      </c>
      <c r="AA430" s="1007" t="s">
        <v>1889</v>
      </c>
      <c r="AB430" s="1008">
        <v>46128</v>
      </c>
      <c r="AC430" s="1007">
        <v>16</v>
      </c>
      <c r="AD430" s="1007" t="s">
        <v>2112</v>
      </c>
      <c r="AF430" s="1007" t="s">
        <v>1891</v>
      </c>
      <c r="AG430" s="1007" t="s">
        <v>123</v>
      </c>
      <c r="AH430" s="1007" t="s">
        <v>541</v>
      </c>
      <c r="AI430" s="1008">
        <v>46131</v>
      </c>
      <c r="AJ430" s="1008">
        <v>46141</v>
      </c>
      <c r="AK430" s="1008">
        <v>46141</v>
      </c>
      <c r="AL430" s="1008">
        <v>46192</v>
      </c>
      <c r="AM430" s="1008">
        <v>46188</v>
      </c>
      <c r="AN430" s="1008">
        <v>46190</v>
      </c>
      <c r="AO430" s="1007" t="s">
        <v>402</v>
      </c>
      <c r="AP430" s="1007" t="s">
        <v>2113</v>
      </c>
      <c r="AQ430" s="1007" t="s">
        <v>80</v>
      </c>
      <c r="AR430" s="1007" t="s">
        <v>2114</v>
      </c>
      <c r="AS430" s="1007" t="s">
        <v>2115</v>
      </c>
      <c r="AT430" s="1007" t="s">
        <v>2115</v>
      </c>
      <c r="AU430" s="1007">
        <v>49</v>
      </c>
      <c r="AW430" s="1008">
        <v>46190</v>
      </c>
      <c r="AX430" s="1007" t="s">
        <v>973</v>
      </c>
      <c r="AY430" s="1008">
        <v>46191</v>
      </c>
      <c r="AZ430" s="1007">
        <v>0</v>
      </c>
      <c r="BA430" s="1008">
        <v>46190</v>
      </c>
      <c r="BB430" s="1007">
        <v>2026</v>
      </c>
      <c r="BC430" s="1007">
        <v>6</v>
      </c>
      <c r="BD430" s="1007">
        <v>25</v>
      </c>
      <c r="BE430" s="1007">
        <v>36</v>
      </c>
      <c r="BF430" s="1007">
        <v>936</v>
      </c>
      <c r="BG430" s="1007" t="s">
        <v>85</v>
      </c>
      <c r="BH430" s="1007" t="s">
        <v>109</v>
      </c>
    </row>
    <row r="431" spans="1:60">
      <c r="A431" s="1007" t="s">
        <v>2116</v>
      </c>
      <c r="B431" s="1007" t="s">
        <v>1888</v>
      </c>
      <c r="C431" s="1007" t="s">
        <v>1016</v>
      </c>
      <c r="D431" s="1007" t="s">
        <v>63</v>
      </c>
      <c r="E431" s="1007" t="s">
        <v>144</v>
      </c>
      <c r="F431" s="1007" t="s">
        <v>145</v>
      </c>
      <c r="G431" s="1007" t="s">
        <v>402</v>
      </c>
      <c r="H431" s="1007" t="s">
        <v>538</v>
      </c>
      <c r="I431" s="1007" t="s">
        <v>689</v>
      </c>
      <c r="J431" s="1007" t="s">
        <v>1615</v>
      </c>
      <c r="K431" s="1007" t="s">
        <v>1538</v>
      </c>
      <c r="M431" s="1007" t="s">
        <v>840</v>
      </c>
      <c r="N431" s="1007">
        <v>46069</v>
      </c>
      <c r="O431" s="1007" t="s">
        <v>70</v>
      </c>
      <c r="P431" s="1007" t="s">
        <v>195</v>
      </c>
      <c r="Q431" s="1007" t="s">
        <v>196</v>
      </c>
      <c r="R431" s="1007" t="s">
        <v>73</v>
      </c>
      <c r="S431" s="1007" t="s">
        <v>967</v>
      </c>
      <c r="T431" s="1007">
        <v>450</v>
      </c>
      <c r="U431" s="1007">
        <v>4680</v>
      </c>
      <c r="V431" s="1007">
        <v>2.1059999999999999</v>
      </c>
      <c r="W431" s="1007">
        <v>130</v>
      </c>
      <c r="X431" s="1007">
        <v>5</v>
      </c>
      <c r="Y431" s="1007" t="s">
        <v>951</v>
      </c>
      <c r="Z431" s="1007" t="s">
        <v>75</v>
      </c>
      <c r="AA431" s="1007" t="s">
        <v>1889</v>
      </c>
      <c r="AB431" s="1008">
        <v>46128</v>
      </c>
      <c r="AC431" s="1007">
        <v>16</v>
      </c>
      <c r="AD431" s="1007" t="s">
        <v>2117</v>
      </c>
      <c r="AF431" s="1007" t="s">
        <v>1891</v>
      </c>
      <c r="AG431" s="1007" t="s">
        <v>123</v>
      </c>
      <c r="AH431" s="1007" t="s">
        <v>541</v>
      </c>
      <c r="AI431" s="1008">
        <v>46131</v>
      </c>
      <c r="AJ431" s="1008">
        <v>46141</v>
      </c>
      <c r="AK431" s="1008">
        <v>46141</v>
      </c>
      <c r="AL431" s="1008">
        <v>46192</v>
      </c>
      <c r="AM431" s="1008">
        <v>46188</v>
      </c>
      <c r="AN431" s="1008">
        <v>46190</v>
      </c>
      <c r="AO431" s="1007" t="s">
        <v>402</v>
      </c>
      <c r="AP431" s="1007" t="s">
        <v>2113</v>
      </c>
      <c r="AQ431" s="1007" t="s">
        <v>80</v>
      </c>
      <c r="AR431" s="1007" t="s">
        <v>2114</v>
      </c>
      <c r="AS431" s="1007" t="s">
        <v>2115</v>
      </c>
      <c r="AT431" s="1007" t="s">
        <v>2115</v>
      </c>
      <c r="AU431" s="1007">
        <v>49</v>
      </c>
      <c r="AW431" s="1008">
        <v>46190</v>
      </c>
      <c r="AX431" s="1007" t="s">
        <v>973</v>
      </c>
      <c r="AY431" s="1008">
        <v>46191</v>
      </c>
      <c r="AZ431" s="1007">
        <v>0</v>
      </c>
      <c r="BA431" s="1008">
        <v>46190</v>
      </c>
      <c r="BB431" s="1007">
        <v>2026</v>
      </c>
      <c r="BC431" s="1007">
        <v>6</v>
      </c>
      <c r="BD431" s="1007">
        <v>25</v>
      </c>
      <c r="BE431" s="1007">
        <v>36</v>
      </c>
      <c r="BF431" s="1007">
        <v>936</v>
      </c>
      <c r="BG431" s="1007" t="s">
        <v>85</v>
      </c>
      <c r="BH431" s="1007" t="s">
        <v>109</v>
      </c>
    </row>
    <row r="432" spans="1:60">
      <c r="A432" s="1007" t="s">
        <v>2118</v>
      </c>
      <c r="B432" s="1007" t="s">
        <v>1888</v>
      </c>
      <c r="C432" s="1007" t="s">
        <v>1016</v>
      </c>
      <c r="D432" s="1007" t="s">
        <v>63</v>
      </c>
      <c r="E432" s="1007" t="s">
        <v>64</v>
      </c>
      <c r="F432" s="1007" t="s">
        <v>100</v>
      </c>
      <c r="G432" s="1007" t="s">
        <v>402</v>
      </c>
      <c r="H432" s="1007" t="s">
        <v>67</v>
      </c>
      <c r="I432" s="1007" t="s">
        <v>689</v>
      </c>
      <c r="J432" s="1007" t="s">
        <v>96</v>
      </c>
      <c r="M432" s="1007" t="s">
        <v>840</v>
      </c>
      <c r="N432" s="1007">
        <v>46111</v>
      </c>
      <c r="O432" s="1007" t="s">
        <v>70</v>
      </c>
      <c r="P432" s="1007" t="s">
        <v>195</v>
      </c>
      <c r="Q432" s="1007" t="s">
        <v>196</v>
      </c>
      <c r="R432" s="1007" t="s">
        <v>73</v>
      </c>
      <c r="S432" s="1007" t="s">
        <v>967</v>
      </c>
      <c r="T432" s="1007">
        <v>450</v>
      </c>
      <c r="U432" s="1007">
        <v>1872</v>
      </c>
      <c r="V432" s="1007">
        <v>0.84240000000000004</v>
      </c>
      <c r="W432" s="1007">
        <v>52</v>
      </c>
      <c r="X432" s="1007">
        <v>2</v>
      </c>
      <c r="Y432" s="1007" t="s">
        <v>75</v>
      </c>
      <c r="Z432" s="1007" t="s">
        <v>75</v>
      </c>
      <c r="AA432" s="1007" t="s">
        <v>2038</v>
      </c>
      <c r="AB432" s="1008">
        <v>46125</v>
      </c>
      <c r="AC432" s="1007">
        <v>16</v>
      </c>
      <c r="AD432" s="1007" t="s">
        <v>2119</v>
      </c>
      <c r="AF432" s="1007" t="s">
        <v>1891</v>
      </c>
      <c r="AG432" s="1007" t="s">
        <v>123</v>
      </c>
      <c r="AH432" s="1007" t="s">
        <v>105</v>
      </c>
      <c r="AI432" s="1008">
        <v>46129</v>
      </c>
      <c r="AJ432" s="1008">
        <v>46130</v>
      </c>
      <c r="AK432" s="1008">
        <v>46129</v>
      </c>
      <c r="AL432" s="1008">
        <v>46172</v>
      </c>
      <c r="AM432" s="1008">
        <v>46179</v>
      </c>
      <c r="AN432" s="1008">
        <v>46180</v>
      </c>
      <c r="AO432" s="1007" t="s">
        <v>402</v>
      </c>
      <c r="AP432" s="1007" t="s">
        <v>2120</v>
      </c>
      <c r="AQ432" s="1007" t="s">
        <v>161</v>
      </c>
      <c r="AR432" s="1007" t="s">
        <v>2121</v>
      </c>
      <c r="AS432" s="1007" t="s">
        <v>2122</v>
      </c>
      <c r="AT432" s="1007" t="s">
        <v>2123</v>
      </c>
      <c r="AU432" s="1007">
        <v>51</v>
      </c>
      <c r="AW432" s="1008">
        <v>46180</v>
      </c>
      <c r="AX432" s="1007" t="s">
        <v>973</v>
      </c>
      <c r="AY432" s="1008">
        <v>46194</v>
      </c>
      <c r="AZ432" s="1007">
        <v>7</v>
      </c>
      <c r="BA432" s="1008">
        <v>46187</v>
      </c>
      <c r="BB432" s="1007">
        <v>2026</v>
      </c>
      <c r="BC432" s="1007">
        <v>6</v>
      </c>
      <c r="BD432" s="1007">
        <v>24</v>
      </c>
      <c r="BE432" s="1007">
        <v>36</v>
      </c>
      <c r="BF432" s="1007">
        <v>936</v>
      </c>
      <c r="BG432" s="1007" t="s">
        <v>85</v>
      </c>
      <c r="BH432" s="1007" t="s">
        <v>109</v>
      </c>
    </row>
    <row r="433" spans="1:60">
      <c r="A433" s="1007" t="s">
        <v>2124</v>
      </c>
      <c r="B433" s="1007" t="s">
        <v>1888</v>
      </c>
      <c r="C433" s="1007" t="s">
        <v>1016</v>
      </c>
      <c r="D433" s="1007" t="s">
        <v>63</v>
      </c>
      <c r="E433" s="1007" t="s">
        <v>144</v>
      </c>
      <c r="F433" s="1007" t="s">
        <v>145</v>
      </c>
      <c r="G433" s="1007" t="s">
        <v>402</v>
      </c>
      <c r="H433" s="1007" t="s">
        <v>1449</v>
      </c>
      <c r="I433" s="1007" t="s">
        <v>689</v>
      </c>
      <c r="J433" s="1007" t="s">
        <v>2125</v>
      </c>
      <c r="K433" s="1007" t="s">
        <v>1451</v>
      </c>
      <c r="L433" s="1007">
        <v>1</v>
      </c>
      <c r="M433" s="1007" t="s">
        <v>840</v>
      </c>
      <c r="N433" s="1007">
        <v>46111</v>
      </c>
      <c r="O433" s="1007" t="s">
        <v>70</v>
      </c>
      <c r="P433" s="1007" t="s">
        <v>195</v>
      </c>
      <c r="Q433" s="1007" t="s">
        <v>196</v>
      </c>
      <c r="R433" s="1007" t="s">
        <v>73</v>
      </c>
      <c r="S433" s="1007" t="s">
        <v>967</v>
      </c>
      <c r="T433" s="1007">
        <v>450</v>
      </c>
      <c r="U433" s="1007">
        <v>4680</v>
      </c>
      <c r="V433" s="1007">
        <v>2.1059999999999999</v>
      </c>
      <c r="W433" s="1007">
        <v>130</v>
      </c>
      <c r="X433" s="1007">
        <v>5</v>
      </c>
      <c r="Y433" s="1007" t="s">
        <v>75</v>
      </c>
      <c r="Z433" s="1007" t="s">
        <v>75</v>
      </c>
      <c r="AA433" s="1007" t="s">
        <v>2038</v>
      </c>
      <c r="AB433" s="1008">
        <v>46125</v>
      </c>
      <c r="AC433" s="1007">
        <v>16</v>
      </c>
      <c r="AD433" s="1007" t="s">
        <v>2126</v>
      </c>
      <c r="AF433" s="1007" t="s">
        <v>1891</v>
      </c>
      <c r="AG433" s="1007" t="s">
        <v>123</v>
      </c>
      <c r="AH433" s="1007" t="s">
        <v>105</v>
      </c>
      <c r="AI433" s="1008">
        <v>46129</v>
      </c>
      <c r="AJ433" s="1008">
        <v>46130</v>
      </c>
      <c r="AK433" s="1008">
        <v>46129</v>
      </c>
      <c r="AL433" s="1008">
        <v>46172</v>
      </c>
      <c r="AM433" s="1008">
        <v>46179</v>
      </c>
      <c r="AN433" s="1008">
        <v>46180</v>
      </c>
      <c r="AO433" s="1007" t="s">
        <v>402</v>
      </c>
      <c r="AP433" s="1007" t="s">
        <v>2120</v>
      </c>
      <c r="AQ433" s="1007" t="s">
        <v>161</v>
      </c>
      <c r="AR433" s="1007" t="s">
        <v>2127</v>
      </c>
      <c r="AS433" s="1007" t="s">
        <v>2128</v>
      </c>
      <c r="AT433" s="1007" t="s">
        <v>2123</v>
      </c>
      <c r="AU433" s="1007">
        <v>51</v>
      </c>
      <c r="AW433" s="1008">
        <v>46180</v>
      </c>
      <c r="AX433" s="1007" t="s">
        <v>973</v>
      </c>
      <c r="AY433" s="1008">
        <v>46177</v>
      </c>
      <c r="AZ433" s="1007">
        <v>0</v>
      </c>
      <c r="BA433" s="1008">
        <v>46180</v>
      </c>
      <c r="BB433" s="1007">
        <v>2026</v>
      </c>
      <c r="BC433" s="1007">
        <v>6</v>
      </c>
      <c r="BD433" s="1007">
        <v>23</v>
      </c>
      <c r="BE433" s="1007">
        <v>36</v>
      </c>
      <c r="BF433" s="1007">
        <v>936</v>
      </c>
      <c r="BG433" s="1007" t="s">
        <v>85</v>
      </c>
      <c r="BH433" s="1007" t="s">
        <v>109</v>
      </c>
    </row>
    <row r="434" spans="1:60">
      <c r="A434" s="1007" t="s">
        <v>2129</v>
      </c>
      <c r="B434" s="1007" t="s">
        <v>1888</v>
      </c>
      <c r="C434" s="1007" t="s">
        <v>1016</v>
      </c>
      <c r="D434" s="1007" t="s">
        <v>63</v>
      </c>
      <c r="E434" s="1007" t="s">
        <v>144</v>
      </c>
      <c r="F434" s="1007" t="s">
        <v>145</v>
      </c>
      <c r="G434" s="1007" t="s">
        <v>402</v>
      </c>
      <c r="H434" s="1007" t="s">
        <v>1449</v>
      </c>
      <c r="I434" s="1007" t="s">
        <v>689</v>
      </c>
      <c r="J434" s="1007" t="s">
        <v>2125</v>
      </c>
      <c r="K434" s="1007" t="s">
        <v>1451</v>
      </c>
      <c r="L434" s="1007">
        <v>2</v>
      </c>
      <c r="M434" s="1007" t="s">
        <v>840</v>
      </c>
      <c r="N434" s="1007">
        <v>46111</v>
      </c>
      <c r="O434" s="1007" t="s">
        <v>70</v>
      </c>
      <c r="P434" s="1007" t="s">
        <v>195</v>
      </c>
      <c r="Q434" s="1007" t="s">
        <v>196</v>
      </c>
      <c r="R434" s="1007" t="s">
        <v>73</v>
      </c>
      <c r="S434" s="1007" t="s">
        <v>967</v>
      </c>
      <c r="T434" s="1007">
        <v>450</v>
      </c>
      <c r="U434" s="1007">
        <v>4680</v>
      </c>
      <c r="V434" s="1007">
        <v>2.1059999999999999</v>
      </c>
      <c r="W434" s="1007">
        <v>130</v>
      </c>
      <c r="X434" s="1007">
        <v>5</v>
      </c>
      <c r="Y434" s="1007" t="s">
        <v>75</v>
      </c>
      <c r="Z434" s="1007" t="s">
        <v>75</v>
      </c>
      <c r="AA434" s="1007" t="s">
        <v>2038</v>
      </c>
      <c r="AB434" s="1008">
        <v>46125</v>
      </c>
      <c r="AC434" s="1007">
        <v>16</v>
      </c>
      <c r="AD434" s="1007" t="s">
        <v>2130</v>
      </c>
      <c r="AF434" s="1007" t="s">
        <v>1891</v>
      </c>
      <c r="AG434" s="1007" t="s">
        <v>123</v>
      </c>
      <c r="AH434" s="1007" t="s">
        <v>105</v>
      </c>
      <c r="AI434" s="1008">
        <v>46129</v>
      </c>
      <c r="AJ434" s="1008">
        <v>46130</v>
      </c>
      <c r="AK434" s="1008">
        <v>46129</v>
      </c>
      <c r="AL434" s="1008">
        <v>46172</v>
      </c>
      <c r="AM434" s="1008">
        <v>46179</v>
      </c>
      <c r="AN434" s="1008">
        <v>46180</v>
      </c>
      <c r="AO434" s="1007" t="s">
        <v>402</v>
      </c>
      <c r="AP434" s="1007" t="s">
        <v>2120</v>
      </c>
      <c r="AQ434" s="1007" t="s">
        <v>161</v>
      </c>
      <c r="AR434" s="1007" t="s">
        <v>2127</v>
      </c>
      <c r="AS434" s="1007" t="s">
        <v>2128</v>
      </c>
      <c r="AT434" s="1007" t="s">
        <v>2123</v>
      </c>
      <c r="AU434" s="1007">
        <v>51</v>
      </c>
      <c r="AW434" s="1008">
        <v>46180</v>
      </c>
      <c r="AX434" s="1007" t="s">
        <v>973</v>
      </c>
      <c r="AY434" s="1008">
        <v>46177</v>
      </c>
      <c r="AZ434" s="1007">
        <v>0</v>
      </c>
      <c r="BA434" s="1008">
        <v>46180</v>
      </c>
      <c r="BB434" s="1007">
        <v>2026</v>
      </c>
      <c r="BC434" s="1007">
        <v>6</v>
      </c>
      <c r="BD434" s="1007">
        <v>23</v>
      </c>
      <c r="BE434" s="1007">
        <v>36</v>
      </c>
      <c r="BF434" s="1007">
        <v>936</v>
      </c>
      <c r="BG434" s="1007" t="s">
        <v>85</v>
      </c>
      <c r="BH434" s="1007" t="s">
        <v>109</v>
      </c>
    </row>
    <row r="435" spans="1:60">
      <c r="A435" s="1007" t="s">
        <v>2131</v>
      </c>
      <c r="B435" s="1007" t="s">
        <v>2132</v>
      </c>
      <c r="C435" s="1007" t="s">
        <v>2133</v>
      </c>
      <c r="D435" s="1007" t="s">
        <v>63</v>
      </c>
      <c r="E435" s="1007" t="s">
        <v>64</v>
      </c>
      <c r="F435" s="1007" t="s">
        <v>100</v>
      </c>
      <c r="G435" s="1007" t="s">
        <v>402</v>
      </c>
      <c r="H435" s="1007" t="s">
        <v>67</v>
      </c>
      <c r="J435" s="1007" t="s">
        <v>96</v>
      </c>
      <c r="M435" s="1007" t="s">
        <v>68</v>
      </c>
      <c r="N435" s="1007" t="s">
        <v>68</v>
      </c>
      <c r="O435" s="1007" t="s">
        <v>550</v>
      </c>
      <c r="P435" s="1007" t="s">
        <v>2134</v>
      </c>
      <c r="Q435" s="1007" t="s">
        <v>2135</v>
      </c>
      <c r="R435" s="1007" t="s">
        <v>73</v>
      </c>
      <c r="S435" s="1007" t="s">
        <v>2136</v>
      </c>
      <c r="T435" s="1007">
        <v>515</v>
      </c>
      <c r="U435" s="1007">
        <v>792</v>
      </c>
      <c r="V435" s="1007">
        <v>0.40788000000000002</v>
      </c>
      <c r="W435" s="1007">
        <v>22</v>
      </c>
      <c r="X435" s="1007">
        <v>1</v>
      </c>
      <c r="Y435" s="1007" t="s">
        <v>75</v>
      </c>
      <c r="Z435" s="1007" t="s">
        <v>75</v>
      </c>
      <c r="AB435" s="1008">
        <v>46126</v>
      </c>
      <c r="AC435" s="1007">
        <v>16</v>
      </c>
      <c r="AD435" s="1007" t="s">
        <v>2137</v>
      </c>
      <c r="AF435" s="1007" t="s">
        <v>123</v>
      </c>
      <c r="AG435" s="1007" t="s">
        <v>123</v>
      </c>
      <c r="AH435" s="1007" t="s">
        <v>105</v>
      </c>
      <c r="AI435" s="1008">
        <v>46131</v>
      </c>
      <c r="AJ435" s="1008">
        <v>46130</v>
      </c>
      <c r="AK435" s="1008">
        <v>46130</v>
      </c>
      <c r="AL435" s="1008">
        <v>46172</v>
      </c>
      <c r="AM435" s="1008">
        <v>46175</v>
      </c>
      <c r="AN435" s="1008">
        <v>46175</v>
      </c>
      <c r="AO435" s="1007" t="s">
        <v>402</v>
      </c>
      <c r="AP435" s="1007" t="s">
        <v>2138</v>
      </c>
      <c r="AQ435" s="1007" t="s">
        <v>80</v>
      </c>
      <c r="AR435" s="1007" t="s">
        <v>2139</v>
      </c>
      <c r="AS435" s="1007" t="s">
        <v>2140</v>
      </c>
      <c r="AT435" s="1007" t="s">
        <v>2140</v>
      </c>
      <c r="AU435" s="1007">
        <v>45</v>
      </c>
      <c r="AW435" s="1008">
        <v>46175</v>
      </c>
      <c r="AX435" s="1007" t="s">
        <v>973</v>
      </c>
      <c r="AY435" s="1008">
        <v>46188</v>
      </c>
      <c r="AZ435" s="1007">
        <v>7</v>
      </c>
      <c r="BA435" s="1008">
        <v>46182</v>
      </c>
      <c r="BB435" s="1007">
        <v>2026</v>
      </c>
      <c r="BC435" s="1007">
        <v>6</v>
      </c>
      <c r="BD435" s="1007">
        <v>24</v>
      </c>
      <c r="BE435" s="1007">
        <v>36</v>
      </c>
      <c r="BF435" s="1007">
        <v>792</v>
      </c>
      <c r="BG435" s="1007" t="s">
        <v>85</v>
      </c>
      <c r="BH435" s="1007" t="s">
        <v>109</v>
      </c>
    </row>
    <row r="436" spans="1:60">
      <c r="A436" s="1007" t="s">
        <v>2141</v>
      </c>
      <c r="B436" s="1007" t="s">
        <v>111</v>
      </c>
      <c r="C436" s="1007" t="s">
        <v>1729</v>
      </c>
      <c r="D436" s="1007" t="s">
        <v>63</v>
      </c>
      <c r="E436" s="1007" t="s">
        <v>64</v>
      </c>
      <c r="F436" s="1007" t="s">
        <v>310</v>
      </c>
      <c r="G436" s="1007" t="s">
        <v>402</v>
      </c>
      <c r="H436" s="1007" t="s">
        <v>311</v>
      </c>
      <c r="I436" s="1007" t="s">
        <v>882</v>
      </c>
      <c r="J436" s="1007" t="s">
        <v>96</v>
      </c>
      <c r="M436" s="1007" t="s">
        <v>68</v>
      </c>
      <c r="N436" s="1007">
        <v>46111</v>
      </c>
      <c r="O436" s="1007" t="s">
        <v>170</v>
      </c>
      <c r="P436" s="1007" t="s">
        <v>171</v>
      </c>
      <c r="Q436" s="1007" t="s">
        <v>1731</v>
      </c>
      <c r="R436" s="1007" t="s">
        <v>73</v>
      </c>
      <c r="S436" s="1007" t="s">
        <v>992</v>
      </c>
      <c r="T436" s="1007">
        <v>555</v>
      </c>
      <c r="U436" s="1007">
        <v>3960</v>
      </c>
      <c r="V436" s="1007">
        <v>2.1978</v>
      </c>
      <c r="W436" s="1007">
        <v>120</v>
      </c>
      <c r="X436" s="1007">
        <v>6</v>
      </c>
      <c r="Y436" s="1007" t="s">
        <v>951</v>
      </c>
      <c r="Z436" s="1007" t="s">
        <v>75</v>
      </c>
      <c r="AA436" s="1007" t="s">
        <v>2082</v>
      </c>
      <c r="AB436" s="1008">
        <v>46122</v>
      </c>
      <c r="AC436" s="1007">
        <v>15</v>
      </c>
      <c r="AD436" s="1007" t="s">
        <v>2142</v>
      </c>
      <c r="AF436" s="1007" t="s">
        <v>1999</v>
      </c>
      <c r="AG436" s="1007" t="s">
        <v>123</v>
      </c>
      <c r="AH436" s="1007" t="s">
        <v>314</v>
      </c>
      <c r="AI436" s="1008">
        <v>46129</v>
      </c>
      <c r="AJ436" s="1008">
        <v>46129</v>
      </c>
      <c r="AK436" s="1008">
        <v>46131</v>
      </c>
      <c r="AL436" s="1008">
        <v>46176</v>
      </c>
      <c r="AM436" s="1008">
        <v>46182</v>
      </c>
      <c r="AN436" s="1008">
        <v>46182</v>
      </c>
      <c r="AO436" s="1007" t="s">
        <v>402</v>
      </c>
      <c r="AP436" s="1007" t="s">
        <v>2143</v>
      </c>
      <c r="AQ436" s="1007" t="s">
        <v>80</v>
      </c>
      <c r="AR436" s="1007" t="s">
        <v>2144</v>
      </c>
      <c r="AS436" s="1007" t="s">
        <v>2145</v>
      </c>
      <c r="AT436" s="1007" t="s">
        <v>2145</v>
      </c>
      <c r="AU436" s="1007">
        <v>51</v>
      </c>
      <c r="AW436" s="1008">
        <v>46182</v>
      </c>
      <c r="AX436" s="1007" t="s">
        <v>973</v>
      </c>
      <c r="AY436" s="1008">
        <v>46195</v>
      </c>
      <c r="AZ436" s="1007">
        <v>13</v>
      </c>
      <c r="BA436" s="1008">
        <v>46195</v>
      </c>
      <c r="BB436" s="1007">
        <v>2026</v>
      </c>
      <c r="BC436" s="1007">
        <v>6</v>
      </c>
      <c r="BD436" s="1007">
        <v>26</v>
      </c>
      <c r="BE436" s="1007">
        <v>33</v>
      </c>
      <c r="BF436" s="1007">
        <v>660</v>
      </c>
      <c r="BG436" s="1007" t="s">
        <v>108</v>
      </c>
      <c r="BH436" s="1007" t="s">
        <v>86</v>
      </c>
    </row>
    <row r="437" spans="1:60">
      <c r="A437" s="1007" t="s">
        <v>2146</v>
      </c>
      <c r="B437" s="1007" t="s">
        <v>111</v>
      </c>
      <c r="C437" s="1007" t="s">
        <v>1976</v>
      </c>
      <c r="D437" s="1007" t="s">
        <v>63</v>
      </c>
      <c r="E437" s="1007" t="s">
        <v>64</v>
      </c>
      <c r="F437" s="1007" t="s">
        <v>310</v>
      </c>
      <c r="G437" s="1007" t="s">
        <v>402</v>
      </c>
      <c r="H437" s="1007" t="s">
        <v>311</v>
      </c>
      <c r="I437" s="1007" t="s">
        <v>882</v>
      </c>
      <c r="J437" s="1007" t="s">
        <v>96</v>
      </c>
      <c r="M437" s="1007" t="s">
        <v>68</v>
      </c>
      <c r="N437" s="1007">
        <v>46111</v>
      </c>
      <c r="O437" s="1007" t="s">
        <v>170</v>
      </c>
      <c r="P437" s="1007" t="s">
        <v>1977</v>
      </c>
      <c r="Q437" s="1007" t="s">
        <v>1978</v>
      </c>
      <c r="R437" s="1007" t="s">
        <v>73</v>
      </c>
      <c r="S437" s="1007" t="s">
        <v>992</v>
      </c>
      <c r="T437" s="1007">
        <v>560</v>
      </c>
      <c r="U437" s="1007">
        <v>1320</v>
      </c>
      <c r="V437" s="1007">
        <v>0.73919999999999997</v>
      </c>
      <c r="W437" s="1007">
        <v>40</v>
      </c>
      <c r="X437" s="1007">
        <v>2</v>
      </c>
      <c r="Y437" s="1007" t="s">
        <v>951</v>
      </c>
      <c r="Z437" s="1007" t="s">
        <v>75</v>
      </c>
      <c r="AA437" s="1007" t="s">
        <v>2147</v>
      </c>
      <c r="AB437" s="1008">
        <v>46122</v>
      </c>
      <c r="AC437" s="1007">
        <v>15</v>
      </c>
      <c r="AD437" s="1007" t="s">
        <v>2148</v>
      </c>
      <c r="AF437" s="1007" t="s">
        <v>1999</v>
      </c>
      <c r="AG437" s="1007" t="s">
        <v>123</v>
      </c>
      <c r="AH437" s="1007" t="s">
        <v>314</v>
      </c>
      <c r="AI437" s="1008">
        <v>46129</v>
      </c>
      <c r="AJ437" s="1008">
        <v>46129</v>
      </c>
      <c r="AK437" s="1008">
        <v>46131</v>
      </c>
      <c r="AL437" s="1008">
        <v>46176</v>
      </c>
      <c r="AM437" s="1008">
        <v>46182</v>
      </c>
      <c r="AN437" s="1008">
        <v>46182</v>
      </c>
      <c r="AO437" s="1007" t="s">
        <v>402</v>
      </c>
      <c r="AP437" s="1007" t="s">
        <v>2143</v>
      </c>
      <c r="AQ437" s="1007" t="s">
        <v>80</v>
      </c>
      <c r="AR437" s="1007" t="s">
        <v>2144</v>
      </c>
      <c r="AS437" s="1007" t="s">
        <v>2145</v>
      </c>
      <c r="AT437" s="1007" t="s">
        <v>2145</v>
      </c>
      <c r="AU437" s="1007">
        <v>51</v>
      </c>
      <c r="AW437" s="1008">
        <v>46182</v>
      </c>
      <c r="AX437" s="1007" t="s">
        <v>973</v>
      </c>
      <c r="AY437" s="1008">
        <v>46195</v>
      </c>
      <c r="AZ437" s="1007">
        <v>13</v>
      </c>
      <c r="BA437" s="1008">
        <v>46195</v>
      </c>
      <c r="BB437" s="1007">
        <v>2026</v>
      </c>
      <c r="BC437" s="1007">
        <v>6</v>
      </c>
      <c r="BD437" s="1007">
        <v>26</v>
      </c>
      <c r="BE437" s="1007">
        <v>33</v>
      </c>
      <c r="BF437" s="1007">
        <v>660</v>
      </c>
      <c r="BG437" s="1007" t="s">
        <v>108</v>
      </c>
      <c r="BH437" s="1007" t="s">
        <v>86</v>
      </c>
    </row>
    <row r="438" spans="1:60">
      <c r="A438" s="1007" t="s">
        <v>2149</v>
      </c>
      <c r="B438" s="1007" t="s">
        <v>2132</v>
      </c>
      <c r="C438" s="1007" t="s">
        <v>2150</v>
      </c>
      <c r="D438" s="1007" t="s">
        <v>63</v>
      </c>
      <c r="E438" s="1007" t="s">
        <v>64</v>
      </c>
      <c r="F438" s="1007" t="s">
        <v>65</v>
      </c>
      <c r="G438" s="1007" t="s">
        <v>402</v>
      </c>
      <c r="H438" s="1007" t="s">
        <v>67</v>
      </c>
      <c r="J438" s="1007" t="s">
        <v>96</v>
      </c>
      <c r="M438" s="1007" t="s">
        <v>68</v>
      </c>
      <c r="N438" s="1007" t="s">
        <v>68</v>
      </c>
      <c r="O438" s="1007" t="s">
        <v>550</v>
      </c>
      <c r="P438" s="1007" t="s">
        <v>551</v>
      </c>
      <c r="Q438" s="1007" t="s">
        <v>2151</v>
      </c>
      <c r="R438" s="1007" t="s">
        <v>73</v>
      </c>
      <c r="S438" s="1007" t="s">
        <v>2136</v>
      </c>
      <c r="T438" s="1007">
        <v>510</v>
      </c>
      <c r="U438" s="1007">
        <v>792</v>
      </c>
      <c r="V438" s="1007">
        <v>0.40392</v>
      </c>
      <c r="W438" s="1007">
        <v>22</v>
      </c>
      <c r="X438" s="1007">
        <v>1</v>
      </c>
      <c r="Y438" s="1007" t="s">
        <v>951</v>
      </c>
      <c r="Z438" s="1007" t="s">
        <v>75</v>
      </c>
      <c r="AA438" s="1007" t="s">
        <v>2152</v>
      </c>
      <c r="AB438" s="1008">
        <v>46129</v>
      </c>
      <c r="AC438" s="1007">
        <v>16</v>
      </c>
      <c r="AD438" s="1007" t="s">
        <v>2153</v>
      </c>
      <c r="AF438" s="1007" t="s">
        <v>123</v>
      </c>
      <c r="AG438" s="1007" t="s">
        <v>123</v>
      </c>
      <c r="AH438" s="1007" t="s">
        <v>78</v>
      </c>
      <c r="AI438" s="1008">
        <v>46134</v>
      </c>
      <c r="AJ438" s="1008">
        <v>46136</v>
      </c>
      <c r="AK438" s="1008">
        <v>46138</v>
      </c>
      <c r="AL438" s="1008">
        <v>46175</v>
      </c>
      <c r="AM438" s="1008">
        <v>46188</v>
      </c>
      <c r="AN438" s="1008">
        <v>46191</v>
      </c>
      <c r="AO438" s="1007" t="s">
        <v>402</v>
      </c>
      <c r="AP438" s="1007" t="s">
        <v>2154</v>
      </c>
      <c r="AQ438" s="1007" t="s">
        <v>80</v>
      </c>
      <c r="AR438" s="1007" t="s">
        <v>2155</v>
      </c>
      <c r="AS438" s="1007" t="s">
        <v>2156</v>
      </c>
      <c r="AT438" s="1007" t="s">
        <v>2156</v>
      </c>
      <c r="AU438" s="1007">
        <v>53</v>
      </c>
      <c r="AW438" s="1008">
        <v>46191</v>
      </c>
      <c r="AX438" s="1007" t="s">
        <v>973</v>
      </c>
      <c r="AY438" s="1008">
        <v>46204</v>
      </c>
      <c r="AZ438" s="1007">
        <v>8</v>
      </c>
      <c r="BA438" s="1008">
        <v>46199</v>
      </c>
      <c r="BB438" s="1007">
        <v>2026</v>
      </c>
      <c r="BC438" s="1007">
        <v>6</v>
      </c>
      <c r="BD438" s="1007">
        <v>26</v>
      </c>
      <c r="BE438" s="1007">
        <v>36</v>
      </c>
      <c r="BF438" s="1007">
        <v>792</v>
      </c>
      <c r="BG438" s="1007" t="s">
        <v>85</v>
      </c>
      <c r="BH438" s="1007" t="s">
        <v>86</v>
      </c>
    </row>
    <row r="439" spans="1:60">
      <c r="A439" s="1007" t="s">
        <v>2157</v>
      </c>
      <c r="B439" s="1007" t="s">
        <v>2132</v>
      </c>
      <c r="C439" s="1007" t="s">
        <v>2133</v>
      </c>
      <c r="D439" s="1007" t="s">
        <v>63</v>
      </c>
      <c r="E439" s="1007" t="s">
        <v>64</v>
      </c>
      <c r="F439" s="1007" t="s">
        <v>65</v>
      </c>
      <c r="G439" s="1007" t="s">
        <v>402</v>
      </c>
      <c r="H439" s="1007" t="s">
        <v>67</v>
      </c>
      <c r="J439" s="1007" t="s">
        <v>96</v>
      </c>
      <c r="M439" s="1007" t="s">
        <v>68</v>
      </c>
      <c r="N439" s="1007" t="s">
        <v>68</v>
      </c>
      <c r="O439" s="1007" t="s">
        <v>550</v>
      </c>
      <c r="P439" s="1007" t="s">
        <v>2134</v>
      </c>
      <c r="Q439" s="1007" t="s">
        <v>2135</v>
      </c>
      <c r="R439" s="1007" t="s">
        <v>73</v>
      </c>
      <c r="S439" s="1007" t="s">
        <v>2136</v>
      </c>
      <c r="T439" s="1007">
        <v>515</v>
      </c>
      <c r="U439" s="1007">
        <v>792</v>
      </c>
      <c r="V439" s="1007">
        <v>0.40788000000000002</v>
      </c>
      <c r="W439" s="1007">
        <v>22</v>
      </c>
      <c r="X439" s="1007">
        <v>1</v>
      </c>
      <c r="Y439" s="1007" t="s">
        <v>951</v>
      </c>
      <c r="Z439" s="1007" t="s">
        <v>75</v>
      </c>
      <c r="AA439" s="1007" t="s">
        <v>2152</v>
      </c>
      <c r="AB439" s="1008">
        <v>46128</v>
      </c>
      <c r="AC439" s="1007">
        <v>16</v>
      </c>
      <c r="AD439" s="1007" t="s">
        <v>2158</v>
      </c>
      <c r="AE439" s="1007" t="s">
        <v>2159</v>
      </c>
      <c r="AF439" s="1007" t="s">
        <v>123</v>
      </c>
      <c r="AG439" s="1007" t="s">
        <v>123</v>
      </c>
      <c r="AH439" s="1007" t="s">
        <v>78</v>
      </c>
      <c r="AI439" s="1008">
        <v>46134</v>
      </c>
      <c r="AJ439" s="1008">
        <v>46136</v>
      </c>
      <c r="AK439" s="1008">
        <v>46138</v>
      </c>
      <c r="AL439" s="1008">
        <v>46175</v>
      </c>
      <c r="AM439" s="1008">
        <v>46188</v>
      </c>
      <c r="AN439" s="1008">
        <v>46191</v>
      </c>
      <c r="AO439" s="1007" t="s">
        <v>402</v>
      </c>
      <c r="AP439" s="1007" t="s">
        <v>2154</v>
      </c>
      <c r="AQ439" s="1007" t="s">
        <v>80</v>
      </c>
      <c r="AR439" s="1007" t="s">
        <v>2155</v>
      </c>
      <c r="AS439" s="1007" t="s">
        <v>2156</v>
      </c>
      <c r="AT439" s="1007" t="s">
        <v>2156</v>
      </c>
      <c r="AU439" s="1007">
        <v>53</v>
      </c>
      <c r="AW439" s="1008">
        <v>46191</v>
      </c>
      <c r="AX439" s="1007" t="s">
        <v>973</v>
      </c>
      <c r="AY439" s="1008">
        <v>46204</v>
      </c>
      <c r="AZ439" s="1007">
        <v>8</v>
      </c>
      <c r="BA439" s="1008">
        <v>46199</v>
      </c>
      <c r="BB439" s="1007">
        <v>2026</v>
      </c>
      <c r="BC439" s="1007">
        <v>6</v>
      </c>
      <c r="BD439" s="1007">
        <v>26</v>
      </c>
      <c r="BE439" s="1007">
        <v>36</v>
      </c>
      <c r="BF439" s="1007">
        <v>792</v>
      </c>
      <c r="BG439" s="1007" t="s">
        <v>85</v>
      </c>
      <c r="BH439" s="1007" t="s">
        <v>86</v>
      </c>
    </row>
    <row r="440" spans="1:60">
      <c r="A440" s="1007" t="s">
        <v>2160</v>
      </c>
      <c r="B440" s="1007" t="s">
        <v>61</v>
      </c>
      <c r="C440" s="1007" t="s">
        <v>1940</v>
      </c>
      <c r="D440" s="1007" t="s">
        <v>63</v>
      </c>
      <c r="E440" s="1007" t="s">
        <v>64</v>
      </c>
      <c r="F440" s="1007" t="s">
        <v>65</v>
      </c>
      <c r="G440" s="1007" t="s">
        <v>402</v>
      </c>
      <c r="H440" s="1007" t="s">
        <v>67</v>
      </c>
      <c r="I440" s="1007" t="s">
        <v>1395</v>
      </c>
      <c r="J440" s="1007" t="s">
        <v>96</v>
      </c>
      <c r="M440" s="1007" t="s">
        <v>68</v>
      </c>
      <c r="N440" s="1007">
        <v>46111</v>
      </c>
      <c r="O440" s="1007" t="s">
        <v>70</v>
      </c>
      <c r="P440" s="1007" t="s">
        <v>91</v>
      </c>
      <c r="Q440" s="1007" t="s">
        <v>92</v>
      </c>
      <c r="R440" s="1007" t="s">
        <v>73</v>
      </c>
      <c r="S440" s="1007" t="s">
        <v>967</v>
      </c>
      <c r="T440" s="1007">
        <v>450</v>
      </c>
      <c r="U440" s="1007">
        <v>7488</v>
      </c>
      <c r="V440" s="1007">
        <v>3.3696000000000002</v>
      </c>
      <c r="W440" s="1007">
        <v>208</v>
      </c>
      <c r="X440" s="1007">
        <v>8</v>
      </c>
      <c r="Y440" s="1007" t="s">
        <v>951</v>
      </c>
      <c r="Z440" s="1007" t="s">
        <v>75</v>
      </c>
      <c r="AA440" s="1007" t="s">
        <v>1991</v>
      </c>
      <c r="AB440" s="1008">
        <v>46127</v>
      </c>
      <c r="AC440" s="1007">
        <v>16</v>
      </c>
      <c r="AD440" s="1007" t="s">
        <v>2161</v>
      </c>
      <c r="AF440" s="1007" t="s">
        <v>1935</v>
      </c>
      <c r="AG440" s="1007" t="s">
        <v>61</v>
      </c>
      <c r="AH440" s="1007" t="s">
        <v>356</v>
      </c>
      <c r="AI440" s="1008">
        <v>46131</v>
      </c>
      <c r="AJ440" s="1008">
        <v>46131</v>
      </c>
      <c r="AK440" s="1008">
        <v>46131</v>
      </c>
      <c r="AL440" s="1008">
        <v>46182</v>
      </c>
      <c r="AM440" s="1008">
        <v>46196</v>
      </c>
      <c r="AN440" s="1008">
        <v>46190</v>
      </c>
      <c r="AO440" s="1007" t="s">
        <v>402</v>
      </c>
      <c r="AP440" s="1007" t="s">
        <v>2106</v>
      </c>
      <c r="AQ440" s="1007" t="s">
        <v>161</v>
      </c>
      <c r="AR440" s="1007" t="s">
        <v>2162</v>
      </c>
      <c r="AS440" s="1007" t="s">
        <v>2163</v>
      </c>
      <c r="AT440" s="1007">
        <v>273285266</v>
      </c>
      <c r="AU440" s="1007">
        <v>59</v>
      </c>
      <c r="AW440" s="1008">
        <v>46190</v>
      </c>
      <c r="AX440" s="1007" t="s">
        <v>973</v>
      </c>
      <c r="AY440" s="1008">
        <v>46203</v>
      </c>
      <c r="AZ440" s="1007">
        <v>8</v>
      </c>
      <c r="BA440" s="1008">
        <v>46198</v>
      </c>
      <c r="BB440" s="1007">
        <v>2026</v>
      </c>
      <c r="BC440" s="1007">
        <v>6</v>
      </c>
      <c r="BD440" s="1007">
        <v>26</v>
      </c>
      <c r="BE440" s="1007">
        <v>36</v>
      </c>
      <c r="BF440" s="1007">
        <v>936</v>
      </c>
      <c r="BG440" s="1007" t="s">
        <v>94</v>
      </c>
      <c r="BH440" s="1007" t="s">
        <v>109</v>
      </c>
    </row>
    <row r="441" spans="1:60">
      <c r="A441" s="1007" t="s">
        <v>2164</v>
      </c>
      <c r="B441" s="1007" t="s">
        <v>61</v>
      </c>
      <c r="C441" s="1007" t="s">
        <v>1940</v>
      </c>
      <c r="D441" s="1007" t="s">
        <v>63</v>
      </c>
      <c r="E441" s="1007" t="s">
        <v>64</v>
      </c>
      <c r="F441" s="1007" t="s">
        <v>65</v>
      </c>
      <c r="G441" s="1007" t="s">
        <v>402</v>
      </c>
      <c r="H441" s="1007" t="s">
        <v>67</v>
      </c>
      <c r="I441" s="1007" t="s">
        <v>882</v>
      </c>
      <c r="J441" s="1007" t="s">
        <v>96</v>
      </c>
      <c r="M441" s="1007" t="s">
        <v>68</v>
      </c>
      <c r="N441" s="1007">
        <v>46111</v>
      </c>
      <c r="O441" s="1007" t="s">
        <v>70</v>
      </c>
      <c r="P441" s="1007" t="s">
        <v>91</v>
      </c>
      <c r="Q441" s="1007" t="s">
        <v>92</v>
      </c>
      <c r="R441" s="1007" t="s">
        <v>73</v>
      </c>
      <c r="S441" s="1007" t="s">
        <v>967</v>
      </c>
      <c r="T441" s="1007">
        <v>450</v>
      </c>
      <c r="U441" s="1007">
        <v>1872</v>
      </c>
      <c r="V441" s="1007">
        <v>0.84240000000000004</v>
      </c>
      <c r="W441" s="1007">
        <v>52</v>
      </c>
      <c r="X441" s="1007">
        <v>2</v>
      </c>
      <c r="Y441" s="1007" t="s">
        <v>951</v>
      </c>
      <c r="Z441" s="1007" t="s">
        <v>75</v>
      </c>
      <c r="AA441" s="1007" t="s">
        <v>1991</v>
      </c>
      <c r="AB441" s="1008">
        <v>46127</v>
      </c>
      <c r="AC441" s="1007">
        <v>16</v>
      </c>
      <c r="AD441" s="1007" t="s">
        <v>2165</v>
      </c>
      <c r="AF441" s="1007" t="s">
        <v>1935</v>
      </c>
      <c r="AG441" s="1007" t="s">
        <v>61</v>
      </c>
      <c r="AH441" s="1007" t="s">
        <v>356</v>
      </c>
      <c r="AI441" s="1008">
        <v>46131</v>
      </c>
      <c r="AJ441" s="1008">
        <v>46131</v>
      </c>
      <c r="AK441" s="1008">
        <v>46131</v>
      </c>
      <c r="AL441" s="1008">
        <v>46182</v>
      </c>
      <c r="AM441" s="1008">
        <v>46196</v>
      </c>
      <c r="AN441" s="1008">
        <v>46190</v>
      </c>
      <c r="AO441" s="1007" t="s">
        <v>402</v>
      </c>
      <c r="AP441" s="1007" t="s">
        <v>2106</v>
      </c>
      <c r="AQ441" s="1007" t="s">
        <v>161</v>
      </c>
      <c r="AR441" s="1007" t="s">
        <v>2162</v>
      </c>
      <c r="AS441" s="1007" t="s">
        <v>2163</v>
      </c>
      <c r="AT441" s="1007">
        <v>273285266</v>
      </c>
      <c r="AU441" s="1007">
        <v>59</v>
      </c>
      <c r="AW441" s="1008">
        <v>46190</v>
      </c>
      <c r="AX441" s="1007" t="s">
        <v>973</v>
      </c>
      <c r="AY441" s="1008">
        <v>46203</v>
      </c>
      <c r="AZ441" s="1007">
        <v>8</v>
      </c>
      <c r="BA441" s="1008">
        <v>46198</v>
      </c>
      <c r="BB441" s="1007">
        <v>2026</v>
      </c>
      <c r="BC441" s="1007">
        <v>6</v>
      </c>
      <c r="BD441" s="1007">
        <v>26</v>
      </c>
      <c r="BE441" s="1007">
        <v>36</v>
      </c>
      <c r="BF441" s="1007">
        <v>936</v>
      </c>
      <c r="BG441" s="1007" t="s">
        <v>94</v>
      </c>
      <c r="BH441" s="1007" t="s">
        <v>109</v>
      </c>
    </row>
    <row r="442" spans="1:60">
      <c r="A442" s="1007" t="s">
        <v>2166</v>
      </c>
      <c r="B442" s="1007" t="s">
        <v>61</v>
      </c>
      <c r="C442" s="1007" t="s">
        <v>2087</v>
      </c>
      <c r="D442" s="1007" t="s">
        <v>63</v>
      </c>
      <c r="E442" s="1007" t="s">
        <v>64</v>
      </c>
      <c r="F442" s="1007" t="s">
        <v>65</v>
      </c>
      <c r="G442" s="1007" t="s">
        <v>402</v>
      </c>
      <c r="H442" s="1007" t="s">
        <v>67</v>
      </c>
      <c r="I442" s="1007" t="s">
        <v>869</v>
      </c>
      <c r="J442" s="1007" t="s">
        <v>96</v>
      </c>
      <c r="M442" s="1007" t="s">
        <v>68</v>
      </c>
      <c r="N442" s="1007">
        <v>46111</v>
      </c>
      <c r="O442" s="1007" t="s">
        <v>70</v>
      </c>
      <c r="P442" s="1007" t="s">
        <v>706</v>
      </c>
      <c r="Q442" s="1007" t="s">
        <v>707</v>
      </c>
      <c r="R442" s="1007" t="s">
        <v>73</v>
      </c>
      <c r="S442" s="1007" t="s">
        <v>967</v>
      </c>
      <c r="T442" s="1007">
        <v>500</v>
      </c>
      <c r="U442" s="1007">
        <v>864</v>
      </c>
      <c r="V442" s="1007">
        <v>0.432</v>
      </c>
      <c r="W442" s="1007">
        <v>24</v>
      </c>
      <c r="X442" s="1007">
        <v>1</v>
      </c>
      <c r="Y442" s="1007" t="s">
        <v>951</v>
      </c>
      <c r="Z442" s="1007" t="s">
        <v>75</v>
      </c>
      <c r="AA442" s="1007" t="s">
        <v>2088</v>
      </c>
      <c r="AB442" s="1008">
        <v>46125</v>
      </c>
      <c r="AC442" s="1007">
        <v>16</v>
      </c>
      <c r="AD442" s="1007" t="s">
        <v>2167</v>
      </c>
      <c r="AF442" s="1007" t="s">
        <v>1935</v>
      </c>
      <c r="AG442" s="1007" t="s">
        <v>61</v>
      </c>
      <c r="AH442" s="1007" t="s">
        <v>356</v>
      </c>
      <c r="AI442" s="1008">
        <v>46129</v>
      </c>
      <c r="AJ442" s="1008">
        <v>46129</v>
      </c>
      <c r="AK442" s="1008">
        <v>46128</v>
      </c>
      <c r="AL442" s="1008">
        <v>46182</v>
      </c>
      <c r="AM442" s="1008">
        <v>46183</v>
      </c>
      <c r="AN442" s="1008">
        <v>46182</v>
      </c>
      <c r="AO442" s="1007" t="s">
        <v>402</v>
      </c>
      <c r="AP442" s="1007" t="s">
        <v>2168</v>
      </c>
      <c r="AQ442" s="1007" t="s">
        <v>80</v>
      </c>
      <c r="AR442" s="1007" t="s">
        <v>2169</v>
      </c>
      <c r="AS442" s="1007" t="s">
        <v>2170</v>
      </c>
      <c r="AT442" s="1007" t="s">
        <v>2170</v>
      </c>
      <c r="AU442" s="1007">
        <v>54</v>
      </c>
      <c r="AW442" s="1008">
        <v>46182</v>
      </c>
      <c r="AX442" s="1007" t="s">
        <v>973</v>
      </c>
      <c r="AY442" s="1008">
        <v>46197</v>
      </c>
      <c r="AZ442" s="1007">
        <v>8</v>
      </c>
      <c r="BA442" s="1008">
        <v>46190</v>
      </c>
      <c r="BB442" s="1007">
        <v>2026</v>
      </c>
      <c r="BC442" s="1007">
        <v>6</v>
      </c>
      <c r="BD442" s="1007">
        <v>25</v>
      </c>
      <c r="BE442" s="1007">
        <v>36</v>
      </c>
      <c r="BF442" s="1007">
        <v>864</v>
      </c>
      <c r="BG442" s="1007" t="s">
        <v>85</v>
      </c>
      <c r="BH442" s="1007" t="s">
        <v>109</v>
      </c>
    </row>
    <row r="443" spans="1:60">
      <c r="A443" s="1007" t="s">
        <v>2171</v>
      </c>
      <c r="B443" s="1007" t="s">
        <v>61</v>
      </c>
      <c r="C443" s="1007" t="s">
        <v>2172</v>
      </c>
      <c r="D443" s="1007" t="s">
        <v>63</v>
      </c>
      <c r="E443" s="1007" t="s">
        <v>64</v>
      </c>
      <c r="F443" s="1007" t="s">
        <v>65</v>
      </c>
      <c r="G443" s="1007" t="s">
        <v>402</v>
      </c>
      <c r="H443" s="1007" t="s">
        <v>67</v>
      </c>
      <c r="I443" s="1007" t="s">
        <v>882</v>
      </c>
      <c r="J443" s="1007" t="s">
        <v>96</v>
      </c>
      <c r="M443" s="1007" t="s">
        <v>68</v>
      </c>
      <c r="N443" s="1007">
        <v>46111</v>
      </c>
      <c r="O443" s="1007" t="s">
        <v>70</v>
      </c>
      <c r="P443" s="1007" t="s">
        <v>691</v>
      </c>
      <c r="Q443" s="1007" t="s">
        <v>692</v>
      </c>
      <c r="R443" s="1007" t="s">
        <v>73</v>
      </c>
      <c r="S443" s="1007" t="s">
        <v>967</v>
      </c>
      <c r="T443" s="1007">
        <v>505</v>
      </c>
      <c r="U443" s="1007">
        <v>3456</v>
      </c>
      <c r="V443" s="1007">
        <v>1.7452799999999999</v>
      </c>
      <c r="W443" s="1007">
        <v>96</v>
      </c>
      <c r="X443" s="1007">
        <v>4</v>
      </c>
      <c r="Y443" s="1007" t="s">
        <v>951</v>
      </c>
      <c r="Z443" s="1007" t="s">
        <v>75</v>
      </c>
      <c r="AA443" s="1007" t="s">
        <v>2088</v>
      </c>
      <c r="AB443" s="1008">
        <v>46128</v>
      </c>
      <c r="AC443" s="1007">
        <v>16</v>
      </c>
      <c r="AD443" s="1007" t="s">
        <v>2173</v>
      </c>
      <c r="AF443" s="1007" t="s">
        <v>1935</v>
      </c>
      <c r="AG443" s="1007" t="s">
        <v>61</v>
      </c>
      <c r="AH443" s="1007" t="s">
        <v>78</v>
      </c>
      <c r="AI443" s="1008">
        <v>46133</v>
      </c>
      <c r="AJ443" s="1008">
        <v>46134</v>
      </c>
      <c r="AK443" s="1008">
        <v>46133</v>
      </c>
      <c r="AL443" s="1008">
        <v>46195</v>
      </c>
      <c r="AM443" s="1008">
        <v>46200</v>
      </c>
      <c r="AN443" s="1008">
        <v>46203</v>
      </c>
      <c r="AO443" s="1007" t="s">
        <v>402</v>
      </c>
      <c r="AP443" s="1007" t="s">
        <v>2174</v>
      </c>
      <c r="AQ443" s="1007" t="s">
        <v>80</v>
      </c>
      <c r="AR443" s="1007" t="s">
        <v>2175</v>
      </c>
      <c r="AS443" s="1007" t="s">
        <v>2176</v>
      </c>
      <c r="AT443" s="1007" t="s">
        <v>2176</v>
      </c>
      <c r="AU443" s="1007">
        <v>70</v>
      </c>
      <c r="AW443" s="1008">
        <v>46203</v>
      </c>
      <c r="AX443" s="1007" t="s">
        <v>973</v>
      </c>
      <c r="AY443" s="1008">
        <v>46215</v>
      </c>
      <c r="AZ443" s="1007">
        <v>8</v>
      </c>
      <c r="BA443" s="1008">
        <v>46211</v>
      </c>
      <c r="BB443" s="1007">
        <v>2026</v>
      </c>
      <c r="BC443" s="1007">
        <v>7</v>
      </c>
      <c r="BD443" s="1007">
        <v>28</v>
      </c>
      <c r="BE443" s="1007">
        <v>36</v>
      </c>
      <c r="BF443" s="1007">
        <v>864</v>
      </c>
      <c r="BG443" s="1007" t="s">
        <v>85</v>
      </c>
      <c r="BH443" s="1007" t="s">
        <v>86</v>
      </c>
    </row>
    <row r="444" spans="1:60">
      <c r="A444" s="1007" t="s">
        <v>2177</v>
      </c>
      <c r="B444" s="1007" t="s">
        <v>61</v>
      </c>
      <c r="C444" s="1007" t="s">
        <v>2172</v>
      </c>
      <c r="D444" s="1007" t="s">
        <v>63</v>
      </c>
      <c r="E444" s="1007" t="s">
        <v>64</v>
      </c>
      <c r="F444" s="1007" t="s">
        <v>65</v>
      </c>
      <c r="G444" s="1007" t="s">
        <v>402</v>
      </c>
      <c r="H444" s="1007" t="s">
        <v>67</v>
      </c>
      <c r="I444" s="1007" t="s">
        <v>882</v>
      </c>
      <c r="J444" s="1007" t="s">
        <v>96</v>
      </c>
      <c r="M444" s="1007" t="s">
        <v>68</v>
      </c>
      <c r="N444" s="1007">
        <v>46111</v>
      </c>
      <c r="O444" s="1007" t="s">
        <v>70</v>
      </c>
      <c r="P444" s="1007" t="s">
        <v>691</v>
      </c>
      <c r="Q444" s="1007" t="s">
        <v>692</v>
      </c>
      <c r="R444" s="1007" t="s">
        <v>73</v>
      </c>
      <c r="S444" s="1007" t="s">
        <v>967</v>
      </c>
      <c r="T444" s="1007">
        <v>505</v>
      </c>
      <c r="U444" s="1007">
        <v>1728</v>
      </c>
      <c r="V444" s="1007">
        <v>0.87263999999999997</v>
      </c>
      <c r="W444" s="1007">
        <v>48</v>
      </c>
      <c r="X444" s="1007">
        <v>2</v>
      </c>
      <c r="Y444" s="1007" t="s">
        <v>951</v>
      </c>
      <c r="Z444" s="1007" t="s">
        <v>75</v>
      </c>
      <c r="AA444" s="1007" t="s">
        <v>2088</v>
      </c>
      <c r="AB444" s="1008">
        <v>46125</v>
      </c>
      <c r="AC444" s="1007">
        <v>16</v>
      </c>
      <c r="AD444" s="1007" t="s">
        <v>2178</v>
      </c>
      <c r="AF444" s="1007" t="s">
        <v>1935</v>
      </c>
      <c r="AG444" s="1007" t="s">
        <v>61</v>
      </c>
      <c r="AH444" s="1007" t="s">
        <v>78</v>
      </c>
      <c r="AI444" s="1008">
        <v>46129</v>
      </c>
      <c r="AJ444" s="1008">
        <v>46129</v>
      </c>
      <c r="AK444" s="1008">
        <v>46128</v>
      </c>
      <c r="AL444" s="1008">
        <v>46189</v>
      </c>
      <c r="AM444" s="1008">
        <v>46184</v>
      </c>
      <c r="AN444" s="1008">
        <v>46184</v>
      </c>
      <c r="AO444" s="1007" t="s">
        <v>402</v>
      </c>
      <c r="AP444" s="1007" t="s">
        <v>2179</v>
      </c>
      <c r="AQ444" s="1007" t="s">
        <v>80</v>
      </c>
      <c r="AR444" s="1007" t="s">
        <v>2180</v>
      </c>
      <c r="AS444" s="1007" t="s">
        <v>2181</v>
      </c>
      <c r="AT444" s="1007" t="s">
        <v>2181</v>
      </c>
      <c r="AU444" s="1007">
        <v>56</v>
      </c>
      <c r="AW444" s="1008">
        <v>46184</v>
      </c>
      <c r="AX444" s="1007" t="s">
        <v>973</v>
      </c>
      <c r="AY444" s="1008">
        <v>46196</v>
      </c>
      <c r="AZ444" s="1007">
        <v>8</v>
      </c>
      <c r="BA444" s="1008">
        <v>46192</v>
      </c>
      <c r="BB444" s="1007">
        <v>2026</v>
      </c>
      <c r="BC444" s="1007">
        <v>6</v>
      </c>
      <c r="BD444" s="1007">
        <v>25</v>
      </c>
      <c r="BE444" s="1007">
        <v>36</v>
      </c>
      <c r="BF444" s="1007">
        <v>864</v>
      </c>
      <c r="BG444" s="1007" t="s">
        <v>85</v>
      </c>
      <c r="BH444" s="1007" t="s">
        <v>86</v>
      </c>
    </row>
    <row r="445" spans="1:60">
      <c r="A445" s="1007" t="s">
        <v>2182</v>
      </c>
      <c r="B445" s="1007" t="s">
        <v>2132</v>
      </c>
      <c r="C445" s="1007" t="s">
        <v>2150</v>
      </c>
      <c r="D445" s="1007" t="s">
        <v>63</v>
      </c>
      <c r="E445" s="1007" t="s">
        <v>64</v>
      </c>
      <c r="F445" s="1007" t="s">
        <v>100</v>
      </c>
      <c r="G445" s="1007" t="s">
        <v>402</v>
      </c>
      <c r="H445" s="1007" t="s">
        <v>67</v>
      </c>
      <c r="I445" s="1007" t="s">
        <v>1395</v>
      </c>
      <c r="J445" s="1007" t="s">
        <v>96</v>
      </c>
      <c r="M445" s="1007" t="s">
        <v>68</v>
      </c>
      <c r="N445" s="1007" t="s">
        <v>68</v>
      </c>
      <c r="O445" s="1007" t="s">
        <v>550</v>
      </c>
      <c r="P445" s="1007" t="s">
        <v>551</v>
      </c>
      <c r="Q445" s="1007" t="s">
        <v>2151</v>
      </c>
      <c r="R445" s="1007" t="s">
        <v>73</v>
      </c>
      <c r="S445" s="1007" t="s">
        <v>2136</v>
      </c>
      <c r="T445" s="1007">
        <v>510</v>
      </c>
      <c r="U445" s="1007">
        <v>1584</v>
      </c>
      <c r="V445" s="1007">
        <v>0.80784</v>
      </c>
      <c r="W445" s="1007">
        <v>44</v>
      </c>
      <c r="X445" s="1007">
        <v>2</v>
      </c>
      <c r="Y445" s="1007" t="s">
        <v>75</v>
      </c>
      <c r="Z445" s="1007" t="s">
        <v>75</v>
      </c>
      <c r="AA445" s="1007" t="s">
        <v>2183</v>
      </c>
      <c r="AB445" s="1008">
        <v>46135</v>
      </c>
      <c r="AC445" s="1007">
        <v>17</v>
      </c>
      <c r="AD445" s="1007" t="s">
        <v>2184</v>
      </c>
      <c r="AF445" s="1007" t="s">
        <v>123</v>
      </c>
      <c r="AG445" s="1007" t="s">
        <v>123</v>
      </c>
      <c r="AH445" s="1007" t="s">
        <v>105</v>
      </c>
      <c r="AI445" s="1008">
        <v>46139</v>
      </c>
      <c r="AJ445" s="1008">
        <v>46141</v>
      </c>
      <c r="AK445" s="1008">
        <v>46141</v>
      </c>
      <c r="AL445" s="1008">
        <v>46175</v>
      </c>
      <c r="AM445" s="1008">
        <v>46179</v>
      </c>
      <c r="AN445" s="1008">
        <v>46180</v>
      </c>
      <c r="AO445" s="1007" t="s">
        <v>402</v>
      </c>
      <c r="AP445" s="1007" t="s">
        <v>2174</v>
      </c>
      <c r="AQ445" s="1007" t="s">
        <v>80</v>
      </c>
      <c r="AR445" s="1007" t="s">
        <v>2185</v>
      </c>
      <c r="AS445" s="1007" t="s">
        <v>2186</v>
      </c>
      <c r="AT445" s="1007" t="s">
        <v>2186</v>
      </c>
      <c r="AU445" s="1007">
        <v>39</v>
      </c>
      <c r="AW445" s="1008">
        <v>46180</v>
      </c>
      <c r="AX445" s="1007" t="s">
        <v>973</v>
      </c>
      <c r="AY445" s="1008">
        <v>46191</v>
      </c>
      <c r="AZ445" s="1007">
        <v>7</v>
      </c>
      <c r="BA445" s="1008">
        <v>46187</v>
      </c>
      <c r="BB445" s="1007">
        <v>2026</v>
      </c>
      <c r="BC445" s="1007">
        <v>6</v>
      </c>
      <c r="BD445" s="1007">
        <v>24</v>
      </c>
      <c r="BE445" s="1007">
        <v>36</v>
      </c>
      <c r="BF445" s="1007">
        <v>792</v>
      </c>
      <c r="BG445" s="1007" t="s">
        <v>85</v>
      </c>
      <c r="BH445" s="1007" t="s">
        <v>109</v>
      </c>
    </row>
    <row r="446" spans="1:60">
      <c r="A446" s="1007" t="s">
        <v>2187</v>
      </c>
      <c r="B446" s="1007" t="s">
        <v>2132</v>
      </c>
      <c r="C446" s="1007" t="s">
        <v>2133</v>
      </c>
      <c r="D446" s="1007" t="s">
        <v>63</v>
      </c>
      <c r="E446" s="1007" t="s">
        <v>64</v>
      </c>
      <c r="F446" s="1007" t="s">
        <v>100</v>
      </c>
      <c r="G446" s="1007" t="s">
        <v>402</v>
      </c>
      <c r="H446" s="1007" t="s">
        <v>67</v>
      </c>
      <c r="I446" s="1007" t="s">
        <v>689</v>
      </c>
      <c r="J446" s="1007" t="s">
        <v>96</v>
      </c>
      <c r="M446" s="1007" t="s">
        <v>68</v>
      </c>
      <c r="N446" s="1007" t="s">
        <v>68</v>
      </c>
      <c r="O446" s="1007" t="s">
        <v>550</v>
      </c>
      <c r="P446" s="1007" t="s">
        <v>2134</v>
      </c>
      <c r="Q446" s="1007" t="s">
        <v>2135</v>
      </c>
      <c r="R446" s="1007" t="s">
        <v>73</v>
      </c>
      <c r="S446" s="1007" t="s">
        <v>2136</v>
      </c>
      <c r="T446" s="1007">
        <v>515</v>
      </c>
      <c r="U446" s="1007">
        <v>2376</v>
      </c>
      <c r="V446" s="1007">
        <v>1.2236400000000001</v>
      </c>
      <c r="W446" s="1007">
        <v>66</v>
      </c>
      <c r="X446" s="1007">
        <v>3</v>
      </c>
      <c r="Y446" s="1007" t="s">
        <v>75</v>
      </c>
      <c r="Z446" s="1007" t="s">
        <v>75</v>
      </c>
      <c r="AA446" s="1007" t="s">
        <v>2183</v>
      </c>
      <c r="AB446" s="1008">
        <v>46135</v>
      </c>
      <c r="AC446" s="1007">
        <v>17</v>
      </c>
      <c r="AD446" s="1007" t="s">
        <v>2188</v>
      </c>
      <c r="AF446" s="1007" t="s">
        <v>123</v>
      </c>
      <c r="AG446" s="1007" t="s">
        <v>123</v>
      </c>
      <c r="AH446" s="1007" t="s">
        <v>105</v>
      </c>
      <c r="AI446" s="1008">
        <v>46139</v>
      </c>
      <c r="AJ446" s="1008">
        <v>46141</v>
      </c>
      <c r="AK446" s="1008">
        <v>46141</v>
      </c>
      <c r="AL446" s="1008">
        <v>46175</v>
      </c>
      <c r="AM446" s="1008">
        <v>46179</v>
      </c>
      <c r="AN446" s="1008">
        <v>46180</v>
      </c>
      <c r="AO446" s="1007" t="s">
        <v>402</v>
      </c>
      <c r="AP446" s="1007" t="s">
        <v>2174</v>
      </c>
      <c r="AQ446" s="1007" t="s">
        <v>80</v>
      </c>
      <c r="AR446" s="1007" t="s">
        <v>2185</v>
      </c>
      <c r="AS446" s="1007" t="s">
        <v>2186</v>
      </c>
      <c r="AT446" s="1007" t="s">
        <v>2186</v>
      </c>
      <c r="AU446" s="1007">
        <v>39</v>
      </c>
      <c r="AW446" s="1008">
        <v>46180</v>
      </c>
      <c r="AX446" s="1007" t="s">
        <v>973</v>
      </c>
      <c r="AY446" s="1008">
        <v>46191</v>
      </c>
      <c r="AZ446" s="1007">
        <v>7</v>
      </c>
      <c r="BA446" s="1008">
        <v>46187</v>
      </c>
      <c r="BB446" s="1007">
        <v>2026</v>
      </c>
      <c r="BC446" s="1007">
        <v>6</v>
      </c>
      <c r="BD446" s="1007">
        <v>24</v>
      </c>
      <c r="BE446" s="1007">
        <v>36</v>
      </c>
      <c r="BF446" s="1007">
        <v>792</v>
      </c>
      <c r="BG446" s="1007" t="s">
        <v>85</v>
      </c>
      <c r="BH446" s="1007" t="s">
        <v>109</v>
      </c>
    </row>
    <row r="447" spans="1:60">
      <c r="A447" s="1007" t="s">
        <v>2189</v>
      </c>
      <c r="B447" s="1007" t="s">
        <v>111</v>
      </c>
      <c r="C447" s="1007" t="s">
        <v>2190</v>
      </c>
      <c r="D447" s="1007" t="s">
        <v>63</v>
      </c>
      <c r="E447" s="1007" t="s">
        <v>64</v>
      </c>
      <c r="F447" s="1007" t="s">
        <v>100</v>
      </c>
      <c r="G447" s="1007" t="s">
        <v>402</v>
      </c>
      <c r="H447" s="1007" t="s">
        <v>67</v>
      </c>
      <c r="J447" s="1007" t="s">
        <v>96</v>
      </c>
      <c r="M447" s="1007" t="s">
        <v>68</v>
      </c>
      <c r="N447" s="1007">
        <v>46139</v>
      </c>
      <c r="O447" s="1007" t="s">
        <v>473</v>
      </c>
      <c r="P447" s="1007" t="s">
        <v>474</v>
      </c>
      <c r="Q447" s="1007" t="s">
        <v>1319</v>
      </c>
      <c r="R447" s="1007" t="s">
        <v>73</v>
      </c>
      <c r="S447" s="1007" t="s">
        <v>967</v>
      </c>
      <c r="T447" s="1007">
        <v>460</v>
      </c>
      <c r="U447" s="1007">
        <v>6912</v>
      </c>
      <c r="V447" s="1007">
        <v>3.1795200000000001</v>
      </c>
      <c r="W447" s="1007">
        <v>192</v>
      </c>
      <c r="X447" s="1007">
        <v>8</v>
      </c>
      <c r="Y447" s="1007" t="s">
        <v>951</v>
      </c>
      <c r="Z447" s="1007" t="s">
        <v>75</v>
      </c>
      <c r="AA447" s="1007" t="s">
        <v>2191</v>
      </c>
      <c r="AB447" s="1008">
        <v>46134</v>
      </c>
      <c r="AC447" s="1007">
        <v>17</v>
      </c>
      <c r="AD447" s="1007" t="s">
        <v>2192</v>
      </c>
      <c r="AF447" s="1007" t="s">
        <v>123</v>
      </c>
      <c r="AG447" s="1007" t="s">
        <v>123</v>
      </c>
      <c r="AH447" s="1007" t="s">
        <v>105</v>
      </c>
      <c r="AI447" s="1008">
        <v>46138</v>
      </c>
      <c r="AJ447" s="1008">
        <v>46138</v>
      </c>
      <c r="AK447" s="1008">
        <v>46139</v>
      </c>
      <c r="AL447" s="1008">
        <v>46188</v>
      </c>
      <c r="AM447" s="1008">
        <v>46188</v>
      </c>
      <c r="AN447" s="1008">
        <v>46195</v>
      </c>
      <c r="AQ447" s="1007" t="s">
        <v>80</v>
      </c>
      <c r="AR447" s="1007" t="s">
        <v>2193</v>
      </c>
      <c r="AS447" s="1007" t="s">
        <v>2194</v>
      </c>
      <c r="AT447" s="1007" t="s">
        <v>2194</v>
      </c>
      <c r="AU447" s="1007">
        <v>56</v>
      </c>
      <c r="AW447" s="1008">
        <v>46195</v>
      </c>
      <c r="AX447" s="1007" t="s">
        <v>973</v>
      </c>
      <c r="AY447" s="1008">
        <v>46202</v>
      </c>
      <c r="AZ447" s="1007">
        <v>7</v>
      </c>
      <c r="BA447" s="1008">
        <v>46202</v>
      </c>
      <c r="BB447" s="1007">
        <v>2026</v>
      </c>
      <c r="BC447" s="1007">
        <v>6</v>
      </c>
      <c r="BD447" s="1007">
        <v>27</v>
      </c>
      <c r="BE447" s="1007">
        <v>36</v>
      </c>
      <c r="BF447" s="1007">
        <v>864</v>
      </c>
      <c r="BG447" s="1007" t="s">
        <v>85</v>
      </c>
      <c r="BH447" s="1007" t="s">
        <v>109</v>
      </c>
    </row>
    <row r="448" spans="1:60">
      <c r="A448" s="1007" t="s">
        <v>2195</v>
      </c>
      <c r="B448" s="1007" t="s">
        <v>2132</v>
      </c>
      <c r="C448" s="1007" t="s">
        <v>2133</v>
      </c>
      <c r="D448" s="1007" t="s">
        <v>63</v>
      </c>
      <c r="E448" s="1007" t="s">
        <v>64</v>
      </c>
      <c r="F448" s="1007" t="s">
        <v>450</v>
      </c>
      <c r="G448" s="1007" t="s">
        <v>402</v>
      </c>
      <c r="H448" s="1007" t="s">
        <v>451</v>
      </c>
      <c r="I448" s="1007" t="s">
        <v>689</v>
      </c>
      <c r="J448" s="1007" t="s">
        <v>96</v>
      </c>
      <c r="M448" s="1007" t="s">
        <v>68</v>
      </c>
      <c r="N448" s="1007" t="s">
        <v>68</v>
      </c>
      <c r="O448" s="1007" t="s">
        <v>550</v>
      </c>
      <c r="P448" s="1007" t="s">
        <v>2134</v>
      </c>
      <c r="Q448" s="1007" t="s">
        <v>2135</v>
      </c>
      <c r="R448" s="1007" t="s">
        <v>73</v>
      </c>
      <c r="S448" s="1007" t="s">
        <v>2136</v>
      </c>
      <c r="T448" s="1007">
        <v>515</v>
      </c>
      <c r="U448" s="1007">
        <v>3168</v>
      </c>
      <c r="V448" s="1007">
        <v>1.6315200000000001</v>
      </c>
      <c r="W448" s="1007">
        <v>88</v>
      </c>
      <c r="X448" s="1007">
        <v>4</v>
      </c>
      <c r="Y448" s="1007" t="s">
        <v>951</v>
      </c>
      <c r="Z448" s="1007" t="s">
        <v>75</v>
      </c>
      <c r="AA448" s="1007" t="s">
        <v>2183</v>
      </c>
      <c r="AB448" s="1008">
        <v>46135</v>
      </c>
      <c r="AC448" s="1007">
        <v>17</v>
      </c>
      <c r="AD448" s="1007" t="s">
        <v>2196</v>
      </c>
      <c r="AF448" s="1007" t="s">
        <v>123</v>
      </c>
      <c r="AG448" s="1007" t="s">
        <v>123</v>
      </c>
      <c r="AH448" s="1007" t="s">
        <v>456</v>
      </c>
      <c r="AI448" s="1008">
        <v>46139</v>
      </c>
      <c r="AJ448" s="1008">
        <v>46140</v>
      </c>
      <c r="AK448" s="1008">
        <v>46141</v>
      </c>
      <c r="AL448" s="1008">
        <v>46180</v>
      </c>
      <c r="AM448" s="1008">
        <v>46190</v>
      </c>
      <c r="AN448" s="1008">
        <v>46194</v>
      </c>
      <c r="AO448" s="1007" t="s">
        <v>402</v>
      </c>
      <c r="AP448" s="1007" t="s">
        <v>2197</v>
      </c>
      <c r="AQ448" s="1007" t="s">
        <v>80</v>
      </c>
      <c r="AR448" s="1007" t="s">
        <v>2198</v>
      </c>
      <c r="AS448" s="1007" t="s">
        <v>2199</v>
      </c>
      <c r="AT448" s="1007" t="s">
        <v>2199</v>
      </c>
      <c r="AU448" s="1007">
        <v>53</v>
      </c>
      <c r="AW448" s="1008">
        <v>46194</v>
      </c>
      <c r="AX448" s="1007" t="s">
        <v>973</v>
      </c>
      <c r="AY448" s="1008">
        <v>46204</v>
      </c>
      <c r="AZ448" s="1007">
        <v>7</v>
      </c>
      <c r="BA448" s="1008">
        <v>46201</v>
      </c>
      <c r="BB448" s="1007">
        <v>2026</v>
      </c>
      <c r="BC448" s="1007">
        <v>6</v>
      </c>
      <c r="BD448" s="1007">
        <v>26</v>
      </c>
      <c r="BE448" s="1007">
        <v>36</v>
      </c>
      <c r="BF448" s="1007">
        <v>792</v>
      </c>
      <c r="BG448" s="1007" t="s">
        <v>85</v>
      </c>
      <c r="BH448" s="1007" t="s">
        <v>109</v>
      </c>
    </row>
    <row r="449" spans="1:60">
      <c r="A449" s="1007" t="s">
        <v>2200</v>
      </c>
      <c r="B449" s="1007" t="s">
        <v>2132</v>
      </c>
      <c r="C449" s="1007" t="s">
        <v>2150</v>
      </c>
      <c r="D449" s="1007" t="s">
        <v>63</v>
      </c>
      <c r="E449" s="1007" t="s">
        <v>64</v>
      </c>
      <c r="F449" s="1007" t="s">
        <v>310</v>
      </c>
      <c r="G449" s="1007" t="s">
        <v>402</v>
      </c>
      <c r="H449" s="1007" t="s">
        <v>311</v>
      </c>
      <c r="I449" s="1007" t="s">
        <v>1395</v>
      </c>
      <c r="J449" s="1007" t="s">
        <v>96</v>
      </c>
      <c r="M449" s="1007" t="s">
        <v>68</v>
      </c>
      <c r="N449" s="1007" t="s">
        <v>68</v>
      </c>
      <c r="O449" s="1007" t="s">
        <v>550</v>
      </c>
      <c r="P449" s="1007" t="s">
        <v>551</v>
      </c>
      <c r="Q449" s="1007" t="s">
        <v>2151</v>
      </c>
      <c r="R449" s="1007" t="s">
        <v>73</v>
      </c>
      <c r="S449" s="1007" t="s">
        <v>2136</v>
      </c>
      <c r="T449" s="1007">
        <v>510</v>
      </c>
      <c r="U449" s="1007">
        <v>792</v>
      </c>
      <c r="V449" s="1007">
        <v>0.40392</v>
      </c>
      <c r="W449" s="1007">
        <v>22</v>
      </c>
      <c r="X449" s="1007">
        <v>1</v>
      </c>
      <c r="Y449" s="1007" t="s">
        <v>951</v>
      </c>
      <c r="Z449" s="1007" t="s">
        <v>75</v>
      </c>
      <c r="AA449" s="1007" t="s">
        <v>2201</v>
      </c>
      <c r="AB449" s="1008">
        <v>46131</v>
      </c>
      <c r="AC449" s="1007">
        <v>16</v>
      </c>
      <c r="AD449" s="1007" t="s">
        <v>2202</v>
      </c>
      <c r="AF449" s="1007" t="s">
        <v>123</v>
      </c>
      <c r="AG449" s="1007" t="s">
        <v>123</v>
      </c>
      <c r="AH449" s="1007" t="s">
        <v>314</v>
      </c>
      <c r="AI449" s="1008">
        <v>46136</v>
      </c>
      <c r="AJ449" s="1008">
        <v>46136</v>
      </c>
      <c r="AK449" s="1008">
        <v>46138</v>
      </c>
      <c r="AL449" s="1008">
        <v>46183</v>
      </c>
      <c r="AM449" s="1008">
        <v>46190</v>
      </c>
      <c r="AN449" s="1008">
        <v>46190</v>
      </c>
      <c r="AO449" s="1007" t="s">
        <v>402</v>
      </c>
      <c r="AP449" s="1007" t="s">
        <v>2203</v>
      </c>
      <c r="AQ449" s="1007" t="s">
        <v>80</v>
      </c>
      <c r="AR449" s="1007" t="s">
        <v>2204</v>
      </c>
      <c r="AS449" s="1007" t="s">
        <v>2205</v>
      </c>
      <c r="AT449" s="1007" t="s">
        <v>2205</v>
      </c>
      <c r="AU449" s="1007">
        <v>52</v>
      </c>
      <c r="AW449" s="1008">
        <v>46190</v>
      </c>
      <c r="AX449" s="1007" t="s">
        <v>973</v>
      </c>
      <c r="AY449" s="1008">
        <v>46203</v>
      </c>
      <c r="AZ449" s="1007">
        <v>13</v>
      </c>
      <c r="BA449" s="1008">
        <v>46203</v>
      </c>
      <c r="BB449" s="1007">
        <v>2026</v>
      </c>
      <c r="BC449" s="1007">
        <v>6</v>
      </c>
      <c r="BD449" s="1007">
        <v>27</v>
      </c>
      <c r="BE449" s="1007">
        <v>36</v>
      </c>
      <c r="BF449" s="1007">
        <v>792</v>
      </c>
      <c r="BG449" s="1007" t="s">
        <v>85</v>
      </c>
      <c r="BH449" s="1007" t="s">
        <v>86</v>
      </c>
    </row>
    <row r="450" spans="1:60">
      <c r="A450" s="1007" t="s">
        <v>2206</v>
      </c>
      <c r="B450" s="1007" t="s">
        <v>2132</v>
      </c>
      <c r="C450" s="1007" t="s">
        <v>2133</v>
      </c>
      <c r="D450" s="1007" t="s">
        <v>63</v>
      </c>
      <c r="E450" s="1007" t="s">
        <v>64</v>
      </c>
      <c r="F450" s="1007" t="s">
        <v>310</v>
      </c>
      <c r="G450" s="1007" t="s">
        <v>402</v>
      </c>
      <c r="H450" s="1007" t="s">
        <v>311</v>
      </c>
      <c r="I450" s="1007" t="s">
        <v>1395</v>
      </c>
      <c r="J450" s="1007" t="s">
        <v>96</v>
      </c>
      <c r="M450" s="1007" t="s">
        <v>68</v>
      </c>
      <c r="N450" s="1007" t="s">
        <v>68</v>
      </c>
      <c r="O450" s="1007" t="s">
        <v>550</v>
      </c>
      <c r="P450" s="1007" t="s">
        <v>2134</v>
      </c>
      <c r="Q450" s="1007" t="s">
        <v>2135</v>
      </c>
      <c r="R450" s="1007" t="s">
        <v>73</v>
      </c>
      <c r="S450" s="1007" t="s">
        <v>2136</v>
      </c>
      <c r="T450" s="1007">
        <v>515</v>
      </c>
      <c r="U450" s="1007">
        <v>1584</v>
      </c>
      <c r="V450" s="1007">
        <v>0.81576000000000004</v>
      </c>
      <c r="W450" s="1007">
        <v>44</v>
      </c>
      <c r="X450" s="1007">
        <v>2</v>
      </c>
      <c r="Y450" s="1007" t="s">
        <v>951</v>
      </c>
      <c r="Z450" s="1007" t="s">
        <v>75</v>
      </c>
      <c r="AA450" s="1007" t="s">
        <v>2201</v>
      </c>
      <c r="AB450" s="1008">
        <v>46130</v>
      </c>
      <c r="AC450" s="1007">
        <v>16</v>
      </c>
      <c r="AD450" s="1007" t="s">
        <v>2207</v>
      </c>
      <c r="AF450" s="1007" t="s">
        <v>123</v>
      </c>
      <c r="AG450" s="1007" t="s">
        <v>123</v>
      </c>
      <c r="AH450" s="1007" t="s">
        <v>314</v>
      </c>
      <c r="AI450" s="1008">
        <v>46136</v>
      </c>
      <c r="AJ450" s="1008">
        <v>46136</v>
      </c>
      <c r="AK450" s="1008">
        <v>46138</v>
      </c>
      <c r="AL450" s="1008">
        <v>46183</v>
      </c>
      <c r="AM450" s="1008">
        <v>46190</v>
      </c>
      <c r="AN450" s="1008">
        <v>46190</v>
      </c>
      <c r="AO450" s="1007" t="s">
        <v>402</v>
      </c>
      <c r="AP450" s="1007" t="s">
        <v>2203</v>
      </c>
      <c r="AQ450" s="1007" t="s">
        <v>80</v>
      </c>
      <c r="AR450" s="1007" t="s">
        <v>2204</v>
      </c>
      <c r="AS450" s="1007" t="s">
        <v>2205</v>
      </c>
      <c r="AT450" s="1007" t="s">
        <v>2205</v>
      </c>
      <c r="AU450" s="1007">
        <v>52</v>
      </c>
      <c r="AW450" s="1008">
        <v>46190</v>
      </c>
      <c r="AX450" s="1007" t="s">
        <v>973</v>
      </c>
      <c r="AY450" s="1008">
        <v>46203</v>
      </c>
      <c r="AZ450" s="1007">
        <v>13</v>
      </c>
      <c r="BA450" s="1008">
        <v>46203</v>
      </c>
      <c r="BB450" s="1007">
        <v>2026</v>
      </c>
      <c r="BC450" s="1007">
        <v>6</v>
      </c>
      <c r="BD450" s="1007">
        <v>27</v>
      </c>
      <c r="BE450" s="1007">
        <v>36</v>
      </c>
      <c r="BF450" s="1007">
        <v>792</v>
      </c>
      <c r="BG450" s="1007" t="s">
        <v>85</v>
      </c>
      <c r="BH450" s="1007" t="s">
        <v>86</v>
      </c>
    </row>
    <row r="451" spans="1:60">
      <c r="A451" s="1007" t="s">
        <v>2208</v>
      </c>
      <c r="B451" s="1007" t="s">
        <v>2132</v>
      </c>
      <c r="C451" s="1007" t="s">
        <v>2133</v>
      </c>
      <c r="D451" s="1007" t="s">
        <v>63</v>
      </c>
      <c r="E451" s="1007" t="s">
        <v>64</v>
      </c>
      <c r="F451" s="1007" t="s">
        <v>310</v>
      </c>
      <c r="G451" s="1007" t="s">
        <v>402</v>
      </c>
      <c r="H451" s="1007" t="s">
        <v>311</v>
      </c>
      <c r="I451" s="1007" t="s">
        <v>822</v>
      </c>
      <c r="J451" s="1007" t="s">
        <v>96</v>
      </c>
      <c r="M451" s="1007" t="s">
        <v>68</v>
      </c>
      <c r="N451" s="1007" t="s">
        <v>68</v>
      </c>
      <c r="O451" s="1007" t="s">
        <v>550</v>
      </c>
      <c r="P451" s="1007" t="s">
        <v>2134</v>
      </c>
      <c r="Q451" s="1007" t="s">
        <v>2135</v>
      </c>
      <c r="R451" s="1007" t="s">
        <v>73</v>
      </c>
      <c r="S451" s="1007" t="s">
        <v>2136</v>
      </c>
      <c r="T451" s="1007">
        <v>515</v>
      </c>
      <c r="U451" s="1007">
        <v>3960</v>
      </c>
      <c r="V451" s="1007">
        <v>2.0394000000000001</v>
      </c>
      <c r="W451" s="1007">
        <v>110</v>
      </c>
      <c r="X451" s="1007">
        <v>5</v>
      </c>
      <c r="Y451" s="1007" t="s">
        <v>951</v>
      </c>
      <c r="Z451" s="1007" t="s">
        <v>75</v>
      </c>
      <c r="AA451" s="1007" t="s">
        <v>2209</v>
      </c>
      <c r="AB451" s="1008">
        <v>46130</v>
      </c>
      <c r="AC451" s="1007">
        <v>16</v>
      </c>
      <c r="AD451" s="1007" t="s">
        <v>2210</v>
      </c>
      <c r="AF451" s="1007" t="s">
        <v>123</v>
      </c>
      <c r="AG451" s="1007" t="s">
        <v>123</v>
      </c>
      <c r="AH451" s="1007" t="s">
        <v>314</v>
      </c>
      <c r="AI451" s="1008">
        <v>46136</v>
      </c>
      <c r="AJ451" s="1008">
        <v>46136</v>
      </c>
      <c r="AK451" s="1008">
        <v>46138</v>
      </c>
      <c r="AL451" s="1008">
        <v>46183</v>
      </c>
      <c r="AM451" s="1008">
        <v>46190</v>
      </c>
      <c r="AN451" s="1008">
        <v>46190</v>
      </c>
      <c r="AO451" s="1007" t="s">
        <v>402</v>
      </c>
      <c r="AP451" s="1007" t="s">
        <v>2203</v>
      </c>
      <c r="AQ451" s="1007" t="s">
        <v>80</v>
      </c>
      <c r="AR451" s="1007" t="s">
        <v>2204</v>
      </c>
      <c r="AS451" s="1007" t="s">
        <v>2205</v>
      </c>
      <c r="AT451" s="1007" t="s">
        <v>2205</v>
      </c>
      <c r="AU451" s="1007">
        <v>52</v>
      </c>
      <c r="AW451" s="1008">
        <v>46190</v>
      </c>
      <c r="AX451" s="1007" t="s">
        <v>973</v>
      </c>
      <c r="AY451" s="1008">
        <v>46203</v>
      </c>
      <c r="AZ451" s="1007">
        <v>13</v>
      </c>
      <c r="BA451" s="1008">
        <v>46203</v>
      </c>
      <c r="BB451" s="1007">
        <v>2026</v>
      </c>
      <c r="BC451" s="1007">
        <v>6</v>
      </c>
      <c r="BD451" s="1007">
        <v>27</v>
      </c>
      <c r="BE451" s="1007">
        <v>36</v>
      </c>
      <c r="BF451" s="1007">
        <v>792</v>
      </c>
      <c r="BG451" s="1007" t="s">
        <v>85</v>
      </c>
      <c r="BH451" s="1007" t="s">
        <v>86</v>
      </c>
    </row>
    <row r="452" spans="1:60">
      <c r="A452" s="1007" t="s">
        <v>2211</v>
      </c>
      <c r="B452" s="1007" t="s">
        <v>2132</v>
      </c>
      <c r="C452" s="1007" t="s">
        <v>2133</v>
      </c>
      <c r="D452" s="1007" t="s">
        <v>63</v>
      </c>
      <c r="E452" s="1007" t="s">
        <v>64</v>
      </c>
      <c r="F452" s="1007" t="s">
        <v>65</v>
      </c>
      <c r="G452" s="1007" t="s">
        <v>402</v>
      </c>
      <c r="H452" s="1007" t="s">
        <v>67</v>
      </c>
      <c r="I452" s="1007" t="s">
        <v>689</v>
      </c>
      <c r="J452" s="1007" t="s">
        <v>96</v>
      </c>
      <c r="M452" s="1007" t="s">
        <v>68</v>
      </c>
      <c r="N452" s="1007" t="s">
        <v>68</v>
      </c>
      <c r="O452" s="1007" t="s">
        <v>550</v>
      </c>
      <c r="P452" s="1007" t="s">
        <v>2134</v>
      </c>
      <c r="Q452" s="1007" t="s">
        <v>2135</v>
      </c>
      <c r="R452" s="1007" t="s">
        <v>73</v>
      </c>
      <c r="S452" s="1007" t="s">
        <v>2136</v>
      </c>
      <c r="T452" s="1007">
        <v>515</v>
      </c>
      <c r="U452" s="1007">
        <v>3168</v>
      </c>
      <c r="V452" s="1007">
        <v>1.6315200000000001</v>
      </c>
      <c r="W452" s="1007">
        <v>88</v>
      </c>
      <c r="X452" s="1007">
        <v>4</v>
      </c>
      <c r="Y452" s="1007" t="s">
        <v>951</v>
      </c>
      <c r="Z452" s="1007" t="s">
        <v>75</v>
      </c>
      <c r="AA452" s="1007" t="s">
        <v>2212</v>
      </c>
      <c r="AB452" s="1008">
        <v>46136</v>
      </c>
      <c r="AC452" s="1007">
        <v>17</v>
      </c>
      <c r="AD452" s="1007" t="s">
        <v>2213</v>
      </c>
      <c r="AF452" s="1007" t="s">
        <v>123</v>
      </c>
      <c r="AG452" s="1007" t="s">
        <v>123</v>
      </c>
      <c r="AH452" s="1007" t="s">
        <v>78</v>
      </c>
      <c r="AI452" s="1008">
        <v>46136</v>
      </c>
      <c r="AJ452" s="1008">
        <v>46140</v>
      </c>
      <c r="AK452" s="1008">
        <v>46140</v>
      </c>
      <c r="AL452" s="1008">
        <v>46188</v>
      </c>
      <c r="AM452" s="1008">
        <v>46184</v>
      </c>
      <c r="AN452" s="1008">
        <v>46184</v>
      </c>
      <c r="AO452" s="1007" t="s">
        <v>402</v>
      </c>
      <c r="AP452" s="1007" t="s">
        <v>2203</v>
      </c>
      <c r="AQ452" s="1007" t="s">
        <v>80</v>
      </c>
      <c r="AR452" s="1007" t="s">
        <v>2214</v>
      </c>
      <c r="AS452" s="1007" t="s">
        <v>2215</v>
      </c>
      <c r="AT452" s="1007" t="s">
        <v>2215</v>
      </c>
      <c r="AU452" s="1007">
        <v>44</v>
      </c>
      <c r="AW452" s="1008">
        <v>46184</v>
      </c>
      <c r="AX452" s="1007" t="s">
        <v>973</v>
      </c>
      <c r="AY452" s="1008">
        <v>46198</v>
      </c>
      <c r="AZ452" s="1007">
        <v>8</v>
      </c>
      <c r="BA452" s="1008">
        <v>46192</v>
      </c>
      <c r="BB452" s="1007">
        <v>2026</v>
      </c>
      <c r="BC452" s="1007">
        <v>6</v>
      </c>
      <c r="BD452" s="1007">
        <v>25</v>
      </c>
      <c r="BE452" s="1007">
        <v>36</v>
      </c>
      <c r="BF452" s="1007">
        <v>792</v>
      </c>
      <c r="BG452" s="1007" t="s">
        <v>85</v>
      </c>
      <c r="BH452" s="1007" t="s">
        <v>86</v>
      </c>
    </row>
    <row r="453" spans="1:60">
      <c r="A453" s="1007" t="s">
        <v>2216</v>
      </c>
      <c r="B453" s="1007" t="s">
        <v>2132</v>
      </c>
      <c r="C453" s="1007" t="s">
        <v>2133</v>
      </c>
      <c r="D453" s="1007" t="s">
        <v>63</v>
      </c>
      <c r="E453" s="1007" t="s">
        <v>64</v>
      </c>
      <c r="F453" s="1007" t="s">
        <v>310</v>
      </c>
      <c r="G453" s="1007" t="s">
        <v>402</v>
      </c>
      <c r="H453" s="1007" t="s">
        <v>311</v>
      </c>
      <c r="I453" s="1007" t="s">
        <v>689</v>
      </c>
      <c r="J453" s="1007" t="s">
        <v>96</v>
      </c>
      <c r="M453" s="1007" t="s">
        <v>68</v>
      </c>
      <c r="N453" s="1007" t="s">
        <v>68</v>
      </c>
      <c r="O453" s="1007" t="s">
        <v>550</v>
      </c>
      <c r="P453" s="1007" t="s">
        <v>2134</v>
      </c>
      <c r="Q453" s="1007" t="s">
        <v>2135</v>
      </c>
      <c r="R453" s="1007" t="s">
        <v>73</v>
      </c>
      <c r="S453" s="1007" t="s">
        <v>2136</v>
      </c>
      <c r="T453" s="1007">
        <v>515</v>
      </c>
      <c r="U453" s="1007">
        <v>2376</v>
      </c>
      <c r="V453" s="1007">
        <v>1.2236400000000001</v>
      </c>
      <c r="W453" s="1007">
        <v>66</v>
      </c>
      <c r="X453" s="1007">
        <v>3</v>
      </c>
      <c r="Y453" s="1007" t="s">
        <v>951</v>
      </c>
      <c r="Z453" s="1007" t="s">
        <v>75</v>
      </c>
      <c r="AA453" s="1007" t="s">
        <v>2183</v>
      </c>
      <c r="AB453" s="1008">
        <v>46136</v>
      </c>
      <c r="AC453" s="1007">
        <v>17</v>
      </c>
      <c r="AD453" s="1007" t="s">
        <v>2217</v>
      </c>
      <c r="AF453" s="1007" t="s">
        <v>123</v>
      </c>
      <c r="AG453" s="1007" t="s">
        <v>123</v>
      </c>
      <c r="AH453" s="1007" t="s">
        <v>1561</v>
      </c>
      <c r="AI453" s="1008">
        <v>46140</v>
      </c>
      <c r="AJ453" s="1008">
        <v>46140</v>
      </c>
      <c r="AK453" s="1008">
        <v>46140</v>
      </c>
      <c r="AL453" s="1008">
        <v>46199</v>
      </c>
      <c r="AM453" s="1008">
        <v>46201</v>
      </c>
      <c r="AN453" s="1008">
        <v>46198</v>
      </c>
      <c r="AO453" s="1007" t="s">
        <v>402</v>
      </c>
      <c r="AP453" s="1007" t="s">
        <v>2218</v>
      </c>
      <c r="AQ453" s="1007" t="s">
        <v>80</v>
      </c>
      <c r="AR453" s="1007" t="s">
        <v>2219</v>
      </c>
      <c r="AS453" s="1007" t="s">
        <v>2220</v>
      </c>
      <c r="AT453" s="1007" t="s">
        <v>2220</v>
      </c>
      <c r="AU453" s="1007">
        <v>58</v>
      </c>
      <c r="AW453" s="1008">
        <v>46198</v>
      </c>
      <c r="AX453" s="1007" t="s">
        <v>973</v>
      </c>
      <c r="AY453" s="1008">
        <v>46211</v>
      </c>
      <c r="AZ453" s="1007">
        <v>13</v>
      </c>
      <c r="BA453" s="1008">
        <v>46211</v>
      </c>
      <c r="BB453" s="1007">
        <v>2026</v>
      </c>
      <c r="BC453" s="1007">
        <v>7</v>
      </c>
      <c r="BD453" s="1007">
        <v>28</v>
      </c>
      <c r="BE453" s="1007">
        <v>36</v>
      </c>
      <c r="BF453" s="1007">
        <v>792</v>
      </c>
      <c r="BG453" s="1007" t="s">
        <v>85</v>
      </c>
      <c r="BH453" s="1007" t="s">
        <v>86</v>
      </c>
    </row>
    <row r="454" spans="1:60">
      <c r="A454" s="1007" t="s">
        <v>2221</v>
      </c>
      <c r="B454" s="1007" t="s">
        <v>2132</v>
      </c>
      <c r="C454" s="1007" t="s">
        <v>2133</v>
      </c>
      <c r="D454" s="1007" t="s">
        <v>63</v>
      </c>
      <c r="E454" s="1007" t="s">
        <v>64</v>
      </c>
      <c r="F454" s="1007" t="s">
        <v>114</v>
      </c>
      <c r="G454" s="1007" t="s">
        <v>402</v>
      </c>
      <c r="H454" s="1007" t="s">
        <v>115</v>
      </c>
      <c r="I454" s="1007" t="s">
        <v>689</v>
      </c>
      <c r="J454" s="1007" t="s">
        <v>96</v>
      </c>
      <c r="M454" s="1007" t="s">
        <v>68</v>
      </c>
      <c r="N454" s="1007" t="s">
        <v>68</v>
      </c>
      <c r="O454" s="1007" t="s">
        <v>550</v>
      </c>
      <c r="P454" s="1007" t="s">
        <v>2134</v>
      </c>
      <c r="Q454" s="1007" t="s">
        <v>2135</v>
      </c>
      <c r="R454" s="1007" t="s">
        <v>73</v>
      </c>
      <c r="S454" s="1007" t="s">
        <v>2136</v>
      </c>
      <c r="T454" s="1007">
        <v>515</v>
      </c>
      <c r="U454" s="1007">
        <v>1584</v>
      </c>
      <c r="V454" s="1007">
        <v>0.81576000000000004</v>
      </c>
      <c r="W454" s="1007">
        <v>44</v>
      </c>
      <c r="X454" s="1007">
        <v>2</v>
      </c>
      <c r="Y454" s="1007" t="s">
        <v>75</v>
      </c>
      <c r="Z454" s="1007" t="s">
        <v>75</v>
      </c>
      <c r="AA454" s="1007" t="s">
        <v>2183</v>
      </c>
      <c r="AB454" s="1008">
        <v>46136</v>
      </c>
      <c r="AC454" s="1007">
        <v>17</v>
      </c>
      <c r="AD454" s="1007" t="s">
        <v>2222</v>
      </c>
      <c r="AF454" s="1007" t="s">
        <v>123</v>
      </c>
      <c r="AG454" s="1007" t="s">
        <v>123</v>
      </c>
      <c r="AH454" s="1007" t="s">
        <v>124</v>
      </c>
      <c r="AI454" s="1008">
        <v>46139</v>
      </c>
      <c r="AJ454" s="1008">
        <v>46140</v>
      </c>
      <c r="AK454" s="1008">
        <v>46140</v>
      </c>
      <c r="AL454" s="1008">
        <v>46184</v>
      </c>
      <c r="AM454" s="1008">
        <v>46177</v>
      </c>
      <c r="AN454" s="1008">
        <v>46178</v>
      </c>
      <c r="AO454" s="1007" t="s">
        <v>402</v>
      </c>
      <c r="AP454" s="1007" t="s">
        <v>2179</v>
      </c>
      <c r="AQ454" s="1007" t="s">
        <v>80</v>
      </c>
      <c r="AR454" s="1007" t="s">
        <v>2223</v>
      </c>
      <c r="AS454" s="1007" t="s">
        <v>2224</v>
      </c>
      <c r="AT454" s="1007" t="s">
        <v>2224</v>
      </c>
      <c r="AU454" s="1007">
        <v>38</v>
      </c>
      <c r="AW454" s="1008">
        <v>46178</v>
      </c>
      <c r="AX454" s="1007" t="s">
        <v>973</v>
      </c>
      <c r="AY454" s="1008">
        <v>46190</v>
      </c>
      <c r="AZ454" s="1007">
        <v>9</v>
      </c>
      <c r="BA454" s="1008">
        <v>46187</v>
      </c>
      <c r="BB454" s="1007">
        <v>2026</v>
      </c>
      <c r="BC454" s="1007">
        <v>6</v>
      </c>
      <c r="BD454" s="1007">
        <v>24</v>
      </c>
      <c r="BE454" s="1007">
        <v>36</v>
      </c>
      <c r="BF454" s="1007">
        <v>792</v>
      </c>
      <c r="BG454" s="1007" t="s">
        <v>85</v>
      </c>
      <c r="BH454" s="1007" t="s">
        <v>86</v>
      </c>
    </row>
    <row r="455" spans="1:60">
      <c r="A455" s="1007" t="s">
        <v>2225</v>
      </c>
      <c r="B455" s="1007" t="s">
        <v>61</v>
      </c>
      <c r="C455" s="1007" t="s">
        <v>1940</v>
      </c>
      <c r="D455" s="1007" t="s">
        <v>63</v>
      </c>
      <c r="E455" s="1007" t="s">
        <v>64</v>
      </c>
      <c r="F455" s="1007" t="s">
        <v>65</v>
      </c>
      <c r="G455" s="1007" t="s">
        <v>402</v>
      </c>
      <c r="H455" s="1007" t="s">
        <v>67</v>
      </c>
      <c r="I455" s="1007" t="s">
        <v>1395</v>
      </c>
      <c r="J455" s="1007" t="s">
        <v>96</v>
      </c>
      <c r="M455" s="1007" t="s">
        <v>68</v>
      </c>
      <c r="N455" s="1007">
        <v>46104</v>
      </c>
      <c r="O455" s="1007" t="s">
        <v>70</v>
      </c>
      <c r="P455" s="1007" t="s">
        <v>91</v>
      </c>
      <c r="Q455" s="1007" t="s">
        <v>92</v>
      </c>
      <c r="R455" s="1007" t="s">
        <v>73</v>
      </c>
      <c r="S455" s="1007" t="s">
        <v>967</v>
      </c>
      <c r="T455" s="1007">
        <v>450</v>
      </c>
      <c r="U455" s="1007">
        <v>1872</v>
      </c>
      <c r="V455" s="1007">
        <v>0.84240000000000004</v>
      </c>
      <c r="W455" s="1007">
        <v>52</v>
      </c>
      <c r="X455" s="1007">
        <v>2</v>
      </c>
      <c r="Y455" s="1007" t="s">
        <v>951</v>
      </c>
      <c r="Z455" s="1007" t="s">
        <v>75</v>
      </c>
      <c r="AA455" s="1007" t="s">
        <v>1907</v>
      </c>
      <c r="AB455" s="1008">
        <v>46134</v>
      </c>
      <c r="AC455" s="1007">
        <v>17</v>
      </c>
      <c r="AD455" s="1007" t="s">
        <v>2226</v>
      </c>
      <c r="AF455" s="1007" t="s">
        <v>1935</v>
      </c>
      <c r="AG455" s="1007" t="s">
        <v>61</v>
      </c>
      <c r="AH455" s="1007" t="s">
        <v>78</v>
      </c>
      <c r="AI455" s="1008">
        <v>46138</v>
      </c>
      <c r="AJ455" s="1008">
        <v>46138</v>
      </c>
      <c r="AK455" s="1008">
        <v>46138</v>
      </c>
      <c r="AL455" s="1008">
        <v>46196</v>
      </c>
      <c r="AM455" s="1008">
        <v>46207</v>
      </c>
      <c r="AN455" s="1008">
        <v>46207</v>
      </c>
      <c r="AO455" s="1007" t="s">
        <v>402</v>
      </c>
      <c r="AP455" s="1007" t="s">
        <v>2227</v>
      </c>
      <c r="AQ455" s="1007" t="s">
        <v>80</v>
      </c>
      <c r="AR455" s="1007" t="s">
        <v>2228</v>
      </c>
      <c r="AS455" s="1007" t="s">
        <v>2229</v>
      </c>
      <c r="AT455" s="1007" t="s">
        <v>2229</v>
      </c>
      <c r="AU455" s="1007">
        <v>69</v>
      </c>
      <c r="AW455" s="1008">
        <v>46207</v>
      </c>
      <c r="AX455" s="1007" t="s">
        <v>973</v>
      </c>
      <c r="AY455" s="1008">
        <v>46219</v>
      </c>
      <c r="AZ455" s="1007">
        <v>8</v>
      </c>
      <c r="BA455" s="1008">
        <v>46215</v>
      </c>
      <c r="BB455" s="1007">
        <v>2026</v>
      </c>
      <c r="BC455" s="1007">
        <v>7</v>
      </c>
      <c r="BD455" s="1007">
        <v>28</v>
      </c>
      <c r="BE455" s="1007">
        <v>36</v>
      </c>
      <c r="BF455" s="1007">
        <v>936</v>
      </c>
      <c r="BG455" s="1007" t="s">
        <v>94</v>
      </c>
      <c r="BH455" s="1007" t="s">
        <v>86</v>
      </c>
    </row>
    <row r="456" spans="1:60">
      <c r="A456" s="1007" t="s">
        <v>2230</v>
      </c>
      <c r="B456" s="1007" t="s">
        <v>61</v>
      </c>
      <c r="C456" s="1007" t="s">
        <v>1940</v>
      </c>
      <c r="D456" s="1007" t="s">
        <v>63</v>
      </c>
      <c r="E456" s="1007" t="s">
        <v>64</v>
      </c>
      <c r="F456" s="1007" t="s">
        <v>65</v>
      </c>
      <c r="G456" s="1007" t="s">
        <v>402</v>
      </c>
      <c r="H456" s="1007" t="s">
        <v>67</v>
      </c>
      <c r="I456" s="1007" t="s">
        <v>882</v>
      </c>
      <c r="J456" s="1007" t="s">
        <v>96</v>
      </c>
      <c r="M456" s="1007" t="s">
        <v>68</v>
      </c>
      <c r="N456" s="1007">
        <v>46111</v>
      </c>
      <c r="O456" s="1007" t="s">
        <v>70</v>
      </c>
      <c r="P456" s="1007" t="s">
        <v>91</v>
      </c>
      <c r="Q456" s="1007" t="s">
        <v>92</v>
      </c>
      <c r="R456" s="1007" t="s">
        <v>73</v>
      </c>
      <c r="S456" s="1007" t="s">
        <v>967</v>
      </c>
      <c r="T456" s="1007">
        <v>450</v>
      </c>
      <c r="U456" s="1007">
        <v>3744</v>
      </c>
      <c r="V456" s="1007">
        <v>1.6848000000000001</v>
      </c>
      <c r="W456" s="1007">
        <v>104</v>
      </c>
      <c r="X456" s="1007">
        <v>4</v>
      </c>
      <c r="Y456" s="1007" t="s">
        <v>951</v>
      </c>
      <c r="Z456" s="1007" t="s">
        <v>75</v>
      </c>
      <c r="AA456" s="1007" t="s">
        <v>1991</v>
      </c>
      <c r="AB456" s="1008">
        <v>46128</v>
      </c>
      <c r="AC456" s="1007">
        <v>16</v>
      </c>
      <c r="AD456" s="1007" t="s">
        <v>2231</v>
      </c>
      <c r="AF456" s="1007" t="s">
        <v>1935</v>
      </c>
      <c r="AG456" s="1007" t="s">
        <v>61</v>
      </c>
      <c r="AH456" s="1007" t="s">
        <v>356</v>
      </c>
      <c r="AI456" s="1008">
        <v>46136</v>
      </c>
      <c r="AJ456" s="1008">
        <v>46136</v>
      </c>
      <c r="AK456" s="1008">
        <v>46136</v>
      </c>
      <c r="AL456" s="1008">
        <v>46192</v>
      </c>
      <c r="AM456" s="1008">
        <v>46196</v>
      </c>
      <c r="AN456" s="1008">
        <v>46198</v>
      </c>
      <c r="AO456" s="1007" t="s">
        <v>402</v>
      </c>
      <c r="AP456" s="1007" t="s">
        <v>2232</v>
      </c>
      <c r="AQ456" s="1007" t="s">
        <v>161</v>
      </c>
      <c r="AR456" s="1007" t="s">
        <v>2233</v>
      </c>
      <c r="AS456" s="1007" t="s">
        <v>2234</v>
      </c>
      <c r="AT456" s="1007" t="s">
        <v>2234</v>
      </c>
      <c r="AU456" s="1007">
        <v>62</v>
      </c>
      <c r="AW456" s="1008">
        <v>46198</v>
      </c>
      <c r="AX456" s="1007" t="s">
        <v>973</v>
      </c>
      <c r="AY456" s="1008">
        <v>46208</v>
      </c>
      <c r="AZ456" s="1007">
        <v>8</v>
      </c>
      <c r="BA456" s="1008">
        <v>46206</v>
      </c>
      <c r="BB456" s="1007">
        <v>2026</v>
      </c>
      <c r="BC456" s="1007">
        <v>7</v>
      </c>
      <c r="BD456" s="1007">
        <v>27</v>
      </c>
      <c r="BE456" s="1007">
        <v>36</v>
      </c>
      <c r="BF456" s="1007">
        <v>936</v>
      </c>
      <c r="BG456" s="1007" t="s">
        <v>94</v>
      </c>
      <c r="BH456" s="1007" t="s">
        <v>109</v>
      </c>
    </row>
    <row r="457" spans="1:60">
      <c r="A457" s="1007" t="s">
        <v>2235</v>
      </c>
      <c r="B457" s="1007" t="s">
        <v>61</v>
      </c>
      <c r="C457" s="1007" t="s">
        <v>1940</v>
      </c>
      <c r="D457" s="1007" t="s">
        <v>63</v>
      </c>
      <c r="E457" s="1007" t="s">
        <v>64</v>
      </c>
      <c r="F457" s="1007" t="s">
        <v>65</v>
      </c>
      <c r="G457" s="1007" t="s">
        <v>402</v>
      </c>
      <c r="H457" s="1007" t="s">
        <v>67</v>
      </c>
      <c r="I457" s="1007" t="s">
        <v>882</v>
      </c>
      <c r="J457" s="1007" t="s">
        <v>96</v>
      </c>
      <c r="M457" s="1007" t="s">
        <v>68</v>
      </c>
      <c r="N457" s="1007">
        <v>46111</v>
      </c>
      <c r="O457" s="1007" t="s">
        <v>70</v>
      </c>
      <c r="P457" s="1007" t="s">
        <v>91</v>
      </c>
      <c r="Q457" s="1007" t="s">
        <v>92</v>
      </c>
      <c r="R457" s="1007" t="s">
        <v>73</v>
      </c>
      <c r="S457" s="1007" t="s">
        <v>967</v>
      </c>
      <c r="T457" s="1007">
        <v>450</v>
      </c>
      <c r="U457" s="1007">
        <v>1872</v>
      </c>
      <c r="V457" s="1007">
        <v>0.84240000000000004</v>
      </c>
      <c r="W457" s="1007">
        <v>52</v>
      </c>
      <c r="X457" s="1007">
        <v>2</v>
      </c>
      <c r="Y457" s="1007" t="s">
        <v>951</v>
      </c>
      <c r="Z457" s="1007" t="s">
        <v>75</v>
      </c>
      <c r="AA457" s="1007" t="s">
        <v>1991</v>
      </c>
      <c r="AB457" s="1008">
        <v>46129</v>
      </c>
      <c r="AC457" s="1007">
        <v>16</v>
      </c>
      <c r="AD457" s="1007" t="s">
        <v>2236</v>
      </c>
      <c r="AF457" s="1007" t="s">
        <v>1935</v>
      </c>
      <c r="AG457" s="1007" t="s">
        <v>61</v>
      </c>
      <c r="AH457" s="1007" t="s">
        <v>356</v>
      </c>
      <c r="AI457" s="1008">
        <v>46136</v>
      </c>
      <c r="AJ457" s="1008">
        <v>46136</v>
      </c>
      <c r="AK457" s="1008">
        <v>46136</v>
      </c>
      <c r="AL457" s="1008">
        <v>46192</v>
      </c>
      <c r="AM457" s="1008">
        <v>46196</v>
      </c>
      <c r="AN457" s="1008">
        <v>46198</v>
      </c>
      <c r="AO457" s="1007" t="s">
        <v>402</v>
      </c>
      <c r="AP457" s="1007" t="s">
        <v>2232</v>
      </c>
      <c r="AQ457" s="1007" t="s">
        <v>161</v>
      </c>
      <c r="AR457" s="1007" t="s">
        <v>2233</v>
      </c>
      <c r="AS457" s="1007" t="s">
        <v>2234</v>
      </c>
      <c r="AT457" s="1007" t="s">
        <v>2234</v>
      </c>
      <c r="AU457" s="1007">
        <v>62</v>
      </c>
      <c r="AW457" s="1008">
        <v>46198</v>
      </c>
      <c r="AX457" s="1007" t="s">
        <v>973</v>
      </c>
      <c r="AY457" s="1008">
        <v>46209</v>
      </c>
      <c r="AZ457" s="1007">
        <v>8</v>
      </c>
      <c r="BA457" s="1008">
        <v>46206</v>
      </c>
      <c r="BB457" s="1007">
        <v>2026</v>
      </c>
      <c r="BC457" s="1007">
        <v>7</v>
      </c>
      <c r="BD457" s="1007">
        <v>27</v>
      </c>
      <c r="BE457" s="1007">
        <v>36</v>
      </c>
      <c r="BF457" s="1007">
        <v>936</v>
      </c>
      <c r="BG457" s="1007" t="s">
        <v>94</v>
      </c>
      <c r="BH457" s="1007" t="s">
        <v>109</v>
      </c>
    </row>
    <row r="458" spans="1:60">
      <c r="A458" s="1007" t="s">
        <v>2237</v>
      </c>
      <c r="B458" s="1007" t="s">
        <v>61</v>
      </c>
      <c r="C458" s="1007" t="s">
        <v>1940</v>
      </c>
      <c r="D458" s="1007" t="s">
        <v>63</v>
      </c>
      <c r="E458" s="1007" t="s">
        <v>64</v>
      </c>
      <c r="F458" s="1007" t="s">
        <v>65</v>
      </c>
      <c r="G458" s="1007" t="s">
        <v>402</v>
      </c>
      <c r="H458" s="1007" t="s">
        <v>67</v>
      </c>
      <c r="I458" s="1007" t="s">
        <v>882</v>
      </c>
      <c r="J458" s="1007" t="s">
        <v>96</v>
      </c>
      <c r="M458" s="1007" t="s">
        <v>68</v>
      </c>
      <c r="N458" s="1007">
        <v>46111</v>
      </c>
      <c r="O458" s="1007" t="s">
        <v>70</v>
      </c>
      <c r="P458" s="1007" t="s">
        <v>91</v>
      </c>
      <c r="Q458" s="1007" t="s">
        <v>92</v>
      </c>
      <c r="R458" s="1007" t="s">
        <v>73</v>
      </c>
      <c r="S458" s="1007" t="s">
        <v>967</v>
      </c>
      <c r="T458" s="1007">
        <v>450</v>
      </c>
      <c r="U458" s="1007">
        <v>936</v>
      </c>
      <c r="V458" s="1007">
        <v>0.42120000000000002</v>
      </c>
      <c r="W458" s="1007">
        <v>26</v>
      </c>
      <c r="X458" s="1007">
        <v>1</v>
      </c>
      <c r="Y458" s="1007" t="s">
        <v>951</v>
      </c>
      <c r="Z458" s="1007" t="s">
        <v>75</v>
      </c>
      <c r="AA458" s="1007" t="s">
        <v>1991</v>
      </c>
      <c r="AB458" s="1008">
        <v>46129</v>
      </c>
      <c r="AC458" s="1007">
        <v>16</v>
      </c>
      <c r="AD458" s="1007" t="s">
        <v>2238</v>
      </c>
      <c r="AF458" s="1007" t="s">
        <v>1935</v>
      </c>
      <c r="AG458" s="1007" t="s">
        <v>61</v>
      </c>
      <c r="AH458" s="1007" t="s">
        <v>356</v>
      </c>
      <c r="AI458" s="1008">
        <v>46136</v>
      </c>
      <c r="AJ458" s="1008">
        <v>46136</v>
      </c>
      <c r="AK458" s="1008">
        <v>46136</v>
      </c>
      <c r="AL458" s="1008">
        <v>46192</v>
      </c>
      <c r="AM458" s="1008">
        <v>46196</v>
      </c>
      <c r="AN458" s="1008">
        <v>46198</v>
      </c>
      <c r="AO458" s="1007" t="s">
        <v>402</v>
      </c>
      <c r="AP458" s="1007" t="s">
        <v>2232</v>
      </c>
      <c r="AQ458" s="1007" t="s">
        <v>161</v>
      </c>
      <c r="AR458" s="1007" t="s">
        <v>2233</v>
      </c>
      <c r="AS458" s="1007" t="s">
        <v>2234</v>
      </c>
      <c r="AT458" s="1007" t="s">
        <v>2234</v>
      </c>
      <c r="AU458" s="1007">
        <v>62</v>
      </c>
      <c r="AW458" s="1008">
        <v>46198</v>
      </c>
      <c r="AX458" s="1007" t="s">
        <v>973</v>
      </c>
      <c r="AY458" s="1008">
        <v>46209</v>
      </c>
      <c r="AZ458" s="1007">
        <v>8</v>
      </c>
      <c r="BA458" s="1008">
        <v>46206</v>
      </c>
      <c r="BB458" s="1007">
        <v>2026</v>
      </c>
      <c r="BC458" s="1007">
        <v>7</v>
      </c>
      <c r="BD458" s="1007">
        <v>27</v>
      </c>
      <c r="BE458" s="1007">
        <v>36</v>
      </c>
      <c r="BF458" s="1007">
        <v>936</v>
      </c>
      <c r="BG458" s="1007" t="s">
        <v>94</v>
      </c>
      <c r="BH458" s="1007" t="s">
        <v>109</v>
      </c>
    </row>
    <row r="459" spans="1:60">
      <c r="A459" s="1007" t="s">
        <v>2239</v>
      </c>
      <c r="B459" s="1007" t="s">
        <v>61</v>
      </c>
      <c r="C459" s="1007" t="s">
        <v>1940</v>
      </c>
      <c r="D459" s="1007" t="s">
        <v>63</v>
      </c>
      <c r="E459" s="1007" t="s">
        <v>64</v>
      </c>
      <c r="F459" s="1007" t="s">
        <v>65</v>
      </c>
      <c r="G459" s="1007" t="s">
        <v>402</v>
      </c>
      <c r="H459" s="1007" t="s">
        <v>67</v>
      </c>
      <c r="I459" s="1007" t="s">
        <v>882</v>
      </c>
      <c r="J459" s="1007" t="s">
        <v>96</v>
      </c>
      <c r="M459" s="1007" t="s">
        <v>68</v>
      </c>
      <c r="N459" s="1007">
        <v>46111</v>
      </c>
      <c r="O459" s="1007" t="s">
        <v>70</v>
      </c>
      <c r="P459" s="1007" t="s">
        <v>91</v>
      </c>
      <c r="Q459" s="1007" t="s">
        <v>92</v>
      </c>
      <c r="R459" s="1007" t="s">
        <v>73</v>
      </c>
      <c r="S459" s="1007" t="s">
        <v>967</v>
      </c>
      <c r="T459" s="1007">
        <v>450</v>
      </c>
      <c r="U459" s="1007">
        <v>936</v>
      </c>
      <c r="V459" s="1007">
        <v>0.42120000000000002</v>
      </c>
      <c r="W459" s="1007">
        <v>26</v>
      </c>
      <c r="X459" s="1007">
        <v>1</v>
      </c>
      <c r="Y459" s="1007" t="s">
        <v>951</v>
      </c>
      <c r="Z459" s="1007" t="s">
        <v>75</v>
      </c>
      <c r="AA459" s="1007" t="s">
        <v>1991</v>
      </c>
      <c r="AB459" s="1008">
        <v>46129</v>
      </c>
      <c r="AC459" s="1007">
        <v>16</v>
      </c>
      <c r="AD459" s="1007" t="s">
        <v>2240</v>
      </c>
      <c r="AF459" s="1007" t="s">
        <v>1935</v>
      </c>
      <c r="AG459" s="1007" t="s">
        <v>61</v>
      </c>
      <c r="AH459" s="1007" t="s">
        <v>356</v>
      </c>
      <c r="AI459" s="1008">
        <v>46136</v>
      </c>
      <c r="AJ459" s="1008">
        <v>46136</v>
      </c>
      <c r="AK459" s="1008">
        <v>46136</v>
      </c>
      <c r="AL459" s="1008">
        <v>46192</v>
      </c>
      <c r="AM459" s="1008">
        <v>46196</v>
      </c>
      <c r="AN459" s="1008">
        <v>46198</v>
      </c>
      <c r="AO459" s="1007" t="s">
        <v>402</v>
      </c>
      <c r="AP459" s="1007" t="s">
        <v>2232</v>
      </c>
      <c r="AQ459" s="1007" t="s">
        <v>161</v>
      </c>
      <c r="AR459" s="1007" t="s">
        <v>2233</v>
      </c>
      <c r="AS459" s="1007" t="s">
        <v>2234</v>
      </c>
      <c r="AT459" s="1007" t="s">
        <v>2234</v>
      </c>
      <c r="AU459" s="1007">
        <v>62</v>
      </c>
      <c r="AW459" s="1008">
        <v>46198</v>
      </c>
      <c r="AX459" s="1007" t="s">
        <v>973</v>
      </c>
      <c r="AY459" s="1008">
        <v>46209</v>
      </c>
      <c r="AZ459" s="1007">
        <v>8</v>
      </c>
      <c r="BA459" s="1008">
        <v>46206</v>
      </c>
      <c r="BB459" s="1007">
        <v>2026</v>
      </c>
      <c r="BC459" s="1007">
        <v>7</v>
      </c>
      <c r="BD459" s="1007">
        <v>27</v>
      </c>
      <c r="BE459" s="1007">
        <v>36</v>
      </c>
      <c r="BF459" s="1007">
        <v>936</v>
      </c>
      <c r="BG459" s="1007" t="s">
        <v>94</v>
      </c>
      <c r="BH459" s="1007" t="s">
        <v>109</v>
      </c>
    </row>
    <row r="460" spans="1:60">
      <c r="A460" s="1007" t="s">
        <v>2241</v>
      </c>
      <c r="B460" s="1007" t="s">
        <v>61</v>
      </c>
      <c r="C460" s="1007" t="s">
        <v>1940</v>
      </c>
      <c r="D460" s="1007" t="s">
        <v>63</v>
      </c>
      <c r="E460" s="1007" t="s">
        <v>64</v>
      </c>
      <c r="F460" s="1007" t="s">
        <v>65</v>
      </c>
      <c r="G460" s="1007" t="s">
        <v>402</v>
      </c>
      <c r="H460" s="1007" t="s">
        <v>67</v>
      </c>
      <c r="I460" s="1007" t="s">
        <v>882</v>
      </c>
      <c r="J460" s="1007" t="s">
        <v>96</v>
      </c>
      <c r="M460" s="1007" t="s">
        <v>68</v>
      </c>
      <c r="N460" s="1007">
        <v>46111</v>
      </c>
      <c r="O460" s="1007" t="s">
        <v>70</v>
      </c>
      <c r="P460" s="1007" t="s">
        <v>91</v>
      </c>
      <c r="Q460" s="1007" t="s">
        <v>92</v>
      </c>
      <c r="R460" s="1007" t="s">
        <v>73</v>
      </c>
      <c r="S460" s="1007" t="s">
        <v>967</v>
      </c>
      <c r="T460" s="1007">
        <v>450</v>
      </c>
      <c r="U460" s="1007">
        <v>936</v>
      </c>
      <c r="V460" s="1007">
        <v>0.42120000000000002</v>
      </c>
      <c r="W460" s="1007">
        <v>26</v>
      </c>
      <c r="X460" s="1007">
        <v>1</v>
      </c>
      <c r="Y460" s="1007" t="s">
        <v>951</v>
      </c>
      <c r="Z460" s="1007" t="s">
        <v>75</v>
      </c>
      <c r="AA460" s="1007" t="s">
        <v>1991</v>
      </c>
      <c r="AB460" s="1008">
        <v>46129</v>
      </c>
      <c r="AC460" s="1007">
        <v>16</v>
      </c>
      <c r="AD460" s="1007" t="s">
        <v>2242</v>
      </c>
      <c r="AF460" s="1007" t="s">
        <v>1935</v>
      </c>
      <c r="AG460" s="1007" t="s">
        <v>61</v>
      </c>
      <c r="AH460" s="1007" t="s">
        <v>356</v>
      </c>
      <c r="AI460" s="1008">
        <v>46136</v>
      </c>
      <c r="AJ460" s="1008">
        <v>46136</v>
      </c>
      <c r="AK460" s="1008">
        <v>46136</v>
      </c>
      <c r="AL460" s="1008">
        <v>46192</v>
      </c>
      <c r="AM460" s="1008">
        <v>46196</v>
      </c>
      <c r="AN460" s="1008">
        <v>46198</v>
      </c>
      <c r="AO460" s="1007" t="s">
        <v>402</v>
      </c>
      <c r="AP460" s="1007" t="s">
        <v>2232</v>
      </c>
      <c r="AQ460" s="1007" t="s">
        <v>161</v>
      </c>
      <c r="AR460" s="1007" t="s">
        <v>2233</v>
      </c>
      <c r="AS460" s="1007" t="s">
        <v>2234</v>
      </c>
      <c r="AT460" s="1007" t="s">
        <v>2234</v>
      </c>
      <c r="AU460" s="1007">
        <v>62</v>
      </c>
      <c r="AW460" s="1008">
        <v>46198</v>
      </c>
      <c r="AX460" s="1007" t="s">
        <v>973</v>
      </c>
      <c r="AY460" s="1008">
        <v>46209</v>
      </c>
      <c r="AZ460" s="1007">
        <v>8</v>
      </c>
      <c r="BA460" s="1008">
        <v>46206</v>
      </c>
      <c r="BB460" s="1007">
        <v>2026</v>
      </c>
      <c r="BC460" s="1007">
        <v>7</v>
      </c>
      <c r="BD460" s="1007">
        <v>27</v>
      </c>
      <c r="BE460" s="1007">
        <v>36</v>
      </c>
      <c r="BF460" s="1007">
        <v>936</v>
      </c>
      <c r="BG460" s="1007" t="s">
        <v>94</v>
      </c>
      <c r="BH460" s="1007" t="s">
        <v>109</v>
      </c>
    </row>
    <row r="461" spans="1:60">
      <c r="A461" s="1007" t="s">
        <v>2243</v>
      </c>
      <c r="B461" s="1007" t="s">
        <v>61</v>
      </c>
      <c r="C461" s="1007" t="s">
        <v>1940</v>
      </c>
      <c r="D461" s="1007" t="s">
        <v>63</v>
      </c>
      <c r="E461" s="1007" t="s">
        <v>64</v>
      </c>
      <c r="F461" s="1007" t="s">
        <v>65</v>
      </c>
      <c r="G461" s="1007" t="s">
        <v>402</v>
      </c>
      <c r="H461" s="1007" t="s">
        <v>67</v>
      </c>
      <c r="I461" s="1007" t="s">
        <v>882</v>
      </c>
      <c r="J461" s="1007" t="s">
        <v>96</v>
      </c>
      <c r="M461" s="1007" t="s">
        <v>68</v>
      </c>
      <c r="N461" s="1007">
        <v>46111</v>
      </c>
      <c r="O461" s="1007" t="s">
        <v>70</v>
      </c>
      <c r="P461" s="1007" t="s">
        <v>91</v>
      </c>
      <c r="Q461" s="1007" t="s">
        <v>92</v>
      </c>
      <c r="R461" s="1007" t="s">
        <v>73</v>
      </c>
      <c r="S461" s="1007" t="s">
        <v>967</v>
      </c>
      <c r="T461" s="1007">
        <v>450</v>
      </c>
      <c r="U461" s="1007">
        <v>2808</v>
      </c>
      <c r="V461" s="1007">
        <v>1.2636000000000001</v>
      </c>
      <c r="W461" s="1007">
        <v>78</v>
      </c>
      <c r="X461" s="1007">
        <v>3</v>
      </c>
      <c r="Y461" s="1007" t="s">
        <v>951</v>
      </c>
      <c r="Z461" s="1007" t="s">
        <v>75</v>
      </c>
      <c r="AA461" s="1007" t="s">
        <v>1991</v>
      </c>
      <c r="AB461" s="1008">
        <v>46129</v>
      </c>
      <c r="AC461" s="1007">
        <v>16</v>
      </c>
      <c r="AD461" s="1007" t="s">
        <v>2244</v>
      </c>
      <c r="AF461" s="1007" t="s">
        <v>1935</v>
      </c>
      <c r="AG461" s="1007" t="s">
        <v>61</v>
      </c>
      <c r="AH461" s="1007" t="s">
        <v>356</v>
      </c>
      <c r="AI461" s="1008">
        <v>46136</v>
      </c>
      <c r="AJ461" s="1008">
        <v>46136</v>
      </c>
      <c r="AK461" s="1008">
        <v>46136</v>
      </c>
      <c r="AL461" s="1008">
        <v>46192</v>
      </c>
      <c r="AM461" s="1008">
        <v>46196</v>
      </c>
      <c r="AN461" s="1008">
        <v>46198</v>
      </c>
      <c r="AO461" s="1007" t="s">
        <v>402</v>
      </c>
      <c r="AP461" s="1007" t="s">
        <v>2232</v>
      </c>
      <c r="AQ461" s="1007" t="s">
        <v>161</v>
      </c>
      <c r="AR461" s="1007" t="s">
        <v>2233</v>
      </c>
      <c r="AS461" s="1007" t="s">
        <v>2234</v>
      </c>
      <c r="AT461" s="1007" t="s">
        <v>2234</v>
      </c>
      <c r="AU461" s="1007">
        <v>62</v>
      </c>
      <c r="AW461" s="1008">
        <v>46198</v>
      </c>
      <c r="AX461" s="1007" t="s">
        <v>973</v>
      </c>
      <c r="AY461" s="1008">
        <v>46209</v>
      </c>
      <c r="AZ461" s="1007">
        <v>8</v>
      </c>
      <c r="BA461" s="1008">
        <v>46206</v>
      </c>
      <c r="BB461" s="1007">
        <v>2026</v>
      </c>
      <c r="BC461" s="1007">
        <v>7</v>
      </c>
      <c r="BD461" s="1007">
        <v>27</v>
      </c>
      <c r="BE461" s="1007">
        <v>36</v>
      </c>
      <c r="BF461" s="1007">
        <v>936</v>
      </c>
      <c r="BG461" s="1007" t="s">
        <v>94</v>
      </c>
      <c r="BH461" s="1007" t="s">
        <v>109</v>
      </c>
    </row>
    <row r="462" spans="1:60">
      <c r="A462" s="1007" t="s">
        <v>2245</v>
      </c>
      <c r="B462" s="1007" t="s">
        <v>1888</v>
      </c>
      <c r="C462" s="1007" t="s">
        <v>1016</v>
      </c>
      <c r="D462" s="1007" t="s">
        <v>63</v>
      </c>
      <c r="E462" s="1007" t="s">
        <v>64</v>
      </c>
      <c r="F462" s="1007" t="s">
        <v>450</v>
      </c>
      <c r="G462" s="1007" t="s">
        <v>402</v>
      </c>
      <c r="H462" s="1007" t="s">
        <v>451</v>
      </c>
      <c r="I462" s="1007" t="s">
        <v>689</v>
      </c>
      <c r="J462" s="1007" t="s">
        <v>96</v>
      </c>
      <c r="M462" s="1007" t="s">
        <v>68</v>
      </c>
      <c r="N462" s="1007">
        <v>46111</v>
      </c>
      <c r="O462" s="1007" t="s">
        <v>70</v>
      </c>
      <c r="P462" s="1007" t="s">
        <v>195</v>
      </c>
      <c r="Q462" s="1007" t="s">
        <v>196</v>
      </c>
      <c r="R462" s="1007" t="s">
        <v>73</v>
      </c>
      <c r="S462" s="1007" t="s">
        <v>967</v>
      </c>
      <c r="T462" s="1007">
        <v>450</v>
      </c>
      <c r="U462" s="1007">
        <v>1872</v>
      </c>
      <c r="V462" s="1007">
        <v>0.84240000000000004</v>
      </c>
      <c r="W462" s="1007">
        <v>52</v>
      </c>
      <c r="X462" s="1007">
        <v>2</v>
      </c>
      <c r="Y462" s="1007" t="s">
        <v>951</v>
      </c>
      <c r="Z462" s="1007" t="s">
        <v>75</v>
      </c>
      <c r="AA462" s="1007" t="s">
        <v>2038</v>
      </c>
      <c r="AB462" s="1008">
        <v>46130</v>
      </c>
      <c r="AC462" s="1007">
        <v>16</v>
      </c>
      <c r="AD462" s="1007" t="s">
        <v>2246</v>
      </c>
      <c r="AF462" s="1007" t="s">
        <v>1891</v>
      </c>
      <c r="AG462" s="1007" t="s">
        <v>123</v>
      </c>
      <c r="AH462" s="1007" t="s">
        <v>456</v>
      </c>
      <c r="AI462" s="1008">
        <v>46132</v>
      </c>
      <c r="AJ462" s="1008">
        <v>46133</v>
      </c>
      <c r="AK462" s="1008">
        <v>46134</v>
      </c>
      <c r="AL462" s="1008">
        <v>46183</v>
      </c>
      <c r="AM462" s="1008">
        <v>46189</v>
      </c>
      <c r="AN462" s="1008">
        <v>46191</v>
      </c>
      <c r="AO462" s="1007" t="s">
        <v>402</v>
      </c>
      <c r="AP462" s="1007" t="s">
        <v>2247</v>
      </c>
      <c r="AQ462" s="1007" t="s">
        <v>161</v>
      </c>
      <c r="AR462" s="1007" t="s">
        <v>2248</v>
      </c>
      <c r="AS462" s="1007" t="s">
        <v>2249</v>
      </c>
      <c r="AT462" s="1007" t="s">
        <v>2250</v>
      </c>
      <c r="AU462" s="1007">
        <v>57</v>
      </c>
      <c r="AW462" s="1008">
        <v>46191</v>
      </c>
      <c r="AX462" s="1007" t="s">
        <v>973</v>
      </c>
      <c r="AY462" s="1008">
        <v>46203</v>
      </c>
      <c r="AZ462" s="1007">
        <v>7</v>
      </c>
      <c r="BA462" s="1008">
        <v>46198</v>
      </c>
      <c r="BB462" s="1007">
        <v>2026</v>
      </c>
      <c r="BC462" s="1007">
        <v>6</v>
      </c>
      <c r="BD462" s="1007">
        <v>26</v>
      </c>
      <c r="BE462" s="1007">
        <v>36</v>
      </c>
      <c r="BF462" s="1007">
        <v>936</v>
      </c>
      <c r="BG462" s="1007" t="s">
        <v>85</v>
      </c>
      <c r="BH462" s="1007" t="s">
        <v>109</v>
      </c>
    </row>
    <row r="463" spans="1:60">
      <c r="A463" s="1007" t="s">
        <v>2251</v>
      </c>
      <c r="B463" s="1007" t="s">
        <v>1888</v>
      </c>
      <c r="C463" s="1007" t="s">
        <v>1016</v>
      </c>
      <c r="D463" s="1007" t="s">
        <v>63</v>
      </c>
      <c r="E463" s="1007" t="s">
        <v>144</v>
      </c>
      <c r="F463" s="1007" t="s">
        <v>145</v>
      </c>
      <c r="G463" s="1007" t="s">
        <v>402</v>
      </c>
      <c r="H463" s="1007" t="s">
        <v>1080</v>
      </c>
      <c r="I463" s="1007" t="s">
        <v>689</v>
      </c>
      <c r="J463" s="1007" t="s">
        <v>2252</v>
      </c>
      <c r="K463" s="1007" t="s">
        <v>2253</v>
      </c>
      <c r="L463" s="1007">
        <v>1</v>
      </c>
      <c r="M463" s="1007" t="s">
        <v>840</v>
      </c>
      <c r="N463" s="1007">
        <v>46111</v>
      </c>
      <c r="O463" s="1007" t="s">
        <v>70</v>
      </c>
      <c r="P463" s="1007" t="s">
        <v>195</v>
      </c>
      <c r="Q463" s="1007" t="s">
        <v>196</v>
      </c>
      <c r="R463" s="1007" t="s">
        <v>73</v>
      </c>
      <c r="S463" s="1007" t="s">
        <v>967</v>
      </c>
      <c r="T463" s="1007">
        <v>450</v>
      </c>
      <c r="U463" s="1007">
        <v>1872</v>
      </c>
      <c r="V463" s="1007">
        <v>0.84240000000000004</v>
      </c>
      <c r="W463" s="1007">
        <v>52</v>
      </c>
      <c r="X463" s="1007">
        <v>2</v>
      </c>
      <c r="Y463" s="1007" t="s">
        <v>951</v>
      </c>
      <c r="Z463" s="1007" t="s">
        <v>75</v>
      </c>
      <c r="AA463" s="1007" t="s">
        <v>2038</v>
      </c>
      <c r="AB463" s="1008">
        <v>46132</v>
      </c>
      <c r="AC463" s="1007">
        <v>17</v>
      </c>
      <c r="AD463" s="1007" t="s">
        <v>2254</v>
      </c>
      <c r="AF463" s="1007" t="s">
        <v>1891</v>
      </c>
      <c r="AG463" s="1007" t="s">
        <v>123</v>
      </c>
      <c r="AH463" s="1007" t="s">
        <v>1084</v>
      </c>
      <c r="AI463" s="1008">
        <v>46137</v>
      </c>
      <c r="AJ463" s="1008">
        <v>46137</v>
      </c>
      <c r="AK463" s="1008">
        <v>46138</v>
      </c>
      <c r="AL463" s="1008">
        <v>46182</v>
      </c>
      <c r="AM463" s="1008">
        <v>46182</v>
      </c>
      <c r="AN463" s="1008">
        <v>46193</v>
      </c>
      <c r="AO463" s="1007" t="s">
        <v>402</v>
      </c>
      <c r="AP463" s="1007" t="s">
        <v>2255</v>
      </c>
      <c r="AQ463" s="1007" t="s">
        <v>161</v>
      </c>
      <c r="AR463" s="1007" t="s">
        <v>2256</v>
      </c>
      <c r="AS463" s="1007" t="s">
        <v>2257</v>
      </c>
      <c r="AT463" s="1007" t="s">
        <v>2258</v>
      </c>
      <c r="AU463" s="1007">
        <v>55</v>
      </c>
      <c r="AW463" s="1008">
        <v>46193</v>
      </c>
      <c r="AX463" s="1007" t="s">
        <v>973</v>
      </c>
      <c r="AY463" s="1008">
        <v>46177</v>
      </c>
      <c r="AZ463" s="1007">
        <v>0</v>
      </c>
      <c r="BA463" s="1008">
        <v>46193</v>
      </c>
      <c r="BB463" s="1007">
        <v>2026</v>
      </c>
      <c r="BC463" s="1007">
        <v>6</v>
      </c>
      <c r="BD463" s="1007">
        <v>25</v>
      </c>
      <c r="BE463" s="1007">
        <v>36</v>
      </c>
      <c r="BF463" s="1007">
        <v>936</v>
      </c>
      <c r="BG463" s="1007" t="s">
        <v>85</v>
      </c>
      <c r="BH463" s="1007" t="s">
        <v>109</v>
      </c>
    </row>
    <row r="464" spans="1:60">
      <c r="A464" s="1007" t="s">
        <v>2259</v>
      </c>
      <c r="B464" s="1007" t="s">
        <v>61</v>
      </c>
      <c r="C464" s="1007" t="s">
        <v>2260</v>
      </c>
      <c r="D464" s="1007" t="s">
        <v>63</v>
      </c>
      <c r="E464" s="1007" t="s">
        <v>64</v>
      </c>
      <c r="F464" s="1007" t="s">
        <v>450</v>
      </c>
      <c r="G464" s="1007" t="s">
        <v>402</v>
      </c>
      <c r="H464" s="1007" t="s">
        <v>451</v>
      </c>
      <c r="I464" s="1007" t="s">
        <v>869</v>
      </c>
      <c r="J464" s="1007" t="s">
        <v>1832</v>
      </c>
      <c r="M464" s="1007" t="s">
        <v>68</v>
      </c>
      <c r="N464" s="1007" t="s">
        <v>68</v>
      </c>
      <c r="O464" s="1007" t="s">
        <v>70</v>
      </c>
      <c r="P464" s="1007" t="s">
        <v>1151</v>
      </c>
      <c r="Q464" s="1007" t="s">
        <v>421</v>
      </c>
      <c r="R464" s="1007" t="s">
        <v>73</v>
      </c>
      <c r="S464" s="1007" t="s">
        <v>967</v>
      </c>
      <c r="T464" s="1007">
        <v>505</v>
      </c>
      <c r="U464" s="1007">
        <v>4320</v>
      </c>
      <c r="V464" s="1007">
        <v>2.1816</v>
      </c>
      <c r="W464" s="1007">
        <v>120</v>
      </c>
      <c r="X464" s="1007">
        <v>5</v>
      </c>
      <c r="Y464" s="1007" t="s">
        <v>951</v>
      </c>
      <c r="Z464" s="1007" t="s">
        <v>75</v>
      </c>
      <c r="AA464" s="1007" t="s">
        <v>2261</v>
      </c>
      <c r="AB464" s="1008">
        <v>46130</v>
      </c>
      <c r="AC464" s="1007">
        <v>16</v>
      </c>
      <c r="AD464" s="1007" t="s">
        <v>2262</v>
      </c>
      <c r="AF464" s="1007" t="s">
        <v>61</v>
      </c>
      <c r="AG464" s="1007" t="s">
        <v>61</v>
      </c>
      <c r="AH464" s="1007" t="s">
        <v>456</v>
      </c>
      <c r="AI464" s="1008">
        <v>46137</v>
      </c>
      <c r="AJ464" s="1008">
        <v>46137</v>
      </c>
      <c r="AK464" s="1008">
        <v>46137</v>
      </c>
      <c r="AL464" s="1008">
        <v>46187</v>
      </c>
      <c r="AM464" s="1008">
        <v>46193</v>
      </c>
      <c r="AN464" s="1008">
        <v>46195</v>
      </c>
      <c r="AO464" s="1007" t="s">
        <v>402</v>
      </c>
      <c r="AP464" s="1007" t="s">
        <v>2263</v>
      </c>
      <c r="AQ464" s="1007" t="s">
        <v>161</v>
      </c>
      <c r="AR464" s="1007" t="s">
        <v>2264</v>
      </c>
      <c r="AS464" s="1007" t="s">
        <v>2265</v>
      </c>
      <c r="AT464" s="1007" t="s">
        <v>2266</v>
      </c>
      <c r="AU464" s="1007">
        <v>58</v>
      </c>
      <c r="AW464" s="1008">
        <v>46195</v>
      </c>
      <c r="AX464" s="1007" t="s">
        <v>973</v>
      </c>
      <c r="AY464" s="1008">
        <v>46205</v>
      </c>
      <c r="AZ464" s="1007">
        <v>7</v>
      </c>
      <c r="BA464" s="1008">
        <v>46202</v>
      </c>
      <c r="BB464" s="1007">
        <v>2026</v>
      </c>
      <c r="BC464" s="1007">
        <v>6</v>
      </c>
      <c r="BD464" s="1007">
        <v>27</v>
      </c>
      <c r="BE464" s="1007">
        <v>36</v>
      </c>
      <c r="BF464" s="1007">
        <v>864</v>
      </c>
      <c r="BG464" s="1007" t="s">
        <v>85</v>
      </c>
      <c r="BH464" s="1007" t="s">
        <v>109</v>
      </c>
    </row>
    <row r="465" spans="1:60">
      <c r="A465" s="1007" t="s">
        <v>2267</v>
      </c>
      <c r="B465" s="1007" t="s">
        <v>61</v>
      </c>
      <c r="C465" s="1007" t="s">
        <v>2268</v>
      </c>
      <c r="D465" s="1007" t="s">
        <v>63</v>
      </c>
      <c r="E465" s="1007" t="s">
        <v>64</v>
      </c>
      <c r="F465" s="1007" t="s">
        <v>100</v>
      </c>
      <c r="G465" s="1007" t="s">
        <v>402</v>
      </c>
      <c r="H465" s="1007" t="s">
        <v>67</v>
      </c>
      <c r="I465" s="1007" t="s">
        <v>1395</v>
      </c>
      <c r="J465" s="1007" t="s">
        <v>578</v>
      </c>
      <c r="M465" s="1007" t="s">
        <v>68</v>
      </c>
      <c r="N465" s="1007" t="s">
        <v>68</v>
      </c>
      <c r="O465" s="1007" t="s">
        <v>70</v>
      </c>
      <c r="P465" s="1007" t="s">
        <v>71</v>
      </c>
      <c r="Q465" s="1007" t="s">
        <v>72</v>
      </c>
      <c r="R465" s="1007" t="s">
        <v>73</v>
      </c>
      <c r="S465" s="1007" t="s">
        <v>967</v>
      </c>
      <c r="T465" s="1007">
        <v>500</v>
      </c>
      <c r="U465" s="1007">
        <v>5184</v>
      </c>
      <c r="V465" s="1007">
        <v>2.5920000000000001</v>
      </c>
      <c r="W465" s="1007">
        <v>144</v>
      </c>
      <c r="X465" s="1007">
        <v>6</v>
      </c>
      <c r="Y465" s="1007" t="s">
        <v>951</v>
      </c>
      <c r="Z465" s="1007" t="s">
        <v>75</v>
      </c>
      <c r="AA465" s="1007" t="s">
        <v>2269</v>
      </c>
      <c r="AB465" s="1008">
        <v>46133</v>
      </c>
      <c r="AC465" s="1007">
        <v>17</v>
      </c>
      <c r="AD465" s="1007" t="s">
        <v>2270</v>
      </c>
      <c r="AF465" s="1007" t="s">
        <v>77</v>
      </c>
      <c r="AG465" s="1007" t="s">
        <v>61</v>
      </c>
      <c r="AH465" s="1007" t="s">
        <v>105</v>
      </c>
      <c r="AI465" s="1008">
        <v>46138</v>
      </c>
      <c r="AJ465" s="1008">
        <v>46138</v>
      </c>
      <c r="AK465" s="1008">
        <v>46138</v>
      </c>
      <c r="AL465" s="1008">
        <v>46186</v>
      </c>
      <c r="AM465" s="1008">
        <v>46186</v>
      </c>
      <c r="AN465" s="1008">
        <v>46189</v>
      </c>
      <c r="AO465" s="1007" t="s">
        <v>402</v>
      </c>
      <c r="AP465" s="1007" t="s">
        <v>2271</v>
      </c>
      <c r="AQ465" s="1007" t="s">
        <v>161</v>
      </c>
      <c r="AR465" s="1007" t="s">
        <v>2272</v>
      </c>
      <c r="AS465" s="1007" t="s">
        <v>2273</v>
      </c>
      <c r="AT465" s="1007" t="s">
        <v>2273</v>
      </c>
      <c r="AU465" s="1007">
        <v>51</v>
      </c>
      <c r="AW465" s="1008">
        <v>46189</v>
      </c>
      <c r="AX465" s="1007" t="s">
        <v>973</v>
      </c>
      <c r="AY465" s="1008">
        <v>46201</v>
      </c>
      <c r="AZ465" s="1007">
        <v>7</v>
      </c>
      <c r="BA465" s="1008">
        <v>46196</v>
      </c>
      <c r="BB465" s="1007">
        <v>2026</v>
      </c>
      <c r="BC465" s="1007">
        <v>6</v>
      </c>
      <c r="BD465" s="1007">
        <v>26</v>
      </c>
      <c r="BE465" s="1007">
        <v>36</v>
      </c>
      <c r="BF465" s="1007">
        <v>864</v>
      </c>
      <c r="BG465" s="1007" t="s">
        <v>85</v>
      </c>
      <c r="BH465" s="1007" t="s">
        <v>109</v>
      </c>
    </row>
    <row r="466" spans="1:60">
      <c r="A466" s="1007" t="s">
        <v>2274</v>
      </c>
      <c r="B466" s="1007" t="s">
        <v>61</v>
      </c>
      <c r="C466" s="1007" t="s">
        <v>2260</v>
      </c>
      <c r="D466" s="1007" t="s">
        <v>63</v>
      </c>
      <c r="E466" s="1007" t="s">
        <v>64</v>
      </c>
      <c r="F466" s="1007" t="s">
        <v>100</v>
      </c>
      <c r="G466" s="1007" t="s">
        <v>402</v>
      </c>
      <c r="H466" s="1007" t="s">
        <v>67</v>
      </c>
      <c r="I466" s="1007" t="s">
        <v>882</v>
      </c>
      <c r="J466" s="1007" t="s">
        <v>96</v>
      </c>
      <c r="M466" s="1007" t="s">
        <v>68</v>
      </c>
      <c r="N466" s="1007" t="s">
        <v>68</v>
      </c>
      <c r="O466" s="1007" t="s">
        <v>70</v>
      </c>
      <c r="P466" s="1007" t="s">
        <v>1151</v>
      </c>
      <c r="Q466" s="1007" t="s">
        <v>421</v>
      </c>
      <c r="R466" s="1007" t="s">
        <v>73</v>
      </c>
      <c r="S466" s="1007" t="s">
        <v>967</v>
      </c>
      <c r="T466" s="1007">
        <v>505</v>
      </c>
      <c r="U466" s="1007">
        <v>4320</v>
      </c>
      <c r="V466" s="1007">
        <v>2.1816</v>
      </c>
      <c r="W466" s="1007">
        <v>120</v>
      </c>
      <c r="X466" s="1007">
        <v>5</v>
      </c>
      <c r="Y466" s="1007" t="s">
        <v>951</v>
      </c>
      <c r="Z466" s="1007" t="s">
        <v>75</v>
      </c>
      <c r="AA466" s="1007" t="s">
        <v>2275</v>
      </c>
      <c r="AB466" s="1008">
        <v>46133</v>
      </c>
      <c r="AC466" s="1007">
        <v>17</v>
      </c>
      <c r="AD466" s="1007" t="s">
        <v>2276</v>
      </c>
      <c r="AF466" s="1007" t="s">
        <v>61</v>
      </c>
      <c r="AG466" s="1007" t="s">
        <v>61</v>
      </c>
      <c r="AH466" s="1007" t="s">
        <v>105</v>
      </c>
      <c r="AI466" s="1008">
        <v>46138</v>
      </c>
      <c r="AJ466" s="1008">
        <v>46138</v>
      </c>
      <c r="AK466" s="1008">
        <v>46138</v>
      </c>
      <c r="AL466" s="1008">
        <v>46182</v>
      </c>
      <c r="AM466" s="1008">
        <v>46185</v>
      </c>
      <c r="AN466" s="1008">
        <v>46189</v>
      </c>
      <c r="AO466" s="1007" t="s">
        <v>402</v>
      </c>
      <c r="AP466" s="1007" t="s">
        <v>2227</v>
      </c>
      <c r="AQ466" s="1007" t="s">
        <v>80</v>
      </c>
      <c r="AR466" s="1007" t="s">
        <v>2277</v>
      </c>
      <c r="AS466" s="1007" t="s">
        <v>2278</v>
      </c>
      <c r="AT466" s="1007" t="s">
        <v>2278</v>
      </c>
      <c r="AU466" s="1007">
        <v>51</v>
      </c>
      <c r="AW466" s="1008">
        <v>46189</v>
      </c>
      <c r="AX466" s="1007" t="s">
        <v>973</v>
      </c>
      <c r="AY466" s="1008">
        <v>46202</v>
      </c>
      <c r="AZ466" s="1007">
        <v>7</v>
      </c>
      <c r="BA466" s="1008">
        <v>46196</v>
      </c>
      <c r="BB466" s="1007">
        <v>2026</v>
      </c>
      <c r="BC466" s="1007">
        <v>6</v>
      </c>
      <c r="BD466" s="1007">
        <v>26</v>
      </c>
      <c r="BE466" s="1007">
        <v>36</v>
      </c>
      <c r="BF466" s="1007">
        <v>864</v>
      </c>
      <c r="BG466" s="1007" t="s">
        <v>85</v>
      </c>
      <c r="BH466" s="1007" t="s">
        <v>109</v>
      </c>
    </row>
    <row r="467" spans="1:60">
      <c r="A467" s="1007" t="s">
        <v>2279</v>
      </c>
      <c r="B467" s="1007" t="s">
        <v>61</v>
      </c>
      <c r="C467" s="1007" t="s">
        <v>2260</v>
      </c>
      <c r="D467" s="1007" t="s">
        <v>63</v>
      </c>
      <c r="E467" s="1007" t="s">
        <v>64</v>
      </c>
      <c r="F467" s="1007" t="s">
        <v>100</v>
      </c>
      <c r="G467" s="1007" t="s">
        <v>402</v>
      </c>
      <c r="H467" s="1007" t="s">
        <v>67</v>
      </c>
      <c r="I467" s="1007" t="s">
        <v>882</v>
      </c>
      <c r="J467" s="1007" t="s">
        <v>96</v>
      </c>
      <c r="M467" s="1007" t="s">
        <v>68</v>
      </c>
      <c r="N467" s="1007" t="s">
        <v>68</v>
      </c>
      <c r="O467" s="1007" t="s">
        <v>70</v>
      </c>
      <c r="P467" s="1007" t="s">
        <v>1151</v>
      </c>
      <c r="Q467" s="1007" t="s">
        <v>421</v>
      </c>
      <c r="R467" s="1007" t="s">
        <v>73</v>
      </c>
      <c r="S467" s="1007" t="s">
        <v>967</v>
      </c>
      <c r="T467" s="1007">
        <v>505</v>
      </c>
      <c r="U467" s="1007">
        <v>5184</v>
      </c>
      <c r="V467" s="1007">
        <v>2.6179199999999998</v>
      </c>
      <c r="W467" s="1007">
        <v>144</v>
      </c>
      <c r="X467" s="1007">
        <v>6</v>
      </c>
      <c r="Y467" s="1007" t="s">
        <v>951</v>
      </c>
      <c r="Z467" s="1007" t="s">
        <v>75</v>
      </c>
      <c r="AA467" s="1007" t="s">
        <v>2183</v>
      </c>
      <c r="AB467" s="1008">
        <v>46135</v>
      </c>
      <c r="AC467" s="1007">
        <v>17</v>
      </c>
      <c r="AD467" s="1007" t="s">
        <v>2280</v>
      </c>
      <c r="AF467" s="1007" t="s">
        <v>61</v>
      </c>
      <c r="AG467" s="1007" t="s">
        <v>61</v>
      </c>
      <c r="AH467" s="1007" t="s">
        <v>105</v>
      </c>
      <c r="AI467" s="1008">
        <v>46139</v>
      </c>
      <c r="AJ467" s="1008">
        <v>46141</v>
      </c>
      <c r="AK467" s="1008">
        <v>46140</v>
      </c>
      <c r="AL467" s="1008">
        <v>46207</v>
      </c>
      <c r="AM467" s="1008">
        <v>46200</v>
      </c>
      <c r="AN467" s="1008">
        <v>46200</v>
      </c>
      <c r="AO467" s="1007" t="s">
        <v>402</v>
      </c>
      <c r="AP467" s="1007" t="s">
        <v>2281</v>
      </c>
      <c r="AQ467" s="1007" t="s">
        <v>161</v>
      </c>
      <c r="AR467" s="1007" t="s">
        <v>2282</v>
      </c>
      <c r="AS467" s="1007" t="s">
        <v>2283</v>
      </c>
      <c r="AT467" s="1007" t="s">
        <v>2284</v>
      </c>
      <c r="AU467" s="1007">
        <v>60</v>
      </c>
      <c r="AW467" s="1008">
        <v>46200</v>
      </c>
      <c r="AX467" s="1007" t="s">
        <v>973</v>
      </c>
      <c r="AY467" s="1008">
        <v>46212</v>
      </c>
      <c r="AZ467" s="1007">
        <v>7</v>
      </c>
      <c r="BA467" s="1008">
        <v>46207</v>
      </c>
      <c r="BB467" s="1007">
        <v>2026</v>
      </c>
      <c r="BC467" s="1007">
        <v>7</v>
      </c>
      <c r="BD467" s="1007">
        <v>27</v>
      </c>
      <c r="BE467" s="1007">
        <v>36</v>
      </c>
      <c r="BF467" s="1007">
        <v>864</v>
      </c>
      <c r="BG467" s="1007" t="s">
        <v>85</v>
      </c>
      <c r="BH467" s="1007" t="s">
        <v>109</v>
      </c>
    </row>
    <row r="468" spans="1:60">
      <c r="A468" s="1007" t="s">
        <v>2285</v>
      </c>
      <c r="B468" s="1007" t="s">
        <v>61</v>
      </c>
      <c r="C468" s="1007" t="s">
        <v>2286</v>
      </c>
      <c r="D468" s="1007" t="s">
        <v>63</v>
      </c>
      <c r="E468" s="1007" t="s">
        <v>144</v>
      </c>
      <c r="F468" s="1007" t="s">
        <v>145</v>
      </c>
      <c r="G468" s="1007" t="s">
        <v>402</v>
      </c>
      <c r="H468" s="1007" t="s">
        <v>67</v>
      </c>
      <c r="I468" s="1007" t="s">
        <v>689</v>
      </c>
      <c r="J468" s="1007" t="s">
        <v>2287</v>
      </c>
      <c r="K468" s="1007" t="s">
        <v>2288</v>
      </c>
      <c r="M468" s="1007" t="s">
        <v>840</v>
      </c>
      <c r="N468" s="1007">
        <v>46125</v>
      </c>
      <c r="O468" s="1007" t="s">
        <v>70</v>
      </c>
      <c r="P468" s="1007" t="s">
        <v>195</v>
      </c>
      <c r="Q468" s="1007" t="s">
        <v>196</v>
      </c>
      <c r="R468" s="1007" t="s">
        <v>73</v>
      </c>
      <c r="S468" s="1007" t="s">
        <v>967</v>
      </c>
      <c r="T468" s="1007">
        <v>450</v>
      </c>
      <c r="U468" s="1007">
        <v>2808</v>
      </c>
      <c r="V468" s="1007">
        <v>1.2636000000000001</v>
      </c>
      <c r="W468" s="1007">
        <v>78</v>
      </c>
      <c r="X468" s="1007">
        <v>3</v>
      </c>
      <c r="Y468" s="1007" t="s">
        <v>951</v>
      </c>
      <c r="Z468" s="1007" t="s">
        <v>75</v>
      </c>
      <c r="AB468" s="1008">
        <v>46135</v>
      </c>
      <c r="AC468" s="1007">
        <v>17</v>
      </c>
      <c r="AD468" s="1007" t="s">
        <v>2289</v>
      </c>
      <c r="AF468" s="1007" t="s">
        <v>77</v>
      </c>
      <c r="AG468" s="1007" t="s">
        <v>61</v>
      </c>
      <c r="AH468" s="1007" t="s">
        <v>105</v>
      </c>
      <c r="AI468" s="1008">
        <v>46139</v>
      </c>
      <c r="AJ468" s="1008">
        <v>46141</v>
      </c>
      <c r="AK468" s="1008">
        <v>46140</v>
      </c>
      <c r="AL468" s="1008">
        <v>46207</v>
      </c>
      <c r="AM468" s="1008">
        <v>46200</v>
      </c>
      <c r="AN468" s="1008">
        <v>46200</v>
      </c>
      <c r="AO468" s="1007" t="s">
        <v>402</v>
      </c>
      <c r="AP468" s="1007" t="s">
        <v>2281</v>
      </c>
      <c r="AQ468" s="1007" t="s">
        <v>161</v>
      </c>
      <c r="AR468" s="1007" t="s">
        <v>2290</v>
      </c>
      <c r="AS468" s="1007" t="s">
        <v>2291</v>
      </c>
      <c r="AT468" s="1007" t="s">
        <v>2292</v>
      </c>
      <c r="AU468" s="1007">
        <v>60</v>
      </c>
      <c r="AW468" s="1008">
        <v>46200</v>
      </c>
      <c r="AX468" s="1007" t="s">
        <v>973</v>
      </c>
      <c r="AY468" s="1008">
        <v>46212</v>
      </c>
      <c r="AZ468" s="1007">
        <v>0</v>
      </c>
      <c r="BA468" s="1008">
        <v>46200</v>
      </c>
      <c r="BB468" s="1007">
        <v>2026</v>
      </c>
      <c r="BC468" s="1007">
        <v>6</v>
      </c>
      <c r="BD468" s="1007">
        <v>26</v>
      </c>
      <c r="BE468" s="1007">
        <v>36</v>
      </c>
      <c r="BF468" s="1007">
        <v>936</v>
      </c>
      <c r="BG468" s="1007" t="s">
        <v>85</v>
      </c>
      <c r="BH468" s="1007" t="s">
        <v>109</v>
      </c>
    </row>
    <row r="469" spans="1:60">
      <c r="A469" s="1007" t="s">
        <v>2293</v>
      </c>
      <c r="B469" s="1007" t="s">
        <v>61</v>
      </c>
      <c r="C469" s="1007" t="s">
        <v>2286</v>
      </c>
      <c r="D469" s="1007" t="s">
        <v>63</v>
      </c>
      <c r="E469" s="1007" t="s">
        <v>64</v>
      </c>
      <c r="F469" s="1007" t="s">
        <v>100</v>
      </c>
      <c r="G469" s="1007" t="s">
        <v>402</v>
      </c>
      <c r="H469" s="1007" t="s">
        <v>67</v>
      </c>
      <c r="I469" s="1007" t="s">
        <v>689</v>
      </c>
      <c r="J469" s="1007" t="s">
        <v>96</v>
      </c>
      <c r="M469" s="1007" t="s">
        <v>68</v>
      </c>
      <c r="N469" s="1007">
        <v>46125</v>
      </c>
      <c r="O469" s="1007" t="s">
        <v>70</v>
      </c>
      <c r="P469" s="1007" t="s">
        <v>195</v>
      </c>
      <c r="Q469" s="1007" t="s">
        <v>196</v>
      </c>
      <c r="R469" s="1007" t="s">
        <v>73</v>
      </c>
      <c r="S469" s="1007" t="s">
        <v>967</v>
      </c>
      <c r="T469" s="1007">
        <v>450</v>
      </c>
      <c r="U469" s="1007">
        <v>11232</v>
      </c>
      <c r="V469" s="1007">
        <v>5.0544000000000002</v>
      </c>
      <c r="W469" s="1007">
        <v>312</v>
      </c>
      <c r="X469" s="1007">
        <v>12</v>
      </c>
      <c r="Y469" s="1007" t="s">
        <v>951</v>
      </c>
      <c r="Z469" s="1007" t="s">
        <v>75</v>
      </c>
      <c r="AB469" s="1008">
        <v>46135</v>
      </c>
      <c r="AC469" s="1007">
        <v>17</v>
      </c>
      <c r="AD469" s="1007" t="s">
        <v>2294</v>
      </c>
      <c r="AF469" s="1007" t="s">
        <v>77</v>
      </c>
      <c r="AG469" s="1007" t="s">
        <v>61</v>
      </c>
      <c r="AH469" s="1007" t="s">
        <v>105</v>
      </c>
      <c r="AI469" s="1008">
        <v>46139</v>
      </c>
      <c r="AJ469" s="1008">
        <v>46141</v>
      </c>
      <c r="AK469" s="1008">
        <v>46140</v>
      </c>
      <c r="AL469" s="1008">
        <v>46207</v>
      </c>
      <c r="AM469" s="1008">
        <v>46200</v>
      </c>
      <c r="AN469" s="1008">
        <v>46200</v>
      </c>
      <c r="AO469" s="1007" t="s">
        <v>402</v>
      </c>
      <c r="AP469" s="1007" t="s">
        <v>2281</v>
      </c>
      <c r="AQ469" s="1007" t="s">
        <v>161</v>
      </c>
      <c r="AR469" s="1007" t="s">
        <v>2290</v>
      </c>
      <c r="AS469" s="1007" t="s">
        <v>2295</v>
      </c>
      <c r="AT469" s="1007" t="s">
        <v>2292</v>
      </c>
      <c r="AU469" s="1007">
        <v>60</v>
      </c>
      <c r="AW469" s="1008">
        <v>46200</v>
      </c>
      <c r="AX469" s="1007" t="s">
        <v>973</v>
      </c>
      <c r="AY469" s="1008">
        <v>46212</v>
      </c>
      <c r="AZ469" s="1007">
        <v>7</v>
      </c>
      <c r="BA469" s="1008">
        <v>46207</v>
      </c>
      <c r="BB469" s="1007">
        <v>2026</v>
      </c>
      <c r="BC469" s="1007">
        <v>7</v>
      </c>
      <c r="BD469" s="1007">
        <v>27</v>
      </c>
      <c r="BE469" s="1007">
        <v>36</v>
      </c>
      <c r="BF469" s="1007">
        <v>936</v>
      </c>
      <c r="BG469" s="1007" t="s">
        <v>85</v>
      </c>
      <c r="BH469" s="1007" t="s">
        <v>109</v>
      </c>
    </row>
    <row r="470" spans="1:60">
      <c r="A470" s="1007" t="s">
        <v>2296</v>
      </c>
      <c r="B470" s="1007" t="s">
        <v>111</v>
      </c>
      <c r="C470" s="1007" t="s">
        <v>2297</v>
      </c>
      <c r="D470" s="1007" t="s">
        <v>113</v>
      </c>
      <c r="E470" s="1007" t="s">
        <v>64</v>
      </c>
      <c r="F470" s="1007">
        <v>0</v>
      </c>
      <c r="G470" s="1007" t="s">
        <v>402</v>
      </c>
      <c r="H470" s="1007" t="s">
        <v>451</v>
      </c>
      <c r="I470" s="1007" t="s">
        <v>822</v>
      </c>
      <c r="J470" s="1007" t="s">
        <v>2298</v>
      </c>
      <c r="M470" s="1007" t="s">
        <v>68</v>
      </c>
      <c r="N470" s="1007">
        <v>46132</v>
      </c>
      <c r="O470" s="1007" t="s">
        <v>70</v>
      </c>
      <c r="P470" s="1007" t="s">
        <v>2299</v>
      </c>
      <c r="Q470" s="1007" t="s">
        <v>1682</v>
      </c>
      <c r="R470" s="1007" t="s">
        <v>73</v>
      </c>
      <c r="S470" s="1007" t="s">
        <v>1808</v>
      </c>
      <c r="T470" s="1007">
        <v>730</v>
      </c>
      <c r="U470" s="1007">
        <v>4752</v>
      </c>
      <c r="V470" s="1007">
        <v>3.46896</v>
      </c>
      <c r="W470" s="1007">
        <v>144</v>
      </c>
      <c r="X470" s="1007">
        <v>8</v>
      </c>
      <c r="Y470" s="1007" t="s">
        <v>951</v>
      </c>
      <c r="Z470" s="1007" t="s">
        <v>75</v>
      </c>
      <c r="AA470" s="1007" t="s">
        <v>2269</v>
      </c>
      <c r="AB470" s="1008">
        <v>46138</v>
      </c>
      <c r="AC470" s="1007">
        <v>17</v>
      </c>
      <c r="AD470" s="1007" t="s">
        <v>2300</v>
      </c>
      <c r="AF470" s="1007" t="s">
        <v>122</v>
      </c>
      <c r="AG470" s="1007" t="s">
        <v>123</v>
      </c>
      <c r="AH470" s="1007" t="s">
        <v>2301</v>
      </c>
      <c r="AI470" s="1008">
        <v>46144</v>
      </c>
      <c r="AJ470" s="1008">
        <v>46144</v>
      </c>
      <c r="AK470" s="1008">
        <v>46144</v>
      </c>
      <c r="AL470" s="1008">
        <v>46197</v>
      </c>
      <c r="AM470" s="1008">
        <v>46214</v>
      </c>
      <c r="AN470" s="1008">
        <v>46213</v>
      </c>
      <c r="AO470" s="1007" t="s">
        <v>402</v>
      </c>
      <c r="AP470" s="1007" t="s">
        <v>2302</v>
      </c>
      <c r="AQ470" s="1007" t="s">
        <v>161</v>
      </c>
      <c r="AR470" s="1007" t="s">
        <v>2303</v>
      </c>
      <c r="AS470" s="1007" t="s">
        <v>2304</v>
      </c>
      <c r="AT470" s="1007" t="s">
        <v>2305</v>
      </c>
      <c r="AU470" s="1007">
        <v>69</v>
      </c>
      <c r="AW470" s="1008">
        <v>46213</v>
      </c>
      <c r="AX470" s="1007" t="s">
        <v>973</v>
      </c>
      <c r="AY470" s="1008">
        <v>46230</v>
      </c>
      <c r="AZ470" s="1007">
        <v>7</v>
      </c>
      <c r="BA470" s="1008">
        <v>46220</v>
      </c>
      <c r="BB470" s="1007">
        <v>2026</v>
      </c>
      <c r="BC470" s="1007">
        <v>7</v>
      </c>
      <c r="BD470" s="1007">
        <v>29</v>
      </c>
      <c r="BE470" s="1007">
        <v>33</v>
      </c>
      <c r="BF470" s="1007">
        <v>594</v>
      </c>
      <c r="BG470" s="1007" t="s">
        <v>94</v>
      </c>
      <c r="BH470" s="1007" t="s">
        <v>109</v>
      </c>
    </row>
    <row r="471" spans="1:60">
      <c r="A471" s="1007" t="s">
        <v>2306</v>
      </c>
      <c r="B471" s="1007" t="s">
        <v>111</v>
      </c>
      <c r="C471" s="1007" t="s">
        <v>2307</v>
      </c>
      <c r="D471" s="1007" t="s">
        <v>113</v>
      </c>
      <c r="E471" s="1007" t="s">
        <v>64</v>
      </c>
      <c r="F471" s="1007">
        <v>0</v>
      </c>
      <c r="G471" s="1007" t="s">
        <v>402</v>
      </c>
      <c r="H471" s="1007" t="s">
        <v>451</v>
      </c>
      <c r="I471" s="1007" t="s">
        <v>822</v>
      </c>
      <c r="J471" s="1007" t="s">
        <v>2298</v>
      </c>
      <c r="M471" s="1007" t="s">
        <v>68</v>
      </c>
      <c r="N471" s="1007">
        <v>46132</v>
      </c>
      <c r="O471" s="1007" t="s">
        <v>70</v>
      </c>
      <c r="P471" s="1007" t="s">
        <v>2308</v>
      </c>
      <c r="Q471" s="1007" t="s">
        <v>1484</v>
      </c>
      <c r="R471" s="1007" t="s">
        <v>73</v>
      </c>
      <c r="S471" s="1007" t="s">
        <v>1808</v>
      </c>
      <c r="T471" s="1007">
        <v>725</v>
      </c>
      <c r="U471" s="1007">
        <v>1188</v>
      </c>
      <c r="V471" s="1007">
        <v>0.86129999999999995</v>
      </c>
      <c r="W471" s="1007">
        <v>36</v>
      </c>
      <c r="X471" s="1007">
        <v>2</v>
      </c>
      <c r="Y471" s="1007" t="s">
        <v>951</v>
      </c>
      <c r="Z471" s="1007" t="s">
        <v>75</v>
      </c>
      <c r="AA471" s="1007" t="s">
        <v>2269</v>
      </c>
      <c r="AB471" s="1008">
        <v>46138</v>
      </c>
      <c r="AC471" s="1007">
        <v>17</v>
      </c>
      <c r="AD471" s="1007" t="s">
        <v>2309</v>
      </c>
      <c r="AF471" s="1007" t="s">
        <v>122</v>
      </c>
      <c r="AG471" s="1007" t="s">
        <v>123</v>
      </c>
      <c r="AH471" s="1007" t="s">
        <v>2301</v>
      </c>
      <c r="AI471" s="1008">
        <v>46144</v>
      </c>
      <c r="AJ471" s="1008">
        <v>46144</v>
      </c>
      <c r="AK471" s="1008">
        <v>46144</v>
      </c>
      <c r="AL471" s="1008">
        <v>46197</v>
      </c>
      <c r="AM471" s="1008">
        <v>46214</v>
      </c>
      <c r="AN471" s="1008">
        <v>46213</v>
      </c>
      <c r="AO471" s="1007" t="s">
        <v>402</v>
      </c>
      <c r="AP471" s="1007" t="s">
        <v>2302</v>
      </c>
      <c r="AQ471" s="1007" t="s">
        <v>161</v>
      </c>
      <c r="AR471" s="1007" t="s">
        <v>2303</v>
      </c>
      <c r="AS471" s="1007" t="s">
        <v>2304</v>
      </c>
      <c r="AT471" s="1007" t="s">
        <v>2305</v>
      </c>
      <c r="AU471" s="1007">
        <v>69</v>
      </c>
      <c r="AW471" s="1008">
        <v>46213</v>
      </c>
      <c r="AX471" s="1007" t="s">
        <v>973</v>
      </c>
      <c r="AY471" s="1008">
        <v>46230</v>
      </c>
      <c r="AZ471" s="1007">
        <v>7</v>
      </c>
      <c r="BA471" s="1008">
        <v>46220</v>
      </c>
      <c r="BB471" s="1007">
        <v>2026</v>
      </c>
      <c r="BC471" s="1007">
        <v>7</v>
      </c>
      <c r="BD471" s="1007">
        <v>29</v>
      </c>
      <c r="BE471" s="1007">
        <v>33</v>
      </c>
      <c r="BF471" s="1007">
        <v>594</v>
      </c>
      <c r="BG471" s="1007" t="s">
        <v>94</v>
      </c>
      <c r="BH471" s="1007" t="s">
        <v>109</v>
      </c>
    </row>
    <row r="472" spans="1:60">
      <c r="A472" s="1007" t="s">
        <v>2310</v>
      </c>
      <c r="B472" s="1007" t="s">
        <v>111</v>
      </c>
      <c r="C472" s="1007" t="s">
        <v>2307</v>
      </c>
      <c r="D472" s="1007" t="s">
        <v>113</v>
      </c>
      <c r="E472" s="1007" t="s">
        <v>64</v>
      </c>
      <c r="F472" s="1007">
        <v>0</v>
      </c>
      <c r="G472" s="1007" t="s">
        <v>402</v>
      </c>
      <c r="H472" s="1007" t="s">
        <v>451</v>
      </c>
      <c r="I472" s="1007" t="s">
        <v>822</v>
      </c>
      <c r="J472" s="1007" t="s">
        <v>2298</v>
      </c>
      <c r="M472" s="1007" t="s">
        <v>68</v>
      </c>
      <c r="N472" s="1007">
        <v>46132</v>
      </c>
      <c r="O472" s="1007" t="s">
        <v>70</v>
      </c>
      <c r="P472" s="1007" t="s">
        <v>2308</v>
      </c>
      <c r="Q472" s="1007" t="s">
        <v>1484</v>
      </c>
      <c r="R472" s="1007" t="s">
        <v>73</v>
      </c>
      <c r="S472" s="1007" t="s">
        <v>1808</v>
      </c>
      <c r="T472" s="1007">
        <v>725</v>
      </c>
      <c r="U472" s="1007">
        <v>2970</v>
      </c>
      <c r="V472" s="1007">
        <v>2.1532499999999999</v>
      </c>
      <c r="W472" s="1007">
        <v>90</v>
      </c>
      <c r="X472" s="1007">
        <v>5</v>
      </c>
      <c r="Y472" s="1007" t="s">
        <v>951</v>
      </c>
      <c r="Z472" s="1007" t="s">
        <v>75</v>
      </c>
      <c r="AB472" s="1008">
        <v>46142</v>
      </c>
      <c r="AC472" s="1007">
        <v>18</v>
      </c>
      <c r="AD472" s="1007" t="s">
        <v>2311</v>
      </c>
      <c r="AF472" s="1007" t="s">
        <v>122</v>
      </c>
      <c r="AG472" s="1007" t="s">
        <v>123</v>
      </c>
      <c r="AH472" s="1007" t="s">
        <v>2301</v>
      </c>
      <c r="AI472" s="1008">
        <v>46148</v>
      </c>
      <c r="AJ472" s="1008">
        <v>46148</v>
      </c>
      <c r="AK472" s="1008">
        <v>46148</v>
      </c>
      <c r="AL472" s="1008">
        <v>46199</v>
      </c>
      <c r="AM472" s="1008">
        <v>46210</v>
      </c>
      <c r="AN472" s="1008">
        <v>46211</v>
      </c>
      <c r="AO472" s="1007" t="s">
        <v>402</v>
      </c>
      <c r="AP472" s="1007" t="s">
        <v>2312</v>
      </c>
      <c r="AQ472" s="1007" t="s">
        <v>161</v>
      </c>
      <c r="AR472" s="1007" t="s">
        <v>2313</v>
      </c>
      <c r="AS472" s="1007" t="s">
        <v>2314</v>
      </c>
      <c r="AT472" s="1007" t="s">
        <v>2315</v>
      </c>
      <c r="AU472" s="1007">
        <v>63</v>
      </c>
      <c r="AW472" s="1008">
        <v>46211</v>
      </c>
      <c r="AX472" s="1007" t="s">
        <v>973</v>
      </c>
      <c r="AY472" s="1008">
        <v>46230</v>
      </c>
      <c r="AZ472" s="1007">
        <v>7</v>
      </c>
      <c r="BA472" s="1008">
        <v>46218</v>
      </c>
      <c r="BB472" s="1007">
        <v>2026</v>
      </c>
      <c r="BC472" s="1007">
        <v>7</v>
      </c>
      <c r="BD472" s="1007">
        <v>29</v>
      </c>
      <c r="BE472" s="1007">
        <v>33</v>
      </c>
      <c r="BF472" s="1007">
        <v>594</v>
      </c>
      <c r="BG472" s="1007" t="s">
        <v>94</v>
      </c>
      <c r="BH472" s="1007" t="s">
        <v>109</v>
      </c>
    </row>
    <row r="473" spans="1:60">
      <c r="A473" s="1007" t="s">
        <v>2316</v>
      </c>
      <c r="B473" s="1007" t="s">
        <v>111</v>
      </c>
      <c r="C473" s="1007" t="s">
        <v>2297</v>
      </c>
      <c r="D473" s="1007" t="s">
        <v>113</v>
      </c>
      <c r="E473" s="1007" t="s">
        <v>64</v>
      </c>
      <c r="F473" s="1007">
        <v>0</v>
      </c>
      <c r="G473" s="1007" t="s">
        <v>402</v>
      </c>
      <c r="H473" s="1007" t="s">
        <v>451</v>
      </c>
      <c r="I473" s="1007" t="s">
        <v>822</v>
      </c>
      <c r="J473" s="1007" t="s">
        <v>2298</v>
      </c>
      <c r="M473" s="1007" t="s">
        <v>68</v>
      </c>
      <c r="N473" s="1007">
        <v>46132</v>
      </c>
      <c r="O473" s="1007" t="s">
        <v>70</v>
      </c>
      <c r="P473" s="1007" t="s">
        <v>2299</v>
      </c>
      <c r="Q473" s="1007" t="s">
        <v>1682</v>
      </c>
      <c r="R473" s="1007" t="s">
        <v>73</v>
      </c>
      <c r="S473" s="1007" t="s">
        <v>1808</v>
      </c>
      <c r="T473" s="1007">
        <v>730</v>
      </c>
      <c r="U473" s="1007">
        <v>2970</v>
      </c>
      <c r="V473" s="1007">
        <v>2.1680999999999999</v>
      </c>
      <c r="W473" s="1007">
        <v>90</v>
      </c>
      <c r="X473" s="1007">
        <v>5</v>
      </c>
      <c r="Y473" s="1007" t="s">
        <v>951</v>
      </c>
      <c r="Z473" s="1007" t="s">
        <v>75</v>
      </c>
      <c r="AB473" s="1008">
        <v>46142</v>
      </c>
      <c r="AC473" s="1007">
        <v>18</v>
      </c>
      <c r="AD473" s="1007" t="s">
        <v>2317</v>
      </c>
      <c r="AF473" s="1007" t="s">
        <v>122</v>
      </c>
      <c r="AG473" s="1007" t="s">
        <v>123</v>
      </c>
      <c r="AH473" s="1007" t="s">
        <v>2301</v>
      </c>
      <c r="AI473" s="1008">
        <v>46148</v>
      </c>
      <c r="AJ473" s="1008">
        <v>46148</v>
      </c>
      <c r="AK473" s="1008">
        <v>46148</v>
      </c>
      <c r="AL473" s="1008">
        <v>46199</v>
      </c>
      <c r="AM473" s="1008">
        <v>46210</v>
      </c>
      <c r="AN473" s="1008">
        <v>46211</v>
      </c>
      <c r="AO473" s="1007" t="s">
        <v>402</v>
      </c>
      <c r="AP473" s="1007" t="s">
        <v>2312</v>
      </c>
      <c r="AQ473" s="1007" t="s">
        <v>161</v>
      </c>
      <c r="AR473" s="1007" t="s">
        <v>2313</v>
      </c>
      <c r="AS473" s="1007" t="s">
        <v>2314</v>
      </c>
      <c r="AT473" s="1007" t="s">
        <v>2315</v>
      </c>
      <c r="AU473" s="1007">
        <v>63</v>
      </c>
      <c r="AW473" s="1008">
        <v>46211</v>
      </c>
      <c r="AX473" s="1007" t="s">
        <v>973</v>
      </c>
      <c r="AY473" s="1008">
        <v>46230</v>
      </c>
      <c r="AZ473" s="1007">
        <v>7</v>
      </c>
      <c r="BA473" s="1008">
        <v>46218</v>
      </c>
      <c r="BB473" s="1007">
        <v>2026</v>
      </c>
      <c r="BC473" s="1007">
        <v>7</v>
      </c>
      <c r="BD473" s="1007">
        <v>29</v>
      </c>
      <c r="BE473" s="1007">
        <v>33</v>
      </c>
      <c r="BF473" s="1007">
        <v>594</v>
      </c>
      <c r="BG473" s="1007" t="s">
        <v>94</v>
      </c>
      <c r="BH473" s="1007" t="s">
        <v>109</v>
      </c>
    </row>
    <row r="474" spans="1:60">
      <c r="A474" s="1007" t="s">
        <v>2318</v>
      </c>
      <c r="B474" s="1007" t="s">
        <v>2132</v>
      </c>
      <c r="C474" s="1007" t="s">
        <v>2150</v>
      </c>
      <c r="D474" s="1007" t="s">
        <v>63</v>
      </c>
      <c r="E474" s="1007" t="s">
        <v>64</v>
      </c>
      <c r="F474" s="1007" t="s">
        <v>65</v>
      </c>
      <c r="G474" s="1007" t="s">
        <v>402</v>
      </c>
      <c r="H474" s="1007" t="s">
        <v>67</v>
      </c>
      <c r="I474" s="1007" t="s">
        <v>1395</v>
      </c>
      <c r="J474" s="1007" t="s">
        <v>96</v>
      </c>
      <c r="M474" s="1007" t="s">
        <v>68</v>
      </c>
      <c r="N474" s="1007" t="s">
        <v>68</v>
      </c>
      <c r="O474" s="1007" t="s">
        <v>550</v>
      </c>
      <c r="P474" s="1007" t="s">
        <v>551</v>
      </c>
      <c r="Q474" s="1007" t="s">
        <v>2151</v>
      </c>
      <c r="R474" s="1007" t="s">
        <v>73</v>
      </c>
      <c r="S474" s="1007" t="s">
        <v>2136</v>
      </c>
      <c r="T474" s="1007">
        <v>510</v>
      </c>
      <c r="U474" s="1007">
        <v>3168</v>
      </c>
      <c r="V474" s="1007">
        <v>1.61568</v>
      </c>
      <c r="W474" s="1007">
        <v>88</v>
      </c>
      <c r="X474" s="1007">
        <v>4</v>
      </c>
      <c r="Y474" s="1007" t="s">
        <v>951</v>
      </c>
      <c r="Z474" s="1007" t="s">
        <v>75</v>
      </c>
      <c r="AA474" s="1007" t="s">
        <v>2319</v>
      </c>
      <c r="AB474" s="1008">
        <v>46140</v>
      </c>
      <c r="AC474" s="1007">
        <v>18</v>
      </c>
      <c r="AD474" s="1007" t="s">
        <v>2320</v>
      </c>
      <c r="AF474" s="1007" t="s">
        <v>123</v>
      </c>
      <c r="AG474" s="1007" t="s">
        <v>123</v>
      </c>
      <c r="AH474" s="1007" t="s">
        <v>356</v>
      </c>
      <c r="AI474" s="1008">
        <v>46144</v>
      </c>
      <c r="AJ474" s="1008">
        <v>46145</v>
      </c>
      <c r="AK474" s="1008">
        <v>46145</v>
      </c>
      <c r="AL474" s="1008">
        <v>46181</v>
      </c>
      <c r="AM474" s="1008">
        <v>46183</v>
      </c>
      <c r="AN474" s="1008">
        <v>46183</v>
      </c>
      <c r="AO474" s="1007" t="s">
        <v>402</v>
      </c>
      <c r="AP474" s="1007" t="s">
        <v>2321</v>
      </c>
      <c r="AQ474" s="1007" t="s">
        <v>161</v>
      </c>
      <c r="AR474" s="1007" t="s">
        <v>2322</v>
      </c>
      <c r="AS474" s="1007" t="s">
        <v>2323</v>
      </c>
      <c r="AT474" s="1007" t="s">
        <v>2323</v>
      </c>
      <c r="AU474" s="1007">
        <v>38</v>
      </c>
      <c r="AW474" s="1008">
        <v>46183</v>
      </c>
      <c r="AX474" s="1007" t="s">
        <v>973</v>
      </c>
      <c r="AY474" s="1008">
        <v>46197</v>
      </c>
      <c r="AZ474" s="1007">
        <v>8</v>
      </c>
      <c r="BA474" s="1008">
        <v>46191</v>
      </c>
      <c r="BB474" s="1007">
        <v>2026</v>
      </c>
      <c r="BC474" s="1007">
        <v>6</v>
      </c>
      <c r="BD474" s="1007">
        <v>25</v>
      </c>
      <c r="BE474" s="1007">
        <v>36</v>
      </c>
      <c r="BF474" s="1007">
        <v>792</v>
      </c>
      <c r="BG474" s="1007" t="s">
        <v>85</v>
      </c>
      <c r="BH474" s="1007" t="s">
        <v>109</v>
      </c>
    </row>
    <row r="475" spans="1:60">
      <c r="A475" s="1007" t="s">
        <v>1016</v>
      </c>
      <c r="B475" s="1007" t="s">
        <v>1888</v>
      </c>
      <c r="C475" s="1007" t="s">
        <v>203</v>
      </c>
      <c r="D475" s="1007" t="s">
        <v>63</v>
      </c>
      <c r="E475" s="1007" t="s">
        <v>64</v>
      </c>
      <c r="F475" s="1007" t="s">
        <v>100</v>
      </c>
      <c r="G475" s="1007" t="s">
        <v>402</v>
      </c>
      <c r="H475" s="1007" t="s">
        <v>67</v>
      </c>
      <c r="I475" s="1007" t="s">
        <v>689</v>
      </c>
      <c r="J475" s="1007" t="s">
        <v>96</v>
      </c>
      <c r="M475" s="1007" t="s">
        <v>68</v>
      </c>
      <c r="N475" s="1007">
        <v>46111</v>
      </c>
      <c r="O475" s="1007" t="s">
        <v>70</v>
      </c>
      <c r="P475" s="1007" t="s">
        <v>195</v>
      </c>
      <c r="Q475" s="1007" t="s">
        <v>196</v>
      </c>
      <c r="R475" s="1007" t="s">
        <v>73</v>
      </c>
      <c r="S475" s="1007" t="s">
        <v>967</v>
      </c>
      <c r="T475" s="1007">
        <v>450</v>
      </c>
      <c r="U475" s="1007">
        <v>3744</v>
      </c>
      <c r="V475" s="1007">
        <v>1.6848000000000001</v>
      </c>
      <c r="W475" s="1007">
        <v>104</v>
      </c>
      <c r="X475" s="1007">
        <v>4</v>
      </c>
      <c r="Y475" s="1007" t="s">
        <v>951</v>
      </c>
      <c r="Z475" s="1007" t="s">
        <v>75</v>
      </c>
      <c r="AA475" s="1007" t="s">
        <v>2038</v>
      </c>
      <c r="AB475" s="1008">
        <v>46139</v>
      </c>
      <c r="AC475" s="1007">
        <v>18</v>
      </c>
      <c r="AD475" s="1007" t="s">
        <v>2324</v>
      </c>
      <c r="AF475" s="1007" t="s">
        <v>1891</v>
      </c>
      <c r="AG475" s="1007" t="s">
        <v>123</v>
      </c>
      <c r="AH475" s="1007" t="s">
        <v>105</v>
      </c>
      <c r="AI475" s="1008">
        <v>46144</v>
      </c>
      <c r="AJ475" s="1008">
        <v>46147</v>
      </c>
      <c r="AK475" s="1008">
        <v>46147</v>
      </c>
      <c r="AL475" s="1008">
        <v>46186</v>
      </c>
      <c r="AM475" s="1008">
        <v>46200</v>
      </c>
      <c r="AN475" s="1008">
        <v>46201</v>
      </c>
      <c r="AO475" s="1007" t="s">
        <v>402</v>
      </c>
      <c r="AP475" s="1007" t="s">
        <v>2302</v>
      </c>
      <c r="AQ475" s="1007" t="s">
        <v>161</v>
      </c>
      <c r="AR475" s="1007" t="s">
        <v>2325</v>
      </c>
      <c r="AS475" s="1007" t="s">
        <v>2326</v>
      </c>
      <c r="AT475" s="1007" t="s">
        <v>2326</v>
      </c>
      <c r="AU475" s="1007">
        <v>54</v>
      </c>
      <c r="AW475" s="1008">
        <v>46201</v>
      </c>
      <c r="AX475" s="1007" t="s">
        <v>973</v>
      </c>
      <c r="AY475" s="1008">
        <v>46212</v>
      </c>
      <c r="AZ475" s="1007">
        <v>7</v>
      </c>
      <c r="BA475" s="1008">
        <v>46208</v>
      </c>
      <c r="BB475" s="1007">
        <v>2026</v>
      </c>
      <c r="BC475" s="1007">
        <v>7</v>
      </c>
      <c r="BD475" s="1007">
        <v>27</v>
      </c>
      <c r="BE475" s="1007">
        <v>36</v>
      </c>
      <c r="BF475" s="1007">
        <v>936</v>
      </c>
      <c r="BG475" s="1007" t="s">
        <v>85</v>
      </c>
      <c r="BH475" s="1007" t="s">
        <v>109</v>
      </c>
    </row>
    <row r="476" spans="1:60">
      <c r="A476" s="1007" t="s">
        <v>2327</v>
      </c>
      <c r="B476" s="1007" t="s">
        <v>2132</v>
      </c>
      <c r="C476" s="1007" t="s">
        <v>2150</v>
      </c>
      <c r="D476" s="1007" t="s">
        <v>63</v>
      </c>
      <c r="E476" s="1007" t="s">
        <v>64</v>
      </c>
      <c r="F476" s="1007" t="s">
        <v>100</v>
      </c>
      <c r="G476" s="1007" t="s">
        <v>402</v>
      </c>
      <c r="H476" s="1007" t="s">
        <v>67</v>
      </c>
      <c r="I476" s="1007" t="s">
        <v>882</v>
      </c>
      <c r="J476" s="1007" t="s">
        <v>96</v>
      </c>
      <c r="M476" s="1007" t="s">
        <v>68</v>
      </c>
      <c r="N476" s="1007" t="s">
        <v>68</v>
      </c>
      <c r="O476" s="1007" t="s">
        <v>550</v>
      </c>
      <c r="P476" s="1007" t="s">
        <v>551</v>
      </c>
      <c r="Q476" s="1007" t="s">
        <v>2151</v>
      </c>
      <c r="R476" s="1007" t="s">
        <v>73</v>
      </c>
      <c r="S476" s="1007" t="s">
        <v>2136</v>
      </c>
      <c r="T476" s="1007">
        <v>510</v>
      </c>
      <c r="U476" s="1007">
        <v>1584</v>
      </c>
      <c r="V476" s="1007">
        <v>0.80784</v>
      </c>
      <c r="W476" s="1007">
        <v>44</v>
      </c>
      <c r="X476" s="1007">
        <v>2</v>
      </c>
      <c r="Y476" s="1007" t="s">
        <v>951</v>
      </c>
      <c r="Z476" s="1007" t="s">
        <v>75</v>
      </c>
      <c r="AA476" s="1007" t="s">
        <v>2328</v>
      </c>
      <c r="AB476" s="1008">
        <v>46139</v>
      </c>
      <c r="AC476" s="1007">
        <v>18</v>
      </c>
      <c r="AD476" s="1007" t="s">
        <v>2329</v>
      </c>
      <c r="AF476" s="1007" t="s">
        <v>123</v>
      </c>
      <c r="AG476" s="1007" t="s">
        <v>123</v>
      </c>
      <c r="AH476" s="1007" t="s">
        <v>105</v>
      </c>
      <c r="AI476" s="1008">
        <v>46144</v>
      </c>
      <c r="AJ476" s="1008">
        <v>46147</v>
      </c>
      <c r="AK476" s="1008">
        <v>46147</v>
      </c>
      <c r="AL476" s="1008">
        <v>46186</v>
      </c>
      <c r="AM476" s="1008">
        <v>46200</v>
      </c>
      <c r="AN476" s="1008">
        <v>46201</v>
      </c>
      <c r="AO476" s="1007" t="s">
        <v>402</v>
      </c>
      <c r="AP476" s="1007" t="s">
        <v>2302</v>
      </c>
      <c r="AQ476" s="1007" t="s">
        <v>161</v>
      </c>
      <c r="AR476" s="1007" t="s">
        <v>2330</v>
      </c>
      <c r="AS476" s="1007" t="s">
        <v>2331</v>
      </c>
      <c r="AT476" s="1007" t="s">
        <v>2331</v>
      </c>
      <c r="AU476" s="1007">
        <v>54</v>
      </c>
      <c r="AW476" s="1008">
        <v>46201</v>
      </c>
      <c r="AX476" s="1007" t="s">
        <v>973</v>
      </c>
      <c r="AY476" s="1008">
        <v>46212</v>
      </c>
      <c r="AZ476" s="1007">
        <v>7</v>
      </c>
      <c r="BA476" s="1008">
        <v>46208</v>
      </c>
      <c r="BB476" s="1007">
        <v>2026</v>
      </c>
      <c r="BC476" s="1007">
        <v>7</v>
      </c>
      <c r="BD476" s="1007">
        <v>27</v>
      </c>
      <c r="BE476" s="1007">
        <v>36</v>
      </c>
      <c r="BF476" s="1007">
        <v>792</v>
      </c>
      <c r="BG476" s="1007" t="s">
        <v>85</v>
      </c>
      <c r="BH476" s="1007" t="s">
        <v>109</v>
      </c>
    </row>
    <row r="477" spans="1:60">
      <c r="A477" s="1007" t="s">
        <v>2332</v>
      </c>
      <c r="B477" s="1007" t="s">
        <v>2132</v>
      </c>
      <c r="C477" s="1007" t="s">
        <v>2133</v>
      </c>
      <c r="D477" s="1007" t="s">
        <v>63</v>
      </c>
      <c r="E477" s="1007" t="s">
        <v>64</v>
      </c>
      <c r="F477" s="1007" t="s">
        <v>100</v>
      </c>
      <c r="G477" s="1007" t="s">
        <v>402</v>
      </c>
      <c r="H477" s="1007" t="s">
        <v>67</v>
      </c>
      <c r="I477" s="1007" t="s">
        <v>1395</v>
      </c>
      <c r="J477" s="1007" t="s">
        <v>96</v>
      </c>
      <c r="M477" s="1007" t="s">
        <v>68</v>
      </c>
      <c r="N477" s="1007" t="s">
        <v>68</v>
      </c>
      <c r="O477" s="1007" t="s">
        <v>550</v>
      </c>
      <c r="P477" s="1007" t="s">
        <v>2134</v>
      </c>
      <c r="Q477" s="1007" t="s">
        <v>2135</v>
      </c>
      <c r="R477" s="1007" t="s">
        <v>73</v>
      </c>
      <c r="S477" s="1007" t="s">
        <v>2136</v>
      </c>
      <c r="T477" s="1007">
        <v>515</v>
      </c>
      <c r="U477" s="1007">
        <v>1584</v>
      </c>
      <c r="V477" s="1007">
        <v>0.81576000000000004</v>
      </c>
      <c r="W477" s="1007">
        <v>44</v>
      </c>
      <c r="X477" s="1007">
        <v>2</v>
      </c>
      <c r="Y477" s="1007" t="s">
        <v>951</v>
      </c>
      <c r="Z477" s="1007" t="s">
        <v>75</v>
      </c>
      <c r="AA477" s="1007" t="s">
        <v>2328</v>
      </c>
      <c r="AB477" s="1008">
        <v>46139</v>
      </c>
      <c r="AC477" s="1007">
        <v>18</v>
      </c>
      <c r="AD477" s="1007" t="s">
        <v>2333</v>
      </c>
      <c r="AF477" s="1007" t="s">
        <v>123</v>
      </c>
      <c r="AG477" s="1007" t="s">
        <v>123</v>
      </c>
      <c r="AH477" s="1007" t="s">
        <v>105</v>
      </c>
      <c r="AI477" s="1008">
        <v>46144</v>
      </c>
      <c r="AJ477" s="1008">
        <v>46147</v>
      </c>
      <c r="AK477" s="1008">
        <v>46147</v>
      </c>
      <c r="AL477" s="1008">
        <v>46186</v>
      </c>
      <c r="AM477" s="1008">
        <v>46200</v>
      </c>
      <c r="AN477" s="1008">
        <v>46201</v>
      </c>
      <c r="AO477" s="1007" t="s">
        <v>402</v>
      </c>
      <c r="AP477" s="1007" t="s">
        <v>2302</v>
      </c>
      <c r="AQ477" s="1007" t="s">
        <v>161</v>
      </c>
      <c r="AR477" s="1007" t="s">
        <v>2330</v>
      </c>
      <c r="AS477" s="1007" t="s">
        <v>2331</v>
      </c>
      <c r="AT477" s="1007" t="s">
        <v>2331</v>
      </c>
      <c r="AU477" s="1007">
        <v>54</v>
      </c>
      <c r="AW477" s="1008">
        <v>46201</v>
      </c>
      <c r="AX477" s="1007" t="s">
        <v>973</v>
      </c>
      <c r="AY477" s="1008">
        <v>46212</v>
      </c>
      <c r="AZ477" s="1007">
        <v>7</v>
      </c>
      <c r="BA477" s="1008">
        <v>46208</v>
      </c>
      <c r="BB477" s="1007">
        <v>2026</v>
      </c>
      <c r="BC477" s="1007">
        <v>7</v>
      </c>
      <c r="BD477" s="1007">
        <v>27</v>
      </c>
      <c r="BE477" s="1007">
        <v>36</v>
      </c>
      <c r="BF477" s="1007">
        <v>792</v>
      </c>
      <c r="BG477" s="1007" t="s">
        <v>85</v>
      </c>
      <c r="BH477" s="1007" t="s">
        <v>109</v>
      </c>
    </row>
    <row r="478" spans="1:60">
      <c r="A478" s="1007" t="s">
        <v>2334</v>
      </c>
      <c r="B478" s="1007" t="s">
        <v>111</v>
      </c>
      <c r="C478" s="1007" t="s">
        <v>2190</v>
      </c>
      <c r="D478" s="1007" t="s">
        <v>63</v>
      </c>
      <c r="E478" s="1007" t="s">
        <v>64</v>
      </c>
      <c r="F478" s="1007" t="s">
        <v>100</v>
      </c>
      <c r="G478" s="1007" t="s">
        <v>402</v>
      </c>
      <c r="H478" s="1007" t="s">
        <v>67</v>
      </c>
      <c r="I478" s="1007" t="s">
        <v>689</v>
      </c>
      <c r="J478" s="1007" t="s">
        <v>96</v>
      </c>
      <c r="M478" s="1007" t="s">
        <v>68</v>
      </c>
      <c r="N478" s="1007">
        <v>46139</v>
      </c>
      <c r="O478" s="1007" t="s">
        <v>473</v>
      </c>
      <c r="P478" s="1007" t="s">
        <v>474</v>
      </c>
      <c r="Q478" s="1007" t="s">
        <v>1319</v>
      </c>
      <c r="R478" s="1007" t="s">
        <v>73</v>
      </c>
      <c r="S478" s="1007" t="s">
        <v>967</v>
      </c>
      <c r="T478" s="1007">
        <v>460</v>
      </c>
      <c r="U478" s="1007">
        <v>1728</v>
      </c>
      <c r="V478" s="1007">
        <v>0.79488000000000003</v>
      </c>
      <c r="W478" s="1007">
        <v>48</v>
      </c>
      <c r="X478" s="1007">
        <v>2</v>
      </c>
      <c r="Y478" s="1007" t="s">
        <v>951</v>
      </c>
      <c r="Z478" s="1007" t="s">
        <v>75</v>
      </c>
      <c r="AA478" s="1007" t="s">
        <v>2183</v>
      </c>
      <c r="AB478" s="1008">
        <v>46138</v>
      </c>
      <c r="AC478" s="1007">
        <v>17</v>
      </c>
      <c r="AD478" s="1007" t="s">
        <v>2335</v>
      </c>
      <c r="AF478" s="1007" t="s">
        <v>123</v>
      </c>
      <c r="AG478" s="1007" t="s">
        <v>123</v>
      </c>
      <c r="AH478" s="1007" t="s">
        <v>105</v>
      </c>
      <c r="AI478" s="1008">
        <v>46144</v>
      </c>
      <c r="AJ478" s="1008">
        <v>46147</v>
      </c>
      <c r="AK478" s="1008">
        <v>46147</v>
      </c>
      <c r="AL478" s="1008">
        <v>46186</v>
      </c>
      <c r="AM478" s="1008">
        <v>46200</v>
      </c>
      <c r="AN478" s="1008">
        <v>46201</v>
      </c>
      <c r="AO478" s="1007" t="s">
        <v>402</v>
      </c>
      <c r="AP478" s="1007" t="s">
        <v>2302</v>
      </c>
      <c r="AQ478" s="1007" t="s">
        <v>161</v>
      </c>
      <c r="AR478" s="1007" t="s">
        <v>2336</v>
      </c>
      <c r="AT478" s="1007" t="s">
        <v>2337</v>
      </c>
      <c r="AU478" s="1007">
        <v>54</v>
      </c>
      <c r="AW478" s="1008">
        <v>46201</v>
      </c>
      <c r="AX478" s="1007" t="s">
        <v>973</v>
      </c>
      <c r="AY478" s="1008">
        <v>46212</v>
      </c>
      <c r="AZ478" s="1007">
        <v>7</v>
      </c>
      <c r="BA478" s="1008">
        <v>46208</v>
      </c>
      <c r="BB478" s="1007">
        <v>2026</v>
      </c>
      <c r="BC478" s="1007">
        <v>7</v>
      </c>
      <c r="BD478" s="1007">
        <v>27</v>
      </c>
      <c r="BE478" s="1007">
        <v>36</v>
      </c>
      <c r="BF478" s="1007">
        <v>864</v>
      </c>
      <c r="BG478" s="1007" t="s">
        <v>85</v>
      </c>
      <c r="BH478" s="1007" t="s">
        <v>109</v>
      </c>
    </row>
    <row r="479" spans="1:60">
      <c r="A479" s="1007" t="s">
        <v>2338</v>
      </c>
      <c r="B479" s="1007" t="s">
        <v>111</v>
      </c>
      <c r="C479" s="1007" t="s">
        <v>2190</v>
      </c>
      <c r="D479" s="1007" t="s">
        <v>63</v>
      </c>
      <c r="E479" s="1007" t="s">
        <v>64</v>
      </c>
      <c r="F479" s="1007" t="s">
        <v>100</v>
      </c>
      <c r="G479" s="1007" t="s">
        <v>402</v>
      </c>
      <c r="H479" s="1007" t="s">
        <v>67</v>
      </c>
      <c r="I479" s="1007" t="s">
        <v>689</v>
      </c>
      <c r="J479" s="1007" t="s">
        <v>96</v>
      </c>
      <c r="M479" s="1007" t="s">
        <v>68</v>
      </c>
      <c r="N479" s="1007">
        <v>46139</v>
      </c>
      <c r="O479" s="1007" t="s">
        <v>473</v>
      </c>
      <c r="P479" s="1007" t="s">
        <v>474</v>
      </c>
      <c r="Q479" s="1007" t="s">
        <v>1319</v>
      </c>
      <c r="R479" s="1007" t="s">
        <v>73</v>
      </c>
      <c r="S479" s="1007" t="s">
        <v>967</v>
      </c>
      <c r="T479" s="1007">
        <v>460</v>
      </c>
      <c r="U479" s="1007">
        <v>1728</v>
      </c>
      <c r="V479" s="1007">
        <v>0.79488000000000003</v>
      </c>
      <c r="W479" s="1007">
        <v>48</v>
      </c>
      <c r="X479" s="1007">
        <v>2</v>
      </c>
      <c r="Y479" s="1007" t="s">
        <v>951</v>
      </c>
      <c r="Z479" s="1007" t="s">
        <v>75</v>
      </c>
      <c r="AA479" s="1007" t="s">
        <v>2183</v>
      </c>
      <c r="AB479" s="1008">
        <v>46138</v>
      </c>
      <c r="AC479" s="1007">
        <v>17</v>
      </c>
      <c r="AD479" s="1007" t="s">
        <v>2339</v>
      </c>
      <c r="AF479" s="1007" t="s">
        <v>123</v>
      </c>
      <c r="AG479" s="1007" t="s">
        <v>123</v>
      </c>
      <c r="AH479" s="1007" t="s">
        <v>105</v>
      </c>
      <c r="AI479" s="1008">
        <v>46144</v>
      </c>
      <c r="AJ479" s="1008">
        <v>46147</v>
      </c>
      <c r="AK479" s="1008">
        <v>46147</v>
      </c>
      <c r="AL479" s="1008">
        <v>46186</v>
      </c>
      <c r="AM479" s="1008">
        <v>46200</v>
      </c>
      <c r="AN479" s="1008">
        <v>46201</v>
      </c>
      <c r="AO479" s="1007" t="s">
        <v>402</v>
      </c>
      <c r="AP479" s="1007" t="s">
        <v>2302</v>
      </c>
      <c r="AQ479" s="1007" t="s">
        <v>161</v>
      </c>
      <c r="AR479" s="1007" t="s">
        <v>2336</v>
      </c>
      <c r="AT479" s="1007" t="s">
        <v>2337</v>
      </c>
      <c r="AU479" s="1007">
        <v>54</v>
      </c>
      <c r="AW479" s="1008">
        <v>46201</v>
      </c>
      <c r="AX479" s="1007" t="s">
        <v>973</v>
      </c>
      <c r="AY479" s="1008">
        <v>46212</v>
      </c>
      <c r="AZ479" s="1007">
        <v>7</v>
      </c>
      <c r="BA479" s="1008">
        <v>46208</v>
      </c>
      <c r="BB479" s="1007">
        <v>2026</v>
      </c>
      <c r="BC479" s="1007">
        <v>7</v>
      </c>
      <c r="BD479" s="1007">
        <v>27</v>
      </c>
      <c r="BE479" s="1007">
        <v>36</v>
      </c>
      <c r="BF479" s="1007">
        <v>864</v>
      </c>
      <c r="BG479" s="1007" t="s">
        <v>85</v>
      </c>
      <c r="BH479" s="1007" t="s">
        <v>109</v>
      </c>
    </row>
    <row r="480" spans="1:60">
      <c r="A480" s="1007" t="s">
        <v>2340</v>
      </c>
      <c r="B480" s="1007" t="s">
        <v>111</v>
      </c>
      <c r="C480" s="1007" t="s">
        <v>2190</v>
      </c>
      <c r="D480" s="1007" t="s">
        <v>63</v>
      </c>
      <c r="E480" s="1007" t="s">
        <v>64</v>
      </c>
      <c r="F480" s="1007" t="s">
        <v>100</v>
      </c>
      <c r="G480" s="1007" t="s">
        <v>402</v>
      </c>
      <c r="H480" s="1007" t="s">
        <v>67</v>
      </c>
      <c r="I480" s="1007" t="s">
        <v>689</v>
      </c>
      <c r="J480" s="1007" t="s">
        <v>96</v>
      </c>
      <c r="M480" s="1007" t="s">
        <v>68</v>
      </c>
      <c r="N480" s="1007">
        <v>46139</v>
      </c>
      <c r="O480" s="1007" t="s">
        <v>473</v>
      </c>
      <c r="P480" s="1007" t="s">
        <v>474</v>
      </c>
      <c r="Q480" s="1007" t="s">
        <v>1319</v>
      </c>
      <c r="R480" s="1007" t="s">
        <v>73</v>
      </c>
      <c r="S480" s="1007" t="s">
        <v>967</v>
      </c>
      <c r="T480" s="1007">
        <v>460</v>
      </c>
      <c r="U480" s="1007">
        <v>2592</v>
      </c>
      <c r="V480" s="1007">
        <v>1.19232</v>
      </c>
      <c r="W480" s="1007">
        <v>72</v>
      </c>
      <c r="X480" s="1007">
        <v>3</v>
      </c>
      <c r="Y480" s="1007" t="s">
        <v>951</v>
      </c>
      <c r="Z480" s="1007" t="s">
        <v>75</v>
      </c>
      <c r="AB480" s="1008">
        <v>46138</v>
      </c>
      <c r="AC480" s="1007">
        <v>17</v>
      </c>
      <c r="AD480" s="1007" t="s">
        <v>2341</v>
      </c>
      <c r="AF480" s="1007" t="s">
        <v>123</v>
      </c>
      <c r="AG480" s="1007" t="s">
        <v>123</v>
      </c>
      <c r="AH480" s="1007" t="s">
        <v>105</v>
      </c>
      <c r="AI480" s="1008">
        <v>46144</v>
      </c>
      <c r="AJ480" s="1008">
        <v>46147</v>
      </c>
      <c r="AK480" s="1008">
        <v>46147</v>
      </c>
      <c r="AL480" s="1008">
        <v>46186</v>
      </c>
      <c r="AM480" s="1008">
        <v>46200</v>
      </c>
      <c r="AN480" s="1008">
        <v>46201</v>
      </c>
      <c r="AO480" s="1007" t="s">
        <v>402</v>
      </c>
      <c r="AP480" s="1007" t="s">
        <v>2302</v>
      </c>
      <c r="AQ480" s="1007" t="s">
        <v>161</v>
      </c>
      <c r="AR480" s="1007" t="s">
        <v>2336</v>
      </c>
      <c r="AT480" s="1007" t="s">
        <v>2337</v>
      </c>
      <c r="AU480" s="1007">
        <v>54</v>
      </c>
      <c r="AW480" s="1008">
        <v>46201</v>
      </c>
      <c r="AX480" s="1007" t="s">
        <v>973</v>
      </c>
      <c r="AY480" s="1008">
        <v>46212</v>
      </c>
      <c r="AZ480" s="1007">
        <v>7</v>
      </c>
      <c r="BA480" s="1008">
        <v>46208</v>
      </c>
      <c r="BB480" s="1007">
        <v>2026</v>
      </c>
      <c r="BC480" s="1007">
        <v>7</v>
      </c>
      <c r="BD480" s="1007">
        <v>27</v>
      </c>
      <c r="BE480" s="1007">
        <v>36</v>
      </c>
      <c r="BF480" s="1007">
        <v>864</v>
      </c>
      <c r="BG480" s="1007" t="s">
        <v>85</v>
      </c>
      <c r="BH480" s="1007" t="s">
        <v>109</v>
      </c>
    </row>
    <row r="481" spans="1:60">
      <c r="A481" s="1007" t="s">
        <v>2342</v>
      </c>
      <c r="B481" s="1007" t="s">
        <v>2132</v>
      </c>
      <c r="C481" s="1007" t="s">
        <v>2150</v>
      </c>
      <c r="D481" s="1007" t="s">
        <v>63</v>
      </c>
      <c r="E481" s="1007" t="s">
        <v>64</v>
      </c>
      <c r="F481" s="1007" t="s">
        <v>65</v>
      </c>
      <c r="G481" s="1007" t="s">
        <v>402</v>
      </c>
      <c r="H481" s="1007" t="s">
        <v>67</v>
      </c>
      <c r="I481" s="1007" t="s">
        <v>882</v>
      </c>
      <c r="J481" s="1007" t="s">
        <v>96</v>
      </c>
      <c r="M481" s="1007" t="s">
        <v>68</v>
      </c>
      <c r="N481" s="1007" t="s">
        <v>68</v>
      </c>
      <c r="O481" s="1007" t="s">
        <v>550</v>
      </c>
      <c r="P481" s="1007" t="s">
        <v>551</v>
      </c>
      <c r="Q481" s="1007" t="s">
        <v>2151</v>
      </c>
      <c r="R481" s="1007" t="s">
        <v>73</v>
      </c>
      <c r="S481" s="1007" t="s">
        <v>2136</v>
      </c>
      <c r="T481" s="1007">
        <v>510</v>
      </c>
      <c r="U481" s="1007">
        <v>1584</v>
      </c>
      <c r="V481" s="1007">
        <v>0.80784</v>
      </c>
      <c r="W481" s="1007">
        <v>44</v>
      </c>
      <c r="X481" s="1007">
        <v>2</v>
      </c>
      <c r="Y481" s="1007" t="s">
        <v>951</v>
      </c>
      <c r="Z481" s="1007" t="s">
        <v>75</v>
      </c>
      <c r="AA481" s="1007" t="s">
        <v>2343</v>
      </c>
      <c r="AB481" s="1008">
        <v>46141</v>
      </c>
      <c r="AC481" s="1007">
        <v>18</v>
      </c>
      <c r="AD481" s="1007" t="s">
        <v>2344</v>
      </c>
      <c r="AF481" s="1007" t="s">
        <v>123</v>
      </c>
      <c r="AG481" s="1007" t="s">
        <v>123</v>
      </c>
      <c r="AH481" s="1007" t="s">
        <v>78</v>
      </c>
      <c r="AI481" s="1008">
        <v>46147</v>
      </c>
      <c r="AJ481" s="1008">
        <v>46147</v>
      </c>
      <c r="AK481" s="1008">
        <v>46147</v>
      </c>
      <c r="AL481" s="1008">
        <v>46189</v>
      </c>
      <c r="AM481" s="1008">
        <v>46196</v>
      </c>
      <c r="AN481" s="1008">
        <v>46196</v>
      </c>
      <c r="AO481" s="1007" t="s">
        <v>402</v>
      </c>
      <c r="AP481" s="1007" t="s">
        <v>2345</v>
      </c>
      <c r="AQ481" s="1007" t="s">
        <v>80</v>
      </c>
      <c r="AR481" s="1007" t="s">
        <v>2346</v>
      </c>
      <c r="AS481" s="1007" t="s">
        <v>2347</v>
      </c>
      <c r="AT481" s="1007" t="s">
        <v>2347</v>
      </c>
      <c r="AU481" s="1007">
        <v>49</v>
      </c>
      <c r="AW481" s="1008">
        <v>46196</v>
      </c>
      <c r="AX481" s="1007" t="s">
        <v>973</v>
      </c>
      <c r="AY481" s="1008">
        <v>46208</v>
      </c>
      <c r="AZ481" s="1007">
        <v>8</v>
      </c>
      <c r="BA481" s="1008">
        <v>46204</v>
      </c>
      <c r="BB481" s="1007">
        <v>2026</v>
      </c>
      <c r="BC481" s="1007">
        <v>7</v>
      </c>
      <c r="BD481" s="1007">
        <v>27</v>
      </c>
      <c r="BE481" s="1007">
        <v>36</v>
      </c>
      <c r="BF481" s="1007">
        <v>792</v>
      </c>
      <c r="BG481" s="1007" t="s">
        <v>85</v>
      </c>
      <c r="BH481" s="1007" t="s">
        <v>86</v>
      </c>
    </row>
    <row r="482" spans="1:60">
      <c r="A482" s="1007" t="s">
        <v>2348</v>
      </c>
      <c r="B482" s="1007" t="s">
        <v>2132</v>
      </c>
      <c r="C482" s="1007" t="s">
        <v>2133</v>
      </c>
      <c r="D482" s="1007" t="s">
        <v>63</v>
      </c>
      <c r="E482" s="1007" t="s">
        <v>64</v>
      </c>
      <c r="F482" s="1007" t="s">
        <v>310</v>
      </c>
      <c r="G482" s="1007" t="s">
        <v>402</v>
      </c>
      <c r="H482" s="1007" t="s">
        <v>311</v>
      </c>
      <c r="I482" s="1007" t="s">
        <v>822</v>
      </c>
      <c r="J482" s="1007" t="s">
        <v>96</v>
      </c>
      <c r="M482" s="1007" t="s">
        <v>68</v>
      </c>
      <c r="N482" s="1007" t="s">
        <v>68</v>
      </c>
      <c r="O482" s="1007" t="s">
        <v>550</v>
      </c>
      <c r="P482" s="1007" t="s">
        <v>2134</v>
      </c>
      <c r="Q482" s="1007" t="s">
        <v>2135</v>
      </c>
      <c r="R482" s="1007" t="s">
        <v>73</v>
      </c>
      <c r="S482" s="1007" t="s">
        <v>2136</v>
      </c>
      <c r="T482" s="1007">
        <v>515</v>
      </c>
      <c r="U482" s="1007">
        <v>792</v>
      </c>
      <c r="V482" s="1007">
        <v>0.40788000000000002</v>
      </c>
      <c r="W482" s="1007">
        <v>22</v>
      </c>
      <c r="X482" s="1007">
        <v>1</v>
      </c>
      <c r="Y482" s="1007" t="s">
        <v>951</v>
      </c>
      <c r="Z482" s="1007" t="s">
        <v>75</v>
      </c>
      <c r="AA482" s="1007" t="s">
        <v>2349</v>
      </c>
      <c r="AB482" s="1008">
        <v>46138</v>
      </c>
      <c r="AC482" s="1007">
        <v>17</v>
      </c>
      <c r="AD482" s="1007" t="s">
        <v>2350</v>
      </c>
      <c r="AF482" s="1007" t="s">
        <v>123</v>
      </c>
      <c r="AG482" s="1007" t="s">
        <v>123</v>
      </c>
      <c r="AH482" s="1007" t="s">
        <v>314</v>
      </c>
      <c r="AI482" s="1008">
        <v>46143</v>
      </c>
      <c r="AJ482" s="1008">
        <v>46146</v>
      </c>
      <c r="AK482" s="1008">
        <v>46146</v>
      </c>
      <c r="AL482" s="1008">
        <v>46190</v>
      </c>
      <c r="AM482" s="1008">
        <v>46197</v>
      </c>
      <c r="AN482" s="1008">
        <v>46198</v>
      </c>
      <c r="AO482" s="1007" t="s">
        <v>402</v>
      </c>
      <c r="AP482" s="1007" t="s">
        <v>2351</v>
      </c>
      <c r="AQ482" s="1007" t="s">
        <v>80</v>
      </c>
      <c r="AR482" s="1007" t="s">
        <v>2352</v>
      </c>
      <c r="AS482" s="1007" t="s">
        <v>2353</v>
      </c>
      <c r="AT482" s="1007" t="s">
        <v>2353</v>
      </c>
      <c r="AU482" s="1007">
        <v>52</v>
      </c>
      <c r="AW482" s="1008">
        <v>46198</v>
      </c>
      <c r="AX482" s="1007" t="s">
        <v>973</v>
      </c>
      <c r="AY482" s="1008">
        <v>46211</v>
      </c>
      <c r="AZ482" s="1007">
        <v>13</v>
      </c>
      <c r="BA482" s="1008">
        <v>46211</v>
      </c>
      <c r="BB482" s="1007">
        <v>2026</v>
      </c>
      <c r="BC482" s="1007">
        <v>7</v>
      </c>
      <c r="BD482" s="1007">
        <v>28</v>
      </c>
      <c r="BE482" s="1007">
        <v>36</v>
      </c>
      <c r="BF482" s="1007">
        <v>792</v>
      </c>
      <c r="BG482" s="1007" t="s">
        <v>85</v>
      </c>
      <c r="BH482" s="1007" t="s">
        <v>86</v>
      </c>
    </row>
    <row r="483" spans="1:60">
      <c r="A483" s="1007" t="s">
        <v>2354</v>
      </c>
      <c r="B483" s="1007" t="s">
        <v>2132</v>
      </c>
      <c r="C483" s="1007" t="s">
        <v>2150</v>
      </c>
      <c r="D483" s="1007" t="s">
        <v>63</v>
      </c>
      <c r="E483" s="1007" t="s">
        <v>64</v>
      </c>
      <c r="F483" s="1007" t="s">
        <v>310</v>
      </c>
      <c r="G483" s="1007" t="s">
        <v>402</v>
      </c>
      <c r="H483" s="1007" t="s">
        <v>311</v>
      </c>
      <c r="I483" s="1007" t="s">
        <v>822</v>
      </c>
      <c r="J483" s="1007" t="s">
        <v>96</v>
      </c>
      <c r="M483" s="1007" t="s">
        <v>68</v>
      </c>
      <c r="N483" s="1007" t="s">
        <v>68</v>
      </c>
      <c r="O483" s="1007" t="s">
        <v>550</v>
      </c>
      <c r="P483" s="1007" t="s">
        <v>551</v>
      </c>
      <c r="Q483" s="1007" t="s">
        <v>2151</v>
      </c>
      <c r="R483" s="1007" t="s">
        <v>73</v>
      </c>
      <c r="S483" s="1007" t="s">
        <v>2136</v>
      </c>
      <c r="T483" s="1007">
        <v>510</v>
      </c>
      <c r="U483" s="1007">
        <v>2376</v>
      </c>
      <c r="V483" s="1007">
        <v>1.2117599999999999</v>
      </c>
      <c r="W483" s="1007">
        <v>66</v>
      </c>
      <c r="X483" s="1007">
        <v>3</v>
      </c>
      <c r="Y483" s="1007" t="s">
        <v>951</v>
      </c>
      <c r="Z483" s="1007" t="s">
        <v>75</v>
      </c>
      <c r="AA483" s="1007" t="s">
        <v>2349</v>
      </c>
      <c r="AB483" s="1008">
        <v>46138</v>
      </c>
      <c r="AC483" s="1007">
        <v>17</v>
      </c>
      <c r="AD483" s="1007" t="s">
        <v>2355</v>
      </c>
      <c r="AF483" s="1007" t="s">
        <v>123</v>
      </c>
      <c r="AG483" s="1007" t="s">
        <v>123</v>
      </c>
      <c r="AH483" s="1007" t="s">
        <v>314</v>
      </c>
      <c r="AI483" s="1008">
        <v>46143</v>
      </c>
      <c r="AJ483" s="1008">
        <v>46146</v>
      </c>
      <c r="AK483" s="1008">
        <v>46146</v>
      </c>
      <c r="AL483" s="1008">
        <v>46190</v>
      </c>
      <c r="AM483" s="1008">
        <v>46197</v>
      </c>
      <c r="AN483" s="1008">
        <v>46198</v>
      </c>
      <c r="AO483" s="1007" t="s">
        <v>402</v>
      </c>
      <c r="AP483" s="1007" t="s">
        <v>2351</v>
      </c>
      <c r="AQ483" s="1007" t="s">
        <v>80</v>
      </c>
      <c r="AR483" s="1007" t="s">
        <v>2352</v>
      </c>
      <c r="AS483" s="1007" t="s">
        <v>2353</v>
      </c>
      <c r="AT483" s="1007" t="s">
        <v>2353</v>
      </c>
      <c r="AU483" s="1007">
        <v>52</v>
      </c>
      <c r="AW483" s="1008">
        <v>46198</v>
      </c>
      <c r="AX483" s="1007" t="s">
        <v>973</v>
      </c>
      <c r="AY483" s="1008">
        <v>46211</v>
      </c>
      <c r="AZ483" s="1007">
        <v>13</v>
      </c>
      <c r="BA483" s="1008">
        <v>46211</v>
      </c>
      <c r="BB483" s="1007">
        <v>2026</v>
      </c>
      <c r="BC483" s="1007">
        <v>7</v>
      </c>
      <c r="BD483" s="1007">
        <v>28</v>
      </c>
      <c r="BE483" s="1007">
        <v>36</v>
      </c>
      <c r="BF483" s="1007">
        <v>792</v>
      </c>
      <c r="BG483" s="1007" t="s">
        <v>85</v>
      </c>
      <c r="BH483" s="1007" t="s">
        <v>86</v>
      </c>
    </row>
    <row r="484" spans="1:60">
      <c r="A484" s="1007" t="s">
        <v>2356</v>
      </c>
      <c r="B484" s="1007" t="s">
        <v>2132</v>
      </c>
      <c r="C484" s="1007" t="s">
        <v>2150</v>
      </c>
      <c r="D484" s="1007" t="s">
        <v>63</v>
      </c>
      <c r="E484" s="1007" t="s">
        <v>64</v>
      </c>
      <c r="F484" s="1007" t="s">
        <v>310</v>
      </c>
      <c r="G484" s="1007" t="s">
        <v>402</v>
      </c>
      <c r="H484" s="1007" t="s">
        <v>311</v>
      </c>
      <c r="I484" s="1007" t="s">
        <v>1395</v>
      </c>
      <c r="J484" s="1007" t="s">
        <v>96</v>
      </c>
      <c r="M484" s="1007" t="s">
        <v>68</v>
      </c>
      <c r="N484" s="1007" t="s">
        <v>68</v>
      </c>
      <c r="O484" s="1007" t="s">
        <v>550</v>
      </c>
      <c r="P484" s="1007" t="s">
        <v>551</v>
      </c>
      <c r="Q484" s="1007" t="s">
        <v>2151</v>
      </c>
      <c r="R484" s="1007" t="s">
        <v>73</v>
      </c>
      <c r="S484" s="1007" t="s">
        <v>2136</v>
      </c>
      <c r="T484" s="1007">
        <v>510</v>
      </c>
      <c r="U484" s="1007">
        <v>1584</v>
      </c>
      <c r="V484" s="1007">
        <v>0.80784</v>
      </c>
      <c r="W484" s="1007">
        <v>44</v>
      </c>
      <c r="X484" s="1007">
        <v>2</v>
      </c>
      <c r="Y484" s="1007" t="s">
        <v>951</v>
      </c>
      <c r="Z484" s="1007" t="s">
        <v>75</v>
      </c>
      <c r="AA484" s="1007" t="s">
        <v>2357</v>
      </c>
      <c r="AB484" s="1008">
        <v>46141</v>
      </c>
      <c r="AC484" s="1007">
        <v>18</v>
      </c>
      <c r="AD484" s="1007" t="s">
        <v>2358</v>
      </c>
      <c r="AF484" s="1007" t="s">
        <v>123</v>
      </c>
      <c r="AG484" s="1007" t="s">
        <v>123</v>
      </c>
      <c r="AH484" s="1007" t="s">
        <v>1561</v>
      </c>
      <c r="AI484" s="1008">
        <v>46147</v>
      </c>
      <c r="AJ484" s="1008">
        <v>46149</v>
      </c>
      <c r="AK484" s="1008">
        <v>46149</v>
      </c>
      <c r="AL484" s="1008">
        <v>46206</v>
      </c>
      <c r="AN484" s="1008">
        <v>46205</v>
      </c>
      <c r="AO484" s="1007" t="s">
        <v>402</v>
      </c>
      <c r="AP484" s="1007" t="s">
        <v>2359</v>
      </c>
      <c r="AQ484" s="1007" t="s">
        <v>80</v>
      </c>
      <c r="AR484" s="1007" t="s">
        <v>2360</v>
      </c>
      <c r="AS484" s="1007" t="s">
        <v>2361</v>
      </c>
      <c r="AT484" s="1007" t="s">
        <v>2361</v>
      </c>
      <c r="AU484" s="1007">
        <v>56</v>
      </c>
      <c r="AW484" s="1008">
        <v>46205</v>
      </c>
      <c r="AX484" s="1007" t="s">
        <v>973</v>
      </c>
      <c r="AY484" s="1008">
        <v>46218</v>
      </c>
      <c r="AZ484" s="1007">
        <v>13</v>
      </c>
      <c r="BA484" s="1008">
        <v>46218</v>
      </c>
      <c r="BB484" s="1007">
        <v>2026</v>
      </c>
      <c r="BC484" s="1007">
        <v>7</v>
      </c>
      <c r="BD484" s="1007">
        <v>29</v>
      </c>
      <c r="BE484" s="1007">
        <v>36</v>
      </c>
      <c r="BF484" s="1007">
        <v>792</v>
      </c>
      <c r="BG484" s="1007" t="s">
        <v>85</v>
      </c>
      <c r="BH484" s="1007" t="s">
        <v>86</v>
      </c>
    </row>
    <row r="485" spans="1:60">
      <c r="A485" s="1007" t="s">
        <v>2362</v>
      </c>
      <c r="B485" s="1007" t="s">
        <v>2132</v>
      </c>
      <c r="C485" s="1007" t="s">
        <v>2150</v>
      </c>
      <c r="D485" s="1007" t="s">
        <v>63</v>
      </c>
      <c r="E485" s="1007" t="s">
        <v>64</v>
      </c>
      <c r="F485" s="1007" t="s">
        <v>114</v>
      </c>
      <c r="G485" s="1007" t="s">
        <v>402</v>
      </c>
      <c r="H485" s="1007" t="s">
        <v>115</v>
      </c>
      <c r="I485" s="1007" t="s">
        <v>882</v>
      </c>
      <c r="J485" s="1007" t="s">
        <v>96</v>
      </c>
      <c r="M485" s="1007" t="s">
        <v>68</v>
      </c>
      <c r="N485" s="1007" t="s">
        <v>68</v>
      </c>
      <c r="O485" s="1007" t="s">
        <v>550</v>
      </c>
      <c r="P485" s="1007" t="s">
        <v>551</v>
      </c>
      <c r="Q485" s="1007" t="s">
        <v>2151</v>
      </c>
      <c r="R485" s="1007" t="s">
        <v>73</v>
      </c>
      <c r="S485" s="1007" t="s">
        <v>2136</v>
      </c>
      <c r="T485" s="1007">
        <v>510</v>
      </c>
      <c r="U485" s="1007">
        <v>1584</v>
      </c>
      <c r="V485" s="1007">
        <v>0.80784</v>
      </c>
      <c r="W485" s="1007">
        <v>44</v>
      </c>
      <c r="X485" s="1007">
        <v>2</v>
      </c>
      <c r="Y485" s="1007" t="s">
        <v>951</v>
      </c>
      <c r="Z485" s="1007" t="s">
        <v>75</v>
      </c>
      <c r="AA485" s="1007" t="s">
        <v>2343</v>
      </c>
      <c r="AB485" s="1008">
        <v>46141</v>
      </c>
      <c r="AC485" s="1007">
        <v>18</v>
      </c>
      <c r="AD485" s="1007" t="s">
        <v>2363</v>
      </c>
      <c r="AF485" s="1007" t="s">
        <v>123</v>
      </c>
      <c r="AG485" s="1007" t="s">
        <v>123</v>
      </c>
      <c r="AH485" s="1007" t="s">
        <v>124</v>
      </c>
      <c r="AI485" s="1008">
        <v>46147</v>
      </c>
      <c r="AJ485" s="1008">
        <v>46147</v>
      </c>
      <c r="AK485" s="1008">
        <v>46147</v>
      </c>
      <c r="AL485" s="1008">
        <v>46184</v>
      </c>
      <c r="AM485" s="1008">
        <v>46185</v>
      </c>
      <c r="AN485" s="1008">
        <v>46192</v>
      </c>
      <c r="AO485" s="1007" t="s">
        <v>402</v>
      </c>
      <c r="AP485" s="1007" t="s">
        <v>2345</v>
      </c>
      <c r="AQ485" s="1007" t="s">
        <v>80</v>
      </c>
      <c r="AR485" s="1007" t="s">
        <v>2364</v>
      </c>
      <c r="AS485" s="1007" t="s">
        <v>2365</v>
      </c>
      <c r="AT485" s="1007" t="s">
        <v>2365</v>
      </c>
      <c r="AU485" s="1007">
        <v>45</v>
      </c>
      <c r="AW485" s="1008">
        <v>46192</v>
      </c>
      <c r="AX485" s="1007" t="s">
        <v>973</v>
      </c>
      <c r="AY485" s="1008">
        <v>46205</v>
      </c>
      <c r="AZ485" s="1007">
        <v>9</v>
      </c>
      <c r="BA485" s="1008">
        <v>46201</v>
      </c>
      <c r="BB485" s="1007">
        <v>2026</v>
      </c>
      <c r="BC485" s="1007">
        <v>6</v>
      </c>
      <c r="BD485" s="1007">
        <v>26</v>
      </c>
      <c r="BE485" s="1007">
        <v>36</v>
      </c>
      <c r="BF485" s="1007">
        <v>792</v>
      </c>
      <c r="BG485" s="1007" t="s">
        <v>85</v>
      </c>
      <c r="BH485" s="1007" t="s">
        <v>86</v>
      </c>
    </row>
    <row r="486" spans="1:60">
      <c r="A486" s="1007" t="s">
        <v>2366</v>
      </c>
      <c r="B486" s="1007" t="s">
        <v>61</v>
      </c>
      <c r="C486" s="1007" t="s">
        <v>2260</v>
      </c>
      <c r="D486" s="1007" t="s">
        <v>63</v>
      </c>
      <c r="E486" s="1007" t="s">
        <v>64</v>
      </c>
      <c r="F486" s="1007" t="s">
        <v>100</v>
      </c>
      <c r="G486" s="1007" t="s">
        <v>402</v>
      </c>
      <c r="H486" s="1007" t="s">
        <v>67</v>
      </c>
      <c r="I486" s="1007" t="s">
        <v>882</v>
      </c>
      <c r="J486" s="1007" t="s">
        <v>96</v>
      </c>
      <c r="M486" s="1007" t="s">
        <v>68</v>
      </c>
      <c r="N486" s="1007" t="s">
        <v>68</v>
      </c>
      <c r="O486" s="1007" t="s">
        <v>70</v>
      </c>
      <c r="P486" s="1007" t="s">
        <v>1151</v>
      </c>
      <c r="Q486" s="1007" t="s">
        <v>421</v>
      </c>
      <c r="R486" s="1007" t="s">
        <v>73</v>
      </c>
      <c r="S486" s="1007" t="s">
        <v>967</v>
      </c>
      <c r="T486" s="1007">
        <v>505</v>
      </c>
      <c r="U486" s="1007">
        <v>864</v>
      </c>
      <c r="V486" s="1007">
        <v>0.43631999999999999</v>
      </c>
      <c r="W486" s="1007">
        <v>24</v>
      </c>
      <c r="X486" s="1007">
        <v>1</v>
      </c>
      <c r="Y486" s="1007" t="s">
        <v>951</v>
      </c>
      <c r="Z486" s="1007" t="s">
        <v>75</v>
      </c>
      <c r="AA486" s="1007" t="s">
        <v>2183</v>
      </c>
      <c r="AB486" s="1008">
        <v>46141</v>
      </c>
      <c r="AC486" s="1007">
        <v>18</v>
      </c>
      <c r="AD486" s="1007" t="s">
        <v>2367</v>
      </c>
      <c r="AF486" s="1007" t="s">
        <v>61</v>
      </c>
      <c r="AG486" s="1007" t="s">
        <v>61</v>
      </c>
      <c r="AH486" s="1007" t="s">
        <v>105</v>
      </c>
      <c r="AI486" s="1008">
        <v>46146</v>
      </c>
      <c r="AJ486" s="1008">
        <v>46146</v>
      </c>
      <c r="AK486" s="1008">
        <v>46146</v>
      </c>
      <c r="AL486" s="1008">
        <v>46200</v>
      </c>
      <c r="AM486" s="1008">
        <v>46200</v>
      </c>
      <c r="AN486" s="1008">
        <v>46202</v>
      </c>
      <c r="AO486" s="1007" t="s">
        <v>402</v>
      </c>
      <c r="AP486" s="1007" t="s">
        <v>2368</v>
      </c>
      <c r="AQ486" s="1007" t="s">
        <v>80</v>
      </c>
      <c r="AR486" s="1007" t="s">
        <v>2369</v>
      </c>
      <c r="AS486" s="1007" t="s">
        <v>2370</v>
      </c>
      <c r="AT486" s="1007" t="s">
        <v>2370</v>
      </c>
      <c r="AU486" s="1007">
        <v>56</v>
      </c>
      <c r="AW486" s="1008">
        <v>46202</v>
      </c>
      <c r="AX486" s="1007" t="s">
        <v>973</v>
      </c>
      <c r="AY486" s="1008">
        <v>46215</v>
      </c>
      <c r="AZ486" s="1007">
        <v>7</v>
      </c>
      <c r="BA486" s="1008">
        <v>46209</v>
      </c>
      <c r="BB486" s="1007">
        <v>2026</v>
      </c>
      <c r="BC486" s="1007">
        <v>7</v>
      </c>
      <c r="BD486" s="1007">
        <v>28</v>
      </c>
      <c r="BE486" s="1007">
        <v>36</v>
      </c>
      <c r="BF486" s="1007">
        <v>864</v>
      </c>
      <c r="BG486" s="1007" t="s">
        <v>85</v>
      </c>
      <c r="BH486" s="1007" t="s">
        <v>109</v>
      </c>
    </row>
    <row r="487" spans="1:60">
      <c r="A487" s="1007" t="s">
        <v>2371</v>
      </c>
      <c r="B487" s="1007" t="s">
        <v>61</v>
      </c>
      <c r="C487" s="1007" t="s">
        <v>203</v>
      </c>
      <c r="D487" s="1007" t="s">
        <v>63</v>
      </c>
      <c r="E487" s="1007" t="s">
        <v>64</v>
      </c>
      <c r="F487" s="1007" t="s">
        <v>100</v>
      </c>
      <c r="G487" s="1007" t="s">
        <v>402</v>
      </c>
      <c r="H487" s="1007" t="s">
        <v>67</v>
      </c>
      <c r="I487" s="1007" t="s">
        <v>1395</v>
      </c>
      <c r="J487" s="1007" t="s">
        <v>2372</v>
      </c>
      <c r="M487" s="1007" t="s">
        <v>68</v>
      </c>
      <c r="N487" s="1007">
        <v>46125</v>
      </c>
      <c r="O487" s="1007" t="s">
        <v>70</v>
      </c>
      <c r="P487" s="1007" t="s">
        <v>965</v>
      </c>
      <c r="Q487" s="1007" t="s">
        <v>966</v>
      </c>
      <c r="R487" s="1007" t="s">
        <v>73</v>
      </c>
      <c r="S487" s="1007" t="s">
        <v>967</v>
      </c>
      <c r="T487" s="1007">
        <v>455</v>
      </c>
      <c r="U487" s="1007">
        <v>4680</v>
      </c>
      <c r="V487" s="1007">
        <v>2.1294</v>
      </c>
      <c r="W487" s="1007">
        <v>130</v>
      </c>
      <c r="X487" s="1007">
        <v>5</v>
      </c>
      <c r="Y487" s="1007" t="s">
        <v>951</v>
      </c>
      <c r="Z487" s="1007" t="s">
        <v>75</v>
      </c>
      <c r="AA487" s="1007" t="s">
        <v>2373</v>
      </c>
      <c r="AB487" s="1008">
        <v>46141</v>
      </c>
      <c r="AC487" s="1007">
        <v>18</v>
      </c>
      <c r="AD487" s="1007" t="s">
        <v>2374</v>
      </c>
      <c r="AF487" s="1007" t="s">
        <v>77</v>
      </c>
      <c r="AG487" s="1007" t="s">
        <v>61</v>
      </c>
      <c r="AH487" s="1007" t="s">
        <v>105</v>
      </c>
      <c r="AI487" s="1008">
        <v>46146</v>
      </c>
      <c r="AJ487" s="1008">
        <v>46146</v>
      </c>
      <c r="AK487" s="1008">
        <v>46146</v>
      </c>
      <c r="AL487" s="1008">
        <v>46189</v>
      </c>
      <c r="AM487" s="1008">
        <v>46197</v>
      </c>
      <c r="AN487" s="1008">
        <v>46197</v>
      </c>
      <c r="AO487" s="1007" t="s">
        <v>402</v>
      </c>
      <c r="AP487" s="1007" t="s">
        <v>2368</v>
      </c>
      <c r="AQ487" s="1007" t="s">
        <v>80</v>
      </c>
      <c r="AR487" s="1007" t="s">
        <v>2375</v>
      </c>
      <c r="AS487" s="1007" t="s">
        <v>2376</v>
      </c>
      <c r="AT487" s="1007" t="s">
        <v>2376</v>
      </c>
      <c r="AU487" s="1007">
        <v>51</v>
      </c>
      <c r="AW487" s="1008">
        <v>46197</v>
      </c>
      <c r="AX487" s="1007" t="s">
        <v>973</v>
      </c>
      <c r="AY487" s="1008">
        <v>46210</v>
      </c>
      <c r="AZ487" s="1007">
        <v>7</v>
      </c>
      <c r="BA487" s="1008">
        <v>46204</v>
      </c>
      <c r="BB487" s="1007">
        <v>2026</v>
      </c>
      <c r="BC487" s="1007">
        <v>7</v>
      </c>
      <c r="BD487" s="1007">
        <v>27</v>
      </c>
      <c r="BE487" s="1007">
        <v>36</v>
      </c>
      <c r="BF487" s="1007">
        <v>936</v>
      </c>
      <c r="BG487" s="1007" t="s">
        <v>85</v>
      </c>
      <c r="BH487" s="1007" t="s">
        <v>109</v>
      </c>
    </row>
    <row r="488" spans="1:60">
      <c r="A488" s="1007" t="s">
        <v>2377</v>
      </c>
      <c r="B488" s="1007" t="s">
        <v>61</v>
      </c>
      <c r="C488" s="1007" t="s">
        <v>2260</v>
      </c>
      <c r="D488" s="1007" t="s">
        <v>63</v>
      </c>
      <c r="E488" s="1007" t="s">
        <v>64</v>
      </c>
      <c r="F488" s="1007" t="s">
        <v>65</v>
      </c>
      <c r="G488" s="1007" t="s">
        <v>402</v>
      </c>
      <c r="H488" s="1007" t="s">
        <v>67</v>
      </c>
      <c r="I488" s="1007" t="s">
        <v>869</v>
      </c>
      <c r="J488" s="1007" t="s">
        <v>96</v>
      </c>
      <c r="M488" s="1007" t="s">
        <v>68</v>
      </c>
      <c r="N488" s="1007" t="s">
        <v>68</v>
      </c>
      <c r="O488" s="1007" t="s">
        <v>70</v>
      </c>
      <c r="P488" s="1007" t="s">
        <v>1151</v>
      </c>
      <c r="Q488" s="1007" t="s">
        <v>421</v>
      </c>
      <c r="R488" s="1007" t="s">
        <v>73</v>
      </c>
      <c r="S488" s="1007" t="s">
        <v>967</v>
      </c>
      <c r="T488" s="1007">
        <v>505</v>
      </c>
      <c r="U488" s="1007">
        <v>1728</v>
      </c>
      <c r="V488" s="1007">
        <v>0.87263999999999997</v>
      </c>
      <c r="W488" s="1007">
        <v>48</v>
      </c>
      <c r="X488" s="1007">
        <v>2</v>
      </c>
      <c r="Y488" s="1007" t="s">
        <v>951</v>
      </c>
      <c r="Z488" s="1007" t="s">
        <v>75</v>
      </c>
      <c r="AA488" s="1007" t="s">
        <v>2183</v>
      </c>
      <c r="AB488" s="1008">
        <v>46141</v>
      </c>
      <c r="AC488" s="1007">
        <v>18</v>
      </c>
      <c r="AD488" s="1007" t="s">
        <v>2378</v>
      </c>
      <c r="AF488" s="1007" t="s">
        <v>77</v>
      </c>
      <c r="AG488" s="1007" t="s">
        <v>61</v>
      </c>
      <c r="AH488" s="1007" t="s">
        <v>78</v>
      </c>
      <c r="AI488" s="1008">
        <v>46146</v>
      </c>
      <c r="AJ488" s="1008">
        <v>46146</v>
      </c>
      <c r="AK488" s="1008">
        <v>46146</v>
      </c>
      <c r="AL488" s="1008">
        <v>46209</v>
      </c>
      <c r="AM488" s="1008">
        <v>46209</v>
      </c>
      <c r="AN488" s="1008">
        <v>46210</v>
      </c>
      <c r="AO488" s="1007" t="s">
        <v>402</v>
      </c>
      <c r="AP488" s="1007" t="s">
        <v>2368</v>
      </c>
      <c r="AQ488" s="1007" t="s">
        <v>80</v>
      </c>
      <c r="AR488" s="1007" t="s">
        <v>2379</v>
      </c>
      <c r="AS488" s="1007" t="s">
        <v>2380</v>
      </c>
      <c r="AT488" s="1007" t="s">
        <v>2380</v>
      </c>
      <c r="AU488" s="1007">
        <v>64</v>
      </c>
      <c r="AW488" s="1008">
        <v>46210</v>
      </c>
      <c r="AX488" s="1007" t="s">
        <v>973</v>
      </c>
      <c r="AY488" s="1008">
        <v>46222</v>
      </c>
      <c r="AZ488" s="1007">
        <v>8</v>
      </c>
      <c r="BA488" s="1008">
        <v>46218</v>
      </c>
      <c r="BB488" s="1007">
        <v>2026</v>
      </c>
      <c r="BC488" s="1007">
        <v>7</v>
      </c>
      <c r="BD488" s="1007">
        <v>29</v>
      </c>
      <c r="BE488" s="1007">
        <v>36</v>
      </c>
      <c r="BF488" s="1007">
        <v>864</v>
      </c>
      <c r="BG488" s="1007" t="s">
        <v>85</v>
      </c>
      <c r="BH488" s="1007" t="s">
        <v>86</v>
      </c>
    </row>
    <row r="489" spans="1:60">
      <c r="A489" s="1007" t="s">
        <v>2381</v>
      </c>
      <c r="B489" s="1007" t="s">
        <v>61</v>
      </c>
      <c r="C489" s="1007" t="s">
        <v>2260</v>
      </c>
      <c r="D489" s="1007" t="s">
        <v>63</v>
      </c>
      <c r="E489" s="1007" t="s">
        <v>144</v>
      </c>
      <c r="F489" s="1007" t="s">
        <v>145</v>
      </c>
      <c r="G489" s="1007" t="s">
        <v>146</v>
      </c>
      <c r="H489" s="1007" t="s">
        <v>2382</v>
      </c>
      <c r="I489" s="1007" t="s">
        <v>869</v>
      </c>
      <c r="J489" s="1007" t="s">
        <v>2382</v>
      </c>
      <c r="K489" s="1007" t="s">
        <v>2383</v>
      </c>
      <c r="L489" s="1007" t="s">
        <v>2384</v>
      </c>
      <c r="M489" s="1007" t="s">
        <v>840</v>
      </c>
      <c r="N489" s="1007" t="s">
        <v>68</v>
      </c>
      <c r="O489" s="1007" t="s">
        <v>70</v>
      </c>
      <c r="P489" s="1007" t="s">
        <v>1151</v>
      </c>
      <c r="Q489" s="1007" t="s">
        <v>421</v>
      </c>
      <c r="R489" s="1007" t="s">
        <v>73</v>
      </c>
      <c r="S489" s="1007" t="s">
        <v>967</v>
      </c>
      <c r="T489" s="1007">
        <v>505</v>
      </c>
      <c r="U489" s="1007">
        <v>1728</v>
      </c>
      <c r="V489" s="1007">
        <v>0.87263999999999997</v>
      </c>
      <c r="W489" s="1007">
        <v>48</v>
      </c>
      <c r="X489" s="1007">
        <v>2</v>
      </c>
      <c r="Y489" s="1007" t="s">
        <v>951</v>
      </c>
      <c r="Z489" s="1007" t="s">
        <v>75</v>
      </c>
      <c r="AA489" s="1007" t="s">
        <v>2183</v>
      </c>
      <c r="AB489" s="1008">
        <v>46141</v>
      </c>
      <c r="AC489" s="1007">
        <v>18</v>
      </c>
      <c r="AD489" s="1007" t="s">
        <v>2385</v>
      </c>
      <c r="AF489" s="1007" t="s">
        <v>77</v>
      </c>
      <c r="AG489" s="1007" t="s">
        <v>61</v>
      </c>
      <c r="AH489" s="1007" t="s">
        <v>78</v>
      </c>
      <c r="AI489" s="1008">
        <v>46146</v>
      </c>
      <c r="AJ489" s="1008">
        <v>46146</v>
      </c>
      <c r="AK489" s="1008">
        <v>46146</v>
      </c>
      <c r="AL489" s="1008">
        <v>46209</v>
      </c>
      <c r="AM489" s="1008">
        <v>46209</v>
      </c>
      <c r="AN489" s="1008">
        <v>46210</v>
      </c>
      <c r="AO489" s="1007" t="s">
        <v>402</v>
      </c>
      <c r="AP489" s="1007" t="s">
        <v>2368</v>
      </c>
      <c r="AQ489" s="1007" t="s">
        <v>80</v>
      </c>
      <c r="AR489" s="1007" t="s">
        <v>2379</v>
      </c>
      <c r="AS489" s="1007" t="s">
        <v>2386</v>
      </c>
      <c r="AT489" s="1007" t="s">
        <v>2380</v>
      </c>
      <c r="AU489" s="1007">
        <v>64</v>
      </c>
      <c r="AW489" s="1008">
        <v>46210</v>
      </c>
      <c r="AX489" s="1007" t="s">
        <v>973</v>
      </c>
      <c r="AY489" s="1008">
        <v>46222</v>
      </c>
      <c r="AZ489" s="1007">
        <v>0</v>
      </c>
      <c r="BA489" s="1008">
        <v>46210</v>
      </c>
      <c r="BB489" s="1007">
        <v>2026</v>
      </c>
      <c r="BC489" s="1007">
        <v>7</v>
      </c>
      <c r="BD489" s="1007">
        <v>28</v>
      </c>
      <c r="BE489" s="1007">
        <v>36</v>
      </c>
      <c r="BF489" s="1007">
        <v>864</v>
      </c>
      <c r="BG489" s="1007" t="s">
        <v>85</v>
      </c>
      <c r="BH489" s="1007" t="s">
        <v>86</v>
      </c>
    </row>
    <row r="490" spans="1:60">
      <c r="A490" s="1007" t="s">
        <v>2387</v>
      </c>
      <c r="B490" s="1007" t="s">
        <v>61</v>
      </c>
      <c r="C490" s="1007" t="s">
        <v>2268</v>
      </c>
      <c r="D490" s="1007" t="s">
        <v>63</v>
      </c>
      <c r="E490" s="1007" t="s">
        <v>144</v>
      </c>
      <c r="F490" s="1007" t="s">
        <v>145</v>
      </c>
      <c r="G490" s="1007" t="s">
        <v>402</v>
      </c>
      <c r="H490" s="1007" t="s">
        <v>1029</v>
      </c>
      <c r="I490" s="1007" t="s">
        <v>689</v>
      </c>
      <c r="J490" s="1007" t="s">
        <v>2388</v>
      </c>
      <c r="K490" s="1007" t="s">
        <v>2389</v>
      </c>
      <c r="L490" s="1007">
        <v>1</v>
      </c>
      <c r="M490" s="1007" t="s">
        <v>840</v>
      </c>
      <c r="N490" s="1007" t="s">
        <v>68</v>
      </c>
      <c r="O490" s="1007" t="s">
        <v>70</v>
      </c>
      <c r="P490" s="1007" t="s">
        <v>71</v>
      </c>
      <c r="Q490" s="1007" t="s">
        <v>72</v>
      </c>
      <c r="R490" s="1007" t="s">
        <v>73</v>
      </c>
      <c r="S490" s="1007" t="s">
        <v>967</v>
      </c>
      <c r="T490" s="1007">
        <v>500</v>
      </c>
      <c r="U490" s="1007">
        <v>864</v>
      </c>
      <c r="V490" s="1007">
        <v>0.432</v>
      </c>
      <c r="W490" s="1007">
        <v>24</v>
      </c>
      <c r="X490" s="1007">
        <v>1</v>
      </c>
      <c r="Y490" s="1007" t="s">
        <v>951</v>
      </c>
      <c r="Z490" s="1007" t="s">
        <v>75</v>
      </c>
      <c r="AB490" s="1008">
        <v>46141</v>
      </c>
      <c r="AC490" s="1007">
        <v>18</v>
      </c>
      <c r="AD490" s="1007" t="s">
        <v>2390</v>
      </c>
      <c r="AF490" s="1007" t="s">
        <v>77</v>
      </c>
      <c r="AG490" s="1007" t="s">
        <v>61</v>
      </c>
      <c r="AH490" s="1007" t="s">
        <v>888</v>
      </c>
      <c r="AI490" s="1008">
        <v>46146</v>
      </c>
      <c r="AJ490" s="1008">
        <v>46146</v>
      </c>
      <c r="AK490" s="1008">
        <v>46146</v>
      </c>
      <c r="AL490" s="1008">
        <v>46204</v>
      </c>
      <c r="AM490" s="1008">
        <v>46211</v>
      </c>
      <c r="AN490" s="1008">
        <v>46211</v>
      </c>
      <c r="AO490" s="1007" t="s">
        <v>402</v>
      </c>
      <c r="AP490" s="1007" t="s">
        <v>2368</v>
      </c>
      <c r="AQ490" s="1007" t="s">
        <v>80</v>
      </c>
      <c r="AR490" s="1007" t="s">
        <v>2391</v>
      </c>
      <c r="AS490" s="1007" t="s">
        <v>2392</v>
      </c>
      <c r="AT490" s="1007" t="s">
        <v>2392</v>
      </c>
      <c r="AU490" s="1007">
        <v>65</v>
      </c>
      <c r="AW490" s="1008">
        <v>46211</v>
      </c>
      <c r="AX490" s="1007" t="s">
        <v>973</v>
      </c>
      <c r="AY490" s="1008">
        <v>46203</v>
      </c>
      <c r="AZ490" s="1007">
        <v>0</v>
      </c>
      <c r="BA490" s="1008">
        <v>46211</v>
      </c>
      <c r="BB490" s="1007">
        <v>2026</v>
      </c>
      <c r="BC490" s="1007">
        <v>7</v>
      </c>
      <c r="BD490" s="1007">
        <v>28</v>
      </c>
      <c r="BE490" s="1007">
        <v>36</v>
      </c>
      <c r="BF490" s="1007">
        <v>864</v>
      </c>
      <c r="BG490" s="1007" t="s">
        <v>85</v>
      </c>
      <c r="BH490" s="1007" t="s">
        <v>109</v>
      </c>
    </row>
    <row r="491" spans="1:60">
      <c r="A491" s="1007" t="s">
        <v>2393</v>
      </c>
      <c r="B491" s="1007" t="s">
        <v>61</v>
      </c>
      <c r="C491" s="1007" t="s">
        <v>2268</v>
      </c>
      <c r="D491" s="1007" t="s">
        <v>63</v>
      </c>
      <c r="E491" s="1007" t="s">
        <v>144</v>
      </c>
      <c r="F491" s="1007" t="s">
        <v>145</v>
      </c>
      <c r="G491" s="1007" t="s">
        <v>402</v>
      </c>
      <c r="H491" s="1007" t="s">
        <v>2394</v>
      </c>
      <c r="I491" s="1007" t="s">
        <v>689</v>
      </c>
      <c r="J491" s="1007" t="s">
        <v>2395</v>
      </c>
      <c r="K491" s="1007" t="s">
        <v>2396</v>
      </c>
      <c r="M491" s="1007" t="s">
        <v>840</v>
      </c>
      <c r="N491" s="1007" t="s">
        <v>68</v>
      </c>
      <c r="O491" s="1007" t="s">
        <v>70</v>
      </c>
      <c r="P491" s="1007" t="s">
        <v>71</v>
      </c>
      <c r="Q491" s="1007" t="s">
        <v>72</v>
      </c>
      <c r="R491" s="1007" t="s">
        <v>73</v>
      </c>
      <c r="S491" s="1007" t="s">
        <v>967</v>
      </c>
      <c r="T491" s="1007">
        <v>500</v>
      </c>
      <c r="U491" s="1007">
        <v>5184</v>
      </c>
      <c r="V491" s="1007">
        <v>2.5920000000000001</v>
      </c>
      <c r="W491" s="1007">
        <v>144</v>
      </c>
      <c r="X491" s="1007">
        <v>6</v>
      </c>
      <c r="Y491" s="1007" t="s">
        <v>951</v>
      </c>
      <c r="Z491" s="1007" t="s">
        <v>75</v>
      </c>
      <c r="AB491" s="1008">
        <v>46136</v>
      </c>
      <c r="AC491" s="1007">
        <v>17</v>
      </c>
      <c r="AD491" s="1007" t="s">
        <v>2397</v>
      </c>
      <c r="AF491" s="1007" t="s">
        <v>77</v>
      </c>
      <c r="AG491" s="1007" t="s">
        <v>61</v>
      </c>
      <c r="AH491" s="1007" t="s">
        <v>888</v>
      </c>
      <c r="AI491" s="1008">
        <v>46144</v>
      </c>
      <c r="AJ491" s="1008">
        <v>46149</v>
      </c>
      <c r="AK491" s="1008">
        <v>46149</v>
      </c>
      <c r="AL491" s="1008">
        <v>46208</v>
      </c>
      <c r="AM491" s="1008">
        <v>46206</v>
      </c>
      <c r="AN491" s="1008">
        <v>46207</v>
      </c>
      <c r="AO491" s="1007" t="s">
        <v>402</v>
      </c>
      <c r="AP491" s="1007" t="s">
        <v>2398</v>
      </c>
      <c r="AQ491" s="1007" t="s">
        <v>161</v>
      </c>
      <c r="AR491" s="1007" t="s">
        <v>2399</v>
      </c>
      <c r="AS491" s="1007" t="s">
        <v>2400</v>
      </c>
      <c r="AT491" s="1007" t="s">
        <v>2401</v>
      </c>
      <c r="AU491" s="1007">
        <v>58</v>
      </c>
      <c r="AW491" s="1008">
        <v>46207</v>
      </c>
      <c r="AX491" s="1007" t="s">
        <v>973</v>
      </c>
      <c r="AY491" s="1008">
        <v>46202</v>
      </c>
      <c r="AZ491" s="1007">
        <v>0</v>
      </c>
      <c r="BA491" s="1008">
        <v>46207</v>
      </c>
      <c r="BB491" s="1007">
        <v>2026</v>
      </c>
      <c r="BC491" s="1007">
        <v>7</v>
      </c>
      <c r="BD491" s="1007">
        <v>27</v>
      </c>
      <c r="BE491" s="1007">
        <v>36</v>
      </c>
      <c r="BF491" s="1007">
        <v>864</v>
      </c>
      <c r="BG491" s="1007" t="s">
        <v>85</v>
      </c>
      <c r="BH491" s="1007" t="s">
        <v>109</v>
      </c>
    </row>
    <row r="492" spans="1:60">
      <c r="A492" s="1007" t="s">
        <v>2402</v>
      </c>
      <c r="B492" s="1007" t="s">
        <v>61</v>
      </c>
      <c r="C492" s="1007" t="s">
        <v>2268</v>
      </c>
      <c r="D492" s="1007" t="s">
        <v>63</v>
      </c>
      <c r="E492" s="1007" t="s">
        <v>144</v>
      </c>
      <c r="F492" s="1007" t="s">
        <v>145</v>
      </c>
      <c r="G492" s="1007" t="s">
        <v>402</v>
      </c>
      <c r="H492" s="1007" t="s">
        <v>1029</v>
      </c>
      <c r="I492" s="1007" t="s">
        <v>689</v>
      </c>
      <c r="J492" s="1007" t="s">
        <v>2388</v>
      </c>
      <c r="K492" s="1007" t="s">
        <v>2389</v>
      </c>
      <c r="L492" s="1007">
        <v>1</v>
      </c>
      <c r="M492" s="1007" t="s">
        <v>840</v>
      </c>
      <c r="N492" s="1007" t="s">
        <v>68</v>
      </c>
      <c r="O492" s="1007" t="s">
        <v>70</v>
      </c>
      <c r="P492" s="1007" t="s">
        <v>71</v>
      </c>
      <c r="Q492" s="1007" t="s">
        <v>72</v>
      </c>
      <c r="R492" s="1007" t="s">
        <v>73</v>
      </c>
      <c r="S492" s="1007" t="s">
        <v>967</v>
      </c>
      <c r="T492" s="1007">
        <v>500</v>
      </c>
      <c r="U492" s="1007">
        <v>4320</v>
      </c>
      <c r="V492" s="1007">
        <v>2.16</v>
      </c>
      <c r="W492" s="1007">
        <v>120</v>
      </c>
      <c r="X492" s="1007">
        <v>5</v>
      </c>
      <c r="Y492" s="1007" t="s">
        <v>951</v>
      </c>
      <c r="Z492" s="1007" t="s">
        <v>75</v>
      </c>
      <c r="AB492" s="1008">
        <v>46136</v>
      </c>
      <c r="AC492" s="1007">
        <v>17</v>
      </c>
      <c r="AD492" s="1007" t="s">
        <v>2403</v>
      </c>
      <c r="AF492" s="1007" t="s">
        <v>77</v>
      </c>
      <c r="AG492" s="1007" t="s">
        <v>61</v>
      </c>
      <c r="AH492" s="1007" t="s">
        <v>888</v>
      </c>
      <c r="AI492" s="1008">
        <v>46144</v>
      </c>
      <c r="AJ492" s="1008">
        <v>46149</v>
      </c>
      <c r="AK492" s="1008">
        <v>46149</v>
      </c>
      <c r="AL492" s="1008">
        <v>46208</v>
      </c>
      <c r="AM492" s="1008">
        <v>46206</v>
      </c>
      <c r="AN492" s="1008">
        <v>46207</v>
      </c>
      <c r="AO492" s="1007" t="s">
        <v>402</v>
      </c>
      <c r="AP492" s="1007" t="s">
        <v>2398</v>
      </c>
      <c r="AQ492" s="1007" t="s">
        <v>161</v>
      </c>
      <c r="AR492" s="1007" t="s">
        <v>2404</v>
      </c>
      <c r="AS492" s="1007" t="s">
        <v>2405</v>
      </c>
      <c r="AT492" s="1007" t="s">
        <v>2406</v>
      </c>
      <c r="AU492" s="1007">
        <v>58</v>
      </c>
      <c r="AW492" s="1008">
        <v>46207</v>
      </c>
      <c r="AX492" s="1007" t="s">
        <v>973</v>
      </c>
      <c r="AY492" s="1008">
        <v>46202</v>
      </c>
      <c r="AZ492" s="1007">
        <v>0</v>
      </c>
      <c r="BA492" s="1008">
        <v>46207</v>
      </c>
      <c r="BB492" s="1007">
        <v>2026</v>
      </c>
      <c r="BC492" s="1007">
        <v>7</v>
      </c>
      <c r="BD492" s="1007">
        <v>27</v>
      </c>
      <c r="BE492" s="1007">
        <v>36</v>
      </c>
      <c r="BF492" s="1007">
        <v>864</v>
      </c>
      <c r="BG492" s="1007" t="s">
        <v>85</v>
      </c>
      <c r="BH492" s="1007" t="s">
        <v>109</v>
      </c>
    </row>
    <row r="493" spans="1:60">
      <c r="A493" s="1007" t="s">
        <v>2407</v>
      </c>
      <c r="B493" s="1007" t="s">
        <v>1888</v>
      </c>
      <c r="C493" s="1007" t="s">
        <v>1016</v>
      </c>
      <c r="D493" s="1007" t="s">
        <v>63</v>
      </c>
      <c r="E493" s="1007" t="s">
        <v>144</v>
      </c>
      <c r="F493" s="1007" t="s">
        <v>145</v>
      </c>
      <c r="G493" s="1007" t="s">
        <v>402</v>
      </c>
      <c r="H493" s="1007" t="s">
        <v>1080</v>
      </c>
      <c r="I493" s="1007" t="s">
        <v>689</v>
      </c>
      <c r="J493" s="1007" t="s">
        <v>2408</v>
      </c>
      <c r="K493" s="1007" t="s">
        <v>2253</v>
      </c>
      <c r="L493" s="1007">
        <v>2</v>
      </c>
      <c r="M493" s="1007" t="s">
        <v>840</v>
      </c>
      <c r="N493" s="1007">
        <v>46111</v>
      </c>
      <c r="O493" s="1007" t="s">
        <v>70</v>
      </c>
      <c r="P493" s="1007" t="s">
        <v>195</v>
      </c>
      <c r="Q493" s="1007" t="s">
        <v>196</v>
      </c>
      <c r="R493" s="1007" t="s">
        <v>73</v>
      </c>
      <c r="S493" s="1007" t="s">
        <v>967</v>
      </c>
      <c r="T493" s="1007">
        <v>450</v>
      </c>
      <c r="U493" s="1007">
        <v>1872</v>
      </c>
      <c r="V493" s="1007">
        <v>0.84240000000000004</v>
      </c>
      <c r="W493" s="1007">
        <v>52</v>
      </c>
      <c r="X493" s="1007">
        <v>2</v>
      </c>
      <c r="Y493" s="1007" t="s">
        <v>951</v>
      </c>
      <c r="Z493" s="1007" t="s">
        <v>75</v>
      </c>
      <c r="AA493" s="1007" t="s">
        <v>2038</v>
      </c>
      <c r="AB493" s="1008">
        <v>46146</v>
      </c>
      <c r="AC493" s="1007">
        <v>19</v>
      </c>
      <c r="AD493" s="1007" t="s">
        <v>2409</v>
      </c>
      <c r="AF493" s="1007" t="s">
        <v>1891</v>
      </c>
      <c r="AG493" s="1007" t="s">
        <v>123</v>
      </c>
      <c r="AH493" s="1007" t="s">
        <v>1084</v>
      </c>
      <c r="AI493" s="1008">
        <v>46150</v>
      </c>
      <c r="AJ493" s="1008">
        <v>46155</v>
      </c>
      <c r="AK493" s="1008">
        <v>46155</v>
      </c>
      <c r="AL493" s="1008">
        <v>46191</v>
      </c>
      <c r="AM493" s="1008">
        <v>46196</v>
      </c>
      <c r="AN493" s="1008">
        <v>46196</v>
      </c>
      <c r="AO493" s="1007" t="s">
        <v>402</v>
      </c>
      <c r="AP493" s="1007" t="s">
        <v>2410</v>
      </c>
      <c r="AQ493" s="1007" t="s">
        <v>161</v>
      </c>
      <c r="AR493" s="1007" t="s">
        <v>2411</v>
      </c>
      <c r="AS493" s="1007" t="s">
        <v>2412</v>
      </c>
      <c r="AT493" s="1007" t="s">
        <v>2413</v>
      </c>
      <c r="AU493" s="1007">
        <v>41</v>
      </c>
      <c r="AW493" s="1008">
        <v>46196</v>
      </c>
      <c r="AX493" s="1007" t="s">
        <v>973</v>
      </c>
      <c r="AY493" s="1008">
        <v>46190</v>
      </c>
      <c r="AZ493" s="1007">
        <v>0</v>
      </c>
      <c r="BA493" s="1008">
        <v>46196</v>
      </c>
      <c r="BB493" s="1007">
        <v>2026</v>
      </c>
      <c r="BC493" s="1007">
        <v>6</v>
      </c>
      <c r="BD493" s="1007">
        <v>26</v>
      </c>
      <c r="BE493" s="1007">
        <v>36</v>
      </c>
      <c r="BF493" s="1007">
        <v>936</v>
      </c>
      <c r="BG493" s="1007" t="s">
        <v>85</v>
      </c>
      <c r="BH493" s="1007" t="s">
        <v>109</v>
      </c>
    </row>
    <row r="494" spans="1:60">
      <c r="A494" s="1007" t="s">
        <v>2414</v>
      </c>
      <c r="B494" s="1007" t="s">
        <v>61</v>
      </c>
      <c r="C494" s="1007" t="s">
        <v>2415</v>
      </c>
      <c r="D494" s="1007" t="s">
        <v>63</v>
      </c>
      <c r="E494" s="1007" t="s">
        <v>64</v>
      </c>
      <c r="F494" s="1007" t="s">
        <v>65</v>
      </c>
      <c r="G494" s="1007" t="s">
        <v>402</v>
      </c>
      <c r="H494" s="1007" t="s">
        <v>67</v>
      </c>
      <c r="I494" s="1007" t="s">
        <v>1395</v>
      </c>
      <c r="J494" s="1007" t="s">
        <v>96</v>
      </c>
      <c r="M494" s="1007" t="s">
        <v>68</v>
      </c>
      <c r="N494" s="1007">
        <v>46139</v>
      </c>
      <c r="O494" s="1007" t="s">
        <v>550</v>
      </c>
      <c r="P494" s="1007" t="s">
        <v>551</v>
      </c>
      <c r="Q494" s="1007" t="s">
        <v>2151</v>
      </c>
      <c r="R494" s="1007" t="s">
        <v>73</v>
      </c>
      <c r="S494" s="1007" t="s">
        <v>2136</v>
      </c>
      <c r="T494" s="1007">
        <v>510</v>
      </c>
      <c r="U494" s="1007">
        <v>3168</v>
      </c>
      <c r="V494" s="1007">
        <v>1.61568</v>
      </c>
      <c r="W494" s="1007">
        <v>88</v>
      </c>
      <c r="X494" s="1007">
        <v>4</v>
      </c>
      <c r="Y494" s="1007" t="s">
        <v>951</v>
      </c>
      <c r="Z494" s="1007" t="s">
        <v>75</v>
      </c>
      <c r="AA494" s="1007" t="s">
        <v>2416</v>
      </c>
      <c r="AB494" s="1008">
        <v>46153</v>
      </c>
      <c r="AC494" s="1007">
        <v>20</v>
      </c>
      <c r="AD494" s="1007" t="s">
        <v>2417</v>
      </c>
      <c r="AF494" s="1007" t="s">
        <v>122</v>
      </c>
      <c r="AG494" s="1007" t="s">
        <v>123</v>
      </c>
      <c r="AH494" s="1007" t="s">
        <v>356</v>
      </c>
      <c r="AI494" s="1008">
        <v>46158</v>
      </c>
      <c r="AJ494" s="1008">
        <v>46158</v>
      </c>
      <c r="AK494" s="1008">
        <v>46158</v>
      </c>
      <c r="AL494" s="1008">
        <v>46214</v>
      </c>
      <c r="AN494" s="1008">
        <v>46217</v>
      </c>
      <c r="AO494" s="1007" t="s">
        <v>402</v>
      </c>
      <c r="AP494" s="1007" t="s">
        <v>2418</v>
      </c>
      <c r="AQ494" s="1007" t="s">
        <v>161</v>
      </c>
      <c r="AR494" s="1007" t="s">
        <v>2419</v>
      </c>
      <c r="AS494" s="1007" t="s">
        <v>2420</v>
      </c>
      <c r="AT494" s="1007" t="s">
        <v>2420</v>
      </c>
      <c r="AU494" s="1007">
        <v>59</v>
      </c>
      <c r="AW494" s="1008">
        <v>46217</v>
      </c>
      <c r="AX494" s="1007" t="s">
        <v>973</v>
      </c>
      <c r="AY494" s="1008">
        <v>46226</v>
      </c>
      <c r="AZ494" s="1007">
        <v>8</v>
      </c>
      <c r="BA494" s="1008">
        <v>46225</v>
      </c>
      <c r="BB494" s="1007">
        <v>2026</v>
      </c>
      <c r="BC494" s="1007">
        <v>7</v>
      </c>
      <c r="BD494" s="1007">
        <v>30</v>
      </c>
      <c r="BE494" s="1007">
        <v>36</v>
      </c>
      <c r="BF494" s="1007">
        <v>792</v>
      </c>
      <c r="BG494" s="1007" t="s">
        <v>85</v>
      </c>
      <c r="BH494" s="1007" t="s">
        <v>109</v>
      </c>
    </row>
    <row r="495" spans="1:60">
      <c r="A495" s="1007" t="s">
        <v>2421</v>
      </c>
      <c r="B495" s="1007" t="s">
        <v>111</v>
      </c>
      <c r="C495" s="1007" t="s">
        <v>2422</v>
      </c>
      <c r="D495" s="1007" t="s">
        <v>63</v>
      </c>
      <c r="E495" s="1007" t="s">
        <v>64</v>
      </c>
      <c r="F495" s="1007" t="s">
        <v>100</v>
      </c>
      <c r="G495" s="1007" t="s">
        <v>402</v>
      </c>
      <c r="H495" s="1007" t="s">
        <v>67</v>
      </c>
      <c r="I495" s="1007" t="s">
        <v>689</v>
      </c>
      <c r="J495" s="1007" t="s">
        <v>96</v>
      </c>
      <c r="M495" s="1007" t="s">
        <v>68</v>
      </c>
      <c r="N495" s="1007">
        <v>46146</v>
      </c>
      <c r="O495" s="1007" t="s">
        <v>132</v>
      </c>
      <c r="P495" s="1007" t="s">
        <v>1062</v>
      </c>
      <c r="Q495" s="1007" t="s">
        <v>1063</v>
      </c>
      <c r="R495" s="1007" t="s">
        <v>73</v>
      </c>
      <c r="S495" s="1007" t="s">
        <v>967</v>
      </c>
      <c r="T495" s="1007">
        <v>470</v>
      </c>
      <c r="U495" s="1007">
        <v>6912</v>
      </c>
      <c r="V495" s="1007">
        <v>3.24864</v>
      </c>
      <c r="W495" s="1007">
        <v>192</v>
      </c>
      <c r="X495" s="1007">
        <v>8</v>
      </c>
      <c r="Y495" s="1007" t="s">
        <v>951</v>
      </c>
      <c r="Z495" s="1007" t="s">
        <v>75</v>
      </c>
      <c r="AA495" s="1007" t="s">
        <v>2423</v>
      </c>
      <c r="AB495" s="1008">
        <v>46147</v>
      </c>
      <c r="AC495" s="1007">
        <v>19</v>
      </c>
      <c r="AD495" s="1007" t="s">
        <v>2424</v>
      </c>
      <c r="AF495" s="1007" t="s">
        <v>123</v>
      </c>
      <c r="AG495" s="1007" t="s">
        <v>123</v>
      </c>
      <c r="AH495" s="1007" t="s">
        <v>105</v>
      </c>
      <c r="AI495" s="1008">
        <v>46152</v>
      </c>
      <c r="AJ495" s="1008">
        <v>46155</v>
      </c>
      <c r="AK495" s="1008">
        <v>46155</v>
      </c>
      <c r="AL495" s="1008">
        <v>46189</v>
      </c>
      <c r="AM495" s="1008">
        <v>46197</v>
      </c>
      <c r="AN495" s="1008">
        <v>46197</v>
      </c>
      <c r="AO495" s="1007" t="s">
        <v>402</v>
      </c>
      <c r="AP495" s="1007" t="s">
        <v>2368</v>
      </c>
      <c r="AQ495" s="1007" t="s">
        <v>80</v>
      </c>
      <c r="AR495" s="1007" t="s">
        <v>2425</v>
      </c>
      <c r="AS495" s="1007" t="s">
        <v>2426</v>
      </c>
      <c r="AT495" s="1007" t="s">
        <v>2426</v>
      </c>
      <c r="AU495" s="1007">
        <v>42</v>
      </c>
      <c r="AW495" s="1008">
        <v>46197</v>
      </c>
      <c r="AX495" s="1007" t="s">
        <v>973</v>
      </c>
      <c r="AY495" s="1008">
        <v>46210</v>
      </c>
      <c r="AZ495" s="1007">
        <v>7</v>
      </c>
      <c r="BA495" s="1008">
        <v>46204</v>
      </c>
      <c r="BB495" s="1007">
        <v>2026</v>
      </c>
      <c r="BC495" s="1007">
        <v>7</v>
      </c>
      <c r="BD495" s="1007">
        <v>27</v>
      </c>
      <c r="BE495" s="1007">
        <v>36</v>
      </c>
      <c r="BF495" s="1007">
        <v>864</v>
      </c>
      <c r="BG495" s="1007" t="s">
        <v>108</v>
      </c>
      <c r="BH495" s="1007" t="s">
        <v>109</v>
      </c>
    </row>
    <row r="496" spans="1:60">
      <c r="A496" s="1007" t="s">
        <v>2427</v>
      </c>
      <c r="B496" s="1007" t="s">
        <v>111</v>
      </c>
      <c r="C496" s="1007" t="s">
        <v>2422</v>
      </c>
      <c r="D496" s="1007" t="s">
        <v>63</v>
      </c>
      <c r="E496" s="1007" t="s">
        <v>64</v>
      </c>
      <c r="F496" s="1007" t="s">
        <v>450</v>
      </c>
      <c r="G496" s="1007" t="s">
        <v>402</v>
      </c>
      <c r="H496" s="1007" t="s">
        <v>451</v>
      </c>
      <c r="I496" s="1007" t="s">
        <v>689</v>
      </c>
      <c r="J496" s="1007" t="s">
        <v>96</v>
      </c>
      <c r="M496" s="1007" t="s">
        <v>68</v>
      </c>
      <c r="N496" s="1007">
        <v>46146</v>
      </c>
      <c r="O496" s="1007" t="s">
        <v>132</v>
      </c>
      <c r="P496" s="1007" t="s">
        <v>1062</v>
      </c>
      <c r="Q496" s="1007" t="s">
        <v>1063</v>
      </c>
      <c r="R496" s="1007" t="s">
        <v>73</v>
      </c>
      <c r="S496" s="1007" t="s">
        <v>967</v>
      </c>
      <c r="T496" s="1007">
        <v>470</v>
      </c>
      <c r="U496" s="1007">
        <v>1728</v>
      </c>
      <c r="V496" s="1007">
        <v>0.81215999999999999</v>
      </c>
      <c r="W496" s="1007">
        <v>48</v>
      </c>
      <c r="X496" s="1007">
        <v>2</v>
      </c>
      <c r="Y496" s="1007" t="s">
        <v>951</v>
      </c>
      <c r="Z496" s="1007" t="s">
        <v>75</v>
      </c>
      <c r="AA496" s="1007" t="s">
        <v>2428</v>
      </c>
      <c r="AB496" s="1008">
        <v>46152</v>
      </c>
      <c r="AC496" s="1007">
        <v>19</v>
      </c>
      <c r="AD496" s="1007" t="s">
        <v>2429</v>
      </c>
      <c r="AF496" s="1007" t="s">
        <v>123</v>
      </c>
      <c r="AG496" s="1007" t="s">
        <v>123</v>
      </c>
      <c r="AH496" s="1007" t="s">
        <v>456</v>
      </c>
      <c r="AI496" s="1008">
        <v>46156</v>
      </c>
      <c r="AJ496" s="1008">
        <v>46155</v>
      </c>
      <c r="AK496" s="1008">
        <v>46154</v>
      </c>
      <c r="AL496" s="1008">
        <v>46193</v>
      </c>
      <c r="AM496" s="1008">
        <v>46212</v>
      </c>
      <c r="AN496" s="1008">
        <v>46213</v>
      </c>
      <c r="AO496" s="1007" t="s">
        <v>402</v>
      </c>
      <c r="AP496" s="1007" t="s">
        <v>2430</v>
      </c>
      <c r="AQ496" s="1007" t="s">
        <v>161</v>
      </c>
      <c r="AR496" s="1007" t="s">
        <v>2431</v>
      </c>
      <c r="AS496" s="1007" t="s">
        <v>2432</v>
      </c>
      <c r="AT496" s="1007" t="s">
        <v>2433</v>
      </c>
      <c r="AU496" s="1007">
        <v>59</v>
      </c>
      <c r="AW496" s="1008">
        <v>46213</v>
      </c>
      <c r="AX496" s="1007" t="s">
        <v>2434</v>
      </c>
      <c r="AY496" s="1008">
        <v>46219</v>
      </c>
      <c r="AZ496" s="1007">
        <v>7</v>
      </c>
      <c r="BA496" s="1008">
        <v>46220</v>
      </c>
      <c r="BB496" s="1007">
        <v>2026</v>
      </c>
      <c r="BC496" s="1007">
        <v>7</v>
      </c>
      <c r="BD496" s="1007">
        <v>29</v>
      </c>
      <c r="BE496" s="1007">
        <v>36</v>
      </c>
      <c r="BF496" s="1007">
        <v>864</v>
      </c>
      <c r="BG496" s="1007" t="s">
        <v>108</v>
      </c>
      <c r="BH496" s="1007" t="s">
        <v>109</v>
      </c>
    </row>
    <row r="497" spans="1:60">
      <c r="A497" s="1007" t="s">
        <v>2435</v>
      </c>
      <c r="B497" s="1007" t="s">
        <v>111</v>
      </c>
      <c r="C497" s="1007" t="s">
        <v>2190</v>
      </c>
      <c r="D497" s="1007" t="s">
        <v>63</v>
      </c>
      <c r="E497" s="1007" t="s">
        <v>64</v>
      </c>
      <c r="F497" s="1007" t="s">
        <v>450</v>
      </c>
      <c r="G497" s="1007" t="s">
        <v>402</v>
      </c>
      <c r="H497" s="1007" t="s">
        <v>451</v>
      </c>
      <c r="I497" s="1007" t="s">
        <v>689</v>
      </c>
      <c r="J497" s="1007" t="s">
        <v>96</v>
      </c>
      <c r="M497" s="1007" t="s">
        <v>68</v>
      </c>
      <c r="N497" s="1007">
        <v>46139</v>
      </c>
      <c r="O497" s="1007" t="s">
        <v>473</v>
      </c>
      <c r="P497" s="1007" t="s">
        <v>474</v>
      </c>
      <c r="Q497" s="1007" t="s">
        <v>1319</v>
      </c>
      <c r="R497" s="1007" t="s">
        <v>73</v>
      </c>
      <c r="S497" s="1007" t="s">
        <v>967</v>
      </c>
      <c r="T497" s="1007">
        <v>460</v>
      </c>
      <c r="U497" s="1007">
        <v>1728</v>
      </c>
      <c r="V497" s="1007">
        <v>0.79488000000000003</v>
      </c>
      <c r="W497" s="1007">
        <v>48</v>
      </c>
      <c r="X497" s="1007">
        <v>2</v>
      </c>
      <c r="Y497" s="1007" t="s">
        <v>951</v>
      </c>
      <c r="Z497" s="1007" t="s">
        <v>75</v>
      </c>
      <c r="AA497" s="1007" t="s">
        <v>2423</v>
      </c>
      <c r="AB497" s="1008">
        <v>46152</v>
      </c>
      <c r="AC497" s="1007">
        <v>19</v>
      </c>
      <c r="AD497" s="1007" t="s">
        <v>2436</v>
      </c>
      <c r="AF497" s="1007" t="s">
        <v>123</v>
      </c>
      <c r="AG497" s="1007" t="s">
        <v>123</v>
      </c>
      <c r="AH497" s="1007" t="s">
        <v>456</v>
      </c>
      <c r="AI497" s="1008">
        <v>46156</v>
      </c>
      <c r="AJ497" s="1008">
        <v>46155</v>
      </c>
      <c r="AK497" s="1008">
        <v>46154</v>
      </c>
      <c r="AL497" s="1008">
        <v>46193</v>
      </c>
      <c r="AM497" s="1008">
        <v>46212</v>
      </c>
      <c r="AN497" s="1008">
        <v>46213</v>
      </c>
      <c r="AO497" s="1007" t="s">
        <v>402</v>
      </c>
      <c r="AP497" s="1007" t="s">
        <v>2430</v>
      </c>
      <c r="AQ497" s="1007" t="s">
        <v>161</v>
      </c>
      <c r="AR497" s="1007" t="s">
        <v>2431</v>
      </c>
      <c r="AS497" s="1007" t="s">
        <v>2432</v>
      </c>
      <c r="AT497" s="1007" t="s">
        <v>2433</v>
      </c>
      <c r="AU497" s="1007">
        <v>59</v>
      </c>
      <c r="AW497" s="1008">
        <v>46213</v>
      </c>
      <c r="AX497" s="1007" t="s">
        <v>2434</v>
      </c>
      <c r="AY497" s="1008">
        <v>46219</v>
      </c>
      <c r="AZ497" s="1007">
        <v>7</v>
      </c>
      <c r="BA497" s="1008">
        <v>46220</v>
      </c>
      <c r="BB497" s="1007">
        <v>2026</v>
      </c>
      <c r="BC497" s="1007">
        <v>7</v>
      </c>
      <c r="BD497" s="1007">
        <v>29</v>
      </c>
      <c r="BE497" s="1007">
        <v>36</v>
      </c>
      <c r="BF497" s="1007">
        <v>864</v>
      </c>
      <c r="BG497" s="1007" t="s">
        <v>85</v>
      </c>
      <c r="BH497" s="1007" t="s">
        <v>109</v>
      </c>
    </row>
    <row r="498" spans="1:60">
      <c r="A498" s="1007" t="s">
        <v>2437</v>
      </c>
      <c r="B498" s="1007" t="s">
        <v>2132</v>
      </c>
      <c r="C498" s="1007" t="s">
        <v>2438</v>
      </c>
      <c r="D498" s="1007" t="s">
        <v>63</v>
      </c>
      <c r="E498" s="1007" t="s">
        <v>64</v>
      </c>
      <c r="F498" s="1007" t="s">
        <v>310</v>
      </c>
      <c r="G498" s="1007" t="s">
        <v>402</v>
      </c>
      <c r="H498" s="1007" t="s">
        <v>311</v>
      </c>
      <c r="I498" s="1007" t="s">
        <v>882</v>
      </c>
      <c r="J498" s="1007" t="s">
        <v>96</v>
      </c>
      <c r="M498" s="1007" t="s">
        <v>68</v>
      </c>
      <c r="N498" s="1007">
        <v>46146</v>
      </c>
      <c r="O498" s="1007" t="s">
        <v>170</v>
      </c>
      <c r="P498" s="1007" t="s">
        <v>1977</v>
      </c>
      <c r="Q498" s="1007" t="s">
        <v>1978</v>
      </c>
      <c r="R498" s="1007" t="s">
        <v>73</v>
      </c>
      <c r="S498" s="1007" t="s">
        <v>992</v>
      </c>
      <c r="T498" s="1007">
        <v>560</v>
      </c>
      <c r="U498" s="1007">
        <v>5280</v>
      </c>
      <c r="V498" s="1007">
        <v>2.9567999999999999</v>
      </c>
      <c r="W498" s="1007">
        <v>160</v>
      </c>
      <c r="X498" s="1007">
        <v>8</v>
      </c>
      <c r="Y498" s="1007" t="s">
        <v>951</v>
      </c>
      <c r="Z498" s="1007" t="s">
        <v>75</v>
      </c>
      <c r="AA498" s="1007" t="s">
        <v>2439</v>
      </c>
      <c r="AB498" s="1008">
        <v>46150</v>
      </c>
      <c r="AC498" s="1007">
        <v>19</v>
      </c>
      <c r="AD498" s="1007" t="s">
        <v>2440</v>
      </c>
      <c r="AF498" s="1007" t="s">
        <v>123</v>
      </c>
      <c r="AG498" s="1007" t="s">
        <v>123</v>
      </c>
      <c r="AH498" s="1007" t="s">
        <v>314</v>
      </c>
      <c r="AI498" s="1008">
        <v>46157</v>
      </c>
      <c r="AJ498" s="1008">
        <v>46157</v>
      </c>
      <c r="AK498" s="1008">
        <v>46157</v>
      </c>
      <c r="AL498" s="1008">
        <v>46204</v>
      </c>
      <c r="AM498" s="1008">
        <v>46205</v>
      </c>
      <c r="AN498" s="1008">
        <v>46205</v>
      </c>
      <c r="AO498" s="1007" t="s">
        <v>402</v>
      </c>
      <c r="AP498" s="1007" t="s">
        <v>2441</v>
      </c>
      <c r="AQ498" s="1007" t="s">
        <v>80</v>
      </c>
      <c r="AR498" s="1007" t="s">
        <v>2442</v>
      </c>
      <c r="AS498" s="1007" t="s">
        <v>2443</v>
      </c>
      <c r="AT498" s="1007" t="s">
        <v>2443</v>
      </c>
      <c r="AU498" s="1007">
        <v>48</v>
      </c>
      <c r="AW498" s="1008">
        <v>46205</v>
      </c>
      <c r="AX498" s="1007" t="s">
        <v>973</v>
      </c>
      <c r="AY498" s="1008">
        <v>46218</v>
      </c>
      <c r="AZ498" s="1007">
        <v>13</v>
      </c>
      <c r="BA498" s="1008">
        <v>46218</v>
      </c>
      <c r="BB498" s="1007">
        <v>2026</v>
      </c>
      <c r="BC498" s="1007">
        <v>7</v>
      </c>
      <c r="BD498" s="1007">
        <v>29</v>
      </c>
      <c r="BE498" s="1007">
        <v>33</v>
      </c>
      <c r="BF498" s="1007">
        <v>660</v>
      </c>
      <c r="BG498" s="1007" t="s">
        <v>108</v>
      </c>
      <c r="BH498" s="1007" t="s">
        <v>86</v>
      </c>
    </row>
    <row r="499" spans="1:60">
      <c r="A499" s="1007" t="s">
        <v>2444</v>
      </c>
      <c r="B499" s="1007" t="s">
        <v>61</v>
      </c>
      <c r="C499" s="1007" t="s">
        <v>2445</v>
      </c>
      <c r="D499" s="1007" t="s">
        <v>63</v>
      </c>
      <c r="E499" s="1007" t="s">
        <v>64</v>
      </c>
      <c r="F499" s="1007" t="s">
        <v>310</v>
      </c>
      <c r="G499" s="1007" t="s">
        <v>402</v>
      </c>
      <c r="H499" s="1007" t="s">
        <v>311</v>
      </c>
      <c r="I499" s="1007" t="s">
        <v>1395</v>
      </c>
      <c r="J499" s="1007" t="s">
        <v>96</v>
      </c>
      <c r="M499" s="1007" t="s">
        <v>68</v>
      </c>
      <c r="N499" s="1007">
        <v>46139</v>
      </c>
      <c r="O499" s="1007" t="s">
        <v>550</v>
      </c>
      <c r="P499" s="1007" t="s">
        <v>2134</v>
      </c>
      <c r="Q499" s="1007" t="s">
        <v>2135</v>
      </c>
      <c r="R499" s="1007" t="s">
        <v>73</v>
      </c>
      <c r="S499" s="1007" t="s">
        <v>2136</v>
      </c>
      <c r="T499" s="1007">
        <v>515</v>
      </c>
      <c r="U499" s="1007">
        <v>3960</v>
      </c>
      <c r="V499" s="1007">
        <v>2.0394000000000001</v>
      </c>
      <c r="W499" s="1007">
        <v>110</v>
      </c>
      <c r="X499" s="1007">
        <v>5</v>
      </c>
      <c r="Y499" s="1007" t="s">
        <v>951</v>
      </c>
      <c r="Z499" s="1007" t="s">
        <v>75</v>
      </c>
      <c r="AA499" s="1007" t="s">
        <v>2416</v>
      </c>
      <c r="AB499" s="1008">
        <v>46150</v>
      </c>
      <c r="AC499" s="1007">
        <v>19</v>
      </c>
      <c r="AD499" s="1007" t="s">
        <v>2446</v>
      </c>
      <c r="AF499" s="1007" t="s">
        <v>122</v>
      </c>
      <c r="AG499" s="1007" t="s">
        <v>123</v>
      </c>
      <c r="AH499" s="1007" t="s">
        <v>314</v>
      </c>
      <c r="AI499" s="1008">
        <v>46157</v>
      </c>
      <c r="AJ499" s="1008">
        <v>46157</v>
      </c>
      <c r="AK499" s="1008">
        <v>46157</v>
      </c>
      <c r="AL499" s="1008">
        <v>46204</v>
      </c>
      <c r="AM499" s="1008">
        <v>46205</v>
      </c>
      <c r="AN499" s="1008">
        <v>46205</v>
      </c>
      <c r="AO499" s="1007" t="s">
        <v>402</v>
      </c>
      <c r="AP499" s="1007" t="s">
        <v>2441</v>
      </c>
      <c r="AQ499" s="1007" t="s">
        <v>80</v>
      </c>
      <c r="AR499" s="1007" t="s">
        <v>2442</v>
      </c>
      <c r="AS499" s="1007" t="s">
        <v>2443</v>
      </c>
      <c r="AT499" s="1007" t="s">
        <v>2443</v>
      </c>
      <c r="AU499" s="1007">
        <v>48</v>
      </c>
      <c r="AW499" s="1008">
        <v>46205</v>
      </c>
      <c r="AX499" s="1007" t="s">
        <v>973</v>
      </c>
      <c r="AY499" s="1008">
        <v>46218</v>
      </c>
      <c r="AZ499" s="1007">
        <v>13</v>
      </c>
      <c r="BA499" s="1008">
        <v>46218</v>
      </c>
      <c r="BB499" s="1007">
        <v>2026</v>
      </c>
      <c r="BC499" s="1007">
        <v>7</v>
      </c>
      <c r="BD499" s="1007">
        <v>29</v>
      </c>
      <c r="BE499" s="1007">
        <v>36</v>
      </c>
      <c r="BF499" s="1007">
        <v>792</v>
      </c>
      <c r="BG499" s="1007" t="s">
        <v>85</v>
      </c>
      <c r="BH499" s="1007" t="s">
        <v>86</v>
      </c>
    </row>
    <row r="500" spans="1:60">
      <c r="A500" s="1007" t="s">
        <v>2447</v>
      </c>
      <c r="B500" s="1007" t="s">
        <v>61</v>
      </c>
      <c r="C500" s="1007" t="s">
        <v>2415</v>
      </c>
      <c r="D500" s="1007" t="s">
        <v>63</v>
      </c>
      <c r="E500" s="1007" t="s">
        <v>64</v>
      </c>
      <c r="F500" s="1007" t="s">
        <v>65</v>
      </c>
      <c r="G500" s="1007" t="s">
        <v>402</v>
      </c>
      <c r="H500" s="1007" t="s">
        <v>67</v>
      </c>
      <c r="I500" s="1007" t="s">
        <v>1395</v>
      </c>
      <c r="J500" s="1007" t="s">
        <v>96</v>
      </c>
      <c r="M500" s="1007" t="s">
        <v>68</v>
      </c>
      <c r="N500" s="1007">
        <v>46139</v>
      </c>
      <c r="O500" s="1007" t="s">
        <v>550</v>
      </c>
      <c r="P500" s="1007" t="s">
        <v>551</v>
      </c>
      <c r="Q500" s="1007" t="s">
        <v>2151</v>
      </c>
      <c r="R500" s="1007" t="s">
        <v>73</v>
      </c>
      <c r="S500" s="1007" t="s">
        <v>2136</v>
      </c>
      <c r="T500" s="1007">
        <v>510</v>
      </c>
      <c r="U500" s="1007">
        <v>792</v>
      </c>
      <c r="V500" s="1007">
        <v>0.40392</v>
      </c>
      <c r="W500" s="1007">
        <v>22</v>
      </c>
      <c r="X500" s="1007">
        <v>1</v>
      </c>
      <c r="Y500" s="1007" t="s">
        <v>951</v>
      </c>
      <c r="Z500" s="1007" t="s">
        <v>75</v>
      </c>
      <c r="AB500" s="1008">
        <v>46142</v>
      </c>
      <c r="AC500" s="1007">
        <v>18</v>
      </c>
      <c r="AD500" s="1007" t="s">
        <v>2448</v>
      </c>
      <c r="AF500" s="1007" t="s">
        <v>61</v>
      </c>
      <c r="AG500" s="1007" t="s">
        <v>61</v>
      </c>
      <c r="AH500" s="1007" t="s">
        <v>356</v>
      </c>
      <c r="AI500" s="1008">
        <v>46155</v>
      </c>
      <c r="AJ500" s="1008">
        <v>46155</v>
      </c>
      <c r="AK500" s="1008">
        <v>46155</v>
      </c>
      <c r="AL500" s="1008">
        <v>46203</v>
      </c>
      <c r="AN500" s="1008">
        <v>46202</v>
      </c>
      <c r="AO500" s="1007" t="s">
        <v>402</v>
      </c>
      <c r="AP500" s="1007" t="s">
        <v>2449</v>
      </c>
      <c r="AQ500" s="1007" t="s">
        <v>80</v>
      </c>
      <c r="AR500" s="1007" t="s">
        <v>2450</v>
      </c>
      <c r="AS500" s="1007" t="s">
        <v>2451</v>
      </c>
      <c r="AT500" s="1007" t="s">
        <v>2451</v>
      </c>
      <c r="AU500" s="1007">
        <v>47</v>
      </c>
      <c r="AW500" s="1008">
        <v>46202</v>
      </c>
      <c r="AX500" s="1007" t="s">
        <v>973</v>
      </c>
      <c r="AY500" s="1008">
        <v>46216</v>
      </c>
      <c r="AZ500" s="1007">
        <v>8</v>
      </c>
      <c r="BA500" s="1008">
        <v>46210</v>
      </c>
      <c r="BB500" s="1007">
        <v>2026</v>
      </c>
      <c r="BC500" s="1007">
        <v>7</v>
      </c>
      <c r="BD500" s="1007">
        <v>28</v>
      </c>
      <c r="BE500" s="1007">
        <v>36</v>
      </c>
      <c r="BF500" s="1007">
        <v>792</v>
      </c>
      <c r="BG500" s="1007" t="s">
        <v>85</v>
      </c>
      <c r="BH500" s="1007" t="s">
        <v>109</v>
      </c>
    </row>
  </sheetData>
  <protectedRanges>
    <protectedRange sqref="J1:XFD1 B1:H1" name="PV_Data"/>
    <protectedRange sqref="I1" name="PV_Data_2"/>
    <protectedRange sqref="A1" name="PV_Data_4"/>
  </protectedRanges>
  <autoFilter ref="A1:BH500" xr:uid="{C7F77CA2-001A-43A1-A2CA-B1E4DDCC7919}"/>
  <phoneticPr fontId="64" type="noConversion"/>
  <conditionalFormatting sqref="A1">
    <cfRule type="duplicateValues" dxfId="172" priority="3"/>
  </conditionalFormatting>
  <conditionalFormatting sqref="M1">
    <cfRule type="cellIs" dxfId="171" priority="1" operator="equal">
      <formula>"No"</formula>
    </cfRule>
    <cfRule type="cellIs" dxfId="170" priority="2" operator="equal">
      <formula>"Yes"</formula>
    </cfRule>
  </conditionalFormatting>
  <dataValidations count="1">
    <dataValidation allowBlank="1" showInputMessage="1" showErrorMessage="1" sqref="A1:XFD1" xr:uid="{20833467-63A3-4136-981E-842586266BCF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7E3E-6233-45A6-931E-EFD28E86D8B2}">
  <sheetPr codeName="Sheet18">
    <tabColor theme="9" tint="0.59999389629810485"/>
  </sheetPr>
  <dimension ref="A1:BH471"/>
  <sheetViews>
    <sheetView zoomScaleNormal="100" workbookViewId="0">
      <pane ySplit="1" topLeftCell="A146" activePane="bottomLeft" state="frozen"/>
      <selection activeCell="AA474" sqref="AA474"/>
      <selection pane="bottomLeft" activeCell="S471" sqref="S471:U471"/>
    </sheetView>
  </sheetViews>
  <sheetFormatPr defaultColWidth="9.09765625" defaultRowHeight="13" outlineLevelRow="1" outlineLevelCol="2"/>
  <cols>
    <col min="1" max="1" width="11.3984375" style="21" customWidth="1"/>
    <col min="2" max="2" width="9" customWidth="1"/>
    <col min="3" max="3" width="13.09765625" style="21" hidden="1" customWidth="1" outlineLevel="2"/>
    <col min="4" max="5" width="9.09765625" style="21" hidden="1" customWidth="1" outlineLevel="1"/>
    <col min="6" max="6" width="16.8984375" style="21" hidden="1" customWidth="1" outlineLevel="1"/>
    <col min="7" max="7" width="33.8984375" hidden="1" customWidth="1" outlineLevel="1"/>
    <col min="8" max="8" width="9.09765625" hidden="1" customWidth="1" outlineLevel="1"/>
    <col min="9" max="9" width="30.8984375" hidden="1" customWidth="1" collapsed="1"/>
    <col min="10" max="10" width="9" hidden="1" customWidth="1"/>
    <col min="11" max="11" width="15.59765625" hidden="1" customWidth="1" outlineLevel="1"/>
    <col min="12" max="12" width="12.09765625" style="21" hidden="1" customWidth="1" outlineLevel="1"/>
    <col min="13" max="13" width="7.09765625" hidden="1" customWidth="1" outlineLevel="1"/>
    <col min="14" max="14" width="9.09765625" hidden="1" customWidth="1" outlineLevel="1"/>
    <col min="15" max="15" width="9.09765625" style="21" hidden="1" customWidth="1" outlineLevel="1"/>
    <col min="16" max="16" width="12.3984375" customWidth="1" collapsed="1"/>
    <col min="17" max="17" width="14.09765625" style="21" customWidth="1"/>
    <col min="18" max="18" width="8.8984375" style="21" customWidth="1" outlineLevel="1"/>
    <col min="19" max="19" width="22" style="21" customWidth="1" outlineLevel="1"/>
    <col min="20" max="20" width="7.09765625" style="155" customWidth="1" outlineLevel="1"/>
    <col min="21" max="21" width="9.09765625" style="101" customWidth="1" outlineLevel="1"/>
    <col min="22" max="22" width="9.09765625" style="21" customWidth="1" outlineLevel="1"/>
    <col min="23" max="23" width="9.09765625" customWidth="1"/>
    <col min="24" max="24" width="9.09765625" style="259" customWidth="1"/>
    <col min="25" max="25" width="11.59765625" style="21" customWidth="1" outlineLevel="1"/>
    <col min="26" max="26" width="12.8984375" style="21" customWidth="1" outlineLevel="1"/>
    <col min="27" max="27" width="12.3984375" style="21" customWidth="1"/>
    <col min="28" max="28" width="10.09765625" style="211" customWidth="1"/>
    <col min="29" max="29" width="9.09765625" style="211" customWidth="1"/>
    <col min="30" max="30" width="12" style="21" customWidth="1"/>
    <col min="31" max="31" width="14.09765625" style="292" customWidth="1"/>
    <col min="32" max="32" width="15" style="204" customWidth="1"/>
    <col min="33" max="33" width="15.3984375" style="21" bestFit="1" customWidth="1" outlineLevel="1"/>
    <col min="34" max="34" width="17.09765625" customWidth="1"/>
    <col min="35" max="36" width="9.09765625" style="21" customWidth="1"/>
    <col min="37" max="37" width="9.09765625" style="101" customWidth="1"/>
    <col min="38" max="39" width="9.09765625" style="101" customWidth="1" outlineLevel="1"/>
    <col min="40" max="40" width="9.09765625" style="192" customWidth="1"/>
    <col min="41" max="41" width="9.09765625" customWidth="1"/>
    <col min="42" max="42" width="33" customWidth="1"/>
    <col min="43" max="43" width="9.09765625" style="21" customWidth="1"/>
    <col min="44" max="44" width="17.8984375" style="21" customWidth="1"/>
    <col min="45" max="46" width="16.09765625" style="21" customWidth="1"/>
    <col min="47" max="47" width="9.09765625" style="193" customWidth="1"/>
    <col min="48" max="48" width="9.09765625" style="223" customWidth="1"/>
    <col min="49" max="49" width="9.09765625" style="194" customWidth="1"/>
    <col min="50" max="50" width="9.09765625" style="193" customWidth="1"/>
    <col min="51" max="52" width="9.09765625" style="194" customWidth="1"/>
    <col min="53" max="59" width="9.09765625" style="21" customWidth="1"/>
    <col min="60" max="60" width="9.09765625" style="21" customWidth="1" outlineLevel="1"/>
    <col min="61" max="61" width="9.09765625" style="21" customWidth="1"/>
    <col min="62" max="16384" width="9.09765625" style="21"/>
  </cols>
  <sheetData>
    <row r="1" spans="1:60" s="22" customFormat="1" ht="52.5" outlineLevel="1">
      <c r="A1" s="1" t="s">
        <v>2452</v>
      </c>
      <c r="B1" s="3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7</v>
      </c>
      <c r="H1" s="26" t="s">
        <v>6</v>
      </c>
      <c r="I1" s="26" t="s">
        <v>9</v>
      </c>
      <c r="J1" s="26" t="s">
        <v>8</v>
      </c>
      <c r="K1" s="26" t="s">
        <v>10</v>
      </c>
      <c r="L1" s="286" t="s">
        <v>2453</v>
      </c>
      <c r="M1" s="217" t="s">
        <v>2454</v>
      </c>
      <c r="N1" s="26" t="s">
        <v>13</v>
      </c>
      <c r="O1" s="26" t="s">
        <v>2455</v>
      </c>
      <c r="P1" s="2" t="s">
        <v>14</v>
      </c>
      <c r="Q1" s="2" t="s">
        <v>15</v>
      </c>
      <c r="R1" s="2" t="s">
        <v>2456</v>
      </c>
      <c r="S1" s="2" t="s">
        <v>2457</v>
      </c>
      <c r="T1" s="205" t="s">
        <v>19</v>
      </c>
      <c r="U1" s="205" t="s">
        <v>20</v>
      </c>
      <c r="V1" s="2" t="s">
        <v>21</v>
      </c>
      <c r="W1" s="197" t="s">
        <v>22</v>
      </c>
      <c r="X1" s="258" t="s">
        <v>23</v>
      </c>
      <c r="Y1" s="2" t="s">
        <v>24</v>
      </c>
      <c r="Z1" s="2" t="s">
        <v>2458</v>
      </c>
      <c r="AA1" s="248" t="s">
        <v>58</v>
      </c>
      <c r="AB1" s="3" t="s">
        <v>18</v>
      </c>
      <c r="AC1" s="27" t="s">
        <v>27</v>
      </c>
      <c r="AD1" s="28" t="s">
        <v>28</v>
      </c>
      <c r="AE1" s="2" t="s">
        <v>29</v>
      </c>
      <c r="AF1" s="2" t="s">
        <v>30</v>
      </c>
      <c r="AG1" s="26" t="s">
        <v>31</v>
      </c>
      <c r="AH1" s="26" t="s">
        <v>33</v>
      </c>
      <c r="AI1" s="4" t="s">
        <v>2459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222" t="s">
        <v>2460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2461</v>
      </c>
      <c r="AU1" s="2" t="s">
        <v>46</v>
      </c>
      <c r="AV1" s="2" t="s">
        <v>47</v>
      </c>
      <c r="AW1" s="244" t="s">
        <v>2462</v>
      </c>
      <c r="AX1" s="29" t="s">
        <v>2463</v>
      </c>
      <c r="AY1" s="29" t="s">
        <v>2464</v>
      </c>
      <c r="AZ1" s="29" t="s">
        <v>2465</v>
      </c>
      <c r="BA1" s="29" t="s">
        <v>2466</v>
      </c>
      <c r="BB1" s="29" t="s">
        <v>2467</v>
      </c>
      <c r="BC1" s="29" t="s">
        <v>2468</v>
      </c>
      <c r="BD1" s="245" t="s">
        <v>2469</v>
      </c>
      <c r="BE1" s="245" t="s">
        <v>2470</v>
      </c>
      <c r="BF1" s="29" t="s">
        <v>2471</v>
      </c>
      <c r="BG1" s="196" t="s">
        <v>56</v>
      </c>
      <c r="BH1" s="196" t="s">
        <v>57</v>
      </c>
    </row>
    <row r="2" spans="1:60" s="23" customFormat="1" ht="10">
      <c r="A2" s="11" t="s">
        <v>2472</v>
      </c>
      <c r="B2" s="12"/>
      <c r="C2" s="12" t="s">
        <v>2473</v>
      </c>
      <c r="D2" s="12" t="s">
        <v>63</v>
      </c>
      <c r="E2" s="12" t="s">
        <v>64</v>
      </c>
      <c r="F2" s="12" t="s">
        <v>65</v>
      </c>
      <c r="G2" s="12" t="s">
        <v>67</v>
      </c>
      <c r="H2" s="12" t="s">
        <v>66</v>
      </c>
      <c r="I2" s="12" t="s">
        <v>96</v>
      </c>
      <c r="J2" s="13" t="s">
        <v>68</v>
      </c>
      <c r="K2" s="12"/>
      <c r="L2" s="13" t="s">
        <v>2474</v>
      </c>
      <c r="M2" s="213" t="s">
        <v>68</v>
      </c>
      <c r="N2" s="182"/>
      <c r="O2" s="12" t="s">
        <v>2475</v>
      </c>
      <c r="P2" s="12" t="s">
        <v>170</v>
      </c>
      <c r="Q2" s="12" t="s">
        <v>171</v>
      </c>
      <c r="R2" s="12">
        <v>552045</v>
      </c>
      <c r="S2" s="12" t="s">
        <v>172</v>
      </c>
      <c r="T2" s="206">
        <v>555</v>
      </c>
      <c r="U2" s="206">
        <v>1980</v>
      </c>
      <c r="V2" s="12">
        <v>1.0989</v>
      </c>
      <c r="W2" s="198">
        <v>60</v>
      </c>
      <c r="X2" s="254">
        <v>3</v>
      </c>
      <c r="Y2" s="12" t="s">
        <v>75</v>
      </c>
      <c r="Z2" s="12"/>
      <c r="AA2" s="13" t="s">
        <v>108</v>
      </c>
      <c r="AB2" s="13" t="s">
        <v>992</v>
      </c>
      <c r="AC2" s="14">
        <v>45814</v>
      </c>
      <c r="AD2" s="15">
        <v>23</v>
      </c>
      <c r="AE2" s="176" t="s">
        <v>2476</v>
      </c>
      <c r="AF2" s="12">
        <v>371008554</v>
      </c>
      <c r="AG2" s="12" t="s">
        <v>122</v>
      </c>
      <c r="AH2" s="12" t="s">
        <v>78</v>
      </c>
      <c r="AI2" s="14">
        <v>45822</v>
      </c>
      <c r="AJ2" s="14">
        <v>45822</v>
      </c>
      <c r="AK2" s="14">
        <v>45822</v>
      </c>
      <c r="AL2" s="14">
        <v>45872</v>
      </c>
      <c r="AM2" s="14">
        <v>45873</v>
      </c>
      <c r="AN2" s="14">
        <v>45872</v>
      </c>
      <c r="AO2" s="91" t="s">
        <v>66</v>
      </c>
      <c r="AP2" s="12" t="s">
        <v>2477</v>
      </c>
      <c r="AQ2" s="12"/>
      <c r="AR2" s="12" t="s">
        <v>2478</v>
      </c>
      <c r="AS2" s="12" t="s">
        <v>2479</v>
      </c>
      <c r="AT2" s="12" t="s">
        <v>2479</v>
      </c>
      <c r="AU2" s="12">
        <v>51</v>
      </c>
      <c r="AV2" s="12" t="s">
        <v>83</v>
      </c>
      <c r="AW2" s="12">
        <v>11</v>
      </c>
      <c r="AX2" s="12">
        <v>58</v>
      </c>
      <c r="AY2" s="14">
        <v>45822</v>
      </c>
      <c r="AZ2" s="14">
        <v>45872</v>
      </c>
      <c r="BA2" s="12" t="e">
        <v>#N/A</v>
      </c>
      <c r="BB2" s="14" t="s">
        <v>2480</v>
      </c>
      <c r="BC2" s="14">
        <v>45886</v>
      </c>
      <c r="BD2" s="16">
        <v>2025</v>
      </c>
      <c r="BE2" s="16">
        <v>8</v>
      </c>
      <c r="BF2" s="16">
        <v>33</v>
      </c>
      <c r="BG2" s="191">
        <v>33</v>
      </c>
      <c r="BH2" s="191">
        <v>660</v>
      </c>
    </row>
    <row r="3" spans="1:60" s="23" customFormat="1">
      <c r="A3" s="11" t="s">
        <v>2481</v>
      </c>
      <c r="B3" s="12"/>
      <c r="C3" s="12" t="s">
        <v>2473</v>
      </c>
      <c r="D3" s="12" t="s">
        <v>63</v>
      </c>
      <c r="E3" s="12" t="s">
        <v>68</v>
      </c>
      <c r="F3" s="12" t="s">
        <v>68</v>
      </c>
      <c r="G3" s="12"/>
      <c r="H3" s="17" t="s">
        <v>66</v>
      </c>
      <c r="I3" s="12" t="s">
        <v>96</v>
      </c>
      <c r="J3" s="13" t="s">
        <v>68</v>
      </c>
      <c r="K3" s="12"/>
      <c r="L3" s="13" t="s">
        <v>2482</v>
      </c>
      <c r="M3" s="12" t="s">
        <v>68</v>
      </c>
      <c r="N3" s="182"/>
      <c r="O3" s="12" t="s">
        <v>2475</v>
      </c>
      <c r="P3" s="12" t="s">
        <v>170</v>
      </c>
      <c r="Q3" s="12" t="s">
        <v>171</v>
      </c>
      <c r="R3" s="12">
        <v>552045</v>
      </c>
      <c r="S3" s="12" t="s">
        <v>172</v>
      </c>
      <c r="T3" s="206">
        <v>555</v>
      </c>
      <c r="U3" s="206">
        <v>660</v>
      </c>
      <c r="V3" s="12">
        <v>0.36630000000000001</v>
      </c>
      <c r="W3" s="198">
        <v>20</v>
      </c>
      <c r="X3" s="254">
        <v>1</v>
      </c>
      <c r="Y3" s="12" t="s">
        <v>75</v>
      </c>
      <c r="Z3" s="12"/>
      <c r="AA3" s="13" t="s">
        <v>108</v>
      </c>
      <c r="AB3" s="13" t="s">
        <v>992</v>
      </c>
      <c r="AC3" s="14">
        <v>45814</v>
      </c>
      <c r="AD3" s="15">
        <v>23</v>
      </c>
      <c r="AE3" s="176" t="s">
        <v>2483</v>
      </c>
      <c r="AF3" s="12">
        <v>371008559</v>
      </c>
      <c r="AG3" s="12" t="s">
        <v>122</v>
      </c>
      <c r="AH3" s="12" t="s">
        <v>124</v>
      </c>
      <c r="AI3" s="14">
        <v>45819</v>
      </c>
      <c r="AJ3" s="14">
        <v>45819</v>
      </c>
      <c r="AK3" s="14">
        <v>45819</v>
      </c>
      <c r="AL3" s="14">
        <v>45866</v>
      </c>
      <c r="AM3" s="14">
        <v>45866</v>
      </c>
      <c r="AN3" s="14">
        <v>45866</v>
      </c>
      <c r="AO3" s="91" t="s">
        <v>66</v>
      </c>
      <c r="AP3" s="12" t="s">
        <v>2484</v>
      </c>
      <c r="AQ3" s="12"/>
      <c r="AR3" s="12" t="s">
        <v>2485</v>
      </c>
      <c r="AS3" s="12" t="s">
        <v>2486</v>
      </c>
      <c r="AT3" s="12" t="s">
        <v>2486</v>
      </c>
      <c r="AU3" s="12">
        <v>48</v>
      </c>
      <c r="AV3" s="12" t="s">
        <v>83</v>
      </c>
      <c r="AW3" s="12">
        <v>11</v>
      </c>
      <c r="AX3" s="12">
        <v>52</v>
      </c>
      <c r="AY3" s="14">
        <v>45819</v>
      </c>
      <c r="AZ3" s="14">
        <v>45866</v>
      </c>
      <c r="BA3" s="12" t="e">
        <v>#N/A</v>
      </c>
      <c r="BB3" s="14" t="s">
        <v>2480</v>
      </c>
      <c r="BC3" s="14">
        <v>45880</v>
      </c>
      <c r="BD3" s="16">
        <v>2025</v>
      </c>
      <c r="BE3" s="16">
        <v>8</v>
      </c>
      <c r="BF3" s="16">
        <v>33</v>
      </c>
      <c r="BG3" s="191">
        <v>33</v>
      </c>
      <c r="BH3" s="191">
        <v>660</v>
      </c>
    </row>
    <row r="4" spans="1:60" s="23" customFormat="1">
      <c r="A4" s="11" t="s">
        <v>2487</v>
      </c>
      <c r="B4" s="12"/>
      <c r="C4" s="12" t="s">
        <v>2473</v>
      </c>
      <c r="D4" s="12" t="s">
        <v>63</v>
      </c>
      <c r="E4" s="12" t="s">
        <v>68</v>
      </c>
      <c r="F4" s="12" t="s">
        <v>68</v>
      </c>
      <c r="G4" s="12"/>
      <c r="H4" s="17" t="s">
        <v>146</v>
      </c>
      <c r="I4" s="12" t="s">
        <v>2488</v>
      </c>
      <c r="J4" s="13" t="s">
        <v>68</v>
      </c>
      <c r="K4" s="12"/>
      <c r="L4" s="13" t="s">
        <v>2489</v>
      </c>
      <c r="M4" s="12" t="s">
        <v>68</v>
      </c>
      <c r="N4" s="182"/>
      <c r="O4" s="12" t="s">
        <v>2475</v>
      </c>
      <c r="P4" s="12" t="s">
        <v>170</v>
      </c>
      <c r="Q4" s="12" t="s">
        <v>171</v>
      </c>
      <c r="R4" s="12">
        <v>552045</v>
      </c>
      <c r="S4" s="12" t="s">
        <v>172</v>
      </c>
      <c r="T4" s="206">
        <v>555</v>
      </c>
      <c r="U4" s="206">
        <v>1980</v>
      </c>
      <c r="V4" s="12">
        <v>1.0989</v>
      </c>
      <c r="W4" s="198">
        <v>60</v>
      </c>
      <c r="X4" s="254">
        <v>3</v>
      </c>
      <c r="Y4" s="12" t="s">
        <v>75</v>
      </c>
      <c r="Z4" s="12"/>
      <c r="AA4" s="13" t="s">
        <v>108</v>
      </c>
      <c r="AB4" s="13" t="s">
        <v>992</v>
      </c>
      <c r="AC4" s="14">
        <v>45815</v>
      </c>
      <c r="AD4" s="15">
        <v>23</v>
      </c>
      <c r="AE4" s="176" t="s">
        <v>2490</v>
      </c>
      <c r="AF4" s="12">
        <v>371008556</v>
      </c>
      <c r="AG4" s="12" t="s">
        <v>122</v>
      </c>
      <c r="AH4" s="12" t="s">
        <v>159</v>
      </c>
      <c r="AI4" s="14">
        <v>45821</v>
      </c>
      <c r="AJ4" s="14">
        <v>45821</v>
      </c>
      <c r="AK4" s="14">
        <v>45821</v>
      </c>
      <c r="AL4" s="14">
        <v>45883</v>
      </c>
      <c r="AM4" s="14">
        <v>45872</v>
      </c>
      <c r="AN4" s="14">
        <v>45883</v>
      </c>
      <c r="AO4" s="91" t="s">
        <v>146</v>
      </c>
      <c r="AP4" s="12" t="s">
        <v>2491</v>
      </c>
      <c r="AQ4" s="12"/>
      <c r="AR4" s="12" t="s">
        <v>2492</v>
      </c>
      <c r="AS4" s="12">
        <v>254396324</v>
      </c>
      <c r="AT4" s="12">
        <v>254396324</v>
      </c>
      <c r="AU4" s="12">
        <v>63</v>
      </c>
      <c r="AV4" s="12" t="s">
        <v>2493</v>
      </c>
      <c r="AW4" s="12">
        <v>11</v>
      </c>
      <c r="AX4" s="12">
        <v>68</v>
      </c>
      <c r="AY4" s="14">
        <v>45821</v>
      </c>
      <c r="AZ4" s="14">
        <v>45883</v>
      </c>
      <c r="BA4" s="12" t="e">
        <v>#N/A</v>
      </c>
      <c r="BB4" s="14" t="s">
        <v>2480</v>
      </c>
      <c r="BC4" s="14">
        <v>45897</v>
      </c>
      <c r="BD4" s="16">
        <v>2025</v>
      </c>
      <c r="BE4" s="16">
        <v>8</v>
      </c>
      <c r="BF4" s="16">
        <v>35</v>
      </c>
      <c r="BG4" s="191">
        <v>33</v>
      </c>
      <c r="BH4" s="191">
        <v>660</v>
      </c>
    </row>
    <row r="5" spans="1:60" s="23" customFormat="1" ht="10">
      <c r="A5" s="11" t="s">
        <v>2494</v>
      </c>
      <c r="B5" s="12"/>
      <c r="C5" s="12" t="s">
        <v>2495</v>
      </c>
      <c r="D5" s="12" t="s">
        <v>63</v>
      </c>
      <c r="E5" s="12" t="s">
        <v>68</v>
      </c>
      <c r="F5" s="12" t="s">
        <v>68</v>
      </c>
      <c r="G5" s="12"/>
      <c r="H5" s="12" t="s">
        <v>66</v>
      </c>
      <c r="I5" s="12" t="s">
        <v>2496</v>
      </c>
      <c r="J5" s="13" t="s">
        <v>68</v>
      </c>
      <c r="K5" s="12"/>
      <c r="L5" s="13" t="s">
        <v>2497</v>
      </c>
      <c r="M5" s="12" t="s">
        <v>68</v>
      </c>
      <c r="N5" s="182"/>
      <c r="O5" s="12" t="s">
        <v>2475</v>
      </c>
      <c r="P5" s="12" t="s">
        <v>132</v>
      </c>
      <c r="Q5" s="12" t="s">
        <v>453</v>
      </c>
      <c r="R5" s="12">
        <v>554541</v>
      </c>
      <c r="S5" s="12" t="s">
        <v>454</v>
      </c>
      <c r="T5" s="206">
        <v>460</v>
      </c>
      <c r="U5" s="206">
        <v>2592</v>
      </c>
      <c r="V5" s="12">
        <v>1.19232</v>
      </c>
      <c r="W5" s="198">
        <v>72</v>
      </c>
      <c r="X5" s="254">
        <v>3</v>
      </c>
      <c r="Y5" s="12" t="s">
        <v>75</v>
      </c>
      <c r="Z5" s="12"/>
      <c r="AA5" s="13" t="s">
        <v>108</v>
      </c>
      <c r="AB5" s="13" t="s">
        <v>967</v>
      </c>
      <c r="AC5" s="14">
        <v>45814</v>
      </c>
      <c r="AD5" s="15">
        <v>23</v>
      </c>
      <c r="AE5" s="176" t="s">
        <v>2498</v>
      </c>
      <c r="AF5" s="12">
        <v>371008562</v>
      </c>
      <c r="AG5" s="12" t="s">
        <v>122</v>
      </c>
      <c r="AH5" s="12" t="s">
        <v>314</v>
      </c>
      <c r="AI5" s="14">
        <v>45821</v>
      </c>
      <c r="AJ5" s="14">
        <v>45821</v>
      </c>
      <c r="AK5" s="14">
        <v>45821</v>
      </c>
      <c r="AL5" s="14">
        <v>45877</v>
      </c>
      <c r="AM5" s="14">
        <v>45872</v>
      </c>
      <c r="AN5" s="14">
        <v>45877</v>
      </c>
      <c r="AO5" s="91" t="s">
        <v>66</v>
      </c>
      <c r="AP5" s="12" t="s">
        <v>2499</v>
      </c>
      <c r="AQ5" s="12"/>
      <c r="AR5" s="12" t="s">
        <v>2500</v>
      </c>
      <c r="AS5" s="12" t="s">
        <v>2501</v>
      </c>
      <c r="AT5" s="12" t="s">
        <v>2501</v>
      </c>
      <c r="AU5" s="12">
        <v>57</v>
      </c>
      <c r="AV5" s="12" t="s">
        <v>83</v>
      </c>
      <c r="AW5" s="12">
        <v>6</v>
      </c>
      <c r="AX5" s="12">
        <v>63</v>
      </c>
      <c r="AY5" s="14">
        <v>45821</v>
      </c>
      <c r="AZ5" s="14">
        <v>45877</v>
      </c>
      <c r="BA5" s="12" t="e">
        <v>#N/A</v>
      </c>
      <c r="BB5" s="14" t="s">
        <v>2480</v>
      </c>
      <c r="BC5" s="14">
        <v>45891</v>
      </c>
      <c r="BD5" s="16">
        <v>2025</v>
      </c>
      <c r="BE5" s="16">
        <v>8</v>
      </c>
      <c r="BF5" s="16">
        <v>34</v>
      </c>
      <c r="BG5" s="191">
        <v>36</v>
      </c>
      <c r="BH5" s="191">
        <v>864</v>
      </c>
    </row>
    <row r="6" spans="1:60" s="23" customFormat="1" ht="10">
      <c r="A6" s="11" t="s">
        <v>2502</v>
      </c>
      <c r="B6" s="12" t="s">
        <v>111</v>
      </c>
      <c r="C6" s="12" t="s">
        <v>2503</v>
      </c>
      <c r="D6" s="12" t="s">
        <v>63</v>
      </c>
      <c r="E6" s="12" t="s">
        <v>68</v>
      </c>
      <c r="F6" s="12" t="s">
        <v>68</v>
      </c>
      <c r="G6" s="12"/>
      <c r="H6" s="12" t="s">
        <v>66</v>
      </c>
      <c r="I6" s="12" t="s">
        <v>2504</v>
      </c>
      <c r="J6" s="13" t="s">
        <v>68</v>
      </c>
      <c r="K6" s="12">
        <v>19142931</v>
      </c>
      <c r="L6" s="13" t="s">
        <v>2497</v>
      </c>
      <c r="M6" s="12" t="s">
        <v>68</v>
      </c>
      <c r="N6" s="182"/>
      <c r="O6" s="12" t="s">
        <v>2475</v>
      </c>
      <c r="P6" s="12" t="s">
        <v>132</v>
      </c>
      <c r="Q6" s="12" t="s">
        <v>1104</v>
      </c>
      <c r="R6" s="12">
        <v>554431</v>
      </c>
      <c r="S6" s="12" t="s">
        <v>1105</v>
      </c>
      <c r="T6" s="206">
        <v>455</v>
      </c>
      <c r="U6" s="206">
        <v>1728</v>
      </c>
      <c r="V6" s="12">
        <v>0.78624000000000005</v>
      </c>
      <c r="W6" s="198">
        <v>48</v>
      </c>
      <c r="X6" s="254">
        <v>2</v>
      </c>
      <c r="Y6" s="12" t="s">
        <v>75</v>
      </c>
      <c r="Z6" s="12"/>
      <c r="AA6" s="13" t="s">
        <v>108</v>
      </c>
      <c r="AB6" s="13" t="s">
        <v>992</v>
      </c>
      <c r="AC6" s="14">
        <v>45816</v>
      </c>
      <c r="AD6" s="15">
        <v>23</v>
      </c>
      <c r="AE6" s="176" t="s">
        <v>2505</v>
      </c>
      <c r="AF6" s="12">
        <v>371008573</v>
      </c>
      <c r="AG6" s="12" t="s">
        <v>122</v>
      </c>
      <c r="AH6" s="12" t="s">
        <v>314</v>
      </c>
      <c r="AI6" s="14">
        <v>45821</v>
      </c>
      <c r="AJ6" s="14">
        <v>45821</v>
      </c>
      <c r="AK6" s="14">
        <v>45821</v>
      </c>
      <c r="AL6" s="14">
        <v>45877</v>
      </c>
      <c r="AM6" s="14">
        <v>45872</v>
      </c>
      <c r="AN6" s="14">
        <v>45877</v>
      </c>
      <c r="AO6" s="91" t="s">
        <v>66</v>
      </c>
      <c r="AP6" s="12" t="s">
        <v>2499</v>
      </c>
      <c r="AQ6" s="12"/>
      <c r="AR6" s="12" t="s">
        <v>2506</v>
      </c>
      <c r="AS6" s="12" t="s">
        <v>2507</v>
      </c>
      <c r="AT6" s="12" t="s">
        <v>2507</v>
      </c>
      <c r="AU6" s="12">
        <v>57</v>
      </c>
      <c r="AV6" s="12" t="s">
        <v>83</v>
      </c>
      <c r="AW6" s="12">
        <v>4</v>
      </c>
      <c r="AX6" s="12">
        <v>61</v>
      </c>
      <c r="AY6" s="14">
        <v>45821</v>
      </c>
      <c r="AZ6" s="14">
        <v>45877</v>
      </c>
      <c r="BA6" s="12" t="e">
        <v>#N/A</v>
      </c>
      <c r="BB6" s="14" t="s">
        <v>2480</v>
      </c>
      <c r="BC6" s="14">
        <v>45891</v>
      </c>
      <c r="BD6" s="16">
        <v>2025</v>
      </c>
      <c r="BE6" s="16">
        <v>8</v>
      </c>
      <c r="BF6" s="16">
        <v>34</v>
      </c>
      <c r="BG6" s="191">
        <v>36</v>
      </c>
      <c r="BH6" s="191">
        <v>864</v>
      </c>
    </row>
    <row r="7" spans="1:60" s="23" customFormat="1" ht="10">
      <c r="A7" s="11" t="s">
        <v>2508</v>
      </c>
      <c r="B7" s="12" t="s">
        <v>111</v>
      </c>
      <c r="C7" s="12" t="s">
        <v>2509</v>
      </c>
      <c r="D7" s="12" t="s">
        <v>63</v>
      </c>
      <c r="E7" s="12" t="s">
        <v>64</v>
      </c>
      <c r="F7" s="12" t="s">
        <v>65</v>
      </c>
      <c r="G7" s="12" t="s">
        <v>67</v>
      </c>
      <c r="H7" s="12" t="s">
        <v>66</v>
      </c>
      <c r="I7" s="12" t="s">
        <v>96</v>
      </c>
      <c r="J7" s="13" t="s">
        <v>68</v>
      </c>
      <c r="K7" s="12"/>
      <c r="L7" s="13" t="s">
        <v>2474</v>
      </c>
      <c r="M7" s="213" t="s">
        <v>68</v>
      </c>
      <c r="N7" s="182"/>
      <c r="O7" s="12" t="s">
        <v>2475</v>
      </c>
      <c r="P7" s="12" t="s">
        <v>132</v>
      </c>
      <c r="Q7" s="12" t="s">
        <v>462</v>
      </c>
      <c r="R7" s="12">
        <v>552026</v>
      </c>
      <c r="S7" s="12" t="s">
        <v>463</v>
      </c>
      <c r="T7" s="206">
        <v>550</v>
      </c>
      <c r="U7" s="206">
        <v>660</v>
      </c>
      <c r="V7" s="12">
        <v>0.36299999999999999</v>
      </c>
      <c r="W7" s="198">
        <v>20</v>
      </c>
      <c r="X7" s="254">
        <v>1</v>
      </c>
      <c r="Y7" s="12" t="s">
        <v>75</v>
      </c>
      <c r="Z7" s="12"/>
      <c r="AA7" s="13" t="s">
        <v>108</v>
      </c>
      <c r="AB7" s="13" t="s">
        <v>1187</v>
      </c>
      <c r="AC7" s="14">
        <v>45814</v>
      </c>
      <c r="AD7" s="15">
        <v>23</v>
      </c>
      <c r="AE7" s="176" t="s">
        <v>2476</v>
      </c>
      <c r="AF7" s="12">
        <v>371008554</v>
      </c>
      <c r="AG7" s="12" t="s">
        <v>122</v>
      </c>
      <c r="AH7" s="12" t="s">
        <v>78</v>
      </c>
      <c r="AI7" s="14">
        <v>45822</v>
      </c>
      <c r="AJ7" s="14">
        <v>45822</v>
      </c>
      <c r="AK7" s="14">
        <v>45822</v>
      </c>
      <c r="AL7" s="14">
        <v>45872</v>
      </c>
      <c r="AM7" s="14">
        <v>45873</v>
      </c>
      <c r="AN7" s="14">
        <v>45872</v>
      </c>
      <c r="AO7" s="91" t="s">
        <v>66</v>
      </c>
      <c r="AP7" s="12" t="s">
        <v>2477</v>
      </c>
      <c r="AQ7" s="12"/>
      <c r="AR7" s="12" t="s">
        <v>2478</v>
      </c>
      <c r="AS7" s="12" t="s">
        <v>2479</v>
      </c>
      <c r="AT7" s="12" t="s">
        <v>2479</v>
      </c>
      <c r="AU7" s="12">
        <v>51</v>
      </c>
      <c r="AV7" s="12" t="s">
        <v>83</v>
      </c>
      <c r="AW7" s="12">
        <v>8</v>
      </c>
      <c r="AX7" s="12">
        <v>58</v>
      </c>
      <c r="AY7" s="14">
        <v>45822</v>
      </c>
      <c r="AZ7" s="14">
        <v>45872</v>
      </c>
      <c r="BA7" s="12" t="e">
        <v>#N/A</v>
      </c>
      <c r="BB7" s="14" t="s">
        <v>2480</v>
      </c>
      <c r="BC7" s="14">
        <v>45886</v>
      </c>
      <c r="BD7" s="16">
        <v>2025</v>
      </c>
      <c r="BE7" s="16">
        <v>8</v>
      </c>
      <c r="BF7" s="16">
        <v>33</v>
      </c>
      <c r="BG7" s="191">
        <v>33</v>
      </c>
      <c r="BH7" s="191">
        <v>660</v>
      </c>
    </row>
    <row r="8" spans="1:60" s="23" customFormat="1">
      <c r="A8" s="11" t="s">
        <v>2510</v>
      </c>
      <c r="B8" s="12"/>
      <c r="C8" s="12" t="s">
        <v>2473</v>
      </c>
      <c r="D8" s="12" t="s">
        <v>63</v>
      </c>
      <c r="E8" s="12" t="s">
        <v>68</v>
      </c>
      <c r="F8" s="12" t="s">
        <v>68</v>
      </c>
      <c r="G8" s="12"/>
      <c r="H8" s="17" t="s">
        <v>66</v>
      </c>
      <c r="I8" s="12" t="s">
        <v>1342</v>
      </c>
      <c r="J8" s="13" t="s">
        <v>68</v>
      </c>
      <c r="K8" s="12"/>
      <c r="L8" s="13" t="s">
        <v>2497</v>
      </c>
      <c r="M8" s="12" t="s">
        <v>68</v>
      </c>
      <c r="N8" s="182"/>
      <c r="O8" s="12" t="s">
        <v>2475</v>
      </c>
      <c r="P8" s="12" t="s">
        <v>170</v>
      </c>
      <c r="Q8" s="12" t="s">
        <v>171</v>
      </c>
      <c r="R8" s="12">
        <v>552045</v>
      </c>
      <c r="S8" s="12" t="s">
        <v>172</v>
      </c>
      <c r="T8" s="206">
        <v>555</v>
      </c>
      <c r="U8" s="206">
        <v>1980</v>
      </c>
      <c r="V8" s="12">
        <v>1.0989</v>
      </c>
      <c r="W8" s="198">
        <v>60</v>
      </c>
      <c r="X8" s="254">
        <v>3</v>
      </c>
      <c r="Y8" s="12" t="s">
        <v>75</v>
      </c>
      <c r="Z8" s="12"/>
      <c r="AA8" s="13" t="s">
        <v>108</v>
      </c>
      <c r="AB8" s="13" t="s">
        <v>992</v>
      </c>
      <c r="AC8" s="14">
        <v>45822</v>
      </c>
      <c r="AD8" s="15">
        <v>24</v>
      </c>
      <c r="AE8" s="176" t="s">
        <v>2511</v>
      </c>
      <c r="AF8" s="12">
        <v>371008563</v>
      </c>
      <c r="AG8" s="12" t="s">
        <v>122</v>
      </c>
      <c r="AH8" s="12" t="s">
        <v>314</v>
      </c>
      <c r="AI8" s="14">
        <v>45831</v>
      </c>
      <c r="AJ8" s="14">
        <v>45831</v>
      </c>
      <c r="AK8" s="14">
        <v>45831</v>
      </c>
      <c r="AL8" s="14">
        <v>45887</v>
      </c>
      <c r="AM8" s="14">
        <v>45886</v>
      </c>
      <c r="AN8" s="14">
        <v>45887</v>
      </c>
      <c r="AO8" s="91" t="s">
        <v>66</v>
      </c>
      <c r="AP8" s="12" t="s">
        <v>2512</v>
      </c>
      <c r="AQ8" s="12"/>
      <c r="AR8" s="12" t="s">
        <v>2513</v>
      </c>
      <c r="AS8" s="12" t="s">
        <v>2514</v>
      </c>
      <c r="AT8" s="12" t="s">
        <v>2514</v>
      </c>
      <c r="AU8" s="12">
        <v>57</v>
      </c>
      <c r="AV8" s="12" t="s">
        <v>83</v>
      </c>
      <c r="AW8" s="12">
        <v>11</v>
      </c>
      <c r="AX8" s="12">
        <v>65</v>
      </c>
      <c r="AY8" s="14">
        <v>45831</v>
      </c>
      <c r="AZ8" s="14">
        <v>45887</v>
      </c>
      <c r="BA8" s="12" t="e">
        <v>#N/A</v>
      </c>
      <c r="BB8" s="14" t="s">
        <v>2480</v>
      </c>
      <c r="BC8" s="14">
        <v>45901</v>
      </c>
      <c r="BD8" s="16">
        <v>2025</v>
      </c>
      <c r="BE8" s="16">
        <v>9</v>
      </c>
      <c r="BF8" s="16">
        <v>36</v>
      </c>
      <c r="BG8" s="191">
        <v>33</v>
      </c>
      <c r="BH8" s="191">
        <v>660</v>
      </c>
    </row>
    <row r="9" spans="1:60" s="23" customFormat="1">
      <c r="A9" s="11" t="s">
        <v>2515</v>
      </c>
      <c r="B9" s="12"/>
      <c r="C9" s="12" t="s">
        <v>2473</v>
      </c>
      <c r="D9" s="12" t="s">
        <v>63</v>
      </c>
      <c r="E9" s="12" t="s">
        <v>68</v>
      </c>
      <c r="F9" s="12" t="s">
        <v>68</v>
      </c>
      <c r="G9" s="12"/>
      <c r="H9" s="17" t="s">
        <v>146</v>
      </c>
      <c r="I9" s="12" t="s">
        <v>2488</v>
      </c>
      <c r="J9" s="13" t="s">
        <v>68</v>
      </c>
      <c r="K9" s="12"/>
      <c r="L9" s="13" t="s">
        <v>2489</v>
      </c>
      <c r="M9" s="12" t="s">
        <v>68</v>
      </c>
      <c r="N9" s="182"/>
      <c r="O9" s="12" t="s">
        <v>2475</v>
      </c>
      <c r="P9" s="12" t="s">
        <v>170</v>
      </c>
      <c r="Q9" s="12" t="s">
        <v>171</v>
      </c>
      <c r="R9" s="12">
        <v>552045</v>
      </c>
      <c r="S9" s="12" t="s">
        <v>172</v>
      </c>
      <c r="T9" s="206">
        <v>555</v>
      </c>
      <c r="U9" s="206">
        <v>1320</v>
      </c>
      <c r="V9" s="12">
        <v>0.73260000000000003</v>
      </c>
      <c r="W9" s="198">
        <v>40</v>
      </c>
      <c r="X9" s="254">
        <v>2</v>
      </c>
      <c r="Y9" s="12" t="s">
        <v>75</v>
      </c>
      <c r="Z9" s="12"/>
      <c r="AA9" s="13" t="s">
        <v>108</v>
      </c>
      <c r="AB9" s="13" t="s">
        <v>992</v>
      </c>
      <c r="AC9" s="14">
        <v>45822</v>
      </c>
      <c r="AD9" s="15">
        <v>24</v>
      </c>
      <c r="AE9" s="176" t="s">
        <v>2516</v>
      </c>
      <c r="AF9" s="12">
        <v>371008564</v>
      </c>
      <c r="AG9" s="12" t="s">
        <v>122</v>
      </c>
      <c r="AH9" s="12" t="s">
        <v>159</v>
      </c>
      <c r="AI9" s="14">
        <v>45828</v>
      </c>
      <c r="AJ9" s="14">
        <v>45828</v>
      </c>
      <c r="AK9" s="14">
        <v>45828</v>
      </c>
      <c r="AL9" s="14">
        <v>45883</v>
      </c>
      <c r="AM9" s="14">
        <v>45879</v>
      </c>
      <c r="AN9" s="14">
        <v>45883</v>
      </c>
      <c r="AO9" s="91" t="s">
        <v>146</v>
      </c>
      <c r="AP9" s="12" t="s">
        <v>2517</v>
      </c>
      <c r="AQ9" s="12"/>
      <c r="AR9" s="12" t="s">
        <v>2518</v>
      </c>
      <c r="AS9" s="12">
        <v>255195702</v>
      </c>
      <c r="AT9" s="12">
        <v>254738544</v>
      </c>
      <c r="AU9" s="12">
        <v>56</v>
      </c>
      <c r="AV9" s="12" t="s">
        <v>2493</v>
      </c>
      <c r="AW9" s="12">
        <v>11</v>
      </c>
      <c r="AX9" s="12">
        <v>61</v>
      </c>
      <c r="AY9" s="14">
        <v>45828</v>
      </c>
      <c r="AZ9" s="14">
        <v>45883</v>
      </c>
      <c r="BA9" s="12" t="e">
        <v>#N/A</v>
      </c>
      <c r="BB9" s="14" t="s">
        <v>2480</v>
      </c>
      <c r="BC9" s="14">
        <v>45897</v>
      </c>
      <c r="BD9" s="16">
        <v>2025</v>
      </c>
      <c r="BE9" s="16">
        <v>8</v>
      </c>
      <c r="BF9" s="16">
        <v>35</v>
      </c>
      <c r="BG9" s="191">
        <v>33</v>
      </c>
      <c r="BH9" s="191">
        <v>660</v>
      </c>
    </row>
    <row r="10" spans="1:60" s="23" customFormat="1" ht="10">
      <c r="A10" s="11" t="s">
        <v>2519</v>
      </c>
      <c r="B10" s="12"/>
      <c r="C10" s="12" t="s">
        <v>2495</v>
      </c>
      <c r="D10" s="12" t="s">
        <v>63</v>
      </c>
      <c r="E10" s="12" t="s">
        <v>68</v>
      </c>
      <c r="F10" s="12" t="s">
        <v>68</v>
      </c>
      <c r="G10" s="12"/>
      <c r="H10" s="12" t="s">
        <v>66</v>
      </c>
      <c r="I10" s="12" t="s">
        <v>2496</v>
      </c>
      <c r="J10" s="13" t="s">
        <v>68</v>
      </c>
      <c r="K10" s="12"/>
      <c r="L10" s="13" t="s">
        <v>2497</v>
      </c>
      <c r="M10" s="12" t="s">
        <v>68</v>
      </c>
      <c r="N10" s="182"/>
      <c r="O10" s="12" t="s">
        <v>2475</v>
      </c>
      <c r="P10" s="12" t="s">
        <v>132</v>
      </c>
      <c r="Q10" s="12" t="s">
        <v>453</v>
      </c>
      <c r="R10" s="12">
        <v>554541</v>
      </c>
      <c r="S10" s="12" t="s">
        <v>454</v>
      </c>
      <c r="T10" s="206">
        <v>460</v>
      </c>
      <c r="U10" s="206">
        <v>1728</v>
      </c>
      <c r="V10" s="12">
        <v>0.79488000000000003</v>
      </c>
      <c r="W10" s="198">
        <v>48</v>
      </c>
      <c r="X10" s="254">
        <v>2</v>
      </c>
      <c r="Y10" s="12" t="s">
        <v>75</v>
      </c>
      <c r="Z10" s="12"/>
      <c r="AA10" s="13" t="s">
        <v>108</v>
      </c>
      <c r="AB10" s="13" t="s">
        <v>967</v>
      </c>
      <c r="AC10" s="14">
        <v>45817</v>
      </c>
      <c r="AD10" s="15">
        <v>24</v>
      </c>
      <c r="AE10" s="176" t="s">
        <v>2520</v>
      </c>
      <c r="AF10" s="12">
        <v>371008571</v>
      </c>
      <c r="AG10" s="12" t="s">
        <v>122</v>
      </c>
      <c r="AH10" s="12" t="s">
        <v>314</v>
      </c>
      <c r="AI10" s="14">
        <v>45821</v>
      </c>
      <c r="AJ10" s="14">
        <v>45821</v>
      </c>
      <c r="AK10" s="14">
        <v>45821</v>
      </c>
      <c r="AL10" s="14">
        <v>45877</v>
      </c>
      <c r="AM10" s="14">
        <v>45872</v>
      </c>
      <c r="AN10" s="14">
        <v>45877</v>
      </c>
      <c r="AO10" s="91" t="s">
        <v>66</v>
      </c>
      <c r="AP10" s="12" t="s">
        <v>2499</v>
      </c>
      <c r="AQ10" s="12"/>
      <c r="AR10" s="12" t="s">
        <v>2521</v>
      </c>
      <c r="AS10" s="12" t="s">
        <v>2522</v>
      </c>
      <c r="AT10" s="12" t="s">
        <v>2522</v>
      </c>
      <c r="AU10" s="12">
        <v>57</v>
      </c>
      <c r="AV10" s="12" t="s">
        <v>83</v>
      </c>
      <c r="AW10" s="12">
        <v>6</v>
      </c>
      <c r="AX10" s="12">
        <v>60</v>
      </c>
      <c r="AY10" s="14">
        <v>45821</v>
      </c>
      <c r="AZ10" s="14">
        <v>45877</v>
      </c>
      <c r="BA10" s="12" t="e">
        <v>#N/A</v>
      </c>
      <c r="BB10" s="14" t="s">
        <v>2480</v>
      </c>
      <c r="BC10" s="14">
        <v>45891</v>
      </c>
      <c r="BD10" s="16">
        <v>2025</v>
      </c>
      <c r="BE10" s="16">
        <v>8</v>
      </c>
      <c r="BF10" s="16">
        <v>34</v>
      </c>
      <c r="BG10" s="191">
        <v>36</v>
      </c>
      <c r="BH10" s="191">
        <v>864</v>
      </c>
    </row>
    <row r="11" spans="1:60" s="23" customFormat="1" ht="10">
      <c r="A11" s="11" t="s">
        <v>2523</v>
      </c>
      <c r="B11" s="12"/>
      <c r="C11" s="12" t="s">
        <v>2495</v>
      </c>
      <c r="D11" s="12" t="s">
        <v>63</v>
      </c>
      <c r="E11" s="12" t="s">
        <v>68</v>
      </c>
      <c r="F11" s="12" t="s">
        <v>68</v>
      </c>
      <c r="G11" s="12"/>
      <c r="H11" s="12" t="s">
        <v>66</v>
      </c>
      <c r="I11" s="12" t="s">
        <v>1559</v>
      </c>
      <c r="J11" s="13" t="s">
        <v>68</v>
      </c>
      <c r="K11" s="12"/>
      <c r="L11" s="13" t="s">
        <v>2497</v>
      </c>
      <c r="M11" s="12" t="s">
        <v>68</v>
      </c>
      <c r="N11" s="182"/>
      <c r="O11" s="12" t="s">
        <v>2475</v>
      </c>
      <c r="P11" s="12" t="s">
        <v>132</v>
      </c>
      <c r="Q11" s="12" t="s">
        <v>453</v>
      </c>
      <c r="R11" s="12">
        <v>554541</v>
      </c>
      <c r="S11" s="12" t="s">
        <v>454</v>
      </c>
      <c r="T11" s="206">
        <v>460</v>
      </c>
      <c r="U11" s="206">
        <v>3456</v>
      </c>
      <c r="V11" s="12">
        <v>1.5897600000000001</v>
      </c>
      <c r="W11" s="198">
        <v>96</v>
      </c>
      <c r="X11" s="254">
        <v>4</v>
      </c>
      <c r="Y11" s="12" t="s">
        <v>75</v>
      </c>
      <c r="Z11" s="12"/>
      <c r="AA11" s="13" t="s">
        <v>108</v>
      </c>
      <c r="AB11" s="13" t="s">
        <v>967</v>
      </c>
      <c r="AC11" s="14">
        <v>45823</v>
      </c>
      <c r="AD11" s="15">
        <v>24</v>
      </c>
      <c r="AE11" s="176" t="s">
        <v>2524</v>
      </c>
      <c r="AF11" s="12">
        <v>371008572</v>
      </c>
      <c r="AG11" s="12" t="s">
        <v>122</v>
      </c>
      <c r="AH11" s="12" t="s">
        <v>1561</v>
      </c>
      <c r="AI11" s="14">
        <v>45831</v>
      </c>
      <c r="AJ11" s="14">
        <v>45831</v>
      </c>
      <c r="AK11" s="14">
        <v>45831</v>
      </c>
      <c r="AL11" s="14">
        <v>45878</v>
      </c>
      <c r="AM11" s="14">
        <v>45878</v>
      </c>
      <c r="AN11" s="14">
        <v>45878</v>
      </c>
      <c r="AO11" s="91" t="s">
        <v>66</v>
      </c>
      <c r="AP11" s="12" t="s">
        <v>2512</v>
      </c>
      <c r="AQ11" s="12"/>
      <c r="AR11" s="12" t="s">
        <v>2525</v>
      </c>
      <c r="AS11" s="12" t="s">
        <v>2526</v>
      </c>
      <c r="AT11" s="12" t="s">
        <v>2526</v>
      </c>
      <c r="AU11" s="12">
        <v>48</v>
      </c>
      <c r="AV11" s="12" t="s">
        <v>83</v>
      </c>
      <c r="AW11" s="12">
        <v>6</v>
      </c>
      <c r="AX11" s="12">
        <v>55</v>
      </c>
      <c r="AY11" s="14">
        <v>45831</v>
      </c>
      <c r="AZ11" s="14">
        <v>45878</v>
      </c>
      <c r="BA11" s="12" t="e">
        <v>#N/A</v>
      </c>
      <c r="BB11" s="14" t="s">
        <v>2480</v>
      </c>
      <c r="BC11" s="14">
        <v>45892</v>
      </c>
      <c r="BD11" s="16">
        <v>2025</v>
      </c>
      <c r="BE11" s="16">
        <v>8</v>
      </c>
      <c r="BF11" s="16">
        <v>34</v>
      </c>
      <c r="BG11" s="191">
        <v>36</v>
      </c>
      <c r="BH11" s="191">
        <v>864</v>
      </c>
    </row>
    <row r="12" spans="1:60" s="23" customFormat="1" ht="10">
      <c r="A12" s="11" t="s">
        <v>2527</v>
      </c>
      <c r="B12" s="12"/>
      <c r="C12" s="12" t="s">
        <v>838</v>
      </c>
      <c r="D12" s="12" t="s">
        <v>63</v>
      </c>
      <c r="E12" s="12" t="s">
        <v>68</v>
      </c>
      <c r="F12" s="12" t="s">
        <v>68</v>
      </c>
      <c r="G12" s="12"/>
      <c r="H12" s="12" t="s">
        <v>402</v>
      </c>
      <c r="I12" s="12" t="s">
        <v>594</v>
      </c>
      <c r="J12" s="13" t="s">
        <v>68</v>
      </c>
      <c r="K12" s="12"/>
      <c r="L12" s="13" t="s">
        <v>2528</v>
      </c>
      <c r="M12" s="12" t="s">
        <v>68</v>
      </c>
      <c r="N12" s="182"/>
      <c r="O12" s="12" t="s">
        <v>2529</v>
      </c>
      <c r="P12" s="12" t="s">
        <v>132</v>
      </c>
      <c r="Q12" s="12" t="s">
        <v>841</v>
      </c>
      <c r="R12" s="12">
        <v>554542</v>
      </c>
      <c r="S12" s="12" t="s">
        <v>842</v>
      </c>
      <c r="T12" s="206">
        <v>515</v>
      </c>
      <c r="U12" s="206">
        <v>1584</v>
      </c>
      <c r="V12" s="12">
        <v>0.81576000000000004</v>
      </c>
      <c r="W12" s="198">
        <v>44</v>
      </c>
      <c r="X12" s="254">
        <v>2</v>
      </c>
      <c r="Y12" s="12" t="s">
        <v>75</v>
      </c>
      <c r="Z12" s="12"/>
      <c r="AA12" s="13" t="s">
        <v>108</v>
      </c>
      <c r="AB12" s="32" t="s">
        <v>992</v>
      </c>
      <c r="AC12" s="14">
        <v>45821</v>
      </c>
      <c r="AD12" s="15">
        <v>24</v>
      </c>
      <c r="AE12" s="176" t="s">
        <v>2530</v>
      </c>
      <c r="AF12" s="12" t="s">
        <v>2531</v>
      </c>
      <c r="AG12" s="12" t="s">
        <v>122</v>
      </c>
      <c r="AH12" s="12" t="s">
        <v>124</v>
      </c>
      <c r="AI12" s="14">
        <v>45825</v>
      </c>
      <c r="AJ12" s="14">
        <v>45825</v>
      </c>
      <c r="AK12" s="14">
        <v>45825</v>
      </c>
      <c r="AL12" s="14">
        <v>45869</v>
      </c>
      <c r="AM12" s="14">
        <v>45869</v>
      </c>
      <c r="AN12" s="14">
        <v>45869</v>
      </c>
      <c r="AO12" s="91" t="s">
        <v>402</v>
      </c>
      <c r="AP12" s="12" t="s">
        <v>2532</v>
      </c>
      <c r="AQ12" s="12"/>
      <c r="AR12" s="12" t="s">
        <v>2533</v>
      </c>
      <c r="AS12" s="12" t="s">
        <v>2534</v>
      </c>
      <c r="AT12" s="12" t="s">
        <v>2534</v>
      </c>
      <c r="AU12" s="12">
        <v>45</v>
      </c>
      <c r="AV12" s="12" t="s">
        <v>2493</v>
      </c>
      <c r="AW12" s="12">
        <v>5</v>
      </c>
      <c r="AX12" s="12">
        <v>48</v>
      </c>
      <c r="AY12" s="14">
        <v>45825</v>
      </c>
      <c r="AZ12" s="14">
        <v>45869</v>
      </c>
      <c r="BA12" s="12" t="e">
        <v>#N/A</v>
      </c>
      <c r="BB12" s="14" t="s">
        <v>2480</v>
      </c>
      <c r="BC12" s="14">
        <v>45883</v>
      </c>
      <c r="BD12" s="16">
        <v>2025</v>
      </c>
      <c r="BE12" s="16">
        <v>8</v>
      </c>
      <c r="BF12" s="16">
        <v>33</v>
      </c>
      <c r="BG12" s="191">
        <v>36</v>
      </c>
      <c r="BH12" s="191">
        <v>792</v>
      </c>
    </row>
    <row r="13" spans="1:60" s="23" customFormat="1" ht="10">
      <c r="A13" s="11" t="s">
        <v>2535</v>
      </c>
      <c r="B13" s="12"/>
      <c r="C13" s="12" t="s">
        <v>838</v>
      </c>
      <c r="D13" s="12" t="s">
        <v>63</v>
      </c>
      <c r="E13" s="12" t="s">
        <v>68</v>
      </c>
      <c r="F13" s="12" t="s">
        <v>68</v>
      </c>
      <c r="G13" s="12"/>
      <c r="H13" s="12" t="s">
        <v>146</v>
      </c>
      <c r="I13" s="12" t="s">
        <v>2488</v>
      </c>
      <c r="J13" s="13" t="s">
        <v>68</v>
      </c>
      <c r="K13" s="12"/>
      <c r="L13" s="13" t="s">
        <v>2489</v>
      </c>
      <c r="M13" s="12" t="s">
        <v>68</v>
      </c>
      <c r="N13" s="182"/>
      <c r="O13" s="12" t="s">
        <v>2475</v>
      </c>
      <c r="P13" s="12" t="s">
        <v>132</v>
      </c>
      <c r="Q13" s="12" t="s">
        <v>841</v>
      </c>
      <c r="R13" s="12">
        <v>554542</v>
      </c>
      <c r="S13" s="12" t="s">
        <v>842</v>
      </c>
      <c r="T13" s="206">
        <v>515</v>
      </c>
      <c r="U13" s="206">
        <v>792</v>
      </c>
      <c r="V13" s="12">
        <v>0.40788000000000002</v>
      </c>
      <c r="W13" s="198">
        <v>22</v>
      </c>
      <c r="X13" s="254">
        <v>1</v>
      </c>
      <c r="Y13" s="12" t="s">
        <v>75</v>
      </c>
      <c r="Z13" s="12"/>
      <c r="AA13" s="13" t="s">
        <v>108</v>
      </c>
      <c r="AB13" s="32" t="s">
        <v>992</v>
      </c>
      <c r="AC13" s="14">
        <v>45822</v>
      </c>
      <c r="AD13" s="15">
        <v>24</v>
      </c>
      <c r="AE13" s="176" t="s">
        <v>2536</v>
      </c>
      <c r="AF13" s="12">
        <v>371008611</v>
      </c>
      <c r="AG13" s="12" t="s">
        <v>122</v>
      </c>
      <c r="AH13" s="12" t="s">
        <v>159</v>
      </c>
      <c r="AI13" s="14">
        <v>45828</v>
      </c>
      <c r="AJ13" s="14">
        <v>45828</v>
      </c>
      <c r="AK13" s="14">
        <v>45828</v>
      </c>
      <c r="AL13" s="14">
        <v>45883</v>
      </c>
      <c r="AM13" s="14">
        <v>45879</v>
      </c>
      <c r="AN13" s="14">
        <v>45883</v>
      </c>
      <c r="AO13" s="91" t="s">
        <v>146</v>
      </c>
      <c r="AP13" s="12" t="s">
        <v>2517</v>
      </c>
      <c r="AQ13" s="12"/>
      <c r="AR13" s="12">
        <v>46010657</v>
      </c>
      <c r="AS13" s="12">
        <v>254738544</v>
      </c>
      <c r="AT13" s="12">
        <v>254738544</v>
      </c>
      <c r="AU13" s="12">
        <v>56</v>
      </c>
      <c r="AV13" s="12" t="s">
        <v>2493</v>
      </c>
      <c r="AW13" s="12">
        <v>5</v>
      </c>
      <c r="AX13" s="12">
        <v>61</v>
      </c>
      <c r="AY13" s="14">
        <v>45828</v>
      </c>
      <c r="AZ13" s="14">
        <v>45883</v>
      </c>
      <c r="BA13" s="12" t="e">
        <v>#N/A</v>
      </c>
      <c r="BB13" s="14" t="s">
        <v>2480</v>
      </c>
      <c r="BC13" s="14">
        <v>45897</v>
      </c>
      <c r="BD13" s="16">
        <v>2025</v>
      </c>
      <c r="BE13" s="16">
        <v>8</v>
      </c>
      <c r="BF13" s="16">
        <v>35</v>
      </c>
      <c r="BG13" s="191">
        <v>36</v>
      </c>
      <c r="BH13" s="191">
        <v>792</v>
      </c>
    </row>
    <row r="14" spans="1:60" s="23" customFormat="1" ht="10">
      <c r="A14" s="11" t="s">
        <v>2537</v>
      </c>
      <c r="B14" s="12" t="s">
        <v>111</v>
      </c>
      <c r="C14" s="12" t="s">
        <v>940</v>
      </c>
      <c r="D14" s="12" t="s">
        <v>63</v>
      </c>
      <c r="E14" s="12" t="s">
        <v>68</v>
      </c>
      <c r="F14" s="12" t="s">
        <v>68</v>
      </c>
      <c r="G14" s="12"/>
      <c r="H14" s="12" t="s">
        <v>66</v>
      </c>
      <c r="I14" s="12" t="s">
        <v>2538</v>
      </c>
      <c r="J14" s="34" t="s">
        <v>68</v>
      </c>
      <c r="K14" s="12">
        <v>19143069</v>
      </c>
      <c r="L14" s="13" t="s">
        <v>2497</v>
      </c>
      <c r="M14" s="12" t="s">
        <v>68</v>
      </c>
      <c r="N14" s="182"/>
      <c r="O14" s="12" t="s">
        <v>2475</v>
      </c>
      <c r="P14" s="12" t="s">
        <v>70</v>
      </c>
      <c r="Q14" s="12" t="s">
        <v>943</v>
      </c>
      <c r="R14" s="12">
        <v>554244</v>
      </c>
      <c r="S14" s="12" t="s">
        <v>886</v>
      </c>
      <c r="T14" s="206">
        <v>615</v>
      </c>
      <c r="U14" s="206">
        <v>720</v>
      </c>
      <c r="V14" s="12">
        <v>0.44280000000000003</v>
      </c>
      <c r="W14" s="198">
        <v>20</v>
      </c>
      <c r="X14" s="254">
        <v>1</v>
      </c>
      <c r="Y14" s="12" t="s">
        <v>75</v>
      </c>
      <c r="Z14" s="12"/>
      <c r="AA14" s="13" t="s">
        <v>108</v>
      </c>
      <c r="AB14" s="32" t="s">
        <v>967</v>
      </c>
      <c r="AC14" s="14">
        <v>45817</v>
      </c>
      <c r="AD14" s="15">
        <v>24</v>
      </c>
      <c r="AE14" s="176" t="s">
        <v>2539</v>
      </c>
      <c r="AF14" s="12">
        <v>371008567</v>
      </c>
      <c r="AG14" s="12" t="s">
        <v>122</v>
      </c>
      <c r="AH14" s="12" t="s">
        <v>314</v>
      </c>
      <c r="AI14" s="14">
        <v>45821</v>
      </c>
      <c r="AJ14" s="14">
        <v>45821</v>
      </c>
      <c r="AK14" s="14">
        <v>45821</v>
      </c>
      <c r="AL14" s="14">
        <v>45877</v>
      </c>
      <c r="AM14" s="14">
        <v>45872</v>
      </c>
      <c r="AN14" s="14">
        <v>45877</v>
      </c>
      <c r="AO14" s="91" t="s">
        <v>66</v>
      </c>
      <c r="AP14" s="12" t="s">
        <v>2499</v>
      </c>
      <c r="AQ14" s="12"/>
      <c r="AR14" s="12" t="s">
        <v>2521</v>
      </c>
      <c r="AS14" s="12" t="s">
        <v>2522</v>
      </c>
      <c r="AT14" s="12" t="s">
        <v>2522</v>
      </c>
      <c r="AU14" s="12">
        <v>57</v>
      </c>
      <c r="AV14" s="12" t="s">
        <v>83</v>
      </c>
      <c r="AW14" s="12">
        <v>3</v>
      </c>
      <c r="AX14" s="12">
        <v>60</v>
      </c>
      <c r="AY14" s="14">
        <v>45821</v>
      </c>
      <c r="AZ14" s="14">
        <v>45877</v>
      </c>
      <c r="BA14" s="12" t="e">
        <v>#N/A</v>
      </c>
      <c r="BB14" s="14" t="s">
        <v>2480</v>
      </c>
      <c r="BC14" s="14">
        <v>45891</v>
      </c>
      <c r="BD14" s="16">
        <v>2025</v>
      </c>
      <c r="BE14" s="16">
        <v>8</v>
      </c>
      <c r="BF14" s="16">
        <v>34</v>
      </c>
      <c r="BG14" s="191">
        <v>36</v>
      </c>
      <c r="BH14" s="191">
        <v>720</v>
      </c>
    </row>
    <row r="15" spans="1:60" s="23" customFormat="1">
      <c r="A15" s="11" t="s">
        <v>2540</v>
      </c>
      <c r="B15" s="12" t="s">
        <v>111</v>
      </c>
      <c r="C15" s="12" t="s">
        <v>940</v>
      </c>
      <c r="D15" s="12" t="s">
        <v>63</v>
      </c>
      <c r="E15" s="12" t="s">
        <v>68</v>
      </c>
      <c r="F15" s="12" t="s">
        <v>68</v>
      </c>
      <c r="G15" s="12"/>
      <c r="H15" s="17" t="s">
        <v>402</v>
      </c>
      <c r="I15" s="12" t="s">
        <v>594</v>
      </c>
      <c r="J15" s="34" t="s">
        <v>68</v>
      </c>
      <c r="K15" s="12"/>
      <c r="L15" s="13" t="s">
        <v>2528</v>
      </c>
      <c r="M15" s="12" t="s">
        <v>68</v>
      </c>
      <c r="N15" s="182"/>
      <c r="O15" s="12" t="s">
        <v>2529</v>
      </c>
      <c r="P15" s="12" t="s">
        <v>70</v>
      </c>
      <c r="Q15" s="12" t="s">
        <v>943</v>
      </c>
      <c r="R15" s="12">
        <v>554244</v>
      </c>
      <c r="S15" s="12" t="s">
        <v>886</v>
      </c>
      <c r="T15" s="206">
        <v>615</v>
      </c>
      <c r="U15" s="206">
        <v>2880</v>
      </c>
      <c r="V15" s="12">
        <v>1.7712000000000001</v>
      </c>
      <c r="W15" s="198">
        <v>80</v>
      </c>
      <c r="X15" s="254">
        <v>4</v>
      </c>
      <c r="Y15" s="12" t="s">
        <v>75</v>
      </c>
      <c r="Z15" s="12"/>
      <c r="AA15" s="13" t="s">
        <v>108</v>
      </c>
      <c r="AB15" s="32" t="s">
        <v>967</v>
      </c>
      <c r="AC15" s="14">
        <v>45820</v>
      </c>
      <c r="AD15" s="15">
        <v>24</v>
      </c>
      <c r="AE15" s="176" t="s">
        <v>2530</v>
      </c>
      <c r="AF15" s="12" t="s">
        <v>2541</v>
      </c>
      <c r="AG15" s="12" t="s">
        <v>122</v>
      </c>
      <c r="AH15" s="12" t="s">
        <v>124</v>
      </c>
      <c r="AI15" s="14">
        <v>45825</v>
      </c>
      <c r="AJ15" s="14">
        <v>45825</v>
      </c>
      <c r="AK15" s="14">
        <v>45825</v>
      </c>
      <c r="AL15" s="14">
        <v>45869</v>
      </c>
      <c r="AM15" s="14">
        <v>45869</v>
      </c>
      <c r="AN15" s="14">
        <v>45869</v>
      </c>
      <c r="AO15" s="91" t="s">
        <v>402</v>
      </c>
      <c r="AP15" s="12" t="s">
        <v>2532</v>
      </c>
      <c r="AQ15" s="12"/>
      <c r="AR15" s="12" t="s">
        <v>2533</v>
      </c>
      <c r="AS15" s="12" t="s">
        <v>2534</v>
      </c>
      <c r="AT15" s="12" t="s">
        <v>2534</v>
      </c>
      <c r="AU15" s="12">
        <v>45</v>
      </c>
      <c r="AV15" s="12" t="s">
        <v>2493</v>
      </c>
      <c r="AW15" s="12">
        <v>3</v>
      </c>
      <c r="AX15" s="12">
        <v>49</v>
      </c>
      <c r="AY15" s="14">
        <v>45825</v>
      </c>
      <c r="AZ15" s="14">
        <v>45869</v>
      </c>
      <c r="BA15" s="12" t="e">
        <v>#N/A</v>
      </c>
      <c r="BB15" s="14" t="s">
        <v>2480</v>
      </c>
      <c r="BC15" s="14">
        <v>45883</v>
      </c>
      <c r="BD15" s="16">
        <v>2025</v>
      </c>
      <c r="BE15" s="16">
        <v>8</v>
      </c>
      <c r="BF15" s="16">
        <v>33</v>
      </c>
      <c r="BG15" s="191">
        <v>36</v>
      </c>
      <c r="BH15" s="191">
        <v>720</v>
      </c>
    </row>
    <row r="16" spans="1:60" s="23" customFormat="1" ht="10">
      <c r="A16" s="11" t="s">
        <v>2542</v>
      </c>
      <c r="B16" s="12"/>
      <c r="C16" s="12" t="s">
        <v>2543</v>
      </c>
      <c r="D16" s="12" t="s">
        <v>63</v>
      </c>
      <c r="E16" s="12" t="s">
        <v>68</v>
      </c>
      <c r="F16" s="12" t="s">
        <v>68</v>
      </c>
      <c r="G16" s="12"/>
      <c r="H16" s="12" t="s">
        <v>66</v>
      </c>
      <c r="I16" s="12" t="s">
        <v>1559</v>
      </c>
      <c r="J16" s="34" t="s">
        <v>68</v>
      </c>
      <c r="K16" s="12"/>
      <c r="L16" s="13" t="s">
        <v>2497</v>
      </c>
      <c r="M16" s="12" t="s">
        <v>68</v>
      </c>
      <c r="N16" s="182"/>
      <c r="O16" s="12" t="s">
        <v>2475</v>
      </c>
      <c r="P16" s="12" t="s">
        <v>70</v>
      </c>
      <c r="Q16" s="12" t="s">
        <v>102</v>
      </c>
      <c r="R16" s="12">
        <v>554245</v>
      </c>
      <c r="S16" s="12" t="s">
        <v>103</v>
      </c>
      <c r="T16" s="206">
        <v>620</v>
      </c>
      <c r="U16" s="206">
        <v>3600</v>
      </c>
      <c r="V16" s="12">
        <v>2.2320000000000002</v>
      </c>
      <c r="W16" s="198">
        <v>100</v>
      </c>
      <c r="X16" s="254">
        <v>5</v>
      </c>
      <c r="Y16" s="12" t="s">
        <v>75</v>
      </c>
      <c r="Z16" s="12"/>
      <c r="AA16" s="13" t="s">
        <v>108</v>
      </c>
      <c r="AB16" s="32" t="s">
        <v>967</v>
      </c>
      <c r="AC16" s="14">
        <v>45823</v>
      </c>
      <c r="AD16" s="15">
        <v>24</v>
      </c>
      <c r="AE16" s="176" t="s">
        <v>2544</v>
      </c>
      <c r="AF16" s="12">
        <v>371008568</v>
      </c>
      <c r="AG16" s="12" t="s">
        <v>122</v>
      </c>
      <c r="AH16" s="12" t="s">
        <v>1561</v>
      </c>
      <c r="AI16" s="14">
        <v>45831</v>
      </c>
      <c r="AJ16" s="14">
        <v>45831</v>
      </c>
      <c r="AK16" s="14">
        <v>45831</v>
      </c>
      <c r="AL16" s="14">
        <v>45878</v>
      </c>
      <c r="AM16" s="14">
        <v>45878</v>
      </c>
      <c r="AN16" s="14">
        <v>45878</v>
      </c>
      <c r="AO16" s="91" t="s">
        <v>66</v>
      </c>
      <c r="AP16" s="12" t="s">
        <v>2512</v>
      </c>
      <c r="AQ16" s="12"/>
      <c r="AR16" s="12" t="s">
        <v>2525</v>
      </c>
      <c r="AS16" s="12" t="s">
        <v>2526</v>
      </c>
      <c r="AT16" s="12" t="s">
        <v>2526</v>
      </c>
      <c r="AU16" s="12">
        <v>48</v>
      </c>
      <c r="AV16" s="12" t="s">
        <v>83</v>
      </c>
      <c r="AW16" s="12">
        <v>8</v>
      </c>
      <c r="AX16" s="12">
        <v>55</v>
      </c>
      <c r="AY16" s="14">
        <v>45831</v>
      </c>
      <c r="AZ16" s="14">
        <v>45878</v>
      </c>
      <c r="BA16" s="12" t="e">
        <v>#N/A</v>
      </c>
      <c r="BB16" s="14" t="s">
        <v>2480</v>
      </c>
      <c r="BC16" s="14">
        <v>45892</v>
      </c>
      <c r="BD16" s="16">
        <v>2025</v>
      </c>
      <c r="BE16" s="16">
        <v>8</v>
      </c>
      <c r="BF16" s="16">
        <v>34</v>
      </c>
      <c r="BG16" s="191">
        <v>36</v>
      </c>
      <c r="BH16" s="191">
        <v>720</v>
      </c>
    </row>
    <row r="17" spans="1:60" s="23" customFormat="1" ht="10">
      <c r="A17" s="11" t="s">
        <v>2545</v>
      </c>
      <c r="B17" s="12"/>
      <c r="C17" s="12" t="s">
        <v>2543</v>
      </c>
      <c r="D17" s="12" t="s">
        <v>63</v>
      </c>
      <c r="E17" s="12" t="s">
        <v>68</v>
      </c>
      <c r="F17" s="12" t="s">
        <v>68</v>
      </c>
      <c r="G17" s="12"/>
      <c r="H17" s="12" t="s">
        <v>402</v>
      </c>
      <c r="I17" s="12" t="s">
        <v>594</v>
      </c>
      <c r="J17" s="34" t="s">
        <v>68</v>
      </c>
      <c r="K17" s="12"/>
      <c r="L17" s="13" t="s">
        <v>2528</v>
      </c>
      <c r="M17" s="12" t="s">
        <v>68</v>
      </c>
      <c r="N17" s="182"/>
      <c r="O17" s="12" t="s">
        <v>2529</v>
      </c>
      <c r="P17" s="12" t="s">
        <v>70</v>
      </c>
      <c r="Q17" s="12" t="s">
        <v>102</v>
      </c>
      <c r="R17" s="12">
        <v>554245</v>
      </c>
      <c r="S17" s="12" t="s">
        <v>103</v>
      </c>
      <c r="T17" s="206">
        <v>620</v>
      </c>
      <c r="U17" s="206">
        <v>2880</v>
      </c>
      <c r="V17" s="12">
        <v>1.7856000000000001</v>
      </c>
      <c r="W17" s="198">
        <v>80</v>
      </c>
      <c r="X17" s="254">
        <v>4</v>
      </c>
      <c r="Y17" s="12" t="s">
        <v>75</v>
      </c>
      <c r="Z17" s="12"/>
      <c r="AA17" s="13" t="s">
        <v>108</v>
      </c>
      <c r="AB17" s="32" t="s">
        <v>967</v>
      </c>
      <c r="AC17" s="14">
        <v>45820</v>
      </c>
      <c r="AD17" s="15">
        <v>24</v>
      </c>
      <c r="AE17" s="176" t="s">
        <v>2530</v>
      </c>
      <c r="AF17" s="12" t="s">
        <v>2541</v>
      </c>
      <c r="AG17" s="12" t="s">
        <v>122</v>
      </c>
      <c r="AH17" s="12" t="s">
        <v>124</v>
      </c>
      <c r="AI17" s="14">
        <v>45825</v>
      </c>
      <c r="AJ17" s="14">
        <v>45825</v>
      </c>
      <c r="AK17" s="14">
        <v>45825</v>
      </c>
      <c r="AL17" s="14">
        <v>45869</v>
      </c>
      <c r="AM17" s="14">
        <v>45869</v>
      </c>
      <c r="AN17" s="14">
        <v>45869</v>
      </c>
      <c r="AO17" s="91" t="s">
        <v>402</v>
      </c>
      <c r="AP17" s="12" t="s">
        <v>2532</v>
      </c>
      <c r="AQ17" s="12"/>
      <c r="AR17" s="12" t="s">
        <v>2533</v>
      </c>
      <c r="AS17" s="12" t="s">
        <v>2534</v>
      </c>
      <c r="AT17" s="12" t="s">
        <v>2534</v>
      </c>
      <c r="AU17" s="12">
        <v>45</v>
      </c>
      <c r="AV17" s="12" t="s">
        <v>2493</v>
      </c>
      <c r="AW17" s="12">
        <v>8</v>
      </c>
      <c r="AX17" s="12">
        <v>49</v>
      </c>
      <c r="AY17" s="14">
        <v>45825</v>
      </c>
      <c r="AZ17" s="14">
        <v>45869</v>
      </c>
      <c r="BA17" s="12" t="e">
        <v>#N/A</v>
      </c>
      <c r="BB17" s="14" t="s">
        <v>2480</v>
      </c>
      <c r="BC17" s="14">
        <v>45883</v>
      </c>
      <c r="BD17" s="16">
        <v>2025</v>
      </c>
      <c r="BE17" s="16">
        <v>8</v>
      </c>
      <c r="BF17" s="16">
        <v>33</v>
      </c>
      <c r="BG17" s="191">
        <v>36</v>
      </c>
      <c r="BH17" s="191">
        <v>720</v>
      </c>
    </row>
    <row r="18" spans="1:60" s="23" customFormat="1" ht="10">
      <c r="A18" s="11" t="s">
        <v>2546</v>
      </c>
      <c r="B18" s="12" t="s">
        <v>111</v>
      </c>
      <c r="C18" s="12" t="s">
        <v>401</v>
      </c>
      <c r="D18" s="12" t="s">
        <v>63</v>
      </c>
      <c r="E18" s="12" t="s">
        <v>68</v>
      </c>
      <c r="F18" s="12" t="s">
        <v>68</v>
      </c>
      <c r="G18" s="12"/>
      <c r="H18" s="12" t="s">
        <v>66</v>
      </c>
      <c r="I18" s="12" t="s">
        <v>2547</v>
      </c>
      <c r="J18" s="34" t="s">
        <v>68</v>
      </c>
      <c r="K18" s="12"/>
      <c r="L18" s="13" t="s">
        <v>2489</v>
      </c>
      <c r="M18" s="12" t="s">
        <v>68</v>
      </c>
      <c r="N18" s="182"/>
      <c r="O18" s="12" t="s">
        <v>2475</v>
      </c>
      <c r="P18" s="12" t="s">
        <v>132</v>
      </c>
      <c r="Q18" s="12" t="s">
        <v>405</v>
      </c>
      <c r="R18" s="12">
        <v>554433</v>
      </c>
      <c r="S18" s="12" t="s">
        <v>406</v>
      </c>
      <c r="T18" s="206">
        <v>510</v>
      </c>
      <c r="U18" s="206">
        <v>2124</v>
      </c>
      <c r="V18" s="12">
        <v>1.08324</v>
      </c>
      <c r="W18" s="198">
        <v>59</v>
      </c>
      <c r="X18" s="254">
        <v>2.6818181818181817</v>
      </c>
      <c r="Y18" s="12" t="s">
        <v>75</v>
      </c>
      <c r="Z18" s="12"/>
      <c r="AA18" s="13" t="s">
        <v>108</v>
      </c>
      <c r="AB18" s="32" t="s">
        <v>992</v>
      </c>
      <c r="AC18" s="14">
        <v>45830</v>
      </c>
      <c r="AD18" s="15">
        <v>25</v>
      </c>
      <c r="AE18" s="176" t="s">
        <v>2548</v>
      </c>
      <c r="AF18" s="12">
        <v>371008577</v>
      </c>
      <c r="AG18" s="12" t="s">
        <v>122</v>
      </c>
      <c r="AH18" s="12" t="s">
        <v>888</v>
      </c>
      <c r="AI18" s="14">
        <v>45835</v>
      </c>
      <c r="AJ18" s="14">
        <v>45835</v>
      </c>
      <c r="AK18" s="14">
        <v>45835</v>
      </c>
      <c r="AL18" s="14">
        <v>45883</v>
      </c>
      <c r="AM18" s="14">
        <v>45881</v>
      </c>
      <c r="AN18" s="14">
        <v>45883</v>
      </c>
      <c r="AO18" s="91" t="s">
        <v>66</v>
      </c>
      <c r="AP18" s="12" t="s">
        <v>2549</v>
      </c>
      <c r="AQ18" s="12"/>
      <c r="AR18" s="12">
        <v>46010671</v>
      </c>
      <c r="AS18" s="12" t="s">
        <v>2550</v>
      </c>
      <c r="AT18" s="12">
        <v>254941683</v>
      </c>
      <c r="AU18" s="12">
        <v>49</v>
      </c>
      <c r="AV18" s="12" t="s">
        <v>83</v>
      </c>
      <c r="AW18" s="12">
        <v>1</v>
      </c>
      <c r="AX18" s="12">
        <v>53</v>
      </c>
      <c r="AY18" s="14">
        <v>45835</v>
      </c>
      <c r="AZ18" s="14">
        <v>45883</v>
      </c>
      <c r="BA18" s="12" t="e">
        <v>#N/A</v>
      </c>
      <c r="BB18" s="14" t="s">
        <v>2480</v>
      </c>
      <c r="BC18" s="14">
        <v>45897</v>
      </c>
      <c r="BD18" s="16">
        <v>2025</v>
      </c>
      <c r="BE18" s="16">
        <v>8</v>
      </c>
      <c r="BF18" s="16">
        <v>35</v>
      </c>
      <c r="BG18" s="191">
        <v>36</v>
      </c>
      <c r="BH18" s="191">
        <v>792</v>
      </c>
    </row>
    <row r="19" spans="1:60" s="23" customFormat="1" ht="10">
      <c r="A19" s="11" t="s">
        <v>2551</v>
      </c>
      <c r="B19" s="12"/>
      <c r="C19" s="12" t="s">
        <v>2473</v>
      </c>
      <c r="D19" s="12" t="s">
        <v>63</v>
      </c>
      <c r="E19" s="12" t="s">
        <v>64</v>
      </c>
      <c r="F19" s="12" t="s">
        <v>65</v>
      </c>
      <c r="G19" s="12" t="s">
        <v>67</v>
      </c>
      <c r="H19" s="12" t="s">
        <v>66</v>
      </c>
      <c r="I19" s="12" t="s">
        <v>96</v>
      </c>
      <c r="J19" s="34" t="s">
        <v>68</v>
      </c>
      <c r="K19" s="12"/>
      <c r="L19" s="13" t="s">
        <v>2474</v>
      </c>
      <c r="M19" s="213" t="s">
        <v>68</v>
      </c>
      <c r="N19" s="182"/>
      <c r="O19" s="12" t="s">
        <v>2475</v>
      </c>
      <c r="P19" s="12" t="s">
        <v>170</v>
      </c>
      <c r="Q19" s="12" t="s">
        <v>171</v>
      </c>
      <c r="R19" s="12">
        <v>552045</v>
      </c>
      <c r="S19" s="12" t="s">
        <v>172</v>
      </c>
      <c r="T19" s="206">
        <v>555</v>
      </c>
      <c r="U19" s="206">
        <v>660</v>
      </c>
      <c r="V19" s="12">
        <v>0.36630000000000001</v>
      </c>
      <c r="W19" s="198">
        <v>20</v>
      </c>
      <c r="X19" s="254">
        <v>1</v>
      </c>
      <c r="Y19" s="12" t="s">
        <v>75</v>
      </c>
      <c r="Z19" s="12"/>
      <c r="AA19" s="13" t="s">
        <v>108</v>
      </c>
      <c r="AB19" s="13" t="s">
        <v>992</v>
      </c>
      <c r="AC19" s="14">
        <v>45826</v>
      </c>
      <c r="AD19" s="15">
        <v>25</v>
      </c>
      <c r="AE19" s="176" t="s">
        <v>2552</v>
      </c>
      <c r="AF19" s="12">
        <v>371008584</v>
      </c>
      <c r="AG19" s="12" t="s">
        <v>122</v>
      </c>
      <c r="AH19" s="12" t="s">
        <v>78</v>
      </c>
      <c r="AI19" s="14">
        <v>45842</v>
      </c>
      <c r="AJ19" s="14">
        <v>45842</v>
      </c>
      <c r="AK19" s="14">
        <v>45842</v>
      </c>
      <c r="AL19" s="14">
        <v>45896</v>
      </c>
      <c r="AM19" s="14">
        <v>45895</v>
      </c>
      <c r="AN19" s="14">
        <v>45896</v>
      </c>
      <c r="AO19" s="91" t="s">
        <v>66</v>
      </c>
      <c r="AP19" s="12" t="s">
        <v>2553</v>
      </c>
      <c r="AQ19" s="12"/>
      <c r="AR19" s="12" t="s">
        <v>2554</v>
      </c>
      <c r="AS19" s="12" t="s">
        <v>2555</v>
      </c>
      <c r="AT19" s="12" t="s">
        <v>2556</v>
      </c>
      <c r="AU19" s="12">
        <v>55</v>
      </c>
      <c r="AV19" s="12" t="s">
        <v>83</v>
      </c>
      <c r="AW19" s="12">
        <v>11</v>
      </c>
      <c r="AX19" s="12">
        <v>70</v>
      </c>
      <c r="AY19" s="14">
        <v>45842</v>
      </c>
      <c r="AZ19" s="14">
        <v>45896</v>
      </c>
      <c r="BA19" s="12" t="e">
        <v>#N/A</v>
      </c>
      <c r="BB19" s="14" t="s">
        <v>2480</v>
      </c>
      <c r="BC19" s="14">
        <v>45910</v>
      </c>
      <c r="BD19" s="16">
        <v>2025</v>
      </c>
      <c r="BE19" s="16">
        <v>9</v>
      </c>
      <c r="BF19" s="16">
        <v>37</v>
      </c>
      <c r="BG19" s="191">
        <v>33</v>
      </c>
      <c r="BH19" s="191">
        <v>660</v>
      </c>
    </row>
    <row r="20" spans="1:60" s="175" customFormat="1" ht="10">
      <c r="A20" s="172" t="s">
        <v>2557</v>
      </c>
      <c r="B20" s="41"/>
      <c r="C20" s="41" t="s">
        <v>2473</v>
      </c>
      <c r="D20" s="41" t="s">
        <v>63</v>
      </c>
      <c r="E20" s="12" t="s">
        <v>68</v>
      </c>
      <c r="F20" s="12" t="s">
        <v>68</v>
      </c>
      <c r="G20" s="41"/>
      <c r="H20" s="41" t="s">
        <v>66</v>
      </c>
      <c r="I20" s="41" t="s">
        <v>1342</v>
      </c>
      <c r="J20" s="34" t="s">
        <v>68</v>
      </c>
      <c r="K20" s="41"/>
      <c r="L20" s="13" t="s">
        <v>2497</v>
      </c>
      <c r="M20" s="41" t="s">
        <v>68</v>
      </c>
      <c r="N20" s="184"/>
      <c r="O20" s="41" t="s">
        <v>2475</v>
      </c>
      <c r="P20" s="41" t="s">
        <v>170</v>
      </c>
      <c r="Q20" s="41" t="s">
        <v>171</v>
      </c>
      <c r="R20" s="41">
        <v>552045</v>
      </c>
      <c r="S20" s="41" t="s">
        <v>172</v>
      </c>
      <c r="T20" s="208">
        <v>555</v>
      </c>
      <c r="U20" s="208">
        <v>3300</v>
      </c>
      <c r="V20" s="41">
        <v>1.8314999999999999</v>
      </c>
      <c r="W20" s="201">
        <v>100</v>
      </c>
      <c r="X20" s="255">
        <v>5</v>
      </c>
      <c r="Y20" s="41" t="s">
        <v>75</v>
      </c>
      <c r="Z20" s="41"/>
      <c r="AA20" s="13" t="s">
        <v>108</v>
      </c>
      <c r="AB20" s="13" t="s">
        <v>992</v>
      </c>
      <c r="AC20" s="37">
        <v>45830</v>
      </c>
      <c r="AD20" s="174">
        <v>25</v>
      </c>
      <c r="AE20" s="287" t="s">
        <v>2558</v>
      </c>
      <c r="AF20" s="41">
        <v>371008585</v>
      </c>
      <c r="AG20" s="41" t="s">
        <v>122</v>
      </c>
      <c r="AH20" s="41" t="s">
        <v>314</v>
      </c>
      <c r="AI20" s="37">
        <v>45842</v>
      </c>
      <c r="AJ20" s="37">
        <v>45842</v>
      </c>
      <c r="AK20" s="37">
        <v>45842</v>
      </c>
      <c r="AL20" s="37">
        <v>45892</v>
      </c>
      <c r="AM20" s="37">
        <v>45891</v>
      </c>
      <c r="AN20" s="37">
        <v>45892</v>
      </c>
      <c r="AO20" s="86" t="s">
        <v>66</v>
      </c>
      <c r="AP20" s="41" t="s">
        <v>2553</v>
      </c>
      <c r="AQ20" s="41"/>
      <c r="AR20" s="41" t="s">
        <v>2559</v>
      </c>
      <c r="AS20" s="41" t="s">
        <v>2560</v>
      </c>
      <c r="AT20" s="41" t="s">
        <v>2560</v>
      </c>
      <c r="AU20" s="41">
        <v>51</v>
      </c>
      <c r="AV20" s="41" t="s">
        <v>83</v>
      </c>
      <c r="AW20" s="12">
        <v>11</v>
      </c>
      <c r="AX20" s="41">
        <v>62</v>
      </c>
      <c r="AY20" s="37">
        <v>45842</v>
      </c>
      <c r="AZ20" s="37">
        <v>45892</v>
      </c>
      <c r="BA20" s="41" t="e">
        <v>#N/A</v>
      </c>
      <c r="BB20" s="37" t="s">
        <v>2480</v>
      </c>
      <c r="BC20" s="37">
        <v>45906</v>
      </c>
      <c r="BD20" s="219">
        <v>2025</v>
      </c>
      <c r="BE20" s="219">
        <v>9</v>
      </c>
      <c r="BF20" s="219">
        <v>36</v>
      </c>
      <c r="BG20" s="219">
        <v>33</v>
      </c>
      <c r="BH20" s="219">
        <v>660</v>
      </c>
    </row>
    <row r="21" spans="1:60" s="23" customFormat="1" ht="10">
      <c r="A21" s="11" t="s">
        <v>2561</v>
      </c>
      <c r="B21" s="12"/>
      <c r="C21" s="12" t="s">
        <v>2473</v>
      </c>
      <c r="D21" s="12" t="s">
        <v>63</v>
      </c>
      <c r="E21" s="12" t="s">
        <v>68</v>
      </c>
      <c r="F21" s="12" t="s">
        <v>68</v>
      </c>
      <c r="G21" s="12"/>
      <c r="H21" s="12" t="s">
        <v>66</v>
      </c>
      <c r="I21" s="12" t="s">
        <v>1559</v>
      </c>
      <c r="J21" s="34" t="s">
        <v>68</v>
      </c>
      <c r="K21" s="12"/>
      <c r="L21" s="13" t="s">
        <v>2497</v>
      </c>
      <c r="M21" s="12" t="s">
        <v>68</v>
      </c>
      <c r="N21" s="182"/>
      <c r="O21" s="12" t="s">
        <v>2475</v>
      </c>
      <c r="P21" s="12" t="s">
        <v>170</v>
      </c>
      <c r="Q21" s="12" t="s">
        <v>171</v>
      </c>
      <c r="R21" s="12">
        <v>552045</v>
      </c>
      <c r="S21" s="12" t="s">
        <v>172</v>
      </c>
      <c r="T21" s="206">
        <v>555</v>
      </c>
      <c r="U21" s="206">
        <v>1320</v>
      </c>
      <c r="V21" s="12">
        <v>0.73260000000000003</v>
      </c>
      <c r="W21" s="198">
        <v>40</v>
      </c>
      <c r="X21" s="254">
        <v>2</v>
      </c>
      <c r="Y21" s="12" t="s">
        <v>75</v>
      </c>
      <c r="Z21" s="12"/>
      <c r="AA21" s="13" t="s">
        <v>108</v>
      </c>
      <c r="AB21" s="13" t="s">
        <v>992</v>
      </c>
      <c r="AC21" s="14">
        <v>45826</v>
      </c>
      <c r="AD21" s="15">
        <v>25</v>
      </c>
      <c r="AE21" s="176" t="s">
        <v>2562</v>
      </c>
      <c r="AF21" s="12">
        <v>371008586</v>
      </c>
      <c r="AG21" s="12" t="s">
        <v>122</v>
      </c>
      <c r="AH21" s="12" t="s">
        <v>1561</v>
      </c>
      <c r="AI21" s="14">
        <v>45842</v>
      </c>
      <c r="AJ21" s="14">
        <v>45842</v>
      </c>
      <c r="AK21" s="14">
        <v>45842</v>
      </c>
      <c r="AL21" s="14">
        <v>45892</v>
      </c>
      <c r="AM21" s="14">
        <v>45893</v>
      </c>
      <c r="AN21" s="14">
        <v>45892</v>
      </c>
      <c r="AO21" s="91" t="s">
        <v>66</v>
      </c>
      <c r="AP21" s="12" t="s">
        <v>2553</v>
      </c>
      <c r="AQ21" s="12"/>
      <c r="AR21" s="12" t="s">
        <v>2563</v>
      </c>
      <c r="AS21" s="12" t="s">
        <v>2564</v>
      </c>
      <c r="AT21" s="12" t="s">
        <v>2565</v>
      </c>
      <c r="AU21" s="12">
        <v>51</v>
      </c>
      <c r="AV21" s="12" t="s">
        <v>83</v>
      </c>
      <c r="AW21" s="12">
        <v>11</v>
      </c>
      <c r="AX21" s="12">
        <v>66</v>
      </c>
      <c r="AY21" s="14">
        <v>45842</v>
      </c>
      <c r="AZ21" s="14">
        <v>45892</v>
      </c>
      <c r="BA21" s="12" t="e">
        <v>#N/A</v>
      </c>
      <c r="BB21" s="14" t="s">
        <v>2480</v>
      </c>
      <c r="BC21" s="14">
        <v>45906</v>
      </c>
      <c r="BD21" s="16">
        <v>2025</v>
      </c>
      <c r="BE21" s="16">
        <v>9</v>
      </c>
      <c r="BF21" s="16">
        <v>36</v>
      </c>
      <c r="BG21" s="191">
        <v>33</v>
      </c>
      <c r="BH21" s="191">
        <v>660</v>
      </c>
    </row>
    <row r="22" spans="1:60" s="23" customFormat="1" ht="10">
      <c r="A22" s="11" t="s">
        <v>2566</v>
      </c>
      <c r="B22" s="12"/>
      <c r="C22" s="12" t="s">
        <v>2473</v>
      </c>
      <c r="D22" s="12" t="s">
        <v>63</v>
      </c>
      <c r="E22" s="12" t="s">
        <v>68</v>
      </c>
      <c r="F22" s="12" t="s">
        <v>68</v>
      </c>
      <c r="G22" s="12"/>
      <c r="H22" s="12" t="s">
        <v>66</v>
      </c>
      <c r="I22" s="12" t="s">
        <v>96</v>
      </c>
      <c r="J22" s="34" t="s">
        <v>68</v>
      </c>
      <c r="K22" s="12"/>
      <c r="L22" s="13" t="s">
        <v>2482</v>
      </c>
      <c r="M22" s="12" t="s">
        <v>68</v>
      </c>
      <c r="N22" s="182"/>
      <c r="O22" s="12" t="s">
        <v>2475</v>
      </c>
      <c r="P22" s="12" t="s">
        <v>170</v>
      </c>
      <c r="Q22" s="12" t="s">
        <v>171</v>
      </c>
      <c r="R22" s="12">
        <v>552045</v>
      </c>
      <c r="S22" s="12" t="s">
        <v>172</v>
      </c>
      <c r="T22" s="206">
        <v>555</v>
      </c>
      <c r="U22" s="206">
        <v>660</v>
      </c>
      <c r="V22" s="12">
        <v>0.36630000000000001</v>
      </c>
      <c r="W22" s="198">
        <v>20</v>
      </c>
      <c r="X22" s="254">
        <v>1</v>
      </c>
      <c r="Y22" s="12" t="s">
        <v>75</v>
      </c>
      <c r="Z22" s="12"/>
      <c r="AA22" s="13" t="s">
        <v>108</v>
      </c>
      <c r="AB22" s="13" t="s">
        <v>992</v>
      </c>
      <c r="AC22" s="14">
        <v>45826</v>
      </c>
      <c r="AD22" s="15">
        <v>25</v>
      </c>
      <c r="AE22" s="176" t="s">
        <v>2567</v>
      </c>
      <c r="AF22" s="12">
        <v>371008587</v>
      </c>
      <c r="AG22" s="12" t="s">
        <v>122</v>
      </c>
      <c r="AH22" s="12" t="s">
        <v>124</v>
      </c>
      <c r="AI22" s="14">
        <v>45835</v>
      </c>
      <c r="AJ22" s="14">
        <v>45835</v>
      </c>
      <c r="AK22" s="14">
        <v>45835</v>
      </c>
      <c r="AL22" s="14">
        <v>45882</v>
      </c>
      <c r="AM22" s="14">
        <v>45882</v>
      </c>
      <c r="AN22" s="14">
        <v>45882</v>
      </c>
      <c r="AO22" s="91" t="s">
        <v>66</v>
      </c>
      <c r="AP22" s="12" t="s">
        <v>2568</v>
      </c>
      <c r="AQ22" s="12"/>
      <c r="AR22" s="12" t="s">
        <v>2569</v>
      </c>
      <c r="AS22" s="12" t="s">
        <v>2570</v>
      </c>
      <c r="AT22" s="12" t="s">
        <v>2570</v>
      </c>
      <c r="AU22" s="12">
        <v>48</v>
      </c>
      <c r="AV22" s="12" t="s">
        <v>83</v>
      </c>
      <c r="AW22" s="12">
        <v>11</v>
      </c>
      <c r="AX22" s="12">
        <v>56</v>
      </c>
      <c r="AY22" s="14">
        <v>45835</v>
      </c>
      <c r="AZ22" s="14">
        <v>45882</v>
      </c>
      <c r="BA22" s="12" t="e">
        <v>#N/A</v>
      </c>
      <c r="BB22" s="14" t="s">
        <v>2480</v>
      </c>
      <c r="BC22" s="14">
        <v>45896</v>
      </c>
      <c r="BD22" s="16">
        <v>2025</v>
      </c>
      <c r="BE22" s="16">
        <v>8</v>
      </c>
      <c r="BF22" s="16">
        <v>35</v>
      </c>
      <c r="BG22" s="191">
        <v>33</v>
      </c>
      <c r="BH22" s="191">
        <v>660</v>
      </c>
    </row>
    <row r="23" spans="1:60" s="23" customFormat="1" ht="10">
      <c r="A23" s="11" t="s">
        <v>2571</v>
      </c>
      <c r="B23" s="12"/>
      <c r="C23" s="12" t="s">
        <v>2572</v>
      </c>
      <c r="D23" s="12" t="s">
        <v>63</v>
      </c>
      <c r="E23" s="12" t="s">
        <v>64</v>
      </c>
      <c r="F23" s="12" t="s">
        <v>65</v>
      </c>
      <c r="G23" s="12" t="s">
        <v>67</v>
      </c>
      <c r="H23" s="12" t="s">
        <v>66</v>
      </c>
      <c r="I23" s="12" t="s">
        <v>96</v>
      </c>
      <c r="J23" s="34" t="s">
        <v>68</v>
      </c>
      <c r="K23" s="12"/>
      <c r="L23" s="13" t="s">
        <v>2474</v>
      </c>
      <c r="M23" s="213" t="s">
        <v>68</v>
      </c>
      <c r="N23" s="182"/>
      <c r="O23" s="12" t="s">
        <v>2475</v>
      </c>
      <c r="P23" s="12" t="s">
        <v>170</v>
      </c>
      <c r="Q23" s="12" t="s">
        <v>462</v>
      </c>
      <c r="R23" s="12">
        <v>552026</v>
      </c>
      <c r="S23" s="12" t="s">
        <v>463</v>
      </c>
      <c r="T23" s="206">
        <v>550</v>
      </c>
      <c r="U23" s="206">
        <v>2640</v>
      </c>
      <c r="V23" s="12">
        <v>1.452</v>
      </c>
      <c r="W23" s="198">
        <v>80</v>
      </c>
      <c r="X23" s="254">
        <v>4</v>
      </c>
      <c r="Y23" s="12" t="s">
        <v>75</v>
      </c>
      <c r="Z23" s="12"/>
      <c r="AA23" s="13" t="s">
        <v>108</v>
      </c>
      <c r="AB23" s="13" t="s">
        <v>1187</v>
      </c>
      <c r="AC23" s="14">
        <v>45826</v>
      </c>
      <c r="AD23" s="15">
        <v>25</v>
      </c>
      <c r="AE23" s="176" t="s">
        <v>2573</v>
      </c>
      <c r="AF23" s="12">
        <v>371008581</v>
      </c>
      <c r="AG23" s="12" t="s">
        <v>122</v>
      </c>
      <c r="AH23" s="12" t="s">
        <v>78</v>
      </c>
      <c r="AI23" s="14">
        <v>45842</v>
      </c>
      <c r="AJ23" s="14">
        <v>45842</v>
      </c>
      <c r="AK23" s="14">
        <v>45842</v>
      </c>
      <c r="AL23" s="14">
        <v>45896</v>
      </c>
      <c r="AM23" s="14">
        <v>45895</v>
      </c>
      <c r="AN23" s="14">
        <v>45896</v>
      </c>
      <c r="AO23" s="91" t="s">
        <v>66</v>
      </c>
      <c r="AP23" s="12" t="s">
        <v>2553</v>
      </c>
      <c r="AQ23" s="12"/>
      <c r="AR23" s="12" t="s">
        <v>2554</v>
      </c>
      <c r="AS23" s="12" t="s">
        <v>2555</v>
      </c>
      <c r="AT23" s="12" t="s">
        <v>2555</v>
      </c>
      <c r="AU23" s="12">
        <v>55</v>
      </c>
      <c r="AV23" s="12" t="s">
        <v>83</v>
      </c>
      <c r="AW23" s="12">
        <v>3</v>
      </c>
      <c r="AX23" s="12">
        <v>70</v>
      </c>
      <c r="AY23" s="14">
        <v>45842</v>
      </c>
      <c r="AZ23" s="14">
        <v>45896</v>
      </c>
      <c r="BA23" s="12" t="e">
        <v>#N/A</v>
      </c>
      <c r="BB23" s="14" t="s">
        <v>2480</v>
      </c>
      <c r="BC23" s="14">
        <v>45910</v>
      </c>
      <c r="BD23" s="16">
        <v>2025</v>
      </c>
      <c r="BE23" s="16">
        <v>9</v>
      </c>
      <c r="BF23" s="16">
        <v>37</v>
      </c>
      <c r="BG23" s="191">
        <v>33</v>
      </c>
      <c r="BH23" s="191">
        <v>660</v>
      </c>
    </row>
    <row r="24" spans="1:60" s="175" customFormat="1" ht="10">
      <c r="A24" s="172" t="s">
        <v>2574</v>
      </c>
      <c r="B24" s="41"/>
      <c r="C24" s="41" t="s">
        <v>2572</v>
      </c>
      <c r="D24" s="41" t="s">
        <v>63</v>
      </c>
      <c r="E24" s="12" t="s">
        <v>68</v>
      </c>
      <c r="F24" s="12" t="s">
        <v>68</v>
      </c>
      <c r="G24" s="41"/>
      <c r="H24" s="41" t="s">
        <v>66</v>
      </c>
      <c r="I24" s="41" t="s">
        <v>1342</v>
      </c>
      <c r="J24" s="34" t="s">
        <v>68</v>
      </c>
      <c r="K24" s="41"/>
      <c r="L24" s="13" t="s">
        <v>2497</v>
      </c>
      <c r="M24" s="41" t="s">
        <v>68</v>
      </c>
      <c r="N24" s="184"/>
      <c r="O24" s="41" t="s">
        <v>2475</v>
      </c>
      <c r="P24" s="41" t="s">
        <v>170</v>
      </c>
      <c r="Q24" s="41" t="s">
        <v>462</v>
      </c>
      <c r="R24" s="41">
        <v>552026</v>
      </c>
      <c r="S24" s="41" t="s">
        <v>463</v>
      </c>
      <c r="T24" s="208">
        <v>550</v>
      </c>
      <c r="U24" s="208">
        <v>1320</v>
      </c>
      <c r="V24" s="41">
        <v>0.72599999999999998</v>
      </c>
      <c r="W24" s="201">
        <v>40</v>
      </c>
      <c r="X24" s="255">
        <v>2</v>
      </c>
      <c r="Y24" s="41" t="s">
        <v>75</v>
      </c>
      <c r="Z24" s="41"/>
      <c r="AA24" s="13" t="s">
        <v>108</v>
      </c>
      <c r="AB24" s="13" t="s">
        <v>1187</v>
      </c>
      <c r="AC24" s="37">
        <v>45830</v>
      </c>
      <c r="AD24" s="174">
        <v>25</v>
      </c>
      <c r="AE24" s="287" t="s">
        <v>2575</v>
      </c>
      <c r="AF24" s="41">
        <v>371008582</v>
      </c>
      <c r="AG24" s="41" t="s">
        <v>122</v>
      </c>
      <c r="AH24" s="41" t="s">
        <v>314</v>
      </c>
      <c r="AI24" s="37">
        <v>45842</v>
      </c>
      <c r="AJ24" s="37">
        <v>45842</v>
      </c>
      <c r="AK24" s="37">
        <v>45842</v>
      </c>
      <c r="AL24" s="37">
        <v>45892</v>
      </c>
      <c r="AM24" s="37">
        <v>45891</v>
      </c>
      <c r="AN24" s="37">
        <v>45892</v>
      </c>
      <c r="AO24" s="86" t="s">
        <v>66</v>
      </c>
      <c r="AP24" s="41" t="s">
        <v>2553</v>
      </c>
      <c r="AQ24" s="41"/>
      <c r="AR24" s="41" t="s">
        <v>2559</v>
      </c>
      <c r="AS24" s="41" t="s">
        <v>2560</v>
      </c>
      <c r="AT24" s="41" t="s">
        <v>2560</v>
      </c>
      <c r="AU24" s="41">
        <v>51</v>
      </c>
      <c r="AV24" s="41" t="s">
        <v>83</v>
      </c>
      <c r="AW24" s="12">
        <v>3</v>
      </c>
      <c r="AX24" s="41">
        <v>62</v>
      </c>
      <c r="AY24" s="37">
        <v>45842</v>
      </c>
      <c r="AZ24" s="37">
        <v>45892</v>
      </c>
      <c r="BA24" s="41" t="e">
        <v>#N/A</v>
      </c>
      <c r="BB24" s="37" t="s">
        <v>2480</v>
      </c>
      <c r="BC24" s="37">
        <v>45906</v>
      </c>
      <c r="BD24" s="219">
        <v>2025</v>
      </c>
      <c r="BE24" s="219">
        <v>9</v>
      </c>
      <c r="BF24" s="219">
        <v>36</v>
      </c>
      <c r="BG24" s="219">
        <v>33</v>
      </c>
      <c r="BH24" s="219">
        <v>660</v>
      </c>
    </row>
    <row r="25" spans="1:60" s="23" customFormat="1" ht="10">
      <c r="A25" s="11" t="s">
        <v>2576</v>
      </c>
      <c r="B25" s="12"/>
      <c r="C25" s="12" t="s">
        <v>2572</v>
      </c>
      <c r="D25" s="12" t="s">
        <v>63</v>
      </c>
      <c r="E25" s="12" t="s">
        <v>68</v>
      </c>
      <c r="F25" s="12" t="s">
        <v>68</v>
      </c>
      <c r="G25" s="12"/>
      <c r="H25" s="12" t="s">
        <v>66</v>
      </c>
      <c r="I25" s="12" t="s">
        <v>1559</v>
      </c>
      <c r="J25" s="34" t="s">
        <v>68</v>
      </c>
      <c r="K25" s="12"/>
      <c r="L25" s="13" t="s">
        <v>2497</v>
      </c>
      <c r="M25" s="12" t="s">
        <v>68</v>
      </c>
      <c r="N25" s="182"/>
      <c r="O25" s="12" t="s">
        <v>2475</v>
      </c>
      <c r="P25" s="12" t="s">
        <v>170</v>
      </c>
      <c r="Q25" s="12" t="s">
        <v>462</v>
      </c>
      <c r="R25" s="12">
        <v>552026</v>
      </c>
      <c r="S25" s="12" t="s">
        <v>463</v>
      </c>
      <c r="T25" s="206">
        <v>550</v>
      </c>
      <c r="U25" s="206">
        <v>1320</v>
      </c>
      <c r="V25" s="12">
        <v>0.72599999999999998</v>
      </c>
      <c r="W25" s="198">
        <v>40</v>
      </c>
      <c r="X25" s="254">
        <v>2</v>
      </c>
      <c r="Y25" s="12" t="s">
        <v>75</v>
      </c>
      <c r="Z25" s="12"/>
      <c r="AA25" s="13" t="s">
        <v>108</v>
      </c>
      <c r="AB25" s="13" t="s">
        <v>1187</v>
      </c>
      <c r="AC25" s="14">
        <v>45826</v>
      </c>
      <c r="AD25" s="15">
        <v>25</v>
      </c>
      <c r="AE25" s="176" t="s">
        <v>2577</v>
      </c>
      <c r="AF25" s="12">
        <v>371008583</v>
      </c>
      <c r="AG25" s="12" t="s">
        <v>122</v>
      </c>
      <c r="AH25" s="12" t="s">
        <v>1561</v>
      </c>
      <c r="AI25" s="14">
        <v>45842</v>
      </c>
      <c r="AJ25" s="14">
        <v>45842</v>
      </c>
      <c r="AK25" s="14">
        <v>45842</v>
      </c>
      <c r="AL25" s="14">
        <v>45892</v>
      </c>
      <c r="AM25" s="14">
        <v>45893</v>
      </c>
      <c r="AN25" s="14">
        <v>45892</v>
      </c>
      <c r="AO25" s="91" t="s">
        <v>66</v>
      </c>
      <c r="AP25" s="12" t="s">
        <v>2553</v>
      </c>
      <c r="AQ25" s="12"/>
      <c r="AR25" s="12" t="s">
        <v>2563</v>
      </c>
      <c r="AS25" s="12" t="s">
        <v>2564</v>
      </c>
      <c r="AT25" s="12" t="s">
        <v>2564</v>
      </c>
      <c r="AU25" s="12">
        <v>51</v>
      </c>
      <c r="AV25" s="12" t="s">
        <v>83</v>
      </c>
      <c r="AW25" s="12">
        <v>3</v>
      </c>
      <c r="AX25" s="12">
        <v>66</v>
      </c>
      <c r="AY25" s="14">
        <v>45842</v>
      </c>
      <c r="AZ25" s="14">
        <v>45892</v>
      </c>
      <c r="BA25" s="12" t="e">
        <v>#N/A</v>
      </c>
      <c r="BB25" s="14" t="s">
        <v>2480</v>
      </c>
      <c r="BC25" s="14">
        <v>45906</v>
      </c>
      <c r="BD25" s="16">
        <v>2025</v>
      </c>
      <c r="BE25" s="16">
        <v>9</v>
      </c>
      <c r="BF25" s="16">
        <v>36</v>
      </c>
      <c r="BG25" s="191">
        <v>33</v>
      </c>
      <c r="BH25" s="191">
        <v>660</v>
      </c>
    </row>
    <row r="26" spans="1:60" s="23" customFormat="1" ht="10">
      <c r="A26" s="11" t="s">
        <v>2572</v>
      </c>
      <c r="B26" s="12"/>
      <c r="C26" s="12" t="s">
        <v>203</v>
      </c>
      <c r="D26" s="12" t="s">
        <v>63</v>
      </c>
      <c r="E26" s="12" t="s">
        <v>68</v>
      </c>
      <c r="F26" s="12" t="s">
        <v>68</v>
      </c>
      <c r="G26" s="12"/>
      <c r="H26" s="12" t="s">
        <v>66</v>
      </c>
      <c r="I26" s="12" t="s">
        <v>1342</v>
      </c>
      <c r="J26" s="34" t="s">
        <v>68</v>
      </c>
      <c r="K26" s="12"/>
      <c r="L26" s="13" t="s">
        <v>2497</v>
      </c>
      <c r="M26" s="12" t="s">
        <v>68</v>
      </c>
      <c r="N26" s="182"/>
      <c r="O26" s="12" t="s">
        <v>2475</v>
      </c>
      <c r="P26" s="12" t="s">
        <v>170</v>
      </c>
      <c r="Q26" s="12" t="s">
        <v>462</v>
      </c>
      <c r="R26" s="12">
        <v>552026</v>
      </c>
      <c r="S26" s="12" t="s">
        <v>463</v>
      </c>
      <c r="T26" s="206">
        <v>550</v>
      </c>
      <c r="U26" s="206">
        <v>3300</v>
      </c>
      <c r="V26" s="12">
        <v>1.8149999999999999</v>
      </c>
      <c r="W26" s="198">
        <v>100</v>
      </c>
      <c r="X26" s="254">
        <v>5</v>
      </c>
      <c r="Y26" s="12" t="s">
        <v>75</v>
      </c>
      <c r="Z26" s="12"/>
      <c r="AA26" s="13" t="s">
        <v>108</v>
      </c>
      <c r="AB26" s="13" t="s">
        <v>1187</v>
      </c>
      <c r="AC26" s="14">
        <v>45836</v>
      </c>
      <c r="AD26" s="15">
        <v>26</v>
      </c>
      <c r="AE26" s="176" t="s">
        <v>2578</v>
      </c>
      <c r="AF26" s="12">
        <v>371008616</v>
      </c>
      <c r="AG26" s="12" t="s">
        <v>122</v>
      </c>
      <c r="AH26" s="12" t="s">
        <v>314</v>
      </c>
      <c r="AI26" s="14">
        <v>45847</v>
      </c>
      <c r="AJ26" s="14">
        <v>45847</v>
      </c>
      <c r="AK26" s="14">
        <v>45847</v>
      </c>
      <c r="AL26" s="14">
        <v>45903</v>
      </c>
      <c r="AM26" s="14">
        <v>45900</v>
      </c>
      <c r="AN26" s="14">
        <v>45903</v>
      </c>
      <c r="AO26" s="91" t="s">
        <v>66</v>
      </c>
      <c r="AP26" s="12" t="s">
        <v>2579</v>
      </c>
      <c r="AQ26" s="12"/>
      <c r="AR26" s="12" t="s">
        <v>2580</v>
      </c>
      <c r="AS26" s="12" t="s">
        <v>2581</v>
      </c>
      <c r="AT26" s="12" t="s">
        <v>2581</v>
      </c>
      <c r="AU26" s="12">
        <v>57</v>
      </c>
      <c r="AV26" s="12" t="s">
        <v>83</v>
      </c>
      <c r="AW26" s="12">
        <v>39</v>
      </c>
      <c r="AX26" s="12">
        <v>67</v>
      </c>
      <c r="AY26" s="14">
        <v>45847</v>
      </c>
      <c r="AZ26" s="14">
        <v>45903</v>
      </c>
      <c r="BA26" s="12" t="e">
        <v>#N/A</v>
      </c>
      <c r="BB26" s="14" t="s">
        <v>2480</v>
      </c>
      <c r="BC26" s="14">
        <v>45917</v>
      </c>
      <c r="BD26" s="16">
        <v>2025</v>
      </c>
      <c r="BE26" s="16">
        <v>9</v>
      </c>
      <c r="BF26" s="16">
        <v>38</v>
      </c>
      <c r="BG26" s="191">
        <v>33</v>
      </c>
      <c r="BH26" s="191">
        <v>660</v>
      </c>
    </row>
    <row r="27" spans="1:60" s="23" customFormat="1" ht="10">
      <c r="A27" s="11" t="s">
        <v>2582</v>
      </c>
      <c r="B27" s="12" t="s">
        <v>1888</v>
      </c>
      <c r="C27" s="12" t="s">
        <v>2543</v>
      </c>
      <c r="D27" s="12" t="s">
        <v>63</v>
      </c>
      <c r="E27" s="12" t="s">
        <v>68</v>
      </c>
      <c r="F27" s="12" t="s">
        <v>68</v>
      </c>
      <c r="G27" s="12"/>
      <c r="H27" s="12" t="s">
        <v>156</v>
      </c>
      <c r="I27" s="12" t="s">
        <v>157</v>
      </c>
      <c r="J27" s="34" t="s">
        <v>68</v>
      </c>
      <c r="K27" s="12"/>
      <c r="L27" s="13" t="s">
        <v>2489</v>
      </c>
      <c r="M27" s="12" t="s">
        <v>68</v>
      </c>
      <c r="N27" s="182"/>
      <c r="O27" s="12" t="s">
        <v>2475</v>
      </c>
      <c r="P27" s="12" t="s">
        <v>70</v>
      </c>
      <c r="Q27" s="12" t="s">
        <v>102</v>
      </c>
      <c r="R27" s="12">
        <v>554245</v>
      </c>
      <c r="S27" s="12" t="s">
        <v>103</v>
      </c>
      <c r="T27" s="206">
        <v>620</v>
      </c>
      <c r="U27" s="206">
        <v>720</v>
      </c>
      <c r="V27" s="12">
        <v>0.44640000000000002</v>
      </c>
      <c r="W27" s="198">
        <v>20</v>
      </c>
      <c r="X27" s="254">
        <v>1</v>
      </c>
      <c r="Y27" s="12" t="s">
        <v>75</v>
      </c>
      <c r="Z27" s="12"/>
      <c r="AA27" s="13" t="s">
        <v>108</v>
      </c>
      <c r="AB27" s="32" t="s">
        <v>967</v>
      </c>
      <c r="AC27" s="14">
        <v>45831</v>
      </c>
      <c r="AD27" s="15">
        <v>26</v>
      </c>
      <c r="AE27" s="176" t="s">
        <v>2583</v>
      </c>
      <c r="AF27" s="12">
        <v>371008612</v>
      </c>
      <c r="AG27" s="12" t="s">
        <v>122</v>
      </c>
      <c r="AH27" s="12" t="s">
        <v>159</v>
      </c>
      <c r="AI27" s="14">
        <v>45846</v>
      </c>
      <c r="AJ27" s="14">
        <v>45846</v>
      </c>
      <c r="AK27" s="14">
        <v>45846</v>
      </c>
      <c r="AL27" s="14">
        <v>45900</v>
      </c>
      <c r="AM27" s="14"/>
      <c r="AN27" s="14">
        <v>45900</v>
      </c>
      <c r="AO27" s="91" t="s">
        <v>156</v>
      </c>
      <c r="AP27" s="12" t="s">
        <v>2584</v>
      </c>
      <c r="AQ27" s="12"/>
      <c r="AR27" s="12">
        <v>46010646</v>
      </c>
      <c r="AS27" s="12">
        <v>1067418014</v>
      </c>
      <c r="AT27" s="12" t="s">
        <v>2585</v>
      </c>
      <c r="AU27" s="12">
        <v>55</v>
      </c>
      <c r="AV27" s="12" t="s">
        <v>2493</v>
      </c>
      <c r="AW27" s="12">
        <v>8</v>
      </c>
      <c r="AX27" s="12">
        <v>69</v>
      </c>
      <c r="AY27" s="14">
        <v>45846</v>
      </c>
      <c r="AZ27" s="14">
        <v>45900</v>
      </c>
      <c r="BA27" s="12" t="e">
        <v>#N/A</v>
      </c>
      <c r="BB27" s="14" t="s">
        <v>2480</v>
      </c>
      <c r="BC27" s="14">
        <v>45914</v>
      </c>
      <c r="BD27" s="16">
        <v>2025</v>
      </c>
      <c r="BE27" s="16">
        <v>9</v>
      </c>
      <c r="BF27" s="16">
        <v>37</v>
      </c>
      <c r="BG27" s="191">
        <v>36</v>
      </c>
      <c r="BH27" s="191">
        <v>720</v>
      </c>
    </row>
    <row r="28" spans="1:60" s="23" customFormat="1" ht="10">
      <c r="A28" s="11" t="s">
        <v>2586</v>
      </c>
      <c r="B28" s="12"/>
      <c r="C28" s="12" t="s">
        <v>2543</v>
      </c>
      <c r="D28" s="12" t="s">
        <v>63</v>
      </c>
      <c r="E28" s="12" t="s">
        <v>68</v>
      </c>
      <c r="F28" s="12" t="s">
        <v>68</v>
      </c>
      <c r="G28" s="12"/>
      <c r="H28" s="12" t="s">
        <v>66</v>
      </c>
      <c r="I28" s="12" t="s">
        <v>2496</v>
      </c>
      <c r="J28" s="34" t="s">
        <v>68</v>
      </c>
      <c r="K28" s="12"/>
      <c r="L28" s="13" t="s">
        <v>2497</v>
      </c>
      <c r="M28" s="12" t="s">
        <v>68</v>
      </c>
      <c r="N28" s="182"/>
      <c r="O28" s="12" t="s">
        <v>2475</v>
      </c>
      <c r="P28" s="12" t="s">
        <v>70</v>
      </c>
      <c r="Q28" s="12" t="s">
        <v>102</v>
      </c>
      <c r="R28" s="12">
        <v>554245</v>
      </c>
      <c r="S28" s="12" t="s">
        <v>103</v>
      </c>
      <c r="T28" s="206">
        <v>620</v>
      </c>
      <c r="U28" s="206">
        <v>720</v>
      </c>
      <c r="V28" s="12">
        <v>0.44640000000000002</v>
      </c>
      <c r="W28" s="198">
        <v>20</v>
      </c>
      <c r="X28" s="254">
        <v>1</v>
      </c>
      <c r="Y28" s="12" t="s">
        <v>75</v>
      </c>
      <c r="Z28" s="12"/>
      <c r="AA28" s="13" t="s">
        <v>108</v>
      </c>
      <c r="AB28" s="32" t="s">
        <v>967</v>
      </c>
      <c r="AC28" s="14">
        <v>45835</v>
      </c>
      <c r="AD28" s="15">
        <v>26</v>
      </c>
      <c r="AE28" s="176" t="s">
        <v>2587</v>
      </c>
      <c r="AF28" s="12">
        <v>371008619</v>
      </c>
      <c r="AG28" s="12" t="s">
        <v>122</v>
      </c>
      <c r="AH28" s="12" t="s">
        <v>314</v>
      </c>
      <c r="AI28" s="14">
        <v>45847</v>
      </c>
      <c r="AJ28" s="14">
        <v>45847</v>
      </c>
      <c r="AK28" s="14">
        <v>45847</v>
      </c>
      <c r="AL28" s="14">
        <v>45903</v>
      </c>
      <c r="AM28" s="14">
        <v>45900</v>
      </c>
      <c r="AN28" s="14">
        <v>45903</v>
      </c>
      <c r="AO28" s="91" t="s">
        <v>66</v>
      </c>
      <c r="AP28" s="12" t="s">
        <v>2579</v>
      </c>
      <c r="AQ28" s="12"/>
      <c r="AR28" s="12" t="s">
        <v>2588</v>
      </c>
      <c r="AS28" s="12" t="s">
        <v>2589</v>
      </c>
      <c r="AT28" s="12" t="s">
        <v>2589</v>
      </c>
      <c r="AU28" s="12">
        <v>57</v>
      </c>
      <c r="AV28" s="12" t="s">
        <v>83</v>
      </c>
      <c r="AW28" s="12">
        <v>8</v>
      </c>
      <c r="AX28" s="12">
        <v>68</v>
      </c>
      <c r="AY28" s="14">
        <v>45847</v>
      </c>
      <c r="AZ28" s="14">
        <v>45903</v>
      </c>
      <c r="BA28" s="12" t="e">
        <v>#N/A</v>
      </c>
      <c r="BB28" s="14" t="s">
        <v>2480</v>
      </c>
      <c r="BC28" s="14">
        <v>45917</v>
      </c>
      <c r="BD28" s="16">
        <v>2025</v>
      </c>
      <c r="BE28" s="16">
        <v>9</v>
      </c>
      <c r="BF28" s="16">
        <v>38</v>
      </c>
      <c r="BG28" s="191">
        <v>36</v>
      </c>
      <c r="BH28" s="191">
        <v>720</v>
      </c>
    </row>
    <row r="29" spans="1:60" s="23" customFormat="1" ht="10">
      <c r="A29" s="11" t="s">
        <v>2590</v>
      </c>
      <c r="B29" s="12"/>
      <c r="C29" s="12" t="s">
        <v>2495</v>
      </c>
      <c r="D29" s="12" t="s">
        <v>63</v>
      </c>
      <c r="E29" s="12" t="s">
        <v>68</v>
      </c>
      <c r="F29" s="12" t="s">
        <v>68</v>
      </c>
      <c r="G29" s="12"/>
      <c r="H29" s="12" t="s">
        <v>66</v>
      </c>
      <c r="I29" s="12" t="s">
        <v>2496</v>
      </c>
      <c r="J29" s="34" t="s">
        <v>68</v>
      </c>
      <c r="K29" s="12"/>
      <c r="L29" s="13" t="s">
        <v>2497</v>
      </c>
      <c r="M29" s="12" t="s">
        <v>68</v>
      </c>
      <c r="N29" s="182"/>
      <c r="O29" s="12" t="s">
        <v>2475</v>
      </c>
      <c r="P29" s="12" t="s">
        <v>132</v>
      </c>
      <c r="Q29" s="12" t="s">
        <v>453</v>
      </c>
      <c r="R29" s="12">
        <v>554541</v>
      </c>
      <c r="S29" s="12" t="s">
        <v>454</v>
      </c>
      <c r="T29" s="206">
        <v>460</v>
      </c>
      <c r="U29" s="206">
        <v>5184</v>
      </c>
      <c r="V29" s="12">
        <v>2.3846400000000001</v>
      </c>
      <c r="W29" s="198">
        <v>144</v>
      </c>
      <c r="X29" s="254">
        <v>6</v>
      </c>
      <c r="Y29" s="12" t="s">
        <v>75</v>
      </c>
      <c r="Z29" s="12"/>
      <c r="AA29" s="13" t="s">
        <v>108</v>
      </c>
      <c r="AB29" s="13" t="s">
        <v>967</v>
      </c>
      <c r="AC29" s="14">
        <v>45835</v>
      </c>
      <c r="AD29" s="15">
        <v>26</v>
      </c>
      <c r="AE29" s="176" t="s">
        <v>2591</v>
      </c>
      <c r="AF29" s="12">
        <v>371008618</v>
      </c>
      <c r="AG29" s="12" t="s">
        <v>122</v>
      </c>
      <c r="AH29" s="12" t="s">
        <v>314</v>
      </c>
      <c r="AI29" s="14">
        <v>45847</v>
      </c>
      <c r="AJ29" s="14">
        <v>45847</v>
      </c>
      <c r="AK29" s="14">
        <v>45847</v>
      </c>
      <c r="AL29" s="14">
        <v>45903</v>
      </c>
      <c r="AM29" s="14">
        <v>45900</v>
      </c>
      <c r="AN29" s="14">
        <v>45903</v>
      </c>
      <c r="AO29" s="91" t="s">
        <v>66</v>
      </c>
      <c r="AP29" s="12" t="s">
        <v>2579</v>
      </c>
      <c r="AQ29" s="12"/>
      <c r="AR29" s="12" t="s">
        <v>2588</v>
      </c>
      <c r="AS29" s="12" t="s">
        <v>2589</v>
      </c>
      <c r="AT29" s="12" t="s">
        <v>2589</v>
      </c>
      <c r="AU29" s="12">
        <v>57</v>
      </c>
      <c r="AV29" s="12" t="s">
        <v>83</v>
      </c>
      <c r="AW29" s="12">
        <v>6</v>
      </c>
      <c r="AX29" s="12">
        <v>68</v>
      </c>
      <c r="AY29" s="14">
        <v>45847</v>
      </c>
      <c r="AZ29" s="14">
        <v>45903</v>
      </c>
      <c r="BA29" s="12" t="e">
        <v>#N/A</v>
      </c>
      <c r="BB29" s="14" t="s">
        <v>2480</v>
      </c>
      <c r="BC29" s="14">
        <v>45917</v>
      </c>
      <c r="BD29" s="16">
        <v>2025</v>
      </c>
      <c r="BE29" s="16">
        <v>9</v>
      </c>
      <c r="BF29" s="16">
        <v>38</v>
      </c>
      <c r="BG29" s="191">
        <v>36</v>
      </c>
      <c r="BH29" s="191">
        <v>864</v>
      </c>
    </row>
    <row r="30" spans="1:60" s="23" customFormat="1" ht="10">
      <c r="A30" s="11" t="s">
        <v>2592</v>
      </c>
      <c r="B30" s="12"/>
      <c r="C30" s="12" t="s">
        <v>2473</v>
      </c>
      <c r="D30" s="12" t="s">
        <v>63</v>
      </c>
      <c r="E30" s="12" t="s">
        <v>68</v>
      </c>
      <c r="F30" s="12" t="s">
        <v>68</v>
      </c>
      <c r="G30" s="12"/>
      <c r="H30" s="12" t="s">
        <v>66</v>
      </c>
      <c r="I30" s="12" t="s">
        <v>96</v>
      </c>
      <c r="J30" s="34" t="s">
        <v>68</v>
      </c>
      <c r="K30" s="12"/>
      <c r="L30" s="13" t="s">
        <v>2482</v>
      </c>
      <c r="M30" s="12" t="s">
        <v>68</v>
      </c>
      <c r="N30" s="182"/>
      <c r="O30" s="12" t="s">
        <v>2475</v>
      </c>
      <c r="P30" s="12" t="s">
        <v>170</v>
      </c>
      <c r="Q30" s="12" t="s">
        <v>171</v>
      </c>
      <c r="R30" s="12">
        <v>552045</v>
      </c>
      <c r="S30" s="12" t="s">
        <v>172</v>
      </c>
      <c r="T30" s="206">
        <v>555</v>
      </c>
      <c r="U30" s="206">
        <v>1320</v>
      </c>
      <c r="V30" s="12">
        <v>0.73260000000000003</v>
      </c>
      <c r="W30" s="198">
        <v>40</v>
      </c>
      <c r="X30" s="254">
        <v>2</v>
      </c>
      <c r="Y30" s="12" t="s">
        <v>75</v>
      </c>
      <c r="Z30" s="12"/>
      <c r="AA30" s="13" t="s">
        <v>108</v>
      </c>
      <c r="AB30" s="13" t="s">
        <v>992</v>
      </c>
      <c r="AC30" s="14">
        <v>45835</v>
      </c>
      <c r="AD30" s="15">
        <v>26</v>
      </c>
      <c r="AE30" s="176" t="s">
        <v>2593</v>
      </c>
      <c r="AF30" s="12">
        <v>371008617</v>
      </c>
      <c r="AG30" s="12" t="s">
        <v>122</v>
      </c>
      <c r="AH30" s="12" t="s">
        <v>124</v>
      </c>
      <c r="AI30" s="14">
        <v>45844</v>
      </c>
      <c r="AJ30" s="14">
        <v>45844</v>
      </c>
      <c r="AK30" s="14">
        <v>45844</v>
      </c>
      <c r="AL30" s="14">
        <v>45889</v>
      </c>
      <c r="AM30" s="14">
        <v>45887</v>
      </c>
      <c r="AN30" s="14">
        <v>45889</v>
      </c>
      <c r="AO30" s="91" t="s">
        <v>66</v>
      </c>
      <c r="AP30" s="12" t="s">
        <v>2594</v>
      </c>
      <c r="AQ30" s="12"/>
      <c r="AR30" s="12" t="s">
        <v>2595</v>
      </c>
      <c r="AS30" s="12" t="s">
        <v>2596</v>
      </c>
      <c r="AT30" s="12" t="s">
        <v>2596</v>
      </c>
      <c r="AU30" s="12">
        <v>46</v>
      </c>
      <c r="AV30" s="12" t="s">
        <v>83</v>
      </c>
      <c r="AW30" s="12">
        <v>11</v>
      </c>
      <c r="AX30" s="12">
        <v>54</v>
      </c>
      <c r="AY30" s="14">
        <v>45844</v>
      </c>
      <c r="AZ30" s="14">
        <v>45889</v>
      </c>
      <c r="BA30" s="12" t="e">
        <v>#N/A</v>
      </c>
      <c r="BB30" s="14" t="s">
        <v>2480</v>
      </c>
      <c r="BC30" s="14">
        <v>45903</v>
      </c>
      <c r="BD30" s="16">
        <v>2025</v>
      </c>
      <c r="BE30" s="16">
        <v>9</v>
      </c>
      <c r="BF30" s="16">
        <v>36</v>
      </c>
      <c r="BG30" s="191">
        <v>33</v>
      </c>
      <c r="BH30" s="191">
        <v>660</v>
      </c>
    </row>
    <row r="31" spans="1:60" s="23" customFormat="1" ht="10">
      <c r="A31" s="11" t="s">
        <v>2597</v>
      </c>
      <c r="B31" s="12"/>
      <c r="C31" s="12" t="s">
        <v>2509</v>
      </c>
      <c r="D31" s="12" t="s">
        <v>63</v>
      </c>
      <c r="E31" s="12" t="s">
        <v>68</v>
      </c>
      <c r="F31" s="12" t="s">
        <v>68</v>
      </c>
      <c r="G31" s="12"/>
      <c r="H31" s="12" t="s">
        <v>66</v>
      </c>
      <c r="I31" s="12" t="s">
        <v>1342</v>
      </c>
      <c r="J31" s="34" t="s">
        <v>68</v>
      </c>
      <c r="K31" s="12"/>
      <c r="L31" s="13" t="s">
        <v>2497</v>
      </c>
      <c r="M31" s="12" t="s">
        <v>68</v>
      </c>
      <c r="N31" s="182"/>
      <c r="O31" s="12" t="s">
        <v>2475</v>
      </c>
      <c r="P31" s="12" t="s">
        <v>170</v>
      </c>
      <c r="Q31" s="12" t="s">
        <v>462</v>
      </c>
      <c r="R31" s="12">
        <v>552026</v>
      </c>
      <c r="S31" s="12" t="s">
        <v>463</v>
      </c>
      <c r="T31" s="206">
        <v>550</v>
      </c>
      <c r="U31" s="206">
        <v>3960</v>
      </c>
      <c r="V31" s="12">
        <v>2.1779999999999999</v>
      </c>
      <c r="W31" s="198">
        <v>120</v>
      </c>
      <c r="X31" s="254">
        <v>6</v>
      </c>
      <c r="Y31" s="12" t="s">
        <v>75</v>
      </c>
      <c r="Z31" s="12"/>
      <c r="AA31" s="13" t="s">
        <v>108</v>
      </c>
      <c r="AB31" s="13" t="s">
        <v>1187</v>
      </c>
      <c r="AC31" s="14">
        <v>45836</v>
      </c>
      <c r="AD31" s="15">
        <v>26</v>
      </c>
      <c r="AE31" s="176" t="s">
        <v>2598</v>
      </c>
      <c r="AF31" s="12">
        <v>371008620</v>
      </c>
      <c r="AG31" s="12" t="s">
        <v>122</v>
      </c>
      <c r="AH31" s="12" t="s">
        <v>314</v>
      </c>
      <c r="AI31" s="14">
        <v>45847</v>
      </c>
      <c r="AJ31" s="14">
        <v>45847</v>
      </c>
      <c r="AK31" s="14">
        <v>45847</v>
      </c>
      <c r="AL31" s="14">
        <v>45903</v>
      </c>
      <c r="AM31" s="14">
        <v>45900</v>
      </c>
      <c r="AN31" s="14">
        <v>45903</v>
      </c>
      <c r="AO31" s="91" t="s">
        <v>66</v>
      </c>
      <c r="AP31" s="12" t="s">
        <v>2579</v>
      </c>
      <c r="AQ31" s="12"/>
      <c r="AR31" s="12" t="s">
        <v>2580</v>
      </c>
      <c r="AS31" s="12" t="s">
        <v>2581</v>
      </c>
      <c r="AT31" s="12" t="s">
        <v>2581</v>
      </c>
      <c r="AU31" s="12">
        <v>57</v>
      </c>
      <c r="AV31" s="12" t="s">
        <v>83</v>
      </c>
      <c r="AW31" s="12">
        <v>8</v>
      </c>
      <c r="AX31" s="12">
        <v>67</v>
      </c>
      <c r="AY31" s="14">
        <v>45847</v>
      </c>
      <c r="AZ31" s="14">
        <v>45903</v>
      </c>
      <c r="BA31" s="12" t="e">
        <v>#N/A</v>
      </c>
      <c r="BB31" s="14" t="s">
        <v>2480</v>
      </c>
      <c r="BC31" s="14">
        <v>45917</v>
      </c>
      <c r="BD31" s="16">
        <v>2025</v>
      </c>
      <c r="BE31" s="16">
        <v>9</v>
      </c>
      <c r="BF31" s="16">
        <v>38</v>
      </c>
      <c r="BG31" s="191">
        <v>33</v>
      </c>
      <c r="BH31" s="191">
        <v>660</v>
      </c>
    </row>
    <row r="32" spans="1:60" s="23" customFormat="1" ht="10">
      <c r="A32" s="11" t="s">
        <v>2599</v>
      </c>
      <c r="B32" s="12"/>
      <c r="C32" s="12" t="s">
        <v>2509</v>
      </c>
      <c r="D32" s="12" t="s">
        <v>63</v>
      </c>
      <c r="E32" s="12" t="s">
        <v>68</v>
      </c>
      <c r="F32" s="12" t="s">
        <v>68</v>
      </c>
      <c r="G32" s="12"/>
      <c r="H32" s="12" t="s">
        <v>66</v>
      </c>
      <c r="I32" s="12" t="s">
        <v>1559</v>
      </c>
      <c r="J32" s="34" t="s">
        <v>68</v>
      </c>
      <c r="K32" s="12"/>
      <c r="L32" s="13" t="s">
        <v>2497</v>
      </c>
      <c r="M32" s="12" t="s">
        <v>68</v>
      </c>
      <c r="N32" s="182"/>
      <c r="O32" s="12" t="s">
        <v>2475</v>
      </c>
      <c r="P32" s="12" t="s">
        <v>170</v>
      </c>
      <c r="Q32" s="12" t="s">
        <v>462</v>
      </c>
      <c r="R32" s="12">
        <v>552026</v>
      </c>
      <c r="S32" s="12" t="s">
        <v>463</v>
      </c>
      <c r="T32" s="206">
        <v>550</v>
      </c>
      <c r="U32" s="206">
        <v>1320</v>
      </c>
      <c r="V32" s="12">
        <v>0.72599999999999998</v>
      </c>
      <c r="W32" s="198">
        <v>40</v>
      </c>
      <c r="X32" s="254">
        <v>2</v>
      </c>
      <c r="Y32" s="12" t="s">
        <v>75</v>
      </c>
      <c r="Z32" s="12"/>
      <c r="AA32" s="13" t="s">
        <v>108</v>
      </c>
      <c r="AB32" s="13" t="s">
        <v>1187</v>
      </c>
      <c r="AC32" s="14">
        <v>45835</v>
      </c>
      <c r="AD32" s="15">
        <v>26</v>
      </c>
      <c r="AE32" s="176" t="s">
        <v>2600</v>
      </c>
      <c r="AF32" s="12">
        <v>371008621</v>
      </c>
      <c r="AG32" s="12" t="s">
        <v>122</v>
      </c>
      <c r="AH32" s="12" t="s">
        <v>1561</v>
      </c>
      <c r="AI32" s="14">
        <v>45847</v>
      </c>
      <c r="AJ32" s="14">
        <v>45847</v>
      </c>
      <c r="AK32" s="14">
        <v>45847</v>
      </c>
      <c r="AL32" s="14">
        <v>45906</v>
      </c>
      <c r="AM32" s="14">
        <v>45907</v>
      </c>
      <c r="AN32" s="14">
        <v>45906</v>
      </c>
      <c r="AO32" s="91" t="s">
        <v>66</v>
      </c>
      <c r="AP32" s="12" t="s">
        <v>2579</v>
      </c>
      <c r="AQ32" s="12"/>
      <c r="AR32" s="12" t="s">
        <v>2601</v>
      </c>
      <c r="AS32" s="12" t="s">
        <v>2602</v>
      </c>
      <c r="AT32" s="12" t="s">
        <v>2602</v>
      </c>
      <c r="AU32" s="12">
        <v>60</v>
      </c>
      <c r="AV32" s="12" t="s">
        <v>83</v>
      </c>
      <c r="AW32" s="12">
        <v>8</v>
      </c>
      <c r="AX32" s="12">
        <v>71</v>
      </c>
      <c r="AY32" s="14">
        <v>45847</v>
      </c>
      <c r="AZ32" s="14">
        <v>45906</v>
      </c>
      <c r="BA32" s="12" t="e">
        <v>#N/A</v>
      </c>
      <c r="BB32" s="14" t="s">
        <v>2480</v>
      </c>
      <c r="BC32" s="14">
        <v>45920</v>
      </c>
      <c r="BD32" s="16">
        <v>2025</v>
      </c>
      <c r="BE32" s="16">
        <v>9</v>
      </c>
      <c r="BF32" s="16">
        <v>38</v>
      </c>
      <c r="BG32" s="191">
        <v>33</v>
      </c>
      <c r="BH32" s="191">
        <v>660</v>
      </c>
    </row>
    <row r="33" spans="1:60" s="23" customFormat="1" ht="10">
      <c r="A33" s="11" t="s">
        <v>2603</v>
      </c>
      <c r="B33" s="12" t="s">
        <v>111</v>
      </c>
      <c r="C33" s="12" t="s">
        <v>2509</v>
      </c>
      <c r="D33" s="12" t="s">
        <v>63</v>
      </c>
      <c r="E33" s="12" t="s">
        <v>64</v>
      </c>
      <c r="F33" s="12" t="s">
        <v>65</v>
      </c>
      <c r="G33" s="12" t="s">
        <v>67</v>
      </c>
      <c r="H33" s="12" t="s">
        <v>66</v>
      </c>
      <c r="I33" s="12" t="s">
        <v>96</v>
      </c>
      <c r="J33" s="34" t="s">
        <v>68</v>
      </c>
      <c r="K33" s="12"/>
      <c r="L33" s="13" t="s">
        <v>2474</v>
      </c>
      <c r="M33" s="213" t="s">
        <v>68</v>
      </c>
      <c r="N33" s="182"/>
      <c r="O33" s="12" t="s">
        <v>2475</v>
      </c>
      <c r="P33" s="12" t="s">
        <v>170</v>
      </c>
      <c r="Q33" s="12" t="s">
        <v>462</v>
      </c>
      <c r="R33" s="12">
        <v>552026</v>
      </c>
      <c r="S33" s="12" t="s">
        <v>463</v>
      </c>
      <c r="T33" s="206">
        <v>550</v>
      </c>
      <c r="U33" s="206">
        <v>2640</v>
      </c>
      <c r="V33" s="12">
        <v>1.452</v>
      </c>
      <c r="W33" s="198">
        <v>80</v>
      </c>
      <c r="X33" s="254">
        <v>4</v>
      </c>
      <c r="Y33" s="12" t="s">
        <v>75</v>
      </c>
      <c r="Z33" s="12"/>
      <c r="AA33" s="13" t="s">
        <v>108</v>
      </c>
      <c r="AB33" s="13" t="s">
        <v>1187</v>
      </c>
      <c r="AC33" s="14">
        <v>45843</v>
      </c>
      <c r="AD33" s="15">
        <v>27</v>
      </c>
      <c r="AE33" s="176" t="s">
        <v>2604</v>
      </c>
      <c r="AF33" s="12">
        <v>371008645</v>
      </c>
      <c r="AG33" s="12" t="s">
        <v>122</v>
      </c>
      <c r="AH33" s="12" t="s">
        <v>78</v>
      </c>
      <c r="AI33" s="14">
        <v>45857</v>
      </c>
      <c r="AJ33" s="14">
        <v>45857</v>
      </c>
      <c r="AK33" s="14">
        <v>45857</v>
      </c>
      <c r="AL33" s="14">
        <v>45918</v>
      </c>
      <c r="AM33" s="14">
        <v>45912</v>
      </c>
      <c r="AN33" s="14">
        <v>45918</v>
      </c>
      <c r="AO33" s="91" t="s">
        <v>66</v>
      </c>
      <c r="AP33" s="12" t="s">
        <v>2605</v>
      </c>
      <c r="AQ33" s="12"/>
      <c r="AR33" s="12" t="s">
        <v>2606</v>
      </c>
      <c r="AS33" s="12" t="s">
        <v>2607</v>
      </c>
      <c r="AT33" s="12" t="s">
        <v>2607</v>
      </c>
      <c r="AU33" s="12">
        <v>62</v>
      </c>
      <c r="AV33" s="12" t="s">
        <v>83</v>
      </c>
      <c r="AW33" s="12">
        <v>8</v>
      </c>
      <c r="AX33" s="12">
        <v>75</v>
      </c>
      <c r="AY33" s="14">
        <v>45857</v>
      </c>
      <c r="AZ33" s="14">
        <v>45918</v>
      </c>
      <c r="BA33" s="12" t="e">
        <v>#N/A</v>
      </c>
      <c r="BB33" s="14" t="s">
        <v>2480</v>
      </c>
      <c r="BC33" s="14">
        <v>45932</v>
      </c>
      <c r="BD33" s="16">
        <v>2025</v>
      </c>
      <c r="BE33" s="16">
        <v>10</v>
      </c>
      <c r="BF33" s="16">
        <v>40</v>
      </c>
      <c r="BG33" s="191">
        <v>33</v>
      </c>
      <c r="BH33" s="191">
        <v>660</v>
      </c>
    </row>
    <row r="34" spans="1:60" s="23" customFormat="1" ht="10">
      <c r="A34" s="11" t="s">
        <v>2608</v>
      </c>
      <c r="B34" s="12" t="s">
        <v>111</v>
      </c>
      <c r="C34" s="12" t="s">
        <v>2609</v>
      </c>
      <c r="D34" s="12" t="s">
        <v>63</v>
      </c>
      <c r="E34" s="12" t="s">
        <v>64</v>
      </c>
      <c r="F34" s="12" t="s">
        <v>65</v>
      </c>
      <c r="G34" s="12" t="s">
        <v>67</v>
      </c>
      <c r="H34" s="12" t="s">
        <v>66</v>
      </c>
      <c r="I34" s="12" t="s">
        <v>96</v>
      </c>
      <c r="J34" s="34" t="s">
        <v>68</v>
      </c>
      <c r="K34" s="12"/>
      <c r="L34" s="13" t="s">
        <v>2474</v>
      </c>
      <c r="M34" s="213" t="s">
        <v>68</v>
      </c>
      <c r="N34" s="182"/>
      <c r="O34" s="12" t="s">
        <v>2475</v>
      </c>
      <c r="P34" s="12" t="s">
        <v>2610</v>
      </c>
      <c r="Q34" s="12" t="s">
        <v>2611</v>
      </c>
      <c r="R34" s="12">
        <v>553098</v>
      </c>
      <c r="S34" s="12" t="s">
        <v>2612</v>
      </c>
      <c r="T34" s="206">
        <v>550</v>
      </c>
      <c r="U34" s="206">
        <v>3300</v>
      </c>
      <c r="V34" s="12">
        <v>1.8149999999999999</v>
      </c>
      <c r="W34" s="198">
        <v>100</v>
      </c>
      <c r="X34" s="254">
        <v>5</v>
      </c>
      <c r="Y34" s="12" t="s">
        <v>75</v>
      </c>
      <c r="Z34" s="12"/>
      <c r="AA34" s="13" t="s">
        <v>108</v>
      </c>
      <c r="AB34" s="13" t="s">
        <v>992</v>
      </c>
      <c r="AC34" s="14">
        <v>45843</v>
      </c>
      <c r="AD34" s="15">
        <v>27</v>
      </c>
      <c r="AE34" s="176" t="s">
        <v>2613</v>
      </c>
      <c r="AF34" s="12">
        <v>371008640</v>
      </c>
      <c r="AG34" s="12" t="s">
        <v>122</v>
      </c>
      <c r="AH34" s="12" t="s">
        <v>78</v>
      </c>
      <c r="AI34" s="14">
        <v>45857</v>
      </c>
      <c r="AJ34" s="14">
        <v>45857</v>
      </c>
      <c r="AK34" s="14">
        <v>45857</v>
      </c>
      <c r="AL34" s="14">
        <v>45918</v>
      </c>
      <c r="AM34" s="14">
        <v>45912</v>
      </c>
      <c r="AN34" s="14">
        <v>45918</v>
      </c>
      <c r="AO34" s="91" t="s">
        <v>66</v>
      </c>
      <c r="AP34" s="12" t="s">
        <v>2605</v>
      </c>
      <c r="AQ34" s="12"/>
      <c r="AR34" s="12" t="s">
        <v>2606</v>
      </c>
      <c r="AS34" s="12" t="s">
        <v>2607</v>
      </c>
      <c r="AT34" s="12" t="s">
        <v>2607</v>
      </c>
      <c r="AU34" s="12">
        <v>62</v>
      </c>
      <c r="AV34" s="12" t="s">
        <v>83</v>
      </c>
      <c r="AW34" s="12">
        <v>6</v>
      </c>
      <c r="AX34" s="12">
        <v>75</v>
      </c>
      <c r="AY34" s="14">
        <v>45857</v>
      </c>
      <c r="AZ34" s="14">
        <v>45918</v>
      </c>
      <c r="BA34" s="12" t="e">
        <v>#N/A</v>
      </c>
      <c r="BB34" s="14" t="s">
        <v>2480</v>
      </c>
      <c r="BC34" s="14">
        <v>45932</v>
      </c>
      <c r="BD34" s="16">
        <v>2025</v>
      </c>
      <c r="BE34" s="16">
        <v>10</v>
      </c>
      <c r="BF34" s="16">
        <v>40</v>
      </c>
      <c r="BG34" s="191">
        <v>33</v>
      </c>
      <c r="BH34" s="191">
        <v>660</v>
      </c>
    </row>
    <row r="35" spans="1:60" s="23" customFormat="1" ht="10">
      <c r="A35" s="11" t="s">
        <v>2614</v>
      </c>
      <c r="B35" s="12" t="s">
        <v>111</v>
      </c>
      <c r="C35" s="12" t="s">
        <v>2473</v>
      </c>
      <c r="D35" s="12" t="s">
        <v>63</v>
      </c>
      <c r="E35" s="12" t="s">
        <v>64</v>
      </c>
      <c r="F35" s="12" t="s">
        <v>65</v>
      </c>
      <c r="G35" s="12" t="s">
        <v>67</v>
      </c>
      <c r="H35" s="12" t="s">
        <v>66</v>
      </c>
      <c r="I35" s="12" t="s">
        <v>96</v>
      </c>
      <c r="J35" s="34" t="s">
        <v>68</v>
      </c>
      <c r="K35" s="12"/>
      <c r="L35" s="13" t="s">
        <v>2474</v>
      </c>
      <c r="M35" s="213" t="s">
        <v>68</v>
      </c>
      <c r="N35" s="182"/>
      <c r="O35" s="12" t="s">
        <v>2475</v>
      </c>
      <c r="P35" s="12" t="s">
        <v>170</v>
      </c>
      <c r="Q35" s="12" t="s">
        <v>171</v>
      </c>
      <c r="R35" s="12">
        <v>552045</v>
      </c>
      <c r="S35" s="12" t="s">
        <v>172</v>
      </c>
      <c r="T35" s="206">
        <v>555</v>
      </c>
      <c r="U35" s="206">
        <v>660</v>
      </c>
      <c r="V35" s="12">
        <v>0.36630000000000001</v>
      </c>
      <c r="W35" s="198">
        <v>20</v>
      </c>
      <c r="X35" s="254">
        <v>1</v>
      </c>
      <c r="Y35" s="12" t="s">
        <v>75</v>
      </c>
      <c r="Z35" s="12"/>
      <c r="AA35" s="13" t="s">
        <v>108</v>
      </c>
      <c r="AB35" s="13" t="s">
        <v>992</v>
      </c>
      <c r="AC35" s="14">
        <v>45843</v>
      </c>
      <c r="AD35" s="15">
        <v>27</v>
      </c>
      <c r="AE35" s="176" t="s">
        <v>2615</v>
      </c>
      <c r="AF35" s="12">
        <v>371008642</v>
      </c>
      <c r="AG35" s="12" t="s">
        <v>122</v>
      </c>
      <c r="AH35" s="12" t="s">
        <v>78</v>
      </c>
      <c r="AI35" s="14">
        <v>45857</v>
      </c>
      <c r="AJ35" s="14">
        <v>45857</v>
      </c>
      <c r="AK35" s="14">
        <v>45857</v>
      </c>
      <c r="AL35" s="14">
        <v>45918</v>
      </c>
      <c r="AM35" s="14">
        <v>45912</v>
      </c>
      <c r="AN35" s="14">
        <v>45918</v>
      </c>
      <c r="AO35" s="91" t="s">
        <v>66</v>
      </c>
      <c r="AP35" s="12" t="s">
        <v>2605</v>
      </c>
      <c r="AQ35" s="12"/>
      <c r="AR35" s="12" t="s">
        <v>2606</v>
      </c>
      <c r="AS35" s="12" t="s">
        <v>2607</v>
      </c>
      <c r="AT35" s="12" t="s">
        <v>2607</v>
      </c>
      <c r="AU35" s="12">
        <v>62</v>
      </c>
      <c r="AV35" s="12" t="s">
        <v>83</v>
      </c>
      <c r="AW35" s="12">
        <v>11</v>
      </c>
      <c r="AX35" s="12">
        <v>75</v>
      </c>
      <c r="AY35" s="14">
        <v>45857</v>
      </c>
      <c r="AZ35" s="14">
        <v>45918</v>
      </c>
      <c r="BA35" s="12" t="e">
        <v>#N/A</v>
      </c>
      <c r="BB35" s="14" t="s">
        <v>2480</v>
      </c>
      <c r="BC35" s="14">
        <v>45932</v>
      </c>
      <c r="BD35" s="16">
        <v>2025</v>
      </c>
      <c r="BE35" s="16">
        <v>10</v>
      </c>
      <c r="BF35" s="16">
        <v>40</v>
      </c>
      <c r="BG35" s="191">
        <v>33</v>
      </c>
      <c r="BH35" s="191">
        <v>660</v>
      </c>
    </row>
    <row r="36" spans="1:60" s="23" customFormat="1" ht="10">
      <c r="A36" s="11" t="s">
        <v>2616</v>
      </c>
      <c r="B36" s="12" t="s">
        <v>111</v>
      </c>
      <c r="C36" s="12" t="s">
        <v>2617</v>
      </c>
      <c r="D36" s="12" t="s">
        <v>63</v>
      </c>
      <c r="E36" s="12" t="s">
        <v>64</v>
      </c>
      <c r="F36" s="12" t="s">
        <v>65</v>
      </c>
      <c r="G36" s="12" t="s">
        <v>67</v>
      </c>
      <c r="H36" s="12" t="s">
        <v>66</v>
      </c>
      <c r="I36" s="12" t="s">
        <v>96</v>
      </c>
      <c r="J36" s="34" t="s">
        <v>68</v>
      </c>
      <c r="K36" s="12"/>
      <c r="L36" s="13" t="s">
        <v>2474</v>
      </c>
      <c r="M36" s="213" t="s">
        <v>68</v>
      </c>
      <c r="N36" s="182"/>
      <c r="O36" s="12" t="s">
        <v>2475</v>
      </c>
      <c r="P36" s="12" t="s">
        <v>2610</v>
      </c>
      <c r="Q36" s="12" t="s">
        <v>2618</v>
      </c>
      <c r="R36" s="12">
        <v>553097</v>
      </c>
      <c r="S36" s="12" t="s">
        <v>2619</v>
      </c>
      <c r="T36" s="206">
        <v>555</v>
      </c>
      <c r="U36" s="206">
        <v>1320</v>
      </c>
      <c r="V36" s="12">
        <v>0.73260000000000003</v>
      </c>
      <c r="W36" s="198">
        <v>40</v>
      </c>
      <c r="X36" s="254">
        <v>2</v>
      </c>
      <c r="Y36" s="12" t="s">
        <v>75</v>
      </c>
      <c r="Z36" s="12"/>
      <c r="AA36" s="13" t="s">
        <v>108</v>
      </c>
      <c r="AB36" s="13" t="s">
        <v>992</v>
      </c>
      <c r="AC36" s="14">
        <v>45842</v>
      </c>
      <c r="AD36" s="15">
        <v>27</v>
      </c>
      <c r="AE36" s="176" t="s">
        <v>2620</v>
      </c>
      <c r="AF36" s="12">
        <v>371008641</v>
      </c>
      <c r="AG36" s="12" t="s">
        <v>122</v>
      </c>
      <c r="AH36" s="12" t="s">
        <v>78</v>
      </c>
      <c r="AI36" s="14">
        <v>45852</v>
      </c>
      <c r="AJ36" s="14">
        <v>45852</v>
      </c>
      <c r="AK36" s="14">
        <v>45852</v>
      </c>
      <c r="AL36" s="14">
        <v>45902</v>
      </c>
      <c r="AM36" s="14">
        <v>45899</v>
      </c>
      <c r="AN36" s="14">
        <v>45902</v>
      </c>
      <c r="AO36" s="91" t="s">
        <v>66</v>
      </c>
      <c r="AP36" s="12" t="s">
        <v>2621</v>
      </c>
      <c r="AQ36" s="12"/>
      <c r="AR36" s="12" t="s">
        <v>2622</v>
      </c>
      <c r="AS36" s="12" t="s">
        <v>2623</v>
      </c>
      <c r="AT36" s="12" t="s">
        <v>2623</v>
      </c>
      <c r="AU36" s="12">
        <v>51</v>
      </c>
      <c r="AV36" s="12" t="s">
        <v>83</v>
      </c>
      <c r="AW36" s="12">
        <v>4</v>
      </c>
      <c r="AX36" s="12">
        <v>60</v>
      </c>
      <c r="AY36" s="14">
        <v>45852</v>
      </c>
      <c r="AZ36" s="14">
        <v>45902</v>
      </c>
      <c r="BA36" s="12" t="e">
        <v>#N/A</v>
      </c>
      <c r="BB36" s="14" t="s">
        <v>2480</v>
      </c>
      <c r="BC36" s="14">
        <v>45916</v>
      </c>
      <c r="BD36" s="16">
        <v>2025</v>
      </c>
      <c r="BE36" s="16">
        <v>9</v>
      </c>
      <c r="BF36" s="16">
        <v>38</v>
      </c>
      <c r="BG36" s="191">
        <v>33</v>
      </c>
      <c r="BH36" s="191">
        <v>660</v>
      </c>
    </row>
    <row r="37" spans="1:60" s="23" customFormat="1" ht="10">
      <c r="A37" s="11" t="s">
        <v>2624</v>
      </c>
      <c r="B37" s="12" t="s">
        <v>111</v>
      </c>
      <c r="C37" s="12" t="s">
        <v>2509</v>
      </c>
      <c r="D37" s="12" t="s">
        <v>63</v>
      </c>
      <c r="E37" s="12" t="s">
        <v>68</v>
      </c>
      <c r="F37" s="12" t="s">
        <v>68</v>
      </c>
      <c r="G37" s="12"/>
      <c r="H37" s="12" t="s">
        <v>66</v>
      </c>
      <c r="I37" s="12" t="s">
        <v>1342</v>
      </c>
      <c r="J37" s="34" t="s">
        <v>68</v>
      </c>
      <c r="K37" s="12"/>
      <c r="L37" s="13" t="s">
        <v>2497</v>
      </c>
      <c r="M37" s="12" t="s">
        <v>68</v>
      </c>
      <c r="N37" s="182"/>
      <c r="O37" s="12" t="s">
        <v>2475</v>
      </c>
      <c r="P37" s="12" t="s">
        <v>170</v>
      </c>
      <c r="Q37" s="12" t="s">
        <v>462</v>
      </c>
      <c r="R37" s="12">
        <v>552026</v>
      </c>
      <c r="S37" s="12" t="s">
        <v>463</v>
      </c>
      <c r="T37" s="206">
        <v>550</v>
      </c>
      <c r="U37" s="206">
        <v>1980</v>
      </c>
      <c r="V37" s="12">
        <v>1.089</v>
      </c>
      <c r="W37" s="198">
        <v>60</v>
      </c>
      <c r="X37" s="254">
        <v>3</v>
      </c>
      <c r="Y37" s="12" t="s">
        <v>75</v>
      </c>
      <c r="Z37" s="12"/>
      <c r="AA37" s="13" t="s">
        <v>108</v>
      </c>
      <c r="AB37" s="13" t="s">
        <v>1187</v>
      </c>
      <c r="AC37" s="14">
        <v>45844</v>
      </c>
      <c r="AD37" s="15">
        <v>27</v>
      </c>
      <c r="AE37" s="176" t="s">
        <v>2625</v>
      </c>
      <c r="AF37" s="12">
        <v>371008646</v>
      </c>
      <c r="AG37" s="12" t="s">
        <v>122</v>
      </c>
      <c r="AH37" s="12" t="s">
        <v>314</v>
      </c>
      <c r="AI37" s="14">
        <v>45857</v>
      </c>
      <c r="AJ37" s="14">
        <v>45857</v>
      </c>
      <c r="AK37" s="14">
        <v>45857</v>
      </c>
      <c r="AL37" s="14">
        <v>45910</v>
      </c>
      <c r="AM37" s="14">
        <v>45905</v>
      </c>
      <c r="AN37" s="14">
        <v>45910</v>
      </c>
      <c r="AO37" s="91" t="s">
        <v>66</v>
      </c>
      <c r="AP37" s="12" t="s">
        <v>2605</v>
      </c>
      <c r="AQ37" s="12"/>
      <c r="AR37" s="12" t="s">
        <v>2626</v>
      </c>
      <c r="AS37" s="12" t="s">
        <v>2627</v>
      </c>
      <c r="AT37" s="12" t="s">
        <v>2627</v>
      </c>
      <c r="AU37" s="12">
        <v>54</v>
      </c>
      <c r="AV37" s="12" t="s">
        <v>83</v>
      </c>
      <c r="AW37" s="12">
        <v>8</v>
      </c>
      <c r="AX37" s="12">
        <v>66</v>
      </c>
      <c r="AY37" s="14">
        <v>45857</v>
      </c>
      <c r="AZ37" s="14">
        <v>45910</v>
      </c>
      <c r="BA37" s="12" t="e">
        <v>#N/A</v>
      </c>
      <c r="BB37" s="14" t="s">
        <v>2480</v>
      </c>
      <c r="BC37" s="14">
        <v>45924</v>
      </c>
      <c r="BD37" s="16">
        <v>2025</v>
      </c>
      <c r="BE37" s="16">
        <v>9</v>
      </c>
      <c r="BF37" s="16">
        <v>39</v>
      </c>
      <c r="BG37" s="191">
        <v>33</v>
      </c>
      <c r="BH37" s="191">
        <v>660</v>
      </c>
    </row>
    <row r="38" spans="1:60" s="23" customFormat="1" ht="10">
      <c r="A38" s="11" t="s">
        <v>2628</v>
      </c>
      <c r="B38" s="12" t="s">
        <v>111</v>
      </c>
      <c r="C38" s="12" t="s">
        <v>2509</v>
      </c>
      <c r="D38" s="12" t="s">
        <v>63</v>
      </c>
      <c r="E38" s="12" t="s">
        <v>68</v>
      </c>
      <c r="F38" s="12" t="s">
        <v>68</v>
      </c>
      <c r="G38" s="12"/>
      <c r="H38" s="12" t="s">
        <v>66</v>
      </c>
      <c r="I38" s="12" t="s">
        <v>1559</v>
      </c>
      <c r="J38" s="34" t="s">
        <v>68</v>
      </c>
      <c r="K38" s="12"/>
      <c r="L38" s="13" t="s">
        <v>2497</v>
      </c>
      <c r="M38" s="12" t="s">
        <v>68</v>
      </c>
      <c r="N38" s="182"/>
      <c r="O38" s="12" t="s">
        <v>2475</v>
      </c>
      <c r="P38" s="12" t="s">
        <v>170</v>
      </c>
      <c r="Q38" s="12" t="s">
        <v>462</v>
      </c>
      <c r="R38" s="12">
        <v>552026</v>
      </c>
      <c r="S38" s="12" t="s">
        <v>463</v>
      </c>
      <c r="T38" s="206">
        <v>550</v>
      </c>
      <c r="U38" s="206">
        <v>3300</v>
      </c>
      <c r="V38" s="12">
        <v>1.8149999999999999</v>
      </c>
      <c r="W38" s="198">
        <v>100</v>
      </c>
      <c r="X38" s="254">
        <v>5</v>
      </c>
      <c r="Y38" s="12" t="s">
        <v>75</v>
      </c>
      <c r="Z38" s="12"/>
      <c r="AA38" s="13" t="s">
        <v>108</v>
      </c>
      <c r="AB38" s="13" t="s">
        <v>1187</v>
      </c>
      <c r="AC38" s="14">
        <v>45844</v>
      </c>
      <c r="AD38" s="15">
        <v>27</v>
      </c>
      <c r="AE38" s="176" t="s">
        <v>2629</v>
      </c>
      <c r="AF38" s="12">
        <v>371008647</v>
      </c>
      <c r="AG38" s="12" t="s">
        <v>122</v>
      </c>
      <c r="AH38" s="12" t="s">
        <v>1561</v>
      </c>
      <c r="AI38" s="14">
        <v>45857</v>
      </c>
      <c r="AJ38" s="14">
        <v>45857</v>
      </c>
      <c r="AK38" s="14">
        <v>45857</v>
      </c>
      <c r="AL38" s="14">
        <v>45912</v>
      </c>
      <c r="AM38" s="14">
        <v>45907</v>
      </c>
      <c r="AN38" s="14">
        <v>45912</v>
      </c>
      <c r="AO38" s="91" t="s">
        <v>66</v>
      </c>
      <c r="AP38" s="12" t="s">
        <v>2605</v>
      </c>
      <c r="AQ38" s="12"/>
      <c r="AR38" s="12" t="s">
        <v>2630</v>
      </c>
      <c r="AS38" s="12" t="s">
        <v>2631</v>
      </c>
      <c r="AT38" s="12" t="s">
        <v>2631</v>
      </c>
      <c r="AU38" s="12">
        <v>56</v>
      </c>
      <c r="AV38" s="12" t="s">
        <v>83</v>
      </c>
      <c r="AW38" s="12">
        <v>8</v>
      </c>
      <c r="AX38" s="12">
        <v>68</v>
      </c>
      <c r="AY38" s="14">
        <v>45857</v>
      </c>
      <c r="AZ38" s="14">
        <v>45912</v>
      </c>
      <c r="BA38" s="12" t="e">
        <v>#N/A</v>
      </c>
      <c r="BB38" s="14" t="s">
        <v>2480</v>
      </c>
      <c r="BC38" s="14">
        <v>45926</v>
      </c>
      <c r="BD38" s="16">
        <v>2025</v>
      </c>
      <c r="BE38" s="16">
        <v>9</v>
      </c>
      <c r="BF38" s="16">
        <v>39</v>
      </c>
      <c r="BG38" s="191">
        <v>33</v>
      </c>
      <c r="BH38" s="191">
        <v>660</v>
      </c>
    </row>
    <row r="39" spans="1:60" s="23" customFormat="1" ht="10">
      <c r="A39" s="11" t="s">
        <v>2632</v>
      </c>
      <c r="B39" s="12" t="s">
        <v>111</v>
      </c>
      <c r="C39" s="12" t="s">
        <v>2633</v>
      </c>
      <c r="D39" s="12" t="s">
        <v>63</v>
      </c>
      <c r="E39" s="12" t="s">
        <v>64</v>
      </c>
      <c r="F39" s="12" t="s">
        <v>100</v>
      </c>
      <c r="G39" s="12" t="s">
        <v>67</v>
      </c>
      <c r="H39" s="12" t="s">
        <v>66</v>
      </c>
      <c r="I39" s="12" t="s">
        <v>96</v>
      </c>
      <c r="J39" s="34" t="s">
        <v>68</v>
      </c>
      <c r="K39" s="12"/>
      <c r="L39" s="13" t="s">
        <v>2474</v>
      </c>
      <c r="M39" s="213" t="s">
        <v>68</v>
      </c>
      <c r="N39" s="182"/>
      <c r="O39" s="12" t="s">
        <v>2475</v>
      </c>
      <c r="P39" s="12" t="s">
        <v>473</v>
      </c>
      <c r="Q39" s="12" t="s">
        <v>763</v>
      </c>
      <c r="R39" s="12">
        <v>553146</v>
      </c>
      <c r="S39" s="12" t="s">
        <v>764</v>
      </c>
      <c r="T39" s="206">
        <v>450</v>
      </c>
      <c r="U39" s="206">
        <v>1728</v>
      </c>
      <c r="V39" s="12">
        <v>0.77759999999999996</v>
      </c>
      <c r="W39" s="198">
        <v>48</v>
      </c>
      <c r="X39" s="254">
        <v>2</v>
      </c>
      <c r="Y39" s="12" t="s">
        <v>75</v>
      </c>
      <c r="Z39" s="12"/>
      <c r="AA39" s="13" t="s">
        <v>85</v>
      </c>
      <c r="AB39" s="13" t="s">
        <v>967</v>
      </c>
      <c r="AC39" s="14">
        <v>45839</v>
      </c>
      <c r="AD39" s="15">
        <v>27</v>
      </c>
      <c r="AE39" s="176" t="s">
        <v>2634</v>
      </c>
      <c r="AF39" s="12">
        <v>371008643</v>
      </c>
      <c r="AG39" s="12" t="s">
        <v>122</v>
      </c>
      <c r="AH39" s="12" t="s">
        <v>105</v>
      </c>
      <c r="AI39" s="14">
        <v>45848</v>
      </c>
      <c r="AJ39" s="14">
        <v>45848</v>
      </c>
      <c r="AK39" s="14">
        <v>45848</v>
      </c>
      <c r="AL39" s="14">
        <v>45882</v>
      </c>
      <c r="AM39" s="14">
        <v>45881</v>
      </c>
      <c r="AN39" s="14">
        <v>45882</v>
      </c>
      <c r="AO39" s="91" t="s">
        <v>66</v>
      </c>
      <c r="AP39" s="12" t="s">
        <v>2635</v>
      </c>
      <c r="AQ39" s="12"/>
      <c r="AR39" s="12" t="s">
        <v>2636</v>
      </c>
      <c r="AS39" s="12" t="s">
        <v>2637</v>
      </c>
      <c r="AT39" s="12" t="s">
        <v>2637</v>
      </c>
      <c r="AU39" s="12">
        <v>35</v>
      </c>
      <c r="AV39" s="12" t="s">
        <v>83</v>
      </c>
      <c r="AW39" s="12">
        <v>2</v>
      </c>
      <c r="AX39" s="12">
        <v>43</v>
      </c>
      <c r="AY39" s="14">
        <v>45848</v>
      </c>
      <c r="AZ39" s="14">
        <v>45882</v>
      </c>
      <c r="BA39" s="12" t="e">
        <v>#N/A</v>
      </c>
      <c r="BB39" s="14" t="s">
        <v>2480</v>
      </c>
      <c r="BC39" s="14">
        <v>45896</v>
      </c>
      <c r="BD39" s="16">
        <v>2025</v>
      </c>
      <c r="BE39" s="16">
        <v>8</v>
      </c>
      <c r="BF39" s="16">
        <v>35</v>
      </c>
      <c r="BG39" s="191">
        <v>36</v>
      </c>
      <c r="BH39" s="191">
        <v>864</v>
      </c>
    </row>
    <row r="40" spans="1:60" s="23" customFormat="1" ht="10">
      <c r="A40" s="11" t="s">
        <v>2638</v>
      </c>
      <c r="B40" s="12" t="s">
        <v>111</v>
      </c>
      <c r="C40" s="12" t="s">
        <v>2633</v>
      </c>
      <c r="D40" s="12" t="s">
        <v>63</v>
      </c>
      <c r="E40" s="12" t="s">
        <v>64</v>
      </c>
      <c r="F40" s="12" t="s">
        <v>65</v>
      </c>
      <c r="G40" s="12" t="s">
        <v>67</v>
      </c>
      <c r="H40" s="12" t="s">
        <v>66</v>
      </c>
      <c r="I40" s="12" t="s">
        <v>96</v>
      </c>
      <c r="J40" s="34" t="s">
        <v>68</v>
      </c>
      <c r="K40" s="12"/>
      <c r="L40" s="13" t="s">
        <v>2474</v>
      </c>
      <c r="M40" s="213" t="s">
        <v>68</v>
      </c>
      <c r="N40" s="182"/>
      <c r="O40" s="12" t="s">
        <v>2475</v>
      </c>
      <c r="P40" s="12" t="s">
        <v>473</v>
      </c>
      <c r="Q40" s="12" t="s">
        <v>763</v>
      </c>
      <c r="R40" s="12">
        <v>553146</v>
      </c>
      <c r="S40" s="12" t="s">
        <v>764</v>
      </c>
      <c r="T40" s="206">
        <v>450</v>
      </c>
      <c r="U40" s="206">
        <v>1728</v>
      </c>
      <c r="V40" s="12">
        <v>0.77759999999999996</v>
      </c>
      <c r="W40" s="198">
        <v>48</v>
      </c>
      <c r="X40" s="254">
        <v>2</v>
      </c>
      <c r="Y40" s="12" t="s">
        <v>75</v>
      </c>
      <c r="Z40" s="12"/>
      <c r="AA40" s="13" t="s">
        <v>85</v>
      </c>
      <c r="AB40" s="13" t="s">
        <v>967</v>
      </c>
      <c r="AC40" s="14">
        <v>45842</v>
      </c>
      <c r="AD40" s="15">
        <v>27</v>
      </c>
      <c r="AE40" s="176" t="s">
        <v>2639</v>
      </c>
      <c r="AF40" s="12">
        <v>371008644</v>
      </c>
      <c r="AG40" s="12" t="s">
        <v>122</v>
      </c>
      <c r="AH40" s="12" t="s">
        <v>78</v>
      </c>
      <c r="AI40" s="14">
        <v>45852</v>
      </c>
      <c r="AJ40" s="14">
        <v>45852</v>
      </c>
      <c r="AK40" s="14">
        <v>45852</v>
      </c>
      <c r="AL40" s="14">
        <v>45902</v>
      </c>
      <c r="AM40" s="14">
        <v>45899</v>
      </c>
      <c r="AN40" s="14">
        <v>45902</v>
      </c>
      <c r="AO40" s="91" t="s">
        <v>66</v>
      </c>
      <c r="AP40" s="12" t="s">
        <v>2621</v>
      </c>
      <c r="AQ40" s="12"/>
      <c r="AR40" s="12" t="s">
        <v>2622</v>
      </c>
      <c r="AS40" s="12" t="s">
        <v>2623</v>
      </c>
      <c r="AT40" s="12" t="s">
        <v>2623</v>
      </c>
      <c r="AU40" s="12">
        <v>51</v>
      </c>
      <c r="AV40" s="12" t="s">
        <v>83</v>
      </c>
      <c r="AW40" s="12">
        <v>2</v>
      </c>
      <c r="AX40" s="12">
        <v>60</v>
      </c>
      <c r="AY40" s="14">
        <v>45852</v>
      </c>
      <c r="AZ40" s="14">
        <v>45902</v>
      </c>
      <c r="BA40" s="12" t="e">
        <v>#N/A</v>
      </c>
      <c r="BB40" s="14" t="s">
        <v>2480</v>
      </c>
      <c r="BC40" s="14">
        <v>45916</v>
      </c>
      <c r="BD40" s="16">
        <v>2025</v>
      </c>
      <c r="BE40" s="16">
        <v>9</v>
      </c>
      <c r="BF40" s="16">
        <v>38</v>
      </c>
      <c r="BG40" s="191">
        <v>36</v>
      </c>
      <c r="BH40" s="191">
        <v>864</v>
      </c>
    </row>
    <row r="41" spans="1:60" s="23" customFormat="1" ht="10">
      <c r="A41" s="11" t="s">
        <v>2640</v>
      </c>
      <c r="B41" s="12" t="s">
        <v>111</v>
      </c>
      <c r="C41" s="12" t="s">
        <v>2617</v>
      </c>
      <c r="D41" s="12" t="s">
        <v>63</v>
      </c>
      <c r="E41" s="12" t="s">
        <v>64</v>
      </c>
      <c r="F41" s="12" t="s">
        <v>65</v>
      </c>
      <c r="G41" s="12" t="s">
        <v>67</v>
      </c>
      <c r="H41" s="12" t="s">
        <v>66</v>
      </c>
      <c r="I41" s="12" t="s">
        <v>96</v>
      </c>
      <c r="J41" s="34" t="s">
        <v>68</v>
      </c>
      <c r="K41" s="12"/>
      <c r="L41" s="13" t="s">
        <v>2474</v>
      </c>
      <c r="M41" s="213" t="s">
        <v>68</v>
      </c>
      <c r="N41" s="182"/>
      <c r="O41" s="12" t="s">
        <v>2475</v>
      </c>
      <c r="P41" s="12" t="s">
        <v>2610</v>
      </c>
      <c r="Q41" s="12" t="s">
        <v>2618</v>
      </c>
      <c r="R41" s="12">
        <v>553097</v>
      </c>
      <c r="S41" s="12" t="s">
        <v>2619</v>
      </c>
      <c r="T41" s="206">
        <v>555</v>
      </c>
      <c r="U41" s="206">
        <v>5940</v>
      </c>
      <c r="V41" s="12">
        <v>3.2967</v>
      </c>
      <c r="W41" s="198">
        <v>180</v>
      </c>
      <c r="X41" s="254">
        <v>9</v>
      </c>
      <c r="Y41" s="12" t="s">
        <v>75</v>
      </c>
      <c r="Z41" s="12"/>
      <c r="AA41" s="13" t="s">
        <v>108</v>
      </c>
      <c r="AB41" s="13" t="s">
        <v>992</v>
      </c>
      <c r="AC41" s="14">
        <v>45851</v>
      </c>
      <c r="AD41" s="15">
        <v>28</v>
      </c>
      <c r="AE41" s="176" t="s">
        <v>2641</v>
      </c>
      <c r="AF41" s="12">
        <v>371008672</v>
      </c>
      <c r="AG41" s="12" t="s">
        <v>122</v>
      </c>
      <c r="AH41" s="12" t="s">
        <v>78</v>
      </c>
      <c r="AI41" s="14">
        <v>45871</v>
      </c>
      <c r="AJ41" s="14">
        <v>45871</v>
      </c>
      <c r="AK41" s="14">
        <v>45871</v>
      </c>
      <c r="AL41" s="14">
        <v>45925</v>
      </c>
      <c r="AM41" s="14">
        <v>45922</v>
      </c>
      <c r="AN41" s="14">
        <v>45925</v>
      </c>
      <c r="AO41" s="91" t="s">
        <v>66</v>
      </c>
      <c r="AP41" s="12" t="s">
        <v>2642</v>
      </c>
      <c r="AQ41" s="12"/>
      <c r="AR41" s="12" t="s">
        <v>2643</v>
      </c>
      <c r="AS41" s="12" t="s">
        <v>2644</v>
      </c>
      <c r="AT41" s="12" t="s">
        <v>2644</v>
      </c>
      <c r="AU41" s="12">
        <v>55</v>
      </c>
      <c r="AV41" s="12" t="s">
        <v>83</v>
      </c>
      <c r="AW41" s="12">
        <v>4</v>
      </c>
      <c r="AX41" s="12">
        <v>74</v>
      </c>
      <c r="AY41" s="14">
        <v>45871</v>
      </c>
      <c r="AZ41" s="14">
        <v>45925</v>
      </c>
      <c r="BA41" s="12" t="e">
        <v>#N/A</v>
      </c>
      <c r="BB41" s="14" t="s">
        <v>2480</v>
      </c>
      <c r="BC41" s="14">
        <v>45939</v>
      </c>
      <c r="BD41" s="16">
        <v>2025</v>
      </c>
      <c r="BE41" s="16">
        <v>10</v>
      </c>
      <c r="BF41" s="16">
        <v>41</v>
      </c>
      <c r="BG41" s="191">
        <v>33</v>
      </c>
      <c r="BH41" s="191">
        <v>660</v>
      </c>
    </row>
    <row r="42" spans="1:60" s="23" customFormat="1" ht="10">
      <c r="A42" s="11" t="s">
        <v>2645</v>
      </c>
      <c r="B42" s="12" t="s">
        <v>111</v>
      </c>
      <c r="C42" s="12" t="s">
        <v>2609</v>
      </c>
      <c r="D42" s="12" t="s">
        <v>63</v>
      </c>
      <c r="E42" s="12" t="s">
        <v>64</v>
      </c>
      <c r="F42" s="12" t="s">
        <v>65</v>
      </c>
      <c r="G42" s="12" t="s">
        <v>67</v>
      </c>
      <c r="H42" s="12" t="s">
        <v>66</v>
      </c>
      <c r="I42" s="12" t="s">
        <v>96</v>
      </c>
      <c r="J42" s="34" t="s">
        <v>68</v>
      </c>
      <c r="K42" s="12"/>
      <c r="L42" s="13" t="s">
        <v>2474</v>
      </c>
      <c r="M42" s="213" t="s">
        <v>68</v>
      </c>
      <c r="N42" s="182"/>
      <c r="O42" s="12" t="s">
        <v>2475</v>
      </c>
      <c r="P42" s="12" t="s">
        <v>2610</v>
      </c>
      <c r="Q42" s="12" t="s">
        <v>2611</v>
      </c>
      <c r="R42" s="12">
        <v>553098</v>
      </c>
      <c r="S42" s="12" t="s">
        <v>2612</v>
      </c>
      <c r="T42" s="206">
        <v>550</v>
      </c>
      <c r="U42" s="206">
        <v>1320</v>
      </c>
      <c r="V42" s="12">
        <v>0.72599999999999998</v>
      </c>
      <c r="W42" s="198">
        <v>40</v>
      </c>
      <c r="X42" s="254">
        <v>2</v>
      </c>
      <c r="Y42" s="12" t="s">
        <v>75</v>
      </c>
      <c r="Z42" s="12"/>
      <c r="AA42" s="13" t="s">
        <v>108</v>
      </c>
      <c r="AB42" s="13" t="s">
        <v>992</v>
      </c>
      <c r="AC42" s="14">
        <v>45851</v>
      </c>
      <c r="AD42" s="15">
        <v>28</v>
      </c>
      <c r="AE42" s="176" t="s">
        <v>2646</v>
      </c>
      <c r="AF42" s="12">
        <v>371008671</v>
      </c>
      <c r="AG42" s="12" t="s">
        <v>122</v>
      </c>
      <c r="AH42" s="12" t="s">
        <v>78</v>
      </c>
      <c r="AI42" s="14">
        <v>45871</v>
      </c>
      <c r="AJ42" s="14">
        <v>45871</v>
      </c>
      <c r="AK42" s="14">
        <v>45871</v>
      </c>
      <c r="AL42" s="14">
        <v>45925</v>
      </c>
      <c r="AM42" s="14">
        <v>45922</v>
      </c>
      <c r="AN42" s="14">
        <v>45925</v>
      </c>
      <c r="AO42" s="91" t="s">
        <v>66</v>
      </c>
      <c r="AP42" s="12" t="s">
        <v>2642</v>
      </c>
      <c r="AQ42" s="12"/>
      <c r="AR42" s="12" t="s">
        <v>2643</v>
      </c>
      <c r="AS42" s="12" t="s">
        <v>2644</v>
      </c>
      <c r="AT42" s="12" t="s">
        <v>2644</v>
      </c>
      <c r="AU42" s="12">
        <v>55</v>
      </c>
      <c r="AV42" s="12" t="s">
        <v>83</v>
      </c>
      <c r="AW42" s="12">
        <v>6</v>
      </c>
      <c r="AX42" s="12">
        <v>74</v>
      </c>
      <c r="AY42" s="14">
        <v>45871</v>
      </c>
      <c r="AZ42" s="14">
        <v>45925</v>
      </c>
      <c r="BA42" s="12" t="e">
        <v>#N/A</v>
      </c>
      <c r="BB42" s="14" t="s">
        <v>2480</v>
      </c>
      <c r="BC42" s="14">
        <v>45939</v>
      </c>
      <c r="BD42" s="16">
        <v>2025</v>
      </c>
      <c r="BE42" s="16">
        <v>10</v>
      </c>
      <c r="BF42" s="16">
        <v>41</v>
      </c>
      <c r="BG42" s="191">
        <v>33</v>
      </c>
      <c r="BH42" s="191">
        <v>660</v>
      </c>
    </row>
    <row r="43" spans="1:60" s="23" customFormat="1" ht="10">
      <c r="A43" s="11" t="s">
        <v>2647</v>
      </c>
      <c r="B43" s="12"/>
      <c r="C43" s="12" t="s">
        <v>2495</v>
      </c>
      <c r="D43" s="12" t="s">
        <v>63</v>
      </c>
      <c r="E43" s="12" t="s">
        <v>68</v>
      </c>
      <c r="F43" s="12" t="s">
        <v>68</v>
      </c>
      <c r="G43" s="12"/>
      <c r="H43" s="12" t="s">
        <v>66</v>
      </c>
      <c r="I43" s="12" t="s">
        <v>2496</v>
      </c>
      <c r="J43" s="34" t="s">
        <v>68</v>
      </c>
      <c r="K43" s="12"/>
      <c r="L43" s="13" t="s">
        <v>2497</v>
      </c>
      <c r="M43" s="12" t="s">
        <v>68</v>
      </c>
      <c r="N43" s="182"/>
      <c r="O43" s="12" t="s">
        <v>2475</v>
      </c>
      <c r="P43" s="12" t="s">
        <v>132</v>
      </c>
      <c r="Q43" s="12" t="s">
        <v>453</v>
      </c>
      <c r="R43" s="12">
        <v>554541</v>
      </c>
      <c r="S43" s="12" t="s">
        <v>454</v>
      </c>
      <c r="T43" s="206">
        <v>460</v>
      </c>
      <c r="U43" s="206">
        <v>3456</v>
      </c>
      <c r="V43" s="12">
        <v>1.5897600000000001</v>
      </c>
      <c r="W43" s="198">
        <v>96</v>
      </c>
      <c r="X43" s="254">
        <v>4</v>
      </c>
      <c r="Y43" s="12" t="s">
        <v>75</v>
      </c>
      <c r="Z43" s="12"/>
      <c r="AA43" s="13" t="s">
        <v>108</v>
      </c>
      <c r="AB43" s="13" t="s">
        <v>967</v>
      </c>
      <c r="AC43" s="14">
        <v>45845</v>
      </c>
      <c r="AD43" s="15">
        <v>28</v>
      </c>
      <c r="AE43" s="176" t="s">
        <v>2648</v>
      </c>
      <c r="AF43" s="12">
        <v>371008569</v>
      </c>
      <c r="AG43" s="12" t="s">
        <v>122</v>
      </c>
      <c r="AH43" s="12" t="s">
        <v>314</v>
      </c>
      <c r="AI43" s="14">
        <v>45821</v>
      </c>
      <c r="AJ43" s="14">
        <v>45821</v>
      </c>
      <c r="AK43" s="14">
        <v>45821</v>
      </c>
      <c r="AL43" s="14">
        <v>45877</v>
      </c>
      <c r="AM43" s="14">
        <v>45872</v>
      </c>
      <c r="AN43" s="14">
        <v>45877</v>
      </c>
      <c r="AO43" s="91" t="s">
        <v>66</v>
      </c>
      <c r="AP43" s="12" t="s">
        <v>2499</v>
      </c>
      <c r="AQ43" s="12"/>
      <c r="AR43" s="12" t="s">
        <v>2649</v>
      </c>
      <c r="AS43" s="12" t="s">
        <v>2650</v>
      </c>
      <c r="AT43" s="12" t="s">
        <v>2650</v>
      </c>
      <c r="AU43" s="12">
        <v>57</v>
      </c>
      <c r="AV43" s="12" t="s">
        <v>83</v>
      </c>
      <c r="AW43" s="12">
        <v>6</v>
      </c>
      <c r="AX43" s="12">
        <v>32</v>
      </c>
      <c r="AY43" s="14">
        <v>45821</v>
      </c>
      <c r="AZ43" s="14">
        <v>45877</v>
      </c>
      <c r="BA43" s="12" t="e">
        <v>#N/A</v>
      </c>
      <c r="BB43" s="14" t="s">
        <v>2480</v>
      </c>
      <c r="BC43" s="14">
        <v>45891</v>
      </c>
      <c r="BD43" s="16">
        <v>2025</v>
      </c>
      <c r="BE43" s="16">
        <v>8</v>
      </c>
      <c r="BF43" s="16">
        <v>34</v>
      </c>
      <c r="BG43" s="191">
        <v>36</v>
      </c>
      <c r="BH43" s="191">
        <v>864</v>
      </c>
    </row>
    <row r="44" spans="1:60" s="23" customFormat="1" ht="10">
      <c r="A44" s="11" t="s">
        <v>2651</v>
      </c>
      <c r="B44" s="12"/>
      <c r="C44" s="12" t="s">
        <v>2495</v>
      </c>
      <c r="D44" s="12" t="s">
        <v>63</v>
      </c>
      <c r="E44" s="12" t="s">
        <v>68</v>
      </c>
      <c r="F44" s="12" t="s">
        <v>68</v>
      </c>
      <c r="G44" s="12"/>
      <c r="H44" s="12" t="s">
        <v>66</v>
      </c>
      <c r="I44" s="12" t="s">
        <v>2496</v>
      </c>
      <c r="J44" s="34" t="s">
        <v>68</v>
      </c>
      <c r="K44" s="12"/>
      <c r="L44" s="13" t="s">
        <v>2497</v>
      </c>
      <c r="M44" s="12" t="s">
        <v>68</v>
      </c>
      <c r="N44" s="182"/>
      <c r="O44" s="12" t="s">
        <v>2475</v>
      </c>
      <c r="P44" s="12" t="s">
        <v>132</v>
      </c>
      <c r="Q44" s="12" t="s">
        <v>453</v>
      </c>
      <c r="R44" s="12">
        <v>554541</v>
      </c>
      <c r="S44" s="12" t="s">
        <v>454</v>
      </c>
      <c r="T44" s="206">
        <v>460</v>
      </c>
      <c r="U44" s="206">
        <v>1728</v>
      </c>
      <c r="V44" s="12">
        <v>0.79488000000000003</v>
      </c>
      <c r="W44" s="198">
        <v>48</v>
      </c>
      <c r="X44" s="254">
        <v>2</v>
      </c>
      <c r="Y44" s="12" t="s">
        <v>75</v>
      </c>
      <c r="Z44" s="12"/>
      <c r="AA44" s="13" t="s">
        <v>108</v>
      </c>
      <c r="AB44" s="13" t="s">
        <v>967</v>
      </c>
      <c r="AC44" s="14">
        <v>45845</v>
      </c>
      <c r="AD44" s="15">
        <v>28</v>
      </c>
      <c r="AE44" s="176" t="s">
        <v>2652</v>
      </c>
      <c r="AF44" s="12">
        <v>371008570</v>
      </c>
      <c r="AG44" s="12" t="s">
        <v>122</v>
      </c>
      <c r="AH44" s="12" t="s">
        <v>314</v>
      </c>
      <c r="AI44" s="14">
        <v>45821</v>
      </c>
      <c r="AJ44" s="14">
        <v>45821</v>
      </c>
      <c r="AK44" s="14">
        <v>45821</v>
      </c>
      <c r="AL44" s="14">
        <v>45877</v>
      </c>
      <c r="AM44" s="14">
        <v>45872</v>
      </c>
      <c r="AN44" s="14">
        <v>45877</v>
      </c>
      <c r="AO44" s="91" t="s">
        <v>66</v>
      </c>
      <c r="AP44" s="12" t="s">
        <v>2499</v>
      </c>
      <c r="AQ44" s="12"/>
      <c r="AR44" s="12" t="s">
        <v>2653</v>
      </c>
      <c r="AS44" s="12" t="s">
        <v>2654</v>
      </c>
      <c r="AT44" s="12" t="s">
        <v>2654</v>
      </c>
      <c r="AU44" s="12">
        <v>57</v>
      </c>
      <c r="AV44" s="12" t="s">
        <v>83</v>
      </c>
      <c r="AW44" s="12">
        <v>6</v>
      </c>
      <c r="AX44" s="12">
        <v>32</v>
      </c>
      <c r="AY44" s="14">
        <v>45821</v>
      </c>
      <c r="AZ44" s="14">
        <v>45877</v>
      </c>
      <c r="BA44" s="12" t="e">
        <v>#N/A</v>
      </c>
      <c r="BB44" s="14" t="s">
        <v>2480</v>
      </c>
      <c r="BC44" s="14">
        <v>45891</v>
      </c>
      <c r="BD44" s="16">
        <v>2025</v>
      </c>
      <c r="BE44" s="16">
        <v>8</v>
      </c>
      <c r="BF44" s="16">
        <v>34</v>
      </c>
      <c r="BG44" s="191">
        <v>36</v>
      </c>
      <c r="BH44" s="191">
        <v>864</v>
      </c>
    </row>
    <row r="45" spans="1:60" s="23" customFormat="1" ht="10">
      <c r="A45" s="11" t="s">
        <v>2655</v>
      </c>
      <c r="B45" s="12" t="s">
        <v>61</v>
      </c>
      <c r="C45" s="12" t="s">
        <v>569</v>
      </c>
      <c r="D45" s="12" t="s">
        <v>63</v>
      </c>
      <c r="E45" s="12" t="s">
        <v>68</v>
      </c>
      <c r="F45" s="12" t="s">
        <v>68</v>
      </c>
      <c r="G45" s="12"/>
      <c r="H45" s="12" t="s">
        <v>66</v>
      </c>
      <c r="I45" s="12" t="s">
        <v>2656</v>
      </c>
      <c r="J45" s="34" t="s">
        <v>68</v>
      </c>
      <c r="K45" s="12">
        <v>19142983</v>
      </c>
      <c r="L45" s="13" t="s">
        <v>2497</v>
      </c>
      <c r="M45" s="12" t="s">
        <v>68</v>
      </c>
      <c r="N45" s="182"/>
      <c r="O45" s="12" t="s">
        <v>2475</v>
      </c>
      <c r="P45" s="12" t="s">
        <v>70</v>
      </c>
      <c r="Q45" s="12" t="s">
        <v>2657</v>
      </c>
      <c r="R45" s="12">
        <v>554470</v>
      </c>
      <c r="S45" s="12" t="s">
        <v>571</v>
      </c>
      <c r="T45" s="206">
        <v>445</v>
      </c>
      <c r="U45" s="206">
        <v>7488</v>
      </c>
      <c r="V45" s="12">
        <v>3.33216</v>
      </c>
      <c r="W45" s="198">
        <v>208</v>
      </c>
      <c r="X45" s="254">
        <v>8</v>
      </c>
      <c r="Y45" s="12" t="s">
        <v>75</v>
      </c>
      <c r="Z45" s="12"/>
      <c r="AA45" s="13" t="s">
        <v>2658</v>
      </c>
      <c r="AB45" s="13" t="s">
        <v>967</v>
      </c>
      <c r="AC45" s="14">
        <v>45846</v>
      </c>
      <c r="AD45" s="15">
        <v>28</v>
      </c>
      <c r="AE45" s="176" t="s">
        <v>2659</v>
      </c>
      <c r="AF45" s="12">
        <v>371008673</v>
      </c>
      <c r="AG45" s="12" t="s">
        <v>77</v>
      </c>
      <c r="AH45" s="12" t="s">
        <v>314</v>
      </c>
      <c r="AI45" s="14">
        <v>45852</v>
      </c>
      <c r="AJ45" s="14">
        <v>45852</v>
      </c>
      <c r="AK45" s="14">
        <v>45852</v>
      </c>
      <c r="AL45" s="14">
        <v>45913</v>
      </c>
      <c r="AM45" s="14">
        <v>45910</v>
      </c>
      <c r="AN45" s="14">
        <v>45913</v>
      </c>
      <c r="AO45" s="91" t="s">
        <v>66</v>
      </c>
      <c r="AP45" s="12" t="s">
        <v>2660</v>
      </c>
      <c r="AQ45" s="12"/>
      <c r="AR45" s="12" t="s">
        <v>2661</v>
      </c>
      <c r="AS45" s="12" t="s">
        <v>2662</v>
      </c>
      <c r="AT45" s="12" t="s">
        <v>2662</v>
      </c>
      <c r="AU45" s="12">
        <v>62</v>
      </c>
      <c r="AV45" s="12" t="s">
        <v>83</v>
      </c>
      <c r="AW45" s="12">
        <v>5</v>
      </c>
      <c r="AX45" s="12">
        <v>67</v>
      </c>
      <c r="AY45" s="14">
        <v>45852</v>
      </c>
      <c r="AZ45" s="14">
        <v>45913</v>
      </c>
      <c r="BA45" s="12" t="e">
        <v>#N/A</v>
      </c>
      <c r="BB45" s="14" t="s">
        <v>2480</v>
      </c>
      <c r="BC45" s="14">
        <v>45927</v>
      </c>
      <c r="BD45" s="16">
        <v>2025</v>
      </c>
      <c r="BE45" s="16">
        <v>9</v>
      </c>
      <c r="BF45" s="16">
        <v>39</v>
      </c>
      <c r="BG45" s="191">
        <v>36</v>
      </c>
      <c r="BH45" s="191">
        <v>936</v>
      </c>
    </row>
    <row r="46" spans="1:60" s="23" customFormat="1" ht="10">
      <c r="A46" s="11" t="s">
        <v>2663</v>
      </c>
      <c r="B46" s="12" t="s">
        <v>1888</v>
      </c>
      <c r="C46" s="12" t="s">
        <v>2664</v>
      </c>
      <c r="D46" s="12" t="s">
        <v>63</v>
      </c>
      <c r="E46" s="12" t="s">
        <v>68</v>
      </c>
      <c r="F46" s="12" t="s">
        <v>68</v>
      </c>
      <c r="G46" s="12"/>
      <c r="H46" s="12" t="s">
        <v>146</v>
      </c>
      <c r="I46" s="12" t="s">
        <v>2665</v>
      </c>
      <c r="J46" s="34" t="s">
        <v>68</v>
      </c>
      <c r="K46" s="12">
        <v>46010692</v>
      </c>
      <c r="L46" s="13" t="s">
        <v>2666</v>
      </c>
      <c r="M46" s="12" t="s">
        <v>68</v>
      </c>
      <c r="N46" s="182"/>
      <c r="O46" s="12" t="s">
        <v>2475</v>
      </c>
      <c r="P46" s="12" t="s">
        <v>70</v>
      </c>
      <c r="Q46" s="12" t="s">
        <v>71</v>
      </c>
      <c r="R46" s="12">
        <v>554475</v>
      </c>
      <c r="S46" s="12" t="s">
        <v>72</v>
      </c>
      <c r="T46" s="206">
        <v>500</v>
      </c>
      <c r="U46" s="206">
        <v>864</v>
      </c>
      <c r="V46" s="12">
        <v>0.432</v>
      </c>
      <c r="W46" s="198">
        <v>24</v>
      </c>
      <c r="X46" s="254">
        <v>1</v>
      </c>
      <c r="Y46" s="12" t="s">
        <v>75</v>
      </c>
      <c r="Z46" s="12"/>
      <c r="AA46" s="13" t="s">
        <v>2658</v>
      </c>
      <c r="AB46" s="13" t="s">
        <v>967</v>
      </c>
      <c r="AC46" s="14">
        <v>45848</v>
      </c>
      <c r="AD46" s="15">
        <v>28</v>
      </c>
      <c r="AE46" s="176" t="s">
        <v>2667</v>
      </c>
      <c r="AF46" s="12">
        <v>371008674</v>
      </c>
      <c r="AG46" s="12" t="s">
        <v>122</v>
      </c>
      <c r="AH46" s="12" t="s">
        <v>78</v>
      </c>
      <c r="AI46" s="14">
        <v>45855</v>
      </c>
      <c r="AJ46" s="14">
        <v>45855</v>
      </c>
      <c r="AK46" s="14">
        <v>45855</v>
      </c>
      <c r="AL46" s="14">
        <v>45912</v>
      </c>
      <c r="AM46" s="14">
        <v>45902</v>
      </c>
      <c r="AN46" s="14">
        <v>45912</v>
      </c>
      <c r="AO46" s="91" t="s">
        <v>146</v>
      </c>
      <c r="AP46" s="12" t="s">
        <v>2668</v>
      </c>
      <c r="AQ46" s="12"/>
      <c r="AR46" s="12">
        <v>46010692</v>
      </c>
      <c r="AS46" s="12" t="s">
        <v>2669</v>
      </c>
      <c r="AT46" s="12" t="s">
        <v>2669</v>
      </c>
      <c r="AU46" s="12">
        <v>58</v>
      </c>
      <c r="AV46" s="12" t="s">
        <v>2493</v>
      </c>
      <c r="AW46" s="12">
        <v>12</v>
      </c>
      <c r="AX46" s="12">
        <v>64</v>
      </c>
      <c r="AY46" s="14">
        <v>45855</v>
      </c>
      <c r="AZ46" s="14">
        <v>45912</v>
      </c>
      <c r="BA46" s="12" t="e">
        <v>#N/A</v>
      </c>
      <c r="BB46" s="14" t="s">
        <v>2480</v>
      </c>
      <c r="BC46" s="14">
        <v>45926</v>
      </c>
      <c r="BD46" s="16">
        <v>2025</v>
      </c>
      <c r="BE46" s="16">
        <v>9</v>
      </c>
      <c r="BF46" s="16">
        <v>39</v>
      </c>
      <c r="BG46" s="191">
        <v>36</v>
      </c>
      <c r="BH46" s="191">
        <v>864</v>
      </c>
    </row>
    <row r="47" spans="1:60" s="23" customFormat="1" ht="30">
      <c r="A47" s="11" t="s">
        <v>2670</v>
      </c>
      <c r="B47" s="12" t="s">
        <v>1888</v>
      </c>
      <c r="C47" s="12" t="s">
        <v>2664</v>
      </c>
      <c r="D47" s="12" t="s">
        <v>63</v>
      </c>
      <c r="E47" s="12" t="s">
        <v>68</v>
      </c>
      <c r="F47" s="12" t="s">
        <v>68</v>
      </c>
      <c r="G47" s="12"/>
      <c r="H47" s="12" t="s">
        <v>146</v>
      </c>
      <c r="I47" s="12" t="s">
        <v>2671</v>
      </c>
      <c r="J47" s="34" t="s">
        <v>68</v>
      </c>
      <c r="K47" s="12">
        <v>46010684</v>
      </c>
      <c r="L47" s="13" t="s">
        <v>2666</v>
      </c>
      <c r="M47" s="12" t="s">
        <v>68</v>
      </c>
      <c r="N47" s="182"/>
      <c r="O47" s="12" t="s">
        <v>2475</v>
      </c>
      <c r="P47" s="12" t="s">
        <v>70</v>
      </c>
      <c r="Q47" s="12" t="s">
        <v>71</v>
      </c>
      <c r="R47" s="12">
        <v>554475</v>
      </c>
      <c r="S47" s="12" t="s">
        <v>72</v>
      </c>
      <c r="T47" s="206">
        <v>500</v>
      </c>
      <c r="U47" s="206">
        <v>1728</v>
      </c>
      <c r="V47" s="12">
        <v>0.86399999999999999</v>
      </c>
      <c r="W47" s="198">
        <v>48</v>
      </c>
      <c r="X47" s="254">
        <v>2</v>
      </c>
      <c r="Y47" s="12" t="s">
        <v>75</v>
      </c>
      <c r="Z47" s="12"/>
      <c r="AA47" s="13" t="s">
        <v>2658</v>
      </c>
      <c r="AB47" s="13" t="s">
        <v>967</v>
      </c>
      <c r="AC47" s="14">
        <v>45848</v>
      </c>
      <c r="AD47" s="15">
        <v>28</v>
      </c>
      <c r="AE47" s="176" t="s">
        <v>2672</v>
      </c>
      <c r="AF47" s="12" t="s">
        <v>2673</v>
      </c>
      <c r="AG47" s="12" t="s">
        <v>122</v>
      </c>
      <c r="AH47" s="12" t="s">
        <v>78</v>
      </c>
      <c r="AI47" s="14">
        <v>45855</v>
      </c>
      <c r="AJ47" s="14">
        <v>45855</v>
      </c>
      <c r="AK47" s="14">
        <v>45855</v>
      </c>
      <c r="AL47" s="14">
        <v>45912</v>
      </c>
      <c r="AM47" s="14">
        <v>45902</v>
      </c>
      <c r="AN47" s="14">
        <v>45912</v>
      </c>
      <c r="AO47" s="91" t="s">
        <v>146</v>
      </c>
      <c r="AP47" s="12" t="s">
        <v>2668</v>
      </c>
      <c r="AQ47" s="12"/>
      <c r="AR47" s="12" t="s">
        <v>2674</v>
      </c>
      <c r="AS47" s="12" t="s">
        <v>2675</v>
      </c>
      <c r="AT47" s="12" t="s">
        <v>2675</v>
      </c>
      <c r="AU47" s="12">
        <v>58</v>
      </c>
      <c r="AV47" s="12" t="s">
        <v>83</v>
      </c>
      <c r="AW47" s="12">
        <v>12</v>
      </c>
      <c r="AX47" s="12">
        <v>64</v>
      </c>
      <c r="AY47" s="14">
        <v>45855</v>
      </c>
      <c r="AZ47" s="14">
        <v>45912</v>
      </c>
      <c r="BA47" s="12" t="e">
        <v>#N/A</v>
      </c>
      <c r="BB47" s="14" t="s">
        <v>2480</v>
      </c>
      <c r="BC47" s="14">
        <v>45926</v>
      </c>
      <c r="BD47" s="16">
        <v>2025</v>
      </c>
      <c r="BE47" s="16">
        <v>9</v>
      </c>
      <c r="BF47" s="16">
        <v>39</v>
      </c>
      <c r="BG47" s="191">
        <v>36</v>
      </c>
      <c r="BH47" s="191">
        <v>864</v>
      </c>
    </row>
    <row r="48" spans="1:60" s="23" customFormat="1" ht="10">
      <c r="A48" s="11" t="s">
        <v>2676</v>
      </c>
      <c r="B48" s="12" t="s">
        <v>1888</v>
      </c>
      <c r="C48" s="12" t="s">
        <v>2677</v>
      </c>
      <c r="D48" s="12" t="s">
        <v>63</v>
      </c>
      <c r="E48" s="12" t="s">
        <v>68</v>
      </c>
      <c r="F48" s="12" t="s">
        <v>68</v>
      </c>
      <c r="G48" s="12"/>
      <c r="H48" s="12" t="s">
        <v>66</v>
      </c>
      <c r="I48" s="12" t="s">
        <v>2656</v>
      </c>
      <c r="J48" s="34" t="s">
        <v>68</v>
      </c>
      <c r="K48" s="12">
        <v>19142984</v>
      </c>
      <c r="L48" s="13" t="s">
        <v>2497</v>
      </c>
      <c r="M48" s="12" t="s">
        <v>68</v>
      </c>
      <c r="N48" s="182"/>
      <c r="O48" s="12" t="s">
        <v>2475</v>
      </c>
      <c r="P48" s="12" t="s">
        <v>70</v>
      </c>
      <c r="Q48" s="12" t="s">
        <v>420</v>
      </c>
      <c r="R48" s="12">
        <v>554476</v>
      </c>
      <c r="S48" s="12" t="s">
        <v>421</v>
      </c>
      <c r="T48" s="206">
        <v>505</v>
      </c>
      <c r="U48" s="206">
        <v>864</v>
      </c>
      <c r="V48" s="12">
        <v>0.43631999999999999</v>
      </c>
      <c r="W48" s="198">
        <v>24</v>
      </c>
      <c r="X48" s="254">
        <v>1</v>
      </c>
      <c r="Y48" s="12" t="s">
        <v>75</v>
      </c>
      <c r="Z48" s="12"/>
      <c r="AA48" s="13" t="s">
        <v>2658</v>
      </c>
      <c r="AB48" s="13" t="s">
        <v>992</v>
      </c>
      <c r="AC48" s="14">
        <v>45850</v>
      </c>
      <c r="AD48" s="15">
        <v>28</v>
      </c>
      <c r="AE48" s="176" t="s">
        <v>2678</v>
      </c>
      <c r="AF48" s="12">
        <v>371008678</v>
      </c>
      <c r="AG48" s="12" t="s">
        <v>122</v>
      </c>
      <c r="AH48" s="12" t="s">
        <v>314</v>
      </c>
      <c r="AI48" s="14">
        <v>45863</v>
      </c>
      <c r="AJ48" s="14">
        <v>45863</v>
      </c>
      <c r="AK48" s="14">
        <v>45863</v>
      </c>
      <c r="AL48" s="14">
        <v>45913</v>
      </c>
      <c r="AM48" s="14">
        <v>45910</v>
      </c>
      <c r="AN48" s="14">
        <v>45913</v>
      </c>
      <c r="AO48" s="91" t="s">
        <v>66</v>
      </c>
      <c r="AP48" s="12" t="s">
        <v>2642</v>
      </c>
      <c r="AQ48" s="12"/>
      <c r="AR48" s="12" t="s">
        <v>2679</v>
      </c>
      <c r="AS48" s="12" t="s">
        <v>2680</v>
      </c>
      <c r="AT48" s="12" t="s">
        <v>2680</v>
      </c>
      <c r="AU48" s="12">
        <v>51</v>
      </c>
      <c r="AV48" s="12" t="s">
        <v>83</v>
      </c>
      <c r="AW48" s="12">
        <v>8</v>
      </c>
      <c r="AX48" s="12">
        <v>63</v>
      </c>
      <c r="AY48" s="14">
        <v>45863</v>
      </c>
      <c r="AZ48" s="14">
        <v>45913</v>
      </c>
      <c r="BA48" s="12" t="e">
        <v>#N/A</v>
      </c>
      <c r="BB48" s="14" t="s">
        <v>2480</v>
      </c>
      <c r="BC48" s="14">
        <v>45927</v>
      </c>
      <c r="BD48" s="16">
        <v>2025</v>
      </c>
      <c r="BE48" s="16">
        <v>9</v>
      </c>
      <c r="BF48" s="16">
        <v>39</v>
      </c>
      <c r="BG48" s="191">
        <v>36</v>
      </c>
      <c r="BH48" s="191">
        <v>864</v>
      </c>
    </row>
    <row r="49" spans="1:60" s="23" customFormat="1" ht="10">
      <c r="A49" s="11" t="s">
        <v>2681</v>
      </c>
      <c r="B49" s="12" t="s">
        <v>1888</v>
      </c>
      <c r="C49" s="12" t="s">
        <v>2664</v>
      </c>
      <c r="D49" s="12" t="s">
        <v>63</v>
      </c>
      <c r="E49" s="12" t="s">
        <v>68</v>
      </c>
      <c r="F49" s="12" t="s">
        <v>68</v>
      </c>
      <c r="G49" s="12"/>
      <c r="H49" s="12" t="s">
        <v>66</v>
      </c>
      <c r="I49" s="12" t="s">
        <v>2656</v>
      </c>
      <c r="J49" s="34" t="s">
        <v>68</v>
      </c>
      <c r="K49" s="12">
        <v>19142984</v>
      </c>
      <c r="L49" s="13" t="s">
        <v>2497</v>
      </c>
      <c r="M49" s="12" t="s">
        <v>68</v>
      </c>
      <c r="N49" s="182"/>
      <c r="O49" s="12" t="s">
        <v>2475</v>
      </c>
      <c r="P49" s="12" t="s">
        <v>70</v>
      </c>
      <c r="Q49" s="12" t="s">
        <v>71</v>
      </c>
      <c r="R49" s="12">
        <v>554475</v>
      </c>
      <c r="S49" s="12" t="s">
        <v>72</v>
      </c>
      <c r="T49" s="206">
        <v>500</v>
      </c>
      <c r="U49" s="206">
        <v>6048</v>
      </c>
      <c r="V49" s="12">
        <v>3.024</v>
      </c>
      <c r="W49" s="198">
        <v>168</v>
      </c>
      <c r="X49" s="254">
        <v>7</v>
      </c>
      <c r="Y49" s="12" t="s">
        <v>75</v>
      </c>
      <c r="Z49" s="12"/>
      <c r="AA49" s="13" t="s">
        <v>2658</v>
      </c>
      <c r="AB49" s="13" t="s">
        <v>967</v>
      </c>
      <c r="AC49" s="14">
        <v>45850</v>
      </c>
      <c r="AD49" s="15">
        <v>28</v>
      </c>
      <c r="AE49" s="176" t="s">
        <v>2682</v>
      </c>
      <c r="AF49" s="12">
        <v>371008677</v>
      </c>
      <c r="AG49" s="12" t="s">
        <v>122</v>
      </c>
      <c r="AH49" s="12" t="s">
        <v>314</v>
      </c>
      <c r="AI49" s="14">
        <v>45863</v>
      </c>
      <c r="AJ49" s="14">
        <v>45863</v>
      </c>
      <c r="AK49" s="14">
        <v>45863</v>
      </c>
      <c r="AL49" s="14">
        <v>45913</v>
      </c>
      <c r="AM49" s="14">
        <v>45910</v>
      </c>
      <c r="AN49" s="14">
        <v>45913</v>
      </c>
      <c r="AO49" s="91" t="s">
        <v>66</v>
      </c>
      <c r="AP49" s="12" t="s">
        <v>2642</v>
      </c>
      <c r="AQ49" s="12"/>
      <c r="AR49" s="12" t="s">
        <v>2679</v>
      </c>
      <c r="AS49" s="12" t="s">
        <v>2680</v>
      </c>
      <c r="AT49" s="12" t="s">
        <v>2680</v>
      </c>
      <c r="AU49" s="12">
        <v>51</v>
      </c>
      <c r="AV49" s="12" t="s">
        <v>83</v>
      </c>
      <c r="AW49" s="12">
        <v>12</v>
      </c>
      <c r="AX49" s="12">
        <v>63</v>
      </c>
      <c r="AY49" s="14">
        <v>45863</v>
      </c>
      <c r="AZ49" s="14">
        <v>45913</v>
      </c>
      <c r="BA49" s="12" t="e">
        <v>#N/A</v>
      </c>
      <c r="BB49" s="14" t="s">
        <v>2480</v>
      </c>
      <c r="BC49" s="14">
        <v>45927</v>
      </c>
      <c r="BD49" s="16">
        <v>2025</v>
      </c>
      <c r="BE49" s="16">
        <v>9</v>
      </c>
      <c r="BF49" s="16">
        <v>39</v>
      </c>
      <c r="BG49" s="191">
        <v>36</v>
      </c>
      <c r="BH49" s="191">
        <v>864</v>
      </c>
    </row>
    <row r="50" spans="1:60" s="23" customFormat="1" ht="10">
      <c r="A50" s="11" t="s">
        <v>2683</v>
      </c>
      <c r="B50" s="12" t="s">
        <v>111</v>
      </c>
      <c r="C50" s="12" t="s">
        <v>2617</v>
      </c>
      <c r="D50" s="12" t="s">
        <v>63</v>
      </c>
      <c r="E50" s="12" t="s">
        <v>64</v>
      </c>
      <c r="F50" s="12" t="s">
        <v>65</v>
      </c>
      <c r="G50" s="12" t="s">
        <v>67</v>
      </c>
      <c r="H50" s="12" t="s">
        <v>66</v>
      </c>
      <c r="I50" s="12" t="s">
        <v>96</v>
      </c>
      <c r="J50" s="34" t="s">
        <v>68</v>
      </c>
      <c r="K50" s="12"/>
      <c r="L50" s="13" t="s">
        <v>2474</v>
      </c>
      <c r="M50" s="213" t="s">
        <v>68</v>
      </c>
      <c r="N50" s="182"/>
      <c r="O50" s="12" t="s">
        <v>2475</v>
      </c>
      <c r="P50" s="12" t="s">
        <v>2610</v>
      </c>
      <c r="Q50" s="12" t="s">
        <v>2618</v>
      </c>
      <c r="R50" s="12">
        <v>553097</v>
      </c>
      <c r="S50" s="12" t="s">
        <v>2619</v>
      </c>
      <c r="T50" s="206">
        <v>555</v>
      </c>
      <c r="U50" s="206">
        <v>2640</v>
      </c>
      <c r="V50" s="12">
        <v>1.4652000000000001</v>
      </c>
      <c r="W50" s="198">
        <v>80</v>
      </c>
      <c r="X50" s="254">
        <v>4</v>
      </c>
      <c r="Y50" s="12" t="s">
        <v>75</v>
      </c>
      <c r="Z50" s="12"/>
      <c r="AA50" s="13" t="s">
        <v>108</v>
      </c>
      <c r="AB50" s="13" t="s">
        <v>992</v>
      </c>
      <c r="AC50" s="14">
        <v>45855</v>
      </c>
      <c r="AD50" s="15">
        <v>29</v>
      </c>
      <c r="AE50" s="176" t="s">
        <v>2684</v>
      </c>
      <c r="AF50" s="12">
        <v>371008683</v>
      </c>
      <c r="AG50" s="12" t="s">
        <v>122</v>
      </c>
      <c r="AH50" s="12" t="s">
        <v>78</v>
      </c>
      <c r="AI50" s="14">
        <v>45863</v>
      </c>
      <c r="AJ50" s="14">
        <v>45863</v>
      </c>
      <c r="AK50" s="14">
        <v>45863</v>
      </c>
      <c r="AL50" s="14">
        <v>45912</v>
      </c>
      <c r="AM50" s="14">
        <v>45908</v>
      </c>
      <c r="AN50" s="14">
        <v>45912</v>
      </c>
      <c r="AO50" s="91" t="s">
        <v>66</v>
      </c>
      <c r="AP50" s="12" t="s">
        <v>2685</v>
      </c>
      <c r="AQ50" s="12"/>
      <c r="AR50" s="12" t="s">
        <v>2686</v>
      </c>
      <c r="AS50" s="12" t="s">
        <v>2687</v>
      </c>
      <c r="AT50" s="12" t="s">
        <v>2687</v>
      </c>
      <c r="AU50" s="12">
        <v>50</v>
      </c>
      <c r="AV50" s="12" t="s">
        <v>83</v>
      </c>
      <c r="AW50" s="12">
        <v>4</v>
      </c>
      <c r="AX50" s="12">
        <v>57</v>
      </c>
      <c r="AY50" s="14">
        <v>45863</v>
      </c>
      <c r="AZ50" s="14">
        <v>45912</v>
      </c>
      <c r="BA50" s="12" t="e">
        <v>#N/A</v>
      </c>
      <c r="BB50" s="14" t="s">
        <v>2480</v>
      </c>
      <c r="BC50" s="14">
        <v>45926</v>
      </c>
      <c r="BD50" s="16">
        <v>2025</v>
      </c>
      <c r="BE50" s="16">
        <v>9</v>
      </c>
      <c r="BF50" s="16">
        <v>39</v>
      </c>
      <c r="BG50" s="191">
        <v>33</v>
      </c>
      <c r="BH50" s="191">
        <v>660</v>
      </c>
    </row>
    <row r="51" spans="1:60" s="23" customFormat="1" ht="10">
      <c r="A51" s="11" t="s">
        <v>2688</v>
      </c>
      <c r="B51" s="12" t="s">
        <v>111</v>
      </c>
      <c r="C51" s="12" t="s">
        <v>2509</v>
      </c>
      <c r="D51" s="12" t="s">
        <v>63</v>
      </c>
      <c r="E51" s="12" t="s">
        <v>68</v>
      </c>
      <c r="F51" s="12" t="s">
        <v>68</v>
      </c>
      <c r="G51" s="12"/>
      <c r="H51" s="12" t="s">
        <v>66</v>
      </c>
      <c r="I51" s="12" t="s">
        <v>1559</v>
      </c>
      <c r="J51" s="34" t="s">
        <v>68</v>
      </c>
      <c r="K51" s="12"/>
      <c r="L51" s="13" t="s">
        <v>2497</v>
      </c>
      <c r="M51" s="12" t="s">
        <v>68</v>
      </c>
      <c r="N51" s="182"/>
      <c r="O51" s="12" t="s">
        <v>2475</v>
      </c>
      <c r="P51" s="12" t="s">
        <v>170</v>
      </c>
      <c r="Q51" s="12" t="s">
        <v>462</v>
      </c>
      <c r="R51" s="12">
        <v>552026</v>
      </c>
      <c r="S51" s="12" t="s">
        <v>463</v>
      </c>
      <c r="T51" s="206">
        <v>550</v>
      </c>
      <c r="U51" s="206">
        <v>1320</v>
      </c>
      <c r="V51" s="12">
        <v>0.72599999999999998</v>
      </c>
      <c r="W51" s="198">
        <v>40</v>
      </c>
      <c r="X51" s="254">
        <v>2</v>
      </c>
      <c r="Y51" s="12" t="s">
        <v>75</v>
      </c>
      <c r="Z51" s="12"/>
      <c r="AA51" s="13" t="s">
        <v>108</v>
      </c>
      <c r="AB51" s="13" t="s">
        <v>1187</v>
      </c>
      <c r="AC51" s="14">
        <v>45855</v>
      </c>
      <c r="AD51" s="15">
        <v>29</v>
      </c>
      <c r="AE51" s="176" t="s">
        <v>2689</v>
      </c>
      <c r="AF51" s="12">
        <v>371008687</v>
      </c>
      <c r="AG51" s="12" t="s">
        <v>122</v>
      </c>
      <c r="AH51" s="12" t="s">
        <v>1561</v>
      </c>
      <c r="AI51" s="14">
        <v>45871</v>
      </c>
      <c r="AJ51" s="14">
        <v>45871</v>
      </c>
      <c r="AK51" s="14">
        <v>45871</v>
      </c>
      <c r="AL51" s="14">
        <v>45919</v>
      </c>
      <c r="AM51" s="14">
        <v>45914</v>
      </c>
      <c r="AN51" s="14">
        <v>45919</v>
      </c>
      <c r="AO51" s="91" t="s">
        <v>66</v>
      </c>
      <c r="AP51" s="12" t="s">
        <v>2642</v>
      </c>
      <c r="AQ51" s="12"/>
      <c r="AR51" s="12" t="s">
        <v>2690</v>
      </c>
      <c r="AS51" s="12" t="s">
        <v>2691</v>
      </c>
      <c r="AT51" s="12" t="s">
        <v>2691</v>
      </c>
      <c r="AU51" s="12">
        <v>49</v>
      </c>
      <c r="AV51" s="12" t="s">
        <v>83</v>
      </c>
      <c r="AW51" s="12">
        <v>8</v>
      </c>
      <c r="AX51" s="12">
        <v>64</v>
      </c>
      <c r="AY51" s="14">
        <v>45871</v>
      </c>
      <c r="AZ51" s="14">
        <v>45919</v>
      </c>
      <c r="BA51" s="12" t="e">
        <v>#N/A</v>
      </c>
      <c r="BB51" s="14" t="s">
        <v>2480</v>
      </c>
      <c r="BC51" s="14">
        <v>45933</v>
      </c>
      <c r="BD51" s="16">
        <v>2025</v>
      </c>
      <c r="BE51" s="16">
        <v>10</v>
      </c>
      <c r="BF51" s="16">
        <v>40</v>
      </c>
      <c r="BG51" s="191">
        <v>33</v>
      </c>
      <c r="BH51" s="191">
        <v>660</v>
      </c>
    </row>
    <row r="52" spans="1:60" s="23" customFormat="1" ht="10">
      <c r="A52" s="11" t="s">
        <v>2692</v>
      </c>
      <c r="B52" s="12" t="s">
        <v>111</v>
      </c>
      <c r="C52" s="12" t="s">
        <v>2617</v>
      </c>
      <c r="D52" s="12" t="s">
        <v>63</v>
      </c>
      <c r="E52" s="12" t="s">
        <v>64</v>
      </c>
      <c r="F52" s="12" t="s">
        <v>65</v>
      </c>
      <c r="G52" s="12" t="s">
        <v>67</v>
      </c>
      <c r="H52" s="12" t="s">
        <v>66</v>
      </c>
      <c r="I52" s="12" t="s">
        <v>96</v>
      </c>
      <c r="J52" s="34" t="s">
        <v>68</v>
      </c>
      <c r="K52" s="12"/>
      <c r="L52" s="13" t="s">
        <v>2474</v>
      </c>
      <c r="M52" s="213" t="s">
        <v>68</v>
      </c>
      <c r="N52" s="182"/>
      <c r="O52" s="12" t="s">
        <v>2475</v>
      </c>
      <c r="P52" s="12" t="s">
        <v>2610</v>
      </c>
      <c r="Q52" s="12" t="s">
        <v>2618</v>
      </c>
      <c r="R52" s="12">
        <v>553097</v>
      </c>
      <c r="S52" s="12" t="s">
        <v>2619</v>
      </c>
      <c r="T52" s="206">
        <v>555</v>
      </c>
      <c r="U52" s="206">
        <v>2640</v>
      </c>
      <c r="V52" s="12">
        <v>1.4652000000000001</v>
      </c>
      <c r="W52" s="198">
        <v>80</v>
      </c>
      <c r="X52" s="254">
        <v>4</v>
      </c>
      <c r="Y52" s="12" t="s">
        <v>75</v>
      </c>
      <c r="Z52" s="12"/>
      <c r="AA52" s="13" t="s">
        <v>108</v>
      </c>
      <c r="AB52" s="13" t="s">
        <v>992</v>
      </c>
      <c r="AC52" s="14">
        <v>45856</v>
      </c>
      <c r="AD52" s="15">
        <v>29</v>
      </c>
      <c r="AE52" s="176" t="s">
        <v>2693</v>
      </c>
      <c r="AF52" s="12">
        <v>371008684</v>
      </c>
      <c r="AG52" s="12" t="s">
        <v>122</v>
      </c>
      <c r="AH52" s="12" t="s">
        <v>78</v>
      </c>
      <c r="AI52" s="14">
        <v>45863</v>
      </c>
      <c r="AJ52" s="14">
        <v>45863</v>
      </c>
      <c r="AK52" s="14">
        <v>45863</v>
      </c>
      <c r="AL52" s="14">
        <v>45923</v>
      </c>
      <c r="AM52" s="14">
        <v>45915</v>
      </c>
      <c r="AN52" s="14">
        <v>45923</v>
      </c>
      <c r="AO52" s="91" t="s">
        <v>66</v>
      </c>
      <c r="AP52" s="12" t="s">
        <v>2642</v>
      </c>
      <c r="AQ52" s="12"/>
      <c r="AR52" s="12" t="s">
        <v>2694</v>
      </c>
      <c r="AS52" s="12" t="s">
        <v>2695</v>
      </c>
      <c r="AT52" s="12" t="s">
        <v>2695</v>
      </c>
      <c r="AU52" s="12">
        <v>61</v>
      </c>
      <c r="AV52" s="12" t="s">
        <v>83</v>
      </c>
      <c r="AW52" s="12">
        <v>4</v>
      </c>
      <c r="AX52" s="12">
        <v>67</v>
      </c>
      <c r="AY52" s="14">
        <v>45863</v>
      </c>
      <c r="AZ52" s="14">
        <v>45923</v>
      </c>
      <c r="BA52" s="12" t="e">
        <v>#N/A</v>
      </c>
      <c r="BB52" s="14" t="s">
        <v>2480</v>
      </c>
      <c r="BC52" s="14">
        <v>45937</v>
      </c>
      <c r="BD52" s="16">
        <v>2025</v>
      </c>
      <c r="BE52" s="16">
        <v>10</v>
      </c>
      <c r="BF52" s="16">
        <v>41</v>
      </c>
      <c r="BG52" s="191">
        <v>33</v>
      </c>
      <c r="BH52" s="191">
        <v>660</v>
      </c>
    </row>
    <row r="53" spans="1:60" s="23" customFormat="1" ht="10">
      <c r="A53" s="11" t="s">
        <v>2696</v>
      </c>
      <c r="B53" s="12" t="s">
        <v>111</v>
      </c>
      <c r="C53" s="12" t="s">
        <v>2697</v>
      </c>
      <c r="D53" s="12" t="s">
        <v>63</v>
      </c>
      <c r="E53" s="12" t="s">
        <v>64</v>
      </c>
      <c r="F53" s="12" t="s">
        <v>65</v>
      </c>
      <c r="G53" s="12" t="s">
        <v>67</v>
      </c>
      <c r="H53" s="12" t="s">
        <v>66</v>
      </c>
      <c r="I53" s="12" t="s">
        <v>2698</v>
      </c>
      <c r="J53" s="34" t="s">
        <v>68</v>
      </c>
      <c r="K53" s="12">
        <v>46010175</v>
      </c>
      <c r="L53" s="13" t="s">
        <v>2666</v>
      </c>
      <c r="M53" s="213" t="s">
        <v>68</v>
      </c>
      <c r="N53" s="182"/>
      <c r="O53" s="12" t="s">
        <v>2475</v>
      </c>
      <c r="P53" s="12" t="s">
        <v>550</v>
      </c>
      <c r="Q53" s="12" t="s">
        <v>2699</v>
      </c>
      <c r="R53" s="12">
        <v>553120</v>
      </c>
      <c r="S53" s="12" t="s">
        <v>2700</v>
      </c>
      <c r="T53" s="206">
        <v>500</v>
      </c>
      <c r="U53" s="206">
        <v>792</v>
      </c>
      <c r="V53" s="12">
        <v>0.39600000000000002</v>
      </c>
      <c r="W53" s="198">
        <v>22</v>
      </c>
      <c r="X53" s="254">
        <v>1</v>
      </c>
      <c r="Y53" s="12" t="s">
        <v>75</v>
      </c>
      <c r="Z53" s="12"/>
      <c r="AA53" s="13" t="s">
        <v>85</v>
      </c>
      <c r="AB53" s="13" t="s">
        <v>2136</v>
      </c>
      <c r="AC53" s="14">
        <v>45856</v>
      </c>
      <c r="AD53" s="15">
        <v>29</v>
      </c>
      <c r="AE53" s="176" t="s">
        <v>2701</v>
      </c>
      <c r="AF53" s="12">
        <v>371008682</v>
      </c>
      <c r="AG53" s="12" t="s">
        <v>122</v>
      </c>
      <c r="AH53" s="12" t="s">
        <v>78</v>
      </c>
      <c r="AI53" s="14">
        <v>45863</v>
      </c>
      <c r="AJ53" s="14">
        <v>45863</v>
      </c>
      <c r="AK53" s="14">
        <v>45863</v>
      </c>
      <c r="AL53" s="14">
        <v>45923</v>
      </c>
      <c r="AM53" s="14">
        <v>45915</v>
      </c>
      <c r="AN53" s="14">
        <v>45923</v>
      </c>
      <c r="AO53" s="91" t="s">
        <v>66</v>
      </c>
      <c r="AP53" s="12" t="s">
        <v>2642</v>
      </c>
      <c r="AQ53" s="12"/>
      <c r="AR53" s="12" t="s">
        <v>2694</v>
      </c>
      <c r="AS53" s="12" t="s">
        <v>2695</v>
      </c>
      <c r="AT53" s="12" t="s">
        <v>2695</v>
      </c>
      <c r="AU53" s="12">
        <v>61</v>
      </c>
      <c r="AV53" s="12" t="s">
        <v>83</v>
      </c>
      <c r="AW53" s="12">
        <v>5</v>
      </c>
      <c r="AX53" s="12">
        <v>67</v>
      </c>
      <c r="AY53" s="14">
        <v>45863</v>
      </c>
      <c r="AZ53" s="14">
        <v>45923</v>
      </c>
      <c r="BA53" s="12" t="e">
        <v>#N/A</v>
      </c>
      <c r="BB53" s="14" t="s">
        <v>2480</v>
      </c>
      <c r="BC53" s="14">
        <v>45937</v>
      </c>
      <c r="BD53" s="16">
        <v>2025</v>
      </c>
      <c r="BE53" s="16">
        <v>10</v>
      </c>
      <c r="BF53" s="16">
        <v>41</v>
      </c>
      <c r="BG53" s="191">
        <v>36</v>
      </c>
      <c r="BH53" s="191">
        <v>792</v>
      </c>
    </row>
    <row r="54" spans="1:60" s="23" customFormat="1" ht="10">
      <c r="A54" s="11" t="s">
        <v>2702</v>
      </c>
      <c r="B54" s="12" t="s">
        <v>61</v>
      </c>
      <c r="C54" s="12" t="s">
        <v>569</v>
      </c>
      <c r="D54" s="12" t="s">
        <v>63</v>
      </c>
      <c r="E54" s="12" t="s">
        <v>68</v>
      </c>
      <c r="F54" s="12" t="s">
        <v>68</v>
      </c>
      <c r="G54" s="12"/>
      <c r="H54" s="12" t="s">
        <v>66</v>
      </c>
      <c r="I54" s="12" t="s">
        <v>2656</v>
      </c>
      <c r="J54" s="34" t="s">
        <v>68</v>
      </c>
      <c r="K54" s="12"/>
      <c r="L54" s="13" t="s">
        <v>2497</v>
      </c>
      <c r="M54" s="12" t="s">
        <v>68</v>
      </c>
      <c r="N54" s="182"/>
      <c r="O54" s="12" t="s">
        <v>2475</v>
      </c>
      <c r="P54" s="12" t="s">
        <v>70</v>
      </c>
      <c r="Q54" s="12" t="s">
        <v>2657</v>
      </c>
      <c r="R54" s="12">
        <v>554470</v>
      </c>
      <c r="S54" s="12" t="s">
        <v>571</v>
      </c>
      <c r="T54" s="206">
        <v>445</v>
      </c>
      <c r="U54" s="206">
        <v>1872</v>
      </c>
      <c r="V54" s="12">
        <v>0.83304</v>
      </c>
      <c r="W54" s="198">
        <v>52</v>
      </c>
      <c r="X54" s="254">
        <v>2</v>
      </c>
      <c r="Y54" s="12" t="s">
        <v>75</v>
      </c>
      <c r="Z54" s="12"/>
      <c r="AA54" s="13" t="s">
        <v>2658</v>
      </c>
      <c r="AB54" s="13" t="s">
        <v>967</v>
      </c>
      <c r="AC54" s="14">
        <v>45856</v>
      </c>
      <c r="AD54" s="15">
        <v>29</v>
      </c>
      <c r="AE54" s="176" t="s">
        <v>2703</v>
      </c>
      <c r="AF54" s="12">
        <v>371008699</v>
      </c>
      <c r="AG54" s="12" t="s">
        <v>77</v>
      </c>
      <c r="AH54" s="12" t="s">
        <v>314</v>
      </c>
      <c r="AI54" s="14">
        <v>45864</v>
      </c>
      <c r="AJ54" s="14">
        <v>45864</v>
      </c>
      <c r="AK54" s="14">
        <v>45864</v>
      </c>
      <c r="AL54" s="14">
        <v>45930</v>
      </c>
      <c r="AM54" s="14">
        <v>45924</v>
      </c>
      <c r="AN54" s="14">
        <v>45930</v>
      </c>
      <c r="AO54" s="91" t="s">
        <v>66</v>
      </c>
      <c r="AP54" s="12" t="s">
        <v>2704</v>
      </c>
      <c r="AQ54" s="12"/>
      <c r="AR54" s="12" t="s">
        <v>2705</v>
      </c>
      <c r="AS54" s="12" t="s">
        <v>2706</v>
      </c>
      <c r="AT54" s="12" t="s">
        <v>2706</v>
      </c>
      <c r="AU54" s="12">
        <v>67</v>
      </c>
      <c r="AV54" s="12" t="s">
        <v>83</v>
      </c>
      <c r="AW54" s="12">
        <v>5</v>
      </c>
      <c r="AX54" s="12">
        <v>74</v>
      </c>
      <c r="AY54" s="14">
        <v>45864</v>
      </c>
      <c r="AZ54" s="14">
        <v>45930</v>
      </c>
      <c r="BA54" s="12" t="e">
        <v>#N/A</v>
      </c>
      <c r="BB54" s="14" t="s">
        <v>2480</v>
      </c>
      <c r="BC54" s="14">
        <v>45944</v>
      </c>
      <c r="BD54" s="16">
        <v>2025</v>
      </c>
      <c r="BE54" s="16">
        <v>10</v>
      </c>
      <c r="BF54" s="16">
        <v>42</v>
      </c>
      <c r="BG54" s="191">
        <v>36</v>
      </c>
      <c r="BH54" s="191">
        <v>936</v>
      </c>
    </row>
    <row r="55" spans="1:60" s="23" customFormat="1" ht="10">
      <c r="A55" s="11" t="s">
        <v>2707</v>
      </c>
      <c r="B55" s="12" t="s">
        <v>61</v>
      </c>
      <c r="C55" s="12" t="s">
        <v>569</v>
      </c>
      <c r="D55" s="12" t="s">
        <v>63</v>
      </c>
      <c r="E55" s="12" t="s">
        <v>68</v>
      </c>
      <c r="F55" s="12" t="s">
        <v>68</v>
      </c>
      <c r="G55" s="12"/>
      <c r="H55" s="12" t="s">
        <v>66</v>
      </c>
      <c r="I55" s="12" t="s">
        <v>2708</v>
      </c>
      <c r="J55" s="34" t="s">
        <v>68</v>
      </c>
      <c r="K55" s="12" t="s">
        <v>2709</v>
      </c>
      <c r="L55" s="13" t="s">
        <v>2497</v>
      </c>
      <c r="M55" s="12" t="s">
        <v>68</v>
      </c>
      <c r="N55" s="182"/>
      <c r="O55" s="12" t="s">
        <v>2475</v>
      </c>
      <c r="P55" s="12" t="s">
        <v>70</v>
      </c>
      <c r="Q55" s="12" t="s">
        <v>2657</v>
      </c>
      <c r="R55" s="12">
        <v>554470</v>
      </c>
      <c r="S55" s="12" t="s">
        <v>571</v>
      </c>
      <c r="T55" s="206">
        <v>445</v>
      </c>
      <c r="U55" s="206">
        <v>4680</v>
      </c>
      <c r="V55" s="12">
        <v>2.0825999999999998</v>
      </c>
      <c r="W55" s="198">
        <v>130</v>
      </c>
      <c r="X55" s="254">
        <v>5</v>
      </c>
      <c r="Y55" s="12" t="s">
        <v>75</v>
      </c>
      <c r="Z55" s="12"/>
      <c r="AA55" s="13" t="s">
        <v>2658</v>
      </c>
      <c r="AB55" s="13" t="s">
        <v>967</v>
      </c>
      <c r="AC55" s="14">
        <v>45857</v>
      </c>
      <c r="AD55" s="15">
        <v>29</v>
      </c>
      <c r="AE55" s="176" t="s">
        <v>2710</v>
      </c>
      <c r="AF55" s="12">
        <v>371008700</v>
      </c>
      <c r="AG55" s="12" t="s">
        <v>77</v>
      </c>
      <c r="AH55" s="12" t="s">
        <v>314</v>
      </c>
      <c r="AI55" s="14">
        <v>45864</v>
      </c>
      <c r="AJ55" s="14">
        <v>45864</v>
      </c>
      <c r="AK55" s="14">
        <v>45864</v>
      </c>
      <c r="AL55" s="14">
        <v>45930</v>
      </c>
      <c r="AM55" s="14">
        <v>45924</v>
      </c>
      <c r="AN55" s="14">
        <v>45930</v>
      </c>
      <c r="AO55" s="91" t="s">
        <v>66</v>
      </c>
      <c r="AP55" s="12" t="s">
        <v>2704</v>
      </c>
      <c r="AQ55" s="12"/>
      <c r="AR55" s="12" t="s">
        <v>2711</v>
      </c>
      <c r="AS55" s="12" t="s">
        <v>2712</v>
      </c>
      <c r="AT55" s="12" t="s">
        <v>2712</v>
      </c>
      <c r="AU55" s="12">
        <v>67</v>
      </c>
      <c r="AV55" s="12" t="s">
        <v>83</v>
      </c>
      <c r="AW55" s="12">
        <v>5</v>
      </c>
      <c r="AX55" s="12">
        <v>73</v>
      </c>
      <c r="AY55" s="14">
        <v>45864</v>
      </c>
      <c r="AZ55" s="14">
        <v>45930</v>
      </c>
      <c r="BA55" s="12" t="e">
        <v>#N/A</v>
      </c>
      <c r="BB55" s="14" t="s">
        <v>2480</v>
      </c>
      <c r="BC55" s="14">
        <v>45944</v>
      </c>
      <c r="BD55" s="16">
        <v>2025</v>
      </c>
      <c r="BE55" s="16">
        <v>10</v>
      </c>
      <c r="BF55" s="16">
        <v>42</v>
      </c>
      <c r="BG55" s="191">
        <v>36</v>
      </c>
      <c r="BH55" s="191">
        <v>936</v>
      </c>
    </row>
    <row r="56" spans="1:60" s="23" customFormat="1" ht="10">
      <c r="A56" s="11" t="s">
        <v>2713</v>
      </c>
      <c r="B56" s="12" t="s">
        <v>61</v>
      </c>
      <c r="C56" s="12" t="s">
        <v>2714</v>
      </c>
      <c r="D56" s="12" t="s">
        <v>63</v>
      </c>
      <c r="E56" s="12" t="s">
        <v>68</v>
      </c>
      <c r="F56" s="12" t="s">
        <v>68</v>
      </c>
      <c r="G56" s="12"/>
      <c r="H56" s="12" t="s">
        <v>66</v>
      </c>
      <c r="I56" s="12" t="s">
        <v>2656</v>
      </c>
      <c r="J56" s="34" t="s">
        <v>68</v>
      </c>
      <c r="K56" s="12">
        <v>19143010</v>
      </c>
      <c r="L56" s="13" t="s">
        <v>2497</v>
      </c>
      <c r="M56" s="12" t="s">
        <v>68</v>
      </c>
      <c r="N56" s="182"/>
      <c r="O56" s="12" t="s">
        <v>2475</v>
      </c>
      <c r="P56" s="12" t="s">
        <v>70</v>
      </c>
      <c r="Q56" s="12" t="s">
        <v>195</v>
      </c>
      <c r="R56" s="12">
        <v>554473</v>
      </c>
      <c r="S56" s="12" t="s">
        <v>196</v>
      </c>
      <c r="T56" s="206">
        <v>450</v>
      </c>
      <c r="U56" s="206">
        <v>1872</v>
      </c>
      <c r="V56" s="12">
        <v>0.84240000000000004</v>
      </c>
      <c r="W56" s="198">
        <v>52</v>
      </c>
      <c r="X56" s="254">
        <v>2</v>
      </c>
      <c r="Y56" s="12" t="s">
        <v>75</v>
      </c>
      <c r="Z56" s="12"/>
      <c r="AA56" s="13" t="s">
        <v>2658</v>
      </c>
      <c r="AB56" s="13" t="s">
        <v>967</v>
      </c>
      <c r="AC56" s="14">
        <v>45856</v>
      </c>
      <c r="AD56" s="15">
        <v>29</v>
      </c>
      <c r="AE56" s="176" t="s">
        <v>2715</v>
      </c>
      <c r="AF56" s="12">
        <v>371008703</v>
      </c>
      <c r="AG56" s="12" t="s">
        <v>77</v>
      </c>
      <c r="AH56" s="12" t="s">
        <v>314</v>
      </c>
      <c r="AI56" s="14">
        <v>45864</v>
      </c>
      <c r="AJ56" s="14">
        <v>45864</v>
      </c>
      <c r="AK56" s="14">
        <v>45864</v>
      </c>
      <c r="AL56" s="14">
        <v>45930</v>
      </c>
      <c r="AM56" s="14">
        <v>45924</v>
      </c>
      <c r="AN56" s="14">
        <v>45930</v>
      </c>
      <c r="AO56" s="91" t="s">
        <v>66</v>
      </c>
      <c r="AP56" s="12" t="s">
        <v>2704</v>
      </c>
      <c r="AQ56" s="12"/>
      <c r="AR56" s="12" t="s">
        <v>2705</v>
      </c>
      <c r="AS56" s="12" t="s">
        <v>2706</v>
      </c>
      <c r="AT56" s="12" t="s">
        <v>2716</v>
      </c>
      <c r="AU56" s="12">
        <v>67</v>
      </c>
      <c r="AV56" s="12" t="s">
        <v>83</v>
      </c>
      <c r="AW56" s="12">
        <v>8</v>
      </c>
      <c r="AX56" s="12">
        <v>74</v>
      </c>
      <c r="AY56" s="14">
        <v>45864</v>
      </c>
      <c r="AZ56" s="14">
        <v>45930</v>
      </c>
      <c r="BA56" s="12" t="e">
        <v>#N/A</v>
      </c>
      <c r="BB56" s="14" t="s">
        <v>2480</v>
      </c>
      <c r="BC56" s="14">
        <v>45944</v>
      </c>
      <c r="BD56" s="16">
        <v>2025</v>
      </c>
      <c r="BE56" s="16">
        <v>10</v>
      </c>
      <c r="BF56" s="16">
        <v>42</v>
      </c>
      <c r="BG56" s="191">
        <v>36</v>
      </c>
      <c r="BH56" s="191">
        <v>936</v>
      </c>
    </row>
    <row r="57" spans="1:60" s="23" customFormat="1" ht="10">
      <c r="A57" s="11" t="s">
        <v>2717</v>
      </c>
      <c r="B57" s="12" t="s">
        <v>61</v>
      </c>
      <c r="C57" s="12" t="s">
        <v>2718</v>
      </c>
      <c r="D57" s="12" t="s">
        <v>63</v>
      </c>
      <c r="E57" s="12" t="s">
        <v>68</v>
      </c>
      <c r="F57" s="12" t="s">
        <v>68</v>
      </c>
      <c r="G57" s="12"/>
      <c r="H57" s="12" t="s">
        <v>146</v>
      </c>
      <c r="I57" s="12" t="s">
        <v>1081</v>
      </c>
      <c r="J57" s="34" t="s">
        <v>68</v>
      </c>
      <c r="K57" s="12">
        <v>46010730</v>
      </c>
      <c r="L57" s="13" t="s">
        <v>2719</v>
      </c>
      <c r="M57" s="12" t="s">
        <v>68</v>
      </c>
      <c r="N57" s="182"/>
      <c r="O57" s="12" t="s">
        <v>2475</v>
      </c>
      <c r="P57" s="12" t="s">
        <v>70</v>
      </c>
      <c r="Q57" s="12" t="s">
        <v>2720</v>
      </c>
      <c r="R57" s="12">
        <v>554236</v>
      </c>
      <c r="S57" s="12" t="s">
        <v>2721</v>
      </c>
      <c r="T57" s="206">
        <v>450</v>
      </c>
      <c r="U57" s="206">
        <v>1872</v>
      </c>
      <c r="V57" s="12">
        <v>0.84240000000000004</v>
      </c>
      <c r="W57" s="198">
        <v>52</v>
      </c>
      <c r="X57" s="254">
        <v>2</v>
      </c>
      <c r="Y57" s="12" t="s">
        <v>75</v>
      </c>
      <c r="Z57" s="12"/>
      <c r="AA57" s="13" t="s">
        <v>2658</v>
      </c>
      <c r="AB57" s="32" t="s">
        <v>992</v>
      </c>
      <c r="AC57" s="14">
        <v>45857</v>
      </c>
      <c r="AD57" s="15">
        <v>29</v>
      </c>
      <c r="AE57" s="176" t="s">
        <v>2722</v>
      </c>
      <c r="AF57" s="12">
        <v>371008710</v>
      </c>
      <c r="AG57" s="12" t="s">
        <v>77</v>
      </c>
      <c r="AH57" s="12" t="s">
        <v>105</v>
      </c>
      <c r="AI57" s="14">
        <v>45864</v>
      </c>
      <c r="AJ57" s="14">
        <v>45864</v>
      </c>
      <c r="AK57" s="14">
        <v>45864</v>
      </c>
      <c r="AL57" s="14">
        <v>45925</v>
      </c>
      <c r="AM57" s="14">
        <v>45920</v>
      </c>
      <c r="AN57" s="14">
        <v>45925</v>
      </c>
      <c r="AO57" s="91" t="s">
        <v>146</v>
      </c>
      <c r="AP57" s="12" t="s">
        <v>2704</v>
      </c>
      <c r="AQ57" s="12"/>
      <c r="AR57" s="12">
        <v>46010730</v>
      </c>
      <c r="AS57" s="12" t="s">
        <v>2723</v>
      </c>
      <c r="AT57" s="12" t="s">
        <v>2723</v>
      </c>
      <c r="AU57" s="12">
        <v>62</v>
      </c>
      <c r="AV57" s="12" t="s">
        <v>2493</v>
      </c>
      <c r="AW57" s="12">
        <v>2</v>
      </c>
      <c r="AX57" s="12">
        <v>68</v>
      </c>
      <c r="AY57" s="14">
        <v>45864</v>
      </c>
      <c r="AZ57" s="14">
        <v>45925</v>
      </c>
      <c r="BA57" s="12" t="e">
        <v>#N/A</v>
      </c>
      <c r="BB57" s="14" t="s">
        <v>2480</v>
      </c>
      <c r="BC57" s="14">
        <v>45939</v>
      </c>
      <c r="BD57" s="16">
        <v>2025</v>
      </c>
      <c r="BE57" s="16">
        <v>10</v>
      </c>
      <c r="BF57" s="16">
        <v>41</v>
      </c>
      <c r="BG57" s="191">
        <v>36</v>
      </c>
      <c r="BH57" s="191">
        <v>936</v>
      </c>
    </row>
    <row r="58" spans="1:60" s="23" customFormat="1" ht="10">
      <c r="A58" s="11" t="s">
        <v>2724</v>
      </c>
      <c r="B58" s="12" t="s">
        <v>61</v>
      </c>
      <c r="C58" s="12" t="s">
        <v>2714</v>
      </c>
      <c r="D58" s="12" t="s">
        <v>63</v>
      </c>
      <c r="E58" s="12" t="s">
        <v>68</v>
      </c>
      <c r="F58" s="12" t="s">
        <v>68</v>
      </c>
      <c r="G58" s="12"/>
      <c r="H58" s="12" t="s">
        <v>146</v>
      </c>
      <c r="I58" s="12" t="s">
        <v>2725</v>
      </c>
      <c r="J58" s="34" t="s">
        <v>68</v>
      </c>
      <c r="K58" s="12">
        <v>46010725</v>
      </c>
      <c r="L58" s="13" t="s">
        <v>2489</v>
      </c>
      <c r="M58" s="12" t="s">
        <v>68</v>
      </c>
      <c r="N58" s="182"/>
      <c r="O58" s="12" t="s">
        <v>2475</v>
      </c>
      <c r="P58" s="12" t="s">
        <v>70</v>
      </c>
      <c r="Q58" s="12" t="s">
        <v>195</v>
      </c>
      <c r="R58" s="12">
        <v>554473</v>
      </c>
      <c r="S58" s="12" t="s">
        <v>196</v>
      </c>
      <c r="T58" s="206">
        <v>450</v>
      </c>
      <c r="U58" s="206">
        <v>936</v>
      </c>
      <c r="V58" s="12">
        <v>0.42120000000000002</v>
      </c>
      <c r="W58" s="198">
        <v>26</v>
      </c>
      <c r="X58" s="254">
        <v>1</v>
      </c>
      <c r="Y58" s="12" t="s">
        <v>75</v>
      </c>
      <c r="Z58" s="12"/>
      <c r="AA58" s="13" t="s">
        <v>2658</v>
      </c>
      <c r="AB58" s="13" t="s">
        <v>967</v>
      </c>
      <c r="AC58" s="14">
        <v>45858</v>
      </c>
      <c r="AD58" s="15">
        <v>29</v>
      </c>
      <c r="AE58" s="176" t="s">
        <v>2726</v>
      </c>
      <c r="AF58" s="12">
        <v>371008702</v>
      </c>
      <c r="AG58" s="12" t="s">
        <v>77</v>
      </c>
      <c r="AH58" s="12" t="s">
        <v>2727</v>
      </c>
      <c r="AI58" s="14">
        <v>45864</v>
      </c>
      <c r="AJ58" s="14">
        <v>45864</v>
      </c>
      <c r="AK58" s="14">
        <v>45864</v>
      </c>
      <c r="AL58" s="14">
        <v>45932</v>
      </c>
      <c r="AM58" s="14">
        <v>45928</v>
      </c>
      <c r="AN58" s="14">
        <v>45932</v>
      </c>
      <c r="AO58" s="91" t="s">
        <v>146</v>
      </c>
      <c r="AP58" s="12" t="s">
        <v>2728</v>
      </c>
      <c r="AQ58" s="12"/>
      <c r="AR58" s="12">
        <v>46010725</v>
      </c>
      <c r="AS58" s="12" t="s">
        <v>2729</v>
      </c>
      <c r="AT58" s="12" t="s">
        <v>2729</v>
      </c>
      <c r="AU58" s="12">
        <v>69</v>
      </c>
      <c r="AV58" s="12" t="s">
        <v>2493</v>
      </c>
      <c r="AW58" s="12">
        <v>8</v>
      </c>
      <c r="AX58" s="12">
        <v>74</v>
      </c>
      <c r="AY58" s="14">
        <v>45864</v>
      </c>
      <c r="AZ58" s="14">
        <v>45932</v>
      </c>
      <c r="BA58" s="12" t="e">
        <v>#N/A</v>
      </c>
      <c r="BB58" s="14" t="s">
        <v>2480</v>
      </c>
      <c r="BC58" s="14">
        <v>45946</v>
      </c>
      <c r="BD58" s="16">
        <v>2025</v>
      </c>
      <c r="BE58" s="16">
        <v>10</v>
      </c>
      <c r="BF58" s="16">
        <v>42</v>
      </c>
      <c r="BG58" s="191">
        <v>36</v>
      </c>
      <c r="BH58" s="191">
        <v>936</v>
      </c>
    </row>
    <row r="59" spans="1:60" s="23" customFormat="1" ht="10">
      <c r="A59" s="11" t="s">
        <v>2730</v>
      </c>
      <c r="B59" s="12" t="s">
        <v>61</v>
      </c>
      <c r="C59" s="12" t="s">
        <v>2714</v>
      </c>
      <c r="D59" s="12" t="s">
        <v>63</v>
      </c>
      <c r="E59" s="12" t="s">
        <v>64</v>
      </c>
      <c r="F59" s="12" t="s">
        <v>100</v>
      </c>
      <c r="G59" s="12" t="s">
        <v>67</v>
      </c>
      <c r="H59" s="12" t="s">
        <v>66</v>
      </c>
      <c r="I59" s="12" t="s">
        <v>2731</v>
      </c>
      <c r="J59" s="34" t="s">
        <v>68</v>
      </c>
      <c r="K59" s="12">
        <v>14130647</v>
      </c>
      <c r="L59" s="13" t="s">
        <v>2732</v>
      </c>
      <c r="M59" s="213" t="s">
        <v>68</v>
      </c>
      <c r="N59" s="182"/>
      <c r="O59" s="12" t="s">
        <v>2475</v>
      </c>
      <c r="P59" s="12" t="s">
        <v>70</v>
      </c>
      <c r="Q59" s="12" t="s">
        <v>195</v>
      </c>
      <c r="R59" s="12">
        <v>554473</v>
      </c>
      <c r="S59" s="12" t="s">
        <v>196</v>
      </c>
      <c r="T59" s="206">
        <v>450</v>
      </c>
      <c r="U59" s="206">
        <v>936</v>
      </c>
      <c r="V59" s="12">
        <v>0.42120000000000002</v>
      </c>
      <c r="W59" s="198">
        <v>26</v>
      </c>
      <c r="X59" s="254">
        <v>1</v>
      </c>
      <c r="Y59" s="12" t="s">
        <v>75</v>
      </c>
      <c r="Z59" s="12"/>
      <c r="AA59" s="13" t="s">
        <v>2658</v>
      </c>
      <c r="AB59" s="13" t="s">
        <v>967</v>
      </c>
      <c r="AC59" s="14">
        <v>45857</v>
      </c>
      <c r="AD59" s="15">
        <v>29</v>
      </c>
      <c r="AE59" s="176" t="s">
        <v>2733</v>
      </c>
      <c r="AF59" s="12">
        <v>371008701</v>
      </c>
      <c r="AG59" s="12" t="s">
        <v>77</v>
      </c>
      <c r="AH59" s="12" t="s">
        <v>105</v>
      </c>
      <c r="AI59" s="14">
        <v>45864</v>
      </c>
      <c r="AJ59" s="14">
        <v>45864</v>
      </c>
      <c r="AK59" s="14">
        <v>45864</v>
      </c>
      <c r="AL59" s="14">
        <v>45925</v>
      </c>
      <c r="AM59" s="14">
        <v>45920</v>
      </c>
      <c r="AN59" s="14">
        <v>45925</v>
      </c>
      <c r="AO59" s="91" t="s">
        <v>66</v>
      </c>
      <c r="AP59" s="12" t="s">
        <v>2704</v>
      </c>
      <c r="AQ59" s="12"/>
      <c r="AR59" s="12" t="s">
        <v>2734</v>
      </c>
      <c r="AS59" s="12" t="s">
        <v>2735</v>
      </c>
      <c r="AT59" s="12" t="s">
        <v>2735</v>
      </c>
      <c r="AU59" s="12">
        <v>62</v>
      </c>
      <c r="AV59" s="12" t="s">
        <v>83</v>
      </c>
      <c r="AW59" s="12">
        <v>8</v>
      </c>
      <c r="AX59" s="12">
        <v>68</v>
      </c>
      <c r="AY59" s="14">
        <v>45864</v>
      </c>
      <c r="AZ59" s="14">
        <v>45925</v>
      </c>
      <c r="BA59" s="12" t="e">
        <v>#N/A</v>
      </c>
      <c r="BB59" s="14" t="s">
        <v>2480</v>
      </c>
      <c r="BC59" s="14">
        <v>45939</v>
      </c>
      <c r="BD59" s="16">
        <v>2025</v>
      </c>
      <c r="BE59" s="16">
        <v>10</v>
      </c>
      <c r="BF59" s="16">
        <v>41</v>
      </c>
      <c r="BG59" s="191">
        <v>36</v>
      </c>
      <c r="BH59" s="191">
        <v>936</v>
      </c>
    </row>
    <row r="60" spans="1:60" s="23" customFormat="1" ht="10">
      <c r="A60" s="11" t="s">
        <v>2736</v>
      </c>
      <c r="B60" s="12" t="s">
        <v>1888</v>
      </c>
      <c r="C60" s="12" t="s">
        <v>2664</v>
      </c>
      <c r="D60" s="12" t="s">
        <v>63</v>
      </c>
      <c r="E60" s="12" t="s">
        <v>68</v>
      </c>
      <c r="F60" s="12" t="s">
        <v>68</v>
      </c>
      <c r="G60" s="12"/>
      <c r="H60" s="12" t="s">
        <v>66</v>
      </c>
      <c r="I60" s="12" t="s">
        <v>2656</v>
      </c>
      <c r="J60" s="34" t="s">
        <v>68</v>
      </c>
      <c r="K60" s="12">
        <v>19142984</v>
      </c>
      <c r="L60" s="13" t="s">
        <v>2497</v>
      </c>
      <c r="M60" s="12" t="s">
        <v>68</v>
      </c>
      <c r="N60" s="182"/>
      <c r="O60" s="12" t="s">
        <v>2475</v>
      </c>
      <c r="P60" s="12" t="s">
        <v>70</v>
      </c>
      <c r="Q60" s="12" t="s">
        <v>71</v>
      </c>
      <c r="R60" s="12">
        <v>554475</v>
      </c>
      <c r="S60" s="12" t="s">
        <v>72</v>
      </c>
      <c r="T60" s="206">
        <v>500</v>
      </c>
      <c r="U60" s="206">
        <v>6912</v>
      </c>
      <c r="V60" s="12">
        <v>3.456</v>
      </c>
      <c r="W60" s="198">
        <v>192</v>
      </c>
      <c r="X60" s="254">
        <v>8</v>
      </c>
      <c r="Y60" s="12" t="s">
        <v>75</v>
      </c>
      <c r="Z60" s="12"/>
      <c r="AA60" s="13" t="s">
        <v>2658</v>
      </c>
      <c r="AB60" s="13" t="s">
        <v>967</v>
      </c>
      <c r="AC60" s="14">
        <v>45855</v>
      </c>
      <c r="AD60" s="15">
        <v>29</v>
      </c>
      <c r="AE60" s="176" t="s">
        <v>2737</v>
      </c>
      <c r="AF60" s="12">
        <v>371008685</v>
      </c>
      <c r="AG60" s="12" t="s">
        <v>122</v>
      </c>
      <c r="AH60" s="12" t="s">
        <v>314</v>
      </c>
      <c r="AI60" s="14">
        <v>45871</v>
      </c>
      <c r="AJ60" s="14">
        <v>45871</v>
      </c>
      <c r="AK60" s="14">
        <v>45871</v>
      </c>
      <c r="AL60" s="14">
        <v>45917</v>
      </c>
      <c r="AM60" s="14">
        <v>45917</v>
      </c>
      <c r="AN60" s="14">
        <v>45917</v>
      </c>
      <c r="AO60" s="91" t="s">
        <v>66</v>
      </c>
      <c r="AP60" s="12" t="s">
        <v>2738</v>
      </c>
      <c r="AQ60" s="12"/>
      <c r="AR60" s="12" t="s">
        <v>2739</v>
      </c>
      <c r="AS60" s="12" t="s">
        <v>2740</v>
      </c>
      <c r="AT60" s="12" t="s">
        <v>2740</v>
      </c>
      <c r="AU60" s="12">
        <v>47</v>
      </c>
      <c r="AV60" s="12" t="s">
        <v>83</v>
      </c>
      <c r="AW60" s="12">
        <v>12</v>
      </c>
      <c r="AX60" s="12">
        <v>62</v>
      </c>
      <c r="AY60" s="14">
        <v>45871</v>
      </c>
      <c r="AZ60" s="14">
        <v>45917</v>
      </c>
      <c r="BA60" s="12" t="e">
        <v>#N/A</v>
      </c>
      <c r="BB60" s="14" t="s">
        <v>2480</v>
      </c>
      <c r="BC60" s="14">
        <v>45931</v>
      </c>
      <c r="BD60" s="16">
        <v>2025</v>
      </c>
      <c r="BE60" s="16">
        <v>10</v>
      </c>
      <c r="BF60" s="16">
        <v>40</v>
      </c>
      <c r="BG60" s="191">
        <v>36</v>
      </c>
      <c r="BH60" s="191">
        <v>864</v>
      </c>
    </row>
    <row r="61" spans="1:60" s="23" customFormat="1" ht="10">
      <c r="A61" s="11" t="s">
        <v>2741</v>
      </c>
      <c r="B61" s="12" t="s">
        <v>111</v>
      </c>
      <c r="C61" s="12" t="s">
        <v>2509</v>
      </c>
      <c r="D61" s="12" t="s">
        <v>63</v>
      </c>
      <c r="E61" s="12" t="s">
        <v>64</v>
      </c>
      <c r="F61" s="12" t="s">
        <v>65</v>
      </c>
      <c r="G61" s="12" t="s">
        <v>67</v>
      </c>
      <c r="H61" s="12" t="s">
        <v>66</v>
      </c>
      <c r="I61" s="12" t="s">
        <v>96</v>
      </c>
      <c r="J61" s="34" t="s">
        <v>68</v>
      </c>
      <c r="K61" s="12"/>
      <c r="L61" s="13" t="s">
        <v>2474</v>
      </c>
      <c r="M61" s="213" t="s">
        <v>68</v>
      </c>
      <c r="N61" s="182"/>
      <c r="O61" s="12" t="s">
        <v>2475</v>
      </c>
      <c r="P61" s="12" t="s">
        <v>170</v>
      </c>
      <c r="Q61" s="12" t="s">
        <v>462</v>
      </c>
      <c r="R61" s="12">
        <v>552026</v>
      </c>
      <c r="S61" s="12" t="s">
        <v>463</v>
      </c>
      <c r="T61" s="206">
        <v>550</v>
      </c>
      <c r="U61" s="206">
        <v>660</v>
      </c>
      <c r="V61" s="12">
        <v>0.36299999999999999</v>
      </c>
      <c r="W61" s="198">
        <v>20</v>
      </c>
      <c r="X61" s="254">
        <v>1</v>
      </c>
      <c r="Y61" s="12" t="s">
        <v>75</v>
      </c>
      <c r="Z61" s="12"/>
      <c r="AA61" s="13" t="s">
        <v>108</v>
      </c>
      <c r="AB61" s="13" t="s">
        <v>1187</v>
      </c>
      <c r="AC61" s="14">
        <v>45863</v>
      </c>
      <c r="AD61" s="15">
        <v>30</v>
      </c>
      <c r="AE61" s="176" t="s">
        <v>2742</v>
      </c>
      <c r="AF61" s="12">
        <v>371008686</v>
      </c>
      <c r="AG61" s="12" t="s">
        <v>122</v>
      </c>
      <c r="AH61" s="12" t="s">
        <v>78</v>
      </c>
      <c r="AI61" s="14">
        <v>45863</v>
      </c>
      <c r="AJ61" s="14">
        <v>45863</v>
      </c>
      <c r="AK61" s="14">
        <v>45863</v>
      </c>
      <c r="AL61" s="14">
        <v>45923</v>
      </c>
      <c r="AM61" s="14">
        <v>45915</v>
      </c>
      <c r="AN61" s="14">
        <v>45923</v>
      </c>
      <c r="AO61" s="91" t="s">
        <v>66</v>
      </c>
      <c r="AP61" s="12" t="s">
        <v>2642</v>
      </c>
      <c r="AQ61" s="12"/>
      <c r="AR61" s="12" t="s">
        <v>2694</v>
      </c>
      <c r="AS61" s="12" t="s">
        <v>2695</v>
      </c>
      <c r="AT61" s="12" t="s">
        <v>2695</v>
      </c>
      <c r="AU61" s="12">
        <v>61</v>
      </c>
      <c r="AV61" s="12" t="s">
        <v>83</v>
      </c>
      <c r="AW61" s="12">
        <v>8</v>
      </c>
      <c r="AX61" s="12">
        <v>60</v>
      </c>
      <c r="AY61" s="14">
        <v>45863</v>
      </c>
      <c r="AZ61" s="14">
        <v>45923</v>
      </c>
      <c r="BA61" s="12" t="e">
        <v>#N/A</v>
      </c>
      <c r="BB61" s="14" t="s">
        <v>2480</v>
      </c>
      <c r="BC61" s="14">
        <v>45937</v>
      </c>
      <c r="BD61" s="16">
        <v>2025</v>
      </c>
      <c r="BE61" s="16">
        <v>10</v>
      </c>
      <c r="BF61" s="16">
        <v>41</v>
      </c>
      <c r="BG61" s="191">
        <v>33</v>
      </c>
      <c r="BH61" s="191">
        <v>660</v>
      </c>
    </row>
    <row r="62" spans="1:60" s="23" customFormat="1" ht="10">
      <c r="A62" s="11" t="s">
        <v>2743</v>
      </c>
      <c r="B62" s="12" t="s">
        <v>111</v>
      </c>
      <c r="C62" s="12" t="s">
        <v>2744</v>
      </c>
      <c r="D62" s="12" t="s">
        <v>63</v>
      </c>
      <c r="E62" s="12" t="s">
        <v>68</v>
      </c>
      <c r="F62" s="12" t="s">
        <v>68</v>
      </c>
      <c r="G62" s="12"/>
      <c r="H62" s="12" t="s">
        <v>66</v>
      </c>
      <c r="I62" s="12" t="s">
        <v>96</v>
      </c>
      <c r="J62" s="34" t="s">
        <v>68</v>
      </c>
      <c r="K62" s="12"/>
      <c r="L62" s="13" t="s">
        <v>2482</v>
      </c>
      <c r="M62" s="12" t="s">
        <v>68</v>
      </c>
      <c r="N62" s="182"/>
      <c r="O62" s="12" t="s">
        <v>2475</v>
      </c>
      <c r="P62" s="12" t="s">
        <v>473</v>
      </c>
      <c r="Q62" s="12" t="s">
        <v>529</v>
      </c>
      <c r="R62" s="12">
        <v>553145</v>
      </c>
      <c r="S62" s="12" t="s">
        <v>530</v>
      </c>
      <c r="T62" s="206">
        <v>455</v>
      </c>
      <c r="U62" s="206">
        <v>1728</v>
      </c>
      <c r="V62" s="12">
        <v>0.78624000000000005</v>
      </c>
      <c r="W62" s="198">
        <v>48</v>
      </c>
      <c r="X62" s="254">
        <v>2</v>
      </c>
      <c r="Y62" s="12" t="s">
        <v>75</v>
      </c>
      <c r="Z62" s="12"/>
      <c r="AA62" s="13" t="s">
        <v>85</v>
      </c>
      <c r="AB62" s="13" t="s">
        <v>967</v>
      </c>
      <c r="AC62" s="14">
        <v>45861</v>
      </c>
      <c r="AD62" s="15">
        <v>30</v>
      </c>
      <c r="AE62" s="176" t="s">
        <v>2745</v>
      </c>
      <c r="AF62" s="12">
        <v>371008707</v>
      </c>
      <c r="AG62" s="12" t="s">
        <v>122</v>
      </c>
      <c r="AH62" s="12" t="s">
        <v>124</v>
      </c>
      <c r="AI62" s="14">
        <v>45870</v>
      </c>
      <c r="AJ62" s="14">
        <v>45870</v>
      </c>
      <c r="AK62" s="14">
        <v>45870</v>
      </c>
      <c r="AL62" s="14">
        <v>45912</v>
      </c>
      <c r="AM62" s="14">
        <v>45907</v>
      </c>
      <c r="AN62" s="14">
        <v>45912</v>
      </c>
      <c r="AO62" s="91" t="s">
        <v>66</v>
      </c>
      <c r="AP62" s="12" t="s">
        <v>2746</v>
      </c>
      <c r="AQ62" s="12"/>
      <c r="AR62" s="12" t="s">
        <v>2747</v>
      </c>
      <c r="AS62" s="12" t="s">
        <v>2748</v>
      </c>
      <c r="AT62" s="12" t="s">
        <v>2748</v>
      </c>
      <c r="AU62" s="12">
        <v>43</v>
      </c>
      <c r="AV62" s="12" t="s">
        <v>83</v>
      </c>
      <c r="AW62" s="12">
        <v>2</v>
      </c>
      <c r="AX62" s="12">
        <v>51</v>
      </c>
      <c r="AY62" s="14">
        <v>45870</v>
      </c>
      <c r="AZ62" s="14">
        <v>45912</v>
      </c>
      <c r="BA62" s="12" t="e">
        <v>#N/A</v>
      </c>
      <c r="BB62" s="14" t="s">
        <v>2480</v>
      </c>
      <c r="BC62" s="14">
        <v>45926</v>
      </c>
      <c r="BD62" s="16">
        <v>2025</v>
      </c>
      <c r="BE62" s="16">
        <v>9</v>
      </c>
      <c r="BF62" s="16">
        <v>39</v>
      </c>
      <c r="BG62" s="191">
        <v>36</v>
      </c>
      <c r="BH62" s="191">
        <v>864</v>
      </c>
    </row>
    <row r="63" spans="1:60" s="23" customFormat="1" ht="10">
      <c r="A63" s="11" t="s">
        <v>2749</v>
      </c>
      <c r="B63" s="12" t="s">
        <v>111</v>
      </c>
      <c r="C63" s="12" t="s">
        <v>2750</v>
      </c>
      <c r="D63" s="12" t="s">
        <v>63</v>
      </c>
      <c r="E63" s="12" t="s">
        <v>68</v>
      </c>
      <c r="F63" s="12" t="s">
        <v>68</v>
      </c>
      <c r="G63" s="12"/>
      <c r="H63" s="12" t="s">
        <v>66</v>
      </c>
      <c r="I63" s="12" t="s">
        <v>1559</v>
      </c>
      <c r="J63" s="34" t="s">
        <v>68</v>
      </c>
      <c r="K63" s="12"/>
      <c r="L63" s="13" t="s">
        <v>2497</v>
      </c>
      <c r="M63" s="12" t="s">
        <v>68</v>
      </c>
      <c r="N63" s="182"/>
      <c r="O63" s="12" t="s">
        <v>2475</v>
      </c>
      <c r="P63" s="12" t="s">
        <v>170</v>
      </c>
      <c r="Q63" s="12" t="s">
        <v>171</v>
      </c>
      <c r="R63" s="12">
        <v>552045</v>
      </c>
      <c r="S63" s="12" t="s">
        <v>172</v>
      </c>
      <c r="T63" s="206">
        <v>555</v>
      </c>
      <c r="U63" s="206">
        <v>1980</v>
      </c>
      <c r="V63" s="12">
        <v>1.0989</v>
      </c>
      <c r="W63" s="198">
        <v>60</v>
      </c>
      <c r="X63" s="254">
        <v>3</v>
      </c>
      <c r="Y63" s="12" t="s">
        <v>75</v>
      </c>
      <c r="Z63" s="12"/>
      <c r="AA63" s="13" t="s">
        <v>108</v>
      </c>
      <c r="AB63" s="13" t="s">
        <v>992</v>
      </c>
      <c r="AC63" s="14">
        <v>45861</v>
      </c>
      <c r="AD63" s="15">
        <v>30</v>
      </c>
      <c r="AE63" s="176" t="s">
        <v>2751</v>
      </c>
      <c r="AF63" s="12">
        <v>371008708</v>
      </c>
      <c r="AG63" s="12" t="s">
        <v>122</v>
      </c>
      <c r="AH63" s="12" t="s">
        <v>1561</v>
      </c>
      <c r="AI63" s="14">
        <v>45871</v>
      </c>
      <c r="AJ63" s="14">
        <v>45871</v>
      </c>
      <c r="AK63" s="14">
        <v>45871</v>
      </c>
      <c r="AL63" s="14">
        <v>45919</v>
      </c>
      <c r="AM63" s="14">
        <v>45911</v>
      </c>
      <c r="AN63" s="14">
        <v>45919</v>
      </c>
      <c r="AO63" s="91" t="s">
        <v>66</v>
      </c>
      <c r="AP63" s="12" t="s">
        <v>2738</v>
      </c>
      <c r="AQ63" s="12"/>
      <c r="AR63" s="12" t="s">
        <v>2752</v>
      </c>
      <c r="AS63" s="12" t="s">
        <v>2753</v>
      </c>
      <c r="AT63" s="12" t="s">
        <v>2753</v>
      </c>
      <c r="AU63" s="12">
        <v>49</v>
      </c>
      <c r="AV63" s="12" t="s">
        <v>83</v>
      </c>
      <c r="AW63" s="12">
        <v>11</v>
      </c>
      <c r="AX63" s="12">
        <v>58</v>
      </c>
      <c r="AY63" s="14">
        <v>45871</v>
      </c>
      <c r="AZ63" s="14">
        <v>45919</v>
      </c>
      <c r="BA63" s="12" t="e">
        <v>#N/A</v>
      </c>
      <c r="BB63" s="14" t="s">
        <v>2480</v>
      </c>
      <c r="BC63" s="14">
        <v>45933</v>
      </c>
      <c r="BD63" s="16">
        <v>2025</v>
      </c>
      <c r="BE63" s="16">
        <v>10</v>
      </c>
      <c r="BF63" s="16">
        <v>40</v>
      </c>
      <c r="BG63" s="191">
        <v>33</v>
      </c>
      <c r="BH63" s="191">
        <v>660</v>
      </c>
    </row>
    <row r="64" spans="1:60" s="23" customFormat="1" ht="10">
      <c r="A64" s="11" t="s">
        <v>2754</v>
      </c>
      <c r="B64" s="12" t="s">
        <v>111</v>
      </c>
      <c r="C64" s="12" t="s">
        <v>2755</v>
      </c>
      <c r="D64" s="12" t="s">
        <v>63</v>
      </c>
      <c r="E64" s="12" t="s">
        <v>68</v>
      </c>
      <c r="F64" s="12" t="s">
        <v>68</v>
      </c>
      <c r="G64" s="12"/>
      <c r="H64" s="12" t="s">
        <v>66</v>
      </c>
      <c r="I64" s="12" t="s">
        <v>2656</v>
      </c>
      <c r="J64" s="34" t="s">
        <v>68</v>
      </c>
      <c r="K64" s="12"/>
      <c r="L64" s="13" t="s">
        <v>2497</v>
      </c>
      <c r="M64" s="12" t="s">
        <v>68</v>
      </c>
      <c r="N64" s="182"/>
      <c r="O64" s="12" t="s">
        <v>2475</v>
      </c>
      <c r="P64" s="12" t="s">
        <v>70</v>
      </c>
      <c r="Q64" s="12" t="s">
        <v>1347</v>
      </c>
      <c r="R64" s="12">
        <v>554471</v>
      </c>
      <c r="S64" s="12" t="s">
        <v>1348</v>
      </c>
      <c r="T64" s="206">
        <v>710</v>
      </c>
      <c r="U64" s="206">
        <v>1188</v>
      </c>
      <c r="V64" s="12">
        <v>0.84348000000000001</v>
      </c>
      <c r="W64" s="198">
        <v>36</v>
      </c>
      <c r="X64" s="254">
        <v>2</v>
      </c>
      <c r="Y64" s="12" t="s">
        <v>75</v>
      </c>
      <c r="Z64" s="12"/>
      <c r="AA64" s="12" t="s">
        <v>128</v>
      </c>
      <c r="AB64" s="32" t="s">
        <v>992</v>
      </c>
      <c r="AC64" s="14">
        <v>45862</v>
      </c>
      <c r="AD64" s="15">
        <v>30</v>
      </c>
      <c r="AE64" s="176" t="s">
        <v>2756</v>
      </c>
      <c r="AF64" s="12">
        <v>371008705</v>
      </c>
      <c r="AG64" s="12" t="s">
        <v>122</v>
      </c>
      <c r="AH64" s="12" t="s">
        <v>314</v>
      </c>
      <c r="AI64" s="14">
        <v>45871</v>
      </c>
      <c r="AJ64" s="14">
        <v>45871</v>
      </c>
      <c r="AK64" s="14">
        <v>45871</v>
      </c>
      <c r="AL64" s="14">
        <v>45917</v>
      </c>
      <c r="AM64" s="14">
        <v>45917</v>
      </c>
      <c r="AN64" s="14">
        <v>45917</v>
      </c>
      <c r="AO64" s="91" t="s">
        <v>66</v>
      </c>
      <c r="AP64" s="12" t="s">
        <v>2738</v>
      </c>
      <c r="AQ64" s="12"/>
      <c r="AR64" s="12" t="s">
        <v>2757</v>
      </c>
      <c r="AS64" s="12" t="s">
        <v>2758</v>
      </c>
      <c r="AT64" s="12" t="s">
        <v>2758</v>
      </c>
      <c r="AU64" s="12">
        <v>47</v>
      </c>
      <c r="AV64" s="12" t="s">
        <v>83</v>
      </c>
      <c r="AW64" s="12">
        <v>3</v>
      </c>
      <c r="AX64" s="12">
        <v>55</v>
      </c>
      <c r="AY64" s="14">
        <v>45871</v>
      </c>
      <c r="AZ64" s="14">
        <v>45917</v>
      </c>
      <c r="BA64" s="12" t="e">
        <v>#N/A</v>
      </c>
      <c r="BB64" s="14" t="s">
        <v>2480</v>
      </c>
      <c r="BC64" s="14">
        <v>45931</v>
      </c>
      <c r="BD64" s="16">
        <v>2025</v>
      </c>
      <c r="BE64" s="16">
        <v>10</v>
      </c>
      <c r="BF64" s="16">
        <v>40</v>
      </c>
      <c r="BG64" s="191">
        <v>33</v>
      </c>
      <c r="BH64" s="191">
        <v>594</v>
      </c>
    </row>
    <row r="65" spans="1:60" s="23" customFormat="1" ht="10">
      <c r="A65" s="11" t="s">
        <v>2759</v>
      </c>
      <c r="B65" s="12" t="s">
        <v>111</v>
      </c>
      <c r="C65" s="12" t="s">
        <v>2755</v>
      </c>
      <c r="D65" s="12" t="s">
        <v>63</v>
      </c>
      <c r="E65" s="12" t="s">
        <v>68</v>
      </c>
      <c r="F65" s="12" t="s">
        <v>68</v>
      </c>
      <c r="G65" s="12"/>
      <c r="H65" s="12" t="s">
        <v>66</v>
      </c>
      <c r="I65" s="12" t="s">
        <v>2656</v>
      </c>
      <c r="J65" s="34" t="s">
        <v>68</v>
      </c>
      <c r="K65" s="12"/>
      <c r="L65" s="13" t="s">
        <v>2497</v>
      </c>
      <c r="M65" s="12" t="s">
        <v>68</v>
      </c>
      <c r="N65" s="182"/>
      <c r="O65" s="12" t="s">
        <v>2475</v>
      </c>
      <c r="P65" s="12" t="s">
        <v>70</v>
      </c>
      <c r="Q65" s="12" t="s">
        <v>1347</v>
      </c>
      <c r="R65" s="12">
        <v>554471</v>
      </c>
      <c r="S65" s="12" t="s">
        <v>1348</v>
      </c>
      <c r="T65" s="206">
        <v>710</v>
      </c>
      <c r="U65" s="206">
        <v>2970</v>
      </c>
      <c r="V65" s="12">
        <v>2.1086999999999998</v>
      </c>
      <c r="W65" s="198">
        <v>90</v>
      </c>
      <c r="X65" s="254">
        <v>5</v>
      </c>
      <c r="Y65" s="12" t="s">
        <v>75</v>
      </c>
      <c r="Z65" s="12"/>
      <c r="AA65" s="12" t="s">
        <v>128</v>
      </c>
      <c r="AB65" s="32" t="s">
        <v>992</v>
      </c>
      <c r="AC65" s="14">
        <v>45862</v>
      </c>
      <c r="AD65" s="15">
        <v>30</v>
      </c>
      <c r="AE65" s="176" t="s">
        <v>2760</v>
      </c>
      <c r="AF65" s="12">
        <v>371008706</v>
      </c>
      <c r="AG65" s="12" t="s">
        <v>122</v>
      </c>
      <c r="AH65" s="12" t="s">
        <v>314</v>
      </c>
      <c r="AI65" s="14">
        <v>45871</v>
      </c>
      <c r="AJ65" s="14">
        <v>45871</v>
      </c>
      <c r="AK65" s="14">
        <v>45871</v>
      </c>
      <c r="AL65" s="14">
        <v>45917</v>
      </c>
      <c r="AM65" s="14">
        <v>45917</v>
      </c>
      <c r="AN65" s="14">
        <v>45917</v>
      </c>
      <c r="AO65" s="91" t="s">
        <v>66</v>
      </c>
      <c r="AP65" s="12" t="s">
        <v>2738</v>
      </c>
      <c r="AQ65" s="12"/>
      <c r="AR65" s="12" t="s">
        <v>2757</v>
      </c>
      <c r="AS65" s="12" t="s">
        <v>2758</v>
      </c>
      <c r="AT65" s="12" t="s">
        <v>2761</v>
      </c>
      <c r="AU65" s="12">
        <v>47</v>
      </c>
      <c r="AV65" s="12" t="s">
        <v>83</v>
      </c>
      <c r="AW65" s="12">
        <v>3</v>
      </c>
      <c r="AX65" s="12">
        <v>55</v>
      </c>
      <c r="AY65" s="14">
        <v>45871</v>
      </c>
      <c r="AZ65" s="14">
        <v>45917</v>
      </c>
      <c r="BA65" s="12" t="e">
        <v>#N/A</v>
      </c>
      <c r="BB65" s="14" t="s">
        <v>2480</v>
      </c>
      <c r="BC65" s="14">
        <v>45931</v>
      </c>
      <c r="BD65" s="16">
        <v>2025</v>
      </c>
      <c r="BE65" s="16">
        <v>10</v>
      </c>
      <c r="BF65" s="16">
        <v>40</v>
      </c>
      <c r="BG65" s="191">
        <v>33</v>
      </c>
      <c r="BH65" s="191">
        <v>594</v>
      </c>
    </row>
    <row r="66" spans="1:60" s="175" customFormat="1" ht="10">
      <c r="A66" s="172" t="s">
        <v>2762</v>
      </c>
      <c r="B66" s="41" t="s">
        <v>1888</v>
      </c>
      <c r="C66" s="12" t="s">
        <v>2664</v>
      </c>
      <c r="D66" s="12" t="s">
        <v>63</v>
      </c>
      <c r="E66" s="12" t="s">
        <v>68</v>
      </c>
      <c r="F66" s="12" t="s">
        <v>68</v>
      </c>
      <c r="G66" s="12"/>
      <c r="H66" s="12" t="s">
        <v>66</v>
      </c>
      <c r="I66" s="41" t="s">
        <v>2763</v>
      </c>
      <c r="J66" s="34" t="s">
        <v>68</v>
      </c>
      <c r="K66" s="12"/>
      <c r="L66" s="13" t="s">
        <v>2497</v>
      </c>
      <c r="M66" s="12" t="s">
        <v>68</v>
      </c>
      <c r="N66" s="182"/>
      <c r="O66" s="12" t="s">
        <v>2475</v>
      </c>
      <c r="P66" s="41" t="s">
        <v>70</v>
      </c>
      <c r="Q66" s="41" t="s">
        <v>71</v>
      </c>
      <c r="R66" s="41">
        <v>554475</v>
      </c>
      <c r="S66" s="41" t="s">
        <v>72</v>
      </c>
      <c r="T66" s="208">
        <v>500</v>
      </c>
      <c r="U66" s="208">
        <v>4320</v>
      </c>
      <c r="V66" s="41">
        <v>2.16</v>
      </c>
      <c r="W66" s="201">
        <v>120</v>
      </c>
      <c r="X66" s="255">
        <v>5</v>
      </c>
      <c r="Y66" s="41" t="s">
        <v>75</v>
      </c>
      <c r="Z66" s="41"/>
      <c r="AA66" s="12" t="s">
        <v>2658</v>
      </c>
      <c r="AB66" s="13" t="s">
        <v>967</v>
      </c>
      <c r="AC66" s="37">
        <v>45867</v>
      </c>
      <c r="AD66" s="15">
        <v>31</v>
      </c>
      <c r="AE66" s="287" t="s">
        <v>2764</v>
      </c>
      <c r="AF66" s="41">
        <v>371008720</v>
      </c>
      <c r="AG66" s="41" t="s">
        <v>122</v>
      </c>
      <c r="AH66" s="41" t="s">
        <v>1561</v>
      </c>
      <c r="AI66" s="37">
        <v>45877</v>
      </c>
      <c r="AJ66" s="37">
        <v>45877</v>
      </c>
      <c r="AK66" s="37">
        <v>45877</v>
      </c>
      <c r="AL66" s="37">
        <v>45930</v>
      </c>
      <c r="AM66" s="37">
        <v>45918</v>
      </c>
      <c r="AN66" s="37">
        <v>45930</v>
      </c>
      <c r="AO66" s="86" t="s">
        <v>66</v>
      </c>
      <c r="AP66" s="41" t="s">
        <v>2765</v>
      </c>
      <c r="AQ66" s="41"/>
      <c r="AR66" s="41" t="s">
        <v>2766</v>
      </c>
      <c r="AS66" s="41" t="s">
        <v>2767</v>
      </c>
      <c r="AT66" s="41" t="s">
        <v>2767</v>
      </c>
      <c r="AU66" s="41">
        <v>54</v>
      </c>
      <c r="AV66" s="41" t="s">
        <v>83</v>
      </c>
      <c r="AW66" s="12">
        <v>12</v>
      </c>
      <c r="AX66" s="41">
        <v>63</v>
      </c>
      <c r="AY66" s="37">
        <v>45877</v>
      </c>
      <c r="AZ66" s="37">
        <v>45930</v>
      </c>
      <c r="BA66" s="41" t="e">
        <v>#N/A</v>
      </c>
      <c r="BB66" s="37" t="s">
        <v>2480</v>
      </c>
      <c r="BC66" s="37">
        <v>45944</v>
      </c>
      <c r="BD66" s="219">
        <v>2025</v>
      </c>
      <c r="BE66" s="219">
        <v>10</v>
      </c>
      <c r="BF66" s="219">
        <v>42</v>
      </c>
      <c r="BG66" s="219">
        <v>36</v>
      </c>
      <c r="BH66" s="219">
        <v>864</v>
      </c>
    </row>
    <row r="67" spans="1:60" s="23" customFormat="1" ht="10">
      <c r="A67" s="11" t="s">
        <v>2768</v>
      </c>
      <c r="B67" s="12" t="s">
        <v>111</v>
      </c>
      <c r="C67" s="12" t="s">
        <v>2744</v>
      </c>
      <c r="D67" s="12" t="s">
        <v>63</v>
      </c>
      <c r="E67" s="12" t="s">
        <v>68</v>
      </c>
      <c r="F67" s="12" t="s">
        <v>68</v>
      </c>
      <c r="G67" s="12"/>
      <c r="H67" s="12" t="s">
        <v>402</v>
      </c>
      <c r="I67" s="12" t="s">
        <v>527</v>
      </c>
      <c r="J67" s="34" t="s">
        <v>68</v>
      </c>
      <c r="K67" s="12">
        <v>46010809</v>
      </c>
      <c r="L67" s="13" t="s">
        <v>2769</v>
      </c>
      <c r="M67" s="12" t="s">
        <v>68</v>
      </c>
      <c r="N67" s="182"/>
      <c r="O67" s="12" t="s">
        <v>2475</v>
      </c>
      <c r="P67" s="12" t="s">
        <v>473</v>
      </c>
      <c r="Q67" s="12" t="s">
        <v>529</v>
      </c>
      <c r="R67" s="12">
        <v>553145</v>
      </c>
      <c r="S67" s="12" t="s">
        <v>530</v>
      </c>
      <c r="T67" s="206">
        <v>455</v>
      </c>
      <c r="U67" s="206">
        <v>864</v>
      </c>
      <c r="V67" s="12">
        <v>0.39312000000000002</v>
      </c>
      <c r="W67" s="198">
        <v>24</v>
      </c>
      <c r="X67" s="254">
        <v>1</v>
      </c>
      <c r="Y67" s="12" t="s">
        <v>75</v>
      </c>
      <c r="Z67" s="12"/>
      <c r="AA67" s="12" t="s">
        <v>85</v>
      </c>
      <c r="AB67" s="13" t="s">
        <v>967</v>
      </c>
      <c r="AC67" s="14">
        <v>45866</v>
      </c>
      <c r="AD67" s="15">
        <v>31</v>
      </c>
      <c r="AE67" s="176" t="s">
        <v>2770</v>
      </c>
      <c r="AF67" s="12">
        <v>371008727</v>
      </c>
      <c r="AG67" s="12" t="s">
        <v>122</v>
      </c>
      <c r="AH67" s="12" t="s">
        <v>532</v>
      </c>
      <c r="AI67" s="14">
        <v>45873</v>
      </c>
      <c r="AJ67" s="14">
        <v>45873</v>
      </c>
      <c r="AK67" s="14">
        <v>45873</v>
      </c>
      <c r="AL67" s="14">
        <v>45922</v>
      </c>
      <c r="AM67" s="14">
        <v>45917</v>
      </c>
      <c r="AN67" s="14">
        <v>45922</v>
      </c>
      <c r="AO67" s="91" t="s">
        <v>402</v>
      </c>
      <c r="AP67" s="12" t="s">
        <v>2704</v>
      </c>
      <c r="AQ67" s="12"/>
      <c r="AR67" s="12" t="s">
        <v>2771</v>
      </c>
      <c r="AS67" s="12" t="s">
        <v>2772</v>
      </c>
      <c r="AT67" s="12" t="s">
        <v>2772</v>
      </c>
      <c r="AU67" s="12">
        <v>50</v>
      </c>
      <c r="AV67" s="12" t="s">
        <v>2493</v>
      </c>
      <c r="AW67" s="12">
        <v>2</v>
      </c>
      <c r="AX67" s="12">
        <v>56</v>
      </c>
      <c r="AY67" s="14">
        <v>45873</v>
      </c>
      <c r="AZ67" s="14">
        <v>45922</v>
      </c>
      <c r="BA67" s="12" t="e">
        <v>#N/A</v>
      </c>
      <c r="BB67" s="14" t="s">
        <v>2480</v>
      </c>
      <c r="BC67" s="14">
        <v>45936</v>
      </c>
      <c r="BD67" s="16">
        <v>2025</v>
      </c>
      <c r="BE67" s="16">
        <v>10</v>
      </c>
      <c r="BF67" s="16">
        <v>41</v>
      </c>
      <c r="BG67" s="191">
        <v>36</v>
      </c>
      <c r="BH67" s="191">
        <v>864</v>
      </c>
    </row>
    <row r="68" spans="1:60" s="23" customFormat="1" ht="10">
      <c r="A68" s="11" t="s">
        <v>2773</v>
      </c>
      <c r="B68" s="12" t="s">
        <v>2774</v>
      </c>
      <c r="C68" s="12" t="s">
        <v>2775</v>
      </c>
      <c r="D68" s="12" t="s">
        <v>63</v>
      </c>
      <c r="E68" s="12" t="s">
        <v>64</v>
      </c>
      <c r="F68" s="12" t="s">
        <v>100</v>
      </c>
      <c r="G68" s="12" t="s">
        <v>67</v>
      </c>
      <c r="H68" s="12" t="s">
        <v>66</v>
      </c>
      <c r="I68" s="12" t="s">
        <v>2776</v>
      </c>
      <c r="J68" s="34" t="s">
        <v>68</v>
      </c>
      <c r="K68" s="12"/>
      <c r="L68" s="13" t="s">
        <v>2719</v>
      </c>
      <c r="M68" s="213" t="s">
        <v>68</v>
      </c>
      <c r="N68" s="182"/>
      <c r="O68" s="12" t="s">
        <v>2475</v>
      </c>
      <c r="P68" s="12" t="s">
        <v>284</v>
      </c>
      <c r="Q68" s="12" t="s">
        <v>2777</v>
      </c>
      <c r="R68" s="12">
        <v>554320</v>
      </c>
      <c r="S68" s="12" t="s">
        <v>2778</v>
      </c>
      <c r="T68" s="206">
        <v>465</v>
      </c>
      <c r="U68" s="206">
        <v>962</v>
      </c>
      <c r="V68" s="12">
        <v>0.44733000000000001</v>
      </c>
      <c r="W68" s="198">
        <v>26</v>
      </c>
      <c r="X68" s="254">
        <v>1</v>
      </c>
      <c r="Y68" s="12" t="s">
        <v>75</v>
      </c>
      <c r="Z68" s="12"/>
      <c r="AA68" s="12" t="s">
        <v>85</v>
      </c>
      <c r="AB68" s="13" t="s">
        <v>967</v>
      </c>
      <c r="AC68" s="14">
        <v>45868</v>
      </c>
      <c r="AD68" s="15">
        <v>31</v>
      </c>
      <c r="AE68" s="176" t="s">
        <v>2779</v>
      </c>
      <c r="AF68" s="12">
        <v>371008753</v>
      </c>
      <c r="AG68" s="12" t="s">
        <v>2780</v>
      </c>
      <c r="AH68" s="12" t="s">
        <v>105</v>
      </c>
      <c r="AI68" s="14">
        <v>45871</v>
      </c>
      <c r="AJ68" s="14">
        <v>45871</v>
      </c>
      <c r="AK68" s="14">
        <v>45871</v>
      </c>
      <c r="AL68" s="14">
        <v>45916</v>
      </c>
      <c r="AM68" s="14">
        <v>45912</v>
      </c>
      <c r="AN68" s="14">
        <v>45916</v>
      </c>
      <c r="AO68" s="91" t="s">
        <v>66</v>
      </c>
      <c r="AP68" s="12" t="s">
        <v>2781</v>
      </c>
      <c r="AQ68" s="12"/>
      <c r="AR68" s="12" t="s">
        <v>2782</v>
      </c>
      <c r="AS68" s="12" t="s">
        <v>2783</v>
      </c>
      <c r="AT68" s="12" t="s">
        <v>2783</v>
      </c>
      <c r="AU68" s="12">
        <v>46</v>
      </c>
      <c r="AV68" s="12" t="s">
        <v>83</v>
      </c>
      <c r="AW68" s="12">
        <v>8</v>
      </c>
      <c r="AX68" s="12">
        <v>48</v>
      </c>
      <c r="AY68" s="14">
        <v>45871</v>
      </c>
      <c r="AZ68" s="14">
        <v>45916</v>
      </c>
      <c r="BA68" s="12" t="e">
        <v>#N/A</v>
      </c>
      <c r="BB68" s="14" t="s">
        <v>2480</v>
      </c>
      <c r="BC68" s="14">
        <v>45930</v>
      </c>
      <c r="BD68" s="16">
        <v>2025</v>
      </c>
      <c r="BE68" s="16">
        <v>9</v>
      </c>
      <c r="BF68" s="16">
        <v>40</v>
      </c>
      <c r="BG68" s="191">
        <v>37</v>
      </c>
      <c r="BH68" s="191">
        <v>962</v>
      </c>
    </row>
    <row r="69" spans="1:60" s="23" customFormat="1" ht="10">
      <c r="A69" s="11" t="s">
        <v>2784</v>
      </c>
      <c r="B69" s="12" t="s">
        <v>1888</v>
      </c>
      <c r="C69" s="12" t="s">
        <v>2664</v>
      </c>
      <c r="D69" s="12" t="s">
        <v>63</v>
      </c>
      <c r="E69" s="12" t="s">
        <v>68</v>
      </c>
      <c r="F69" s="12" t="s">
        <v>68</v>
      </c>
      <c r="G69" s="12"/>
      <c r="H69" s="12" t="s">
        <v>66</v>
      </c>
      <c r="I69" s="12" t="s">
        <v>2785</v>
      </c>
      <c r="J69" s="34" t="s">
        <v>68</v>
      </c>
      <c r="K69" s="12"/>
      <c r="L69" s="13" t="s">
        <v>2497</v>
      </c>
      <c r="M69" s="12" t="s">
        <v>68</v>
      </c>
      <c r="N69" s="182"/>
      <c r="O69" s="12" t="s">
        <v>2475</v>
      </c>
      <c r="P69" s="12" t="s">
        <v>70</v>
      </c>
      <c r="Q69" s="12" t="s">
        <v>71</v>
      </c>
      <c r="R69" s="12">
        <v>554475</v>
      </c>
      <c r="S69" s="12" t="s">
        <v>72</v>
      </c>
      <c r="T69" s="206">
        <v>500</v>
      </c>
      <c r="U69" s="206">
        <v>2592</v>
      </c>
      <c r="V69" s="12">
        <v>1.296</v>
      </c>
      <c r="W69" s="198">
        <v>72</v>
      </c>
      <c r="X69" s="254">
        <v>3</v>
      </c>
      <c r="Y69" s="12" t="s">
        <v>75</v>
      </c>
      <c r="Z69" s="12"/>
      <c r="AA69" s="12" t="s">
        <v>2658</v>
      </c>
      <c r="AB69" s="13" t="s">
        <v>967</v>
      </c>
      <c r="AC69" s="14">
        <v>45867</v>
      </c>
      <c r="AD69" s="15">
        <v>31</v>
      </c>
      <c r="AE69" s="176" t="s">
        <v>2786</v>
      </c>
      <c r="AF69" s="12">
        <v>371008719</v>
      </c>
      <c r="AG69" s="12" t="s">
        <v>122</v>
      </c>
      <c r="AH69" s="12" t="s">
        <v>314</v>
      </c>
      <c r="AI69" s="14">
        <v>45885</v>
      </c>
      <c r="AJ69" s="14">
        <v>45885</v>
      </c>
      <c r="AK69" s="14">
        <v>45885</v>
      </c>
      <c r="AL69" s="14">
        <v>45937</v>
      </c>
      <c r="AM69" s="14">
        <v>45931</v>
      </c>
      <c r="AN69" s="14">
        <v>45937</v>
      </c>
      <c r="AO69" s="91" t="s">
        <v>66</v>
      </c>
      <c r="AP69" s="12" t="s">
        <v>2765</v>
      </c>
      <c r="AQ69" s="12"/>
      <c r="AR69" s="12" t="s">
        <v>2787</v>
      </c>
      <c r="AS69" s="12" t="s">
        <v>2788</v>
      </c>
      <c r="AT69" s="12" t="s">
        <v>2788</v>
      </c>
      <c r="AU69" s="12">
        <v>53</v>
      </c>
      <c r="AV69" s="12" t="s">
        <v>83</v>
      </c>
      <c r="AW69" s="12">
        <v>12</v>
      </c>
      <c r="AX69" s="12">
        <v>70</v>
      </c>
      <c r="AY69" s="14">
        <v>45885</v>
      </c>
      <c r="AZ69" s="14">
        <v>45937</v>
      </c>
      <c r="BA69" s="12" t="e">
        <v>#N/A</v>
      </c>
      <c r="BB69" s="14" t="s">
        <v>2480</v>
      </c>
      <c r="BC69" s="14">
        <v>45951</v>
      </c>
      <c r="BD69" s="16">
        <v>2025</v>
      </c>
      <c r="BE69" s="16">
        <v>10</v>
      </c>
      <c r="BF69" s="16">
        <v>43</v>
      </c>
      <c r="BG69" s="191">
        <v>36</v>
      </c>
      <c r="BH69" s="191">
        <v>864</v>
      </c>
    </row>
    <row r="70" spans="1:60" s="23" customFormat="1" ht="10">
      <c r="A70" s="11" t="s">
        <v>2789</v>
      </c>
      <c r="B70" s="12" t="s">
        <v>2774</v>
      </c>
      <c r="C70" s="12" t="s">
        <v>2775</v>
      </c>
      <c r="D70" s="12" t="s">
        <v>63</v>
      </c>
      <c r="E70" s="12" t="s">
        <v>64</v>
      </c>
      <c r="F70" s="12" t="s">
        <v>100</v>
      </c>
      <c r="G70" s="12" t="s">
        <v>67</v>
      </c>
      <c r="H70" s="12" t="s">
        <v>66</v>
      </c>
      <c r="I70" s="12" t="s">
        <v>2790</v>
      </c>
      <c r="J70" s="34" t="s">
        <v>68</v>
      </c>
      <c r="K70" s="12"/>
      <c r="L70" s="13" t="s">
        <v>2719</v>
      </c>
      <c r="M70" s="213" t="s">
        <v>68</v>
      </c>
      <c r="N70" s="182"/>
      <c r="O70" s="12" t="s">
        <v>2475</v>
      </c>
      <c r="P70" s="12" t="s">
        <v>284</v>
      </c>
      <c r="Q70" s="12" t="s">
        <v>2777</v>
      </c>
      <c r="R70" s="12">
        <v>554320</v>
      </c>
      <c r="S70" s="12" t="s">
        <v>2778</v>
      </c>
      <c r="T70" s="206">
        <v>465</v>
      </c>
      <c r="U70" s="206">
        <v>1924</v>
      </c>
      <c r="V70" s="12">
        <v>0.89466000000000001</v>
      </c>
      <c r="W70" s="198">
        <v>52</v>
      </c>
      <c r="X70" s="254">
        <v>2</v>
      </c>
      <c r="Y70" s="12" t="s">
        <v>75</v>
      </c>
      <c r="Z70" s="12"/>
      <c r="AA70" s="12" t="s">
        <v>85</v>
      </c>
      <c r="AB70" s="13" t="s">
        <v>967</v>
      </c>
      <c r="AC70" s="14">
        <v>45868</v>
      </c>
      <c r="AD70" s="15">
        <v>31</v>
      </c>
      <c r="AE70" s="176" t="s">
        <v>2791</v>
      </c>
      <c r="AF70" s="12">
        <v>371008752</v>
      </c>
      <c r="AG70" s="12" t="s">
        <v>2780</v>
      </c>
      <c r="AH70" s="12" t="s">
        <v>105</v>
      </c>
      <c r="AI70" s="14">
        <v>45871</v>
      </c>
      <c r="AJ70" s="14">
        <v>45871</v>
      </c>
      <c r="AK70" s="14">
        <v>45871</v>
      </c>
      <c r="AL70" s="14">
        <v>45916</v>
      </c>
      <c r="AM70" s="14">
        <v>45912</v>
      </c>
      <c r="AN70" s="14">
        <v>45916</v>
      </c>
      <c r="AO70" s="91" t="s">
        <v>66</v>
      </c>
      <c r="AP70" s="12" t="s">
        <v>2781</v>
      </c>
      <c r="AQ70" s="12"/>
      <c r="AR70" s="12" t="s">
        <v>2782</v>
      </c>
      <c r="AS70" s="12" t="s">
        <v>2783</v>
      </c>
      <c r="AT70" s="12" t="s">
        <v>2783</v>
      </c>
      <c r="AU70" s="12">
        <v>46</v>
      </c>
      <c r="AV70" s="12" t="s">
        <v>83</v>
      </c>
      <c r="AW70" s="12">
        <v>8</v>
      </c>
      <c r="AX70" s="12">
        <v>48</v>
      </c>
      <c r="AY70" s="14">
        <v>45871</v>
      </c>
      <c r="AZ70" s="14">
        <v>45916</v>
      </c>
      <c r="BA70" s="12" t="e">
        <v>#N/A</v>
      </c>
      <c r="BB70" s="14" t="s">
        <v>2480</v>
      </c>
      <c r="BC70" s="14">
        <v>45930</v>
      </c>
      <c r="BD70" s="16">
        <v>2025</v>
      </c>
      <c r="BE70" s="16">
        <v>9</v>
      </c>
      <c r="BF70" s="16">
        <v>40</v>
      </c>
      <c r="BG70" s="191">
        <v>37</v>
      </c>
      <c r="BH70" s="191">
        <v>962</v>
      </c>
    </row>
    <row r="71" spans="1:60" s="23" customFormat="1" ht="10">
      <c r="A71" s="11" t="s">
        <v>2792</v>
      </c>
      <c r="B71" s="12" t="s">
        <v>111</v>
      </c>
      <c r="C71" s="12" t="s">
        <v>2750</v>
      </c>
      <c r="D71" s="12" t="s">
        <v>63</v>
      </c>
      <c r="E71" s="12" t="s">
        <v>64</v>
      </c>
      <c r="F71" s="12" t="s">
        <v>100</v>
      </c>
      <c r="G71" s="12" t="s">
        <v>67</v>
      </c>
      <c r="H71" s="12" t="s">
        <v>66</v>
      </c>
      <c r="I71" s="12" t="s">
        <v>96</v>
      </c>
      <c r="J71" s="34" t="s">
        <v>68</v>
      </c>
      <c r="K71" s="12"/>
      <c r="L71" s="13" t="s">
        <v>2474</v>
      </c>
      <c r="M71" s="213" t="s">
        <v>68</v>
      </c>
      <c r="N71" s="182"/>
      <c r="O71" s="12" t="s">
        <v>2475</v>
      </c>
      <c r="P71" s="12" t="s">
        <v>170</v>
      </c>
      <c r="Q71" s="12" t="s">
        <v>171</v>
      </c>
      <c r="R71" s="12">
        <v>552045</v>
      </c>
      <c r="S71" s="12" t="s">
        <v>172</v>
      </c>
      <c r="T71" s="206">
        <v>555</v>
      </c>
      <c r="U71" s="206">
        <v>1980</v>
      </c>
      <c r="V71" s="12">
        <v>1.0989</v>
      </c>
      <c r="W71" s="198">
        <v>60</v>
      </c>
      <c r="X71" s="254">
        <v>3</v>
      </c>
      <c r="Y71" s="12" t="s">
        <v>75</v>
      </c>
      <c r="Z71" s="12"/>
      <c r="AA71" s="12" t="s">
        <v>108</v>
      </c>
      <c r="AB71" s="13" t="s">
        <v>992</v>
      </c>
      <c r="AC71" s="14">
        <v>45870</v>
      </c>
      <c r="AD71" s="15">
        <v>31</v>
      </c>
      <c r="AE71" s="176" t="s">
        <v>2793</v>
      </c>
      <c r="AF71" s="12">
        <v>371008737</v>
      </c>
      <c r="AG71" s="12" t="s">
        <v>122</v>
      </c>
      <c r="AH71" s="12" t="s">
        <v>105</v>
      </c>
      <c r="AI71" s="14">
        <v>45875</v>
      </c>
      <c r="AJ71" s="14">
        <v>45875</v>
      </c>
      <c r="AK71" s="14">
        <v>45875</v>
      </c>
      <c r="AL71" s="14">
        <v>45919</v>
      </c>
      <c r="AM71" s="14">
        <v>45914</v>
      </c>
      <c r="AN71" s="14">
        <v>45919</v>
      </c>
      <c r="AO71" s="91" t="s">
        <v>66</v>
      </c>
      <c r="AP71" s="12" t="s">
        <v>2781</v>
      </c>
      <c r="AQ71" s="12"/>
      <c r="AR71" s="12" t="s">
        <v>2794</v>
      </c>
      <c r="AS71" s="12" t="s">
        <v>2795</v>
      </c>
      <c r="AT71" s="12" t="s">
        <v>2795</v>
      </c>
      <c r="AU71" s="12">
        <v>45</v>
      </c>
      <c r="AV71" s="12" t="s">
        <v>83</v>
      </c>
      <c r="AW71" s="12">
        <v>11</v>
      </c>
      <c r="AX71" s="12">
        <v>49</v>
      </c>
      <c r="AY71" s="14">
        <v>45875</v>
      </c>
      <c r="AZ71" s="14">
        <v>45919</v>
      </c>
      <c r="BA71" s="12" t="e">
        <v>#N/A</v>
      </c>
      <c r="BB71" s="14" t="s">
        <v>2480</v>
      </c>
      <c r="BC71" s="14">
        <v>45933</v>
      </c>
      <c r="BD71" s="16">
        <v>2025</v>
      </c>
      <c r="BE71" s="16">
        <v>10</v>
      </c>
      <c r="BF71" s="16">
        <v>40</v>
      </c>
      <c r="BG71" s="191">
        <v>33</v>
      </c>
      <c r="BH71" s="191">
        <v>660</v>
      </c>
    </row>
    <row r="72" spans="1:60" s="23" customFormat="1" ht="10">
      <c r="A72" s="11" t="s">
        <v>2796</v>
      </c>
      <c r="B72" s="12" t="s">
        <v>111</v>
      </c>
      <c r="C72" s="12" t="s">
        <v>2750</v>
      </c>
      <c r="D72" s="12" t="s">
        <v>63</v>
      </c>
      <c r="E72" s="12" t="s">
        <v>64</v>
      </c>
      <c r="F72" s="12" t="s">
        <v>65</v>
      </c>
      <c r="G72" s="12" t="s">
        <v>67</v>
      </c>
      <c r="H72" s="12" t="s">
        <v>66</v>
      </c>
      <c r="I72" s="12" t="s">
        <v>96</v>
      </c>
      <c r="J72" s="34" t="s">
        <v>68</v>
      </c>
      <c r="K72" s="12"/>
      <c r="L72" s="13" t="s">
        <v>2474</v>
      </c>
      <c r="M72" s="213" t="s">
        <v>68</v>
      </c>
      <c r="N72" s="182"/>
      <c r="O72" s="12" t="s">
        <v>2475</v>
      </c>
      <c r="P72" s="12" t="s">
        <v>170</v>
      </c>
      <c r="Q72" s="12" t="s">
        <v>171</v>
      </c>
      <c r="R72" s="12">
        <v>552045</v>
      </c>
      <c r="S72" s="12" t="s">
        <v>172</v>
      </c>
      <c r="T72" s="206">
        <v>555</v>
      </c>
      <c r="U72" s="206">
        <v>1980</v>
      </c>
      <c r="V72" s="12">
        <v>1.0989</v>
      </c>
      <c r="W72" s="198">
        <v>60</v>
      </c>
      <c r="X72" s="254">
        <v>3</v>
      </c>
      <c r="Y72" s="12" t="s">
        <v>75</v>
      </c>
      <c r="Z72" s="12"/>
      <c r="AA72" s="12" t="s">
        <v>108</v>
      </c>
      <c r="AB72" s="13" t="s">
        <v>992</v>
      </c>
      <c r="AC72" s="14">
        <v>45867</v>
      </c>
      <c r="AD72" s="15">
        <v>31</v>
      </c>
      <c r="AE72" s="176" t="s">
        <v>2797</v>
      </c>
      <c r="AF72" s="12">
        <v>371008723</v>
      </c>
      <c r="AG72" s="12" t="s">
        <v>122</v>
      </c>
      <c r="AH72" s="12" t="s">
        <v>78</v>
      </c>
      <c r="AI72" s="14">
        <v>45878</v>
      </c>
      <c r="AJ72" s="14">
        <v>45878</v>
      </c>
      <c r="AK72" s="14">
        <v>45878</v>
      </c>
      <c r="AL72" s="14">
        <v>45926</v>
      </c>
      <c r="AM72" s="14">
        <v>45919</v>
      </c>
      <c r="AN72" s="14">
        <v>45926</v>
      </c>
      <c r="AO72" s="91" t="s">
        <v>66</v>
      </c>
      <c r="AP72" s="12" t="s">
        <v>2798</v>
      </c>
      <c r="AQ72" s="12"/>
      <c r="AR72" s="12" t="s">
        <v>2799</v>
      </c>
      <c r="AS72" s="12" t="s">
        <v>2800</v>
      </c>
      <c r="AT72" s="12" t="s">
        <v>2800</v>
      </c>
      <c r="AU72" s="12">
        <v>49</v>
      </c>
      <c r="AV72" s="12" t="s">
        <v>83</v>
      </c>
      <c r="AW72" s="12">
        <v>11</v>
      </c>
      <c r="AX72" s="12">
        <v>59</v>
      </c>
      <c r="AY72" s="14">
        <v>45878</v>
      </c>
      <c r="AZ72" s="14">
        <v>45926</v>
      </c>
      <c r="BA72" s="12" t="e">
        <v>#N/A</v>
      </c>
      <c r="BB72" s="14" t="s">
        <v>2480</v>
      </c>
      <c r="BC72" s="14">
        <v>45940</v>
      </c>
      <c r="BD72" s="16">
        <v>2025</v>
      </c>
      <c r="BE72" s="16">
        <v>10</v>
      </c>
      <c r="BF72" s="16">
        <v>41</v>
      </c>
      <c r="BG72" s="191">
        <v>33</v>
      </c>
      <c r="BH72" s="191">
        <v>660</v>
      </c>
    </row>
    <row r="73" spans="1:60" s="23" customFormat="1" ht="10">
      <c r="A73" s="11" t="s">
        <v>2801</v>
      </c>
      <c r="B73" s="12" t="s">
        <v>111</v>
      </c>
      <c r="C73" s="12" t="s">
        <v>2750</v>
      </c>
      <c r="D73" s="12" t="s">
        <v>63</v>
      </c>
      <c r="E73" s="12" t="s">
        <v>64</v>
      </c>
      <c r="F73" s="12" t="s">
        <v>100</v>
      </c>
      <c r="G73" s="12" t="s">
        <v>67</v>
      </c>
      <c r="H73" s="12" t="s">
        <v>66</v>
      </c>
      <c r="I73" s="12" t="s">
        <v>96</v>
      </c>
      <c r="J73" s="34" t="s">
        <v>68</v>
      </c>
      <c r="K73" s="12"/>
      <c r="L73" s="13" t="s">
        <v>2474</v>
      </c>
      <c r="M73" s="213" t="s">
        <v>68</v>
      </c>
      <c r="N73" s="182"/>
      <c r="O73" s="12" t="s">
        <v>2475</v>
      </c>
      <c r="P73" s="12" t="s">
        <v>170</v>
      </c>
      <c r="Q73" s="12" t="s">
        <v>171</v>
      </c>
      <c r="R73" s="12">
        <v>552045</v>
      </c>
      <c r="S73" s="12" t="s">
        <v>172</v>
      </c>
      <c r="T73" s="206">
        <v>555</v>
      </c>
      <c r="U73" s="206">
        <v>660</v>
      </c>
      <c r="V73" s="12">
        <v>0.36630000000000001</v>
      </c>
      <c r="W73" s="198">
        <v>20</v>
      </c>
      <c r="X73" s="254">
        <v>1</v>
      </c>
      <c r="Y73" s="12" t="s">
        <v>75</v>
      </c>
      <c r="Z73" s="12"/>
      <c r="AA73" s="12" t="s">
        <v>108</v>
      </c>
      <c r="AB73" s="13" t="s">
        <v>992</v>
      </c>
      <c r="AC73" s="14">
        <v>45870</v>
      </c>
      <c r="AD73" s="15">
        <v>31</v>
      </c>
      <c r="AE73" s="176" t="s">
        <v>2802</v>
      </c>
      <c r="AF73" s="12">
        <v>371008736</v>
      </c>
      <c r="AG73" s="12" t="s">
        <v>122</v>
      </c>
      <c r="AH73" s="12" t="s">
        <v>105</v>
      </c>
      <c r="AI73" s="14">
        <v>45875</v>
      </c>
      <c r="AJ73" s="14">
        <v>45875</v>
      </c>
      <c r="AK73" s="14">
        <v>45875</v>
      </c>
      <c r="AL73" s="14">
        <v>45916</v>
      </c>
      <c r="AM73" s="14">
        <v>45912</v>
      </c>
      <c r="AN73" s="14">
        <v>45916</v>
      </c>
      <c r="AO73" s="91" t="s">
        <v>66</v>
      </c>
      <c r="AP73" s="12" t="s">
        <v>2803</v>
      </c>
      <c r="AQ73" s="12"/>
      <c r="AR73" s="12" t="s">
        <v>2804</v>
      </c>
      <c r="AS73" s="12" t="s">
        <v>2805</v>
      </c>
      <c r="AT73" s="12" t="s">
        <v>2805</v>
      </c>
      <c r="AU73" s="12">
        <v>42</v>
      </c>
      <c r="AV73" s="12" t="s">
        <v>83</v>
      </c>
      <c r="AW73" s="12">
        <v>11</v>
      </c>
      <c r="AX73" s="12">
        <v>46</v>
      </c>
      <c r="AY73" s="14">
        <v>45875</v>
      </c>
      <c r="AZ73" s="14">
        <v>45916</v>
      </c>
      <c r="BA73" s="12" t="e">
        <v>#N/A</v>
      </c>
      <c r="BB73" s="14" t="s">
        <v>2480</v>
      </c>
      <c r="BC73" s="14">
        <v>45930</v>
      </c>
      <c r="BD73" s="16">
        <v>2025</v>
      </c>
      <c r="BE73" s="16">
        <v>9</v>
      </c>
      <c r="BF73" s="16">
        <v>40</v>
      </c>
      <c r="BG73" s="191">
        <v>33</v>
      </c>
      <c r="BH73" s="191">
        <v>660</v>
      </c>
    </row>
    <row r="74" spans="1:60" s="23" customFormat="1" ht="10">
      <c r="A74" s="11" t="s">
        <v>2609</v>
      </c>
      <c r="B74" s="12" t="s">
        <v>111</v>
      </c>
      <c r="C74" s="12" t="s">
        <v>203</v>
      </c>
      <c r="D74" s="12" t="s">
        <v>63</v>
      </c>
      <c r="E74" s="12" t="s">
        <v>64</v>
      </c>
      <c r="F74" s="12" t="s">
        <v>65</v>
      </c>
      <c r="G74" s="12" t="s">
        <v>67</v>
      </c>
      <c r="H74" s="16" t="s">
        <v>66</v>
      </c>
      <c r="I74" s="12" t="s">
        <v>96</v>
      </c>
      <c r="J74" s="34" t="s">
        <v>68</v>
      </c>
      <c r="K74" s="12"/>
      <c r="L74" s="13" t="s">
        <v>2474</v>
      </c>
      <c r="M74" s="213" t="s">
        <v>68</v>
      </c>
      <c r="N74" s="182"/>
      <c r="O74" s="12" t="s">
        <v>2475</v>
      </c>
      <c r="P74" s="12" t="s">
        <v>2610</v>
      </c>
      <c r="Q74" s="12" t="s">
        <v>2611</v>
      </c>
      <c r="R74" s="12">
        <v>553098</v>
      </c>
      <c r="S74" s="12" t="s">
        <v>2612</v>
      </c>
      <c r="T74" s="206">
        <v>550</v>
      </c>
      <c r="U74" s="206">
        <v>660</v>
      </c>
      <c r="V74" s="12">
        <v>0.36299999999999999</v>
      </c>
      <c r="W74" s="198">
        <v>20</v>
      </c>
      <c r="X74" s="254">
        <v>1</v>
      </c>
      <c r="Y74" s="12" t="s">
        <v>75</v>
      </c>
      <c r="Z74" s="12"/>
      <c r="AA74" s="12" t="s">
        <v>108</v>
      </c>
      <c r="AB74" s="13" t="s">
        <v>992</v>
      </c>
      <c r="AC74" s="14">
        <v>45866</v>
      </c>
      <c r="AD74" s="15">
        <v>31</v>
      </c>
      <c r="AE74" s="176" t="s">
        <v>2806</v>
      </c>
      <c r="AF74" s="12">
        <v>371008714</v>
      </c>
      <c r="AG74" s="12" t="s">
        <v>122</v>
      </c>
      <c r="AH74" s="12" t="s">
        <v>78</v>
      </c>
      <c r="AI74" s="14">
        <v>45885</v>
      </c>
      <c r="AJ74" s="14">
        <v>45885</v>
      </c>
      <c r="AK74" s="14">
        <v>45885</v>
      </c>
      <c r="AL74" s="14">
        <v>45942</v>
      </c>
      <c r="AM74" s="14">
        <v>45936</v>
      </c>
      <c r="AN74" s="14">
        <v>45942</v>
      </c>
      <c r="AO74" s="91" t="s">
        <v>66</v>
      </c>
      <c r="AP74" s="12" t="s">
        <v>2765</v>
      </c>
      <c r="AQ74" s="12"/>
      <c r="AR74" s="12" t="s">
        <v>2807</v>
      </c>
      <c r="AS74" s="12" t="s">
        <v>2808</v>
      </c>
      <c r="AT74" s="12" t="s">
        <v>2808</v>
      </c>
      <c r="AU74" s="12">
        <v>58</v>
      </c>
      <c r="AV74" s="12" t="s">
        <v>83</v>
      </c>
      <c r="AW74" s="12">
        <v>39</v>
      </c>
      <c r="AX74" s="12">
        <v>76</v>
      </c>
      <c r="AY74" s="14">
        <v>45885</v>
      </c>
      <c r="AZ74" s="14">
        <v>45942</v>
      </c>
      <c r="BA74" s="12" t="e">
        <v>#N/A</v>
      </c>
      <c r="BB74" s="14" t="s">
        <v>2480</v>
      </c>
      <c r="BC74" s="14">
        <v>45956</v>
      </c>
      <c r="BD74" s="16">
        <v>2025</v>
      </c>
      <c r="BE74" s="16">
        <v>10</v>
      </c>
      <c r="BF74" s="16">
        <v>43</v>
      </c>
      <c r="BG74" s="191">
        <v>33</v>
      </c>
      <c r="BH74" s="191">
        <v>660</v>
      </c>
    </row>
    <row r="75" spans="1:60" s="23" customFormat="1" ht="10">
      <c r="A75" s="11" t="s">
        <v>2617</v>
      </c>
      <c r="B75" s="12" t="s">
        <v>111</v>
      </c>
      <c r="C75" s="12" t="s">
        <v>203</v>
      </c>
      <c r="D75" s="12" t="s">
        <v>63</v>
      </c>
      <c r="E75" s="12" t="s">
        <v>64</v>
      </c>
      <c r="F75" s="12" t="s">
        <v>65</v>
      </c>
      <c r="G75" s="12" t="s">
        <v>67</v>
      </c>
      <c r="H75" s="12" t="s">
        <v>66</v>
      </c>
      <c r="I75" s="12" t="s">
        <v>96</v>
      </c>
      <c r="J75" s="34" t="s">
        <v>68</v>
      </c>
      <c r="K75" s="12"/>
      <c r="L75" s="13" t="s">
        <v>2474</v>
      </c>
      <c r="M75" s="213" t="s">
        <v>68</v>
      </c>
      <c r="N75" s="182"/>
      <c r="O75" s="12" t="s">
        <v>2475</v>
      </c>
      <c r="P75" s="12" t="s">
        <v>2610</v>
      </c>
      <c r="Q75" s="12" t="s">
        <v>2618</v>
      </c>
      <c r="R75" s="12">
        <v>553097</v>
      </c>
      <c r="S75" s="12" t="s">
        <v>2619</v>
      </c>
      <c r="T75" s="206">
        <v>555</v>
      </c>
      <c r="U75" s="206">
        <v>4448</v>
      </c>
      <c r="V75" s="12">
        <v>2.4686400000000002</v>
      </c>
      <c r="W75" s="198">
        <v>134.78787878787878</v>
      </c>
      <c r="X75" s="254">
        <v>6.7393939393939393</v>
      </c>
      <c r="Y75" s="12" t="s">
        <v>75</v>
      </c>
      <c r="Z75" s="12"/>
      <c r="AA75" s="12" t="s">
        <v>108</v>
      </c>
      <c r="AB75" s="13" t="s">
        <v>992</v>
      </c>
      <c r="AC75" s="14">
        <v>45866</v>
      </c>
      <c r="AD75" s="15">
        <v>31</v>
      </c>
      <c r="AE75" s="176" t="s">
        <v>2809</v>
      </c>
      <c r="AF75" s="12">
        <v>371008715</v>
      </c>
      <c r="AG75" s="12" t="s">
        <v>122</v>
      </c>
      <c r="AH75" s="12" t="s">
        <v>78</v>
      </c>
      <c r="AI75" s="14">
        <v>45885</v>
      </c>
      <c r="AJ75" s="14">
        <v>45885</v>
      </c>
      <c r="AK75" s="14">
        <v>45885</v>
      </c>
      <c r="AL75" s="14">
        <v>45942</v>
      </c>
      <c r="AM75" s="14">
        <v>45936</v>
      </c>
      <c r="AN75" s="14">
        <v>45942</v>
      </c>
      <c r="AO75" s="91" t="s">
        <v>66</v>
      </c>
      <c r="AP75" s="12" t="s">
        <v>2765</v>
      </c>
      <c r="AQ75" s="12"/>
      <c r="AR75" s="12" t="s">
        <v>2807</v>
      </c>
      <c r="AS75" s="12" t="s">
        <v>2808</v>
      </c>
      <c r="AT75" s="12" t="s">
        <v>2808</v>
      </c>
      <c r="AU75" s="12">
        <v>58</v>
      </c>
      <c r="AV75" s="12" t="s">
        <v>83</v>
      </c>
      <c r="AW75" s="12">
        <v>39</v>
      </c>
      <c r="AX75" s="12">
        <v>76</v>
      </c>
      <c r="AY75" s="14">
        <v>45885</v>
      </c>
      <c r="AZ75" s="14">
        <v>45942</v>
      </c>
      <c r="BA75" s="12" t="e">
        <v>#N/A</v>
      </c>
      <c r="BB75" s="14" t="s">
        <v>2480</v>
      </c>
      <c r="BC75" s="14">
        <v>45956</v>
      </c>
      <c r="BD75" s="16">
        <v>2025</v>
      </c>
      <c r="BE75" s="16">
        <v>10</v>
      </c>
      <c r="BF75" s="16">
        <v>43</v>
      </c>
      <c r="BG75" s="191">
        <v>33</v>
      </c>
      <c r="BH75" s="191">
        <v>660</v>
      </c>
    </row>
    <row r="76" spans="1:60" s="23" customFormat="1" ht="10">
      <c r="A76" s="11" t="s">
        <v>2810</v>
      </c>
      <c r="B76" s="12" t="s">
        <v>1888</v>
      </c>
      <c r="C76" s="12" t="s">
        <v>2811</v>
      </c>
      <c r="D76" s="12" t="s">
        <v>63</v>
      </c>
      <c r="E76" s="12" t="s">
        <v>68</v>
      </c>
      <c r="F76" s="12" t="s">
        <v>68</v>
      </c>
      <c r="G76" s="12"/>
      <c r="H76" s="12" t="s">
        <v>66</v>
      </c>
      <c r="I76" s="12" t="s">
        <v>2656</v>
      </c>
      <c r="J76" s="34" t="s">
        <v>68</v>
      </c>
      <c r="K76" s="12">
        <v>19143011</v>
      </c>
      <c r="L76" s="13" t="s">
        <v>2497</v>
      </c>
      <c r="M76" s="12" t="s">
        <v>68</v>
      </c>
      <c r="N76" s="182"/>
      <c r="O76" s="12" t="s">
        <v>2475</v>
      </c>
      <c r="P76" s="12" t="s">
        <v>70</v>
      </c>
      <c r="Q76" s="12" t="s">
        <v>420</v>
      </c>
      <c r="R76" s="12">
        <v>554476</v>
      </c>
      <c r="S76" s="12" t="s">
        <v>421</v>
      </c>
      <c r="T76" s="206">
        <v>505</v>
      </c>
      <c r="U76" s="206">
        <v>864</v>
      </c>
      <c r="V76" s="12">
        <v>0.43631999999999999</v>
      </c>
      <c r="W76" s="198">
        <v>24</v>
      </c>
      <c r="X76" s="254">
        <v>1</v>
      </c>
      <c r="Y76" s="12" t="s">
        <v>75</v>
      </c>
      <c r="Z76" s="12"/>
      <c r="AA76" s="12" t="s">
        <v>2658</v>
      </c>
      <c r="AB76" s="13" t="s">
        <v>992</v>
      </c>
      <c r="AC76" s="14">
        <v>45866</v>
      </c>
      <c r="AD76" s="15">
        <v>31</v>
      </c>
      <c r="AE76" s="176" t="s">
        <v>2812</v>
      </c>
      <c r="AF76" s="12">
        <v>371008721</v>
      </c>
      <c r="AG76" s="12" t="s">
        <v>122</v>
      </c>
      <c r="AH76" s="12" t="s">
        <v>314</v>
      </c>
      <c r="AI76" s="14">
        <v>45885</v>
      </c>
      <c r="AJ76" s="14">
        <v>45885</v>
      </c>
      <c r="AK76" s="14">
        <v>45885</v>
      </c>
      <c r="AL76" s="14">
        <v>45937</v>
      </c>
      <c r="AM76" s="14">
        <v>45931</v>
      </c>
      <c r="AN76" s="14">
        <v>45937</v>
      </c>
      <c r="AO76" s="91" t="s">
        <v>66</v>
      </c>
      <c r="AP76" s="12" t="s">
        <v>2765</v>
      </c>
      <c r="AQ76" s="12"/>
      <c r="AR76" s="12" t="s">
        <v>2813</v>
      </c>
      <c r="AS76" s="12" t="s">
        <v>2814</v>
      </c>
      <c r="AT76" s="12" t="s">
        <v>2814</v>
      </c>
      <c r="AU76" s="12">
        <v>53</v>
      </c>
      <c r="AV76" s="12" t="s">
        <v>83</v>
      </c>
      <c r="AW76" s="12">
        <v>8</v>
      </c>
      <c r="AX76" s="12">
        <v>71</v>
      </c>
      <c r="AY76" s="14">
        <v>45885</v>
      </c>
      <c r="AZ76" s="14">
        <v>45937</v>
      </c>
      <c r="BA76" s="12" t="e">
        <v>#N/A</v>
      </c>
      <c r="BB76" s="14" t="s">
        <v>2480</v>
      </c>
      <c r="BC76" s="14">
        <v>45951</v>
      </c>
      <c r="BD76" s="16">
        <v>2025</v>
      </c>
      <c r="BE76" s="16">
        <v>10</v>
      </c>
      <c r="BF76" s="16">
        <v>43</v>
      </c>
      <c r="BG76" s="191">
        <v>36</v>
      </c>
      <c r="BH76" s="191">
        <v>864</v>
      </c>
    </row>
    <row r="77" spans="1:60" s="23" customFormat="1" ht="10">
      <c r="A77" s="11" t="s">
        <v>2815</v>
      </c>
      <c r="B77" s="12" t="s">
        <v>61</v>
      </c>
      <c r="C77" s="12" t="s">
        <v>2718</v>
      </c>
      <c r="D77" s="12" t="s">
        <v>63</v>
      </c>
      <c r="E77" s="12" t="s">
        <v>68</v>
      </c>
      <c r="F77" s="12" t="s">
        <v>68</v>
      </c>
      <c r="G77" s="12"/>
      <c r="H77" s="12" t="s">
        <v>402</v>
      </c>
      <c r="I77" s="12" t="s">
        <v>527</v>
      </c>
      <c r="J77" s="34" t="s">
        <v>68</v>
      </c>
      <c r="K77" s="12">
        <v>46010809</v>
      </c>
      <c r="L77" s="13" t="s">
        <v>2769</v>
      </c>
      <c r="M77" s="12" t="s">
        <v>68</v>
      </c>
      <c r="N77" s="182"/>
      <c r="O77" s="12" t="s">
        <v>2475</v>
      </c>
      <c r="P77" s="12" t="s">
        <v>70</v>
      </c>
      <c r="Q77" s="12" t="s">
        <v>2720</v>
      </c>
      <c r="R77" s="12">
        <v>554236</v>
      </c>
      <c r="S77" s="12" t="s">
        <v>2721</v>
      </c>
      <c r="T77" s="206">
        <v>450</v>
      </c>
      <c r="U77" s="206">
        <v>9360</v>
      </c>
      <c r="V77" s="12">
        <v>4.2119999999999997</v>
      </c>
      <c r="W77" s="198">
        <v>260</v>
      </c>
      <c r="X77" s="254">
        <v>10</v>
      </c>
      <c r="Y77" s="12" t="s">
        <v>75</v>
      </c>
      <c r="Z77" s="12"/>
      <c r="AA77" s="12" t="s">
        <v>2658</v>
      </c>
      <c r="AB77" s="32" t="s">
        <v>992</v>
      </c>
      <c r="AC77" s="14">
        <v>45868</v>
      </c>
      <c r="AD77" s="15">
        <v>31</v>
      </c>
      <c r="AE77" s="176" t="s">
        <v>2816</v>
      </c>
      <c r="AF77" s="12">
        <v>371008718</v>
      </c>
      <c r="AG77" s="12" t="s">
        <v>77</v>
      </c>
      <c r="AH77" s="12" t="s">
        <v>532</v>
      </c>
      <c r="AI77" s="14">
        <v>45877</v>
      </c>
      <c r="AJ77" s="14">
        <v>45877</v>
      </c>
      <c r="AK77" s="14">
        <v>45877</v>
      </c>
      <c r="AL77" s="14">
        <v>45947</v>
      </c>
      <c r="AM77" s="14">
        <v>45929</v>
      </c>
      <c r="AN77" s="14">
        <v>45947</v>
      </c>
      <c r="AO77" s="91" t="s">
        <v>402</v>
      </c>
      <c r="AP77" s="12" t="s">
        <v>2817</v>
      </c>
      <c r="AQ77" s="12"/>
      <c r="AR77" s="12" t="s">
        <v>2818</v>
      </c>
      <c r="AS77" s="12" t="s">
        <v>2819</v>
      </c>
      <c r="AT77" s="12" t="s">
        <v>2819</v>
      </c>
      <c r="AU77" s="12">
        <v>71</v>
      </c>
      <c r="AV77" s="12" t="s">
        <v>2493</v>
      </c>
      <c r="AW77" s="12">
        <v>2</v>
      </c>
      <c r="AX77" s="12">
        <v>79</v>
      </c>
      <c r="AY77" s="14">
        <v>45877</v>
      </c>
      <c r="AZ77" s="14">
        <v>45947</v>
      </c>
      <c r="BA77" s="12" t="e">
        <v>#N/A</v>
      </c>
      <c r="BB77" s="14" t="s">
        <v>2480</v>
      </c>
      <c r="BC77" s="14">
        <v>45961</v>
      </c>
      <c r="BD77" s="16">
        <v>2025</v>
      </c>
      <c r="BE77" s="16">
        <v>10</v>
      </c>
      <c r="BF77" s="16">
        <v>44</v>
      </c>
      <c r="BG77" s="191">
        <v>36</v>
      </c>
      <c r="BH77" s="191">
        <v>936</v>
      </c>
    </row>
    <row r="78" spans="1:60" s="175" customFormat="1" ht="10">
      <c r="A78" s="172" t="s">
        <v>2820</v>
      </c>
      <c r="B78" s="41" t="s">
        <v>1888</v>
      </c>
      <c r="C78" s="12" t="s">
        <v>2811</v>
      </c>
      <c r="D78" s="12" t="s">
        <v>63</v>
      </c>
      <c r="E78" s="12" t="s">
        <v>68</v>
      </c>
      <c r="F78" s="12" t="s">
        <v>68</v>
      </c>
      <c r="G78" s="12"/>
      <c r="H78" s="12" t="s">
        <v>66</v>
      </c>
      <c r="I78" s="41" t="s">
        <v>2763</v>
      </c>
      <c r="J78" s="34" t="s">
        <v>68</v>
      </c>
      <c r="K78" s="12"/>
      <c r="L78" s="13" t="s">
        <v>2497</v>
      </c>
      <c r="M78" s="12" t="s">
        <v>68</v>
      </c>
      <c r="N78" s="182"/>
      <c r="O78" s="12" t="s">
        <v>2475</v>
      </c>
      <c r="P78" s="41" t="s">
        <v>70</v>
      </c>
      <c r="Q78" s="41" t="s">
        <v>420</v>
      </c>
      <c r="R78" s="41">
        <v>554476</v>
      </c>
      <c r="S78" s="41" t="s">
        <v>421</v>
      </c>
      <c r="T78" s="208">
        <v>505</v>
      </c>
      <c r="U78" s="208">
        <v>1728</v>
      </c>
      <c r="V78" s="41">
        <v>0.87263999999999997</v>
      </c>
      <c r="W78" s="201">
        <v>48</v>
      </c>
      <c r="X78" s="255">
        <v>2</v>
      </c>
      <c r="Y78" s="41" t="s">
        <v>75</v>
      </c>
      <c r="Z78" s="41"/>
      <c r="AA78" s="12" t="s">
        <v>2658</v>
      </c>
      <c r="AB78" s="13" t="s">
        <v>992</v>
      </c>
      <c r="AC78" s="37">
        <v>45867</v>
      </c>
      <c r="AD78" s="15">
        <v>31</v>
      </c>
      <c r="AE78" s="287" t="s">
        <v>2821</v>
      </c>
      <c r="AF78" s="41">
        <v>371008722</v>
      </c>
      <c r="AG78" s="41" t="s">
        <v>122</v>
      </c>
      <c r="AH78" s="41" t="s">
        <v>1561</v>
      </c>
      <c r="AI78" s="37">
        <v>45877</v>
      </c>
      <c r="AJ78" s="37">
        <v>45877</v>
      </c>
      <c r="AK78" s="37">
        <v>45877</v>
      </c>
      <c r="AL78" s="37">
        <v>45930</v>
      </c>
      <c r="AM78" s="37">
        <v>45918</v>
      </c>
      <c r="AN78" s="37">
        <v>45930</v>
      </c>
      <c r="AO78" s="86" t="s">
        <v>66</v>
      </c>
      <c r="AP78" s="41" t="s">
        <v>2765</v>
      </c>
      <c r="AQ78" s="41"/>
      <c r="AR78" s="41" t="s">
        <v>2766</v>
      </c>
      <c r="AS78" s="41" t="s">
        <v>2767</v>
      </c>
      <c r="AT78" s="41" t="s">
        <v>2822</v>
      </c>
      <c r="AU78" s="41">
        <v>54</v>
      </c>
      <c r="AV78" s="41" t="s">
        <v>83</v>
      </c>
      <c r="AW78" s="12">
        <v>8</v>
      </c>
      <c r="AX78" s="41">
        <v>63</v>
      </c>
      <c r="AY78" s="37">
        <v>45877</v>
      </c>
      <c r="AZ78" s="37">
        <v>45930</v>
      </c>
      <c r="BA78" s="41" t="e">
        <v>#N/A</v>
      </c>
      <c r="BB78" s="37" t="s">
        <v>2480</v>
      </c>
      <c r="BC78" s="37">
        <v>45944</v>
      </c>
      <c r="BD78" s="219">
        <v>2025</v>
      </c>
      <c r="BE78" s="219">
        <v>10</v>
      </c>
      <c r="BF78" s="219">
        <v>42</v>
      </c>
      <c r="BG78" s="219">
        <v>36</v>
      </c>
      <c r="BH78" s="219">
        <v>864</v>
      </c>
    </row>
    <row r="79" spans="1:60" s="23" customFormat="1" ht="10">
      <c r="A79" s="11" t="s">
        <v>2823</v>
      </c>
      <c r="B79" s="12" t="s">
        <v>111</v>
      </c>
      <c r="C79" s="12" t="s">
        <v>2503</v>
      </c>
      <c r="D79" s="12" t="s">
        <v>63</v>
      </c>
      <c r="E79" s="12" t="s">
        <v>68</v>
      </c>
      <c r="F79" s="12" t="s">
        <v>68</v>
      </c>
      <c r="G79" s="12"/>
      <c r="H79" s="12" t="s">
        <v>66</v>
      </c>
      <c r="I79" s="12" t="s">
        <v>2504</v>
      </c>
      <c r="J79" s="34" t="s">
        <v>68</v>
      </c>
      <c r="K79" s="12">
        <v>19142931</v>
      </c>
      <c r="L79" s="13" t="s">
        <v>2497</v>
      </c>
      <c r="M79" s="12" t="s">
        <v>68</v>
      </c>
      <c r="N79" s="182"/>
      <c r="O79" s="12" t="s">
        <v>2475</v>
      </c>
      <c r="P79" s="12" t="s">
        <v>132</v>
      </c>
      <c r="Q79" s="12" t="s">
        <v>1104</v>
      </c>
      <c r="R79" s="12">
        <v>554431</v>
      </c>
      <c r="S79" s="12" t="s">
        <v>1105</v>
      </c>
      <c r="T79" s="206">
        <v>455</v>
      </c>
      <c r="U79" s="206">
        <v>864</v>
      </c>
      <c r="V79" s="12">
        <v>0.39312000000000002</v>
      </c>
      <c r="W79" s="198">
        <v>24</v>
      </c>
      <c r="X79" s="254">
        <v>1</v>
      </c>
      <c r="Y79" s="12" t="s">
        <v>75</v>
      </c>
      <c r="Z79" s="12"/>
      <c r="AA79" s="12" t="s">
        <v>108</v>
      </c>
      <c r="AB79" s="13" t="s">
        <v>992</v>
      </c>
      <c r="AC79" s="14">
        <v>45867</v>
      </c>
      <c r="AD79" s="15">
        <v>31</v>
      </c>
      <c r="AE79" s="176" t="s">
        <v>2824</v>
      </c>
      <c r="AF79" s="12">
        <v>371008716</v>
      </c>
      <c r="AG79" s="12" t="s">
        <v>122</v>
      </c>
      <c r="AH79" s="12" t="s">
        <v>314</v>
      </c>
      <c r="AI79" s="14">
        <v>45885</v>
      </c>
      <c r="AJ79" s="14">
        <v>45885</v>
      </c>
      <c r="AK79" s="14">
        <v>45885</v>
      </c>
      <c r="AL79" s="14">
        <v>45937</v>
      </c>
      <c r="AM79" s="14">
        <v>45931</v>
      </c>
      <c r="AN79" s="14">
        <v>45937</v>
      </c>
      <c r="AO79" s="91" t="s">
        <v>66</v>
      </c>
      <c r="AP79" s="12" t="s">
        <v>2765</v>
      </c>
      <c r="AQ79" s="12"/>
      <c r="AR79" s="12" t="s">
        <v>2825</v>
      </c>
      <c r="AS79" s="12" t="s">
        <v>2826</v>
      </c>
      <c r="AT79" s="12" t="s">
        <v>2827</v>
      </c>
      <c r="AU79" s="12">
        <v>53</v>
      </c>
      <c r="AV79" s="12" t="s">
        <v>83</v>
      </c>
      <c r="AW79" s="12">
        <v>4</v>
      </c>
      <c r="AX79" s="12">
        <v>70</v>
      </c>
      <c r="AY79" s="14">
        <v>45885</v>
      </c>
      <c r="AZ79" s="14">
        <v>45937</v>
      </c>
      <c r="BA79" s="12" t="e">
        <v>#N/A</v>
      </c>
      <c r="BB79" s="14" t="s">
        <v>2480</v>
      </c>
      <c r="BC79" s="14">
        <v>45951</v>
      </c>
      <c r="BD79" s="16">
        <v>2025</v>
      </c>
      <c r="BE79" s="16">
        <v>10</v>
      </c>
      <c r="BF79" s="16">
        <v>43</v>
      </c>
      <c r="BG79" s="191">
        <v>36</v>
      </c>
      <c r="BH79" s="191">
        <v>864</v>
      </c>
    </row>
    <row r="80" spans="1:60" s="23" customFormat="1" ht="10">
      <c r="A80" s="11" t="s">
        <v>2495</v>
      </c>
      <c r="B80" s="12" t="s">
        <v>111</v>
      </c>
      <c r="C80" s="12" t="s">
        <v>203</v>
      </c>
      <c r="D80" s="12" t="s">
        <v>63</v>
      </c>
      <c r="E80" s="12" t="s">
        <v>68</v>
      </c>
      <c r="F80" s="12" t="s">
        <v>68</v>
      </c>
      <c r="G80" s="12"/>
      <c r="H80" s="12" t="s">
        <v>66</v>
      </c>
      <c r="I80" s="12" t="s">
        <v>2828</v>
      </c>
      <c r="J80" s="34" t="s">
        <v>68</v>
      </c>
      <c r="K80" s="12">
        <v>19143026</v>
      </c>
      <c r="L80" s="13" t="s">
        <v>2497</v>
      </c>
      <c r="M80" s="12" t="s">
        <v>68</v>
      </c>
      <c r="N80" s="182"/>
      <c r="O80" s="12" t="s">
        <v>2475</v>
      </c>
      <c r="P80" s="12" t="s">
        <v>132</v>
      </c>
      <c r="Q80" s="12" t="s">
        <v>453</v>
      </c>
      <c r="R80" s="12">
        <v>554541</v>
      </c>
      <c r="S80" s="12" t="s">
        <v>454</v>
      </c>
      <c r="T80" s="206">
        <v>460</v>
      </c>
      <c r="U80" s="206">
        <v>864</v>
      </c>
      <c r="V80" s="12">
        <v>0.39744000000000002</v>
      </c>
      <c r="W80" s="198">
        <v>24</v>
      </c>
      <c r="X80" s="254">
        <v>1</v>
      </c>
      <c r="Y80" s="12" t="s">
        <v>75</v>
      </c>
      <c r="Z80" s="12"/>
      <c r="AA80" s="12" t="s">
        <v>108</v>
      </c>
      <c r="AB80" s="13" t="s">
        <v>967</v>
      </c>
      <c r="AC80" s="14">
        <v>45867</v>
      </c>
      <c r="AD80" s="15">
        <v>31</v>
      </c>
      <c r="AE80" s="176" t="s">
        <v>2829</v>
      </c>
      <c r="AF80" s="12">
        <v>371008717</v>
      </c>
      <c r="AG80" s="12" t="s">
        <v>122</v>
      </c>
      <c r="AH80" s="12" t="s">
        <v>314</v>
      </c>
      <c r="AI80" s="14">
        <v>45885</v>
      </c>
      <c r="AJ80" s="14">
        <v>45885</v>
      </c>
      <c r="AK80" s="14">
        <v>45885</v>
      </c>
      <c r="AL80" s="14">
        <v>45937</v>
      </c>
      <c r="AM80" s="14">
        <v>45931</v>
      </c>
      <c r="AN80" s="14">
        <v>45937</v>
      </c>
      <c r="AO80" s="91" t="s">
        <v>66</v>
      </c>
      <c r="AP80" s="12" t="s">
        <v>2765</v>
      </c>
      <c r="AQ80" s="12"/>
      <c r="AR80" s="12" t="s">
        <v>2825</v>
      </c>
      <c r="AS80" s="12" t="s">
        <v>2826</v>
      </c>
      <c r="AT80" s="12" t="s">
        <v>2826</v>
      </c>
      <c r="AU80" s="12">
        <v>53</v>
      </c>
      <c r="AV80" s="12" t="s">
        <v>83</v>
      </c>
      <c r="AW80" s="12">
        <v>39</v>
      </c>
      <c r="AX80" s="12">
        <v>70</v>
      </c>
      <c r="AY80" s="14">
        <v>45885</v>
      </c>
      <c r="AZ80" s="14">
        <v>45937</v>
      </c>
      <c r="BA80" s="12" t="e">
        <v>#N/A</v>
      </c>
      <c r="BB80" s="14" t="s">
        <v>2480</v>
      </c>
      <c r="BC80" s="14">
        <v>45951</v>
      </c>
      <c r="BD80" s="16">
        <v>2025</v>
      </c>
      <c r="BE80" s="16">
        <v>10</v>
      </c>
      <c r="BF80" s="16">
        <v>43</v>
      </c>
      <c r="BG80" s="191">
        <v>36</v>
      </c>
      <c r="BH80" s="191">
        <v>864</v>
      </c>
    </row>
    <row r="81" spans="1:60" s="23" customFormat="1" ht="10">
      <c r="A81" s="11" t="s">
        <v>2830</v>
      </c>
      <c r="B81" s="12" t="s">
        <v>2774</v>
      </c>
      <c r="C81" s="12" t="s">
        <v>282</v>
      </c>
      <c r="D81" s="12" t="s">
        <v>63</v>
      </c>
      <c r="E81" s="12" t="s">
        <v>68</v>
      </c>
      <c r="F81" s="12" t="s">
        <v>68</v>
      </c>
      <c r="G81" s="12"/>
      <c r="H81" s="12" t="s">
        <v>66</v>
      </c>
      <c r="I81" s="12" t="s">
        <v>812</v>
      </c>
      <c r="J81" s="34" t="s">
        <v>68</v>
      </c>
      <c r="K81" s="12">
        <v>20519113</v>
      </c>
      <c r="L81" s="13" t="s">
        <v>2831</v>
      </c>
      <c r="M81" s="12" t="s">
        <v>68</v>
      </c>
      <c r="N81" s="182"/>
      <c r="O81" s="12" t="s">
        <v>2475</v>
      </c>
      <c r="P81" s="12" t="s">
        <v>284</v>
      </c>
      <c r="Q81" s="12" t="s">
        <v>285</v>
      </c>
      <c r="R81" s="12">
        <v>554319</v>
      </c>
      <c r="S81" s="12" t="s">
        <v>286</v>
      </c>
      <c r="T81" s="206">
        <v>460</v>
      </c>
      <c r="U81" s="206">
        <v>962</v>
      </c>
      <c r="V81" s="12">
        <v>0.44252000000000002</v>
      </c>
      <c r="W81" s="198">
        <v>26</v>
      </c>
      <c r="X81" s="254">
        <v>1</v>
      </c>
      <c r="Y81" s="12" t="s">
        <v>75</v>
      </c>
      <c r="Z81" s="12"/>
      <c r="AA81" s="12" t="s">
        <v>85</v>
      </c>
      <c r="AB81" s="13" t="s">
        <v>992</v>
      </c>
      <c r="AC81" s="14">
        <v>45868</v>
      </c>
      <c r="AD81" s="15">
        <v>31</v>
      </c>
      <c r="AE81" s="176" t="s">
        <v>2832</v>
      </c>
      <c r="AF81" s="12">
        <v>371008751</v>
      </c>
      <c r="AG81" s="12" t="s">
        <v>2833</v>
      </c>
      <c r="AH81" s="12" t="s">
        <v>456</v>
      </c>
      <c r="AI81" s="14">
        <v>45875</v>
      </c>
      <c r="AJ81" s="14">
        <v>45875</v>
      </c>
      <c r="AK81" s="14">
        <v>45875</v>
      </c>
      <c r="AL81" s="14">
        <v>45923</v>
      </c>
      <c r="AM81" s="14">
        <v>45917</v>
      </c>
      <c r="AN81" s="14">
        <v>45923</v>
      </c>
      <c r="AO81" s="91" t="s">
        <v>66</v>
      </c>
      <c r="AP81" s="12" t="s">
        <v>2834</v>
      </c>
      <c r="AQ81" s="12"/>
      <c r="AR81" s="12" t="s">
        <v>2835</v>
      </c>
      <c r="AS81" s="12" t="s">
        <v>2836</v>
      </c>
      <c r="AT81" s="12" t="s">
        <v>2836</v>
      </c>
      <c r="AU81" s="12">
        <v>49</v>
      </c>
      <c r="AV81" s="12" t="s">
        <v>2493</v>
      </c>
      <c r="AW81" s="12">
        <v>9</v>
      </c>
      <c r="AX81" s="12">
        <v>55</v>
      </c>
      <c r="AY81" s="14">
        <v>45875</v>
      </c>
      <c r="AZ81" s="14">
        <v>45923</v>
      </c>
      <c r="BA81" s="12" t="e">
        <v>#N/A</v>
      </c>
      <c r="BB81" s="14" t="s">
        <v>2480</v>
      </c>
      <c r="BC81" s="14">
        <v>45937</v>
      </c>
      <c r="BD81" s="16">
        <v>2025</v>
      </c>
      <c r="BE81" s="16">
        <v>10</v>
      </c>
      <c r="BF81" s="16">
        <v>41</v>
      </c>
      <c r="BG81" s="191">
        <v>37</v>
      </c>
      <c r="BH81" s="191">
        <v>962</v>
      </c>
    </row>
    <row r="82" spans="1:60" s="23" customFormat="1" ht="10">
      <c r="A82" s="11" t="s">
        <v>2837</v>
      </c>
      <c r="B82" s="12" t="s">
        <v>111</v>
      </c>
      <c r="C82" s="12" t="s">
        <v>2838</v>
      </c>
      <c r="D82" s="12" t="s">
        <v>63</v>
      </c>
      <c r="E82" s="12" t="s">
        <v>68</v>
      </c>
      <c r="F82" s="12" t="s">
        <v>68</v>
      </c>
      <c r="G82" s="12"/>
      <c r="H82" s="12" t="s">
        <v>66</v>
      </c>
      <c r="I82" s="12" t="s">
        <v>1559</v>
      </c>
      <c r="J82" s="34" t="s">
        <v>68</v>
      </c>
      <c r="K82" s="12"/>
      <c r="L82" s="13" t="s">
        <v>2497</v>
      </c>
      <c r="M82" s="12" t="s">
        <v>68</v>
      </c>
      <c r="N82" s="182"/>
      <c r="O82" s="12" t="s">
        <v>2475</v>
      </c>
      <c r="P82" s="12" t="s">
        <v>473</v>
      </c>
      <c r="Q82" s="12" t="s">
        <v>529</v>
      </c>
      <c r="R82" s="12">
        <v>553145</v>
      </c>
      <c r="S82" s="12" t="s">
        <v>530</v>
      </c>
      <c r="T82" s="206">
        <v>455</v>
      </c>
      <c r="U82" s="206">
        <v>1728</v>
      </c>
      <c r="V82" s="12">
        <v>0.78624000000000005</v>
      </c>
      <c r="W82" s="198">
        <v>48</v>
      </c>
      <c r="X82" s="254">
        <v>2</v>
      </c>
      <c r="Y82" s="12" t="s">
        <v>75</v>
      </c>
      <c r="Z82" s="12"/>
      <c r="AA82" s="12" t="s">
        <v>85</v>
      </c>
      <c r="AB82" s="13" t="s">
        <v>967</v>
      </c>
      <c r="AC82" s="14">
        <v>45877</v>
      </c>
      <c r="AD82" s="15">
        <v>32</v>
      </c>
      <c r="AE82" s="176" t="s">
        <v>2839</v>
      </c>
      <c r="AF82" s="12">
        <v>371008760</v>
      </c>
      <c r="AG82" s="12" t="s">
        <v>122</v>
      </c>
      <c r="AH82" s="12" t="s">
        <v>1561</v>
      </c>
      <c r="AI82" s="14">
        <v>45885</v>
      </c>
      <c r="AJ82" s="14">
        <v>45885</v>
      </c>
      <c r="AK82" s="14">
        <v>45885</v>
      </c>
      <c r="AL82" s="14">
        <v>45938</v>
      </c>
      <c r="AM82" s="14">
        <v>45925</v>
      </c>
      <c r="AN82" s="14">
        <v>45938</v>
      </c>
      <c r="AO82" s="91" t="s">
        <v>66</v>
      </c>
      <c r="AP82" s="12" t="s">
        <v>2840</v>
      </c>
      <c r="AQ82" s="12"/>
      <c r="AR82" s="12" t="s">
        <v>2841</v>
      </c>
      <c r="AS82" s="12" t="s">
        <v>2842</v>
      </c>
      <c r="AT82" s="12" t="s">
        <v>2842</v>
      </c>
      <c r="AU82" s="12">
        <v>54</v>
      </c>
      <c r="AV82" s="12" t="s">
        <v>83</v>
      </c>
      <c r="AW82" s="12">
        <v>6</v>
      </c>
      <c r="AX82" s="12">
        <v>61</v>
      </c>
      <c r="AY82" s="14">
        <v>45885</v>
      </c>
      <c r="AZ82" s="14">
        <v>45938</v>
      </c>
      <c r="BA82" s="12" t="e">
        <v>#N/A</v>
      </c>
      <c r="BB82" s="14" t="s">
        <v>2480</v>
      </c>
      <c r="BC82" s="14">
        <v>45952</v>
      </c>
      <c r="BD82" s="16">
        <v>2025</v>
      </c>
      <c r="BE82" s="16">
        <v>10</v>
      </c>
      <c r="BF82" s="16">
        <v>43</v>
      </c>
      <c r="BG82" s="191">
        <v>36</v>
      </c>
      <c r="BH82" s="191">
        <v>864</v>
      </c>
    </row>
    <row r="83" spans="1:60" s="23" customFormat="1" ht="10">
      <c r="A83" s="11" t="s">
        <v>2843</v>
      </c>
      <c r="B83" s="12" t="s">
        <v>111</v>
      </c>
      <c r="C83" s="12" t="s">
        <v>2838</v>
      </c>
      <c r="D83" s="12" t="s">
        <v>63</v>
      </c>
      <c r="E83" s="12" t="s">
        <v>64</v>
      </c>
      <c r="F83" s="12" t="s">
        <v>100</v>
      </c>
      <c r="G83" s="12" t="s">
        <v>67</v>
      </c>
      <c r="H83" s="12" t="s">
        <v>66</v>
      </c>
      <c r="I83" s="12" t="s">
        <v>96</v>
      </c>
      <c r="J83" s="34" t="s">
        <v>68</v>
      </c>
      <c r="K83" s="12"/>
      <c r="L83" s="13" t="s">
        <v>2474</v>
      </c>
      <c r="M83" s="213" t="s">
        <v>68</v>
      </c>
      <c r="N83" s="182"/>
      <c r="O83" s="12" t="s">
        <v>2475</v>
      </c>
      <c r="P83" s="12" t="s">
        <v>473</v>
      </c>
      <c r="Q83" s="12" t="s">
        <v>529</v>
      </c>
      <c r="R83" s="12">
        <v>553145</v>
      </c>
      <c r="S83" s="12" t="s">
        <v>530</v>
      </c>
      <c r="T83" s="206">
        <v>455</v>
      </c>
      <c r="U83" s="206">
        <v>2592</v>
      </c>
      <c r="V83" s="12">
        <v>1.17936</v>
      </c>
      <c r="W83" s="198">
        <v>72</v>
      </c>
      <c r="X83" s="254">
        <v>3</v>
      </c>
      <c r="Y83" s="12" t="s">
        <v>75</v>
      </c>
      <c r="Z83" s="12"/>
      <c r="AA83" s="12" t="s">
        <v>85</v>
      </c>
      <c r="AB83" s="13" t="s">
        <v>967</v>
      </c>
      <c r="AC83" s="14">
        <v>45875</v>
      </c>
      <c r="AD83" s="15">
        <v>32</v>
      </c>
      <c r="AE83" s="176" t="s">
        <v>2844</v>
      </c>
      <c r="AF83" s="12">
        <v>371008757</v>
      </c>
      <c r="AG83" s="12" t="s">
        <v>122</v>
      </c>
      <c r="AH83" s="12" t="s">
        <v>105</v>
      </c>
      <c r="AI83" s="14">
        <v>45879</v>
      </c>
      <c r="AJ83" s="14">
        <v>45879</v>
      </c>
      <c r="AK83" s="14">
        <v>45879</v>
      </c>
      <c r="AL83" s="14">
        <v>45931</v>
      </c>
      <c r="AM83" s="14">
        <v>45919</v>
      </c>
      <c r="AN83" s="14">
        <v>45931</v>
      </c>
      <c r="AO83" s="91" t="s">
        <v>66</v>
      </c>
      <c r="AP83" s="12" t="s">
        <v>2845</v>
      </c>
      <c r="AQ83" s="12"/>
      <c r="AR83" s="12" t="s">
        <v>2846</v>
      </c>
      <c r="AS83" s="12" t="s">
        <v>2847</v>
      </c>
      <c r="AT83" s="12" t="s">
        <v>2847</v>
      </c>
      <c r="AU83" s="12">
        <v>53</v>
      </c>
      <c r="AV83" s="12" t="s">
        <v>83</v>
      </c>
      <c r="AW83" s="12">
        <v>6</v>
      </c>
      <c r="AX83" s="12">
        <v>56</v>
      </c>
      <c r="AY83" s="14">
        <v>45879</v>
      </c>
      <c r="AZ83" s="14">
        <v>45931</v>
      </c>
      <c r="BA83" s="12" t="e">
        <v>#N/A</v>
      </c>
      <c r="BB83" s="14" t="s">
        <v>2480</v>
      </c>
      <c r="BC83" s="14">
        <v>45945</v>
      </c>
      <c r="BD83" s="16">
        <v>2025</v>
      </c>
      <c r="BE83" s="16">
        <v>10</v>
      </c>
      <c r="BF83" s="16">
        <v>42</v>
      </c>
      <c r="BG83" s="191">
        <v>36</v>
      </c>
      <c r="BH83" s="191">
        <v>864</v>
      </c>
    </row>
    <row r="84" spans="1:60" s="23" customFormat="1" ht="10">
      <c r="A84" s="11" t="s">
        <v>2848</v>
      </c>
      <c r="B84" s="12" t="s">
        <v>111</v>
      </c>
      <c r="C84" s="12" t="s">
        <v>2838</v>
      </c>
      <c r="D84" s="12" t="s">
        <v>63</v>
      </c>
      <c r="E84" s="12" t="s">
        <v>64</v>
      </c>
      <c r="F84" s="12" t="s">
        <v>65</v>
      </c>
      <c r="G84" s="12" t="s">
        <v>67</v>
      </c>
      <c r="H84" s="12" t="s">
        <v>66</v>
      </c>
      <c r="I84" s="12" t="s">
        <v>96</v>
      </c>
      <c r="J84" s="34" t="s">
        <v>68</v>
      </c>
      <c r="K84" s="12"/>
      <c r="L84" s="13" t="s">
        <v>2474</v>
      </c>
      <c r="M84" s="213" t="s">
        <v>68</v>
      </c>
      <c r="N84" s="182"/>
      <c r="O84" s="12" t="s">
        <v>2475</v>
      </c>
      <c r="P84" s="12" t="s">
        <v>473</v>
      </c>
      <c r="Q84" s="12" t="s">
        <v>529</v>
      </c>
      <c r="R84" s="12">
        <v>553145</v>
      </c>
      <c r="S84" s="12" t="s">
        <v>530</v>
      </c>
      <c r="T84" s="206">
        <v>455</v>
      </c>
      <c r="U84" s="206">
        <v>2592</v>
      </c>
      <c r="V84" s="12">
        <v>1.17936</v>
      </c>
      <c r="W84" s="198">
        <v>72</v>
      </c>
      <c r="X84" s="254">
        <v>3</v>
      </c>
      <c r="Y84" s="12" t="s">
        <v>75</v>
      </c>
      <c r="Z84" s="12"/>
      <c r="AA84" s="12" t="s">
        <v>85</v>
      </c>
      <c r="AB84" s="13" t="s">
        <v>967</v>
      </c>
      <c r="AC84" s="14">
        <v>45879</v>
      </c>
      <c r="AD84" s="15">
        <v>32</v>
      </c>
      <c r="AE84" s="176" t="s">
        <v>2849</v>
      </c>
      <c r="AF84" s="12">
        <v>371008758</v>
      </c>
      <c r="AG84" s="12" t="s">
        <v>122</v>
      </c>
      <c r="AH84" s="12" t="s">
        <v>78</v>
      </c>
      <c r="AI84" s="14">
        <v>45884</v>
      </c>
      <c r="AJ84" s="14">
        <v>45884</v>
      </c>
      <c r="AK84" s="14">
        <v>45884</v>
      </c>
      <c r="AL84" s="14">
        <v>45942</v>
      </c>
      <c r="AM84" s="14"/>
      <c r="AN84" s="14">
        <v>45942</v>
      </c>
      <c r="AO84" s="91" t="s">
        <v>66</v>
      </c>
      <c r="AP84" s="12" t="s">
        <v>2850</v>
      </c>
      <c r="AQ84" s="12"/>
      <c r="AR84" s="12" t="s">
        <v>2851</v>
      </c>
      <c r="AS84" s="12" t="s">
        <v>2852</v>
      </c>
      <c r="AT84" s="12" t="s">
        <v>2853</v>
      </c>
      <c r="AU84" s="12">
        <v>59</v>
      </c>
      <c r="AV84" s="12" t="s">
        <v>83</v>
      </c>
      <c r="AW84" s="12">
        <v>6</v>
      </c>
      <c r="AX84" s="12">
        <v>63</v>
      </c>
      <c r="AY84" s="14">
        <v>45884</v>
      </c>
      <c r="AZ84" s="14">
        <v>45942</v>
      </c>
      <c r="BA84" s="12" t="e">
        <v>#N/A</v>
      </c>
      <c r="BB84" s="14" t="s">
        <v>2480</v>
      </c>
      <c r="BC84" s="14">
        <v>45956</v>
      </c>
      <c r="BD84" s="16">
        <v>2025</v>
      </c>
      <c r="BE84" s="16">
        <v>10</v>
      </c>
      <c r="BF84" s="16">
        <v>43</v>
      </c>
      <c r="BG84" s="191">
        <v>36</v>
      </c>
      <c r="BH84" s="191">
        <v>864</v>
      </c>
    </row>
    <row r="85" spans="1:60" s="23" customFormat="1" ht="10">
      <c r="A85" s="11" t="s">
        <v>2854</v>
      </c>
      <c r="B85" s="12" t="s">
        <v>111</v>
      </c>
      <c r="C85" s="12" t="s">
        <v>2838</v>
      </c>
      <c r="D85" s="12" t="s">
        <v>63</v>
      </c>
      <c r="E85" s="12" t="s">
        <v>64</v>
      </c>
      <c r="F85" s="12" t="s">
        <v>65</v>
      </c>
      <c r="G85" s="12" t="s">
        <v>67</v>
      </c>
      <c r="H85" s="12" t="s">
        <v>66</v>
      </c>
      <c r="I85" s="12" t="s">
        <v>96</v>
      </c>
      <c r="J85" s="34" t="s">
        <v>68</v>
      </c>
      <c r="K85" s="12"/>
      <c r="L85" s="13" t="s">
        <v>2474</v>
      </c>
      <c r="M85" s="213" t="s">
        <v>68</v>
      </c>
      <c r="N85" s="182"/>
      <c r="O85" s="12" t="s">
        <v>2475</v>
      </c>
      <c r="P85" s="12" t="s">
        <v>473</v>
      </c>
      <c r="Q85" s="12" t="s">
        <v>529</v>
      </c>
      <c r="R85" s="12">
        <v>553145</v>
      </c>
      <c r="S85" s="12" t="s">
        <v>530</v>
      </c>
      <c r="T85" s="206">
        <v>455</v>
      </c>
      <c r="U85" s="206">
        <v>864</v>
      </c>
      <c r="V85" s="12">
        <v>0.39312000000000002</v>
      </c>
      <c r="W85" s="198">
        <v>24</v>
      </c>
      <c r="X85" s="254">
        <v>1</v>
      </c>
      <c r="Y85" s="12" t="s">
        <v>75</v>
      </c>
      <c r="Z85" s="12"/>
      <c r="AA85" s="12" t="s">
        <v>85</v>
      </c>
      <c r="AB85" s="13" t="s">
        <v>967</v>
      </c>
      <c r="AC85" s="14">
        <v>45876</v>
      </c>
      <c r="AD85" s="15">
        <v>32</v>
      </c>
      <c r="AE85" s="176" t="s">
        <v>2855</v>
      </c>
      <c r="AF85" s="12">
        <v>371008759</v>
      </c>
      <c r="AG85" s="12" t="s">
        <v>77</v>
      </c>
      <c r="AH85" s="12" t="s">
        <v>78</v>
      </c>
      <c r="AI85" s="14">
        <v>45880</v>
      </c>
      <c r="AJ85" s="14">
        <v>45880</v>
      </c>
      <c r="AK85" s="14">
        <v>45880</v>
      </c>
      <c r="AL85" s="14">
        <v>45957</v>
      </c>
      <c r="AM85" s="14">
        <v>45950</v>
      </c>
      <c r="AN85" s="14">
        <v>45957</v>
      </c>
      <c r="AO85" s="91" t="s">
        <v>66</v>
      </c>
      <c r="AP85" s="12" t="s">
        <v>2856</v>
      </c>
      <c r="AQ85" s="12"/>
      <c r="AR85" s="12" t="s">
        <v>2857</v>
      </c>
      <c r="AS85" s="12" t="s">
        <v>2858</v>
      </c>
      <c r="AT85" s="12" t="s">
        <v>2858</v>
      </c>
      <c r="AU85" s="12">
        <v>78</v>
      </c>
      <c r="AV85" s="12" t="s">
        <v>83</v>
      </c>
      <c r="AW85" s="12">
        <v>6</v>
      </c>
      <c r="AX85" s="12">
        <v>81</v>
      </c>
      <c r="AY85" s="14">
        <v>45880</v>
      </c>
      <c r="AZ85" s="14">
        <v>45957</v>
      </c>
      <c r="BA85" s="12" t="e">
        <v>#N/A</v>
      </c>
      <c r="BB85" s="14" t="s">
        <v>2480</v>
      </c>
      <c r="BC85" s="14">
        <v>45971</v>
      </c>
      <c r="BD85" s="16">
        <v>2025</v>
      </c>
      <c r="BE85" s="16">
        <v>11</v>
      </c>
      <c r="BF85" s="16">
        <v>46</v>
      </c>
      <c r="BG85" s="191">
        <v>36</v>
      </c>
      <c r="BH85" s="191">
        <v>864</v>
      </c>
    </row>
    <row r="86" spans="1:60" s="23" customFormat="1" ht="10">
      <c r="A86" s="11" t="s">
        <v>2859</v>
      </c>
      <c r="B86" s="12" t="s">
        <v>111</v>
      </c>
      <c r="C86" s="12" t="s">
        <v>2860</v>
      </c>
      <c r="D86" s="12" t="s">
        <v>63</v>
      </c>
      <c r="E86" s="12" t="s">
        <v>64</v>
      </c>
      <c r="F86" s="12" t="s">
        <v>65</v>
      </c>
      <c r="G86" s="12" t="s">
        <v>67</v>
      </c>
      <c r="H86" s="12" t="s">
        <v>66</v>
      </c>
      <c r="I86" s="12" t="s">
        <v>96</v>
      </c>
      <c r="J86" s="34" t="s">
        <v>68</v>
      </c>
      <c r="K86" s="12"/>
      <c r="L86" s="13" t="s">
        <v>2474</v>
      </c>
      <c r="M86" s="213" t="s">
        <v>68</v>
      </c>
      <c r="N86" s="182"/>
      <c r="O86" s="12" t="s">
        <v>2475</v>
      </c>
      <c r="P86" s="12" t="s">
        <v>2610</v>
      </c>
      <c r="Q86" s="12" t="s">
        <v>2611</v>
      </c>
      <c r="R86" s="12">
        <v>553098</v>
      </c>
      <c r="S86" s="12" t="s">
        <v>2612</v>
      </c>
      <c r="T86" s="206">
        <v>550</v>
      </c>
      <c r="U86" s="206">
        <v>1320</v>
      </c>
      <c r="V86" s="12">
        <v>0.72599999999999998</v>
      </c>
      <c r="W86" s="198">
        <v>40</v>
      </c>
      <c r="X86" s="254">
        <v>2</v>
      </c>
      <c r="Y86" s="12" t="s">
        <v>75</v>
      </c>
      <c r="Z86" s="12"/>
      <c r="AA86" s="12" t="s">
        <v>108</v>
      </c>
      <c r="AB86" s="13" t="s">
        <v>992</v>
      </c>
      <c r="AC86" s="14">
        <v>45879</v>
      </c>
      <c r="AD86" s="15">
        <v>32</v>
      </c>
      <c r="AE86" s="176" t="s">
        <v>2861</v>
      </c>
      <c r="AF86" s="12">
        <v>371008786</v>
      </c>
      <c r="AG86" s="12" t="s">
        <v>122</v>
      </c>
      <c r="AH86" s="12" t="s">
        <v>78</v>
      </c>
      <c r="AI86" s="14">
        <v>45884</v>
      </c>
      <c r="AJ86" s="14">
        <v>45884</v>
      </c>
      <c r="AK86" s="14">
        <v>45884</v>
      </c>
      <c r="AL86" s="14">
        <v>45942</v>
      </c>
      <c r="AM86" s="14"/>
      <c r="AN86" s="14">
        <v>45942</v>
      </c>
      <c r="AO86" s="91" t="s">
        <v>66</v>
      </c>
      <c r="AP86" s="12" t="s">
        <v>2850</v>
      </c>
      <c r="AQ86" s="12"/>
      <c r="AR86" s="12" t="s">
        <v>2851</v>
      </c>
      <c r="AS86" s="12" t="s">
        <v>2852</v>
      </c>
      <c r="AT86" s="12" t="s">
        <v>2853</v>
      </c>
      <c r="AU86" s="12">
        <v>59</v>
      </c>
      <c r="AV86" s="12" t="s">
        <v>83</v>
      </c>
      <c r="AW86" s="12">
        <v>1</v>
      </c>
      <c r="AX86" s="12">
        <v>63</v>
      </c>
      <c r="AY86" s="14">
        <v>45884</v>
      </c>
      <c r="AZ86" s="14">
        <v>45942</v>
      </c>
      <c r="BA86" s="12" t="e">
        <v>#N/A</v>
      </c>
      <c r="BB86" s="14" t="s">
        <v>2480</v>
      </c>
      <c r="BC86" s="14">
        <v>45956</v>
      </c>
      <c r="BD86" s="16">
        <v>2025</v>
      </c>
      <c r="BE86" s="16">
        <v>10</v>
      </c>
      <c r="BF86" s="16">
        <v>43</v>
      </c>
      <c r="BG86" s="191">
        <v>33</v>
      </c>
      <c r="BH86" s="191">
        <v>660</v>
      </c>
    </row>
    <row r="87" spans="1:60" s="23" customFormat="1" ht="10">
      <c r="A87" s="11" t="s">
        <v>2862</v>
      </c>
      <c r="B87" s="12" t="s">
        <v>111</v>
      </c>
      <c r="C87" s="12" t="s">
        <v>2863</v>
      </c>
      <c r="D87" s="12" t="s">
        <v>63</v>
      </c>
      <c r="E87" s="12" t="s">
        <v>64</v>
      </c>
      <c r="F87" s="12" t="s">
        <v>65</v>
      </c>
      <c r="G87" s="12" t="s">
        <v>67</v>
      </c>
      <c r="H87" s="12" t="s">
        <v>66</v>
      </c>
      <c r="I87" s="12" t="s">
        <v>96</v>
      </c>
      <c r="J87" s="34" t="s">
        <v>68</v>
      </c>
      <c r="K87" s="12"/>
      <c r="L87" s="13" t="s">
        <v>2474</v>
      </c>
      <c r="M87" s="213" t="s">
        <v>68</v>
      </c>
      <c r="N87" s="182"/>
      <c r="O87" s="12" t="s">
        <v>2475</v>
      </c>
      <c r="P87" s="12" t="s">
        <v>2610</v>
      </c>
      <c r="Q87" s="12" t="s">
        <v>2618</v>
      </c>
      <c r="R87" s="12">
        <v>553097</v>
      </c>
      <c r="S87" s="12" t="s">
        <v>2619</v>
      </c>
      <c r="T87" s="206">
        <v>555</v>
      </c>
      <c r="U87" s="206">
        <v>3300</v>
      </c>
      <c r="V87" s="12">
        <v>1.8314999999999999</v>
      </c>
      <c r="W87" s="198">
        <v>100</v>
      </c>
      <c r="X87" s="254">
        <v>5</v>
      </c>
      <c r="Y87" s="12" t="s">
        <v>75</v>
      </c>
      <c r="Z87" s="12"/>
      <c r="AA87" s="12" t="s">
        <v>108</v>
      </c>
      <c r="AB87" s="13" t="s">
        <v>992</v>
      </c>
      <c r="AC87" s="14">
        <v>45876</v>
      </c>
      <c r="AD87" s="15">
        <v>32</v>
      </c>
      <c r="AE87" s="176" t="s">
        <v>2864</v>
      </c>
      <c r="AF87" s="12">
        <v>371008788</v>
      </c>
      <c r="AG87" s="12" t="s">
        <v>2865</v>
      </c>
      <c r="AH87" s="12" t="s">
        <v>78</v>
      </c>
      <c r="AI87" s="14">
        <v>45880</v>
      </c>
      <c r="AJ87" s="14">
        <v>45880</v>
      </c>
      <c r="AK87" s="14">
        <v>45880</v>
      </c>
      <c r="AL87" s="14">
        <v>45957</v>
      </c>
      <c r="AM87" s="14">
        <v>45950</v>
      </c>
      <c r="AN87" s="14">
        <v>45957</v>
      </c>
      <c r="AO87" s="91" t="s">
        <v>66</v>
      </c>
      <c r="AP87" s="12" t="s">
        <v>2856</v>
      </c>
      <c r="AQ87" s="12"/>
      <c r="AR87" s="12" t="s">
        <v>2866</v>
      </c>
      <c r="AS87" s="12" t="s">
        <v>2867</v>
      </c>
      <c r="AT87" s="12" t="s">
        <v>2867</v>
      </c>
      <c r="AU87" s="12">
        <v>78</v>
      </c>
      <c r="AV87" s="12" t="s">
        <v>83</v>
      </c>
      <c r="AW87" s="12">
        <v>2</v>
      </c>
      <c r="AX87" s="12">
        <v>81</v>
      </c>
      <c r="AY87" s="14">
        <v>45880</v>
      </c>
      <c r="AZ87" s="14">
        <v>45957</v>
      </c>
      <c r="BA87" s="12" t="e">
        <v>#N/A</v>
      </c>
      <c r="BB87" s="14" t="s">
        <v>2480</v>
      </c>
      <c r="BC87" s="14">
        <v>45971</v>
      </c>
      <c r="BD87" s="16">
        <v>2025</v>
      </c>
      <c r="BE87" s="16">
        <v>11</v>
      </c>
      <c r="BF87" s="16">
        <v>46</v>
      </c>
      <c r="BG87" s="191">
        <v>33</v>
      </c>
      <c r="BH87" s="191">
        <v>660</v>
      </c>
    </row>
    <row r="88" spans="1:60" s="23" customFormat="1" ht="10">
      <c r="A88" s="11" t="s">
        <v>2868</v>
      </c>
      <c r="B88" s="12" t="s">
        <v>111</v>
      </c>
      <c r="C88" s="12" t="s">
        <v>2503</v>
      </c>
      <c r="D88" s="12" t="s">
        <v>63</v>
      </c>
      <c r="E88" s="12" t="s">
        <v>68</v>
      </c>
      <c r="F88" s="12" t="s">
        <v>68</v>
      </c>
      <c r="G88" s="12"/>
      <c r="H88" s="12" t="s">
        <v>66</v>
      </c>
      <c r="I88" s="12" t="s">
        <v>2785</v>
      </c>
      <c r="J88" s="34" t="s">
        <v>68</v>
      </c>
      <c r="K88" s="12">
        <v>19143015</v>
      </c>
      <c r="L88" s="13" t="s">
        <v>2497</v>
      </c>
      <c r="M88" s="12" t="s">
        <v>68</v>
      </c>
      <c r="N88" s="182"/>
      <c r="O88" s="12" t="s">
        <v>2475</v>
      </c>
      <c r="P88" s="12" t="s">
        <v>132</v>
      </c>
      <c r="Q88" s="12" t="s">
        <v>1104</v>
      </c>
      <c r="R88" s="12">
        <v>554431</v>
      </c>
      <c r="S88" s="12" t="s">
        <v>1105</v>
      </c>
      <c r="T88" s="206">
        <v>455</v>
      </c>
      <c r="U88" s="206">
        <v>864</v>
      </c>
      <c r="V88" s="12">
        <v>0.39312000000000002</v>
      </c>
      <c r="W88" s="198">
        <v>24</v>
      </c>
      <c r="X88" s="254">
        <v>1</v>
      </c>
      <c r="Y88" s="12" t="s">
        <v>75</v>
      </c>
      <c r="Z88" s="12"/>
      <c r="AA88" s="12" t="s">
        <v>108</v>
      </c>
      <c r="AB88" s="13" t="s">
        <v>992</v>
      </c>
      <c r="AC88" s="14">
        <v>45877</v>
      </c>
      <c r="AD88" s="15">
        <v>32</v>
      </c>
      <c r="AE88" s="176" t="s">
        <v>2869</v>
      </c>
      <c r="AF88" s="12">
        <v>371008746</v>
      </c>
      <c r="AG88" s="12" t="s">
        <v>122</v>
      </c>
      <c r="AH88" s="12" t="s">
        <v>314</v>
      </c>
      <c r="AI88" s="14">
        <v>45885</v>
      </c>
      <c r="AJ88" s="14">
        <v>45885</v>
      </c>
      <c r="AK88" s="14">
        <v>45885</v>
      </c>
      <c r="AL88" s="14">
        <v>45937</v>
      </c>
      <c r="AM88" s="14">
        <v>45931</v>
      </c>
      <c r="AN88" s="14">
        <v>45937</v>
      </c>
      <c r="AO88" s="91" t="s">
        <v>66</v>
      </c>
      <c r="AP88" s="12" t="s">
        <v>2840</v>
      </c>
      <c r="AQ88" s="12"/>
      <c r="AR88" s="12" t="s">
        <v>2870</v>
      </c>
      <c r="AS88" s="12" t="s">
        <v>2871</v>
      </c>
      <c r="AT88" s="12" t="s">
        <v>2872</v>
      </c>
      <c r="AU88" s="12">
        <v>53</v>
      </c>
      <c r="AV88" s="12" t="s">
        <v>83</v>
      </c>
      <c r="AW88" s="12">
        <v>4</v>
      </c>
      <c r="AX88" s="12">
        <v>60</v>
      </c>
      <c r="AY88" s="14">
        <v>45885</v>
      </c>
      <c r="AZ88" s="14">
        <v>45937</v>
      </c>
      <c r="BA88" s="12" t="e">
        <v>#N/A</v>
      </c>
      <c r="BB88" s="14" t="s">
        <v>2480</v>
      </c>
      <c r="BC88" s="14">
        <v>45951</v>
      </c>
      <c r="BD88" s="16">
        <v>2025</v>
      </c>
      <c r="BE88" s="16">
        <v>10</v>
      </c>
      <c r="BF88" s="16">
        <v>43</v>
      </c>
      <c r="BG88" s="191">
        <v>36</v>
      </c>
      <c r="BH88" s="191">
        <v>864</v>
      </c>
    </row>
    <row r="89" spans="1:60" s="23" customFormat="1" ht="10">
      <c r="A89" s="11" t="s">
        <v>2873</v>
      </c>
      <c r="B89" s="12" t="s">
        <v>111</v>
      </c>
      <c r="C89" s="12" t="s">
        <v>2750</v>
      </c>
      <c r="D89" s="12" t="s">
        <v>63</v>
      </c>
      <c r="E89" s="12" t="s">
        <v>64</v>
      </c>
      <c r="F89" s="12" t="s">
        <v>65</v>
      </c>
      <c r="G89" s="12" t="s">
        <v>67</v>
      </c>
      <c r="H89" s="12" t="s">
        <v>66</v>
      </c>
      <c r="I89" s="12" t="s">
        <v>96</v>
      </c>
      <c r="J89" s="34" t="s">
        <v>68</v>
      </c>
      <c r="K89" s="12"/>
      <c r="L89" s="13" t="s">
        <v>2474</v>
      </c>
      <c r="M89" s="213" t="s">
        <v>68</v>
      </c>
      <c r="N89" s="182"/>
      <c r="O89" s="12" t="s">
        <v>2475</v>
      </c>
      <c r="P89" s="12" t="s">
        <v>170</v>
      </c>
      <c r="Q89" s="12" t="s">
        <v>171</v>
      </c>
      <c r="R89" s="12">
        <v>552045</v>
      </c>
      <c r="S89" s="12" t="s">
        <v>172</v>
      </c>
      <c r="T89" s="206">
        <v>555</v>
      </c>
      <c r="U89" s="206">
        <v>1980</v>
      </c>
      <c r="V89" s="12">
        <v>1.0989</v>
      </c>
      <c r="W89" s="198">
        <v>60</v>
      </c>
      <c r="X89" s="254">
        <v>3</v>
      </c>
      <c r="Y89" s="12" t="s">
        <v>75</v>
      </c>
      <c r="Z89" s="12"/>
      <c r="AA89" s="12" t="s">
        <v>108</v>
      </c>
      <c r="AB89" s="13" t="s">
        <v>992</v>
      </c>
      <c r="AC89" s="14">
        <v>45876</v>
      </c>
      <c r="AD89" s="15">
        <v>32</v>
      </c>
      <c r="AE89" s="176" t="s">
        <v>2874</v>
      </c>
      <c r="AF89" s="12">
        <v>371008775</v>
      </c>
      <c r="AG89" s="12" t="s">
        <v>122</v>
      </c>
      <c r="AH89" s="12" t="s">
        <v>78</v>
      </c>
      <c r="AI89" s="14">
        <v>45892</v>
      </c>
      <c r="AJ89" s="14">
        <v>45892</v>
      </c>
      <c r="AK89" s="14">
        <v>45892</v>
      </c>
      <c r="AL89" s="14">
        <v>45949</v>
      </c>
      <c r="AM89" s="14">
        <v>45943</v>
      </c>
      <c r="AN89" s="14">
        <v>45949</v>
      </c>
      <c r="AO89" s="91" t="s">
        <v>66</v>
      </c>
      <c r="AP89" s="12" t="s">
        <v>2875</v>
      </c>
      <c r="AQ89" s="12"/>
      <c r="AR89" s="12" t="s">
        <v>2876</v>
      </c>
      <c r="AS89" s="12" t="s">
        <v>2877</v>
      </c>
      <c r="AT89" s="12" t="s">
        <v>2877</v>
      </c>
      <c r="AU89" s="12">
        <v>58</v>
      </c>
      <c r="AV89" s="12" t="s">
        <v>83</v>
      </c>
      <c r="AW89" s="12">
        <v>11</v>
      </c>
      <c r="AX89" s="12">
        <v>73</v>
      </c>
      <c r="AY89" s="14">
        <v>45892</v>
      </c>
      <c r="AZ89" s="14">
        <v>45949</v>
      </c>
      <c r="BA89" s="12" t="e">
        <v>#N/A</v>
      </c>
      <c r="BB89" s="14" t="s">
        <v>2480</v>
      </c>
      <c r="BC89" s="14">
        <v>45963</v>
      </c>
      <c r="BD89" s="16">
        <v>2025</v>
      </c>
      <c r="BE89" s="16">
        <v>11</v>
      </c>
      <c r="BF89" s="16">
        <v>44</v>
      </c>
      <c r="BG89" s="191">
        <v>33</v>
      </c>
      <c r="BH89" s="191">
        <v>660</v>
      </c>
    </row>
    <row r="90" spans="1:60" s="23" customFormat="1" ht="10">
      <c r="A90" s="11" t="s">
        <v>2878</v>
      </c>
      <c r="B90" s="12" t="s">
        <v>1888</v>
      </c>
      <c r="C90" s="12" t="s">
        <v>2664</v>
      </c>
      <c r="D90" s="12" t="s">
        <v>63</v>
      </c>
      <c r="E90" s="12" t="s">
        <v>68</v>
      </c>
      <c r="F90" s="12" t="s">
        <v>68</v>
      </c>
      <c r="G90" s="12"/>
      <c r="H90" s="12" t="s">
        <v>156</v>
      </c>
      <c r="I90" s="12" t="s">
        <v>157</v>
      </c>
      <c r="J90" s="34" t="s">
        <v>68</v>
      </c>
      <c r="K90" s="12">
        <v>46010775</v>
      </c>
      <c r="L90" s="13" t="s">
        <v>2489</v>
      </c>
      <c r="M90" s="12" t="s">
        <v>68</v>
      </c>
      <c r="N90" s="182"/>
      <c r="O90" s="12" t="s">
        <v>2475</v>
      </c>
      <c r="P90" s="12" t="s">
        <v>70</v>
      </c>
      <c r="Q90" s="12" t="s">
        <v>71</v>
      </c>
      <c r="R90" s="12">
        <v>554475</v>
      </c>
      <c r="S90" s="12" t="s">
        <v>72</v>
      </c>
      <c r="T90" s="206">
        <v>500</v>
      </c>
      <c r="U90" s="206">
        <v>2592</v>
      </c>
      <c r="V90" s="12">
        <v>1.296</v>
      </c>
      <c r="W90" s="198">
        <v>72</v>
      </c>
      <c r="X90" s="254">
        <v>3</v>
      </c>
      <c r="Y90" s="12" t="s">
        <v>75</v>
      </c>
      <c r="Z90" s="12"/>
      <c r="AA90" s="12" t="s">
        <v>2658</v>
      </c>
      <c r="AB90" s="13" t="s">
        <v>967</v>
      </c>
      <c r="AC90" s="14">
        <v>45877</v>
      </c>
      <c r="AD90" s="15">
        <v>32</v>
      </c>
      <c r="AE90" s="176" t="s">
        <v>2879</v>
      </c>
      <c r="AF90" s="12">
        <v>371008750</v>
      </c>
      <c r="AG90" s="12" t="s">
        <v>122</v>
      </c>
      <c r="AH90" s="12" t="s">
        <v>159</v>
      </c>
      <c r="AI90" s="14">
        <v>45885</v>
      </c>
      <c r="AJ90" s="14">
        <v>45885</v>
      </c>
      <c r="AK90" s="14">
        <v>45885</v>
      </c>
      <c r="AL90" s="14">
        <v>45943</v>
      </c>
      <c r="AM90" s="14"/>
      <c r="AN90" s="14">
        <v>45943</v>
      </c>
      <c r="AO90" s="91" t="s">
        <v>156</v>
      </c>
      <c r="AP90" s="12" t="s">
        <v>2880</v>
      </c>
      <c r="AQ90" s="12"/>
      <c r="AR90" s="12">
        <v>46010775</v>
      </c>
      <c r="AS90" s="12">
        <v>1068398706</v>
      </c>
      <c r="AT90" s="12" t="s">
        <v>2881</v>
      </c>
      <c r="AU90" s="12">
        <v>59</v>
      </c>
      <c r="AV90" s="12" t="s">
        <v>2493</v>
      </c>
      <c r="AW90" s="12">
        <v>12</v>
      </c>
      <c r="AX90" s="12">
        <v>66</v>
      </c>
      <c r="AY90" s="14">
        <v>45885</v>
      </c>
      <c r="AZ90" s="14">
        <v>45943</v>
      </c>
      <c r="BA90" s="12" t="e">
        <v>#N/A</v>
      </c>
      <c r="BB90" s="14" t="s">
        <v>2480</v>
      </c>
      <c r="BC90" s="14">
        <v>45957</v>
      </c>
      <c r="BD90" s="16">
        <v>2025</v>
      </c>
      <c r="BE90" s="16">
        <v>10</v>
      </c>
      <c r="BF90" s="16">
        <v>44</v>
      </c>
      <c r="BG90" s="191">
        <v>36</v>
      </c>
      <c r="BH90" s="191">
        <v>864</v>
      </c>
    </row>
    <row r="91" spans="1:60" s="23" customFormat="1" ht="10">
      <c r="A91" s="11" t="s">
        <v>2882</v>
      </c>
      <c r="B91" s="12" t="s">
        <v>111</v>
      </c>
      <c r="C91" s="12" t="s">
        <v>2883</v>
      </c>
      <c r="D91" s="12" t="s">
        <v>63</v>
      </c>
      <c r="E91" s="12" t="s">
        <v>68</v>
      </c>
      <c r="F91" s="12" t="s">
        <v>68</v>
      </c>
      <c r="G91" s="12"/>
      <c r="H91" s="12" t="s">
        <v>146</v>
      </c>
      <c r="I91" s="12" t="s">
        <v>594</v>
      </c>
      <c r="J91" s="34" t="s">
        <v>68</v>
      </c>
      <c r="K91" s="12"/>
      <c r="L91" s="13" t="s">
        <v>2528</v>
      </c>
      <c r="M91" s="12" t="s">
        <v>68</v>
      </c>
      <c r="N91" s="182"/>
      <c r="O91" s="12" t="s">
        <v>2529</v>
      </c>
      <c r="P91" s="12" t="s">
        <v>132</v>
      </c>
      <c r="Q91" s="12" t="s">
        <v>2884</v>
      </c>
      <c r="R91" s="12">
        <v>555076</v>
      </c>
      <c r="S91" s="12" t="s">
        <v>1300</v>
      </c>
      <c r="T91" s="206">
        <v>720</v>
      </c>
      <c r="U91" s="206">
        <v>1188</v>
      </c>
      <c r="V91" s="12">
        <v>0.85536000000000001</v>
      </c>
      <c r="W91" s="198">
        <v>36</v>
      </c>
      <c r="X91" s="254">
        <v>2</v>
      </c>
      <c r="Y91" s="12" t="s">
        <v>75</v>
      </c>
      <c r="Z91" s="12"/>
      <c r="AA91" s="12" t="s">
        <v>108</v>
      </c>
      <c r="AB91" s="32" t="s">
        <v>992</v>
      </c>
      <c r="AC91" s="14">
        <v>45877</v>
      </c>
      <c r="AD91" s="15">
        <v>32</v>
      </c>
      <c r="AE91" s="176" t="s">
        <v>2530</v>
      </c>
      <c r="AF91" s="12" t="s">
        <v>2885</v>
      </c>
      <c r="AG91" s="12" t="s">
        <v>122</v>
      </c>
      <c r="AH91" s="12" t="s">
        <v>124</v>
      </c>
      <c r="AI91" s="14">
        <v>45885</v>
      </c>
      <c r="AJ91" s="14">
        <v>45885</v>
      </c>
      <c r="AK91" s="14">
        <v>45885</v>
      </c>
      <c r="AL91" s="14">
        <v>45939</v>
      </c>
      <c r="AM91" s="14">
        <v>45925</v>
      </c>
      <c r="AN91" s="14">
        <v>45939</v>
      </c>
      <c r="AO91" s="91" t="s">
        <v>402</v>
      </c>
      <c r="AP91" s="12" t="s">
        <v>2886</v>
      </c>
      <c r="AQ91" s="12"/>
      <c r="AR91" s="12" t="s">
        <v>2887</v>
      </c>
      <c r="AS91" s="12" t="s">
        <v>2888</v>
      </c>
      <c r="AT91" s="12" t="s">
        <v>2888</v>
      </c>
      <c r="AU91" s="12">
        <v>55</v>
      </c>
      <c r="AV91" s="12" t="s">
        <v>2493</v>
      </c>
      <c r="AW91" s="12">
        <v>9</v>
      </c>
      <c r="AX91" s="12">
        <v>62</v>
      </c>
      <c r="AY91" s="14">
        <v>45885</v>
      </c>
      <c r="AZ91" s="14">
        <v>45939</v>
      </c>
      <c r="BA91" s="12" t="e">
        <v>#N/A</v>
      </c>
      <c r="BB91" s="14" t="s">
        <v>2480</v>
      </c>
      <c r="BC91" s="14">
        <v>45953</v>
      </c>
      <c r="BD91" s="16">
        <v>2025</v>
      </c>
      <c r="BE91" s="16">
        <v>10</v>
      </c>
      <c r="BF91" s="16">
        <v>43</v>
      </c>
      <c r="BG91" s="191">
        <v>33</v>
      </c>
      <c r="BH91" s="191">
        <v>594</v>
      </c>
    </row>
    <row r="92" spans="1:60" s="23" customFormat="1" ht="10">
      <c r="A92" s="11" t="s">
        <v>2889</v>
      </c>
      <c r="B92" s="12" t="s">
        <v>111</v>
      </c>
      <c r="C92" s="12" t="s">
        <v>2543</v>
      </c>
      <c r="D92" s="12" t="s">
        <v>63</v>
      </c>
      <c r="E92" s="12" t="s">
        <v>68</v>
      </c>
      <c r="F92" s="12" t="s">
        <v>68</v>
      </c>
      <c r="G92" s="12"/>
      <c r="H92" s="12" t="s">
        <v>146</v>
      </c>
      <c r="I92" s="12" t="s">
        <v>594</v>
      </c>
      <c r="J92" s="34" t="s">
        <v>68</v>
      </c>
      <c r="K92" s="12"/>
      <c r="L92" s="13" t="s">
        <v>2528</v>
      </c>
      <c r="M92" s="12" t="s">
        <v>68</v>
      </c>
      <c r="N92" s="182"/>
      <c r="O92" s="12" t="s">
        <v>2529</v>
      </c>
      <c r="P92" s="12" t="s">
        <v>70</v>
      </c>
      <c r="Q92" s="12" t="s">
        <v>102</v>
      </c>
      <c r="R92" s="12">
        <v>554245</v>
      </c>
      <c r="S92" s="12" t="s">
        <v>103</v>
      </c>
      <c r="T92" s="206">
        <v>620</v>
      </c>
      <c r="U92" s="206">
        <v>2880</v>
      </c>
      <c r="V92" s="12">
        <v>1.7856000000000001</v>
      </c>
      <c r="W92" s="198">
        <v>80</v>
      </c>
      <c r="X92" s="254">
        <v>4</v>
      </c>
      <c r="Y92" s="12" t="s">
        <v>75</v>
      </c>
      <c r="Z92" s="12"/>
      <c r="AA92" s="12" t="s">
        <v>108</v>
      </c>
      <c r="AB92" s="32" t="s">
        <v>967</v>
      </c>
      <c r="AC92" s="14">
        <v>45879</v>
      </c>
      <c r="AD92" s="15">
        <v>32</v>
      </c>
      <c r="AE92" s="176" t="s">
        <v>2530</v>
      </c>
      <c r="AF92" s="12" t="s">
        <v>2885</v>
      </c>
      <c r="AG92" s="12" t="s">
        <v>122</v>
      </c>
      <c r="AH92" s="12" t="s">
        <v>124</v>
      </c>
      <c r="AI92" s="14">
        <v>45885</v>
      </c>
      <c r="AJ92" s="14">
        <v>45885</v>
      </c>
      <c r="AK92" s="14">
        <v>45885</v>
      </c>
      <c r="AL92" s="14">
        <v>45953</v>
      </c>
      <c r="AM92" s="14"/>
      <c r="AN92" s="14">
        <v>45953</v>
      </c>
      <c r="AO92" s="91" t="s">
        <v>402</v>
      </c>
      <c r="AP92" s="12" t="s">
        <v>2850</v>
      </c>
      <c r="AQ92" s="12"/>
      <c r="AR92" s="12" t="s">
        <v>2890</v>
      </c>
      <c r="AS92" s="12" t="s">
        <v>2891</v>
      </c>
      <c r="AT92" s="12" t="s">
        <v>2891</v>
      </c>
      <c r="AU92" s="12">
        <v>69</v>
      </c>
      <c r="AV92" s="12" t="s">
        <v>2493</v>
      </c>
      <c r="AW92" s="12">
        <v>8</v>
      </c>
      <c r="AX92" s="12">
        <v>74</v>
      </c>
      <c r="AY92" s="14">
        <v>45885</v>
      </c>
      <c r="AZ92" s="14">
        <v>45953</v>
      </c>
      <c r="BA92" s="12" t="e">
        <v>#N/A</v>
      </c>
      <c r="BB92" s="14" t="s">
        <v>2480</v>
      </c>
      <c r="BC92" s="14">
        <v>45967</v>
      </c>
      <c r="BD92" s="16">
        <v>2025</v>
      </c>
      <c r="BE92" s="16">
        <v>11</v>
      </c>
      <c r="BF92" s="16">
        <v>45</v>
      </c>
      <c r="BG92" s="191">
        <v>36</v>
      </c>
      <c r="BH92" s="191">
        <v>720</v>
      </c>
    </row>
    <row r="93" spans="1:60" s="23" customFormat="1" ht="10">
      <c r="A93" s="11" t="s">
        <v>2892</v>
      </c>
      <c r="B93" s="12" t="s">
        <v>111</v>
      </c>
      <c r="C93" s="12" t="s">
        <v>940</v>
      </c>
      <c r="D93" s="12" t="s">
        <v>63</v>
      </c>
      <c r="E93" s="12" t="s">
        <v>68</v>
      </c>
      <c r="F93" s="12" t="s">
        <v>68</v>
      </c>
      <c r="G93" s="12"/>
      <c r="H93" s="12" t="s">
        <v>66</v>
      </c>
      <c r="I93" s="12" t="s">
        <v>2785</v>
      </c>
      <c r="J93" s="34" t="s">
        <v>68</v>
      </c>
      <c r="K93" s="12">
        <v>19143078</v>
      </c>
      <c r="L93" s="13" t="s">
        <v>2497</v>
      </c>
      <c r="M93" s="12" t="s">
        <v>68</v>
      </c>
      <c r="N93" s="182"/>
      <c r="O93" s="12" t="s">
        <v>2475</v>
      </c>
      <c r="P93" s="12" t="s">
        <v>70</v>
      </c>
      <c r="Q93" s="12" t="s">
        <v>943</v>
      </c>
      <c r="R93" s="12">
        <v>554244</v>
      </c>
      <c r="S93" s="12" t="s">
        <v>886</v>
      </c>
      <c r="T93" s="206">
        <v>615</v>
      </c>
      <c r="U93" s="206">
        <v>720</v>
      </c>
      <c r="V93" s="12">
        <v>0.44280000000000003</v>
      </c>
      <c r="W93" s="198">
        <v>20</v>
      </c>
      <c r="X93" s="254">
        <v>1</v>
      </c>
      <c r="Y93" s="12" t="s">
        <v>75</v>
      </c>
      <c r="Z93" s="12"/>
      <c r="AA93" s="12" t="s">
        <v>108</v>
      </c>
      <c r="AB93" s="32" t="s">
        <v>967</v>
      </c>
      <c r="AC93" s="14">
        <v>45877</v>
      </c>
      <c r="AD93" s="15">
        <v>32</v>
      </c>
      <c r="AE93" s="176" t="s">
        <v>2893</v>
      </c>
      <c r="AF93" s="12">
        <v>371008747</v>
      </c>
      <c r="AG93" s="12" t="s">
        <v>122</v>
      </c>
      <c r="AH93" s="12" t="s">
        <v>314</v>
      </c>
      <c r="AI93" s="14">
        <v>45885</v>
      </c>
      <c r="AJ93" s="14">
        <v>45885</v>
      </c>
      <c r="AK93" s="14">
        <v>45885</v>
      </c>
      <c r="AL93" s="14">
        <v>45937</v>
      </c>
      <c r="AM93" s="14">
        <v>45931</v>
      </c>
      <c r="AN93" s="14">
        <v>45937</v>
      </c>
      <c r="AO93" s="91" t="s">
        <v>66</v>
      </c>
      <c r="AP93" s="12" t="s">
        <v>2840</v>
      </c>
      <c r="AQ93" s="12"/>
      <c r="AR93" s="12" t="s">
        <v>2870</v>
      </c>
      <c r="AS93" s="12" t="s">
        <v>2871</v>
      </c>
      <c r="AT93" s="12" t="s">
        <v>2871</v>
      </c>
      <c r="AU93" s="12">
        <v>53</v>
      </c>
      <c r="AV93" s="12" t="s">
        <v>83</v>
      </c>
      <c r="AW93" s="12">
        <v>3</v>
      </c>
      <c r="AX93" s="12">
        <v>60</v>
      </c>
      <c r="AY93" s="14">
        <v>45885</v>
      </c>
      <c r="AZ93" s="14">
        <v>45937</v>
      </c>
      <c r="BA93" s="12" t="e">
        <v>#N/A</v>
      </c>
      <c r="BB93" s="14" t="s">
        <v>2480</v>
      </c>
      <c r="BC93" s="14">
        <v>45951</v>
      </c>
      <c r="BD93" s="16">
        <v>2025</v>
      </c>
      <c r="BE93" s="16">
        <v>10</v>
      </c>
      <c r="BF93" s="16">
        <v>43</v>
      </c>
      <c r="BG93" s="191">
        <v>36</v>
      </c>
      <c r="BH93" s="191">
        <v>720</v>
      </c>
    </row>
    <row r="94" spans="1:60" s="23" customFormat="1" ht="10">
      <c r="A94" s="11" t="s">
        <v>2894</v>
      </c>
      <c r="B94" s="12" t="s">
        <v>61</v>
      </c>
      <c r="C94" s="12" t="s">
        <v>2714</v>
      </c>
      <c r="D94" s="12" t="s">
        <v>63</v>
      </c>
      <c r="E94" s="12" t="s">
        <v>68</v>
      </c>
      <c r="F94" s="12" t="s">
        <v>68</v>
      </c>
      <c r="G94" s="12"/>
      <c r="H94" s="12" t="s">
        <v>66</v>
      </c>
      <c r="I94" s="12" t="s">
        <v>1342</v>
      </c>
      <c r="J94" s="34" t="s">
        <v>68</v>
      </c>
      <c r="K94" s="12" t="s">
        <v>2895</v>
      </c>
      <c r="L94" s="13" t="s">
        <v>2497</v>
      </c>
      <c r="M94" s="12" t="s">
        <v>68</v>
      </c>
      <c r="N94" s="182"/>
      <c r="O94" s="12" t="s">
        <v>2475</v>
      </c>
      <c r="P94" s="12" t="s">
        <v>70</v>
      </c>
      <c r="Q94" s="12" t="s">
        <v>195</v>
      </c>
      <c r="R94" s="12">
        <v>554473</v>
      </c>
      <c r="S94" s="12" t="s">
        <v>196</v>
      </c>
      <c r="T94" s="206">
        <v>450</v>
      </c>
      <c r="U94" s="206">
        <v>1872</v>
      </c>
      <c r="V94" s="12">
        <v>0.84240000000000004</v>
      </c>
      <c r="W94" s="198">
        <v>52</v>
      </c>
      <c r="X94" s="254">
        <v>2</v>
      </c>
      <c r="Y94" s="12" t="s">
        <v>75</v>
      </c>
      <c r="Z94" s="12"/>
      <c r="AA94" s="12" t="s">
        <v>2658</v>
      </c>
      <c r="AB94" s="13" t="s">
        <v>967</v>
      </c>
      <c r="AC94" s="14">
        <v>45876</v>
      </c>
      <c r="AD94" s="15">
        <v>32</v>
      </c>
      <c r="AE94" s="176" t="s">
        <v>2896</v>
      </c>
      <c r="AF94" s="12" t="s">
        <v>2897</v>
      </c>
      <c r="AG94" s="12" t="s">
        <v>77</v>
      </c>
      <c r="AH94" s="12" t="s">
        <v>314</v>
      </c>
      <c r="AI94" s="14">
        <v>45880</v>
      </c>
      <c r="AJ94" s="14">
        <v>45880</v>
      </c>
      <c r="AK94" s="14">
        <v>45880</v>
      </c>
      <c r="AL94" s="14">
        <v>45953</v>
      </c>
      <c r="AM94" s="14">
        <v>45945</v>
      </c>
      <c r="AN94" s="14">
        <v>45953</v>
      </c>
      <c r="AO94" s="91" t="s">
        <v>66</v>
      </c>
      <c r="AP94" s="12" t="s">
        <v>2856</v>
      </c>
      <c r="AQ94" s="12"/>
      <c r="AR94" s="12" t="s">
        <v>2898</v>
      </c>
      <c r="AS94" s="12" t="s">
        <v>2899</v>
      </c>
      <c r="AT94" s="12" t="s">
        <v>2899</v>
      </c>
      <c r="AU94" s="12">
        <v>74</v>
      </c>
      <c r="AV94" s="12" t="s">
        <v>83</v>
      </c>
      <c r="AW94" s="12">
        <v>8</v>
      </c>
      <c r="AX94" s="12">
        <v>77</v>
      </c>
      <c r="AY94" s="14">
        <v>45880</v>
      </c>
      <c r="AZ94" s="14">
        <v>45953</v>
      </c>
      <c r="BA94" s="12" t="e">
        <v>#N/A</v>
      </c>
      <c r="BB94" s="14" t="s">
        <v>2480</v>
      </c>
      <c r="BC94" s="14">
        <v>45967</v>
      </c>
      <c r="BD94" s="16">
        <v>2025</v>
      </c>
      <c r="BE94" s="16">
        <v>11</v>
      </c>
      <c r="BF94" s="16">
        <v>45</v>
      </c>
      <c r="BG94" s="191">
        <v>36</v>
      </c>
      <c r="BH94" s="191">
        <v>936</v>
      </c>
    </row>
    <row r="95" spans="1:60" s="23" customFormat="1" ht="10">
      <c r="A95" s="11" t="s">
        <v>2900</v>
      </c>
      <c r="B95" s="12" t="s">
        <v>111</v>
      </c>
      <c r="C95" s="12" t="s">
        <v>2697</v>
      </c>
      <c r="D95" s="12" t="s">
        <v>63</v>
      </c>
      <c r="E95" s="12" t="s">
        <v>68</v>
      </c>
      <c r="F95" s="12" t="s">
        <v>68</v>
      </c>
      <c r="G95" s="12"/>
      <c r="H95" s="12" t="s">
        <v>146</v>
      </c>
      <c r="I95" s="12" t="s">
        <v>2665</v>
      </c>
      <c r="J95" s="34" t="s">
        <v>68</v>
      </c>
      <c r="K95" s="12">
        <v>46010679</v>
      </c>
      <c r="L95" s="13" t="s">
        <v>2666</v>
      </c>
      <c r="M95" s="12" t="s">
        <v>68</v>
      </c>
      <c r="N95" s="182"/>
      <c r="O95" s="12" t="s">
        <v>2475</v>
      </c>
      <c r="P95" s="12" t="s">
        <v>550</v>
      </c>
      <c r="Q95" s="12" t="s">
        <v>2699</v>
      </c>
      <c r="R95" s="12">
        <v>553120</v>
      </c>
      <c r="S95" s="12" t="s">
        <v>2700</v>
      </c>
      <c r="T95" s="206">
        <v>500</v>
      </c>
      <c r="U95" s="206">
        <v>792</v>
      </c>
      <c r="V95" s="12">
        <v>0.39600000000000002</v>
      </c>
      <c r="W95" s="198">
        <v>22</v>
      </c>
      <c r="X95" s="254">
        <v>1</v>
      </c>
      <c r="Y95" s="12" t="s">
        <v>75</v>
      </c>
      <c r="Z95" s="12"/>
      <c r="AA95" s="12" t="s">
        <v>85</v>
      </c>
      <c r="AB95" s="13" t="s">
        <v>2136</v>
      </c>
      <c r="AC95" s="14">
        <v>45879</v>
      </c>
      <c r="AD95" s="15">
        <v>32</v>
      </c>
      <c r="AE95" s="176" t="s">
        <v>2901</v>
      </c>
      <c r="AF95" s="12">
        <v>371008774</v>
      </c>
      <c r="AG95" s="12" t="s">
        <v>122</v>
      </c>
      <c r="AH95" s="12" t="s">
        <v>78</v>
      </c>
      <c r="AI95" s="14">
        <v>45885</v>
      </c>
      <c r="AJ95" s="14">
        <v>45885</v>
      </c>
      <c r="AK95" s="14">
        <v>45885</v>
      </c>
      <c r="AL95" s="14">
        <v>45942</v>
      </c>
      <c r="AM95" s="14"/>
      <c r="AN95" s="14">
        <v>45942</v>
      </c>
      <c r="AO95" s="91" t="s">
        <v>146</v>
      </c>
      <c r="AP95" s="12" t="s">
        <v>2850</v>
      </c>
      <c r="AQ95" s="12"/>
      <c r="AR95" s="12">
        <v>46010679</v>
      </c>
      <c r="AS95" s="12" t="s">
        <v>2902</v>
      </c>
      <c r="AT95" s="12" t="s">
        <v>2902</v>
      </c>
      <c r="AU95" s="12">
        <v>58</v>
      </c>
      <c r="AV95" s="12" t="s">
        <v>2493</v>
      </c>
      <c r="AW95" s="12">
        <v>5</v>
      </c>
      <c r="AX95" s="12">
        <v>63</v>
      </c>
      <c r="AY95" s="14">
        <v>45885</v>
      </c>
      <c r="AZ95" s="14">
        <v>45942</v>
      </c>
      <c r="BA95" s="12" t="e">
        <v>#N/A</v>
      </c>
      <c r="BB95" s="14" t="s">
        <v>2480</v>
      </c>
      <c r="BC95" s="14">
        <v>45956</v>
      </c>
      <c r="BD95" s="16">
        <v>2025</v>
      </c>
      <c r="BE95" s="16">
        <v>10</v>
      </c>
      <c r="BF95" s="16">
        <v>43</v>
      </c>
      <c r="BG95" s="191">
        <v>36</v>
      </c>
      <c r="BH95" s="191">
        <v>792</v>
      </c>
    </row>
    <row r="96" spans="1:60" s="23" customFormat="1" ht="10">
      <c r="A96" s="11" t="s">
        <v>2903</v>
      </c>
      <c r="B96" s="12" t="s">
        <v>111</v>
      </c>
      <c r="C96" s="12" t="s">
        <v>2904</v>
      </c>
      <c r="D96" s="12" t="s">
        <v>63</v>
      </c>
      <c r="E96" s="12" t="s">
        <v>64</v>
      </c>
      <c r="F96" s="12" t="s">
        <v>100</v>
      </c>
      <c r="G96" s="12" t="s">
        <v>67</v>
      </c>
      <c r="H96" s="12" t="s">
        <v>402</v>
      </c>
      <c r="I96" s="12" t="s">
        <v>677</v>
      </c>
      <c r="J96" s="34" t="s">
        <v>68</v>
      </c>
      <c r="K96" s="12">
        <v>14130691</v>
      </c>
      <c r="L96" s="13" t="s">
        <v>2732</v>
      </c>
      <c r="M96" s="213" t="s">
        <v>68</v>
      </c>
      <c r="N96" s="182"/>
      <c r="O96" s="12" t="s">
        <v>2475</v>
      </c>
      <c r="P96" s="12" t="s">
        <v>70</v>
      </c>
      <c r="Q96" s="12" t="s">
        <v>102</v>
      </c>
      <c r="R96" s="12">
        <v>554245</v>
      </c>
      <c r="S96" s="12" t="s">
        <v>103</v>
      </c>
      <c r="T96" s="206">
        <v>620</v>
      </c>
      <c r="U96" s="206">
        <v>7920</v>
      </c>
      <c r="V96" s="12">
        <v>4.9104000000000001</v>
      </c>
      <c r="W96" s="198">
        <v>220</v>
      </c>
      <c r="X96" s="254">
        <v>11</v>
      </c>
      <c r="Y96" s="12" t="s">
        <v>75</v>
      </c>
      <c r="Z96" s="12"/>
      <c r="AA96" s="12" t="s">
        <v>108</v>
      </c>
      <c r="AB96" s="13" t="s">
        <v>2905</v>
      </c>
      <c r="AC96" s="14">
        <v>45875</v>
      </c>
      <c r="AD96" s="15">
        <v>32</v>
      </c>
      <c r="AE96" s="176" t="s">
        <v>2906</v>
      </c>
      <c r="AF96" s="12">
        <v>371008755</v>
      </c>
      <c r="AG96" s="12" t="s">
        <v>122</v>
      </c>
      <c r="AH96" s="12" t="s">
        <v>105</v>
      </c>
      <c r="AI96" s="14">
        <v>45879</v>
      </c>
      <c r="AJ96" s="14">
        <v>45879</v>
      </c>
      <c r="AK96" s="14">
        <v>45879</v>
      </c>
      <c r="AL96" s="14">
        <v>45931</v>
      </c>
      <c r="AM96" s="14">
        <v>45919</v>
      </c>
      <c r="AN96" s="14">
        <v>45931</v>
      </c>
      <c r="AO96" s="91" t="s">
        <v>402</v>
      </c>
      <c r="AP96" s="12" t="s">
        <v>2845</v>
      </c>
      <c r="AQ96" s="12"/>
      <c r="AR96" s="12" t="s">
        <v>2907</v>
      </c>
      <c r="AS96" s="12" t="s">
        <v>2908</v>
      </c>
      <c r="AT96" s="12" t="s">
        <v>2908</v>
      </c>
      <c r="AU96" s="12">
        <v>53</v>
      </c>
      <c r="AV96" s="12" t="s">
        <v>2493</v>
      </c>
      <c r="AW96" s="12">
        <v>6</v>
      </c>
      <c r="AX96" s="12">
        <v>56</v>
      </c>
      <c r="AY96" s="14">
        <v>45879</v>
      </c>
      <c r="AZ96" s="14">
        <v>45931</v>
      </c>
      <c r="BA96" s="12" t="e">
        <v>#N/A</v>
      </c>
      <c r="BB96" s="14" t="s">
        <v>2480</v>
      </c>
      <c r="BC96" s="14">
        <v>45945</v>
      </c>
      <c r="BD96" s="16">
        <v>2025</v>
      </c>
      <c r="BE96" s="16">
        <v>10</v>
      </c>
      <c r="BF96" s="16">
        <v>42</v>
      </c>
      <c r="BG96" s="191">
        <v>36</v>
      </c>
      <c r="BH96" s="191">
        <v>720</v>
      </c>
    </row>
    <row r="97" spans="1:60" s="23" customFormat="1" ht="10">
      <c r="A97" s="11" t="s">
        <v>2909</v>
      </c>
      <c r="B97" s="12" t="s">
        <v>111</v>
      </c>
      <c r="C97" s="12" t="s">
        <v>2910</v>
      </c>
      <c r="D97" s="12" t="s">
        <v>63</v>
      </c>
      <c r="E97" s="12" t="s">
        <v>64</v>
      </c>
      <c r="F97" s="12" t="s">
        <v>100</v>
      </c>
      <c r="G97" s="12" t="s">
        <v>67</v>
      </c>
      <c r="H97" s="12" t="s">
        <v>402</v>
      </c>
      <c r="I97" s="12" t="s">
        <v>677</v>
      </c>
      <c r="J97" s="34" t="s">
        <v>68</v>
      </c>
      <c r="K97" s="12">
        <v>14130691</v>
      </c>
      <c r="L97" s="13" t="s">
        <v>2732</v>
      </c>
      <c r="M97" s="213" t="s">
        <v>68</v>
      </c>
      <c r="N97" s="182"/>
      <c r="O97" s="12" t="s">
        <v>2475</v>
      </c>
      <c r="P97" s="12" t="s">
        <v>70</v>
      </c>
      <c r="Q97" s="12" t="s">
        <v>1002</v>
      </c>
      <c r="R97" s="12">
        <v>554246</v>
      </c>
      <c r="S97" s="12" t="s">
        <v>330</v>
      </c>
      <c r="T97" s="206">
        <v>625</v>
      </c>
      <c r="U97" s="206">
        <v>2880</v>
      </c>
      <c r="V97" s="12">
        <v>1.8</v>
      </c>
      <c r="W97" s="198">
        <v>80</v>
      </c>
      <c r="X97" s="254">
        <v>4</v>
      </c>
      <c r="Y97" s="12" t="s">
        <v>75</v>
      </c>
      <c r="Z97" s="12"/>
      <c r="AA97" s="12" t="s">
        <v>108</v>
      </c>
      <c r="AB97" s="13" t="s">
        <v>2905</v>
      </c>
      <c r="AC97" s="14">
        <v>45875</v>
      </c>
      <c r="AD97" s="15">
        <v>32</v>
      </c>
      <c r="AE97" s="176" t="s">
        <v>2911</v>
      </c>
      <c r="AF97" s="12">
        <v>371008756</v>
      </c>
      <c r="AG97" s="12" t="s">
        <v>122</v>
      </c>
      <c r="AH97" s="12" t="s">
        <v>105</v>
      </c>
      <c r="AI97" s="14">
        <v>45879</v>
      </c>
      <c r="AJ97" s="14">
        <v>45879</v>
      </c>
      <c r="AK97" s="14">
        <v>45879</v>
      </c>
      <c r="AL97" s="14">
        <v>45931</v>
      </c>
      <c r="AM97" s="14">
        <v>45919</v>
      </c>
      <c r="AN97" s="14">
        <v>45931</v>
      </c>
      <c r="AO97" s="91" t="s">
        <v>402</v>
      </c>
      <c r="AP97" s="12" t="s">
        <v>2845</v>
      </c>
      <c r="AQ97" s="12"/>
      <c r="AR97" s="12" t="s">
        <v>2907</v>
      </c>
      <c r="AS97" s="12" t="s">
        <v>2908</v>
      </c>
      <c r="AT97" s="12" t="s">
        <v>2908</v>
      </c>
      <c r="AU97" s="12">
        <v>53</v>
      </c>
      <c r="AV97" s="12" t="s">
        <v>2493</v>
      </c>
      <c r="AW97" s="12">
        <v>5</v>
      </c>
      <c r="AX97" s="12">
        <v>56</v>
      </c>
      <c r="AY97" s="14">
        <v>45879</v>
      </c>
      <c r="AZ97" s="14">
        <v>45931</v>
      </c>
      <c r="BA97" s="12" t="e">
        <v>#N/A</v>
      </c>
      <c r="BB97" s="14" t="s">
        <v>2480</v>
      </c>
      <c r="BC97" s="14">
        <v>45945</v>
      </c>
      <c r="BD97" s="16">
        <v>2025</v>
      </c>
      <c r="BE97" s="16">
        <v>10</v>
      </c>
      <c r="BF97" s="16">
        <v>42</v>
      </c>
      <c r="BG97" s="191">
        <v>36</v>
      </c>
      <c r="BH97" s="191">
        <v>720</v>
      </c>
    </row>
    <row r="98" spans="1:60" s="23" customFormat="1" ht="10">
      <c r="A98" s="11" t="s">
        <v>2912</v>
      </c>
      <c r="B98" s="12" t="s">
        <v>111</v>
      </c>
      <c r="C98" s="12" t="s">
        <v>2750</v>
      </c>
      <c r="D98" s="12" t="s">
        <v>63</v>
      </c>
      <c r="E98" s="12" t="s">
        <v>64</v>
      </c>
      <c r="F98" s="12" t="s">
        <v>100</v>
      </c>
      <c r="G98" s="12" t="s">
        <v>67</v>
      </c>
      <c r="H98" s="12" t="s">
        <v>66</v>
      </c>
      <c r="I98" s="12" t="s">
        <v>96</v>
      </c>
      <c r="J98" s="34" t="s">
        <v>68</v>
      </c>
      <c r="K98" s="12"/>
      <c r="L98" s="13" t="s">
        <v>2474</v>
      </c>
      <c r="M98" s="213" t="s">
        <v>68</v>
      </c>
      <c r="N98" s="182"/>
      <c r="O98" s="12" t="s">
        <v>2475</v>
      </c>
      <c r="P98" s="12" t="s">
        <v>170</v>
      </c>
      <c r="Q98" s="12" t="s">
        <v>171</v>
      </c>
      <c r="R98" s="12">
        <v>552045</v>
      </c>
      <c r="S98" s="12" t="s">
        <v>172</v>
      </c>
      <c r="T98" s="206">
        <v>555</v>
      </c>
      <c r="U98" s="206">
        <v>1320</v>
      </c>
      <c r="V98" s="12">
        <v>0.73260000000000003</v>
      </c>
      <c r="W98" s="198">
        <v>40</v>
      </c>
      <c r="X98" s="254">
        <v>2</v>
      </c>
      <c r="Y98" s="12" t="s">
        <v>75</v>
      </c>
      <c r="Z98" s="12"/>
      <c r="AA98" s="12" t="s">
        <v>108</v>
      </c>
      <c r="AB98" s="13" t="s">
        <v>992</v>
      </c>
      <c r="AC98" s="14">
        <v>45875</v>
      </c>
      <c r="AD98" s="15">
        <v>32</v>
      </c>
      <c r="AE98" s="176" t="s">
        <v>2913</v>
      </c>
      <c r="AF98" s="12">
        <v>371008754</v>
      </c>
      <c r="AG98" s="12" t="s">
        <v>122</v>
      </c>
      <c r="AH98" s="12" t="s">
        <v>105</v>
      </c>
      <c r="AI98" s="14">
        <v>45879</v>
      </c>
      <c r="AJ98" s="14">
        <v>45879</v>
      </c>
      <c r="AK98" s="14">
        <v>45879</v>
      </c>
      <c r="AL98" s="14">
        <v>45931</v>
      </c>
      <c r="AM98" s="14">
        <v>45919</v>
      </c>
      <c r="AN98" s="14">
        <v>45931</v>
      </c>
      <c r="AO98" s="91" t="s">
        <v>66</v>
      </c>
      <c r="AP98" s="12" t="s">
        <v>2845</v>
      </c>
      <c r="AQ98" s="12"/>
      <c r="AR98" s="12" t="s">
        <v>2846</v>
      </c>
      <c r="AS98" s="12" t="s">
        <v>2847</v>
      </c>
      <c r="AT98" s="12" t="s">
        <v>2847</v>
      </c>
      <c r="AU98" s="12">
        <v>53</v>
      </c>
      <c r="AV98" s="12" t="s">
        <v>83</v>
      </c>
      <c r="AW98" s="12">
        <v>11</v>
      </c>
      <c r="AX98" s="12">
        <v>56</v>
      </c>
      <c r="AY98" s="14">
        <v>45879</v>
      </c>
      <c r="AZ98" s="14">
        <v>45931</v>
      </c>
      <c r="BA98" s="12" t="e">
        <v>#N/A</v>
      </c>
      <c r="BB98" s="14" t="s">
        <v>2480</v>
      </c>
      <c r="BC98" s="14">
        <v>45945</v>
      </c>
      <c r="BD98" s="16">
        <v>2025</v>
      </c>
      <c r="BE98" s="16">
        <v>10</v>
      </c>
      <c r="BF98" s="16">
        <v>42</v>
      </c>
      <c r="BG98" s="191">
        <v>33</v>
      </c>
      <c r="BH98" s="191">
        <v>660</v>
      </c>
    </row>
    <row r="99" spans="1:60" s="23" customFormat="1" ht="10">
      <c r="A99" s="11" t="s">
        <v>2914</v>
      </c>
      <c r="B99" s="12" t="s">
        <v>61</v>
      </c>
      <c r="C99" s="12" t="s">
        <v>2915</v>
      </c>
      <c r="D99" s="12" t="s">
        <v>63</v>
      </c>
      <c r="E99" s="12" t="s">
        <v>68</v>
      </c>
      <c r="F99" s="12" t="s">
        <v>68</v>
      </c>
      <c r="G99" s="12"/>
      <c r="H99" s="12" t="s">
        <v>146</v>
      </c>
      <c r="I99" s="12" t="s">
        <v>2671</v>
      </c>
      <c r="J99" s="34" t="s">
        <v>68</v>
      </c>
      <c r="K99" s="12" t="s">
        <v>2916</v>
      </c>
      <c r="L99" s="13" t="s">
        <v>2666</v>
      </c>
      <c r="M99" s="12" t="s">
        <v>68</v>
      </c>
      <c r="N99" s="182"/>
      <c r="O99" s="12" t="s">
        <v>2475</v>
      </c>
      <c r="P99" s="12" t="s">
        <v>70</v>
      </c>
      <c r="Q99" s="12" t="s">
        <v>91</v>
      </c>
      <c r="R99" s="12">
        <v>554480</v>
      </c>
      <c r="S99" s="12" t="s">
        <v>92</v>
      </c>
      <c r="T99" s="206">
        <v>450</v>
      </c>
      <c r="U99" s="206">
        <v>936</v>
      </c>
      <c r="V99" s="12">
        <v>0.42120000000000002</v>
      </c>
      <c r="W99" s="198">
        <v>26</v>
      </c>
      <c r="X99" s="254">
        <v>1</v>
      </c>
      <c r="Y99" s="12" t="s">
        <v>75</v>
      </c>
      <c r="AA99" s="12" t="s">
        <v>94</v>
      </c>
      <c r="AB99" s="32" t="s">
        <v>967</v>
      </c>
      <c r="AC99" s="14">
        <v>45876</v>
      </c>
      <c r="AD99" s="15">
        <v>32</v>
      </c>
      <c r="AE99" s="176" t="s">
        <v>2917</v>
      </c>
      <c r="AF99" s="12">
        <v>371008749</v>
      </c>
      <c r="AG99" s="12" t="s">
        <v>77</v>
      </c>
      <c r="AH99" s="12" t="s">
        <v>78</v>
      </c>
      <c r="AI99" s="14">
        <v>45880</v>
      </c>
      <c r="AJ99" s="14">
        <v>45880</v>
      </c>
      <c r="AK99" s="14">
        <v>45880</v>
      </c>
      <c r="AL99" s="14">
        <v>45957</v>
      </c>
      <c r="AM99" s="14">
        <v>45950</v>
      </c>
      <c r="AN99" s="14">
        <v>45957</v>
      </c>
      <c r="AO99" s="91" t="s">
        <v>66</v>
      </c>
      <c r="AP99" s="12" t="s">
        <v>2856</v>
      </c>
      <c r="AQ99" s="12"/>
      <c r="AR99" s="12" t="s">
        <v>2918</v>
      </c>
      <c r="AS99" s="12" t="s">
        <v>2919</v>
      </c>
      <c r="AT99" s="12" t="s">
        <v>2919</v>
      </c>
      <c r="AU99" s="12">
        <v>78</v>
      </c>
      <c r="AV99" s="12" t="s">
        <v>83</v>
      </c>
      <c r="AW99" s="12">
        <v>5</v>
      </c>
      <c r="AX99" s="12">
        <v>81</v>
      </c>
      <c r="AY99" s="14">
        <v>45880</v>
      </c>
      <c r="AZ99" s="14">
        <v>45957</v>
      </c>
      <c r="BA99" s="12" t="e">
        <v>#N/A</v>
      </c>
      <c r="BB99" s="14" t="s">
        <v>2480</v>
      </c>
      <c r="BC99" s="14">
        <v>45971</v>
      </c>
      <c r="BD99" s="16">
        <v>2025</v>
      </c>
      <c r="BE99" s="16">
        <v>11</v>
      </c>
      <c r="BF99" s="16">
        <v>46</v>
      </c>
      <c r="BG99" s="191">
        <v>36</v>
      </c>
      <c r="BH99" s="191">
        <v>936</v>
      </c>
    </row>
    <row r="100" spans="1:60" s="23" customFormat="1" ht="10">
      <c r="A100" s="11" t="s">
        <v>2920</v>
      </c>
      <c r="B100" s="12" t="s">
        <v>61</v>
      </c>
      <c r="C100" s="12" t="s">
        <v>2915</v>
      </c>
      <c r="D100" s="12" t="s">
        <v>63</v>
      </c>
      <c r="E100" s="12" t="s">
        <v>68</v>
      </c>
      <c r="F100" s="12" t="s">
        <v>68</v>
      </c>
      <c r="G100" s="12"/>
      <c r="H100" s="12" t="s">
        <v>146</v>
      </c>
      <c r="I100" s="12" t="s">
        <v>147</v>
      </c>
      <c r="J100" s="34" t="s">
        <v>68</v>
      </c>
      <c r="K100" s="12">
        <v>46010731</v>
      </c>
      <c r="L100" s="13" t="s">
        <v>2666</v>
      </c>
      <c r="M100" s="12" t="s">
        <v>68</v>
      </c>
      <c r="N100" s="182"/>
      <c r="O100" s="12" t="s">
        <v>2475</v>
      </c>
      <c r="P100" s="12" t="s">
        <v>70</v>
      </c>
      <c r="Q100" s="12" t="s">
        <v>91</v>
      </c>
      <c r="R100" s="12">
        <v>554480</v>
      </c>
      <c r="S100" s="12" t="s">
        <v>92</v>
      </c>
      <c r="T100" s="206">
        <v>450</v>
      </c>
      <c r="U100" s="206">
        <v>936</v>
      </c>
      <c r="V100" s="12">
        <v>0.42120000000000002</v>
      </c>
      <c r="W100" s="198">
        <v>26</v>
      </c>
      <c r="X100" s="254">
        <v>1</v>
      </c>
      <c r="Y100" s="12" t="s">
        <v>75</v>
      </c>
      <c r="AA100" s="12" t="s">
        <v>94</v>
      </c>
      <c r="AB100" s="32" t="s">
        <v>967</v>
      </c>
      <c r="AC100" s="14">
        <v>45876</v>
      </c>
      <c r="AD100" s="15">
        <v>32</v>
      </c>
      <c r="AE100" s="176" t="s">
        <v>2921</v>
      </c>
      <c r="AF100" s="12">
        <v>371008748</v>
      </c>
      <c r="AG100" s="12" t="s">
        <v>77</v>
      </c>
      <c r="AH100" s="12" t="s">
        <v>78</v>
      </c>
      <c r="AI100" s="14">
        <v>45880</v>
      </c>
      <c r="AJ100" s="14">
        <v>45880</v>
      </c>
      <c r="AK100" s="14">
        <v>45880</v>
      </c>
      <c r="AL100" s="14">
        <v>45957</v>
      </c>
      <c r="AM100" s="14">
        <v>45950</v>
      </c>
      <c r="AN100" s="14">
        <v>45957</v>
      </c>
      <c r="AO100" s="91" t="s">
        <v>146</v>
      </c>
      <c r="AP100" s="12" t="s">
        <v>2856</v>
      </c>
      <c r="AQ100" s="12"/>
      <c r="AR100" s="12" t="s">
        <v>2922</v>
      </c>
      <c r="AS100" s="12" t="s">
        <v>2923</v>
      </c>
      <c r="AT100" s="12" t="s">
        <v>2923</v>
      </c>
      <c r="AU100" s="12">
        <v>78</v>
      </c>
      <c r="AV100" s="12" t="s">
        <v>2493</v>
      </c>
      <c r="AW100" s="12">
        <v>5</v>
      </c>
      <c r="AX100" s="12">
        <v>81</v>
      </c>
      <c r="AY100" s="14">
        <v>45880</v>
      </c>
      <c r="AZ100" s="14">
        <v>45957</v>
      </c>
      <c r="BA100" s="12" t="e">
        <v>#N/A</v>
      </c>
      <c r="BB100" s="14" t="s">
        <v>2480</v>
      </c>
      <c r="BC100" s="14">
        <v>45971</v>
      </c>
      <c r="BD100" s="16">
        <v>2025</v>
      </c>
      <c r="BE100" s="16">
        <v>11</v>
      </c>
      <c r="BF100" s="16">
        <v>46</v>
      </c>
      <c r="BG100" s="191">
        <v>36</v>
      </c>
      <c r="BH100" s="191">
        <v>936</v>
      </c>
    </row>
    <row r="101" spans="1:60" s="23" customFormat="1" ht="10">
      <c r="A101" s="11" t="s">
        <v>2924</v>
      </c>
      <c r="B101" s="12" t="s">
        <v>61</v>
      </c>
      <c r="C101" s="12" t="s">
        <v>2915</v>
      </c>
      <c r="D101" s="12" t="s">
        <v>63</v>
      </c>
      <c r="E101" s="12" t="s">
        <v>68</v>
      </c>
      <c r="F101" s="12" t="s">
        <v>68</v>
      </c>
      <c r="G101" s="12"/>
      <c r="H101" s="12" t="s">
        <v>146</v>
      </c>
      <c r="I101" s="12" t="s">
        <v>2665</v>
      </c>
      <c r="J101" s="34" t="s">
        <v>68</v>
      </c>
      <c r="K101" s="12">
        <v>46010731</v>
      </c>
      <c r="L101" s="13" t="s">
        <v>2666</v>
      </c>
      <c r="M101" s="12" t="s">
        <v>68</v>
      </c>
      <c r="N101" s="182"/>
      <c r="O101" s="12" t="s">
        <v>2475</v>
      </c>
      <c r="P101" s="12" t="s">
        <v>70</v>
      </c>
      <c r="Q101" s="12" t="s">
        <v>91</v>
      </c>
      <c r="R101" s="12">
        <v>554480</v>
      </c>
      <c r="S101" s="12" t="s">
        <v>92</v>
      </c>
      <c r="T101" s="206">
        <v>450</v>
      </c>
      <c r="U101" s="206">
        <v>936</v>
      </c>
      <c r="V101" s="12">
        <v>0.42120000000000002</v>
      </c>
      <c r="W101" s="198">
        <v>26</v>
      </c>
      <c r="X101" s="254">
        <v>1</v>
      </c>
      <c r="Y101" s="12" t="s">
        <v>75</v>
      </c>
      <c r="AA101" s="12" t="s">
        <v>94</v>
      </c>
      <c r="AB101" s="32" t="s">
        <v>967</v>
      </c>
      <c r="AC101" s="14">
        <v>45876</v>
      </c>
      <c r="AD101" s="15">
        <v>32</v>
      </c>
      <c r="AE101" s="176" t="s">
        <v>2921</v>
      </c>
      <c r="AF101" s="12">
        <v>371008748</v>
      </c>
      <c r="AG101" s="12" t="s">
        <v>77</v>
      </c>
      <c r="AH101" s="12" t="s">
        <v>78</v>
      </c>
      <c r="AI101" s="14">
        <v>45880</v>
      </c>
      <c r="AJ101" s="14">
        <v>45880</v>
      </c>
      <c r="AK101" s="14">
        <v>45880</v>
      </c>
      <c r="AL101" s="14">
        <v>45957</v>
      </c>
      <c r="AM101" s="14">
        <v>45950</v>
      </c>
      <c r="AN101" s="14">
        <v>45957</v>
      </c>
      <c r="AO101" s="91" t="s">
        <v>146</v>
      </c>
      <c r="AP101" s="12" t="s">
        <v>2856</v>
      </c>
      <c r="AQ101" s="12"/>
      <c r="AR101" s="12" t="s">
        <v>2922</v>
      </c>
      <c r="AS101" s="12" t="s">
        <v>2925</v>
      </c>
      <c r="AT101" s="12" t="s">
        <v>2923</v>
      </c>
      <c r="AU101" s="12">
        <v>78</v>
      </c>
      <c r="AV101" s="12" t="s">
        <v>2493</v>
      </c>
      <c r="AW101" s="12">
        <v>5</v>
      </c>
      <c r="AX101" s="12">
        <v>81</v>
      </c>
      <c r="AY101" s="14">
        <v>45880</v>
      </c>
      <c r="AZ101" s="14">
        <v>45957</v>
      </c>
      <c r="BA101" s="12" t="e">
        <v>#N/A</v>
      </c>
      <c r="BB101" s="14" t="s">
        <v>2480</v>
      </c>
      <c r="BC101" s="14">
        <v>45971</v>
      </c>
      <c r="BD101" s="16">
        <v>2025</v>
      </c>
      <c r="BE101" s="16">
        <v>11</v>
      </c>
      <c r="BF101" s="16">
        <v>46</v>
      </c>
      <c r="BG101" s="191">
        <v>36</v>
      </c>
      <c r="BH101" s="191">
        <v>936</v>
      </c>
    </row>
    <row r="102" spans="1:60" s="23" customFormat="1" ht="10">
      <c r="A102" s="11" t="s">
        <v>2926</v>
      </c>
      <c r="B102" s="12" t="s">
        <v>1888</v>
      </c>
      <c r="C102" s="12" t="s">
        <v>2664</v>
      </c>
      <c r="D102" s="12" t="s">
        <v>63</v>
      </c>
      <c r="E102" s="12" t="s">
        <v>68</v>
      </c>
      <c r="F102" s="12" t="s">
        <v>68</v>
      </c>
      <c r="G102" s="12"/>
      <c r="H102" s="12" t="s">
        <v>146</v>
      </c>
      <c r="I102" s="12" t="s">
        <v>2665</v>
      </c>
      <c r="J102" s="34" t="s">
        <v>68</v>
      </c>
      <c r="K102" s="12">
        <v>46010813</v>
      </c>
      <c r="L102" s="13" t="s">
        <v>2666</v>
      </c>
      <c r="M102" s="12" t="s">
        <v>68</v>
      </c>
      <c r="N102" s="182"/>
      <c r="O102" s="12" t="s">
        <v>2475</v>
      </c>
      <c r="P102" s="12" t="s">
        <v>70</v>
      </c>
      <c r="Q102" s="12" t="s">
        <v>71</v>
      </c>
      <c r="R102" s="12">
        <v>554475</v>
      </c>
      <c r="S102" s="12" t="s">
        <v>72</v>
      </c>
      <c r="T102" s="206">
        <v>500</v>
      </c>
      <c r="U102" s="206">
        <v>1728</v>
      </c>
      <c r="V102" s="12">
        <v>0.86399999999999999</v>
      </c>
      <c r="W102" s="198">
        <v>48</v>
      </c>
      <c r="X102" s="254">
        <v>2</v>
      </c>
      <c r="Y102" s="12" t="s">
        <v>75</v>
      </c>
      <c r="Z102" s="12"/>
      <c r="AA102" s="12" t="s">
        <v>2658</v>
      </c>
      <c r="AB102" s="13" t="s">
        <v>967</v>
      </c>
      <c r="AC102" s="14">
        <v>45886</v>
      </c>
      <c r="AD102" s="15">
        <v>33</v>
      </c>
      <c r="AE102" s="176" t="s">
        <v>2927</v>
      </c>
      <c r="AF102" s="12">
        <v>371008771</v>
      </c>
      <c r="AG102" s="12" t="s">
        <v>122</v>
      </c>
      <c r="AH102" s="12" t="s">
        <v>78</v>
      </c>
      <c r="AI102" s="14">
        <v>45892</v>
      </c>
      <c r="AJ102" s="14">
        <v>45892</v>
      </c>
      <c r="AK102" s="14">
        <v>45892</v>
      </c>
      <c r="AL102" s="14">
        <v>45948</v>
      </c>
      <c r="AM102" s="14"/>
      <c r="AN102" s="14">
        <v>45948</v>
      </c>
      <c r="AO102" s="91" t="s">
        <v>146</v>
      </c>
      <c r="AP102" s="12" t="s">
        <v>2928</v>
      </c>
      <c r="AQ102" s="12"/>
      <c r="AR102" s="12">
        <v>46010813</v>
      </c>
      <c r="AS102" s="12" t="s">
        <v>2929</v>
      </c>
      <c r="AT102" s="12" t="s">
        <v>2929</v>
      </c>
      <c r="AU102" s="12">
        <v>57</v>
      </c>
      <c r="AV102" s="12" t="s">
        <v>2493</v>
      </c>
      <c r="AW102" s="12">
        <v>12</v>
      </c>
      <c r="AX102" s="12">
        <v>62</v>
      </c>
      <c r="AY102" s="14">
        <v>45892</v>
      </c>
      <c r="AZ102" s="14">
        <v>45948</v>
      </c>
      <c r="BA102" s="12" t="e">
        <v>#N/A</v>
      </c>
      <c r="BB102" s="14" t="s">
        <v>2480</v>
      </c>
      <c r="BC102" s="14">
        <v>45962</v>
      </c>
      <c r="BD102" s="16">
        <v>2025</v>
      </c>
      <c r="BE102" s="16">
        <v>11</v>
      </c>
      <c r="BF102" s="16">
        <v>44</v>
      </c>
      <c r="BG102" s="191">
        <v>36</v>
      </c>
      <c r="BH102" s="191">
        <v>864</v>
      </c>
    </row>
    <row r="103" spans="1:60" s="23" customFormat="1" ht="10">
      <c r="A103" s="11" t="s">
        <v>2930</v>
      </c>
      <c r="B103" s="12" t="s">
        <v>2774</v>
      </c>
      <c r="C103" s="12" t="s">
        <v>2775</v>
      </c>
      <c r="D103" s="12" t="s">
        <v>63</v>
      </c>
      <c r="E103" s="12" t="s">
        <v>64</v>
      </c>
      <c r="F103" s="12" t="s">
        <v>100</v>
      </c>
      <c r="G103" s="12" t="s">
        <v>67</v>
      </c>
      <c r="H103" s="12" t="s">
        <v>66</v>
      </c>
      <c r="I103" s="12" t="s">
        <v>2790</v>
      </c>
      <c r="J103" s="34" t="s">
        <v>68</v>
      </c>
      <c r="K103" s="12"/>
      <c r="L103" s="13" t="s">
        <v>2719</v>
      </c>
      <c r="M103" s="213" t="s">
        <v>68</v>
      </c>
      <c r="N103" s="182"/>
      <c r="O103" s="12" t="s">
        <v>2475</v>
      </c>
      <c r="P103" s="12" t="s">
        <v>284</v>
      </c>
      <c r="Q103" s="12" t="s">
        <v>2777</v>
      </c>
      <c r="R103" s="12">
        <v>554320</v>
      </c>
      <c r="S103" s="12" t="s">
        <v>2778</v>
      </c>
      <c r="T103" s="206">
        <v>465</v>
      </c>
      <c r="U103" s="206">
        <v>1924</v>
      </c>
      <c r="V103" s="12">
        <v>0.89466000000000001</v>
      </c>
      <c r="W103" s="198">
        <v>52</v>
      </c>
      <c r="X103" s="254">
        <v>2</v>
      </c>
      <c r="Y103" s="12" t="s">
        <v>75</v>
      </c>
      <c r="Z103" s="12"/>
      <c r="AA103" s="12" t="s">
        <v>85</v>
      </c>
      <c r="AB103" s="13" t="s">
        <v>967</v>
      </c>
      <c r="AC103" s="14">
        <v>45881</v>
      </c>
      <c r="AD103" s="15">
        <v>33</v>
      </c>
      <c r="AE103" s="176" t="s">
        <v>2931</v>
      </c>
      <c r="AF103" s="12">
        <v>371008772</v>
      </c>
      <c r="AG103" s="12" t="s">
        <v>288</v>
      </c>
      <c r="AH103" s="12" t="s">
        <v>105</v>
      </c>
      <c r="AI103" s="14">
        <v>45892</v>
      </c>
      <c r="AJ103" s="14">
        <v>45892</v>
      </c>
      <c r="AK103" s="14">
        <v>45892</v>
      </c>
      <c r="AL103" s="14">
        <v>45924</v>
      </c>
      <c r="AM103" s="14">
        <v>45917</v>
      </c>
      <c r="AN103" s="14">
        <v>45924</v>
      </c>
      <c r="AO103" s="91" t="s">
        <v>66</v>
      </c>
      <c r="AP103" s="12" t="s">
        <v>2932</v>
      </c>
      <c r="AQ103" s="12"/>
      <c r="AR103" s="12" t="s">
        <v>2933</v>
      </c>
      <c r="AS103" s="12" t="s">
        <v>2934</v>
      </c>
      <c r="AT103" s="12" t="s">
        <v>2934</v>
      </c>
      <c r="AU103" s="12">
        <v>33</v>
      </c>
      <c r="AV103" s="12" t="s">
        <v>83</v>
      </c>
      <c r="AW103" s="12">
        <v>8</v>
      </c>
      <c r="AX103" s="12">
        <v>43</v>
      </c>
      <c r="AY103" s="14">
        <v>45892</v>
      </c>
      <c r="AZ103" s="14">
        <v>45924</v>
      </c>
      <c r="BA103" s="12" t="e">
        <v>#N/A</v>
      </c>
      <c r="BB103" s="14" t="s">
        <v>2480</v>
      </c>
      <c r="BC103" s="14">
        <v>45938</v>
      </c>
      <c r="BD103" s="16">
        <v>2025</v>
      </c>
      <c r="BE103" s="16">
        <v>10</v>
      </c>
      <c r="BF103" s="16">
        <v>41</v>
      </c>
      <c r="BG103" s="191">
        <v>37</v>
      </c>
      <c r="BH103" s="191">
        <v>962</v>
      </c>
    </row>
    <row r="104" spans="1:60" s="23" customFormat="1" ht="10">
      <c r="A104" s="11" t="s">
        <v>2935</v>
      </c>
      <c r="B104" s="12" t="s">
        <v>111</v>
      </c>
      <c r="C104" s="12" t="s">
        <v>2750</v>
      </c>
      <c r="D104" s="12" t="s">
        <v>63</v>
      </c>
      <c r="E104" s="12" t="s">
        <v>68</v>
      </c>
      <c r="F104" s="12" t="s">
        <v>68</v>
      </c>
      <c r="G104" s="12"/>
      <c r="H104" s="12" t="s">
        <v>66</v>
      </c>
      <c r="I104" s="12" t="s">
        <v>1559</v>
      </c>
      <c r="J104" s="34" t="s">
        <v>68</v>
      </c>
      <c r="K104" s="12"/>
      <c r="L104" s="13" t="s">
        <v>2497</v>
      </c>
      <c r="M104" s="12" t="s">
        <v>68</v>
      </c>
      <c r="N104" s="182"/>
      <c r="O104" s="12" t="s">
        <v>2475</v>
      </c>
      <c r="P104" s="12" t="s">
        <v>170</v>
      </c>
      <c r="Q104" s="12" t="s">
        <v>171</v>
      </c>
      <c r="R104" s="12">
        <v>552045</v>
      </c>
      <c r="S104" s="12" t="s">
        <v>172</v>
      </c>
      <c r="T104" s="206">
        <v>555</v>
      </c>
      <c r="U104" s="206">
        <v>1320</v>
      </c>
      <c r="V104" s="12">
        <v>0.73260000000000003</v>
      </c>
      <c r="W104" s="198">
        <v>40</v>
      </c>
      <c r="X104" s="254">
        <v>2</v>
      </c>
      <c r="Y104" s="12" t="s">
        <v>75</v>
      </c>
      <c r="Z104" s="12"/>
      <c r="AA104" s="12" t="s">
        <v>108</v>
      </c>
      <c r="AB104" s="13" t="s">
        <v>992</v>
      </c>
      <c r="AC104" s="14">
        <v>45885</v>
      </c>
      <c r="AD104" s="15">
        <v>33</v>
      </c>
      <c r="AE104" s="176" t="s">
        <v>2936</v>
      </c>
      <c r="AF104" s="12">
        <v>371008777</v>
      </c>
      <c r="AG104" s="12" t="s">
        <v>122</v>
      </c>
      <c r="AH104" s="12" t="s">
        <v>1561</v>
      </c>
      <c r="AI104" s="14">
        <v>45892</v>
      </c>
      <c r="AJ104" s="14">
        <v>45892</v>
      </c>
      <c r="AK104" s="14">
        <v>45892</v>
      </c>
      <c r="AL104" s="14">
        <v>45967</v>
      </c>
      <c r="AM104" s="14"/>
      <c r="AN104" s="14">
        <v>45967</v>
      </c>
      <c r="AO104" s="91" t="s">
        <v>66</v>
      </c>
      <c r="AP104" s="12" t="s">
        <v>2928</v>
      </c>
      <c r="AQ104" s="12"/>
      <c r="AR104" s="12" t="s">
        <v>2937</v>
      </c>
      <c r="AS104" s="12" t="s">
        <v>2938</v>
      </c>
      <c r="AT104" s="12" t="s">
        <v>2939</v>
      </c>
      <c r="AU104" s="12">
        <v>76</v>
      </c>
      <c r="AV104" s="12" t="s">
        <v>83</v>
      </c>
      <c r="AW104" s="12">
        <v>11</v>
      </c>
      <c r="AX104" s="12">
        <v>82</v>
      </c>
      <c r="AY104" s="14">
        <v>45892</v>
      </c>
      <c r="AZ104" s="14">
        <v>45967</v>
      </c>
      <c r="BA104" s="12" t="e">
        <v>#N/A</v>
      </c>
      <c r="BB104" s="14" t="s">
        <v>2480</v>
      </c>
      <c r="BC104" s="14">
        <v>45981</v>
      </c>
      <c r="BD104" s="16">
        <v>2025</v>
      </c>
      <c r="BE104" s="16">
        <v>11</v>
      </c>
      <c r="BF104" s="16">
        <v>47</v>
      </c>
      <c r="BG104" s="191">
        <v>33</v>
      </c>
      <c r="BH104" s="191">
        <v>660</v>
      </c>
    </row>
    <row r="105" spans="1:60" s="23" customFormat="1" ht="10">
      <c r="A105" s="11" t="s">
        <v>2940</v>
      </c>
      <c r="B105" s="12" t="s">
        <v>111</v>
      </c>
      <c r="C105" s="12" t="s">
        <v>2750</v>
      </c>
      <c r="D105" s="12" t="s">
        <v>63</v>
      </c>
      <c r="E105" s="12" t="s">
        <v>68</v>
      </c>
      <c r="F105" s="12" t="s">
        <v>68</v>
      </c>
      <c r="G105" s="12"/>
      <c r="H105" s="12" t="s">
        <v>66</v>
      </c>
      <c r="I105" s="12" t="s">
        <v>1342</v>
      </c>
      <c r="J105" s="34" t="s">
        <v>68</v>
      </c>
      <c r="K105" s="12"/>
      <c r="L105" s="13" t="s">
        <v>2497</v>
      </c>
      <c r="M105" s="12" t="s">
        <v>68</v>
      </c>
      <c r="N105" s="182"/>
      <c r="O105" s="12" t="s">
        <v>2475</v>
      </c>
      <c r="P105" s="12" t="s">
        <v>170</v>
      </c>
      <c r="Q105" s="12" t="s">
        <v>171</v>
      </c>
      <c r="R105" s="12">
        <v>552045</v>
      </c>
      <c r="S105" s="12" t="s">
        <v>172</v>
      </c>
      <c r="T105" s="206">
        <v>555</v>
      </c>
      <c r="U105" s="206">
        <v>2640</v>
      </c>
      <c r="V105" s="12">
        <v>1.4652000000000001</v>
      </c>
      <c r="W105" s="198">
        <v>80</v>
      </c>
      <c r="X105" s="254">
        <v>4</v>
      </c>
      <c r="Y105" s="12" t="s">
        <v>75</v>
      </c>
      <c r="Z105" s="12"/>
      <c r="AA105" s="12" t="s">
        <v>108</v>
      </c>
      <c r="AB105" s="13" t="s">
        <v>992</v>
      </c>
      <c r="AC105" s="14">
        <v>45885</v>
      </c>
      <c r="AD105" s="15">
        <v>33</v>
      </c>
      <c r="AE105" s="176" t="s">
        <v>2941</v>
      </c>
      <c r="AF105" s="12">
        <v>371008776</v>
      </c>
      <c r="AG105" s="12" t="s">
        <v>122</v>
      </c>
      <c r="AH105" s="12" t="s">
        <v>314</v>
      </c>
      <c r="AI105" s="14">
        <v>45892</v>
      </c>
      <c r="AJ105" s="14">
        <v>45892</v>
      </c>
      <c r="AK105" s="14">
        <v>45892</v>
      </c>
      <c r="AL105" s="14">
        <v>45947</v>
      </c>
      <c r="AM105" s="14"/>
      <c r="AN105" s="14">
        <v>45947</v>
      </c>
      <c r="AO105" s="91" t="s">
        <v>66</v>
      </c>
      <c r="AP105" s="12" t="s">
        <v>2942</v>
      </c>
      <c r="AQ105" s="12"/>
      <c r="AR105" s="12" t="s">
        <v>2943</v>
      </c>
      <c r="AS105" s="12" t="s">
        <v>2944</v>
      </c>
      <c r="AT105" s="12" t="s">
        <v>2945</v>
      </c>
      <c r="AU105" s="12">
        <v>56</v>
      </c>
      <c r="AV105" s="12" t="s">
        <v>83</v>
      </c>
      <c r="AW105" s="12">
        <v>11</v>
      </c>
      <c r="AX105" s="12">
        <v>62</v>
      </c>
      <c r="AY105" s="14">
        <v>45892</v>
      </c>
      <c r="AZ105" s="14">
        <v>45947</v>
      </c>
      <c r="BA105" s="12" t="e">
        <v>#N/A</v>
      </c>
      <c r="BB105" s="14" t="s">
        <v>2480</v>
      </c>
      <c r="BC105" s="14">
        <v>45961</v>
      </c>
      <c r="BD105" s="16">
        <v>2025</v>
      </c>
      <c r="BE105" s="16">
        <v>10</v>
      </c>
      <c r="BF105" s="16">
        <v>44</v>
      </c>
      <c r="BG105" s="191">
        <v>33</v>
      </c>
      <c r="BH105" s="191">
        <v>660</v>
      </c>
    </row>
    <row r="106" spans="1:60" s="23" customFormat="1" ht="10">
      <c r="A106" s="11" t="s">
        <v>2946</v>
      </c>
      <c r="B106" s="12" t="s">
        <v>111</v>
      </c>
      <c r="C106" s="12" t="s">
        <v>2750</v>
      </c>
      <c r="D106" s="12" t="s">
        <v>63</v>
      </c>
      <c r="E106" s="12" t="s">
        <v>64</v>
      </c>
      <c r="F106" s="12" t="s">
        <v>65</v>
      </c>
      <c r="G106" s="12" t="s">
        <v>67</v>
      </c>
      <c r="H106" s="12" t="s">
        <v>66</v>
      </c>
      <c r="I106" s="12" t="s">
        <v>96</v>
      </c>
      <c r="J106" s="34" t="s">
        <v>68</v>
      </c>
      <c r="K106" s="12"/>
      <c r="L106" s="13" t="s">
        <v>2474</v>
      </c>
      <c r="M106" s="213" t="s">
        <v>68</v>
      </c>
      <c r="N106" s="182"/>
      <c r="O106" s="12" t="s">
        <v>2475</v>
      </c>
      <c r="P106" s="12" t="s">
        <v>170</v>
      </c>
      <c r="Q106" s="12" t="s">
        <v>171</v>
      </c>
      <c r="R106" s="12">
        <v>552045</v>
      </c>
      <c r="S106" s="12" t="s">
        <v>172</v>
      </c>
      <c r="T106" s="206">
        <v>555</v>
      </c>
      <c r="U106" s="206">
        <v>1980</v>
      </c>
      <c r="V106" s="12">
        <v>1.0989</v>
      </c>
      <c r="W106" s="198">
        <v>60</v>
      </c>
      <c r="X106" s="254">
        <v>3</v>
      </c>
      <c r="Y106" s="12" t="s">
        <v>75</v>
      </c>
      <c r="Z106" s="12"/>
      <c r="AA106" s="12" t="s">
        <v>108</v>
      </c>
      <c r="AB106" s="13" t="s">
        <v>992</v>
      </c>
      <c r="AC106" s="14">
        <v>45885</v>
      </c>
      <c r="AD106" s="15">
        <v>33</v>
      </c>
      <c r="AE106" s="176" t="s">
        <v>2947</v>
      </c>
      <c r="AF106" s="12">
        <v>371008778</v>
      </c>
      <c r="AG106" s="12" t="s">
        <v>122</v>
      </c>
      <c r="AH106" s="12" t="s">
        <v>78</v>
      </c>
      <c r="AI106" s="14">
        <v>45891</v>
      </c>
      <c r="AJ106" s="14">
        <v>45891</v>
      </c>
      <c r="AK106" s="14">
        <v>45891</v>
      </c>
      <c r="AL106" s="14">
        <v>45967</v>
      </c>
      <c r="AM106" s="14"/>
      <c r="AN106" s="14">
        <v>45967</v>
      </c>
      <c r="AO106" s="91" t="s">
        <v>66</v>
      </c>
      <c r="AP106" s="12" t="s">
        <v>2928</v>
      </c>
      <c r="AQ106" s="12"/>
      <c r="AR106" s="12" t="s">
        <v>2948</v>
      </c>
      <c r="AS106" s="12" t="s">
        <v>2949</v>
      </c>
      <c r="AT106" s="12" t="s">
        <v>2950</v>
      </c>
      <c r="AU106" s="12">
        <v>77</v>
      </c>
      <c r="AV106" s="12" t="s">
        <v>83</v>
      </c>
      <c r="AW106" s="12">
        <v>11</v>
      </c>
      <c r="AX106" s="12">
        <v>82</v>
      </c>
      <c r="AY106" s="14">
        <v>45891</v>
      </c>
      <c r="AZ106" s="14">
        <v>45967</v>
      </c>
      <c r="BA106" s="12" t="e">
        <v>#N/A</v>
      </c>
      <c r="BB106" s="14" t="s">
        <v>2480</v>
      </c>
      <c r="BC106" s="14">
        <v>45981</v>
      </c>
      <c r="BD106" s="16">
        <v>2025</v>
      </c>
      <c r="BE106" s="16">
        <v>11</v>
      </c>
      <c r="BF106" s="16">
        <v>47</v>
      </c>
      <c r="BG106" s="191">
        <v>33</v>
      </c>
      <c r="BH106" s="191">
        <v>660</v>
      </c>
    </row>
    <row r="107" spans="1:60" s="23" customFormat="1" ht="10">
      <c r="A107" s="11" t="s">
        <v>2951</v>
      </c>
      <c r="B107" s="12" t="s">
        <v>2774</v>
      </c>
      <c r="C107" s="12" t="s">
        <v>2775</v>
      </c>
      <c r="D107" s="12" t="s">
        <v>63</v>
      </c>
      <c r="E107" s="12" t="s">
        <v>64</v>
      </c>
      <c r="F107" s="12" t="s">
        <v>100</v>
      </c>
      <c r="G107" s="12" t="s">
        <v>67</v>
      </c>
      <c r="H107" s="12" t="s">
        <v>66</v>
      </c>
      <c r="I107" s="12" t="s">
        <v>2776</v>
      </c>
      <c r="J107" s="34" t="s">
        <v>68</v>
      </c>
      <c r="K107" s="12"/>
      <c r="L107" s="13" t="s">
        <v>2719</v>
      </c>
      <c r="M107" s="213" t="s">
        <v>68</v>
      </c>
      <c r="N107" s="182"/>
      <c r="O107" s="12" t="s">
        <v>2475</v>
      </c>
      <c r="P107" s="12" t="s">
        <v>284</v>
      </c>
      <c r="Q107" s="12" t="s">
        <v>2777</v>
      </c>
      <c r="R107" s="12">
        <v>554320</v>
      </c>
      <c r="S107" s="12" t="s">
        <v>2778</v>
      </c>
      <c r="T107" s="206">
        <v>465</v>
      </c>
      <c r="U107" s="206">
        <v>1924</v>
      </c>
      <c r="V107" s="12">
        <v>0.89466000000000001</v>
      </c>
      <c r="W107" s="198">
        <v>52</v>
      </c>
      <c r="X107" s="254">
        <v>2</v>
      </c>
      <c r="Y107" s="12" t="s">
        <v>75</v>
      </c>
      <c r="Z107" s="12"/>
      <c r="AA107" s="12" t="s">
        <v>85</v>
      </c>
      <c r="AB107" s="13" t="s">
        <v>967</v>
      </c>
      <c r="AC107" s="14">
        <v>45881</v>
      </c>
      <c r="AD107" s="15">
        <v>33</v>
      </c>
      <c r="AE107" s="176" t="s">
        <v>2952</v>
      </c>
      <c r="AF107" s="12">
        <v>371008773</v>
      </c>
      <c r="AG107" s="12" t="s">
        <v>288</v>
      </c>
      <c r="AH107" s="12" t="s">
        <v>105</v>
      </c>
      <c r="AI107" s="14">
        <v>45885</v>
      </c>
      <c r="AJ107" s="14">
        <v>45885</v>
      </c>
      <c r="AK107" s="14">
        <v>45885</v>
      </c>
      <c r="AL107" s="14">
        <v>45931</v>
      </c>
      <c r="AM107" s="14">
        <v>45919</v>
      </c>
      <c r="AN107" s="14">
        <v>45931</v>
      </c>
      <c r="AO107" s="91" t="s">
        <v>66</v>
      </c>
      <c r="AP107" s="12" t="s">
        <v>2953</v>
      </c>
      <c r="AQ107" s="12"/>
      <c r="AR107" s="12" t="s">
        <v>2954</v>
      </c>
      <c r="AS107" s="12" t="s">
        <v>2955</v>
      </c>
      <c r="AT107" s="12" t="s">
        <v>2955</v>
      </c>
      <c r="AU107" s="12">
        <v>47</v>
      </c>
      <c r="AV107" s="12" t="s">
        <v>83</v>
      </c>
      <c r="AW107" s="12">
        <v>8</v>
      </c>
      <c r="AX107" s="12">
        <v>50</v>
      </c>
      <c r="AY107" s="14">
        <v>45885</v>
      </c>
      <c r="AZ107" s="14">
        <v>45931</v>
      </c>
      <c r="BA107" s="12" t="e">
        <v>#N/A</v>
      </c>
      <c r="BB107" s="14" t="s">
        <v>2480</v>
      </c>
      <c r="BC107" s="14">
        <v>45945</v>
      </c>
      <c r="BD107" s="16">
        <v>2025</v>
      </c>
      <c r="BE107" s="16">
        <v>10</v>
      </c>
      <c r="BF107" s="16">
        <v>42</v>
      </c>
      <c r="BG107" s="191">
        <v>37</v>
      </c>
      <c r="BH107" s="191">
        <v>962</v>
      </c>
    </row>
    <row r="108" spans="1:60" s="23" customFormat="1" ht="10">
      <c r="A108" s="11" t="s">
        <v>2956</v>
      </c>
      <c r="B108" s="12" t="s">
        <v>1888</v>
      </c>
      <c r="C108" s="12" t="s">
        <v>2811</v>
      </c>
      <c r="D108" s="12" t="s">
        <v>63</v>
      </c>
      <c r="E108" s="12" t="s">
        <v>68</v>
      </c>
      <c r="F108" s="12" t="s">
        <v>68</v>
      </c>
      <c r="G108" s="12"/>
      <c r="H108" s="12" t="s">
        <v>146</v>
      </c>
      <c r="I108" s="12" t="s">
        <v>594</v>
      </c>
      <c r="J108" s="34" t="s">
        <v>68</v>
      </c>
      <c r="K108" s="12"/>
      <c r="L108" s="13" t="s">
        <v>2528</v>
      </c>
      <c r="M108" s="12" t="s">
        <v>68</v>
      </c>
      <c r="N108" s="182"/>
      <c r="O108" s="12" t="s">
        <v>2529</v>
      </c>
      <c r="P108" s="12" t="s">
        <v>70</v>
      </c>
      <c r="Q108" s="12" t="s">
        <v>420</v>
      </c>
      <c r="R108" s="12">
        <v>554476</v>
      </c>
      <c r="S108" s="12" t="s">
        <v>421</v>
      </c>
      <c r="T108" s="206">
        <v>505</v>
      </c>
      <c r="U108" s="206">
        <v>4320</v>
      </c>
      <c r="V108" s="12">
        <v>2.1816</v>
      </c>
      <c r="W108" s="198">
        <v>120</v>
      </c>
      <c r="X108" s="254">
        <v>5</v>
      </c>
      <c r="Y108" s="12" t="s">
        <v>75</v>
      </c>
      <c r="Z108" s="12"/>
      <c r="AA108" s="12" t="s">
        <v>2658</v>
      </c>
      <c r="AB108" s="13" t="s">
        <v>992</v>
      </c>
      <c r="AC108" s="14">
        <v>45882</v>
      </c>
      <c r="AD108" s="15">
        <v>33</v>
      </c>
      <c r="AE108" s="176" t="s">
        <v>2530</v>
      </c>
      <c r="AF108" s="12" t="s">
        <v>2885</v>
      </c>
      <c r="AG108" s="12" t="s">
        <v>122</v>
      </c>
      <c r="AH108" s="12" t="s">
        <v>124</v>
      </c>
      <c r="AI108" s="14">
        <v>45887</v>
      </c>
      <c r="AJ108" s="14">
        <v>45887</v>
      </c>
      <c r="AK108" s="14">
        <v>45887</v>
      </c>
      <c r="AL108" s="14">
        <v>45932</v>
      </c>
      <c r="AM108" s="14">
        <v>45921</v>
      </c>
      <c r="AN108" s="14">
        <v>45932</v>
      </c>
      <c r="AO108" s="91" t="s">
        <v>402</v>
      </c>
      <c r="AP108" s="12" t="s">
        <v>2957</v>
      </c>
      <c r="AQ108" s="12"/>
      <c r="AR108" s="12" t="s">
        <v>2958</v>
      </c>
      <c r="AS108" s="12" t="s">
        <v>2959</v>
      </c>
      <c r="AT108" s="12" t="s">
        <v>2959</v>
      </c>
      <c r="AU108" s="12">
        <v>46</v>
      </c>
      <c r="AV108" s="12" t="s">
        <v>2493</v>
      </c>
      <c r="AW108" s="12">
        <v>8</v>
      </c>
      <c r="AX108" s="12">
        <v>50</v>
      </c>
      <c r="AY108" s="14">
        <v>45887</v>
      </c>
      <c r="AZ108" s="14">
        <v>45932</v>
      </c>
      <c r="BA108" s="12" t="e">
        <v>#N/A</v>
      </c>
      <c r="BB108" s="14" t="s">
        <v>2480</v>
      </c>
      <c r="BC108" s="14">
        <v>45946</v>
      </c>
      <c r="BD108" s="16">
        <v>2025</v>
      </c>
      <c r="BE108" s="16">
        <v>10</v>
      </c>
      <c r="BF108" s="16">
        <v>42</v>
      </c>
      <c r="BG108" s="191">
        <v>36</v>
      </c>
      <c r="BH108" s="191">
        <v>864</v>
      </c>
    </row>
    <row r="109" spans="1:60" s="23" customFormat="1" ht="10">
      <c r="A109" s="11" t="s">
        <v>2960</v>
      </c>
      <c r="B109" s="12" t="s">
        <v>1888</v>
      </c>
      <c r="C109" s="12" t="s">
        <v>2664</v>
      </c>
      <c r="D109" s="12" t="s">
        <v>63</v>
      </c>
      <c r="E109" s="12" t="s">
        <v>64</v>
      </c>
      <c r="F109" s="12" t="s">
        <v>65</v>
      </c>
      <c r="G109" s="12" t="s">
        <v>67</v>
      </c>
      <c r="H109" s="12" t="s">
        <v>66</v>
      </c>
      <c r="I109" s="12" t="s">
        <v>89</v>
      </c>
      <c r="J109" s="34" t="s">
        <v>68</v>
      </c>
      <c r="K109" s="12">
        <v>46010796</v>
      </c>
      <c r="L109" s="13" t="s">
        <v>2666</v>
      </c>
      <c r="M109" s="213" t="s">
        <v>68</v>
      </c>
      <c r="N109" s="182"/>
      <c r="O109" s="12" t="s">
        <v>2475</v>
      </c>
      <c r="P109" s="12" t="s">
        <v>70</v>
      </c>
      <c r="Q109" s="12" t="s">
        <v>71</v>
      </c>
      <c r="R109" s="12">
        <v>554475</v>
      </c>
      <c r="S109" s="12" t="s">
        <v>72</v>
      </c>
      <c r="T109" s="206">
        <v>500</v>
      </c>
      <c r="U109" s="206">
        <v>864</v>
      </c>
      <c r="V109" s="12">
        <v>0.432</v>
      </c>
      <c r="W109" s="198">
        <v>24</v>
      </c>
      <c r="X109" s="254">
        <v>1</v>
      </c>
      <c r="Y109" s="12" t="s">
        <v>75</v>
      </c>
      <c r="Z109" s="12"/>
      <c r="AA109" s="12" t="s">
        <v>2658</v>
      </c>
      <c r="AB109" s="13" t="s">
        <v>967</v>
      </c>
      <c r="AC109" s="14">
        <v>45882</v>
      </c>
      <c r="AD109" s="15">
        <v>33</v>
      </c>
      <c r="AE109" s="176" t="s">
        <v>2961</v>
      </c>
      <c r="AF109" s="12">
        <v>371008770</v>
      </c>
      <c r="AG109" s="12" t="s">
        <v>122</v>
      </c>
      <c r="AH109" s="12" t="s">
        <v>78</v>
      </c>
      <c r="AI109" s="14">
        <v>45887</v>
      </c>
      <c r="AJ109" s="14">
        <v>45887</v>
      </c>
      <c r="AK109" s="14">
        <v>45887</v>
      </c>
      <c r="AL109" s="14">
        <v>45937</v>
      </c>
      <c r="AM109" s="14">
        <v>45926</v>
      </c>
      <c r="AN109" s="14">
        <v>45937</v>
      </c>
      <c r="AO109" s="91" t="s">
        <v>66</v>
      </c>
      <c r="AP109" s="12" t="s">
        <v>2957</v>
      </c>
      <c r="AQ109" s="12"/>
      <c r="AR109" s="12" t="s">
        <v>2962</v>
      </c>
      <c r="AS109" s="12" t="s">
        <v>2963</v>
      </c>
      <c r="AT109" s="12" t="s">
        <v>2963</v>
      </c>
      <c r="AU109" s="12">
        <v>51</v>
      </c>
      <c r="AV109" s="12" t="s">
        <v>83</v>
      </c>
      <c r="AW109" s="12">
        <v>12</v>
      </c>
      <c r="AX109" s="12">
        <v>55</v>
      </c>
      <c r="AY109" s="14">
        <v>45887</v>
      </c>
      <c r="AZ109" s="14">
        <v>45937</v>
      </c>
      <c r="BA109" s="12" t="e">
        <v>#N/A</v>
      </c>
      <c r="BB109" s="14" t="s">
        <v>2480</v>
      </c>
      <c r="BC109" s="14">
        <v>45951</v>
      </c>
      <c r="BD109" s="16">
        <v>2025</v>
      </c>
      <c r="BE109" s="16">
        <v>10</v>
      </c>
      <c r="BF109" s="16">
        <v>43</v>
      </c>
      <c r="BG109" s="191">
        <v>36</v>
      </c>
      <c r="BH109" s="191">
        <v>864</v>
      </c>
    </row>
    <row r="110" spans="1:60" s="23" customFormat="1" ht="10">
      <c r="A110" s="11" t="s">
        <v>2964</v>
      </c>
      <c r="B110" s="12" t="s">
        <v>1888</v>
      </c>
      <c r="C110" s="12" t="s">
        <v>2664</v>
      </c>
      <c r="D110" s="12" t="s">
        <v>63</v>
      </c>
      <c r="E110" s="12" t="s">
        <v>68</v>
      </c>
      <c r="F110" s="12" t="s">
        <v>68</v>
      </c>
      <c r="G110" s="12"/>
      <c r="H110" s="12" t="s">
        <v>146</v>
      </c>
      <c r="I110" s="12" t="s">
        <v>2671</v>
      </c>
      <c r="J110" s="34" t="s">
        <v>68</v>
      </c>
      <c r="K110" s="12">
        <v>46010786</v>
      </c>
      <c r="L110" s="13" t="s">
        <v>2666</v>
      </c>
      <c r="M110" s="12" t="s">
        <v>68</v>
      </c>
      <c r="N110" s="182"/>
      <c r="O110" s="12" t="s">
        <v>2475</v>
      </c>
      <c r="P110" s="12" t="s">
        <v>70</v>
      </c>
      <c r="Q110" s="12" t="s">
        <v>71</v>
      </c>
      <c r="R110" s="12">
        <v>554475</v>
      </c>
      <c r="S110" s="12" t="s">
        <v>72</v>
      </c>
      <c r="T110" s="206">
        <v>500</v>
      </c>
      <c r="U110" s="206">
        <v>864</v>
      </c>
      <c r="V110" s="12">
        <v>0.432</v>
      </c>
      <c r="W110" s="198">
        <v>24</v>
      </c>
      <c r="X110" s="254">
        <v>1</v>
      </c>
      <c r="Y110" s="12" t="s">
        <v>75</v>
      </c>
      <c r="Z110" s="12"/>
      <c r="AA110" s="12" t="s">
        <v>2658</v>
      </c>
      <c r="AB110" s="13" t="s">
        <v>967</v>
      </c>
      <c r="AC110" s="14">
        <v>45886</v>
      </c>
      <c r="AD110" s="15">
        <v>33</v>
      </c>
      <c r="AE110" s="176" t="s">
        <v>2965</v>
      </c>
      <c r="AF110" s="12">
        <v>371008803</v>
      </c>
      <c r="AG110" s="12" t="s">
        <v>122</v>
      </c>
      <c r="AH110" s="12" t="s">
        <v>78</v>
      </c>
      <c r="AI110" s="14">
        <v>45892</v>
      </c>
      <c r="AJ110" s="14">
        <v>45892</v>
      </c>
      <c r="AK110" s="14">
        <v>45892</v>
      </c>
      <c r="AL110" s="14">
        <v>45948</v>
      </c>
      <c r="AM110" s="14"/>
      <c r="AN110" s="14">
        <v>45948</v>
      </c>
      <c r="AO110" s="91" t="s">
        <v>146</v>
      </c>
      <c r="AP110" s="12" t="s">
        <v>2928</v>
      </c>
      <c r="AQ110" s="12"/>
      <c r="AR110" s="12" t="s">
        <v>2966</v>
      </c>
      <c r="AS110" s="12" t="s">
        <v>2967</v>
      </c>
      <c r="AT110" s="12" t="s">
        <v>2967</v>
      </c>
      <c r="AU110" s="12">
        <v>57</v>
      </c>
      <c r="AV110" s="12" t="s">
        <v>83</v>
      </c>
      <c r="AW110" s="12">
        <v>12</v>
      </c>
      <c r="AX110" s="12">
        <v>62</v>
      </c>
      <c r="AY110" s="14">
        <v>45892</v>
      </c>
      <c r="AZ110" s="14">
        <v>45948</v>
      </c>
      <c r="BA110" s="12" t="e">
        <v>#N/A</v>
      </c>
      <c r="BB110" s="14" t="s">
        <v>2480</v>
      </c>
      <c r="BC110" s="14">
        <v>45962</v>
      </c>
      <c r="BD110" s="16">
        <v>2025</v>
      </c>
      <c r="BE110" s="16">
        <v>11</v>
      </c>
      <c r="BF110" s="16">
        <v>44</v>
      </c>
      <c r="BG110" s="191">
        <v>36</v>
      </c>
      <c r="BH110" s="191">
        <v>864</v>
      </c>
    </row>
    <row r="111" spans="1:60" s="23" customFormat="1" ht="10">
      <c r="A111" s="11" t="s">
        <v>2968</v>
      </c>
      <c r="B111" s="12" t="s">
        <v>1888</v>
      </c>
      <c r="C111" s="12" t="s">
        <v>2664</v>
      </c>
      <c r="D111" s="12" t="s">
        <v>63</v>
      </c>
      <c r="E111" s="12" t="s">
        <v>68</v>
      </c>
      <c r="F111" s="12" t="s">
        <v>68</v>
      </c>
      <c r="G111" s="12"/>
      <c r="H111" s="12" t="s">
        <v>146</v>
      </c>
      <c r="I111" s="12" t="s">
        <v>2671</v>
      </c>
      <c r="J111" s="34" t="s">
        <v>68</v>
      </c>
      <c r="K111" s="12">
        <v>46010787</v>
      </c>
      <c r="L111" s="13" t="s">
        <v>2666</v>
      </c>
      <c r="M111" s="12" t="s">
        <v>68</v>
      </c>
      <c r="N111" s="182"/>
      <c r="O111" s="12" t="s">
        <v>2475</v>
      </c>
      <c r="P111" s="12" t="s">
        <v>70</v>
      </c>
      <c r="Q111" s="12" t="s">
        <v>71</v>
      </c>
      <c r="R111" s="12">
        <v>554475</v>
      </c>
      <c r="S111" s="12" t="s">
        <v>72</v>
      </c>
      <c r="T111" s="206">
        <v>500</v>
      </c>
      <c r="U111" s="206">
        <v>864</v>
      </c>
      <c r="V111" s="12">
        <v>0.432</v>
      </c>
      <c r="W111" s="198">
        <v>24</v>
      </c>
      <c r="X111" s="254">
        <v>1</v>
      </c>
      <c r="Y111" s="12" t="s">
        <v>75</v>
      </c>
      <c r="Z111" s="12"/>
      <c r="AA111" s="12" t="s">
        <v>2658</v>
      </c>
      <c r="AB111" s="13" t="s">
        <v>967</v>
      </c>
      <c r="AC111" s="14">
        <v>45886</v>
      </c>
      <c r="AD111" s="15">
        <v>33</v>
      </c>
      <c r="AE111" s="176" t="s">
        <v>2969</v>
      </c>
      <c r="AF111" s="12">
        <v>371008804</v>
      </c>
      <c r="AG111" s="12" t="s">
        <v>122</v>
      </c>
      <c r="AH111" s="12" t="s">
        <v>78</v>
      </c>
      <c r="AI111" s="14">
        <v>45892</v>
      </c>
      <c r="AJ111" s="14">
        <v>45892</v>
      </c>
      <c r="AK111" s="14">
        <v>45892</v>
      </c>
      <c r="AL111" s="14">
        <v>45948</v>
      </c>
      <c r="AM111" s="14"/>
      <c r="AN111" s="14">
        <v>45948</v>
      </c>
      <c r="AO111" s="91" t="s">
        <v>146</v>
      </c>
      <c r="AP111" s="12" t="s">
        <v>2928</v>
      </c>
      <c r="AQ111" s="12"/>
      <c r="AR111" s="12" t="s">
        <v>2966</v>
      </c>
      <c r="AS111" s="12" t="s">
        <v>2967</v>
      </c>
      <c r="AT111" s="12" t="s">
        <v>2967</v>
      </c>
      <c r="AU111" s="12">
        <v>57</v>
      </c>
      <c r="AV111" s="12" t="s">
        <v>83</v>
      </c>
      <c r="AW111" s="12">
        <v>12</v>
      </c>
      <c r="AX111" s="12">
        <v>62</v>
      </c>
      <c r="AY111" s="14">
        <v>45892</v>
      </c>
      <c r="AZ111" s="14">
        <v>45948</v>
      </c>
      <c r="BA111" s="12" t="e">
        <v>#N/A</v>
      </c>
      <c r="BB111" s="14" t="s">
        <v>2480</v>
      </c>
      <c r="BC111" s="14">
        <v>45962</v>
      </c>
      <c r="BD111" s="16">
        <v>2025</v>
      </c>
      <c r="BE111" s="16">
        <v>11</v>
      </c>
      <c r="BF111" s="16">
        <v>44</v>
      </c>
      <c r="BG111" s="191">
        <v>36</v>
      </c>
      <c r="BH111" s="191">
        <v>864</v>
      </c>
    </row>
    <row r="112" spans="1:60" s="23" customFormat="1" ht="10">
      <c r="A112" s="11" t="s">
        <v>2970</v>
      </c>
      <c r="B112" s="12" t="s">
        <v>800</v>
      </c>
      <c r="C112" s="12" t="s">
        <v>2714</v>
      </c>
      <c r="D112" s="12" t="s">
        <v>63</v>
      </c>
      <c r="E112" s="12" t="s">
        <v>64</v>
      </c>
      <c r="F112" s="12" t="s">
        <v>100</v>
      </c>
      <c r="G112" s="12" t="s">
        <v>67</v>
      </c>
      <c r="H112" s="12" t="s">
        <v>66</v>
      </c>
      <c r="I112" s="12" t="s">
        <v>2776</v>
      </c>
      <c r="J112" s="34" t="s">
        <v>68</v>
      </c>
      <c r="K112" s="12"/>
      <c r="L112" s="13" t="s">
        <v>2719</v>
      </c>
      <c r="M112" s="213" t="s">
        <v>68</v>
      </c>
      <c r="N112" s="182"/>
      <c r="O112" s="12" t="s">
        <v>2475</v>
      </c>
      <c r="P112" s="12" t="s">
        <v>70</v>
      </c>
      <c r="Q112" s="12" t="s">
        <v>195</v>
      </c>
      <c r="R112" s="12">
        <v>554473</v>
      </c>
      <c r="S112" s="12" t="s">
        <v>196</v>
      </c>
      <c r="T112" s="206">
        <v>450</v>
      </c>
      <c r="U112" s="206">
        <v>1872</v>
      </c>
      <c r="V112" s="12">
        <v>0.84240000000000004</v>
      </c>
      <c r="W112" s="198">
        <v>52</v>
      </c>
      <c r="X112" s="254">
        <v>2</v>
      </c>
      <c r="Y112" s="12" t="s">
        <v>75</v>
      </c>
      <c r="Z112" s="12"/>
      <c r="AA112" s="12" t="s">
        <v>2658</v>
      </c>
      <c r="AB112" s="13" t="s">
        <v>967</v>
      </c>
      <c r="AC112" s="14">
        <v>45882</v>
      </c>
      <c r="AD112" s="15">
        <v>33</v>
      </c>
      <c r="AE112" s="176" t="s">
        <v>2971</v>
      </c>
      <c r="AF112" s="12">
        <v>371008769</v>
      </c>
      <c r="AG112" s="12" t="s">
        <v>77</v>
      </c>
      <c r="AH112" s="12" t="s">
        <v>105</v>
      </c>
      <c r="AI112" s="14">
        <v>45885</v>
      </c>
      <c r="AJ112" s="14">
        <v>45885</v>
      </c>
      <c r="AK112" s="14">
        <v>45885</v>
      </c>
      <c r="AL112" s="14">
        <v>45948</v>
      </c>
      <c r="AM112" s="14">
        <v>45941</v>
      </c>
      <c r="AN112" s="14">
        <v>45948</v>
      </c>
      <c r="AO112" s="91" t="s">
        <v>66</v>
      </c>
      <c r="AP112" s="12" t="s">
        <v>2972</v>
      </c>
      <c r="AQ112" s="12"/>
      <c r="AR112" s="12" t="s">
        <v>2973</v>
      </c>
      <c r="AS112" s="12" t="s">
        <v>2974</v>
      </c>
      <c r="AT112" s="12" t="s">
        <v>2974</v>
      </c>
      <c r="AU112" s="12">
        <v>64</v>
      </c>
      <c r="AV112" s="12" t="s">
        <v>83</v>
      </c>
      <c r="AW112" s="12">
        <v>8</v>
      </c>
      <c r="AX112" s="12">
        <v>66</v>
      </c>
      <c r="AY112" s="14">
        <v>45885</v>
      </c>
      <c r="AZ112" s="14">
        <v>45948</v>
      </c>
      <c r="BA112" s="12" t="e">
        <v>#N/A</v>
      </c>
      <c r="BB112" s="14" t="s">
        <v>2480</v>
      </c>
      <c r="BC112" s="14">
        <v>45962</v>
      </c>
      <c r="BD112" s="16">
        <v>2025</v>
      </c>
      <c r="BE112" s="16">
        <v>11</v>
      </c>
      <c r="BF112" s="16">
        <v>44</v>
      </c>
      <c r="BG112" s="191">
        <v>36</v>
      </c>
      <c r="BH112" s="191">
        <v>936</v>
      </c>
    </row>
    <row r="113" spans="1:60" s="23" customFormat="1" ht="10">
      <c r="A113" s="11" t="s">
        <v>2975</v>
      </c>
      <c r="B113" s="12" t="s">
        <v>111</v>
      </c>
      <c r="C113" s="12" t="s">
        <v>2543</v>
      </c>
      <c r="D113" s="12" t="s">
        <v>63</v>
      </c>
      <c r="E113" s="12" t="s">
        <v>64</v>
      </c>
      <c r="F113" s="12" t="s">
        <v>100</v>
      </c>
      <c r="G113" s="12" t="s">
        <v>67</v>
      </c>
      <c r="H113" s="12" t="s">
        <v>66</v>
      </c>
      <c r="I113" s="12" t="s">
        <v>2976</v>
      </c>
      <c r="J113" s="34" t="s">
        <v>68</v>
      </c>
      <c r="K113" s="12" t="s">
        <v>2977</v>
      </c>
      <c r="L113" s="13" t="s">
        <v>2732</v>
      </c>
      <c r="M113" s="213" t="s">
        <v>68</v>
      </c>
      <c r="N113" s="182"/>
      <c r="O113" s="12" t="s">
        <v>2475</v>
      </c>
      <c r="P113" s="12" t="s">
        <v>70</v>
      </c>
      <c r="Q113" s="12" t="s">
        <v>102</v>
      </c>
      <c r="R113" s="12">
        <v>554245</v>
      </c>
      <c r="S113" s="12" t="s">
        <v>103</v>
      </c>
      <c r="T113" s="206">
        <v>620</v>
      </c>
      <c r="U113" s="206">
        <v>720</v>
      </c>
      <c r="V113" s="12">
        <v>0.44640000000000002</v>
      </c>
      <c r="W113" s="198">
        <v>20</v>
      </c>
      <c r="X113" s="254">
        <v>1</v>
      </c>
      <c r="Y113" s="12" t="s">
        <v>75</v>
      </c>
      <c r="Z113" s="12"/>
      <c r="AA113" s="12" t="s">
        <v>108</v>
      </c>
      <c r="AB113" s="32" t="s">
        <v>967</v>
      </c>
      <c r="AC113" s="14">
        <v>45885</v>
      </c>
      <c r="AD113" s="15">
        <v>33</v>
      </c>
      <c r="AE113" s="176" t="s">
        <v>2978</v>
      </c>
      <c r="AF113" s="12">
        <v>371008798</v>
      </c>
      <c r="AG113" s="12" t="s">
        <v>122</v>
      </c>
      <c r="AH113" s="12" t="s">
        <v>105</v>
      </c>
      <c r="AI113" s="14">
        <v>45896</v>
      </c>
      <c r="AJ113" s="14">
        <v>45896</v>
      </c>
      <c r="AK113" s="14">
        <v>45896</v>
      </c>
      <c r="AL113" s="14">
        <v>45944</v>
      </c>
      <c r="AM113" s="14"/>
      <c r="AN113" s="14">
        <v>45944</v>
      </c>
      <c r="AO113" s="91" t="s">
        <v>66</v>
      </c>
      <c r="AP113" s="12" t="s">
        <v>2979</v>
      </c>
      <c r="AQ113" s="12"/>
      <c r="AR113" s="12">
        <v>14130689</v>
      </c>
      <c r="AS113" s="12" t="s">
        <v>2980</v>
      </c>
      <c r="AT113" s="12" t="s">
        <v>2980</v>
      </c>
      <c r="AU113" s="12">
        <v>49</v>
      </c>
      <c r="AV113" s="12" t="s">
        <v>83</v>
      </c>
      <c r="AW113" s="12">
        <v>8</v>
      </c>
      <c r="AX113" s="12">
        <v>59</v>
      </c>
      <c r="AY113" s="14">
        <v>45896</v>
      </c>
      <c r="AZ113" s="14">
        <v>45944</v>
      </c>
      <c r="BA113" s="12" t="e">
        <v>#N/A</v>
      </c>
      <c r="BB113" s="14" t="s">
        <v>2480</v>
      </c>
      <c r="BC113" s="14">
        <v>45958</v>
      </c>
      <c r="BD113" s="16">
        <v>2025</v>
      </c>
      <c r="BE113" s="16">
        <v>10</v>
      </c>
      <c r="BF113" s="16">
        <v>44</v>
      </c>
      <c r="BG113" s="191">
        <v>36</v>
      </c>
      <c r="BH113" s="191">
        <v>720</v>
      </c>
    </row>
    <row r="114" spans="1:60" s="23" customFormat="1" ht="10">
      <c r="A114" s="11" t="s">
        <v>2473</v>
      </c>
      <c r="B114" s="12" t="s">
        <v>111</v>
      </c>
      <c r="C114" s="12" t="s">
        <v>203</v>
      </c>
      <c r="D114" s="12" t="s">
        <v>63</v>
      </c>
      <c r="E114" s="12" t="s">
        <v>64</v>
      </c>
      <c r="F114" s="12" t="s">
        <v>100</v>
      </c>
      <c r="G114" s="12" t="s">
        <v>67</v>
      </c>
      <c r="H114" s="12" t="s">
        <v>66</v>
      </c>
      <c r="I114" s="12" t="s">
        <v>96</v>
      </c>
      <c r="J114" s="34" t="s">
        <v>68</v>
      </c>
      <c r="K114" s="12"/>
      <c r="L114" s="13" t="s">
        <v>2474</v>
      </c>
      <c r="M114" s="213" t="s">
        <v>68</v>
      </c>
      <c r="N114" s="182"/>
      <c r="O114" s="12" t="s">
        <v>2475</v>
      </c>
      <c r="P114" s="12" t="s">
        <v>170</v>
      </c>
      <c r="Q114" s="12" t="s">
        <v>171</v>
      </c>
      <c r="R114" s="12">
        <v>552045</v>
      </c>
      <c r="S114" s="12" t="s">
        <v>172</v>
      </c>
      <c r="T114" s="206">
        <v>555</v>
      </c>
      <c r="U114" s="206">
        <v>1320</v>
      </c>
      <c r="V114" s="12">
        <v>0.73260000000000003</v>
      </c>
      <c r="W114" s="198">
        <v>40</v>
      </c>
      <c r="X114" s="254">
        <v>2</v>
      </c>
      <c r="Y114" s="12" t="s">
        <v>75</v>
      </c>
      <c r="Z114" s="12"/>
      <c r="AA114" s="12" t="s">
        <v>108</v>
      </c>
      <c r="AB114" s="13" t="s">
        <v>992</v>
      </c>
      <c r="AC114" s="14">
        <v>45885</v>
      </c>
      <c r="AD114" s="15">
        <v>33</v>
      </c>
      <c r="AE114" s="176" t="s">
        <v>2981</v>
      </c>
      <c r="AF114" s="12">
        <v>371008796</v>
      </c>
      <c r="AG114" s="12" t="s">
        <v>122</v>
      </c>
      <c r="AH114" s="12" t="s">
        <v>105</v>
      </c>
      <c r="AI114" s="14">
        <v>45896</v>
      </c>
      <c r="AJ114" s="14">
        <v>45896</v>
      </c>
      <c r="AK114" s="14">
        <v>45896</v>
      </c>
      <c r="AL114" s="14">
        <v>45944</v>
      </c>
      <c r="AM114" s="14"/>
      <c r="AN114" s="14">
        <v>45944</v>
      </c>
      <c r="AO114" s="91" t="s">
        <v>66</v>
      </c>
      <c r="AP114" s="12" t="s">
        <v>2979</v>
      </c>
      <c r="AQ114" s="12"/>
      <c r="AR114" s="12" t="s">
        <v>2982</v>
      </c>
      <c r="AS114" s="12" t="s">
        <v>2983</v>
      </c>
      <c r="AT114" s="12" t="s">
        <v>2983</v>
      </c>
      <c r="AU114" s="12">
        <v>49</v>
      </c>
      <c r="AV114" s="12" t="s">
        <v>83</v>
      </c>
      <c r="AW114" s="12">
        <v>39</v>
      </c>
      <c r="AX114" s="12">
        <v>59</v>
      </c>
      <c r="AY114" s="14">
        <v>45896</v>
      </c>
      <c r="AZ114" s="14">
        <v>45944</v>
      </c>
      <c r="BA114" s="12" t="e">
        <v>#N/A</v>
      </c>
      <c r="BB114" s="14" t="s">
        <v>2480</v>
      </c>
      <c r="BC114" s="14">
        <v>45958</v>
      </c>
      <c r="BD114" s="16">
        <v>2025</v>
      </c>
      <c r="BE114" s="16">
        <v>10</v>
      </c>
      <c r="BF114" s="16">
        <v>44</v>
      </c>
      <c r="BG114" s="191">
        <v>33</v>
      </c>
      <c r="BH114" s="191">
        <v>660</v>
      </c>
    </row>
    <row r="115" spans="1:60" s="23" customFormat="1" ht="10">
      <c r="A115" s="11" t="s">
        <v>2984</v>
      </c>
      <c r="B115" s="12" t="s">
        <v>111</v>
      </c>
      <c r="C115" s="12" t="s">
        <v>2904</v>
      </c>
      <c r="D115" s="12" t="s">
        <v>63</v>
      </c>
      <c r="E115" s="12" t="s">
        <v>64</v>
      </c>
      <c r="F115" s="12" t="s">
        <v>100</v>
      </c>
      <c r="G115" s="12" t="s">
        <v>67</v>
      </c>
      <c r="H115" s="12" t="s">
        <v>402</v>
      </c>
      <c r="I115" s="12" t="s">
        <v>677</v>
      </c>
      <c r="J115" s="34" t="s">
        <v>68</v>
      </c>
      <c r="K115" s="12">
        <v>14130691</v>
      </c>
      <c r="L115" s="13" t="s">
        <v>2732</v>
      </c>
      <c r="M115" s="213" t="s">
        <v>68</v>
      </c>
      <c r="N115" s="182"/>
      <c r="O115" s="12" t="s">
        <v>2475</v>
      </c>
      <c r="P115" s="12" t="s">
        <v>70</v>
      </c>
      <c r="Q115" s="12" t="s">
        <v>102</v>
      </c>
      <c r="R115" s="12">
        <v>554245</v>
      </c>
      <c r="S115" s="12" t="s">
        <v>103</v>
      </c>
      <c r="T115" s="206">
        <v>620</v>
      </c>
      <c r="U115" s="206">
        <v>7200</v>
      </c>
      <c r="V115" s="12">
        <v>4.4640000000000004</v>
      </c>
      <c r="W115" s="198">
        <v>200</v>
      </c>
      <c r="X115" s="254">
        <v>10</v>
      </c>
      <c r="Y115" s="12" t="s">
        <v>75</v>
      </c>
      <c r="Z115" s="12"/>
      <c r="AA115" s="12" t="s">
        <v>108</v>
      </c>
      <c r="AB115" s="13" t="s">
        <v>2905</v>
      </c>
      <c r="AC115" s="14">
        <v>45881</v>
      </c>
      <c r="AD115" s="15">
        <v>33</v>
      </c>
      <c r="AE115" s="176" t="s">
        <v>2985</v>
      </c>
      <c r="AF115" s="12">
        <v>371008780</v>
      </c>
      <c r="AG115" s="12" t="s">
        <v>122</v>
      </c>
      <c r="AH115" s="12" t="s">
        <v>105</v>
      </c>
      <c r="AI115" s="14">
        <v>45891</v>
      </c>
      <c r="AJ115" s="14">
        <v>45891</v>
      </c>
      <c r="AK115" s="14">
        <v>45891</v>
      </c>
      <c r="AL115" s="14">
        <v>45936</v>
      </c>
      <c r="AM115" s="14">
        <v>45926</v>
      </c>
      <c r="AN115" s="14">
        <v>45936</v>
      </c>
      <c r="AO115" s="91" t="s">
        <v>402</v>
      </c>
      <c r="AP115" s="12" t="s">
        <v>2986</v>
      </c>
      <c r="AQ115" s="12"/>
      <c r="AR115" s="12" t="s">
        <v>2987</v>
      </c>
      <c r="AS115" s="12" t="s">
        <v>2988</v>
      </c>
      <c r="AT115" s="12" t="s">
        <v>2988</v>
      </c>
      <c r="AU115" s="12">
        <v>46</v>
      </c>
      <c r="AV115" s="12" t="s">
        <v>2493</v>
      </c>
      <c r="AW115" s="12">
        <v>6</v>
      </c>
      <c r="AX115" s="12">
        <v>55</v>
      </c>
      <c r="AY115" s="14">
        <v>45891</v>
      </c>
      <c r="AZ115" s="14">
        <v>45936</v>
      </c>
      <c r="BA115" s="12" t="e">
        <v>#N/A</v>
      </c>
      <c r="BB115" s="14" t="s">
        <v>2480</v>
      </c>
      <c r="BC115" s="14">
        <v>45950</v>
      </c>
      <c r="BD115" s="16">
        <v>2025</v>
      </c>
      <c r="BE115" s="16">
        <v>10</v>
      </c>
      <c r="BF115" s="16">
        <v>43</v>
      </c>
      <c r="BG115" s="191">
        <v>36</v>
      </c>
      <c r="BH115" s="191">
        <v>720</v>
      </c>
    </row>
    <row r="116" spans="1:60" s="23" customFormat="1" ht="10">
      <c r="A116" s="11" t="s">
        <v>2989</v>
      </c>
      <c r="B116" s="12" t="s">
        <v>111</v>
      </c>
      <c r="C116" s="12" t="s">
        <v>2904</v>
      </c>
      <c r="D116" s="12" t="s">
        <v>63</v>
      </c>
      <c r="E116" s="12" t="s">
        <v>64</v>
      </c>
      <c r="F116" s="12" t="s">
        <v>100</v>
      </c>
      <c r="G116" s="12" t="s">
        <v>67</v>
      </c>
      <c r="H116" s="12" t="s">
        <v>402</v>
      </c>
      <c r="I116" s="12" t="s">
        <v>677</v>
      </c>
      <c r="J116" s="34" t="s">
        <v>68</v>
      </c>
      <c r="K116" s="12">
        <v>14130691</v>
      </c>
      <c r="L116" s="13" t="s">
        <v>2732</v>
      </c>
      <c r="M116" s="213" t="s">
        <v>68</v>
      </c>
      <c r="N116" s="182"/>
      <c r="O116" s="12" t="s">
        <v>2475</v>
      </c>
      <c r="P116" s="12" t="s">
        <v>70</v>
      </c>
      <c r="Q116" s="12" t="s">
        <v>102</v>
      </c>
      <c r="R116" s="12">
        <v>554245</v>
      </c>
      <c r="S116" s="12" t="s">
        <v>103</v>
      </c>
      <c r="T116" s="206">
        <v>620</v>
      </c>
      <c r="U116" s="206">
        <v>3600</v>
      </c>
      <c r="V116" s="12">
        <v>2.2320000000000002</v>
      </c>
      <c r="W116" s="198">
        <v>100</v>
      </c>
      <c r="X116" s="254">
        <v>5</v>
      </c>
      <c r="Y116" s="12" t="s">
        <v>75</v>
      </c>
      <c r="Z116" s="12"/>
      <c r="AA116" s="12" t="s">
        <v>108</v>
      </c>
      <c r="AB116" s="13" t="s">
        <v>2905</v>
      </c>
      <c r="AC116" s="14">
        <v>45882</v>
      </c>
      <c r="AD116" s="15">
        <v>33</v>
      </c>
      <c r="AE116" s="176" t="s">
        <v>2990</v>
      </c>
      <c r="AF116" s="12">
        <v>371008779</v>
      </c>
      <c r="AG116" s="12" t="s">
        <v>122</v>
      </c>
      <c r="AH116" s="12" t="s">
        <v>105</v>
      </c>
      <c r="AI116" s="14">
        <v>45891</v>
      </c>
      <c r="AJ116" s="14">
        <v>45891</v>
      </c>
      <c r="AK116" s="14">
        <v>45891</v>
      </c>
      <c r="AL116" s="14">
        <v>45936</v>
      </c>
      <c r="AM116" s="14">
        <v>45926</v>
      </c>
      <c r="AN116" s="14">
        <v>45936</v>
      </c>
      <c r="AO116" s="91" t="s">
        <v>402</v>
      </c>
      <c r="AP116" s="12" t="s">
        <v>2986</v>
      </c>
      <c r="AQ116" s="12"/>
      <c r="AR116" s="12" t="s">
        <v>2991</v>
      </c>
      <c r="AS116" s="12" t="s">
        <v>2992</v>
      </c>
      <c r="AT116" s="12" t="s">
        <v>2992</v>
      </c>
      <c r="AU116" s="12">
        <v>46</v>
      </c>
      <c r="AV116" s="12" t="s">
        <v>2493</v>
      </c>
      <c r="AW116" s="12">
        <v>6</v>
      </c>
      <c r="AX116" s="12">
        <v>54</v>
      </c>
      <c r="AY116" s="14">
        <v>45891</v>
      </c>
      <c r="AZ116" s="14">
        <v>45936</v>
      </c>
      <c r="BA116" s="12" t="e">
        <v>#N/A</v>
      </c>
      <c r="BB116" s="14" t="s">
        <v>2480</v>
      </c>
      <c r="BC116" s="14">
        <v>45950</v>
      </c>
      <c r="BD116" s="16">
        <v>2025</v>
      </c>
      <c r="BE116" s="16">
        <v>10</v>
      </c>
      <c r="BF116" s="16">
        <v>43</v>
      </c>
      <c r="BG116" s="191">
        <v>36</v>
      </c>
      <c r="BH116" s="191">
        <v>720</v>
      </c>
    </row>
    <row r="117" spans="1:60" s="23" customFormat="1" ht="10">
      <c r="A117" s="11" t="s">
        <v>2993</v>
      </c>
      <c r="B117" s="12" t="s">
        <v>111</v>
      </c>
      <c r="C117" s="12" t="s">
        <v>2904</v>
      </c>
      <c r="D117" s="12" t="s">
        <v>63</v>
      </c>
      <c r="E117" s="12" t="s">
        <v>64</v>
      </c>
      <c r="F117" s="12" t="s">
        <v>100</v>
      </c>
      <c r="G117" s="12" t="s">
        <v>67</v>
      </c>
      <c r="H117" s="12" t="s">
        <v>402</v>
      </c>
      <c r="I117" s="12" t="s">
        <v>677</v>
      </c>
      <c r="J117" s="34" t="s">
        <v>68</v>
      </c>
      <c r="K117" s="12" t="s">
        <v>2994</v>
      </c>
      <c r="L117" s="13" t="s">
        <v>2732</v>
      </c>
      <c r="M117" s="213" t="s">
        <v>68</v>
      </c>
      <c r="N117" s="182"/>
      <c r="O117" s="12" t="s">
        <v>2475</v>
      </c>
      <c r="P117" s="12" t="s">
        <v>70</v>
      </c>
      <c r="Q117" s="12" t="s">
        <v>102</v>
      </c>
      <c r="R117" s="12">
        <v>554245</v>
      </c>
      <c r="S117" s="12" t="s">
        <v>103</v>
      </c>
      <c r="T117" s="206">
        <v>620</v>
      </c>
      <c r="U117" s="206">
        <v>8640</v>
      </c>
      <c r="V117" s="12">
        <v>5.3567999999999998</v>
      </c>
      <c r="W117" s="198">
        <v>240</v>
      </c>
      <c r="X117" s="254">
        <v>12</v>
      </c>
      <c r="Y117" s="12" t="s">
        <v>75</v>
      </c>
      <c r="Z117" s="12"/>
      <c r="AA117" s="12" t="s">
        <v>108</v>
      </c>
      <c r="AB117" s="13" t="s">
        <v>2905</v>
      </c>
      <c r="AC117" s="14">
        <v>45886</v>
      </c>
      <c r="AD117" s="15">
        <v>33</v>
      </c>
      <c r="AE117" s="176" t="s">
        <v>2995</v>
      </c>
      <c r="AF117" s="12">
        <v>371008812</v>
      </c>
      <c r="AG117" s="12" t="s">
        <v>122</v>
      </c>
      <c r="AH117" s="12" t="s">
        <v>105</v>
      </c>
      <c r="AI117" s="14">
        <v>45896</v>
      </c>
      <c r="AJ117" s="14">
        <v>45896</v>
      </c>
      <c r="AK117" s="14">
        <v>45896</v>
      </c>
      <c r="AL117" s="14">
        <v>45944</v>
      </c>
      <c r="AM117" s="14"/>
      <c r="AN117" s="14">
        <v>45944</v>
      </c>
      <c r="AO117" s="91" t="s">
        <v>402</v>
      </c>
      <c r="AP117" s="12" t="s">
        <v>2979</v>
      </c>
      <c r="AQ117" s="12"/>
      <c r="AR117" s="12" t="s">
        <v>2996</v>
      </c>
      <c r="AS117" s="12" t="s">
        <v>2997</v>
      </c>
      <c r="AT117" s="12" t="s">
        <v>2997</v>
      </c>
      <c r="AU117" s="12">
        <v>49</v>
      </c>
      <c r="AV117" s="12" t="s">
        <v>2493</v>
      </c>
      <c r="AW117" s="12">
        <v>6</v>
      </c>
      <c r="AX117" s="12">
        <v>58</v>
      </c>
      <c r="AY117" s="14">
        <v>45896</v>
      </c>
      <c r="AZ117" s="14">
        <v>45944</v>
      </c>
      <c r="BA117" s="12" t="e">
        <v>#N/A</v>
      </c>
      <c r="BB117" s="14" t="s">
        <v>2480</v>
      </c>
      <c r="BC117" s="14">
        <v>45958</v>
      </c>
      <c r="BD117" s="16">
        <v>2025</v>
      </c>
      <c r="BE117" s="16">
        <v>10</v>
      </c>
      <c r="BF117" s="16">
        <v>44</v>
      </c>
      <c r="BG117" s="191">
        <v>36</v>
      </c>
      <c r="BH117" s="191">
        <v>720</v>
      </c>
    </row>
    <row r="118" spans="1:60" s="23" customFormat="1" ht="10">
      <c r="A118" s="11" t="s">
        <v>2998</v>
      </c>
      <c r="B118" s="12" t="s">
        <v>111</v>
      </c>
      <c r="C118" s="12" t="s">
        <v>2910</v>
      </c>
      <c r="D118" s="12" t="s">
        <v>63</v>
      </c>
      <c r="E118" s="12" t="s">
        <v>64</v>
      </c>
      <c r="F118" s="12" t="s">
        <v>100</v>
      </c>
      <c r="G118" s="12" t="s">
        <v>67</v>
      </c>
      <c r="H118" s="12" t="s">
        <v>402</v>
      </c>
      <c r="I118" s="12" t="s">
        <v>677</v>
      </c>
      <c r="J118" s="34" t="s">
        <v>68</v>
      </c>
      <c r="K118" s="12">
        <v>14130691</v>
      </c>
      <c r="L118" s="13" t="s">
        <v>2732</v>
      </c>
      <c r="M118" s="213" t="s">
        <v>68</v>
      </c>
      <c r="N118" s="182"/>
      <c r="O118" s="12" t="s">
        <v>2475</v>
      </c>
      <c r="P118" s="12" t="s">
        <v>70</v>
      </c>
      <c r="Q118" s="12" t="s">
        <v>1002</v>
      </c>
      <c r="R118" s="12">
        <v>554246</v>
      </c>
      <c r="S118" s="12" t="s">
        <v>330</v>
      </c>
      <c r="T118" s="206">
        <v>625</v>
      </c>
      <c r="U118" s="206">
        <v>3600</v>
      </c>
      <c r="V118" s="12">
        <v>2.25</v>
      </c>
      <c r="W118" s="198">
        <v>100</v>
      </c>
      <c r="X118" s="254">
        <v>5</v>
      </c>
      <c r="Y118" s="12" t="s">
        <v>75</v>
      </c>
      <c r="Z118" s="12"/>
      <c r="AA118" s="12" t="s">
        <v>108</v>
      </c>
      <c r="AB118" s="13" t="s">
        <v>2905</v>
      </c>
      <c r="AC118" s="14">
        <v>45882</v>
      </c>
      <c r="AD118" s="15">
        <v>33</v>
      </c>
      <c r="AE118" s="176" t="s">
        <v>2999</v>
      </c>
      <c r="AF118" s="12">
        <v>371008781</v>
      </c>
      <c r="AG118" s="12" t="s">
        <v>122</v>
      </c>
      <c r="AH118" s="12" t="s">
        <v>105</v>
      </c>
      <c r="AI118" s="14">
        <v>45891</v>
      </c>
      <c r="AJ118" s="14">
        <v>45891</v>
      </c>
      <c r="AK118" s="14">
        <v>45891</v>
      </c>
      <c r="AL118" s="14">
        <v>45936</v>
      </c>
      <c r="AM118" s="14">
        <v>45926</v>
      </c>
      <c r="AN118" s="14">
        <v>45936</v>
      </c>
      <c r="AO118" s="91" t="s">
        <v>402</v>
      </c>
      <c r="AP118" s="12" t="s">
        <v>2986</v>
      </c>
      <c r="AQ118" s="12"/>
      <c r="AR118" s="12" t="s">
        <v>2991</v>
      </c>
      <c r="AS118" s="12" t="s">
        <v>2992</v>
      </c>
      <c r="AT118" s="12" t="s">
        <v>2992</v>
      </c>
      <c r="AU118" s="12">
        <v>46</v>
      </c>
      <c r="AV118" s="12" t="s">
        <v>2493</v>
      </c>
      <c r="AW118" s="12">
        <v>5</v>
      </c>
      <c r="AX118" s="12">
        <v>54</v>
      </c>
      <c r="AY118" s="14">
        <v>45891</v>
      </c>
      <c r="AZ118" s="14">
        <v>45936</v>
      </c>
      <c r="BA118" s="12" t="e">
        <v>#N/A</v>
      </c>
      <c r="BB118" s="14" t="s">
        <v>2480</v>
      </c>
      <c r="BC118" s="14">
        <v>45950</v>
      </c>
      <c r="BD118" s="16">
        <v>2025</v>
      </c>
      <c r="BE118" s="16">
        <v>10</v>
      </c>
      <c r="BF118" s="16">
        <v>43</v>
      </c>
      <c r="BG118" s="191">
        <v>36</v>
      </c>
      <c r="BH118" s="191">
        <v>720</v>
      </c>
    </row>
    <row r="119" spans="1:60" s="23" customFormat="1" ht="10">
      <c r="A119" s="11" t="s">
        <v>3000</v>
      </c>
      <c r="B119" s="12" t="s">
        <v>111</v>
      </c>
      <c r="C119" s="12" t="s">
        <v>203</v>
      </c>
      <c r="D119" s="12" t="s">
        <v>63</v>
      </c>
      <c r="E119" s="12" t="s">
        <v>64</v>
      </c>
      <c r="F119" s="12" t="s">
        <v>65</v>
      </c>
      <c r="G119" s="12" t="s">
        <v>67</v>
      </c>
      <c r="H119" s="12" t="s">
        <v>66</v>
      </c>
      <c r="I119" s="12" t="s">
        <v>96</v>
      </c>
      <c r="J119" s="34" t="s">
        <v>68</v>
      </c>
      <c r="K119" s="12"/>
      <c r="L119" s="13" t="s">
        <v>2474</v>
      </c>
      <c r="M119" s="213" t="s">
        <v>68</v>
      </c>
      <c r="N119" s="182"/>
      <c r="O119" s="12" t="s">
        <v>2475</v>
      </c>
      <c r="P119" s="12" t="s">
        <v>473</v>
      </c>
      <c r="Q119" s="12" t="s">
        <v>763</v>
      </c>
      <c r="R119" s="12">
        <v>553146</v>
      </c>
      <c r="S119" s="12" t="s">
        <v>764</v>
      </c>
      <c r="T119" s="206">
        <v>450</v>
      </c>
      <c r="U119" s="206">
        <v>3456</v>
      </c>
      <c r="V119" s="12">
        <v>1.5551999999999999</v>
      </c>
      <c r="W119" s="198">
        <v>96</v>
      </c>
      <c r="X119" s="254">
        <v>4</v>
      </c>
      <c r="Y119" s="12" t="s">
        <v>75</v>
      </c>
      <c r="Z119" s="12"/>
      <c r="AA119" s="12" t="s">
        <v>85</v>
      </c>
      <c r="AB119" s="13" t="s">
        <v>967</v>
      </c>
      <c r="AC119" s="14">
        <v>45882</v>
      </c>
      <c r="AD119" s="15">
        <v>33</v>
      </c>
      <c r="AE119" s="176" t="s">
        <v>3001</v>
      </c>
      <c r="AF119" s="12">
        <v>371008782</v>
      </c>
      <c r="AG119" s="12" t="s">
        <v>122</v>
      </c>
      <c r="AH119" s="12" t="s">
        <v>78</v>
      </c>
      <c r="AI119" s="14">
        <v>45892</v>
      </c>
      <c r="AJ119" s="14">
        <v>45892</v>
      </c>
      <c r="AK119" s="14">
        <v>45892</v>
      </c>
      <c r="AL119" s="14">
        <v>45948</v>
      </c>
      <c r="AM119" s="14">
        <v>45933</v>
      </c>
      <c r="AN119" s="14">
        <v>45948</v>
      </c>
      <c r="AO119" s="91" t="s">
        <v>66</v>
      </c>
      <c r="AP119" s="12" t="s">
        <v>2928</v>
      </c>
      <c r="AQ119" s="12"/>
      <c r="AR119" s="12" t="s">
        <v>3002</v>
      </c>
      <c r="AS119" s="12" t="s">
        <v>3003</v>
      </c>
      <c r="AT119" s="12" t="s">
        <v>3003</v>
      </c>
      <c r="AU119" s="12">
        <v>57</v>
      </c>
      <c r="AV119" s="12" t="s">
        <v>83</v>
      </c>
      <c r="AW119" s="12">
        <v>39</v>
      </c>
      <c r="AX119" s="12">
        <v>66</v>
      </c>
      <c r="AY119" s="14">
        <v>45892</v>
      </c>
      <c r="AZ119" s="14">
        <v>45948</v>
      </c>
      <c r="BA119" s="12" t="e">
        <v>#N/A</v>
      </c>
      <c r="BB119" s="14" t="s">
        <v>2480</v>
      </c>
      <c r="BC119" s="14">
        <v>45962</v>
      </c>
      <c r="BD119" s="16">
        <v>2025</v>
      </c>
      <c r="BE119" s="16">
        <v>11</v>
      </c>
      <c r="BF119" s="16">
        <v>44</v>
      </c>
      <c r="BG119" s="191">
        <v>36</v>
      </c>
      <c r="BH119" s="191">
        <v>864</v>
      </c>
    </row>
    <row r="120" spans="1:60" s="23" customFormat="1" ht="10">
      <c r="A120" s="11" t="s">
        <v>3004</v>
      </c>
      <c r="B120" s="12" t="s">
        <v>111</v>
      </c>
      <c r="C120" s="12" t="s">
        <v>3005</v>
      </c>
      <c r="D120" s="12" t="s">
        <v>63</v>
      </c>
      <c r="E120" s="12" t="s">
        <v>68</v>
      </c>
      <c r="F120" s="12" t="s">
        <v>68</v>
      </c>
      <c r="G120" s="12"/>
      <c r="H120" s="12" t="s">
        <v>66</v>
      </c>
      <c r="I120" s="12" t="s">
        <v>3006</v>
      </c>
      <c r="J120" s="34" t="s">
        <v>68</v>
      </c>
      <c r="K120" s="12">
        <v>19143062</v>
      </c>
      <c r="L120" s="13" t="s">
        <v>2497</v>
      </c>
      <c r="M120" s="12" t="s">
        <v>68</v>
      </c>
      <c r="N120" s="182"/>
      <c r="O120" s="12" t="s">
        <v>2475</v>
      </c>
      <c r="P120" s="12" t="s">
        <v>132</v>
      </c>
      <c r="Q120" s="12" t="s">
        <v>453</v>
      </c>
      <c r="R120" s="12">
        <v>554541</v>
      </c>
      <c r="S120" s="12" t="s">
        <v>454</v>
      </c>
      <c r="T120" s="206">
        <v>460</v>
      </c>
      <c r="U120" s="206">
        <v>864</v>
      </c>
      <c r="V120" s="12">
        <v>0.39744000000000002</v>
      </c>
      <c r="W120" s="198">
        <v>24</v>
      </c>
      <c r="X120" s="254">
        <v>1</v>
      </c>
      <c r="Y120" s="12" t="s">
        <v>75</v>
      </c>
      <c r="Z120" s="12"/>
      <c r="AA120" s="12" t="s">
        <v>108</v>
      </c>
      <c r="AB120" s="32" t="s">
        <v>967</v>
      </c>
      <c r="AC120" s="14">
        <v>45882</v>
      </c>
      <c r="AD120" s="15">
        <v>33</v>
      </c>
      <c r="AE120" s="176" t="s">
        <v>3007</v>
      </c>
      <c r="AF120" s="12">
        <v>371008789</v>
      </c>
      <c r="AG120" s="12" t="s">
        <v>122</v>
      </c>
      <c r="AH120" s="12" t="s">
        <v>314</v>
      </c>
      <c r="AI120" s="14">
        <v>45892</v>
      </c>
      <c r="AJ120" s="14">
        <v>45892</v>
      </c>
      <c r="AK120" s="14">
        <v>45892</v>
      </c>
      <c r="AL120" s="14">
        <v>45946</v>
      </c>
      <c r="AM120" s="14">
        <v>45938</v>
      </c>
      <c r="AN120" s="14">
        <v>45946</v>
      </c>
      <c r="AO120" s="91" t="s">
        <v>66</v>
      </c>
      <c r="AP120" s="12" t="s">
        <v>3008</v>
      </c>
      <c r="AQ120" s="12"/>
      <c r="AR120" s="12" t="s">
        <v>3009</v>
      </c>
      <c r="AS120" s="12" t="s">
        <v>3010</v>
      </c>
      <c r="AT120" s="12" t="s">
        <v>3010</v>
      </c>
      <c r="AU120" s="12">
        <v>55</v>
      </c>
      <c r="AV120" s="12" t="s">
        <v>83</v>
      </c>
      <c r="AW120" s="12">
        <v>5</v>
      </c>
      <c r="AX120" s="12">
        <v>64</v>
      </c>
      <c r="AY120" s="14">
        <v>45892</v>
      </c>
      <c r="AZ120" s="14">
        <v>45946</v>
      </c>
      <c r="BA120" s="12" t="e">
        <v>#N/A</v>
      </c>
      <c r="BB120" s="14" t="s">
        <v>2480</v>
      </c>
      <c r="BC120" s="14">
        <v>45960</v>
      </c>
      <c r="BD120" s="16">
        <v>2025</v>
      </c>
      <c r="BE120" s="16">
        <v>10</v>
      </c>
      <c r="BF120" s="16">
        <v>44</v>
      </c>
      <c r="BG120" s="191">
        <v>36</v>
      </c>
      <c r="BH120" s="191">
        <v>864</v>
      </c>
    </row>
    <row r="121" spans="1:60" s="23" customFormat="1" ht="10">
      <c r="A121" s="11" t="s">
        <v>3011</v>
      </c>
      <c r="B121" s="12" t="s">
        <v>111</v>
      </c>
      <c r="C121" s="12" t="s">
        <v>3005</v>
      </c>
      <c r="D121" s="12" t="s">
        <v>63</v>
      </c>
      <c r="E121" s="12" t="s">
        <v>68</v>
      </c>
      <c r="F121" s="12" t="s">
        <v>68</v>
      </c>
      <c r="G121" s="12"/>
      <c r="H121" s="12" t="s">
        <v>66</v>
      </c>
      <c r="I121" s="12" t="s">
        <v>3012</v>
      </c>
      <c r="J121" s="34" t="s">
        <v>68</v>
      </c>
      <c r="K121" s="12">
        <v>19142945</v>
      </c>
      <c r="L121" s="13" t="s">
        <v>2497</v>
      </c>
      <c r="M121" s="12" t="s">
        <v>68</v>
      </c>
      <c r="N121" s="182"/>
      <c r="O121" s="12" t="s">
        <v>2475</v>
      </c>
      <c r="P121" s="12" t="s">
        <v>132</v>
      </c>
      <c r="Q121" s="12" t="s">
        <v>453</v>
      </c>
      <c r="R121" s="12">
        <v>554541</v>
      </c>
      <c r="S121" s="12" t="s">
        <v>454</v>
      </c>
      <c r="T121" s="206">
        <v>460</v>
      </c>
      <c r="U121" s="206">
        <v>864</v>
      </c>
      <c r="V121" s="12">
        <v>0.39744000000000002</v>
      </c>
      <c r="W121" s="198">
        <v>24</v>
      </c>
      <c r="X121" s="254">
        <v>1</v>
      </c>
      <c r="Y121" s="12" t="s">
        <v>75</v>
      </c>
      <c r="Z121" s="12"/>
      <c r="AA121" s="12" t="s">
        <v>108</v>
      </c>
      <c r="AB121" s="32" t="s">
        <v>967</v>
      </c>
      <c r="AC121" s="14">
        <v>45882</v>
      </c>
      <c r="AD121" s="15">
        <v>33</v>
      </c>
      <c r="AE121" s="176" t="s">
        <v>3013</v>
      </c>
      <c r="AF121" s="12">
        <v>371008790</v>
      </c>
      <c r="AG121" s="12" t="s">
        <v>122</v>
      </c>
      <c r="AH121" s="12" t="s">
        <v>314</v>
      </c>
      <c r="AI121" s="14">
        <v>45892</v>
      </c>
      <c r="AJ121" s="14">
        <v>45892</v>
      </c>
      <c r="AK121" s="14">
        <v>45892</v>
      </c>
      <c r="AL121" s="14">
        <v>45946</v>
      </c>
      <c r="AM121" s="14">
        <v>45938</v>
      </c>
      <c r="AN121" s="14">
        <v>45946</v>
      </c>
      <c r="AO121" s="91" t="s">
        <v>66</v>
      </c>
      <c r="AP121" s="12" t="s">
        <v>3008</v>
      </c>
      <c r="AQ121" s="12"/>
      <c r="AR121" s="12" t="s">
        <v>3009</v>
      </c>
      <c r="AS121" s="12" t="s">
        <v>3010</v>
      </c>
      <c r="AT121" s="12" t="s">
        <v>3010</v>
      </c>
      <c r="AU121" s="12">
        <v>55</v>
      </c>
      <c r="AV121" s="12" t="s">
        <v>83</v>
      </c>
      <c r="AW121" s="12">
        <v>5</v>
      </c>
      <c r="AX121" s="12">
        <v>64</v>
      </c>
      <c r="AY121" s="14">
        <v>45892</v>
      </c>
      <c r="AZ121" s="14">
        <v>45946</v>
      </c>
      <c r="BA121" s="12" t="e">
        <v>#N/A</v>
      </c>
      <c r="BB121" s="14" t="s">
        <v>2480</v>
      </c>
      <c r="BC121" s="14">
        <v>45960</v>
      </c>
      <c r="BD121" s="16">
        <v>2025</v>
      </c>
      <c r="BE121" s="16">
        <v>10</v>
      </c>
      <c r="BF121" s="16">
        <v>44</v>
      </c>
      <c r="BG121" s="191">
        <v>36</v>
      </c>
      <c r="BH121" s="191">
        <v>864</v>
      </c>
    </row>
    <row r="122" spans="1:60" s="23" customFormat="1" ht="10">
      <c r="A122" s="11" t="s">
        <v>3014</v>
      </c>
      <c r="B122" s="12" t="s">
        <v>111</v>
      </c>
      <c r="C122" s="12" t="s">
        <v>3005</v>
      </c>
      <c r="D122" s="12" t="s">
        <v>63</v>
      </c>
      <c r="E122" s="12" t="s">
        <v>68</v>
      </c>
      <c r="F122" s="12" t="s">
        <v>68</v>
      </c>
      <c r="G122" s="12"/>
      <c r="H122" s="12" t="s">
        <v>66</v>
      </c>
      <c r="I122" s="12" t="s">
        <v>3015</v>
      </c>
      <c r="J122" s="34" t="s">
        <v>68</v>
      </c>
      <c r="K122" s="12">
        <v>19142942</v>
      </c>
      <c r="L122" s="13" t="s">
        <v>2497</v>
      </c>
      <c r="M122" s="12" t="s">
        <v>68</v>
      </c>
      <c r="N122" s="182"/>
      <c r="O122" s="12" t="s">
        <v>2475</v>
      </c>
      <c r="P122" s="12" t="s">
        <v>132</v>
      </c>
      <c r="Q122" s="12" t="s">
        <v>453</v>
      </c>
      <c r="R122" s="12">
        <v>554541</v>
      </c>
      <c r="S122" s="12" t="s">
        <v>454</v>
      </c>
      <c r="T122" s="206">
        <v>460</v>
      </c>
      <c r="U122" s="206">
        <v>864</v>
      </c>
      <c r="V122" s="12">
        <v>0.39744000000000002</v>
      </c>
      <c r="W122" s="198">
        <v>24</v>
      </c>
      <c r="X122" s="254">
        <v>1</v>
      </c>
      <c r="Y122" s="12" t="s">
        <v>75</v>
      </c>
      <c r="Z122" s="12"/>
      <c r="AA122" s="12" t="s">
        <v>108</v>
      </c>
      <c r="AB122" s="32" t="s">
        <v>967</v>
      </c>
      <c r="AC122" s="14">
        <v>45882</v>
      </c>
      <c r="AD122" s="15">
        <v>33</v>
      </c>
      <c r="AE122" s="176" t="s">
        <v>3016</v>
      </c>
      <c r="AF122" s="12">
        <v>371008791</v>
      </c>
      <c r="AG122" s="12" t="s">
        <v>122</v>
      </c>
      <c r="AH122" s="12" t="s">
        <v>314</v>
      </c>
      <c r="AI122" s="14">
        <v>45892</v>
      </c>
      <c r="AJ122" s="14">
        <v>45892</v>
      </c>
      <c r="AK122" s="14">
        <v>45892</v>
      </c>
      <c r="AL122" s="14">
        <v>45946</v>
      </c>
      <c r="AM122" s="14">
        <v>45938</v>
      </c>
      <c r="AN122" s="14">
        <v>45946</v>
      </c>
      <c r="AO122" s="91" t="s">
        <v>66</v>
      </c>
      <c r="AP122" s="12" t="s">
        <v>3008</v>
      </c>
      <c r="AQ122" s="12"/>
      <c r="AR122" s="12" t="s">
        <v>3009</v>
      </c>
      <c r="AS122" s="12" t="s">
        <v>3010</v>
      </c>
      <c r="AT122" s="12" t="s">
        <v>3010</v>
      </c>
      <c r="AU122" s="12">
        <v>55</v>
      </c>
      <c r="AV122" s="12" t="s">
        <v>83</v>
      </c>
      <c r="AW122" s="12">
        <v>5</v>
      </c>
      <c r="AX122" s="12">
        <v>64</v>
      </c>
      <c r="AY122" s="14">
        <v>45892</v>
      </c>
      <c r="AZ122" s="14">
        <v>45946</v>
      </c>
      <c r="BA122" s="12" t="e">
        <v>#N/A</v>
      </c>
      <c r="BB122" s="14" t="s">
        <v>2480</v>
      </c>
      <c r="BC122" s="14">
        <v>45960</v>
      </c>
      <c r="BD122" s="16">
        <v>2025</v>
      </c>
      <c r="BE122" s="16">
        <v>10</v>
      </c>
      <c r="BF122" s="16">
        <v>44</v>
      </c>
      <c r="BG122" s="191">
        <v>36</v>
      </c>
      <c r="BH122" s="191">
        <v>864</v>
      </c>
    </row>
    <row r="123" spans="1:60" s="23" customFormat="1" ht="10">
      <c r="A123" s="11" t="s">
        <v>2838</v>
      </c>
      <c r="B123" s="12" t="s">
        <v>111</v>
      </c>
      <c r="C123" s="12" t="s">
        <v>203</v>
      </c>
      <c r="D123" s="12" t="s">
        <v>63</v>
      </c>
      <c r="E123" s="12" t="s">
        <v>68</v>
      </c>
      <c r="F123" s="12" t="s">
        <v>68</v>
      </c>
      <c r="G123" s="12"/>
      <c r="H123" s="12" t="s">
        <v>66</v>
      </c>
      <c r="I123" s="12" t="s">
        <v>1292</v>
      </c>
      <c r="J123" s="34" t="s">
        <v>68</v>
      </c>
      <c r="K123" s="12"/>
      <c r="L123" s="13" t="s">
        <v>2831</v>
      </c>
      <c r="M123" s="12" t="s">
        <v>68</v>
      </c>
      <c r="N123" s="182"/>
      <c r="O123" s="12" t="s">
        <v>2475</v>
      </c>
      <c r="P123" s="12" t="s">
        <v>473</v>
      </c>
      <c r="Q123" s="12" t="s">
        <v>529</v>
      </c>
      <c r="R123" s="12">
        <v>553145</v>
      </c>
      <c r="S123" s="12" t="s">
        <v>530</v>
      </c>
      <c r="T123" s="206">
        <v>455</v>
      </c>
      <c r="U123" s="206">
        <v>2592</v>
      </c>
      <c r="V123" s="12">
        <v>1.17936</v>
      </c>
      <c r="W123" s="198">
        <v>72</v>
      </c>
      <c r="X123" s="254">
        <v>3</v>
      </c>
      <c r="Y123" s="12" t="s">
        <v>75</v>
      </c>
      <c r="Z123" s="12"/>
      <c r="AA123" s="12" t="s">
        <v>85</v>
      </c>
      <c r="AB123" s="13" t="s">
        <v>967</v>
      </c>
      <c r="AC123" s="14">
        <v>45881</v>
      </c>
      <c r="AD123" s="15">
        <v>33</v>
      </c>
      <c r="AE123" s="176" t="s">
        <v>3017</v>
      </c>
      <c r="AF123" s="12">
        <v>371008783</v>
      </c>
      <c r="AG123" s="12" t="s">
        <v>122</v>
      </c>
      <c r="AH123" s="12" t="s">
        <v>456</v>
      </c>
      <c r="AI123" s="14">
        <v>45891</v>
      </c>
      <c r="AJ123" s="14">
        <v>45891</v>
      </c>
      <c r="AK123" s="14">
        <v>45891</v>
      </c>
      <c r="AL123" s="14">
        <v>45951</v>
      </c>
      <c r="AM123" s="14">
        <v>45936</v>
      </c>
      <c r="AN123" s="14">
        <v>45951</v>
      </c>
      <c r="AO123" s="91" t="s">
        <v>66</v>
      </c>
      <c r="AP123" s="12" t="s">
        <v>2986</v>
      </c>
      <c r="AQ123" s="12"/>
      <c r="AR123" s="12" t="s">
        <v>3018</v>
      </c>
      <c r="AS123" s="12" t="s">
        <v>3019</v>
      </c>
      <c r="AT123" s="12" t="s">
        <v>3019</v>
      </c>
      <c r="AU123" s="12">
        <v>61</v>
      </c>
      <c r="AV123" s="12" t="s">
        <v>83</v>
      </c>
      <c r="AW123" s="12">
        <v>39</v>
      </c>
      <c r="AX123" s="12">
        <v>70</v>
      </c>
      <c r="AY123" s="14">
        <v>45891</v>
      </c>
      <c r="AZ123" s="14">
        <v>45951</v>
      </c>
      <c r="BA123" s="12" t="e">
        <v>#N/A</v>
      </c>
      <c r="BB123" s="14" t="s">
        <v>2480</v>
      </c>
      <c r="BC123" s="14">
        <v>45965</v>
      </c>
      <c r="BD123" s="16">
        <v>2025</v>
      </c>
      <c r="BE123" s="16">
        <v>11</v>
      </c>
      <c r="BF123" s="16">
        <v>45</v>
      </c>
      <c r="BG123" s="191">
        <v>36</v>
      </c>
      <c r="BH123" s="191">
        <v>864</v>
      </c>
    </row>
    <row r="124" spans="1:60" s="23" customFormat="1" ht="10">
      <c r="A124" s="11" t="s">
        <v>3020</v>
      </c>
      <c r="B124" s="12" t="s">
        <v>111</v>
      </c>
      <c r="C124" s="12" t="s">
        <v>2838</v>
      </c>
      <c r="D124" s="12" t="s">
        <v>63</v>
      </c>
      <c r="E124" s="12" t="s">
        <v>64</v>
      </c>
      <c r="F124" s="12" t="s">
        <v>100</v>
      </c>
      <c r="G124" s="12" t="s">
        <v>67</v>
      </c>
      <c r="H124" s="12" t="s">
        <v>66</v>
      </c>
      <c r="I124" s="12" t="s">
        <v>96</v>
      </c>
      <c r="J124" s="34" t="s">
        <v>68</v>
      </c>
      <c r="K124" s="12"/>
      <c r="L124" s="13" t="s">
        <v>2474</v>
      </c>
      <c r="M124" s="213" t="s">
        <v>68</v>
      </c>
      <c r="N124" s="182"/>
      <c r="O124" s="12" t="s">
        <v>2475</v>
      </c>
      <c r="P124" s="12" t="s">
        <v>473</v>
      </c>
      <c r="Q124" s="12" t="s">
        <v>529</v>
      </c>
      <c r="R124" s="12">
        <v>553145</v>
      </c>
      <c r="S124" s="12" t="s">
        <v>530</v>
      </c>
      <c r="T124" s="206">
        <v>455</v>
      </c>
      <c r="U124" s="206">
        <v>1728</v>
      </c>
      <c r="V124" s="12">
        <v>0.78624000000000005</v>
      </c>
      <c r="W124" s="198">
        <v>48</v>
      </c>
      <c r="X124" s="254">
        <v>2</v>
      </c>
      <c r="Y124" s="12" t="s">
        <v>75</v>
      </c>
      <c r="Z124" s="12"/>
      <c r="AA124" s="12" t="s">
        <v>85</v>
      </c>
      <c r="AB124" s="13" t="s">
        <v>967</v>
      </c>
      <c r="AC124" s="14">
        <v>45882</v>
      </c>
      <c r="AD124" s="15">
        <v>33</v>
      </c>
      <c r="AE124" s="176" t="s">
        <v>3021</v>
      </c>
      <c r="AF124" s="12">
        <v>371008784</v>
      </c>
      <c r="AG124" s="12" t="s">
        <v>122</v>
      </c>
      <c r="AH124" s="12" t="s">
        <v>105</v>
      </c>
      <c r="AI124" s="14">
        <v>45888</v>
      </c>
      <c r="AJ124" s="14">
        <v>45888</v>
      </c>
      <c r="AK124" s="14">
        <v>45888</v>
      </c>
      <c r="AL124" s="14">
        <v>45931</v>
      </c>
      <c r="AM124" s="14">
        <v>45924</v>
      </c>
      <c r="AN124" s="14">
        <v>45931</v>
      </c>
      <c r="AO124" s="91" t="s">
        <v>66</v>
      </c>
      <c r="AP124" s="12" t="s">
        <v>3022</v>
      </c>
      <c r="AQ124" s="12"/>
      <c r="AR124" s="12" t="s">
        <v>3023</v>
      </c>
      <c r="AS124" s="12" t="s">
        <v>3024</v>
      </c>
      <c r="AT124" s="12" t="s">
        <v>3024</v>
      </c>
      <c r="AU124" s="12">
        <v>44</v>
      </c>
      <c r="AV124" s="12" t="s">
        <v>83</v>
      </c>
      <c r="AW124" s="12">
        <v>6</v>
      </c>
      <c r="AX124" s="12">
        <v>49</v>
      </c>
      <c r="AY124" s="14">
        <v>45888</v>
      </c>
      <c r="AZ124" s="14">
        <v>45931</v>
      </c>
      <c r="BA124" s="12" t="e">
        <v>#N/A</v>
      </c>
      <c r="BB124" s="14" t="s">
        <v>2480</v>
      </c>
      <c r="BC124" s="14">
        <v>45945</v>
      </c>
      <c r="BD124" s="16">
        <v>2025</v>
      </c>
      <c r="BE124" s="16">
        <v>10</v>
      </c>
      <c r="BF124" s="16">
        <v>42</v>
      </c>
      <c r="BG124" s="191">
        <v>36</v>
      </c>
      <c r="BH124" s="191">
        <v>864</v>
      </c>
    </row>
    <row r="125" spans="1:60" s="23" customFormat="1" ht="10">
      <c r="A125" s="11" t="s">
        <v>3025</v>
      </c>
      <c r="B125" s="12" t="s">
        <v>111</v>
      </c>
      <c r="C125" s="12" t="s">
        <v>2838</v>
      </c>
      <c r="D125" s="12" t="s">
        <v>63</v>
      </c>
      <c r="E125" s="12" t="s">
        <v>68</v>
      </c>
      <c r="F125" s="12" t="s">
        <v>68</v>
      </c>
      <c r="G125" s="12"/>
      <c r="H125" s="12" t="s">
        <v>66</v>
      </c>
      <c r="I125" s="12" t="s">
        <v>1559</v>
      </c>
      <c r="J125" s="34" t="s">
        <v>68</v>
      </c>
      <c r="K125" s="12"/>
      <c r="L125" s="13" t="s">
        <v>2497</v>
      </c>
      <c r="M125" s="12" t="s">
        <v>68</v>
      </c>
      <c r="N125" s="182"/>
      <c r="O125" s="12" t="s">
        <v>2475</v>
      </c>
      <c r="P125" s="12" t="s">
        <v>473</v>
      </c>
      <c r="Q125" s="12" t="s">
        <v>529</v>
      </c>
      <c r="R125" s="12">
        <v>553145</v>
      </c>
      <c r="S125" s="12" t="s">
        <v>530</v>
      </c>
      <c r="T125" s="206">
        <v>455</v>
      </c>
      <c r="U125" s="206">
        <v>864</v>
      </c>
      <c r="V125" s="12">
        <v>0.39312000000000002</v>
      </c>
      <c r="W125" s="198">
        <v>24</v>
      </c>
      <c r="X125" s="254">
        <v>1</v>
      </c>
      <c r="Y125" s="12" t="s">
        <v>75</v>
      </c>
      <c r="Z125" s="12"/>
      <c r="AA125" s="12" t="s">
        <v>85</v>
      </c>
      <c r="AB125" s="13" t="s">
        <v>967</v>
      </c>
      <c r="AC125" s="14">
        <v>45885</v>
      </c>
      <c r="AD125" s="15">
        <v>33</v>
      </c>
      <c r="AE125" s="176" t="s">
        <v>3026</v>
      </c>
      <c r="AF125" s="12">
        <v>371008785</v>
      </c>
      <c r="AG125" s="12" t="s">
        <v>122</v>
      </c>
      <c r="AH125" s="12" t="s">
        <v>1561</v>
      </c>
      <c r="AI125" s="14">
        <v>45892</v>
      </c>
      <c r="AJ125" s="14">
        <v>45892</v>
      </c>
      <c r="AK125" s="14">
        <v>45892</v>
      </c>
      <c r="AL125" s="14">
        <v>45967</v>
      </c>
      <c r="AM125" s="14"/>
      <c r="AN125" s="14">
        <v>45967</v>
      </c>
      <c r="AO125" s="91" t="s">
        <v>66</v>
      </c>
      <c r="AP125" s="12" t="s">
        <v>2928</v>
      </c>
      <c r="AQ125" s="12"/>
      <c r="AR125" s="12" t="s">
        <v>2937</v>
      </c>
      <c r="AS125" s="12" t="s">
        <v>2938</v>
      </c>
      <c r="AT125" s="12" t="s">
        <v>2939</v>
      </c>
      <c r="AU125" s="12">
        <v>76</v>
      </c>
      <c r="AV125" s="12" t="s">
        <v>83</v>
      </c>
      <c r="AW125" s="12">
        <v>6</v>
      </c>
      <c r="AX125" s="12">
        <v>82</v>
      </c>
      <c r="AY125" s="14">
        <v>45892</v>
      </c>
      <c r="AZ125" s="14">
        <v>45967</v>
      </c>
      <c r="BA125" s="12" t="e">
        <v>#N/A</v>
      </c>
      <c r="BB125" s="14" t="s">
        <v>2480</v>
      </c>
      <c r="BC125" s="14">
        <v>45981</v>
      </c>
      <c r="BD125" s="16">
        <v>2025</v>
      </c>
      <c r="BE125" s="16">
        <v>11</v>
      </c>
      <c r="BF125" s="16">
        <v>47</v>
      </c>
      <c r="BG125" s="191">
        <v>36</v>
      </c>
      <c r="BH125" s="191">
        <v>864</v>
      </c>
    </row>
    <row r="126" spans="1:60" s="23" customFormat="1" ht="10">
      <c r="A126" s="11" t="s">
        <v>2860</v>
      </c>
      <c r="B126" s="12" t="s">
        <v>111</v>
      </c>
      <c r="C126" s="12" t="s">
        <v>203</v>
      </c>
      <c r="D126" s="12" t="s">
        <v>63</v>
      </c>
      <c r="E126" s="12" t="s">
        <v>64</v>
      </c>
      <c r="F126" s="12" t="s">
        <v>65</v>
      </c>
      <c r="G126" s="12" t="s">
        <v>67</v>
      </c>
      <c r="H126" s="12" t="s">
        <v>66</v>
      </c>
      <c r="I126" s="12" t="s">
        <v>96</v>
      </c>
      <c r="J126" s="34" t="s">
        <v>68</v>
      </c>
      <c r="K126" s="12"/>
      <c r="L126" s="13" t="s">
        <v>2474</v>
      </c>
      <c r="M126" s="213" t="s">
        <v>68</v>
      </c>
      <c r="N126" s="182"/>
      <c r="O126" s="12" t="s">
        <v>2475</v>
      </c>
      <c r="P126" s="12" t="s">
        <v>2610</v>
      </c>
      <c r="Q126" s="12" t="s">
        <v>2611</v>
      </c>
      <c r="R126" s="12">
        <v>553098</v>
      </c>
      <c r="S126" s="12" t="s">
        <v>2612</v>
      </c>
      <c r="T126" s="206">
        <v>550</v>
      </c>
      <c r="U126" s="206">
        <v>5280</v>
      </c>
      <c r="V126" s="12">
        <v>2.9039999999999999</v>
      </c>
      <c r="W126" s="198">
        <v>160</v>
      </c>
      <c r="X126" s="254">
        <v>8</v>
      </c>
      <c r="Y126" s="12" t="s">
        <v>75</v>
      </c>
      <c r="Z126" s="12"/>
      <c r="AA126" s="12" t="s">
        <v>108</v>
      </c>
      <c r="AB126" s="13" t="s">
        <v>992</v>
      </c>
      <c r="AC126" s="14">
        <v>45881</v>
      </c>
      <c r="AD126" s="15">
        <v>33</v>
      </c>
      <c r="AE126" s="176" t="s">
        <v>3027</v>
      </c>
      <c r="AF126" s="12">
        <v>371008787</v>
      </c>
      <c r="AG126" s="12" t="s">
        <v>122</v>
      </c>
      <c r="AH126" s="12" t="s">
        <v>78</v>
      </c>
      <c r="AI126" s="14">
        <v>45892</v>
      </c>
      <c r="AJ126" s="14">
        <v>45892</v>
      </c>
      <c r="AK126" s="14">
        <v>45892</v>
      </c>
      <c r="AL126" s="14">
        <v>45949</v>
      </c>
      <c r="AM126" s="14">
        <v>45943</v>
      </c>
      <c r="AN126" s="14">
        <v>45949</v>
      </c>
      <c r="AO126" s="91" t="s">
        <v>66</v>
      </c>
      <c r="AP126" s="12" t="s">
        <v>3008</v>
      </c>
      <c r="AQ126" s="12"/>
      <c r="AR126" s="12" t="s">
        <v>3028</v>
      </c>
      <c r="AS126" s="12" t="s">
        <v>3029</v>
      </c>
      <c r="AT126" s="12" t="s">
        <v>3029</v>
      </c>
      <c r="AU126" s="12">
        <v>58</v>
      </c>
      <c r="AV126" s="12" t="s">
        <v>83</v>
      </c>
      <c r="AW126" s="12">
        <v>39</v>
      </c>
      <c r="AX126" s="12">
        <v>68</v>
      </c>
      <c r="AY126" s="14">
        <v>45892</v>
      </c>
      <c r="AZ126" s="14">
        <v>45949</v>
      </c>
      <c r="BA126" s="12" t="e">
        <v>#N/A</v>
      </c>
      <c r="BB126" s="14" t="s">
        <v>2480</v>
      </c>
      <c r="BC126" s="14">
        <v>45963</v>
      </c>
      <c r="BD126" s="16">
        <v>2025</v>
      </c>
      <c r="BE126" s="16">
        <v>11</v>
      </c>
      <c r="BF126" s="16">
        <v>44</v>
      </c>
      <c r="BG126" s="191">
        <v>33</v>
      </c>
      <c r="BH126" s="191">
        <v>660</v>
      </c>
    </row>
    <row r="127" spans="1:60" s="23" customFormat="1" ht="10">
      <c r="A127" s="11" t="s">
        <v>3030</v>
      </c>
      <c r="B127" s="12" t="s">
        <v>61</v>
      </c>
      <c r="C127" s="12" t="s">
        <v>769</v>
      </c>
      <c r="D127" s="12" t="s">
        <v>63</v>
      </c>
      <c r="E127" s="12" t="s">
        <v>68</v>
      </c>
      <c r="F127" s="12" t="s">
        <v>68</v>
      </c>
      <c r="G127" s="12"/>
      <c r="H127" s="12" t="s">
        <v>146</v>
      </c>
      <c r="I127" s="12" t="s">
        <v>1081</v>
      </c>
      <c r="J127" s="34" t="s">
        <v>68</v>
      </c>
      <c r="K127" s="12">
        <v>46010818</v>
      </c>
      <c r="L127" s="13" t="s">
        <v>2719</v>
      </c>
      <c r="M127" s="12" t="s">
        <v>68</v>
      </c>
      <c r="N127" s="182"/>
      <c r="O127" s="12" t="s">
        <v>2475</v>
      </c>
      <c r="P127" s="12" t="s">
        <v>70</v>
      </c>
      <c r="Q127" s="12" t="s">
        <v>195</v>
      </c>
      <c r="R127" s="12">
        <v>554473</v>
      </c>
      <c r="S127" s="12" t="s">
        <v>196</v>
      </c>
      <c r="T127" s="206">
        <v>450</v>
      </c>
      <c r="U127" s="206">
        <v>1872</v>
      </c>
      <c r="V127" s="12">
        <v>0.84240000000000004</v>
      </c>
      <c r="W127" s="198">
        <v>52</v>
      </c>
      <c r="X127" s="254">
        <v>2</v>
      </c>
      <c r="Y127" s="12" t="s">
        <v>75</v>
      </c>
      <c r="Z127" s="12"/>
      <c r="AA127" s="12" t="s">
        <v>2658</v>
      </c>
      <c r="AB127" s="13" t="s">
        <v>967</v>
      </c>
      <c r="AC127" s="14">
        <v>45882</v>
      </c>
      <c r="AD127" s="15">
        <v>33</v>
      </c>
      <c r="AE127" s="176" t="s">
        <v>3031</v>
      </c>
      <c r="AF127" s="12">
        <v>371008792</v>
      </c>
      <c r="AG127" s="12" t="s">
        <v>77</v>
      </c>
      <c r="AH127" s="12" t="s">
        <v>105</v>
      </c>
      <c r="AI127" s="14">
        <v>45885</v>
      </c>
      <c r="AJ127" s="14">
        <v>45885</v>
      </c>
      <c r="AK127" s="14">
        <v>45885</v>
      </c>
      <c r="AL127" s="14">
        <v>45948</v>
      </c>
      <c r="AM127" s="14">
        <v>45941</v>
      </c>
      <c r="AN127" s="14">
        <v>45948</v>
      </c>
      <c r="AO127" s="91" t="s">
        <v>146</v>
      </c>
      <c r="AP127" s="12" t="s">
        <v>2972</v>
      </c>
      <c r="AQ127" s="12"/>
      <c r="AR127" s="12">
        <v>46010818</v>
      </c>
      <c r="AS127" s="12" t="s">
        <v>3032</v>
      </c>
      <c r="AT127" s="12" t="s">
        <v>3032</v>
      </c>
      <c r="AU127" s="12">
        <v>64</v>
      </c>
      <c r="AV127" s="12" t="s">
        <v>2493</v>
      </c>
      <c r="AW127" s="12">
        <v>7</v>
      </c>
      <c r="AX127" s="12">
        <v>66</v>
      </c>
      <c r="AY127" s="14">
        <v>45885</v>
      </c>
      <c r="AZ127" s="14">
        <v>45948</v>
      </c>
      <c r="BA127" s="12" t="e">
        <v>#N/A</v>
      </c>
      <c r="BB127" s="14" t="s">
        <v>2480</v>
      </c>
      <c r="BC127" s="14">
        <v>45962</v>
      </c>
      <c r="BD127" s="16">
        <v>2025</v>
      </c>
      <c r="BE127" s="16">
        <v>11</v>
      </c>
      <c r="BF127" s="16">
        <v>44</v>
      </c>
      <c r="BG127" s="191">
        <v>36</v>
      </c>
      <c r="BH127" s="191">
        <v>936</v>
      </c>
    </row>
    <row r="128" spans="1:60" s="23" customFormat="1" ht="10">
      <c r="A128" s="11" t="s">
        <v>3033</v>
      </c>
      <c r="B128" s="12" t="s">
        <v>61</v>
      </c>
      <c r="C128" s="12" t="s">
        <v>769</v>
      </c>
      <c r="D128" s="12" t="s">
        <v>63</v>
      </c>
      <c r="E128" s="12" t="s">
        <v>64</v>
      </c>
      <c r="F128" s="12" t="s">
        <v>100</v>
      </c>
      <c r="G128" s="12" t="s">
        <v>67</v>
      </c>
      <c r="H128" s="12" t="s">
        <v>66</v>
      </c>
      <c r="I128" s="12" t="s">
        <v>2776</v>
      </c>
      <c r="J128" s="34" t="s">
        <v>68</v>
      </c>
      <c r="K128" s="12"/>
      <c r="L128" s="13" t="s">
        <v>2719</v>
      </c>
      <c r="M128" s="213" t="s">
        <v>68</v>
      </c>
      <c r="N128" s="182"/>
      <c r="O128" s="12" t="s">
        <v>2475</v>
      </c>
      <c r="P128" s="12" t="s">
        <v>70</v>
      </c>
      <c r="Q128" s="12" t="s">
        <v>195</v>
      </c>
      <c r="R128" s="12">
        <v>554473</v>
      </c>
      <c r="S128" s="12" t="s">
        <v>196</v>
      </c>
      <c r="T128" s="206">
        <v>450</v>
      </c>
      <c r="U128" s="206">
        <v>1872</v>
      </c>
      <c r="V128" s="12">
        <v>0.84240000000000004</v>
      </c>
      <c r="W128" s="198">
        <v>52</v>
      </c>
      <c r="X128" s="254">
        <v>2</v>
      </c>
      <c r="Y128" s="12" t="s">
        <v>75</v>
      </c>
      <c r="Z128" s="12"/>
      <c r="AA128" s="12" t="s">
        <v>2658</v>
      </c>
      <c r="AB128" s="13" t="s">
        <v>967</v>
      </c>
      <c r="AC128" s="14">
        <v>45888</v>
      </c>
      <c r="AD128" s="15">
        <v>34</v>
      </c>
      <c r="AE128" s="176" t="s">
        <v>3034</v>
      </c>
      <c r="AF128" s="12">
        <v>371008814</v>
      </c>
      <c r="AG128" s="12" t="s">
        <v>77</v>
      </c>
      <c r="AH128" s="12" t="s">
        <v>105</v>
      </c>
      <c r="AI128" s="14">
        <v>45893</v>
      </c>
      <c r="AJ128" s="14">
        <v>45893</v>
      </c>
      <c r="AK128" s="14">
        <v>45893</v>
      </c>
      <c r="AL128" s="14">
        <v>45949</v>
      </c>
      <c r="AM128" s="14"/>
      <c r="AN128" s="14">
        <v>45949</v>
      </c>
      <c r="AO128" s="91" t="s">
        <v>66</v>
      </c>
      <c r="AP128" s="12" t="s">
        <v>3035</v>
      </c>
      <c r="AQ128" s="12"/>
      <c r="AR128" s="12" t="s">
        <v>3036</v>
      </c>
      <c r="AS128" s="12" t="s">
        <v>3037</v>
      </c>
      <c r="AT128" s="12" t="s">
        <v>3037</v>
      </c>
      <c r="AU128" s="12">
        <v>57</v>
      </c>
      <c r="AV128" s="12" t="s">
        <v>83</v>
      </c>
      <c r="AW128" s="12">
        <v>7</v>
      </c>
      <c r="AX128" s="12">
        <v>61</v>
      </c>
      <c r="AY128" s="14">
        <v>45893</v>
      </c>
      <c r="AZ128" s="14">
        <v>45949</v>
      </c>
      <c r="BA128" s="12" t="e">
        <v>#N/A</v>
      </c>
      <c r="BB128" s="14" t="s">
        <v>2480</v>
      </c>
      <c r="BC128" s="14">
        <v>45963</v>
      </c>
      <c r="BD128" s="16">
        <v>2025</v>
      </c>
      <c r="BE128" s="16">
        <v>11</v>
      </c>
      <c r="BF128" s="16">
        <v>44</v>
      </c>
      <c r="BG128" s="191">
        <v>36</v>
      </c>
      <c r="BH128" s="191">
        <v>936</v>
      </c>
    </row>
    <row r="129" spans="1:60" s="23" customFormat="1" ht="10">
      <c r="A129" s="11" t="s">
        <v>3038</v>
      </c>
      <c r="B129" s="12" t="s">
        <v>111</v>
      </c>
      <c r="C129" s="12" t="s">
        <v>2910</v>
      </c>
      <c r="D129" s="12" t="s">
        <v>63</v>
      </c>
      <c r="E129" s="12" t="s">
        <v>64</v>
      </c>
      <c r="F129" s="12" t="s">
        <v>100</v>
      </c>
      <c r="G129" s="12" t="s">
        <v>67</v>
      </c>
      <c r="H129" s="12" t="s">
        <v>402</v>
      </c>
      <c r="I129" s="12" t="s">
        <v>677</v>
      </c>
      <c r="J129" s="34" t="s">
        <v>68</v>
      </c>
      <c r="K129" s="12">
        <v>14130691</v>
      </c>
      <c r="L129" s="13" t="s">
        <v>2732</v>
      </c>
      <c r="M129" s="213" t="s">
        <v>68</v>
      </c>
      <c r="N129" s="182"/>
      <c r="O129" s="12" t="s">
        <v>2475</v>
      </c>
      <c r="P129" s="12" t="s">
        <v>70</v>
      </c>
      <c r="Q129" s="12" t="s">
        <v>1002</v>
      </c>
      <c r="R129" s="12">
        <v>554246</v>
      </c>
      <c r="S129" s="12" t="s">
        <v>330</v>
      </c>
      <c r="T129" s="206">
        <v>625</v>
      </c>
      <c r="U129" s="206">
        <v>5760</v>
      </c>
      <c r="V129" s="12">
        <v>3.6</v>
      </c>
      <c r="W129" s="198">
        <v>160</v>
      </c>
      <c r="X129" s="254">
        <v>8</v>
      </c>
      <c r="Y129" s="12" t="s">
        <v>75</v>
      </c>
      <c r="Z129" s="12"/>
      <c r="AA129" s="12" t="s">
        <v>108</v>
      </c>
      <c r="AB129" s="13" t="s">
        <v>2905</v>
      </c>
      <c r="AC129" s="14">
        <v>45887</v>
      </c>
      <c r="AD129" s="15">
        <v>34</v>
      </c>
      <c r="AE129" s="176" t="s">
        <v>3039</v>
      </c>
      <c r="AF129" s="12">
        <v>371008813</v>
      </c>
      <c r="AG129" s="12" t="s">
        <v>122</v>
      </c>
      <c r="AH129" s="12" t="s">
        <v>105</v>
      </c>
      <c r="AI129" s="14">
        <v>45896</v>
      </c>
      <c r="AJ129" s="14">
        <v>45896</v>
      </c>
      <c r="AK129" s="14">
        <v>45896</v>
      </c>
      <c r="AL129" s="14">
        <v>45944</v>
      </c>
      <c r="AM129" s="14"/>
      <c r="AN129" s="14">
        <v>45944</v>
      </c>
      <c r="AO129" s="91" t="s">
        <v>402</v>
      </c>
      <c r="AP129" s="12" t="s">
        <v>2979</v>
      </c>
      <c r="AQ129" s="12"/>
      <c r="AR129" s="12" t="s">
        <v>3040</v>
      </c>
      <c r="AS129" s="12" t="s">
        <v>3041</v>
      </c>
      <c r="AT129" s="12" t="s">
        <v>3041</v>
      </c>
      <c r="AU129" s="12">
        <v>49</v>
      </c>
      <c r="AV129" s="12" t="s">
        <v>2493</v>
      </c>
      <c r="AW129" s="12">
        <v>5</v>
      </c>
      <c r="AX129" s="12">
        <v>57</v>
      </c>
      <c r="AY129" s="14">
        <v>45896</v>
      </c>
      <c r="AZ129" s="14">
        <v>45944</v>
      </c>
      <c r="BA129" s="12" t="e">
        <v>#N/A</v>
      </c>
      <c r="BB129" s="14" t="s">
        <v>2480</v>
      </c>
      <c r="BC129" s="14">
        <v>45958</v>
      </c>
      <c r="BD129" s="16">
        <v>2025</v>
      </c>
      <c r="BE129" s="16">
        <v>10</v>
      </c>
      <c r="BF129" s="16">
        <v>44</v>
      </c>
      <c r="BG129" s="191">
        <v>36</v>
      </c>
      <c r="BH129" s="191">
        <v>720</v>
      </c>
    </row>
    <row r="130" spans="1:60" s="23" customFormat="1" ht="10">
      <c r="A130" s="11" t="s">
        <v>3042</v>
      </c>
      <c r="B130" s="12" t="s">
        <v>111</v>
      </c>
      <c r="C130" s="12" t="s">
        <v>2910</v>
      </c>
      <c r="D130" s="12" t="s">
        <v>63</v>
      </c>
      <c r="E130" s="12" t="s">
        <v>64</v>
      </c>
      <c r="F130" s="12" t="s">
        <v>100</v>
      </c>
      <c r="G130" s="12" t="s">
        <v>67</v>
      </c>
      <c r="H130" s="12" t="s">
        <v>402</v>
      </c>
      <c r="I130" s="12" t="s">
        <v>677</v>
      </c>
      <c r="J130" s="34" t="s">
        <v>68</v>
      </c>
      <c r="K130" s="12" t="s">
        <v>3043</v>
      </c>
      <c r="L130" s="13" t="s">
        <v>2732</v>
      </c>
      <c r="M130" s="213" t="s">
        <v>68</v>
      </c>
      <c r="N130" s="182"/>
      <c r="O130" s="12" t="s">
        <v>2475</v>
      </c>
      <c r="P130" s="12" t="s">
        <v>70</v>
      </c>
      <c r="Q130" s="12" t="s">
        <v>1002</v>
      </c>
      <c r="R130" s="12">
        <v>554246</v>
      </c>
      <c r="S130" s="12" t="s">
        <v>330</v>
      </c>
      <c r="T130" s="206">
        <v>625</v>
      </c>
      <c r="U130" s="206">
        <v>5760</v>
      </c>
      <c r="V130" s="12">
        <v>3.6</v>
      </c>
      <c r="W130" s="198">
        <v>160</v>
      </c>
      <c r="X130" s="254">
        <v>8</v>
      </c>
      <c r="Y130" s="12" t="s">
        <v>75</v>
      </c>
      <c r="Z130" s="12"/>
      <c r="AA130" s="12" t="s">
        <v>108</v>
      </c>
      <c r="AB130" s="13" t="s">
        <v>2905</v>
      </c>
      <c r="AC130" s="14">
        <v>45892</v>
      </c>
      <c r="AD130" s="15">
        <v>34</v>
      </c>
      <c r="AE130" s="176" t="s">
        <v>3044</v>
      </c>
      <c r="AF130" s="12">
        <v>371008835</v>
      </c>
      <c r="AG130" s="12" t="s">
        <v>122</v>
      </c>
      <c r="AH130" s="12" t="s">
        <v>105</v>
      </c>
      <c r="AI130" s="14">
        <v>45903</v>
      </c>
      <c r="AJ130" s="14">
        <v>45903</v>
      </c>
      <c r="AK130" s="14">
        <v>45903</v>
      </c>
      <c r="AL130" s="14">
        <v>45965</v>
      </c>
      <c r="AM130" s="14"/>
      <c r="AN130" s="14">
        <v>45965</v>
      </c>
      <c r="AO130" s="91" t="s">
        <v>402</v>
      </c>
      <c r="AP130" s="12" t="s">
        <v>3045</v>
      </c>
      <c r="AQ130" s="12"/>
      <c r="AR130" s="12" t="s">
        <v>3046</v>
      </c>
      <c r="AS130" s="12" t="s">
        <v>3047</v>
      </c>
      <c r="AT130" s="12" t="s">
        <v>3047</v>
      </c>
      <c r="AU130" s="12">
        <v>63</v>
      </c>
      <c r="AV130" s="12" t="s">
        <v>2493</v>
      </c>
      <c r="AW130" s="12">
        <v>5</v>
      </c>
      <c r="AX130" s="12">
        <v>73</v>
      </c>
      <c r="AY130" s="14">
        <v>45903</v>
      </c>
      <c r="AZ130" s="14">
        <v>45965</v>
      </c>
      <c r="BA130" s="12" t="e">
        <v>#N/A</v>
      </c>
      <c r="BB130" s="14" t="s">
        <v>2480</v>
      </c>
      <c r="BC130" s="14">
        <v>45979</v>
      </c>
      <c r="BD130" s="16">
        <v>2025</v>
      </c>
      <c r="BE130" s="16">
        <v>11</v>
      </c>
      <c r="BF130" s="16">
        <v>47</v>
      </c>
      <c r="BG130" s="191">
        <v>36</v>
      </c>
      <c r="BH130" s="191">
        <v>720</v>
      </c>
    </row>
    <row r="131" spans="1:60" s="23" customFormat="1" ht="10">
      <c r="A131" s="11" t="s">
        <v>3048</v>
      </c>
      <c r="B131" s="12" t="s">
        <v>111</v>
      </c>
      <c r="C131" s="12" t="s">
        <v>2904</v>
      </c>
      <c r="D131" s="12" t="s">
        <v>63</v>
      </c>
      <c r="E131" s="12" t="s">
        <v>64</v>
      </c>
      <c r="F131" s="12" t="s">
        <v>100</v>
      </c>
      <c r="G131" s="12" t="s">
        <v>67</v>
      </c>
      <c r="H131" s="12" t="s">
        <v>402</v>
      </c>
      <c r="I131" s="12" t="s">
        <v>677</v>
      </c>
      <c r="J131" s="34" t="s">
        <v>68</v>
      </c>
      <c r="K131" s="12">
        <v>14130691</v>
      </c>
      <c r="L131" s="13" t="s">
        <v>2732</v>
      </c>
      <c r="M131" s="213" t="s">
        <v>68</v>
      </c>
      <c r="N131" s="182"/>
      <c r="O131" s="12" t="s">
        <v>2475</v>
      </c>
      <c r="P131" s="12" t="s">
        <v>70</v>
      </c>
      <c r="Q131" s="12" t="s">
        <v>102</v>
      </c>
      <c r="R131" s="12">
        <v>554245</v>
      </c>
      <c r="S131" s="12" t="s">
        <v>103</v>
      </c>
      <c r="T131" s="206">
        <v>620</v>
      </c>
      <c r="U131" s="206">
        <v>8640</v>
      </c>
      <c r="V131" s="12">
        <v>5.3567999999999998</v>
      </c>
      <c r="W131" s="198">
        <v>240</v>
      </c>
      <c r="X131" s="254">
        <v>12</v>
      </c>
      <c r="Y131" s="12" t="s">
        <v>75</v>
      </c>
      <c r="Z131" s="12"/>
      <c r="AA131" s="12" t="s">
        <v>108</v>
      </c>
      <c r="AB131" s="13" t="s">
        <v>2905</v>
      </c>
      <c r="AC131" s="14">
        <v>45893</v>
      </c>
      <c r="AD131" s="15">
        <v>34</v>
      </c>
      <c r="AE131" s="176" t="s">
        <v>3049</v>
      </c>
      <c r="AF131" s="12">
        <v>371008834</v>
      </c>
      <c r="AG131" s="12" t="s">
        <v>122</v>
      </c>
      <c r="AH131" s="12" t="s">
        <v>105</v>
      </c>
      <c r="AI131" s="14">
        <v>45903</v>
      </c>
      <c r="AJ131" s="14">
        <v>45903</v>
      </c>
      <c r="AK131" s="14">
        <v>45903</v>
      </c>
      <c r="AL131" s="14">
        <v>45965</v>
      </c>
      <c r="AM131" s="14"/>
      <c r="AN131" s="14">
        <v>45965</v>
      </c>
      <c r="AO131" s="91" t="s">
        <v>402</v>
      </c>
      <c r="AP131" s="12" t="s">
        <v>3045</v>
      </c>
      <c r="AQ131" s="12"/>
      <c r="AR131" s="12" t="s">
        <v>3050</v>
      </c>
      <c r="AS131" s="12" t="s">
        <v>3051</v>
      </c>
      <c r="AT131" s="12" t="s">
        <v>3051</v>
      </c>
      <c r="AU131" s="12">
        <v>63</v>
      </c>
      <c r="AV131" s="12" t="s">
        <v>2493</v>
      </c>
      <c r="AW131" s="12">
        <v>6</v>
      </c>
      <c r="AX131" s="12">
        <v>72</v>
      </c>
      <c r="AY131" s="14">
        <v>45903</v>
      </c>
      <c r="AZ131" s="14">
        <v>45965</v>
      </c>
      <c r="BA131" s="12" t="e">
        <v>#N/A</v>
      </c>
      <c r="BB131" s="14" t="s">
        <v>2480</v>
      </c>
      <c r="BC131" s="14">
        <v>45979</v>
      </c>
      <c r="BD131" s="16">
        <v>2025</v>
      </c>
      <c r="BE131" s="16">
        <v>11</v>
      </c>
      <c r="BF131" s="16">
        <v>47</v>
      </c>
      <c r="BG131" s="191">
        <v>36</v>
      </c>
      <c r="BH131" s="191">
        <v>720</v>
      </c>
    </row>
    <row r="132" spans="1:60" s="23" customFormat="1" ht="10">
      <c r="A132" s="11" t="s">
        <v>3052</v>
      </c>
      <c r="B132" s="12" t="s">
        <v>2774</v>
      </c>
      <c r="C132" s="12" t="s">
        <v>2775</v>
      </c>
      <c r="D132" s="12" t="s">
        <v>63</v>
      </c>
      <c r="E132" s="12" t="s">
        <v>64</v>
      </c>
      <c r="F132" s="12" t="s">
        <v>100</v>
      </c>
      <c r="G132" s="12" t="s">
        <v>67</v>
      </c>
      <c r="H132" s="12" t="s">
        <v>66</v>
      </c>
      <c r="I132" s="12" t="s">
        <v>3053</v>
      </c>
      <c r="J132" s="34" t="s">
        <v>68</v>
      </c>
      <c r="K132" s="12">
        <v>39011433</v>
      </c>
      <c r="L132" s="13" t="s">
        <v>2719</v>
      </c>
      <c r="M132" s="213" t="s">
        <v>68</v>
      </c>
      <c r="N132" s="182"/>
      <c r="O132" s="12" t="s">
        <v>2475</v>
      </c>
      <c r="P132" s="12" t="s">
        <v>284</v>
      </c>
      <c r="Q132" s="12" t="s">
        <v>2777</v>
      </c>
      <c r="R132" s="12">
        <v>554320</v>
      </c>
      <c r="S132" s="12" t="s">
        <v>2778</v>
      </c>
      <c r="T132" s="206">
        <v>465</v>
      </c>
      <c r="U132" s="206">
        <v>962</v>
      </c>
      <c r="V132" s="12">
        <v>0.44733000000000001</v>
      </c>
      <c r="W132" s="198">
        <v>26</v>
      </c>
      <c r="X132" s="254">
        <v>1</v>
      </c>
      <c r="Y132" s="12" t="s">
        <v>75</v>
      </c>
      <c r="Z132" s="12"/>
      <c r="AA132" s="12" t="s">
        <v>85</v>
      </c>
      <c r="AB132" s="13" t="s">
        <v>967</v>
      </c>
      <c r="AC132" s="14">
        <v>45888</v>
      </c>
      <c r="AD132" s="15">
        <v>34</v>
      </c>
      <c r="AE132" s="176" t="s">
        <v>3054</v>
      </c>
      <c r="AF132" s="12">
        <v>371008809</v>
      </c>
      <c r="AG132" s="12" t="s">
        <v>288</v>
      </c>
      <c r="AH132" s="12" t="s">
        <v>105</v>
      </c>
      <c r="AI132" s="14">
        <v>45897</v>
      </c>
      <c r="AJ132" s="14">
        <v>45897</v>
      </c>
      <c r="AK132" s="14">
        <v>45897</v>
      </c>
      <c r="AL132" s="14">
        <v>45931</v>
      </c>
      <c r="AM132" s="14"/>
      <c r="AN132" s="14">
        <v>45931</v>
      </c>
      <c r="AO132" s="91" t="s">
        <v>66</v>
      </c>
      <c r="AP132" s="12" t="s">
        <v>3055</v>
      </c>
      <c r="AQ132" s="12"/>
      <c r="AR132" s="12" t="s">
        <v>3056</v>
      </c>
      <c r="AS132" s="12" t="s">
        <v>3057</v>
      </c>
      <c r="AT132" s="12" t="s">
        <v>3057</v>
      </c>
      <c r="AU132" s="12">
        <v>35</v>
      </c>
      <c r="AV132" s="12" t="s">
        <v>83</v>
      </c>
      <c r="AW132" s="12">
        <v>8</v>
      </c>
      <c r="AX132" s="12">
        <v>43</v>
      </c>
      <c r="AY132" s="14">
        <v>45897</v>
      </c>
      <c r="AZ132" s="14">
        <v>45931</v>
      </c>
      <c r="BA132" s="12" t="e">
        <v>#N/A</v>
      </c>
      <c r="BB132" s="14" t="s">
        <v>2480</v>
      </c>
      <c r="BC132" s="14">
        <v>45945</v>
      </c>
      <c r="BD132" s="16">
        <v>2025</v>
      </c>
      <c r="BE132" s="16">
        <v>10</v>
      </c>
      <c r="BF132" s="16">
        <v>42</v>
      </c>
      <c r="BG132" s="191">
        <v>37</v>
      </c>
      <c r="BH132" s="191">
        <v>962</v>
      </c>
    </row>
    <row r="133" spans="1:60" s="23" customFormat="1" ht="10">
      <c r="A133" s="11" t="s">
        <v>3058</v>
      </c>
      <c r="B133" s="12" t="s">
        <v>2774</v>
      </c>
      <c r="C133" s="12" t="s">
        <v>2775</v>
      </c>
      <c r="D133" s="12" t="s">
        <v>63</v>
      </c>
      <c r="E133" s="12" t="s">
        <v>68</v>
      </c>
      <c r="F133" s="12" t="s">
        <v>68</v>
      </c>
      <c r="G133" s="12"/>
      <c r="H133" s="12" t="s">
        <v>156</v>
      </c>
      <c r="I133" s="12" t="s">
        <v>3059</v>
      </c>
      <c r="J133" s="34" t="s">
        <v>68</v>
      </c>
      <c r="K133" s="12">
        <v>39011439</v>
      </c>
      <c r="L133" s="13" t="s">
        <v>2719</v>
      </c>
      <c r="M133" s="12" t="s">
        <v>68</v>
      </c>
      <c r="N133" s="182"/>
      <c r="O133" s="12" t="s">
        <v>2475</v>
      </c>
      <c r="P133" s="12" t="s">
        <v>284</v>
      </c>
      <c r="Q133" s="12" t="s">
        <v>2777</v>
      </c>
      <c r="R133" s="12">
        <v>554320</v>
      </c>
      <c r="S133" s="12" t="s">
        <v>2778</v>
      </c>
      <c r="T133" s="206">
        <v>465</v>
      </c>
      <c r="U133" s="206">
        <v>1924</v>
      </c>
      <c r="V133" s="12">
        <v>0.89466000000000001</v>
      </c>
      <c r="W133" s="198">
        <v>52</v>
      </c>
      <c r="X133" s="254">
        <v>2</v>
      </c>
      <c r="Y133" s="12" t="s">
        <v>75</v>
      </c>
      <c r="Z133" s="12"/>
      <c r="AA133" s="12" t="s">
        <v>85</v>
      </c>
      <c r="AB133" s="13" t="s">
        <v>967</v>
      </c>
      <c r="AC133" s="14">
        <v>45890</v>
      </c>
      <c r="AD133" s="15">
        <v>34</v>
      </c>
      <c r="AE133" s="176" t="s">
        <v>3060</v>
      </c>
      <c r="AF133" s="12">
        <v>371008860</v>
      </c>
      <c r="AG133" s="12" t="s">
        <v>288</v>
      </c>
      <c r="AH133" s="12" t="s">
        <v>105</v>
      </c>
      <c r="AI133" s="14">
        <v>45899</v>
      </c>
      <c r="AJ133" s="14">
        <v>45899</v>
      </c>
      <c r="AK133" s="14">
        <v>45899</v>
      </c>
      <c r="AL133" s="14">
        <v>45958</v>
      </c>
      <c r="AM133" s="14"/>
      <c r="AN133" s="14">
        <v>45958</v>
      </c>
      <c r="AO133" s="91" t="s">
        <v>156</v>
      </c>
      <c r="AP133" s="12" t="s">
        <v>3061</v>
      </c>
      <c r="AQ133" s="12"/>
      <c r="AR133" s="12" t="s">
        <v>3062</v>
      </c>
      <c r="AS133" s="12" t="s">
        <v>3063</v>
      </c>
      <c r="AT133" s="12" t="s">
        <v>3064</v>
      </c>
      <c r="AU133" s="12">
        <v>60</v>
      </c>
      <c r="AV133" s="12" t="s">
        <v>2493</v>
      </c>
      <c r="AW133" s="12">
        <v>8</v>
      </c>
      <c r="AX133" s="12">
        <v>68</v>
      </c>
      <c r="AY133" s="14">
        <v>45899</v>
      </c>
      <c r="AZ133" s="14">
        <v>45958</v>
      </c>
      <c r="BA133" s="12" t="e">
        <v>#N/A</v>
      </c>
      <c r="BB133" s="14" t="s">
        <v>2480</v>
      </c>
      <c r="BC133" s="14">
        <v>45972</v>
      </c>
      <c r="BD133" s="16">
        <v>2025</v>
      </c>
      <c r="BE133" s="16">
        <v>11</v>
      </c>
      <c r="BF133" s="16">
        <v>46</v>
      </c>
      <c r="BG133" s="191">
        <v>37</v>
      </c>
      <c r="BH133" s="191">
        <v>962</v>
      </c>
    </row>
    <row r="134" spans="1:60" s="23" customFormat="1" ht="10">
      <c r="A134" s="11" t="s">
        <v>3065</v>
      </c>
      <c r="B134" s="12" t="s">
        <v>2774</v>
      </c>
      <c r="C134" s="12" t="s">
        <v>2775</v>
      </c>
      <c r="D134" s="12" t="s">
        <v>63</v>
      </c>
      <c r="E134" s="12" t="s">
        <v>64</v>
      </c>
      <c r="F134" s="12" t="s">
        <v>100</v>
      </c>
      <c r="G134" s="12" t="s">
        <v>67</v>
      </c>
      <c r="H134" s="12" t="s">
        <v>66</v>
      </c>
      <c r="I134" s="12" t="s">
        <v>3053</v>
      </c>
      <c r="J134" s="34" t="s">
        <v>68</v>
      </c>
      <c r="K134" s="12">
        <v>39011433</v>
      </c>
      <c r="L134" s="13" t="s">
        <v>2719</v>
      </c>
      <c r="M134" s="213" t="s">
        <v>68</v>
      </c>
      <c r="N134" s="182"/>
      <c r="O134" s="12" t="s">
        <v>2475</v>
      </c>
      <c r="P134" s="12" t="s">
        <v>284</v>
      </c>
      <c r="Q134" s="12" t="s">
        <v>2777</v>
      </c>
      <c r="R134" s="12">
        <v>554320</v>
      </c>
      <c r="S134" s="12" t="s">
        <v>2778</v>
      </c>
      <c r="T134" s="206">
        <v>465</v>
      </c>
      <c r="U134" s="206">
        <v>962</v>
      </c>
      <c r="V134" s="12">
        <v>0.44733000000000001</v>
      </c>
      <c r="W134" s="198">
        <v>26</v>
      </c>
      <c r="X134" s="254">
        <v>1</v>
      </c>
      <c r="Y134" s="12" t="s">
        <v>75</v>
      </c>
      <c r="Z134" s="12"/>
      <c r="AA134" s="12" t="s">
        <v>85</v>
      </c>
      <c r="AB134" s="13" t="s">
        <v>967</v>
      </c>
      <c r="AC134" s="14">
        <v>45888</v>
      </c>
      <c r="AD134" s="15">
        <v>34</v>
      </c>
      <c r="AE134" s="176" t="s">
        <v>3066</v>
      </c>
      <c r="AF134" s="12">
        <v>371008810</v>
      </c>
      <c r="AG134" s="12" t="s">
        <v>288</v>
      </c>
      <c r="AH134" s="12" t="s">
        <v>105</v>
      </c>
      <c r="AI134" s="14">
        <v>45897</v>
      </c>
      <c r="AJ134" s="14">
        <v>45897</v>
      </c>
      <c r="AK134" s="14">
        <v>45897</v>
      </c>
      <c r="AL134" s="14">
        <v>45931</v>
      </c>
      <c r="AM134" s="14"/>
      <c r="AN134" s="14">
        <v>45931</v>
      </c>
      <c r="AO134" s="91" t="s">
        <v>66</v>
      </c>
      <c r="AP134" s="12" t="s">
        <v>3055</v>
      </c>
      <c r="AQ134" s="12"/>
      <c r="AR134" s="12" t="s">
        <v>3056</v>
      </c>
      <c r="AS134" s="12" t="s">
        <v>3057</v>
      </c>
      <c r="AT134" s="12" t="s">
        <v>3057</v>
      </c>
      <c r="AU134" s="12">
        <v>35</v>
      </c>
      <c r="AV134" s="12" t="s">
        <v>83</v>
      </c>
      <c r="AW134" s="12">
        <v>8</v>
      </c>
      <c r="AX134" s="12">
        <v>43</v>
      </c>
      <c r="AY134" s="14">
        <v>45897</v>
      </c>
      <c r="AZ134" s="14">
        <v>45931</v>
      </c>
      <c r="BA134" s="12" t="e">
        <v>#N/A</v>
      </c>
      <c r="BB134" s="14" t="s">
        <v>2480</v>
      </c>
      <c r="BC134" s="14">
        <v>45945</v>
      </c>
      <c r="BD134" s="16">
        <v>2025</v>
      </c>
      <c r="BE134" s="16">
        <v>10</v>
      </c>
      <c r="BF134" s="16">
        <v>42</v>
      </c>
      <c r="BG134" s="191">
        <v>37</v>
      </c>
      <c r="BH134" s="191">
        <v>962</v>
      </c>
    </row>
    <row r="135" spans="1:60" s="23" customFormat="1" ht="10">
      <c r="A135" s="11" t="s">
        <v>3067</v>
      </c>
      <c r="B135" s="12" t="s">
        <v>2774</v>
      </c>
      <c r="C135" s="12" t="s">
        <v>2775</v>
      </c>
      <c r="D135" s="12" t="s">
        <v>63</v>
      </c>
      <c r="E135" s="12" t="s">
        <v>68</v>
      </c>
      <c r="F135" s="12" t="s">
        <v>68</v>
      </c>
      <c r="G135" s="12"/>
      <c r="H135" s="12" t="s">
        <v>156</v>
      </c>
      <c r="I135" s="12" t="s">
        <v>3059</v>
      </c>
      <c r="J135" s="34" t="s">
        <v>68</v>
      </c>
      <c r="K135" s="12">
        <v>39011438</v>
      </c>
      <c r="L135" s="13" t="s">
        <v>2719</v>
      </c>
      <c r="M135" s="12" t="s">
        <v>68</v>
      </c>
      <c r="N135" s="182"/>
      <c r="O135" s="12" t="s">
        <v>2475</v>
      </c>
      <c r="P135" s="12" t="s">
        <v>284</v>
      </c>
      <c r="Q135" s="12" t="s">
        <v>2777</v>
      </c>
      <c r="R135" s="12">
        <v>554320</v>
      </c>
      <c r="S135" s="12" t="s">
        <v>2778</v>
      </c>
      <c r="T135" s="206">
        <v>465</v>
      </c>
      <c r="U135" s="206">
        <v>2886</v>
      </c>
      <c r="V135" s="12">
        <v>1.34199</v>
      </c>
      <c r="W135" s="198">
        <v>78</v>
      </c>
      <c r="X135" s="254">
        <v>3</v>
      </c>
      <c r="Y135" s="12" t="s">
        <v>75</v>
      </c>
      <c r="Z135" s="12"/>
      <c r="AA135" s="12" t="s">
        <v>85</v>
      </c>
      <c r="AB135" s="13" t="s">
        <v>967</v>
      </c>
      <c r="AC135" s="14">
        <v>45890</v>
      </c>
      <c r="AD135" s="15">
        <v>34</v>
      </c>
      <c r="AE135" s="176" t="s">
        <v>3068</v>
      </c>
      <c r="AF135" s="12">
        <v>371008861</v>
      </c>
      <c r="AG135" s="12" t="s">
        <v>288</v>
      </c>
      <c r="AH135" s="12" t="s">
        <v>105</v>
      </c>
      <c r="AI135" s="14">
        <v>45899</v>
      </c>
      <c r="AJ135" s="14">
        <v>45899</v>
      </c>
      <c r="AK135" s="14">
        <v>45899</v>
      </c>
      <c r="AL135" s="14">
        <v>45958</v>
      </c>
      <c r="AM135" s="14"/>
      <c r="AN135" s="14">
        <v>45958</v>
      </c>
      <c r="AO135" s="91" t="s">
        <v>156</v>
      </c>
      <c r="AP135" s="12" t="s">
        <v>3061</v>
      </c>
      <c r="AQ135" s="12"/>
      <c r="AR135" s="12" t="s">
        <v>3062</v>
      </c>
      <c r="AS135" s="12" t="s">
        <v>3063</v>
      </c>
      <c r="AT135" s="12" t="s">
        <v>3064</v>
      </c>
      <c r="AU135" s="12">
        <v>60</v>
      </c>
      <c r="AV135" s="12" t="s">
        <v>2493</v>
      </c>
      <c r="AW135" s="12">
        <v>8</v>
      </c>
      <c r="AX135" s="12">
        <v>68</v>
      </c>
      <c r="AY135" s="14">
        <v>45899</v>
      </c>
      <c r="AZ135" s="14">
        <v>45958</v>
      </c>
      <c r="BA135" s="12" t="e">
        <v>#N/A</v>
      </c>
      <c r="BB135" s="14" t="s">
        <v>2480</v>
      </c>
      <c r="BC135" s="14">
        <v>45972</v>
      </c>
      <c r="BD135" s="16">
        <v>2025</v>
      </c>
      <c r="BE135" s="16">
        <v>11</v>
      </c>
      <c r="BF135" s="16">
        <v>46</v>
      </c>
      <c r="BG135" s="191">
        <v>37</v>
      </c>
      <c r="BH135" s="191">
        <v>962</v>
      </c>
    </row>
    <row r="136" spans="1:60" s="23" customFormat="1" ht="10">
      <c r="A136" s="11" t="s">
        <v>3069</v>
      </c>
      <c r="B136" s="12" t="s">
        <v>111</v>
      </c>
      <c r="C136" s="12" t="s">
        <v>2750</v>
      </c>
      <c r="D136" s="12" t="s">
        <v>63</v>
      </c>
      <c r="E136" s="12" t="s">
        <v>68</v>
      </c>
      <c r="F136" s="12" t="s">
        <v>68</v>
      </c>
      <c r="G136" s="12"/>
      <c r="H136" s="12" t="s">
        <v>66</v>
      </c>
      <c r="I136" s="12" t="s">
        <v>96</v>
      </c>
      <c r="J136" s="34" t="s">
        <v>68</v>
      </c>
      <c r="K136" s="12"/>
      <c r="L136" s="13" t="s">
        <v>2482</v>
      </c>
      <c r="M136" s="12" t="s">
        <v>68</v>
      </c>
      <c r="N136" s="182"/>
      <c r="O136" s="12" t="s">
        <v>2475</v>
      </c>
      <c r="P136" s="12" t="s">
        <v>170</v>
      </c>
      <c r="Q136" s="12" t="s">
        <v>171</v>
      </c>
      <c r="R136" s="12">
        <v>552045</v>
      </c>
      <c r="S136" s="12" t="s">
        <v>172</v>
      </c>
      <c r="T136" s="206">
        <v>555</v>
      </c>
      <c r="U136" s="206">
        <v>1980</v>
      </c>
      <c r="V136" s="12">
        <v>1.0989</v>
      </c>
      <c r="W136" s="198">
        <v>60</v>
      </c>
      <c r="X136" s="254">
        <v>3</v>
      </c>
      <c r="Y136" s="12" t="s">
        <v>75</v>
      </c>
      <c r="Z136" s="12"/>
      <c r="AA136" s="12" t="s">
        <v>108</v>
      </c>
      <c r="AB136" s="13" t="s">
        <v>992</v>
      </c>
      <c r="AC136" s="14">
        <v>45892</v>
      </c>
      <c r="AD136" s="15">
        <v>34</v>
      </c>
      <c r="AE136" s="176" t="s">
        <v>3070</v>
      </c>
      <c r="AF136" s="12">
        <v>371008855</v>
      </c>
      <c r="AG136" s="12" t="s">
        <v>122</v>
      </c>
      <c r="AH136" s="12" t="s">
        <v>124</v>
      </c>
      <c r="AI136" s="14">
        <v>45902</v>
      </c>
      <c r="AJ136" s="14">
        <v>45902</v>
      </c>
      <c r="AK136" s="14">
        <v>45902</v>
      </c>
      <c r="AL136" s="14">
        <v>45949</v>
      </c>
      <c r="AM136" s="14"/>
      <c r="AN136" s="14">
        <v>45949</v>
      </c>
      <c r="AO136" s="91" t="s">
        <v>66</v>
      </c>
      <c r="AP136" s="12" t="s">
        <v>3071</v>
      </c>
      <c r="AQ136" s="12"/>
      <c r="AR136" s="12" t="s">
        <v>3072</v>
      </c>
      <c r="AS136" s="12" t="s">
        <v>3073</v>
      </c>
      <c r="AT136" s="12" t="s">
        <v>3073</v>
      </c>
      <c r="AU136" s="12">
        <v>48</v>
      </c>
      <c r="AV136" s="12" t="s">
        <v>83</v>
      </c>
      <c r="AW136" s="12">
        <v>11</v>
      </c>
      <c r="AX136" s="12">
        <v>57</v>
      </c>
      <c r="AY136" s="14">
        <v>45902</v>
      </c>
      <c r="AZ136" s="14">
        <v>45949</v>
      </c>
      <c r="BA136" s="12" t="e">
        <v>#N/A</v>
      </c>
      <c r="BB136" s="14" t="s">
        <v>2480</v>
      </c>
      <c r="BC136" s="14">
        <v>45963</v>
      </c>
      <c r="BD136" s="16">
        <v>2025</v>
      </c>
      <c r="BE136" s="16">
        <v>11</v>
      </c>
      <c r="BF136" s="16">
        <v>44</v>
      </c>
      <c r="BG136" s="191">
        <v>33</v>
      </c>
      <c r="BH136" s="191">
        <v>660</v>
      </c>
    </row>
    <row r="137" spans="1:60" s="23" customFormat="1" ht="10">
      <c r="A137" s="11" t="s">
        <v>3074</v>
      </c>
      <c r="B137" s="12" t="s">
        <v>1888</v>
      </c>
      <c r="C137" s="12" t="s">
        <v>2664</v>
      </c>
      <c r="D137" s="12" t="s">
        <v>63</v>
      </c>
      <c r="E137" s="12" t="s">
        <v>68</v>
      </c>
      <c r="F137" s="12" t="s">
        <v>68</v>
      </c>
      <c r="G137" s="12"/>
      <c r="H137" s="12" t="s">
        <v>402</v>
      </c>
      <c r="I137" s="12" t="s">
        <v>3075</v>
      </c>
      <c r="J137" s="34" t="s">
        <v>68</v>
      </c>
      <c r="K137" s="12">
        <v>46010830</v>
      </c>
      <c r="L137" s="13" t="s">
        <v>2489</v>
      </c>
      <c r="M137" s="12" t="s">
        <v>68</v>
      </c>
      <c r="N137" s="182"/>
      <c r="O137" s="12" t="s">
        <v>2475</v>
      </c>
      <c r="P137" s="12" t="s">
        <v>70</v>
      </c>
      <c r="Q137" s="12" t="s">
        <v>71</v>
      </c>
      <c r="R137" s="12">
        <v>554475</v>
      </c>
      <c r="S137" s="12" t="s">
        <v>72</v>
      </c>
      <c r="T137" s="206">
        <v>500</v>
      </c>
      <c r="U137" s="206">
        <v>2592</v>
      </c>
      <c r="V137" s="12">
        <v>1.296</v>
      </c>
      <c r="W137" s="198">
        <v>72</v>
      </c>
      <c r="X137" s="254">
        <v>3</v>
      </c>
      <c r="Y137" s="12" t="s">
        <v>75</v>
      </c>
      <c r="Z137" s="12"/>
      <c r="AA137" s="12" t="s">
        <v>2658</v>
      </c>
      <c r="AB137" s="13" t="s">
        <v>967</v>
      </c>
      <c r="AC137" s="14">
        <v>45892</v>
      </c>
      <c r="AD137" s="15">
        <v>34</v>
      </c>
      <c r="AE137" s="176" t="s">
        <v>3076</v>
      </c>
      <c r="AF137" s="12">
        <v>371008805</v>
      </c>
      <c r="AG137" s="12" t="s">
        <v>122</v>
      </c>
      <c r="AH137" s="12" t="s">
        <v>888</v>
      </c>
      <c r="AI137" s="14">
        <v>45900</v>
      </c>
      <c r="AJ137" s="14">
        <v>45900</v>
      </c>
      <c r="AK137" s="14">
        <v>45900</v>
      </c>
      <c r="AL137" s="14">
        <v>45947</v>
      </c>
      <c r="AM137" s="14"/>
      <c r="AN137" s="14">
        <v>45947</v>
      </c>
      <c r="AO137" s="91" t="s">
        <v>402</v>
      </c>
      <c r="AP137" s="12" t="s">
        <v>3077</v>
      </c>
      <c r="AQ137" s="12"/>
      <c r="AR137" s="12">
        <v>46010830</v>
      </c>
      <c r="AS137" s="12">
        <v>258224346</v>
      </c>
      <c r="AT137" s="12">
        <v>258224346</v>
      </c>
      <c r="AU137" s="12">
        <v>48</v>
      </c>
      <c r="AV137" s="12" t="s">
        <v>2493</v>
      </c>
      <c r="AW137" s="12">
        <v>12</v>
      </c>
      <c r="AX137" s="12">
        <v>55</v>
      </c>
      <c r="AY137" s="14">
        <v>45900</v>
      </c>
      <c r="AZ137" s="14">
        <v>45947</v>
      </c>
      <c r="BA137" s="12" t="e">
        <v>#N/A</v>
      </c>
      <c r="BB137" s="14" t="s">
        <v>2480</v>
      </c>
      <c r="BC137" s="14">
        <v>45961</v>
      </c>
      <c r="BD137" s="16">
        <v>2025</v>
      </c>
      <c r="BE137" s="16">
        <v>10</v>
      </c>
      <c r="BF137" s="16">
        <v>44</v>
      </c>
      <c r="BG137" s="191">
        <v>36</v>
      </c>
      <c r="BH137" s="191">
        <v>864</v>
      </c>
    </row>
    <row r="138" spans="1:60" s="23" customFormat="1" ht="10">
      <c r="A138" s="11" t="s">
        <v>3078</v>
      </c>
      <c r="B138" s="12" t="s">
        <v>61</v>
      </c>
      <c r="C138" s="12" t="s">
        <v>203</v>
      </c>
      <c r="D138" s="12" t="s">
        <v>63</v>
      </c>
      <c r="E138" s="12" t="s">
        <v>68</v>
      </c>
      <c r="F138" s="12" t="s">
        <v>68</v>
      </c>
      <c r="G138" s="12"/>
      <c r="H138" s="12" t="s">
        <v>146</v>
      </c>
      <c r="I138" s="12" t="s">
        <v>3079</v>
      </c>
      <c r="J138" s="34" t="s">
        <v>68</v>
      </c>
      <c r="K138" s="12">
        <v>14130681</v>
      </c>
      <c r="L138" s="13" t="s">
        <v>2489</v>
      </c>
      <c r="M138" s="12" t="s">
        <v>68</v>
      </c>
      <c r="N138" s="182"/>
      <c r="O138" s="12" t="s">
        <v>2475</v>
      </c>
      <c r="P138" s="12" t="s">
        <v>70</v>
      </c>
      <c r="Q138" s="12" t="s">
        <v>3080</v>
      </c>
      <c r="R138" s="12">
        <v>554469</v>
      </c>
      <c r="S138" s="12" t="s">
        <v>1235</v>
      </c>
      <c r="T138" s="206">
        <v>440</v>
      </c>
      <c r="U138" s="206">
        <v>12168</v>
      </c>
      <c r="V138" s="12">
        <v>5.3539199999999996</v>
      </c>
      <c r="W138" s="198">
        <v>338</v>
      </c>
      <c r="X138" s="254">
        <v>13</v>
      </c>
      <c r="Y138" s="12" t="s">
        <v>75</v>
      </c>
      <c r="Z138" s="12"/>
      <c r="AA138" s="12" t="s">
        <v>2658</v>
      </c>
      <c r="AB138" s="13" t="s">
        <v>967</v>
      </c>
      <c r="AC138" s="14">
        <v>45893</v>
      </c>
      <c r="AD138" s="15">
        <v>34</v>
      </c>
      <c r="AE138" s="176" t="s">
        <v>3081</v>
      </c>
      <c r="AF138" s="12">
        <v>371008836</v>
      </c>
      <c r="AG138" s="12" t="s">
        <v>77</v>
      </c>
      <c r="AH138" s="12" t="s">
        <v>105</v>
      </c>
      <c r="AI138" s="14">
        <v>45901</v>
      </c>
      <c r="AJ138" s="14">
        <v>45901</v>
      </c>
      <c r="AK138" s="14">
        <v>45901</v>
      </c>
      <c r="AL138" s="14">
        <v>45959</v>
      </c>
      <c r="AM138" s="14"/>
      <c r="AN138" s="14">
        <v>45959</v>
      </c>
      <c r="AO138" s="91" t="s">
        <v>146</v>
      </c>
      <c r="AP138" s="12" t="s">
        <v>3082</v>
      </c>
      <c r="AQ138" s="12"/>
      <c r="AR138" s="12">
        <v>14130681</v>
      </c>
      <c r="AS138" s="12" t="s">
        <v>3083</v>
      </c>
      <c r="AT138" s="12" t="s">
        <v>3083</v>
      </c>
      <c r="AU138" s="12">
        <v>59</v>
      </c>
      <c r="AV138" s="12" t="s">
        <v>3084</v>
      </c>
      <c r="AW138" s="12">
        <v>39</v>
      </c>
      <c r="AX138" s="12">
        <v>66</v>
      </c>
      <c r="AY138" s="14">
        <v>45901</v>
      </c>
      <c r="AZ138" s="14">
        <v>45959</v>
      </c>
      <c r="BA138" s="12" t="e">
        <v>#N/A</v>
      </c>
      <c r="BB138" s="14" t="s">
        <v>2480</v>
      </c>
      <c r="BC138" s="14">
        <v>45973</v>
      </c>
      <c r="BD138" s="16">
        <v>2025</v>
      </c>
      <c r="BE138" s="16">
        <v>11</v>
      </c>
      <c r="BF138" s="16">
        <v>46</v>
      </c>
      <c r="BG138" s="191">
        <v>36</v>
      </c>
      <c r="BH138" s="191">
        <v>936</v>
      </c>
    </row>
    <row r="139" spans="1:60" s="23" customFormat="1" ht="10">
      <c r="A139" s="11" t="s">
        <v>3085</v>
      </c>
      <c r="B139" s="12" t="s">
        <v>61</v>
      </c>
      <c r="C139" s="12" t="s">
        <v>2915</v>
      </c>
      <c r="D139" s="12" t="s">
        <v>63</v>
      </c>
      <c r="E139" s="12" t="s">
        <v>68</v>
      </c>
      <c r="F139" s="12" t="s">
        <v>68</v>
      </c>
      <c r="G139" s="12"/>
      <c r="H139" s="12" t="s">
        <v>146</v>
      </c>
      <c r="I139" s="12" t="s">
        <v>2665</v>
      </c>
      <c r="J139" s="34" t="s">
        <v>68</v>
      </c>
      <c r="K139" s="12">
        <v>46010732</v>
      </c>
      <c r="L139" s="13" t="s">
        <v>2666</v>
      </c>
      <c r="M139" s="12" t="s">
        <v>68</v>
      </c>
      <c r="N139" s="182"/>
      <c r="O139" s="12" t="s">
        <v>2475</v>
      </c>
      <c r="P139" s="12" t="s">
        <v>70</v>
      </c>
      <c r="Q139" s="12" t="s">
        <v>91</v>
      </c>
      <c r="R139" s="12">
        <v>554480</v>
      </c>
      <c r="S139" s="12" t="s">
        <v>92</v>
      </c>
      <c r="T139" s="206">
        <v>450</v>
      </c>
      <c r="U139" s="206">
        <v>3744</v>
      </c>
      <c r="V139" s="12">
        <v>1.6848000000000001</v>
      </c>
      <c r="W139" s="198">
        <v>104</v>
      </c>
      <c r="X139" s="254">
        <v>4</v>
      </c>
      <c r="Y139" s="12" t="s">
        <v>75</v>
      </c>
      <c r="AA139" s="12" t="s">
        <v>94</v>
      </c>
      <c r="AB139" s="32" t="s">
        <v>967</v>
      </c>
      <c r="AC139" s="14">
        <v>45888</v>
      </c>
      <c r="AD139" s="15">
        <v>34</v>
      </c>
      <c r="AE139" s="176" t="s">
        <v>3086</v>
      </c>
      <c r="AF139" s="12">
        <v>371008802</v>
      </c>
      <c r="AG139" s="12" t="s">
        <v>77</v>
      </c>
      <c r="AH139" s="12" t="s">
        <v>78</v>
      </c>
      <c r="AI139" s="14">
        <v>45893</v>
      </c>
      <c r="AJ139" s="14">
        <v>45893</v>
      </c>
      <c r="AK139" s="14">
        <v>45893</v>
      </c>
      <c r="AL139" s="14">
        <v>45963</v>
      </c>
      <c r="AM139" s="14"/>
      <c r="AN139" s="14">
        <v>45963</v>
      </c>
      <c r="AO139" s="91" t="s">
        <v>146</v>
      </c>
      <c r="AP139" s="12" t="s">
        <v>3087</v>
      </c>
      <c r="AQ139" s="12"/>
      <c r="AR139" s="12">
        <v>46010732</v>
      </c>
      <c r="AS139" s="12" t="s">
        <v>3088</v>
      </c>
      <c r="AT139" s="12" t="s">
        <v>3088</v>
      </c>
      <c r="AU139" s="12">
        <v>71</v>
      </c>
      <c r="AV139" s="12" t="s">
        <v>2493</v>
      </c>
      <c r="AW139" s="12">
        <v>5</v>
      </c>
      <c r="AX139" s="12">
        <v>75</v>
      </c>
      <c r="AY139" s="14">
        <v>45893</v>
      </c>
      <c r="AZ139" s="14">
        <v>45963</v>
      </c>
      <c r="BA139" s="12" t="e">
        <v>#N/A</v>
      </c>
      <c r="BB139" s="14" t="s">
        <v>2480</v>
      </c>
      <c r="BC139" s="14">
        <v>45977</v>
      </c>
      <c r="BD139" s="16">
        <v>2025</v>
      </c>
      <c r="BE139" s="16">
        <v>11</v>
      </c>
      <c r="BF139" s="16">
        <v>46</v>
      </c>
      <c r="BG139" s="191">
        <v>36</v>
      </c>
      <c r="BH139" s="191">
        <v>936</v>
      </c>
    </row>
    <row r="140" spans="1:60" s="23" customFormat="1" ht="10">
      <c r="A140" s="11" t="s">
        <v>2811</v>
      </c>
      <c r="B140" s="12" t="s">
        <v>1888</v>
      </c>
      <c r="C140" s="12" t="s">
        <v>203</v>
      </c>
      <c r="D140" s="12" t="s">
        <v>63</v>
      </c>
      <c r="E140" s="12" t="s">
        <v>68</v>
      </c>
      <c r="F140" s="12" t="s">
        <v>68</v>
      </c>
      <c r="G140" s="12"/>
      <c r="H140" s="12" t="s">
        <v>402</v>
      </c>
      <c r="I140" s="12" t="s">
        <v>594</v>
      </c>
      <c r="J140" s="34" t="s">
        <v>68</v>
      </c>
      <c r="K140" s="12">
        <v>16102540</v>
      </c>
      <c r="L140" s="13" t="s">
        <v>2482</v>
      </c>
      <c r="M140" s="12" t="s">
        <v>68</v>
      </c>
      <c r="N140" s="182"/>
      <c r="O140" s="12" t="s">
        <v>2475</v>
      </c>
      <c r="P140" s="12" t="s">
        <v>70</v>
      </c>
      <c r="Q140" s="12" t="s">
        <v>420</v>
      </c>
      <c r="R140" s="12">
        <v>554476</v>
      </c>
      <c r="S140" s="12" t="s">
        <v>421</v>
      </c>
      <c r="T140" s="206">
        <v>505</v>
      </c>
      <c r="U140" s="206">
        <v>4320</v>
      </c>
      <c r="V140" s="12">
        <v>2.1816</v>
      </c>
      <c r="W140" s="198">
        <v>120</v>
      </c>
      <c r="X140" s="254">
        <v>5</v>
      </c>
      <c r="Y140" s="12" t="s">
        <v>75</v>
      </c>
      <c r="Z140" s="12"/>
      <c r="AA140" s="12" t="s">
        <v>2658</v>
      </c>
      <c r="AB140" s="13" t="s">
        <v>992</v>
      </c>
      <c r="AC140" s="14">
        <v>45893</v>
      </c>
      <c r="AD140" s="15">
        <v>34</v>
      </c>
      <c r="AE140" s="176" t="s">
        <v>3089</v>
      </c>
      <c r="AF140" s="12">
        <v>371008808</v>
      </c>
      <c r="AG140" s="12" t="s">
        <v>122</v>
      </c>
      <c r="AH140" s="12" t="s">
        <v>124</v>
      </c>
      <c r="AI140" s="14">
        <v>45899</v>
      </c>
      <c r="AJ140" s="14">
        <v>45899</v>
      </c>
      <c r="AK140" s="14">
        <v>45899</v>
      </c>
      <c r="AL140" s="14">
        <v>45961</v>
      </c>
      <c r="AM140" s="14"/>
      <c r="AN140" s="14">
        <v>45961</v>
      </c>
      <c r="AO140" s="91" t="s">
        <v>402</v>
      </c>
      <c r="AP140" s="12" t="s">
        <v>3090</v>
      </c>
      <c r="AQ140" s="12"/>
      <c r="AR140" s="12" t="s">
        <v>3091</v>
      </c>
      <c r="AS140" s="12" t="s">
        <v>3092</v>
      </c>
      <c r="AT140" s="12" t="s">
        <v>3092</v>
      </c>
      <c r="AU140" s="12">
        <v>63</v>
      </c>
      <c r="AV140" s="12" t="s">
        <v>2493</v>
      </c>
      <c r="AW140" s="12">
        <v>39</v>
      </c>
      <c r="AX140" s="12">
        <v>68</v>
      </c>
      <c r="AY140" s="14">
        <v>45899</v>
      </c>
      <c r="AZ140" s="14">
        <v>45961</v>
      </c>
      <c r="BA140" s="12" t="e">
        <v>#N/A</v>
      </c>
      <c r="BB140" s="14" t="s">
        <v>2480</v>
      </c>
      <c r="BC140" s="14">
        <v>45975</v>
      </c>
      <c r="BD140" s="16">
        <v>2025</v>
      </c>
      <c r="BE140" s="16">
        <v>11</v>
      </c>
      <c r="BF140" s="16">
        <v>46</v>
      </c>
      <c r="BG140" s="191">
        <v>36</v>
      </c>
      <c r="BH140" s="191">
        <v>864</v>
      </c>
    </row>
    <row r="141" spans="1:60" s="23" customFormat="1" ht="10">
      <c r="A141" s="11" t="s">
        <v>3093</v>
      </c>
      <c r="B141" s="12" t="s">
        <v>1888</v>
      </c>
      <c r="C141" s="12" t="s">
        <v>2811</v>
      </c>
      <c r="D141" s="12" t="s">
        <v>63</v>
      </c>
      <c r="E141" s="12" t="s">
        <v>68</v>
      </c>
      <c r="F141" s="12" t="s">
        <v>68</v>
      </c>
      <c r="G141" s="12"/>
      <c r="H141" s="12" t="s">
        <v>66</v>
      </c>
      <c r="I141" s="12" t="s">
        <v>2763</v>
      </c>
      <c r="J141" s="34" t="s">
        <v>68</v>
      </c>
      <c r="K141" s="12">
        <v>19142965</v>
      </c>
      <c r="L141" s="13" t="s">
        <v>2497</v>
      </c>
      <c r="M141" s="12" t="s">
        <v>68</v>
      </c>
      <c r="N141" s="182"/>
      <c r="O141" s="12" t="s">
        <v>2475</v>
      </c>
      <c r="P141" s="12" t="s">
        <v>70</v>
      </c>
      <c r="Q141" s="12" t="s">
        <v>420</v>
      </c>
      <c r="R141" s="12">
        <v>554476</v>
      </c>
      <c r="S141" s="12" t="s">
        <v>421</v>
      </c>
      <c r="T141" s="206">
        <v>505</v>
      </c>
      <c r="U141" s="206">
        <v>1728</v>
      </c>
      <c r="V141" s="12">
        <v>0.87263999999999997</v>
      </c>
      <c r="W141" s="198">
        <v>48</v>
      </c>
      <c r="X141" s="254">
        <v>2</v>
      </c>
      <c r="Y141" s="12" t="s">
        <v>75</v>
      </c>
      <c r="Z141" s="12"/>
      <c r="AA141" s="12" t="s">
        <v>2658</v>
      </c>
      <c r="AB141" s="13" t="s">
        <v>992</v>
      </c>
      <c r="AC141" s="14">
        <v>45890</v>
      </c>
      <c r="AD141" s="15">
        <v>34</v>
      </c>
      <c r="AE141" s="176" t="s">
        <v>3094</v>
      </c>
      <c r="AF141" s="12">
        <v>371008807</v>
      </c>
      <c r="AG141" s="12" t="s">
        <v>122</v>
      </c>
      <c r="AH141" s="12" t="s">
        <v>1561</v>
      </c>
      <c r="AI141" s="14">
        <v>45899</v>
      </c>
      <c r="AJ141" s="14">
        <v>45899</v>
      </c>
      <c r="AK141" s="14">
        <v>45899</v>
      </c>
      <c r="AL141" s="14">
        <v>45948</v>
      </c>
      <c r="AM141" s="14"/>
      <c r="AN141" s="14">
        <v>45948</v>
      </c>
      <c r="AO141" s="91" t="s">
        <v>66</v>
      </c>
      <c r="AP141" s="12" t="s">
        <v>3090</v>
      </c>
      <c r="AQ141" s="12"/>
      <c r="AR141" s="12" t="s">
        <v>3095</v>
      </c>
      <c r="AS141" s="12" t="s">
        <v>3096</v>
      </c>
      <c r="AT141" s="12" t="s">
        <v>3096</v>
      </c>
      <c r="AU141" s="12">
        <v>50</v>
      </c>
      <c r="AV141" s="12" t="s">
        <v>83</v>
      </c>
      <c r="AW141" s="12">
        <v>8</v>
      </c>
      <c r="AX141" s="12">
        <v>58</v>
      </c>
      <c r="AY141" s="14">
        <v>45899</v>
      </c>
      <c r="AZ141" s="14">
        <v>45948</v>
      </c>
      <c r="BA141" s="12" t="e">
        <v>#N/A</v>
      </c>
      <c r="BB141" s="14" t="s">
        <v>2480</v>
      </c>
      <c r="BC141" s="14">
        <v>45962</v>
      </c>
      <c r="BD141" s="16">
        <v>2025</v>
      </c>
      <c r="BE141" s="16">
        <v>11</v>
      </c>
      <c r="BF141" s="16">
        <v>44</v>
      </c>
      <c r="BG141" s="191">
        <v>36</v>
      </c>
      <c r="BH141" s="191">
        <v>864</v>
      </c>
    </row>
    <row r="142" spans="1:60" s="23" customFormat="1" ht="10">
      <c r="A142" s="11" t="s">
        <v>3097</v>
      </c>
      <c r="B142" s="12" t="s">
        <v>1888</v>
      </c>
      <c r="C142" s="12" t="s">
        <v>2811</v>
      </c>
      <c r="D142" s="12" t="s">
        <v>63</v>
      </c>
      <c r="E142" s="12" t="s">
        <v>68</v>
      </c>
      <c r="F142" s="12" t="s">
        <v>68</v>
      </c>
      <c r="G142" s="12"/>
      <c r="H142" s="12" t="s">
        <v>66</v>
      </c>
      <c r="I142" s="12" t="s">
        <v>2708</v>
      </c>
      <c r="J142" s="34" t="s">
        <v>68</v>
      </c>
      <c r="K142" s="12">
        <v>19143011</v>
      </c>
      <c r="L142" s="13" t="s">
        <v>2497</v>
      </c>
      <c r="M142" s="12" t="s">
        <v>68</v>
      </c>
      <c r="N142" s="182"/>
      <c r="O142" s="12" t="s">
        <v>2475</v>
      </c>
      <c r="P142" s="12" t="s">
        <v>70</v>
      </c>
      <c r="Q142" s="12" t="s">
        <v>420</v>
      </c>
      <c r="R142" s="12">
        <v>554476</v>
      </c>
      <c r="S142" s="12" t="s">
        <v>421</v>
      </c>
      <c r="T142" s="206">
        <v>505</v>
      </c>
      <c r="U142" s="206">
        <v>1584</v>
      </c>
      <c r="V142" s="12">
        <v>0.79991999999999996</v>
      </c>
      <c r="W142" s="198">
        <v>44</v>
      </c>
      <c r="X142" s="254">
        <v>1.8333333333333333</v>
      </c>
      <c r="Y142" s="12" t="s">
        <v>75</v>
      </c>
      <c r="Z142" s="12"/>
      <c r="AA142" s="12" t="s">
        <v>2658</v>
      </c>
      <c r="AB142" s="13" t="s">
        <v>992</v>
      </c>
      <c r="AC142" s="14">
        <v>45890</v>
      </c>
      <c r="AD142" s="15">
        <v>34</v>
      </c>
      <c r="AE142" s="176" t="s">
        <v>3098</v>
      </c>
      <c r="AF142" s="12">
        <v>371008806</v>
      </c>
      <c r="AG142" s="12" t="s">
        <v>122</v>
      </c>
      <c r="AH142" s="12" t="s">
        <v>314</v>
      </c>
      <c r="AI142" s="14">
        <v>45899</v>
      </c>
      <c r="AJ142" s="14">
        <v>45899</v>
      </c>
      <c r="AK142" s="14">
        <v>45899</v>
      </c>
      <c r="AL142" s="14">
        <v>45953</v>
      </c>
      <c r="AM142" s="14"/>
      <c r="AN142" s="14">
        <v>45953</v>
      </c>
      <c r="AO142" s="91" t="s">
        <v>66</v>
      </c>
      <c r="AP142" s="12" t="s">
        <v>3090</v>
      </c>
      <c r="AQ142" s="12"/>
      <c r="AR142" s="12" t="s">
        <v>3099</v>
      </c>
      <c r="AS142" s="12" t="s">
        <v>3100</v>
      </c>
      <c r="AT142" s="12" t="s">
        <v>3100</v>
      </c>
      <c r="AU142" s="12">
        <v>55</v>
      </c>
      <c r="AV142" s="12" t="s">
        <v>83</v>
      </c>
      <c r="AW142" s="12">
        <v>8</v>
      </c>
      <c r="AX142" s="12">
        <v>63</v>
      </c>
      <c r="AY142" s="14">
        <v>45899</v>
      </c>
      <c r="AZ142" s="14">
        <v>45953</v>
      </c>
      <c r="BA142" s="12" t="e">
        <v>#N/A</v>
      </c>
      <c r="BB142" s="14" t="s">
        <v>2480</v>
      </c>
      <c r="BC142" s="14">
        <v>45967</v>
      </c>
      <c r="BD142" s="16">
        <v>2025</v>
      </c>
      <c r="BE142" s="16">
        <v>11</v>
      </c>
      <c r="BF142" s="16">
        <v>45</v>
      </c>
      <c r="BG142" s="191">
        <v>36</v>
      </c>
      <c r="BH142" s="191">
        <v>864</v>
      </c>
    </row>
    <row r="143" spans="1:60" s="23" customFormat="1" ht="10">
      <c r="A143" s="11" t="s">
        <v>3101</v>
      </c>
      <c r="B143" s="12" t="s">
        <v>111</v>
      </c>
      <c r="C143" s="12" t="s">
        <v>2697</v>
      </c>
      <c r="D143" s="12" t="s">
        <v>63</v>
      </c>
      <c r="E143" s="12" t="s">
        <v>64</v>
      </c>
      <c r="F143" s="12" t="s">
        <v>65</v>
      </c>
      <c r="G143" s="12" t="s">
        <v>67</v>
      </c>
      <c r="H143" s="12" t="s">
        <v>66</v>
      </c>
      <c r="I143" s="12" t="s">
        <v>96</v>
      </c>
      <c r="J143" s="34" t="s">
        <v>68</v>
      </c>
      <c r="K143" s="12"/>
      <c r="L143" s="13" t="s">
        <v>2474</v>
      </c>
      <c r="M143" s="213" t="s">
        <v>68</v>
      </c>
      <c r="N143" s="182"/>
      <c r="O143" s="12" t="s">
        <v>2475</v>
      </c>
      <c r="P143" s="12" t="s">
        <v>550</v>
      </c>
      <c r="Q143" s="12" t="s">
        <v>2699</v>
      </c>
      <c r="R143" s="12">
        <v>553120</v>
      </c>
      <c r="S143" s="12" t="s">
        <v>2700</v>
      </c>
      <c r="T143" s="206">
        <v>500</v>
      </c>
      <c r="U143" s="206">
        <v>2376</v>
      </c>
      <c r="V143" s="12">
        <v>1.1879999999999999</v>
      </c>
      <c r="W143" s="198">
        <v>66</v>
      </c>
      <c r="X143" s="254">
        <v>3</v>
      </c>
      <c r="Y143" s="12" t="s">
        <v>75</v>
      </c>
      <c r="Z143" s="12"/>
      <c r="AA143" s="12" t="s">
        <v>85</v>
      </c>
      <c r="AB143" s="13" t="s">
        <v>2136</v>
      </c>
      <c r="AC143" s="14">
        <v>45890</v>
      </c>
      <c r="AD143" s="15">
        <v>34</v>
      </c>
      <c r="AE143" s="176" t="s">
        <v>3102</v>
      </c>
      <c r="AF143" s="12">
        <v>371008811</v>
      </c>
      <c r="AG143" s="12" t="s">
        <v>122</v>
      </c>
      <c r="AH143" s="12" t="s">
        <v>78</v>
      </c>
      <c r="AI143" s="14">
        <v>45899</v>
      </c>
      <c r="AJ143" s="14">
        <v>45899</v>
      </c>
      <c r="AK143" s="14">
        <v>45899</v>
      </c>
      <c r="AL143" s="14">
        <v>45957</v>
      </c>
      <c r="AM143" s="14"/>
      <c r="AN143" s="14">
        <v>45957</v>
      </c>
      <c r="AO143" s="91" t="s">
        <v>66</v>
      </c>
      <c r="AP143" s="12" t="s">
        <v>3090</v>
      </c>
      <c r="AQ143" s="12"/>
      <c r="AR143" s="12" t="s">
        <v>3103</v>
      </c>
      <c r="AS143" s="12" t="s">
        <v>3104</v>
      </c>
      <c r="AT143" s="12" t="s">
        <v>3104</v>
      </c>
      <c r="AU143" s="12">
        <v>59</v>
      </c>
      <c r="AV143" s="12" t="s">
        <v>83</v>
      </c>
      <c r="AW143" s="12">
        <v>5</v>
      </c>
      <c r="AX143" s="12">
        <v>67</v>
      </c>
      <c r="AY143" s="14">
        <v>45899</v>
      </c>
      <c r="AZ143" s="14">
        <v>45957</v>
      </c>
      <c r="BA143" s="12" t="e">
        <v>#N/A</v>
      </c>
      <c r="BB143" s="14" t="s">
        <v>2480</v>
      </c>
      <c r="BC143" s="14">
        <v>45971</v>
      </c>
      <c r="BD143" s="16">
        <v>2025</v>
      </c>
      <c r="BE143" s="16">
        <v>11</v>
      </c>
      <c r="BF143" s="16">
        <v>46</v>
      </c>
      <c r="BG143" s="191">
        <v>36</v>
      </c>
      <c r="BH143" s="191">
        <v>792</v>
      </c>
    </row>
    <row r="144" spans="1:60" s="23" customFormat="1" ht="10">
      <c r="A144" s="11" t="s">
        <v>3105</v>
      </c>
      <c r="B144" s="12" t="s">
        <v>111</v>
      </c>
      <c r="C144" s="12" t="s">
        <v>2543</v>
      </c>
      <c r="D144" s="12" t="s">
        <v>63</v>
      </c>
      <c r="E144" s="12" t="s">
        <v>68</v>
      </c>
      <c r="F144" s="12" t="s">
        <v>68</v>
      </c>
      <c r="G144" s="12"/>
      <c r="H144" s="12" t="s">
        <v>402</v>
      </c>
      <c r="I144" s="12" t="s">
        <v>594</v>
      </c>
      <c r="J144" s="34" t="s">
        <v>68</v>
      </c>
      <c r="K144" s="12">
        <v>16102540</v>
      </c>
      <c r="L144" s="13" t="s">
        <v>2482</v>
      </c>
      <c r="M144" s="12" t="s">
        <v>68</v>
      </c>
      <c r="N144" s="182"/>
      <c r="O144" s="12" t="s">
        <v>2475</v>
      </c>
      <c r="P144" s="12" t="s">
        <v>70</v>
      </c>
      <c r="Q144" s="12" t="s">
        <v>102</v>
      </c>
      <c r="R144" s="12">
        <v>554245</v>
      </c>
      <c r="S144" s="12" t="s">
        <v>103</v>
      </c>
      <c r="T144" s="206">
        <v>620</v>
      </c>
      <c r="U144" s="206">
        <v>2880</v>
      </c>
      <c r="V144" s="12">
        <v>1.7856000000000001</v>
      </c>
      <c r="W144" s="198">
        <v>80</v>
      </c>
      <c r="X144" s="254">
        <v>4</v>
      </c>
      <c r="Y144" s="12" t="s">
        <v>75</v>
      </c>
      <c r="Z144" s="12"/>
      <c r="AA144" s="12" t="s">
        <v>108</v>
      </c>
      <c r="AB144" s="32" t="s">
        <v>967</v>
      </c>
      <c r="AC144" s="14">
        <v>45892</v>
      </c>
      <c r="AD144" s="15">
        <v>34</v>
      </c>
      <c r="AE144" s="176" t="s">
        <v>3106</v>
      </c>
      <c r="AF144" s="12">
        <v>371008799</v>
      </c>
      <c r="AG144" s="12" t="s">
        <v>122</v>
      </c>
      <c r="AH144" s="12" t="s">
        <v>124</v>
      </c>
      <c r="AI144" s="14">
        <v>45899</v>
      </c>
      <c r="AJ144" s="14">
        <v>45899</v>
      </c>
      <c r="AK144" s="14">
        <v>45899</v>
      </c>
      <c r="AL144" s="14">
        <v>45961</v>
      </c>
      <c r="AM144" s="14"/>
      <c r="AN144" s="14">
        <v>45961</v>
      </c>
      <c r="AO144" s="91" t="s">
        <v>402</v>
      </c>
      <c r="AP144" s="12" t="s">
        <v>3090</v>
      </c>
      <c r="AQ144" s="12"/>
      <c r="AR144" s="12" t="s">
        <v>3107</v>
      </c>
      <c r="AS144" s="12" t="s">
        <v>3108</v>
      </c>
      <c r="AT144" s="12" t="s">
        <v>3108</v>
      </c>
      <c r="AU144" s="12">
        <v>63</v>
      </c>
      <c r="AV144" s="12" t="s">
        <v>2493</v>
      </c>
      <c r="AW144" s="12">
        <v>8</v>
      </c>
      <c r="AX144" s="12">
        <v>69</v>
      </c>
      <c r="AY144" s="14">
        <v>45899</v>
      </c>
      <c r="AZ144" s="14">
        <v>45961</v>
      </c>
      <c r="BA144" s="12" t="e">
        <v>#N/A</v>
      </c>
      <c r="BB144" s="14" t="s">
        <v>2480</v>
      </c>
      <c r="BC144" s="14">
        <v>45975</v>
      </c>
      <c r="BD144" s="16">
        <v>2025</v>
      </c>
      <c r="BE144" s="16">
        <v>11</v>
      </c>
      <c r="BF144" s="16">
        <v>46</v>
      </c>
      <c r="BG144" s="191">
        <v>36</v>
      </c>
      <c r="BH144" s="191">
        <v>720</v>
      </c>
    </row>
    <row r="145" spans="1:60" s="23" customFormat="1" ht="10">
      <c r="A145" s="11" t="s">
        <v>3109</v>
      </c>
      <c r="B145" s="12" t="s">
        <v>111</v>
      </c>
      <c r="C145" s="12" t="s">
        <v>838</v>
      </c>
      <c r="D145" s="12" t="s">
        <v>63</v>
      </c>
      <c r="E145" s="12" t="s">
        <v>68</v>
      </c>
      <c r="F145" s="12" t="s">
        <v>68</v>
      </c>
      <c r="G145" s="12"/>
      <c r="H145" s="12" t="s">
        <v>402</v>
      </c>
      <c r="I145" s="12" t="s">
        <v>594</v>
      </c>
      <c r="J145" s="34" t="s">
        <v>68</v>
      </c>
      <c r="K145" s="12">
        <v>16102540</v>
      </c>
      <c r="L145" s="13" t="s">
        <v>2482</v>
      </c>
      <c r="M145" s="12" t="s">
        <v>68</v>
      </c>
      <c r="N145" s="182"/>
      <c r="O145" s="12" t="s">
        <v>2475</v>
      </c>
      <c r="P145" s="12" t="s">
        <v>132</v>
      </c>
      <c r="Q145" s="12" t="s">
        <v>841</v>
      </c>
      <c r="R145" s="12">
        <v>554542</v>
      </c>
      <c r="S145" s="12" t="s">
        <v>842</v>
      </c>
      <c r="T145" s="206">
        <v>515</v>
      </c>
      <c r="U145" s="206">
        <v>1584</v>
      </c>
      <c r="V145" s="12">
        <v>0.81576000000000004</v>
      </c>
      <c r="W145" s="198">
        <v>44</v>
      </c>
      <c r="X145" s="254">
        <v>2</v>
      </c>
      <c r="Y145" s="12" t="s">
        <v>75</v>
      </c>
      <c r="Z145" s="12"/>
      <c r="AA145" s="12" t="s">
        <v>108</v>
      </c>
      <c r="AB145" s="32" t="s">
        <v>992</v>
      </c>
      <c r="AC145" s="14">
        <v>45890</v>
      </c>
      <c r="AD145" s="15">
        <v>34</v>
      </c>
      <c r="AE145" s="176" t="s">
        <v>3110</v>
      </c>
      <c r="AF145" s="12">
        <v>371008797</v>
      </c>
      <c r="AG145" s="12" t="s">
        <v>122</v>
      </c>
      <c r="AH145" s="12" t="s">
        <v>124</v>
      </c>
      <c r="AI145" s="14">
        <v>45898</v>
      </c>
      <c r="AJ145" s="14">
        <v>45898</v>
      </c>
      <c r="AK145" s="14">
        <v>45898</v>
      </c>
      <c r="AL145" s="14">
        <v>45947</v>
      </c>
      <c r="AM145" s="14"/>
      <c r="AN145" s="14">
        <v>45947</v>
      </c>
      <c r="AO145" s="91" t="s">
        <v>402</v>
      </c>
      <c r="AP145" s="12" t="s">
        <v>3111</v>
      </c>
      <c r="AQ145" s="12"/>
      <c r="AR145" s="12" t="s">
        <v>3112</v>
      </c>
      <c r="AS145" s="12" t="s">
        <v>3113</v>
      </c>
      <c r="AT145" s="12" t="s">
        <v>3113</v>
      </c>
      <c r="AU145" s="12">
        <v>50</v>
      </c>
      <c r="AV145" s="12" t="s">
        <v>2493</v>
      </c>
      <c r="AW145" s="12">
        <v>5</v>
      </c>
      <c r="AX145" s="12">
        <v>57</v>
      </c>
      <c r="AY145" s="14">
        <v>45898</v>
      </c>
      <c r="AZ145" s="14">
        <v>45947</v>
      </c>
      <c r="BA145" s="12" t="e">
        <v>#N/A</v>
      </c>
      <c r="BB145" s="14" t="s">
        <v>2480</v>
      </c>
      <c r="BC145" s="14">
        <v>45961</v>
      </c>
      <c r="BD145" s="16">
        <v>2025</v>
      </c>
      <c r="BE145" s="16">
        <v>10</v>
      </c>
      <c r="BF145" s="16">
        <v>44</v>
      </c>
      <c r="BG145" s="191">
        <v>36</v>
      </c>
      <c r="BH145" s="191">
        <v>792</v>
      </c>
    </row>
    <row r="146" spans="1:60" s="23" customFormat="1" ht="10">
      <c r="A146" s="11" t="s">
        <v>3114</v>
      </c>
      <c r="B146" s="12" t="s">
        <v>61</v>
      </c>
      <c r="C146" s="12" t="s">
        <v>3115</v>
      </c>
      <c r="D146" s="12" t="s">
        <v>63</v>
      </c>
      <c r="E146" s="12" t="s">
        <v>68</v>
      </c>
      <c r="F146" s="12" t="s">
        <v>68</v>
      </c>
      <c r="G146" s="12"/>
      <c r="H146" s="12" t="s">
        <v>146</v>
      </c>
      <c r="I146" s="12" t="s">
        <v>2665</v>
      </c>
      <c r="J146" s="34" t="s">
        <v>68</v>
      </c>
      <c r="K146" s="12">
        <v>46010831</v>
      </c>
      <c r="L146" s="13" t="s">
        <v>2666</v>
      </c>
      <c r="M146" s="12" t="s">
        <v>68</v>
      </c>
      <c r="N146" s="182"/>
      <c r="O146" s="12" t="s">
        <v>2475</v>
      </c>
      <c r="P146" s="12" t="s">
        <v>70</v>
      </c>
      <c r="Q146" s="12" t="s">
        <v>860</v>
      </c>
      <c r="R146" s="12">
        <v>554479</v>
      </c>
      <c r="S146" s="12" t="s">
        <v>861</v>
      </c>
      <c r="T146" s="206">
        <v>445</v>
      </c>
      <c r="U146" s="206">
        <v>2808</v>
      </c>
      <c r="V146" s="12">
        <v>1.24956</v>
      </c>
      <c r="W146" s="198">
        <v>78</v>
      </c>
      <c r="X146" s="254">
        <v>3</v>
      </c>
      <c r="Y146" s="12" t="s">
        <v>75</v>
      </c>
      <c r="AA146" s="12" t="s">
        <v>94</v>
      </c>
      <c r="AB146" s="32" t="s">
        <v>967</v>
      </c>
      <c r="AC146" s="14">
        <v>45888</v>
      </c>
      <c r="AD146" s="15">
        <v>34</v>
      </c>
      <c r="AE146" s="176" t="s">
        <v>3116</v>
      </c>
      <c r="AF146" s="12">
        <v>371008800</v>
      </c>
      <c r="AG146" s="12" t="s">
        <v>77</v>
      </c>
      <c r="AH146" s="12" t="s">
        <v>78</v>
      </c>
      <c r="AI146" s="14">
        <v>45893</v>
      </c>
      <c r="AJ146" s="14">
        <v>45893</v>
      </c>
      <c r="AK146" s="14">
        <v>45893</v>
      </c>
      <c r="AL146" s="14">
        <v>45963</v>
      </c>
      <c r="AM146" s="14"/>
      <c r="AN146" s="14">
        <v>45963</v>
      </c>
      <c r="AO146" s="91" t="s">
        <v>146</v>
      </c>
      <c r="AP146" s="12" t="s">
        <v>3087</v>
      </c>
      <c r="AQ146" s="12"/>
      <c r="AR146" s="12">
        <v>46010831</v>
      </c>
      <c r="AS146" s="12" t="s">
        <v>3117</v>
      </c>
      <c r="AT146" s="12" t="s">
        <v>3117</v>
      </c>
      <c r="AU146" s="12">
        <v>71</v>
      </c>
      <c r="AV146" s="12" t="s">
        <v>2493</v>
      </c>
      <c r="AW146" s="12">
        <v>8</v>
      </c>
      <c r="AX146" s="12">
        <v>75</v>
      </c>
      <c r="AY146" s="14">
        <v>45893</v>
      </c>
      <c r="AZ146" s="14">
        <v>45963</v>
      </c>
      <c r="BA146" s="12" t="e">
        <v>#N/A</v>
      </c>
      <c r="BB146" s="14" t="s">
        <v>2480</v>
      </c>
      <c r="BC146" s="14">
        <v>45977</v>
      </c>
      <c r="BD146" s="16">
        <v>2025</v>
      </c>
      <c r="BE146" s="16">
        <v>11</v>
      </c>
      <c r="BF146" s="16">
        <v>46</v>
      </c>
      <c r="BG146" s="191">
        <v>36</v>
      </c>
      <c r="BH146" s="191">
        <v>936</v>
      </c>
    </row>
    <row r="147" spans="1:60" s="23" customFormat="1" ht="10">
      <c r="A147" s="11" t="s">
        <v>3118</v>
      </c>
      <c r="B147" s="12" t="s">
        <v>61</v>
      </c>
      <c r="C147" s="12" t="s">
        <v>3115</v>
      </c>
      <c r="D147" s="12" t="s">
        <v>63</v>
      </c>
      <c r="E147" s="12" t="s">
        <v>68</v>
      </c>
      <c r="F147" s="12" t="s">
        <v>68</v>
      </c>
      <c r="G147" s="12"/>
      <c r="H147" s="12" t="s">
        <v>146</v>
      </c>
      <c r="I147" s="12" t="s">
        <v>2671</v>
      </c>
      <c r="J147" s="34" t="s">
        <v>68</v>
      </c>
      <c r="K147" s="12">
        <v>46010841</v>
      </c>
      <c r="L147" s="13" t="s">
        <v>2666</v>
      </c>
      <c r="M147" s="12" t="s">
        <v>68</v>
      </c>
      <c r="N147" s="182"/>
      <c r="O147" s="12" t="s">
        <v>2475</v>
      </c>
      <c r="P147" s="12" t="s">
        <v>70</v>
      </c>
      <c r="Q147" s="12" t="s">
        <v>860</v>
      </c>
      <c r="R147" s="12">
        <v>554479</v>
      </c>
      <c r="S147" s="12" t="s">
        <v>861</v>
      </c>
      <c r="T147" s="206">
        <v>445</v>
      </c>
      <c r="U147" s="206">
        <v>936</v>
      </c>
      <c r="V147" s="12">
        <v>0.41652</v>
      </c>
      <c r="W147" s="198">
        <v>26</v>
      </c>
      <c r="X147" s="254">
        <v>1</v>
      </c>
      <c r="Y147" s="12" t="s">
        <v>75</v>
      </c>
      <c r="AA147" s="12" t="s">
        <v>94</v>
      </c>
      <c r="AB147" s="32" t="s">
        <v>967</v>
      </c>
      <c r="AC147" s="14">
        <v>45888</v>
      </c>
      <c r="AD147" s="15">
        <v>34</v>
      </c>
      <c r="AE147" s="176" t="s">
        <v>3119</v>
      </c>
      <c r="AF147" s="12">
        <v>371008801</v>
      </c>
      <c r="AG147" s="12" t="s">
        <v>77</v>
      </c>
      <c r="AH147" s="12" t="s">
        <v>78</v>
      </c>
      <c r="AI147" s="14">
        <v>45893</v>
      </c>
      <c r="AJ147" s="14">
        <v>45893</v>
      </c>
      <c r="AK147" s="14">
        <v>45893</v>
      </c>
      <c r="AL147" s="14">
        <v>45963</v>
      </c>
      <c r="AM147" s="14"/>
      <c r="AN147" s="14">
        <v>45963</v>
      </c>
      <c r="AO147" s="91" t="s">
        <v>146</v>
      </c>
      <c r="AP147" s="12" t="s">
        <v>3087</v>
      </c>
      <c r="AQ147" s="12"/>
      <c r="AR147" s="12" t="s">
        <v>3120</v>
      </c>
      <c r="AS147" s="12" t="s">
        <v>3121</v>
      </c>
      <c r="AT147" s="12" t="s">
        <v>3121</v>
      </c>
      <c r="AU147" s="12">
        <v>71</v>
      </c>
      <c r="AV147" s="12" t="s">
        <v>83</v>
      </c>
      <c r="AW147" s="12">
        <v>8</v>
      </c>
      <c r="AX147" s="12">
        <v>75</v>
      </c>
      <c r="AY147" s="14">
        <v>45893</v>
      </c>
      <c r="AZ147" s="14">
        <v>45963</v>
      </c>
      <c r="BA147" s="12" t="e">
        <v>#N/A</v>
      </c>
      <c r="BB147" s="14" t="s">
        <v>2480</v>
      </c>
      <c r="BC147" s="14">
        <v>45977</v>
      </c>
      <c r="BD147" s="16">
        <v>2025</v>
      </c>
      <c r="BE147" s="16">
        <v>11</v>
      </c>
      <c r="BF147" s="16">
        <v>46</v>
      </c>
      <c r="BG147" s="191">
        <v>36</v>
      </c>
      <c r="BH147" s="191">
        <v>936</v>
      </c>
    </row>
    <row r="148" spans="1:60" s="23" customFormat="1" ht="10">
      <c r="A148" s="11" t="s">
        <v>3122</v>
      </c>
      <c r="B148" s="12" t="s">
        <v>1888</v>
      </c>
      <c r="C148" s="12" t="s">
        <v>2811</v>
      </c>
      <c r="D148" s="12" t="s">
        <v>63</v>
      </c>
      <c r="E148" s="12" t="s">
        <v>68</v>
      </c>
      <c r="F148" s="12" t="s">
        <v>68</v>
      </c>
      <c r="G148" s="12"/>
      <c r="H148" s="12" t="s">
        <v>66</v>
      </c>
      <c r="I148" s="12" t="s">
        <v>3123</v>
      </c>
      <c r="J148" s="34" t="s">
        <v>68</v>
      </c>
      <c r="K148" s="12"/>
      <c r="L148" s="13" t="s">
        <v>2497</v>
      </c>
      <c r="M148" s="12" t="s">
        <v>68</v>
      </c>
      <c r="N148" s="182"/>
      <c r="O148" s="12" t="s">
        <v>2475</v>
      </c>
      <c r="P148" s="12" t="s">
        <v>70</v>
      </c>
      <c r="Q148" s="12" t="s">
        <v>420</v>
      </c>
      <c r="R148" s="12">
        <v>554476</v>
      </c>
      <c r="S148" s="12" t="s">
        <v>421</v>
      </c>
      <c r="T148" s="206">
        <v>505</v>
      </c>
      <c r="U148" s="206">
        <v>864</v>
      </c>
      <c r="V148" s="12">
        <v>0.43631999999999999</v>
      </c>
      <c r="W148" s="198">
        <v>24</v>
      </c>
      <c r="X148" s="254">
        <v>1</v>
      </c>
      <c r="Y148" s="12" t="s">
        <v>75</v>
      </c>
      <c r="Z148" s="12"/>
      <c r="AA148" s="12" t="s">
        <v>2658</v>
      </c>
      <c r="AB148" s="13" t="s">
        <v>992</v>
      </c>
      <c r="AC148" s="14">
        <v>45895</v>
      </c>
      <c r="AD148" s="15">
        <v>35</v>
      </c>
      <c r="AE148" s="176" t="s">
        <v>3124</v>
      </c>
      <c r="AF148" s="12">
        <v>371008852</v>
      </c>
      <c r="AG148" s="12" t="s">
        <v>122</v>
      </c>
      <c r="AH148" s="12" t="s">
        <v>314</v>
      </c>
      <c r="AI148" s="14">
        <v>45914</v>
      </c>
      <c r="AJ148" s="14">
        <v>45914</v>
      </c>
      <c r="AK148" s="14">
        <v>45914</v>
      </c>
      <c r="AL148" s="14">
        <v>45960</v>
      </c>
      <c r="AM148" s="14"/>
      <c r="AN148" s="14">
        <v>45960</v>
      </c>
      <c r="AO148" s="91" t="s">
        <v>66</v>
      </c>
      <c r="AP148" s="12" t="s">
        <v>3125</v>
      </c>
      <c r="AQ148" s="12"/>
      <c r="AR148" s="12" t="s">
        <v>3126</v>
      </c>
      <c r="AS148" s="12" t="s">
        <v>3127</v>
      </c>
      <c r="AT148" s="12" t="s">
        <v>3127</v>
      </c>
      <c r="AU148" s="12">
        <v>47</v>
      </c>
      <c r="AV148" s="12" t="s">
        <v>83</v>
      </c>
      <c r="AW148" s="12">
        <v>8</v>
      </c>
      <c r="AX148" s="12">
        <v>65</v>
      </c>
      <c r="AY148" s="14">
        <v>45914</v>
      </c>
      <c r="AZ148" s="14">
        <v>45960</v>
      </c>
      <c r="BA148" s="12" t="e">
        <v>#N/A</v>
      </c>
      <c r="BB148" s="14" t="s">
        <v>2480</v>
      </c>
      <c r="BC148" s="14">
        <v>45974</v>
      </c>
      <c r="BD148" s="16">
        <v>2025</v>
      </c>
      <c r="BE148" s="16">
        <v>11</v>
      </c>
      <c r="BF148" s="16">
        <v>46</v>
      </c>
      <c r="BG148" s="191">
        <v>36</v>
      </c>
      <c r="BH148" s="191">
        <v>864</v>
      </c>
    </row>
    <row r="149" spans="1:60" s="23" customFormat="1" ht="10">
      <c r="A149" s="11" t="s">
        <v>3128</v>
      </c>
      <c r="B149" s="12" t="s">
        <v>111</v>
      </c>
      <c r="C149" s="12" t="s">
        <v>3005</v>
      </c>
      <c r="D149" s="12" t="s">
        <v>63</v>
      </c>
      <c r="E149" s="12" t="s">
        <v>68</v>
      </c>
      <c r="F149" s="12" t="s">
        <v>68</v>
      </c>
      <c r="G149" s="12"/>
      <c r="H149" s="12" t="s">
        <v>66</v>
      </c>
      <c r="I149" s="12" t="s">
        <v>3129</v>
      </c>
      <c r="J149" s="34" t="s">
        <v>68</v>
      </c>
      <c r="K149" s="12">
        <v>19142971</v>
      </c>
      <c r="L149" s="13" t="s">
        <v>2497</v>
      </c>
      <c r="M149" s="12" t="s">
        <v>68</v>
      </c>
      <c r="N149" s="182"/>
      <c r="O149" s="12" t="s">
        <v>2475</v>
      </c>
      <c r="P149" s="12" t="s">
        <v>132</v>
      </c>
      <c r="Q149" s="12" t="s">
        <v>453</v>
      </c>
      <c r="R149" s="12">
        <v>554541</v>
      </c>
      <c r="S149" s="12" t="s">
        <v>454</v>
      </c>
      <c r="T149" s="206">
        <v>460</v>
      </c>
      <c r="U149" s="206">
        <v>4320</v>
      </c>
      <c r="V149" s="12">
        <v>1.9872000000000001</v>
      </c>
      <c r="W149" s="198">
        <v>120</v>
      </c>
      <c r="X149" s="254">
        <v>5</v>
      </c>
      <c r="Y149" s="12" t="s">
        <v>75</v>
      </c>
      <c r="Z149" s="12"/>
      <c r="AA149" s="12" t="s">
        <v>108</v>
      </c>
      <c r="AB149" s="32" t="s">
        <v>967</v>
      </c>
      <c r="AC149" s="14">
        <v>45899</v>
      </c>
      <c r="AD149" s="15">
        <v>35</v>
      </c>
      <c r="AE149" s="176" t="s">
        <v>3130</v>
      </c>
      <c r="AF149" s="12">
        <v>371008856</v>
      </c>
      <c r="AG149" s="12" t="s">
        <v>122</v>
      </c>
      <c r="AH149" s="12" t="s">
        <v>1561</v>
      </c>
      <c r="AI149" s="14">
        <v>45914</v>
      </c>
      <c r="AJ149" s="14">
        <v>45914</v>
      </c>
      <c r="AK149" s="14">
        <v>45914</v>
      </c>
      <c r="AL149" s="14">
        <v>45964</v>
      </c>
      <c r="AM149" s="14"/>
      <c r="AN149" s="14">
        <v>45964</v>
      </c>
      <c r="AO149" s="91" t="s">
        <v>66</v>
      </c>
      <c r="AP149" s="12" t="s">
        <v>3125</v>
      </c>
      <c r="AQ149" s="12"/>
      <c r="AR149" s="12" t="s">
        <v>3131</v>
      </c>
      <c r="AS149" s="12" t="s">
        <v>3132</v>
      </c>
      <c r="AT149" s="12" t="s">
        <v>3132</v>
      </c>
      <c r="AU149" s="12">
        <v>51</v>
      </c>
      <c r="AV149" s="12" t="s">
        <v>83</v>
      </c>
      <c r="AW149" s="12">
        <v>5</v>
      </c>
      <c r="AX149" s="12">
        <v>65</v>
      </c>
      <c r="AY149" s="14">
        <v>45914</v>
      </c>
      <c r="AZ149" s="14">
        <v>45964</v>
      </c>
      <c r="BA149" s="12" t="e">
        <v>#N/A</v>
      </c>
      <c r="BB149" s="14" t="s">
        <v>2480</v>
      </c>
      <c r="BC149" s="14">
        <v>45978</v>
      </c>
      <c r="BD149" s="16">
        <v>2025</v>
      </c>
      <c r="BE149" s="16">
        <v>11</v>
      </c>
      <c r="BF149" s="16">
        <v>47</v>
      </c>
      <c r="BG149" s="191">
        <v>36</v>
      </c>
      <c r="BH149" s="191">
        <v>864</v>
      </c>
    </row>
    <row r="150" spans="1:60" s="175" customFormat="1" ht="10">
      <c r="A150" s="172" t="s">
        <v>3133</v>
      </c>
      <c r="B150" s="41" t="s">
        <v>61</v>
      </c>
      <c r="C150" s="41" t="s">
        <v>769</v>
      </c>
      <c r="D150" s="41" t="s">
        <v>63</v>
      </c>
      <c r="E150" s="12" t="s">
        <v>68</v>
      </c>
      <c r="F150" s="12" t="s">
        <v>68</v>
      </c>
      <c r="G150" s="41"/>
      <c r="H150" s="41" t="s">
        <v>156</v>
      </c>
      <c r="I150" s="41" t="s">
        <v>157</v>
      </c>
      <c r="J150" s="173" t="s">
        <v>68</v>
      </c>
      <c r="K150" s="41">
        <v>46010823</v>
      </c>
      <c r="L150" s="13" t="s">
        <v>2489</v>
      </c>
      <c r="M150" s="41" t="s">
        <v>68</v>
      </c>
      <c r="N150" s="184"/>
      <c r="O150" s="41" t="s">
        <v>2475</v>
      </c>
      <c r="P150" s="41" t="s">
        <v>70</v>
      </c>
      <c r="Q150" s="41" t="s">
        <v>195</v>
      </c>
      <c r="R150" s="41">
        <v>554473</v>
      </c>
      <c r="S150" s="41" t="s">
        <v>196</v>
      </c>
      <c r="T150" s="208">
        <v>450</v>
      </c>
      <c r="U150" s="208">
        <v>2808</v>
      </c>
      <c r="V150" s="41">
        <v>1.2636000000000001</v>
      </c>
      <c r="W150" s="201">
        <v>78</v>
      </c>
      <c r="X150" s="255">
        <v>3</v>
      </c>
      <c r="Y150" s="41" t="s">
        <v>75</v>
      </c>
      <c r="Z150" s="41"/>
      <c r="AA150" s="12" t="s">
        <v>2658</v>
      </c>
      <c r="AB150" s="13" t="s">
        <v>967</v>
      </c>
      <c r="AC150" s="37">
        <v>45900</v>
      </c>
      <c r="AD150" s="174">
        <v>35</v>
      </c>
      <c r="AE150" s="287" t="s">
        <v>3134</v>
      </c>
      <c r="AF150" s="41">
        <v>371008857</v>
      </c>
      <c r="AG150" s="41" t="s">
        <v>77</v>
      </c>
      <c r="AH150" s="41" t="s">
        <v>159</v>
      </c>
      <c r="AI150" s="37">
        <v>45906</v>
      </c>
      <c r="AJ150" s="37">
        <v>45906</v>
      </c>
      <c r="AK150" s="37">
        <v>45906</v>
      </c>
      <c r="AL150" s="37">
        <v>45963</v>
      </c>
      <c r="AM150" s="37"/>
      <c r="AN150" s="37">
        <v>45963</v>
      </c>
      <c r="AO150" s="86" t="s">
        <v>156</v>
      </c>
      <c r="AP150" s="41" t="s">
        <v>3135</v>
      </c>
      <c r="AQ150" s="41"/>
      <c r="AR150" s="41" t="s">
        <v>3136</v>
      </c>
      <c r="AS150" s="41">
        <v>1068960628</v>
      </c>
      <c r="AT150" s="41">
        <v>258514211</v>
      </c>
      <c r="AU150" s="41">
        <v>58</v>
      </c>
      <c r="AV150" s="41" t="s">
        <v>83</v>
      </c>
      <c r="AW150" s="12">
        <v>7</v>
      </c>
      <c r="AX150" s="41">
        <v>63</v>
      </c>
      <c r="AY150" s="37">
        <v>45906</v>
      </c>
      <c r="AZ150" s="37">
        <v>45963</v>
      </c>
      <c r="BA150" s="41" t="e">
        <v>#N/A</v>
      </c>
      <c r="BB150" s="37" t="s">
        <v>2480</v>
      </c>
      <c r="BC150" s="37">
        <v>45977</v>
      </c>
      <c r="BD150" s="219">
        <v>2025</v>
      </c>
      <c r="BE150" s="219">
        <v>11</v>
      </c>
      <c r="BF150" s="219">
        <v>46</v>
      </c>
      <c r="BG150" s="219">
        <v>36</v>
      </c>
      <c r="BH150" s="219">
        <v>936</v>
      </c>
    </row>
    <row r="151" spans="1:60" s="175" customFormat="1" ht="10">
      <c r="A151" s="172" t="s">
        <v>3137</v>
      </c>
      <c r="B151" s="41" t="s">
        <v>61</v>
      </c>
      <c r="C151" s="41" t="s">
        <v>769</v>
      </c>
      <c r="D151" s="41" t="s">
        <v>63</v>
      </c>
      <c r="E151" s="41" t="s">
        <v>64</v>
      </c>
      <c r="F151" s="41" t="s">
        <v>100</v>
      </c>
      <c r="G151" s="12" t="s">
        <v>67</v>
      </c>
      <c r="H151" s="41" t="s">
        <v>66</v>
      </c>
      <c r="I151" s="41" t="s">
        <v>3053</v>
      </c>
      <c r="J151" s="173" t="s">
        <v>68</v>
      </c>
      <c r="K151" s="41">
        <v>39011434</v>
      </c>
      <c r="L151" s="13" t="s">
        <v>2719</v>
      </c>
      <c r="M151" s="225" t="s">
        <v>68</v>
      </c>
      <c r="N151" s="184"/>
      <c r="O151" s="41" t="s">
        <v>2475</v>
      </c>
      <c r="P151" s="41" t="s">
        <v>70</v>
      </c>
      <c r="Q151" s="41" t="s">
        <v>195</v>
      </c>
      <c r="R151" s="41">
        <v>554473</v>
      </c>
      <c r="S151" s="41" t="s">
        <v>196</v>
      </c>
      <c r="T151" s="208">
        <v>450</v>
      </c>
      <c r="U151" s="208">
        <v>1872</v>
      </c>
      <c r="V151" s="41">
        <v>0.84240000000000004</v>
      </c>
      <c r="W151" s="201">
        <v>52</v>
      </c>
      <c r="X151" s="255">
        <v>2</v>
      </c>
      <c r="Y151" s="41" t="s">
        <v>75</v>
      </c>
      <c r="Z151" s="41"/>
      <c r="AA151" s="12" t="s">
        <v>2658</v>
      </c>
      <c r="AB151" s="13" t="s">
        <v>967</v>
      </c>
      <c r="AC151" s="37">
        <v>45900</v>
      </c>
      <c r="AD151" s="174">
        <v>35</v>
      </c>
      <c r="AE151" s="287" t="s">
        <v>3138</v>
      </c>
      <c r="AF151" s="41">
        <v>371008879</v>
      </c>
      <c r="AG151" s="41" t="s">
        <v>77</v>
      </c>
      <c r="AH151" s="41" t="s">
        <v>105</v>
      </c>
      <c r="AI151" s="37">
        <v>45906</v>
      </c>
      <c r="AJ151" s="37">
        <v>45906</v>
      </c>
      <c r="AK151" s="37">
        <v>45906</v>
      </c>
      <c r="AL151" s="37">
        <v>45968</v>
      </c>
      <c r="AM151" s="37"/>
      <c r="AN151" s="37">
        <v>45968</v>
      </c>
      <c r="AO151" s="86" t="s">
        <v>66</v>
      </c>
      <c r="AP151" s="41" t="s">
        <v>3139</v>
      </c>
      <c r="AQ151" s="41"/>
      <c r="AR151" s="41" t="s">
        <v>3140</v>
      </c>
      <c r="AS151" s="41" t="s">
        <v>3141</v>
      </c>
      <c r="AT151" s="41" t="s">
        <v>3141</v>
      </c>
      <c r="AU151" s="41">
        <v>63</v>
      </c>
      <c r="AV151" s="41" t="s">
        <v>83</v>
      </c>
      <c r="AW151" s="12">
        <v>7</v>
      </c>
      <c r="AX151" s="41">
        <v>68</v>
      </c>
      <c r="AY151" s="37">
        <v>45906</v>
      </c>
      <c r="AZ151" s="37">
        <v>45968</v>
      </c>
      <c r="BA151" s="41" t="e">
        <v>#N/A</v>
      </c>
      <c r="BB151" s="37" t="s">
        <v>2480</v>
      </c>
      <c r="BC151" s="37">
        <v>45982</v>
      </c>
      <c r="BD151" s="219">
        <v>2025</v>
      </c>
      <c r="BE151" s="219">
        <v>11</v>
      </c>
      <c r="BF151" s="219">
        <v>47</v>
      </c>
      <c r="BG151" s="219">
        <v>36</v>
      </c>
      <c r="BH151" s="219">
        <v>936</v>
      </c>
    </row>
    <row r="152" spans="1:60" s="23" customFormat="1" ht="10">
      <c r="A152" s="11" t="s">
        <v>3142</v>
      </c>
      <c r="B152" s="12" t="s">
        <v>111</v>
      </c>
      <c r="C152" s="12" t="s">
        <v>2609</v>
      </c>
      <c r="D152" s="12" t="s">
        <v>63</v>
      </c>
      <c r="E152" s="12" t="s">
        <v>68</v>
      </c>
      <c r="F152" s="12" t="s">
        <v>68</v>
      </c>
      <c r="G152" s="12"/>
      <c r="H152" s="12" t="s">
        <v>146</v>
      </c>
      <c r="I152" s="12" t="s">
        <v>3143</v>
      </c>
      <c r="J152" s="34" t="s">
        <v>68</v>
      </c>
      <c r="K152" s="12">
        <v>46010759</v>
      </c>
      <c r="L152" s="13" t="s">
        <v>2719</v>
      </c>
      <c r="M152" s="12" t="s">
        <v>68</v>
      </c>
      <c r="N152" s="182"/>
      <c r="O152" s="12" t="s">
        <v>2475</v>
      </c>
      <c r="P152" s="12" t="s">
        <v>2610</v>
      </c>
      <c r="Q152" s="12" t="s">
        <v>2611</v>
      </c>
      <c r="R152" s="12">
        <v>553098</v>
      </c>
      <c r="S152" s="12" t="s">
        <v>2612</v>
      </c>
      <c r="T152" s="206">
        <v>550</v>
      </c>
      <c r="U152" s="206">
        <v>660</v>
      </c>
      <c r="V152" s="12">
        <v>0.36299999999999999</v>
      </c>
      <c r="W152" s="198">
        <v>20</v>
      </c>
      <c r="X152" s="254">
        <v>1</v>
      </c>
      <c r="Y152" s="12" t="s">
        <v>75</v>
      </c>
      <c r="Z152" s="12"/>
      <c r="AA152" s="12" t="s">
        <v>108</v>
      </c>
      <c r="AB152" s="13" t="s">
        <v>992</v>
      </c>
      <c r="AC152" s="14">
        <v>45895</v>
      </c>
      <c r="AD152" s="15">
        <v>35</v>
      </c>
      <c r="AE152" s="176" t="s">
        <v>3144</v>
      </c>
      <c r="AF152" s="12">
        <v>371008840</v>
      </c>
      <c r="AG152" s="12" t="s">
        <v>122</v>
      </c>
      <c r="AH152" s="12" t="s">
        <v>105</v>
      </c>
      <c r="AI152" s="14">
        <v>45903</v>
      </c>
      <c r="AJ152" s="14">
        <v>45903</v>
      </c>
      <c r="AK152" s="14">
        <v>45903</v>
      </c>
      <c r="AL152" s="14">
        <v>45965</v>
      </c>
      <c r="AM152" s="14"/>
      <c r="AN152" s="14">
        <v>45965</v>
      </c>
      <c r="AO152" s="91" t="s">
        <v>146</v>
      </c>
      <c r="AP152" s="12" t="s">
        <v>3045</v>
      </c>
      <c r="AQ152" s="12"/>
      <c r="AR152" s="12">
        <v>46010759</v>
      </c>
      <c r="AS152" s="12" t="s">
        <v>3145</v>
      </c>
      <c r="AT152" s="12" t="s">
        <v>3145</v>
      </c>
      <c r="AU152" s="12">
        <v>63</v>
      </c>
      <c r="AV152" s="12" t="s">
        <v>3146</v>
      </c>
      <c r="AW152" s="12">
        <v>6</v>
      </c>
      <c r="AX152" s="12">
        <v>70</v>
      </c>
      <c r="AY152" s="14">
        <v>45903</v>
      </c>
      <c r="AZ152" s="14">
        <v>45965</v>
      </c>
      <c r="BA152" s="12" t="e">
        <v>#N/A</v>
      </c>
      <c r="BB152" s="14" t="s">
        <v>2480</v>
      </c>
      <c r="BC152" s="14">
        <v>45979</v>
      </c>
      <c r="BD152" s="16">
        <v>2025</v>
      </c>
      <c r="BE152" s="16">
        <v>11</v>
      </c>
      <c r="BF152" s="16">
        <v>47</v>
      </c>
      <c r="BG152" s="191">
        <v>33</v>
      </c>
      <c r="BH152" s="191">
        <v>660</v>
      </c>
    </row>
    <row r="153" spans="1:60" s="23" customFormat="1" ht="10">
      <c r="A153" s="11" t="s">
        <v>3147</v>
      </c>
      <c r="B153" s="12" t="s">
        <v>111</v>
      </c>
      <c r="C153" s="12" t="s">
        <v>3148</v>
      </c>
      <c r="D153" s="12" t="s">
        <v>63</v>
      </c>
      <c r="E153" s="12" t="s">
        <v>64</v>
      </c>
      <c r="F153" s="12" t="s">
        <v>100</v>
      </c>
      <c r="G153" s="12" t="s">
        <v>67</v>
      </c>
      <c r="H153" s="12" t="s">
        <v>66</v>
      </c>
      <c r="I153" s="12" t="s">
        <v>96</v>
      </c>
      <c r="J153" s="34" t="s">
        <v>68</v>
      </c>
      <c r="K153" s="12"/>
      <c r="L153" s="13" t="s">
        <v>2474</v>
      </c>
      <c r="M153" s="213" t="s">
        <v>68</v>
      </c>
      <c r="N153" s="182"/>
      <c r="O153" s="12" t="s">
        <v>2475</v>
      </c>
      <c r="P153" s="12" t="s">
        <v>170</v>
      </c>
      <c r="Q153" s="12" t="s">
        <v>171</v>
      </c>
      <c r="R153" s="12">
        <v>552045</v>
      </c>
      <c r="S153" s="12" t="s">
        <v>172</v>
      </c>
      <c r="T153" s="206">
        <v>555</v>
      </c>
      <c r="U153" s="206">
        <v>1980</v>
      </c>
      <c r="V153" s="12">
        <v>1.0989</v>
      </c>
      <c r="W153" s="198">
        <v>60</v>
      </c>
      <c r="X153" s="254">
        <v>3</v>
      </c>
      <c r="Y153" s="12" t="s">
        <v>75</v>
      </c>
      <c r="Z153" s="12"/>
      <c r="AA153" s="12" t="s">
        <v>108</v>
      </c>
      <c r="AB153" s="13" t="s">
        <v>992</v>
      </c>
      <c r="AC153" s="14">
        <v>45900</v>
      </c>
      <c r="AD153" s="15">
        <v>35</v>
      </c>
      <c r="AE153" s="176" t="s">
        <v>3149</v>
      </c>
      <c r="AF153" s="12">
        <v>371008872</v>
      </c>
      <c r="AG153" s="12" t="s">
        <v>122</v>
      </c>
      <c r="AH153" s="12" t="s">
        <v>105</v>
      </c>
      <c r="AI153" s="14">
        <v>45909</v>
      </c>
      <c r="AJ153" s="14">
        <v>45909</v>
      </c>
      <c r="AK153" s="14">
        <v>45907</v>
      </c>
      <c r="AL153" s="14">
        <v>45980</v>
      </c>
      <c r="AM153" s="14"/>
      <c r="AN153" s="14">
        <v>45962</v>
      </c>
      <c r="AO153" s="91" t="s">
        <v>66</v>
      </c>
      <c r="AP153" s="12" t="s">
        <v>3150</v>
      </c>
      <c r="AQ153" s="12"/>
      <c r="AR153" s="12" t="s">
        <v>3151</v>
      </c>
      <c r="AS153" s="12" t="s">
        <v>3152</v>
      </c>
      <c r="AT153" s="12" t="s">
        <v>3152</v>
      </c>
      <c r="AU153" s="12">
        <v>72</v>
      </c>
      <c r="AV153" s="12" t="s">
        <v>83</v>
      </c>
      <c r="AW153" s="12">
        <v>9</v>
      </c>
      <c r="AX153" s="12">
        <v>62</v>
      </c>
      <c r="AY153" s="14">
        <v>45907</v>
      </c>
      <c r="AZ153" s="14">
        <v>45962</v>
      </c>
      <c r="BA153" s="12" t="e">
        <v>#N/A</v>
      </c>
      <c r="BB153" s="14" t="s">
        <v>2480</v>
      </c>
      <c r="BC153" s="14">
        <v>45976</v>
      </c>
      <c r="BD153" s="16">
        <v>2025</v>
      </c>
      <c r="BE153" s="16">
        <v>11</v>
      </c>
      <c r="BF153" s="16">
        <v>46</v>
      </c>
      <c r="BG153" s="191">
        <v>33</v>
      </c>
      <c r="BH153" s="191">
        <v>660</v>
      </c>
    </row>
    <row r="154" spans="1:60" s="175" customFormat="1" ht="10">
      <c r="A154" s="172" t="s">
        <v>3153</v>
      </c>
      <c r="B154" s="41" t="s">
        <v>61</v>
      </c>
      <c r="C154" s="41" t="s">
        <v>769</v>
      </c>
      <c r="D154" s="41" t="s">
        <v>63</v>
      </c>
      <c r="E154" s="41" t="s">
        <v>64</v>
      </c>
      <c r="F154" s="41" t="s">
        <v>65</v>
      </c>
      <c r="G154" s="12" t="s">
        <v>67</v>
      </c>
      <c r="H154" s="41" t="s">
        <v>66</v>
      </c>
      <c r="I154" s="41" t="s">
        <v>96</v>
      </c>
      <c r="J154" s="173" t="s">
        <v>68</v>
      </c>
      <c r="K154" s="41"/>
      <c r="L154" s="13" t="s">
        <v>2474</v>
      </c>
      <c r="M154" s="225" t="s">
        <v>68</v>
      </c>
      <c r="N154" s="184"/>
      <c r="O154" s="41" t="s">
        <v>2475</v>
      </c>
      <c r="P154" s="41" t="s">
        <v>70</v>
      </c>
      <c r="Q154" s="41" t="s">
        <v>195</v>
      </c>
      <c r="R154" s="41">
        <v>554473</v>
      </c>
      <c r="S154" s="41" t="s">
        <v>196</v>
      </c>
      <c r="T154" s="208">
        <v>450</v>
      </c>
      <c r="U154" s="208">
        <v>72</v>
      </c>
      <c r="V154" s="41">
        <v>3.2399999999999998E-2</v>
      </c>
      <c r="W154" s="201">
        <v>2</v>
      </c>
      <c r="X154" s="261">
        <v>7.6923076923076927E-2</v>
      </c>
      <c r="Y154" s="41" t="s">
        <v>75</v>
      </c>
      <c r="Z154" s="41"/>
      <c r="AA154" s="12" t="s">
        <v>2658</v>
      </c>
      <c r="AB154" s="13" t="s">
        <v>967</v>
      </c>
      <c r="AC154" s="37">
        <v>45900</v>
      </c>
      <c r="AD154" s="174">
        <v>35</v>
      </c>
      <c r="AE154" s="287" t="s">
        <v>3154</v>
      </c>
      <c r="AF154" s="41">
        <v>371008880</v>
      </c>
      <c r="AG154" s="41" t="s">
        <v>77</v>
      </c>
      <c r="AH154" s="41" t="s">
        <v>78</v>
      </c>
      <c r="AI154" s="37">
        <v>45906</v>
      </c>
      <c r="AJ154" s="37">
        <v>45906</v>
      </c>
      <c r="AK154" s="37">
        <v>45906</v>
      </c>
      <c r="AL154" s="37">
        <v>45984</v>
      </c>
      <c r="AM154" s="37"/>
      <c r="AN154" s="37">
        <v>45985</v>
      </c>
      <c r="AO154" s="86" t="s">
        <v>66</v>
      </c>
      <c r="AP154" s="41" t="s">
        <v>3139</v>
      </c>
      <c r="AQ154" s="41"/>
      <c r="AR154" s="41" t="s">
        <v>3155</v>
      </c>
      <c r="AS154" s="41" t="s">
        <v>3156</v>
      </c>
      <c r="AT154" s="41" t="s">
        <v>3156</v>
      </c>
      <c r="AU154" s="41">
        <v>79</v>
      </c>
      <c r="AV154" s="41" t="s">
        <v>83</v>
      </c>
      <c r="AW154" s="12">
        <v>7</v>
      </c>
      <c r="AX154" s="41">
        <v>85</v>
      </c>
      <c r="AY154" s="37">
        <v>45906</v>
      </c>
      <c r="AZ154" s="37">
        <v>45985</v>
      </c>
      <c r="BA154" s="41" t="e">
        <v>#N/A</v>
      </c>
      <c r="BB154" s="37" t="s">
        <v>2480</v>
      </c>
      <c r="BC154" s="37">
        <v>45999</v>
      </c>
      <c r="BD154" s="219">
        <v>2025</v>
      </c>
      <c r="BE154" s="219">
        <v>12</v>
      </c>
      <c r="BF154" s="219">
        <v>50</v>
      </c>
      <c r="BG154" s="219">
        <v>36</v>
      </c>
      <c r="BH154" s="219">
        <v>936</v>
      </c>
    </row>
    <row r="155" spans="1:60" s="23" customFormat="1" ht="10">
      <c r="A155" s="11" t="s">
        <v>3157</v>
      </c>
      <c r="B155" s="12" t="s">
        <v>61</v>
      </c>
      <c r="C155" s="12" t="s">
        <v>3158</v>
      </c>
      <c r="D155" s="12" t="s">
        <v>63</v>
      </c>
      <c r="E155" s="12" t="s">
        <v>68</v>
      </c>
      <c r="F155" s="12" t="s">
        <v>68</v>
      </c>
      <c r="G155" s="12"/>
      <c r="H155" s="12" t="s">
        <v>146</v>
      </c>
      <c r="I155" s="12" t="s">
        <v>2665</v>
      </c>
      <c r="J155" s="34" t="s">
        <v>68</v>
      </c>
      <c r="K155" s="12">
        <v>46010813</v>
      </c>
      <c r="L155" s="13" t="s">
        <v>2666</v>
      </c>
      <c r="M155" s="12" t="s">
        <v>68</v>
      </c>
      <c r="N155" s="182"/>
      <c r="O155" s="12" t="s">
        <v>2475</v>
      </c>
      <c r="P155" s="12" t="s">
        <v>70</v>
      </c>
      <c r="Q155" s="12" t="s">
        <v>71</v>
      </c>
      <c r="R155" s="12">
        <v>554475</v>
      </c>
      <c r="S155" s="12" t="s">
        <v>72</v>
      </c>
      <c r="T155" s="206">
        <v>500</v>
      </c>
      <c r="U155" s="206">
        <v>864</v>
      </c>
      <c r="V155" s="12">
        <v>0.432</v>
      </c>
      <c r="W155" s="198">
        <v>24</v>
      </c>
      <c r="X155" s="254">
        <v>1</v>
      </c>
      <c r="Y155" s="12" t="s">
        <v>75</v>
      </c>
      <c r="Z155" s="12"/>
      <c r="AA155" s="12" t="s">
        <v>2658</v>
      </c>
      <c r="AB155" s="13" t="s">
        <v>967</v>
      </c>
      <c r="AC155" s="14">
        <v>45894</v>
      </c>
      <c r="AD155" s="15">
        <v>35</v>
      </c>
      <c r="AE155" s="176" t="s">
        <v>3159</v>
      </c>
      <c r="AF155" s="12">
        <v>371008837</v>
      </c>
      <c r="AG155" s="12" t="s">
        <v>77</v>
      </c>
      <c r="AH155" s="12" t="s">
        <v>356</v>
      </c>
      <c r="AI155" s="14">
        <v>45901</v>
      </c>
      <c r="AJ155" s="14">
        <v>45901</v>
      </c>
      <c r="AK155" s="14">
        <v>45901</v>
      </c>
      <c r="AL155" s="14">
        <v>45961</v>
      </c>
      <c r="AM155" s="14"/>
      <c r="AN155" s="14">
        <v>45961</v>
      </c>
      <c r="AO155" s="91" t="s">
        <v>146</v>
      </c>
      <c r="AP155" s="12" t="s">
        <v>3082</v>
      </c>
      <c r="AQ155" s="12"/>
      <c r="AR155" s="12" t="s">
        <v>3160</v>
      </c>
      <c r="AS155" s="12" t="s">
        <v>3161</v>
      </c>
      <c r="AT155" s="12" t="s">
        <v>3161</v>
      </c>
      <c r="AU155" s="12">
        <v>61</v>
      </c>
      <c r="AV155" s="12" t="s">
        <v>2493</v>
      </c>
      <c r="AW155" s="12">
        <v>10</v>
      </c>
      <c r="AX155" s="12">
        <v>67</v>
      </c>
      <c r="AY155" s="14">
        <v>45901</v>
      </c>
      <c r="AZ155" s="14">
        <v>45961</v>
      </c>
      <c r="BA155" s="12" t="e">
        <v>#N/A</v>
      </c>
      <c r="BB155" s="14" t="s">
        <v>2480</v>
      </c>
      <c r="BC155" s="14">
        <v>45975</v>
      </c>
      <c r="BD155" s="16">
        <v>2025</v>
      </c>
      <c r="BE155" s="16">
        <v>11</v>
      </c>
      <c r="BF155" s="16">
        <v>46</v>
      </c>
      <c r="BG155" s="191">
        <v>36</v>
      </c>
      <c r="BH155" s="191">
        <v>864</v>
      </c>
    </row>
    <row r="156" spans="1:60" s="23" customFormat="1" ht="10">
      <c r="A156" s="11" t="s">
        <v>3162</v>
      </c>
      <c r="B156" s="12" t="s">
        <v>61</v>
      </c>
      <c r="C156" s="12" t="s">
        <v>3158</v>
      </c>
      <c r="D156" s="12" t="s">
        <v>63</v>
      </c>
      <c r="E156" s="12" t="s">
        <v>68</v>
      </c>
      <c r="F156" s="12" t="s">
        <v>68</v>
      </c>
      <c r="G156" s="12"/>
      <c r="H156" s="12" t="s">
        <v>146</v>
      </c>
      <c r="I156" s="12" t="s">
        <v>2671</v>
      </c>
      <c r="J156" s="34" t="s">
        <v>68</v>
      </c>
      <c r="K156" s="12" t="s">
        <v>3163</v>
      </c>
      <c r="L156" s="13" t="s">
        <v>2666</v>
      </c>
      <c r="M156" s="12" t="s">
        <v>68</v>
      </c>
      <c r="N156" s="182"/>
      <c r="O156" s="12" t="s">
        <v>2475</v>
      </c>
      <c r="P156" s="12" t="s">
        <v>70</v>
      </c>
      <c r="Q156" s="12" t="s">
        <v>71</v>
      </c>
      <c r="R156" s="12">
        <v>554475</v>
      </c>
      <c r="S156" s="12" t="s">
        <v>72</v>
      </c>
      <c r="T156" s="206">
        <v>500</v>
      </c>
      <c r="U156" s="206">
        <v>1728</v>
      </c>
      <c r="V156" s="12">
        <v>0.86399999999999999</v>
      </c>
      <c r="W156" s="198">
        <v>48</v>
      </c>
      <c r="X156" s="254">
        <v>2</v>
      </c>
      <c r="Y156" s="12" t="s">
        <v>75</v>
      </c>
      <c r="Z156" s="12"/>
      <c r="AA156" s="12" t="s">
        <v>2658</v>
      </c>
      <c r="AB156" s="13" t="s">
        <v>967</v>
      </c>
      <c r="AC156" s="14">
        <v>45895</v>
      </c>
      <c r="AD156" s="15">
        <v>35</v>
      </c>
      <c r="AE156" s="176" t="s">
        <v>3164</v>
      </c>
      <c r="AF156" s="12">
        <v>371008858</v>
      </c>
      <c r="AG156" s="12" t="s">
        <v>77</v>
      </c>
      <c r="AH156" s="12" t="s">
        <v>78</v>
      </c>
      <c r="AI156" s="14">
        <v>45901</v>
      </c>
      <c r="AJ156" s="14">
        <v>45901</v>
      </c>
      <c r="AK156" s="14">
        <v>45901</v>
      </c>
      <c r="AL156" s="14">
        <v>45984</v>
      </c>
      <c r="AM156" s="14"/>
      <c r="AN156" s="14">
        <v>45985</v>
      </c>
      <c r="AO156" s="91" t="s">
        <v>146</v>
      </c>
      <c r="AP156" s="12" t="s">
        <v>3082</v>
      </c>
      <c r="AQ156" s="12"/>
      <c r="AR156" s="12" t="s">
        <v>3165</v>
      </c>
      <c r="AS156" s="12" t="s">
        <v>3166</v>
      </c>
      <c r="AT156" s="12" t="s">
        <v>3166</v>
      </c>
      <c r="AU156" s="12">
        <v>84</v>
      </c>
      <c r="AV156" s="12" t="s">
        <v>83</v>
      </c>
      <c r="AW156" s="12">
        <v>10</v>
      </c>
      <c r="AX156" s="12">
        <v>90</v>
      </c>
      <c r="AY156" s="14">
        <v>45901</v>
      </c>
      <c r="AZ156" s="14">
        <v>45985</v>
      </c>
      <c r="BA156" s="12" t="e">
        <v>#N/A</v>
      </c>
      <c r="BB156" s="14" t="s">
        <v>2480</v>
      </c>
      <c r="BC156" s="14">
        <v>45999</v>
      </c>
      <c r="BD156" s="16">
        <v>2025</v>
      </c>
      <c r="BE156" s="16">
        <v>12</v>
      </c>
      <c r="BF156" s="16">
        <v>50</v>
      </c>
      <c r="BG156" s="191">
        <v>36</v>
      </c>
      <c r="BH156" s="191">
        <v>864</v>
      </c>
    </row>
    <row r="157" spans="1:60" s="23" customFormat="1" ht="10">
      <c r="A157" s="11" t="s">
        <v>3167</v>
      </c>
      <c r="B157" s="12" t="s">
        <v>61</v>
      </c>
      <c r="C157" s="12" t="s">
        <v>3158</v>
      </c>
      <c r="D157" s="12" t="s">
        <v>63</v>
      </c>
      <c r="E157" s="12" t="s">
        <v>68</v>
      </c>
      <c r="F157" s="12" t="s">
        <v>68</v>
      </c>
      <c r="G157" s="12"/>
      <c r="H157" s="12" t="s">
        <v>146</v>
      </c>
      <c r="I157" s="12" t="s">
        <v>147</v>
      </c>
      <c r="J157" s="34" t="s">
        <v>68</v>
      </c>
      <c r="K157" s="12">
        <v>46010817</v>
      </c>
      <c r="L157" s="13" t="s">
        <v>2666</v>
      </c>
      <c r="M157" s="12" t="s">
        <v>68</v>
      </c>
      <c r="N157" s="182"/>
      <c r="O157" s="12" t="s">
        <v>2475</v>
      </c>
      <c r="P157" s="12" t="s">
        <v>70</v>
      </c>
      <c r="Q157" s="12" t="s">
        <v>71</v>
      </c>
      <c r="R157" s="12">
        <v>554475</v>
      </c>
      <c r="S157" s="12" t="s">
        <v>72</v>
      </c>
      <c r="T157" s="206">
        <v>500</v>
      </c>
      <c r="U157" s="206">
        <v>864</v>
      </c>
      <c r="V157" s="12">
        <v>0.432</v>
      </c>
      <c r="W157" s="198">
        <v>24</v>
      </c>
      <c r="X157" s="254">
        <v>1</v>
      </c>
      <c r="Y157" s="12" t="s">
        <v>75</v>
      </c>
      <c r="Z157" s="12"/>
      <c r="AA157" s="12" t="s">
        <v>2658</v>
      </c>
      <c r="AB157" s="13" t="s">
        <v>967</v>
      </c>
      <c r="AC157" s="14">
        <v>45900</v>
      </c>
      <c r="AD157" s="15">
        <v>35</v>
      </c>
      <c r="AE157" s="176" t="s">
        <v>3168</v>
      </c>
      <c r="AF157" s="12">
        <v>371008881</v>
      </c>
      <c r="AG157" s="12" t="s">
        <v>77</v>
      </c>
      <c r="AH157" s="12" t="s">
        <v>78</v>
      </c>
      <c r="AI157" s="14">
        <v>45906</v>
      </c>
      <c r="AJ157" s="14">
        <v>45906</v>
      </c>
      <c r="AK157" s="14">
        <v>45906</v>
      </c>
      <c r="AL157" s="14">
        <v>45984</v>
      </c>
      <c r="AM157" s="14"/>
      <c r="AN157" s="14">
        <v>45985</v>
      </c>
      <c r="AO157" s="91" t="s">
        <v>146</v>
      </c>
      <c r="AP157" s="12" t="s">
        <v>3139</v>
      </c>
      <c r="AQ157" s="12"/>
      <c r="AR157" s="12">
        <v>46010817</v>
      </c>
      <c r="AS157" s="12" t="s">
        <v>3169</v>
      </c>
      <c r="AT157" s="12" t="s">
        <v>3169</v>
      </c>
      <c r="AU157" s="12">
        <v>79</v>
      </c>
      <c r="AV157" s="12" t="s">
        <v>2493</v>
      </c>
      <c r="AW157" s="12">
        <v>10</v>
      </c>
      <c r="AX157" s="12">
        <v>85</v>
      </c>
      <c r="AY157" s="14">
        <v>45906</v>
      </c>
      <c r="AZ157" s="14">
        <v>45985</v>
      </c>
      <c r="BA157" s="12" t="e">
        <v>#N/A</v>
      </c>
      <c r="BB157" s="14" t="s">
        <v>2480</v>
      </c>
      <c r="BC157" s="14">
        <v>45999</v>
      </c>
      <c r="BD157" s="16">
        <v>2025</v>
      </c>
      <c r="BE157" s="16">
        <v>12</v>
      </c>
      <c r="BF157" s="16">
        <v>50</v>
      </c>
      <c r="BG157" s="191">
        <v>36</v>
      </c>
      <c r="BH157" s="191">
        <v>864</v>
      </c>
    </row>
    <row r="158" spans="1:60" s="23" customFormat="1" ht="10">
      <c r="A158" s="11" t="s">
        <v>3170</v>
      </c>
      <c r="B158" s="12" t="s">
        <v>61</v>
      </c>
      <c r="C158" s="12" t="s">
        <v>3158</v>
      </c>
      <c r="D158" s="12" t="s">
        <v>63</v>
      </c>
      <c r="E158" s="12" t="s">
        <v>64</v>
      </c>
      <c r="F158" s="12" t="s">
        <v>65</v>
      </c>
      <c r="G158" s="12" t="s">
        <v>67</v>
      </c>
      <c r="H158" s="12" t="s">
        <v>66</v>
      </c>
      <c r="I158" s="12" t="s">
        <v>3171</v>
      </c>
      <c r="J158" s="34" t="s">
        <v>68</v>
      </c>
      <c r="K158" s="12">
        <v>46010833</v>
      </c>
      <c r="L158" s="13" t="s">
        <v>2666</v>
      </c>
      <c r="M158" s="213" t="s">
        <v>68</v>
      </c>
      <c r="N158" s="182"/>
      <c r="O158" s="12" t="s">
        <v>2475</v>
      </c>
      <c r="P158" s="12" t="s">
        <v>70</v>
      </c>
      <c r="Q158" s="12" t="s">
        <v>71</v>
      </c>
      <c r="R158" s="12">
        <v>554475</v>
      </c>
      <c r="S158" s="12" t="s">
        <v>72</v>
      </c>
      <c r="T158" s="206">
        <v>500</v>
      </c>
      <c r="U158" s="206">
        <v>1728</v>
      </c>
      <c r="V158" s="12">
        <v>0.86399999999999999</v>
      </c>
      <c r="W158" s="198">
        <v>48</v>
      </c>
      <c r="X158" s="254">
        <v>2</v>
      </c>
      <c r="Y158" s="12" t="s">
        <v>75</v>
      </c>
      <c r="Z158" s="12"/>
      <c r="AA158" s="12" t="s">
        <v>2658</v>
      </c>
      <c r="AB158" s="13" t="s">
        <v>967</v>
      </c>
      <c r="AC158" s="14">
        <v>45900</v>
      </c>
      <c r="AD158" s="15">
        <v>35</v>
      </c>
      <c r="AE158" s="176" t="s">
        <v>3172</v>
      </c>
      <c r="AF158" s="12">
        <v>371008882</v>
      </c>
      <c r="AG158" s="12" t="s">
        <v>77</v>
      </c>
      <c r="AH158" s="12" t="s">
        <v>78</v>
      </c>
      <c r="AI158" s="14">
        <v>45906</v>
      </c>
      <c r="AJ158" s="14">
        <v>45906</v>
      </c>
      <c r="AK158" s="14">
        <v>45906</v>
      </c>
      <c r="AL158" s="14">
        <v>45984</v>
      </c>
      <c r="AM158" s="14"/>
      <c r="AN158" s="14">
        <v>45985</v>
      </c>
      <c r="AO158" s="91" t="s">
        <v>66</v>
      </c>
      <c r="AP158" s="12" t="s">
        <v>3139</v>
      </c>
      <c r="AQ158" s="12"/>
      <c r="AR158" s="12" t="s">
        <v>3155</v>
      </c>
      <c r="AS158" s="12" t="s">
        <v>3156</v>
      </c>
      <c r="AT158" s="12" t="s">
        <v>3156</v>
      </c>
      <c r="AU158" s="12">
        <v>79</v>
      </c>
      <c r="AV158" s="12" t="s">
        <v>83</v>
      </c>
      <c r="AW158" s="12">
        <v>10</v>
      </c>
      <c r="AX158" s="12">
        <v>85</v>
      </c>
      <c r="AY158" s="14">
        <v>45906</v>
      </c>
      <c r="AZ158" s="14">
        <v>45985</v>
      </c>
      <c r="BA158" s="12" t="e">
        <v>#N/A</v>
      </c>
      <c r="BB158" s="14" t="s">
        <v>2480</v>
      </c>
      <c r="BC158" s="14">
        <v>45999</v>
      </c>
      <c r="BD158" s="16">
        <v>2025</v>
      </c>
      <c r="BE158" s="16">
        <v>12</v>
      </c>
      <c r="BF158" s="16">
        <v>50</v>
      </c>
      <c r="BG158" s="191">
        <v>36</v>
      </c>
      <c r="BH158" s="191">
        <v>864</v>
      </c>
    </row>
    <row r="159" spans="1:60" s="23" customFormat="1" ht="10">
      <c r="A159" s="11" t="s">
        <v>3173</v>
      </c>
      <c r="B159" s="12" t="s">
        <v>61</v>
      </c>
      <c r="C159" s="12" t="s">
        <v>203</v>
      </c>
      <c r="D159" s="12" t="s">
        <v>63</v>
      </c>
      <c r="E159" s="12" t="s">
        <v>68</v>
      </c>
      <c r="F159" s="12" t="s">
        <v>68</v>
      </c>
      <c r="G159" s="12"/>
      <c r="H159" s="12" t="s">
        <v>66</v>
      </c>
      <c r="I159" s="12" t="s">
        <v>2785</v>
      </c>
      <c r="J159" s="34" t="s">
        <v>68</v>
      </c>
      <c r="K159" s="12">
        <v>19143160</v>
      </c>
      <c r="L159" s="13" t="s">
        <v>2497</v>
      </c>
      <c r="M159" s="12" t="s">
        <v>68</v>
      </c>
      <c r="N159" s="182"/>
      <c r="O159" s="12" t="s">
        <v>2475</v>
      </c>
      <c r="P159" s="12" t="s">
        <v>70</v>
      </c>
      <c r="Q159" s="12" t="s">
        <v>885</v>
      </c>
      <c r="R159" s="12">
        <v>554244</v>
      </c>
      <c r="S159" s="12" t="s">
        <v>886</v>
      </c>
      <c r="T159" s="206">
        <v>615</v>
      </c>
      <c r="U159" s="206">
        <v>1440</v>
      </c>
      <c r="V159" s="12">
        <v>0.88560000000000005</v>
      </c>
      <c r="W159" s="198">
        <v>40</v>
      </c>
      <c r="X159" s="254">
        <v>2</v>
      </c>
      <c r="Y159" s="12" t="s">
        <v>75</v>
      </c>
      <c r="Z159" s="12"/>
      <c r="AA159" s="12" t="s">
        <v>108</v>
      </c>
      <c r="AB159" s="32" t="s">
        <v>992</v>
      </c>
      <c r="AC159" s="14">
        <v>45894</v>
      </c>
      <c r="AD159" s="15">
        <v>35</v>
      </c>
      <c r="AE159" s="176" t="s">
        <v>3174</v>
      </c>
      <c r="AF159" s="12">
        <v>371008859</v>
      </c>
      <c r="AG159" s="12" t="s">
        <v>77</v>
      </c>
      <c r="AH159" s="12" t="s">
        <v>314</v>
      </c>
      <c r="AI159" s="14">
        <v>45901</v>
      </c>
      <c r="AJ159" s="14">
        <v>45901</v>
      </c>
      <c r="AK159" s="14">
        <v>45901</v>
      </c>
      <c r="AL159" s="14">
        <v>45979</v>
      </c>
      <c r="AM159" s="14"/>
      <c r="AN159" s="14">
        <v>45980</v>
      </c>
      <c r="AO159" s="91" t="s">
        <v>66</v>
      </c>
      <c r="AP159" s="12" t="s">
        <v>3082</v>
      </c>
      <c r="AQ159" s="12"/>
      <c r="AR159" s="12" t="s">
        <v>3175</v>
      </c>
      <c r="AS159" s="12" t="s">
        <v>3176</v>
      </c>
      <c r="AT159" s="12" t="s">
        <v>3176</v>
      </c>
      <c r="AU159" s="12">
        <v>79</v>
      </c>
      <c r="AV159" s="12" t="s">
        <v>83</v>
      </c>
      <c r="AW159" s="12">
        <v>39</v>
      </c>
      <c r="AX159" s="12">
        <v>86</v>
      </c>
      <c r="AY159" s="14">
        <v>45901</v>
      </c>
      <c r="AZ159" s="14">
        <v>45980</v>
      </c>
      <c r="BA159" s="12" t="e">
        <v>#N/A</v>
      </c>
      <c r="BB159" s="14" t="s">
        <v>2480</v>
      </c>
      <c r="BC159" s="14">
        <v>45994</v>
      </c>
      <c r="BD159" s="16">
        <v>2025</v>
      </c>
      <c r="BE159" s="16">
        <v>12</v>
      </c>
      <c r="BF159" s="16">
        <v>49</v>
      </c>
      <c r="BG159" s="191">
        <v>36</v>
      </c>
      <c r="BH159" s="191">
        <v>720</v>
      </c>
    </row>
    <row r="160" spans="1:60" s="23" customFormat="1" ht="10">
      <c r="A160" s="11" t="s">
        <v>3177</v>
      </c>
      <c r="B160" s="12" t="s">
        <v>61</v>
      </c>
      <c r="C160" s="12" t="s">
        <v>3173</v>
      </c>
      <c r="D160" s="12" t="s">
        <v>63</v>
      </c>
      <c r="E160" s="12" t="s">
        <v>68</v>
      </c>
      <c r="F160" s="12" t="s">
        <v>68</v>
      </c>
      <c r="G160" s="12"/>
      <c r="H160" s="12" t="s">
        <v>66</v>
      </c>
      <c r="I160" s="12" t="s">
        <v>2785</v>
      </c>
      <c r="J160" s="34" t="s">
        <v>68</v>
      </c>
      <c r="K160" s="12">
        <v>19143077</v>
      </c>
      <c r="L160" s="13" t="s">
        <v>2497</v>
      </c>
      <c r="M160" s="12" t="s">
        <v>68</v>
      </c>
      <c r="N160" s="182"/>
      <c r="O160" s="12" t="s">
        <v>2475</v>
      </c>
      <c r="P160" s="12" t="s">
        <v>70</v>
      </c>
      <c r="Q160" s="12" t="s">
        <v>885</v>
      </c>
      <c r="R160" s="12">
        <v>554244</v>
      </c>
      <c r="S160" s="12" t="s">
        <v>886</v>
      </c>
      <c r="T160" s="206">
        <v>615</v>
      </c>
      <c r="U160" s="206">
        <v>720</v>
      </c>
      <c r="V160" s="12">
        <v>0.44280000000000003</v>
      </c>
      <c r="W160" s="198">
        <v>20</v>
      </c>
      <c r="X160" s="254">
        <v>1</v>
      </c>
      <c r="Y160" s="12" t="s">
        <v>75</v>
      </c>
      <c r="Z160" s="12"/>
      <c r="AA160" s="12" t="s">
        <v>108</v>
      </c>
      <c r="AB160" s="32" t="s">
        <v>992</v>
      </c>
      <c r="AC160" s="14">
        <v>45895</v>
      </c>
      <c r="AD160" s="15">
        <v>35</v>
      </c>
      <c r="AE160" s="176" t="s">
        <v>3178</v>
      </c>
      <c r="AF160" s="12">
        <v>371008815</v>
      </c>
      <c r="AG160" s="12" t="s">
        <v>77</v>
      </c>
      <c r="AH160" s="12" t="s">
        <v>314</v>
      </c>
      <c r="AI160" s="14">
        <v>45901</v>
      </c>
      <c r="AJ160" s="14">
        <v>45901</v>
      </c>
      <c r="AK160" s="14">
        <v>45901</v>
      </c>
      <c r="AL160" s="14">
        <v>45979</v>
      </c>
      <c r="AM160" s="14"/>
      <c r="AN160" s="14">
        <v>45979</v>
      </c>
      <c r="AO160" s="91" t="s">
        <v>66</v>
      </c>
      <c r="AP160" s="12" t="s">
        <v>3082</v>
      </c>
      <c r="AQ160" s="12"/>
      <c r="AR160" s="12" t="s">
        <v>3179</v>
      </c>
      <c r="AS160" s="12" t="s">
        <v>3180</v>
      </c>
      <c r="AT160" s="12" t="s">
        <v>3180</v>
      </c>
      <c r="AU160" s="12">
        <v>79</v>
      </c>
      <c r="AV160" s="12" t="s">
        <v>83</v>
      </c>
      <c r="AW160" s="12">
        <v>1</v>
      </c>
      <c r="AX160" s="12">
        <v>84</v>
      </c>
      <c r="AY160" s="14">
        <v>45901</v>
      </c>
      <c r="AZ160" s="14">
        <v>45979</v>
      </c>
      <c r="BA160" s="12" t="e">
        <v>#N/A</v>
      </c>
      <c r="BB160" s="14" t="s">
        <v>2480</v>
      </c>
      <c r="BC160" s="14">
        <v>45993</v>
      </c>
      <c r="BD160" s="16">
        <v>2025</v>
      </c>
      <c r="BE160" s="16">
        <v>12</v>
      </c>
      <c r="BF160" s="16">
        <v>49</v>
      </c>
      <c r="BG160" s="191">
        <v>36</v>
      </c>
      <c r="BH160" s="191">
        <v>720</v>
      </c>
    </row>
    <row r="161" spans="1:60" s="23" customFormat="1" ht="10">
      <c r="A161" s="11" t="s">
        <v>3181</v>
      </c>
      <c r="B161" s="12" t="s">
        <v>61</v>
      </c>
      <c r="C161" s="12" t="s">
        <v>3182</v>
      </c>
      <c r="D161" s="12" t="s">
        <v>63</v>
      </c>
      <c r="E161" s="12" t="s">
        <v>68</v>
      </c>
      <c r="F161" s="12" t="s">
        <v>68</v>
      </c>
      <c r="G161" s="12"/>
      <c r="H161" s="12" t="s">
        <v>66</v>
      </c>
      <c r="I161" s="12" t="s">
        <v>2785</v>
      </c>
      <c r="J161" s="34" t="s">
        <v>68</v>
      </c>
      <c r="K161" s="12">
        <v>19143077</v>
      </c>
      <c r="L161" s="13" t="s">
        <v>2497</v>
      </c>
      <c r="M161" s="12" t="s">
        <v>68</v>
      </c>
      <c r="N161" s="182"/>
      <c r="O161" s="12" t="s">
        <v>2475</v>
      </c>
      <c r="P161" s="12" t="s">
        <v>70</v>
      </c>
      <c r="Q161" s="12" t="s">
        <v>102</v>
      </c>
      <c r="R161" s="12">
        <v>554245</v>
      </c>
      <c r="S161" s="12" t="s">
        <v>103</v>
      </c>
      <c r="T161" s="206">
        <v>620</v>
      </c>
      <c r="U161" s="206">
        <v>720</v>
      </c>
      <c r="V161" s="12">
        <v>0.44640000000000002</v>
      </c>
      <c r="W161" s="198">
        <v>20</v>
      </c>
      <c r="X161" s="254">
        <v>1</v>
      </c>
      <c r="Y161" s="12" t="s">
        <v>75</v>
      </c>
      <c r="Z161" s="12"/>
      <c r="AA161" s="12" t="s">
        <v>108</v>
      </c>
      <c r="AB161" s="13" t="s">
        <v>967</v>
      </c>
      <c r="AC161" s="14">
        <v>45895</v>
      </c>
      <c r="AD161" s="15">
        <v>35</v>
      </c>
      <c r="AE161" s="176" t="s">
        <v>3183</v>
      </c>
      <c r="AF161" s="12">
        <v>371008816</v>
      </c>
      <c r="AG161" s="12" t="s">
        <v>77</v>
      </c>
      <c r="AH161" s="12" t="s">
        <v>314</v>
      </c>
      <c r="AI161" s="14">
        <v>45901</v>
      </c>
      <c r="AJ161" s="14">
        <v>45901</v>
      </c>
      <c r="AK161" s="14">
        <v>45901</v>
      </c>
      <c r="AL161" s="14">
        <v>45979</v>
      </c>
      <c r="AM161" s="14"/>
      <c r="AN161" s="14">
        <v>45979</v>
      </c>
      <c r="AO161" s="91" t="s">
        <v>66</v>
      </c>
      <c r="AP161" s="12" t="s">
        <v>3082</v>
      </c>
      <c r="AQ161" s="12"/>
      <c r="AR161" s="12" t="s">
        <v>3179</v>
      </c>
      <c r="AS161" s="12" t="s">
        <v>3180</v>
      </c>
      <c r="AT161" s="12" t="s">
        <v>3184</v>
      </c>
      <c r="AU161" s="12">
        <v>79</v>
      </c>
      <c r="AV161" s="12" t="s">
        <v>83</v>
      </c>
      <c r="AW161" s="12">
        <v>5</v>
      </c>
      <c r="AX161" s="12">
        <v>84</v>
      </c>
      <c r="AY161" s="14">
        <v>45901</v>
      </c>
      <c r="AZ161" s="14">
        <v>45979</v>
      </c>
      <c r="BA161" s="12" t="e">
        <v>#N/A</v>
      </c>
      <c r="BB161" s="14" t="s">
        <v>2480</v>
      </c>
      <c r="BC161" s="14">
        <v>45993</v>
      </c>
      <c r="BD161" s="16">
        <v>2025</v>
      </c>
      <c r="BE161" s="16">
        <v>12</v>
      </c>
      <c r="BF161" s="16">
        <v>49</v>
      </c>
      <c r="BG161" s="191">
        <v>36</v>
      </c>
      <c r="BH161" s="191">
        <v>720</v>
      </c>
    </row>
    <row r="162" spans="1:60" s="23" customFormat="1" ht="10">
      <c r="A162" s="11" t="s">
        <v>3185</v>
      </c>
      <c r="B162" s="12" t="s">
        <v>61</v>
      </c>
      <c r="C162" s="12" t="s">
        <v>3158</v>
      </c>
      <c r="D162" s="12" t="s">
        <v>63</v>
      </c>
      <c r="E162" s="12" t="s">
        <v>68</v>
      </c>
      <c r="F162" s="12" t="s">
        <v>68</v>
      </c>
      <c r="G162" s="12"/>
      <c r="H162" s="12" t="s">
        <v>146</v>
      </c>
      <c r="I162" s="12" t="s">
        <v>2665</v>
      </c>
      <c r="J162" s="34" t="s">
        <v>68</v>
      </c>
      <c r="K162" s="12">
        <v>46010812</v>
      </c>
      <c r="L162" s="13" t="s">
        <v>2666</v>
      </c>
      <c r="M162" s="12" t="s">
        <v>68</v>
      </c>
      <c r="N162" s="182"/>
      <c r="O162" s="12" t="s">
        <v>2475</v>
      </c>
      <c r="P162" s="12" t="s">
        <v>70</v>
      </c>
      <c r="Q162" s="12" t="s">
        <v>71</v>
      </c>
      <c r="R162" s="12">
        <v>554475</v>
      </c>
      <c r="S162" s="12" t="s">
        <v>72</v>
      </c>
      <c r="T162" s="206">
        <v>500</v>
      </c>
      <c r="U162" s="206">
        <v>2592</v>
      </c>
      <c r="V162" s="12">
        <v>1.296</v>
      </c>
      <c r="W162" s="198">
        <v>72</v>
      </c>
      <c r="X162" s="254">
        <v>3</v>
      </c>
      <c r="Y162" s="12" t="s">
        <v>75</v>
      </c>
      <c r="Z162" s="12"/>
      <c r="AA162" s="12" t="s">
        <v>2658</v>
      </c>
      <c r="AB162" s="13" t="s">
        <v>967</v>
      </c>
      <c r="AC162" s="14">
        <v>45895</v>
      </c>
      <c r="AD162" s="15">
        <v>35</v>
      </c>
      <c r="AE162" s="176" t="s">
        <v>3186</v>
      </c>
      <c r="AF162" s="12">
        <v>371008839</v>
      </c>
      <c r="AG162" s="12" t="s">
        <v>77</v>
      </c>
      <c r="AH162" s="12" t="s">
        <v>78</v>
      </c>
      <c r="AI162" s="14">
        <v>45901</v>
      </c>
      <c r="AJ162" s="14">
        <v>45901</v>
      </c>
      <c r="AK162" s="14">
        <v>45901</v>
      </c>
      <c r="AL162" s="14">
        <v>45984</v>
      </c>
      <c r="AM162" s="14"/>
      <c r="AN162" s="14">
        <v>45985</v>
      </c>
      <c r="AO162" s="91" t="s">
        <v>146</v>
      </c>
      <c r="AP162" s="12" t="s">
        <v>3082</v>
      </c>
      <c r="AQ162" s="12"/>
      <c r="AR162" s="12">
        <v>46010812</v>
      </c>
      <c r="AS162" s="12" t="s">
        <v>3187</v>
      </c>
      <c r="AT162" s="12" t="s">
        <v>3187</v>
      </c>
      <c r="AU162" s="12">
        <v>84</v>
      </c>
      <c r="AV162" s="12" t="s">
        <v>2493</v>
      </c>
      <c r="AW162" s="12">
        <v>10</v>
      </c>
      <c r="AX162" s="12">
        <v>90</v>
      </c>
      <c r="AY162" s="14">
        <v>45901</v>
      </c>
      <c r="AZ162" s="14">
        <v>45985</v>
      </c>
      <c r="BA162" s="12" t="e">
        <v>#N/A</v>
      </c>
      <c r="BB162" s="14" t="s">
        <v>2480</v>
      </c>
      <c r="BC162" s="14">
        <v>45999</v>
      </c>
      <c r="BD162" s="16">
        <v>2025</v>
      </c>
      <c r="BE162" s="16">
        <v>12</v>
      </c>
      <c r="BF162" s="16">
        <v>50</v>
      </c>
      <c r="BG162" s="191">
        <v>36</v>
      </c>
      <c r="BH162" s="191">
        <v>864</v>
      </c>
    </row>
    <row r="163" spans="1:60" s="23" customFormat="1" ht="10">
      <c r="A163" s="11" t="s">
        <v>3188</v>
      </c>
      <c r="B163" s="12" t="s">
        <v>61</v>
      </c>
      <c r="C163" s="12" t="s">
        <v>2714</v>
      </c>
      <c r="D163" s="12" t="s">
        <v>63</v>
      </c>
      <c r="E163" s="12" t="s">
        <v>64</v>
      </c>
      <c r="F163" s="12" t="s">
        <v>100</v>
      </c>
      <c r="G163" s="12" t="s">
        <v>67</v>
      </c>
      <c r="H163" s="12" t="s">
        <v>66</v>
      </c>
      <c r="I163" s="12" t="s">
        <v>2776</v>
      </c>
      <c r="J163" s="34" t="s">
        <v>68</v>
      </c>
      <c r="K163" s="12"/>
      <c r="L163" s="13" t="s">
        <v>2719</v>
      </c>
      <c r="M163" s="213" t="s">
        <v>68</v>
      </c>
      <c r="N163" s="182"/>
      <c r="O163" s="12" t="s">
        <v>2475</v>
      </c>
      <c r="P163" s="12" t="s">
        <v>70</v>
      </c>
      <c r="Q163" s="12" t="s">
        <v>195</v>
      </c>
      <c r="R163" s="12">
        <v>554473</v>
      </c>
      <c r="S163" s="12" t="s">
        <v>196</v>
      </c>
      <c r="T163" s="206">
        <v>450</v>
      </c>
      <c r="U163" s="206">
        <v>936</v>
      </c>
      <c r="V163" s="12">
        <v>0.42120000000000002</v>
      </c>
      <c r="W163" s="198">
        <v>26</v>
      </c>
      <c r="X163" s="254">
        <v>1</v>
      </c>
      <c r="Y163" s="12" t="s">
        <v>75</v>
      </c>
      <c r="Z163" s="12"/>
      <c r="AA163" s="12" t="s">
        <v>2658</v>
      </c>
      <c r="AB163" s="13" t="s">
        <v>967</v>
      </c>
      <c r="AC163" s="14">
        <v>45894</v>
      </c>
      <c r="AD163" s="15">
        <v>35</v>
      </c>
      <c r="AE163" s="176" t="s">
        <v>3189</v>
      </c>
      <c r="AF163" s="12">
        <v>371008848</v>
      </c>
      <c r="AG163" s="12" t="s">
        <v>77</v>
      </c>
      <c r="AH163" s="12" t="s">
        <v>105</v>
      </c>
      <c r="AI163" s="14">
        <v>45901</v>
      </c>
      <c r="AJ163" s="14">
        <v>45901</v>
      </c>
      <c r="AK163" s="14">
        <v>45901</v>
      </c>
      <c r="AL163" s="14">
        <v>45959</v>
      </c>
      <c r="AM163" s="14"/>
      <c r="AN163" s="14">
        <v>45959</v>
      </c>
      <c r="AO163" s="91" t="s">
        <v>66</v>
      </c>
      <c r="AP163" s="12" t="s">
        <v>3082</v>
      </c>
      <c r="AQ163" s="12"/>
      <c r="AR163" s="12" t="s">
        <v>3190</v>
      </c>
      <c r="AS163" s="12" t="s">
        <v>3191</v>
      </c>
      <c r="AT163" s="12" t="s">
        <v>3192</v>
      </c>
      <c r="AU163" s="12">
        <v>59</v>
      </c>
      <c r="AV163" s="12" t="s">
        <v>83</v>
      </c>
      <c r="AW163" s="12">
        <v>8</v>
      </c>
      <c r="AX163" s="12">
        <v>65</v>
      </c>
      <c r="AY163" s="14">
        <v>45901</v>
      </c>
      <c r="AZ163" s="14">
        <v>45959</v>
      </c>
      <c r="BA163" s="12" t="e">
        <v>#N/A</v>
      </c>
      <c r="BB163" s="14" t="s">
        <v>2480</v>
      </c>
      <c r="BC163" s="14">
        <v>45973</v>
      </c>
      <c r="BD163" s="16">
        <v>2025</v>
      </c>
      <c r="BE163" s="16">
        <v>11</v>
      </c>
      <c r="BF163" s="16">
        <v>46</v>
      </c>
      <c r="BG163" s="191">
        <v>36</v>
      </c>
      <c r="BH163" s="191">
        <v>936</v>
      </c>
    </row>
    <row r="164" spans="1:60" s="23" customFormat="1" ht="10">
      <c r="A164" s="11" t="s">
        <v>3193</v>
      </c>
      <c r="B164" s="12" t="s">
        <v>111</v>
      </c>
      <c r="C164" s="12" t="s">
        <v>2609</v>
      </c>
      <c r="D164" s="12" t="s">
        <v>63</v>
      </c>
      <c r="E164" s="12" t="s">
        <v>68</v>
      </c>
      <c r="F164" s="12" t="s">
        <v>68</v>
      </c>
      <c r="G164" s="12"/>
      <c r="H164" s="12" t="s">
        <v>146</v>
      </c>
      <c r="I164" s="12" t="s">
        <v>3143</v>
      </c>
      <c r="J164" s="34" t="s">
        <v>68</v>
      </c>
      <c r="K164" s="12">
        <v>46010760</v>
      </c>
      <c r="L164" s="13" t="s">
        <v>2719</v>
      </c>
      <c r="M164" s="12" t="s">
        <v>68</v>
      </c>
      <c r="N164" s="182"/>
      <c r="O164" s="12" t="s">
        <v>2475</v>
      </c>
      <c r="P164" s="12" t="s">
        <v>2610</v>
      </c>
      <c r="Q164" s="12" t="s">
        <v>2611</v>
      </c>
      <c r="R164" s="12">
        <v>553098</v>
      </c>
      <c r="S164" s="12" t="s">
        <v>2612</v>
      </c>
      <c r="T164" s="206">
        <v>550</v>
      </c>
      <c r="U164" s="206">
        <v>1320</v>
      </c>
      <c r="V164" s="12">
        <v>0.72599999999999998</v>
      </c>
      <c r="W164" s="198">
        <v>40</v>
      </c>
      <c r="X164" s="254">
        <v>2</v>
      </c>
      <c r="Y164" s="12" t="s">
        <v>75</v>
      </c>
      <c r="Z164" s="12"/>
      <c r="AA164" s="12" t="s">
        <v>108</v>
      </c>
      <c r="AB164" s="13" t="s">
        <v>992</v>
      </c>
      <c r="AC164" s="14">
        <v>45895</v>
      </c>
      <c r="AD164" s="15">
        <v>35</v>
      </c>
      <c r="AE164" s="176" t="s">
        <v>3194</v>
      </c>
      <c r="AF164" s="12">
        <v>371008841</v>
      </c>
      <c r="AG164" s="12" t="s">
        <v>122</v>
      </c>
      <c r="AH164" s="12" t="s">
        <v>105</v>
      </c>
      <c r="AI164" s="14">
        <v>45902</v>
      </c>
      <c r="AJ164" s="14">
        <v>45902</v>
      </c>
      <c r="AK164" s="14">
        <v>45902</v>
      </c>
      <c r="AL164" s="14">
        <v>45946</v>
      </c>
      <c r="AM164" s="14"/>
      <c r="AN164" s="14">
        <v>45946</v>
      </c>
      <c r="AO164" s="91" t="s">
        <v>146</v>
      </c>
      <c r="AP164" s="12" t="s">
        <v>3195</v>
      </c>
      <c r="AQ164" s="12"/>
      <c r="AR164" s="12">
        <v>46010760</v>
      </c>
      <c r="AS164" s="12" t="s">
        <v>3196</v>
      </c>
      <c r="AT164" s="12" t="s">
        <v>3196</v>
      </c>
      <c r="AU164" s="12">
        <v>45</v>
      </c>
      <c r="AV164" s="12" t="s">
        <v>3146</v>
      </c>
      <c r="AW164" s="12">
        <v>6</v>
      </c>
      <c r="AX164" s="12">
        <v>51</v>
      </c>
      <c r="AY164" s="14">
        <v>45902</v>
      </c>
      <c r="AZ164" s="14">
        <v>45946</v>
      </c>
      <c r="BA164" s="12" t="e">
        <v>#N/A</v>
      </c>
      <c r="BB164" s="14" t="s">
        <v>2480</v>
      </c>
      <c r="BC164" s="14">
        <v>45960</v>
      </c>
      <c r="BD164" s="16">
        <v>2025</v>
      </c>
      <c r="BE164" s="16">
        <v>10</v>
      </c>
      <c r="BF164" s="16">
        <v>44</v>
      </c>
      <c r="BG164" s="191">
        <v>33</v>
      </c>
      <c r="BH164" s="191">
        <v>660</v>
      </c>
    </row>
    <row r="165" spans="1:60" s="23" customFormat="1" ht="10">
      <c r="A165" s="11" t="s">
        <v>3197</v>
      </c>
      <c r="B165" s="12" t="s">
        <v>111</v>
      </c>
      <c r="C165" s="12" t="s">
        <v>2904</v>
      </c>
      <c r="D165" s="12" t="s">
        <v>63</v>
      </c>
      <c r="E165" s="12" t="s">
        <v>64</v>
      </c>
      <c r="F165" s="12" t="s">
        <v>100</v>
      </c>
      <c r="G165" s="12" t="s">
        <v>67</v>
      </c>
      <c r="H165" s="12" t="s">
        <v>402</v>
      </c>
      <c r="I165" s="12" t="s">
        <v>677</v>
      </c>
      <c r="J165" s="34" t="s">
        <v>68</v>
      </c>
      <c r="K165" s="12" t="s">
        <v>3198</v>
      </c>
      <c r="L165" s="13" t="s">
        <v>2732</v>
      </c>
      <c r="M165" s="213" t="s">
        <v>68</v>
      </c>
      <c r="N165" s="182"/>
      <c r="O165" s="12" t="s">
        <v>2475</v>
      </c>
      <c r="P165" s="12" t="s">
        <v>70</v>
      </c>
      <c r="Q165" s="12" t="s">
        <v>102</v>
      </c>
      <c r="R165" s="12">
        <v>554245</v>
      </c>
      <c r="S165" s="12" t="s">
        <v>103</v>
      </c>
      <c r="T165" s="206">
        <v>620</v>
      </c>
      <c r="U165" s="206">
        <v>7200</v>
      </c>
      <c r="V165" s="12">
        <v>4.4640000000000004</v>
      </c>
      <c r="W165" s="198">
        <v>200</v>
      </c>
      <c r="X165" s="254">
        <v>10</v>
      </c>
      <c r="Y165" s="12" t="s">
        <v>75</v>
      </c>
      <c r="Z165" s="12"/>
      <c r="AA165" s="12" t="s">
        <v>108</v>
      </c>
      <c r="AB165" s="13" t="s">
        <v>2905</v>
      </c>
      <c r="AC165" s="14">
        <v>45900</v>
      </c>
      <c r="AD165" s="15">
        <v>35</v>
      </c>
      <c r="AE165" s="176" t="s">
        <v>3199</v>
      </c>
      <c r="AF165" s="12">
        <v>371008870</v>
      </c>
      <c r="AG165" s="12" t="s">
        <v>122</v>
      </c>
      <c r="AH165" s="12" t="s">
        <v>105</v>
      </c>
      <c r="AI165" s="14">
        <v>45909</v>
      </c>
      <c r="AJ165" s="14">
        <v>45909</v>
      </c>
      <c r="AK165" s="14">
        <v>45909</v>
      </c>
      <c r="AL165" s="14">
        <v>45980</v>
      </c>
      <c r="AM165" s="14"/>
      <c r="AN165" s="14">
        <v>45962</v>
      </c>
      <c r="AO165" s="91" t="s">
        <v>402</v>
      </c>
      <c r="AP165" s="12" t="s">
        <v>3150</v>
      </c>
      <c r="AQ165" s="12"/>
      <c r="AR165" s="12" t="s">
        <v>3200</v>
      </c>
      <c r="AS165" s="12" t="s">
        <v>3201</v>
      </c>
      <c r="AT165" s="12" t="s">
        <v>3201</v>
      </c>
      <c r="AU165" s="12">
        <v>72</v>
      </c>
      <c r="AV165" s="12" t="s">
        <v>2493</v>
      </c>
      <c r="AW165" s="12">
        <v>6</v>
      </c>
      <c r="AX165" s="12">
        <v>62</v>
      </c>
      <c r="AY165" s="14">
        <v>45909</v>
      </c>
      <c r="AZ165" s="14">
        <v>45962</v>
      </c>
      <c r="BA165" s="12" t="e">
        <v>#N/A</v>
      </c>
      <c r="BB165" s="14" t="s">
        <v>2480</v>
      </c>
      <c r="BC165" s="14">
        <v>45976</v>
      </c>
      <c r="BD165" s="16">
        <v>2025</v>
      </c>
      <c r="BE165" s="16">
        <v>11</v>
      </c>
      <c r="BF165" s="16">
        <v>46</v>
      </c>
      <c r="BG165" s="191">
        <v>36</v>
      </c>
      <c r="BH165" s="191">
        <v>720</v>
      </c>
    </row>
    <row r="166" spans="1:60" s="23" customFormat="1" ht="10">
      <c r="A166" s="11" t="s">
        <v>3202</v>
      </c>
      <c r="B166" s="12" t="s">
        <v>111</v>
      </c>
      <c r="C166" s="12" t="s">
        <v>2910</v>
      </c>
      <c r="D166" s="12" t="s">
        <v>63</v>
      </c>
      <c r="E166" s="12" t="s">
        <v>64</v>
      </c>
      <c r="F166" s="12" t="s">
        <v>100</v>
      </c>
      <c r="G166" s="12" t="s">
        <v>67</v>
      </c>
      <c r="H166" s="12" t="s">
        <v>402</v>
      </c>
      <c r="I166" s="12" t="s">
        <v>677</v>
      </c>
      <c r="J166" s="34" t="s">
        <v>68</v>
      </c>
      <c r="K166" s="12">
        <v>14130692</v>
      </c>
      <c r="L166" s="13" t="s">
        <v>2732</v>
      </c>
      <c r="M166" s="213" t="s">
        <v>68</v>
      </c>
      <c r="N166" s="182"/>
      <c r="O166" s="12" t="s">
        <v>2475</v>
      </c>
      <c r="P166" s="12" t="s">
        <v>70</v>
      </c>
      <c r="Q166" s="12" t="s">
        <v>1002</v>
      </c>
      <c r="R166" s="12">
        <v>554246</v>
      </c>
      <c r="S166" s="12" t="s">
        <v>330</v>
      </c>
      <c r="T166" s="206">
        <v>625</v>
      </c>
      <c r="U166" s="206">
        <v>3600</v>
      </c>
      <c r="V166" s="12">
        <v>2.25</v>
      </c>
      <c r="W166" s="198">
        <v>100</v>
      </c>
      <c r="X166" s="254">
        <v>5</v>
      </c>
      <c r="Y166" s="12" t="s">
        <v>75</v>
      </c>
      <c r="Z166" s="12"/>
      <c r="AA166" s="12" t="s">
        <v>108</v>
      </c>
      <c r="AB166" s="13" t="s">
        <v>2905</v>
      </c>
      <c r="AC166" s="14">
        <v>45900</v>
      </c>
      <c r="AD166" s="15">
        <v>35</v>
      </c>
      <c r="AE166" s="176" t="s">
        <v>3203</v>
      </c>
      <c r="AF166" s="12">
        <v>371008871</v>
      </c>
      <c r="AG166" s="12" t="s">
        <v>122</v>
      </c>
      <c r="AH166" s="12" t="s">
        <v>105</v>
      </c>
      <c r="AI166" s="14">
        <v>45909</v>
      </c>
      <c r="AJ166" s="14">
        <v>45909</v>
      </c>
      <c r="AK166" s="14">
        <v>45909</v>
      </c>
      <c r="AL166" s="14">
        <v>45980</v>
      </c>
      <c r="AM166" s="14"/>
      <c r="AN166" s="14">
        <v>45962</v>
      </c>
      <c r="AO166" s="91" t="s">
        <v>402</v>
      </c>
      <c r="AP166" s="12" t="s">
        <v>3150</v>
      </c>
      <c r="AQ166" s="12"/>
      <c r="AR166" s="12" t="s">
        <v>3204</v>
      </c>
      <c r="AS166" s="12" t="s">
        <v>3205</v>
      </c>
      <c r="AT166" s="12" t="s">
        <v>3205</v>
      </c>
      <c r="AU166" s="12">
        <v>72</v>
      </c>
      <c r="AV166" s="12" t="s">
        <v>2493</v>
      </c>
      <c r="AW166" s="12">
        <v>5</v>
      </c>
      <c r="AX166" s="12">
        <v>62</v>
      </c>
      <c r="AY166" s="14">
        <v>45909</v>
      </c>
      <c r="AZ166" s="14">
        <v>45962</v>
      </c>
      <c r="BA166" s="12" t="e">
        <v>#N/A</v>
      </c>
      <c r="BB166" s="14" t="s">
        <v>2480</v>
      </c>
      <c r="BC166" s="14">
        <v>45976</v>
      </c>
      <c r="BD166" s="16">
        <v>2025</v>
      </c>
      <c r="BE166" s="16">
        <v>11</v>
      </c>
      <c r="BF166" s="16">
        <v>46</v>
      </c>
      <c r="BG166" s="191">
        <v>36</v>
      </c>
      <c r="BH166" s="191">
        <v>720</v>
      </c>
    </row>
    <row r="167" spans="1:60" s="23" customFormat="1" ht="10">
      <c r="A167" s="11" t="s">
        <v>2750</v>
      </c>
      <c r="B167" s="12" t="s">
        <v>111</v>
      </c>
      <c r="C167" s="12" t="s">
        <v>203</v>
      </c>
      <c r="D167" s="12" t="s">
        <v>63</v>
      </c>
      <c r="E167" s="12" t="s">
        <v>68</v>
      </c>
      <c r="F167" s="12" t="s">
        <v>68</v>
      </c>
      <c r="G167" s="12"/>
      <c r="H167" s="12" t="s">
        <v>66</v>
      </c>
      <c r="I167" s="12" t="s">
        <v>1342</v>
      </c>
      <c r="J167" s="34" t="s">
        <v>68</v>
      </c>
      <c r="K167" s="12"/>
      <c r="L167" s="13" t="s">
        <v>2497</v>
      </c>
      <c r="M167" s="12" t="s">
        <v>68</v>
      </c>
      <c r="N167" s="182"/>
      <c r="O167" s="12" t="s">
        <v>2475</v>
      </c>
      <c r="P167" s="12" t="s">
        <v>170</v>
      </c>
      <c r="Q167" s="12" t="s">
        <v>171</v>
      </c>
      <c r="R167" s="12">
        <v>552045</v>
      </c>
      <c r="S167" s="12" t="s">
        <v>172</v>
      </c>
      <c r="T167" s="206">
        <v>555</v>
      </c>
      <c r="U167" s="206">
        <v>1320</v>
      </c>
      <c r="V167" s="12">
        <v>0.73260000000000003</v>
      </c>
      <c r="W167" s="198">
        <v>40</v>
      </c>
      <c r="X167" s="254">
        <v>2</v>
      </c>
      <c r="Y167" s="12" t="s">
        <v>75</v>
      </c>
      <c r="Z167" s="12"/>
      <c r="AA167" s="12" t="s">
        <v>108</v>
      </c>
      <c r="AB167" s="13" t="s">
        <v>992</v>
      </c>
      <c r="AC167" s="14">
        <v>45895</v>
      </c>
      <c r="AD167" s="15">
        <v>35</v>
      </c>
      <c r="AE167" s="176" t="s">
        <v>3206</v>
      </c>
      <c r="AF167" s="12">
        <v>371008853</v>
      </c>
      <c r="AG167" s="12" t="s">
        <v>122</v>
      </c>
      <c r="AH167" s="12" t="s">
        <v>314</v>
      </c>
      <c r="AI167" s="14">
        <v>45914</v>
      </c>
      <c r="AJ167" s="14">
        <v>45914</v>
      </c>
      <c r="AK167" s="14">
        <v>45914</v>
      </c>
      <c r="AL167" s="14">
        <v>45960</v>
      </c>
      <c r="AM167" s="14"/>
      <c r="AN167" s="14">
        <v>45960</v>
      </c>
      <c r="AO167" s="91" t="s">
        <v>66</v>
      </c>
      <c r="AP167" s="12" t="s">
        <v>3125</v>
      </c>
      <c r="AQ167" s="12"/>
      <c r="AR167" s="12" t="s">
        <v>3207</v>
      </c>
      <c r="AS167" s="12" t="s">
        <v>3208</v>
      </c>
      <c r="AT167" s="12" t="s">
        <v>3208</v>
      </c>
      <c r="AU167" s="12">
        <v>47</v>
      </c>
      <c r="AV167" s="12" t="s">
        <v>83</v>
      </c>
      <c r="AW167" s="12">
        <v>39</v>
      </c>
      <c r="AX167" s="12">
        <v>65</v>
      </c>
      <c r="AY167" s="14">
        <v>45914</v>
      </c>
      <c r="AZ167" s="14">
        <v>45960</v>
      </c>
      <c r="BA167" s="12" t="e">
        <v>#N/A</v>
      </c>
      <c r="BB167" s="14" t="s">
        <v>2480</v>
      </c>
      <c r="BC167" s="14">
        <v>45974</v>
      </c>
      <c r="BD167" s="16">
        <v>2025</v>
      </c>
      <c r="BE167" s="16">
        <v>11</v>
      </c>
      <c r="BF167" s="16">
        <v>46</v>
      </c>
      <c r="BG167" s="191">
        <v>33</v>
      </c>
      <c r="BH167" s="191">
        <v>660</v>
      </c>
    </row>
    <row r="168" spans="1:60" s="23" customFormat="1" ht="10">
      <c r="A168" s="11" t="s">
        <v>3209</v>
      </c>
      <c r="B168" s="12" t="s">
        <v>111</v>
      </c>
      <c r="C168" s="12" t="s">
        <v>2750</v>
      </c>
      <c r="D168" s="12" t="s">
        <v>63</v>
      </c>
      <c r="E168" s="12" t="s">
        <v>68</v>
      </c>
      <c r="F168" s="12" t="s">
        <v>68</v>
      </c>
      <c r="G168" s="12"/>
      <c r="H168" s="12" t="s">
        <v>66</v>
      </c>
      <c r="I168" s="12" t="s">
        <v>1559</v>
      </c>
      <c r="J168" s="34" t="s">
        <v>68</v>
      </c>
      <c r="K168" s="12"/>
      <c r="L168" s="13" t="s">
        <v>2497</v>
      </c>
      <c r="M168" s="12" t="s">
        <v>68</v>
      </c>
      <c r="N168" s="182"/>
      <c r="O168" s="12" t="s">
        <v>2475</v>
      </c>
      <c r="P168" s="12" t="s">
        <v>170</v>
      </c>
      <c r="Q168" s="12" t="s">
        <v>171</v>
      </c>
      <c r="R168" s="12">
        <v>552045</v>
      </c>
      <c r="S168" s="12" t="s">
        <v>172</v>
      </c>
      <c r="T168" s="206">
        <v>555</v>
      </c>
      <c r="U168" s="206">
        <v>1980</v>
      </c>
      <c r="V168" s="12">
        <v>1.0989</v>
      </c>
      <c r="W168" s="198">
        <v>60</v>
      </c>
      <c r="X168" s="254">
        <v>3</v>
      </c>
      <c r="Y168" s="12" t="s">
        <v>75</v>
      </c>
      <c r="Z168" s="12"/>
      <c r="AA168" s="12" t="s">
        <v>108</v>
      </c>
      <c r="AB168" s="13" t="s">
        <v>992</v>
      </c>
      <c r="AC168" s="14">
        <v>45899</v>
      </c>
      <c r="AD168" s="15">
        <v>35</v>
      </c>
      <c r="AE168" s="176" t="s">
        <v>3210</v>
      </c>
      <c r="AF168" s="12">
        <v>371008854</v>
      </c>
      <c r="AG168" s="12" t="s">
        <v>122</v>
      </c>
      <c r="AH168" s="12" t="s">
        <v>1561</v>
      </c>
      <c r="AI168" s="14">
        <v>45914</v>
      </c>
      <c r="AJ168" s="14">
        <v>45914</v>
      </c>
      <c r="AK168" s="14">
        <v>45914</v>
      </c>
      <c r="AL168" s="14">
        <v>45964</v>
      </c>
      <c r="AM168" s="14"/>
      <c r="AN168" s="14">
        <v>45964</v>
      </c>
      <c r="AO168" s="91" t="s">
        <v>66</v>
      </c>
      <c r="AP168" s="12" t="s">
        <v>3125</v>
      </c>
      <c r="AQ168" s="12"/>
      <c r="AR168" s="12" t="s">
        <v>3131</v>
      </c>
      <c r="AS168" s="12" t="s">
        <v>3132</v>
      </c>
      <c r="AT168" s="12" t="s">
        <v>3211</v>
      </c>
      <c r="AU168" s="12">
        <v>51</v>
      </c>
      <c r="AV168" s="12" t="s">
        <v>83</v>
      </c>
      <c r="AW168" s="12">
        <v>11</v>
      </c>
      <c r="AX168" s="12">
        <v>65</v>
      </c>
      <c r="AY168" s="14">
        <v>45914</v>
      </c>
      <c r="AZ168" s="14">
        <v>45964</v>
      </c>
      <c r="BA168" s="12" t="e">
        <v>#N/A</v>
      </c>
      <c r="BB168" s="14" t="s">
        <v>2480</v>
      </c>
      <c r="BC168" s="14">
        <v>45978</v>
      </c>
      <c r="BD168" s="16">
        <v>2025</v>
      </c>
      <c r="BE168" s="16">
        <v>11</v>
      </c>
      <c r="BF168" s="16">
        <v>47</v>
      </c>
      <c r="BG168" s="191">
        <v>33</v>
      </c>
      <c r="BH168" s="191">
        <v>660</v>
      </c>
    </row>
    <row r="169" spans="1:60" s="23" customFormat="1" ht="10">
      <c r="A169" s="11" t="s">
        <v>3212</v>
      </c>
      <c r="B169" s="12" t="s">
        <v>61</v>
      </c>
      <c r="C169" s="12" t="s">
        <v>2915</v>
      </c>
      <c r="D169" s="12" t="s">
        <v>63</v>
      </c>
      <c r="E169" s="12" t="s">
        <v>64</v>
      </c>
      <c r="F169" s="12" t="s">
        <v>65</v>
      </c>
      <c r="G169" s="12" t="s">
        <v>67</v>
      </c>
      <c r="H169" s="12" t="s">
        <v>66</v>
      </c>
      <c r="I169" s="12" t="s">
        <v>96</v>
      </c>
      <c r="J169" s="34" t="s">
        <v>68</v>
      </c>
      <c r="K169" s="12"/>
      <c r="L169" s="13" t="s">
        <v>2474</v>
      </c>
      <c r="M169" s="213" t="s">
        <v>68</v>
      </c>
      <c r="N169" s="182"/>
      <c r="O169" s="12" t="s">
        <v>2475</v>
      </c>
      <c r="P169" s="12" t="s">
        <v>70</v>
      </c>
      <c r="Q169" s="12" t="s">
        <v>91</v>
      </c>
      <c r="R169" s="12">
        <v>554480</v>
      </c>
      <c r="S169" s="12" t="s">
        <v>92</v>
      </c>
      <c r="T169" s="206">
        <v>450</v>
      </c>
      <c r="U169" s="206">
        <v>864</v>
      </c>
      <c r="V169" s="12">
        <v>0.38879999999999998</v>
      </c>
      <c r="W169" s="198">
        <v>24</v>
      </c>
      <c r="X169" s="254">
        <v>0.92307692307692313</v>
      </c>
      <c r="Y169" s="12" t="s">
        <v>75</v>
      </c>
      <c r="AA169" s="12" t="s">
        <v>94</v>
      </c>
      <c r="AB169" s="32" t="s">
        <v>967</v>
      </c>
      <c r="AC169" s="14">
        <v>45900</v>
      </c>
      <c r="AD169" s="15">
        <v>35</v>
      </c>
      <c r="AE169" s="176" t="s">
        <v>3213</v>
      </c>
      <c r="AF169" s="12">
        <v>371008868</v>
      </c>
      <c r="AG169" s="12" t="s">
        <v>77</v>
      </c>
      <c r="AH169" s="12" t="s">
        <v>78</v>
      </c>
      <c r="AI169" s="14">
        <v>45906</v>
      </c>
      <c r="AJ169" s="14">
        <v>45906</v>
      </c>
      <c r="AK169" s="14">
        <v>45906</v>
      </c>
      <c r="AL169" s="14">
        <v>45984</v>
      </c>
      <c r="AM169" s="14"/>
      <c r="AN169" s="14">
        <v>45985</v>
      </c>
      <c r="AO169" s="91" t="s">
        <v>66</v>
      </c>
      <c r="AP169" s="12" t="s">
        <v>3139</v>
      </c>
      <c r="AQ169" s="12"/>
      <c r="AR169" s="12" t="s">
        <v>3155</v>
      </c>
      <c r="AS169" s="12" t="s">
        <v>3156</v>
      </c>
      <c r="AT169" s="12" t="s">
        <v>3156</v>
      </c>
      <c r="AU169" s="12">
        <v>79</v>
      </c>
      <c r="AV169" s="12" t="s">
        <v>83</v>
      </c>
      <c r="AW169" s="12">
        <v>5</v>
      </c>
      <c r="AX169" s="12">
        <v>85</v>
      </c>
      <c r="AY169" s="14">
        <v>45906</v>
      </c>
      <c r="AZ169" s="14">
        <v>45985</v>
      </c>
      <c r="BA169" s="12" t="e">
        <v>#N/A</v>
      </c>
      <c r="BB169" s="14" t="s">
        <v>2480</v>
      </c>
      <c r="BC169" s="14">
        <v>45999</v>
      </c>
      <c r="BD169" s="16">
        <v>2025</v>
      </c>
      <c r="BE169" s="16">
        <v>12</v>
      </c>
      <c r="BF169" s="16">
        <v>50</v>
      </c>
      <c r="BG169" s="191">
        <v>36</v>
      </c>
      <c r="BH169" s="191">
        <v>936</v>
      </c>
    </row>
    <row r="170" spans="1:60" s="32" customFormat="1" ht="10">
      <c r="A170" s="33" t="s">
        <v>3214</v>
      </c>
      <c r="B170" s="31" t="s">
        <v>61</v>
      </c>
      <c r="C170" s="31" t="s">
        <v>569</v>
      </c>
      <c r="D170" s="31" t="s">
        <v>63</v>
      </c>
      <c r="E170" s="12" t="s">
        <v>68</v>
      </c>
      <c r="F170" s="12" t="s">
        <v>68</v>
      </c>
      <c r="G170" s="31"/>
      <c r="H170" s="31" t="s">
        <v>156</v>
      </c>
      <c r="I170" s="31" t="s">
        <v>157</v>
      </c>
      <c r="J170" s="34" t="s">
        <v>68</v>
      </c>
      <c r="K170" s="31">
        <v>46010847</v>
      </c>
      <c r="L170" s="13" t="s">
        <v>2489</v>
      </c>
      <c r="M170" s="12" t="s">
        <v>68</v>
      </c>
      <c r="N170" s="183"/>
      <c r="O170" s="31" t="s">
        <v>2475</v>
      </c>
      <c r="P170" s="31" t="s">
        <v>70</v>
      </c>
      <c r="Q170" s="31" t="s">
        <v>2657</v>
      </c>
      <c r="R170" s="31">
        <v>554470</v>
      </c>
      <c r="S170" s="31" t="s">
        <v>571</v>
      </c>
      <c r="T170" s="209">
        <v>445</v>
      </c>
      <c r="U170" s="209">
        <v>1872</v>
      </c>
      <c r="V170" s="31">
        <v>0.83304</v>
      </c>
      <c r="W170" s="199">
        <v>52</v>
      </c>
      <c r="X170" s="253">
        <v>2</v>
      </c>
      <c r="Y170" s="31" t="s">
        <v>75</v>
      </c>
      <c r="Z170" s="31"/>
      <c r="AA170" s="12" t="s">
        <v>2658</v>
      </c>
      <c r="AB170" s="13" t="s">
        <v>967</v>
      </c>
      <c r="AC170" s="30">
        <v>45900</v>
      </c>
      <c r="AD170" s="35">
        <v>35</v>
      </c>
      <c r="AE170" s="176" t="s">
        <v>3215</v>
      </c>
      <c r="AF170" s="31">
        <v>371008846</v>
      </c>
      <c r="AG170" s="31" t="s">
        <v>77</v>
      </c>
      <c r="AH170" s="31" t="s">
        <v>159</v>
      </c>
      <c r="AI170" s="30">
        <v>45906</v>
      </c>
      <c r="AJ170" s="30">
        <v>45906</v>
      </c>
      <c r="AK170" s="30">
        <v>45906</v>
      </c>
      <c r="AL170" s="30">
        <v>45963</v>
      </c>
      <c r="AM170" s="30"/>
      <c r="AN170" s="30">
        <v>45963</v>
      </c>
      <c r="AO170" s="75" t="s">
        <v>156</v>
      </c>
      <c r="AP170" s="31" t="s">
        <v>3135</v>
      </c>
      <c r="AQ170" s="31"/>
      <c r="AR170" s="31" t="s">
        <v>3136</v>
      </c>
      <c r="AS170" s="31">
        <v>1068960628</v>
      </c>
      <c r="AT170" s="31">
        <v>258514211</v>
      </c>
      <c r="AU170" s="31">
        <v>58</v>
      </c>
      <c r="AV170" s="31" t="s">
        <v>83</v>
      </c>
      <c r="AW170" s="12">
        <v>5</v>
      </c>
      <c r="AX170" s="31">
        <v>63</v>
      </c>
      <c r="AY170" s="30">
        <v>45906</v>
      </c>
      <c r="AZ170" s="30">
        <v>45963</v>
      </c>
      <c r="BA170" s="31" t="e">
        <v>#N/A</v>
      </c>
      <c r="BB170" s="30" t="s">
        <v>2480</v>
      </c>
      <c r="BC170" s="30">
        <v>45977</v>
      </c>
      <c r="BD170" s="191">
        <v>2025</v>
      </c>
      <c r="BE170" s="191">
        <v>11</v>
      </c>
      <c r="BF170" s="191">
        <v>46</v>
      </c>
      <c r="BG170" s="191">
        <v>36</v>
      </c>
      <c r="BH170" s="191">
        <v>936</v>
      </c>
    </row>
    <row r="171" spans="1:60" s="23" customFormat="1" ht="10">
      <c r="A171" s="11" t="s">
        <v>3216</v>
      </c>
      <c r="B171" s="12" t="s">
        <v>111</v>
      </c>
      <c r="C171" s="12" t="s">
        <v>2503</v>
      </c>
      <c r="D171" s="12" t="s">
        <v>63</v>
      </c>
      <c r="E171" s="12" t="s">
        <v>68</v>
      </c>
      <c r="F171" s="12" t="s">
        <v>68</v>
      </c>
      <c r="G171" s="12"/>
      <c r="H171" s="12" t="s">
        <v>66</v>
      </c>
      <c r="I171" s="12" t="s">
        <v>3217</v>
      </c>
      <c r="J171" s="34" t="s">
        <v>68</v>
      </c>
      <c r="K171" s="12"/>
      <c r="L171" s="13" t="s">
        <v>2497</v>
      </c>
      <c r="M171" s="12" t="s">
        <v>68</v>
      </c>
      <c r="N171" s="182"/>
      <c r="O171" s="12" t="s">
        <v>2475</v>
      </c>
      <c r="P171" s="12" t="s">
        <v>132</v>
      </c>
      <c r="Q171" s="12" t="s">
        <v>1104</v>
      </c>
      <c r="R171" s="12">
        <v>554431</v>
      </c>
      <c r="S171" s="12" t="s">
        <v>1105</v>
      </c>
      <c r="T171" s="206">
        <v>455</v>
      </c>
      <c r="U171" s="206">
        <v>1728</v>
      </c>
      <c r="V171" s="12">
        <v>0.78624000000000005</v>
      </c>
      <c r="W171" s="198">
        <v>48</v>
      </c>
      <c r="X171" s="254">
        <v>2</v>
      </c>
      <c r="Y171" s="12" t="s">
        <v>75</v>
      </c>
      <c r="Z171" s="12"/>
      <c r="AA171" s="12" t="s">
        <v>108</v>
      </c>
      <c r="AB171" s="13" t="s">
        <v>992</v>
      </c>
      <c r="AC171" s="14">
        <v>45895</v>
      </c>
      <c r="AD171" s="15">
        <v>35</v>
      </c>
      <c r="AE171" s="176" t="s">
        <v>3218</v>
      </c>
      <c r="AF171" s="12">
        <v>371008842</v>
      </c>
      <c r="AG171" s="12" t="s">
        <v>122</v>
      </c>
      <c r="AH171" s="12" t="s">
        <v>314</v>
      </c>
      <c r="AI171" s="14">
        <v>45914</v>
      </c>
      <c r="AJ171" s="14">
        <v>45914</v>
      </c>
      <c r="AK171" s="14">
        <v>45914</v>
      </c>
      <c r="AL171" s="14">
        <v>45960</v>
      </c>
      <c r="AM171" s="14"/>
      <c r="AN171" s="14">
        <v>45960</v>
      </c>
      <c r="AO171" s="91" t="s">
        <v>66</v>
      </c>
      <c r="AP171" s="12" t="s">
        <v>3125</v>
      </c>
      <c r="AQ171" s="12"/>
      <c r="AR171" s="12" t="s">
        <v>3207</v>
      </c>
      <c r="AS171" s="12" t="s">
        <v>3208</v>
      </c>
      <c r="AT171" s="12" t="s">
        <v>3219</v>
      </c>
      <c r="AU171" s="12">
        <v>47</v>
      </c>
      <c r="AV171" s="12" t="s">
        <v>83</v>
      </c>
      <c r="AW171" s="12">
        <v>4</v>
      </c>
      <c r="AX171" s="12">
        <v>65</v>
      </c>
      <c r="AY171" s="14">
        <v>45914</v>
      </c>
      <c r="AZ171" s="14">
        <v>45960</v>
      </c>
      <c r="BA171" s="12" t="e">
        <v>#N/A</v>
      </c>
      <c r="BB171" s="14" t="s">
        <v>2480</v>
      </c>
      <c r="BC171" s="14">
        <v>45974</v>
      </c>
      <c r="BD171" s="16">
        <v>2025</v>
      </c>
      <c r="BE171" s="16">
        <v>11</v>
      </c>
      <c r="BF171" s="16">
        <v>46</v>
      </c>
      <c r="BG171" s="191">
        <v>36</v>
      </c>
      <c r="BH171" s="191">
        <v>864</v>
      </c>
    </row>
    <row r="172" spans="1:60" s="23" customFormat="1" ht="10">
      <c r="A172" s="11" t="s">
        <v>3220</v>
      </c>
      <c r="B172" s="12" t="s">
        <v>111</v>
      </c>
      <c r="C172" s="12" t="s">
        <v>2543</v>
      </c>
      <c r="D172" s="12" t="s">
        <v>63</v>
      </c>
      <c r="E172" s="12" t="s">
        <v>68</v>
      </c>
      <c r="F172" s="12" t="s">
        <v>68</v>
      </c>
      <c r="G172" s="12"/>
      <c r="H172" s="12" t="s">
        <v>66</v>
      </c>
      <c r="I172" s="12" t="s">
        <v>3221</v>
      </c>
      <c r="J172" s="34" t="s">
        <v>68</v>
      </c>
      <c r="K172" s="12">
        <v>20519178</v>
      </c>
      <c r="L172" s="13" t="s">
        <v>2831</v>
      </c>
      <c r="M172" s="12" t="s">
        <v>68</v>
      </c>
      <c r="N172" s="182"/>
      <c r="O172" s="12" t="s">
        <v>2475</v>
      </c>
      <c r="P172" s="12" t="s">
        <v>70</v>
      </c>
      <c r="Q172" s="12" t="s">
        <v>102</v>
      </c>
      <c r="R172" s="12">
        <v>554245</v>
      </c>
      <c r="S172" s="12" t="s">
        <v>103</v>
      </c>
      <c r="T172" s="206">
        <v>620</v>
      </c>
      <c r="U172" s="206">
        <v>7200</v>
      </c>
      <c r="V172" s="12">
        <v>4.4640000000000004</v>
      </c>
      <c r="W172" s="198">
        <v>200</v>
      </c>
      <c r="X172" s="254">
        <v>10</v>
      </c>
      <c r="Y172" s="12" t="s">
        <v>75</v>
      </c>
      <c r="Z172" s="12"/>
      <c r="AA172" s="12" t="s">
        <v>108</v>
      </c>
      <c r="AB172" s="32" t="s">
        <v>967</v>
      </c>
      <c r="AC172" s="14">
        <v>45894</v>
      </c>
      <c r="AD172" s="15">
        <v>35</v>
      </c>
      <c r="AE172" s="176" t="s">
        <v>3222</v>
      </c>
      <c r="AF172" s="12">
        <v>371008845</v>
      </c>
      <c r="AG172" s="12" t="s">
        <v>122</v>
      </c>
      <c r="AH172" s="12" t="s">
        <v>456</v>
      </c>
      <c r="AI172" s="14">
        <v>45903</v>
      </c>
      <c r="AJ172" s="14">
        <v>45903</v>
      </c>
      <c r="AK172" s="14">
        <v>45903</v>
      </c>
      <c r="AL172" s="14">
        <v>45973</v>
      </c>
      <c r="AM172" s="14"/>
      <c r="AN172" s="14">
        <v>45973</v>
      </c>
      <c r="AO172" s="91" t="s">
        <v>66</v>
      </c>
      <c r="AP172" s="12" t="s">
        <v>3045</v>
      </c>
      <c r="AQ172" s="12"/>
      <c r="AR172" s="12" t="s">
        <v>3223</v>
      </c>
      <c r="AS172" s="12" t="s">
        <v>3224</v>
      </c>
      <c r="AT172" s="12" t="s">
        <v>3224</v>
      </c>
      <c r="AU172" s="12">
        <v>71</v>
      </c>
      <c r="AV172" s="12" t="s">
        <v>83</v>
      </c>
      <c r="AW172" s="12">
        <v>8</v>
      </c>
      <c r="AX172" s="12">
        <v>79</v>
      </c>
      <c r="AY172" s="14">
        <v>45903</v>
      </c>
      <c r="AZ172" s="14">
        <v>45973</v>
      </c>
      <c r="BA172" s="12" t="e">
        <v>#N/A</v>
      </c>
      <c r="BB172" s="14" t="s">
        <v>2480</v>
      </c>
      <c r="BC172" s="14">
        <v>45987</v>
      </c>
      <c r="BD172" s="16">
        <v>2025</v>
      </c>
      <c r="BE172" s="16">
        <v>11</v>
      </c>
      <c r="BF172" s="16">
        <v>48</v>
      </c>
      <c r="BG172" s="191">
        <v>36</v>
      </c>
      <c r="BH172" s="191">
        <v>720</v>
      </c>
    </row>
    <row r="173" spans="1:60" s="23" customFormat="1" ht="10">
      <c r="A173" s="11" t="s">
        <v>3225</v>
      </c>
      <c r="B173" s="12" t="s">
        <v>800</v>
      </c>
      <c r="C173" s="12" t="s">
        <v>2714</v>
      </c>
      <c r="D173" s="12" t="s">
        <v>63</v>
      </c>
      <c r="E173" s="12" t="s">
        <v>64</v>
      </c>
      <c r="F173" s="12" t="s">
        <v>100</v>
      </c>
      <c r="G173" s="12" t="s">
        <v>67</v>
      </c>
      <c r="H173" s="12" t="s">
        <v>66</v>
      </c>
      <c r="I173" s="12" t="s">
        <v>3053</v>
      </c>
      <c r="J173" s="34" t="s">
        <v>68</v>
      </c>
      <c r="K173" s="12">
        <v>39011433</v>
      </c>
      <c r="L173" s="13" t="s">
        <v>2719</v>
      </c>
      <c r="M173" s="213" t="s">
        <v>68</v>
      </c>
      <c r="N173" s="182"/>
      <c r="O173" s="12" t="s">
        <v>2475</v>
      </c>
      <c r="P173" s="12" t="s">
        <v>70</v>
      </c>
      <c r="Q173" s="12" t="s">
        <v>195</v>
      </c>
      <c r="R173" s="12">
        <v>554473</v>
      </c>
      <c r="S173" s="12" t="s">
        <v>196</v>
      </c>
      <c r="T173" s="206">
        <v>450</v>
      </c>
      <c r="U173" s="206">
        <v>1872</v>
      </c>
      <c r="V173" s="12">
        <v>0.84240000000000004</v>
      </c>
      <c r="W173" s="198">
        <v>52</v>
      </c>
      <c r="X173" s="254">
        <v>2</v>
      </c>
      <c r="Y173" s="12" t="s">
        <v>75</v>
      </c>
      <c r="Z173" s="12"/>
      <c r="AA173" s="12" t="s">
        <v>2658</v>
      </c>
      <c r="AB173" s="13" t="s">
        <v>967</v>
      </c>
      <c r="AC173" s="14">
        <v>45894</v>
      </c>
      <c r="AD173" s="15">
        <v>35</v>
      </c>
      <c r="AE173" s="176" t="s">
        <v>3226</v>
      </c>
      <c r="AF173" s="12">
        <v>371008847</v>
      </c>
      <c r="AG173" s="12" t="s">
        <v>77</v>
      </c>
      <c r="AH173" s="12" t="s">
        <v>105</v>
      </c>
      <c r="AI173" s="14">
        <v>45901</v>
      </c>
      <c r="AJ173" s="14">
        <v>45901</v>
      </c>
      <c r="AK173" s="14">
        <v>45901</v>
      </c>
      <c r="AL173" s="14">
        <v>45959</v>
      </c>
      <c r="AM173" s="14"/>
      <c r="AN173" s="14">
        <v>45959</v>
      </c>
      <c r="AO173" s="91" t="s">
        <v>66</v>
      </c>
      <c r="AP173" s="12" t="s">
        <v>3082</v>
      </c>
      <c r="AQ173" s="12"/>
      <c r="AR173" s="12" t="s">
        <v>3190</v>
      </c>
      <c r="AS173" s="12" t="s">
        <v>3191</v>
      </c>
      <c r="AT173" s="12" t="s">
        <v>3192</v>
      </c>
      <c r="AU173" s="12">
        <v>59</v>
      </c>
      <c r="AV173" s="12" t="s">
        <v>83</v>
      </c>
      <c r="AW173" s="12">
        <v>8</v>
      </c>
      <c r="AX173" s="12">
        <v>65</v>
      </c>
      <c r="AY173" s="14">
        <v>45901</v>
      </c>
      <c r="AZ173" s="14">
        <v>45959</v>
      </c>
      <c r="BA173" s="12" t="e">
        <v>#N/A</v>
      </c>
      <c r="BB173" s="14" t="s">
        <v>2480</v>
      </c>
      <c r="BC173" s="14">
        <v>45973</v>
      </c>
      <c r="BD173" s="16">
        <v>2025</v>
      </c>
      <c r="BE173" s="16">
        <v>11</v>
      </c>
      <c r="BF173" s="16">
        <v>46</v>
      </c>
      <c r="BG173" s="191">
        <v>36</v>
      </c>
      <c r="BH173" s="191">
        <v>936</v>
      </c>
    </row>
    <row r="174" spans="1:60" s="175" customFormat="1" ht="10">
      <c r="A174" s="172" t="s">
        <v>3227</v>
      </c>
      <c r="B174" s="41" t="s">
        <v>61</v>
      </c>
      <c r="C174" s="41" t="s">
        <v>2714</v>
      </c>
      <c r="D174" s="41" t="s">
        <v>63</v>
      </c>
      <c r="E174" s="12" t="s">
        <v>68</v>
      </c>
      <c r="F174" s="12" t="s">
        <v>68</v>
      </c>
      <c r="G174" s="41"/>
      <c r="H174" s="41" t="s">
        <v>66</v>
      </c>
      <c r="I174" s="41" t="s">
        <v>452</v>
      </c>
      <c r="J174" s="173" t="s">
        <v>68</v>
      </c>
      <c r="K174" s="41">
        <v>20519181</v>
      </c>
      <c r="L174" s="13" t="s">
        <v>2831</v>
      </c>
      <c r="M174" s="41" t="s">
        <v>68</v>
      </c>
      <c r="N174" s="184"/>
      <c r="O174" s="41" t="s">
        <v>2475</v>
      </c>
      <c r="P174" s="41" t="s">
        <v>70</v>
      </c>
      <c r="Q174" s="41" t="s">
        <v>195</v>
      </c>
      <c r="R174" s="41">
        <v>554473</v>
      </c>
      <c r="S174" s="41" t="s">
        <v>196</v>
      </c>
      <c r="T174" s="208">
        <v>450</v>
      </c>
      <c r="U174" s="208">
        <v>1872</v>
      </c>
      <c r="V174" s="41">
        <v>0.84240000000000004</v>
      </c>
      <c r="W174" s="201">
        <v>52</v>
      </c>
      <c r="X174" s="255">
        <v>2</v>
      </c>
      <c r="Y174" s="41" t="s">
        <v>75</v>
      </c>
      <c r="Z174" s="41"/>
      <c r="AA174" s="12" t="s">
        <v>2658</v>
      </c>
      <c r="AB174" s="13" t="s">
        <v>967</v>
      </c>
      <c r="AC174" s="37">
        <v>45900</v>
      </c>
      <c r="AD174" s="174">
        <v>35</v>
      </c>
      <c r="AE174" s="287" t="s">
        <v>3228</v>
      </c>
      <c r="AF174" s="41">
        <v>371008867</v>
      </c>
      <c r="AG174" s="41" t="s">
        <v>77</v>
      </c>
      <c r="AH174" s="41" t="s">
        <v>456</v>
      </c>
      <c r="AI174" s="37">
        <v>45906</v>
      </c>
      <c r="AJ174" s="37">
        <v>45906</v>
      </c>
      <c r="AK174" s="37">
        <v>45906</v>
      </c>
      <c r="AL174" s="37">
        <v>45960</v>
      </c>
      <c r="AM174" s="37"/>
      <c r="AN174" s="37">
        <v>45960</v>
      </c>
      <c r="AO174" s="86" t="s">
        <v>66</v>
      </c>
      <c r="AP174" s="41" t="s">
        <v>3139</v>
      </c>
      <c r="AQ174" s="41"/>
      <c r="AR174" s="41" t="s">
        <v>3229</v>
      </c>
      <c r="AS174" s="41" t="s">
        <v>3230</v>
      </c>
      <c r="AT174" s="41" t="s">
        <v>3231</v>
      </c>
      <c r="AU174" s="41">
        <v>55</v>
      </c>
      <c r="AV174" s="41" t="s">
        <v>83</v>
      </c>
      <c r="AW174" s="12">
        <v>8</v>
      </c>
      <c r="AX174" s="41">
        <v>60</v>
      </c>
      <c r="AY174" s="37">
        <v>45906</v>
      </c>
      <c r="AZ174" s="37">
        <v>45960</v>
      </c>
      <c r="BA174" s="41" t="e">
        <v>#N/A</v>
      </c>
      <c r="BB174" s="37" t="s">
        <v>2480</v>
      </c>
      <c r="BC174" s="37">
        <v>45974</v>
      </c>
      <c r="BD174" s="219">
        <v>2025</v>
      </c>
      <c r="BE174" s="219">
        <v>11</v>
      </c>
      <c r="BF174" s="219">
        <v>46</v>
      </c>
      <c r="BG174" s="219">
        <v>36</v>
      </c>
      <c r="BH174" s="219">
        <v>936</v>
      </c>
    </row>
    <row r="175" spans="1:60" s="23" customFormat="1" ht="10">
      <c r="A175" s="11" t="s">
        <v>3232</v>
      </c>
      <c r="B175" s="12" t="s">
        <v>61</v>
      </c>
      <c r="C175" s="12" t="s">
        <v>3115</v>
      </c>
      <c r="D175" s="12" t="s">
        <v>63</v>
      </c>
      <c r="E175" s="12" t="s">
        <v>68</v>
      </c>
      <c r="F175" s="12" t="s">
        <v>68</v>
      </c>
      <c r="G175" s="12"/>
      <c r="H175" s="12" t="s">
        <v>146</v>
      </c>
      <c r="I175" s="12" t="s">
        <v>2665</v>
      </c>
      <c r="J175" s="34" t="s">
        <v>68</v>
      </c>
      <c r="K175" s="12">
        <v>46010831</v>
      </c>
      <c r="L175" s="13" t="s">
        <v>2666</v>
      </c>
      <c r="M175" s="12" t="s">
        <v>68</v>
      </c>
      <c r="N175" s="182"/>
      <c r="O175" s="12" t="s">
        <v>2475</v>
      </c>
      <c r="P175" s="12" t="s">
        <v>70</v>
      </c>
      <c r="Q175" s="12" t="s">
        <v>860</v>
      </c>
      <c r="R175" s="12">
        <v>554479</v>
      </c>
      <c r="S175" s="12" t="s">
        <v>861</v>
      </c>
      <c r="T175" s="206">
        <v>445</v>
      </c>
      <c r="U175" s="206">
        <v>936</v>
      </c>
      <c r="V175" s="12">
        <v>0.41652</v>
      </c>
      <c r="W175" s="198">
        <v>26</v>
      </c>
      <c r="X175" s="254">
        <v>1</v>
      </c>
      <c r="Y175" s="12" t="s">
        <v>75</v>
      </c>
      <c r="AA175" s="12" t="s">
        <v>94</v>
      </c>
      <c r="AB175" s="32" t="s">
        <v>967</v>
      </c>
      <c r="AC175" s="14">
        <v>45894</v>
      </c>
      <c r="AD175" s="15">
        <v>35</v>
      </c>
      <c r="AE175" s="176" t="s">
        <v>3233</v>
      </c>
      <c r="AF175" s="12">
        <v>371008838</v>
      </c>
      <c r="AG175" s="12" t="s">
        <v>77</v>
      </c>
      <c r="AH175" s="12" t="s">
        <v>78</v>
      </c>
      <c r="AI175" s="14">
        <v>45901</v>
      </c>
      <c r="AJ175" s="14">
        <v>45901</v>
      </c>
      <c r="AK175" s="14">
        <v>45901</v>
      </c>
      <c r="AL175" s="14">
        <v>45984</v>
      </c>
      <c r="AM175" s="14"/>
      <c r="AN175" s="14">
        <v>45985</v>
      </c>
      <c r="AO175" s="91" t="s">
        <v>146</v>
      </c>
      <c r="AP175" s="12" t="s">
        <v>3082</v>
      </c>
      <c r="AQ175" s="12"/>
      <c r="AR175" s="12" t="s">
        <v>3234</v>
      </c>
      <c r="AS175" s="12" t="s">
        <v>3235</v>
      </c>
      <c r="AT175" s="12" t="s">
        <v>3235</v>
      </c>
      <c r="AU175" s="12">
        <v>84</v>
      </c>
      <c r="AV175" s="12" t="s">
        <v>2493</v>
      </c>
      <c r="AW175" s="12">
        <v>8</v>
      </c>
      <c r="AX175" s="12">
        <v>91</v>
      </c>
      <c r="AY175" s="14">
        <v>45901</v>
      </c>
      <c r="AZ175" s="14">
        <v>45985</v>
      </c>
      <c r="BA175" s="12" t="e">
        <v>#N/A</v>
      </c>
      <c r="BB175" s="14" t="s">
        <v>2480</v>
      </c>
      <c r="BC175" s="14">
        <v>45999</v>
      </c>
      <c r="BD175" s="16">
        <v>2025</v>
      </c>
      <c r="BE175" s="16">
        <v>12</v>
      </c>
      <c r="BF175" s="16">
        <v>50</v>
      </c>
      <c r="BG175" s="191">
        <v>36</v>
      </c>
      <c r="BH175" s="191">
        <v>936</v>
      </c>
    </row>
    <row r="176" spans="1:60" s="23" customFormat="1" ht="10">
      <c r="A176" s="11" t="s">
        <v>3236</v>
      </c>
      <c r="B176" s="12" t="s">
        <v>111</v>
      </c>
      <c r="C176" s="12" t="s">
        <v>2697</v>
      </c>
      <c r="D176" s="12" t="s">
        <v>63</v>
      </c>
      <c r="E176" s="12" t="s">
        <v>64</v>
      </c>
      <c r="F176" s="12" t="s">
        <v>100</v>
      </c>
      <c r="G176" s="12" t="s">
        <v>67</v>
      </c>
      <c r="H176" s="12" t="s">
        <v>66</v>
      </c>
      <c r="I176" s="12" t="s">
        <v>96</v>
      </c>
      <c r="J176" s="34" t="s">
        <v>68</v>
      </c>
      <c r="K176" s="12"/>
      <c r="L176" s="13" t="s">
        <v>2474</v>
      </c>
      <c r="M176" s="213" t="s">
        <v>68</v>
      </c>
      <c r="N176" s="182"/>
      <c r="O176" s="12" t="s">
        <v>2475</v>
      </c>
      <c r="P176" s="12" t="s">
        <v>550</v>
      </c>
      <c r="Q176" s="12" t="s">
        <v>2699</v>
      </c>
      <c r="R176" s="12">
        <v>553120</v>
      </c>
      <c r="S176" s="12" t="s">
        <v>2700</v>
      </c>
      <c r="T176" s="206">
        <v>500</v>
      </c>
      <c r="U176" s="206">
        <v>1584</v>
      </c>
      <c r="V176" s="12">
        <v>0.79200000000000004</v>
      </c>
      <c r="W176" s="198">
        <v>44</v>
      </c>
      <c r="X176" s="254">
        <v>2</v>
      </c>
      <c r="Y176" s="12" t="s">
        <v>75</v>
      </c>
      <c r="Z176" s="12"/>
      <c r="AA176" s="12" t="s">
        <v>85</v>
      </c>
      <c r="AB176" s="13" t="s">
        <v>2136</v>
      </c>
      <c r="AC176" s="14">
        <v>45907</v>
      </c>
      <c r="AD176" s="15">
        <v>36</v>
      </c>
      <c r="AE176" s="176" t="s">
        <v>3237</v>
      </c>
      <c r="AF176" s="12">
        <v>371008908</v>
      </c>
      <c r="AG176" s="12" t="s">
        <v>122</v>
      </c>
      <c r="AH176" s="12" t="s">
        <v>105</v>
      </c>
      <c r="AI176" s="14">
        <v>45914</v>
      </c>
      <c r="AJ176" s="14">
        <v>45914</v>
      </c>
      <c r="AK176" s="14">
        <v>45914</v>
      </c>
      <c r="AL176" s="14">
        <v>45968</v>
      </c>
      <c r="AM176" s="14"/>
      <c r="AN176" s="14">
        <v>45968</v>
      </c>
      <c r="AO176" s="91" t="s">
        <v>66</v>
      </c>
      <c r="AP176" s="12" t="s">
        <v>3238</v>
      </c>
      <c r="AQ176" s="12"/>
      <c r="AR176" s="12" t="s">
        <v>3239</v>
      </c>
      <c r="AS176" s="12" t="s">
        <v>3240</v>
      </c>
      <c r="AT176" s="12" t="s">
        <v>3240</v>
      </c>
      <c r="AU176" s="12">
        <v>55</v>
      </c>
      <c r="AV176" s="12" t="s">
        <v>83</v>
      </c>
      <c r="AW176" s="12">
        <v>5</v>
      </c>
      <c r="AX176" s="12">
        <v>61</v>
      </c>
      <c r="AY176" s="14">
        <v>45914</v>
      </c>
      <c r="AZ176" s="14">
        <v>45968</v>
      </c>
      <c r="BA176" s="12" t="e">
        <v>#N/A</v>
      </c>
      <c r="BB176" s="14" t="s">
        <v>2480</v>
      </c>
      <c r="BC176" s="14">
        <v>45982</v>
      </c>
      <c r="BD176" s="16">
        <v>2025</v>
      </c>
      <c r="BE176" s="16">
        <v>11</v>
      </c>
      <c r="BF176" s="16">
        <v>47</v>
      </c>
      <c r="BG176" s="191">
        <v>36</v>
      </c>
      <c r="BH176" s="191">
        <v>792</v>
      </c>
    </row>
    <row r="177" spans="1:60" s="23" customFormat="1" ht="10">
      <c r="A177" s="11" t="s">
        <v>3241</v>
      </c>
      <c r="B177" s="12" t="s">
        <v>61</v>
      </c>
      <c r="C177" s="12" t="s">
        <v>3242</v>
      </c>
      <c r="D177" s="12" t="s">
        <v>63</v>
      </c>
      <c r="E177" s="12" t="s">
        <v>68</v>
      </c>
      <c r="F177" s="12" t="s">
        <v>68</v>
      </c>
      <c r="G177" s="12"/>
      <c r="H177" s="12" t="s">
        <v>66</v>
      </c>
      <c r="I177" s="12" t="s">
        <v>3006</v>
      </c>
      <c r="J177" s="34" t="s">
        <v>68</v>
      </c>
      <c r="K177" s="12">
        <v>19143062</v>
      </c>
      <c r="L177" s="13" t="s">
        <v>2497</v>
      </c>
      <c r="M177" s="12" t="s">
        <v>68</v>
      </c>
      <c r="N177" s="182"/>
      <c r="O177" s="12" t="s">
        <v>2475</v>
      </c>
      <c r="P177" s="12" t="s">
        <v>70</v>
      </c>
      <c r="Q177" s="12" t="s">
        <v>420</v>
      </c>
      <c r="R177" s="12">
        <v>554476</v>
      </c>
      <c r="S177" s="12" t="s">
        <v>421</v>
      </c>
      <c r="T177" s="206">
        <v>505</v>
      </c>
      <c r="U177" s="206">
        <v>1728</v>
      </c>
      <c r="V177" s="12">
        <v>0.87263999999999997</v>
      </c>
      <c r="W177" s="198">
        <v>48</v>
      </c>
      <c r="X177" s="254">
        <v>2</v>
      </c>
      <c r="Y177" s="12" t="s">
        <v>75</v>
      </c>
      <c r="Z177" s="12"/>
      <c r="AA177" s="12" t="s">
        <v>2658</v>
      </c>
      <c r="AB177" s="13" t="s">
        <v>992</v>
      </c>
      <c r="AC177" s="14">
        <v>45901</v>
      </c>
      <c r="AD177" s="15">
        <v>36</v>
      </c>
      <c r="AE177" s="176" t="s">
        <v>3243</v>
      </c>
      <c r="AF177" s="12">
        <v>371008885</v>
      </c>
      <c r="AG177" s="12" t="s">
        <v>77</v>
      </c>
      <c r="AH177" s="12" t="s">
        <v>314</v>
      </c>
      <c r="AI177" s="14">
        <v>45906</v>
      </c>
      <c r="AJ177" s="14">
        <v>45906</v>
      </c>
      <c r="AK177" s="14">
        <v>45906</v>
      </c>
      <c r="AL177" s="14">
        <v>45979</v>
      </c>
      <c r="AM177" s="14"/>
      <c r="AN177" s="14">
        <v>45980</v>
      </c>
      <c r="AO177" s="91" t="s">
        <v>66</v>
      </c>
      <c r="AP177" s="12" t="s">
        <v>3139</v>
      </c>
      <c r="AQ177" s="12"/>
      <c r="AR177" s="12" t="s">
        <v>3244</v>
      </c>
      <c r="AS177" s="12" t="s">
        <v>3245</v>
      </c>
      <c r="AT177" s="12" t="s">
        <v>3245</v>
      </c>
      <c r="AU177" s="12">
        <v>74</v>
      </c>
      <c r="AV177" s="12" t="s">
        <v>83</v>
      </c>
      <c r="AW177" s="12">
        <v>5</v>
      </c>
      <c r="AX177" s="12">
        <v>79</v>
      </c>
      <c r="AY177" s="14">
        <v>45906</v>
      </c>
      <c r="AZ177" s="14">
        <v>45980</v>
      </c>
      <c r="BA177" s="12" t="e">
        <v>#N/A</v>
      </c>
      <c r="BB177" s="14" t="s">
        <v>2480</v>
      </c>
      <c r="BC177" s="14">
        <v>45994</v>
      </c>
      <c r="BD177" s="16">
        <v>2025</v>
      </c>
      <c r="BE177" s="16">
        <v>12</v>
      </c>
      <c r="BF177" s="16">
        <v>49</v>
      </c>
      <c r="BG177" s="191">
        <v>36</v>
      </c>
      <c r="BH177" s="191">
        <v>864</v>
      </c>
    </row>
    <row r="178" spans="1:60" s="23" customFormat="1" ht="10">
      <c r="A178" s="11" t="s">
        <v>3246</v>
      </c>
      <c r="B178" s="12" t="s">
        <v>61</v>
      </c>
      <c r="C178" s="12" t="s">
        <v>3242</v>
      </c>
      <c r="D178" s="12" t="s">
        <v>63</v>
      </c>
      <c r="E178" s="12" t="s">
        <v>68</v>
      </c>
      <c r="F178" s="12" t="s">
        <v>68</v>
      </c>
      <c r="G178" s="12"/>
      <c r="H178" s="12" t="s">
        <v>66</v>
      </c>
      <c r="I178" s="12" t="s">
        <v>2763</v>
      </c>
      <c r="J178" s="34" t="s">
        <v>68</v>
      </c>
      <c r="K178" s="12">
        <v>19142965</v>
      </c>
      <c r="L178" s="13" t="s">
        <v>2497</v>
      </c>
      <c r="M178" s="12" t="s">
        <v>68</v>
      </c>
      <c r="N178" s="182"/>
      <c r="O178" s="12" t="s">
        <v>2475</v>
      </c>
      <c r="P178" s="12" t="s">
        <v>70</v>
      </c>
      <c r="Q178" s="12" t="s">
        <v>420</v>
      </c>
      <c r="R178" s="12">
        <v>554476</v>
      </c>
      <c r="S178" s="12" t="s">
        <v>421</v>
      </c>
      <c r="T178" s="206">
        <v>505</v>
      </c>
      <c r="U178" s="206">
        <v>4320</v>
      </c>
      <c r="V178" s="12">
        <v>2.1816</v>
      </c>
      <c r="W178" s="198">
        <v>120</v>
      </c>
      <c r="X178" s="254">
        <v>5</v>
      </c>
      <c r="Y178" s="12" t="s">
        <v>75</v>
      </c>
      <c r="Z178" s="12"/>
      <c r="AA178" s="12" t="s">
        <v>2658</v>
      </c>
      <c r="AB178" s="13" t="s">
        <v>992</v>
      </c>
      <c r="AC178" s="14">
        <v>45901</v>
      </c>
      <c r="AD178" s="15">
        <v>36</v>
      </c>
      <c r="AE178" s="176" t="s">
        <v>3247</v>
      </c>
      <c r="AF178" s="12">
        <v>371008886</v>
      </c>
      <c r="AG178" s="12" t="s">
        <v>77</v>
      </c>
      <c r="AH178" s="12" t="s">
        <v>1561</v>
      </c>
      <c r="AI178" s="14">
        <v>45906</v>
      </c>
      <c r="AJ178" s="14">
        <v>45906</v>
      </c>
      <c r="AK178" s="14">
        <v>45906</v>
      </c>
      <c r="AL178" s="14">
        <v>45979</v>
      </c>
      <c r="AM178" s="14"/>
      <c r="AN178" s="14">
        <v>45980</v>
      </c>
      <c r="AO178" s="91" t="s">
        <v>66</v>
      </c>
      <c r="AP178" s="12" t="s">
        <v>3139</v>
      </c>
      <c r="AQ178" s="12"/>
      <c r="AR178" s="12" t="s">
        <v>3248</v>
      </c>
      <c r="AS178" s="12" t="s">
        <v>3249</v>
      </c>
      <c r="AT178" s="12" t="s">
        <v>3249</v>
      </c>
      <c r="AU178" s="12">
        <v>74</v>
      </c>
      <c r="AV178" s="12" t="s">
        <v>83</v>
      </c>
      <c r="AW178" s="12">
        <v>5</v>
      </c>
      <c r="AX178" s="12">
        <v>79</v>
      </c>
      <c r="AY178" s="14">
        <v>45906</v>
      </c>
      <c r="AZ178" s="14">
        <v>45980</v>
      </c>
      <c r="BA178" s="12" t="e">
        <v>#N/A</v>
      </c>
      <c r="BB178" s="14" t="s">
        <v>2480</v>
      </c>
      <c r="BC178" s="14">
        <v>45994</v>
      </c>
      <c r="BD178" s="16">
        <v>2025</v>
      </c>
      <c r="BE178" s="16">
        <v>12</v>
      </c>
      <c r="BF178" s="16">
        <v>49</v>
      </c>
      <c r="BG178" s="191">
        <v>36</v>
      </c>
      <c r="BH178" s="191">
        <v>864</v>
      </c>
    </row>
    <row r="179" spans="1:60" s="23" customFormat="1" ht="10">
      <c r="A179" s="11" t="s">
        <v>3250</v>
      </c>
      <c r="B179" s="12" t="s">
        <v>61</v>
      </c>
      <c r="C179" s="12" t="s">
        <v>3182</v>
      </c>
      <c r="D179" s="12" t="s">
        <v>63</v>
      </c>
      <c r="E179" s="12" t="s">
        <v>68</v>
      </c>
      <c r="F179" s="12" t="s">
        <v>68</v>
      </c>
      <c r="G179" s="12"/>
      <c r="H179" s="12" t="s">
        <v>66</v>
      </c>
      <c r="I179" s="12" t="s">
        <v>3221</v>
      </c>
      <c r="J179" s="34" t="s">
        <v>68</v>
      </c>
      <c r="K179" s="12">
        <v>20519178</v>
      </c>
      <c r="L179" s="13" t="s">
        <v>2831</v>
      </c>
      <c r="M179" s="12" t="s">
        <v>68</v>
      </c>
      <c r="N179" s="182"/>
      <c r="O179" s="12" t="s">
        <v>2475</v>
      </c>
      <c r="P179" s="12" t="s">
        <v>70</v>
      </c>
      <c r="Q179" s="12" t="s">
        <v>102</v>
      </c>
      <c r="R179" s="12">
        <v>554245</v>
      </c>
      <c r="S179" s="12" t="s">
        <v>103</v>
      </c>
      <c r="T179" s="206">
        <v>620</v>
      </c>
      <c r="U179" s="206">
        <v>5760</v>
      </c>
      <c r="V179" s="12">
        <v>3.5712000000000002</v>
      </c>
      <c r="W179" s="198">
        <v>160</v>
      </c>
      <c r="X179" s="254">
        <v>8</v>
      </c>
      <c r="Y179" s="12" t="s">
        <v>75</v>
      </c>
      <c r="Z179" s="12"/>
      <c r="AA179" s="12" t="s">
        <v>108</v>
      </c>
      <c r="AB179" s="13" t="s">
        <v>967</v>
      </c>
      <c r="AC179" s="14">
        <v>45907</v>
      </c>
      <c r="AD179" s="15">
        <v>36</v>
      </c>
      <c r="AE179" s="176" t="s">
        <v>3251</v>
      </c>
      <c r="AF179" s="12">
        <v>371008917</v>
      </c>
      <c r="AG179" s="12" t="s">
        <v>77</v>
      </c>
      <c r="AH179" s="12" t="s">
        <v>456</v>
      </c>
      <c r="AI179" s="14">
        <v>45914</v>
      </c>
      <c r="AJ179" s="14">
        <v>45914</v>
      </c>
      <c r="AK179" s="14">
        <v>45914</v>
      </c>
      <c r="AL179" s="14">
        <v>45967</v>
      </c>
      <c r="AM179" s="14"/>
      <c r="AN179" s="14">
        <v>45967</v>
      </c>
      <c r="AO179" s="91" t="s">
        <v>66</v>
      </c>
      <c r="AP179" s="12" t="s">
        <v>3252</v>
      </c>
      <c r="AQ179" s="12"/>
      <c r="AR179" s="12" t="s">
        <v>3253</v>
      </c>
      <c r="AS179" s="12" t="s">
        <v>3254</v>
      </c>
      <c r="AT179" s="12" t="s">
        <v>3254</v>
      </c>
      <c r="AU179" s="12">
        <v>54</v>
      </c>
      <c r="AV179" s="12" t="s">
        <v>83</v>
      </c>
      <c r="AW179" s="12">
        <v>5</v>
      </c>
      <c r="AX179" s="12">
        <v>60</v>
      </c>
      <c r="AY179" s="14">
        <v>45914</v>
      </c>
      <c r="AZ179" s="14">
        <v>45967</v>
      </c>
      <c r="BA179" s="12" t="e">
        <v>#N/A</v>
      </c>
      <c r="BB179" s="14" t="s">
        <v>2480</v>
      </c>
      <c r="BC179" s="14">
        <v>45981</v>
      </c>
      <c r="BD179" s="16">
        <v>2025</v>
      </c>
      <c r="BE179" s="16">
        <v>11</v>
      </c>
      <c r="BF179" s="16">
        <v>47</v>
      </c>
      <c r="BG179" s="191">
        <v>36</v>
      </c>
      <c r="BH179" s="191">
        <v>720</v>
      </c>
    </row>
    <row r="180" spans="1:60" s="23" customFormat="1" ht="10">
      <c r="A180" s="11" t="s">
        <v>3255</v>
      </c>
      <c r="B180" s="12" t="s">
        <v>61</v>
      </c>
      <c r="C180" s="12" t="s">
        <v>3158</v>
      </c>
      <c r="D180" s="12" t="s">
        <v>63</v>
      </c>
      <c r="E180" s="12" t="s">
        <v>68</v>
      </c>
      <c r="F180" s="12" t="s">
        <v>68</v>
      </c>
      <c r="G180" s="12"/>
      <c r="H180" s="12" t="s">
        <v>66</v>
      </c>
      <c r="I180" s="12" t="s">
        <v>2538</v>
      </c>
      <c r="J180" s="34" t="s">
        <v>68</v>
      </c>
      <c r="K180" s="12">
        <v>19143078</v>
      </c>
      <c r="L180" s="13" t="s">
        <v>2497</v>
      </c>
      <c r="M180" s="12" t="s">
        <v>68</v>
      </c>
      <c r="N180" s="182"/>
      <c r="O180" s="12" t="s">
        <v>2475</v>
      </c>
      <c r="P180" s="12" t="s">
        <v>70</v>
      </c>
      <c r="Q180" s="12" t="s">
        <v>71</v>
      </c>
      <c r="R180" s="12">
        <v>554475</v>
      </c>
      <c r="S180" s="12" t="s">
        <v>72</v>
      </c>
      <c r="T180" s="206">
        <v>500</v>
      </c>
      <c r="U180" s="206">
        <v>864</v>
      </c>
      <c r="V180" s="12">
        <v>0.432</v>
      </c>
      <c r="W180" s="198">
        <v>24</v>
      </c>
      <c r="X180" s="254">
        <v>1</v>
      </c>
      <c r="Y180" s="12" t="s">
        <v>75</v>
      </c>
      <c r="Z180" s="12"/>
      <c r="AA180" s="12" t="s">
        <v>2658</v>
      </c>
      <c r="AB180" s="13" t="s">
        <v>967</v>
      </c>
      <c r="AC180" s="14">
        <v>45901</v>
      </c>
      <c r="AD180" s="15">
        <v>36</v>
      </c>
      <c r="AE180" s="176" t="s">
        <v>3256</v>
      </c>
      <c r="AF180" s="12">
        <v>371008884</v>
      </c>
      <c r="AG180" s="12" t="s">
        <v>77</v>
      </c>
      <c r="AH180" s="12" t="s">
        <v>314</v>
      </c>
      <c r="AI180" s="14">
        <v>45906</v>
      </c>
      <c r="AJ180" s="14">
        <v>45906</v>
      </c>
      <c r="AK180" s="14">
        <v>45906</v>
      </c>
      <c r="AL180" s="14">
        <v>45979</v>
      </c>
      <c r="AM180" s="14"/>
      <c r="AN180" s="14">
        <v>45980</v>
      </c>
      <c r="AO180" s="91" t="s">
        <v>66</v>
      </c>
      <c r="AP180" s="12" t="s">
        <v>3139</v>
      </c>
      <c r="AQ180" s="12"/>
      <c r="AR180" s="12" t="s">
        <v>3244</v>
      </c>
      <c r="AS180" s="12" t="s">
        <v>3245</v>
      </c>
      <c r="AT180" s="12" t="s">
        <v>3245</v>
      </c>
      <c r="AU180" s="12">
        <v>74</v>
      </c>
      <c r="AV180" s="12" t="s">
        <v>83</v>
      </c>
      <c r="AW180" s="12">
        <v>10</v>
      </c>
      <c r="AX180" s="12">
        <v>79</v>
      </c>
      <c r="AY180" s="14">
        <v>45906</v>
      </c>
      <c r="AZ180" s="14">
        <v>45980</v>
      </c>
      <c r="BA180" s="12" t="e">
        <v>#N/A</v>
      </c>
      <c r="BB180" s="14" t="s">
        <v>2480</v>
      </c>
      <c r="BC180" s="14">
        <v>45994</v>
      </c>
      <c r="BD180" s="16">
        <v>2025</v>
      </c>
      <c r="BE180" s="16">
        <v>12</v>
      </c>
      <c r="BF180" s="16">
        <v>49</v>
      </c>
      <c r="BG180" s="191">
        <v>36</v>
      </c>
      <c r="BH180" s="191">
        <v>864</v>
      </c>
    </row>
    <row r="181" spans="1:60" s="23" customFormat="1" ht="10">
      <c r="A181" s="11" t="s">
        <v>3257</v>
      </c>
      <c r="B181" s="12" t="s">
        <v>61</v>
      </c>
      <c r="C181" s="12" t="s">
        <v>3158</v>
      </c>
      <c r="D181" s="12" t="s">
        <v>63</v>
      </c>
      <c r="E181" s="12" t="s">
        <v>68</v>
      </c>
      <c r="F181" s="12" t="s">
        <v>68</v>
      </c>
      <c r="G181" s="12"/>
      <c r="H181" s="12" t="s">
        <v>402</v>
      </c>
      <c r="I181" s="12" t="s">
        <v>3075</v>
      </c>
      <c r="J181" s="34" t="s">
        <v>68</v>
      </c>
      <c r="K181" s="12">
        <v>46010830</v>
      </c>
      <c r="L181" s="13" t="s">
        <v>2489</v>
      </c>
      <c r="M181" s="12" t="s">
        <v>68</v>
      </c>
      <c r="N181" s="182"/>
      <c r="O181" s="12" t="s">
        <v>2475</v>
      </c>
      <c r="P181" s="12" t="s">
        <v>70</v>
      </c>
      <c r="Q181" s="12" t="s">
        <v>71</v>
      </c>
      <c r="R181" s="12">
        <v>554475</v>
      </c>
      <c r="S181" s="12" t="s">
        <v>72</v>
      </c>
      <c r="T181" s="206">
        <v>500</v>
      </c>
      <c r="U181" s="206">
        <v>6912</v>
      </c>
      <c r="V181" s="12">
        <v>3.456</v>
      </c>
      <c r="W181" s="198">
        <v>192</v>
      </c>
      <c r="X181" s="254">
        <v>8</v>
      </c>
      <c r="Y181" s="12" t="s">
        <v>75</v>
      </c>
      <c r="Z181" s="12"/>
      <c r="AA181" s="12" t="s">
        <v>2658</v>
      </c>
      <c r="AB181" s="13" t="s">
        <v>967</v>
      </c>
      <c r="AC181" s="14">
        <v>45903</v>
      </c>
      <c r="AD181" s="15">
        <v>36</v>
      </c>
      <c r="AE181" s="176" t="s">
        <v>3258</v>
      </c>
      <c r="AF181" s="12">
        <v>371008888</v>
      </c>
      <c r="AG181" s="12" t="s">
        <v>77</v>
      </c>
      <c r="AH181" s="12" t="s">
        <v>888</v>
      </c>
      <c r="AI181" s="14">
        <v>45912</v>
      </c>
      <c r="AJ181" s="14">
        <v>45912</v>
      </c>
      <c r="AK181" s="14">
        <v>45912</v>
      </c>
      <c r="AL181" s="14">
        <v>45983</v>
      </c>
      <c r="AM181" s="14"/>
      <c r="AN181" s="14">
        <v>45985</v>
      </c>
      <c r="AO181" s="91" t="s">
        <v>402</v>
      </c>
      <c r="AP181" s="12" t="s">
        <v>3259</v>
      </c>
      <c r="AQ181" s="12"/>
      <c r="AR181" s="12" t="s">
        <v>3260</v>
      </c>
      <c r="AS181" s="12" t="s">
        <v>3261</v>
      </c>
      <c r="AT181" s="12" t="s">
        <v>3261</v>
      </c>
      <c r="AU181" s="12">
        <v>72</v>
      </c>
      <c r="AV181" s="12" t="s">
        <v>2493</v>
      </c>
      <c r="AW181" s="12">
        <v>10</v>
      </c>
      <c r="AX181" s="12">
        <v>82</v>
      </c>
      <c r="AY181" s="14">
        <v>45912</v>
      </c>
      <c r="AZ181" s="14">
        <v>45985</v>
      </c>
      <c r="BA181" s="12" t="e">
        <v>#N/A</v>
      </c>
      <c r="BB181" s="14" t="s">
        <v>2480</v>
      </c>
      <c r="BC181" s="14">
        <v>45999</v>
      </c>
      <c r="BD181" s="16">
        <v>2025</v>
      </c>
      <c r="BE181" s="16">
        <v>12</v>
      </c>
      <c r="BF181" s="16">
        <v>50</v>
      </c>
      <c r="BG181" s="191">
        <v>36</v>
      </c>
      <c r="BH181" s="191">
        <v>864</v>
      </c>
    </row>
    <row r="182" spans="1:60" s="23" customFormat="1" ht="10">
      <c r="A182" s="11" t="s">
        <v>3262</v>
      </c>
      <c r="B182" s="12" t="s">
        <v>61</v>
      </c>
      <c r="C182" s="12" t="s">
        <v>3158</v>
      </c>
      <c r="D182" s="12" t="s">
        <v>63</v>
      </c>
      <c r="E182" s="12" t="s">
        <v>68</v>
      </c>
      <c r="F182" s="12" t="s">
        <v>68</v>
      </c>
      <c r="G182" s="12"/>
      <c r="H182" s="12" t="s">
        <v>66</v>
      </c>
      <c r="I182" s="12" t="s">
        <v>2785</v>
      </c>
      <c r="J182" s="34" t="s">
        <v>68</v>
      </c>
      <c r="K182" s="12">
        <v>19143077</v>
      </c>
      <c r="L182" s="13" t="s">
        <v>2497</v>
      </c>
      <c r="M182" s="12" t="s">
        <v>68</v>
      </c>
      <c r="N182" s="182"/>
      <c r="O182" s="12" t="s">
        <v>2475</v>
      </c>
      <c r="P182" s="12" t="s">
        <v>70</v>
      </c>
      <c r="Q182" s="12" t="s">
        <v>71</v>
      </c>
      <c r="R182" s="12">
        <v>554475</v>
      </c>
      <c r="S182" s="12" t="s">
        <v>72</v>
      </c>
      <c r="T182" s="206">
        <v>500</v>
      </c>
      <c r="U182" s="206">
        <v>1728</v>
      </c>
      <c r="V182" s="12">
        <v>0.86399999999999999</v>
      </c>
      <c r="W182" s="198">
        <v>48</v>
      </c>
      <c r="X182" s="254">
        <v>2</v>
      </c>
      <c r="Y182" s="12" t="s">
        <v>75</v>
      </c>
      <c r="Z182" s="12"/>
      <c r="AA182" s="12" t="s">
        <v>2658</v>
      </c>
      <c r="AB182" s="13" t="s">
        <v>967</v>
      </c>
      <c r="AC182" s="14">
        <v>45901</v>
      </c>
      <c r="AD182" s="15">
        <v>36</v>
      </c>
      <c r="AE182" s="176" t="s">
        <v>3263</v>
      </c>
      <c r="AF182" s="12">
        <v>371008883</v>
      </c>
      <c r="AG182" s="12" t="s">
        <v>77</v>
      </c>
      <c r="AH182" s="12" t="s">
        <v>314</v>
      </c>
      <c r="AI182" s="14">
        <v>45906</v>
      </c>
      <c r="AJ182" s="14">
        <v>45906</v>
      </c>
      <c r="AK182" s="14">
        <v>45906</v>
      </c>
      <c r="AL182" s="14">
        <v>45979</v>
      </c>
      <c r="AM182" s="14"/>
      <c r="AN182" s="14">
        <v>45980</v>
      </c>
      <c r="AO182" s="91" t="s">
        <v>66</v>
      </c>
      <c r="AP182" s="12" t="s">
        <v>3139</v>
      </c>
      <c r="AQ182" s="12"/>
      <c r="AR182" s="12" t="s">
        <v>3244</v>
      </c>
      <c r="AS182" s="12" t="s">
        <v>3245</v>
      </c>
      <c r="AT182" s="12" t="s">
        <v>3245</v>
      </c>
      <c r="AU182" s="12">
        <v>74</v>
      </c>
      <c r="AV182" s="12" t="s">
        <v>83</v>
      </c>
      <c r="AW182" s="12">
        <v>10</v>
      </c>
      <c r="AX182" s="12">
        <v>79</v>
      </c>
      <c r="AY182" s="14">
        <v>45906</v>
      </c>
      <c r="AZ182" s="14">
        <v>45980</v>
      </c>
      <c r="BA182" s="12" t="e">
        <v>#N/A</v>
      </c>
      <c r="BB182" s="14" t="s">
        <v>2480</v>
      </c>
      <c r="BC182" s="14">
        <v>45994</v>
      </c>
      <c r="BD182" s="16">
        <v>2025</v>
      </c>
      <c r="BE182" s="16">
        <v>12</v>
      </c>
      <c r="BF182" s="16">
        <v>49</v>
      </c>
      <c r="BG182" s="191">
        <v>36</v>
      </c>
      <c r="BH182" s="191">
        <v>864</v>
      </c>
    </row>
    <row r="183" spans="1:60" s="23" customFormat="1" ht="10">
      <c r="A183" s="11" t="s">
        <v>3264</v>
      </c>
      <c r="B183" s="12" t="s">
        <v>61</v>
      </c>
      <c r="C183" s="12" t="s">
        <v>3158</v>
      </c>
      <c r="D183" s="12" t="s">
        <v>63</v>
      </c>
      <c r="E183" s="12" t="s">
        <v>68</v>
      </c>
      <c r="F183" s="12" t="s">
        <v>68</v>
      </c>
      <c r="G183" s="12"/>
      <c r="H183" s="12" t="s">
        <v>402</v>
      </c>
      <c r="I183" s="12" t="s">
        <v>3075</v>
      </c>
      <c r="J183" s="34" t="s">
        <v>68</v>
      </c>
      <c r="K183" s="12">
        <v>46010830</v>
      </c>
      <c r="L183" s="13" t="s">
        <v>2489</v>
      </c>
      <c r="M183" s="12" t="s">
        <v>68</v>
      </c>
      <c r="N183" s="182"/>
      <c r="O183" s="12" t="s">
        <v>2475</v>
      </c>
      <c r="P183" s="12" t="s">
        <v>70</v>
      </c>
      <c r="Q183" s="12" t="s">
        <v>71</v>
      </c>
      <c r="R183" s="12">
        <v>554475</v>
      </c>
      <c r="S183" s="12" t="s">
        <v>72</v>
      </c>
      <c r="T183" s="206">
        <v>500</v>
      </c>
      <c r="U183" s="206">
        <v>6048</v>
      </c>
      <c r="V183" s="12">
        <v>3.024</v>
      </c>
      <c r="W183" s="198">
        <v>168</v>
      </c>
      <c r="X183" s="254">
        <v>7</v>
      </c>
      <c r="Y183" s="12" t="s">
        <v>75</v>
      </c>
      <c r="Z183" s="12"/>
      <c r="AA183" s="12" t="s">
        <v>2658</v>
      </c>
      <c r="AB183" s="13" t="s">
        <v>967</v>
      </c>
      <c r="AC183" s="14">
        <v>45903</v>
      </c>
      <c r="AD183" s="15">
        <v>36</v>
      </c>
      <c r="AE183" s="176" t="s">
        <v>3265</v>
      </c>
      <c r="AF183" s="12">
        <v>371008889</v>
      </c>
      <c r="AG183" s="12" t="s">
        <v>77</v>
      </c>
      <c r="AH183" s="12" t="s">
        <v>888</v>
      </c>
      <c r="AI183" s="14">
        <v>45912</v>
      </c>
      <c r="AJ183" s="14">
        <v>45912</v>
      </c>
      <c r="AK183" s="14">
        <v>45912</v>
      </c>
      <c r="AL183" s="14">
        <v>45983</v>
      </c>
      <c r="AM183" s="14"/>
      <c r="AN183" s="14">
        <v>45985</v>
      </c>
      <c r="AO183" s="91" t="s">
        <v>402</v>
      </c>
      <c r="AP183" s="12" t="s">
        <v>3259</v>
      </c>
      <c r="AQ183" s="12"/>
      <c r="AR183" s="12" t="s">
        <v>3266</v>
      </c>
      <c r="AS183" s="12" t="s">
        <v>3267</v>
      </c>
      <c r="AT183" s="12" t="s">
        <v>3267</v>
      </c>
      <c r="AU183" s="12">
        <v>72</v>
      </c>
      <c r="AV183" s="12" t="s">
        <v>2493</v>
      </c>
      <c r="AW183" s="12">
        <v>10</v>
      </c>
      <c r="AX183" s="12">
        <v>82</v>
      </c>
      <c r="AY183" s="14">
        <v>45912</v>
      </c>
      <c r="AZ183" s="14">
        <v>45985</v>
      </c>
      <c r="BA183" s="12" t="e">
        <v>#N/A</v>
      </c>
      <c r="BB183" s="14" t="s">
        <v>2480</v>
      </c>
      <c r="BC183" s="14">
        <v>45999</v>
      </c>
      <c r="BD183" s="16">
        <v>2025</v>
      </c>
      <c r="BE183" s="16">
        <v>12</v>
      </c>
      <c r="BF183" s="16">
        <v>50</v>
      </c>
      <c r="BG183" s="191">
        <v>36</v>
      </c>
      <c r="BH183" s="191">
        <v>864</v>
      </c>
    </row>
    <row r="184" spans="1:60" s="23" customFormat="1" ht="10">
      <c r="A184" s="11" t="s">
        <v>3268</v>
      </c>
      <c r="B184" s="12" t="s">
        <v>111</v>
      </c>
      <c r="C184" s="12" t="s">
        <v>3148</v>
      </c>
      <c r="D184" s="12" t="s">
        <v>63</v>
      </c>
      <c r="E184" s="12" t="s">
        <v>64</v>
      </c>
      <c r="F184" s="12" t="s">
        <v>65</v>
      </c>
      <c r="G184" s="12" t="s">
        <v>67</v>
      </c>
      <c r="H184" s="12" t="s">
        <v>66</v>
      </c>
      <c r="I184" s="12" t="s">
        <v>96</v>
      </c>
      <c r="J184" s="34" t="s">
        <v>68</v>
      </c>
      <c r="K184" s="12"/>
      <c r="L184" s="13" t="s">
        <v>2474</v>
      </c>
      <c r="M184" s="213" t="s">
        <v>68</v>
      </c>
      <c r="N184" s="182"/>
      <c r="O184" s="12" t="s">
        <v>2475</v>
      </c>
      <c r="P184" s="12" t="s">
        <v>170</v>
      </c>
      <c r="Q184" s="12" t="s">
        <v>171</v>
      </c>
      <c r="R184" s="12">
        <v>552045</v>
      </c>
      <c r="S184" s="12" t="s">
        <v>172</v>
      </c>
      <c r="T184" s="206">
        <v>555</v>
      </c>
      <c r="U184" s="206">
        <v>3960</v>
      </c>
      <c r="V184" s="12">
        <v>2.1978</v>
      </c>
      <c r="W184" s="198">
        <v>120</v>
      </c>
      <c r="X184" s="254">
        <v>6</v>
      </c>
      <c r="Y184" s="12" t="s">
        <v>75</v>
      </c>
      <c r="Z184" s="12"/>
      <c r="AA184" s="12" t="s">
        <v>108</v>
      </c>
      <c r="AB184" s="13" t="s">
        <v>992</v>
      </c>
      <c r="AC184" s="14">
        <v>45905</v>
      </c>
      <c r="AD184" s="15">
        <v>36</v>
      </c>
      <c r="AE184" s="176" t="s">
        <v>3269</v>
      </c>
      <c r="AF184" s="12">
        <v>371008873</v>
      </c>
      <c r="AG184" s="12" t="s">
        <v>122</v>
      </c>
      <c r="AH184" s="12" t="s">
        <v>78</v>
      </c>
      <c r="AI184" s="14">
        <v>45913</v>
      </c>
      <c r="AJ184" s="14">
        <v>45913</v>
      </c>
      <c r="AK184" s="14">
        <v>45913</v>
      </c>
      <c r="AL184" s="14">
        <v>45964</v>
      </c>
      <c r="AM184" s="14"/>
      <c r="AN184" s="14">
        <v>45964</v>
      </c>
      <c r="AO184" s="91" t="s">
        <v>66</v>
      </c>
      <c r="AP184" s="12" t="s">
        <v>3270</v>
      </c>
      <c r="AQ184" s="12"/>
      <c r="AR184" s="12" t="s">
        <v>3271</v>
      </c>
      <c r="AS184" s="12" t="s">
        <v>3272</v>
      </c>
      <c r="AT184" s="12" t="s">
        <v>3272</v>
      </c>
      <c r="AU184" s="12">
        <v>52</v>
      </c>
      <c r="AV184" s="12" t="s">
        <v>83</v>
      </c>
      <c r="AW184" s="12">
        <v>9</v>
      </c>
      <c r="AX184" s="12">
        <v>59</v>
      </c>
      <c r="AY184" s="14">
        <v>45913</v>
      </c>
      <c r="AZ184" s="14">
        <v>45964</v>
      </c>
      <c r="BA184" s="12" t="e">
        <v>#N/A</v>
      </c>
      <c r="BB184" s="14" t="s">
        <v>2480</v>
      </c>
      <c r="BC184" s="14">
        <v>45978</v>
      </c>
      <c r="BD184" s="16">
        <v>2025</v>
      </c>
      <c r="BE184" s="16">
        <v>11</v>
      </c>
      <c r="BF184" s="16">
        <v>47</v>
      </c>
      <c r="BG184" s="191">
        <v>33</v>
      </c>
      <c r="BH184" s="191">
        <v>660</v>
      </c>
    </row>
    <row r="185" spans="1:60" s="23" customFormat="1" ht="10">
      <c r="A185" s="11" t="s">
        <v>3273</v>
      </c>
      <c r="B185" s="12" t="s">
        <v>111</v>
      </c>
      <c r="C185" s="12" t="s">
        <v>3148</v>
      </c>
      <c r="D185" s="12" t="s">
        <v>63</v>
      </c>
      <c r="E185" s="12" t="s">
        <v>68</v>
      </c>
      <c r="F185" s="12" t="s">
        <v>68</v>
      </c>
      <c r="G185" s="12"/>
      <c r="H185" s="12" t="s">
        <v>66</v>
      </c>
      <c r="I185" s="12" t="s">
        <v>96</v>
      </c>
      <c r="J185" s="34" t="s">
        <v>68</v>
      </c>
      <c r="K185" s="12"/>
      <c r="L185" s="13" t="s">
        <v>2482</v>
      </c>
      <c r="M185" s="12" t="s">
        <v>68</v>
      </c>
      <c r="N185" s="182"/>
      <c r="O185" s="12" t="s">
        <v>2475</v>
      </c>
      <c r="P185" s="12" t="s">
        <v>170</v>
      </c>
      <c r="Q185" s="12" t="s">
        <v>171</v>
      </c>
      <c r="R185" s="12">
        <v>552045</v>
      </c>
      <c r="S185" s="12" t="s">
        <v>172</v>
      </c>
      <c r="T185" s="206">
        <v>555</v>
      </c>
      <c r="U185" s="206">
        <v>1980</v>
      </c>
      <c r="V185" s="12">
        <v>1.0989</v>
      </c>
      <c r="W185" s="198">
        <v>60</v>
      </c>
      <c r="X185" s="254">
        <v>3</v>
      </c>
      <c r="Y185" s="12" t="s">
        <v>75</v>
      </c>
      <c r="Z185" s="12"/>
      <c r="AA185" s="12" t="s">
        <v>108</v>
      </c>
      <c r="AB185" s="13" t="s">
        <v>992</v>
      </c>
      <c r="AC185" s="14">
        <v>45904</v>
      </c>
      <c r="AD185" s="15">
        <v>36</v>
      </c>
      <c r="AE185" s="176" t="s">
        <v>3274</v>
      </c>
      <c r="AF185" s="12">
        <v>371008875</v>
      </c>
      <c r="AG185" s="12" t="s">
        <v>122</v>
      </c>
      <c r="AH185" s="12" t="s">
        <v>124</v>
      </c>
      <c r="AI185" s="14">
        <v>45910</v>
      </c>
      <c r="AJ185" s="14">
        <v>45910</v>
      </c>
      <c r="AK185" s="14">
        <v>45910</v>
      </c>
      <c r="AL185" s="14">
        <v>45962</v>
      </c>
      <c r="AM185" s="14"/>
      <c r="AN185" s="14">
        <v>45962</v>
      </c>
      <c r="AO185" s="91" t="s">
        <v>66</v>
      </c>
      <c r="AP185" s="12" t="s">
        <v>3275</v>
      </c>
      <c r="AQ185" s="12"/>
      <c r="AR185" s="12" t="s">
        <v>3276</v>
      </c>
      <c r="AS185" s="12" t="s">
        <v>3277</v>
      </c>
      <c r="AT185" s="12" t="s">
        <v>3277</v>
      </c>
      <c r="AU185" s="12">
        <v>53</v>
      </c>
      <c r="AV185" s="12" t="s">
        <v>83</v>
      </c>
      <c r="AW185" s="12">
        <v>9</v>
      </c>
      <c r="AX185" s="12">
        <v>58</v>
      </c>
      <c r="AY185" s="14">
        <v>45910</v>
      </c>
      <c r="AZ185" s="14">
        <v>45962</v>
      </c>
      <c r="BA185" s="12" t="e">
        <v>#N/A</v>
      </c>
      <c r="BB185" s="14" t="s">
        <v>2480</v>
      </c>
      <c r="BC185" s="14">
        <v>45976</v>
      </c>
      <c r="BD185" s="16">
        <v>2025</v>
      </c>
      <c r="BE185" s="16">
        <v>11</v>
      </c>
      <c r="BF185" s="16">
        <v>46</v>
      </c>
      <c r="BG185" s="191">
        <v>33</v>
      </c>
      <c r="BH185" s="191">
        <v>660</v>
      </c>
    </row>
    <row r="186" spans="1:60" s="23" customFormat="1" ht="10">
      <c r="A186" s="11" t="s">
        <v>3278</v>
      </c>
      <c r="B186" s="12" t="s">
        <v>111</v>
      </c>
      <c r="C186" s="12" t="s">
        <v>2609</v>
      </c>
      <c r="D186" s="12" t="s">
        <v>63</v>
      </c>
      <c r="E186" s="12" t="s">
        <v>68</v>
      </c>
      <c r="F186" s="12" t="s">
        <v>68</v>
      </c>
      <c r="G186" s="12"/>
      <c r="H186" s="12" t="s">
        <v>146</v>
      </c>
      <c r="I186" s="12" t="s">
        <v>3143</v>
      </c>
      <c r="J186" s="34" t="s">
        <v>68</v>
      </c>
      <c r="K186" s="12">
        <v>46010761</v>
      </c>
      <c r="L186" s="13" t="s">
        <v>2719</v>
      </c>
      <c r="M186" s="12" t="s">
        <v>68</v>
      </c>
      <c r="N186" s="182"/>
      <c r="O186" s="12" t="s">
        <v>2475</v>
      </c>
      <c r="P186" s="12" t="s">
        <v>2610</v>
      </c>
      <c r="Q186" s="12" t="s">
        <v>2611</v>
      </c>
      <c r="R186" s="12">
        <v>553098</v>
      </c>
      <c r="S186" s="12" t="s">
        <v>2612</v>
      </c>
      <c r="T186" s="206">
        <v>550</v>
      </c>
      <c r="U186" s="206">
        <v>660</v>
      </c>
      <c r="V186" s="12">
        <v>0.36299999999999999</v>
      </c>
      <c r="W186" s="198">
        <v>20</v>
      </c>
      <c r="X186" s="254">
        <v>1</v>
      </c>
      <c r="Y186" s="12" t="s">
        <v>75</v>
      </c>
      <c r="Z186" s="12"/>
      <c r="AA186" s="12" t="s">
        <v>108</v>
      </c>
      <c r="AB186" s="13" t="s">
        <v>992</v>
      </c>
      <c r="AC186" s="14">
        <v>45904</v>
      </c>
      <c r="AD186" s="15">
        <v>36</v>
      </c>
      <c r="AE186" s="176" t="s">
        <v>3279</v>
      </c>
      <c r="AF186" s="12">
        <v>371008887</v>
      </c>
      <c r="AG186" s="12" t="s">
        <v>122</v>
      </c>
      <c r="AH186" s="12" t="s">
        <v>105</v>
      </c>
      <c r="AI186" s="14">
        <v>45912</v>
      </c>
      <c r="AJ186" s="14">
        <v>45912</v>
      </c>
      <c r="AK186" s="14">
        <v>45912</v>
      </c>
      <c r="AL186" s="14">
        <v>45955</v>
      </c>
      <c r="AM186" s="14"/>
      <c r="AN186" s="14">
        <v>45955</v>
      </c>
      <c r="AO186" s="91" t="s">
        <v>146</v>
      </c>
      <c r="AP186" s="12" t="s">
        <v>3280</v>
      </c>
      <c r="AQ186" s="12"/>
      <c r="AR186" s="12">
        <v>46010761</v>
      </c>
      <c r="AS186" s="12" t="s">
        <v>3281</v>
      </c>
      <c r="AT186" s="12" t="s">
        <v>3281</v>
      </c>
      <c r="AU186" s="12">
        <v>44</v>
      </c>
      <c r="AV186" s="12" t="s">
        <v>3146</v>
      </c>
      <c r="AW186" s="12">
        <v>6</v>
      </c>
      <c r="AX186" s="12">
        <v>51</v>
      </c>
      <c r="AY186" s="14">
        <v>45912</v>
      </c>
      <c r="AZ186" s="14">
        <v>45955</v>
      </c>
      <c r="BA186" s="12" t="e">
        <v>#N/A</v>
      </c>
      <c r="BB186" s="14" t="s">
        <v>2480</v>
      </c>
      <c r="BC186" s="14">
        <v>45969</v>
      </c>
      <c r="BD186" s="16">
        <v>2025</v>
      </c>
      <c r="BE186" s="16">
        <v>11</v>
      </c>
      <c r="BF186" s="16">
        <v>45</v>
      </c>
      <c r="BG186" s="191">
        <v>33</v>
      </c>
      <c r="BH186" s="191">
        <v>660</v>
      </c>
    </row>
    <row r="187" spans="1:60" s="23" customFormat="1" ht="10">
      <c r="A187" s="33" t="s">
        <v>3282</v>
      </c>
      <c r="B187" s="12" t="s">
        <v>111</v>
      </c>
      <c r="C187" s="31" t="s">
        <v>282</v>
      </c>
      <c r="D187" s="12" t="s">
        <v>63</v>
      </c>
      <c r="E187" s="12" t="s">
        <v>68</v>
      </c>
      <c r="F187" s="12" t="s">
        <v>68</v>
      </c>
      <c r="G187" s="12"/>
      <c r="H187" s="12" t="s">
        <v>66</v>
      </c>
      <c r="I187" s="31" t="s">
        <v>812</v>
      </c>
      <c r="J187" s="34" t="s">
        <v>68</v>
      </c>
      <c r="K187" s="31">
        <v>20519221</v>
      </c>
      <c r="L187" s="34" t="s">
        <v>2831</v>
      </c>
      <c r="M187" s="12" t="s">
        <v>68</v>
      </c>
      <c r="N187" s="183"/>
      <c r="O187" s="12" t="s">
        <v>2529</v>
      </c>
      <c r="P187" s="31" t="s">
        <v>284</v>
      </c>
      <c r="Q187" s="12" t="s">
        <v>285</v>
      </c>
      <c r="R187" s="12">
        <v>554319</v>
      </c>
      <c r="S187" s="12" t="s">
        <v>286</v>
      </c>
      <c r="T187" s="206">
        <v>460</v>
      </c>
      <c r="U187" s="206">
        <v>962</v>
      </c>
      <c r="V187" s="12">
        <v>0.44252000000000002</v>
      </c>
      <c r="W187" s="199">
        <v>26</v>
      </c>
      <c r="X187" s="254">
        <v>1</v>
      </c>
      <c r="Y187" s="12" t="s">
        <v>75</v>
      </c>
      <c r="Z187" s="12"/>
      <c r="AA187" s="12" t="s">
        <v>85</v>
      </c>
      <c r="AB187" s="13" t="s">
        <v>992</v>
      </c>
      <c r="AC187" s="30">
        <v>45902</v>
      </c>
      <c r="AD187" s="35">
        <v>36</v>
      </c>
      <c r="AE187" s="176" t="s">
        <v>2530</v>
      </c>
      <c r="AF187" s="31">
        <v>371008869</v>
      </c>
      <c r="AG187" s="31" t="s">
        <v>288</v>
      </c>
      <c r="AH187" s="31" t="s">
        <v>456</v>
      </c>
      <c r="AI187" s="30">
        <v>45910</v>
      </c>
      <c r="AJ187" s="30">
        <v>45910</v>
      </c>
      <c r="AK187" s="30">
        <v>45910</v>
      </c>
      <c r="AL187" s="30">
        <v>45942</v>
      </c>
      <c r="AM187" s="30"/>
      <c r="AN187" s="30">
        <v>45942</v>
      </c>
      <c r="AO187" s="91" t="s">
        <v>66</v>
      </c>
      <c r="AP187" s="31" t="s">
        <v>3283</v>
      </c>
      <c r="AQ187" s="31"/>
      <c r="AR187" s="31" t="s">
        <v>3284</v>
      </c>
      <c r="AS187" s="31" t="s">
        <v>3285</v>
      </c>
      <c r="AT187" s="31" t="s">
        <v>3285</v>
      </c>
      <c r="AU187" s="31">
        <v>33</v>
      </c>
      <c r="AV187" s="31" t="s">
        <v>83</v>
      </c>
      <c r="AW187" s="12">
        <v>9</v>
      </c>
      <c r="AX187" s="12">
        <v>40</v>
      </c>
      <c r="AY187" s="14">
        <v>45910</v>
      </c>
      <c r="AZ187" s="14">
        <v>45942</v>
      </c>
      <c r="BA187" s="31" t="e">
        <v>#N/A</v>
      </c>
      <c r="BB187" s="30" t="s">
        <v>2480</v>
      </c>
      <c r="BC187" s="30">
        <v>45956</v>
      </c>
      <c r="BD187" s="191">
        <v>2025</v>
      </c>
      <c r="BE187" s="191">
        <v>10</v>
      </c>
      <c r="BF187" s="191">
        <v>43</v>
      </c>
      <c r="BG187" s="191">
        <v>37</v>
      </c>
      <c r="BH187" s="191">
        <v>962</v>
      </c>
    </row>
    <row r="188" spans="1:60" s="23" customFormat="1" ht="10">
      <c r="A188" s="11" t="s">
        <v>2863</v>
      </c>
      <c r="B188" s="12" t="s">
        <v>111</v>
      </c>
      <c r="C188" s="12" t="s">
        <v>203</v>
      </c>
      <c r="D188" s="12" t="s">
        <v>63</v>
      </c>
      <c r="E188" s="12" t="s">
        <v>64</v>
      </c>
      <c r="F188" s="12" t="s">
        <v>65</v>
      </c>
      <c r="G188" s="12" t="s">
        <v>67</v>
      </c>
      <c r="H188" s="12" t="s">
        <v>66</v>
      </c>
      <c r="I188" s="12" t="s">
        <v>96</v>
      </c>
      <c r="J188" s="34" t="s">
        <v>68</v>
      </c>
      <c r="K188" s="12"/>
      <c r="L188" s="13" t="s">
        <v>2474</v>
      </c>
      <c r="M188" s="213" t="s">
        <v>68</v>
      </c>
      <c r="N188" s="182"/>
      <c r="O188" s="12" t="s">
        <v>2475</v>
      </c>
      <c r="P188" s="12" t="s">
        <v>2610</v>
      </c>
      <c r="Q188" s="12" t="s">
        <v>2618</v>
      </c>
      <c r="R188" s="12">
        <v>553097</v>
      </c>
      <c r="S188" s="12" t="s">
        <v>2619</v>
      </c>
      <c r="T188" s="206">
        <v>555</v>
      </c>
      <c r="U188" s="206">
        <v>3960</v>
      </c>
      <c r="V188" s="12">
        <v>2.1978</v>
      </c>
      <c r="W188" s="198">
        <v>120</v>
      </c>
      <c r="X188" s="254">
        <v>6</v>
      </c>
      <c r="Y188" s="12" t="s">
        <v>75</v>
      </c>
      <c r="Z188" s="12"/>
      <c r="AA188" s="12" t="s">
        <v>108</v>
      </c>
      <c r="AB188" s="13" t="s">
        <v>992</v>
      </c>
      <c r="AC188" s="14">
        <v>45914</v>
      </c>
      <c r="AD188" s="15">
        <v>37</v>
      </c>
      <c r="AE188" s="176" t="s">
        <v>3286</v>
      </c>
      <c r="AF188" s="12">
        <v>371008916</v>
      </c>
      <c r="AG188" s="12" t="s">
        <v>122</v>
      </c>
      <c r="AH188" s="12" t="s">
        <v>78</v>
      </c>
      <c r="AI188" s="14">
        <v>45920</v>
      </c>
      <c r="AJ188" s="14">
        <v>45920</v>
      </c>
      <c r="AK188" s="14">
        <v>45920</v>
      </c>
      <c r="AL188" s="14">
        <v>45974</v>
      </c>
      <c r="AM188" s="14"/>
      <c r="AN188" s="14">
        <v>45974</v>
      </c>
      <c r="AO188" s="91" t="s">
        <v>66</v>
      </c>
      <c r="AP188" s="12" t="s">
        <v>3287</v>
      </c>
      <c r="AQ188" s="12"/>
      <c r="AR188" s="12" t="s">
        <v>3288</v>
      </c>
      <c r="AS188" s="12" t="s">
        <v>3289</v>
      </c>
      <c r="AT188" s="12" t="s">
        <v>3289</v>
      </c>
      <c r="AU188" s="12">
        <v>55</v>
      </c>
      <c r="AV188" s="12" t="s">
        <v>83</v>
      </c>
      <c r="AW188" s="12">
        <v>39</v>
      </c>
      <c r="AX188" s="12">
        <v>60</v>
      </c>
      <c r="AY188" s="14">
        <v>45920</v>
      </c>
      <c r="AZ188" s="14">
        <v>45974</v>
      </c>
      <c r="BA188" s="12" t="e">
        <v>#N/A</v>
      </c>
      <c r="BB188" s="14" t="s">
        <v>2480</v>
      </c>
      <c r="BC188" s="14">
        <v>45988</v>
      </c>
      <c r="BD188" s="16">
        <v>2025</v>
      </c>
      <c r="BE188" s="16">
        <v>11</v>
      </c>
      <c r="BF188" s="16">
        <v>48</v>
      </c>
      <c r="BG188" s="191">
        <v>33</v>
      </c>
      <c r="BH188" s="191">
        <v>660</v>
      </c>
    </row>
    <row r="189" spans="1:60" s="23" customFormat="1" ht="10">
      <c r="A189" s="11" t="s">
        <v>3290</v>
      </c>
      <c r="B189" s="12" t="s">
        <v>111</v>
      </c>
      <c r="C189" s="12" t="s">
        <v>2863</v>
      </c>
      <c r="D189" s="12" t="s">
        <v>63</v>
      </c>
      <c r="E189" s="12" t="s">
        <v>64</v>
      </c>
      <c r="F189" s="12" t="s">
        <v>65</v>
      </c>
      <c r="G189" s="12" t="s">
        <v>67</v>
      </c>
      <c r="H189" s="12" t="s">
        <v>66</v>
      </c>
      <c r="I189" s="12" t="s">
        <v>96</v>
      </c>
      <c r="J189" s="34" t="s">
        <v>68</v>
      </c>
      <c r="K189" s="12"/>
      <c r="L189" s="13" t="s">
        <v>2474</v>
      </c>
      <c r="M189" s="213" t="s">
        <v>68</v>
      </c>
      <c r="N189" s="182"/>
      <c r="O189" s="12" t="s">
        <v>2475</v>
      </c>
      <c r="P189" s="12" t="s">
        <v>2610</v>
      </c>
      <c r="Q189" s="12" t="s">
        <v>2618</v>
      </c>
      <c r="R189" s="12">
        <v>553097</v>
      </c>
      <c r="S189" s="12" t="s">
        <v>2619</v>
      </c>
      <c r="T189" s="206">
        <v>555</v>
      </c>
      <c r="U189" s="206">
        <v>3960</v>
      </c>
      <c r="V189" s="12">
        <v>2.1978</v>
      </c>
      <c r="W189" s="198">
        <v>120</v>
      </c>
      <c r="X189" s="254">
        <v>6</v>
      </c>
      <c r="Y189" s="12" t="s">
        <v>75</v>
      </c>
      <c r="Z189" s="12"/>
      <c r="AA189" s="12" t="s">
        <v>108</v>
      </c>
      <c r="AB189" s="13" t="s">
        <v>992</v>
      </c>
      <c r="AC189" s="14">
        <v>45910</v>
      </c>
      <c r="AD189" s="15">
        <v>37</v>
      </c>
      <c r="AE189" s="176" t="s">
        <v>3291</v>
      </c>
      <c r="AF189" s="12">
        <v>371008876</v>
      </c>
      <c r="AG189" s="12" t="s">
        <v>122</v>
      </c>
      <c r="AH189" s="12" t="s">
        <v>78</v>
      </c>
      <c r="AI189" s="14">
        <v>45915</v>
      </c>
      <c r="AJ189" s="14">
        <v>45915</v>
      </c>
      <c r="AK189" s="14">
        <v>45915</v>
      </c>
      <c r="AL189" s="14">
        <v>45972</v>
      </c>
      <c r="AM189" s="14"/>
      <c r="AN189" s="14">
        <v>45972</v>
      </c>
      <c r="AO189" s="91" t="s">
        <v>66</v>
      </c>
      <c r="AP189" s="12" t="s">
        <v>3292</v>
      </c>
      <c r="AQ189" s="12"/>
      <c r="AR189" s="12" t="s">
        <v>3293</v>
      </c>
      <c r="AS189" s="12" t="s">
        <v>3294</v>
      </c>
      <c r="AT189" s="12" t="s">
        <v>3294</v>
      </c>
      <c r="AU189" s="12">
        <v>58</v>
      </c>
      <c r="AV189" s="12" t="s">
        <v>83</v>
      </c>
      <c r="AW189" s="12">
        <v>2</v>
      </c>
      <c r="AX189" s="12">
        <v>62</v>
      </c>
      <c r="AY189" s="14">
        <v>45915</v>
      </c>
      <c r="AZ189" s="14">
        <v>45972</v>
      </c>
      <c r="BA189" s="12" t="e">
        <v>#N/A</v>
      </c>
      <c r="BB189" s="14" t="s">
        <v>2480</v>
      </c>
      <c r="BC189" s="14">
        <v>45986</v>
      </c>
      <c r="BD189" s="16">
        <v>2025</v>
      </c>
      <c r="BE189" s="16">
        <v>11</v>
      </c>
      <c r="BF189" s="16">
        <v>48</v>
      </c>
      <c r="BG189" s="191">
        <v>33</v>
      </c>
      <c r="BH189" s="191">
        <v>660</v>
      </c>
    </row>
    <row r="190" spans="1:60" s="23" customFormat="1" ht="10">
      <c r="A190" s="11" t="s">
        <v>3005</v>
      </c>
      <c r="B190" s="12" t="s">
        <v>111</v>
      </c>
      <c r="C190" s="12" t="s">
        <v>203</v>
      </c>
      <c r="D190" s="12" t="s">
        <v>63</v>
      </c>
      <c r="E190" s="12" t="s">
        <v>68</v>
      </c>
      <c r="F190" s="12" t="s">
        <v>68</v>
      </c>
      <c r="G190" s="12"/>
      <c r="H190" s="12" t="s">
        <v>66</v>
      </c>
      <c r="I190" s="12" t="s">
        <v>3129</v>
      </c>
      <c r="J190" s="34" t="s">
        <v>68</v>
      </c>
      <c r="K190" s="12">
        <v>19142971</v>
      </c>
      <c r="L190" s="13" t="s">
        <v>2497</v>
      </c>
      <c r="M190" s="12" t="s">
        <v>68</v>
      </c>
      <c r="N190" s="182"/>
      <c r="O190" s="12" t="s">
        <v>2475</v>
      </c>
      <c r="P190" s="12" t="s">
        <v>132</v>
      </c>
      <c r="Q190" s="12" t="s">
        <v>453</v>
      </c>
      <c r="R190" s="12">
        <v>554541</v>
      </c>
      <c r="S190" s="12" t="s">
        <v>454</v>
      </c>
      <c r="T190" s="206">
        <v>460</v>
      </c>
      <c r="U190" s="206">
        <v>1728</v>
      </c>
      <c r="V190" s="12">
        <v>0.79488000000000003</v>
      </c>
      <c r="W190" s="198">
        <v>48</v>
      </c>
      <c r="X190" s="254">
        <v>2</v>
      </c>
      <c r="Y190" s="12" t="s">
        <v>75</v>
      </c>
      <c r="Z190" s="12"/>
      <c r="AA190" s="12" t="s">
        <v>108</v>
      </c>
      <c r="AB190" s="32" t="s">
        <v>967</v>
      </c>
      <c r="AC190" s="14">
        <v>45909</v>
      </c>
      <c r="AD190" s="15">
        <v>37</v>
      </c>
      <c r="AE190" s="176" t="s">
        <v>3295</v>
      </c>
      <c r="AF190" s="12">
        <v>371008878</v>
      </c>
      <c r="AG190" s="12" t="s">
        <v>122</v>
      </c>
      <c r="AH190" s="12" t="s">
        <v>1561</v>
      </c>
      <c r="AI190" s="14">
        <v>45915</v>
      </c>
      <c r="AJ190" s="14">
        <v>45915</v>
      </c>
      <c r="AK190" s="14">
        <v>45915</v>
      </c>
      <c r="AL190" s="14">
        <v>45964</v>
      </c>
      <c r="AM190" s="14"/>
      <c r="AN190" s="14">
        <v>45964</v>
      </c>
      <c r="AO190" s="91" t="s">
        <v>66</v>
      </c>
      <c r="AP190" s="12" t="s">
        <v>3292</v>
      </c>
      <c r="AQ190" s="12"/>
      <c r="AR190" s="12" t="s">
        <v>3296</v>
      </c>
      <c r="AS190" s="12" t="s">
        <v>3297</v>
      </c>
      <c r="AT190" s="12" t="s">
        <v>3297</v>
      </c>
      <c r="AU190" s="12">
        <v>50</v>
      </c>
      <c r="AV190" s="12" t="s">
        <v>83</v>
      </c>
      <c r="AW190" s="12">
        <v>39</v>
      </c>
      <c r="AX190" s="12">
        <v>55</v>
      </c>
      <c r="AY190" s="14">
        <v>45915</v>
      </c>
      <c r="AZ190" s="14">
        <v>45964</v>
      </c>
      <c r="BA190" s="12" t="e">
        <v>#N/A</v>
      </c>
      <c r="BB190" s="14" t="s">
        <v>2480</v>
      </c>
      <c r="BC190" s="14">
        <v>45978</v>
      </c>
      <c r="BD190" s="16">
        <v>2025</v>
      </c>
      <c r="BE190" s="16">
        <v>11</v>
      </c>
      <c r="BF190" s="16">
        <v>47</v>
      </c>
      <c r="BG190" s="191">
        <v>36</v>
      </c>
      <c r="BH190" s="191">
        <v>864</v>
      </c>
    </row>
    <row r="191" spans="1:60" s="175" customFormat="1" ht="10">
      <c r="A191" s="172" t="s">
        <v>3298</v>
      </c>
      <c r="B191" s="41" t="s">
        <v>61</v>
      </c>
      <c r="C191" s="41" t="s">
        <v>3182</v>
      </c>
      <c r="D191" s="41" t="s">
        <v>63</v>
      </c>
      <c r="E191" s="12" t="s">
        <v>68</v>
      </c>
      <c r="F191" s="12" t="s">
        <v>68</v>
      </c>
      <c r="G191" s="41"/>
      <c r="H191" s="41" t="s">
        <v>66</v>
      </c>
      <c r="I191" s="41" t="s">
        <v>3221</v>
      </c>
      <c r="J191" s="173" t="s">
        <v>68</v>
      </c>
      <c r="K191" s="41">
        <v>20519178</v>
      </c>
      <c r="L191" s="13" t="s">
        <v>2831</v>
      </c>
      <c r="M191" s="41" t="s">
        <v>68</v>
      </c>
      <c r="N191" s="184"/>
      <c r="O191" s="41" t="s">
        <v>2475</v>
      </c>
      <c r="P191" s="41" t="s">
        <v>70</v>
      </c>
      <c r="Q191" s="41" t="s">
        <v>102</v>
      </c>
      <c r="R191" s="41">
        <v>554245</v>
      </c>
      <c r="S191" s="41" t="s">
        <v>103</v>
      </c>
      <c r="T191" s="208">
        <v>620</v>
      </c>
      <c r="U191" s="208">
        <v>5040</v>
      </c>
      <c r="V191" s="41">
        <v>3.1248</v>
      </c>
      <c r="W191" s="201">
        <v>140</v>
      </c>
      <c r="X191" s="255">
        <v>7</v>
      </c>
      <c r="Y191" s="41" t="s">
        <v>75</v>
      </c>
      <c r="Z191" s="41"/>
      <c r="AA191" s="12" t="s">
        <v>108</v>
      </c>
      <c r="AB191" s="13" t="s">
        <v>967</v>
      </c>
      <c r="AC191" s="37">
        <v>45914</v>
      </c>
      <c r="AD191" s="174">
        <v>37</v>
      </c>
      <c r="AE191" s="287" t="s">
        <v>3299</v>
      </c>
      <c r="AF191" s="41">
        <v>371008935</v>
      </c>
      <c r="AG191" s="41" t="s">
        <v>77</v>
      </c>
      <c r="AH191" s="41" t="s">
        <v>456</v>
      </c>
      <c r="AI191" s="37">
        <v>45922</v>
      </c>
      <c r="AJ191" s="37">
        <v>45922</v>
      </c>
      <c r="AK191" s="37">
        <v>45922</v>
      </c>
      <c r="AL191" s="37">
        <v>45973</v>
      </c>
      <c r="AM191" s="37"/>
      <c r="AN191" s="37">
        <v>45973</v>
      </c>
      <c r="AO191" s="86" t="s">
        <v>66</v>
      </c>
      <c r="AP191" s="41" t="s">
        <v>3300</v>
      </c>
      <c r="AQ191" s="41"/>
      <c r="AR191" s="41" t="s">
        <v>3301</v>
      </c>
      <c r="AS191" s="41" t="s">
        <v>3302</v>
      </c>
      <c r="AT191" s="41" t="s">
        <v>3302</v>
      </c>
      <c r="AU191" s="41">
        <v>51</v>
      </c>
      <c r="AV191" s="41" t="s">
        <v>83</v>
      </c>
      <c r="AW191" s="12">
        <v>5</v>
      </c>
      <c r="AX191" s="41">
        <v>59</v>
      </c>
      <c r="AY191" s="37">
        <v>45922</v>
      </c>
      <c r="AZ191" s="37">
        <v>45973</v>
      </c>
      <c r="BA191" s="41" t="e">
        <v>#N/A</v>
      </c>
      <c r="BB191" s="37" t="s">
        <v>2480</v>
      </c>
      <c r="BC191" s="37">
        <v>45987</v>
      </c>
      <c r="BD191" s="219">
        <v>2025</v>
      </c>
      <c r="BE191" s="219">
        <v>11</v>
      </c>
      <c r="BF191" s="219">
        <v>48</v>
      </c>
      <c r="BG191" s="219">
        <v>36</v>
      </c>
      <c r="BH191" s="219">
        <v>720</v>
      </c>
    </row>
    <row r="192" spans="1:60" s="23" customFormat="1" ht="10">
      <c r="A192" s="11" t="s">
        <v>3303</v>
      </c>
      <c r="B192" s="12" t="s">
        <v>111</v>
      </c>
      <c r="C192" s="12" t="s">
        <v>3005</v>
      </c>
      <c r="D192" s="12" t="s">
        <v>63</v>
      </c>
      <c r="E192" s="12" t="s">
        <v>68</v>
      </c>
      <c r="F192" s="12" t="s">
        <v>68</v>
      </c>
      <c r="G192" s="12"/>
      <c r="H192" s="12" t="s">
        <v>66</v>
      </c>
      <c r="I192" s="12" t="s">
        <v>2785</v>
      </c>
      <c r="J192" s="34" t="s">
        <v>68</v>
      </c>
      <c r="K192" s="12">
        <v>19143015</v>
      </c>
      <c r="L192" s="13" t="s">
        <v>2497</v>
      </c>
      <c r="M192" s="12" t="s">
        <v>68</v>
      </c>
      <c r="N192" s="182"/>
      <c r="O192" s="12" t="s">
        <v>2475</v>
      </c>
      <c r="P192" s="12" t="s">
        <v>132</v>
      </c>
      <c r="Q192" s="12" t="s">
        <v>453</v>
      </c>
      <c r="R192" s="12">
        <v>554541</v>
      </c>
      <c r="S192" s="12" t="s">
        <v>454</v>
      </c>
      <c r="T192" s="206">
        <v>460</v>
      </c>
      <c r="U192" s="206">
        <v>3456</v>
      </c>
      <c r="V192" s="12">
        <v>1.5897600000000001</v>
      </c>
      <c r="W192" s="198">
        <v>96</v>
      </c>
      <c r="X192" s="254">
        <v>4</v>
      </c>
      <c r="Y192" s="12" t="s">
        <v>75</v>
      </c>
      <c r="Z192" s="12"/>
      <c r="AA192" s="12" t="s">
        <v>108</v>
      </c>
      <c r="AB192" s="32" t="s">
        <v>967</v>
      </c>
      <c r="AC192" s="14">
        <v>45909</v>
      </c>
      <c r="AD192" s="15">
        <v>37</v>
      </c>
      <c r="AE192" s="176" t="s">
        <v>3304</v>
      </c>
      <c r="AF192" s="12">
        <v>371008877</v>
      </c>
      <c r="AG192" s="12" t="s">
        <v>122</v>
      </c>
      <c r="AH192" s="12" t="s">
        <v>314</v>
      </c>
      <c r="AI192" s="14">
        <v>45915</v>
      </c>
      <c r="AJ192" s="14">
        <v>45915</v>
      </c>
      <c r="AK192" s="14">
        <v>45915</v>
      </c>
      <c r="AL192" s="14">
        <v>45965</v>
      </c>
      <c r="AM192" s="14"/>
      <c r="AN192" s="14">
        <v>45965</v>
      </c>
      <c r="AO192" s="91" t="s">
        <v>66</v>
      </c>
      <c r="AP192" s="12" t="s">
        <v>3292</v>
      </c>
      <c r="AQ192" s="12"/>
      <c r="AR192" s="12" t="s">
        <v>3305</v>
      </c>
      <c r="AS192" s="12" t="s">
        <v>3306</v>
      </c>
      <c r="AT192" s="12" t="s">
        <v>3306</v>
      </c>
      <c r="AU192" s="12">
        <v>51</v>
      </c>
      <c r="AV192" s="12" t="s">
        <v>83</v>
      </c>
      <c r="AW192" s="12">
        <v>5</v>
      </c>
      <c r="AX192" s="12">
        <v>56</v>
      </c>
      <c r="AY192" s="14">
        <v>45915</v>
      </c>
      <c r="AZ192" s="14">
        <v>45965</v>
      </c>
      <c r="BA192" s="12" t="e">
        <v>#N/A</v>
      </c>
      <c r="BB192" s="14" t="s">
        <v>2480</v>
      </c>
      <c r="BC192" s="14">
        <v>45979</v>
      </c>
      <c r="BD192" s="16">
        <v>2025</v>
      </c>
      <c r="BE192" s="16">
        <v>11</v>
      </c>
      <c r="BF192" s="16">
        <v>47</v>
      </c>
      <c r="BG192" s="191">
        <v>36</v>
      </c>
      <c r="BH192" s="191">
        <v>864</v>
      </c>
    </row>
    <row r="193" spans="1:60" s="23" customFormat="1" ht="10">
      <c r="A193" s="11" t="s">
        <v>3307</v>
      </c>
      <c r="B193" s="12" t="s">
        <v>111</v>
      </c>
      <c r="C193" s="12" t="s">
        <v>3148</v>
      </c>
      <c r="D193" s="12" t="s">
        <v>63</v>
      </c>
      <c r="E193" s="12" t="s">
        <v>64</v>
      </c>
      <c r="F193" s="12" t="s">
        <v>65</v>
      </c>
      <c r="G193" s="12" t="s">
        <v>67</v>
      </c>
      <c r="H193" s="12" t="s">
        <v>66</v>
      </c>
      <c r="I193" s="12" t="s">
        <v>96</v>
      </c>
      <c r="J193" s="34" t="s">
        <v>68</v>
      </c>
      <c r="K193" s="12"/>
      <c r="L193" s="13" t="s">
        <v>2474</v>
      </c>
      <c r="M193" s="213" t="s">
        <v>68</v>
      </c>
      <c r="N193" s="182"/>
      <c r="O193" s="12" t="s">
        <v>2475</v>
      </c>
      <c r="P193" s="12" t="s">
        <v>170</v>
      </c>
      <c r="Q193" s="12" t="s">
        <v>171</v>
      </c>
      <c r="R193" s="12">
        <v>552045</v>
      </c>
      <c r="S193" s="12" t="s">
        <v>172</v>
      </c>
      <c r="T193" s="206">
        <v>555</v>
      </c>
      <c r="U193" s="206">
        <v>2640</v>
      </c>
      <c r="V193" s="12">
        <v>1.4652000000000001</v>
      </c>
      <c r="W193" s="198">
        <v>80</v>
      </c>
      <c r="X193" s="254">
        <v>4</v>
      </c>
      <c r="Y193" s="12" t="s">
        <v>75</v>
      </c>
      <c r="Z193" s="12"/>
      <c r="AA193" s="12" t="s">
        <v>108</v>
      </c>
      <c r="AB193" s="13" t="s">
        <v>992</v>
      </c>
      <c r="AC193" s="14">
        <v>45913</v>
      </c>
      <c r="AD193" s="15">
        <v>37</v>
      </c>
      <c r="AE193" s="176" t="s">
        <v>3308</v>
      </c>
      <c r="AF193" s="12">
        <v>371008915</v>
      </c>
      <c r="AG193" s="12" t="s">
        <v>122</v>
      </c>
      <c r="AH193" s="12" t="s">
        <v>78</v>
      </c>
      <c r="AI193" s="14">
        <v>45923</v>
      </c>
      <c r="AJ193" s="14">
        <v>45923</v>
      </c>
      <c r="AK193" s="14">
        <v>45923</v>
      </c>
      <c r="AL193" s="14">
        <v>45984</v>
      </c>
      <c r="AM193" s="14"/>
      <c r="AN193" s="14">
        <v>45985</v>
      </c>
      <c r="AO193" s="91" t="s">
        <v>66</v>
      </c>
      <c r="AP193" s="12" t="s">
        <v>3309</v>
      </c>
      <c r="AQ193" s="12"/>
      <c r="AR193" s="12" t="s">
        <v>3310</v>
      </c>
      <c r="AS193" s="12" t="s">
        <v>3311</v>
      </c>
      <c r="AT193" s="12" t="s">
        <v>3311</v>
      </c>
      <c r="AU193" s="12">
        <v>62</v>
      </c>
      <c r="AV193" s="12" t="s">
        <v>83</v>
      </c>
      <c r="AW193" s="12">
        <v>9</v>
      </c>
      <c r="AX193" s="12">
        <v>72</v>
      </c>
      <c r="AY193" s="14">
        <v>45923</v>
      </c>
      <c r="AZ193" s="14">
        <v>45985</v>
      </c>
      <c r="BA193" s="12" t="e">
        <v>#N/A</v>
      </c>
      <c r="BB193" s="14" t="s">
        <v>2480</v>
      </c>
      <c r="BC193" s="14">
        <v>45999</v>
      </c>
      <c r="BD193" s="16">
        <v>2025</v>
      </c>
      <c r="BE193" s="16">
        <v>12</v>
      </c>
      <c r="BF193" s="16">
        <v>50</v>
      </c>
      <c r="BG193" s="191">
        <v>33</v>
      </c>
      <c r="BH193" s="191">
        <v>660</v>
      </c>
    </row>
    <row r="194" spans="1:60" s="175" customFormat="1" ht="10">
      <c r="A194" s="172" t="s">
        <v>3312</v>
      </c>
      <c r="B194" s="41" t="s">
        <v>61</v>
      </c>
      <c r="C194" s="41" t="s">
        <v>769</v>
      </c>
      <c r="D194" s="41" t="s">
        <v>63</v>
      </c>
      <c r="E194" s="12" t="s">
        <v>68</v>
      </c>
      <c r="F194" s="12" t="s">
        <v>68</v>
      </c>
      <c r="G194" s="41"/>
      <c r="H194" s="41" t="s">
        <v>66</v>
      </c>
      <c r="I194" s="41" t="s">
        <v>452</v>
      </c>
      <c r="J194" s="173" t="s">
        <v>68</v>
      </c>
      <c r="K194" s="41">
        <v>20519181</v>
      </c>
      <c r="L194" s="13" t="s">
        <v>2831</v>
      </c>
      <c r="M194" s="41" t="s">
        <v>68</v>
      </c>
      <c r="N194" s="184"/>
      <c r="O194" s="41" t="s">
        <v>2475</v>
      </c>
      <c r="P194" s="41" t="s">
        <v>70</v>
      </c>
      <c r="Q194" s="41" t="s">
        <v>195</v>
      </c>
      <c r="R194" s="41">
        <v>554473</v>
      </c>
      <c r="S194" s="41" t="s">
        <v>196</v>
      </c>
      <c r="T194" s="208">
        <v>450</v>
      </c>
      <c r="U194" s="208">
        <v>1872</v>
      </c>
      <c r="V194" s="41">
        <v>0.84240000000000004</v>
      </c>
      <c r="W194" s="201">
        <v>52</v>
      </c>
      <c r="X194" s="255">
        <v>2</v>
      </c>
      <c r="Y194" s="41" t="s">
        <v>75</v>
      </c>
      <c r="Z194" s="41"/>
      <c r="AA194" s="12" t="s">
        <v>2658</v>
      </c>
      <c r="AB194" s="13" t="s">
        <v>967</v>
      </c>
      <c r="AC194" s="37">
        <v>45914</v>
      </c>
      <c r="AD194" s="174">
        <v>37</v>
      </c>
      <c r="AE194" s="287" t="s">
        <v>3313</v>
      </c>
      <c r="AF194" s="41">
        <v>371008934</v>
      </c>
      <c r="AG194" s="41" t="s">
        <v>77</v>
      </c>
      <c r="AH194" s="41" t="s">
        <v>456</v>
      </c>
      <c r="AI194" s="37">
        <v>45922</v>
      </c>
      <c r="AJ194" s="37">
        <v>45922</v>
      </c>
      <c r="AK194" s="37">
        <v>45922</v>
      </c>
      <c r="AL194" s="37">
        <v>45973</v>
      </c>
      <c r="AM194" s="37"/>
      <c r="AN194" s="37">
        <v>45973</v>
      </c>
      <c r="AO194" s="86" t="s">
        <v>66</v>
      </c>
      <c r="AP194" s="41" t="s">
        <v>3300</v>
      </c>
      <c r="AQ194" s="41"/>
      <c r="AR194" s="41" t="s">
        <v>3301</v>
      </c>
      <c r="AS194" s="41" t="s">
        <v>3302</v>
      </c>
      <c r="AT194" s="41" t="s">
        <v>3302</v>
      </c>
      <c r="AU194" s="41">
        <v>51</v>
      </c>
      <c r="AV194" s="41" t="s">
        <v>83</v>
      </c>
      <c r="AW194" s="12">
        <v>7</v>
      </c>
      <c r="AX194" s="41">
        <v>59</v>
      </c>
      <c r="AY194" s="37">
        <v>45922</v>
      </c>
      <c r="AZ194" s="37">
        <v>45973</v>
      </c>
      <c r="BA194" s="41" t="e">
        <v>#N/A</v>
      </c>
      <c r="BB194" s="37" t="s">
        <v>2480</v>
      </c>
      <c r="BC194" s="37">
        <v>45987</v>
      </c>
      <c r="BD194" s="219">
        <v>2025</v>
      </c>
      <c r="BE194" s="219">
        <v>11</v>
      </c>
      <c r="BF194" s="219">
        <v>48</v>
      </c>
      <c r="BG194" s="219">
        <v>36</v>
      </c>
      <c r="BH194" s="219">
        <v>936</v>
      </c>
    </row>
    <row r="195" spans="1:60" s="23" customFormat="1" ht="10">
      <c r="A195" s="11" t="s">
        <v>3314</v>
      </c>
      <c r="B195" s="12" t="s">
        <v>111</v>
      </c>
      <c r="C195" s="12" t="s">
        <v>548</v>
      </c>
      <c r="D195" s="12" t="s">
        <v>63</v>
      </c>
      <c r="E195" s="12" t="s">
        <v>68</v>
      </c>
      <c r="F195" s="12" t="s">
        <v>68</v>
      </c>
      <c r="G195" s="12"/>
      <c r="H195" s="12" t="s">
        <v>66</v>
      </c>
      <c r="I195" s="12" t="s">
        <v>96</v>
      </c>
      <c r="J195" s="34" t="s">
        <v>68</v>
      </c>
      <c r="K195" s="12"/>
      <c r="L195" s="13" t="s">
        <v>2482</v>
      </c>
      <c r="M195" s="12" t="s">
        <v>68</v>
      </c>
      <c r="N195" s="182"/>
      <c r="O195" s="12" t="s">
        <v>2475</v>
      </c>
      <c r="P195" s="12" t="s">
        <v>550</v>
      </c>
      <c r="Q195" s="12" t="s">
        <v>551</v>
      </c>
      <c r="R195" s="12">
        <v>553118</v>
      </c>
      <c r="S195" s="12" t="s">
        <v>552</v>
      </c>
      <c r="T195" s="206">
        <v>510</v>
      </c>
      <c r="U195" s="206">
        <v>1584</v>
      </c>
      <c r="V195" s="12">
        <v>0.80784</v>
      </c>
      <c r="W195" s="198">
        <v>44</v>
      </c>
      <c r="X195" s="254">
        <v>2</v>
      </c>
      <c r="Y195" s="12" t="s">
        <v>75</v>
      </c>
      <c r="Z195" s="12"/>
      <c r="AA195" s="12" t="s">
        <v>85</v>
      </c>
      <c r="AB195" s="13" t="s">
        <v>2136</v>
      </c>
      <c r="AC195" s="14">
        <v>45910</v>
      </c>
      <c r="AD195" s="15">
        <v>37</v>
      </c>
      <c r="AE195" s="176" t="s">
        <v>3315</v>
      </c>
      <c r="AF195" s="12">
        <v>371008914</v>
      </c>
      <c r="AG195" s="12" t="s">
        <v>122</v>
      </c>
      <c r="AH195" s="12" t="s">
        <v>124</v>
      </c>
      <c r="AI195" s="14">
        <v>45918</v>
      </c>
      <c r="AJ195" s="14">
        <v>45918</v>
      </c>
      <c r="AK195" s="14">
        <v>45918</v>
      </c>
      <c r="AL195" s="14">
        <v>45964</v>
      </c>
      <c r="AM195" s="14"/>
      <c r="AN195" s="14">
        <v>45964</v>
      </c>
      <c r="AO195" s="91" t="s">
        <v>66</v>
      </c>
      <c r="AP195" s="12" t="s">
        <v>3316</v>
      </c>
      <c r="AQ195" s="12"/>
      <c r="AR195" s="12" t="s">
        <v>3317</v>
      </c>
      <c r="AS195" s="12" t="s">
        <v>3318</v>
      </c>
      <c r="AT195" s="12" t="s">
        <v>3318</v>
      </c>
      <c r="AU195" s="12">
        <v>47</v>
      </c>
      <c r="AV195" s="12" t="s">
        <v>83</v>
      </c>
      <c r="AW195" s="12">
        <v>18</v>
      </c>
      <c r="AX195" s="12">
        <v>54</v>
      </c>
      <c r="AY195" s="14">
        <v>45918</v>
      </c>
      <c r="AZ195" s="14">
        <v>45964</v>
      </c>
      <c r="BA195" s="12" t="e">
        <v>#N/A</v>
      </c>
      <c r="BB195" s="14" t="s">
        <v>2480</v>
      </c>
      <c r="BC195" s="14">
        <v>45978</v>
      </c>
      <c r="BD195" s="16">
        <v>2025</v>
      </c>
      <c r="BE195" s="16">
        <v>11</v>
      </c>
      <c r="BF195" s="16">
        <v>47</v>
      </c>
      <c r="BG195" s="191">
        <v>36</v>
      </c>
      <c r="BH195" s="191">
        <v>792</v>
      </c>
    </row>
    <row r="196" spans="1:60" s="23" customFormat="1" ht="10">
      <c r="A196" s="11" t="s">
        <v>3319</v>
      </c>
      <c r="B196" s="12" t="s">
        <v>111</v>
      </c>
      <c r="C196" s="12" t="s">
        <v>548</v>
      </c>
      <c r="D196" s="12" t="s">
        <v>63</v>
      </c>
      <c r="E196" s="12" t="s">
        <v>68</v>
      </c>
      <c r="F196" s="12" t="s">
        <v>68</v>
      </c>
      <c r="G196" s="12"/>
      <c r="H196" s="12" t="s">
        <v>66</v>
      </c>
      <c r="I196" s="12" t="s">
        <v>1292</v>
      </c>
      <c r="J196" s="34" t="s">
        <v>68</v>
      </c>
      <c r="K196" s="12"/>
      <c r="L196" s="13" t="s">
        <v>2831</v>
      </c>
      <c r="M196" s="12" t="s">
        <v>68</v>
      </c>
      <c r="N196" s="182"/>
      <c r="O196" s="12" t="s">
        <v>2475</v>
      </c>
      <c r="P196" s="12" t="s">
        <v>550</v>
      </c>
      <c r="Q196" s="12" t="s">
        <v>551</v>
      </c>
      <c r="R196" s="12">
        <v>553118</v>
      </c>
      <c r="S196" s="12" t="s">
        <v>552</v>
      </c>
      <c r="T196" s="206">
        <v>510</v>
      </c>
      <c r="U196" s="206">
        <v>1584</v>
      </c>
      <c r="V196" s="12">
        <v>0.80784</v>
      </c>
      <c r="W196" s="198">
        <v>44</v>
      </c>
      <c r="X196" s="254">
        <v>2</v>
      </c>
      <c r="Y196" s="12" t="s">
        <v>75</v>
      </c>
      <c r="Z196" s="12"/>
      <c r="AA196" s="12" t="s">
        <v>85</v>
      </c>
      <c r="AB196" s="13" t="s">
        <v>2136</v>
      </c>
      <c r="AC196" s="14">
        <v>45910</v>
      </c>
      <c r="AD196" s="15">
        <v>37</v>
      </c>
      <c r="AE196" s="176" t="s">
        <v>3320</v>
      </c>
      <c r="AF196" s="12">
        <v>371008911</v>
      </c>
      <c r="AG196" s="12" t="s">
        <v>122</v>
      </c>
      <c r="AH196" s="12" t="s">
        <v>456</v>
      </c>
      <c r="AI196" s="14">
        <v>45917</v>
      </c>
      <c r="AJ196" s="14">
        <v>45917</v>
      </c>
      <c r="AK196" s="14">
        <v>45917</v>
      </c>
      <c r="AL196" s="14">
        <v>45968</v>
      </c>
      <c r="AM196" s="14"/>
      <c r="AN196" s="14">
        <v>45968</v>
      </c>
      <c r="AO196" s="91" t="s">
        <v>66</v>
      </c>
      <c r="AP196" s="12" t="s">
        <v>3321</v>
      </c>
      <c r="AQ196" s="12"/>
      <c r="AR196" s="12" t="s">
        <v>3322</v>
      </c>
      <c r="AS196" s="12" t="s">
        <v>3323</v>
      </c>
      <c r="AT196" s="12" t="s">
        <v>3323</v>
      </c>
      <c r="AU196" s="12">
        <v>52</v>
      </c>
      <c r="AV196" s="12" t="s">
        <v>83</v>
      </c>
      <c r="AW196" s="12">
        <v>18</v>
      </c>
      <c r="AX196" s="12">
        <v>58</v>
      </c>
      <c r="AY196" s="14">
        <v>45917</v>
      </c>
      <c r="AZ196" s="14">
        <v>45968</v>
      </c>
      <c r="BA196" s="12" t="e">
        <v>#N/A</v>
      </c>
      <c r="BB196" s="14" t="s">
        <v>2480</v>
      </c>
      <c r="BC196" s="14">
        <v>45982</v>
      </c>
      <c r="BD196" s="16">
        <v>2025</v>
      </c>
      <c r="BE196" s="16">
        <v>11</v>
      </c>
      <c r="BF196" s="16">
        <v>47</v>
      </c>
      <c r="BG196" s="191">
        <v>36</v>
      </c>
      <c r="BH196" s="191">
        <v>792</v>
      </c>
    </row>
    <row r="197" spans="1:60" s="23" customFormat="1" ht="10">
      <c r="A197" s="11" t="s">
        <v>3324</v>
      </c>
      <c r="B197" s="12" t="s">
        <v>111</v>
      </c>
      <c r="C197" s="12" t="s">
        <v>548</v>
      </c>
      <c r="D197" s="12" t="s">
        <v>63</v>
      </c>
      <c r="E197" s="12" t="s">
        <v>68</v>
      </c>
      <c r="F197" s="12" t="s">
        <v>68</v>
      </c>
      <c r="G197" s="12"/>
      <c r="H197" s="12" t="s">
        <v>66</v>
      </c>
      <c r="I197" s="12" t="s">
        <v>1342</v>
      </c>
      <c r="J197" s="34" t="s">
        <v>68</v>
      </c>
      <c r="K197" s="12"/>
      <c r="L197" s="13" t="s">
        <v>2497</v>
      </c>
      <c r="M197" s="12" t="s">
        <v>68</v>
      </c>
      <c r="N197" s="182"/>
      <c r="O197" s="12" t="s">
        <v>2475</v>
      </c>
      <c r="P197" s="12" t="s">
        <v>550</v>
      </c>
      <c r="Q197" s="12" t="s">
        <v>551</v>
      </c>
      <c r="R197" s="12">
        <v>553118</v>
      </c>
      <c r="S197" s="12" t="s">
        <v>552</v>
      </c>
      <c r="T197" s="206">
        <v>510</v>
      </c>
      <c r="U197" s="206">
        <v>1584</v>
      </c>
      <c r="V197" s="12">
        <v>0.80784</v>
      </c>
      <c r="W197" s="198">
        <v>44</v>
      </c>
      <c r="X197" s="254">
        <v>2</v>
      </c>
      <c r="Y197" s="12" t="s">
        <v>75</v>
      </c>
      <c r="Z197" s="12"/>
      <c r="AA197" s="12" t="s">
        <v>85</v>
      </c>
      <c r="AB197" s="13" t="s">
        <v>2136</v>
      </c>
      <c r="AC197" s="14">
        <v>45913</v>
      </c>
      <c r="AD197" s="15">
        <v>37</v>
      </c>
      <c r="AE197" s="176" t="s">
        <v>3325</v>
      </c>
      <c r="AF197" s="12">
        <v>371008912</v>
      </c>
      <c r="AG197" s="12" t="s">
        <v>122</v>
      </c>
      <c r="AH197" s="12" t="s">
        <v>314</v>
      </c>
      <c r="AI197" s="14">
        <v>45923</v>
      </c>
      <c r="AJ197" s="14">
        <v>45923</v>
      </c>
      <c r="AK197" s="14">
        <v>45923</v>
      </c>
      <c r="AL197" s="14">
        <v>45979</v>
      </c>
      <c r="AM197" s="14"/>
      <c r="AN197" s="14">
        <v>45980</v>
      </c>
      <c r="AO197" s="91" t="s">
        <v>66</v>
      </c>
      <c r="AP197" s="12" t="s">
        <v>3309</v>
      </c>
      <c r="AQ197" s="12"/>
      <c r="AR197" s="12" t="s">
        <v>3326</v>
      </c>
      <c r="AS197" s="12" t="s">
        <v>3327</v>
      </c>
      <c r="AT197" s="12" t="s">
        <v>3327</v>
      </c>
      <c r="AU197" s="12">
        <v>57</v>
      </c>
      <c r="AV197" s="12" t="s">
        <v>83</v>
      </c>
      <c r="AW197" s="12">
        <v>18</v>
      </c>
      <c r="AX197" s="12">
        <v>67</v>
      </c>
      <c r="AY197" s="14">
        <v>45923</v>
      </c>
      <c r="AZ197" s="14">
        <v>45980</v>
      </c>
      <c r="BA197" s="12" t="e">
        <v>#N/A</v>
      </c>
      <c r="BB197" s="14" t="s">
        <v>2480</v>
      </c>
      <c r="BC197" s="14">
        <v>45994</v>
      </c>
      <c r="BD197" s="16">
        <v>2025</v>
      </c>
      <c r="BE197" s="16">
        <v>12</v>
      </c>
      <c r="BF197" s="16">
        <v>49</v>
      </c>
      <c r="BG197" s="191">
        <v>36</v>
      </c>
      <c r="BH197" s="191">
        <v>792</v>
      </c>
    </row>
    <row r="198" spans="1:60" s="23" customFormat="1" ht="10">
      <c r="A198" s="11" t="s">
        <v>3328</v>
      </c>
      <c r="B198" s="12" t="s">
        <v>111</v>
      </c>
      <c r="C198" s="12" t="s">
        <v>3329</v>
      </c>
      <c r="D198" s="12" t="s">
        <v>63</v>
      </c>
      <c r="E198" s="12" t="s">
        <v>64</v>
      </c>
      <c r="F198" s="12" t="s">
        <v>100</v>
      </c>
      <c r="G198" s="12" t="s">
        <v>67</v>
      </c>
      <c r="H198" s="12" t="s">
        <v>66</v>
      </c>
      <c r="I198" s="12" t="s">
        <v>96</v>
      </c>
      <c r="J198" s="34" t="s">
        <v>68</v>
      </c>
      <c r="K198" s="12"/>
      <c r="L198" s="13" t="s">
        <v>2474</v>
      </c>
      <c r="M198" s="213" t="s">
        <v>68</v>
      </c>
      <c r="N198" s="182"/>
      <c r="O198" s="12" t="s">
        <v>2475</v>
      </c>
      <c r="P198" s="12" t="s">
        <v>473</v>
      </c>
      <c r="Q198" s="12" t="s">
        <v>529</v>
      </c>
      <c r="R198" s="12">
        <v>553145</v>
      </c>
      <c r="S198" s="12" t="s">
        <v>530</v>
      </c>
      <c r="T198" s="206">
        <v>455</v>
      </c>
      <c r="U198" s="206">
        <v>2592</v>
      </c>
      <c r="V198" s="12">
        <v>1.17936</v>
      </c>
      <c r="W198" s="198">
        <v>72</v>
      </c>
      <c r="X198" s="254">
        <v>3</v>
      </c>
      <c r="Y198" s="12" t="s">
        <v>75</v>
      </c>
      <c r="Z198" s="12"/>
      <c r="AA198" s="12" t="s">
        <v>85</v>
      </c>
      <c r="AB198" s="13" t="s">
        <v>967</v>
      </c>
      <c r="AC198" s="14">
        <v>45914</v>
      </c>
      <c r="AD198" s="15">
        <v>37</v>
      </c>
      <c r="AE198" s="176" t="s">
        <v>3330</v>
      </c>
      <c r="AF198" s="12">
        <v>371008936</v>
      </c>
      <c r="AG198" s="12" t="s">
        <v>122</v>
      </c>
      <c r="AH198" s="12" t="s">
        <v>105</v>
      </c>
      <c r="AI198" s="14">
        <v>45921</v>
      </c>
      <c r="AJ198" s="14">
        <v>45921</v>
      </c>
      <c r="AK198" s="14">
        <v>45921</v>
      </c>
      <c r="AL198" s="14">
        <v>45976</v>
      </c>
      <c r="AM198" s="14"/>
      <c r="AN198" s="14">
        <v>45975</v>
      </c>
      <c r="AO198" s="91" t="s">
        <v>66</v>
      </c>
      <c r="AP198" s="12" t="s">
        <v>3252</v>
      </c>
      <c r="AQ198" s="12"/>
      <c r="AR198" s="12" t="s">
        <v>3331</v>
      </c>
      <c r="AS198" s="12" t="s">
        <v>3332</v>
      </c>
      <c r="AT198" s="12" t="s">
        <v>3332</v>
      </c>
      <c r="AU198" s="12">
        <v>55</v>
      </c>
      <c r="AV198" s="12" t="s">
        <v>83</v>
      </c>
      <c r="AW198" s="12">
        <v>6</v>
      </c>
      <c r="AX198" s="12">
        <v>61</v>
      </c>
      <c r="AY198" s="14">
        <v>45921</v>
      </c>
      <c r="AZ198" s="14">
        <v>45975</v>
      </c>
      <c r="BA198" s="12" t="e">
        <v>#N/A</v>
      </c>
      <c r="BB198" s="14" t="s">
        <v>2480</v>
      </c>
      <c r="BC198" s="14">
        <v>45989</v>
      </c>
      <c r="BD198" s="16">
        <v>2025</v>
      </c>
      <c r="BE198" s="16">
        <v>11</v>
      </c>
      <c r="BF198" s="16">
        <v>48</v>
      </c>
      <c r="BG198" s="191">
        <v>36</v>
      </c>
      <c r="BH198" s="191">
        <v>864</v>
      </c>
    </row>
    <row r="199" spans="1:60" s="23" customFormat="1" ht="10">
      <c r="A199" s="11" t="s">
        <v>3333</v>
      </c>
      <c r="B199" s="12" t="s">
        <v>111</v>
      </c>
      <c r="C199" s="12" t="s">
        <v>3329</v>
      </c>
      <c r="D199" s="12" t="s">
        <v>63</v>
      </c>
      <c r="E199" s="12" t="s">
        <v>64</v>
      </c>
      <c r="F199" s="12" t="s">
        <v>65</v>
      </c>
      <c r="G199" s="12" t="s">
        <v>67</v>
      </c>
      <c r="H199" s="12" t="s">
        <v>66</v>
      </c>
      <c r="I199" s="12" t="s">
        <v>96</v>
      </c>
      <c r="J199" s="34" t="s">
        <v>68</v>
      </c>
      <c r="K199" s="12"/>
      <c r="L199" s="13" t="s">
        <v>2474</v>
      </c>
      <c r="M199" s="213" t="s">
        <v>68</v>
      </c>
      <c r="N199" s="182"/>
      <c r="O199" s="12" t="s">
        <v>2475</v>
      </c>
      <c r="P199" s="12" t="s">
        <v>473</v>
      </c>
      <c r="Q199" s="12" t="s">
        <v>529</v>
      </c>
      <c r="R199" s="12">
        <v>553145</v>
      </c>
      <c r="S199" s="12" t="s">
        <v>530</v>
      </c>
      <c r="T199" s="206">
        <v>455</v>
      </c>
      <c r="U199" s="206">
        <v>3456</v>
      </c>
      <c r="V199" s="12">
        <v>1.5724800000000001</v>
      </c>
      <c r="W199" s="198">
        <v>96</v>
      </c>
      <c r="X199" s="254">
        <v>4</v>
      </c>
      <c r="Y199" s="12" t="s">
        <v>75</v>
      </c>
      <c r="Z199" s="12"/>
      <c r="AA199" s="12" t="s">
        <v>85</v>
      </c>
      <c r="AB199" s="13" t="s">
        <v>967</v>
      </c>
      <c r="AC199" s="14">
        <v>45914</v>
      </c>
      <c r="AD199" s="15">
        <v>37</v>
      </c>
      <c r="AE199" s="176" t="s">
        <v>3334</v>
      </c>
      <c r="AF199" s="12">
        <v>371008938</v>
      </c>
      <c r="AG199" s="12" t="s">
        <v>122</v>
      </c>
      <c r="AH199" s="12" t="s">
        <v>78</v>
      </c>
      <c r="AI199" s="14">
        <v>45920</v>
      </c>
      <c r="AJ199" s="14">
        <v>45920</v>
      </c>
      <c r="AK199" s="14">
        <v>45920</v>
      </c>
      <c r="AL199" s="14">
        <v>45974</v>
      </c>
      <c r="AM199" s="14"/>
      <c r="AN199" s="14">
        <v>45974</v>
      </c>
      <c r="AO199" s="91" t="s">
        <v>66</v>
      </c>
      <c r="AP199" s="12" t="s">
        <v>3335</v>
      </c>
      <c r="AQ199" s="12"/>
      <c r="AR199" s="12" t="s">
        <v>3336</v>
      </c>
      <c r="AS199" s="12" t="s">
        <v>3337</v>
      </c>
      <c r="AT199" s="12" t="s">
        <v>3337</v>
      </c>
      <c r="AU199" s="12">
        <v>54</v>
      </c>
      <c r="AV199" s="12" t="s">
        <v>83</v>
      </c>
      <c r="AW199" s="12">
        <v>6</v>
      </c>
      <c r="AX199" s="12">
        <v>60</v>
      </c>
      <c r="AY199" s="14">
        <v>45920</v>
      </c>
      <c r="AZ199" s="14">
        <v>45974</v>
      </c>
      <c r="BA199" s="12" t="e">
        <v>#N/A</v>
      </c>
      <c r="BB199" s="14" t="s">
        <v>2480</v>
      </c>
      <c r="BC199" s="14">
        <v>45988</v>
      </c>
      <c r="BD199" s="16">
        <v>2025</v>
      </c>
      <c r="BE199" s="16">
        <v>11</v>
      </c>
      <c r="BF199" s="16">
        <v>48</v>
      </c>
      <c r="BG199" s="191">
        <v>36</v>
      </c>
      <c r="BH199" s="191">
        <v>864</v>
      </c>
    </row>
    <row r="200" spans="1:60" s="23" customFormat="1" ht="10">
      <c r="A200" s="11" t="s">
        <v>3338</v>
      </c>
      <c r="B200" s="12" t="s">
        <v>111</v>
      </c>
      <c r="C200" s="12" t="s">
        <v>548</v>
      </c>
      <c r="D200" s="12" t="s">
        <v>63</v>
      </c>
      <c r="E200" s="12" t="s">
        <v>68</v>
      </c>
      <c r="F200" s="12" t="s">
        <v>68</v>
      </c>
      <c r="G200" s="12"/>
      <c r="H200" s="12" t="s">
        <v>66</v>
      </c>
      <c r="I200" s="12" t="s">
        <v>1559</v>
      </c>
      <c r="J200" s="34" t="s">
        <v>68</v>
      </c>
      <c r="K200" s="12"/>
      <c r="L200" s="13" t="s">
        <v>2497</v>
      </c>
      <c r="M200" s="12" t="s">
        <v>68</v>
      </c>
      <c r="N200" s="182"/>
      <c r="O200" s="12" t="s">
        <v>2475</v>
      </c>
      <c r="P200" s="12" t="s">
        <v>550</v>
      </c>
      <c r="Q200" s="12" t="s">
        <v>551</v>
      </c>
      <c r="R200" s="12">
        <v>553118</v>
      </c>
      <c r="S200" s="12" t="s">
        <v>552</v>
      </c>
      <c r="T200" s="206">
        <v>510</v>
      </c>
      <c r="U200" s="206">
        <v>792</v>
      </c>
      <c r="V200" s="12">
        <v>0.40392</v>
      </c>
      <c r="W200" s="198">
        <v>22</v>
      </c>
      <c r="X200" s="254">
        <v>1</v>
      </c>
      <c r="Y200" s="12" t="s">
        <v>75</v>
      </c>
      <c r="Z200" s="12"/>
      <c r="AA200" s="12" t="s">
        <v>85</v>
      </c>
      <c r="AB200" s="13" t="s">
        <v>2136</v>
      </c>
      <c r="AC200" s="14">
        <v>45913</v>
      </c>
      <c r="AD200" s="15">
        <v>37</v>
      </c>
      <c r="AE200" s="176" t="s">
        <v>3339</v>
      </c>
      <c r="AF200" s="12">
        <v>371008913</v>
      </c>
      <c r="AG200" s="12" t="s">
        <v>122</v>
      </c>
      <c r="AH200" s="12" t="s">
        <v>1561</v>
      </c>
      <c r="AI200" s="14">
        <v>45923</v>
      </c>
      <c r="AJ200" s="14">
        <v>45923</v>
      </c>
      <c r="AK200" s="14">
        <v>45923</v>
      </c>
      <c r="AL200" s="14">
        <v>45979</v>
      </c>
      <c r="AM200" s="14"/>
      <c r="AN200" s="14">
        <v>45979</v>
      </c>
      <c r="AO200" s="91" t="s">
        <v>66</v>
      </c>
      <c r="AP200" s="12" t="s">
        <v>3309</v>
      </c>
      <c r="AQ200" s="12"/>
      <c r="AR200" s="12" t="s">
        <v>3340</v>
      </c>
      <c r="AS200" s="12" t="s">
        <v>3341</v>
      </c>
      <c r="AT200" s="12" t="s">
        <v>3341</v>
      </c>
      <c r="AU200" s="12">
        <v>57</v>
      </c>
      <c r="AV200" s="12" t="s">
        <v>83</v>
      </c>
      <c r="AW200" s="12">
        <v>18</v>
      </c>
      <c r="AX200" s="12">
        <v>66</v>
      </c>
      <c r="AY200" s="14">
        <v>45923</v>
      </c>
      <c r="AZ200" s="14">
        <v>45979</v>
      </c>
      <c r="BA200" s="12" t="e">
        <v>#N/A</v>
      </c>
      <c r="BB200" s="14" t="s">
        <v>2480</v>
      </c>
      <c r="BC200" s="14">
        <v>45993</v>
      </c>
      <c r="BD200" s="16">
        <v>2025</v>
      </c>
      <c r="BE200" s="16">
        <v>12</v>
      </c>
      <c r="BF200" s="16">
        <v>49</v>
      </c>
      <c r="BG200" s="191">
        <v>36</v>
      </c>
      <c r="BH200" s="191">
        <v>792</v>
      </c>
    </row>
    <row r="201" spans="1:60" s="23" customFormat="1" ht="10">
      <c r="A201" s="11" t="s">
        <v>3342</v>
      </c>
      <c r="B201" s="12" t="s">
        <v>61</v>
      </c>
      <c r="C201" s="12" t="s">
        <v>3343</v>
      </c>
      <c r="D201" s="12" t="s">
        <v>63</v>
      </c>
      <c r="E201" s="12" t="s">
        <v>68</v>
      </c>
      <c r="F201" s="12" t="s">
        <v>68</v>
      </c>
      <c r="G201" s="12"/>
      <c r="H201" s="12" t="s">
        <v>146</v>
      </c>
      <c r="I201" s="12" t="s">
        <v>1081</v>
      </c>
      <c r="J201" s="34" t="s">
        <v>68</v>
      </c>
      <c r="K201" s="12">
        <v>46010857</v>
      </c>
      <c r="L201" s="13" t="s">
        <v>2719</v>
      </c>
      <c r="M201" s="12" t="s">
        <v>68</v>
      </c>
      <c r="N201" s="182"/>
      <c r="O201" s="12" t="s">
        <v>2475</v>
      </c>
      <c r="P201" s="12" t="s">
        <v>70</v>
      </c>
      <c r="Q201" s="12" t="s">
        <v>195</v>
      </c>
      <c r="R201" s="12">
        <v>554473</v>
      </c>
      <c r="S201" s="12" t="s">
        <v>196</v>
      </c>
      <c r="T201" s="206">
        <v>450</v>
      </c>
      <c r="U201" s="206">
        <v>1872</v>
      </c>
      <c r="V201" s="12">
        <v>0.84240000000000004</v>
      </c>
      <c r="W201" s="198">
        <v>52</v>
      </c>
      <c r="X201" s="254">
        <v>2</v>
      </c>
      <c r="Y201" s="12" t="s">
        <v>75</v>
      </c>
      <c r="Z201" s="12"/>
      <c r="AA201" s="12" t="s">
        <v>85</v>
      </c>
      <c r="AB201" s="13" t="s">
        <v>967</v>
      </c>
      <c r="AC201" s="14">
        <v>45921</v>
      </c>
      <c r="AD201" s="15">
        <v>38</v>
      </c>
      <c r="AE201" s="176" t="s">
        <v>3344</v>
      </c>
      <c r="AF201" s="12">
        <v>371008942</v>
      </c>
      <c r="AG201" s="12" t="s">
        <v>77</v>
      </c>
      <c r="AH201" s="12" t="s">
        <v>105</v>
      </c>
      <c r="AI201" s="14">
        <v>45927</v>
      </c>
      <c r="AJ201" s="14">
        <v>45927</v>
      </c>
      <c r="AK201" s="14">
        <v>45927</v>
      </c>
      <c r="AL201" s="14">
        <v>45986</v>
      </c>
      <c r="AM201" s="14"/>
      <c r="AN201" s="14">
        <v>45984</v>
      </c>
      <c r="AO201" s="91" t="s">
        <v>146</v>
      </c>
      <c r="AP201" s="12" t="s">
        <v>3345</v>
      </c>
      <c r="AQ201" s="12"/>
      <c r="AR201" s="12" t="s">
        <v>3346</v>
      </c>
      <c r="AS201" s="12" t="s">
        <v>3347</v>
      </c>
      <c r="AT201" s="12" t="s">
        <v>3347</v>
      </c>
      <c r="AU201" s="12">
        <v>59</v>
      </c>
      <c r="AV201" s="12" t="s">
        <v>2493</v>
      </c>
      <c r="AW201" s="12">
        <v>7</v>
      </c>
      <c r="AX201" s="12">
        <v>63</v>
      </c>
      <c r="AY201" s="14">
        <v>45927</v>
      </c>
      <c r="AZ201" s="14">
        <v>45984</v>
      </c>
      <c r="BA201" s="12" t="e">
        <v>#N/A</v>
      </c>
      <c r="BB201" s="14" t="s">
        <v>2480</v>
      </c>
      <c r="BC201" s="14">
        <v>45998</v>
      </c>
      <c r="BD201" s="16">
        <v>2025</v>
      </c>
      <c r="BE201" s="16">
        <v>12</v>
      </c>
      <c r="BF201" s="16">
        <v>49</v>
      </c>
      <c r="BG201" s="191">
        <v>36</v>
      </c>
      <c r="BH201" s="191">
        <v>936</v>
      </c>
    </row>
    <row r="202" spans="1:60" s="23" customFormat="1" ht="30">
      <c r="A202" s="11" t="s">
        <v>3348</v>
      </c>
      <c r="B202" s="12" t="s">
        <v>1888</v>
      </c>
      <c r="C202" s="12" t="s">
        <v>2811</v>
      </c>
      <c r="D202" s="12" t="s">
        <v>63</v>
      </c>
      <c r="E202" s="12" t="s">
        <v>68</v>
      </c>
      <c r="F202" s="12" t="s">
        <v>68</v>
      </c>
      <c r="G202" s="12"/>
      <c r="H202" s="12" t="s">
        <v>66</v>
      </c>
      <c r="I202" s="12" t="s">
        <v>1559</v>
      </c>
      <c r="J202" s="34" t="s">
        <v>68</v>
      </c>
      <c r="K202" s="12"/>
      <c r="L202" s="13" t="s">
        <v>2497</v>
      </c>
      <c r="M202" s="12" t="s">
        <v>68</v>
      </c>
      <c r="N202" s="182"/>
      <c r="O202" s="12" t="s">
        <v>2475</v>
      </c>
      <c r="P202" s="12" t="s">
        <v>70</v>
      </c>
      <c r="Q202" s="12" t="s">
        <v>420</v>
      </c>
      <c r="R202" s="12">
        <v>554476</v>
      </c>
      <c r="S202" s="12" t="s">
        <v>421</v>
      </c>
      <c r="T202" s="206">
        <v>505</v>
      </c>
      <c r="U202" s="206">
        <v>864</v>
      </c>
      <c r="V202" s="12">
        <v>0.43631999999999999</v>
      </c>
      <c r="W202" s="198">
        <v>24</v>
      </c>
      <c r="X202" s="254">
        <v>1</v>
      </c>
      <c r="Y202" s="12" t="s">
        <v>75</v>
      </c>
      <c r="Z202" s="12"/>
      <c r="AA202" s="12" t="s">
        <v>2658</v>
      </c>
      <c r="AB202" s="13" t="s">
        <v>992</v>
      </c>
      <c r="AC202" s="14">
        <v>45920</v>
      </c>
      <c r="AD202" s="15">
        <v>38</v>
      </c>
      <c r="AE202" s="176" t="s">
        <v>3349</v>
      </c>
      <c r="AF202" s="12">
        <v>371008976</v>
      </c>
      <c r="AG202" s="12" t="s">
        <v>122</v>
      </c>
      <c r="AH202" s="12" t="s">
        <v>1561</v>
      </c>
      <c r="AI202" s="14">
        <v>45928</v>
      </c>
      <c r="AJ202" s="14">
        <v>45928</v>
      </c>
      <c r="AK202" s="14">
        <v>45928</v>
      </c>
      <c r="AL202" s="14">
        <v>45998</v>
      </c>
      <c r="AM202" s="14"/>
      <c r="AN202" s="14">
        <v>46003</v>
      </c>
      <c r="AO202" s="91" t="s">
        <v>66</v>
      </c>
      <c r="AP202" s="12" t="s">
        <v>3350</v>
      </c>
      <c r="AQ202" s="12"/>
      <c r="AR202" s="12" t="s">
        <v>3351</v>
      </c>
      <c r="AS202" s="12" t="s">
        <v>3352</v>
      </c>
      <c r="AT202" s="12" t="s">
        <v>3352</v>
      </c>
      <c r="AU202" s="12">
        <v>70</v>
      </c>
      <c r="AV202" s="12" t="s">
        <v>83</v>
      </c>
      <c r="AW202" s="12">
        <v>8</v>
      </c>
      <c r="AX202" s="12">
        <v>83</v>
      </c>
      <c r="AY202" s="14">
        <v>45928</v>
      </c>
      <c r="AZ202" s="14">
        <v>46003</v>
      </c>
      <c r="BA202" s="12" t="e">
        <v>#N/A</v>
      </c>
      <c r="BB202" s="14" t="s">
        <v>2480</v>
      </c>
      <c r="BC202" s="14">
        <v>46017</v>
      </c>
      <c r="BD202" s="16">
        <v>2025</v>
      </c>
      <c r="BE202" s="16">
        <v>12</v>
      </c>
      <c r="BF202" s="16">
        <v>52</v>
      </c>
      <c r="BG202" s="191">
        <v>36</v>
      </c>
      <c r="BH202" s="191">
        <v>864</v>
      </c>
    </row>
    <row r="203" spans="1:60" s="23" customFormat="1" ht="10">
      <c r="A203" s="11" t="s">
        <v>3353</v>
      </c>
      <c r="B203" s="12" t="s">
        <v>111</v>
      </c>
      <c r="C203" s="12" t="s">
        <v>3329</v>
      </c>
      <c r="D203" s="12" t="s">
        <v>63</v>
      </c>
      <c r="E203" s="12" t="s">
        <v>68</v>
      </c>
      <c r="F203" s="12" t="s">
        <v>68</v>
      </c>
      <c r="G203" s="12"/>
      <c r="H203" s="12" t="s">
        <v>66</v>
      </c>
      <c r="I203" s="12" t="s">
        <v>1292</v>
      </c>
      <c r="J203" s="34" t="s">
        <v>68</v>
      </c>
      <c r="K203" s="12"/>
      <c r="L203" s="13" t="s">
        <v>2831</v>
      </c>
      <c r="M203" s="12" t="s">
        <v>68</v>
      </c>
      <c r="N203" s="182"/>
      <c r="O203" s="12" t="s">
        <v>2475</v>
      </c>
      <c r="P203" s="12" t="s">
        <v>473</v>
      </c>
      <c r="Q203" s="12" t="s">
        <v>529</v>
      </c>
      <c r="R203" s="12">
        <v>553145</v>
      </c>
      <c r="S203" s="12" t="s">
        <v>530</v>
      </c>
      <c r="T203" s="206">
        <v>455</v>
      </c>
      <c r="U203" s="206">
        <v>1728</v>
      </c>
      <c r="V203" s="12">
        <v>0.78624000000000005</v>
      </c>
      <c r="W203" s="198">
        <v>48</v>
      </c>
      <c r="X203" s="254">
        <v>2</v>
      </c>
      <c r="Y203" s="12" t="s">
        <v>75</v>
      </c>
      <c r="Z203" s="12"/>
      <c r="AA203" s="12" t="s">
        <v>85</v>
      </c>
      <c r="AB203" s="13" t="s">
        <v>967</v>
      </c>
      <c r="AC203" s="14">
        <v>45916</v>
      </c>
      <c r="AD203" s="15">
        <v>38</v>
      </c>
      <c r="AE203" s="176" t="s">
        <v>3354</v>
      </c>
      <c r="AF203" s="12">
        <v>371008939</v>
      </c>
      <c r="AG203" s="12" t="s">
        <v>122</v>
      </c>
      <c r="AH203" s="12" t="s">
        <v>456</v>
      </c>
      <c r="AI203" s="14">
        <v>45924</v>
      </c>
      <c r="AJ203" s="14">
        <v>45924</v>
      </c>
      <c r="AK203" s="14">
        <v>45924</v>
      </c>
      <c r="AL203" s="14">
        <v>45976</v>
      </c>
      <c r="AM203" s="14"/>
      <c r="AN203" s="14">
        <v>45975</v>
      </c>
      <c r="AO203" s="91" t="s">
        <v>66</v>
      </c>
      <c r="AP203" s="12" t="s">
        <v>3355</v>
      </c>
      <c r="AQ203" s="12"/>
      <c r="AR203" s="12" t="s">
        <v>3356</v>
      </c>
      <c r="AS203" s="12" t="s">
        <v>3357</v>
      </c>
      <c r="AT203" s="12" t="s">
        <v>3357</v>
      </c>
      <c r="AU203" s="12">
        <v>52</v>
      </c>
      <c r="AV203" s="12" t="s">
        <v>83</v>
      </c>
      <c r="AW203" s="12">
        <v>6</v>
      </c>
      <c r="AX203" s="12">
        <v>59</v>
      </c>
      <c r="AY203" s="14">
        <v>45924</v>
      </c>
      <c r="AZ203" s="14">
        <v>45975</v>
      </c>
      <c r="BA203" s="12" t="e">
        <v>#N/A</v>
      </c>
      <c r="BB203" s="14" t="s">
        <v>2480</v>
      </c>
      <c r="BC203" s="14">
        <v>45989</v>
      </c>
      <c r="BD203" s="16">
        <v>2025</v>
      </c>
      <c r="BE203" s="16">
        <v>11</v>
      </c>
      <c r="BF203" s="16">
        <v>48</v>
      </c>
      <c r="BG203" s="191">
        <v>36</v>
      </c>
      <c r="BH203" s="191">
        <v>864</v>
      </c>
    </row>
    <row r="204" spans="1:60" s="23" customFormat="1" ht="10">
      <c r="A204" s="11" t="s">
        <v>2904</v>
      </c>
      <c r="B204" s="12" t="s">
        <v>111</v>
      </c>
      <c r="C204" s="12" t="s">
        <v>203</v>
      </c>
      <c r="D204" s="12" t="s">
        <v>63</v>
      </c>
      <c r="E204" s="12" t="s">
        <v>64</v>
      </c>
      <c r="F204" s="12" t="s">
        <v>100</v>
      </c>
      <c r="G204" s="12" t="s">
        <v>67</v>
      </c>
      <c r="H204" s="12" t="s">
        <v>402</v>
      </c>
      <c r="I204" s="12" t="s">
        <v>677</v>
      </c>
      <c r="J204" s="34" t="s">
        <v>68</v>
      </c>
      <c r="K204" s="12">
        <v>14130692</v>
      </c>
      <c r="L204" s="13" t="s">
        <v>2732</v>
      </c>
      <c r="M204" s="213" t="s">
        <v>68</v>
      </c>
      <c r="N204" s="182"/>
      <c r="O204" s="12" t="s">
        <v>2475</v>
      </c>
      <c r="P204" s="12" t="s">
        <v>70</v>
      </c>
      <c r="Q204" s="12" t="s">
        <v>102</v>
      </c>
      <c r="R204" s="12">
        <v>554245</v>
      </c>
      <c r="S204" s="12" t="s">
        <v>103</v>
      </c>
      <c r="T204" s="206">
        <v>620</v>
      </c>
      <c r="U204" s="206">
        <v>7200</v>
      </c>
      <c r="V204" s="12">
        <v>4.4640000000000004</v>
      </c>
      <c r="W204" s="198">
        <v>200</v>
      </c>
      <c r="X204" s="254">
        <v>10</v>
      </c>
      <c r="Y204" s="12" t="s">
        <v>75</v>
      </c>
      <c r="Z204" s="12"/>
      <c r="AA204" s="12" t="s">
        <v>108</v>
      </c>
      <c r="AB204" s="13" t="s">
        <v>2905</v>
      </c>
      <c r="AC204" s="14">
        <v>45915</v>
      </c>
      <c r="AD204" s="15">
        <v>38</v>
      </c>
      <c r="AE204" s="176" t="s">
        <v>3358</v>
      </c>
      <c r="AF204" s="12">
        <v>371008932</v>
      </c>
      <c r="AG204" s="12" t="s">
        <v>122</v>
      </c>
      <c r="AH204" s="12" t="s">
        <v>105</v>
      </c>
      <c r="AI204" s="14">
        <v>45921</v>
      </c>
      <c r="AJ204" s="14">
        <v>45921</v>
      </c>
      <c r="AK204" s="14">
        <v>45921</v>
      </c>
      <c r="AL204" s="14">
        <v>45976</v>
      </c>
      <c r="AM204" s="14"/>
      <c r="AN204" s="14">
        <v>45975</v>
      </c>
      <c r="AO204" s="91" t="s">
        <v>402</v>
      </c>
      <c r="AP204" s="12" t="s">
        <v>3252</v>
      </c>
      <c r="AQ204" s="12"/>
      <c r="AR204" s="12" t="s">
        <v>3359</v>
      </c>
      <c r="AS204" s="12" t="s">
        <v>3360</v>
      </c>
      <c r="AT204" s="12" t="s">
        <v>3360</v>
      </c>
      <c r="AU204" s="12">
        <v>55</v>
      </c>
      <c r="AV204" s="12" t="s">
        <v>2493</v>
      </c>
      <c r="AW204" s="12">
        <v>39</v>
      </c>
      <c r="AX204" s="12">
        <v>60</v>
      </c>
      <c r="AY204" s="14">
        <v>45921</v>
      </c>
      <c r="AZ204" s="14">
        <v>45975</v>
      </c>
      <c r="BA204" s="12" t="e">
        <v>#N/A</v>
      </c>
      <c r="BB204" s="14" t="s">
        <v>2480</v>
      </c>
      <c r="BC204" s="14">
        <v>45989</v>
      </c>
      <c r="BD204" s="16">
        <v>2025</v>
      </c>
      <c r="BE204" s="16">
        <v>11</v>
      </c>
      <c r="BF204" s="16">
        <v>48</v>
      </c>
      <c r="BG204" s="191">
        <v>36</v>
      </c>
      <c r="BH204" s="191">
        <v>720</v>
      </c>
    </row>
    <row r="205" spans="1:60" s="23" customFormat="1" ht="10">
      <c r="A205" s="11"/>
      <c r="B205" s="12" t="s">
        <v>61</v>
      </c>
      <c r="C205" s="12" t="s">
        <v>3242</v>
      </c>
      <c r="D205" s="12" t="s">
        <v>63</v>
      </c>
      <c r="E205" s="12" t="s">
        <v>68</v>
      </c>
      <c r="F205" s="12" t="s">
        <v>68</v>
      </c>
      <c r="G205" s="12"/>
      <c r="H205" s="12" t="s">
        <v>66</v>
      </c>
      <c r="I205" s="12" t="s">
        <v>2763</v>
      </c>
      <c r="J205" s="34" t="s">
        <v>68</v>
      </c>
      <c r="K205" s="12">
        <v>19142965</v>
      </c>
      <c r="L205" s="13" t="s">
        <v>2497</v>
      </c>
      <c r="M205" s="12" t="s">
        <v>68</v>
      </c>
      <c r="N205" s="182"/>
      <c r="O205" s="12" t="s">
        <v>2475</v>
      </c>
      <c r="P205" s="12" t="s">
        <v>70</v>
      </c>
      <c r="Q205" s="12" t="s">
        <v>420</v>
      </c>
      <c r="R205" s="12">
        <v>554476</v>
      </c>
      <c r="S205" s="12" t="s">
        <v>421</v>
      </c>
      <c r="T205" s="206">
        <v>505</v>
      </c>
      <c r="U205" s="206">
        <v>3456</v>
      </c>
      <c r="V205" s="12">
        <v>1.7452799999999999</v>
      </c>
      <c r="W205" s="198">
        <v>96</v>
      </c>
      <c r="X205" s="254">
        <v>4</v>
      </c>
      <c r="Y205" s="12" t="s">
        <v>75</v>
      </c>
      <c r="Z205" s="12"/>
      <c r="AA205" s="12" t="s">
        <v>2658</v>
      </c>
      <c r="AB205" s="13" t="s">
        <v>992</v>
      </c>
      <c r="AC205" s="14">
        <v>45921</v>
      </c>
      <c r="AD205" s="15">
        <v>38</v>
      </c>
      <c r="AE205" s="176" t="s">
        <v>3361</v>
      </c>
      <c r="AF205" s="12">
        <v>371008959</v>
      </c>
      <c r="AG205" s="12" t="s">
        <v>77</v>
      </c>
      <c r="AH205" s="12" t="s">
        <v>1561</v>
      </c>
      <c r="AI205" s="14">
        <v>45927</v>
      </c>
      <c r="AJ205" s="14">
        <v>45927</v>
      </c>
      <c r="AK205" s="14">
        <v>45927</v>
      </c>
      <c r="AL205" s="14">
        <v>45998</v>
      </c>
      <c r="AM205" s="14"/>
      <c r="AN205" s="14">
        <v>45996</v>
      </c>
      <c r="AO205" s="91" t="s">
        <v>66</v>
      </c>
      <c r="AP205" s="12" t="s">
        <v>3345</v>
      </c>
      <c r="AQ205" s="12"/>
      <c r="AR205" s="12" t="s">
        <v>3362</v>
      </c>
      <c r="AS205" s="12" t="s">
        <v>3363</v>
      </c>
      <c r="AT205" s="12" t="s">
        <v>3363</v>
      </c>
      <c r="AU205" s="12">
        <v>71</v>
      </c>
      <c r="AV205" s="12" t="s">
        <v>83</v>
      </c>
      <c r="AW205" s="12">
        <v>5</v>
      </c>
      <c r="AX205" s="12">
        <v>75</v>
      </c>
      <c r="AY205" s="14">
        <v>45927</v>
      </c>
      <c r="AZ205" s="14">
        <v>45996</v>
      </c>
      <c r="BA205" s="12" t="e">
        <v>#N/A</v>
      </c>
      <c r="BB205" s="14" t="s">
        <v>2480</v>
      </c>
      <c r="BC205" s="14">
        <v>46010</v>
      </c>
      <c r="BD205" s="16">
        <v>2025</v>
      </c>
      <c r="BE205" s="16">
        <v>12</v>
      </c>
      <c r="BF205" s="16">
        <v>51</v>
      </c>
      <c r="BG205" s="191">
        <v>36</v>
      </c>
      <c r="BH205" s="191">
        <v>864</v>
      </c>
    </row>
    <row r="206" spans="1:60" s="23" customFormat="1" ht="10">
      <c r="A206" s="11" t="s">
        <v>3364</v>
      </c>
      <c r="B206" s="12" t="s">
        <v>61</v>
      </c>
      <c r="C206" s="12" t="s">
        <v>769</v>
      </c>
      <c r="D206" s="12" t="s">
        <v>63</v>
      </c>
      <c r="E206" s="12" t="s">
        <v>64</v>
      </c>
      <c r="F206" s="12" t="s">
        <v>100</v>
      </c>
      <c r="G206" s="12" t="s">
        <v>67</v>
      </c>
      <c r="H206" s="12" t="s">
        <v>66</v>
      </c>
      <c r="I206" s="12" t="s">
        <v>3053</v>
      </c>
      <c r="J206" s="34" t="s">
        <v>68</v>
      </c>
      <c r="K206" s="12">
        <v>39011435</v>
      </c>
      <c r="L206" s="13" t="s">
        <v>2719</v>
      </c>
      <c r="M206" s="213" t="s">
        <v>68</v>
      </c>
      <c r="N206" s="182"/>
      <c r="O206" s="12" t="s">
        <v>2475</v>
      </c>
      <c r="P206" s="12" t="s">
        <v>70</v>
      </c>
      <c r="Q206" s="12" t="s">
        <v>195</v>
      </c>
      <c r="R206" s="12">
        <v>554473</v>
      </c>
      <c r="S206" s="12" t="s">
        <v>196</v>
      </c>
      <c r="T206" s="206">
        <v>450</v>
      </c>
      <c r="U206" s="206">
        <v>936</v>
      </c>
      <c r="V206" s="12">
        <v>0.42120000000000002</v>
      </c>
      <c r="W206" s="198">
        <v>26</v>
      </c>
      <c r="X206" s="254">
        <v>1</v>
      </c>
      <c r="Y206" s="12" t="s">
        <v>75</v>
      </c>
      <c r="Z206" s="12"/>
      <c r="AA206" s="12" t="s">
        <v>2658</v>
      </c>
      <c r="AB206" s="13" t="s">
        <v>967</v>
      </c>
      <c r="AC206" s="14">
        <v>45921</v>
      </c>
      <c r="AD206" s="15">
        <v>38</v>
      </c>
      <c r="AE206" s="176" t="s">
        <v>3365</v>
      </c>
      <c r="AF206" s="12">
        <v>371008958</v>
      </c>
      <c r="AG206" s="12" t="s">
        <v>77</v>
      </c>
      <c r="AH206" s="12" t="s">
        <v>105</v>
      </c>
      <c r="AI206" s="14">
        <v>45927</v>
      </c>
      <c r="AJ206" s="14">
        <v>45927</v>
      </c>
      <c r="AK206" s="14">
        <v>45927</v>
      </c>
      <c r="AL206" s="14">
        <v>45986</v>
      </c>
      <c r="AM206" s="14"/>
      <c r="AN206" s="14">
        <v>45984</v>
      </c>
      <c r="AO206" s="91" t="s">
        <v>66</v>
      </c>
      <c r="AP206" s="12" t="s">
        <v>3345</v>
      </c>
      <c r="AQ206" s="12"/>
      <c r="AR206" s="12" t="s">
        <v>3366</v>
      </c>
      <c r="AS206" s="12" t="s">
        <v>3367</v>
      </c>
      <c r="AT206" s="12" t="s">
        <v>3367</v>
      </c>
      <c r="AU206" s="12">
        <v>59</v>
      </c>
      <c r="AV206" s="12" t="s">
        <v>83</v>
      </c>
      <c r="AW206" s="12">
        <v>7</v>
      </c>
      <c r="AX206" s="12">
        <v>63</v>
      </c>
      <c r="AY206" s="14">
        <v>45927</v>
      </c>
      <c r="AZ206" s="14">
        <v>45984</v>
      </c>
      <c r="BA206" s="12" t="e">
        <v>#N/A</v>
      </c>
      <c r="BB206" s="14" t="s">
        <v>2480</v>
      </c>
      <c r="BC206" s="14">
        <v>45998</v>
      </c>
      <c r="BD206" s="16">
        <v>2025</v>
      </c>
      <c r="BE206" s="16">
        <v>12</v>
      </c>
      <c r="BF206" s="16">
        <v>49</v>
      </c>
      <c r="BG206" s="191">
        <v>36</v>
      </c>
      <c r="BH206" s="191">
        <v>936</v>
      </c>
    </row>
    <row r="207" spans="1:60" s="23" customFormat="1" ht="10">
      <c r="A207" s="11" t="s">
        <v>3368</v>
      </c>
      <c r="B207" s="12" t="s">
        <v>111</v>
      </c>
      <c r="C207" s="12" t="s">
        <v>3329</v>
      </c>
      <c r="D207" s="12" t="s">
        <v>63</v>
      </c>
      <c r="E207" s="12" t="s">
        <v>64</v>
      </c>
      <c r="F207" s="12" t="s">
        <v>65</v>
      </c>
      <c r="G207" s="12" t="s">
        <v>67</v>
      </c>
      <c r="H207" s="12" t="s">
        <v>66</v>
      </c>
      <c r="I207" s="12" t="s">
        <v>96</v>
      </c>
      <c r="J207" s="34" t="s">
        <v>68</v>
      </c>
      <c r="K207" s="12"/>
      <c r="L207" s="13" t="s">
        <v>2474</v>
      </c>
      <c r="M207" s="213" t="s">
        <v>68</v>
      </c>
      <c r="N207" s="182"/>
      <c r="O207" s="12" t="s">
        <v>2475</v>
      </c>
      <c r="P207" s="12" t="s">
        <v>473</v>
      </c>
      <c r="Q207" s="12" t="s">
        <v>529</v>
      </c>
      <c r="R207" s="12">
        <v>553145</v>
      </c>
      <c r="S207" s="12" t="s">
        <v>530</v>
      </c>
      <c r="T207" s="206">
        <v>455</v>
      </c>
      <c r="U207" s="206">
        <v>1728</v>
      </c>
      <c r="V207" s="12">
        <v>0.78624000000000005</v>
      </c>
      <c r="W207" s="198">
        <v>48</v>
      </c>
      <c r="X207" s="254">
        <v>2</v>
      </c>
      <c r="Y207" s="12" t="s">
        <v>75</v>
      </c>
      <c r="Z207" s="12"/>
      <c r="AA207" s="12" t="s">
        <v>85</v>
      </c>
      <c r="AB207" s="13" t="s">
        <v>967</v>
      </c>
      <c r="AC207" s="14">
        <v>45921</v>
      </c>
      <c r="AD207" s="15">
        <v>38</v>
      </c>
      <c r="AE207" s="176" t="s">
        <v>3369</v>
      </c>
      <c r="AF207" s="12">
        <v>371008964</v>
      </c>
      <c r="AG207" s="12" t="s">
        <v>122</v>
      </c>
      <c r="AH207" s="12" t="s">
        <v>78</v>
      </c>
      <c r="AI207" s="14">
        <v>45933</v>
      </c>
      <c r="AJ207" s="14">
        <v>45933</v>
      </c>
      <c r="AK207" s="14">
        <v>45933</v>
      </c>
      <c r="AL207" s="14">
        <v>45982</v>
      </c>
      <c r="AM207" s="14"/>
      <c r="AN207" s="14">
        <v>45981</v>
      </c>
      <c r="AO207" s="91" t="s">
        <v>66</v>
      </c>
      <c r="AP207" s="12" t="s">
        <v>3370</v>
      </c>
      <c r="AQ207" s="12"/>
      <c r="AR207" s="12" t="s">
        <v>3371</v>
      </c>
      <c r="AS207" s="12" t="s">
        <v>3372</v>
      </c>
      <c r="AT207" s="12" t="s">
        <v>3372</v>
      </c>
      <c r="AU207" s="12">
        <v>49</v>
      </c>
      <c r="AV207" s="12" t="s">
        <v>83</v>
      </c>
      <c r="AW207" s="12">
        <v>6</v>
      </c>
      <c r="AX207" s="12">
        <v>60</v>
      </c>
      <c r="AY207" s="14">
        <v>45933</v>
      </c>
      <c r="AZ207" s="14">
        <v>45981</v>
      </c>
      <c r="BA207" s="12" t="e">
        <v>#N/A</v>
      </c>
      <c r="BB207" s="14" t="s">
        <v>2480</v>
      </c>
      <c r="BC207" s="14">
        <v>45995</v>
      </c>
      <c r="BD207" s="16">
        <v>2025</v>
      </c>
      <c r="BE207" s="16">
        <v>12</v>
      </c>
      <c r="BF207" s="16">
        <v>49</v>
      </c>
      <c r="BG207" s="191">
        <v>36</v>
      </c>
      <c r="BH207" s="191">
        <v>864</v>
      </c>
    </row>
    <row r="208" spans="1:60" s="23" customFormat="1" ht="10">
      <c r="A208" s="11" t="s">
        <v>3373</v>
      </c>
      <c r="B208" s="12" t="s">
        <v>111</v>
      </c>
      <c r="C208" s="12" t="s">
        <v>3329</v>
      </c>
      <c r="D208" s="12" t="s">
        <v>63</v>
      </c>
      <c r="E208" s="12" t="s">
        <v>68</v>
      </c>
      <c r="F208" s="12" t="s">
        <v>68</v>
      </c>
      <c r="G208" s="12"/>
      <c r="H208" s="12" t="s">
        <v>66</v>
      </c>
      <c r="I208" s="12" t="s">
        <v>1292</v>
      </c>
      <c r="J208" s="34" t="s">
        <v>68</v>
      </c>
      <c r="K208" s="12"/>
      <c r="L208" s="13" t="s">
        <v>2831</v>
      </c>
      <c r="M208" s="12" t="s">
        <v>68</v>
      </c>
      <c r="N208" s="182"/>
      <c r="O208" s="12" t="s">
        <v>2475</v>
      </c>
      <c r="P208" s="12" t="s">
        <v>473</v>
      </c>
      <c r="Q208" s="12" t="s">
        <v>529</v>
      </c>
      <c r="R208" s="12">
        <v>553145</v>
      </c>
      <c r="S208" s="12" t="s">
        <v>530</v>
      </c>
      <c r="T208" s="206">
        <v>455</v>
      </c>
      <c r="U208" s="206">
        <v>1728</v>
      </c>
      <c r="V208" s="12">
        <v>0.78624000000000005</v>
      </c>
      <c r="W208" s="198">
        <v>48</v>
      </c>
      <c r="X208" s="254">
        <v>2</v>
      </c>
      <c r="Y208" s="12" t="s">
        <v>75</v>
      </c>
      <c r="Z208" s="12"/>
      <c r="AA208" s="12" t="s">
        <v>85</v>
      </c>
      <c r="AB208" s="13" t="s">
        <v>967</v>
      </c>
      <c r="AC208" s="14">
        <v>45921</v>
      </c>
      <c r="AD208" s="15">
        <v>38</v>
      </c>
      <c r="AE208" s="176" t="s">
        <v>3374</v>
      </c>
      <c r="AF208" s="12">
        <v>371008963</v>
      </c>
      <c r="AG208" s="12" t="s">
        <v>122</v>
      </c>
      <c r="AH208" s="12" t="s">
        <v>456</v>
      </c>
      <c r="AI208" s="14">
        <v>45931</v>
      </c>
      <c r="AJ208" s="14">
        <v>45931</v>
      </c>
      <c r="AK208" s="14">
        <v>45931</v>
      </c>
      <c r="AL208" s="14">
        <v>45982</v>
      </c>
      <c r="AM208" s="14"/>
      <c r="AN208" s="14">
        <v>45982</v>
      </c>
      <c r="AO208" s="91" t="s">
        <v>66</v>
      </c>
      <c r="AP208" s="12" t="s">
        <v>3375</v>
      </c>
      <c r="AQ208" s="12"/>
      <c r="AR208" s="12" t="s">
        <v>3376</v>
      </c>
      <c r="AS208" s="12" t="s">
        <v>3377</v>
      </c>
      <c r="AT208" s="12" t="s">
        <v>3377</v>
      </c>
      <c r="AU208" s="12">
        <v>51</v>
      </c>
      <c r="AV208" s="12" t="s">
        <v>83</v>
      </c>
      <c r="AW208" s="12">
        <v>6</v>
      </c>
      <c r="AX208" s="12">
        <v>61</v>
      </c>
      <c r="AY208" s="14">
        <v>45931</v>
      </c>
      <c r="AZ208" s="14">
        <v>45982</v>
      </c>
      <c r="BA208" s="12" t="e">
        <v>#N/A</v>
      </c>
      <c r="BB208" s="14" t="s">
        <v>2480</v>
      </c>
      <c r="BC208" s="14">
        <v>45996</v>
      </c>
      <c r="BD208" s="16">
        <v>2025</v>
      </c>
      <c r="BE208" s="16">
        <v>12</v>
      </c>
      <c r="BF208" s="16">
        <v>49</v>
      </c>
      <c r="BG208" s="191">
        <v>36</v>
      </c>
      <c r="BH208" s="191">
        <v>864</v>
      </c>
    </row>
    <row r="209" spans="1:60" s="23" customFormat="1" ht="10">
      <c r="A209" s="11" t="s">
        <v>3378</v>
      </c>
      <c r="B209" s="12" t="s">
        <v>2774</v>
      </c>
      <c r="C209" s="12" t="s">
        <v>282</v>
      </c>
      <c r="D209" s="12" t="s">
        <v>63</v>
      </c>
      <c r="E209" s="12" t="s">
        <v>68</v>
      </c>
      <c r="F209" s="12" t="s">
        <v>68</v>
      </c>
      <c r="G209" s="12"/>
      <c r="H209" s="12" t="s">
        <v>156</v>
      </c>
      <c r="I209" s="12" t="s">
        <v>3379</v>
      </c>
      <c r="J209" s="34" t="s">
        <v>68</v>
      </c>
      <c r="K209" s="12">
        <v>46010772</v>
      </c>
      <c r="L209" s="13" t="s">
        <v>2719</v>
      </c>
      <c r="M209" s="12" t="s">
        <v>68</v>
      </c>
      <c r="N209" s="182"/>
      <c r="O209" s="12" t="s">
        <v>2475</v>
      </c>
      <c r="P209" s="12" t="s">
        <v>284</v>
      </c>
      <c r="Q209" s="12" t="s">
        <v>285</v>
      </c>
      <c r="R209" s="12">
        <v>554319</v>
      </c>
      <c r="S209" s="12" t="s">
        <v>286</v>
      </c>
      <c r="T209" s="206">
        <v>460</v>
      </c>
      <c r="U209" s="206">
        <v>962</v>
      </c>
      <c r="V209" s="12">
        <v>0.44252000000000002</v>
      </c>
      <c r="W209" s="198">
        <v>26</v>
      </c>
      <c r="X209" s="254">
        <v>1</v>
      </c>
      <c r="Y209" s="12" t="s">
        <v>75</v>
      </c>
      <c r="Z209" s="12"/>
      <c r="AA209" s="12" t="s">
        <v>85</v>
      </c>
      <c r="AB209" s="13" t="s">
        <v>992</v>
      </c>
      <c r="AC209" s="14">
        <v>45917</v>
      </c>
      <c r="AD209" s="15">
        <v>38</v>
      </c>
      <c r="AE209" s="176" t="s">
        <v>3380</v>
      </c>
      <c r="AF209" s="12">
        <v>371008957</v>
      </c>
      <c r="AG209" s="12" t="s">
        <v>288</v>
      </c>
      <c r="AH209" s="12" t="s">
        <v>1084</v>
      </c>
      <c r="AI209" s="14">
        <v>45932</v>
      </c>
      <c r="AJ209" s="14">
        <v>45932</v>
      </c>
      <c r="AK209" s="14">
        <v>45932</v>
      </c>
      <c r="AL209" s="14">
        <v>45975</v>
      </c>
      <c r="AM209" s="14"/>
      <c r="AN209" s="14">
        <v>45975</v>
      </c>
      <c r="AO209" s="91" t="s">
        <v>156</v>
      </c>
      <c r="AP209" s="12" t="s">
        <v>3381</v>
      </c>
      <c r="AQ209" s="12"/>
      <c r="AR209" s="12">
        <v>46010772</v>
      </c>
      <c r="AS209" s="12">
        <v>1069414963</v>
      </c>
      <c r="AT209" s="12" t="s">
        <v>3382</v>
      </c>
      <c r="AU209" s="12">
        <v>44</v>
      </c>
      <c r="AV209" s="12" t="s">
        <v>2493</v>
      </c>
      <c r="AW209" s="12">
        <v>9</v>
      </c>
      <c r="AX209" s="12">
        <v>58</v>
      </c>
      <c r="AY209" s="14">
        <v>45932</v>
      </c>
      <c r="AZ209" s="14">
        <v>45975</v>
      </c>
      <c r="BA209" s="12" t="e">
        <v>#N/A</v>
      </c>
      <c r="BB209" s="14" t="s">
        <v>2480</v>
      </c>
      <c r="BC209" s="14">
        <v>45989</v>
      </c>
      <c r="BD209" s="16">
        <v>2025</v>
      </c>
      <c r="BE209" s="16">
        <v>11</v>
      </c>
      <c r="BF209" s="16">
        <v>48</v>
      </c>
      <c r="BG209" s="191">
        <v>37</v>
      </c>
      <c r="BH209" s="191">
        <v>962</v>
      </c>
    </row>
    <row r="210" spans="1:60" s="23" customFormat="1" ht="10">
      <c r="A210" s="11" t="s">
        <v>3383</v>
      </c>
      <c r="B210" s="12" t="s">
        <v>111</v>
      </c>
      <c r="C210" s="12" t="s">
        <v>3384</v>
      </c>
      <c r="D210" s="12" t="s">
        <v>63</v>
      </c>
      <c r="E210" s="12" t="s">
        <v>68</v>
      </c>
      <c r="F210" s="12" t="s">
        <v>68</v>
      </c>
      <c r="G210" s="12"/>
      <c r="H210" s="12" t="s">
        <v>66</v>
      </c>
      <c r="I210" s="12" t="s">
        <v>1342</v>
      </c>
      <c r="J210" s="34" t="s">
        <v>68</v>
      </c>
      <c r="K210" s="12"/>
      <c r="L210" s="13" t="s">
        <v>2497</v>
      </c>
      <c r="M210" s="12" t="s">
        <v>68</v>
      </c>
      <c r="N210" s="182"/>
      <c r="O210" s="12" t="s">
        <v>2475</v>
      </c>
      <c r="P210" s="12" t="s">
        <v>132</v>
      </c>
      <c r="Q210" s="12" t="s">
        <v>1104</v>
      </c>
      <c r="R210" s="12">
        <v>554431</v>
      </c>
      <c r="S210" s="12" t="s">
        <v>1105</v>
      </c>
      <c r="T210" s="206">
        <v>455</v>
      </c>
      <c r="U210" s="206">
        <v>2592</v>
      </c>
      <c r="V210" s="12">
        <v>1.17936</v>
      </c>
      <c r="W210" s="198">
        <v>72</v>
      </c>
      <c r="X210" s="254">
        <v>3</v>
      </c>
      <c r="Y210" s="12" t="s">
        <v>75</v>
      </c>
      <c r="Z210" s="12"/>
      <c r="AA210" s="12" t="s">
        <v>108</v>
      </c>
      <c r="AB210" s="13" t="s">
        <v>992</v>
      </c>
      <c r="AC210" s="14">
        <v>45927</v>
      </c>
      <c r="AD210" s="15">
        <v>39</v>
      </c>
      <c r="AE210" s="176" t="s">
        <v>3385</v>
      </c>
      <c r="AF210" s="12">
        <v>371008988</v>
      </c>
      <c r="AG210" s="12" t="s">
        <v>122</v>
      </c>
      <c r="AH210" s="12" t="s">
        <v>314</v>
      </c>
      <c r="AI210" s="14">
        <v>45939</v>
      </c>
      <c r="AJ210" s="14">
        <v>45939</v>
      </c>
      <c r="AK210" s="14">
        <v>45939</v>
      </c>
      <c r="AL210" s="14">
        <v>45987</v>
      </c>
      <c r="AM210" s="14"/>
      <c r="AN210" s="14">
        <v>45999</v>
      </c>
      <c r="AO210" s="91" t="s">
        <v>66</v>
      </c>
      <c r="AP210" s="12" t="s">
        <v>3386</v>
      </c>
      <c r="AQ210" s="12"/>
      <c r="AR210" s="12" t="s">
        <v>3387</v>
      </c>
      <c r="AS210" s="12" t="s">
        <v>3388</v>
      </c>
      <c r="AT210" s="12" t="s">
        <v>3388</v>
      </c>
      <c r="AU210" s="12">
        <v>48</v>
      </c>
      <c r="AV210" s="12" t="s">
        <v>83</v>
      </c>
      <c r="AW210" s="12">
        <v>2</v>
      </c>
      <c r="AX210" s="12">
        <v>72</v>
      </c>
      <c r="AY210" s="14">
        <v>45939</v>
      </c>
      <c r="AZ210" s="14">
        <v>45999</v>
      </c>
      <c r="BA210" s="12" t="e">
        <v>#N/A</v>
      </c>
      <c r="BB210" s="14" t="s">
        <v>2480</v>
      </c>
      <c r="BC210" s="14">
        <v>46013</v>
      </c>
      <c r="BD210" s="16">
        <v>2025</v>
      </c>
      <c r="BE210" s="16">
        <v>12</v>
      </c>
      <c r="BF210" s="16">
        <v>52</v>
      </c>
      <c r="BG210" s="191">
        <v>36</v>
      </c>
      <c r="BH210" s="191">
        <v>864</v>
      </c>
    </row>
    <row r="211" spans="1:60" s="23" customFormat="1" ht="10">
      <c r="A211" s="11" t="s">
        <v>3389</v>
      </c>
      <c r="B211" s="12" t="s">
        <v>111</v>
      </c>
      <c r="C211" s="12" t="s">
        <v>2697</v>
      </c>
      <c r="D211" s="12" t="s">
        <v>63</v>
      </c>
      <c r="E211" s="12" t="s">
        <v>64</v>
      </c>
      <c r="F211" s="12" t="s">
        <v>100</v>
      </c>
      <c r="G211" s="12" t="s">
        <v>67</v>
      </c>
      <c r="H211" s="12" t="s">
        <v>66</v>
      </c>
      <c r="I211" s="12" t="s">
        <v>96</v>
      </c>
      <c r="J211" s="34" t="s">
        <v>68</v>
      </c>
      <c r="K211" s="12"/>
      <c r="L211" s="13" t="s">
        <v>2474</v>
      </c>
      <c r="M211" s="213" t="s">
        <v>68</v>
      </c>
      <c r="N211" s="182"/>
      <c r="O211" s="12" t="s">
        <v>2475</v>
      </c>
      <c r="P211" s="12" t="s">
        <v>550</v>
      </c>
      <c r="Q211" s="12" t="s">
        <v>2699</v>
      </c>
      <c r="R211" s="12">
        <v>553120</v>
      </c>
      <c r="S211" s="12" t="s">
        <v>2700</v>
      </c>
      <c r="T211" s="206">
        <v>500</v>
      </c>
      <c r="U211" s="206">
        <v>792</v>
      </c>
      <c r="V211" s="12">
        <v>0.39600000000000002</v>
      </c>
      <c r="W211" s="198">
        <v>22</v>
      </c>
      <c r="X211" s="254">
        <v>1</v>
      </c>
      <c r="Y211" s="12" t="s">
        <v>75</v>
      </c>
      <c r="Z211" s="12"/>
      <c r="AA211" s="12" t="s">
        <v>85</v>
      </c>
      <c r="AB211" s="13" t="s">
        <v>2136</v>
      </c>
      <c r="AC211" s="14">
        <v>45928</v>
      </c>
      <c r="AD211" s="15">
        <v>39</v>
      </c>
      <c r="AE211" s="176" t="s">
        <v>3390</v>
      </c>
      <c r="AF211" s="12">
        <v>371008977</v>
      </c>
      <c r="AG211" s="12" t="s">
        <v>122</v>
      </c>
      <c r="AH211" s="12" t="s">
        <v>105</v>
      </c>
      <c r="AI211" s="14">
        <v>45937</v>
      </c>
      <c r="AJ211" s="14">
        <v>45937</v>
      </c>
      <c r="AK211" s="14">
        <v>45937</v>
      </c>
      <c r="AL211" s="14">
        <v>45986</v>
      </c>
      <c r="AM211" s="14"/>
      <c r="AN211" s="14">
        <v>45984</v>
      </c>
      <c r="AO211" s="91" t="s">
        <v>66</v>
      </c>
      <c r="AP211" s="12" t="s">
        <v>3345</v>
      </c>
      <c r="AQ211" s="12"/>
      <c r="AR211" s="12" t="s">
        <v>3391</v>
      </c>
      <c r="AS211" s="12" t="s">
        <v>3392</v>
      </c>
      <c r="AT211" s="12" t="s">
        <v>3392</v>
      </c>
      <c r="AU211" s="12">
        <v>49</v>
      </c>
      <c r="AV211" s="12" t="s">
        <v>83</v>
      </c>
      <c r="AW211" s="12">
        <v>5</v>
      </c>
      <c r="AX211" s="12">
        <v>56</v>
      </c>
      <c r="AY211" s="14">
        <v>45937</v>
      </c>
      <c r="AZ211" s="14">
        <v>45984</v>
      </c>
      <c r="BA211" s="12" t="e">
        <v>#N/A</v>
      </c>
      <c r="BB211" s="14" t="s">
        <v>2480</v>
      </c>
      <c r="BC211" s="14">
        <v>45998</v>
      </c>
      <c r="BD211" s="16">
        <v>2025</v>
      </c>
      <c r="BE211" s="16">
        <v>12</v>
      </c>
      <c r="BF211" s="16">
        <v>49</v>
      </c>
      <c r="BG211" s="191">
        <v>36</v>
      </c>
      <c r="BH211" s="191">
        <v>792</v>
      </c>
    </row>
    <row r="212" spans="1:60" s="23" customFormat="1" ht="10">
      <c r="A212" s="11" t="s">
        <v>3393</v>
      </c>
      <c r="B212" s="12" t="s">
        <v>111</v>
      </c>
      <c r="C212" s="12" t="s">
        <v>203</v>
      </c>
      <c r="D212" s="12" t="s">
        <v>63</v>
      </c>
      <c r="E212" s="12" t="s">
        <v>68</v>
      </c>
      <c r="F212" s="12" t="s">
        <v>68</v>
      </c>
      <c r="G212" s="12"/>
      <c r="H212" s="12" t="s">
        <v>66</v>
      </c>
      <c r="I212" s="12" t="s">
        <v>1342</v>
      </c>
      <c r="J212" s="34" t="s">
        <v>68</v>
      </c>
      <c r="K212" s="12"/>
      <c r="L212" s="13" t="s">
        <v>2497</v>
      </c>
      <c r="M212" s="12" t="s">
        <v>68</v>
      </c>
      <c r="N212" s="182"/>
      <c r="O212" s="12" t="s">
        <v>2475</v>
      </c>
      <c r="P212" s="12" t="s">
        <v>132</v>
      </c>
      <c r="Q212" s="12" t="s">
        <v>453</v>
      </c>
      <c r="R212" s="12">
        <v>554541</v>
      </c>
      <c r="S212" s="12" t="s">
        <v>454</v>
      </c>
      <c r="T212" s="206">
        <v>460</v>
      </c>
      <c r="U212" s="206">
        <v>3456</v>
      </c>
      <c r="V212" s="12">
        <v>1.5897600000000001</v>
      </c>
      <c r="W212" s="198">
        <v>96</v>
      </c>
      <c r="X212" s="254">
        <v>4</v>
      </c>
      <c r="Y212" s="12" t="s">
        <v>75</v>
      </c>
      <c r="Z212" s="12"/>
      <c r="AA212" s="12" t="s">
        <v>108</v>
      </c>
      <c r="AB212" s="32" t="s">
        <v>967</v>
      </c>
      <c r="AC212" s="14">
        <v>45927</v>
      </c>
      <c r="AD212" s="15">
        <v>39</v>
      </c>
      <c r="AE212" s="176" t="s">
        <v>3394</v>
      </c>
      <c r="AF212" s="12">
        <v>371008989</v>
      </c>
      <c r="AG212" s="12" t="s">
        <v>122</v>
      </c>
      <c r="AH212" s="12" t="s">
        <v>314</v>
      </c>
      <c r="AI212" s="14">
        <v>45939</v>
      </c>
      <c r="AJ212" s="14">
        <v>45939</v>
      </c>
      <c r="AK212" s="14">
        <v>45939</v>
      </c>
      <c r="AL212" s="14">
        <v>45987</v>
      </c>
      <c r="AM212" s="14"/>
      <c r="AN212" s="14">
        <v>45999</v>
      </c>
      <c r="AO212" s="91" t="s">
        <v>66</v>
      </c>
      <c r="AP212" s="12" t="s">
        <v>3386</v>
      </c>
      <c r="AQ212" s="12"/>
      <c r="AR212" s="12" t="s">
        <v>3387</v>
      </c>
      <c r="AS212" s="12" t="s">
        <v>3388</v>
      </c>
      <c r="AT212" s="12" t="s">
        <v>3388</v>
      </c>
      <c r="AU212" s="12">
        <v>48</v>
      </c>
      <c r="AV212" s="12" t="s">
        <v>83</v>
      </c>
      <c r="AW212" s="12">
        <v>39</v>
      </c>
      <c r="AX212" s="12">
        <v>72</v>
      </c>
      <c r="AY212" s="14">
        <v>45939</v>
      </c>
      <c r="AZ212" s="14">
        <v>45999</v>
      </c>
      <c r="BA212" s="12" t="e">
        <v>#N/A</v>
      </c>
      <c r="BB212" s="14" t="s">
        <v>2480</v>
      </c>
      <c r="BC212" s="14">
        <v>46013</v>
      </c>
      <c r="BD212" s="16">
        <v>2025</v>
      </c>
      <c r="BE212" s="16">
        <v>12</v>
      </c>
      <c r="BF212" s="16">
        <v>52</v>
      </c>
      <c r="BG212" s="191">
        <v>36</v>
      </c>
      <c r="BH212" s="191">
        <v>864</v>
      </c>
    </row>
    <row r="213" spans="1:60" s="23" customFormat="1" ht="10">
      <c r="A213" s="11" t="s">
        <v>3395</v>
      </c>
      <c r="B213" s="12" t="s">
        <v>111</v>
      </c>
      <c r="C213" s="12" t="s">
        <v>3148</v>
      </c>
      <c r="D213" s="12" t="s">
        <v>63</v>
      </c>
      <c r="E213" s="12" t="s">
        <v>68</v>
      </c>
      <c r="F213" s="12" t="s">
        <v>68</v>
      </c>
      <c r="G213" s="12"/>
      <c r="H213" s="12" t="s">
        <v>66</v>
      </c>
      <c r="I213" s="12" t="s">
        <v>1342</v>
      </c>
      <c r="J213" s="34" t="s">
        <v>68</v>
      </c>
      <c r="K213" s="12"/>
      <c r="L213" s="13" t="s">
        <v>2497</v>
      </c>
      <c r="M213" s="12" t="s">
        <v>68</v>
      </c>
      <c r="N213" s="182"/>
      <c r="O213" s="12" t="s">
        <v>2475</v>
      </c>
      <c r="P213" s="12" t="s">
        <v>170</v>
      </c>
      <c r="Q213" s="12" t="s">
        <v>171</v>
      </c>
      <c r="R213" s="12">
        <v>552045</v>
      </c>
      <c r="S213" s="12" t="s">
        <v>172</v>
      </c>
      <c r="T213" s="206">
        <v>555</v>
      </c>
      <c r="U213" s="206">
        <v>2640</v>
      </c>
      <c r="V213" s="12">
        <v>1.4652000000000001</v>
      </c>
      <c r="W213" s="198">
        <v>80</v>
      </c>
      <c r="X213" s="254">
        <v>4</v>
      </c>
      <c r="Y213" s="12" t="s">
        <v>75</v>
      </c>
      <c r="Z213" s="12"/>
      <c r="AA213" s="12" t="s">
        <v>108</v>
      </c>
      <c r="AB213" s="13" t="s">
        <v>992</v>
      </c>
      <c r="AC213" s="14">
        <v>45927</v>
      </c>
      <c r="AD213" s="15">
        <v>39</v>
      </c>
      <c r="AE213" s="176" t="s">
        <v>3396</v>
      </c>
      <c r="AF213" s="12">
        <v>371008987</v>
      </c>
      <c r="AG213" s="12" t="s">
        <v>122</v>
      </c>
      <c r="AH213" s="12" t="s">
        <v>314</v>
      </c>
      <c r="AI213" s="14">
        <v>45939</v>
      </c>
      <c r="AJ213" s="14">
        <v>45939</v>
      </c>
      <c r="AK213" s="14">
        <v>45939</v>
      </c>
      <c r="AL213" s="14">
        <v>45987</v>
      </c>
      <c r="AM213" s="14"/>
      <c r="AN213" s="14">
        <v>45999</v>
      </c>
      <c r="AO213" s="91" t="s">
        <v>66</v>
      </c>
      <c r="AP213" s="12" t="s">
        <v>3386</v>
      </c>
      <c r="AQ213" s="12"/>
      <c r="AR213" s="12" t="s">
        <v>3387</v>
      </c>
      <c r="AS213" s="12" t="s">
        <v>3388</v>
      </c>
      <c r="AT213" s="12" t="s">
        <v>3388</v>
      </c>
      <c r="AU213" s="12">
        <v>48</v>
      </c>
      <c r="AV213" s="12" t="s">
        <v>83</v>
      </c>
      <c r="AW213" s="12">
        <v>9</v>
      </c>
      <c r="AX213" s="12">
        <v>72</v>
      </c>
      <c r="AY213" s="14">
        <v>45939</v>
      </c>
      <c r="AZ213" s="14">
        <v>45999</v>
      </c>
      <c r="BA213" s="12" t="e">
        <v>#N/A</v>
      </c>
      <c r="BB213" s="14" t="s">
        <v>2480</v>
      </c>
      <c r="BC213" s="14">
        <v>46013</v>
      </c>
      <c r="BD213" s="16">
        <v>2025</v>
      </c>
      <c r="BE213" s="16">
        <v>12</v>
      </c>
      <c r="BF213" s="16">
        <v>52</v>
      </c>
      <c r="BG213" s="191">
        <v>33</v>
      </c>
      <c r="BH213" s="191">
        <v>660</v>
      </c>
    </row>
    <row r="214" spans="1:60" s="23" customFormat="1" ht="10">
      <c r="A214" s="11" t="s">
        <v>3397</v>
      </c>
      <c r="B214" s="12" t="s">
        <v>111</v>
      </c>
      <c r="C214" s="12" t="s">
        <v>3393</v>
      </c>
      <c r="D214" s="12" t="s">
        <v>63</v>
      </c>
      <c r="E214" s="12" t="s">
        <v>68</v>
      </c>
      <c r="F214" s="12" t="s">
        <v>68</v>
      </c>
      <c r="G214" s="12"/>
      <c r="H214" s="12" t="s">
        <v>66</v>
      </c>
      <c r="I214" s="12" t="s">
        <v>1342</v>
      </c>
      <c r="J214" s="34" t="s">
        <v>68</v>
      </c>
      <c r="K214" s="12"/>
      <c r="L214" s="13" t="s">
        <v>2497</v>
      </c>
      <c r="M214" s="12" t="s">
        <v>68</v>
      </c>
      <c r="N214" s="182"/>
      <c r="O214" s="12" t="s">
        <v>2475</v>
      </c>
      <c r="P214" s="12" t="s">
        <v>132</v>
      </c>
      <c r="Q214" s="12" t="s">
        <v>453</v>
      </c>
      <c r="R214" s="12">
        <v>554541</v>
      </c>
      <c r="S214" s="12" t="s">
        <v>454</v>
      </c>
      <c r="T214" s="206">
        <v>460</v>
      </c>
      <c r="U214" s="206">
        <v>3456</v>
      </c>
      <c r="V214" s="12">
        <v>1.5897600000000001</v>
      </c>
      <c r="W214" s="198">
        <v>96</v>
      </c>
      <c r="X214" s="254">
        <v>4</v>
      </c>
      <c r="Y214" s="12" t="s">
        <v>75</v>
      </c>
      <c r="Z214" s="12"/>
      <c r="AA214" s="12" t="s">
        <v>108</v>
      </c>
      <c r="AB214" s="32" t="s">
        <v>967</v>
      </c>
      <c r="AC214" s="14">
        <v>45926</v>
      </c>
      <c r="AD214" s="15">
        <v>39</v>
      </c>
      <c r="AE214" s="176" t="s">
        <v>3398</v>
      </c>
      <c r="AF214" s="12">
        <v>371008940</v>
      </c>
      <c r="AG214" s="12" t="s">
        <v>122</v>
      </c>
      <c r="AH214" s="12" t="s">
        <v>314</v>
      </c>
      <c r="AI214" s="14">
        <v>45935</v>
      </c>
      <c r="AJ214" s="14">
        <v>45935</v>
      </c>
      <c r="AK214" s="14">
        <v>45935</v>
      </c>
      <c r="AL214" s="14">
        <v>45986</v>
      </c>
      <c r="AM214" s="14"/>
      <c r="AN214" s="14">
        <v>45990</v>
      </c>
      <c r="AO214" s="91" t="s">
        <v>66</v>
      </c>
      <c r="AP214" s="12" t="s">
        <v>3399</v>
      </c>
      <c r="AQ214" s="12"/>
      <c r="AR214" s="12" t="s">
        <v>3400</v>
      </c>
      <c r="AS214" s="12" t="s">
        <v>3401</v>
      </c>
      <c r="AT214" s="12" t="s">
        <v>3401</v>
      </c>
      <c r="AU214" s="12">
        <v>51</v>
      </c>
      <c r="AV214" s="12" t="s">
        <v>83</v>
      </c>
      <c r="AW214" s="12">
        <v>3</v>
      </c>
      <c r="AX214" s="12">
        <v>64</v>
      </c>
      <c r="AY214" s="14">
        <v>45935</v>
      </c>
      <c r="AZ214" s="14">
        <v>45990</v>
      </c>
      <c r="BA214" s="12" t="e">
        <v>#N/A</v>
      </c>
      <c r="BB214" s="14" t="s">
        <v>2480</v>
      </c>
      <c r="BC214" s="14">
        <v>46004</v>
      </c>
      <c r="BD214" s="16">
        <v>2025</v>
      </c>
      <c r="BE214" s="16">
        <v>12</v>
      </c>
      <c r="BF214" s="16">
        <v>50</v>
      </c>
      <c r="BG214" s="191">
        <v>36</v>
      </c>
      <c r="BH214" s="191">
        <v>864</v>
      </c>
    </row>
    <row r="215" spans="1:60" s="23" customFormat="1" ht="10">
      <c r="A215" s="11" t="s">
        <v>3402</v>
      </c>
      <c r="B215" s="12" t="s">
        <v>111</v>
      </c>
      <c r="C215" s="12" t="s">
        <v>3393</v>
      </c>
      <c r="D215" s="12" t="s">
        <v>63</v>
      </c>
      <c r="E215" s="12" t="s">
        <v>68</v>
      </c>
      <c r="F215" s="12" t="s">
        <v>68</v>
      </c>
      <c r="G215" s="12"/>
      <c r="H215" s="12" t="s">
        <v>66</v>
      </c>
      <c r="I215" s="12" t="s">
        <v>1559</v>
      </c>
      <c r="J215" s="34" t="s">
        <v>68</v>
      </c>
      <c r="K215" s="12"/>
      <c r="L215" s="13" t="s">
        <v>2497</v>
      </c>
      <c r="M215" s="12" t="s">
        <v>68</v>
      </c>
      <c r="N215" s="182"/>
      <c r="O215" s="12" t="s">
        <v>2475</v>
      </c>
      <c r="P215" s="12" t="s">
        <v>132</v>
      </c>
      <c r="Q215" s="12" t="s">
        <v>453</v>
      </c>
      <c r="R215" s="12">
        <v>554541</v>
      </c>
      <c r="S215" s="12" t="s">
        <v>454</v>
      </c>
      <c r="T215" s="206">
        <v>460</v>
      </c>
      <c r="U215" s="206">
        <v>1728</v>
      </c>
      <c r="V215" s="12">
        <v>0.79488000000000003</v>
      </c>
      <c r="W215" s="198">
        <v>48</v>
      </c>
      <c r="X215" s="254">
        <v>2</v>
      </c>
      <c r="Y215" s="12" t="s">
        <v>75</v>
      </c>
      <c r="Z215" s="12"/>
      <c r="AA215" s="12" t="s">
        <v>108</v>
      </c>
      <c r="AB215" s="32" t="s">
        <v>967</v>
      </c>
      <c r="AC215" s="14">
        <v>45926</v>
      </c>
      <c r="AD215" s="15">
        <v>39</v>
      </c>
      <c r="AE215" s="176" t="s">
        <v>3403</v>
      </c>
      <c r="AF215" s="12">
        <v>371008941</v>
      </c>
      <c r="AG215" s="12" t="s">
        <v>122</v>
      </c>
      <c r="AH215" s="12" t="s">
        <v>1561</v>
      </c>
      <c r="AI215" s="14">
        <v>45935</v>
      </c>
      <c r="AJ215" s="14">
        <v>45935</v>
      </c>
      <c r="AK215" s="14">
        <v>45935</v>
      </c>
      <c r="AL215" s="14">
        <v>45987</v>
      </c>
      <c r="AM215" s="14"/>
      <c r="AN215" s="14">
        <v>45987</v>
      </c>
      <c r="AO215" s="91" t="s">
        <v>66</v>
      </c>
      <c r="AP215" s="12" t="s">
        <v>3399</v>
      </c>
      <c r="AQ215" s="12"/>
      <c r="AR215" s="12" t="s">
        <v>3404</v>
      </c>
      <c r="AS215" s="12" t="s">
        <v>3405</v>
      </c>
      <c r="AT215" s="12" t="s">
        <v>3405</v>
      </c>
      <c r="AU215" s="12">
        <v>52</v>
      </c>
      <c r="AV215" s="12" t="s">
        <v>83</v>
      </c>
      <c r="AW215" s="12">
        <v>3</v>
      </c>
      <c r="AX215" s="12">
        <v>61</v>
      </c>
      <c r="AY215" s="14">
        <v>45935</v>
      </c>
      <c r="AZ215" s="14">
        <v>45987</v>
      </c>
      <c r="BA215" s="12" t="e">
        <v>#N/A</v>
      </c>
      <c r="BB215" s="14" t="s">
        <v>2480</v>
      </c>
      <c r="BC215" s="14">
        <v>46001</v>
      </c>
      <c r="BD215" s="16">
        <v>2025</v>
      </c>
      <c r="BE215" s="16">
        <v>12</v>
      </c>
      <c r="BF215" s="16">
        <v>50</v>
      </c>
      <c r="BG215" s="191">
        <v>36</v>
      </c>
      <c r="BH215" s="191">
        <v>864</v>
      </c>
    </row>
    <row r="216" spans="1:60" s="23" customFormat="1" ht="10">
      <c r="A216" s="11" t="s">
        <v>3406</v>
      </c>
      <c r="B216" s="12" t="s">
        <v>296</v>
      </c>
      <c r="C216" s="12" t="s">
        <v>203</v>
      </c>
      <c r="D216" s="12" t="s">
        <v>63</v>
      </c>
      <c r="E216" s="12" t="s">
        <v>64</v>
      </c>
      <c r="F216" s="12" t="s">
        <v>100</v>
      </c>
      <c r="G216" s="12" t="s">
        <v>67</v>
      </c>
      <c r="H216" s="12" t="s">
        <v>66</v>
      </c>
      <c r="I216" s="12" t="s">
        <v>96</v>
      </c>
      <c r="J216" s="34" t="s">
        <v>68</v>
      </c>
      <c r="K216" s="12"/>
      <c r="L216" s="13" t="s">
        <v>2474</v>
      </c>
      <c r="M216" s="213" t="s">
        <v>68</v>
      </c>
      <c r="N216" s="182"/>
      <c r="O216" s="12" t="s">
        <v>2475</v>
      </c>
      <c r="P216" s="12" t="s">
        <v>298</v>
      </c>
      <c r="Q216" s="12" t="s">
        <v>3407</v>
      </c>
      <c r="R216" s="12">
        <v>554250</v>
      </c>
      <c r="S216" s="12" t="s">
        <v>3408</v>
      </c>
      <c r="T216" s="206">
        <v>475</v>
      </c>
      <c r="U216" s="206">
        <v>962</v>
      </c>
      <c r="V216" s="12">
        <v>0.45695000000000002</v>
      </c>
      <c r="W216" s="198">
        <v>26</v>
      </c>
      <c r="X216" s="254">
        <v>1</v>
      </c>
      <c r="Y216" s="12" t="s">
        <v>75</v>
      </c>
      <c r="Z216" s="12"/>
      <c r="AA216" s="12" t="s">
        <v>85</v>
      </c>
      <c r="AB216" s="13" t="s">
        <v>967</v>
      </c>
      <c r="AC216" s="14">
        <v>45925</v>
      </c>
      <c r="AD216" s="15">
        <v>39</v>
      </c>
      <c r="AE216" s="176" t="s">
        <v>3409</v>
      </c>
      <c r="AF216" s="12">
        <v>371008961</v>
      </c>
      <c r="AG216" s="12" t="s">
        <v>288</v>
      </c>
      <c r="AH216" s="12" t="s">
        <v>105</v>
      </c>
      <c r="AI216" s="14">
        <v>45940</v>
      </c>
      <c r="AJ216" s="14">
        <v>45940</v>
      </c>
      <c r="AK216" s="14">
        <v>45940</v>
      </c>
      <c r="AL216" s="14">
        <v>45974</v>
      </c>
      <c r="AM216" s="14"/>
      <c r="AN216" s="14">
        <v>45974</v>
      </c>
      <c r="AO216" s="91" t="s">
        <v>66</v>
      </c>
      <c r="AP216" s="12" t="s">
        <v>3410</v>
      </c>
      <c r="AQ216" s="12"/>
      <c r="AR216" s="12" t="s">
        <v>3411</v>
      </c>
      <c r="AS216" s="12" t="s">
        <v>3412</v>
      </c>
      <c r="AT216" s="12" t="s">
        <v>3412</v>
      </c>
      <c r="AU216" s="12">
        <v>34</v>
      </c>
      <c r="AV216" s="12" t="s">
        <v>83</v>
      </c>
      <c r="AW216" s="12">
        <v>39</v>
      </c>
      <c r="AX216" s="12">
        <v>49</v>
      </c>
      <c r="AY216" s="14">
        <v>45940</v>
      </c>
      <c r="AZ216" s="14">
        <v>45974</v>
      </c>
      <c r="BA216" s="12" t="e">
        <v>#N/A</v>
      </c>
      <c r="BB216" s="14" t="s">
        <v>2480</v>
      </c>
      <c r="BC216" s="14">
        <v>45988</v>
      </c>
      <c r="BD216" s="16">
        <v>2025</v>
      </c>
      <c r="BE216" s="16">
        <v>11</v>
      </c>
      <c r="BF216" s="16">
        <v>48</v>
      </c>
      <c r="BG216" s="191">
        <v>37</v>
      </c>
      <c r="BH216" s="191">
        <v>962</v>
      </c>
    </row>
    <row r="217" spans="1:60" s="23" customFormat="1" ht="10">
      <c r="A217" s="11" t="s">
        <v>3413</v>
      </c>
      <c r="B217" s="12" t="s">
        <v>296</v>
      </c>
      <c r="C217" s="12" t="s">
        <v>3406</v>
      </c>
      <c r="D217" s="12" t="s">
        <v>63</v>
      </c>
      <c r="E217" s="12" t="s">
        <v>68</v>
      </c>
      <c r="F217" s="12" t="s">
        <v>68</v>
      </c>
      <c r="G217" s="12"/>
      <c r="H217" s="12" t="s">
        <v>66</v>
      </c>
      <c r="I217" s="12" t="s">
        <v>1292</v>
      </c>
      <c r="J217" s="34" t="s">
        <v>68</v>
      </c>
      <c r="K217" s="12"/>
      <c r="L217" s="13" t="s">
        <v>2831</v>
      </c>
      <c r="M217" s="12" t="s">
        <v>68</v>
      </c>
      <c r="N217" s="182"/>
      <c r="O217" s="12" t="s">
        <v>2475</v>
      </c>
      <c r="P217" s="12" t="s">
        <v>298</v>
      </c>
      <c r="Q217" s="12" t="s">
        <v>3407</v>
      </c>
      <c r="R217" s="12">
        <v>554250</v>
      </c>
      <c r="S217" s="12" t="s">
        <v>3408</v>
      </c>
      <c r="T217" s="206">
        <v>475</v>
      </c>
      <c r="U217" s="206">
        <v>962</v>
      </c>
      <c r="V217" s="12">
        <v>0.45695000000000002</v>
      </c>
      <c r="W217" s="198">
        <v>26</v>
      </c>
      <c r="X217" s="254">
        <v>1</v>
      </c>
      <c r="Y217" s="12" t="s">
        <v>75</v>
      </c>
      <c r="Z217" s="12"/>
      <c r="AA217" s="12" t="s">
        <v>85</v>
      </c>
      <c r="AB217" s="13" t="s">
        <v>967</v>
      </c>
      <c r="AC217" s="14">
        <v>45925</v>
      </c>
      <c r="AD217" s="15">
        <v>39</v>
      </c>
      <c r="AE217" s="176" t="s">
        <v>3414</v>
      </c>
      <c r="AF217" s="12">
        <v>371008962</v>
      </c>
      <c r="AG217" s="12" t="s">
        <v>288</v>
      </c>
      <c r="AH217" s="12" t="s">
        <v>456</v>
      </c>
      <c r="AI217" s="14">
        <v>45938</v>
      </c>
      <c r="AJ217" s="14">
        <v>45938</v>
      </c>
      <c r="AK217" s="14">
        <v>45938</v>
      </c>
      <c r="AL217" s="14">
        <v>45973</v>
      </c>
      <c r="AM217" s="14"/>
      <c r="AN217" s="14">
        <v>45973</v>
      </c>
      <c r="AO217" s="91" t="s">
        <v>66</v>
      </c>
      <c r="AP217" s="12" t="s">
        <v>3415</v>
      </c>
      <c r="AQ217" s="12"/>
      <c r="AR217" s="12" t="s">
        <v>3416</v>
      </c>
      <c r="AS217" s="12" t="s">
        <v>3417</v>
      </c>
      <c r="AT217" s="12" t="s">
        <v>3417</v>
      </c>
      <c r="AU217" s="12">
        <v>35</v>
      </c>
      <c r="AV217" s="12" t="s">
        <v>83</v>
      </c>
      <c r="AW217" s="12">
        <v>1</v>
      </c>
      <c r="AX217" s="12">
        <v>48</v>
      </c>
      <c r="AY217" s="14">
        <v>45938</v>
      </c>
      <c r="AZ217" s="14">
        <v>45973</v>
      </c>
      <c r="BA217" s="12" t="e">
        <v>#N/A</v>
      </c>
      <c r="BB217" s="14" t="s">
        <v>2480</v>
      </c>
      <c r="BC217" s="14">
        <v>45987</v>
      </c>
      <c r="BD217" s="16">
        <v>2025</v>
      </c>
      <c r="BE217" s="16">
        <v>11</v>
      </c>
      <c r="BF217" s="16">
        <v>48</v>
      </c>
      <c r="BG217" s="191">
        <v>37</v>
      </c>
      <c r="BH217" s="191">
        <v>962</v>
      </c>
    </row>
    <row r="218" spans="1:60" s="23" customFormat="1" ht="10">
      <c r="A218" s="11" t="s">
        <v>3418</v>
      </c>
      <c r="B218" s="12" t="s">
        <v>111</v>
      </c>
      <c r="C218" s="12" t="s">
        <v>203</v>
      </c>
      <c r="D218" s="12" t="s">
        <v>63</v>
      </c>
      <c r="E218" s="12" t="s">
        <v>64</v>
      </c>
      <c r="F218" s="12" t="s">
        <v>65</v>
      </c>
      <c r="G218" s="12" t="s">
        <v>67</v>
      </c>
      <c r="H218" s="12" t="s">
        <v>66</v>
      </c>
      <c r="I218" s="12" t="s">
        <v>96</v>
      </c>
      <c r="J218" s="34" t="s">
        <v>68</v>
      </c>
      <c r="K218" s="12"/>
      <c r="L218" s="13" t="s">
        <v>2474</v>
      </c>
      <c r="M218" s="213" t="s">
        <v>68</v>
      </c>
      <c r="N218" s="182"/>
      <c r="O218" s="12" t="s">
        <v>2475</v>
      </c>
      <c r="P218" s="12" t="s">
        <v>473</v>
      </c>
      <c r="Q218" s="12" t="s">
        <v>763</v>
      </c>
      <c r="R218" s="12">
        <v>553146</v>
      </c>
      <c r="S218" s="12" t="s">
        <v>764</v>
      </c>
      <c r="T218" s="206">
        <v>450</v>
      </c>
      <c r="U218" s="206">
        <v>2592</v>
      </c>
      <c r="V218" s="12">
        <v>1.1664000000000001</v>
      </c>
      <c r="W218" s="198">
        <v>72</v>
      </c>
      <c r="X218" s="254">
        <v>3</v>
      </c>
      <c r="Y218" s="12" t="s">
        <v>75</v>
      </c>
      <c r="Z218" s="12"/>
      <c r="AA218" s="12" t="s">
        <v>85</v>
      </c>
      <c r="AB218" s="13" t="s">
        <v>967</v>
      </c>
      <c r="AC218" s="14">
        <v>45928</v>
      </c>
      <c r="AD218" s="15">
        <v>39</v>
      </c>
      <c r="AE218" s="176" t="s">
        <v>3419</v>
      </c>
      <c r="AF218" s="12">
        <v>371008982</v>
      </c>
      <c r="AG218" s="12" t="s">
        <v>122</v>
      </c>
      <c r="AH218" s="12" t="s">
        <v>78</v>
      </c>
      <c r="AI218" s="14">
        <v>45936</v>
      </c>
      <c r="AJ218" s="14">
        <v>45936</v>
      </c>
      <c r="AK218" s="14">
        <v>45936</v>
      </c>
      <c r="AL218" s="14">
        <v>45987</v>
      </c>
      <c r="AM218" s="14"/>
      <c r="AN218" s="14">
        <v>45989</v>
      </c>
      <c r="AO218" s="91" t="s">
        <v>66</v>
      </c>
      <c r="AP218" s="12" t="s">
        <v>3420</v>
      </c>
      <c r="AQ218" s="12"/>
      <c r="AR218" s="12" t="s">
        <v>3421</v>
      </c>
      <c r="AS218" s="12" t="s">
        <v>3422</v>
      </c>
      <c r="AT218" s="12" t="s">
        <v>3422</v>
      </c>
      <c r="AU218" s="12">
        <v>51</v>
      </c>
      <c r="AV218" s="12" t="s">
        <v>83</v>
      </c>
      <c r="AW218" s="12">
        <v>39</v>
      </c>
      <c r="AX218" s="12">
        <v>61</v>
      </c>
      <c r="AY218" s="14">
        <v>45936</v>
      </c>
      <c r="AZ218" s="14">
        <v>45989</v>
      </c>
      <c r="BA218" s="12" t="e">
        <v>#N/A</v>
      </c>
      <c r="BB218" s="14" t="s">
        <v>2480</v>
      </c>
      <c r="BC218" s="14">
        <v>46003</v>
      </c>
      <c r="BD218" s="16">
        <v>2025</v>
      </c>
      <c r="BE218" s="16">
        <v>12</v>
      </c>
      <c r="BF218" s="16">
        <v>50</v>
      </c>
      <c r="BG218" s="191">
        <v>36</v>
      </c>
      <c r="BH218" s="191">
        <v>864</v>
      </c>
    </row>
    <row r="219" spans="1:60" s="23" customFormat="1" ht="10">
      <c r="A219" s="11" t="s">
        <v>3329</v>
      </c>
      <c r="B219" s="12" t="s">
        <v>111</v>
      </c>
      <c r="C219" s="12" t="s">
        <v>203</v>
      </c>
      <c r="D219" s="12" t="s">
        <v>63</v>
      </c>
      <c r="E219" s="12" t="s">
        <v>68</v>
      </c>
      <c r="F219" s="12" t="s">
        <v>68</v>
      </c>
      <c r="G219" s="12"/>
      <c r="H219" s="12" t="s">
        <v>66</v>
      </c>
      <c r="I219" s="12" t="s">
        <v>1292</v>
      </c>
      <c r="J219" s="34" t="s">
        <v>68</v>
      </c>
      <c r="K219" s="12"/>
      <c r="L219" s="13" t="s">
        <v>2831</v>
      </c>
      <c r="M219" s="12" t="s">
        <v>68</v>
      </c>
      <c r="N219" s="182"/>
      <c r="O219" s="12" t="s">
        <v>2475</v>
      </c>
      <c r="P219" s="12" t="s">
        <v>473</v>
      </c>
      <c r="Q219" s="12" t="s">
        <v>529</v>
      </c>
      <c r="R219" s="12">
        <v>553145</v>
      </c>
      <c r="S219" s="12" t="s">
        <v>530</v>
      </c>
      <c r="T219" s="206">
        <v>455</v>
      </c>
      <c r="U219" s="206">
        <v>5184</v>
      </c>
      <c r="V219" s="12">
        <v>2.3587199999999999</v>
      </c>
      <c r="W219" s="198">
        <v>144</v>
      </c>
      <c r="X219" s="254">
        <v>6</v>
      </c>
      <c r="Y219" s="12" t="s">
        <v>75</v>
      </c>
      <c r="Z219" s="12"/>
      <c r="AA219" s="12" t="s">
        <v>85</v>
      </c>
      <c r="AB219" s="13" t="s">
        <v>967</v>
      </c>
      <c r="AC219" s="14">
        <v>45924</v>
      </c>
      <c r="AD219" s="15">
        <v>39</v>
      </c>
      <c r="AE219" s="176" t="s">
        <v>3423</v>
      </c>
      <c r="AF219" s="12">
        <v>371008983</v>
      </c>
      <c r="AG219" s="12" t="s">
        <v>122</v>
      </c>
      <c r="AH219" s="12" t="s">
        <v>456</v>
      </c>
      <c r="AI219" s="14">
        <v>45929</v>
      </c>
      <c r="AJ219" s="14">
        <v>45929</v>
      </c>
      <c r="AK219" s="14">
        <v>45929</v>
      </c>
      <c r="AL219" s="14">
        <v>45973</v>
      </c>
      <c r="AM219" s="14"/>
      <c r="AN219" s="14">
        <v>45973</v>
      </c>
      <c r="AO219" s="91" t="s">
        <v>66</v>
      </c>
      <c r="AP219" s="12" t="s">
        <v>3424</v>
      </c>
      <c r="AQ219" s="12"/>
      <c r="AR219" s="12" t="s">
        <v>3425</v>
      </c>
      <c r="AS219" s="12" t="s">
        <v>3426</v>
      </c>
      <c r="AT219" s="12" t="s">
        <v>3426</v>
      </c>
      <c r="AU219" s="12">
        <v>44</v>
      </c>
      <c r="AV219" s="12" t="s">
        <v>83</v>
      </c>
      <c r="AW219" s="12">
        <v>39</v>
      </c>
      <c r="AX219" s="12">
        <v>49</v>
      </c>
      <c r="AY219" s="14">
        <v>45929</v>
      </c>
      <c r="AZ219" s="14">
        <v>45973</v>
      </c>
      <c r="BA219" s="12" t="e">
        <v>#N/A</v>
      </c>
      <c r="BB219" s="14" t="s">
        <v>2480</v>
      </c>
      <c r="BC219" s="14">
        <v>45987</v>
      </c>
      <c r="BD219" s="16">
        <v>2025</v>
      </c>
      <c r="BE219" s="16">
        <v>11</v>
      </c>
      <c r="BF219" s="16">
        <v>48</v>
      </c>
      <c r="BG219" s="191">
        <v>36</v>
      </c>
      <c r="BH219" s="191">
        <v>864</v>
      </c>
    </row>
    <row r="220" spans="1:60" s="23" customFormat="1" ht="10">
      <c r="A220" s="11" t="s">
        <v>3427</v>
      </c>
      <c r="B220" s="12" t="s">
        <v>111</v>
      </c>
      <c r="C220" s="12" t="s">
        <v>3329</v>
      </c>
      <c r="D220" s="12" t="s">
        <v>63</v>
      </c>
      <c r="E220" s="12" t="s">
        <v>68</v>
      </c>
      <c r="F220" s="12" t="s">
        <v>68</v>
      </c>
      <c r="G220" s="12"/>
      <c r="H220" s="12" t="s">
        <v>66</v>
      </c>
      <c r="I220" s="12" t="s">
        <v>1342</v>
      </c>
      <c r="J220" s="34" t="s">
        <v>68</v>
      </c>
      <c r="K220" s="12"/>
      <c r="L220" s="13" t="s">
        <v>2497</v>
      </c>
      <c r="M220" s="12" t="s">
        <v>68</v>
      </c>
      <c r="N220" s="182"/>
      <c r="O220" s="12" t="s">
        <v>2475</v>
      </c>
      <c r="P220" s="12" t="s">
        <v>473</v>
      </c>
      <c r="Q220" s="12" t="s">
        <v>529</v>
      </c>
      <c r="R220" s="12">
        <v>553145</v>
      </c>
      <c r="S220" s="12" t="s">
        <v>530</v>
      </c>
      <c r="T220" s="206">
        <v>455</v>
      </c>
      <c r="U220" s="206">
        <v>3456</v>
      </c>
      <c r="V220" s="12">
        <v>1.5724800000000001</v>
      </c>
      <c r="W220" s="198">
        <v>96</v>
      </c>
      <c r="X220" s="254">
        <v>4</v>
      </c>
      <c r="Y220" s="12" t="s">
        <v>75</v>
      </c>
      <c r="Z220" s="12"/>
      <c r="AA220" s="12" t="s">
        <v>85</v>
      </c>
      <c r="AB220" s="13" t="s">
        <v>967</v>
      </c>
      <c r="AC220" s="14">
        <v>45926</v>
      </c>
      <c r="AD220" s="15">
        <v>39</v>
      </c>
      <c r="AE220" s="176" t="s">
        <v>3428</v>
      </c>
      <c r="AF220" s="12">
        <v>371008937</v>
      </c>
      <c r="AG220" s="12" t="s">
        <v>122</v>
      </c>
      <c r="AH220" s="12" t="s">
        <v>314</v>
      </c>
      <c r="AI220" s="14">
        <v>45935</v>
      </c>
      <c r="AJ220" s="14">
        <v>45935</v>
      </c>
      <c r="AK220" s="14">
        <v>45935</v>
      </c>
      <c r="AL220" s="14">
        <v>45986</v>
      </c>
      <c r="AM220" s="14"/>
      <c r="AN220" s="14">
        <v>45990</v>
      </c>
      <c r="AO220" s="91" t="s">
        <v>66</v>
      </c>
      <c r="AP220" s="12" t="s">
        <v>3399</v>
      </c>
      <c r="AQ220" s="12"/>
      <c r="AR220" s="12" t="s">
        <v>3400</v>
      </c>
      <c r="AS220" s="12" t="s">
        <v>3401</v>
      </c>
      <c r="AT220" s="12" t="s">
        <v>3401</v>
      </c>
      <c r="AU220" s="12">
        <v>51</v>
      </c>
      <c r="AV220" s="12" t="s">
        <v>83</v>
      </c>
      <c r="AW220" s="12">
        <v>6</v>
      </c>
      <c r="AX220" s="12">
        <v>64</v>
      </c>
      <c r="AY220" s="14">
        <v>45935</v>
      </c>
      <c r="AZ220" s="14">
        <v>45990</v>
      </c>
      <c r="BA220" s="12" t="e">
        <v>#N/A</v>
      </c>
      <c r="BB220" s="14" t="s">
        <v>2480</v>
      </c>
      <c r="BC220" s="14">
        <v>46004</v>
      </c>
      <c r="BD220" s="16">
        <v>2025</v>
      </c>
      <c r="BE220" s="16">
        <v>12</v>
      </c>
      <c r="BF220" s="16">
        <v>50</v>
      </c>
      <c r="BG220" s="191">
        <v>36</v>
      </c>
      <c r="BH220" s="191">
        <v>864</v>
      </c>
    </row>
    <row r="221" spans="1:60" s="23" customFormat="1" ht="10">
      <c r="A221" s="11" t="s">
        <v>3429</v>
      </c>
      <c r="B221" s="12" t="s">
        <v>111</v>
      </c>
      <c r="C221" s="12" t="s">
        <v>2883</v>
      </c>
      <c r="D221" s="12" t="s">
        <v>63</v>
      </c>
      <c r="E221" s="12" t="s">
        <v>68</v>
      </c>
      <c r="F221" s="12" t="s">
        <v>68</v>
      </c>
      <c r="G221" s="12"/>
      <c r="H221" s="12" t="s">
        <v>66</v>
      </c>
      <c r="I221" s="12" t="s">
        <v>1342</v>
      </c>
      <c r="J221" s="34" t="s">
        <v>68</v>
      </c>
      <c r="K221" s="12"/>
      <c r="L221" s="13" t="s">
        <v>2497</v>
      </c>
      <c r="M221" s="12" t="s">
        <v>68</v>
      </c>
      <c r="N221" s="182"/>
      <c r="O221" s="12" t="s">
        <v>2475</v>
      </c>
      <c r="P221" s="12" t="s">
        <v>132</v>
      </c>
      <c r="Q221" s="12" t="s">
        <v>2884</v>
      </c>
      <c r="R221" s="12">
        <v>555076</v>
      </c>
      <c r="S221" s="12" t="s">
        <v>1300</v>
      </c>
      <c r="T221" s="206">
        <v>720</v>
      </c>
      <c r="U221" s="206">
        <v>1188</v>
      </c>
      <c r="V221" s="12">
        <v>0.85536000000000001</v>
      </c>
      <c r="W221" s="198">
        <v>36</v>
      </c>
      <c r="X221" s="254">
        <v>2</v>
      </c>
      <c r="Y221" s="12" t="s">
        <v>75</v>
      </c>
      <c r="Z221" s="12"/>
      <c r="AA221" s="12" t="s">
        <v>108</v>
      </c>
      <c r="AB221" s="32" t="s">
        <v>992</v>
      </c>
      <c r="AC221" s="14">
        <v>45928</v>
      </c>
      <c r="AD221" s="15">
        <v>39</v>
      </c>
      <c r="AE221" s="176" t="s">
        <v>3430</v>
      </c>
      <c r="AF221" s="12">
        <v>371008997</v>
      </c>
      <c r="AG221" s="12" t="s">
        <v>122</v>
      </c>
      <c r="AH221" s="12" t="s">
        <v>314</v>
      </c>
      <c r="AI221" s="14">
        <v>45939</v>
      </c>
      <c r="AJ221" s="14">
        <v>45939</v>
      </c>
      <c r="AK221" s="14">
        <v>45939</v>
      </c>
      <c r="AL221" s="14">
        <v>45987</v>
      </c>
      <c r="AM221" s="14"/>
      <c r="AN221" s="14">
        <v>45999</v>
      </c>
      <c r="AO221" s="91" t="s">
        <v>66</v>
      </c>
      <c r="AP221" s="12" t="s">
        <v>3386</v>
      </c>
      <c r="AQ221" s="12"/>
      <c r="AR221" s="12" t="s">
        <v>3431</v>
      </c>
      <c r="AS221" s="12" t="s">
        <v>3432</v>
      </c>
      <c r="AT221" s="12" t="s">
        <v>3432</v>
      </c>
      <c r="AU221" s="12">
        <v>48</v>
      </c>
      <c r="AV221" s="12" t="s">
        <v>83</v>
      </c>
      <c r="AW221" s="12">
        <v>9</v>
      </c>
      <c r="AX221" s="12">
        <v>71</v>
      </c>
      <c r="AY221" s="14">
        <v>45939</v>
      </c>
      <c r="AZ221" s="14">
        <v>45999</v>
      </c>
      <c r="BA221" s="12" t="e">
        <v>#N/A</v>
      </c>
      <c r="BB221" s="14" t="s">
        <v>2480</v>
      </c>
      <c r="BC221" s="14">
        <v>46013</v>
      </c>
      <c r="BD221" s="16">
        <v>2025</v>
      </c>
      <c r="BE221" s="16">
        <v>12</v>
      </c>
      <c r="BF221" s="16">
        <v>52</v>
      </c>
      <c r="BG221" s="191">
        <v>33</v>
      </c>
      <c r="BH221" s="191">
        <v>594</v>
      </c>
    </row>
    <row r="222" spans="1:60" s="23" customFormat="1" ht="10">
      <c r="A222" s="11" t="s">
        <v>3433</v>
      </c>
      <c r="B222" s="12" t="s">
        <v>111</v>
      </c>
      <c r="C222" s="12" t="s">
        <v>2883</v>
      </c>
      <c r="D222" s="12" t="s">
        <v>63</v>
      </c>
      <c r="E222" s="12" t="s">
        <v>68</v>
      </c>
      <c r="F222" s="12" t="s">
        <v>68</v>
      </c>
      <c r="G222" s="12"/>
      <c r="H222" s="12" t="s">
        <v>66</v>
      </c>
      <c r="I222" s="12" t="s">
        <v>1342</v>
      </c>
      <c r="J222" s="34" t="s">
        <v>68</v>
      </c>
      <c r="K222" s="12"/>
      <c r="L222" s="13" t="s">
        <v>2497</v>
      </c>
      <c r="M222" s="12" t="s">
        <v>68</v>
      </c>
      <c r="N222" s="182"/>
      <c r="O222" s="12" t="s">
        <v>2475</v>
      </c>
      <c r="P222" s="12" t="s">
        <v>132</v>
      </c>
      <c r="Q222" s="12" t="s">
        <v>2884</v>
      </c>
      <c r="R222" s="12">
        <v>555076</v>
      </c>
      <c r="S222" s="12" t="s">
        <v>1300</v>
      </c>
      <c r="T222" s="206">
        <v>720</v>
      </c>
      <c r="U222" s="206">
        <v>1188</v>
      </c>
      <c r="V222" s="12">
        <v>0.85536000000000001</v>
      </c>
      <c r="W222" s="198">
        <v>36</v>
      </c>
      <c r="X222" s="254">
        <v>2</v>
      </c>
      <c r="Y222" s="12" t="s">
        <v>75</v>
      </c>
      <c r="Z222" s="12"/>
      <c r="AA222" s="12" t="s">
        <v>108</v>
      </c>
      <c r="AB222" s="32" t="s">
        <v>992</v>
      </c>
      <c r="AC222" s="14">
        <v>45927</v>
      </c>
      <c r="AD222" s="15">
        <v>39</v>
      </c>
      <c r="AE222" s="176" t="s">
        <v>3434</v>
      </c>
      <c r="AF222" s="12">
        <v>371008998</v>
      </c>
      <c r="AG222" s="12" t="s">
        <v>122</v>
      </c>
      <c r="AH222" s="12" t="s">
        <v>314</v>
      </c>
      <c r="AI222" s="14">
        <v>45939</v>
      </c>
      <c r="AJ222" s="14">
        <v>45939</v>
      </c>
      <c r="AK222" s="14">
        <v>45939</v>
      </c>
      <c r="AL222" s="14">
        <v>45987</v>
      </c>
      <c r="AM222" s="14"/>
      <c r="AN222" s="14">
        <v>45999</v>
      </c>
      <c r="AO222" s="91" t="s">
        <v>66</v>
      </c>
      <c r="AP222" s="12" t="s">
        <v>3386</v>
      </c>
      <c r="AQ222" s="12"/>
      <c r="AR222" s="12" t="s">
        <v>3387</v>
      </c>
      <c r="AS222" s="12" t="s">
        <v>3388</v>
      </c>
      <c r="AT222" s="12" t="s">
        <v>3388</v>
      </c>
      <c r="AU222" s="12">
        <v>48</v>
      </c>
      <c r="AV222" s="12" t="s">
        <v>83</v>
      </c>
      <c r="AW222" s="12">
        <v>9</v>
      </c>
      <c r="AX222" s="12">
        <v>72</v>
      </c>
      <c r="AY222" s="14">
        <v>45939</v>
      </c>
      <c r="AZ222" s="14">
        <v>45999</v>
      </c>
      <c r="BA222" s="12" t="e">
        <v>#N/A</v>
      </c>
      <c r="BB222" s="14" t="s">
        <v>2480</v>
      </c>
      <c r="BC222" s="14">
        <v>46013</v>
      </c>
      <c r="BD222" s="16">
        <v>2025</v>
      </c>
      <c r="BE222" s="16">
        <v>12</v>
      </c>
      <c r="BF222" s="16">
        <v>52</v>
      </c>
      <c r="BG222" s="191">
        <v>33</v>
      </c>
      <c r="BH222" s="191">
        <v>594</v>
      </c>
    </row>
    <row r="223" spans="1:60" s="23" customFormat="1" ht="10">
      <c r="A223" s="11" t="s">
        <v>2543</v>
      </c>
      <c r="B223" s="12" t="s">
        <v>61</v>
      </c>
      <c r="C223" s="12" t="s">
        <v>203</v>
      </c>
      <c r="D223" s="12" t="s">
        <v>63</v>
      </c>
      <c r="E223" s="12" t="s">
        <v>68</v>
      </c>
      <c r="F223" s="12" t="s">
        <v>68</v>
      </c>
      <c r="G223" s="12"/>
      <c r="H223" s="12" t="s">
        <v>66</v>
      </c>
      <c r="I223" s="12" t="s">
        <v>1559</v>
      </c>
      <c r="J223" s="34" t="s">
        <v>68</v>
      </c>
      <c r="K223" s="12"/>
      <c r="L223" s="13" t="s">
        <v>2497</v>
      </c>
      <c r="M223" s="12" t="s">
        <v>68</v>
      </c>
      <c r="N223" s="182"/>
      <c r="O223" s="12" t="s">
        <v>2475</v>
      </c>
      <c r="P223" s="12" t="s">
        <v>70</v>
      </c>
      <c r="Q223" s="12" t="s">
        <v>102</v>
      </c>
      <c r="R223" s="12">
        <v>554245</v>
      </c>
      <c r="S223" s="12" t="s">
        <v>103</v>
      </c>
      <c r="T223" s="206">
        <v>620</v>
      </c>
      <c r="U223" s="206">
        <v>2160</v>
      </c>
      <c r="V223" s="12">
        <v>1.3391999999999999</v>
      </c>
      <c r="W223" s="198">
        <v>60</v>
      </c>
      <c r="X223" s="254">
        <v>3</v>
      </c>
      <c r="Y223" s="12" t="s">
        <v>75</v>
      </c>
      <c r="Z223" s="12"/>
      <c r="AA223" s="12" t="s">
        <v>108</v>
      </c>
      <c r="AB223" s="32" t="s">
        <v>967</v>
      </c>
      <c r="AC223" s="14">
        <v>45926</v>
      </c>
      <c r="AD223" s="15">
        <v>39</v>
      </c>
      <c r="AE223" s="176" t="s">
        <v>3435</v>
      </c>
      <c r="AF223" s="12">
        <v>371008956</v>
      </c>
      <c r="AG223" s="12" t="s">
        <v>122</v>
      </c>
      <c r="AH223" s="12" t="s">
        <v>1561</v>
      </c>
      <c r="AI223" s="14">
        <v>45935</v>
      </c>
      <c r="AJ223" s="14">
        <v>45935</v>
      </c>
      <c r="AK223" s="14">
        <v>45935</v>
      </c>
      <c r="AL223" s="14">
        <v>45987</v>
      </c>
      <c r="AM223" s="14"/>
      <c r="AN223" s="14">
        <v>45987</v>
      </c>
      <c r="AO223" s="91" t="s">
        <v>66</v>
      </c>
      <c r="AP223" s="12" t="s">
        <v>3399</v>
      </c>
      <c r="AQ223" s="12"/>
      <c r="AR223" s="12" t="s">
        <v>3436</v>
      </c>
      <c r="AS223" s="12" t="s">
        <v>3437</v>
      </c>
      <c r="AT223" s="12" t="s">
        <v>3437</v>
      </c>
      <c r="AU223" s="12">
        <v>52</v>
      </c>
      <c r="AV223" s="12" t="s">
        <v>83</v>
      </c>
      <c r="AW223" s="12">
        <v>39</v>
      </c>
      <c r="AX223" s="12">
        <v>61</v>
      </c>
      <c r="AY223" s="14">
        <v>45935</v>
      </c>
      <c r="AZ223" s="14">
        <v>45987</v>
      </c>
      <c r="BA223" s="12" t="e">
        <v>#N/A</v>
      </c>
      <c r="BB223" s="14" t="s">
        <v>2480</v>
      </c>
      <c r="BC223" s="14">
        <v>46001</v>
      </c>
      <c r="BD223" s="16">
        <v>2025</v>
      </c>
      <c r="BE223" s="16">
        <v>12</v>
      </c>
      <c r="BF223" s="16">
        <v>50</v>
      </c>
      <c r="BG223" s="191">
        <v>36</v>
      </c>
      <c r="BH223" s="191">
        <v>720</v>
      </c>
    </row>
    <row r="224" spans="1:60" s="23" customFormat="1" ht="10">
      <c r="A224" s="11" t="s">
        <v>2503</v>
      </c>
      <c r="B224" s="12" t="s">
        <v>111</v>
      </c>
      <c r="C224" s="12" t="s">
        <v>203</v>
      </c>
      <c r="D224" s="12" t="s">
        <v>63</v>
      </c>
      <c r="E224" s="12" t="s">
        <v>68</v>
      </c>
      <c r="F224" s="12" t="s">
        <v>68</v>
      </c>
      <c r="G224" s="12"/>
      <c r="H224" s="12" t="s">
        <v>66</v>
      </c>
      <c r="I224" s="12" t="s">
        <v>1342</v>
      </c>
      <c r="J224" s="34" t="s">
        <v>68</v>
      </c>
      <c r="K224" s="12"/>
      <c r="L224" s="13" t="s">
        <v>2497</v>
      </c>
      <c r="M224" s="12" t="s">
        <v>68</v>
      </c>
      <c r="N224" s="182"/>
      <c r="O224" s="12" t="s">
        <v>2475</v>
      </c>
      <c r="P224" s="12" t="s">
        <v>132</v>
      </c>
      <c r="Q224" s="12" t="s">
        <v>1104</v>
      </c>
      <c r="R224" s="12">
        <v>554431</v>
      </c>
      <c r="S224" s="12" t="s">
        <v>1105</v>
      </c>
      <c r="T224" s="206">
        <v>455</v>
      </c>
      <c r="U224" s="206">
        <v>1728</v>
      </c>
      <c r="V224" s="12">
        <v>0.78624000000000005</v>
      </c>
      <c r="W224" s="198">
        <v>48</v>
      </c>
      <c r="X224" s="254">
        <v>2</v>
      </c>
      <c r="Y224" s="12" t="s">
        <v>75</v>
      </c>
      <c r="Z224" s="12"/>
      <c r="AA224" s="12" t="s">
        <v>108</v>
      </c>
      <c r="AB224" s="13" t="s">
        <v>992</v>
      </c>
      <c r="AC224" s="14">
        <v>45926</v>
      </c>
      <c r="AD224" s="15">
        <v>39</v>
      </c>
      <c r="AE224" s="176" t="s">
        <v>3438</v>
      </c>
      <c r="AF224" s="12">
        <v>371008955</v>
      </c>
      <c r="AG224" s="12" t="s">
        <v>122</v>
      </c>
      <c r="AH224" s="12" t="s">
        <v>314</v>
      </c>
      <c r="AI224" s="14">
        <v>45935</v>
      </c>
      <c r="AJ224" s="14">
        <v>45935</v>
      </c>
      <c r="AK224" s="14">
        <v>45935</v>
      </c>
      <c r="AL224" s="14">
        <v>45986</v>
      </c>
      <c r="AM224" s="14"/>
      <c r="AN224" s="14">
        <v>45990</v>
      </c>
      <c r="AO224" s="91" t="s">
        <v>66</v>
      </c>
      <c r="AP224" s="12" t="s">
        <v>3399</v>
      </c>
      <c r="AQ224" s="12"/>
      <c r="AR224" s="12" t="s">
        <v>3439</v>
      </c>
      <c r="AS224" s="12" t="s">
        <v>3440</v>
      </c>
      <c r="AT224" s="12" t="s">
        <v>3440</v>
      </c>
      <c r="AU224" s="12">
        <v>51</v>
      </c>
      <c r="AV224" s="12" t="s">
        <v>83</v>
      </c>
      <c r="AW224" s="12">
        <v>39</v>
      </c>
      <c r="AX224" s="12">
        <v>64</v>
      </c>
      <c r="AY224" s="14">
        <v>45935</v>
      </c>
      <c r="AZ224" s="14">
        <v>45990</v>
      </c>
      <c r="BA224" s="12" t="e">
        <v>#N/A</v>
      </c>
      <c r="BB224" s="14" t="s">
        <v>2480</v>
      </c>
      <c r="BC224" s="14">
        <v>46004</v>
      </c>
      <c r="BD224" s="16">
        <v>2025</v>
      </c>
      <c r="BE224" s="16">
        <v>12</v>
      </c>
      <c r="BF224" s="16">
        <v>50</v>
      </c>
      <c r="BG224" s="191">
        <v>36</v>
      </c>
      <c r="BH224" s="191">
        <v>864</v>
      </c>
    </row>
    <row r="225" spans="1:60" s="23" customFormat="1" ht="10">
      <c r="A225" s="11" t="s">
        <v>3441</v>
      </c>
      <c r="B225" s="12" t="s">
        <v>296</v>
      </c>
      <c r="C225" s="12" t="s">
        <v>3442</v>
      </c>
      <c r="D225" s="12" t="s">
        <v>63</v>
      </c>
      <c r="E225" s="12" t="s">
        <v>64</v>
      </c>
      <c r="F225" s="12" t="s">
        <v>100</v>
      </c>
      <c r="G225" s="12" t="s">
        <v>67</v>
      </c>
      <c r="H225" s="12" t="s">
        <v>66</v>
      </c>
      <c r="I225" s="12" t="s">
        <v>96</v>
      </c>
      <c r="J225" s="34" t="s">
        <v>68</v>
      </c>
      <c r="K225" s="12"/>
      <c r="L225" s="13" t="s">
        <v>2474</v>
      </c>
      <c r="M225" s="213" t="s">
        <v>68</v>
      </c>
      <c r="N225" s="182"/>
      <c r="O225" s="12" t="s">
        <v>2475</v>
      </c>
      <c r="P225" s="12" t="s">
        <v>298</v>
      </c>
      <c r="Q225" s="12" t="s">
        <v>3443</v>
      </c>
      <c r="R225" s="12">
        <v>554249</v>
      </c>
      <c r="S225" s="12" t="s">
        <v>3444</v>
      </c>
      <c r="T225" s="206">
        <v>470</v>
      </c>
      <c r="U225" s="206">
        <v>962</v>
      </c>
      <c r="V225" s="12">
        <v>0.45213999999999999</v>
      </c>
      <c r="W225" s="198">
        <v>26</v>
      </c>
      <c r="X225" s="254">
        <v>1</v>
      </c>
      <c r="Y225" s="12" t="s">
        <v>75</v>
      </c>
      <c r="Z225" s="12"/>
      <c r="AA225" s="12" t="s">
        <v>85</v>
      </c>
      <c r="AB225" s="13" t="s">
        <v>967</v>
      </c>
      <c r="AC225" s="14">
        <v>45925</v>
      </c>
      <c r="AD225" s="15">
        <v>39</v>
      </c>
      <c r="AE225" s="176" t="s">
        <v>3445</v>
      </c>
      <c r="AF225" s="12">
        <v>371008980</v>
      </c>
      <c r="AG225" s="12" t="s">
        <v>288</v>
      </c>
      <c r="AH225" s="12" t="s">
        <v>105</v>
      </c>
      <c r="AI225" s="14">
        <v>45940</v>
      </c>
      <c r="AJ225" s="14">
        <v>45940</v>
      </c>
      <c r="AK225" s="14">
        <v>45940</v>
      </c>
      <c r="AL225" s="14">
        <v>45974</v>
      </c>
      <c r="AM225" s="14"/>
      <c r="AN225" s="14">
        <v>45974</v>
      </c>
      <c r="AO225" s="91" t="s">
        <v>66</v>
      </c>
      <c r="AP225" s="12" t="s">
        <v>3446</v>
      </c>
      <c r="AQ225" s="12"/>
      <c r="AR225" s="12" t="s">
        <v>3447</v>
      </c>
      <c r="AS225" s="12" t="s">
        <v>3448</v>
      </c>
      <c r="AT225" s="12" t="s">
        <v>3448</v>
      </c>
      <c r="AU225" s="12">
        <v>34</v>
      </c>
      <c r="AV225" s="12" t="s">
        <v>83</v>
      </c>
      <c r="AW225" s="12">
        <v>5</v>
      </c>
      <c r="AX225" s="12">
        <v>49</v>
      </c>
      <c r="AY225" s="14">
        <v>45940</v>
      </c>
      <c r="AZ225" s="14">
        <v>45974</v>
      </c>
      <c r="BA225" s="12" t="e">
        <v>#N/A</v>
      </c>
      <c r="BB225" s="14" t="s">
        <v>2480</v>
      </c>
      <c r="BC225" s="14">
        <v>45988</v>
      </c>
      <c r="BD225" s="16">
        <v>2025</v>
      </c>
      <c r="BE225" s="16">
        <v>11</v>
      </c>
      <c r="BF225" s="16">
        <v>48</v>
      </c>
      <c r="BG225" s="191">
        <v>37</v>
      </c>
      <c r="BH225" s="191">
        <v>962</v>
      </c>
    </row>
    <row r="226" spans="1:60" s="23" customFormat="1" ht="10">
      <c r="A226" s="11" t="s">
        <v>2697</v>
      </c>
      <c r="B226" s="12" t="s">
        <v>111</v>
      </c>
      <c r="C226" s="12" t="s">
        <v>203</v>
      </c>
      <c r="D226" s="12" t="s">
        <v>63</v>
      </c>
      <c r="E226" s="12" t="s">
        <v>64</v>
      </c>
      <c r="F226" s="12" t="s">
        <v>65</v>
      </c>
      <c r="G226" s="12" t="s">
        <v>67</v>
      </c>
      <c r="H226" s="12" t="s">
        <v>66</v>
      </c>
      <c r="I226" s="12" t="s">
        <v>96</v>
      </c>
      <c r="J226" s="34" t="s">
        <v>68</v>
      </c>
      <c r="K226" s="12"/>
      <c r="L226" s="13" t="s">
        <v>2474</v>
      </c>
      <c r="M226" s="213" t="s">
        <v>68</v>
      </c>
      <c r="N226" s="182"/>
      <c r="O226" s="12" t="s">
        <v>2475</v>
      </c>
      <c r="P226" s="12" t="s">
        <v>550</v>
      </c>
      <c r="Q226" s="12" t="s">
        <v>2699</v>
      </c>
      <c r="R226" s="12">
        <v>553120</v>
      </c>
      <c r="S226" s="12" t="s">
        <v>2700</v>
      </c>
      <c r="T226" s="206">
        <v>500</v>
      </c>
      <c r="U226" s="206">
        <v>2376</v>
      </c>
      <c r="V226" s="12">
        <v>1.1879999999999999</v>
      </c>
      <c r="W226" s="198">
        <v>66</v>
      </c>
      <c r="X226" s="254">
        <v>3</v>
      </c>
      <c r="Y226" s="12" t="s">
        <v>75</v>
      </c>
      <c r="Z226" s="12"/>
      <c r="AA226" s="12" t="s">
        <v>85</v>
      </c>
      <c r="AB226" s="13" t="s">
        <v>2136</v>
      </c>
      <c r="AC226" s="14">
        <v>45930</v>
      </c>
      <c r="AD226" s="15">
        <v>40</v>
      </c>
      <c r="AE226" s="176" t="s">
        <v>3449</v>
      </c>
      <c r="AF226" s="12">
        <v>371008984</v>
      </c>
      <c r="AG226" s="12" t="s">
        <v>122</v>
      </c>
      <c r="AH226" s="12" t="s">
        <v>78</v>
      </c>
      <c r="AI226" s="14">
        <v>45936</v>
      </c>
      <c r="AJ226" s="14">
        <v>45936</v>
      </c>
      <c r="AK226" s="14">
        <v>45936</v>
      </c>
      <c r="AL226" s="14">
        <v>45987</v>
      </c>
      <c r="AM226" s="14"/>
      <c r="AN226" s="14">
        <v>45989</v>
      </c>
      <c r="AO226" s="91" t="s">
        <v>66</v>
      </c>
      <c r="AP226" s="12" t="s">
        <v>3420</v>
      </c>
      <c r="AQ226" s="12"/>
      <c r="AR226" s="12" t="s">
        <v>3450</v>
      </c>
      <c r="AS226" s="12" t="s">
        <v>3451</v>
      </c>
      <c r="AT226" s="12" t="s">
        <v>3451</v>
      </c>
      <c r="AU226" s="12">
        <v>51</v>
      </c>
      <c r="AV226" s="12" t="s">
        <v>83</v>
      </c>
      <c r="AW226" s="12">
        <v>39</v>
      </c>
      <c r="AX226" s="12">
        <v>59</v>
      </c>
      <c r="AY226" s="14">
        <v>45936</v>
      </c>
      <c r="AZ226" s="14">
        <v>45989</v>
      </c>
      <c r="BA226" s="12" t="e">
        <v>#N/A</v>
      </c>
      <c r="BB226" s="14" t="s">
        <v>2480</v>
      </c>
      <c r="BC226" s="14">
        <v>46003</v>
      </c>
      <c r="BD226" s="16">
        <v>2025</v>
      </c>
      <c r="BE226" s="16">
        <v>12</v>
      </c>
      <c r="BF226" s="16">
        <v>50</v>
      </c>
      <c r="BG226" s="191">
        <v>36</v>
      </c>
      <c r="BH226" s="191">
        <v>792</v>
      </c>
    </row>
    <row r="227" spans="1:60" s="23" customFormat="1" ht="10">
      <c r="A227" s="11" t="s">
        <v>3452</v>
      </c>
      <c r="B227" s="12" t="s">
        <v>111</v>
      </c>
      <c r="C227" s="12" t="s">
        <v>3148</v>
      </c>
      <c r="D227" s="12" t="s">
        <v>63</v>
      </c>
      <c r="E227" s="12" t="s">
        <v>64</v>
      </c>
      <c r="F227" s="12" t="s">
        <v>65</v>
      </c>
      <c r="G227" s="12" t="s">
        <v>67</v>
      </c>
      <c r="H227" s="12" t="s">
        <v>66</v>
      </c>
      <c r="I227" s="12" t="s">
        <v>96</v>
      </c>
      <c r="J227" s="34" t="s">
        <v>68</v>
      </c>
      <c r="K227" s="12"/>
      <c r="L227" s="13" t="s">
        <v>2474</v>
      </c>
      <c r="M227" s="213" t="s">
        <v>68</v>
      </c>
      <c r="N227" s="182"/>
      <c r="O227" s="12" t="s">
        <v>2475</v>
      </c>
      <c r="P227" s="12" t="s">
        <v>170</v>
      </c>
      <c r="Q227" s="12" t="s">
        <v>171</v>
      </c>
      <c r="R227" s="12">
        <v>552045</v>
      </c>
      <c r="S227" s="12" t="s">
        <v>172</v>
      </c>
      <c r="T227" s="206">
        <v>555</v>
      </c>
      <c r="U227" s="206">
        <v>2640</v>
      </c>
      <c r="V227" s="12">
        <v>1.4652000000000001</v>
      </c>
      <c r="W227" s="198">
        <v>80</v>
      </c>
      <c r="X227" s="254">
        <v>4</v>
      </c>
      <c r="Y227" s="12" t="s">
        <v>75</v>
      </c>
      <c r="Z227" s="12"/>
      <c r="AA227" s="12" t="s">
        <v>108</v>
      </c>
      <c r="AB227" s="13" t="s">
        <v>992</v>
      </c>
      <c r="AC227" s="14">
        <v>45929</v>
      </c>
      <c r="AD227" s="15">
        <v>40</v>
      </c>
      <c r="AE227" s="288" t="s">
        <v>3453</v>
      </c>
      <c r="AF227" s="12">
        <v>371008986</v>
      </c>
      <c r="AG227" s="12" t="s">
        <v>122</v>
      </c>
      <c r="AH227" s="12" t="s">
        <v>78</v>
      </c>
      <c r="AI227" s="14">
        <v>45955</v>
      </c>
      <c r="AJ227" s="14">
        <v>45955</v>
      </c>
      <c r="AK227" s="14">
        <v>45955</v>
      </c>
      <c r="AL227" s="14">
        <v>46012</v>
      </c>
      <c r="AM227" s="14"/>
      <c r="AN227" s="14">
        <v>46013</v>
      </c>
      <c r="AO227" s="91" t="s">
        <v>66</v>
      </c>
      <c r="AP227" s="12" t="s">
        <v>3454</v>
      </c>
      <c r="AQ227" s="12"/>
      <c r="AR227" s="12" t="s">
        <v>3455</v>
      </c>
      <c r="AS227" s="12" t="s">
        <v>3456</v>
      </c>
      <c r="AT227" s="12" t="s">
        <v>3456</v>
      </c>
      <c r="AU227" s="12">
        <v>57</v>
      </c>
      <c r="AV227" s="12" t="s">
        <v>83</v>
      </c>
      <c r="AW227" s="12">
        <v>9</v>
      </c>
      <c r="AX227" s="12">
        <v>84</v>
      </c>
      <c r="AY227" s="14">
        <v>45955</v>
      </c>
      <c r="AZ227" s="14">
        <v>46013</v>
      </c>
      <c r="BA227" s="12" t="e">
        <v>#N/A</v>
      </c>
      <c r="BB227" s="14" t="s">
        <v>2480</v>
      </c>
      <c r="BC227" s="14">
        <v>46027</v>
      </c>
      <c r="BD227" s="16">
        <v>2026</v>
      </c>
      <c r="BE227" s="246">
        <v>1</v>
      </c>
      <c r="BF227" s="16">
        <v>2</v>
      </c>
      <c r="BG227" s="191">
        <v>33</v>
      </c>
      <c r="BH227" s="191">
        <v>660</v>
      </c>
    </row>
    <row r="228" spans="1:60" s="23" customFormat="1" ht="10">
      <c r="A228" s="11" t="s">
        <v>3457</v>
      </c>
      <c r="B228" s="12" t="s">
        <v>111</v>
      </c>
      <c r="C228" s="12" t="s">
        <v>548</v>
      </c>
      <c r="D228" s="12" t="s">
        <v>63</v>
      </c>
      <c r="E228" s="12" t="s">
        <v>64</v>
      </c>
      <c r="F228" s="12" t="s">
        <v>65</v>
      </c>
      <c r="G228" s="12" t="s">
        <v>67</v>
      </c>
      <c r="H228" s="12" t="s">
        <v>66</v>
      </c>
      <c r="I228" s="12" t="s">
        <v>96</v>
      </c>
      <c r="J228" s="34" t="s">
        <v>68</v>
      </c>
      <c r="K228" s="12"/>
      <c r="L228" s="13" t="s">
        <v>2474</v>
      </c>
      <c r="M228" s="213" t="s">
        <v>68</v>
      </c>
      <c r="N228" s="182"/>
      <c r="O228" s="12" t="s">
        <v>2475</v>
      </c>
      <c r="P228" s="12" t="s">
        <v>550</v>
      </c>
      <c r="Q228" s="12" t="s">
        <v>551</v>
      </c>
      <c r="R228" s="12">
        <v>553118</v>
      </c>
      <c r="S228" s="12" t="s">
        <v>552</v>
      </c>
      <c r="T228" s="206">
        <v>510</v>
      </c>
      <c r="U228" s="206">
        <v>3960</v>
      </c>
      <c r="V228" s="12">
        <v>2.0196000000000001</v>
      </c>
      <c r="W228" s="198">
        <v>110</v>
      </c>
      <c r="X228" s="254">
        <v>5</v>
      </c>
      <c r="Y228" s="12" t="s">
        <v>75</v>
      </c>
      <c r="Z228" s="12"/>
      <c r="AA228" s="12" t="s">
        <v>85</v>
      </c>
      <c r="AB228" s="13" t="s">
        <v>2136</v>
      </c>
      <c r="AC228" s="14">
        <v>45929</v>
      </c>
      <c r="AD228" s="15">
        <v>40</v>
      </c>
      <c r="AE228" s="176" t="s">
        <v>3458</v>
      </c>
      <c r="AF228" s="12">
        <v>371008985</v>
      </c>
      <c r="AG228" s="12" t="s">
        <v>122</v>
      </c>
      <c r="AH228" s="12" t="s">
        <v>78</v>
      </c>
      <c r="AI228" s="14">
        <v>45955</v>
      </c>
      <c r="AJ228" s="14">
        <v>45955</v>
      </c>
      <c r="AK228" s="14">
        <v>45955</v>
      </c>
      <c r="AL228" s="14">
        <v>46012</v>
      </c>
      <c r="AM228" s="14"/>
      <c r="AN228" s="14">
        <v>46013</v>
      </c>
      <c r="AO228" s="91" t="s">
        <v>66</v>
      </c>
      <c r="AP228" s="12" t="s">
        <v>3454</v>
      </c>
      <c r="AQ228" s="12"/>
      <c r="AR228" s="12" t="s">
        <v>3455</v>
      </c>
      <c r="AS228" s="12" t="s">
        <v>3456</v>
      </c>
      <c r="AT228" s="12" t="s">
        <v>3456</v>
      </c>
      <c r="AU228" s="12">
        <v>57</v>
      </c>
      <c r="AV228" s="12" t="s">
        <v>83</v>
      </c>
      <c r="AW228" s="12">
        <v>18</v>
      </c>
      <c r="AX228" s="12">
        <v>84</v>
      </c>
      <c r="AY228" s="14">
        <v>45955</v>
      </c>
      <c r="AZ228" s="14">
        <v>46013</v>
      </c>
      <c r="BA228" s="12" t="e">
        <v>#N/A</v>
      </c>
      <c r="BB228" s="14" t="s">
        <v>2480</v>
      </c>
      <c r="BC228" s="14">
        <v>46027</v>
      </c>
      <c r="BD228" s="16">
        <v>2026</v>
      </c>
      <c r="BE228" s="246">
        <v>1</v>
      </c>
      <c r="BF228" s="16">
        <v>2</v>
      </c>
      <c r="BG228" s="191">
        <v>36</v>
      </c>
      <c r="BH228" s="191">
        <v>792</v>
      </c>
    </row>
    <row r="229" spans="1:60" s="23" customFormat="1" ht="10">
      <c r="A229" s="11" t="s">
        <v>3459</v>
      </c>
      <c r="B229" s="12" t="s">
        <v>111</v>
      </c>
      <c r="C229" s="12" t="s">
        <v>3393</v>
      </c>
      <c r="D229" s="12" t="s">
        <v>63</v>
      </c>
      <c r="E229" s="12" t="s">
        <v>68</v>
      </c>
      <c r="F229" s="12" t="s">
        <v>68</v>
      </c>
      <c r="G229" s="12"/>
      <c r="H229" s="12" t="s">
        <v>66</v>
      </c>
      <c r="I229" s="12" t="s">
        <v>1559</v>
      </c>
      <c r="J229" s="34" t="s">
        <v>68</v>
      </c>
      <c r="K229" s="12"/>
      <c r="L229" s="13" t="s">
        <v>2497</v>
      </c>
      <c r="M229" s="12" t="s">
        <v>68</v>
      </c>
      <c r="N229" s="182"/>
      <c r="O229" s="12" t="s">
        <v>2475</v>
      </c>
      <c r="P229" s="12" t="s">
        <v>132</v>
      </c>
      <c r="Q229" s="12" t="s">
        <v>453</v>
      </c>
      <c r="R229" s="12">
        <v>554541</v>
      </c>
      <c r="S229" s="12" t="s">
        <v>454</v>
      </c>
      <c r="T229" s="206">
        <v>460</v>
      </c>
      <c r="U229" s="206">
        <v>3456</v>
      </c>
      <c r="V229" s="12">
        <v>1.5897600000000001</v>
      </c>
      <c r="W229" s="198">
        <v>96</v>
      </c>
      <c r="X229" s="254">
        <v>4</v>
      </c>
      <c r="Y229" s="12" t="s">
        <v>75</v>
      </c>
      <c r="Z229" s="12"/>
      <c r="AA229" s="12" t="s">
        <v>108</v>
      </c>
      <c r="AB229" s="32" t="s">
        <v>967</v>
      </c>
      <c r="AC229" s="14">
        <v>45929</v>
      </c>
      <c r="AD229" s="15">
        <v>40</v>
      </c>
      <c r="AE229" s="176" t="s">
        <v>3460</v>
      </c>
      <c r="AF229" s="12">
        <v>371008990</v>
      </c>
      <c r="AG229" s="12" t="s">
        <v>122</v>
      </c>
      <c r="AH229" s="12" t="s">
        <v>1561</v>
      </c>
      <c r="AI229" s="14">
        <v>45955</v>
      </c>
      <c r="AJ229" s="14">
        <v>45955</v>
      </c>
      <c r="AK229" s="14">
        <v>45955</v>
      </c>
      <c r="AL229" s="14">
        <v>46005</v>
      </c>
      <c r="AM229" s="14"/>
      <c r="AN229" s="14">
        <v>46003</v>
      </c>
      <c r="AO229" s="91" t="s">
        <v>66</v>
      </c>
      <c r="AP229" s="12" t="s">
        <v>3454</v>
      </c>
      <c r="AQ229" s="12"/>
      <c r="AR229" s="12" t="s">
        <v>3461</v>
      </c>
      <c r="AS229" s="12" t="s">
        <v>3462</v>
      </c>
      <c r="AT229" s="12" t="s">
        <v>3462</v>
      </c>
      <c r="AU229" s="12">
        <v>50</v>
      </c>
      <c r="AV229" s="12" t="s">
        <v>83</v>
      </c>
      <c r="AW229" s="12">
        <v>3</v>
      </c>
      <c r="AX229" s="12">
        <v>74</v>
      </c>
      <c r="AY229" s="14">
        <v>45955</v>
      </c>
      <c r="AZ229" s="14">
        <v>46003</v>
      </c>
      <c r="BA229" s="12" t="e">
        <v>#N/A</v>
      </c>
      <c r="BB229" s="14" t="s">
        <v>2480</v>
      </c>
      <c r="BC229" s="14">
        <v>46017</v>
      </c>
      <c r="BD229" s="16">
        <v>2025</v>
      </c>
      <c r="BE229" s="16">
        <v>12</v>
      </c>
      <c r="BF229" s="16">
        <v>52</v>
      </c>
      <c r="BG229" s="191">
        <v>36</v>
      </c>
      <c r="BH229" s="191">
        <v>864</v>
      </c>
    </row>
    <row r="230" spans="1:60" s="23" customFormat="1" ht="10">
      <c r="A230" s="11" t="s">
        <v>3463</v>
      </c>
      <c r="B230" s="12" t="s">
        <v>111</v>
      </c>
      <c r="C230" s="12" t="s">
        <v>3148</v>
      </c>
      <c r="D230" s="12" t="s">
        <v>63</v>
      </c>
      <c r="E230" s="12" t="s">
        <v>68</v>
      </c>
      <c r="F230" s="12" t="s">
        <v>68</v>
      </c>
      <c r="G230" s="12"/>
      <c r="H230" s="12" t="s">
        <v>66</v>
      </c>
      <c r="I230" s="12" t="s">
        <v>1559</v>
      </c>
      <c r="J230" s="34" t="s">
        <v>68</v>
      </c>
      <c r="K230" s="12"/>
      <c r="L230" s="13" t="s">
        <v>2497</v>
      </c>
      <c r="M230" s="12" t="s">
        <v>68</v>
      </c>
      <c r="N230" s="182"/>
      <c r="O230" s="12" t="s">
        <v>2475</v>
      </c>
      <c r="P230" s="12" t="s">
        <v>170</v>
      </c>
      <c r="Q230" s="12" t="s">
        <v>171</v>
      </c>
      <c r="R230" s="12">
        <v>552045</v>
      </c>
      <c r="S230" s="12" t="s">
        <v>172</v>
      </c>
      <c r="T230" s="206">
        <v>555</v>
      </c>
      <c r="U230" s="206">
        <v>1320</v>
      </c>
      <c r="V230" s="12">
        <v>0.73260000000000003</v>
      </c>
      <c r="W230" s="198">
        <v>40</v>
      </c>
      <c r="X230" s="254">
        <v>2</v>
      </c>
      <c r="Y230" s="12" t="s">
        <v>75</v>
      </c>
      <c r="Z230" s="12"/>
      <c r="AA230" s="12" t="s">
        <v>108</v>
      </c>
      <c r="AB230" s="13" t="s">
        <v>992</v>
      </c>
      <c r="AC230" s="14">
        <v>45930</v>
      </c>
      <c r="AD230" s="15">
        <v>40</v>
      </c>
      <c r="AE230" s="176" t="s">
        <v>3464</v>
      </c>
      <c r="AF230" s="12">
        <v>371008978</v>
      </c>
      <c r="AG230" s="12" t="s">
        <v>122</v>
      </c>
      <c r="AH230" s="12" t="s">
        <v>1561</v>
      </c>
      <c r="AI230" s="14">
        <v>45955</v>
      </c>
      <c r="AJ230" s="14">
        <v>45955</v>
      </c>
      <c r="AK230" s="14">
        <v>45955</v>
      </c>
      <c r="AL230" s="14">
        <v>46005</v>
      </c>
      <c r="AM230" s="14"/>
      <c r="AN230" s="14">
        <v>46003</v>
      </c>
      <c r="AO230" s="91" t="s">
        <v>66</v>
      </c>
      <c r="AP230" s="12" t="s">
        <v>3454</v>
      </c>
      <c r="AQ230" s="12"/>
      <c r="AR230" s="12" t="s">
        <v>3465</v>
      </c>
      <c r="AS230" s="12" t="s">
        <v>3466</v>
      </c>
      <c r="AT230" s="12" t="s">
        <v>3466</v>
      </c>
      <c r="AU230" s="12">
        <v>50</v>
      </c>
      <c r="AV230" s="12" t="s">
        <v>83</v>
      </c>
      <c r="AW230" s="12">
        <v>9</v>
      </c>
      <c r="AX230" s="12">
        <v>73</v>
      </c>
      <c r="AY230" s="14">
        <v>45955</v>
      </c>
      <c r="AZ230" s="14">
        <v>46003</v>
      </c>
      <c r="BA230" s="12" t="e">
        <v>#N/A</v>
      </c>
      <c r="BB230" s="14" t="s">
        <v>2480</v>
      </c>
      <c r="BC230" s="14">
        <v>46017</v>
      </c>
      <c r="BD230" s="16">
        <v>2025</v>
      </c>
      <c r="BE230" s="16">
        <v>12</v>
      </c>
      <c r="BF230" s="16">
        <v>52</v>
      </c>
      <c r="BG230" s="191">
        <v>33</v>
      </c>
      <c r="BH230" s="191">
        <v>660</v>
      </c>
    </row>
    <row r="231" spans="1:60" s="23" customFormat="1" ht="10">
      <c r="A231" s="11" t="s">
        <v>3467</v>
      </c>
      <c r="B231" s="12" t="s">
        <v>111</v>
      </c>
      <c r="C231" s="12" t="s">
        <v>3148</v>
      </c>
      <c r="D231" s="12" t="s">
        <v>63</v>
      </c>
      <c r="E231" s="12" t="s">
        <v>68</v>
      </c>
      <c r="F231" s="12" t="s">
        <v>68</v>
      </c>
      <c r="G231" s="12"/>
      <c r="H231" s="12" t="s">
        <v>66</v>
      </c>
      <c r="I231" s="12" t="s">
        <v>1342</v>
      </c>
      <c r="J231" s="34" t="s">
        <v>68</v>
      </c>
      <c r="K231" s="12"/>
      <c r="L231" s="13" t="s">
        <v>2497</v>
      </c>
      <c r="M231" s="12" t="s">
        <v>68</v>
      </c>
      <c r="N231" s="182"/>
      <c r="O231" s="12" t="s">
        <v>2475</v>
      </c>
      <c r="P231" s="12" t="s">
        <v>170</v>
      </c>
      <c r="Q231" s="12" t="s">
        <v>171</v>
      </c>
      <c r="R231" s="12">
        <v>552045</v>
      </c>
      <c r="S231" s="12" t="s">
        <v>172</v>
      </c>
      <c r="T231" s="206">
        <v>555</v>
      </c>
      <c r="U231" s="206">
        <v>2640</v>
      </c>
      <c r="V231" s="12">
        <v>1.4652000000000001</v>
      </c>
      <c r="W231" s="198">
        <v>80</v>
      </c>
      <c r="X231" s="254">
        <v>4</v>
      </c>
      <c r="Y231" s="12" t="s">
        <v>75</v>
      </c>
      <c r="Z231" s="12"/>
      <c r="AA231" s="12" t="s">
        <v>108</v>
      </c>
      <c r="AB231" s="13" t="s">
        <v>992</v>
      </c>
      <c r="AC231" s="14">
        <v>45930</v>
      </c>
      <c r="AD231" s="15">
        <v>40</v>
      </c>
      <c r="AE231" s="176" t="s">
        <v>3468</v>
      </c>
      <c r="AF231" s="12">
        <v>371008979</v>
      </c>
      <c r="AG231" s="12" t="s">
        <v>122</v>
      </c>
      <c r="AH231" s="12" t="s">
        <v>314</v>
      </c>
      <c r="AI231" s="14">
        <v>45939</v>
      </c>
      <c r="AJ231" s="14">
        <v>45939</v>
      </c>
      <c r="AK231" s="14">
        <v>45939</v>
      </c>
      <c r="AL231" s="14">
        <v>45987</v>
      </c>
      <c r="AM231" s="14"/>
      <c r="AN231" s="14">
        <v>45999</v>
      </c>
      <c r="AO231" s="91" t="s">
        <v>66</v>
      </c>
      <c r="AP231" s="12" t="s">
        <v>3386</v>
      </c>
      <c r="AQ231" s="12"/>
      <c r="AR231" s="12" t="s">
        <v>3431</v>
      </c>
      <c r="AS231" s="12" t="s">
        <v>3432</v>
      </c>
      <c r="AT231" s="12" t="s">
        <v>3432</v>
      </c>
      <c r="AU231" s="12">
        <v>48</v>
      </c>
      <c r="AV231" s="12" t="s">
        <v>83</v>
      </c>
      <c r="AW231" s="12">
        <v>9</v>
      </c>
      <c r="AX231" s="12">
        <v>69</v>
      </c>
      <c r="AY231" s="14">
        <v>45939</v>
      </c>
      <c r="AZ231" s="14">
        <v>45999</v>
      </c>
      <c r="BA231" s="12" t="e">
        <v>#N/A</v>
      </c>
      <c r="BB231" s="14" t="s">
        <v>2480</v>
      </c>
      <c r="BC231" s="14">
        <v>46013</v>
      </c>
      <c r="BD231" s="16">
        <v>2025</v>
      </c>
      <c r="BE231" s="16">
        <v>12</v>
      </c>
      <c r="BF231" s="16">
        <v>52</v>
      </c>
      <c r="BG231" s="191">
        <v>33</v>
      </c>
      <c r="BH231" s="191">
        <v>660</v>
      </c>
    </row>
    <row r="232" spans="1:60" s="23" customFormat="1" ht="10">
      <c r="A232" s="11" t="s">
        <v>3469</v>
      </c>
      <c r="B232" s="12" t="s">
        <v>296</v>
      </c>
      <c r="C232" s="12" t="s">
        <v>3442</v>
      </c>
      <c r="D232" s="12" t="s">
        <v>63</v>
      </c>
      <c r="E232" s="12" t="s">
        <v>68</v>
      </c>
      <c r="F232" s="12" t="s">
        <v>68</v>
      </c>
      <c r="G232" s="12"/>
      <c r="H232" s="12" t="s">
        <v>66</v>
      </c>
      <c r="I232" s="12" t="s">
        <v>1342</v>
      </c>
      <c r="J232" s="34" t="s">
        <v>68</v>
      </c>
      <c r="K232" s="12"/>
      <c r="L232" s="13" t="s">
        <v>2497</v>
      </c>
      <c r="M232" s="12" t="s">
        <v>68</v>
      </c>
      <c r="N232" s="182"/>
      <c r="O232" s="12" t="s">
        <v>2475</v>
      </c>
      <c r="P232" s="12" t="s">
        <v>298</v>
      </c>
      <c r="Q232" s="12" t="s">
        <v>3443</v>
      </c>
      <c r="R232" s="12">
        <v>554249</v>
      </c>
      <c r="S232" s="12" t="s">
        <v>3444</v>
      </c>
      <c r="T232" s="206">
        <v>470</v>
      </c>
      <c r="U232" s="206">
        <v>1924</v>
      </c>
      <c r="V232" s="12">
        <v>0.90427999999999997</v>
      </c>
      <c r="W232" s="198">
        <v>52</v>
      </c>
      <c r="X232" s="254">
        <v>2</v>
      </c>
      <c r="Y232" s="12" t="s">
        <v>75</v>
      </c>
      <c r="Z232" s="12"/>
      <c r="AA232" s="12" t="s">
        <v>85</v>
      </c>
      <c r="AB232" s="13" t="s">
        <v>967</v>
      </c>
      <c r="AC232" s="14">
        <v>45933</v>
      </c>
      <c r="AD232" s="15">
        <v>40</v>
      </c>
      <c r="AE232" s="176" t="s">
        <v>3470</v>
      </c>
      <c r="AF232" s="12">
        <v>371008960</v>
      </c>
      <c r="AG232" s="12" t="s">
        <v>288</v>
      </c>
      <c r="AH232" s="12" t="s">
        <v>314</v>
      </c>
      <c r="AI232" s="14">
        <v>45941</v>
      </c>
      <c r="AJ232" s="14">
        <v>45941</v>
      </c>
      <c r="AK232" s="14">
        <v>45941</v>
      </c>
      <c r="AL232" s="14">
        <v>45986</v>
      </c>
      <c r="AM232" s="14"/>
      <c r="AN232" s="14">
        <v>45990</v>
      </c>
      <c r="AO232" s="91" t="s">
        <v>66</v>
      </c>
      <c r="AP232" s="12" t="s">
        <v>3471</v>
      </c>
      <c r="AQ232" s="12"/>
      <c r="AR232" s="12" t="s">
        <v>3472</v>
      </c>
      <c r="AS232" s="12" t="s">
        <v>3473</v>
      </c>
      <c r="AT232" s="12" t="s">
        <v>3473</v>
      </c>
      <c r="AU232" s="12">
        <v>45</v>
      </c>
      <c r="AV232" s="12" t="s">
        <v>83</v>
      </c>
      <c r="AW232" s="12">
        <v>5</v>
      </c>
      <c r="AX232" s="12">
        <v>57</v>
      </c>
      <c r="AY232" s="14">
        <v>45941</v>
      </c>
      <c r="AZ232" s="14">
        <v>45990</v>
      </c>
      <c r="BA232" s="12" t="e">
        <v>#N/A</v>
      </c>
      <c r="BB232" s="14" t="s">
        <v>2480</v>
      </c>
      <c r="BC232" s="14">
        <v>46004</v>
      </c>
      <c r="BD232" s="16">
        <v>2025</v>
      </c>
      <c r="BE232" s="16">
        <v>12</v>
      </c>
      <c r="BF232" s="16">
        <v>50</v>
      </c>
      <c r="BG232" s="191">
        <v>37</v>
      </c>
      <c r="BH232" s="191">
        <v>962</v>
      </c>
    </row>
    <row r="233" spans="1:60" s="23" customFormat="1" ht="10">
      <c r="A233" s="11" t="s">
        <v>3474</v>
      </c>
      <c r="B233" s="12" t="s">
        <v>296</v>
      </c>
      <c r="C233" s="12" t="s">
        <v>3442</v>
      </c>
      <c r="D233" s="12" t="s">
        <v>63</v>
      </c>
      <c r="E233" s="12" t="s">
        <v>68</v>
      </c>
      <c r="F233" s="12" t="s">
        <v>68</v>
      </c>
      <c r="G233" s="12"/>
      <c r="H233" s="12" t="s">
        <v>66</v>
      </c>
      <c r="I233" s="12" t="s">
        <v>1559</v>
      </c>
      <c r="J233" s="34" t="s">
        <v>68</v>
      </c>
      <c r="K233" s="12"/>
      <c r="L233" s="13" t="s">
        <v>2497</v>
      </c>
      <c r="M233" s="12" t="s">
        <v>68</v>
      </c>
      <c r="N233" s="182"/>
      <c r="O233" s="12" t="s">
        <v>2475</v>
      </c>
      <c r="P233" s="12" t="s">
        <v>298</v>
      </c>
      <c r="Q233" s="12" t="s">
        <v>3443</v>
      </c>
      <c r="R233" s="12">
        <v>554249</v>
      </c>
      <c r="S233" s="12" t="s">
        <v>3444</v>
      </c>
      <c r="T233" s="206">
        <v>470</v>
      </c>
      <c r="U233" s="206">
        <v>962</v>
      </c>
      <c r="V233" s="12">
        <v>0.45213999999999999</v>
      </c>
      <c r="W233" s="198">
        <v>26</v>
      </c>
      <c r="X233" s="254">
        <v>1</v>
      </c>
      <c r="Y233" s="12" t="s">
        <v>75</v>
      </c>
      <c r="Z233" s="12"/>
      <c r="AA233" s="12" t="s">
        <v>85</v>
      </c>
      <c r="AB233" s="13" t="s">
        <v>967</v>
      </c>
      <c r="AC233" s="14">
        <v>45933</v>
      </c>
      <c r="AD233" s="15">
        <v>40</v>
      </c>
      <c r="AE233" s="176" t="s">
        <v>3475</v>
      </c>
      <c r="AF233" s="12">
        <v>371008981</v>
      </c>
      <c r="AG233" s="12" t="s">
        <v>288</v>
      </c>
      <c r="AH233" s="12" t="s">
        <v>1561</v>
      </c>
      <c r="AI233" s="14">
        <v>45941</v>
      </c>
      <c r="AJ233" s="14">
        <v>45941</v>
      </c>
      <c r="AK233" s="14">
        <v>45941</v>
      </c>
      <c r="AL233" s="14">
        <v>45987</v>
      </c>
      <c r="AM233" s="14"/>
      <c r="AN233" s="14">
        <v>45987</v>
      </c>
      <c r="AO233" s="91" t="s">
        <v>66</v>
      </c>
      <c r="AP233" s="12" t="s">
        <v>3471</v>
      </c>
      <c r="AQ233" s="12"/>
      <c r="AR233" s="12" t="s">
        <v>3476</v>
      </c>
      <c r="AS233" s="12" t="s">
        <v>3477</v>
      </c>
      <c r="AT233" s="12" t="s">
        <v>3477</v>
      </c>
      <c r="AU233" s="12">
        <v>46</v>
      </c>
      <c r="AV233" s="12" t="s">
        <v>83</v>
      </c>
      <c r="AW233" s="12">
        <v>5</v>
      </c>
      <c r="AX233" s="12">
        <v>54</v>
      </c>
      <c r="AY233" s="14">
        <v>45941</v>
      </c>
      <c r="AZ233" s="14">
        <v>45987</v>
      </c>
      <c r="BA233" s="12" t="e">
        <v>#N/A</v>
      </c>
      <c r="BB233" s="14" t="s">
        <v>2480</v>
      </c>
      <c r="BC233" s="14">
        <v>46001</v>
      </c>
      <c r="BD233" s="16">
        <v>2025</v>
      </c>
      <c r="BE233" s="16">
        <v>12</v>
      </c>
      <c r="BF233" s="16">
        <v>50</v>
      </c>
      <c r="BG233" s="191">
        <v>37</v>
      </c>
      <c r="BH233" s="191">
        <v>962</v>
      </c>
    </row>
    <row r="234" spans="1:60" s="23" customFormat="1" ht="10">
      <c r="A234" s="11" t="s">
        <v>3478</v>
      </c>
      <c r="B234" s="12" t="s">
        <v>111</v>
      </c>
      <c r="C234" s="12" t="s">
        <v>2755</v>
      </c>
      <c r="D234" s="12" t="s">
        <v>63</v>
      </c>
      <c r="E234" s="12" t="s">
        <v>68</v>
      </c>
      <c r="F234" s="12" t="s">
        <v>68</v>
      </c>
      <c r="G234" s="12"/>
      <c r="H234" s="12" t="s">
        <v>66</v>
      </c>
      <c r="I234" s="12" t="s">
        <v>2763</v>
      </c>
      <c r="J234" s="34" t="s">
        <v>68</v>
      </c>
      <c r="K234" s="12"/>
      <c r="L234" s="13" t="s">
        <v>2497</v>
      </c>
      <c r="M234" s="12" t="s">
        <v>68</v>
      </c>
      <c r="N234" s="182"/>
      <c r="O234" s="12" t="s">
        <v>2475</v>
      </c>
      <c r="P234" s="12" t="s">
        <v>70</v>
      </c>
      <c r="Q234" s="12" t="s">
        <v>1347</v>
      </c>
      <c r="R234" s="12">
        <v>554471</v>
      </c>
      <c r="S234" s="12" t="s">
        <v>1348</v>
      </c>
      <c r="T234" s="206">
        <v>710</v>
      </c>
      <c r="U234" s="206">
        <v>4158</v>
      </c>
      <c r="V234" s="12">
        <v>2.9521799999999998</v>
      </c>
      <c r="W234" s="198">
        <v>126</v>
      </c>
      <c r="X234" s="254">
        <v>7</v>
      </c>
      <c r="Y234" s="12" t="s">
        <v>75</v>
      </c>
      <c r="Z234" s="12"/>
      <c r="AA234" s="12" t="s">
        <v>128</v>
      </c>
      <c r="AB234" s="32" t="s">
        <v>992</v>
      </c>
      <c r="AC234" s="14">
        <v>45942</v>
      </c>
      <c r="AD234" s="15">
        <v>41</v>
      </c>
      <c r="AE234" s="176" t="s">
        <v>3479</v>
      </c>
      <c r="AF234" s="12">
        <v>371009002</v>
      </c>
      <c r="AG234" s="12" t="s">
        <v>122</v>
      </c>
      <c r="AH234" s="12" t="s">
        <v>1561</v>
      </c>
      <c r="AI234" s="14">
        <v>45949</v>
      </c>
      <c r="AJ234" s="14">
        <v>45949</v>
      </c>
      <c r="AK234" s="14">
        <v>45949</v>
      </c>
      <c r="AL234" s="14">
        <v>46021</v>
      </c>
      <c r="AM234" s="14"/>
      <c r="AN234" s="14">
        <v>46022</v>
      </c>
      <c r="AO234" s="91" t="s">
        <v>66</v>
      </c>
      <c r="AP234" s="12" t="s">
        <v>3480</v>
      </c>
      <c r="AQ234" s="12"/>
      <c r="AR234" s="12" t="s">
        <v>3481</v>
      </c>
      <c r="AS234" s="12" t="s">
        <v>3482</v>
      </c>
      <c r="AT234" s="12" t="s">
        <v>3482</v>
      </c>
      <c r="AU234" s="12">
        <v>72</v>
      </c>
      <c r="AV234" s="12" t="s">
        <v>83</v>
      </c>
      <c r="AW234" s="12">
        <v>3</v>
      </c>
      <c r="AX234" s="12">
        <v>80</v>
      </c>
      <c r="AY234" s="14">
        <v>45949</v>
      </c>
      <c r="AZ234" s="14">
        <v>46022</v>
      </c>
      <c r="BA234" s="12" t="e">
        <v>#N/A</v>
      </c>
      <c r="BB234" s="14" t="s">
        <v>2480</v>
      </c>
      <c r="BC234" s="14">
        <v>46036</v>
      </c>
      <c r="BD234" s="16">
        <v>2026</v>
      </c>
      <c r="BE234" s="16">
        <v>1</v>
      </c>
      <c r="BF234" s="16">
        <v>3</v>
      </c>
      <c r="BG234" s="191">
        <v>33</v>
      </c>
      <c r="BH234" s="191">
        <v>594</v>
      </c>
    </row>
    <row r="235" spans="1:60" ht="10">
      <c r="A235" s="11" t="s">
        <v>3483</v>
      </c>
      <c r="B235" s="12" t="s">
        <v>111</v>
      </c>
      <c r="C235" s="12" t="s">
        <v>203</v>
      </c>
      <c r="D235" s="12" t="s">
        <v>63</v>
      </c>
      <c r="E235" s="12" t="s">
        <v>68</v>
      </c>
      <c r="F235" s="12" t="s">
        <v>68</v>
      </c>
      <c r="G235" s="12"/>
      <c r="H235" s="12" t="s">
        <v>66</v>
      </c>
      <c r="I235" s="12" t="s">
        <v>1559</v>
      </c>
      <c r="J235" s="34" t="s">
        <v>68</v>
      </c>
      <c r="K235" s="12"/>
      <c r="L235" s="13" t="s">
        <v>2497</v>
      </c>
      <c r="M235" s="12" t="s">
        <v>68</v>
      </c>
      <c r="N235" s="182"/>
      <c r="O235" s="12" t="s">
        <v>2475</v>
      </c>
      <c r="P235" s="12" t="s">
        <v>170</v>
      </c>
      <c r="Q235" s="12" t="s">
        <v>171</v>
      </c>
      <c r="R235" s="12">
        <v>552045</v>
      </c>
      <c r="S235" s="12" t="s">
        <v>172</v>
      </c>
      <c r="T235" s="206">
        <v>555</v>
      </c>
      <c r="U235" s="206">
        <v>66</v>
      </c>
      <c r="V235" s="12">
        <v>3.6630000000000003E-2</v>
      </c>
      <c r="W235" s="198">
        <v>2</v>
      </c>
      <c r="X235" s="262">
        <v>0.1</v>
      </c>
      <c r="Y235" s="12" t="s">
        <v>75</v>
      </c>
      <c r="Z235" s="12"/>
      <c r="AA235" s="12" t="s">
        <v>108</v>
      </c>
      <c r="AB235" s="13" t="s">
        <v>992</v>
      </c>
      <c r="AC235" s="14">
        <v>45941</v>
      </c>
      <c r="AD235" s="15">
        <v>41</v>
      </c>
      <c r="AE235" s="176" t="s">
        <v>3484</v>
      </c>
      <c r="AF235" s="12">
        <v>371009011</v>
      </c>
      <c r="AG235" s="12" t="s">
        <v>122</v>
      </c>
      <c r="AH235" s="12" t="s">
        <v>1561</v>
      </c>
      <c r="AI235" s="14">
        <v>45949</v>
      </c>
      <c r="AJ235" s="14">
        <v>45949</v>
      </c>
      <c r="AK235" s="14">
        <v>45949</v>
      </c>
      <c r="AL235" s="14">
        <v>46021</v>
      </c>
      <c r="AM235" s="14"/>
      <c r="AN235" s="14">
        <v>46022</v>
      </c>
      <c r="AO235" s="91" t="s">
        <v>66</v>
      </c>
      <c r="AP235" s="12" t="s">
        <v>3480</v>
      </c>
      <c r="AQ235" s="12"/>
      <c r="AR235" s="12" t="s">
        <v>3481</v>
      </c>
      <c r="AS235" s="12" t="s">
        <v>3482</v>
      </c>
      <c r="AT235" s="12" t="s">
        <v>3482</v>
      </c>
      <c r="AU235" s="12">
        <v>72</v>
      </c>
      <c r="AV235" s="12" t="s">
        <v>83</v>
      </c>
      <c r="AW235" s="12">
        <v>39</v>
      </c>
      <c r="AX235" s="12">
        <v>81</v>
      </c>
      <c r="AY235" s="14">
        <v>45949</v>
      </c>
      <c r="AZ235" s="14">
        <v>46022</v>
      </c>
      <c r="BA235" s="12" t="e">
        <v>#N/A</v>
      </c>
      <c r="BB235" s="14" t="s">
        <v>2480</v>
      </c>
      <c r="BC235" s="14">
        <v>46036</v>
      </c>
      <c r="BD235" s="16">
        <v>2026</v>
      </c>
      <c r="BE235" s="16">
        <v>1</v>
      </c>
      <c r="BF235" s="16">
        <v>3</v>
      </c>
      <c r="BG235" s="191">
        <v>33</v>
      </c>
      <c r="BH235" s="191">
        <v>660</v>
      </c>
    </row>
    <row r="236" spans="1:60" s="23" customFormat="1" ht="10">
      <c r="A236" s="11" t="s">
        <v>3148</v>
      </c>
      <c r="B236" s="12" t="s">
        <v>111</v>
      </c>
      <c r="C236" s="12" t="s">
        <v>203</v>
      </c>
      <c r="D236" s="12" t="s">
        <v>63</v>
      </c>
      <c r="E236" s="12" t="s">
        <v>68</v>
      </c>
      <c r="F236" s="12" t="s">
        <v>68</v>
      </c>
      <c r="G236" s="12"/>
      <c r="H236" s="12" t="s">
        <v>66</v>
      </c>
      <c r="I236" s="12" t="s">
        <v>1559</v>
      </c>
      <c r="J236" s="34" t="s">
        <v>68</v>
      </c>
      <c r="K236" s="12"/>
      <c r="L236" s="13" t="s">
        <v>2497</v>
      </c>
      <c r="M236" s="12" t="s">
        <v>68</v>
      </c>
      <c r="N236" s="182"/>
      <c r="O236" s="12" t="s">
        <v>2475</v>
      </c>
      <c r="P236" s="12" t="s">
        <v>170</v>
      </c>
      <c r="Q236" s="12" t="s">
        <v>171</v>
      </c>
      <c r="R236" s="12">
        <v>552045</v>
      </c>
      <c r="S236" s="12" t="s">
        <v>172</v>
      </c>
      <c r="T236" s="206">
        <v>555</v>
      </c>
      <c r="U236" s="206">
        <v>2574</v>
      </c>
      <c r="V236" s="12">
        <v>1.4285699999999999</v>
      </c>
      <c r="W236" s="198">
        <v>78</v>
      </c>
      <c r="X236" s="254">
        <v>3.9</v>
      </c>
      <c r="Y236" s="12" t="s">
        <v>75</v>
      </c>
      <c r="Z236" s="12"/>
      <c r="AA236" s="12" t="s">
        <v>108</v>
      </c>
      <c r="AB236" s="13" t="s">
        <v>992</v>
      </c>
      <c r="AC236" s="14">
        <v>45941</v>
      </c>
      <c r="AD236" s="15">
        <v>41</v>
      </c>
      <c r="AE236" s="176" t="s">
        <v>3485</v>
      </c>
      <c r="AF236" s="12">
        <v>371009007</v>
      </c>
      <c r="AG236" s="12" t="s">
        <v>122</v>
      </c>
      <c r="AH236" s="12" t="s">
        <v>1561</v>
      </c>
      <c r="AI236" s="14">
        <v>45949</v>
      </c>
      <c r="AJ236" s="14">
        <v>45949</v>
      </c>
      <c r="AK236" s="14">
        <v>45949</v>
      </c>
      <c r="AL236" s="14">
        <v>46021</v>
      </c>
      <c r="AM236" s="14"/>
      <c r="AN236" s="14">
        <v>46022</v>
      </c>
      <c r="AO236" s="91" t="s">
        <v>66</v>
      </c>
      <c r="AP236" s="12" t="s">
        <v>3480</v>
      </c>
      <c r="AQ236" s="12"/>
      <c r="AR236" s="12" t="s">
        <v>3481</v>
      </c>
      <c r="AS236" s="12" t="s">
        <v>3482</v>
      </c>
      <c r="AT236" s="12" t="s">
        <v>3482</v>
      </c>
      <c r="AU236" s="12">
        <v>72</v>
      </c>
      <c r="AV236" s="12" t="s">
        <v>83</v>
      </c>
      <c r="AW236" s="12">
        <v>39</v>
      </c>
      <c r="AX236" s="12">
        <v>81</v>
      </c>
      <c r="AY236" s="14">
        <v>45949</v>
      </c>
      <c r="AZ236" s="14">
        <v>46022</v>
      </c>
      <c r="BA236" s="12" t="e">
        <v>#N/A</v>
      </c>
      <c r="BB236" s="14" t="s">
        <v>2480</v>
      </c>
      <c r="BC236" s="14">
        <v>46036</v>
      </c>
      <c r="BD236" s="16">
        <v>2026</v>
      </c>
      <c r="BE236" s="16">
        <v>1</v>
      </c>
      <c r="BF236" s="16">
        <v>3</v>
      </c>
      <c r="BG236" s="191">
        <v>33</v>
      </c>
      <c r="BH236" s="191">
        <v>660</v>
      </c>
    </row>
    <row r="237" spans="1:60" s="23" customFormat="1" ht="10">
      <c r="A237" s="11" t="s">
        <v>3486</v>
      </c>
      <c r="B237" s="12" t="s">
        <v>111</v>
      </c>
      <c r="C237" s="12" t="s">
        <v>3148</v>
      </c>
      <c r="D237" s="12" t="s">
        <v>63</v>
      </c>
      <c r="E237" s="12" t="s">
        <v>64</v>
      </c>
      <c r="F237" s="12" t="s">
        <v>65</v>
      </c>
      <c r="G237" s="12" t="s">
        <v>67</v>
      </c>
      <c r="H237" s="12" t="s">
        <v>66</v>
      </c>
      <c r="I237" s="12" t="s">
        <v>96</v>
      </c>
      <c r="J237" s="34" t="s">
        <v>68</v>
      </c>
      <c r="K237" s="12"/>
      <c r="L237" s="13" t="s">
        <v>2474</v>
      </c>
      <c r="M237" s="213" t="s">
        <v>68</v>
      </c>
      <c r="N237" s="182"/>
      <c r="O237" s="12" t="s">
        <v>2475</v>
      </c>
      <c r="P237" s="12" t="s">
        <v>170</v>
      </c>
      <c r="Q237" s="12" t="s">
        <v>171</v>
      </c>
      <c r="R237" s="12">
        <v>552045</v>
      </c>
      <c r="S237" s="12" t="s">
        <v>172</v>
      </c>
      <c r="T237" s="206">
        <v>555</v>
      </c>
      <c r="U237" s="206">
        <v>1320</v>
      </c>
      <c r="V237" s="12">
        <v>0.73260000000000003</v>
      </c>
      <c r="W237" s="198">
        <v>40</v>
      </c>
      <c r="X237" s="254">
        <v>2</v>
      </c>
      <c r="Y237" s="12" t="s">
        <v>75</v>
      </c>
      <c r="Z237" s="12"/>
      <c r="AA237" s="12" t="s">
        <v>108</v>
      </c>
      <c r="AB237" s="13" t="s">
        <v>992</v>
      </c>
      <c r="AC237" s="14">
        <v>45940</v>
      </c>
      <c r="AD237" s="15">
        <v>41</v>
      </c>
      <c r="AE237" s="288" t="s">
        <v>3487</v>
      </c>
      <c r="AF237" s="12">
        <v>371009006</v>
      </c>
      <c r="AG237" s="12" t="s">
        <v>122</v>
      </c>
      <c r="AH237" s="12" t="s">
        <v>78</v>
      </c>
      <c r="AI237" s="14">
        <v>45962</v>
      </c>
      <c r="AJ237" s="14">
        <v>45962</v>
      </c>
      <c r="AK237" s="14">
        <v>45962</v>
      </c>
      <c r="AL237" s="14">
        <v>46012</v>
      </c>
      <c r="AM237" s="14"/>
      <c r="AN237" s="14">
        <v>46013</v>
      </c>
      <c r="AO237" s="91" t="s">
        <v>66</v>
      </c>
      <c r="AP237" s="12" t="s">
        <v>3488</v>
      </c>
      <c r="AQ237" s="12"/>
      <c r="AR237" s="12" t="s">
        <v>3489</v>
      </c>
      <c r="AS237" s="12" t="s">
        <v>3490</v>
      </c>
      <c r="AT237" s="12" t="s">
        <v>3490</v>
      </c>
      <c r="AU237" s="12">
        <v>50</v>
      </c>
      <c r="AV237" s="12" t="s">
        <v>83</v>
      </c>
      <c r="AW237" s="12">
        <v>9</v>
      </c>
      <c r="AX237" s="12">
        <v>73</v>
      </c>
      <c r="AY237" s="14">
        <v>45962</v>
      </c>
      <c r="AZ237" s="14">
        <v>46013</v>
      </c>
      <c r="BA237" s="12" t="e">
        <v>#N/A</v>
      </c>
      <c r="BB237" s="14" t="s">
        <v>2480</v>
      </c>
      <c r="BC237" s="14">
        <v>46027</v>
      </c>
      <c r="BD237" s="16">
        <v>2026</v>
      </c>
      <c r="BE237" s="246">
        <v>1</v>
      </c>
      <c r="BF237" s="16">
        <v>2</v>
      </c>
      <c r="BG237" s="191">
        <v>33</v>
      </c>
      <c r="BH237" s="191">
        <v>660</v>
      </c>
    </row>
    <row r="238" spans="1:60" s="23" customFormat="1" ht="10">
      <c r="A238" s="11" t="s">
        <v>3384</v>
      </c>
      <c r="B238" s="12" t="s">
        <v>111</v>
      </c>
      <c r="C238" s="12" t="s">
        <v>203</v>
      </c>
      <c r="D238" s="12" t="s">
        <v>63</v>
      </c>
      <c r="E238" s="12" t="s">
        <v>68</v>
      </c>
      <c r="F238" s="12" t="s">
        <v>68</v>
      </c>
      <c r="G238" s="12"/>
      <c r="H238" s="12" t="s">
        <v>66</v>
      </c>
      <c r="I238" s="12" t="s">
        <v>1342</v>
      </c>
      <c r="J238" s="34" t="s">
        <v>68</v>
      </c>
      <c r="K238" s="12"/>
      <c r="L238" s="13" t="s">
        <v>2497</v>
      </c>
      <c r="M238" s="12" t="s">
        <v>68</v>
      </c>
      <c r="N238" s="182"/>
      <c r="O238" s="12" t="s">
        <v>2475</v>
      </c>
      <c r="P238" s="12" t="s">
        <v>132</v>
      </c>
      <c r="Q238" s="12" t="s">
        <v>1104</v>
      </c>
      <c r="R238" s="12">
        <v>554431</v>
      </c>
      <c r="S238" s="12" t="s">
        <v>1105</v>
      </c>
      <c r="T238" s="206">
        <v>455</v>
      </c>
      <c r="U238" s="206">
        <v>4320</v>
      </c>
      <c r="V238" s="12">
        <v>1.9656</v>
      </c>
      <c r="W238" s="198">
        <v>120</v>
      </c>
      <c r="X238" s="254">
        <v>5</v>
      </c>
      <c r="Y238" s="12" t="s">
        <v>75</v>
      </c>
      <c r="Z238" s="12"/>
      <c r="AA238" s="12" t="s">
        <v>108</v>
      </c>
      <c r="AB238" s="13" t="s">
        <v>992</v>
      </c>
      <c r="AC238" s="14">
        <v>45941</v>
      </c>
      <c r="AD238" s="15">
        <v>41</v>
      </c>
      <c r="AE238" s="176" t="s">
        <v>3491</v>
      </c>
      <c r="AF238" s="12">
        <v>371009008</v>
      </c>
      <c r="AG238" s="12" t="s">
        <v>122</v>
      </c>
      <c r="AH238" s="12" t="s">
        <v>314</v>
      </c>
      <c r="AI238" s="14">
        <v>45955</v>
      </c>
      <c r="AJ238" s="14">
        <v>45955</v>
      </c>
      <c r="AK238" s="14">
        <v>45955</v>
      </c>
      <c r="AL238" s="14">
        <v>46008</v>
      </c>
      <c r="AM238" s="14"/>
      <c r="AN238" s="14">
        <v>46009</v>
      </c>
      <c r="AO238" s="91" t="s">
        <v>66</v>
      </c>
      <c r="AP238" s="12" t="s">
        <v>3492</v>
      </c>
      <c r="AQ238" s="12"/>
      <c r="AR238" s="12" t="s">
        <v>3493</v>
      </c>
      <c r="AS238" s="12" t="s">
        <v>3494</v>
      </c>
      <c r="AT238" s="12" t="s">
        <v>3494</v>
      </c>
      <c r="AU238" s="12">
        <v>53</v>
      </c>
      <c r="AV238" s="12" t="s">
        <v>83</v>
      </c>
      <c r="AW238" s="12">
        <v>39</v>
      </c>
      <c r="AX238" s="12">
        <v>68</v>
      </c>
      <c r="AY238" s="14">
        <v>45955</v>
      </c>
      <c r="AZ238" s="14">
        <v>46009</v>
      </c>
      <c r="BA238" s="12" t="e">
        <v>#N/A</v>
      </c>
      <c r="BB238" s="14" t="s">
        <v>2480</v>
      </c>
      <c r="BC238" s="14">
        <v>46023</v>
      </c>
      <c r="BD238" s="16">
        <v>2026</v>
      </c>
      <c r="BE238" s="16">
        <v>1</v>
      </c>
      <c r="BF238" s="16">
        <v>1</v>
      </c>
      <c r="BG238" s="191">
        <v>36</v>
      </c>
      <c r="BH238" s="191">
        <v>864</v>
      </c>
    </row>
    <row r="239" spans="1:60" s="23" customFormat="1" ht="10">
      <c r="A239" s="11" t="s">
        <v>3495</v>
      </c>
      <c r="B239" s="12" t="s">
        <v>111</v>
      </c>
      <c r="C239" s="12" t="s">
        <v>548</v>
      </c>
      <c r="D239" s="12" t="s">
        <v>63</v>
      </c>
      <c r="E239" s="12" t="s">
        <v>64</v>
      </c>
      <c r="F239" s="12" t="s">
        <v>65</v>
      </c>
      <c r="G239" s="12" t="s">
        <v>67</v>
      </c>
      <c r="H239" s="12" t="s">
        <v>66</v>
      </c>
      <c r="I239" s="12" t="s">
        <v>96</v>
      </c>
      <c r="J239" s="34" t="s">
        <v>68</v>
      </c>
      <c r="K239" s="12"/>
      <c r="L239" s="13" t="s">
        <v>2474</v>
      </c>
      <c r="M239" s="213" t="s">
        <v>68</v>
      </c>
      <c r="N239" s="182"/>
      <c r="O239" s="12" t="s">
        <v>2475</v>
      </c>
      <c r="P239" s="12" t="s">
        <v>550</v>
      </c>
      <c r="Q239" s="12" t="s">
        <v>551</v>
      </c>
      <c r="R239" s="12">
        <v>553118</v>
      </c>
      <c r="S239" s="12" t="s">
        <v>552</v>
      </c>
      <c r="T239" s="206">
        <v>510</v>
      </c>
      <c r="U239" s="206">
        <v>4752</v>
      </c>
      <c r="V239" s="12">
        <v>2.4235199999999999</v>
      </c>
      <c r="W239" s="198">
        <v>132</v>
      </c>
      <c r="X239" s="254">
        <v>6</v>
      </c>
      <c r="Y239" s="12" t="s">
        <v>75</v>
      </c>
      <c r="Z239" s="12"/>
      <c r="AA239" s="12" t="s">
        <v>85</v>
      </c>
      <c r="AB239" s="13" t="s">
        <v>2136</v>
      </c>
      <c r="AC239" s="14">
        <v>45940</v>
      </c>
      <c r="AD239" s="15">
        <v>41</v>
      </c>
      <c r="AE239" s="176" t="s">
        <v>3496</v>
      </c>
      <c r="AF239" s="12">
        <v>371009005</v>
      </c>
      <c r="AG239" s="12" t="s">
        <v>122</v>
      </c>
      <c r="AH239" s="12" t="s">
        <v>78</v>
      </c>
      <c r="AI239" s="14">
        <v>45944</v>
      </c>
      <c r="AJ239" s="14">
        <v>45944</v>
      </c>
      <c r="AK239" s="14">
        <v>45944</v>
      </c>
      <c r="AL239" s="14">
        <v>45994</v>
      </c>
      <c r="AM239" s="14"/>
      <c r="AN239" s="14">
        <v>45994</v>
      </c>
      <c r="AO239" s="91" t="s">
        <v>66</v>
      </c>
      <c r="AP239" s="12" t="s">
        <v>3497</v>
      </c>
      <c r="AQ239" s="12"/>
      <c r="AR239" s="12" t="s">
        <v>3498</v>
      </c>
      <c r="AS239" s="12" t="s">
        <v>3499</v>
      </c>
      <c r="AT239" s="12" t="s">
        <v>3499</v>
      </c>
      <c r="AU239" s="12">
        <v>50</v>
      </c>
      <c r="AV239" s="12" t="s">
        <v>83</v>
      </c>
      <c r="AW239" s="12">
        <v>18</v>
      </c>
      <c r="AX239" s="12">
        <v>54</v>
      </c>
      <c r="AY239" s="14">
        <v>45944</v>
      </c>
      <c r="AZ239" s="14">
        <v>45994</v>
      </c>
      <c r="BA239" s="12" t="e">
        <v>#N/A</v>
      </c>
      <c r="BB239" s="14" t="s">
        <v>2480</v>
      </c>
      <c r="BC239" s="14">
        <v>46008</v>
      </c>
      <c r="BD239" s="16">
        <v>2025</v>
      </c>
      <c r="BE239" s="16">
        <v>12</v>
      </c>
      <c r="BF239" s="16">
        <v>51</v>
      </c>
      <c r="BG239" s="191">
        <v>36</v>
      </c>
      <c r="BH239" s="191">
        <v>792</v>
      </c>
    </row>
    <row r="240" spans="1:60" s="23" customFormat="1" ht="10">
      <c r="A240" s="11" t="s">
        <v>3500</v>
      </c>
      <c r="B240" s="12" t="s">
        <v>111</v>
      </c>
      <c r="C240" s="12" t="s">
        <v>203</v>
      </c>
      <c r="D240" s="12" t="s">
        <v>63</v>
      </c>
      <c r="E240" s="12" t="s">
        <v>64</v>
      </c>
      <c r="F240" s="12" t="s">
        <v>65</v>
      </c>
      <c r="G240" s="12" t="s">
        <v>67</v>
      </c>
      <c r="H240" s="12" t="s">
        <v>66</v>
      </c>
      <c r="I240" s="12" t="s">
        <v>96</v>
      </c>
      <c r="J240" s="34" t="s">
        <v>68</v>
      </c>
      <c r="K240" s="12"/>
      <c r="L240" s="13" t="s">
        <v>2474</v>
      </c>
      <c r="M240" s="213" t="s">
        <v>68</v>
      </c>
      <c r="N240" s="182"/>
      <c r="O240" s="12" t="s">
        <v>2475</v>
      </c>
      <c r="P240" s="12" t="s">
        <v>550</v>
      </c>
      <c r="Q240" s="12" t="s">
        <v>2699</v>
      </c>
      <c r="R240" s="12">
        <v>553120</v>
      </c>
      <c r="S240" s="12" t="s">
        <v>2700</v>
      </c>
      <c r="T240" s="206">
        <v>500</v>
      </c>
      <c r="U240" s="206">
        <v>5544</v>
      </c>
      <c r="V240" s="12">
        <v>2.7719999999999998</v>
      </c>
      <c r="W240" s="198">
        <v>154</v>
      </c>
      <c r="X240" s="254">
        <v>7</v>
      </c>
      <c r="Y240" s="12" t="s">
        <v>75</v>
      </c>
      <c r="Z240" s="12"/>
      <c r="AA240" s="12" t="s">
        <v>85</v>
      </c>
      <c r="AB240" s="13" t="s">
        <v>2136</v>
      </c>
      <c r="AC240" s="14">
        <v>45940</v>
      </c>
      <c r="AD240" s="15">
        <v>41</v>
      </c>
      <c r="AE240" s="176" t="s">
        <v>3501</v>
      </c>
      <c r="AF240" s="12">
        <v>371009004</v>
      </c>
      <c r="AG240" s="12" t="s">
        <v>122</v>
      </c>
      <c r="AH240" s="12" t="s">
        <v>78</v>
      </c>
      <c r="AI240" s="14">
        <v>45962</v>
      </c>
      <c r="AJ240" s="14">
        <v>45962</v>
      </c>
      <c r="AK240" s="14">
        <v>45962</v>
      </c>
      <c r="AL240" s="14">
        <v>46012</v>
      </c>
      <c r="AM240" s="14"/>
      <c r="AN240" s="14">
        <v>46013</v>
      </c>
      <c r="AO240" s="91" t="s">
        <v>66</v>
      </c>
      <c r="AP240" s="12" t="s">
        <v>3488</v>
      </c>
      <c r="AQ240" s="12"/>
      <c r="AR240" s="12" t="s">
        <v>3489</v>
      </c>
      <c r="AS240" s="12" t="s">
        <v>3490</v>
      </c>
      <c r="AT240" s="12" t="s">
        <v>3490</v>
      </c>
      <c r="AU240" s="12">
        <v>50</v>
      </c>
      <c r="AV240" s="12" t="s">
        <v>83</v>
      </c>
      <c r="AW240" s="12">
        <v>39</v>
      </c>
      <c r="AX240" s="12">
        <v>73</v>
      </c>
      <c r="AY240" s="14">
        <v>45962</v>
      </c>
      <c r="AZ240" s="14">
        <v>46013</v>
      </c>
      <c r="BA240" s="12" t="e">
        <v>#N/A</v>
      </c>
      <c r="BB240" s="14" t="s">
        <v>2480</v>
      </c>
      <c r="BC240" s="14">
        <v>46027</v>
      </c>
      <c r="BD240" s="16">
        <v>2026</v>
      </c>
      <c r="BE240" s="246">
        <v>1</v>
      </c>
      <c r="BF240" s="16">
        <v>2</v>
      </c>
      <c r="BG240" s="191">
        <v>36</v>
      </c>
      <c r="BH240" s="191">
        <v>792</v>
      </c>
    </row>
    <row r="241" spans="1:60" s="23" customFormat="1" ht="10">
      <c r="A241" s="11" t="s">
        <v>3502</v>
      </c>
      <c r="B241" s="12" t="s">
        <v>111</v>
      </c>
      <c r="C241" s="12" t="s">
        <v>3384</v>
      </c>
      <c r="D241" s="12" t="s">
        <v>63</v>
      </c>
      <c r="E241" s="12" t="s">
        <v>68</v>
      </c>
      <c r="F241" s="12" t="s">
        <v>68</v>
      </c>
      <c r="G241" s="12"/>
      <c r="H241" s="12" t="s">
        <v>66</v>
      </c>
      <c r="I241" s="12" t="s">
        <v>1559</v>
      </c>
      <c r="J241" s="34" t="s">
        <v>68</v>
      </c>
      <c r="K241" s="12"/>
      <c r="L241" s="13" t="s">
        <v>2497</v>
      </c>
      <c r="M241" s="12" t="s">
        <v>68</v>
      </c>
      <c r="N241" s="182"/>
      <c r="O241" s="12" t="s">
        <v>2475</v>
      </c>
      <c r="P241" s="12" t="s">
        <v>132</v>
      </c>
      <c r="Q241" s="12" t="s">
        <v>1104</v>
      </c>
      <c r="R241" s="12">
        <v>554431</v>
      </c>
      <c r="S241" s="12" t="s">
        <v>1105</v>
      </c>
      <c r="T241" s="206">
        <v>455</v>
      </c>
      <c r="U241" s="206">
        <v>2592</v>
      </c>
      <c r="V241" s="12">
        <v>1.17936</v>
      </c>
      <c r="W241" s="198">
        <v>72</v>
      </c>
      <c r="X241" s="254">
        <v>3</v>
      </c>
      <c r="Y241" s="12" t="s">
        <v>75</v>
      </c>
      <c r="Z241" s="12"/>
      <c r="AA241" s="12" t="s">
        <v>108</v>
      </c>
      <c r="AB241" s="13" t="s">
        <v>992</v>
      </c>
      <c r="AC241" s="14">
        <v>45942</v>
      </c>
      <c r="AD241" s="15">
        <v>41</v>
      </c>
      <c r="AE241" s="176" t="s">
        <v>3503</v>
      </c>
      <c r="AF241" s="12">
        <v>371009009</v>
      </c>
      <c r="AG241" s="12" t="s">
        <v>122</v>
      </c>
      <c r="AH241" s="12" t="s">
        <v>1561</v>
      </c>
      <c r="AI241" s="14">
        <v>45949</v>
      </c>
      <c r="AJ241" s="14">
        <v>45949</v>
      </c>
      <c r="AK241" s="14">
        <v>45949</v>
      </c>
      <c r="AL241" s="14">
        <v>46021</v>
      </c>
      <c r="AM241" s="14"/>
      <c r="AN241" s="14">
        <v>46022</v>
      </c>
      <c r="AO241" s="91" t="s">
        <v>66</v>
      </c>
      <c r="AP241" s="12" t="s">
        <v>3480</v>
      </c>
      <c r="AQ241" s="12"/>
      <c r="AR241" s="12" t="s">
        <v>3481</v>
      </c>
      <c r="AS241" s="12" t="s">
        <v>3482</v>
      </c>
      <c r="AT241" s="12" t="s">
        <v>3504</v>
      </c>
      <c r="AU241" s="12">
        <v>72</v>
      </c>
      <c r="AV241" s="12" t="s">
        <v>83</v>
      </c>
      <c r="AW241" s="12">
        <v>2</v>
      </c>
      <c r="AX241" s="12">
        <v>80</v>
      </c>
      <c r="AY241" s="14">
        <v>45949</v>
      </c>
      <c r="AZ241" s="14">
        <v>46022</v>
      </c>
      <c r="BA241" s="12" t="e">
        <v>#N/A</v>
      </c>
      <c r="BB241" s="14" t="s">
        <v>2480</v>
      </c>
      <c r="BC241" s="14">
        <v>46036</v>
      </c>
      <c r="BD241" s="16">
        <v>2026</v>
      </c>
      <c r="BE241" s="16">
        <v>1</v>
      </c>
      <c r="BF241" s="16">
        <v>3</v>
      </c>
      <c r="BG241" s="191">
        <v>36</v>
      </c>
      <c r="BH241" s="191">
        <v>864</v>
      </c>
    </row>
    <row r="242" spans="1:60" s="23" customFormat="1" ht="10">
      <c r="A242" s="11" t="s">
        <v>3505</v>
      </c>
      <c r="B242" s="12" t="s">
        <v>111</v>
      </c>
      <c r="C242" s="12" t="s">
        <v>2883</v>
      </c>
      <c r="D242" s="12" t="s">
        <v>113</v>
      </c>
      <c r="E242" s="12" t="s">
        <v>68</v>
      </c>
      <c r="F242" s="12" t="s">
        <v>68</v>
      </c>
      <c r="G242" s="12"/>
      <c r="H242" s="12" t="s">
        <v>66</v>
      </c>
      <c r="I242" s="12" t="s">
        <v>3506</v>
      </c>
      <c r="J242" s="34" t="s">
        <v>68</v>
      </c>
      <c r="K242" s="12">
        <v>16102590</v>
      </c>
      <c r="L242" s="13" t="s">
        <v>2482</v>
      </c>
      <c r="M242" s="12" t="s">
        <v>68</v>
      </c>
      <c r="N242" s="182"/>
      <c r="O242" s="12" t="s">
        <v>2475</v>
      </c>
      <c r="P242" s="12" t="s">
        <v>132</v>
      </c>
      <c r="Q242" s="12" t="s">
        <v>2884</v>
      </c>
      <c r="R242" s="12">
        <v>555076</v>
      </c>
      <c r="S242" s="12" t="s">
        <v>1300</v>
      </c>
      <c r="T242" s="206">
        <v>720</v>
      </c>
      <c r="U242" s="206">
        <v>1782</v>
      </c>
      <c r="V242" s="12">
        <v>1.28304</v>
      </c>
      <c r="W242" s="198">
        <v>54</v>
      </c>
      <c r="X242" s="254">
        <v>3</v>
      </c>
      <c r="Y242" s="12" t="s">
        <v>75</v>
      </c>
      <c r="Z242" s="12"/>
      <c r="AA242" s="12" t="s">
        <v>108</v>
      </c>
      <c r="AB242" s="32" t="s">
        <v>992</v>
      </c>
      <c r="AC242" s="14">
        <v>45947</v>
      </c>
      <c r="AD242" s="15">
        <v>42</v>
      </c>
      <c r="AE242" s="176" t="s">
        <v>3507</v>
      </c>
      <c r="AF242" s="12">
        <v>371009021</v>
      </c>
      <c r="AG242" s="12" t="s">
        <v>122</v>
      </c>
      <c r="AH242" s="12" t="s">
        <v>124</v>
      </c>
      <c r="AI242" s="14">
        <v>45957</v>
      </c>
      <c r="AJ242" s="14">
        <v>45957</v>
      </c>
      <c r="AK242" s="14">
        <v>45957</v>
      </c>
      <c r="AL242" s="14">
        <v>45998</v>
      </c>
      <c r="AM242" s="14"/>
      <c r="AN242" s="14">
        <v>45998</v>
      </c>
      <c r="AO242" s="91" t="s">
        <v>66</v>
      </c>
      <c r="AP242" s="12" t="s">
        <v>3508</v>
      </c>
      <c r="AQ242" s="12"/>
      <c r="AR242" s="12" t="s">
        <v>3509</v>
      </c>
      <c r="AS242" s="12" t="s">
        <v>3510</v>
      </c>
      <c r="AT242" s="12" t="s">
        <v>3510</v>
      </c>
      <c r="AU242" s="12">
        <v>41</v>
      </c>
      <c r="AV242" s="12" t="s">
        <v>3511</v>
      </c>
      <c r="AW242" s="12">
        <v>9</v>
      </c>
      <c r="AX242" s="12">
        <v>51</v>
      </c>
      <c r="AY242" s="14">
        <v>45957</v>
      </c>
      <c r="AZ242" s="14">
        <v>45998</v>
      </c>
      <c r="BA242" s="12" t="e">
        <v>#N/A</v>
      </c>
      <c r="BB242" s="14" t="s">
        <v>2480</v>
      </c>
      <c r="BC242" s="14">
        <v>46012</v>
      </c>
      <c r="BD242" s="16">
        <v>2025</v>
      </c>
      <c r="BE242" s="16">
        <v>12</v>
      </c>
      <c r="BF242" s="16">
        <v>51</v>
      </c>
      <c r="BG242" s="191">
        <v>33</v>
      </c>
      <c r="BH242" s="191">
        <v>594</v>
      </c>
    </row>
    <row r="243" spans="1:60" s="23" customFormat="1" ht="10">
      <c r="A243" s="11" t="s">
        <v>3512</v>
      </c>
      <c r="B243" s="12" t="s">
        <v>111</v>
      </c>
      <c r="C243" s="12" t="s">
        <v>838</v>
      </c>
      <c r="D243" s="12" t="s">
        <v>63</v>
      </c>
      <c r="E243" s="12" t="s">
        <v>68</v>
      </c>
      <c r="F243" s="12" t="s">
        <v>68</v>
      </c>
      <c r="G243" s="12"/>
      <c r="H243" s="12" t="s">
        <v>402</v>
      </c>
      <c r="I243" s="12" t="s">
        <v>594</v>
      </c>
      <c r="J243" s="34" t="s">
        <v>68</v>
      </c>
      <c r="K243" s="12">
        <v>16102586</v>
      </c>
      <c r="L243" s="13" t="s">
        <v>2482</v>
      </c>
      <c r="M243" s="12" t="s">
        <v>68</v>
      </c>
      <c r="N243" s="182"/>
      <c r="O243" s="12" t="s">
        <v>2475</v>
      </c>
      <c r="P243" s="12" t="s">
        <v>132</v>
      </c>
      <c r="Q243" s="12" t="s">
        <v>841</v>
      </c>
      <c r="R243" s="12">
        <v>554542</v>
      </c>
      <c r="S243" s="12" t="s">
        <v>842</v>
      </c>
      <c r="T243" s="206">
        <v>515</v>
      </c>
      <c r="U243" s="206">
        <v>3168</v>
      </c>
      <c r="V243" s="12">
        <v>1.6315200000000001</v>
      </c>
      <c r="W243" s="198">
        <v>88</v>
      </c>
      <c r="X243" s="254">
        <v>4</v>
      </c>
      <c r="Y243" s="12" t="s">
        <v>75</v>
      </c>
      <c r="Z243" s="12"/>
      <c r="AA243" s="12" t="s">
        <v>108</v>
      </c>
      <c r="AB243" s="32" t="s">
        <v>992</v>
      </c>
      <c r="AC243" s="14">
        <v>45947</v>
      </c>
      <c r="AD243" s="15">
        <v>42</v>
      </c>
      <c r="AE243" s="176" t="s">
        <v>3513</v>
      </c>
      <c r="AF243" s="12">
        <v>371009022</v>
      </c>
      <c r="AG243" s="12" t="s">
        <v>122</v>
      </c>
      <c r="AH243" s="12" t="s">
        <v>124</v>
      </c>
      <c r="AI243" s="14">
        <v>45957</v>
      </c>
      <c r="AJ243" s="14">
        <v>45957</v>
      </c>
      <c r="AK243" s="14">
        <v>45957</v>
      </c>
      <c r="AL243" s="14">
        <v>45998</v>
      </c>
      <c r="AM243" s="14"/>
      <c r="AN243" s="14">
        <v>45998</v>
      </c>
      <c r="AO243" s="91" t="s">
        <v>402</v>
      </c>
      <c r="AP243" s="12" t="s">
        <v>3508</v>
      </c>
      <c r="AQ243" s="12"/>
      <c r="AR243" s="12" t="s">
        <v>3514</v>
      </c>
      <c r="AS243" s="12" t="s">
        <v>3515</v>
      </c>
      <c r="AT243" s="12" t="s">
        <v>3515</v>
      </c>
      <c r="AU243" s="12">
        <v>41</v>
      </c>
      <c r="AV243" s="12" t="s">
        <v>2493</v>
      </c>
      <c r="AW243" s="12">
        <v>5</v>
      </c>
      <c r="AX243" s="12">
        <v>51</v>
      </c>
      <c r="AY243" s="14">
        <v>45957</v>
      </c>
      <c r="AZ243" s="14">
        <v>45998</v>
      </c>
      <c r="BA243" s="12" t="e">
        <v>#N/A</v>
      </c>
      <c r="BB243" s="14" t="s">
        <v>2480</v>
      </c>
      <c r="BC243" s="14">
        <v>46012</v>
      </c>
      <c r="BD243" s="16">
        <v>2025</v>
      </c>
      <c r="BE243" s="16">
        <v>12</v>
      </c>
      <c r="BF243" s="16">
        <v>51</v>
      </c>
      <c r="BG243" s="191">
        <v>36</v>
      </c>
      <c r="BH243" s="191">
        <v>792</v>
      </c>
    </row>
    <row r="244" spans="1:60" s="23" customFormat="1" ht="10">
      <c r="A244" s="11" t="s">
        <v>3516</v>
      </c>
      <c r="B244" s="12" t="s">
        <v>111</v>
      </c>
      <c r="C244" s="12" t="s">
        <v>3500</v>
      </c>
      <c r="D244" s="12" t="s">
        <v>63</v>
      </c>
      <c r="E244" s="12" t="s">
        <v>64</v>
      </c>
      <c r="F244" s="12" t="s">
        <v>100</v>
      </c>
      <c r="G244" s="12" t="s">
        <v>67</v>
      </c>
      <c r="H244" s="12" t="s">
        <v>66</v>
      </c>
      <c r="I244" s="12" t="s">
        <v>96</v>
      </c>
      <c r="J244" s="34" t="s">
        <v>68</v>
      </c>
      <c r="K244" s="12"/>
      <c r="L244" s="13" t="s">
        <v>2474</v>
      </c>
      <c r="M244" s="213" t="s">
        <v>68</v>
      </c>
      <c r="N244" s="182"/>
      <c r="O244" s="12" t="s">
        <v>2475</v>
      </c>
      <c r="P244" s="12" t="s">
        <v>550</v>
      </c>
      <c r="Q244" s="12" t="s">
        <v>2699</v>
      </c>
      <c r="R244" s="12">
        <v>553120</v>
      </c>
      <c r="S244" s="12" t="s">
        <v>2700</v>
      </c>
      <c r="T244" s="206">
        <v>500</v>
      </c>
      <c r="U244" s="206">
        <v>1584</v>
      </c>
      <c r="V244" s="12">
        <v>0.79200000000000004</v>
      </c>
      <c r="W244" s="198">
        <v>44</v>
      </c>
      <c r="X244" s="254">
        <v>2</v>
      </c>
      <c r="Y244" s="12" t="s">
        <v>75</v>
      </c>
      <c r="Z244" s="12"/>
      <c r="AA244" s="12" t="s">
        <v>85</v>
      </c>
      <c r="AB244" s="13" t="s">
        <v>2136</v>
      </c>
      <c r="AC244" s="14">
        <v>45945</v>
      </c>
      <c r="AD244" s="15">
        <v>42</v>
      </c>
      <c r="AE244" s="176" t="s">
        <v>3517</v>
      </c>
      <c r="AF244" s="12">
        <v>371009003</v>
      </c>
      <c r="AG244" s="12" t="s">
        <v>122</v>
      </c>
      <c r="AH244" s="12" t="s">
        <v>105</v>
      </c>
      <c r="AI244" s="14">
        <v>45949</v>
      </c>
      <c r="AJ244" s="14">
        <v>45949</v>
      </c>
      <c r="AK244" s="14">
        <v>45949</v>
      </c>
      <c r="AL244" s="14">
        <v>45992</v>
      </c>
      <c r="AM244" s="14"/>
      <c r="AN244" s="14">
        <v>45989</v>
      </c>
      <c r="AO244" s="91" t="s">
        <v>66</v>
      </c>
      <c r="AP244" s="12" t="s">
        <v>3518</v>
      </c>
      <c r="AQ244" s="12"/>
      <c r="AR244" s="12" t="s">
        <v>3519</v>
      </c>
      <c r="AS244" s="12" t="s">
        <v>3520</v>
      </c>
      <c r="AT244" s="12" t="s">
        <v>3520</v>
      </c>
      <c r="AU244" s="12">
        <v>43</v>
      </c>
      <c r="AV244" s="12" t="s">
        <v>83</v>
      </c>
      <c r="AW244" s="12">
        <v>1</v>
      </c>
      <c r="AX244" s="12">
        <v>44</v>
      </c>
      <c r="AY244" s="14">
        <v>45949</v>
      </c>
      <c r="AZ244" s="14">
        <v>45989</v>
      </c>
      <c r="BA244" s="12" t="e">
        <v>#N/A</v>
      </c>
      <c r="BB244" s="14" t="s">
        <v>2480</v>
      </c>
      <c r="BC244" s="14">
        <v>46003</v>
      </c>
      <c r="BD244" s="16">
        <v>2025</v>
      </c>
      <c r="BE244" s="16">
        <v>12</v>
      </c>
      <c r="BF244" s="16">
        <v>50</v>
      </c>
      <c r="BG244" s="191">
        <v>36</v>
      </c>
      <c r="BH244" s="191">
        <v>792</v>
      </c>
    </row>
    <row r="245" spans="1:60" s="23" customFormat="1" ht="10">
      <c r="A245" s="11" t="s">
        <v>3521</v>
      </c>
      <c r="B245" s="12" t="s">
        <v>111</v>
      </c>
      <c r="C245" s="12" t="s">
        <v>2609</v>
      </c>
      <c r="D245" s="12" t="s">
        <v>63</v>
      </c>
      <c r="E245" s="12" t="s">
        <v>68</v>
      </c>
      <c r="F245" s="12" t="s">
        <v>68</v>
      </c>
      <c r="G245" s="12"/>
      <c r="H245" s="12" t="s">
        <v>146</v>
      </c>
      <c r="I245" s="12" t="s">
        <v>3143</v>
      </c>
      <c r="J245" s="34" t="s">
        <v>68</v>
      </c>
      <c r="K245" s="12">
        <v>46010762</v>
      </c>
      <c r="L245" s="13" t="s">
        <v>2719</v>
      </c>
      <c r="M245" s="12" t="s">
        <v>68</v>
      </c>
      <c r="N245" s="182"/>
      <c r="O245" s="12" t="s">
        <v>2475</v>
      </c>
      <c r="P245" s="12" t="s">
        <v>2610</v>
      </c>
      <c r="Q245" s="12" t="s">
        <v>2611</v>
      </c>
      <c r="R245" s="12">
        <v>553098</v>
      </c>
      <c r="S245" s="12" t="s">
        <v>2612</v>
      </c>
      <c r="T245" s="206">
        <v>550</v>
      </c>
      <c r="U245" s="206">
        <v>660</v>
      </c>
      <c r="V245" s="12">
        <v>0.36299999999999999</v>
      </c>
      <c r="W245" s="198">
        <v>20</v>
      </c>
      <c r="X245" s="254">
        <v>1</v>
      </c>
      <c r="Y245" s="12" t="s">
        <v>75</v>
      </c>
      <c r="Z245" s="12"/>
      <c r="AA245" s="12" t="s">
        <v>108</v>
      </c>
      <c r="AB245" s="13" t="s">
        <v>992</v>
      </c>
      <c r="AC245" s="14">
        <v>45945</v>
      </c>
      <c r="AD245" s="15">
        <v>42</v>
      </c>
      <c r="AE245" s="176" t="s">
        <v>3522</v>
      </c>
      <c r="AF245" s="12">
        <v>371009000</v>
      </c>
      <c r="AG245" s="12" t="s">
        <v>122</v>
      </c>
      <c r="AH245" s="12" t="s">
        <v>105</v>
      </c>
      <c r="AI245" s="14">
        <v>45949</v>
      </c>
      <c r="AJ245" s="14">
        <v>45949</v>
      </c>
      <c r="AK245" s="14">
        <v>45949</v>
      </c>
      <c r="AL245" s="14">
        <v>45992</v>
      </c>
      <c r="AM245" s="14"/>
      <c r="AN245" s="14">
        <v>45989</v>
      </c>
      <c r="AO245" s="91" t="s">
        <v>146</v>
      </c>
      <c r="AP245" s="12" t="s">
        <v>3518</v>
      </c>
      <c r="AQ245" s="12"/>
      <c r="AR245" s="12">
        <v>46010762</v>
      </c>
      <c r="AS245" s="12" t="s">
        <v>3523</v>
      </c>
      <c r="AT245" s="12" t="s">
        <v>3523</v>
      </c>
      <c r="AU245" s="12">
        <v>43</v>
      </c>
      <c r="AV245" s="12" t="s">
        <v>3524</v>
      </c>
      <c r="AW245" s="12">
        <v>6</v>
      </c>
      <c r="AX245" s="12">
        <v>44</v>
      </c>
      <c r="AY245" s="14">
        <v>45949</v>
      </c>
      <c r="AZ245" s="14">
        <v>45989</v>
      </c>
      <c r="BA245" s="12" t="e">
        <v>#N/A</v>
      </c>
      <c r="BB245" s="14" t="s">
        <v>2480</v>
      </c>
      <c r="BC245" s="14">
        <v>46003</v>
      </c>
      <c r="BD245" s="16">
        <v>2025</v>
      </c>
      <c r="BE245" s="16">
        <v>12</v>
      </c>
      <c r="BF245" s="16">
        <v>50</v>
      </c>
      <c r="BG245" s="191">
        <v>33</v>
      </c>
      <c r="BH245" s="191">
        <v>660</v>
      </c>
    </row>
    <row r="246" spans="1:60" s="23" customFormat="1" ht="10">
      <c r="A246" s="11" t="s">
        <v>3525</v>
      </c>
      <c r="B246" s="12" t="s">
        <v>296</v>
      </c>
      <c r="C246" s="12" t="s">
        <v>3442</v>
      </c>
      <c r="D246" s="12" t="s">
        <v>63</v>
      </c>
      <c r="E246" s="12" t="s">
        <v>64</v>
      </c>
      <c r="F246" s="12" t="s">
        <v>100</v>
      </c>
      <c r="G246" s="12" t="s">
        <v>67</v>
      </c>
      <c r="H246" s="12" t="s">
        <v>66</v>
      </c>
      <c r="I246" s="12" t="s">
        <v>96</v>
      </c>
      <c r="J246" s="34" t="s">
        <v>68</v>
      </c>
      <c r="K246" s="12"/>
      <c r="L246" s="13" t="s">
        <v>2474</v>
      </c>
      <c r="M246" s="213" t="s">
        <v>68</v>
      </c>
      <c r="N246" s="182"/>
      <c r="O246" s="12" t="s">
        <v>2475</v>
      </c>
      <c r="P246" s="12" t="s">
        <v>298</v>
      </c>
      <c r="Q246" s="12" t="s">
        <v>3443</v>
      </c>
      <c r="R246" s="12">
        <v>554249</v>
      </c>
      <c r="S246" s="12" t="s">
        <v>3444</v>
      </c>
      <c r="T246" s="206">
        <v>470</v>
      </c>
      <c r="U246" s="206">
        <v>2886</v>
      </c>
      <c r="V246" s="12">
        <v>1.35642</v>
      </c>
      <c r="W246" s="198">
        <v>78</v>
      </c>
      <c r="X246" s="254">
        <v>3</v>
      </c>
      <c r="Y246" s="12" t="s">
        <v>75</v>
      </c>
      <c r="Z246" s="12"/>
      <c r="AA246" s="12" t="s">
        <v>85</v>
      </c>
      <c r="AB246" s="13" t="s">
        <v>967</v>
      </c>
      <c r="AC246" s="14">
        <v>45945</v>
      </c>
      <c r="AD246" s="15">
        <v>42</v>
      </c>
      <c r="AE246" s="176" t="s">
        <v>3526</v>
      </c>
      <c r="AF246" s="12">
        <v>371009031</v>
      </c>
      <c r="AG246" s="12" t="s">
        <v>288</v>
      </c>
      <c r="AH246" s="12" t="s">
        <v>105</v>
      </c>
      <c r="AI246" s="14">
        <v>45951</v>
      </c>
      <c r="AJ246" s="14">
        <v>45951</v>
      </c>
      <c r="AK246" s="14">
        <v>45951</v>
      </c>
      <c r="AL246" s="14">
        <v>45985</v>
      </c>
      <c r="AM246" s="14"/>
      <c r="AN246" s="14">
        <v>45985</v>
      </c>
      <c r="AO246" s="91" t="s">
        <v>66</v>
      </c>
      <c r="AP246" s="12" t="s">
        <v>3527</v>
      </c>
      <c r="AQ246" s="12"/>
      <c r="AR246" s="12" t="s">
        <v>3528</v>
      </c>
      <c r="AS246" s="12" t="s">
        <v>3529</v>
      </c>
      <c r="AT246" s="12" t="s">
        <v>3529</v>
      </c>
      <c r="AU246" s="12">
        <v>34</v>
      </c>
      <c r="AV246" s="12" t="s">
        <v>83</v>
      </c>
      <c r="AW246" s="12">
        <v>5</v>
      </c>
      <c r="AX246" s="12">
        <v>40</v>
      </c>
      <c r="AY246" s="14">
        <v>45951</v>
      </c>
      <c r="AZ246" s="14">
        <v>45985</v>
      </c>
      <c r="BA246" s="12" t="e">
        <v>#N/A</v>
      </c>
      <c r="BB246" s="14" t="s">
        <v>2480</v>
      </c>
      <c r="BC246" s="14">
        <v>45999</v>
      </c>
      <c r="BD246" s="16">
        <v>2025</v>
      </c>
      <c r="BE246" s="16">
        <v>12</v>
      </c>
      <c r="BF246" s="16">
        <v>50</v>
      </c>
      <c r="BG246" s="191">
        <v>37</v>
      </c>
      <c r="BH246" s="191">
        <v>962</v>
      </c>
    </row>
    <row r="247" spans="1:60" s="23" customFormat="1" ht="10">
      <c r="A247" s="11" t="s">
        <v>3530</v>
      </c>
      <c r="B247" s="12" t="s">
        <v>61</v>
      </c>
      <c r="C247" s="12" t="s">
        <v>3343</v>
      </c>
      <c r="D247" s="12" t="s">
        <v>63</v>
      </c>
      <c r="E247" s="12" t="s">
        <v>68</v>
      </c>
      <c r="F247" s="12" t="s">
        <v>68</v>
      </c>
      <c r="G247" s="12"/>
      <c r="H247" s="12" t="s">
        <v>146</v>
      </c>
      <c r="I247" s="12" t="s">
        <v>3531</v>
      </c>
      <c r="J247" s="34" t="s">
        <v>68</v>
      </c>
      <c r="K247" s="12">
        <v>46010907</v>
      </c>
      <c r="L247" s="13" t="s">
        <v>2489</v>
      </c>
      <c r="M247" s="12" t="s">
        <v>68</v>
      </c>
      <c r="N247" s="182"/>
      <c r="O247" s="12" t="s">
        <v>2475</v>
      </c>
      <c r="P247" s="12" t="s">
        <v>70</v>
      </c>
      <c r="Q247" s="12" t="s">
        <v>195</v>
      </c>
      <c r="R247" s="12">
        <v>554473</v>
      </c>
      <c r="S247" s="12" t="s">
        <v>196</v>
      </c>
      <c r="T247" s="206">
        <v>450</v>
      </c>
      <c r="U247" s="206">
        <v>936</v>
      </c>
      <c r="V247" s="12">
        <v>0.42120000000000002</v>
      </c>
      <c r="W247" s="198">
        <v>26</v>
      </c>
      <c r="X247" s="254">
        <v>1</v>
      </c>
      <c r="Y247" s="12" t="s">
        <v>75</v>
      </c>
      <c r="Z247" s="12"/>
      <c r="AA247" s="12" t="s">
        <v>85</v>
      </c>
      <c r="AB247" s="13" t="s">
        <v>967</v>
      </c>
      <c r="AC247" s="14">
        <v>45945</v>
      </c>
      <c r="AD247" s="15">
        <v>42</v>
      </c>
      <c r="AE247" s="176" t="s">
        <v>3532</v>
      </c>
      <c r="AF247" s="12">
        <v>371009033</v>
      </c>
      <c r="AG247" s="12" t="s">
        <v>77</v>
      </c>
      <c r="AH247" s="12" t="s">
        <v>2727</v>
      </c>
      <c r="AI247" s="14">
        <v>45953</v>
      </c>
      <c r="AJ247" s="14">
        <v>45953</v>
      </c>
      <c r="AK247" s="14">
        <v>45953</v>
      </c>
      <c r="AL247" s="14">
        <v>46006</v>
      </c>
      <c r="AM247" s="14"/>
      <c r="AN247" s="14">
        <v>46008</v>
      </c>
      <c r="AO247" s="91" t="s">
        <v>146</v>
      </c>
      <c r="AP247" s="12" t="s">
        <v>3533</v>
      </c>
      <c r="AQ247" s="12"/>
      <c r="AR247" s="12">
        <v>46010907</v>
      </c>
      <c r="AS247" s="12" t="s">
        <v>3534</v>
      </c>
      <c r="AT247" s="12" t="s">
        <v>3534</v>
      </c>
      <c r="AU247" s="12">
        <v>53</v>
      </c>
      <c r="AV247" s="12" t="s">
        <v>2493</v>
      </c>
      <c r="AW247" s="12">
        <v>7</v>
      </c>
      <c r="AX247" s="12">
        <v>63</v>
      </c>
      <c r="AY247" s="14">
        <v>45953</v>
      </c>
      <c r="AZ247" s="14">
        <v>46008</v>
      </c>
      <c r="BA247" s="12" t="e">
        <v>#N/A</v>
      </c>
      <c r="BB247" s="14" t="s">
        <v>2480</v>
      </c>
      <c r="BC247" s="14">
        <v>46022</v>
      </c>
      <c r="BD247" s="16">
        <v>2025</v>
      </c>
      <c r="BE247" s="16">
        <v>12</v>
      </c>
      <c r="BF247" s="16">
        <v>1</v>
      </c>
      <c r="BG247" s="191">
        <v>36</v>
      </c>
      <c r="BH247" s="191">
        <v>936</v>
      </c>
    </row>
    <row r="248" spans="1:60" s="23" customFormat="1" ht="10">
      <c r="A248" s="11" t="s">
        <v>3535</v>
      </c>
      <c r="B248" s="12" t="s">
        <v>111</v>
      </c>
      <c r="C248" s="12" t="s">
        <v>203</v>
      </c>
      <c r="D248" s="12" t="s">
        <v>113</v>
      </c>
      <c r="E248" s="12" t="s">
        <v>68</v>
      </c>
      <c r="F248" s="12" t="s">
        <v>68</v>
      </c>
      <c r="G248" s="12"/>
      <c r="H248" s="12" t="s">
        <v>66</v>
      </c>
      <c r="I248" s="12" t="s">
        <v>3536</v>
      </c>
      <c r="J248" s="34" t="s">
        <v>68</v>
      </c>
      <c r="K248" s="12">
        <v>16102577</v>
      </c>
      <c r="L248" s="13" t="s">
        <v>2482</v>
      </c>
      <c r="M248" s="12" t="s">
        <v>68</v>
      </c>
      <c r="N248" s="182"/>
      <c r="O248" s="12" t="s">
        <v>2475</v>
      </c>
      <c r="P248" s="12" t="s">
        <v>70</v>
      </c>
      <c r="Q248" s="12" t="s">
        <v>1355</v>
      </c>
      <c r="R248" s="12">
        <v>554472</v>
      </c>
      <c r="S248" s="12" t="s">
        <v>1356</v>
      </c>
      <c r="T248" s="206">
        <v>715</v>
      </c>
      <c r="U248" s="206">
        <v>3432</v>
      </c>
      <c r="V248" s="12">
        <v>2.4538799999999998</v>
      </c>
      <c r="W248" s="198">
        <v>104</v>
      </c>
      <c r="X248" s="254">
        <v>5.7777777777777777</v>
      </c>
      <c r="Y248" s="12" t="s">
        <v>75</v>
      </c>
      <c r="Z248" s="12"/>
      <c r="AA248" s="12" t="s">
        <v>108</v>
      </c>
      <c r="AB248" s="13" t="s">
        <v>3537</v>
      </c>
      <c r="AC248" s="14">
        <v>45948</v>
      </c>
      <c r="AD248" s="15">
        <v>42</v>
      </c>
      <c r="AE248" s="176" t="s">
        <v>3538</v>
      </c>
      <c r="AF248" s="12">
        <v>371009029</v>
      </c>
      <c r="AG248" s="12" t="s">
        <v>122</v>
      </c>
      <c r="AH248" s="12" t="s">
        <v>124</v>
      </c>
      <c r="AI248" s="14">
        <v>45957</v>
      </c>
      <c r="AJ248" s="14">
        <v>45957</v>
      </c>
      <c r="AK248" s="14">
        <v>45957</v>
      </c>
      <c r="AL248" s="14">
        <v>45998</v>
      </c>
      <c r="AM248" s="14"/>
      <c r="AN248" s="14">
        <v>45998</v>
      </c>
      <c r="AO248" s="91" t="s">
        <v>66</v>
      </c>
      <c r="AP248" s="12" t="s">
        <v>3508</v>
      </c>
      <c r="AQ248" s="12"/>
      <c r="AR248" s="12" t="s">
        <v>3539</v>
      </c>
      <c r="AS248" s="12" t="s">
        <v>3540</v>
      </c>
      <c r="AT248" s="12" t="s">
        <v>3540</v>
      </c>
      <c r="AU248" s="12">
        <v>41</v>
      </c>
      <c r="AV248" s="12" t="s">
        <v>2493</v>
      </c>
      <c r="AW248" s="12">
        <v>39</v>
      </c>
      <c r="AX248" s="12">
        <v>50</v>
      </c>
      <c r="AY248" s="14">
        <v>45957</v>
      </c>
      <c r="AZ248" s="14">
        <v>45998</v>
      </c>
      <c r="BA248" s="12" t="e">
        <v>#N/A</v>
      </c>
      <c r="BB248" s="14" t="s">
        <v>2480</v>
      </c>
      <c r="BC248" s="14">
        <v>46012</v>
      </c>
      <c r="BD248" s="16">
        <v>2025</v>
      </c>
      <c r="BE248" s="16">
        <v>12</v>
      </c>
      <c r="BF248" s="16">
        <v>51</v>
      </c>
      <c r="BG248" s="191">
        <v>33</v>
      </c>
      <c r="BH248" s="191">
        <v>594</v>
      </c>
    </row>
    <row r="249" spans="1:60" s="23" customFormat="1" ht="10">
      <c r="A249" s="11" t="s">
        <v>3541</v>
      </c>
      <c r="B249" s="12" t="s">
        <v>111</v>
      </c>
      <c r="C249" s="12" t="s">
        <v>203</v>
      </c>
      <c r="D249" s="12" t="s">
        <v>113</v>
      </c>
      <c r="E249" s="12" t="s">
        <v>68</v>
      </c>
      <c r="F249" s="12" t="s">
        <v>68</v>
      </c>
      <c r="G249" s="12"/>
      <c r="H249" s="12" t="s">
        <v>66</v>
      </c>
      <c r="I249" s="12" t="s">
        <v>3536</v>
      </c>
      <c r="J249" s="34" t="s">
        <v>68</v>
      </c>
      <c r="K249" s="12">
        <v>16102577</v>
      </c>
      <c r="L249" s="13" t="s">
        <v>2482</v>
      </c>
      <c r="M249" s="12" t="s">
        <v>68</v>
      </c>
      <c r="N249" s="182"/>
      <c r="O249" s="12" t="s">
        <v>2475</v>
      </c>
      <c r="P249" s="12" t="s">
        <v>70</v>
      </c>
      <c r="Q249" s="12" t="s">
        <v>1347</v>
      </c>
      <c r="R249" s="12">
        <v>554471</v>
      </c>
      <c r="S249" s="12" t="s">
        <v>1348</v>
      </c>
      <c r="T249" s="206">
        <v>710</v>
      </c>
      <c r="U249" s="206">
        <v>3564</v>
      </c>
      <c r="V249" s="12">
        <v>2.53044</v>
      </c>
      <c r="W249" s="198">
        <v>108</v>
      </c>
      <c r="X249" s="254">
        <v>6</v>
      </c>
      <c r="Y249" s="12" t="s">
        <v>75</v>
      </c>
      <c r="Z249" s="12"/>
      <c r="AA249" s="12" t="s">
        <v>108</v>
      </c>
      <c r="AB249" s="13" t="s">
        <v>3537</v>
      </c>
      <c r="AC249" s="14">
        <v>45946</v>
      </c>
      <c r="AD249" s="15">
        <v>42</v>
      </c>
      <c r="AE249" s="176" t="s">
        <v>3542</v>
      </c>
      <c r="AF249" s="12">
        <v>371009028</v>
      </c>
      <c r="AG249" s="12" t="s">
        <v>122</v>
      </c>
      <c r="AH249" s="12" t="s">
        <v>124</v>
      </c>
      <c r="AI249" s="14">
        <v>45954</v>
      </c>
      <c r="AJ249" s="14">
        <v>45954</v>
      </c>
      <c r="AK249" s="14">
        <v>45954</v>
      </c>
      <c r="AL249" s="14">
        <v>46001</v>
      </c>
      <c r="AM249" s="14"/>
      <c r="AN249" s="14">
        <v>46002</v>
      </c>
      <c r="AO249" s="91" t="s">
        <v>66</v>
      </c>
      <c r="AP249" s="12" t="s">
        <v>3543</v>
      </c>
      <c r="AQ249" s="12"/>
      <c r="AR249" s="12" t="s">
        <v>3544</v>
      </c>
      <c r="AS249" s="12" t="s">
        <v>3545</v>
      </c>
      <c r="AT249" s="12" t="s">
        <v>3545</v>
      </c>
      <c r="AU249" s="12">
        <v>47</v>
      </c>
      <c r="AV249" s="12" t="s">
        <v>83</v>
      </c>
      <c r="AW249" s="12">
        <v>39</v>
      </c>
      <c r="AX249" s="12">
        <v>56</v>
      </c>
      <c r="AY249" s="14">
        <v>45954</v>
      </c>
      <c r="AZ249" s="14">
        <v>46002</v>
      </c>
      <c r="BA249" s="12" t="e">
        <v>#N/A</v>
      </c>
      <c r="BB249" s="14" t="s">
        <v>2480</v>
      </c>
      <c r="BC249" s="14">
        <v>46016</v>
      </c>
      <c r="BD249" s="16">
        <v>2025</v>
      </c>
      <c r="BE249" s="16">
        <v>12</v>
      </c>
      <c r="BF249" s="16">
        <v>52</v>
      </c>
      <c r="BG249" s="191">
        <v>33</v>
      </c>
      <c r="BH249" s="191">
        <v>594</v>
      </c>
    </row>
    <row r="250" spans="1:60" s="23" customFormat="1" ht="10">
      <c r="A250" s="11" t="s">
        <v>3546</v>
      </c>
      <c r="B250" s="12" t="s">
        <v>111</v>
      </c>
      <c r="C250" s="12" t="s">
        <v>3547</v>
      </c>
      <c r="D250" s="12" t="s">
        <v>113</v>
      </c>
      <c r="E250" s="12" t="s">
        <v>68</v>
      </c>
      <c r="F250" s="12" t="s">
        <v>68</v>
      </c>
      <c r="G250" s="12"/>
      <c r="H250" s="12" t="s">
        <v>66</v>
      </c>
      <c r="I250" s="12" t="s">
        <v>3536</v>
      </c>
      <c r="J250" s="34" t="s">
        <v>68</v>
      </c>
      <c r="K250" s="12">
        <v>16102577</v>
      </c>
      <c r="L250" s="13" t="s">
        <v>2482</v>
      </c>
      <c r="M250" s="12" t="s">
        <v>68</v>
      </c>
      <c r="N250" s="182"/>
      <c r="O250" s="12" t="s">
        <v>2475</v>
      </c>
      <c r="P250" s="12" t="s">
        <v>70</v>
      </c>
      <c r="Q250" s="12" t="s">
        <v>3548</v>
      </c>
      <c r="R250" s="12">
        <v>554812</v>
      </c>
      <c r="S250" s="12" t="s">
        <v>3549</v>
      </c>
      <c r="T250" s="206">
        <v>705</v>
      </c>
      <c r="U250" s="206">
        <v>495</v>
      </c>
      <c r="V250" s="12">
        <v>0.34897499999999998</v>
      </c>
      <c r="W250" s="198">
        <v>15</v>
      </c>
      <c r="X250" s="254">
        <v>0.83333333333333337</v>
      </c>
      <c r="Y250" s="12" t="s">
        <v>75</v>
      </c>
      <c r="Z250" s="12"/>
      <c r="AA250" s="12" t="s">
        <v>108</v>
      </c>
      <c r="AB250" s="13" t="s">
        <v>3537</v>
      </c>
      <c r="AC250" s="14">
        <v>45948</v>
      </c>
      <c r="AD250" s="15">
        <v>42</v>
      </c>
      <c r="AE250" s="176" t="s">
        <v>3550</v>
      </c>
      <c r="AF250" s="12">
        <v>371009043</v>
      </c>
      <c r="AG250" s="12" t="s">
        <v>122</v>
      </c>
      <c r="AH250" s="12" t="s">
        <v>124</v>
      </c>
      <c r="AI250" s="14">
        <v>45957</v>
      </c>
      <c r="AJ250" s="14">
        <v>45957</v>
      </c>
      <c r="AK250" s="14">
        <v>45957</v>
      </c>
      <c r="AL250" s="14">
        <v>45998</v>
      </c>
      <c r="AM250" s="14"/>
      <c r="AN250" s="14">
        <v>45998</v>
      </c>
      <c r="AO250" s="91" t="s">
        <v>66</v>
      </c>
      <c r="AP250" s="12" t="s">
        <v>3508</v>
      </c>
      <c r="AQ250" s="12"/>
      <c r="AR250" s="12" t="s">
        <v>3539</v>
      </c>
      <c r="AS250" s="12" t="s">
        <v>3540</v>
      </c>
      <c r="AT250" s="12" t="s">
        <v>3540</v>
      </c>
      <c r="AU250" s="12">
        <v>41</v>
      </c>
      <c r="AV250" s="12" t="s">
        <v>2493</v>
      </c>
      <c r="AW250" s="12">
        <v>3</v>
      </c>
      <c r="AX250" s="12">
        <v>50</v>
      </c>
      <c r="AY250" s="14">
        <v>45957</v>
      </c>
      <c r="AZ250" s="14">
        <v>45998</v>
      </c>
      <c r="BA250" s="12" t="e">
        <v>#N/A</v>
      </c>
      <c r="BB250" s="14" t="s">
        <v>2480</v>
      </c>
      <c r="BC250" s="14">
        <v>46012</v>
      </c>
      <c r="BD250" s="16">
        <v>2025</v>
      </c>
      <c r="BE250" s="16">
        <v>12</v>
      </c>
      <c r="BF250" s="16">
        <v>51</v>
      </c>
      <c r="BG250" s="191">
        <v>33</v>
      </c>
      <c r="BH250" s="191">
        <v>594</v>
      </c>
    </row>
    <row r="251" spans="1:60" s="23" customFormat="1" ht="10">
      <c r="A251" s="11" t="s">
        <v>3551</v>
      </c>
      <c r="B251" s="12" t="s">
        <v>111</v>
      </c>
      <c r="C251" s="12" t="s">
        <v>3541</v>
      </c>
      <c r="D251" s="12" t="s">
        <v>113</v>
      </c>
      <c r="E251" s="12" t="s">
        <v>68</v>
      </c>
      <c r="F251" s="12" t="s">
        <v>68</v>
      </c>
      <c r="G251" s="12"/>
      <c r="H251" s="12" t="s">
        <v>66</v>
      </c>
      <c r="I251" s="12" t="s">
        <v>3536</v>
      </c>
      <c r="J251" s="34" t="s">
        <v>68</v>
      </c>
      <c r="K251" s="12">
        <v>16102577</v>
      </c>
      <c r="L251" s="13" t="s">
        <v>2482</v>
      </c>
      <c r="M251" s="12" t="s">
        <v>68</v>
      </c>
      <c r="N251" s="182"/>
      <c r="O251" s="12" t="s">
        <v>2475</v>
      </c>
      <c r="P251" s="12" t="s">
        <v>70</v>
      </c>
      <c r="Q251" s="12" t="s">
        <v>1347</v>
      </c>
      <c r="R251" s="12">
        <v>554471</v>
      </c>
      <c r="S251" s="12" t="s">
        <v>1348</v>
      </c>
      <c r="T251" s="206">
        <v>710</v>
      </c>
      <c r="U251" s="206">
        <v>1419</v>
      </c>
      <c r="V251" s="12">
        <v>1.00749</v>
      </c>
      <c r="W251" s="198">
        <v>43</v>
      </c>
      <c r="X251" s="254">
        <v>2.3888888888888888</v>
      </c>
      <c r="Y251" s="12" t="s">
        <v>75</v>
      </c>
      <c r="Z251" s="12"/>
      <c r="AA251" s="12" t="s">
        <v>108</v>
      </c>
      <c r="AB251" s="13" t="s">
        <v>3537</v>
      </c>
      <c r="AC251" s="14">
        <v>45948</v>
      </c>
      <c r="AD251" s="15">
        <v>42</v>
      </c>
      <c r="AE251" s="176" t="s">
        <v>3552</v>
      </c>
      <c r="AF251" s="12">
        <v>371009027</v>
      </c>
      <c r="AG251" s="12" t="s">
        <v>122</v>
      </c>
      <c r="AH251" s="12" t="s">
        <v>124</v>
      </c>
      <c r="AI251" s="14">
        <v>45957</v>
      </c>
      <c r="AJ251" s="14">
        <v>45957</v>
      </c>
      <c r="AK251" s="14">
        <v>45957</v>
      </c>
      <c r="AL251" s="14">
        <v>45998</v>
      </c>
      <c r="AM251" s="14"/>
      <c r="AN251" s="14">
        <v>45998</v>
      </c>
      <c r="AO251" s="91" t="s">
        <v>66</v>
      </c>
      <c r="AP251" s="12" t="s">
        <v>3508</v>
      </c>
      <c r="AQ251" s="12"/>
      <c r="AR251" s="12" t="s">
        <v>3539</v>
      </c>
      <c r="AS251" s="12" t="s">
        <v>3540</v>
      </c>
      <c r="AT251" s="12" t="s">
        <v>3540</v>
      </c>
      <c r="AU251" s="12">
        <v>41</v>
      </c>
      <c r="AV251" s="12" t="s">
        <v>2493</v>
      </c>
      <c r="AW251" s="12">
        <v>5</v>
      </c>
      <c r="AX251" s="12">
        <v>50</v>
      </c>
      <c r="AY251" s="14">
        <v>45957</v>
      </c>
      <c r="AZ251" s="14">
        <v>45998</v>
      </c>
      <c r="BA251" s="12" t="e">
        <v>#N/A</v>
      </c>
      <c r="BB251" s="14" t="s">
        <v>2480</v>
      </c>
      <c r="BC251" s="14">
        <v>46012</v>
      </c>
      <c r="BD251" s="16">
        <v>2025</v>
      </c>
      <c r="BE251" s="16">
        <v>12</v>
      </c>
      <c r="BF251" s="16">
        <v>51</v>
      </c>
      <c r="BG251" s="191">
        <v>33</v>
      </c>
      <c r="BH251" s="191">
        <v>594</v>
      </c>
    </row>
    <row r="252" spans="1:60" ht="10">
      <c r="A252" s="11" t="s">
        <v>3553</v>
      </c>
      <c r="B252" s="12" t="s">
        <v>111</v>
      </c>
      <c r="C252" s="12" t="s">
        <v>537</v>
      </c>
      <c r="D252" s="12" t="s">
        <v>63</v>
      </c>
      <c r="E252" s="12" t="s">
        <v>68</v>
      </c>
      <c r="F252" s="12" t="s">
        <v>68</v>
      </c>
      <c r="G252" s="12"/>
      <c r="H252" s="12" t="s">
        <v>66</v>
      </c>
      <c r="I252" s="12" t="s">
        <v>1342</v>
      </c>
      <c r="J252" s="34" t="s">
        <v>68</v>
      </c>
      <c r="K252" s="12"/>
      <c r="L252" s="13" t="s">
        <v>2497</v>
      </c>
      <c r="M252" s="12" t="s">
        <v>68</v>
      </c>
      <c r="N252" s="182"/>
      <c r="O252" s="12" t="s">
        <v>2475</v>
      </c>
      <c r="P252" s="12" t="s">
        <v>473</v>
      </c>
      <c r="Q252" s="12" t="s">
        <v>529</v>
      </c>
      <c r="R252" s="12">
        <v>553145</v>
      </c>
      <c r="S252" s="12" t="s">
        <v>530</v>
      </c>
      <c r="T252" s="206">
        <v>455</v>
      </c>
      <c r="U252" s="206">
        <v>2592</v>
      </c>
      <c r="V252" s="12">
        <v>1.17936</v>
      </c>
      <c r="W252" s="198">
        <v>72</v>
      </c>
      <c r="X252" s="254">
        <v>3</v>
      </c>
      <c r="Y252" s="12" t="s">
        <v>75</v>
      </c>
      <c r="Z252" s="12"/>
      <c r="AA252" s="12" t="s">
        <v>85</v>
      </c>
      <c r="AB252" s="13" t="s">
        <v>967</v>
      </c>
      <c r="AC252" s="14">
        <v>45945</v>
      </c>
      <c r="AD252" s="15">
        <v>42</v>
      </c>
      <c r="AE252" s="176" t="s">
        <v>3554</v>
      </c>
      <c r="AF252" s="12">
        <v>371009038</v>
      </c>
      <c r="AG252" s="12" t="s">
        <v>122</v>
      </c>
      <c r="AH252" s="12" t="s">
        <v>314</v>
      </c>
      <c r="AI252" s="14">
        <v>45955</v>
      </c>
      <c r="AJ252" s="14">
        <v>45955</v>
      </c>
      <c r="AK252" s="14">
        <v>45955</v>
      </c>
      <c r="AL252" s="14">
        <v>46008</v>
      </c>
      <c r="AM252" s="14"/>
      <c r="AN252" s="14">
        <v>46009</v>
      </c>
      <c r="AO252" s="91" t="s">
        <v>66</v>
      </c>
      <c r="AP252" s="12" t="s">
        <v>3492</v>
      </c>
      <c r="AQ252" s="12"/>
      <c r="AR252" s="12" t="s">
        <v>3555</v>
      </c>
      <c r="AS252" s="12" t="s">
        <v>3556</v>
      </c>
      <c r="AT252" s="12" t="s">
        <v>3556</v>
      </c>
      <c r="AU252" s="12">
        <v>53</v>
      </c>
      <c r="AV252" s="12" t="s">
        <v>83</v>
      </c>
      <c r="AW252" s="12">
        <v>8</v>
      </c>
      <c r="AX252" s="12">
        <v>64</v>
      </c>
      <c r="AY252" s="14">
        <v>45955</v>
      </c>
      <c r="AZ252" s="14">
        <v>46009</v>
      </c>
      <c r="BA252" s="12" t="e">
        <v>#N/A</v>
      </c>
      <c r="BB252" s="14" t="s">
        <v>2480</v>
      </c>
      <c r="BC252" s="14">
        <v>46023</v>
      </c>
      <c r="BD252" s="16">
        <v>2026</v>
      </c>
      <c r="BE252" s="16">
        <v>1</v>
      </c>
      <c r="BF252" s="16">
        <v>1</v>
      </c>
      <c r="BG252" s="191">
        <v>36</v>
      </c>
      <c r="BH252" s="191">
        <v>864</v>
      </c>
    </row>
    <row r="253" spans="1:60" ht="10">
      <c r="A253" s="11" t="s">
        <v>3557</v>
      </c>
      <c r="B253" s="12" t="s">
        <v>111</v>
      </c>
      <c r="C253" s="12" t="s">
        <v>537</v>
      </c>
      <c r="D253" s="12" t="s">
        <v>63</v>
      </c>
      <c r="E253" s="12" t="s">
        <v>68</v>
      </c>
      <c r="F253" s="12" t="s">
        <v>68</v>
      </c>
      <c r="G253" s="12"/>
      <c r="H253" s="12" t="s">
        <v>66</v>
      </c>
      <c r="I253" s="12" t="s">
        <v>1559</v>
      </c>
      <c r="J253" s="34" t="s">
        <v>68</v>
      </c>
      <c r="K253" s="12"/>
      <c r="L253" s="13" t="s">
        <v>2497</v>
      </c>
      <c r="M253" s="12" t="s">
        <v>68</v>
      </c>
      <c r="N253" s="182"/>
      <c r="O253" s="12" t="s">
        <v>2475</v>
      </c>
      <c r="P253" s="12" t="s">
        <v>473</v>
      </c>
      <c r="Q253" s="12" t="s">
        <v>529</v>
      </c>
      <c r="R253" s="12">
        <v>553145</v>
      </c>
      <c r="S253" s="12" t="s">
        <v>530</v>
      </c>
      <c r="T253" s="206">
        <v>455</v>
      </c>
      <c r="U253" s="206">
        <v>2592</v>
      </c>
      <c r="V253" s="12">
        <v>1.17936</v>
      </c>
      <c r="W253" s="198">
        <v>72</v>
      </c>
      <c r="X253" s="254">
        <v>3</v>
      </c>
      <c r="Y253" s="12" t="s">
        <v>75</v>
      </c>
      <c r="Z253" s="12"/>
      <c r="AA253" s="12" t="s">
        <v>85</v>
      </c>
      <c r="AB253" s="13" t="s">
        <v>967</v>
      </c>
      <c r="AC253" s="14">
        <v>45945</v>
      </c>
      <c r="AD253" s="15">
        <v>42</v>
      </c>
      <c r="AE253" s="176" t="s">
        <v>3558</v>
      </c>
      <c r="AF253" s="12">
        <v>371009039</v>
      </c>
      <c r="AG253" s="12" t="s">
        <v>122</v>
      </c>
      <c r="AH253" s="12" t="s">
        <v>1561</v>
      </c>
      <c r="AI253" s="14">
        <v>45949</v>
      </c>
      <c r="AJ253" s="14">
        <v>45949</v>
      </c>
      <c r="AK253" s="14">
        <v>45949</v>
      </c>
      <c r="AL253" s="14">
        <v>46021</v>
      </c>
      <c r="AM253" s="14"/>
      <c r="AN253" s="14">
        <v>46022</v>
      </c>
      <c r="AO253" s="91" t="s">
        <v>66</v>
      </c>
      <c r="AP253" s="12" t="s">
        <v>3480</v>
      </c>
      <c r="AQ253" s="12"/>
      <c r="AR253" s="12" t="s">
        <v>3559</v>
      </c>
      <c r="AS253" s="12" t="s">
        <v>3560</v>
      </c>
      <c r="AT253" s="12" t="s">
        <v>3560</v>
      </c>
      <c r="AU253" s="12">
        <v>72</v>
      </c>
      <c r="AV253" s="12" t="s">
        <v>83</v>
      </c>
      <c r="AW253" s="12">
        <v>8</v>
      </c>
      <c r="AX253" s="12">
        <v>77</v>
      </c>
      <c r="AY253" s="14">
        <v>45949</v>
      </c>
      <c r="AZ253" s="14">
        <v>46022</v>
      </c>
      <c r="BA253" s="12" t="e">
        <v>#N/A</v>
      </c>
      <c r="BB253" s="14" t="s">
        <v>2480</v>
      </c>
      <c r="BC253" s="14">
        <v>46036</v>
      </c>
      <c r="BD253" s="16">
        <v>2026</v>
      </c>
      <c r="BE253" s="16">
        <v>1</v>
      </c>
      <c r="BF253" s="16">
        <v>3</v>
      </c>
      <c r="BG253" s="191">
        <v>36</v>
      </c>
      <c r="BH253" s="191">
        <v>864</v>
      </c>
    </row>
    <row r="254" spans="1:60" s="24" customFormat="1" ht="10">
      <c r="A254" s="11" t="s">
        <v>3561</v>
      </c>
      <c r="B254" s="12" t="s">
        <v>111</v>
      </c>
      <c r="C254" s="12" t="s">
        <v>537</v>
      </c>
      <c r="D254" s="12" t="s">
        <v>63</v>
      </c>
      <c r="E254" s="12" t="s">
        <v>64</v>
      </c>
      <c r="F254" s="12" t="s">
        <v>100</v>
      </c>
      <c r="G254" s="12" t="s">
        <v>67</v>
      </c>
      <c r="H254" s="12" t="s">
        <v>66</v>
      </c>
      <c r="I254" s="12" t="s">
        <v>96</v>
      </c>
      <c r="J254" s="34" t="s">
        <v>68</v>
      </c>
      <c r="K254" s="12"/>
      <c r="L254" s="13" t="s">
        <v>2474</v>
      </c>
      <c r="M254" s="213" t="s">
        <v>68</v>
      </c>
      <c r="N254" s="182"/>
      <c r="O254" s="12" t="s">
        <v>2475</v>
      </c>
      <c r="P254" s="12" t="s">
        <v>473</v>
      </c>
      <c r="Q254" s="12" t="s">
        <v>529</v>
      </c>
      <c r="R254" s="12">
        <v>553145</v>
      </c>
      <c r="S254" s="12" t="s">
        <v>530</v>
      </c>
      <c r="T254" s="206">
        <v>455</v>
      </c>
      <c r="U254" s="206">
        <v>1728</v>
      </c>
      <c r="V254" s="12">
        <v>0.78624000000000005</v>
      </c>
      <c r="W254" s="198">
        <v>48</v>
      </c>
      <c r="X254" s="254">
        <v>2</v>
      </c>
      <c r="Y254" s="12" t="s">
        <v>75</v>
      </c>
      <c r="Z254" s="12"/>
      <c r="AA254" s="12" t="s">
        <v>85</v>
      </c>
      <c r="AB254" s="13" t="s">
        <v>967</v>
      </c>
      <c r="AC254" s="14">
        <v>45945</v>
      </c>
      <c r="AD254" s="15">
        <v>42</v>
      </c>
      <c r="AE254" s="176" t="s">
        <v>3562</v>
      </c>
      <c r="AF254" s="12">
        <v>371009037</v>
      </c>
      <c r="AG254" s="12" t="s">
        <v>122</v>
      </c>
      <c r="AH254" s="12" t="s">
        <v>105</v>
      </c>
      <c r="AI254" s="14">
        <v>45949</v>
      </c>
      <c r="AJ254" s="14">
        <v>45949</v>
      </c>
      <c r="AK254" s="14">
        <v>45949</v>
      </c>
      <c r="AL254" s="14">
        <v>45992</v>
      </c>
      <c r="AM254" s="14"/>
      <c r="AN254" s="14">
        <v>45989</v>
      </c>
      <c r="AO254" s="91" t="s">
        <v>66</v>
      </c>
      <c r="AP254" s="12" t="s">
        <v>3518</v>
      </c>
      <c r="AQ254" s="12"/>
      <c r="AR254" s="12" t="s">
        <v>3519</v>
      </c>
      <c r="AS254" s="12" t="s">
        <v>3520</v>
      </c>
      <c r="AT254" s="12" t="s">
        <v>3520</v>
      </c>
      <c r="AU254" s="12">
        <v>43</v>
      </c>
      <c r="AV254" s="12" t="s">
        <v>83</v>
      </c>
      <c r="AW254" s="12">
        <v>8</v>
      </c>
      <c r="AX254" s="12">
        <v>44</v>
      </c>
      <c r="AY254" s="14">
        <v>45949</v>
      </c>
      <c r="AZ254" s="14">
        <v>45989</v>
      </c>
      <c r="BA254" s="12" t="e">
        <v>#N/A</v>
      </c>
      <c r="BB254" s="14" t="s">
        <v>2480</v>
      </c>
      <c r="BC254" s="14">
        <v>46003</v>
      </c>
      <c r="BD254" s="16">
        <v>2025</v>
      </c>
      <c r="BE254" s="16">
        <v>12</v>
      </c>
      <c r="BF254" s="16">
        <v>50</v>
      </c>
      <c r="BG254" s="191">
        <v>36</v>
      </c>
      <c r="BH254" s="191">
        <v>864</v>
      </c>
    </row>
    <row r="255" spans="1:60" s="24" customFormat="1" ht="10">
      <c r="A255" s="11" t="s">
        <v>3563</v>
      </c>
      <c r="B255" s="12" t="s">
        <v>111</v>
      </c>
      <c r="C255" s="12" t="s">
        <v>537</v>
      </c>
      <c r="D255" s="12" t="s">
        <v>63</v>
      </c>
      <c r="E255" s="12" t="s">
        <v>64</v>
      </c>
      <c r="F255" s="12" t="s">
        <v>65</v>
      </c>
      <c r="G255" s="12" t="s">
        <v>67</v>
      </c>
      <c r="H255" s="12" t="s">
        <v>66</v>
      </c>
      <c r="I255" s="12" t="s">
        <v>96</v>
      </c>
      <c r="J255" s="34" t="s">
        <v>68</v>
      </c>
      <c r="K255" s="12"/>
      <c r="L255" s="13" t="s">
        <v>2474</v>
      </c>
      <c r="M255" s="213" t="s">
        <v>68</v>
      </c>
      <c r="N255" s="182"/>
      <c r="O255" s="12" t="s">
        <v>2475</v>
      </c>
      <c r="P255" s="12" t="s">
        <v>473</v>
      </c>
      <c r="Q255" s="12" t="s">
        <v>529</v>
      </c>
      <c r="R255" s="12">
        <v>553145</v>
      </c>
      <c r="S255" s="12" t="s">
        <v>530</v>
      </c>
      <c r="T255" s="206">
        <v>455</v>
      </c>
      <c r="U255" s="206">
        <v>2592</v>
      </c>
      <c r="V255" s="12">
        <v>1.17936</v>
      </c>
      <c r="W255" s="198">
        <v>72</v>
      </c>
      <c r="X255" s="254">
        <v>3</v>
      </c>
      <c r="Y255" s="12" t="s">
        <v>75</v>
      </c>
      <c r="Z255" s="12"/>
      <c r="AA255" s="12" t="s">
        <v>85</v>
      </c>
      <c r="AB255" s="13" t="s">
        <v>967</v>
      </c>
      <c r="AC255" s="14">
        <v>45948</v>
      </c>
      <c r="AD255" s="15">
        <v>42</v>
      </c>
      <c r="AE255" s="176" t="s">
        <v>3564</v>
      </c>
      <c r="AF255" s="12">
        <v>371009040</v>
      </c>
      <c r="AG255" s="12" t="s">
        <v>122</v>
      </c>
      <c r="AH255" s="12" t="s">
        <v>78</v>
      </c>
      <c r="AI255" s="14">
        <v>45960</v>
      </c>
      <c r="AJ255" s="14">
        <v>45960</v>
      </c>
      <c r="AK255" s="14">
        <v>45960</v>
      </c>
      <c r="AL255" s="14">
        <v>46010</v>
      </c>
      <c r="AM255" s="14"/>
      <c r="AN255" s="14">
        <v>46011</v>
      </c>
      <c r="AO255" s="91" t="s">
        <v>66</v>
      </c>
      <c r="AP255" s="12" t="s">
        <v>3565</v>
      </c>
      <c r="AQ255" s="12"/>
      <c r="AR255" s="12" t="s">
        <v>3566</v>
      </c>
      <c r="AS255" s="12" t="s">
        <v>3567</v>
      </c>
      <c r="AT255" s="12" t="s">
        <v>3567</v>
      </c>
      <c r="AU255" s="12">
        <v>50</v>
      </c>
      <c r="AV255" s="12" t="s">
        <v>83</v>
      </c>
      <c r="AW255" s="12">
        <v>8</v>
      </c>
      <c r="AX255" s="12">
        <v>63</v>
      </c>
      <c r="AY255" s="14">
        <v>45960</v>
      </c>
      <c r="AZ255" s="14">
        <v>46011</v>
      </c>
      <c r="BA255" s="12" t="e">
        <v>#N/A</v>
      </c>
      <c r="BB255" s="14" t="s">
        <v>2480</v>
      </c>
      <c r="BC255" s="14">
        <v>46025</v>
      </c>
      <c r="BD255" s="16">
        <v>2026</v>
      </c>
      <c r="BE255" s="16">
        <v>1</v>
      </c>
      <c r="BF255" s="16">
        <v>1</v>
      </c>
      <c r="BG255" s="191">
        <v>36</v>
      </c>
      <c r="BH255" s="191">
        <v>864</v>
      </c>
    </row>
    <row r="256" spans="1:60" ht="10">
      <c r="A256" s="11" t="s">
        <v>3568</v>
      </c>
      <c r="B256" s="12" t="s">
        <v>111</v>
      </c>
      <c r="C256" s="12" t="s">
        <v>203</v>
      </c>
      <c r="D256" s="12" t="s">
        <v>63</v>
      </c>
      <c r="E256" s="12" t="s">
        <v>68</v>
      </c>
      <c r="F256" s="12" t="s">
        <v>68</v>
      </c>
      <c r="G256" s="12"/>
      <c r="H256" s="12" t="s">
        <v>66</v>
      </c>
      <c r="I256" s="12" t="s">
        <v>1292</v>
      </c>
      <c r="J256" s="34" t="s">
        <v>68</v>
      </c>
      <c r="K256" s="12"/>
      <c r="L256" s="13" t="s">
        <v>2831</v>
      </c>
      <c r="M256" s="12" t="s">
        <v>68</v>
      </c>
      <c r="N256" s="182"/>
      <c r="O256" s="12" t="s">
        <v>2475</v>
      </c>
      <c r="P256" s="12" t="s">
        <v>473</v>
      </c>
      <c r="Q256" s="12" t="s">
        <v>474</v>
      </c>
      <c r="R256" s="12">
        <v>553144</v>
      </c>
      <c r="S256" s="12" t="s">
        <v>3569</v>
      </c>
      <c r="T256" s="206">
        <v>460</v>
      </c>
      <c r="U256" s="206">
        <v>3456</v>
      </c>
      <c r="V256" s="12">
        <v>1.5897600000000001</v>
      </c>
      <c r="W256" s="198">
        <v>96</v>
      </c>
      <c r="X256" s="254">
        <v>4</v>
      </c>
      <c r="Y256" s="12" t="s">
        <v>75</v>
      </c>
      <c r="Z256" s="12"/>
      <c r="AA256" s="12" t="s">
        <v>85</v>
      </c>
      <c r="AB256" s="13" t="s">
        <v>967</v>
      </c>
      <c r="AC256" s="14">
        <v>45945</v>
      </c>
      <c r="AD256" s="15">
        <v>42</v>
      </c>
      <c r="AE256" s="176" t="s">
        <v>3570</v>
      </c>
      <c r="AF256" s="12">
        <v>371009041</v>
      </c>
      <c r="AG256" s="12" t="s">
        <v>122</v>
      </c>
      <c r="AH256" s="12" t="s">
        <v>456</v>
      </c>
      <c r="AI256" s="14">
        <v>45950</v>
      </c>
      <c r="AJ256" s="14">
        <v>45950</v>
      </c>
      <c r="AK256" s="14">
        <v>45950</v>
      </c>
      <c r="AL256" s="14">
        <v>45991</v>
      </c>
      <c r="AM256" s="14"/>
      <c r="AN256" s="14">
        <v>45996</v>
      </c>
      <c r="AO256" s="91" t="s">
        <v>66</v>
      </c>
      <c r="AP256" s="12" t="s">
        <v>3571</v>
      </c>
      <c r="AQ256" s="12"/>
      <c r="AR256" s="12" t="s">
        <v>3572</v>
      </c>
      <c r="AS256" s="12" t="s">
        <v>3573</v>
      </c>
      <c r="AT256" s="12" t="s">
        <v>3573</v>
      </c>
      <c r="AU256" s="12">
        <v>41</v>
      </c>
      <c r="AV256" s="12" t="s">
        <v>83</v>
      </c>
      <c r="AW256" s="12">
        <v>39</v>
      </c>
      <c r="AX256" s="12">
        <v>51</v>
      </c>
      <c r="AY256" s="14">
        <v>45950</v>
      </c>
      <c r="AZ256" s="14">
        <v>45996</v>
      </c>
      <c r="BA256" s="12" t="e">
        <v>#N/A</v>
      </c>
      <c r="BB256" s="14" t="s">
        <v>2480</v>
      </c>
      <c r="BC256" s="14">
        <v>46010</v>
      </c>
      <c r="BD256" s="16">
        <v>2025</v>
      </c>
      <c r="BE256" s="16">
        <v>12</v>
      </c>
      <c r="BF256" s="16">
        <v>51</v>
      </c>
      <c r="BG256" s="191">
        <v>36</v>
      </c>
      <c r="BH256" s="191">
        <v>864</v>
      </c>
    </row>
    <row r="257" spans="1:60" s="23" customFormat="1" ht="10">
      <c r="A257" s="11" t="s">
        <v>3574</v>
      </c>
      <c r="B257" s="12" t="s">
        <v>61</v>
      </c>
      <c r="C257" s="12" t="s">
        <v>3575</v>
      </c>
      <c r="D257" s="12" t="s">
        <v>63</v>
      </c>
      <c r="E257" s="12" t="s">
        <v>68</v>
      </c>
      <c r="F257" s="12" t="s">
        <v>68</v>
      </c>
      <c r="G257" s="12"/>
      <c r="H257" s="12" t="s">
        <v>66</v>
      </c>
      <c r="I257" s="12" t="s">
        <v>1342</v>
      </c>
      <c r="J257" s="34" t="s">
        <v>68</v>
      </c>
      <c r="K257" s="12"/>
      <c r="L257" s="13" t="s">
        <v>2497</v>
      </c>
      <c r="M257" s="12" t="s">
        <v>68</v>
      </c>
      <c r="N257" s="182"/>
      <c r="O257" s="12" t="s">
        <v>2475</v>
      </c>
      <c r="P257" s="12" t="s">
        <v>70</v>
      </c>
      <c r="Q257" s="12" t="s">
        <v>71</v>
      </c>
      <c r="R257" s="12">
        <v>554475</v>
      </c>
      <c r="S257" s="12" t="s">
        <v>72</v>
      </c>
      <c r="T257" s="206">
        <v>500</v>
      </c>
      <c r="U257" s="206">
        <v>5184</v>
      </c>
      <c r="V257" s="12">
        <v>2.5920000000000001</v>
      </c>
      <c r="W257" s="198">
        <v>144</v>
      </c>
      <c r="X257" s="254">
        <v>6</v>
      </c>
      <c r="Y257" s="12" t="s">
        <v>75</v>
      </c>
      <c r="Z257" s="12"/>
      <c r="AA257" s="12" t="s">
        <v>85</v>
      </c>
      <c r="AB257" s="13" t="s">
        <v>967</v>
      </c>
      <c r="AC257" s="14">
        <v>45943</v>
      </c>
      <c r="AD257" s="15">
        <v>42</v>
      </c>
      <c r="AE257" s="176" t="s">
        <v>3576</v>
      </c>
      <c r="AF257" s="12">
        <v>371009010</v>
      </c>
      <c r="AG257" s="12" t="s">
        <v>77</v>
      </c>
      <c r="AH257" s="12" t="s">
        <v>314</v>
      </c>
      <c r="AI257" s="14">
        <v>45949</v>
      </c>
      <c r="AJ257" s="14">
        <v>45949</v>
      </c>
      <c r="AK257" s="14">
        <v>45949</v>
      </c>
      <c r="AL257" s="14">
        <v>46015</v>
      </c>
      <c r="AM257" s="14">
        <v>46022</v>
      </c>
      <c r="AN257" s="14">
        <v>46025</v>
      </c>
      <c r="AO257" s="91" t="s">
        <v>66</v>
      </c>
      <c r="AP257" s="12" t="s">
        <v>3577</v>
      </c>
      <c r="AQ257" s="12"/>
      <c r="AR257" s="12" t="s">
        <v>3578</v>
      </c>
      <c r="AS257" s="12" t="s">
        <v>3579</v>
      </c>
      <c r="AT257" s="12" t="s">
        <v>3579</v>
      </c>
      <c r="AU257" s="12">
        <v>66</v>
      </c>
      <c r="AV257" s="12" t="s">
        <v>83</v>
      </c>
      <c r="AW257" s="12">
        <v>5</v>
      </c>
      <c r="AX257" s="12">
        <v>82</v>
      </c>
      <c r="AY257" s="14">
        <v>45949</v>
      </c>
      <c r="AZ257" s="14">
        <v>46025</v>
      </c>
      <c r="BA257" s="12" t="e">
        <v>#N/A</v>
      </c>
      <c r="BB257" s="14" t="s">
        <v>2480</v>
      </c>
      <c r="BC257" s="14">
        <v>46039</v>
      </c>
      <c r="BD257" s="16">
        <v>2026</v>
      </c>
      <c r="BE257" s="16">
        <v>1</v>
      </c>
      <c r="BF257" s="16">
        <v>3</v>
      </c>
      <c r="BG257" s="191">
        <v>36</v>
      </c>
      <c r="BH257" s="191">
        <v>864</v>
      </c>
    </row>
    <row r="258" spans="1:60" ht="10">
      <c r="A258" s="11" t="s">
        <v>3580</v>
      </c>
      <c r="B258" s="12" t="s">
        <v>111</v>
      </c>
      <c r="C258" s="12" t="s">
        <v>203</v>
      </c>
      <c r="D258" s="12" t="s">
        <v>63</v>
      </c>
      <c r="E258" s="12" t="s">
        <v>64</v>
      </c>
      <c r="F258" s="12" t="s">
        <v>100</v>
      </c>
      <c r="G258" s="12" t="s">
        <v>67</v>
      </c>
      <c r="H258" s="12" t="s">
        <v>66</v>
      </c>
      <c r="I258" s="12" t="s">
        <v>96</v>
      </c>
      <c r="J258" s="34" t="s">
        <v>68</v>
      </c>
      <c r="K258" s="12"/>
      <c r="L258" s="13" t="s">
        <v>2474</v>
      </c>
      <c r="M258" s="213" t="s">
        <v>68</v>
      </c>
      <c r="N258" s="182"/>
      <c r="O258" s="12" t="s">
        <v>2475</v>
      </c>
      <c r="P258" s="12" t="s">
        <v>473</v>
      </c>
      <c r="Q258" s="12" t="s">
        <v>763</v>
      </c>
      <c r="R258" s="12">
        <v>553146</v>
      </c>
      <c r="S258" s="12" t="s">
        <v>764</v>
      </c>
      <c r="T258" s="206">
        <v>450</v>
      </c>
      <c r="U258" s="206">
        <v>1728</v>
      </c>
      <c r="V258" s="12">
        <v>0.77759999999999996</v>
      </c>
      <c r="W258" s="198">
        <v>48</v>
      </c>
      <c r="X258" s="254">
        <v>2</v>
      </c>
      <c r="Y258" s="12" t="s">
        <v>75</v>
      </c>
      <c r="Z258" s="12"/>
      <c r="AA258" s="12" t="s">
        <v>85</v>
      </c>
      <c r="AB258" s="13" t="s">
        <v>967</v>
      </c>
      <c r="AC258" s="14">
        <v>45949</v>
      </c>
      <c r="AD258" s="15">
        <v>42</v>
      </c>
      <c r="AE258" s="176" t="s">
        <v>3581</v>
      </c>
      <c r="AF258" s="12">
        <v>371009035</v>
      </c>
      <c r="AG258" s="12" t="s">
        <v>122</v>
      </c>
      <c r="AH258" s="12" t="s">
        <v>105</v>
      </c>
      <c r="AI258" s="14">
        <v>45956</v>
      </c>
      <c r="AJ258" s="14">
        <v>45956</v>
      </c>
      <c r="AK258" s="14">
        <v>45956</v>
      </c>
      <c r="AL258" s="14">
        <v>45997</v>
      </c>
      <c r="AM258" s="14"/>
      <c r="AN258" s="14">
        <v>45999</v>
      </c>
      <c r="AO258" s="91" t="s">
        <v>66</v>
      </c>
      <c r="AP258" s="12" t="s">
        <v>3582</v>
      </c>
      <c r="AQ258" s="12"/>
      <c r="AR258" s="12" t="s">
        <v>3583</v>
      </c>
      <c r="AS258" s="12" t="s">
        <v>3584</v>
      </c>
      <c r="AT258" s="12" t="s">
        <v>3584</v>
      </c>
      <c r="AU258" s="12">
        <v>41</v>
      </c>
      <c r="AV258" s="12" t="s">
        <v>83</v>
      </c>
      <c r="AW258" s="12">
        <v>39</v>
      </c>
      <c r="AX258" s="12">
        <v>50</v>
      </c>
      <c r="AY258" s="14">
        <v>45956</v>
      </c>
      <c r="AZ258" s="14">
        <v>45999</v>
      </c>
      <c r="BA258" s="12" t="e">
        <v>#N/A</v>
      </c>
      <c r="BB258" s="14" t="s">
        <v>2480</v>
      </c>
      <c r="BC258" s="14">
        <v>46013</v>
      </c>
      <c r="BD258" s="16">
        <v>2025</v>
      </c>
      <c r="BE258" s="16">
        <v>12</v>
      </c>
      <c r="BF258" s="16">
        <v>52</v>
      </c>
      <c r="BG258" s="191">
        <v>36</v>
      </c>
      <c r="BH258" s="191">
        <v>864</v>
      </c>
    </row>
    <row r="259" spans="1:60" ht="10">
      <c r="A259" s="11" t="s">
        <v>3585</v>
      </c>
      <c r="B259" s="12" t="s">
        <v>111</v>
      </c>
      <c r="C259" s="12" t="s">
        <v>3580</v>
      </c>
      <c r="D259" s="12" t="s">
        <v>63</v>
      </c>
      <c r="E259" s="12" t="s">
        <v>64</v>
      </c>
      <c r="F259" s="12" t="s">
        <v>65</v>
      </c>
      <c r="G259" s="12" t="s">
        <v>67</v>
      </c>
      <c r="H259" s="12" t="s">
        <v>66</v>
      </c>
      <c r="I259" s="12" t="s">
        <v>96</v>
      </c>
      <c r="J259" s="34" t="s">
        <v>68</v>
      </c>
      <c r="K259" s="12"/>
      <c r="L259" s="13" t="s">
        <v>2474</v>
      </c>
      <c r="M259" s="213" t="s">
        <v>68</v>
      </c>
      <c r="N259" s="182"/>
      <c r="O259" s="12" t="s">
        <v>2475</v>
      </c>
      <c r="P259" s="12" t="s">
        <v>473</v>
      </c>
      <c r="Q259" s="12" t="s">
        <v>763</v>
      </c>
      <c r="R259" s="12">
        <v>553146</v>
      </c>
      <c r="S259" s="12" t="s">
        <v>764</v>
      </c>
      <c r="T259" s="206">
        <v>450</v>
      </c>
      <c r="U259" s="206">
        <v>864</v>
      </c>
      <c r="V259" s="12">
        <v>0.38879999999999998</v>
      </c>
      <c r="W259" s="198">
        <v>24</v>
      </c>
      <c r="X259" s="254">
        <v>1</v>
      </c>
      <c r="Y259" s="12" t="s">
        <v>75</v>
      </c>
      <c r="Z259" s="12"/>
      <c r="AA259" s="12" t="s">
        <v>85</v>
      </c>
      <c r="AB259" s="13" t="s">
        <v>967</v>
      </c>
      <c r="AC259" s="14">
        <v>45948</v>
      </c>
      <c r="AD259" s="15">
        <v>42</v>
      </c>
      <c r="AE259" s="176" t="s">
        <v>3586</v>
      </c>
      <c r="AF259" s="12">
        <v>371009036</v>
      </c>
      <c r="AG259" s="12" t="s">
        <v>122</v>
      </c>
      <c r="AH259" s="12" t="s">
        <v>78</v>
      </c>
      <c r="AI259" s="14">
        <v>45960</v>
      </c>
      <c r="AJ259" s="14">
        <v>45960</v>
      </c>
      <c r="AK259" s="14">
        <v>45960</v>
      </c>
      <c r="AL259" s="14">
        <v>46010</v>
      </c>
      <c r="AM259" s="14"/>
      <c r="AN259" s="14">
        <v>46011</v>
      </c>
      <c r="AO259" s="91" t="s">
        <v>66</v>
      </c>
      <c r="AP259" s="12" t="s">
        <v>3565</v>
      </c>
      <c r="AQ259" s="12"/>
      <c r="AR259" s="12" t="s">
        <v>3566</v>
      </c>
      <c r="AS259" s="12" t="s">
        <v>3567</v>
      </c>
      <c r="AT259" s="12" t="s">
        <v>3567</v>
      </c>
      <c r="AU259" s="12">
        <v>50</v>
      </c>
      <c r="AV259" s="12" t="s">
        <v>83</v>
      </c>
      <c r="AW259" s="12">
        <v>1</v>
      </c>
      <c r="AX259" s="12">
        <v>63</v>
      </c>
      <c r="AY259" s="14">
        <v>45960</v>
      </c>
      <c r="AZ259" s="14">
        <v>46011</v>
      </c>
      <c r="BA259" s="12" t="e">
        <v>#N/A</v>
      </c>
      <c r="BB259" s="14" t="s">
        <v>2480</v>
      </c>
      <c r="BC259" s="14">
        <v>46025</v>
      </c>
      <c r="BD259" s="16">
        <v>2026</v>
      </c>
      <c r="BE259" s="16">
        <v>1</v>
      </c>
      <c r="BF259" s="16">
        <v>1</v>
      </c>
      <c r="BG259" s="191">
        <v>36</v>
      </c>
      <c r="BH259" s="191">
        <v>864</v>
      </c>
    </row>
    <row r="260" spans="1:60" s="23" customFormat="1" ht="10">
      <c r="A260" s="11" t="s">
        <v>3587</v>
      </c>
      <c r="B260" s="12" t="s">
        <v>61</v>
      </c>
      <c r="C260" s="12" t="s">
        <v>3115</v>
      </c>
      <c r="D260" s="12" t="s">
        <v>63</v>
      </c>
      <c r="E260" s="12" t="s">
        <v>64</v>
      </c>
      <c r="F260" s="12" t="s">
        <v>65</v>
      </c>
      <c r="G260" s="12" t="s">
        <v>67</v>
      </c>
      <c r="H260" s="12" t="s">
        <v>66</v>
      </c>
      <c r="I260" s="12" t="s">
        <v>96</v>
      </c>
      <c r="J260" s="34" t="s">
        <v>68</v>
      </c>
      <c r="K260" s="12"/>
      <c r="L260" s="13" t="s">
        <v>2474</v>
      </c>
      <c r="M260" s="213" t="s">
        <v>68</v>
      </c>
      <c r="N260" s="182"/>
      <c r="O260" s="12" t="s">
        <v>2475</v>
      </c>
      <c r="P260" s="12" t="s">
        <v>70</v>
      </c>
      <c r="Q260" s="12" t="s">
        <v>860</v>
      </c>
      <c r="R260" s="12">
        <v>554479</v>
      </c>
      <c r="S260" s="12" t="s">
        <v>861</v>
      </c>
      <c r="T260" s="206">
        <v>445</v>
      </c>
      <c r="U260" s="206">
        <v>936</v>
      </c>
      <c r="V260" s="12">
        <v>0.41652</v>
      </c>
      <c r="W260" s="198">
        <v>26</v>
      </c>
      <c r="X260" s="254">
        <v>1</v>
      </c>
      <c r="Y260" s="12" t="s">
        <v>75</v>
      </c>
      <c r="AA260" s="12" t="s">
        <v>94</v>
      </c>
      <c r="AB260" s="32" t="s">
        <v>967</v>
      </c>
      <c r="AC260" s="14">
        <v>45943</v>
      </c>
      <c r="AD260" s="15">
        <v>42</v>
      </c>
      <c r="AE260" s="176" t="s">
        <v>3588</v>
      </c>
      <c r="AF260" s="12">
        <v>371009001</v>
      </c>
      <c r="AG260" s="12" t="s">
        <v>77</v>
      </c>
      <c r="AH260" s="12" t="s">
        <v>78</v>
      </c>
      <c r="AI260" s="14">
        <v>45949</v>
      </c>
      <c r="AJ260" s="14">
        <v>45949</v>
      </c>
      <c r="AK260" s="14">
        <v>45949</v>
      </c>
      <c r="AL260" s="14">
        <v>46012</v>
      </c>
      <c r="AM260" s="14"/>
      <c r="AN260" s="14">
        <v>46013</v>
      </c>
      <c r="AO260" s="91" t="s">
        <v>66</v>
      </c>
      <c r="AP260" s="12" t="s">
        <v>3577</v>
      </c>
      <c r="AQ260" s="12"/>
      <c r="AR260" s="12" t="s">
        <v>3589</v>
      </c>
      <c r="AS260" s="12" t="s">
        <v>3590</v>
      </c>
      <c r="AT260" s="12" t="s">
        <v>3590</v>
      </c>
      <c r="AU260" s="12">
        <v>63</v>
      </c>
      <c r="AV260" s="12" t="s">
        <v>83</v>
      </c>
      <c r="AW260" s="12">
        <v>8</v>
      </c>
      <c r="AX260" s="12">
        <v>70</v>
      </c>
      <c r="AY260" s="14">
        <v>45949</v>
      </c>
      <c r="AZ260" s="14">
        <v>46013</v>
      </c>
      <c r="BA260" s="12" t="e">
        <v>#N/A</v>
      </c>
      <c r="BB260" s="14" t="s">
        <v>2480</v>
      </c>
      <c r="BC260" s="14">
        <v>46027</v>
      </c>
      <c r="BD260" s="16">
        <v>2026</v>
      </c>
      <c r="BE260" s="246">
        <v>1</v>
      </c>
      <c r="BF260" s="16">
        <v>2</v>
      </c>
      <c r="BG260" s="191">
        <v>36</v>
      </c>
      <c r="BH260" s="191">
        <v>936</v>
      </c>
    </row>
    <row r="261" spans="1:60" s="23" customFormat="1" ht="10">
      <c r="A261" s="11" t="s">
        <v>3591</v>
      </c>
      <c r="B261" s="12" t="s">
        <v>61</v>
      </c>
      <c r="C261" s="12" t="s">
        <v>3115</v>
      </c>
      <c r="D261" s="12" t="s">
        <v>63</v>
      </c>
      <c r="E261" s="12" t="s">
        <v>68</v>
      </c>
      <c r="F261" s="12" t="s">
        <v>68</v>
      </c>
      <c r="G261" s="12"/>
      <c r="H261" s="12" t="s">
        <v>146</v>
      </c>
      <c r="I261" s="12" t="s">
        <v>3592</v>
      </c>
      <c r="J261" s="34" t="s">
        <v>68</v>
      </c>
      <c r="K261" s="12">
        <v>46011055</v>
      </c>
      <c r="L261" s="13" t="s">
        <v>2666</v>
      </c>
      <c r="M261" s="12" t="s">
        <v>68</v>
      </c>
      <c r="N261" s="182"/>
      <c r="O261" s="12" t="s">
        <v>2475</v>
      </c>
      <c r="P261" s="12" t="s">
        <v>70</v>
      </c>
      <c r="Q261" s="12" t="s">
        <v>860</v>
      </c>
      <c r="R261" s="12">
        <v>554479</v>
      </c>
      <c r="S261" s="12" t="s">
        <v>861</v>
      </c>
      <c r="T261" s="206">
        <v>445</v>
      </c>
      <c r="U261" s="206">
        <v>936</v>
      </c>
      <c r="V261" s="12">
        <v>0.41652</v>
      </c>
      <c r="W261" s="198">
        <v>26</v>
      </c>
      <c r="X261" s="254">
        <v>1</v>
      </c>
      <c r="Y261" s="12" t="s">
        <v>75</v>
      </c>
      <c r="AA261" s="12" t="s">
        <v>94</v>
      </c>
      <c r="AB261" s="32" t="s">
        <v>967</v>
      </c>
      <c r="AC261" s="14">
        <v>45943</v>
      </c>
      <c r="AD261" s="15">
        <v>42</v>
      </c>
      <c r="AE261" s="176" t="s">
        <v>3588</v>
      </c>
      <c r="AF261" s="12">
        <v>371009001</v>
      </c>
      <c r="AG261" s="12" t="s">
        <v>77</v>
      </c>
      <c r="AH261" s="12" t="s">
        <v>78</v>
      </c>
      <c r="AI261" s="14">
        <v>45949</v>
      </c>
      <c r="AJ261" s="14">
        <v>45949</v>
      </c>
      <c r="AK261" s="14">
        <v>45949</v>
      </c>
      <c r="AL261" s="14">
        <v>46012</v>
      </c>
      <c r="AM261" s="14"/>
      <c r="AN261" s="14">
        <v>46013</v>
      </c>
      <c r="AO261" s="91" t="s">
        <v>146</v>
      </c>
      <c r="AP261" s="12" t="s">
        <v>3577</v>
      </c>
      <c r="AQ261" s="12"/>
      <c r="AR261" s="12" t="s">
        <v>3589</v>
      </c>
      <c r="AS261" s="12" t="s">
        <v>3590</v>
      </c>
      <c r="AT261" s="12" t="s">
        <v>3590</v>
      </c>
      <c r="AU261" s="12">
        <v>63</v>
      </c>
      <c r="AV261" s="12" t="s">
        <v>83</v>
      </c>
      <c r="AW261" s="12">
        <v>8</v>
      </c>
      <c r="AX261" s="12">
        <v>70</v>
      </c>
      <c r="AY261" s="14">
        <v>45949</v>
      </c>
      <c r="AZ261" s="14">
        <v>46013</v>
      </c>
      <c r="BA261" s="12" t="e">
        <v>#N/A</v>
      </c>
      <c r="BB261" s="14" t="s">
        <v>2480</v>
      </c>
      <c r="BC261" s="14">
        <v>46027</v>
      </c>
      <c r="BD261" s="16">
        <v>2026</v>
      </c>
      <c r="BE261" s="246">
        <v>1</v>
      </c>
      <c r="BF261" s="16">
        <v>2</v>
      </c>
      <c r="BG261" s="191">
        <v>36</v>
      </c>
      <c r="BH261" s="191">
        <v>936</v>
      </c>
    </row>
    <row r="262" spans="1:60" s="23" customFormat="1" ht="10">
      <c r="A262" s="11" t="s">
        <v>3593</v>
      </c>
      <c r="B262" s="12" t="s">
        <v>111</v>
      </c>
      <c r="C262" s="12" t="s">
        <v>3594</v>
      </c>
      <c r="D262" s="12" t="s">
        <v>63</v>
      </c>
      <c r="E262" s="12" t="s">
        <v>64</v>
      </c>
      <c r="F262" s="12" t="s">
        <v>65</v>
      </c>
      <c r="G262" s="12" t="s">
        <v>67</v>
      </c>
      <c r="H262" s="12" t="s">
        <v>66</v>
      </c>
      <c r="I262" s="12" t="s">
        <v>96</v>
      </c>
      <c r="J262" s="34" t="s">
        <v>68</v>
      </c>
      <c r="K262" s="12"/>
      <c r="L262" s="13" t="s">
        <v>2474</v>
      </c>
      <c r="M262" s="213" t="s">
        <v>68</v>
      </c>
      <c r="N262" s="182"/>
      <c r="O262" s="12" t="s">
        <v>2475</v>
      </c>
      <c r="P262" s="12" t="s">
        <v>170</v>
      </c>
      <c r="Q262" s="12" t="s">
        <v>462</v>
      </c>
      <c r="R262" s="12">
        <v>552026</v>
      </c>
      <c r="S262" s="12" t="s">
        <v>463</v>
      </c>
      <c r="T262" s="206">
        <v>550</v>
      </c>
      <c r="U262" s="206">
        <v>1320</v>
      </c>
      <c r="V262" s="12">
        <v>0.72599999999999998</v>
      </c>
      <c r="W262" s="198">
        <v>40</v>
      </c>
      <c r="X262" s="254">
        <v>2</v>
      </c>
      <c r="Y262" s="12" t="s">
        <v>75</v>
      </c>
      <c r="Z262" s="12"/>
      <c r="AA262" s="12" t="s">
        <v>108</v>
      </c>
      <c r="AB262" s="13" t="s">
        <v>1187</v>
      </c>
      <c r="AC262" s="14">
        <v>45948</v>
      </c>
      <c r="AD262" s="15">
        <v>42</v>
      </c>
      <c r="AE262" s="176" t="s">
        <v>3595</v>
      </c>
      <c r="AF262" s="12">
        <v>371009023</v>
      </c>
      <c r="AG262" s="12" t="s">
        <v>122</v>
      </c>
      <c r="AH262" s="12" t="s">
        <v>78</v>
      </c>
      <c r="AI262" s="14">
        <v>45960</v>
      </c>
      <c r="AJ262" s="14">
        <v>45960</v>
      </c>
      <c r="AK262" s="14">
        <v>45960</v>
      </c>
      <c r="AL262" s="14">
        <v>46010</v>
      </c>
      <c r="AM262" s="14"/>
      <c r="AN262" s="14">
        <v>46011</v>
      </c>
      <c r="AO262" s="91" t="s">
        <v>66</v>
      </c>
      <c r="AP262" s="12" t="s">
        <v>3565</v>
      </c>
      <c r="AQ262" s="12"/>
      <c r="AR262" s="12" t="s">
        <v>3566</v>
      </c>
      <c r="AS262" s="12" t="s">
        <v>3567</v>
      </c>
      <c r="AT262" s="12" t="s">
        <v>3567</v>
      </c>
      <c r="AU262" s="12">
        <v>50</v>
      </c>
      <c r="AV262" s="12" t="s">
        <v>83</v>
      </c>
      <c r="AW262" s="12">
        <v>1</v>
      </c>
      <c r="AX262" s="12">
        <v>63</v>
      </c>
      <c r="AY262" s="14">
        <v>45960</v>
      </c>
      <c r="AZ262" s="14">
        <v>46011</v>
      </c>
      <c r="BA262" s="12" t="e">
        <v>#N/A</v>
      </c>
      <c r="BB262" s="14" t="s">
        <v>2480</v>
      </c>
      <c r="BC262" s="14">
        <v>46025</v>
      </c>
      <c r="BD262" s="16">
        <v>2026</v>
      </c>
      <c r="BE262" s="16">
        <v>1</v>
      </c>
      <c r="BF262" s="16">
        <v>1</v>
      </c>
      <c r="BG262" s="191">
        <v>33</v>
      </c>
      <c r="BH262" s="191">
        <v>660</v>
      </c>
    </row>
    <row r="263" spans="1:60" s="23" customFormat="1" ht="10">
      <c r="A263" s="11" t="s">
        <v>3596</v>
      </c>
      <c r="B263" s="12" t="s">
        <v>111</v>
      </c>
      <c r="C263" s="12" t="s">
        <v>203</v>
      </c>
      <c r="D263" s="12" t="s">
        <v>63</v>
      </c>
      <c r="E263" s="12" t="s">
        <v>68</v>
      </c>
      <c r="F263" s="12" t="s">
        <v>68</v>
      </c>
      <c r="G263" s="12"/>
      <c r="H263" s="12" t="s">
        <v>66</v>
      </c>
      <c r="I263" s="12" t="s">
        <v>1342</v>
      </c>
      <c r="J263" s="34" t="s">
        <v>68</v>
      </c>
      <c r="K263" s="12"/>
      <c r="L263" s="13" t="s">
        <v>2497</v>
      </c>
      <c r="M263" s="12" t="s">
        <v>68</v>
      </c>
      <c r="N263" s="182"/>
      <c r="O263" s="12" t="s">
        <v>2475</v>
      </c>
      <c r="P263" s="12" t="s">
        <v>132</v>
      </c>
      <c r="Q263" s="12" t="s">
        <v>1104</v>
      </c>
      <c r="R263" s="12">
        <v>554431</v>
      </c>
      <c r="S263" s="12" t="s">
        <v>1105</v>
      </c>
      <c r="T263" s="206">
        <v>455</v>
      </c>
      <c r="U263" s="206">
        <v>9504</v>
      </c>
      <c r="V263" s="12">
        <v>4.3243200000000002</v>
      </c>
      <c r="W263" s="198">
        <v>264</v>
      </c>
      <c r="X263" s="254">
        <v>11</v>
      </c>
      <c r="Y263" s="12" t="s">
        <v>75</v>
      </c>
      <c r="Z263" s="12"/>
      <c r="AA263" s="12" t="s">
        <v>108</v>
      </c>
      <c r="AB263" s="13" t="s">
        <v>992</v>
      </c>
      <c r="AC263" s="14">
        <v>45954</v>
      </c>
      <c r="AD263" s="15">
        <v>43</v>
      </c>
      <c r="AE263" s="176" t="s">
        <v>3597</v>
      </c>
      <c r="AF263" s="12">
        <v>371009042</v>
      </c>
      <c r="AG263" s="12" t="s">
        <v>122</v>
      </c>
      <c r="AH263" s="12" t="s">
        <v>314</v>
      </c>
      <c r="AI263" s="14">
        <v>45962</v>
      </c>
      <c r="AJ263" s="14">
        <v>45962</v>
      </c>
      <c r="AK263" s="14">
        <v>45962</v>
      </c>
      <c r="AL263" s="14">
        <v>46015</v>
      </c>
      <c r="AM263" s="14">
        <v>46022</v>
      </c>
      <c r="AN263" s="14">
        <v>46025</v>
      </c>
      <c r="AO263" s="91" t="s">
        <v>66</v>
      </c>
      <c r="AP263" s="12" t="s">
        <v>3598</v>
      </c>
      <c r="AQ263" s="12"/>
      <c r="AR263" s="12" t="s">
        <v>3599</v>
      </c>
      <c r="AS263" s="12" t="s">
        <v>3600</v>
      </c>
      <c r="AT263" s="12" t="s">
        <v>3600</v>
      </c>
      <c r="AU263" s="12">
        <v>53</v>
      </c>
      <c r="AV263" s="12" t="s">
        <v>83</v>
      </c>
      <c r="AW263" s="12">
        <v>39</v>
      </c>
      <c r="AX263" s="12">
        <v>71</v>
      </c>
      <c r="AY263" s="14">
        <v>45962</v>
      </c>
      <c r="AZ263" s="14">
        <v>46025</v>
      </c>
      <c r="BA263" s="12" t="e">
        <v>#N/A</v>
      </c>
      <c r="BB263" s="14" t="s">
        <v>2480</v>
      </c>
      <c r="BC263" s="14">
        <v>46039</v>
      </c>
      <c r="BD263" s="16">
        <v>2026</v>
      </c>
      <c r="BE263" s="16">
        <v>1</v>
      </c>
      <c r="BF263" s="16">
        <v>3</v>
      </c>
      <c r="BG263" s="191">
        <v>36</v>
      </c>
      <c r="BH263" s="191">
        <v>864</v>
      </c>
    </row>
    <row r="264" spans="1:60" s="23" customFormat="1" ht="10">
      <c r="A264" s="11" t="s">
        <v>3601</v>
      </c>
      <c r="B264" s="12" t="s">
        <v>281</v>
      </c>
      <c r="C264" s="12" t="s">
        <v>601</v>
      </c>
      <c r="D264" s="12" t="s">
        <v>63</v>
      </c>
      <c r="E264" s="12" t="s">
        <v>68</v>
      </c>
      <c r="F264" s="12" t="s">
        <v>68</v>
      </c>
      <c r="G264" s="12"/>
      <c r="H264" s="12" t="s">
        <v>402</v>
      </c>
      <c r="I264" s="12" t="s">
        <v>538</v>
      </c>
      <c r="J264" s="34" t="s">
        <v>68</v>
      </c>
      <c r="K264" s="12">
        <v>46010977</v>
      </c>
      <c r="L264" s="13" t="s">
        <v>2831</v>
      </c>
      <c r="M264" s="12" t="s">
        <v>68</v>
      </c>
      <c r="N264" s="182"/>
      <c r="O264" s="12" t="s">
        <v>2475</v>
      </c>
      <c r="P264" s="12" t="s">
        <v>284</v>
      </c>
      <c r="Q264" s="12" t="s">
        <v>602</v>
      </c>
      <c r="R264" s="12">
        <v>554440</v>
      </c>
      <c r="S264" s="12" t="s">
        <v>603</v>
      </c>
      <c r="T264" s="206">
        <v>465</v>
      </c>
      <c r="U264" s="206">
        <v>2886</v>
      </c>
      <c r="V264" s="12">
        <v>1.34199</v>
      </c>
      <c r="W264" s="198">
        <v>78</v>
      </c>
      <c r="X264" s="254">
        <v>3</v>
      </c>
      <c r="Y264" s="12" t="s">
        <v>75</v>
      </c>
      <c r="Z264" s="12"/>
      <c r="AA264" s="12" t="s">
        <v>108</v>
      </c>
      <c r="AB264" s="13" t="s">
        <v>992</v>
      </c>
      <c r="AC264" s="14">
        <v>45952</v>
      </c>
      <c r="AD264" s="15">
        <v>43</v>
      </c>
      <c r="AE264" s="176" t="s">
        <v>3602</v>
      </c>
      <c r="AF264" s="12">
        <v>371009058</v>
      </c>
      <c r="AG264" s="12" t="s">
        <v>288</v>
      </c>
      <c r="AH264" s="12" t="s">
        <v>541</v>
      </c>
      <c r="AI264" s="14">
        <v>45962</v>
      </c>
      <c r="AJ264" s="14">
        <v>45962</v>
      </c>
      <c r="AK264" s="14">
        <v>45962</v>
      </c>
      <c r="AL264" s="14">
        <v>46019</v>
      </c>
      <c r="AM264" s="14">
        <v>46015</v>
      </c>
      <c r="AN264" s="14">
        <v>46015</v>
      </c>
      <c r="AO264" s="91" t="s">
        <v>402</v>
      </c>
      <c r="AP264" s="12" t="s">
        <v>3603</v>
      </c>
      <c r="AQ264" s="12"/>
      <c r="AR264" s="12" t="s">
        <v>3604</v>
      </c>
      <c r="AS264" s="12" t="s">
        <v>3605</v>
      </c>
      <c r="AT264" s="12" t="s">
        <v>3605</v>
      </c>
      <c r="AU264" s="12">
        <v>57</v>
      </c>
      <c r="AV264" s="12" t="s">
        <v>2493</v>
      </c>
      <c r="AW264" s="12">
        <v>5</v>
      </c>
      <c r="AX264" s="12">
        <v>63</v>
      </c>
      <c r="AY264" s="14">
        <v>45962</v>
      </c>
      <c r="AZ264" s="14">
        <v>46015</v>
      </c>
      <c r="BA264" s="12" t="e">
        <v>#N/A</v>
      </c>
      <c r="BB264" s="14" t="s">
        <v>2480</v>
      </c>
      <c r="BC264" s="14">
        <v>46029</v>
      </c>
      <c r="BD264" s="16">
        <v>2026</v>
      </c>
      <c r="BE264" s="246">
        <v>1</v>
      </c>
      <c r="BF264" s="16">
        <v>2</v>
      </c>
      <c r="BG264" s="191">
        <v>37</v>
      </c>
      <c r="BH264" s="191">
        <v>962</v>
      </c>
    </row>
    <row r="265" spans="1:60" s="24" customFormat="1" ht="10">
      <c r="A265" s="11" t="s">
        <v>3606</v>
      </c>
      <c r="B265" s="12" t="s">
        <v>111</v>
      </c>
      <c r="C265" s="12" t="s">
        <v>537</v>
      </c>
      <c r="D265" s="12" t="s">
        <v>63</v>
      </c>
      <c r="E265" s="12" t="s">
        <v>68</v>
      </c>
      <c r="F265" s="12" t="s">
        <v>68</v>
      </c>
      <c r="G265" s="12"/>
      <c r="H265" s="12" t="s">
        <v>402</v>
      </c>
      <c r="I265" s="12" t="s">
        <v>538</v>
      </c>
      <c r="J265" s="34" t="s">
        <v>68</v>
      </c>
      <c r="K265" s="12">
        <v>46010979</v>
      </c>
      <c r="L265" s="13" t="s">
        <v>2831</v>
      </c>
      <c r="M265" s="12" t="s">
        <v>68</v>
      </c>
      <c r="N265" s="182"/>
      <c r="O265" s="12" t="s">
        <v>2475</v>
      </c>
      <c r="P265" s="12" t="s">
        <v>473</v>
      </c>
      <c r="Q265" s="12" t="s">
        <v>529</v>
      </c>
      <c r="R265" s="12">
        <v>553145</v>
      </c>
      <c r="S265" s="12" t="s">
        <v>530</v>
      </c>
      <c r="T265" s="206">
        <v>455</v>
      </c>
      <c r="U265" s="206">
        <v>1728</v>
      </c>
      <c r="V265" s="12">
        <v>0.78624000000000005</v>
      </c>
      <c r="W265" s="198">
        <v>48</v>
      </c>
      <c r="X265" s="254">
        <v>2</v>
      </c>
      <c r="Y265" s="12" t="s">
        <v>75</v>
      </c>
      <c r="Z265" s="12"/>
      <c r="AA265" s="12" t="s">
        <v>85</v>
      </c>
      <c r="AB265" s="13" t="s">
        <v>967</v>
      </c>
      <c r="AC265" s="14">
        <v>45953</v>
      </c>
      <c r="AD265" s="15">
        <v>43</v>
      </c>
      <c r="AE265" s="176" t="s">
        <v>3607</v>
      </c>
      <c r="AF265" s="12">
        <v>371009063</v>
      </c>
      <c r="AG265" s="12" t="s">
        <v>122</v>
      </c>
      <c r="AH265" s="12" t="s">
        <v>541</v>
      </c>
      <c r="AI265" s="14">
        <v>45959</v>
      </c>
      <c r="AJ265" s="14">
        <v>45959</v>
      </c>
      <c r="AK265" s="14">
        <v>45959</v>
      </c>
      <c r="AL265" s="14">
        <v>46012</v>
      </c>
      <c r="AM265" s="14">
        <v>46030</v>
      </c>
      <c r="AN265" s="14">
        <v>46030</v>
      </c>
      <c r="AO265" s="91" t="s">
        <v>402</v>
      </c>
      <c r="AP265" s="12" t="s">
        <v>3608</v>
      </c>
      <c r="AQ265" s="12"/>
      <c r="AR265" s="12" t="s">
        <v>3609</v>
      </c>
      <c r="AS265" s="12" t="s">
        <v>3610</v>
      </c>
      <c r="AT265" s="12" t="s">
        <v>3610</v>
      </c>
      <c r="AU265" s="12">
        <v>53</v>
      </c>
      <c r="AV265" s="12" t="s">
        <v>2493</v>
      </c>
      <c r="AW265" s="12">
        <v>8</v>
      </c>
      <c r="AX265" s="12">
        <v>77</v>
      </c>
      <c r="AY265" s="14">
        <v>45959</v>
      </c>
      <c r="AZ265" s="14">
        <v>46030</v>
      </c>
      <c r="BA265" s="12" t="e">
        <v>#N/A</v>
      </c>
      <c r="BB265" s="14" t="s">
        <v>2480</v>
      </c>
      <c r="BC265" s="14">
        <v>46044</v>
      </c>
      <c r="BD265" s="16">
        <v>2026</v>
      </c>
      <c r="BE265" s="16">
        <v>1</v>
      </c>
      <c r="BF265" s="16">
        <v>4</v>
      </c>
      <c r="BG265" s="191">
        <v>36</v>
      </c>
      <c r="BH265" s="191">
        <v>864</v>
      </c>
    </row>
    <row r="266" spans="1:60" s="23" customFormat="1" ht="10">
      <c r="A266" s="11" t="s">
        <v>3611</v>
      </c>
      <c r="B266" s="12" t="s">
        <v>296</v>
      </c>
      <c r="C266" s="12" t="s">
        <v>3442</v>
      </c>
      <c r="D266" s="12" t="s">
        <v>63</v>
      </c>
      <c r="E266" s="12" t="s">
        <v>68</v>
      </c>
      <c r="F266" s="12" t="s">
        <v>68</v>
      </c>
      <c r="G266" s="12"/>
      <c r="H266" s="12" t="s">
        <v>66</v>
      </c>
      <c r="I266" s="12" t="s">
        <v>1342</v>
      </c>
      <c r="J266" s="34" t="s">
        <v>68</v>
      </c>
      <c r="K266" s="12"/>
      <c r="L266" s="13" t="s">
        <v>2497</v>
      </c>
      <c r="M266" s="12" t="s">
        <v>68</v>
      </c>
      <c r="N266" s="182"/>
      <c r="O266" s="12" t="s">
        <v>2475</v>
      </c>
      <c r="P266" s="12" t="s">
        <v>298</v>
      </c>
      <c r="Q266" s="12" t="s">
        <v>3443</v>
      </c>
      <c r="R266" s="12">
        <v>554249</v>
      </c>
      <c r="S266" s="12" t="s">
        <v>3444</v>
      </c>
      <c r="T266" s="206">
        <v>470</v>
      </c>
      <c r="U266" s="206">
        <v>1924</v>
      </c>
      <c r="V266" s="12">
        <v>0.90427999999999997</v>
      </c>
      <c r="W266" s="198">
        <v>52</v>
      </c>
      <c r="X266" s="254">
        <v>2</v>
      </c>
      <c r="Y266" s="12" t="s">
        <v>75</v>
      </c>
      <c r="Z266" s="12"/>
      <c r="AA266" s="12" t="s">
        <v>85</v>
      </c>
      <c r="AB266" s="13" t="s">
        <v>967</v>
      </c>
      <c r="AC266" s="14">
        <v>45956</v>
      </c>
      <c r="AD266" s="15">
        <v>43</v>
      </c>
      <c r="AE266" s="176" t="s">
        <v>3612</v>
      </c>
      <c r="AF266" s="12">
        <v>371009032</v>
      </c>
      <c r="AG266" s="12" t="s">
        <v>288</v>
      </c>
      <c r="AH266" s="12" t="s">
        <v>314</v>
      </c>
      <c r="AI266" s="14">
        <v>45965</v>
      </c>
      <c r="AJ266" s="14">
        <v>45965</v>
      </c>
      <c r="AK266" s="14">
        <v>45965</v>
      </c>
      <c r="AL266" s="14">
        <v>46003</v>
      </c>
      <c r="AM266" s="14"/>
      <c r="AN266" s="14">
        <v>46009</v>
      </c>
      <c r="AO266" s="91" t="s">
        <v>66</v>
      </c>
      <c r="AP266" s="12" t="s">
        <v>3454</v>
      </c>
      <c r="AQ266" s="12"/>
      <c r="AR266" s="12" t="s">
        <v>3613</v>
      </c>
      <c r="AS266" s="12" t="s">
        <v>3614</v>
      </c>
      <c r="AT266" s="12" t="s">
        <v>3614</v>
      </c>
      <c r="AU266" s="12">
        <v>38</v>
      </c>
      <c r="AV266" s="12" t="s">
        <v>83</v>
      </c>
      <c r="AW266" s="12">
        <v>5</v>
      </c>
      <c r="AX266" s="12">
        <v>53</v>
      </c>
      <c r="AY266" s="14">
        <v>45965</v>
      </c>
      <c r="AZ266" s="14">
        <v>46009</v>
      </c>
      <c r="BA266" s="12" t="e">
        <v>#N/A</v>
      </c>
      <c r="BB266" s="14" t="s">
        <v>2480</v>
      </c>
      <c r="BC266" s="14">
        <v>46023</v>
      </c>
      <c r="BD266" s="16">
        <v>2026</v>
      </c>
      <c r="BE266" s="16">
        <v>1</v>
      </c>
      <c r="BF266" s="16">
        <v>1</v>
      </c>
      <c r="BG266" s="191">
        <v>37</v>
      </c>
      <c r="BH266" s="191">
        <v>962</v>
      </c>
    </row>
    <row r="267" spans="1:60" s="23" customFormat="1" ht="10">
      <c r="A267" s="11" t="s">
        <v>3615</v>
      </c>
      <c r="B267" s="12" t="s">
        <v>111</v>
      </c>
      <c r="C267" s="12" t="s">
        <v>3616</v>
      </c>
      <c r="D267" s="12" t="s">
        <v>63</v>
      </c>
      <c r="E267" s="12" t="s">
        <v>68</v>
      </c>
      <c r="F267" s="12" t="s">
        <v>68</v>
      </c>
      <c r="G267" s="12"/>
      <c r="H267" s="12" t="s">
        <v>66</v>
      </c>
      <c r="I267" s="12" t="s">
        <v>1559</v>
      </c>
      <c r="J267" s="34" t="s">
        <v>68</v>
      </c>
      <c r="K267" s="12"/>
      <c r="L267" s="13" t="s">
        <v>2497</v>
      </c>
      <c r="M267" s="12" t="s">
        <v>68</v>
      </c>
      <c r="N267" s="182"/>
      <c r="O267" s="12" t="s">
        <v>2475</v>
      </c>
      <c r="P267" s="12" t="s">
        <v>70</v>
      </c>
      <c r="Q267" s="12" t="s">
        <v>1347</v>
      </c>
      <c r="R267" s="12">
        <v>554471</v>
      </c>
      <c r="S267" s="12" t="s">
        <v>1348</v>
      </c>
      <c r="T267" s="206">
        <v>710</v>
      </c>
      <c r="U267" s="206">
        <v>594</v>
      </c>
      <c r="V267" s="12">
        <v>0.42174</v>
      </c>
      <c r="W267" s="198">
        <v>18</v>
      </c>
      <c r="X267" s="254">
        <v>1</v>
      </c>
      <c r="Y267" s="12" t="s">
        <v>75</v>
      </c>
      <c r="Z267" s="12"/>
      <c r="AA267" s="12" t="s">
        <v>2658</v>
      </c>
      <c r="AB267" s="32" t="s">
        <v>992</v>
      </c>
      <c r="AC267" s="14">
        <v>45951</v>
      </c>
      <c r="AD267" s="15">
        <v>43</v>
      </c>
      <c r="AE267" s="176" t="s">
        <v>3617</v>
      </c>
      <c r="AF267" s="12">
        <v>371009030</v>
      </c>
      <c r="AG267" s="12" t="s">
        <v>122</v>
      </c>
      <c r="AH267" s="12" t="s">
        <v>1561</v>
      </c>
      <c r="AI267" s="14">
        <v>45962</v>
      </c>
      <c r="AJ267" s="14">
        <v>45962</v>
      </c>
      <c r="AK267" s="14">
        <v>45962</v>
      </c>
      <c r="AL267" s="14">
        <v>46021</v>
      </c>
      <c r="AM267" s="14"/>
      <c r="AN267" s="14">
        <v>46022</v>
      </c>
      <c r="AO267" s="91" t="s">
        <v>66</v>
      </c>
      <c r="AP267" s="12" t="s">
        <v>3598</v>
      </c>
      <c r="AQ267" s="12"/>
      <c r="AR267" s="12" t="s">
        <v>3618</v>
      </c>
      <c r="AS267" s="12" t="s">
        <v>3619</v>
      </c>
      <c r="AT267" s="12" t="s">
        <v>3620</v>
      </c>
      <c r="AU267" s="12">
        <v>59</v>
      </c>
      <c r="AV267" s="12" t="s">
        <v>83</v>
      </c>
      <c r="AW267" s="12">
        <v>2</v>
      </c>
      <c r="AX267" s="12">
        <v>71</v>
      </c>
      <c r="AY267" s="14">
        <v>45962</v>
      </c>
      <c r="AZ267" s="14">
        <v>46022</v>
      </c>
      <c r="BA267" s="12" t="e">
        <v>#N/A</v>
      </c>
      <c r="BB267" s="14" t="s">
        <v>2480</v>
      </c>
      <c r="BC267" s="14">
        <v>46036</v>
      </c>
      <c r="BD267" s="16">
        <v>2026</v>
      </c>
      <c r="BE267" s="16">
        <v>1</v>
      </c>
      <c r="BF267" s="16">
        <v>3</v>
      </c>
      <c r="BG267" s="191">
        <v>33</v>
      </c>
      <c r="BH267" s="191">
        <v>594</v>
      </c>
    </row>
    <row r="268" spans="1:60" s="23" customFormat="1" ht="10">
      <c r="A268" s="11" t="s">
        <v>3621</v>
      </c>
      <c r="B268" s="12" t="s">
        <v>111</v>
      </c>
      <c r="C268" s="12" t="s">
        <v>548</v>
      </c>
      <c r="D268" s="12" t="s">
        <v>63</v>
      </c>
      <c r="E268" s="12" t="s">
        <v>68</v>
      </c>
      <c r="F268" s="12" t="s">
        <v>68</v>
      </c>
      <c r="G268" s="12"/>
      <c r="H268" s="12" t="s">
        <v>66</v>
      </c>
      <c r="I268" s="12" t="s">
        <v>1559</v>
      </c>
      <c r="J268" s="34" t="s">
        <v>68</v>
      </c>
      <c r="K268" s="12"/>
      <c r="L268" s="13" t="s">
        <v>2497</v>
      </c>
      <c r="M268" s="12" t="s">
        <v>68</v>
      </c>
      <c r="N268" s="182"/>
      <c r="O268" s="12" t="s">
        <v>2475</v>
      </c>
      <c r="P268" s="12" t="s">
        <v>550</v>
      </c>
      <c r="Q268" s="12" t="s">
        <v>551</v>
      </c>
      <c r="R268" s="12">
        <v>553118</v>
      </c>
      <c r="S268" s="12" t="s">
        <v>552</v>
      </c>
      <c r="T268" s="206">
        <v>510</v>
      </c>
      <c r="U268" s="206">
        <v>2376</v>
      </c>
      <c r="V268" s="12">
        <v>1.2117599999999999</v>
      </c>
      <c r="W268" s="198">
        <v>66</v>
      </c>
      <c r="X268" s="254">
        <v>3</v>
      </c>
      <c r="Y268" s="12" t="s">
        <v>75</v>
      </c>
      <c r="Z268" s="12"/>
      <c r="AA268" s="12" t="s">
        <v>85</v>
      </c>
      <c r="AB268" s="13" t="s">
        <v>2136</v>
      </c>
      <c r="AC268" s="14">
        <v>45956</v>
      </c>
      <c r="AD268" s="15">
        <v>43</v>
      </c>
      <c r="AE268" s="176" t="s">
        <v>3622</v>
      </c>
      <c r="AF268" s="12">
        <v>371009078</v>
      </c>
      <c r="AG268" s="12" t="s">
        <v>122</v>
      </c>
      <c r="AH268" s="12" t="s">
        <v>1561</v>
      </c>
      <c r="AI268" s="14">
        <v>45963</v>
      </c>
      <c r="AJ268" s="14">
        <v>45963</v>
      </c>
      <c r="AK268" s="14">
        <v>45963</v>
      </c>
      <c r="AL268" s="14">
        <v>46021</v>
      </c>
      <c r="AM268" s="14">
        <v>46037</v>
      </c>
      <c r="AN268" s="14">
        <v>46039</v>
      </c>
      <c r="AO268" s="91" t="s">
        <v>66</v>
      </c>
      <c r="AP268" s="12" t="s">
        <v>3623</v>
      </c>
      <c r="AQ268" s="12"/>
      <c r="AR268" s="12" t="s">
        <v>3624</v>
      </c>
      <c r="AS268" s="12" t="s">
        <v>3625</v>
      </c>
      <c r="AT268" s="12" t="s">
        <v>3626</v>
      </c>
      <c r="AU268" s="12">
        <v>58</v>
      </c>
      <c r="AV268" s="12" t="s">
        <v>2493</v>
      </c>
      <c r="AW268" s="12">
        <v>18</v>
      </c>
      <c r="AX268" s="12">
        <v>83</v>
      </c>
      <c r="AY268" s="14">
        <v>45963</v>
      </c>
      <c r="AZ268" s="14">
        <v>46039</v>
      </c>
      <c r="BA268" s="12" t="e">
        <v>#N/A</v>
      </c>
      <c r="BB268" s="14" t="s">
        <v>2480</v>
      </c>
      <c r="BC268" s="14">
        <v>46053</v>
      </c>
      <c r="BD268" s="16">
        <v>2026</v>
      </c>
      <c r="BE268" s="16">
        <v>1</v>
      </c>
      <c r="BF268" s="16">
        <v>5</v>
      </c>
      <c r="BG268" s="191">
        <v>36</v>
      </c>
      <c r="BH268" s="191">
        <v>792</v>
      </c>
    </row>
    <row r="269" spans="1:60" s="23" customFormat="1" ht="10">
      <c r="A269" s="11" t="s">
        <v>3627</v>
      </c>
      <c r="B269" s="12" t="s">
        <v>281</v>
      </c>
      <c r="C269" s="12" t="s">
        <v>282</v>
      </c>
      <c r="D269" s="12" t="s">
        <v>63</v>
      </c>
      <c r="E269" s="12" t="s">
        <v>68</v>
      </c>
      <c r="F269" s="12" t="s">
        <v>68</v>
      </c>
      <c r="G269" s="12"/>
      <c r="H269" s="12" t="s">
        <v>402</v>
      </c>
      <c r="I269" s="12" t="s">
        <v>538</v>
      </c>
      <c r="J269" s="34" t="s">
        <v>68</v>
      </c>
      <c r="K269" s="12">
        <v>46010977</v>
      </c>
      <c r="L269" s="13" t="s">
        <v>2831</v>
      </c>
      <c r="M269" s="12" t="s">
        <v>68</v>
      </c>
      <c r="N269" s="182"/>
      <c r="O269" s="12" t="s">
        <v>2475</v>
      </c>
      <c r="P269" s="12" t="s">
        <v>284</v>
      </c>
      <c r="Q269" s="12" t="s">
        <v>285</v>
      </c>
      <c r="R269" s="12">
        <v>554319</v>
      </c>
      <c r="S269" s="12" t="s">
        <v>286</v>
      </c>
      <c r="T269" s="206">
        <v>460</v>
      </c>
      <c r="U269" s="206">
        <v>2886</v>
      </c>
      <c r="V269" s="12">
        <v>1.3275600000000001</v>
      </c>
      <c r="W269" s="198">
        <v>78</v>
      </c>
      <c r="X269" s="254">
        <v>3</v>
      </c>
      <c r="Y269" s="12" t="s">
        <v>75</v>
      </c>
      <c r="Z269" s="12"/>
      <c r="AA269" s="12" t="s">
        <v>85</v>
      </c>
      <c r="AB269" s="13" t="s">
        <v>992</v>
      </c>
      <c r="AC269" s="14">
        <v>45952</v>
      </c>
      <c r="AD269" s="15">
        <v>43</v>
      </c>
      <c r="AE269" s="176" t="s">
        <v>3628</v>
      </c>
      <c r="AF269" s="12">
        <v>371009057</v>
      </c>
      <c r="AG269" s="12" t="s">
        <v>288</v>
      </c>
      <c r="AH269" s="12" t="s">
        <v>541</v>
      </c>
      <c r="AI269" s="14">
        <v>45962</v>
      </c>
      <c r="AJ269" s="14">
        <v>45962</v>
      </c>
      <c r="AK269" s="14">
        <v>45962</v>
      </c>
      <c r="AL269" s="14">
        <v>46019</v>
      </c>
      <c r="AM269" s="14">
        <v>46015</v>
      </c>
      <c r="AN269" s="14">
        <v>46015</v>
      </c>
      <c r="AO269" s="91" t="s">
        <v>402</v>
      </c>
      <c r="AP269" s="12" t="s">
        <v>3603</v>
      </c>
      <c r="AQ269" s="12"/>
      <c r="AR269" s="12" t="s">
        <v>3604</v>
      </c>
      <c r="AS269" s="12" t="s">
        <v>3605</v>
      </c>
      <c r="AT269" s="12" t="s">
        <v>3605</v>
      </c>
      <c r="AU269" s="12">
        <v>57</v>
      </c>
      <c r="AV269" s="12" t="s">
        <v>2493</v>
      </c>
      <c r="AW269" s="12">
        <v>9</v>
      </c>
      <c r="AX269" s="12">
        <v>63</v>
      </c>
      <c r="AY269" s="14">
        <v>45962</v>
      </c>
      <c r="AZ269" s="14">
        <v>46015</v>
      </c>
      <c r="BA269" s="12" t="e">
        <v>#N/A</v>
      </c>
      <c r="BB269" s="14" t="s">
        <v>2480</v>
      </c>
      <c r="BC269" s="14">
        <v>46029</v>
      </c>
      <c r="BD269" s="16">
        <v>2026</v>
      </c>
      <c r="BE269" s="246">
        <v>1</v>
      </c>
      <c r="BF269" s="16">
        <v>2</v>
      </c>
      <c r="BG269" s="191">
        <v>37</v>
      </c>
      <c r="BH269" s="191">
        <v>962</v>
      </c>
    </row>
    <row r="270" spans="1:60" s="23" customFormat="1" ht="10">
      <c r="A270" s="11" t="s">
        <v>3629</v>
      </c>
      <c r="B270" s="12" t="s">
        <v>111</v>
      </c>
      <c r="C270" s="12" t="s">
        <v>2883</v>
      </c>
      <c r="D270" s="12" t="s">
        <v>63</v>
      </c>
      <c r="E270" s="12" t="s">
        <v>68</v>
      </c>
      <c r="F270" s="12" t="s">
        <v>68</v>
      </c>
      <c r="G270" s="12"/>
      <c r="H270" s="12" t="s">
        <v>66</v>
      </c>
      <c r="I270" s="12" t="s">
        <v>1559</v>
      </c>
      <c r="J270" s="34" t="s">
        <v>68</v>
      </c>
      <c r="K270" s="12"/>
      <c r="L270" s="13" t="s">
        <v>2497</v>
      </c>
      <c r="M270" s="12" t="s">
        <v>68</v>
      </c>
      <c r="N270" s="182"/>
      <c r="O270" s="12" t="s">
        <v>2475</v>
      </c>
      <c r="P270" s="12" t="s">
        <v>132</v>
      </c>
      <c r="Q270" s="12" t="s">
        <v>2884</v>
      </c>
      <c r="R270" s="12">
        <v>555076</v>
      </c>
      <c r="S270" s="12" t="s">
        <v>1300</v>
      </c>
      <c r="T270" s="206">
        <v>720</v>
      </c>
      <c r="U270" s="206">
        <v>4158</v>
      </c>
      <c r="V270" s="12">
        <v>2.99376</v>
      </c>
      <c r="W270" s="198">
        <v>126</v>
      </c>
      <c r="X270" s="254">
        <v>7</v>
      </c>
      <c r="Y270" s="12" t="s">
        <v>75</v>
      </c>
      <c r="Z270" s="12"/>
      <c r="AA270" s="12" t="s">
        <v>108</v>
      </c>
      <c r="AB270" s="32" t="s">
        <v>992</v>
      </c>
      <c r="AC270" s="14">
        <v>45956</v>
      </c>
      <c r="AD270" s="15">
        <v>43</v>
      </c>
      <c r="AE270" s="176" t="s">
        <v>3630</v>
      </c>
      <c r="AF270" s="12">
        <v>371009065</v>
      </c>
      <c r="AG270" s="12" t="s">
        <v>122</v>
      </c>
      <c r="AH270" s="12" t="s">
        <v>1561</v>
      </c>
      <c r="AI270" s="14">
        <v>45963</v>
      </c>
      <c r="AJ270" s="14">
        <v>45963</v>
      </c>
      <c r="AK270" s="14">
        <v>45963</v>
      </c>
      <c r="AL270" s="14">
        <v>46021</v>
      </c>
      <c r="AM270" s="14">
        <v>46037</v>
      </c>
      <c r="AN270" s="14">
        <v>46037</v>
      </c>
      <c r="AO270" s="91" t="s">
        <v>66</v>
      </c>
      <c r="AP270" s="12" t="s">
        <v>3623</v>
      </c>
      <c r="AQ270" s="12"/>
      <c r="AR270" s="12" t="s">
        <v>3624</v>
      </c>
      <c r="AS270" s="12" t="s">
        <v>3625</v>
      </c>
      <c r="AT270" s="12" t="s">
        <v>3626</v>
      </c>
      <c r="AU270" s="12">
        <v>58</v>
      </c>
      <c r="AV270" s="12" t="s">
        <v>2493</v>
      </c>
      <c r="AW270" s="12">
        <v>9</v>
      </c>
      <c r="AX270" s="12">
        <v>81</v>
      </c>
      <c r="AY270" s="14">
        <v>45963</v>
      </c>
      <c r="AZ270" s="14">
        <v>46037</v>
      </c>
      <c r="BA270" s="12" t="e">
        <v>#N/A</v>
      </c>
      <c r="BB270" s="14" t="s">
        <v>2480</v>
      </c>
      <c r="BC270" s="14">
        <v>46051</v>
      </c>
      <c r="BD270" s="16">
        <v>2026</v>
      </c>
      <c r="BE270" s="16">
        <v>1</v>
      </c>
      <c r="BF270" s="16">
        <v>5</v>
      </c>
      <c r="BG270" s="191">
        <v>33</v>
      </c>
      <c r="BH270" s="191">
        <v>594</v>
      </c>
    </row>
    <row r="271" spans="1:60" s="23" customFormat="1" ht="10">
      <c r="A271" s="11" t="s">
        <v>3631</v>
      </c>
      <c r="B271" s="12" t="s">
        <v>61</v>
      </c>
      <c r="C271" s="12" t="s">
        <v>3575</v>
      </c>
      <c r="D271" s="12" t="s">
        <v>63</v>
      </c>
      <c r="E271" s="12" t="s">
        <v>64</v>
      </c>
      <c r="F271" s="12" t="s">
        <v>65</v>
      </c>
      <c r="G271" s="12" t="s">
        <v>67</v>
      </c>
      <c r="H271" s="12" t="s">
        <v>66</v>
      </c>
      <c r="I271" s="12" t="s">
        <v>3171</v>
      </c>
      <c r="J271" s="34" t="s">
        <v>68</v>
      </c>
      <c r="K271" s="12">
        <v>46010916</v>
      </c>
      <c r="L271" s="13" t="s">
        <v>2666</v>
      </c>
      <c r="M271" s="213" t="s">
        <v>68</v>
      </c>
      <c r="N271" s="182"/>
      <c r="O271" s="12" t="s">
        <v>2475</v>
      </c>
      <c r="P271" s="12" t="s">
        <v>70</v>
      </c>
      <c r="Q271" s="12" t="s">
        <v>71</v>
      </c>
      <c r="R271" s="12">
        <v>554475</v>
      </c>
      <c r="S271" s="12" t="s">
        <v>72</v>
      </c>
      <c r="T271" s="206">
        <v>500</v>
      </c>
      <c r="U271" s="206">
        <v>1728</v>
      </c>
      <c r="V271" s="12">
        <v>0.86399999999999999</v>
      </c>
      <c r="W271" s="198">
        <v>48</v>
      </c>
      <c r="X271" s="254">
        <v>2</v>
      </c>
      <c r="Y271" s="12" t="s">
        <v>75</v>
      </c>
      <c r="Z271" s="12"/>
      <c r="AA271" s="12" t="s">
        <v>85</v>
      </c>
      <c r="AB271" s="13" t="s">
        <v>967</v>
      </c>
      <c r="AC271" s="14">
        <v>45950</v>
      </c>
      <c r="AD271" s="15">
        <v>43</v>
      </c>
      <c r="AE271" s="176" t="s">
        <v>3632</v>
      </c>
      <c r="AF271" s="12">
        <v>371009034</v>
      </c>
      <c r="AG271" s="12" t="s">
        <v>77</v>
      </c>
      <c r="AH271" s="12" t="s">
        <v>356</v>
      </c>
      <c r="AI271" s="14">
        <v>45963</v>
      </c>
      <c r="AJ271" s="14">
        <v>45963</v>
      </c>
      <c r="AK271" s="14">
        <v>45963</v>
      </c>
      <c r="AL271" s="14">
        <v>46015</v>
      </c>
      <c r="AM271" s="14"/>
      <c r="AN271" s="14">
        <v>46015</v>
      </c>
      <c r="AO271" s="91" t="s">
        <v>66</v>
      </c>
      <c r="AP271" s="12" t="s">
        <v>3633</v>
      </c>
      <c r="AQ271" s="12"/>
      <c r="AR271" s="12" t="s">
        <v>3634</v>
      </c>
      <c r="AS271" s="12" t="s">
        <v>3635</v>
      </c>
      <c r="AT271" s="12" t="s">
        <v>3635</v>
      </c>
      <c r="AU271" s="12">
        <v>52</v>
      </c>
      <c r="AV271" s="12" t="s">
        <v>83</v>
      </c>
      <c r="AW271" s="12">
        <v>5</v>
      </c>
      <c r="AX271" s="12">
        <v>65</v>
      </c>
      <c r="AY271" s="14">
        <v>45963</v>
      </c>
      <c r="AZ271" s="14">
        <v>46015</v>
      </c>
      <c r="BA271" s="12" t="e">
        <v>#N/A</v>
      </c>
      <c r="BB271" s="14" t="s">
        <v>2480</v>
      </c>
      <c r="BC271" s="14">
        <v>46029</v>
      </c>
      <c r="BD271" s="16">
        <v>2026</v>
      </c>
      <c r="BE271" s="246">
        <v>1</v>
      </c>
      <c r="BF271" s="16">
        <v>2</v>
      </c>
      <c r="BG271" s="191">
        <v>36</v>
      </c>
      <c r="BH271" s="191">
        <v>864</v>
      </c>
    </row>
    <row r="272" spans="1:60" s="23" customFormat="1" ht="10">
      <c r="A272" s="11" t="s">
        <v>3636</v>
      </c>
      <c r="B272" s="12" t="s">
        <v>111</v>
      </c>
      <c r="C272" s="12" t="s">
        <v>3182</v>
      </c>
      <c r="D272" s="12" t="s">
        <v>63</v>
      </c>
      <c r="E272" s="12" t="s">
        <v>68</v>
      </c>
      <c r="F272" s="12" t="s">
        <v>68</v>
      </c>
      <c r="G272" s="12"/>
      <c r="H272" s="12" t="s">
        <v>402</v>
      </c>
      <c r="I272" s="12" t="s">
        <v>538</v>
      </c>
      <c r="J272" s="34" t="s">
        <v>68</v>
      </c>
      <c r="K272" s="12">
        <v>46010978</v>
      </c>
      <c r="L272" s="13" t="s">
        <v>2831</v>
      </c>
      <c r="M272" s="12" t="s">
        <v>68</v>
      </c>
      <c r="N272" s="182"/>
      <c r="O272" s="12" t="s">
        <v>2475</v>
      </c>
      <c r="P272" s="12" t="s">
        <v>70</v>
      </c>
      <c r="Q272" s="12" t="s">
        <v>102</v>
      </c>
      <c r="R272" s="12">
        <v>554245</v>
      </c>
      <c r="S272" s="12" t="s">
        <v>103</v>
      </c>
      <c r="T272" s="206">
        <v>620</v>
      </c>
      <c r="U272" s="206">
        <v>1440</v>
      </c>
      <c r="V272" s="12">
        <v>0.89280000000000004</v>
      </c>
      <c r="W272" s="198">
        <v>40</v>
      </c>
      <c r="X272" s="254">
        <v>2</v>
      </c>
      <c r="Y272" s="12" t="s">
        <v>75</v>
      </c>
      <c r="Z272" s="12"/>
      <c r="AA272" s="12" t="s">
        <v>108</v>
      </c>
      <c r="AB272" s="13" t="s">
        <v>967</v>
      </c>
      <c r="AC272" s="14">
        <v>45953</v>
      </c>
      <c r="AD272" s="15">
        <v>43</v>
      </c>
      <c r="AE272" s="176" t="s">
        <v>3637</v>
      </c>
      <c r="AF272" s="12">
        <v>371009061</v>
      </c>
      <c r="AG272" s="12" t="s">
        <v>77</v>
      </c>
      <c r="AH272" s="12" t="s">
        <v>541</v>
      </c>
      <c r="AI272" s="14">
        <v>45961</v>
      </c>
      <c r="AJ272" s="14">
        <v>45961</v>
      </c>
      <c r="AK272" s="14">
        <v>45961</v>
      </c>
      <c r="AL272" s="14">
        <v>46024</v>
      </c>
      <c r="AM272" s="14">
        <v>46037</v>
      </c>
      <c r="AN272" s="14">
        <v>46037</v>
      </c>
      <c r="AO272" s="91" t="s">
        <v>402</v>
      </c>
      <c r="AP272" s="12" t="s">
        <v>3638</v>
      </c>
      <c r="AQ272" s="12"/>
      <c r="AR272" s="12" t="s">
        <v>3639</v>
      </c>
      <c r="AS272" s="12" t="s">
        <v>3640</v>
      </c>
      <c r="AT272" s="12" t="s">
        <v>3640</v>
      </c>
      <c r="AU272" s="12">
        <v>63</v>
      </c>
      <c r="AV272" s="12" t="s">
        <v>2493</v>
      </c>
      <c r="AW272" s="12">
        <v>5</v>
      </c>
      <c r="AX272" s="12">
        <v>84</v>
      </c>
      <c r="AY272" s="14">
        <v>45961</v>
      </c>
      <c r="AZ272" s="14">
        <v>46037</v>
      </c>
      <c r="BA272" s="12" t="e">
        <v>#N/A</v>
      </c>
      <c r="BB272" s="14" t="s">
        <v>2480</v>
      </c>
      <c r="BC272" s="14">
        <v>46051</v>
      </c>
      <c r="BD272" s="16">
        <v>2026</v>
      </c>
      <c r="BE272" s="16">
        <v>1</v>
      </c>
      <c r="BF272" s="16">
        <v>5</v>
      </c>
      <c r="BG272" s="191">
        <v>36</v>
      </c>
      <c r="BH272" s="191">
        <v>720</v>
      </c>
    </row>
    <row r="273" spans="1:60" s="23" customFormat="1" ht="10">
      <c r="A273" s="11" t="s">
        <v>3641</v>
      </c>
      <c r="B273" s="12" t="s">
        <v>61</v>
      </c>
      <c r="C273" s="12" t="s">
        <v>3343</v>
      </c>
      <c r="D273" s="12" t="s">
        <v>63</v>
      </c>
      <c r="E273" s="12" t="s">
        <v>68</v>
      </c>
      <c r="F273" s="12" t="s">
        <v>68</v>
      </c>
      <c r="G273" s="12"/>
      <c r="H273" s="12" t="s">
        <v>402</v>
      </c>
      <c r="I273" s="12" t="s">
        <v>538</v>
      </c>
      <c r="J273" s="34" t="s">
        <v>68</v>
      </c>
      <c r="K273" s="12">
        <v>46010978</v>
      </c>
      <c r="L273" s="13" t="s">
        <v>2831</v>
      </c>
      <c r="M273" s="12" t="s">
        <v>68</v>
      </c>
      <c r="N273" s="182"/>
      <c r="O273" s="12" t="s">
        <v>2475</v>
      </c>
      <c r="P273" s="12" t="s">
        <v>70</v>
      </c>
      <c r="Q273" s="12" t="s">
        <v>195</v>
      </c>
      <c r="R273" s="12">
        <v>554473</v>
      </c>
      <c r="S273" s="12" t="s">
        <v>196</v>
      </c>
      <c r="T273" s="206">
        <v>450</v>
      </c>
      <c r="U273" s="206">
        <v>5616</v>
      </c>
      <c r="V273" s="12">
        <v>2.5272000000000001</v>
      </c>
      <c r="W273" s="198">
        <v>156</v>
      </c>
      <c r="X273" s="254">
        <v>6</v>
      </c>
      <c r="Y273" s="12" t="s">
        <v>75</v>
      </c>
      <c r="Z273" s="12"/>
      <c r="AA273" s="12" t="s">
        <v>85</v>
      </c>
      <c r="AB273" s="13" t="s">
        <v>967</v>
      </c>
      <c r="AC273" s="14">
        <v>45953</v>
      </c>
      <c r="AD273" s="15">
        <v>43</v>
      </c>
      <c r="AE273" s="176" t="s">
        <v>3642</v>
      </c>
      <c r="AF273" s="12">
        <v>371009062</v>
      </c>
      <c r="AG273" s="12" t="s">
        <v>77</v>
      </c>
      <c r="AH273" s="12" t="s">
        <v>541</v>
      </c>
      <c r="AI273" s="14">
        <v>45961</v>
      </c>
      <c r="AJ273" s="14">
        <v>45961</v>
      </c>
      <c r="AK273" s="14">
        <v>45961</v>
      </c>
      <c r="AL273" s="14">
        <v>46024</v>
      </c>
      <c r="AM273" s="14">
        <v>46037</v>
      </c>
      <c r="AN273" s="14">
        <v>46037</v>
      </c>
      <c r="AO273" s="91" t="s">
        <v>402</v>
      </c>
      <c r="AP273" s="12" t="s">
        <v>3638</v>
      </c>
      <c r="AQ273" s="12"/>
      <c r="AR273" s="12" t="s">
        <v>3639</v>
      </c>
      <c r="AS273" s="12" t="s">
        <v>3640</v>
      </c>
      <c r="AT273" s="12" t="s">
        <v>3640</v>
      </c>
      <c r="AU273" s="12">
        <v>63</v>
      </c>
      <c r="AV273" s="12" t="s">
        <v>2493</v>
      </c>
      <c r="AW273" s="12">
        <v>7</v>
      </c>
      <c r="AX273" s="12">
        <v>84</v>
      </c>
      <c r="AY273" s="14">
        <v>45961</v>
      </c>
      <c r="AZ273" s="14">
        <v>46037</v>
      </c>
      <c r="BA273" s="12" t="e">
        <v>#N/A</v>
      </c>
      <c r="BB273" s="14" t="s">
        <v>2480</v>
      </c>
      <c r="BC273" s="14">
        <v>46051</v>
      </c>
      <c r="BD273" s="16">
        <v>2026</v>
      </c>
      <c r="BE273" s="16">
        <v>1</v>
      </c>
      <c r="BF273" s="16">
        <v>5</v>
      </c>
      <c r="BG273" s="191">
        <v>36</v>
      </c>
      <c r="BH273" s="191">
        <v>936</v>
      </c>
    </row>
    <row r="274" spans="1:60" s="23" customFormat="1" ht="10">
      <c r="A274" s="11" t="s">
        <v>3643</v>
      </c>
      <c r="B274" s="12" t="s">
        <v>111</v>
      </c>
      <c r="C274" s="12" t="s">
        <v>2883</v>
      </c>
      <c r="D274" s="12" t="s">
        <v>113</v>
      </c>
      <c r="E274" s="12" t="s">
        <v>68</v>
      </c>
      <c r="F274" s="12" t="s">
        <v>68</v>
      </c>
      <c r="G274" s="12"/>
      <c r="H274" s="12" t="s">
        <v>66</v>
      </c>
      <c r="I274" s="12" t="s">
        <v>3506</v>
      </c>
      <c r="J274" s="34" t="s">
        <v>68</v>
      </c>
      <c r="K274" s="12">
        <v>16102590</v>
      </c>
      <c r="L274" s="13" t="s">
        <v>2482</v>
      </c>
      <c r="M274" s="12" t="s">
        <v>68</v>
      </c>
      <c r="N274" s="182"/>
      <c r="O274" s="12" t="s">
        <v>2475</v>
      </c>
      <c r="P274" s="12" t="s">
        <v>132</v>
      </c>
      <c r="Q274" s="12" t="s">
        <v>2884</v>
      </c>
      <c r="R274" s="12">
        <v>555076</v>
      </c>
      <c r="S274" s="12" t="s">
        <v>1300</v>
      </c>
      <c r="T274" s="206">
        <v>720</v>
      </c>
      <c r="U274" s="206">
        <v>7128</v>
      </c>
      <c r="V274" s="12">
        <v>5.1321599999999998</v>
      </c>
      <c r="W274" s="198">
        <v>216</v>
      </c>
      <c r="X274" s="254">
        <v>12</v>
      </c>
      <c r="Y274" s="12" t="s">
        <v>75</v>
      </c>
      <c r="Z274" s="12"/>
      <c r="AA274" s="12" t="s">
        <v>108</v>
      </c>
      <c r="AB274" s="32" t="s">
        <v>992</v>
      </c>
      <c r="AC274" s="14">
        <v>45955</v>
      </c>
      <c r="AD274" s="15">
        <v>43</v>
      </c>
      <c r="AE274" s="176" t="s">
        <v>3644</v>
      </c>
      <c r="AF274" s="12">
        <v>371009066</v>
      </c>
      <c r="AG274" s="12" t="s">
        <v>122</v>
      </c>
      <c r="AH274" s="12" t="s">
        <v>124</v>
      </c>
      <c r="AI274" s="14">
        <v>45963</v>
      </c>
      <c r="AJ274" s="14">
        <v>45963</v>
      </c>
      <c r="AK274" s="14">
        <v>45963</v>
      </c>
      <c r="AL274" s="14">
        <v>46005</v>
      </c>
      <c r="AM274" s="14"/>
      <c r="AN274" s="14">
        <v>46005</v>
      </c>
      <c r="AO274" s="91" t="s">
        <v>66</v>
      </c>
      <c r="AP274" s="12" t="s">
        <v>3645</v>
      </c>
      <c r="AQ274" s="12"/>
      <c r="AR274" s="12" t="s">
        <v>3646</v>
      </c>
      <c r="AS274" s="12" t="s">
        <v>3647</v>
      </c>
      <c r="AT274" s="12" t="s">
        <v>3648</v>
      </c>
      <c r="AU274" s="12">
        <v>42</v>
      </c>
      <c r="AV274" s="12" t="s">
        <v>3511</v>
      </c>
      <c r="AW274" s="12">
        <v>9</v>
      </c>
      <c r="AX274" s="12">
        <v>50</v>
      </c>
      <c r="AY274" s="14">
        <v>45963</v>
      </c>
      <c r="AZ274" s="14">
        <v>46005</v>
      </c>
      <c r="BA274" s="12" t="e">
        <v>#N/A</v>
      </c>
      <c r="BB274" s="14" t="s">
        <v>2480</v>
      </c>
      <c r="BC274" s="14">
        <v>46019</v>
      </c>
      <c r="BD274" s="16">
        <v>2025</v>
      </c>
      <c r="BE274" s="16">
        <v>12</v>
      </c>
      <c r="BF274" s="16">
        <v>52</v>
      </c>
      <c r="BG274" s="191">
        <v>33</v>
      </c>
      <c r="BH274" s="191">
        <v>594</v>
      </c>
    </row>
    <row r="275" spans="1:60" s="23" customFormat="1" ht="10">
      <c r="A275" s="11" t="s">
        <v>3649</v>
      </c>
      <c r="B275" s="12" t="s">
        <v>61</v>
      </c>
      <c r="C275" s="12" t="s">
        <v>3242</v>
      </c>
      <c r="D275" s="12" t="s">
        <v>63</v>
      </c>
      <c r="E275" s="12" t="s">
        <v>68</v>
      </c>
      <c r="F275" s="12" t="s">
        <v>68</v>
      </c>
      <c r="G275" s="12"/>
      <c r="H275" s="12" t="s">
        <v>402</v>
      </c>
      <c r="I275" s="12" t="s">
        <v>538</v>
      </c>
      <c r="J275" s="34" t="s">
        <v>68</v>
      </c>
      <c r="K275" s="12">
        <v>46010978</v>
      </c>
      <c r="L275" s="13" t="s">
        <v>2831</v>
      </c>
      <c r="M275" s="12" t="s">
        <v>68</v>
      </c>
      <c r="N275" s="182"/>
      <c r="O275" s="12" t="s">
        <v>2475</v>
      </c>
      <c r="P275" s="12" t="s">
        <v>70</v>
      </c>
      <c r="Q275" s="12" t="s">
        <v>420</v>
      </c>
      <c r="R275" s="12">
        <v>554476</v>
      </c>
      <c r="S275" s="12" t="s">
        <v>421</v>
      </c>
      <c r="T275" s="206">
        <v>505</v>
      </c>
      <c r="U275" s="206">
        <v>1728</v>
      </c>
      <c r="V275" s="12">
        <v>0.87263999999999997</v>
      </c>
      <c r="W275" s="198">
        <v>48</v>
      </c>
      <c r="X275" s="254">
        <v>2</v>
      </c>
      <c r="Y275" s="12" t="s">
        <v>75</v>
      </c>
      <c r="Z275" s="12"/>
      <c r="AA275" s="12" t="s">
        <v>2658</v>
      </c>
      <c r="AB275" s="13" t="s">
        <v>992</v>
      </c>
      <c r="AC275" s="14">
        <v>45953</v>
      </c>
      <c r="AD275" s="15">
        <v>43</v>
      </c>
      <c r="AE275" s="176" t="s">
        <v>3650</v>
      </c>
      <c r="AF275" s="12">
        <v>371009060</v>
      </c>
      <c r="AG275" s="12" t="s">
        <v>77</v>
      </c>
      <c r="AH275" s="12" t="s">
        <v>541</v>
      </c>
      <c r="AI275" s="14">
        <v>45961</v>
      </c>
      <c r="AJ275" s="14">
        <v>45961</v>
      </c>
      <c r="AK275" s="14">
        <v>45961</v>
      </c>
      <c r="AL275" s="14">
        <v>46024</v>
      </c>
      <c r="AM275" s="14">
        <v>46037</v>
      </c>
      <c r="AN275" s="14">
        <v>46037</v>
      </c>
      <c r="AO275" s="91" t="s">
        <v>402</v>
      </c>
      <c r="AP275" s="12" t="s">
        <v>3638</v>
      </c>
      <c r="AQ275" s="12"/>
      <c r="AR275" s="12" t="s">
        <v>3639</v>
      </c>
      <c r="AS275" s="12" t="s">
        <v>3640</v>
      </c>
      <c r="AT275" s="12" t="s">
        <v>3640</v>
      </c>
      <c r="AU275" s="12">
        <v>63</v>
      </c>
      <c r="AV275" s="12" t="s">
        <v>2493</v>
      </c>
      <c r="AW275" s="12">
        <v>5</v>
      </c>
      <c r="AX275" s="12">
        <v>84</v>
      </c>
      <c r="AY275" s="14">
        <v>45961</v>
      </c>
      <c r="AZ275" s="14">
        <v>46037</v>
      </c>
      <c r="BA275" s="12" t="e">
        <v>#N/A</v>
      </c>
      <c r="BB275" s="14" t="s">
        <v>2480</v>
      </c>
      <c r="BC275" s="14">
        <v>46051</v>
      </c>
      <c r="BD275" s="16">
        <v>2026</v>
      </c>
      <c r="BE275" s="16">
        <v>1</v>
      </c>
      <c r="BF275" s="16">
        <v>5</v>
      </c>
      <c r="BG275" s="191">
        <v>36</v>
      </c>
      <c r="BH275" s="191">
        <v>864</v>
      </c>
    </row>
    <row r="276" spans="1:60" s="23" customFormat="1" ht="10">
      <c r="A276" s="11" t="s">
        <v>3651</v>
      </c>
      <c r="B276" s="12" t="s">
        <v>61</v>
      </c>
      <c r="C276" s="12" t="s">
        <v>3115</v>
      </c>
      <c r="D276" s="12" t="s">
        <v>63</v>
      </c>
      <c r="E276" s="12" t="s">
        <v>68</v>
      </c>
      <c r="F276" s="12" t="s">
        <v>68</v>
      </c>
      <c r="G276" s="12"/>
      <c r="H276" s="12" t="s">
        <v>146</v>
      </c>
      <c r="I276" s="12" t="s">
        <v>2671</v>
      </c>
      <c r="J276" s="34" t="s">
        <v>68</v>
      </c>
      <c r="K276" s="12">
        <v>46010917</v>
      </c>
      <c r="L276" s="13" t="s">
        <v>2666</v>
      </c>
      <c r="M276" s="12" t="s">
        <v>68</v>
      </c>
      <c r="N276" s="182"/>
      <c r="O276" s="12" t="s">
        <v>2475</v>
      </c>
      <c r="P276" s="12" t="s">
        <v>70</v>
      </c>
      <c r="Q276" s="12" t="s">
        <v>860</v>
      </c>
      <c r="R276" s="12">
        <v>554479</v>
      </c>
      <c r="S276" s="12" t="s">
        <v>861</v>
      </c>
      <c r="T276" s="206">
        <v>445</v>
      </c>
      <c r="U276" s="206">
        <v>936</v>
      </c>
      <c r="V276" s="12">
        <v>0.41652</v>
      </c>
      <c r="W276" s="198">
        <v>26</v>
      </c>
      <c r="X276" s="254">
        <v>1</v>
      </c>
      <c r="Y276" s="12" t="s">
        <v>75</v>
      </c>
      <c r="AA276" s="12" t="s">
        <v>94</v>
      </c>
      <c r="AB276" s="32" t="s">
        <v>967</v>
      </c>
      <c r="AC276" s="14">
        <v>45950</v>
      </c>
      <c r="AD276" s="15">
        <v>43</v>
      </c>
      <c r="AE276" s="176" t="s">
        <v>3652</v>
      </c>
      <c r="AF276" s="12">
        <v>371009025</v>
      </c>
      <c r="AG276" s="12" t="s">
        <v>77</v>
      </c>
      <c r="AH276" s="12" t="s">
        <v>78</v>
      </c>
      <c r="AI276" s="14">
        <v>45963</v>
      </c>
      <c r="AJ276" s="14">
        <v>45963</v>
      </c>
      <c r="AK276" s="14">
        <v>45963</v>
      </c>
      <c r="AL276" s="14">
        <v>46027</v>
      </c>
      <c r="AM276" s="14">
        <v>46030</v>
      </c>
      <c r="AN276" s="14">
        <v>46030</v>
      </c>
      <c r="AO276" s="91" t="s">
        <v>146</v>
      </c>
      <c r="AP276" s="12" t="s">
        <v>3633</v>
      </c>
      <c r="AQ276" s="12"/>
      <c r="AR276" s="12">
        <v>46010917</v>
      </c>
      <c r="AS276" s="12" t="s">
        <v>3653</v>
      </c>
      <c r="AT276" s="12" t="s">
        <v>3653</v>
      </c>
      <c r="AU276" s="12">
        <v>64</v>
      </c>
      <c r="AV276" s="12" t="s">
        <v>83</v>
      </c>
      <c r="AW276" s="12">
        <v>8</v>
      </c>
      <c r="AX276" s="12">
        <v>80</v>
      </c>
      <c r="AY276" s="14">
        <v>45963</v>
      </c>
      <c r="AZ276" s="14">
        <v>46030</v>
      </c>
      <c r="BA276" s="12" t="e">
        <v>#N/A</v>
      </c>
      <c r="BB276" s="14" t="s">
        <v>2480</v>
      </c>
      <c r="BC276" s="14">
        <v>46044</v>
      </c>
      <c r="BD276" s="16">
        <v>2026</v>
      </c>
      <c r="BE276" s="16">
        <v>1</v>
      </c>
      <c r="BF276" s="16">
        <v>4</v>
      </c>
      <c r="BG276" s="191">
        <v>36</v>
      </c>
      <c r="BH276" s="191">
        <v>936</v>
      </c>
    </row>
    <row r="277" spans="1:60" s="23" customFormat="1" ht="10">
      <c r="A277" s="11" t="s">
        <v>3654</v>
      </c>
      <c r="B277" s="12" t="s">
        <v>61</v>
      </c>
      <c r="C277" s="12" t="s">
        <v>569</v>
      </c>
      <c r="D277" s="12" t="s">
        <v>63</v>
      </c>
      <c r="E277" s="12" t="s">
        <v>68</v>
      </c>
      <c r="F277" s="12" t="s">
        <v>68</v>
      </c>
      <c r="G277" s="12"/>
      <c r="H277" s="12" t="s">
        <v>402</v>
      </c>
      <c r="I277" s="12" t="s">
        <v>538</v>
      </c>
      <c r="J277" s="34" t="s">
        <v>68</v>
      </c>
      <c r="K277" s="12">
        <v>46010978</v>
      </c>
      <c r="L277" s="13" t="s">
        <v>2831</v>
      </c>
      <c r="M277" s="12" t="s">
        <v>68</v>
      </c>
      <c r="N277" s="182"/>
      <c r="O277" s="12" t="s">
        <v>2475</v>
      </c>
      <c r="P277" s="12" t="s">
        <v>70</v>
      </c>
      <c r="Q277" s="12" t="s">
        <v>2657</v>
      </c>
      <c r="R277" s="12">
        <v>554470</v>
      </c>
      <c r="S277" s="12" t="s">
        <v>571</v>
      </c>
      <c r="T277" s="206">
        <v>445</v>
      </c>
      <c r="U277" s="206">
        <v>5616</v>
      </c>
      <c r="V277" s="12">
        <v>2.49912</v>
      </c>
      <c r="W277" s="198">
        <v>156</v>
      </c>
      <c r="X277" s="254">
        <v>6</v>
      </c>
      <c r="Y277" s="12" t="s">
        <v>75</v>
      </c>
      <c r="Z277" s="12"/>
      <c r="AA277" s="12" t="s">
        <v>2658</v>
      </c>
      <c r="AB277" s="13" t="s">
        <v>967</v>
      </c>
      <c r="AC277" s="14">
        <v>45953</v>
      </c>
      <c r="AD277" s="15">
        <v>43</v>
      </c>
      <c r="AE277" s="176" t="s">
        <v>3655</v>
      </c>
      <c r="AF277" s="12">
        <v>371009056</v>
      </c>
      <c r="AG277" s="12" t="s">
        <v>77</v>
      </c>
      <c r="AH277" s="12" t="s">
        <v>541</v>
      </c>
      <c r="AI277" s="14">
        <v>45961</v>
      </c>
      <c r="AJ277" s="14">
        <v>45961</v>
      </c>
      <c r="AK277" s="14">
        <v>45961</v>
      </c>
      <c r="AL277" s="14">
        <v>46024</v>
      </c>
      <c r="AM277" s="14">
        <v>46037</v>
      </c>
      <c r="AN277" s="14">
        <v>46037</v>
      </c>
      <c r="AO277" s="91" t="s">
        <v>402</v>
      </c>
      <c r="AP277" s="12" t="s">
        <v>3638</v>
      </c>
      <c r="AQ277" s="12"/>
      <c r="AR277" s="12" t="s">
        <v>3639</v>
      </c>
      <c r="AS277" s="12" t="s">
        <v>3640</v>
      </c>
      <c r="AT277" s="12" t="s">
        <v>3640</v>
      </c>
      <c r="AU277" s="12">
        <v>63</v>
      </c>
      <c r="AV277" s="12" t="s">
        <v>2493</v>
      </c>
      <c r="AW277" s="12">
        <v>5</v>
      </c>
      <c r="AX277" s="12">
        <v>84</v>
      </c>
      <c r="AY277" s="14">
        <v>45961</v>
      </c>
      <c r="AZ277" s="14">
        <v>46037</v>
      </c>
      <c r="BA277" s="12" t="e">
        <v>#N/A</v>
      </c>
      <c r="BB277" s="14" t="s">
        <v>2480</v>
      </c>
      <c r="BC277" s="14">
        <v>46051</v>
      </c>
      <c r="BD277" s="16">
        <v>2026</v>
      </c>
      <c r="BE277" s="16">
        <v>1</v>
      </c>
      <c r="BF277" s="16">
        <v>5</v>
      </c>
      <c r="BG277" s="191">
        <v>36</v>
      </c>
      <c r="BH277" s="191">
        <v>936</v>
      </c>
    </row>
    <row r="278" spans="1:60" s="23" customFormat="1" ht="10">
      <c r="A278" s="11" t="s">
        <v>2755</v>
      </c>
      <c r="B278" s="12" t="s">
        <v>111</v>
      </c>
      <c r="C278" s="12" t="s">
        <v>203</v>
      </c>
      <c r="D278" s="12" t="s">
        <v>63</v>
      </c>
      <c r="E278" s="12" t="s">
        <v>68</v>
      </c>
      <c r="F278" s="12" t="s">
        <v>68</v>
      </c>
      <c r="G278" s="12"/>
      <c r="H278" s="12" t="s">
        <v>66</v>
      </c>
      <c r="I278" s="12" t="s">
        <v>1559</v>
      </c>
      <c r="J278" s="34" t="s">
        <v>68</v>
      </c>
      <c r="K278" s="12"/>
      <c r="L278" s="13" t="s">
        <v>2497</v>
      </c>
      <c r="M278" s="12" t="s">
        <v>68</v>
      </c>
      <c r="N278" s="182"/>
      <c r="O278" s="12" t="s">
        <v>2475</v>
      </c>
      <c r="P278" s="12" t="s">
        <v>70</v>
      </c>
      <c r="Q278" s="12" t="s">
        <v>1347</v>
      </c>
      <c r="R278" s="12">
        <v>554471</v>
      </c>
      <c r="S278" s="12" t="s">
        <v>1348</v>
      </c>
      <c r="T278" s="206">
        <v>710</v>
      </c>
      <c r="U278" s="206">
        <v>4158</v>
      </c>
      <c r="V278" s="12">
        <v>2.9521799999999998</v>
      </c>
      <c r="W278" s="198">
        <v>126</v>
      </c>
      <c r="X278" s="254">
        <v>7</v>
      </c>
      <c r="Y278" s="12" t="s">
        <v>75</v>
      </c>
      <c r="Z278" s="12"/>
      <c r="AA278" s="12" t="s">
        <v>128</v>
      </c>
      <c r="AB278" s="32" t="s">
        <v>992</v>
      </c>
      <c r="AC278" s="14">
        <v>45951</v>
      </c>
      <c r="AD278" s="15">
        <v>43</v>
      </c>
      <c r="AE278" s="176" t="s">
        <v>3656</v>
      </c>
      <c r="AF278" s="12">
        <v>371009026</v>
      </c>
      <c r="AG278" s="12" t="s">
        <v>122</v>
      </c>
      <c r="AH278" s="12" t="s">
        <v>1561</v>
      </c>
      <c r="AI278" s="14">
        <v>45962</v>
      </c>
      <c r="AJ278" s="14">
        <v>45962</v>
      </c>
      <c r="AK278" s="14">
        <v>45962</v>
      </c>
      <c r="AL278" s="14">
        <v>46021</v>
      </c>
      <c r="AM278" s="14"/>
      <c r="AN278" s="14">
        <v>46022</v>
      </c>
      <c r="AO278" s="91" t="s">
        <v>66</v>
      </c>
      <c r="AP278" s="12" t="s">
        <v>3598</v>
      </c>
      <c r="AQ278" s="12"/>
      <c r="AR278" s="12" t="s">
        <v>3618</v>
      </c>
      <c r="AS278" s="12" t="s">
        <v>3619</v>
      </c>
      <c r="AT278" s="12" t="s">
        <v>3619</v>
      </c>
      <c r="AU278" s="12">
        <v>59</v>
      </c>
      <c r="AV278" s="12" t="s">
        <v>83</v>
      </c>
      <c r="AW278" s="12">
        <v>39</v>
      </c>
      <c r="AX278" s="12">
        <v>71</v>
      </c>
      <c r="AY278" s="14">
        <v>45962</v>
      </c>
      <c r="AZ278" s="14">
        <v>46022</v>
      </c>
      <c r="BA278" s="12" t="e">
        <v>#N/A</v>
      </c>
      <c r="BB278" s="14" t="s">
        <v>2480</v>
      </c>
      <c r="BC278" s="14">
        <v>46036</v>
      </c>
      <c r="BD278" s="16">
        <v>2026</v>
      </c>
      <c r="BE278" s="16">
        <v>1</v>
      </c>
      <c r="BF278" s="16">
        <v>3</v>
      </c>
      <c r="BG278" s="191">
        <v>33</v>
      </c>
      <c r="BH278" s="191">
        <v>594</v>
      </c>
    </row>
    <row r="279" spans="1:60" s="23" customFormat="1" ht="10">
      <c r="A279" s="11" t="s">
        <v>3657</v>
      </c>
      <c r="B279" s="12" t="s">
        <v>111</v>
      </c>
      <c r="C279" s="12" t="s">
        <v>548</v>
      </c>
      <c r="D279" s="12" t="s">
        <v>63</v>
      </c>
      <c r="E279" s="12" t="s">
        <v>68</v>
      </c>
      <c r="F279" s="12" t="s">
        <v>68</v>
      </c>
      <c r="G279" s="12"/>
      <c r="H279" s="12" t="s">
        <v>402</v>
      </c>
      <c r="I279" s="12" t="s">
        <v>538</v>
      </c>
      <c r="J279" s="34" t="s">
        <v>68</v>
      </c>
      <c r="K279" s="12">
        <v>46010979</v>
      </c>
      <c r="L279" s="13" t="s">
        <v>2831</v>
      </c>
      <c r="M279" s="12" t="s">
        <v>68</v>
      </c>
      <c r="N279" s="182"/>
      <c r="O279" s="12" t="s">
        <v>2475</v>
      </c>
      <c r="P279" s="12" t="s">
        <v>550</v>
      </c>
      <c r="Q279" s="12" t="s">
        <v>551</v>
      </c>
      <c r="R279" s="12">
        <v>553118</v>
      </c>
      <c r="S279" s="12" t="s">
        <v>552</v>
      </c>
      <c r="T279" s="206">
        <v>510</v>
      </c>
      <c r="U279" s="206">
        <v>1584</v>
      </c>
      <c r="V279" s="12">
        <v>0.80784</v>
      </c>
      <c r="W279" s="198">
        <v>44</v>
      </c>
      <c r="X279" s="254">
        <v>2</v>
      </c>
      <c r="Y279" s="12" t="s">
        <v>75</v>
      </c>
      <c r="Z279" s="12"/>
      <c r="AA279" s="12" t="s">
        <v>85</v>
      </c>
      <c r="AB279" s="13" t="s">
        <v>2136</v>
      </c>
      <c r="AC279" s="14">
        <v>45953</v>
      </c>
      <c r="AD279" s="15">
        <v>43</v>
      </c>
      <c r="AE279" s="176" t="s">
        <v>3658</v>
      </c>
      <c r="AF279" s="12">
        <v>371009059</v>
      </c>
      <c r="AG279" s="12" t="s">
        <v>122</v>
      </c>
      <c r="AH279" s="12" t="s">
        <v>541</v>
      </c>
      <c r="AI279" s="14">
        <v>45959</v>
      </c>
      <c r="AJ279" s="14">
        <v>45959</v>
      </c>
      <c r="AK279" s="14">
        <v>45959</v>
      </c>
      <c r="AL279" s="14">
        <v>46012</v>
      </c>
      <c r="AM279" s="14">
        <v>46030</v>
      </c>
      <c r="AN279" s="14">
        <v>46030</v>
      </c>
      <c r="AO279" s="91" t="s">
        <v>402</v>
      </c>
      <c r="AP279" s="12" t="s">
        <v>3608</v>
      </c>
      <c r="AQ279" s="12"/>
      <c r="AR279" s="12" t="s">
        <v>3609</v>
      </c>
      <c r="AS279" s="12" t="s">
        <v>3610</v>
      </c>
      <c r="AT279" s="12" t="s">
        <v>3610</v>
      </c>
      <c r="AU279" s="12">
        <v>53</v>
      </c>
      <c r="AV279" s="12" t="s">
        <v>2493</v>
      </c>
      <c r="AW279" s="12">
        <v>18</v>
      </c>
      <c r="AX279" s="12">
        <v>77</v>
      </c>
      <c r="AY279" s="14">
        <v>45959</v>
      </c>
      <c r="AZ279" s="14">
        <v>46030</v>
      </c>
      <c r="BA279" s="12" t="e">
        <v>#N/A</v>
      </c>
      <c r="BB279" s="14" t="s">
        <v>2480</v>
      </c>
      <c r="BC279" s="14">
        <v>46044</v>
      </c>
      <c r="BD279" s="16">
        <v>2026</v>
      </c>
      <c r="BE279" s="16">
        <v>1</v>
      </c>
      <c r="BF279" s="16">
        <v>4</v>
      </c>
      <c r="BG279" s="191">
        <v>36</v>
      </c>
      <c r="BH279" s="191">
        <v>792</v>
      </c>
    </row>
    <row r="280" spans="1:60" s="23" customFormat="1" ht="10">
      <c r="A280" s="11" t="s">
        <v>3594</v>
      </c>
      <c r="B280" s="12" t="s">
        <v>111</v>
      </c>
      <c r="C280" s="12" t="s">
        <v>203</v>
      </c>
      <c r="D280" s="12" t="s">
        <v>63</v>
      </c>
      <c r="E280" s="12" t="s">
        <v>68</v>
      </c>
      <c r="F280" s="12" t="s">
        <v>68</v>
      </c>
      <c r="G280" s="12"/>
      <c r="H280" s="12" t="s">
        <v>66</v>
      </c>
      <c r="I280" s="12" t="s">
        <v>1342</v>
      </c>
      <c r="J280" s="34" t="s">
        <v>68</v>
      </c>
      <c r="K280" s="12"/>
      <c r="L280" s="13" t="s">
        <v>2497</v>
      </c>
      <c r="M280" s="12" t="s">
        <v>68</v>
      </c>
      <c r="N280" s="182"/>
      <c r="O280" s="12" t="s">
        <v>2475</v>
      </c>
      <c r="P280" s="12" t="s">
        <v>170</v>
      </c>
      <c r="Q280" s="12" t="s">
        <v>462</v>
      </c>
      <c r="R280" s="12">
        <v>552026</v>
      </c>
      <c r="S280" s="12" t="s">
        <v>463</v>
      </c>
      <c r="T280" s="206">
        <v>550</v>
      </c>
      <c r="U280" s="206">
        <v>4620</v>
      </c>
      <c r="V280" s="12">
        <v>2.5409999999999999</v>
      </c>
      <c r="W280" s="198">
        <v>140</v>
      </c>
      <c r="X280" s="254">
        <v>7</v>
      </c>
      <c r="Y280" s="12" t="s">
        <v>75</v>
      </c>
      <c r="Z280" s="12"/>
      <c r="AA280" s="12" t="s">
        <v>108</v>
      </c>
      <c r="AB280" s="13" t="s">
        <v>1187</v>
      </c>
      <c r="AC280" s="14">
        <v>45951</v>
      </c>
      <c r="AD280" s="15">
        <v>43</v>
      </c>
      <c r="AE280" s="176" t="s">
        <v>3659</v>
      </c>
      <c r="AF280" s="12">
        <v>371009024</v>
      </c>
      <c r="AG280" s="12" t="s">
        <v>122</v>
      </c>
      <c r="AH280" s="12" t="s">
        <v>314</v>
      </c>
      <c r="AI280" s="14">
        <v>45962</v>
      </c>
      <c r="AJ280" s="14">
        <v>45962</v>
      </c>
      <c r="AK280" s="14">
        <v>45962</v>
      </c>
      <c r="AL280" s="14">
        <v>46015</v>
      </c>
      <c r="AM280" s="14">
        <v>46022</v>
      </c>
      <c r="AN280" s="14">
        <v>46025</v>
      </c>
      <c r="AO280" s="91" t="s">
        <v>66</v>
      </c>
      <c r="AP280" s="12" t="s">
        <v>3598</v>
      </c>
      <c r="AQ280" s="12"/>
      <c r="AR280" s="12" t="s">
        <v>3599</v>
      </c>
      <c r="AS280" s="12" t="s">
        <v>3600</v>
      </c>
      <c r="AT280" s="12" t="s">
        <v>3600</v>
      </c>
      <c r="AU280" s="12">
        <v>53</v>
      </c>
      <c r="AV280" s="12" t="s">
        <v>83</v>
      </c>
      <c r="AW280" s="12">
        <v>39</v>
      </c>
      <c r="AX280" s="12">
        <v>74</v>
      </c>
      <c r="AY280" s="14">
        <v>45962</v>
      </c>
      <c r="AZ280" s="14">
        <v>46025</v>
      </c>
      <c r="BA280" s="12" t="e">
        <v>#N/A</v>
      </c>
      <c r="BB280" s="14" t="s">
        <v>2480</v>
      </c>
      <c r="BC280" s="14">
        <v>46039</v>
      </c>
      <c r="BD280" s="16">
        <v>2026</v>
      </c>
      <c r="BE280" s="16">
        <v>1</v>
      </c>
      <c r="BF280" s="16">
        <v>3</v>
      </c>
      <c r="BG280" s="191">
        <v>33</v>
      </c>
      <c r="BH280" s="191">
        <v>660</v>
      </c>
    </row>
    <row r="281" spans="1:60" s="23" customFormat="1" ht="10">
      <c r="A281" s="11" t="s">
        <v>3660</v>
      </c>
      <c r="B281" s="12" t="s">
        <v>111</v>
      </c>
      <c r="C281" s="12" t="s">
        <v>3661</v>
      </c>
      <c r="D281" s="12" t="s">
        <v>63</v>
      </c>
      <c r="E281" s="12" t="s">
        <v>68</v>
      </c>
      <c r="F281" s="12" t="s">
        <v>68</v>
      </c>
      <c r="G281" s="12"/>
      <c r="H281" s="12" t="s">
        <v>66</v>
      </c>
      <c r="I281" s="12" t="s">
        <v>1342</v>
      </c>
      <c r="J281" s="34" t="s">
        <v>68</v>
      </c>
      <c r="K281" s="12"/>
      <c r="L281" s="13" t="s">
        <v>2497</v>
      </c>
      <c r="M281" s="12" t="s">
        <v>68</v>
      </c>
      <c r="N281" s="182"/>
      <c r="O281" s="12" t="s">
        <v>2475</v>
      </c>
      <c r="P281" s="12" t="s">
        <v>170</v>
      </c>
      <c r="Q281" s="12" t="s">
        <v>171</v>
      </c>
      <c r="R281" s="12">
        <v>552045</v>
      </c>
      <c r="S281" s="12" t="s">
        <v>172</v>
      </c>
      <c r="T281" s="206">
        <v>555</v>
      </c>
      <c r="U281" s="206">
        <v>2640</v>
      </c>
      <c r="V281" s="12">
        <v>1.4652000000000001</v>
      </c>
      <c r="W281" s="198">
        <v>80</v>
      </c>
      <c r="X281" s="254">
        <v>4</v>
      </c>
      <c r="Y281" s="12" t="s">
        <v>75</v>
      </c>
      <c r="Z281" s="12"/>
      <c r="AA281" s="12" t="s">
        <v>108</v>
      </c>
      <c r="AB281" s="13" t="s">
        <v>992</v>
      </c>
      <c r="AC281" s="14">
        <v>45956</v>
      </c>
      <c r="AD281" s="15">
        <v>43</v>
      </c>
      <c r="AE281" s="176" t="s">
        <v>3662</v>
      </c>
      <c r="AF281" s="12">
        <v>371009071</v>
      </c>
      <c r="AG281" s="12" t="s">
        <v>122</v>
      </c>
      <c r="AH281" s="12" t="s">
        <v>314</v>
      </c>
      <c r="AI281" s="14">
        <v>45963</v>
      </c>
      <c r="AJ281" s="14">
        <v>45963</v>
      </c>
      <c r="AK281" s="14">
        <v>45963</v>
      </c>
      <c r="AL281" s="14">
        <v>46019</v>
      </c>
      <c r="AM281" s="14">
        <v>46022</v>
      </c>
      <c r="AN281" s="14">
        <v>46025</v>
      </c>
      <c r="AO281" s="91" t="s">
        <v>66</v>
      </c>
      <c r="AP281" s="12" t="s">
        <v>3663</v>
      </c>
      <c r="AQ281" s="12"/>
      <c r="AR281" s="12" t="s">
        <v>3664</v>
      </c>
      <c r="AS281" s="12" t="s">
        <v>3665</v>
      </c>
      <c r="AT281" s="12">
        <v>8899907740</v>
      </c>
      <c r="AU281" s="12">
        <v>56</v>
      </c>
      <c r="AV281" s="12" t="s">
        <v>83</v>
      </c>
      <c r="AW281" s="12">
        <v>5</v>
      </c>
      <c r="AX281" s="12">
        <v>69</v>
      </c>
      <c r="AY281" s="14">
        <v>45963</v>
      </c>
      <c r="AZ281" s="14">
        <v>46025</v>
      </c>
      <c r="BA281" s="12" t="e">
        <v>#N/A</v>
      </c>
      <c r="BB281" s="14" t="s">
        <v>2480</v>
      </c>
      <c r="BC281" s="14">
        <v>46039</v>
      </c>
      <c r="BD281" s="16">
        <v>2026</v>
      </c>
      <c r="BE281" s="16">
        <v>1</v>
      </c>
      <c r="BF281" s="16">
        <v>3</v>
      </c>
      <c r="BG281" s="191">
        <v>33</v>
      </c>
      <c r="BH281" s="191">
        <v>660</v>
      </c>
    </row>
    <row r="282" spans="1:60" s="23" customFormat="1" ht="10">
      <c r="A282" s="11" t="s">
        <v>3666</v>
      </c>
      <c r="B282" s="12" t="s">
        <v>61</v>
      </c>
      <c r="C282" s="12" t="s">
        <v>3115</v>
      </c>
      <c r="D282" s="12" t="s">
        <v>63</v>
      </c>
      <c r="E282" s="12" t="s">
        <v>64</v>
      </c>
      <c r="F282" s="12" t="s">
        <v>65</v>
      </c>
      <c r="G282" s="12" t="s">
        <v>67</v>
      </c>
      <c r="H282" s="12" t="s">
        <v>66</v>
      </c>
      <c r="I282" s="12" t="s">
        <v>96</v>
      </c>
      <c r="J282" s="34" t="s">
        <v>68</v>
      </c>
      <c r="K282" s="12"/>
      <c r="L282" s="13" t="s">
        <v>2474</v>
      </c>
      <c r="M282" s="213" t="s">
        <v>68</v>
      </c>
      <c r="N282" s="182"/>
      <c r="O282" s="12" t="s">
        <v>2475</v>
      </c>
      <c r="P282" s="12" t="s">
        <v>70</v>
      </c>
      <c r="Q282" s="12" t="s">
        <v>860</v>
      </c>
      <c r="R282" s="12">
        <v>554479</v>
      </c>
      <c r="S282" s="12" t="s">
        <v>861</v>
      </c>
      <c r="T282" s="206">
        <v>445</v>
      </c>
      <c r="U282" s="206">
        <v>2808</v>
      </c>
      <c r="V282" s="12">
        <v>1.24956</v>
      </c>
      <c r="W282" s="198">
        <v>78</v>
      </c>
      <c r="X282" s="254">
        <v>3</v>
      </c>
      <c r="Y282" s="12" t="s">
        <v>75</v>
      </c>
      <c r="AA282" s="12" t="s">
        <v>94</v>
      </c>
      <c r="AB282" s="32" t="s">
        <v>967</v>
      </c>
      <c r="AC282" s="14">
        <v>45957</v>
      </c>
      <c r="AD282" s="15">
        <v>44</v>
      </c>
      <c r="AE282" s="176" t="s">
        <v>3667</v>
      </c>
      <c r="AF282" s="12">
        <v>371009072</v>
      </c>
      <c r="AG282" s="12" t="s">
        <v>77</v>
      </c>
      <c r="AH282" s="12" t="s">
        <v>356</v>
      </c>
      <c r="AI282" s="14">
        <v>45963</v>
      </c>
      <c r="AJ282" s="14">
        <v>45963</v>
      </c>
      <c r="AK282" s="14">
        <v>45963</v>
      </c>
      <c r="AL282" s="14">
        <v>46014</v>
      </c>
      <c r="AM282" s="14">
        <v>46015</v>
      </c>
      <c r="AN282" s="14">
        <v>46015</v>
      </c>
      <c r="AO282" s="91" t="s">
        <v>66</v>
      </c>
      <c r="AP282" s="12" t="s">
        <v>3633</v>
      </c>
      <c r="AQ282" s="12"/>
      <c r="AR282" s="12" t="s">
        <v>3668</v>
      </c>
      <c r="AS282" s="12" t="s">
        <v>3669</v>
      </c>
      <c r="AT282" s="12" t="s">
        <v>3669</v>
      </c>
      <c r="AU282" s="12">
        <v>51</v>
      </c>
      <c r="AV282" s="12" t="s">
        <v>83</v>
      </c>
      <c r="AW282" s="12">
        <v>8</v>
      </c>
      <c r="AX282" s="12">
        <v>58</v>
      </c>
      <c r="AY282" s="14">
        <v>45963</v>
      </c>
      <c r="AZ282" s="14">
        <v>46015</v>
      </c>
      <c r="BA282" s="12" t="e">
        <v>#N/A</v>
      </c>
      <c r="BB282" s="14" t="s">
        <v>2480</v>
      </c>
      <c r="BC282" s="14">
        <v>46029</v>
      </c>
      <c r="BD282" s="16">
        <v>2026</v>
      </c>
      <c r="BE282" s="246">
        <v>1</v>
      </c>
      <c r="BF282" s="16">
        <v>2</v>
      </c>
      <c r="BG282" s="191">
        <v>36</v>
      </c>
      <c r="BH282" s="191">
        <v>936</v>
      </c>
    </row>
    <row r="283" spans="1:60" s="23" customFormat="1" ht="10">
      <c r="A283" s="11" t="s">
        <v>3670</v>
      </c>
      <c r="B283" s="12" t="s">
        <v>111</v>
      </c>
      <c r="C283" s="12" t="s">
        <v>3661</v>
      </c>
      <c r="D283" s="12" t="s">
        <v>63</v>
      </c>
      <c r="E283" s="12" t="s">
        <v>64</v>
      </c>
      <c r="F283" s="12" t="s">
        <v>65</v>
      </c>
      <c r="G283" s="12" t="s">
        <v>67</v>
      </c>
      <c r="H283" s="12" t="s">
        <v>66</v>
      </c>
      <c r="I283" s="12" t="s">
        <v>96</v>
      </c>
      <c r="J283" s="34" t="s">
        <v>68</v>
      </c>
      <c r="K283" s="12"/>
      <c r="L283" s="13" t="s">
        <v>2474</v>
      </c>
      <c r="M283" s="213" t="s">
        <v>68</v>
      </c>
      <c r="N283" s="182"/>
      <c r="O283" s="12" t="s">
        <v>2475</v>
      </c>
      <c r="P283" s="12" t="s">
        <v>170</v>
      </c>
      <c r="Q283" s="12" t="s">
        <v>171</v>
      </c>
      <c r="R283" s="12">
        <v>552045</v>
      </c>
      <c r="S283" s="12" t="s">
        <v>172</v>
      </c>
      <c r="T283" s="206">
        <v>555</v>
      </c>
      <c r="U283" s="206">
        <v>2640</v>
      </c>
      <c r="V283" s="12">
        <v>1.4652000000000001</v>
      </c>
      <c r="W283" s="198">
        <v>80</v>
      </c>
      <c r="X283" s="254">
        <v>4</v>
      </c>
      <c r="Y283" s="12" t="s">
        <v>75</v>
      </c>
      <c r="Z283" s="12"/>
      <c r="AA283" s="12" t="s">
        <v>108</v>
      </c>
      <c r="AB283" s="13" t="s">
        <v>992</v>
      </c>
      <c r="AC283" s="14">
        <v>45958</v>
      </c>
      <c r="AD283" s="15">
        <v>44</v>
      </c>
      <c r="AE283" s="288" t="s">
        <v>3671</v>
      </c>
      <c r="AF283" s="12">
        <v>371009070</v>
      </c>
      <c r="AG283" s="12" t="s">
        <v>122</v>
      </c>
      <c r="AH283" s="12" t="s">
        <v>78</v>
      </c>
      <c r="AI283" s="14">
        <v>45969</v>
      </c>
      <c r="AJ283" s="14">
        <v>45969</v>
      </c>
      <c r="AK283" s="14">
        <v>45969</v>
      </c>
      <c r="AL283" s="14">
        <v>46021</v>
      </c>
      <c r="AM283" s="14">
        <v>46026</v>
      </c>
      <c r="AN283" s="14">
        <v>46026</v>
      </c>
      <c r="AO283" s="91" t="s">
        <v>66</v>
      </c>
      <c r="AP283" s="12" t="s">
        <v>3672</v>
      </c>
      <c r="AQ283" s="12"/>
      <c r="AR283" s="12" t="s">
        <v>3673</v>
      </c>
      <c r="AS283" s="12" t="s">
        <v>3674</v>
      </c>
      <c r="AT283" s="12" t="s">
        <v>3674</v>
      </c>
      <c r="AU283" s="12">
        <v>52</v>
      </c>
      <c r="AV283" s="12" t="s">
        <v>83</v>
      </c>
      <c r="AW283" s="12">
        <v>5</v>
      </c>
      <c r="AX283" s="12">
        <v>68</v>
      </c>
      <c r="AY283" s="14">
        <v>45969</v>
      </c>
      <c r="AZ283" s="14">
        <v>46026</v>
      </c>
      <c r="BA283" s="12" t="e">
        <v>#N/A</v>
      </c>
      <c r="BB283" s="14" t="s">
        <v>2480</v>
      </c>
      <c r="BC283" s="14">
        <v>46040</v>
      </c>
      <c r="BD283" s="16">
        <v>2026</v>
      </c>
      <c r="BE283" s="16">
        <v>1</v>
      </c>
      <c r="BF283" s="16">
        <v>3</v>
      </c>
      <c r="BG283" s="191">
        <v>33</v>
      </c>
      <c r="BH283" s="191">
        <v>660</v>
      </c>
    </row>
    <row r="284" spans="1:60" s="23" customFormat="1" ht="10">
      <c r="A284" s="11" t="s">
        <v>3675</v>
      </c>
      <c r="B284" s="12" t="s">
        <v>111</v>
      </c>
      <c r="C284" s="12" t="s">
        <v>548</v>
      </c>
      <c r="D284" s="12" t="s">
        <v>63</v>
      </c>
      <c r="E284" s="12" t="s">
        <v>68</v>
      </c>
      <c r="F284" s="12" t="s">
        <v>68</v>
      </c>
      <c r="G284" s="12"/>
      <c r="H284" s="12" t="s">
        <v>66</v>
      </c>
      <c r="I284" s="12" t="s">
        <v>1292</v>
      </c>
      <c r="J284" s="34" t="s">
        <v>68</v>
      </c>
      <c r="K284" s="12"/>
      <c r="L284" s="13" t="s">
        <v>2831</v>
      </c>
      <c r="M284" s="12" t="s">
        <v>68</v>
      </c>
      <c r="N284" s="182"/>
      <c r="O284" s="12" t="s">
        <v>2475</v>
      </c>
      <c r="P284" s="12" t="s">
        <v>550</v>
      </c>
      <c r="Q284" s="12" t="s">
        <v>551</v>
      </c>
      <c r="R284" s="12">
        <v>553118</v>
      </c>
      <c r="S284" s="12" t="s">
        <v>552</v>
      </c>
      <c r="T284" s="206">
        <v>510</v>
      </c>
      <c r="U284" s="206">
        <v>1584</v>
      </c>
      <c r="V284" s="12">
        <v>0.80784</v>
      </c>
      <c r="W284" s="198">
        <v>44</v>
      </c>
      <c r="X284" s="254">
        <v>2</v>
      </c>
      <c r="Y284" s="12" t="s">
        <v>75</v>
      </c>
      <c r="Z284" s="12"/>
      <c r="AA284" s="12" t="s">
        <v>85</v>
      </c>
      <c r="AB284" s="13" t="s">
        <v>2136</v>
      </c>
      <c r="AC284" s="14">
        <v>45957</v>
      </c>
      <c r="AD284" s="15">
        <v>44</v>
      </c>
      <c r="AE284" s="176" t="s">
        <v>3676</v>
      </c>
      <c r="AF284" s="12">
        <v>371009077</v>
      </c>
      <c r="AG284" s="12" t="s">
        <v>122</v>
      </c>
      <c r="AH284" s="12" t="s">
        <v>456</v>
      </c>
      <c r="AI284" s="14">
        <v>45968</v>
      </c>
      <c r="AJ284" s="14">
        <v>45968</v>
      </c>
      <c r="AK284" s="14">
        <v>45968</v>
      </c>
      <c r="AL284" s="14">
        <v>46014</v>
      </c>
      <c r="AM284" s="14">
        <v>46022</v>
      </c>
      <c r="AN284" s="14">
        <v>46022</v>
      </c>
      <c r="AO284" s="91" t="s">
        <v>66</v>
      </c>
      <c r="AP284" s="12" t="s">
        <v>3677</v>
      </c>
      <c r="AQ284" s="12"/>
      <c r="AR284" s="12" t="s">
        <v>3678</v>
      </c>
      <c r="AS284" s="12" t="s">
        <v>3679</v>
      </c>
      <c r="AT284" s="12" t="s">
        <v>3679</v>
      </c>
      <c r="AU284" s="12">
        <v>46</v>
      </c>
      <c r="AV284" s="12" t="s">
        <v>83</v>
      </c>
      <c r="AW284" s="12">
        <v>18</v>
      </c>
      <c r="AX284" s="12">
        <v>65</v>
      </c>
      <c r="AY284" s="14">
        <v>45968</v>
      </c>
      <c r="AZ284" s="14">
        <v>46022</v>
      </c>
      <c r="BA284" s="12" t="e">
        <v>#N/A</v>
      </c>
      <c r="BB284" s="14" t="s">
        <v>2480</v>
      </c>
      <c r="BC284" s="14">
        <v>46036</v>
      </c>
      <c r="BD284" s="16">
        <v>2026</v>
      </c>
      <c r="BE284" s="16">
        <v>1</v>
      </c>
      <c r="BF284" s="16">
        <v>3</v>
      </c>
      <c r="BG284" s="191">
        <v>36</v>
      </c>
      <c r="BH284" s="191">
        <v>792</v>
      </c>
    </row>
    <row r="285" spans="1:60" s="23" customFormat="1" ht="10">
      <c r="A285" s="11" t="s">
        <v>3680</v>
      </c>
      <c r="B285" s="12" t="s">
        <v>111</v>
      </c>
      <c r="C285" s="12" t="s">
        <v>3661</v>
      </c>
      <c r="D285" s="12" t="s">
        <v>63</v>
      </c>
      <c r="E285" s="12" t="s">
        <v>68</v>
      </c>
      <c r="F285" s="12" t="s">
        <v>68</v>
      </c>
      <c r="G285" s="12"/>
      <c r="H285" s="12" t="s">
        <v>66</v>
      </c>
      <c r="I285" s="12" t="s">
        <v>1292</v>
      </c>
      <c r="J285" s="34" t="s">
        <v>68</v>
      </c>
      <c r="K285" s="12"/>
      <c r="L285" s="13" t="s">
        <v>2831</v>
      </c>
      <c r="M285" s="12" t="s">
        <v>68</v>
      </c>
      <c r="N285" s="182"/>
      <c r="O285" s="12" t="s">
        <v>2475</v>
      </c>
      <c r="P285" s="12" t="s">
        <v>170</v>
      </c>
      <c r="Q285" s="12" t="s">
        <v>171</v>
      </c>
      <c r="R285" s="12">
        <v>552045</v>
      </c>
      <c r="S285" s="12" t="s">
        <v>172</v>
      </c>
      <c r="T285" s="206">
        <v>555</v>
      </c>
      <c r="U285" s="206">
        <v>1320</v>
      </c>
      <c r="V285" s="12">
        <v>0.73260000000000003</v>
      </c>
      <c r="W285" s="198">
        <v>40</v>
      </c>
      <c r="X285" s="254">
        <v>2</v>
      </c>
      <c r="Y285" s="12" t="s">
        <v>75</v>
      </c>
      <c r="Z285" s="12"/>
      <c r="AA285" s="12" t="s">
        <v>108</v>
      </c>
      <c r="AB285" s="13" t="s">
        <v>992</v>
      </c>
      <c r="AC285" s="14">
        <v>45957</v>
      </c>
      <c r="AD285" s="15">
        <v>44</v>
      </c>
      <c r="AE285" s="176" t="s">
        <v>3681</v>
      </c>
      <c r="AF285" s="12">
        <v>371009067</v>
      </c>
      <c r="AG285" s="12" t="s">
        <v>122</v>
      </c>
      <c r="AH285" s="12" t="s">
        <v>456</v>
      </c>
      <c r="AI285" s="14">
        <v>45968</v>
      </c>
      <c r="AJ285" s="14">
        <v>45968</v>
      </c>
      <c r="AK285" s="14">
        <v>45968</v>
      </c>
      <c r="AL285" s="14">
        <v>46014</v>
      </c>
      <c r="AM285" s="14">
        <v>46022</v>
      </c>
      <c r="AN285" s="14">
        <v>46022</v>
      </c>
      <c r="AO285" s="91" t="s">
        <v>66</v>
      </c>
      <c r="AP285" s="12" t="s">
        <v>3677</v>
      </c>
      <c r="AQ285" s="12"/>
      <c r="AR285" s="12" t="s">
        <v>3678</v>
      </c>
      <c r="AS285" s="12" t="s">
        <v>3679</v>
      </c>
      <c r="AT285" s="12" t="s">
        <v>3679</v>
      </c>
      <c r="AU285" s="12">
        <v>46</v>
      </c>
      <c r="AV285" s="12" t="s">
        <v>83</v>
      </c>
      <c r="AW285" s="12">
        <v>5</v>
      </c>
      <c r="AX285" s="12">
        <v>65</v>
      </c>
      <c r="AY285" s="14">
        <v>45968</v>
      </c>
      <c r="AZ285" s="14">
        <v>46022</v>
      </c>
      <c r="BA285" s="12" t="e">
        <v>#N/A</v>
      </c>
      <c r="BB285" s="14" t="s">
        <v>2480</v>
      </c>
      <c r="BC285" s="14">
        <v>46036</v>
      </c>
      <c r="BD285" s="16">
        <v>2026</v>
      </c>
      <c r="BE285" s="16">
        <v>1</v>
      </c>
      <c r="BF285" s="16">
        <v>3</v>
      </c>
      <c r="BG285" s="191">
        <v>33</v>
      </c>
      <c r="BH285" s="191">
        <v>660</v>
      </c>
    </row>
    <row r="286" spans="1:60" s="23" customFormat="1" ht="10">
      <c r="A286" s="11" t="s">
        <v>3682</v>
      </c>
      <c r="B286" s="12" t="s">
        <v>111</v>
      </c>
      <c r="C286" s="12" t="s">
        <v>3661</v>
      </c>
      <c r="D286" s="12" t="s">
        <v>63</v>
      </c>
      <c r="E286" s="12" t="s">
        <v>64</v>
      </c>
      <c r="F286" s="12" t="s">
        <v>65</v>
      </c>
      <c r="G286" s="12" t="s">
        <v>67</v>
      </c>
      <c r="H286" s="12" t="s">
        <v>66</v>
      </c>
      <c r="I286" s="12" t="s">
        <v>96</v>
      </c>
      <c r="J286" s="34" t="s">
        <v>68</v>
      </c>
      <c r="K286" s="12"/>
      <c r="L286" s="13" t="s">
        <v>2474</v>
      </c>
      <c r="M286" s="213" t="s">
        <v>68</v>
      </c>
      <c r="N286" s="182"/>
      <c r="O286" s="12" t="s">
        <v>2475</v>
      </c>
      <c r="P286" s="12" t="s">
        <v>170</v>
      </c>
      <c r="Q286" s="12" t="s">
        <v>171</v>
      </c>
      <c r="R286" s="12">
        <v>552045</v>
      </c>
      <c r="S286" s="12" t="s">
        <v>172</v>
      </c>
      <c r="T286" s="206">
        <v>555</v>
      </c>
      <c r="U286" s="206">
        <v>1980</v>
      </c>
      <c r="V286" s="12">
        <v>1.0989</v>
      </c>
      <c r="W286" s="198">
        <v>60</v>
      </c>
      <c r="X286" s="254">
        <v>3</v>
      </c>
      <c r="Y286" s="12" t="s">
        <v>75</v>
      </c>
      <c r="Z286" s="12"/>
      <c r="AA286" s="12" t="s">
        <v>108</v>
      </c>
      <c r="AB286" s="13" t="s">
        <v>992</v>
      </c>
      <c r="AC286" s="14">
        <v>45958</v>
      </c>
      <c r="AD286" s="15">
        <v>44</v>
      </c>
      <c r="AE286" s="288" t="s">
        <v>3683</v>
      </c>
      <c r="AF286" s="12">
        <v>371009069</v>
      </c>
      <c r="AG286" s="12" t="s">
        <v>122</v>
      </c>
      <c r="AH286" s="12" t="s">
        <v>78</v>
      </c>
      <c r="AI286" s="14">
        <v>45969</v>
      </c>
      <c r="AJ286" s="14">
        <v>45969</v>
      </c>
      <c r="AK286" s="14">
        <v>45969</v>
      </c>
      <c r="AL286" s="14">
        <v>46021</v>
      </c>
      <c r="AM286" s="14">
        <v>46026</v>
      </c>
      <c r="AN286" s="14">
        <v>46026</v>
      </c>
      <c r="AO286" s="91" t="s">
        <v>66</v>
      </c>
      <c r="AP286" s="12" t="s">
        <v>3672</v>
      </c>
      <c r="AQ286" s="12"/>
      <c r="AR286" s="12" t="s">
        <v>3673</v>
      </c>
      <c r="AS286" s="12" t="s">
        <v>3674</v>
      </c>
      <c r="AT286" s="12" t="s">
        <v>3674</v>
      </c>
      <c r="AU286" s="12">
        <v>52</v>
      </c>
      <c r="AV286" s="12" t="s">
        <v>83</v>
      </c>
      <c r="AW286" s="12">
        <v>5</v>
      </c>
      <c r="AX286" s="12">
        <v>68</v>
      </c>
      <c r="AY286" s="14">
        <v>45969</v>
      </c>
      <c r="AZ286" s="14">
        <v>46026</v>
      </c>
      <c r="BA286" s="12" t="e">
        <v>#N/A</v>
      </c>
      <c r="BB286" s="14" t="s">
        <v>2480</v>
      </c>
      <c r="BC286" s="14">
        <v>46040</v>
      </c>
      <c r="BD286" s="16">
        <v>2026</v>
      </c>
      <c r="BE286" s="16">
        <v>1</v>
      </c>
      <c r="BF286" s="16">
        <v>3</v>
      </c>
      <c r="BG286" s="191">
        <v>33</v>
      </c>
      <c r="BH286" s="191">
        <v>660</v>
      </c>
    </row>
    <row r="287" spans="1:60" s="23" customFormat="1" ht="10">
      <c r="A287" s="11" t="s">
        <v>3684</v>
      </c>
      <c r="B287" s="12" t="s">
        <v>61</v>
      </c>
      <c r="C287" s="12" t="s">
        <v>3685</v>
      </c>
      <c r="D287" s="12" t="s">
        <v>63</v>
      </c>
      <c r="E287" s="12" t="s">
        <v>64</v>
      </c>
      <c r="F287" s="12" t="s">
        <v>65</v>
      </c>
      <c r="G287" s="12" t="s">
        <v>67</v>
      </c>
      <c r="H287" s="12" t="s">
        <v>66</v>
      </c>
      <c r="I287" s="12" t="s">
        <v>3686</v>
      </c>
      <c r="J287" s="34" t="s">
        <v>68</v>
      </c>
      <c r="K287" s="12"/>
      <c r="L287" s="13" t="s">
        <v>2474</v>
      </c>
      <c r="M287" s="213" t="s">
        <v>68</v>
      </c>
      <c r="N287" s="182"/>
      <c r="O287" s="12" t="s">
        <v>2475</v>
      </c>
      <c r="P287" s="12" t="s">
        <v>70</v>
      </c>
      <c r="Q287" s="12" t="s">
        <v>71</v>
      </c>
      <c r="R287" s="12">
        <v>554475</v>
      </c>
      <c r="S287" s="12" t="s">
        <v>72</v>
      </c>
      <c r="T287" s="206">
        <v>500</v>
      </c>
      <c r="U287" s="206">
        <v>864</v>
      </c>
      <c r="V287" s="12">
        <v>0.432</v>
      </c>
      <c r="W287" s="198">
        <v>24</v>
      </c>
      <c r="X287" s="254">
        <v>1</v>
      </c>
      <c r="Y287" s="12" t="s">
        <v>75</v>
      </c>
      <c r="Z287" s="12"/>
      <c r="AA287" s="12" t="s">
        <v>2658</v>
      </c>
      <c r="AB287" s="13" t="s">
        <v>967</v>
      </c>
      <c r="AC287" s="14">
        <v>45957</v>
      </c>
      <c r="AD287" s="15">
        <v>44</v>
      </c>
      <c r="AE287" s="176" t="s">
        <v>3687</v>
      </c>
      <c r="AF287" s="12">
        <v>371009080</v>
      </c>
      <c r="AG287" s="12" t="s">
        <v>77</v>
      </c>
      <c r="AH287" s="12" t="s">
        <v>356</v>
      </c>
      <c r="AI287" s="14">
        <v>45963</v>
      </c>
      <c r="AJ287" s="14">
        <v>45963</v>
      </c>
      <c r="AK287" s="14">
        <v>45963</v>
      </c>
      <c r="AL287" s="14">
        <v>46014</v>
      </c>
      <c r="AM287" s="14">
        <v>46015</v>
      </c>
      <c r="AN287" s="14">
        <v>46015</v>
      </c>
      <c r="AO287" s="91" t="s">
        <v>66</v>
      </c>
      <c r="AP287" s="12" t="s">
        <v>3633</v>
      </c>
      <c r="AQ287" s="12"/>
      <c r="AR287" s="12" t="s">
        <v>3668</v>
      </c>
      <c r="AS287" s="12" t="s">
        <v>3669</v>
      </c>
      <c r="AT287" s="12" t="s">
        <v>3669</v>
      </c>
      <c r="AU287" s="12">
        <v>51</v>
      </c>
      <c r="AV287" s="12" t="s">
        <v>83</v>
      </c>
      <c r="AW287" s="12">
        <v>2</v>
      </c>
      <c r="AX287" s="12">
        <v>58</v>
      </c>
      <c r="AY287" s="14">
        <v>45963</v>
      </c>
      <c r="AZ287" s="14">
        <v>46015</v>
      </c>
      <c r="BA287" s="12" t="e">
        <v>#N/A</v>
      </c>
      <c r="BB287" s="14" t="s">
        <v>2480</v>
      </c>
      <c r="BC287" s="14">
        <v>46029</v>
      </c>
      <c r="BD287" s="16">
        <v>2026</v>
      </c>
      <c r="BE287" s="246">
        <v>1</v>
      </c>
      <c r="BF287" s="16">
        <v>2</v>
      </c>
      <c r="BG287" s="191">
        <v>36</v>
      </c>
      <c r="BH287" s="191">
        <v>864</v>
      </c>
    </row>
    <row r="288" spans="1:60" s="23" customFormat="1" ht="10">
      <c r="A288" s="11" t="s">
        <v>3688</v>
      </c>
      <c r="B288" s="12" t="s">
        <v>111</v>
      </c>
      <c r="C288" s="12" t="s">
        <v>3541</v>
      </c>
      <c r="D288" s="12" t="s">
        <v>113</v>
      </c>
      <c r="E288" s="12" t="s">
        <v>68</v>
      </c>
      <c r="F288" s="12" t="s">
        <v>68</v>
      </c>
      <c r="G288" s="12"/>
      <c r="H288" s="12" t="s">
        <v>66</v>
      </c>
      <c r="I288" s="12" t="s">
        <v>3536</v>
      </c>
      <c r="J288" s="34" t="s">
        <v>68</v>
      </c>
      <c r="K288" s="12">
        <v>16102578</v>
      </c>
      <c r="L288" s="13" t="s">
        <v>2482</v>
      </c>
      <c r="M288" s="12" t="s">
        <v>68</v>
      </c>
      <c r="N288" s="182"/>
      <c r="O288" s="12" t="s">
        <v>2475</v>
      </c>
      <c r="P288" s="12" t="s">
        <v>70</v>
      </c>
      <c r="Q288" s="12" t="s">
        <v>1347</v>
      </c>
      <c r="R288" s="12">
        <v>554471</v>
      </c>
      <c r="S288" s="12" t="s">
        <v>1348</v>
      </c>
      <c r="T288" s="206">
        <v>710</v>
      </c>
      <c r="U288" s="206">
        <v>363</v>
      </c>
      <c r="V288" s="12">
        <v>0.25773000000000001</v>
      </c>
      <c r="W288" s="198">
        <v>11</v>
      </c>
      <c r="X288" s="254">
        <v>0.61111111111111116</v>
      </c>
      <c r="Y288" s="12" t="s">
        <v>75</v>
      </c>
      <c r="Z288" s="12"/>
      <c r="AA288" s="12" t="s">
        <v>108</v>
      </c>
      <c r="AB288" s="13" t="s">
        <v>3537</v>
      </c>
      <c r="AC288" s="14">
        <v>45961</v>
      </c>
      <c r="AD288" s="15">
        <v>44</v>
      </c>
      <c r="AE288" s="176" t="s">
        <v>3689</v>
      </c>
      <c r="AF288" s="12">
        <v>371009075</v>
      </c>
      <c r="AG288" s="12" t="s">
        <v>122</v>
      </c>
      <c r="AH288" s="12" t="s">
        <v>124</v>
      </c>
      <c r="AI288" s="14">
        <v>45973</v>
      </c>
      <c r="AJ288" s="14">
        <v>45973</v>
      </c>
      <c r="AK288" s="14">
        <v>45973</v>
      </c>
      <c r="AL288" s="14">
        <v>46015</v>
      </c>
      <c r="AM288" s="14">
        <v>46017</v>
      </c>
      <c r="AN288" s="14">
        <v>46017</v>
      </c>
      <c r="AO288" s="91" t="s">
        <v>66</v>
      </c>
      <c r="AP288" s="12" t="s">
        <v>3690</v>
      </c>
      <c r="AQ288" s="12"/>
      <c r="AR288" s="12" t="s">
        <v>3691</v>
      </c>
      <c r="AS288" s="12" t="s">
        <v>3692</v>
      </c>
      <c r="AT288" s="12" t="s">
        <v>3692</v>
      </c>
      <c r="AU288" s="12">
        <v>42</v>
      </c>
      <c r="AV288" s="12"/>
      <c r="AW288" s="12">
        <v>5</v>
      </c>
      <c r="AX288" s="12">
        <v>56</v>
      </c>
      <c r="AY288" s="14">
        <v>45973</v>
      </c>
      <c r="AZ288" s="14">
        <v>46017</v>
      </c>
      <c r="BA288" s="12" t="e">
        <v>#N/A</v>
      </c>
      <c r="BB288" s="14" t="s">
        <v>2480</v>
      </c>
      <c r="BC288" s="14">
        <v>46031</v>
      </c>
      <c r="BD288" s="16">
        <v>2026</v>
      </c>
      <c r="BE288" s="246">
        <v>1</v>
      </c>
      <c r="BF288" s="16">
        <v>2</v>
      </c>
      <c r="BG288" s="191">
        <v>33</v>
      </c>
      <c r="BH288" s="191">
        <v>594</v>
      </c>
    </row>
    <row r="289" spans="1:60" s="23" customFormat="1" ht="10">
      <c r="A289" s="11" t="s">
        <v>3693</v>
      </c>
      <c r="B289" s="12" t="s">
        <v>111</v>
      </c>
      <c r="C289" s="12" t="s">
        <v>3535</v>
      </c>
      <c r="D289" s="12" t="s">
        <v>113</v>
      </c>
      <c r="E289" s="12" t="s">
        <v>68</v>
      </c>
      <c r="F289" s="12" t="s">
        <v>68</v>
      </c>
      <c r="G289" s="12"/>
      <c r="H289" s="12" t="s">
        <v>66</v>
      </c>
      <c r="I289" s="12" t="s">
        <v>3536</v>
      </c>
      <c r="J289" s="34" t="s">
        <v>68</v>
      </c>
      <c r="K289" s="12">
        <v>16102578</v>
      </c>
      <c r="L289" s="13" t="s">
        <v>2482</v>
      </c>
      <c r="M289" s="12" t="s">
        <v>68</v>
      </c>
      <c r="N289" s="182"/>
      <c r="O289" s="12" t="s">
        <v>2475</v>
      </c>
      <c r="P289" s="12" t="s">
        <v>70</v>
      </c>
      <c r="Q289" s="12" t="s">
        <v>1355</v>
      </c>
      <c r="R289" s="12">
        <v>554472</v>
      </c>
      <c r="S289" s="12" t="s">
        <v>1356</v>
      </c>
      <c r="T289" s="206">
        <v>715</v>
      </c>
      <c r="U289" s="206">
        <v>231</v>
      </c>
      <c r="V289" s="12">
        <v>0.16516500000000001</v>
      </c>
      <c r="W289" s="198">
        <v>7</v>
      </c>
      <c r="X289" s="254">
        <v>0.3888888888888889</v>
      </c>
      <c r="Y289" s="12" t="s">
        <v>75</v>
      </c>
      <c r="Z289" s="12"/>
      <c r="AA289" s="12" t="s">
        <v>108</v>
      </c>
      <c r="AB289" s="13" t="s">
        <v>3537</v>
      </c>
      <c r="AC289" s="14">
        <v>45961</v>
      </c>
      <c r="AD289" s="15">
        <v>44</v>
      </c>
      <c r="AE289" s="176" t="s">
        <v>3694</v>
      </c>
      <c r="AF289" s="12">
        <v>371009076</v>
      </c>
      <c r="AG289" s="12" t="s">
        <v>122</v>
      </c>
      <c r="AH289" s="12" t="s">
        <v>124</v>
      </c>
      <c r="AI289" s="14">
        <v>45973</v>
      </c>
      <c r="AJ289" s="14">
        <v>45973</v>
      </c>
      <c r="AK289" s="14">
        <v>45973</v>
      </c>
      <c r="AL289" s="14">
        <v>46015</v>
      </c>
      <c r="AM289" s="14">
        <v>46017</v>
      </c>
      <c r="AN289" s="14">
        <v>46017</v>
      </c>
      <c r="AO289" s="91" t="s">
        <v>66</v>
      </c>
      <c r="AP289" s="12" t="s">
        <v>3690</v>
      </c>
      <c r="AQ289" s="12"/>
      <c r="AR289" s="12" t="s">
        <v>3691</v>
      </c>
      <c r="AS289" s="12" t="s">
        <v>3692</v>
      </c>
      <c r="AT289" s="12" t="s">
        <v>3692</v>
      </c>
      <c r="AU289" s="12">
        <v>42</v>
      </c>
      <c r="AV289" s="12"/>
      <c r="AW289" s="12">
        <v>3</v>
      </c>
      <c r="AX289" s="12">
        <v>56</v>
      </c>
      <c r="AY289" s="14">
        <v>45973</v>
      </c>
      <c r="AZ289" s="14">
        <v>46017</v>
      </c>
      <c r="BA289" s="12" t="e">
        <v>#N/A</v>
      </c>
      <c r="BB289" s="14" t="s">
        <v>2480</v>
      </c>
      <c r="BC289" s="14">
        <v>46031</v>
      </c>
      <c r="BD289" s="16">
        <v>2026</v>
      </c>
      <c r="BE289" s="246">
        <v>1</v>
      </c>
      <c r="BF289" s="16">
        <v>2</v>
      </c>
      <c r="BG289" s="191">
        <v>33</v>
      </c>
      <c r="BH289" s="191">
        <v>594</v>
      </c>
    </row>
    <row r="290" spans="1:60" s="23" customFormat="1" ht="10">
      <c r="A290" s="11" t="s">
        <v>3695</v>
      </c>
      <c r="B290" s="12" t="s">
        <v>111</v>
      </c>
      <c r="C290" s="12" t="s">
        <v>3547</v>
      </c>
      <c r="D290" s="12" t="s">
        <v>113</v>
      </c>
      <c r="E290" s="12" t="s">
        <v>68</v>
      </c>
      <c r="F290" s="12" t="s">
        <v>68</v>
      </c>
      <c r="G290" s="12"/>
      <c r="H290" s="12" t="s">
        <v>66</v>
      </c>
      <c r="I290" s="12" t="s">
        <v>3536</v>
      </c>
      <c r="J290" s="34" t="s">
        <v>68</v>
      </c>
      <c r="K290" s="12">
        <v>16102578</v>
      </c>
      <c r="L290" s="13" t="s">
        <v>2482</v>
      </c>
      <c r="M290" s="12" t="s">
        <v>68</v>
      </c>
      <c r="N290" s="182"/>
      <c r="O290" s="12" t="s">
        <v>2475</v>
      </c>
      <c r="P290" s="12" t="s">
        <v>70</v>
      </c>
      <c r="Q290" s="12" t="s">
        <v>3548</v>
      </c>
      <c r="R290" s="12">
        <v>554812</v>
      </c>
      <c r="S290" s="12" t="s">
        <v>3549</v>
      </c>
      <c r="T290" s="206">
        <v>705</v>
      </c>
      <c r="U290" s="206">
        <v>429</v>
      </c>
      <c r="V290" s="12">
        <v>0.30244500000000002</v>
      </c>
      <c r="W290" s="198">
        <v>13</v>
      </c>
      <c r="X290" s="254">
        <v>0.72222222222222221</v>
      </c>
      <c r="Y290" s="12" t="s">
        <v>75</v>
      </c>
      <c r="Z290" s="12"/>
      <c r="AA290" s="12" t="s">
        <v>108</v>
      </c>
      <c r="AB290" s="13" t="s">
        <v>3537</v>
      </c>
      <c r="AC290" s="14">
        <v>45961</v>
      </c>
      <c r="AD290" s="15">
        <v>44</v>
      </c>
      <c r="AE290" s="176" t="s">
        <v>3696</v>
      </c>
      <c r="AF290" s="12">
        <v>371009074</v>
      </c>
      <c r="AG290" s="12" t="s">
        <v>122</v>
      </c>
      <c r="AH290" s="12" t="s">
        <v>124</v>
      </c>
      <c r="AI290" s="14">
        <v>45973</v>
      </c>
      <c r="AJ290" s="14">
        <v>45973</v>
      </c>
      <c r="AK290" s="14">
        <v>45973</v>
      </c>
      <c r="AL290" s="14">
        <v>46015</v>
      </c>
      <c r="AM290" s="14">
        <v>46017</v>
      </c>
      <c r="AN290" s="14">
        <v>46017</v>
      </c>
      <c r="AO290" s="91" t="s">
        <v>66</v>
      </c>
      <c r="AP290" s="12" t="s">
        <v>3690</v>
      </c>
      <c r="AQ290" s="12"/>
      <c r="AR290" s="12" t="s">
        <v>3691</v>
      </c>
      <c r="AS290" s="12" t="s">
        <v>3692</v>
      </c>
      <c r="AT290" s="12" t="s">
        <v>3692</v>
      </c>
      <c r="AU290" s="12">
        <v>42</v>
      </c>
      <c r="AV290" s="12"/>
      <c r="AW290" s="12">
        <v>3</v>
      </c>
      <c r="AX290" s="12">
        <v>56</v>
      </c>
      <c r="AY290" s="14">
        <v>45973</v>
      </c>
      <c r="AZ290" s="14">
        <v>46017</v>
      </c>
      <c r="BA290" s="12" t="e">
        <v>#N/A</v>
      </c>
      <c r="BB290" s="14" t="s">
        <v>2480</v>
      </c>
      <c r="BC290" s="14">
        <v>46031</v>
      </c>
      <c r="BD290" s="16">
        <v>2026</v>
      </c>
      <c r="BE290" s="246">
        <v>1</v>
      </c>
      <c r="BF290" s="16">
        <v>2</v>
      </c>
      <c r="BG290" s="191">
        <v>33</v>
      </c>
      <c r="BH290" s="191">
        <v>594</v>
      </c>
    </row>
    <row r="291" spans="1:60" s="23" customFormat="1" ht="10">
      <c r="A291" s="11" t="s">
        <v>3697</v>
      </c>
      <c r="B291" s="12" t="s">
        <v>111</v>
      </c>
      <c r="C291" s="12" t="s">
        <v>3541</v>
      </c>
      <c r="D291" s="12" t="s">
        <v>113</v>
      </c>
      <c r="E291" s="12" t="s">
        <v>68</v>
      </c>
      <c r="F291" s="12" t="s">
        <v>68</v>
      </c>
      <c r="G291" s="12"/>
      <c r="H291" s="12" t="s">
        <v>66</v>
      </c>
      <c r="I291" s="12" t="s">
        <v>3536</v>
      </c>
      <c r="J291" s="34" t="s">
        <v>68</v>
      </c>
      <c r="K291" s="12">
        <v>16102578</v>
      </c>
      <c r="L291" s="13" t="s">
        <v>2482</v>
      </c>
      <c r="M291" s="12" t="s">
        <v>68</v>
      </c>
      <c r="N291" s="182"/>
      <c r="O291" s="12" t="s">
        <v>2475</v>
      </c>
      <c r="P291" s="12" t="s">
        <v>70</v>
      </c>
      <c r="Q291" s="12" t="s">
        <v>1347</v>
      </c>
      <c r="R291" s="12">
        <v>554471</v>
      </c>
      <c r="S291" s="12" t="s">
        <v>1348</v>
      </c>
      <c r="T291" s="206">
        <v>710</v>
      </c>
      <c r="U291" s="206">
        <v>3564</v>
      </c>
      <c r="V291" s="12">
        <v>2.53044</v>
      </c>
      <c r="W291" s="198">
        <v>108</v>
      </c>
      <c r="X291" s="254">
        <v>6</v>
      </c>
      <c r="Y291" s="12" t="s">
        <v>75</v>
      </c>
      <c r="Z291" s="12"/>
      <c r="AA291" s="12" t="s">
        <v>108</v>
      </c>
      <c r="AB291" s="13" t="s">
        <v>3537</v>
      </c>
      <c r="AC291" s="14">
        <v>45961</v>
      </c>
      <c r="AD291" s="15">
        <v>44</v>
      </c>
      <c r="AE291" s="176" t="s">
        <v>3689</v>
      </c>
      <c r="AF291" s="12">
        <v>371009075</v>
      </c>
      <c r="AG291" s="12" t="s">
        <v>122</v>
      </c>
      <c r="AH291" s="12" t="s">
        <v>124</v>
      </c>
      <c r="AI291" s="14">
        <v>45973</v>
      </c>
      <c r="AJ291" s="14">
        <v>45973</v>
      </c>
      <c r="AK291" s="14">
        <v>45973</v>
      </c>
      <c r="AL291" s="14">
        <v>46015</v>
      </c>
      <c r="AM291" s="14">
        <v>46017</v>
      </c>
      <c r="AN291" s="14">
        <v>46017</v>
      </c>
      <c r="AO291" s="91" t="s">
        <v>66</v>
      </c>
      <c r="AP291" s="12" t="s">
        <v>3690</v>
      </c>
      <c r="AQ291" s="12"/>
      <c r="AR291" s="12" t="s">
        <v>3691</v>
      </c>
      <c r="AS291" s="12" t="s">
        <v>3692</v>
      </c>
      <c r="AT291" s="12" t="s">
        <v>3692</v>
      </c>
      <c r="AU291" s="12">
        <v>42</v>
      </c>
      <c r="AV291" s="12"/>
      <c r="AW291" s="12">
        <v>5</v>
      </c>
      <c r="AX291" s="12">
        <v>56</v>
      </c>
      <c r="AY291" s="14">
        <v>45973</v>
      </c>
      <c r="AZ291" s="14">
        <v>46017</v>
      </c>
      <c r="BA291" s="12" t="e">
        <v>#N/A</v>
      </c>
      <c r="BB291" s="14" t="s">
        <v>2480</v>
      </c>
      <c r="BC291" s="14">
        <v>46031</v>
      </c>
      <c r="BD291" s="16">
        <v>2026</v>
      </c>
      <c r="BE291" s="246">
        <v>1</v>
      </c>
      <c r="BF291" s="16">
        <v>2</v>
      </c>
      <c r="BG291" s="191">
        <v>33</v>
      </c>
      <c r="BH291" s="191">
        <v>594</v>
      </c>
    </row>
    <row r="292" spans="1:60" s="23" customFormat="1" ht="10">
      <c r="A292" s="11" t="s">
        <v>3698</v>
      </c>
      <c r="B292" s="12" t="s">
        <v>111</v>
      </c>
      <c r="C292" s="12" t="s">
        <v>3541</v>
      </c>
      <c r="D292" s="12" t="s">
        <v>113</v>
      </c>
      <c r="E292" s="12" t="s">
        <v>68</v>
      </c>
      <c r="F292" s="12" t="s">
        <v>68</v>
      </c>
      <c r="G292" s="12"/>
      <c r="H292" s="12" t="s">
        <v>66</v>
      </c>
      <c r="I292" s="12" t="s">
        <v>3536</v>
      </c>
      <c r="J292" s="34" t="s">
        <v>68</v>
      </c>
      <c r="K292" s="12">
        <v>16102578</v>
      </c>
      <c r="L292" s="13" t="s">
        <v>2482</v>
      </c>
      <c r="M292" s="12" t="s">
        <v>68</v>
      </c>
      <c r="N292" s="182"/>
      <c r="O292" s="12" t="s">
        <v>2475</v>
      </c>
      <c r="P292" s="12" t="s">
        <v>70</v>
      </c>
      <c r="Q292" s="12" t="s">
        <v>1347</v>
      </c>
      <c r="R292" s="12">
        <v>554471</v>
      </c>
      <c r="S292" s="12" t="s">
        <v>1348</v>
      </c>
      <c r="T292" s="206">
        <v>710</v>
      </c>
      <c r="U292" s="206">
        <v>165</v>
      </c>
      <c r="V292" s="12">
        <v>0.11715</v>
      </c>
      <c r="W292" s="198">
        <v>5</v>
      </c>
      <c r="X292" s="254">
        <v>0.27777777777777779</v>
      </c>
      <c r="Y292" s="12" t="s">
        <v>75</v>
      </c>
      <c r="Z292" s="12"/>
      <c r="AA292" s="12" t="s">
        <v>108</v>
      </c>
      <c r="AB292" s="13" t="s">
        <v>3537</v>
      </c>
      <c r="AC292" s="14">
        <v>45961</v>
      </c>
      <c r="AD292" s="15">
        <v>44</v>
      </c>
      <c r="AE292" s="176" t="s">
        <v>3689</v>
      </c>
      <c r="AF292" s="12">
        <v>371009075</v>
      </c>
      <c r="AG292" s="12" t="s">
        <v>122</v>
      </c>
      <c r="AH292" s="12" t="s">
        <v>124</v>
      </c>
      <c r="AI292" s="14">
        <v>45973</v>
      </c>
      <c r="AJ292" s="14">
        <v>45973</v>
      </c>
      <c r="AK292" s="14">
        <v>45973</v>
      </c>
      <c r="AL292" s="14">
        <v>46015</v>
      </c>
      <c r="AM292" s="14">
        <v>46017</v>
      </c>
      <c r="AN292" s="14">
        <v>46017</v>
      </c>
      <c r="AO292" s="91" t="s">
        <v>66</v>
      </c>
      <c r="AP292" s="12" t="s">
        <v>3690</v>
      </c>
      <c r="AQ292" s="12"/>
      <c r="AR292" s="12" t="s">
        <v>3691</v>
      </c>
      <c r="AS292" s="12" t="s">
        <v>3692</v>
      </c>
      <c r="AT292" s="12" t="s">
        <v>3692</v>
      </c>
      <c r="AU292" s="12">
        <v>42</v>
      </c>
      <c r="AV292" s="12"/>
      <c r="AW292" s="12">
        <v>5</v>
      </c>
      <c r="AX292" s="12">
        <v>56</v>
      </c>
      <c r="AY292" s="14">
        <v>45973</v>
      </c>
      <c r="AZ292" s="14">
        <v>46017</v>
      </c>
      <c r="BA292" s="12" t="e">
        <v>#N/A</v>
      </c>
      <c r="BB292" s="14" t="s">
        <v>2480</v>
      </c>
      <c r="BC292" s="14">
        <v>46031</v>
      </c>
      <c r="BD292" s="16">
        <v>2026</v>
      </c>
      <c r="BE292" s="246">
        <v>1</v>
      </c>
      <c r="BF292" s="16">
        <v>2</v>
      </c>
      <c r="BG292" s="191">
        <v>33</v>
      </c>
      <c r="BH292" s="191">
        <v>594</v>
      </c>
    </row>
    <row r="293" spans="1:60" s="23" customFormat="1" ht="10">
      <c r="A293" s="11" t="s">
        <v>3699</v>
      </c>
      <c r="B293" s="12" t="s">
        <v>111</v>
      </c>
      <c r="C293" s="12" t="s">
        <v>3661</v>
      </c>
      <c r="D293" s="12" t="s">
        <v>63</v>
      </c>
      <c r="E293" s="12" t="s">
        <v>64</v>
      </c>
      <c r="F293" s="12" t="s">
        <v>100</v>
      </c>
      <c r="G293" s="12" t="s">
        <v>67</v>
      </c>
      <c r="H293" s="12" t="s">
        <v>66</v>
      </c>
      <c r="I293" s="12" t="s">
        <v>96</v>
      </c>
      <c r="J293" s="34" t="s">
        <v>68</v>
      </c>
      <c r="K293" s="12"/>
      <c r="L293" s="13" t="s">
        <v>2474</v>
      </c>
      <c r="M293" s="213" t="s">
        <v>68</v>
      </c>
      <c r="N293" s="182"/>
      <c r="O293" s="12" t="s">
        <v>2475</v>
      </c>
      <c r="P293" s="12" t="s">
        <v>170</v>
      </c>
      <c r="Q293" s="12" t="s">
        <v>171</v>
      </c>
      <c r="R293" s="12">
        <v>552045</v>
      </c>
      <c r="S293" s="12" t="s">
        <v>172</v>
      </c>
      <c r="T293" s="206">
        <v>555</v>
      </c>
      <c r="U293" s="206">
        <v>1320</v>
      </c>
      <c r="V293" s="12">
        <v>0.73260000000000003</v>
      </c>
      <c r="W293" s="198">
        <v>40</v>
      </c>
      <c r="X293" s="254">
        <v>2</v>
      </c>
      <c r="Y293" s="12" t="s">
        <v>75</v>
      </c>
      <c r="Z293" s="12"/>
      <c r="AA293" s="12" t="s">
        <v>108</v>
      </c>
      <c r="AB293" s="13" t="s">
        <v>992</v>
      </c>
      <c r="AC293" s="14">
        <v>45957</v>
      </c>
      <c r="AD293" s="15">
        <v>44</v>
      </c>
      <c r="AE293" s="176" t="s">
        <v>3700</v>
      </c>
      <c r="AF293" s="12">
        <v>371009068</v>
      </c>
      <c r="AG293" s="12" t="s">
        <v>122</v>
      </c>
      <c r="AH293" s="12" t="s">
        <v>105</v>
      </c>
      <c r="AI293" s="14">
        <v>45963</v>
      </c>
      <c r="AJ293" s="14">
        <v>45963</v>
      </c>
      <c r="AK293" s="14">
        <v>45963</v>
      </c>
      <c r="AL293" s="14">
        <v>46004</v>
      </c>
      <c r="AM293" s="14"/>
      <c r="AN293" s="14">
        <v>46004</v>
      </c>
      <c r="AO293" s="91" t="s">
        <v>66</v>
      </c>
      <c r="AP293" s="12" t="s">
        <v>3701</v>
      </c>
      <c r="AQ293" s="12"/>
      <c r="AR293" s="12" t="s">
        <v>3702</v>
      </c>
      <c r="AS293" s="12" t="s">
        <v>3703</v>
      </c>
      <c r="AT293" s="12" t="s">
        <v>3703</v>
      </c>
      <c r="AU293" s="12">
        <v>41</v>
      </c>
      <c r="AV293" s="12" t="s">
        <v>83</v>
      </c>
      <c r="AW293" s="12">
        <v>5</v>
      </c>
      <c r="AX293" s="12">
        <v>47</v>
      </c>
      <c r="AY293" s="14">
        <v>45963</v>
      </c>
      <c r="AZ293" s="14">
        <v>46004</v>
      </c>
      <c r="BA293" s="12" t="e">
        <v>#N/A</v>
      </c>
      <c r="BB293" s="14" t="s">
        <v>2480</v>
      </c>
      <c r="BC293" s="14">
        <v>46018</v>
      </c>
      <c r="BD293" s="16">
        <v>2025</v>
      </c>
      <c r="BE293" s="16">
        <v>12</v>
      </c>
      <c r="BF293" s="16">
        <v>52</v>
      </c>
      <c r="BG293" s="191">
        <v>33</v>
      </c>
      <c r="BH293" s="191">
        <v>660</v>
      </c>
    </row>
    <row r="294" spans="1:60" s="23" customFormat="1" ht="10">
      <c r="A294" s="11" t="s">
        <v>3704</v>
      </c>
      <c r="B294" s="12" t="s">
        <v>111</v>
      </c>
      <c r="C294" s="12" t="s">
        <v>3535</v>
      </c>
      <c r="D294" s="12" t="s">
        <v>113</v>
      </c>
      <c r="E294" s="12" t="s">
        <v>68</v>
      </c>
      <c r="F294" s="12" t="s">
        <v>68</v>
      </c>
      <c r="G294" s="12"/>
      <c r="H294" s="12" t="s">
        <v>66</v>
      </c>
      <c r="I294" s="12" t="s">
        <v>3536</v>
      </c>
      <c r="J294" s="34" t="s">
        <v>68</v>
      </c>
      <c r="K294" s="12">
        <v>16102578</v>
      </c>
      <c r="L294" s="13" t="s">
        <v>2482</v>
      </c>
      <c r="M294" s="12" t="s">
        <v>68</v>
      </c>
      <c r="N294" s="182"/>
      <c r="O294" s="12" t="s">
        <v>2475</v>
      </c>
      <c r="P294" s="12" t="s">
        <v>70</v>
      </c>
      <c r="Q294" s="12" t="s">
        <v>1355</v>
      </c>
      <c r="R294" s="12">
        <v>554472</v>
      </c>
      <c r="S294" s="12" t="s">
        <v>1356</v>
      </c>
      <c r="T294" s="206">
        <v>715</v>
      </c>
      <c r="U294" s="206">
        <v>2376</v>
      </c>
      <c r="V294" s="12">
        <v>1.6988399999999999</v>
      </c>
      <c r="W294" s="198">
        <v>72</v>
      </c>
      <c r="X294" s="254">
        <v>4</v>
      </c>
      <c r="Y294" s="12" t="s">
        <v>75</v>
      </c>
      <c r="Z294" s="12"/>
      <c r="AA294" s="12" t="s">
        <v>108</v>
      </c>
      <c r="AB294" s="13" t="s">
        <v>3537</v>
      </c>
      <c r="AC294" s="14">
        <v>45961</v>
      </c>
      <c r="AD294" s="15">
        <v>44</v>
      </c>
      <c r="AE294" s="176" t="s">
        <v>3694</v>
      </c>
      <c r="AF294" s="12">
        <v>371009076</v>
      </c>
      <c r="AG294" s="12" t="s">
        <v>122</v>
      </c>
      <c r="AH294" s="12" t="s">
        <v>124</v>
      </c>
      <c r="AI294" s="14">
        <v>45973</v>
      </c>
      <c r="AJ294" s="14">
        <v>45973</v>
      </c>
      <c r="AK294" s="14">
        <v>45973</v>
      </c>
      <c r="AL294" s="14">
        <v>46015</v>
      </c>
      <c r="AM294" s="14">
        <v>46017</v>
      </c>
      <c r="AN294" s="14">
        <v>46017</v>
      </c>
      <c r="AO294" s="91" t="s">
        <v>66</v>
      </c>
      <c r="AP294" s="12" t="s">
        <v>3690</v>
      </c>
      <c r="AQ294" s="12"/>
      <c r="AR294" s="12" t="s">
        <v>3691</v>
      </c>
      <c r="AS294" s="12" t="s">
        <v>3692</v>
      </c>
      <c r="AT294" s="12" t="s">
        <v>3692</v>
      </c>
      <c r="AU294" s="12">
        <v>42</v>
      </c>
      <c r="AV294" s="12"/>
      <c r="AW294" s="12">
        <v>3</v>
      </c>
      <c r="AX294" s="12">
        <v>56</v>
      </c>
      <c r="AY294" s="14">
        <v>45973</v>
      </c>
      <c r="AZ294" s="14">
        <v>46017</v>
      </c>
      <c r="BA294" s="12" t="e">
        <v>#N/A</v>
      </c>
      <c r="BB294" s="14" t="s">
        <v>2480</v>
      </c>
      <c r="BC294" s="14">
        <v>46031</v>
      </c>
      <c r="BD294" s="16">
        <v>2026</v>
      </c>
      <c r="BE294" s="246">
        <v>1</v>
      </c>
      <c r="BF294" s="16">
        <v>2</v>
      </c>
      <c r="BG294" s="191">
        <v>33</v>
      </c>
      <c r="BH294" s="191">
        <v>594</v>
      </c>
    </row>
    <row r="295" spans="1:60" s="23" customFormat="1" ht="10">
      <c r="A295" s="11" t="s">
        <v>3705</v>
      </c>
      <c r="B295" s="12" t="s">
        <v>61</v>
      </c>
      <c r="C295" s="12" t="s">
        <v>3115</v>
      </c>
      <c r="D295" s="12" t="s">
        <v>63</v>
      </c>
      <c r="E295" s="12" t="s">
        <v>64</v>
      </c>
      <c r="F295" s="12" t="s">
        <v>65</v>
      </c>
      <c r="G295" s="12" t="s">
        <v>67</v>
      </c>
      <c r="H295" s="12" t="s">
        <v>66</v>
      </c>
      <c r="I295" s="12" t="s">
        <v>96</v>
      </c>
      <c r="J295" s="34" t="s">
        <v>68</v>
      </c>
      <c r="K295" s="12"/>
      <c r="L295" s="13" t="s">
        <v>2474</v>
      </c>
      <c r="M295" s="213" t="s">
        <v>68</v>
      </c>
      <c r="N295" s="182"/>
      <c r="O295" s="12" t="s">
        <v>2475</v>
      </c>
      <c r="P295" s="12" t="s">
        <v>70</v>
      </c>
      <c r="Q295" s="12" t="s">
        <v>860</v>
      </c>
      <c r="R295" s="12">
        <v>554479</v>
      </c>
      <c r="S295" s="12" t="s">
        <v>861</v>
      </c>
      <c r="T295" s="206">
        <v>445</v>
      </c>
      <c r="U295" s="206">
        <v>1872</v>
      </c>
      <c r="V295" s="12">
        <v>0.83304</v>
      </c>
      <c r="W295" s="198">
        <v>52</v>
      </c>
      <c r="X295" s="254">
        <v>2</v>
      </c>
      <c r="Y295" s="12" t="s">
        <v>75</v>
      </c>
      <c r="AA295" s="12" t="s">
        <v>94</v>
      </c>
      <c r="AB295" s="32" t="s">
        <v>967</v>
      </c>
      <c r="AC295" s="14">
        <v>45957</v>
      </c>
      <c r="AD295" s="15">
        <v>44</v>
      </c>
      <c r="AE295" s="176" t="s">
        <v>3706</v>
      </c>
      <c r="AF295" s="12">
        <v>371009073</v>
      </c>
      <c r="AG295" s="12" t="s">
        <v>77</v>
      </c>
      <c r="AH295" s="12" t="s">
        <v>78</v>
      </c>
      <c r="AI295" s="14">
        <v>45963</v>
      </c>
      <c r="AJ295" s="14">
        <v>45963</v>
      </c>
      <c r="AK295" s="14">
        <v>45963</v>
      </c>
      <c r="AL295" s="14">
        <v>46024</v>
      </c>
      <c r="AM295" s="14">
        <v>46041</v>
      </c>
      <c r="AN295" s="14">
        <v>46041</v>
      </c>
      <c r="AO295" s="91" t="s">
        <v>66</v>
      </c>
      <c r="AP295" s="12" t="s">
        <v>3633</v>
      </c>
      <c r="AQ295" s="12"/>
      <c r="AR295" s="12" t="s">
        <v>3707</v>
      </c>
      <c r="AS295" s="12" t="s">
        <v>3708</v>
      </c>
      <c r="AT295" s="12" t="s">
        <v>3708</v>
      </c>
      <c r="AU295" s="12">
        <v>61</v>
      </c>
      <c r="AV295" s="12" t="s">
        <v>83</v>
      </c>
      <c r="AW295" s="12">
        <v>8</v>
      </c>
      <c r="AX295" s="12">
        <v>84</v>
      </c>
      <c r="AY295" s="14">
        <v>45963</v>
      </c>
      <c r="AZ295" s="14">
        <v>46041</v>
      </c>
      <c r="BA295" s="12" t="e">
        <v>#N/A</v>
      </c>
      <c r="BB295" s="14" t="s">
        <v>2480</v>
      </c>
      <c r="BC295" s="14">
        <v>46055</v>
      </c>
      <c r="BD295" s="16">
        <v>2026</v>
      </c>
      <c r="BE295" s="16">
        <v>2</v>
      </c>
      <c r="BF295" s="16">
        <v>6</v>
      </c>
      <c r="BG295" s="191">
        <v>36</v>
      </c>
      <c r="BH295" s="191">
        <v>936</v>
      </c>
    </row>
    <row r="296" spans="1:60" s="23" customFormat="1" ht="10.5">
      <c r="A296" s="11" t="s">
        <v>3709</v>
      </c>
      <c r="B296" s="12" t="s">
        <v>61</v>
      </c>
      <c r="C296" s="12" t="s">
        <v>3575</v>
      </c>
      <c r="D296" s="12" t="s">
        <v>63</v>
      </c>
      <c r="E296" s="12" t="s">
        <v>68</v>
      </c>
      <c r="F296" s="12" t="s">
        <v>68</v>
      </c>
      <c r="G296" s="12"/>
      <c r="H296" s="12" t="s">
        <v>146</v>
      </c>
      <c r="I296" s="12" t="s">
        <v>3710</v>
      </c>
      <c r="J296" s="34" t="s">
        <v>68</v>
      </c>
      <c r="K296" s="12">
        <v>46010991</v>
      </c>
      <c r="L296" s="13" t="s">
        <v>2666</v>
      </c>
      <c r="M296" s="12" t="s">
        <v>68</v>
      </c>
      <c r="N296" s="182"/>
      <c r="O296" s="12" t="s">
        <v>2529</v>
      </c>
      <c r="P296" s="12" t="s">
        <v>70</v>
      </c>
      <c r="Q296" s="12" t="s">
        <v>71</v>
      </c>
      <c r="R296" s="12">
        <v>554475</v>
      </c>
      <c r="S296" s="12" t="s">
        <v>72</v>
      </c>
      <c r="T296" s="206">
        <v>500</v>
      </c>
      <c r="U296" s="206">
        <v>864</v>
      </c>
      <c r="V296" s="12">
        <v>0.432</v>
      </c>
      <c r="W296" s="198">
        <v>24</v>
      </c>
      <c r="X296" s="254">
        <v>1</v>
      </c>
      <c r="Y296" s="12" t="s">
        <v>75</v>
      </c>
      <c r="Z296" s="12"/>
      <c r="AA296" s="12" t="s">
        <v>85</v>
      </c>
      <c r="AB296" s="13" t="s">
        <v>967</v>
      </c>
      <c r="AC296" s="14">
        <v>45957</v>
      </c>
      <c r="AD296" s="15">
        <v>44</v>
      </c>
      <c r="AE296" s="176" t="s">
        <v>2530</v>
      </c>
      <c r="AF296" s="12">
        <v>371009325</v>
      </c>
      <c r="AG296" s="12" t="s">
        <v>77</v>
      </c>
      <c r="AH296" s="12" t="s">
        <v>78</v>
      </c>
      <c r="AI296" s="14">
        <v>45963</v>
      </c>
      <c r="AJ296" s="14">
        <v>45963</v>
      </c>
      <c r="AK296" s="14">
        <v>45963</v>
      </c>
      <c r="AL296" s="14">
        <v>46024</v>
      </c>
      <c r="AM296" s="14">
        <v>46041</v>
      </c>
      <c r="AN296" s="14">
        <v>46041</v>
      </c>
      <c r="AO296" s="91" t="s">
        <v>146</v>
      </c>
      <c r="AP296" s="12" t="s">
        <v>3633</v>
      </c>
      <c r="AQ296" s="12"/>
      <c r="AR296" s="20" t="s">
        <v>3711</v>
      </c>
      <c r="AS296" s="12" t="s">
        <v>3708</v>
      </c>
      <c r="AT296" s="12" t="s">
        <v>3708</v>
      </c>
      <c r="AU296" s="12">
        <v>61</v>
      </c>
      <c r="AV296" s="12" t="s">
        <v>83</v>
      </c>
      <c r="AW296" s="12">
        <v>5</v>
      </c>
      <c r="AX296" s="12">
        <v>84</v>
      </c>
      <c r="AY296" s="14">
        <v>45963</v>
      </c>
      <c r="AZ296" s="14">
        <v>46041</v>
      </c>
      <c r="BA296" s="12" t="e">
        <v>#N/A</v>
      </c>
      <c r="BB296" s="14" t="s">
        <v>2480</v>
      </c>
      <c r="BC296" s="14">
        <v>46055</v>
      </c>
      <c r="BD296" s="16">
        <v>2026</v>
      </c>
      <c r="BE296" s="16">
        <v>2</v>
      </c>
      <c r="BF296" s="16">
        <v>6</v>
      </c>
      <c r="BG296" s="191">
        <v>36</v>
      </c>
      <c r="BH296" s="191">
        <v>864</v>
      </c>
    </row>
    <row r="297" spans="1:60" s="23" customFormat="1" ht="10.5">
      <c r="A297" s="11" t="s">
        <v>3712</v>
      </c>
      <c r="B297" s="12" t="s">
        <v>61</v>
      </c>
      <c r="C297" s="12" t="s">
        <v>3575</v>
      </c>
      <c r="D297" s="12" t="s">
        <v>63</v>
      </c>
      <c r="E297" s="12" t="s">
        <v>68</v>
      </c>
      <c r="F297" s="12" t="s">
        <v>68</v>
      </c>
      <c r="G297" s="12"/>
      <c r="H297" s="12" t="s">
        <v>146</v>
      </c>
      <c r="I297" s="12" t="s">
        <v>3710</v>
      </c>
      <c r="J297" s="34" t="s">
        <v>68</v>
      </c>
      <c r="K297" s="12">
        <v>46010992</v>
      </c>
      <c r="L297" s="13" t="s">
        <v>2666</v>
      </c>
      <c r="M297" s="12" t="s">
        <v>68</v>
      </c>
      <c r="N297" s="182"/>
      <c r="O297" s="12" t="s">
        <v>2529</v>
      </c>
      <c r="P297" s="12" t="s">
        <v>70</v>
      </c>
      <c r="Q297" s="12" t="s">
        <v>71</v>
      </c>
      <c r="R297" s="12">
        <v>554475</v>
      </c>
      <c r="S297" s="12" t="s">
        <v>72</v>
      </c>
      <c r="T297" s="206">
        <v>500</v>
      </c>
      <c r="U297" s="206">
        <v>864</v>
      </c>
      <c r="V297" s="12">
        <v>0.432</v>
      </c>
      <c r="W297" s="198">
        <v>24</v>
      </c>
      <c r="X297" s="254">
        <v>1</v>
      </c>
      <c r="Y297" s="12" t="s">
        <v>75</v>
      </c>
      <c r="Z297" s="12"/>
      <c r="AA297" s="12" t="s">
        <v>85</v>
      </c>
      <c r="AB297" s="13" t="s">
        <v>967</v>
      </c>
      <c r="AC297" s="14">
        <v>45957</v>
      </c>
      <c r="AD297" s="15">
        <v>44</v>
      </c>
      <c r="AE297" s="176" t="s">
        <v>2530</v>
      </c>
      <c r="AF297" s="12">
        <v>371009326</v>
      </c>
      <c r="AG297" s="12" t="s">
        <v>77</v>
      </c>
      <c r="AH297" s="12" t="s">
        <v>78</v>
      </c>
      <c r="AI297" s="14">
        <v>45963</v>
      </c>
      <c r="AJ297" s="14">
        <v>45963</v>
      </c>
      <c r="AK297" s="14">
        <v>45963</v>
      </c>
      <c r="AL297" s="14">
        <v>46024</v>
      </c>
      <c r="AM297" s="14">
        <v>46041</v>
      </c>
      <c r="AN297" s="14">
        <v>46041</v>
      </c>
      <c r="AO297" s="91" t="s">
        <v>146</v>
      </c>
      <c r="AP297" s="12" t="s">
        <v>3633</v>
      </c>
      <c r="AQ297" s="12"/>
      <c r="AR297" s="20" t="s">
        <v>3711</v>
      </c>
      <c r="AS297" s="12" t="s">
        <v>3708</v>
      </c>
      <c r="AT297" s="12" t="s">
        <v>3708</v>
      </c>
      <c r="AU297" s="12">
        <v>61</v>
      </c>
      <c r="AV297" s="12" t="s">
        <v>83</v>
      </c>
      <c r="AW297" s="12">
        <v>5</v>
      </c>
      <c r="AX297" s="12">
        <v>84</v>
      </c>
      <c r="AY297" s="14">
        <v>45963</v>
      </c>
      <c r="AZ297" s="14">
        <v>46041</v>
      </c>
      <c r="BA297" s="12" t="e">
        <v>#N/A</v>
      </c>
      <c r="BB297" s="14" t="s">
        <v>2480</v>
      </c>
      <c r="BC297" s="14">
        <v>46055</v>
      </c>
      <c r="BD297" s="16">
        <v>2026</v>
      </c>
      <c r="BE297" s="16">
        <v>2</v>
      </c>
      <c r="BF297" s="16">
        <v>6</v>
      </c>
      <c r="BG297" s="191">
        <v>36</v>
      </c>
      <c r="BH297" s="191">
        <v>864</v>
      </c>
    </row>
    <row r="298" spans="1:60" s="23" customFormat="1" ht="10.5">
      <c r="A298" s="11" t="s">
        <v>3713</v>
      </c>
      <c r="B298" s="12" t="s">
        <v>61</v>
      </c>
      <c r="C298" s="12" t="s">
        <v>3575</v>
      </c>
      <c r="D298" s="12" t="s">
        <v>63</v>
      </c>
      <c r="E298" s="12" t="s">
        <v>68</v>
      </c>
      <c r="F298" s="12" t="s">
        <v>68</v>
      </c>
      <c r="G298" s="12"/>
      <c r="H298" s="12" t="s">
        <v>146</v>
      </c>
      <c r="I298" s="12" t="s">
        <v>3710</v>
      </c>
      <c r="J298" s="34" t="s">
        <v>68</v>
      </c>
      <c r="K298" s="12">
        <v>46010993</v>
      </c>
      <c r="L298" s="13" t="s">
        <v>2666</v>
      </c>
      <c r="M298" s="12" t="s">
        <v>68</v>
      </c>
      <c r="N298" s="182"/>
      <c r="O298" s="12" t="s">
        <v>2529</v>
      </c>
      <c r="P298" s="12" t="s">
        <v>70</v>
      </c>
      <c r="Q298" s="12" t="s">
        <v>71</v>
      </c>
      <c r="R298" s="12">
        <v>554475</v>
      </c>
      <c r="S298" s="12" t="s">
        <v>72</v>
      </c>
      <c r="T298" s="206">
        <v>500</v>
      </c>
      <c r="U298" s="206">
        <v>864</v>
      </c>
      <c r="V298" s="12">
        <v>0.432</v>
      </c>
      <c r="W298" s="198">
        <v>24</v>
      </c>
      <c r="X298" s="254">
        <v>1</v>
      </c>
      <c r="Y298" s="12" t="s">
        <v>75</v>
      </c>
      <c r="Z298" s="12"/>
      <c r="AA298" s="12" t="s">
        <v>85</v>
      </c>
      <c r="AB298" s="13" t="s">
        <v>967</v>
      </c>
      <c r="AC298" s="14">
        <v>45957</v>
      </c>
      <c r="AD298" s="15">
        <v>44</v>
      </c>
      <c r="AE298" s="176" t="s">
        <v>2530</v>
      </c>
      <c r="AF298" s="12">
        <v>371009327</v>
      </c>
      <c r="AG298" s="12" t="s">
        <v>77</v>
      </c>
      <c r="AH298" s="12" t="s">
        <v>78</v>
      </c>
      <c r="AI298" s="14">
        <v>45963</v>
      </c>
      <c r="AJ298" s="14">
        <v>45963</v>
      </c>
      <c r="AK298" s="14">
        <v>45963</v>
      </c>
      <c r="AL298" s="14">
        <v>46024</v>
      </c>
      <c r="AM298" s="14">
        <v>46041</v>
      </c>
      <c r="AN298" s="14">
        <v>46041</v>
      </c>
      <c r="AO298" s="91" t="s">
        <v>146</v>
      </c>
      <c r="AP298" s="12" t="s">
        <v>3633</v>
      </c>
      <c r="AQ298" s="12"/>
      <c r="AR298" s="20" t="s">
        <v>3711</v>
      </c>
      <c r="AS298" s="12" t="s">
        <v>3708</v>
      </c>
      <c r="AT298" s="12" t="s">
        <v>3708</v>
      </c>
      <c r="AU298" s="12">
        <v>61</v>
      </c>
      <c r="AV298" s="12" t="s">
        <v>83</v>
      </c>
      <c r="AW298" s="12">
        <v>5</v>
      </c>
      <c r="AX298" s="12">
        <v>84</v>
      </c>
      <c r="AY298" s="14">
        <v>45963</v>
      </c>
      <c r="AZ298" s="14">
        <v>46041</v>
      </c>
      <c r="BA298" s="12" t="e">
        <v>#N/A</v>
      </c>
      <c r="BB298" s="14" t="s">
        <v>2480</v>
      </c>
      <c r="BC298" s="14">
        <v>46055</v>
      </c>
      <c r="BD298" s="16">
        <v>2026</v>
      </c>
      <c r="BE298" s="16">
        <v>2</v>
      </c>
      <c r="BF298" s="16">
        <v>6</v>
      </c>
      <c r="BG298" s="191">
        <v>36</v>
      </c>
      <c r="BH298" s="191">
        <v>864</v>
      </c>
    </row>
    <row r="299" spans="1:60" s="23" customFormat="1" ht="10">
      <c r="A299" s="11" t="s">
        <v>3575</v>
      </c>
      <c r="B299" s="12" t="s">
        <v>61</v>
      </c>
      <c r="C299" s="12" t="s">
        <v>203</v>
      </c>
      <c r="D299" s="12" t="s">
        <v>63</v>
      </c>
      <c r="E299" s="12" t="s">
        <v>64</v>
      </c>
      <c r="F299" s="12" t="s">
        <v>65</v>
      </c>
      <c r="G299" s="12" t="s">
        <v>67</v>
      </c>
      <c r="H299" s="12" t="s">
        <v>66</v>
      </c>
      <c r="I299" s="12" t="s">
        <v>96</v>
      </c>
      <c r="J299" s="34" t="s">
        <v>68</v>
      </c>
      <c r="K299" s="12"/>
      <c r="L299" s="13" t="s">
        <v>2474</v>
      </c>
      <c r="M299" s="213" t="s">
        <v>68</v>
      </c>
      <c r="N299" s="182"/>
      <c r="O299" s="12" t="s">
        <v>2475</v>
      </c>
      <c r="P299" s="12" t="s">
        <v>70</v>
      </c>
      <c r="Q299" s="12" t="s">
        <v>71</v>
      </c>
      <c r="R299" s="12">
        <v>554475</v>
      </c>
      <c r="S299" s="12" t="s">
        <v>72</v>
      </c>
      <c r="T299" s="206">
        <v>500</v>
      </c>
      <c r="U299" s="206">
        <v>2592</v>
      </c>
      <c r="V299" s="12">
        <v>1.296</v>
      </c>
      <c r="W299" s="198">
        <v>72</v>
      </c>
      <c r="X299" s="254">
        <v>3</v>
      </c>
      <c r="Y299" s="12" t="s">
        <v>75</v>
      </c>
      <c r="Z299" s="12"/>
      <c r="AA299" s="12" t="s">
        <v>85</v>
      </c>
      <c r="AB299" s="13" t="s">
        <v>967</v>
      </c>
      <c r="AC299" s="14">
        <v>45957</v>
      </c>
      <c r="AD299" s="15">
        <v>44</v>
      </c>
      <c r="AE299" s="176" t="s">
        <v>3714</v>
      </c>
      <c r="AF299" s="12">
        <v>371009079</v>
      </c>
      <c r="AG299" s="12" t="s">
        <v>77</v>
      </c>
      <c r="AH299" s="12" t="s">
        <v>78</v>
      </c>
      <c r="AI299" s="14">
        <v>45963</v>
      </c>
      <c r="AJ299" s="14">
        <v>45963</v>
      </c>
      <c r="AK299" s="14">
        <v>45963</v>
      </c>
      <c r="AL299" s="14">
        <v>46024</v>
      </c>
      <c r="AM299" s="14">
        <v>46041</v>
      </c>
      <c r="AN299" s="14">
        <v>46041</v>
      </c>
      <c r="AO299" s="91" t="s">
        <v>66</v>
      </c>
      <c r="AP299" s="12" t="s">
        <v>3633</v>
      </c>
      <c r="AQ299" s="12"/>
      <c r="AR299" s="12" t="s">
        <v>3707</v>
      </c>
      <c r="AS299" s="12" t="s">
        <v>3708</v>
      </c>
      <c r="AT299" s="12" t="s">
        <v>3708</v>
      </c>
      <c r="AU299" s="12">
        <v>61</v>
      </c>
      <c r="AV299" s="12" t="s">
        <v>83</v>
      </c>
      <c r="AW299" s="12">
        <v>39</v>
      </c>
      <c r="AX299" s="12">
        <v>84</v>
      </c>
      <c r="AY299" s="14">
        <v>45963</v>
      </c>
      <c r="AZ299" s="14">
        <v>46041</v>
      </c>
      <c r="BA299" s="12" t="e">
        <v>#N/A</v>
      </c>
      <c r="BB299" s="14" t="s">
        <v>2480</v>
      </c>
      <c r="BC299" s="14">
        <v>46055</v>
      </c>
      <c r="BD299" s="16">
        <v>2026</v>
      </c>
      <c r="BE299" s="16">
        <v>2</v>
      </c>
      <c r="BF299" s="16">
        <v>6</v>
      </c>
      <c r="BG299" s="191">
        <v>36</v>
      </c>
      <c r="BH299" s="191">
        <v>864</v>
      </c>
    </row>
    <row r="300" spans="1:60" s="23" customFormat="1" ht="10">
      <c r="A300" s="11" t="s">
        <v>3715</v>
      </c>
      <c r="B300" s="12" t="s">
        <v>111</v>
      </c>
      <c r="C300" s="12" t="s">
        <v>3716</v>
      </c>
      <c r="D300" s="12" t="s">
        <v>63</v>
      </c>
      <c r="E300" s="12" t="s">
        <v>68</v>
      </c>
      <c r="F300" s="12" t="s">
        <v>68</v>
      </c>
      <c r="G300" s="12"/>
      <c r="H300" s="12" t="s">
        <v>66</v>
      </c>
      <c r="I300" s="12" t="s">
        <v>96</v>
      </c>
      <c r="J300" s="34" t="s">
        <v>68</v>
      </c>
      <c r="K300" s="12"/>
      <c r="L300" s="13" t="s">
        <v>2482</v>
      </c>
      <c r="M300" s="12" t="s">
        <v>68</v>
      </c>
      <c r="N300" s="182"/>
      <c r="O300" s="12" t="s">
        <v>2475</v>
      </c>
      <c r="P300" s="12" t="s">
        <v>170</v>
      </c>
      <c r="Q300" s="12" t="s">
        <v>462</v>
      </c>
      <c r="R300" s="12">
        <v>552026</v>
      </c>
      <c r="S300" s="12" t="s">
        <v>463</v>
      </c>
      <c r="T300" s="206">
        <v>550</v>
      </c>
      <c r="U300" s="206">
        <v>1980</v>
      </c>
      <c r="V300" s="12">
        <v>1.089</v>
      </c>
      <c r="W300" s="198">
        <v>60</v>
      </c>
      <c r="X300" s="254">
        <v>3</v>
      </c>
      <c r="Y300" s="12" t="s">
        <v>75</v>
      </c>
      <c r="Z300" s="12"/>
      <c r="AA300" s="12" t="s">
        <v>108</v>
      </c>
      <c r="AB300" s="13" t="s">
        <v>1187</v>
      </c>
      <c r="AC300" s="14">
        <v>45968</v>
      </c>
      <c r="AD300" s="15">
        <v>45</v>
      </c>
      <c r="AE300" s="176" t="s">
        <v>3717</v>
      </c>
      <c r="AF300" s="12">
        <v>371009111</v>
      </c>
      <c r="AG300" s="12" t="s">
        <v>122</v>
      </c>
      <c r="AH300" s="12" t="s">
        <v>124</v>
      </c>
      <c r="AI300" s="14">
        <v>45974</v>
      </c>
      <c r="AJ300" s="14">
        <v>45974</v>
      </c>
      <c r="AK300" s="14">
        <v>45974</v>
      </c>
      <c r="AL300" s="14">
        <v>46021</v>
      </c>
      <c r="AM300" s="14"/>
      <c r="AN300" s="14">
        <v>46022</v>
      </c>
      <c r="AO300" s="91" t="s">
        <v>66</v>
      </c>
      <c r="AP300" s="12" t="s">
        <v>3718</v>
      </c>
      <c r="AQ300" s="12"/>
      <c r="AR300" s="12" t="s">
        <v>3719</v>
      </c>
      <c r="AS300" s="12" t="s">
        <v>3720</v>
      </c>
      <c r="AT300" s="12" t="s">
        <v>3720</v>
      </c>
      <c r="AU300" s="12">
        <v>47</v>
      </c>
      <c r="AV300" s="12" t="s">
        <v>83</v>
      </c>
      <c r="AW300" s="12">
        <v>5</v>
      </c>
      <c r="AX300" s="12">
        <v>54</v>
      </c>
      <c r="AY300" s="14">
        <v>45974</v>
      </c>
      <c r="AZ300" s="14">
        <v>46022</v>
      </c>
      <c r="BA300" s="12" t="e">
        <v>#N/A</v>
      </c>
      <c r="BB300" s="14" t="s">
        <v>2480</v>
      </c>
      <c r="BC300" s="14">
        <v>46036</v>
      </c>
      <c r="BD300" s="16">
        <v>2026</v>
      </c>
      <c r="BE300" s="16">
        <v>1</v>
      </c>
      <c r="BF300" s="16">
        <v>3</v>
      </c>
      <c r="BG300" s="191">
        <v>33</v>
      </c>
      <c r="BH300" s="191">
        <v>660</v>
      </c>
    </row>
    <row r="301" spans="1:60" ht="10">
      <c r="A301" s="11" t="s">
        <v>3721</v>
      </c>
      <c r="B301" s="12" t="s">
        <v>111</v>
      </c>
      <c r="C301" s="12" t="s">
        <v>3722</v>
      </c>
      <c r="D301" s="12" t="s">
        <v>63</v>
      </c>
      <c r="E301" s="12" t="s">
        <v>68</v>
      </c>
      <c r="F301" s="12" t="s">
        <v>68</v>
      </c>
      <c r="G301" s="12"/>
      <c r="H301" s="12" t="s">
        <v>66</v>
      </c>
      <c r="I301" s="12" t="s">
        <v>1342</v>
      </c>
      <c r="J301" s="34" t="s">
        <v>68</v>
      </c>
      <c r="K301" s="12"/>
      <c r="L301" s="13" t="s">
        <v>2497</v>
      </c>
      <c r="M301" s="12" t="s">
        <v>68</v>
      </c>
      <c r="N301" s="182"/>
      <c r="O301" s="12" t="s">
        <v>2475</v>
      </c>
      <c r="P301" s="12" t="s">
        <v>132</v>
      </c>
      <c r="Q301" s="12" t="s">
        <v>453</v>
      </c>
      <c r="R301" s="12">
        <v>554541</v>
      </c>
      <c r="S301" s="12" t="s">
        <v>454</v>
      </c>
      <c r="T301" s="206">
        <v>460</v>
      </c>
      <c r="U301" s="206">
        <v>1728</v>
      </c>
      <c r="V301" s="12">
        <v>0.79488000000000003</v>
      </c>
      <c r="W301" s="198">
        <v>48</v>
      </c>
      <c r="X301" s="254">
        <v>2</v>
      </c>
      <c r="Y301" s="12" t="s">
        <v>75</v>
      </c>
      <c r="Z301" s="12"/>
      <c r="AA301" s="12" t="s">
        <v>108</v>
      </c>
      <c r="AB301" s="32" t="s">
        <v>967</v>
      </c>
      <c r="AC301" s="14">
        <v>45968</v>
      </c>
      <c r="AD301" s="15">
        <v>45</v>
      </c>
      <c r="AE301" s="176" t="s">
        <v>3723</v>
      </c>
      <c r="AF301" s="12">
        <v>371009122</v>
      </c>
      <c r="AG301" s="12" t="s">
        <v>122</v>
      </c>
      <c r="AH301" s="12" t="s">
        <v>314</v>
      </c>
      <c r="AI301" s="14">
        <v>45978</v>
      </c>
      <c r="AJ301" s="14">
        <v>45978</v>
      </c>
      <c r="AK301" s="14">
        <v>45980</v>
      </c>
      <c r="AL301" s="14">
        <v>46023</v>
      </c>
      <c r="AM301" s="14">
        <v>46029</v>
      </c>
      <c r="AN301" s="14">
        <v>46029</v>
      </c>
      <c r="AO301" s="91" t="s">
        <v>66</v>
      </c>
      <c r="AP301" s="12" t="s">
        <v>3724</v>
      </c>
      <c r="AQ301" s="12"/>
      <c r="AR301" s="12" t="s">
        <v>3725</v>
      </c>
      <c r="AS301" s="12" t="s">
        <v>3726</v>
      </c>
      <c r="AT301" s="12" t="s">
        <v>3726</v>
      </c>
      <c r="AU301" s="12">
        <v>45</v>
      </c>
      <c r="AV301" s="12" t="s">
        <v>83</v>
      </c>
      <c r="AW301" s="12">
        <v>6</v>
      </c>
      <c r="AX301" s="12">
        <v>61</v>
      </c>
      <c r="AY301" s="14">
        <v>45980</v>
      </c>
      <c r="AZ301" s="14">
        <v>46029</v>
      </c>
      <c r="BA301" s="12" t="e">
        <v>#N/A</v>
      </c>
      <c r="BB301" s="14" t="s">
        <v>2480</v>
      </c>
      <c r="BC301" s="14">
        <v>46043</v>
      </c>
      <c r="BD301" s="16">
        <v>2026</v>
      </c>
      <c r="BE301" s="16">
        <v>1</v>
      </c>
      <c r="BF301" s="16">
        <v>4</v>
      </c>
      <c r="BG301" s="191">
        <v>36</v>
      </c>
      <c r="BH301" s="191">
        <v>864</v>
      </c>
    </row>
    <row r="302" spans="1:60" s="23" customFormat="1" ht="10">
      <c r="A302" s="11" t="s">
        <v>3727</v>
      </c>
      <c r="B302" s="12" t="s">
        <v>111</v>
      </c>
      <c r="C302" s="12" t="s">
        <v>548</v>
      </c>
      <c r="D302" s="12" t="s">
        <v>63</v>
      </c>
      <c r="E302" s="12" t="s">
        <v>64</v>
      </c>
      <c r="F302" s="12" t="s">
        <v>65</v>
      </c>
      <c r="G302" s="12" t="s">
        <v>67</v>
      </c>
      <c r="H302" s="12" t="s">
        <v>66</v>
      </c>
      <c r="I302" s="12" t="s">
        <v>96</v>
      </c>
      <c r="J302" s="34" t="s">
        <v>68</v>
      </c>
      <c r="K302" s="12"/>
      <c r="L302" s="13" t="s">
        <v>2474</v>
      </c>
      <c r="M302" s="213" t="s">
        <v>68</v>
      </c>
      <c r="N302" s="182"/>
      <c r="O302" s="12" t="s">
        <v>2475</v>
      </c>
      <c r="P302" s="12" t="s">
        <v>550</v>
      </c>
      <c r="Q302" s="12" t="s">
        <v>551</v>
      </c>
      <c r="R302" s="12">
        <v>553118</v>
      </c>
      <c r="S302" s="12" t="s">
        <v>552</v>
      </c>
      <c r="T302" s="206">
        <v>510</v>
      </c>
      <c r="U302" s="206">
        <v>2376</v>
      </c>
      <c r="V302" s="12">
        <v>1.2117599999999999</v>
      </c>
      <c r="W302" s="198">
        <v>66</v>
      </c>
      <c r="X302" s="254">
        <v>3</v>
      </c>
      <c r="Y302" s="12" t="s">
        <v>75</v>
      </c>
      <c r="Z302" s="12"/>
      <c r="AA302" s="12" t="s">
        <v>85</v>
      </c>
      <c r="AB302" s="13" t="s">
        <v>2136</v>
      </c>
      <c r="AC302" s="14">
        <v>45968</v>
      </c>
      <c r="AD302" s="15">
        <v>45</v>
      </c>
      <c r="AE302" s="176" t="s">
        <v>3728</v>
      </c>
      <c r="AF302" s="12">
        <v>371009115</v>
      </c>
      <c r="AG302" s="12" t="s">
        <v>122</v>
      </c>
      <c r="AH302" s="12" t="s">
        <v>78</v>
      </c>
      <c r="AI302" s="14">
        <v>45974</v>
      </c>
      <c r="AJ302" s="14">
        <v>45974</v>
      </c>
      <c r="AK302" s="14">
        <v>45974</v>
      </c>
      <c r="AL302" s="14">
        <v>46030</v>
      </c>
      <c r="AM302" s="14">
        <v>46030</v>
      </c>
      <c r="AN302" s="14">
        <v>46030</v>
      </c>
      <c r="AO302" s="91" t="s">
        <v>66</v>
      </c>
      <c r="AP302" s="12" t="s">
        <v>3718</v>
      </c>
      <c r="AQ302" s="12"/>
      <c r="AR302" s="12" t="s">
        <v>3729</v>
      </c>
      <c r="AS302" s="12" t="s">
        <v>3730</v>
      </c>
      <c r="AT302" s="12" t="s">
        <v>3730</v>
      </c>
      <c r="AU302" s="12">
        <v>56</v>
      </c>
      <c r="AV302" s="12" t="s">
        <v>83</v>
      </c>
      <c r="AW302" s="12">
        <v>18</v>
      </c>
      <c r="AX302" s="12">
        <v>62</v>
      </c>
      <c r="AY302" s="14">
        <v>45974</v>
      </c>
      <c r="AZ302" s="14">
        <v>46030</v>
      </c>
      <c r="BA302" s="12" t="e">
        <v>#N/A</v>
      </c>
      <c r="BB302" s="14" t="s">
        <v>2480</v>
      </c>
      <c r="BC302" s="14">
        <v>46044</v>
      </c>
      <c r="BD302" s="16">
        <v>2026</v>
      </c>
      <c r="BE302" s="16">
        <v>1</v>
      </c>
      <c r="BF302" s="16">
        <v>4</v>
      </c>
      <c r="BG302" s="191">
        <v>36</v>
      </c>
      <c r="BH302" s="191">
        <v>792</v>
      </c>
    </row>
    <row r="303" spans="1:60" s="175" customFormat="1" ht="10">
      <c r="A303" s="172" t="s">
        <v>3731</v>
      </c>
      <c r="B303" s="41" t="s">
        <v>111</v>
      </c>
      <c r="C303" s="41" t="s">
        <v>3732</v>
      </c>
      <c r="D303" s="41" t="s">
        <v>63</v>
      </c>
      <c r="E303" s="41" t="s">
        <v>64</v>
      </c>
      <c r="F303" s="41" t="s">
        <v>100</v>
      </c>
      <c r="G303" s="41" t="s">
        <v>67</v>
      </c>
      <c r="H303" s="41" t="s">
        <v>402</v>
      </c>
      <c r="I303" s="41" t="s">
        <v>677</v>
      </c>
      <c r="J303" s="173" t="s">
        <v>68</v>
      </c>
      <c r="K303" s="41">
        <v>14130754</v>
      </c>
      <c r="L303" s="173" t="s">
        <v>2732</v>
      </c>
      <c r="M303" s="225" t="s">
        <v>68</v>
      </c>
      <c r="N303" s="184"/>
      <c r="O303" s="41" t="s">
        <v>2475</v>
      </c>
      <c r="P303" s="41" t="s">
        <v>70</v>
      </c>
      <c r="Q303" s="41" t="s">
        <v>102</v>
      </c>
      <c r="R303" s="41">
        <v>554245</v>
      </c>
      <c r="S303" s="41" t="s">
        <v>103</v>
      </c>
      <c r="T303" s="208">
        <v>620</v>
      </c>
      <c r="U303" s="208">
        <v>3600</v>
      </c>
      <c r="V303" s="41">
        <v>2.2320000000000002</v>
      </c>
      <c r="W303" s="201">
        <v>100</v>
      </c>
      <c r="X303" s="255">
        <v>5</v>
      </c>
      <c r="Y303" s="41" t="s">
        <v>75</v>
      </c>
      <c r="Z303" s="41"/>
      <c r="AA303" s="41" t="s">
        <v>108</v>
      </c>
      <c r="AB303" s="1147" t="s">
        <v>3733</v>
      </c>
      <c r="AC303" s="37">
        <v>45970</v>
      </c>
      <c r="AD303" s="174">
        <v>45</v>
      </c>
      <c r="AE303" s="287" t="s">
        <v>3734</v>
      </c>
      <c r="AF303" s="41">
        <v>371009175</v>
      </c>
      <c r="AG303" s="41" t="s">
        <v>122</v>
      </c>
      <c r="AH303" s="41" t="s">
        <v>105</v>
      </c>
      <c r="AI303" s="37">
        <v>45977</v>
      </c>
      <c r="AJ303" s="37">
        <v>45977</v>
      </c>
      <c r="AK303" s="37">
        <v>45977</v>
      </c>
      <c r="AL303" s="37">
        <v>46017</v>
      </c>
      <c r="AM303" s="37">
        <v>46023</v>
      </c>
      <c r="AN303" s="37">
        <v>46023</v>
      </c>
      <c r="AO303" s="86" t="s">
        <v>402</v>
      </c>
      <c r="AP303" s="41" t="s">
        <v>3735</v>
      </c>
      <c r="AQ303" s="41"/>
      <c r="AR303" s="41" t="s">
        <v>3736</v>
      </c>
      <c r="AS303" s="41" t="s">
        <v>3737</v>
      </c>
      <c r="AT303" s="41" t="s">
        <v>3737</v>
      </c>
      <c r="AU303" s="41">
        <v>40</v>
      </c>
      <c r="AV303" s="41" t="s">
        <v>2493</v>
      </c>
      <c r="AW303" s="41">
        <v>5</v>
      </c>
      <c r="AX303" s="41">
        <v>53</v>
      </c>
      <c r="AY303" s="37">
        <v>45977</v>
      </c>
      <c r="AZ303" s="37">
        <v>46023</v>
      </c>
      <c r="BA303" s="41" t="e">
        <v>#N/A</v>
      </c>
      <c r="BB303" s="37" t="s">
        <v>2480</v>
      </c>
      <c r="BC303" s="37">
        <v>46037</v>
      </c>
      <c r="BD303" s="219">
        <v>2026</v>
      </c>
      <c r="BE303" s="219">
        <v>1</v>
      </c>
      <c r="BF303" s="219">
        <v>3</v>
      </c>
      <c r="BG303" s="219">
        <v>36</v>
      </c>
      <c r="BH303" s="219">
        <v>720</v>
      </c>
    </row>
    <row r="304" spans="1:60" s="23" customFormat="1" ht="10">
      <c r="A304" s="11" t="s">
        <v>3738</v>
      </c>
      <c r="B304" s="12" t="s">
        <v>111</v>
      </c>
      <c r="C304" s="12" t="s">
        <v>3739</v>
      </c>
      <c r="D304" s="12" t="s">
        <v>63</v>
      </c>
      <c r="E304" s="12" t="s">
        <v>68</v>
      </c>
      <c r="F304" s="12" t="s">
        <v>68</v>
      </c>
      <c r="G304" s="12"/>
      <c r="H304" s="12" t="s">
        <v>402</v>
      </c>
      <c r="I304" s="12" t="s">
        <v>594</v>
      </c>
      <c r="J304" s="34" t="s">
        <v>68</v>
      </c>
      <c r="K304" s="12">
        <v>16102605</v>
      </c>
      <c r="L304" s="13" t="s">
        <v>2482</v>
      </c>
      <c r="M304" s="12" t="s">
        <v>68</v>
      </c>
      <c r="N304" s="182"/>
      <c r="O304" s="12" t="s">
        <v>2475</v>
      </c>
      <c r="P304" s="12" t="s">
        <v>132</v>
      </c>
      <c r="Q304" s="12" t="s">
        <v>1905</v>
      </c>
      <c r="R304" s="12">
        <v>554547</v>
      </c>
      <c r="S304" s="12" t="s">
        <v>1906</v>
      </c>
      <c r="T304" s="206">
        <v>555</v>
      </c>
      <c r="U304" s="206">
        <v>1320</v>
      </c>
      <c r="V304" s="12">
        <v>0.73260000000000003</v>
      </c>
      <c r="W304" s="198">
        <v>40</v>
      </c>
      <c r="X304" s="254">
        <v>2</v>
      </c>
      <c r="Y304" s="12" t="s">
        <v>75</v>
      </c>
      <c r="Z304" s="12"/>
      <c r="AA304" s="12" t="s">
        <v>108</v>
      </c>
      <c r="AB304" s="13" t="s">
        <v>992</v>
      </c>
      <c r="AC304" s="14">
        <v>45968</v>
      </c>
      <c r="AD304" s="15">
        <v>45</v>
      </c>
      <c r="AE304" s="176" t="s">
        <v>3740</v>
      </c>
      <c r="AF304" s="12">
        <v>371009112</v>
      </c>
      <c r="AG304" s="12" t="s">
        <v>122</v>
      </c>
      <c r="AH304" s="12" t="s">
        <v>124</v>
      </c>
      <c r="AI304" s="14">
        <v>45979</v>
      </c>
      <c r="AJ304" s="14">
        <v>45979</v>
      </c>
      <c r="AK304" s="14">
        <v>45980</v>
      </c>
      <c r="AL304" s="14">
        <v>46035</v>
      </c>
      <c r="AM304" s="14">
        <v>46037</v>
      </c>
      <c r="AN304" s="14">
        <v>46038</v>
      </c>
      <c r="AO304" s="91" t="s">
        <v>402</v>
      </c>
      <c r="AP304" s="12" t="s">
        <v>3724</v>
      </c>
      <c r="AQ304" s="12"/>
      <c r="AR304" s="12" t="s">
        <v>3741</v>
      </c>
      <c r="AS304" s="12" t="s">
        <v>3742</v>
      </c>
      <c r="AT304" s="12" t="s">
        <v>3742</v>
      </c>
      <c r="AU304" s="12">
        <v>56</v>
      </c>
      <c r="AV304" s="12" t="s">
        <v>2493</v>
      </c>
      <c r="AW304" s="12">
        <v>3</v>
      </c>
      <c r="AX304" s="12">
        <v>70</v>
      </c>
      <c r="AY304" s="14">
        <v>45980</v>
      </c>
      <c r="AZ304" s="14">
        <v>46038</v>
      </c>
      <c r="BA304" s="12" t="e">
        <v>#N/A</v>
      </c>
      <c r="BB304" s="14" t="s">
        <v>2480</v>
      </c>
      <c r="BC304" s="14">
        <v>46052</v>
      </c>
      <c r="BD304" s="16">
        <v>2026</v>
      </c>
      <c r="BE304" s="16">
        <v>1</v>
      </c>
      <c r="BF304" s="16">
        <v>5</v>
      </c>
      <c r="BG304" s="191">
        <v>33</v>
      </c>
      <c r="BH304" s="191">
        <v>660</v>
      </c>
    </row>
    <row r="305" spans="1:60" s="23" customFormat="1" ht="10">
      <c r="A305" s="11" t="s">
        <v>3743</v>
      </c>
      <c r="B305" s="12" t="s">
        <v>61</v>
      </c>
      <c r="C305" s="12" t="s">
        <v>3242</v>
      </c>
      <c r="D305" s="12" t="s">
        <v>63</v>
      </c>
      <c r="E305" s="12" t="s">
        <v>68</v>
      </c>
      <c r="F305" s="12" t="s">
        <v>68</v>
      </c>
      <c r="G305" s="12"/>
      <c r="H305" s="12" t="s">
        <v>66</v>
      </c>
      <c r="I305" s="12" t="s">
        <v>1559</v>
      </c>
      <c r="J305" s="34" t="s">
        <v>68</v>
      </c>
      <c r="K305" s="12"/>
      <c r="L305" s="13" t="s">
        <v>2497</v>
      </c>
      <c r="M305" s="12" t="s">
        <v>68</v>
      </c>
      <c r="N305" s="182"/>
      <c r="O305" s="12" t="s">
        <v>2475</v>
      </c>
      <c r="P305" s="12" t="s">
        <v>70</v>
      </c>
      <c r="Q305" s="12" t="s">
        <v>420</v>
      </c>
      <c r="R305" s="12">
        <v>554476</v>
      </c>
      <c r="S305" s="12" t="s">
        <v>421</v>
      </c>
      <c r="T305" s="206">
        <v>505</v>
      </c>
      <c r="U305" s="206">
        <v>2592</v>
      </c>
      <c r="V305" s="12">
        <v>1.3089599999999999</v>
      </c>
      <c r="W305" s="198">
        <v>72</v>
      </c>
      <c r="X305" s="254">
        <v>3</v>
      </c>
      <c r="Y305" s="12" t="s">
        <v>75</v>
      </c>
      <c r="Z305" s="12"/>
      <c r="AA305" s="12" t="s">
        <v>2658</v>
      </c>
      <c r="AB305" s="13" t="s">
        <v>992</v>
      </c>
      <c r="AC305" s="14">
        <v>45965</v>
      </c>
      <c r="AD305" s="15">
        <v>45</v>
      </c>
      <c r="AE305" s="176" t="s">
        <v>3744</v>
      </c>
      <c r="AF305" s="12">
        <v>371009116</v>
      </c>
      <c r="AG305" s="12" t="s">
        <v>77</v>
      </c>
      <c r="AH305" s="12" t="s">
        <v>1561</v>
      </c>
      <c r="AI305" s="14">
        <v>45974</v>
      </c>
      <c r="AJ305" s="14">
        <v>45974</v>
      </c>
      <c r="AK305" s="14">
        <v>45974</v>
      </c>
      <c r="AL305" s="14">
        <v>46033</v>
      </c>
      <c r="AM305" s="14">
        <v>46037</v>
      </c>
      <c r="AN305" s="14">
        <v>46037</v>
      </c>
      <c r="AO305" s="91" t="s">
        <v>66</v>
      </c>
      <c r="AP305" s="12" t="s">
        <v>3745</v>
      </c>
      <c r="AQ305" s="12"/>
      <c r="AR305" s="12" t="s">
        <v>3746</v>
      </c>
      <c r="AS305" s="12" t="s">
        <v>3747</v>
      </c>
      <c r="AT305" s="12" t="s">
        <v>3747</v>
      </c>
      <c r="AU305" s="12">
        <v>59</v>
      </c>
      <c r="AV305" s="12" t="s">
        <v>83</v>
      </c>
      <c r="AW305" s="12">
        <v>5</v>
      </c>
      <c r="AX305" s="12">
        <v>72</v>
      </c>
      <c r="AY305" s="14">
        <v>45974</v>
      </c>
      <c r="AZ305" s="14">
        <v>46037</v>
      </c>
      <c r="BA305" s="12" t="e">
        <v>#N/A</v>
      </c>
      <c r="BB305" s="14" t="s">
        <v>2480</v>
      </c>
      <c r="BC305" s="14">
        <v>46051</v>
      </c>
      <c r="BD305" s="16">
        <v>2026</v>
      </c>
      <c r="BE305" s="16">
        <v>1</v>
      </c>
      <c r="BF305" s="16">
        <v>5</v>
      </c>
      <c r="BG305" s="191">
        <v>36</v>
      </c>
      <c r="BH305" s="191">
        <v>864</v>
      </c>
    </row>
    <row r="306" spans="1:60" s="23" customFormat="1" ht="10">
      <c r="A306" s="11" t="s">
        <v>3748</v>
      </c>
      <c r="B306" s="12" t="s">
        <v>61</v>
      </c>
      <c r="C306" s="12" t="s">
        <v>3749</v>
      </c>
      <c r="D306" s="12" t="s">
        <v>63</v>
      </c>
      <c r="E306" s="12" t="s">
        <v>68</v>
      </c>
      <c r="F306" s="12" t="s">
        <v>68</v>
      </c>
      <c r="G306" s="12"/>
      <c r="H306" s="12" t="s">
        <v>66</v>
      </c>
      <c r="I306" s="12" t="s">
        <v>1342</v>
      </c>
      <c r="J306" s="34" t="s">
        <v>68</v>
      </c>
      <c r="K306" s="12"/>
      <c r="L306" s="13" t="s">
        <v>2497</v>
      </c>
      <c r="M306" s="12" t="s">
        <v>68</v>
      </c>
      <c r="N306" s="182"/>
      <c r="O306" s="12" t="s">
        <v>2475</v>
      </c>
      <c r="P306" s="12" t="s">
        <v>70</v>
      </c>
      <c r="Q306" s="12" t="s">
        <v>420</v>
      </c>
      <c r="R306" s="12">
        <v>554476</v>
      </c>
      <c r="S306" s="12" t="s">
        <v>421</v>
      </c>
      <c r="T306" s="206">
        <v>505</v>
      </c>
      <c r="U306" s="206">
        <v>2592</v>
      </c>
      <c r="V306" s="12">
        <v>1.3089599999999999</v>
      </c>
      <c r="W306" s="198">
        <v>72</v>
      </c>
      <c r="X306" s="254">
        <v>3</v>
      </c>
      <c r="Y306" s="12" t="s">
        <v>75</v>
      </c>
      <c r="Z306" s="12"/>
      <c r="AA306" s="12" t="e">
        <v>#N/A</v>
      </c>
      <c r="AB306" s="13" t="s">
        <v>992</v>
      </c>
      <c r="AC306" s="14">
        <v>45965</v>
      </c>
      <c r="AD306" s="15">
        <v>45</v>
      </c>
      <c r="AE306" s="176" t="s">
        <v>3750</v>
      </c>
      <c r="AF306" s="12">
        <v>371009119</v>
      </c>
      <c r="AG306" s="12" t="s">
        <v>77</v>
      </c>
      <c r="AH306" s="12" t="s">
        <v>314</v>
      </c>
      <c r="AI306" s="14">
        <v>45974</v>
      </c>
      <c r="AJ306" s="14">
        <v>45974</v>
      </c>
      <c r="AK306" s="14">
        <v>45974</v>
      </c>
      <c r="AL306" s="14">
        <v>46029</v>
      </c>
      <c r="AM306" s="14">
        <v>46036</v>
      </c>
      <c r="AN306" s="14">
        <v>46036</v>
      </c>
      <c r="AO306" s="91" t="s">
        <v>66</v>
      </c>
      <c r="AP306" s="12" t="s">
        <v>3745</v>
      </c>
      <c r="AQ306" s="12"/>
      <c r="AR306" s="12" t="s">
        <v>3751</v>
      </c>
      <c r="AS306" s="12" t="s">
        <v>3752</v>
      </c>
      <c r="AT306" s="12" t="s">
        <v>3752</v>
      </c>
      <c r="AU306" s="12">
        <v>55</v>
      </c>
      <c r="AV306" s="12" t="s">
        <v>83</v>
      </c>
      <c r="AW306" s="12">
        <v>3</v>
      </c>
      <c r="AX306" s="12">
        <v>71</v>
      </c>
      <c r="AY306" s="14">
        <v>45974</v>
      </c>
      <c r="AZ306" s="14">
        <v>46036</v>
      </c>
      <c r="BA306" s="12" t="e">
        <v>#N/A</v>
      </c>
      <c r="BB306" s="14" t="s">
        <v>2480</v>
      </c>
      <c r="BC306" s="14">
        <v>46050</v>
      </c>
      <c r="BD306" s="16">
        <v>2026</v>
      </c>
      <c r="BE306" s="16">
        <v>1</v>
      </c>
      <c r="BF306" s="16">
        <v>5</v>
      </c>
      <c r="BG306" s="191">
        <v>36</v>
      </c>
      <c r="BH306" s="191">
        <v>864</v>
      </c>
    </row>
    <row r="307" spans="1:60" s="23" customFormat="1" ht="10">
      <c r="A307" s="11" t="s">
        <v>3753</v>
      </c>
      <c r="B307" s="12" t="s">
        <v>61</v>
      </c>
      <c r="C307" s="12" t="s">
        <v>3749</v>
      </c>
      <c r="D307" s="12" t="s">
        <v>63</v>
      </c>
      <c r="E307" s="12" t="s">
        <v>64</v>
      </c>
      <c r="F307" s="31" t="s">
        <v>310</v>
      </c>
      <c r="G307" s="12" t="s">
        <v>311</v>
      </c>
      <c r="H307" s="12" t="s">
        <v>66</v>
      </c>
      <c r="I307" s="12" t="s">
        <v>1342</v>
      </c>
      <c r="J307" s="34" t="s">
        <v>68</v>
      </c>
      <c r="K307" s="12"/>
      <c r="L307" s="13" t="s">
        <v>2497</v>
      </c>
      <c r="M307" s="213" t="s">
        <v>68</v>
      </c>
      <c r="N307" s="182"/>
      <c r="O307" s="12" t="s">
        <v>2475</v>
      </c>
      <c r="P307" s="12" t="s">
        <v>70</v>
      </c>
      <c r="Q307" s="12" t="s">
        <v>420</v>
      </c>
      <c r="R307" s="12">
        <v>554476</v>
      </c>
      <c r="S307" s="12" t="s">
        <v>421</v>
      </c>
      <c r="T307" s="206">
        <v>505</v>
      </c>
      <c r="U307" s="206">
        <v>2592</v>
      </c>
      <c r="V307" s="12">
        <v>1.3089599999999999</v>
      </c>
      <c r="W307" s="198">
        <v>72</v>
      </c>
      <c r="X307" s="254">
        <v>3</v>
      </c>
      <c r="Y307" s="12" t="s">
        <v>75</v>
      </c>
      <c r="Z307" s="12"/>
      <c r="AA307" s="12" t="e">
        <v>#N/A</v>
      </c>
      <c r="AB307" s="13" t="s">
        <v>992</v>
      </c>
      <c r="AC307" s="14">
        <v>45970</v>
      </c>
      <c r="AD307" s="15">
        <v>45</v>
      </c>
      <c r="AE307" s="176" t="s">
        <v>3754</v>
      </c>
      <c r="AF307" s="12">
        <v>371009132</v>
      </c>
      <c r="AG307" s="12" t="s">
        <v>77</v>
      </c>
      <c r="AH307" s="12" t="s">
        <v>314</v>
      </c>
      <c r="AI307" s="14">
        <v>45977</v>
      </c>
      <c r="AJ307" s="14">
        <v>45977</v>
      </c>
      <c r="AK307" s="14">
        <v>45976</v>
      </c>
      <c r="AL307" s="14">
        <v>46039</v>
      </c>
      <c r="AM307" s="14">
        <v>46049</v>
      </c>
      <c r="AN307" s="14">
        <v>46049</v>
      </c>
      <c r="AO307" s="91" t="s">
        <v>66</v>
      </c>
      <c r="AP307" s="12" t="s">
        <v>3755</v>
      </c>
      <c r="AQ307" s="12"/>
      <c r="AR307" s="12" t="s">
        <v>3756</v>
      </c>
      <c r="AS307" s="12" t="s">
        <v>3757</v>
      </c>
      <c r="AT307" s="12" t="s">
        <v>3757</v>
      </c>
      <c r="AU307" s="12">
        <v>62</v>
      </c>
      <c r="AV307" s="12" t="s">
        <v>83</v>
      </c>
      <c r="AW307" s="12">
        <v>3</v>
      </c>
      <c r="AX307" s="12">
        <v>79</v>
      </c>
      <c r="AY307" s="14">
        <v>45976</v>
      </c>
      <c r="AZ307" s="14">
        <v>46049</v>
      </c>
      <c r="BA307" s="12" t="e">
        <v>#N/A</v>
      </c>
      <c r="BB307" s="14" t="s">
        <v>2480</v>
      </c>
      <c r="BC307" s="14">
        <v>46063</v>
      </c>
      <c r="BD307" s="16">
        <v>2026</v>
      </c>
      <c r="BE307" s="16">
        <v>2</v>
      </c>
      <c r="BF307" s="16">
        <v>7</v>
      </c>
      <c r="BG307" s="191">
        <v>36</v>
      </c>
      <c r="BH307" s="191">
        <v>864</v>
      </c>
    </row>
    <row r="308" spans="1:60" s="23" customFormat="1" ht="10">
      <c r="A308" s="11" t="s">
        <v>3758</v>
      </c>
      <c r="B308" s="12" t="s">
        <v>61</v>
      </c>
      <c r="C308" s="12" t="s">
        <v>3759</v>
      </c>
      <c r="D308" s="12" t="s">
        <v>63</v>
      </c>
      <c r="E308" s="12"/>
      <c r="F308" s="12" t="s">
        <v>310</v>
      </c>
      <c r="G308" s="12" t="s">
        <v>311</v>
      </c>
      <c r="H308" s="12" t="s">
        <v>66</v>
      </c>
      <c r="I308" s="12" t="s">
        <v>1342</v>
      </c>
      <c r="J308" s="34" t="s">
        <v>68</v>
      </c>
      <c r="K308" s="12"/>
      <c r="L308" s="13" t="s">
        <v>2497</v>
      </c>
      <c r="M308" s="12" t="s">
        <v>68</v>
      </c>
      <c r="N308" s="182"/>
      <c r="O308" s="12" t="s">
        <v>2475</v>
      </c>
      <c r="P308" s="12" t="s">
        <v>70</v>
      </c>
      <c r="Q308" s="12" t="s">
        <v>102</v>
      </c>
      <c r="R308" s="12">
        <v>554245</v>
      </c>
      <c r="S308" s="12" t="s">
        <v>103</v>
      </c>
      <c r="T308" s="206">
        <v>620</v>
      </c>
      <c r="U308" s="206">
        <v>3600</v>
      </c>
      <c r="V308" s="12">
        <v>2.2320000000000002</v>
      </c>
      <c r="W308" s="198">
        <v>100</v>
      </c>
      <c r="X308" s="254">
        <v>5</v>
      </c>
      <c r="Y308" s="12" t="s">
        <v>75</v>
      </c>
      <c r="Z308" s="12"/>
      <c r="AA308" s="12" t="s">
        <v>108</v>
      </c>
      <c r="AB308" s="13" t="s">
        <v>967</v>
      </c>
      <c r="AC308" s="14">
        <v>45965</v>
      </c>
      <c r="AD308" s="15">
        <v>45</v>
      </c>
      <c r="AE308" s="176" t="s">
        <v>3760</v>
      </c>
      <c r="AF308" s="12">
        <v>371009120</v>
      </c>
      <c r="AG308" s="12" t="s">
        <v>77</v>
      </c>
      <c r="AH308" s="12" t="s">
        <v>314</v>
      </c>
      <c r="AI308" s="14">
        <v>45974</v>
      </c>
      <c r="AJ308" s="14">
        <v>45974</v>
      </c>
      <c r="AK308" s="14">
        <v>45974</v>
      </c>
      <c r="AL308" s="14">
        <v>46029</v>
      </c>
      <c r="AM308" s="14">
        <v>46036</v>
      </c>
      <c r="AN308" s="14">
        <v>46036</v>
      </c>
      <c r="AO308" s="91" t="s">
        <v>66</v>
      </c>
      <c r="AP308" s="12" t="s">
        <v>3745</v>
      </c>
      <c r="AQ308" s="12"/>
      <c r="AR308" s="12" t="s">
        <v>3751</v>
      </c>
      <c r="AS308" s="12" t="s">
        <v>3752</v>
      </c>
      <c r="AT308" s="12" t="s">
        <v>3752</v>
      </c>
      <c r="AU308" s="12">
        <v>55</v>
      </c>
      <c r="AV308" s="12" t="s">
        <v>83</v>
      </c>
      <c r="AW308" s="12">
        <v>5</v>
      </c>
      <c r="AX308" s="12">
        <v>71</v>
      </c>
      <c r="AY308" s="14">
        <v>45974</v>
      </c>
      <c r="AZ308" s="14">
        <v>46036</v>
      </c>
      <c r="BA308" s="12" t="e">
        <v>#N/A</v>
      </c>
      <c r="BB308" s="14" t="s">
        <v>2480</v>
      </c>
      <c r="BC308" s="14">
        <v>46050</v>
      </c>
      <c r="BD308" s="16">
        <v>2026</v>
      </c>
      <c r="BE308" s="16">
        <v>1</v>
      </c>
      <c r="BF308" s="16">
        <v>5</v>
      </c>
      <c r="BG308" s="191">
        <v>36</v>
      </c>
      <c r="BH308" s="191">
        <v>720</v>
      </c>
    </row>
    <row r="309" spans="1:60" ht="10">
      <c r="A309" s="11" t="s">
        <v>3761</v>
      </c>
      <c r="B309" s="12" t="s">
        <v>61</v>
      </c>
      <c r="C309" s="12" t="s">
        <v>62</v>
      </c>
      <c r="D309" s="12" t="s">
        <v>63</v>
      </c>
      <c r="E309" s="12" t="s">
        <v>68</v>
      </c>
      <c r="F309" s="12" t="s">
        <v>68</v>
      </c>
      <c r="G309" s="12"/>
      <c r="H309" s="12" t="s">
        <v>146</v>
      </c>
      <c r="I309" s="12" t="s">
        <v>147</v>
      </c>
      <c r="J309" s="34" t="s">
        <v>68</v>
      </c>
      <c r="K309" s="12">
        <v>46010942</v>
      </c>
      <c r="L309" s="13" t="s">
        <v>2666</v>
      </c>
      <c r="M309" s="12" t="s">
        <v>68</v>
      </c>
      <c r="N309" s="182"/>
      <c r="O309" s="12" t="s">
        <v>2475</v>
      </c>
      <c r="P309" s="12" t="s">
        <v>70</v>
      </c>
      <c r="Q309" s="12" t="s">
        <v>71</v>
      </c>
      <c r="R309" s="12">
        <v>554475</v>
      </c>
      <c r="S309" s="12" t="s">
        <v>72</v>
      </c>
      <c r="T309" s="206">
        <v>500</v>
      </c>
      <c r="U309" s="206">
        <v>864</v>
      </c>
      <c r="V309" s="12">
        <v>0.432</v>
      </c>
      <c r="W309" s="198">
        <v>24</v>
      </c>
      <c r="X309" s="254">
        <v>1</v>
      </c>
      <c r="Y309" s="12" t="s">
        <v>75</v>
      </c>
      <c r="Z309" s="12"/>
      <c r="AA309" s="12" t="s">
        <v>85</v>
      </c>
      <c r="AB309" s="13" t="s">
        <v>967</v>
      </c>
      <c r="AC309" s="14">
        <v>45970</v>
      </c>
      <c r="AD309" s="15">
        <v>45</v>
      </c>
      <c r="AE309" s="176" t="s">
        <v>3762</v>
      </c>
      <c r="AF309" s="12">
        <v>371009138</v>
      </c>
      <c r="AG309" s="12" t="s">
        <v>77</v>
      </c>
      <c r="AH309" s="12" t="s">
        <v>78</v>
      </c>
      <c r="AI309" s="14">
        <v>45976</v>
      </c>
      <c r="AJ309" s="14">
        <v>45976</v>
      </c>
      <c r="AK309" s="14">
        <v>45976</v>
      </c>
      <c r="AL309" s="14">
        <v>46044</v>
      </c>
      <c r="AM309" s="14"/>
      <c r="AN309" s="14">
        <v>46043</v>
      </c>
      <c r="AO309" s="91" t="s">
        <v>146</v>
      </c>
      <c r="AP309" s="12" t="s">
        <v>3755</v>
      </c>
      <c r="AQ309" s="12"/>
      <c r="AR309" s="12" t="s">
        <v>3763</v>
      </c>
      <c r="AS309" s="12" t="s">
        <v>3764</v>
      </c>
      <c r="AT309" s="12" t="s">
        <v>3764</v>
      </c>
      <c r="AU309" s="12">
        <v>68</v>
      </c>
      <c r="AV309" s="12" t="s">
        <v>2493</v>
      </c>
      <c r="AW309" s="12">
        <v>3</v>
      </c>
      <c r="AX309" s="12">
        <v>73</v>
      </c>
      <c r="AY309" s="14">
        <v>45976</v>
      </c>
      <c r="AZ309" s="14">
        <v>46043</v>
      </c>
      <c r="BA309" s="12" t="e">
        <v>#N/A</v>
      </c>
      <c r="BB309" s="14" t="s">
        <v>2480</v>
      </c>
      <c r="BC309" s="14">
        <v>46057</v>
      </c>
      <c r="BD309" s="16">
        <v>2026</v>
      </c>
      <c r="BE309" s="16">
        <v>2</v>
      </c>
      <c r="BF309" s="16">
        <v>6</v>
      </c>
      <c r="BG309" s="191">
        <v>36</v>
      </c>
      <c r="BH309" s="191">
        <v>864</v>
      </c>
    </row>
    <row r="310" spans="1:60" s="23" customFormat="1" ht="10">
      <c r="A310" s="11" t="s">
        <v>3765</v>
      </c>
      <c r="B310" s="12" t="s">
        <v>61</v>
      </c>
      <c r="C310" s="12" t="s">
        <v>3759</v>
      </c>
      <c r="D310" s="12" t="s">
        <v>63</v>
      </c>
      <c r="E310" s="12" t="s">
        <v>64</v>
      </c>
      <c r="F310" s="31" t="s">
        <v>310</v>
      </c>
      <c r="G310" s="12" t="s">
        <v>311</v>
      </c>
      <c r="H310" s="12" t="s">
        <v>66</v>
      </c>
      <c r="I310" s="12" t="s">
        <v>1342</v>
      </c>
      <c r="J310" s="34" t="s">
        <v>68</v>
      </c>
      <c r="K310" s="12"/>
      <c r="L310" s="13" t="s">
        <v>2497</v>
      </c>
      <c r="M310" s="213" t="s">
        <v>68</v>
      </c>
      <c r="N310" s="182"/>
      <c r="O310" s="12" t="s">
        <v>2475</v>
      </c>
      <c r="P310" s="12" t="s">
        <v>70</v>
      </c>
      <c r="Q310" s="12" t="s">
        <v>102</v>
      </c>
      <c r="R310" s="12">
        <v>554245</v>
      </c>
      <c r="S310" s="12" t="s">
        <v>103</v>
      </c>
      <c r="T310" s="206">
        <v>620</v>
      </c>
      <c r="U310" s="206">
        <v>3600</v>
      </c>
      <c r="V310" s="12">
        <v>2.2320000000000002</v>
      </c>
      <c r="W310" s="198">
        <v>100</v>
      </c>
      <c r="X310" s="254">
        <v>5</v>
      </c>
      <c r="Y310" s="12" t="s">
        <v>75</v>
      </c>
      <c r="Z310" s="12"/>
      <c r="AA310" s="12" t="s">
        <v>108</v>
      </c>
      <c r="AB310" s="13" t="s">
        <v>967</v>
      </c>
      <c r="AC310" s="14">
        <v>45970</v>
      </c>
      <c r="AD310" s="15">
        <v>45</v>
      </c>
      <c r="AE310" s="176" t="s">
        <v>3766</v>
      </c>
      <c r="AF310" s="12">
        <v>371009134</v>
      </c>
      <c r="AG310" s="12" t="s">
        <v>77</v>
      </c>
      <c r="AH310" s="12" t="s">
        <v>314</v>
      </c>
      <c r="AI310" s="14">
        <v>45976</v>
      </c>
      <c r="AJ310" s="14">
        <v>45976</v>
      </c>
      <c r="AK310" s="14">
        <v>45976</v>
      </c>
      <c r="AL310" s="14">
        <v>46039</v>
      </c>
      <c r="AM310" s="14">
        <v>46049</v>
      </c>
      <c r="AN310" s="14">
        <v>46049</v>
      </c>
      <c r="AO310" s="91" t="s">
        <v>66</v>
      </c>
      <c r="AP310" s="12" t="s">
        <v>3755</v>
      </c>
      <c r="AQ310" s="12"/>
      <c r="AR310" s="12" t="s">
        <v>3756</v>
      </c>
      <c r="AS310" s="12" t="s">
        <v>3757</v>
      </c>
      <c r="AT310" s="12" t="s">
        <v>3757</v>
      </c>
      <c r="AU310" s="12">
        <v>63</v>
      </c>
      <c r="AV310" s="12" t="s">
        <v>83</v>
      </c>
      <c r="AW310" s="12">
        <v>5</v>
      </c>
      <c r="AX310" s="12">
        <v>79</v>
      </c>
      <c r="AY310" s="14">
        <v>45976</v>
      </c>
      <c r="AZ310" s="14">
        <v>46049</v>
      </c>
      <c r="BA310" s="12" t="e">
        <v>#N/A</v>
      </c>
      <c r="BB310" s="14" t="s">
        <v>2480</v>
      </c>
      <c r="BC310" s="14">
        <v>46063</v>
      </c>
      <c r="BD310" s="16">
        <v>2026</v>
      </c>
      <c r="BE310" s="16">
        <v>2</v>
      </c>
      <c r="BF310" s="16">
        <v>7</v>
      </c>
      <c r="BG310" s="191">
        <v>36</v>
      </c>
      <c r="BH310" s="191">
        <v>720</v>
      </c>
    </row>
    <row r="311" spans="1:60" s="23" customFormat="1" ht="10">
      <c r="A311" s="11" t="s">
        <v>3767</v>
      </c>
      <c r="B311" s="12" t="s">
        <v>61</v>
      </c>
      <c r="C311" s="12" t="s">
        <v>3182</v>
      </c>
      <c r="D311" s="12" t="s">
        <v>63</v>
      </c>
      <c r="E311" s="12" t="s">
        <v>68</v>
      </c>
      <c r="F311" s="12" t="s">
        <v>68</v>
      </c>
      <c r="G311" s="12"/>
      <c r="H311" s="12" t="s">
        <v>66</v>
      </c>
      <c r="I311" s="12" t="s">
        <v>1342</v>
      </c>
      <c r="J311" s="34" t="s">
        <v>68</v>
      </c>
      <c r="K311" s="12"/>
      <c r="L311" s="13" t="s">
        <v>2497</v>
      </c>
      <c r="M311" s="12" t="s">
        <v>68</v>
      </c>
      <c r="N311" s="182"/>
      <c r="O311" s="12" t="s">
        <v>2475</v>
      </c>
      <c r="P311" s="12" t="s">
        <v>70</v>
      </c>
      <c r="Q311" s="12" t="s">
        <v>102</v>
      </c>
      <c r="R311" s="12">
        <v>554245</v>
      </c>
      <c r="S311" s="12" t="s">
        <v>103</v>
      </c>
      <c r="T311" s="206">
        <v>620</v>
      </c>
      <c r="U311" s="206">
        <v>720</v>
      </c>
      <c r="V311" s="12">
        <v>0.44640000000000002</v>
      </c>
      <c r="W311" s="198">
        <v>20</v>
      </c>
      <c r="X311" s="254">
        <v>1</v>
      </c>
      <c r="Y311" s="12" t="s">
        <v>75</v>
      </c>
      <c r="Z311" s="12"/>
      <c r="AA311" s="12" t="s">
        <v>108</v>
      </c>
      <c r="AB311" s="13" t="s">
        <v>967</v>
      </c>
      <c r="AC311" s="14">
        <v>45965</v>
      </c>
      <c r="AD311" s="15">
        <v>45</v>
      </c>
      <c r="AE311" s="289" t="s">
        <v>3768</v>
      </c>
      <c r="AF311" s="12">
        <v>371009117</v>
      </c>
      <c r="AG311" s="12" t="s">
        <v>77</v>
      </c>
      <c r="AH311" s="12" t="s">
        <v>314</v>
      </c>
      <c r="AI311" s="14">
        <v>45974</v>
      </c>
      <c r="AJ311" s="14">
        <v>45974</v>
      </c>
      <c r="AK311" s="14">
        <v>45974</v>
      </c>
      <c r="AL311" s="14">
        <v>46029</v>
      </c>
      <c r="AM311" s="14">
        <v>46036</v>
      </c>
      <c r="AN311" s="14">
        <v>46036</v>
      </c>
      <c r="AO311" s="91" t="s">
        <v>66</v>
      </c>
      <c r="AP311" s="12" t="s">
        <v>3745</v>
      </c>
      <c r="AQ311" s="12"/>
      <c r="AR311" s="12" t="s">
        <v>3751</v>
      </c>
      <c r="AS311" s="12" t="s">
        <v>3752</v>
      </c>
      <c r="AT311" s="12" t="s">
        <v>3752</v>
      </c>
      <c r="AU311" s="12">
        <v>55</v>
      </c>
      <c r="AV311" s="12" t="s">
        <v>83</v>
      </c>
      <c r="AW311" s="12">
        <v>5</v>
      </c>
      <c r="AX311" s="12">
        <v>71</v>
      </c>
      <c r="AY311" s="14">
        <v>45974</v>
      </c>
      <c r="AZ311" s="14">
        <v>46036</v>
      </c>
      <c r="BA311" s="12" t="e">
        <v>#N/A</v>
      </c>
      <c r="BB311" s="14" t="s">
        <v>2480</v>
      </c>
      <c r="BC311" s="14">
        <v>46050</v>
      </c>
      <c r="BD311" s="16">
        <v>2026</v>
      </c>
      <c r="BE311" s="16">
        <v>1</v>
      </c>
      <c r="BF311" s="16">
        <v>5</v>
      </c>
      <c r="BG311" s="191">
        <v>36</v>
      </c>
      <c r="BH311" s="191">
        <v>720</v>
      </c>
    </row>
    <row r="312" spans="1:60" ht="10">
      <c r="A312" s="11" t="s">
        <v>3769</v>
      </c>
      <c r="B312" s="12" t="s">
        <v>111</v>
      </c>
      <c r="C312" s="12" t="s">
        <v>3722</v>
      </c>
      <c r="D312" s="12" t="s">
        <v>63</v>
      </c>
      <c r="E312" s="12" t="s">
        <v>68</v>
      </c>
      <c r="F312" s="12" t="s">
        <v>68</v>
      </c>
      <c r="G312" s="12"/>
      <c r="H312" s="12" t="s">
        <v>66</v>
      </c>
      <c r="I312" s="12" t="s">
        <v>1342</v>
      </c>
      <c r="J312" s="34" t="s">
        <v>68</v>
      </c>
      <c r="K312" s="12"/>
      <c r="L312" s="13" t="s">
        <v>2497</v>
      </c>
      <c r="M312" s="12" t="s">
        <v>68</v>
      </c>
      <c r="N312" s="182"/>
      <c r="O312" s="12" t="s">
        <v>2475</v>
      </c>
      <c r="P312" s="12" t="s">
        <v>132</v>
      </c>
      <c r="Q312" s="12" t="s">
        <v>453</v>
      </c>
      <c r="R312" s="12">
        <v>554541</v>
      </c>
      <c r="S312" s="12" t="s">
        <v>454</v>
      </c>
      <c r="T312" s="206">
        <v>460</v>
      </c>
      <c r="U312" s="206">
        <v>4320</v>
      </c>
      <c r="V312" s="12">
        <v>1.9872000000000001</v>
      </c>
      <c r="W312" s="198">
        <v>120</v>
      </c>
      <c r="X312" s="254">
        <v>5</v>
      </c>
      <c r="Y312" s="12" t="s">
        <v>75</v>
      </c>
      <c r="Z312" s="12"/>
      <c r="AA312" s="12" t="s">
        <v>108</v>
      </c>
      <c r="AB312" s="32" t="s">
        <v>967</v>
      </c>
      <c r="AC312" s="14">
        <v>45969</v>
      </c>
      <c r="AD312" s="15">
        <v>45</v>
      </c>
      <c r="AE312" s="176" t="s">
        <v>3770</v>
      </c>
      <c r="AF312" s="12">
        <v>371009136</v>
      </c>
      <c r="AG312" s="12" t="s">
        <v>122</v>
      </c>
      <c r="AH312" s="12" t="s">
        <v>314</v>
      </c>
      <c r="AI312" s="14">
        <v>45982</v>
      </c>
      <c r="AJ312" s="14">
        <v>45982</v>
      </c>
      <c r="AK312" s="14">
        <v>45984</v>
      </c>
      <c r="AL312" s="14">
        <v>46029</v>
      </c>
      <c r="AM312" s="14">
        <v>46036</v>
      </c>
      <c r="AN312" s="14">
        <v>46036</v>
      </c>
      <c r="AO312" s="91" t="s">
        <v>66</v>
      </c>
      <c r="AP312" s="12" t="s">
        <v>3771</v>
      </c>
      <c r="AQ312" s="12"/>
      <c r="AR312" s="12" t="s">
        <v>3772</v>
      </c>
      <c r="AS312" s="12" t="s">
        <v>3773</v>
      </c>
      <c r="AT312" s="12" t="s">
        <v>3773</v>
      </c>
      <c r="AU312" s="12">
        <v>47</v>
      </c>
      <c r="AV312" s="12" t="s">
        <v>83</v>
      </c>
      <c r="AW312" s="12">
        <v>6</v>
      </c>
      <c r="AX312" s="12">
        <v>67</v>
      </c>
      <c r="AY312" s="14">
        <v>45984</v>
      </c>
      <c r="AZ312" s="14">
        <v>46036</v>
      </c>
      <c r="BA312" s="12" t="e">
        <v>#N/A</v>
      </c>
      <c r="BB312" s="14" t="s">
        <v>2480</v>
      </c>
      <c r="BC312" s="14">
        <v>46050</v>
      </c>
      <c r="BD312" s="16">
        <v>2026</v>
      </c>
      <c r="BE312" s="16">
        <v>1</v>
      </c>
      <c r="BF312" s="16">
        <v>5</v>
      </c>
      <c r="BG312" s="191">
        <v>36</v>
      </c>
      <c r="BH312" s="191">
        <v>864</v>
      </c>
    </row>
    <row r="313" spans="1:60" ht="10">
      <c r="A313" s="11" t="s">
        <v>3774</v>
      </c>
      <c r="B313" s="12" t="s">
        <v>111</v>
      </c>
      <c r="C313" s="12" t="s">
        <v>3722</v>
      </c>
      <c r="D313" s="12" t="s">
        <v>63</v>
      </c>
      <c r="E313" s="12" t="s">
        <v>68</v>
      </c>
      <c r="F313" s="12" t="s">
        <v>68</v>
      </c>
      <c r="G313" s="12"/>
      <c r="H313" s="12" t="s">
        <v>66</v>
      </c>
      <c r="I313" s="12" t="s">
        <v>1559</v>
      </c>
      <c r="J313" s="34" t="s">
        <v>68</v>
      </c>
      <c r="K313" s="12"/>
      <c r="L313" s="13" t="s">
        <v>2497</v>
      </c>
      <c r="M313" s="12" t="s">
        <v>68</v>
      </c>
      <c r="N313" s="182"/>
      <c r="O313" s="12" t="s">
        <v>2475</v>
      </c>
      <c r="P313" s="12" t="s">
        <v>132</v>
      </c>
      <c r="Q313" s="12" t="s">
        <v>453</v>
      </c>
      <c r="R313" s="12">
        <v>554541</v>
      </c>
      <c r="S313" s="12" t="s">
        <v>454</v>
      </c>
      <c r="T313" s="206">
        <v>460</v>
      </c>
      <c r="U313" s="206">
        <v>1728</v>
      </c>
      <c r="V313" s="12">
        <v>0.79488000000000003</v>
      </c>
      <c r="W313" s="198">
        <v>48</v>
      </c>
      <c r="X313" s="254">
        <v>2</v>
      </c>
      <c r="Y313" s="12" t="s">
        <v>75</v>
      </c>
      <c r="Z313" s="12"/>
      <c r="AA313" s="12" t="s">
        <v>108</v>
      </c>
      <c r="AB313" s="32" t="s">
        <v>967</v>
      </c>
      <c r="AC313" s="14">
        <v>45969</v>
      </c>
      <c r="AD313" s="15">
        <v>45</v>
      </c>
      <c r="AE313" s="176" t="s">
        <v>3775</v>
      </c>
      <c r="AF313" s="12">
        <v>371009137</v>
      </c>
      <c r="AG313" s="12" t="s">
        <v>122</v>
      </c>
      <c r="AH313" s="12" t="s">
        <v>1561</v>
      </c>
      <c r="AI313" s="14">
        <v>45982</v>
      </c>
      <c r="AJ313" s="14">
        <v>45982</v>
      </c>
      <c r="AK313" s="14">
        <v>45984</v>
      </c>
      <c r="AL313" s="14">
        <v>46033</v>
      </c>
      <c r="AM313" s="14">
        <v>46037</v>
      </c>
      <c r="AN313" s="14">
        <v>46037</v>
      </c>
      <c r="AO313" s="91" t="s">
        <v>66</v>
      </c>
      <c r="AP313" s="12" t="s">
        <v>3771</v>
      </c>
      <c r="AQ313" s="12"/>
      <c r="AR313" s="12" t="s">
        <v>3776</v>
      </c>
      <c r="AS313" s="12" t="s">
        <v>3777</v>
      </c>
      <c r="AT313" s="12" t="s">
        <v>3777</v>
      </c>
      <c r="AU313" s="12">
        <v>51</v>
      </c>
      <c r="AV313" s="12" t="s">
        <v>83</v>
      </c>
      <c r="AW313" s="12">
        <v>6</v>
      </c>
      <c r="AX313" s="12">
        <v>68</v>
      </c>
      <c r="AY313" s="14">
        <v>45984</v>
      </c>
      <c r="AZ313" s="14">
        <v>46037</v>
      </c>
      <c r="BA313" s="12" t="e">
        <v>#N/A</v>
      </c>
      <c r="BB313" s="14" t="s">
        <v>2480</v>
      </c>
      <c r="BC313" s="14">
        <v>46051</v>
      </c>
      <c r="BD313" s="16">
        <v>2026</v>
      </c>
      <c r="BE313" s="16">
        <v>1</v>
      </c>
      <c r="BF313" s="16">
        <v>5</v>
      </c>
      <c r="BG313" s="191">
        <v>36</v>
      </c>
      <c r="BH313" s="191">
        <v>864</v>
      </c>
    </row>
    <row r="314" spans="1:60" s="23" customFormat="1" ht="10">
      <c r="A314" s="11" t="s">
        <v>3778</v>
      </c>
      <c r="B314" s="12" t="s">
        <v>111</v>
      </c>
      <c r="C314" s="12" t="s">
        <v>3779</v>
      </c>
      <c r="D314" s="12" t="s">
        <v>63</v>
      </c>
      <c r="E314" s="12" t="s">
        <v>64</v>
      </c>
      <c r="F314" s="12" t="s">
        <v>100</v>
      </c>
      <c r="G314" s="12" t="s">
        <v>67</v>
      </c>
      <c r="H314" s="12" t="s">
        <v>402</v>
      </c>
      <c r="I314" s="12" t="s">
        <v>677</v>
      </c>
      <c r="J314" s="34" t="s">
        <v>68</v>
      </c>
      <c r="K314" s="12">
        <v>14130754</v>
      </c>
      <c r="L314" s="13" t="s">
        <v>2732</v>
      </c>
      <c r="M314" s="213" t="s">
        <v>68</v>
      </c>
      <c r="N314" s="182"/>
      <c r="O314" s="12" t="s">
        <v>2475</v>
      </c>
      <c r="P314" s="12" t="s">
        <v>70</v>
      </c>
      <c r="Q314" s="12" t="s">
        <v>1002</v>
      </c>
      <c r="R314" s="12">
        <v>554246</v>
      </c>
      <c r="S314" s="12" t="s">
        <v>330</v>
      </c>
      <c r="T314" s="206">
        <v>625</v>
      </c>
      <c r="U314" s="206">
        <v>3600</v>
      </c>
      <c r="V314" s="12">
        <v>2.25</v>
      </c>
      <c r="W314" s="198">
        <v>100</v>
      </c>
      <c r="X314" s="254">
        <v>5</v>
      </c>
      <c r="Y314" s="12" t="s">
        <v>75</v>
      </c>
      <c r="Z314" s="12"/>
      <c r="AA314" s="12" t="s">
        <v>3780</v>
      </c>
      <c r="AB314" s="247" t="s">
        <v>3733</v>
      </c>
      <c r="AC314" s="14">
        <v>45970</v>
      </c>
      <c r="AD314" s="15">
        <v>45</v>
      </c>
      <c r="AE314" s="176" t="s">
        <v>3781</v>
      </c>
      <c r="AF314" s="12">
        <v>371009177</v>
      </c>
      <c r="AG314" s="12" t="s">
        <v>122</v>
      </c>
      <c r="AH314" s="12" t="s">
        <v>105</v>
      </c>
      <c r="AI314" s="14">
        <v>45976</v>
      </c>
      <c r="AJ314" s="14">
        <v>45976</v>
      </c>
      <c r="AK314" s="14">
        <v>45976</v>
      </c>
      <c r="AL314" s="14">
        <v>46018</v>
      </c>
      <c r="AM314" s="14">
        <v>46020</v>
      </c>
      <c r="AN314" s="14">
        <v>46020</v>
      </c>
      <c r="AO314" s="91" t="s">
        <v>402</v>
      </c>
      <c r="AP314" s="12" t="s">
        <v>3782</v>
      </c>
      <c r="AQ314" s="12"/>
      <c r="AR314" s="12" t="s">
        <v>3783</v>
      </c>
      <c r="AS314" s="12" t="s">
        <v>3784</v>
      </c>
      <c r="AT314" s="12" t="s">
        <v>3784</v>
      </c>
      <c r="AU314" s="12">
        <v>42</v>
      </c>
      <c r="AV314" s="12" t="s">
        <v>2493</v>
      </c>
      <c r="AW314" s="12">
        <v>4</v>
      </c>
      <c r="AX314" s="12">
        <v>50</v>
      </c>
      <c r="AY314" s="14">
        <v>45976</v>
      </c>
      <c r="AZ314" s="14">
        <v>46020</v>
      </c>
      <c r="BA314" s="12" t="e">
        <v>#N/A</v>
      </c>
      <c r="BB314" s="14" t="s">
        <v>2480</v>
      </c>
      <c r="BC314" s="14">
        <v>46034</v>
      </c>
      <c r="BD314" s="16">
        <v>2026</v>
      </c>
      <c r="BE314" s="16">
        <v>1</v>
      </c>
      <c r="BF314" s="16">
        <v>3</v>
      </c>
      <c r="BG314" s="191">
        <v>36</v>
      </c>
      <c r="BH314" s="191">
        <v>720</v>
      </c>
    </row>
    <row r="315" spans="1:60" s="23" customFormat="1" ht="10">
      <c r="A315" s="11" t="s">
        <v>3785</v>
      </c>
      <c r="B315" s="12" t="s">
        <v>111</v>
      </c>
      <c r="C315" s="12" t="s">
        <v>2883</v>
      </c>
      <c r="D315" s="12" t="s">
        <v>113</v>
      </c>
      <c r="E315" s="12" t="s">
        <v>68</v>
      </c>
      <c r="F315" s="12" t="s">
        <v>68</v>
      </c>
      <c r="G315" s="12"/>
      <c r="H315" s="12" t="s">
        <v>66</v>
      </c>
      <c r="I315" s="12" t="s">
        <v>3506</v>
      </c>
      <c r="J315" s="34" t="s">
        <v>68</v>
      </c>
      <c r="K315" s="12">
        <v>16102590</v>
      </c>
      <c r="L315" s="13" t="s">
        <v>2482</v>
      </c>
      <c r="M315" s="12" t="s">
        <v>68</v>
      </c>
      <c r="N315" s="182"/>
      <c r="O315" s="12" t="s">
        <v>2475</v>
      </c>
      <c r="P315" s="12" t="s">
        <v>132</v>
      </c>
      <c r="Q315" s="12" t="s">
        <v>2884</v>
      </c>
      <c r="R315" s="12">
        <v>555076</v>
      </c>
      <c r="S315" s="12" t="s">
        <v>1300</v>
      </c>
      <c r="T315" s="206">
        <v>720</v>
      </c>
      <c r="U315" s="206">
        <v>3564</v>
      </c>
      <c r="V315" s="12">
        <v>2.5660799999999999</v>
      </c>
      <c r="W315" s="198">
        <v>108</v>
      </c>
      <c r="X315" s="254">
        <v>6</v>
      </c>
      <c r="Y315" s="12" t="s">
        <v>75</v>
      </c>
      <c r="Z315" s="12"/>
      <c r="AA315" s="12" t="s">
        <v>108</v>
      </c>
      <c r="AB315" s="32" t="s">
        <v>992</v>
      </c>
      <c r="AC315" s="14">
        <v>45972</v>
      </c>
      <c r="AD315" s="15">
        <v>46</v>
      </c>
      <c r="AE315" s="176" t="s">
        <v>3786</v>
      </c>
      <c r="AF315" s="12">
        <v>371009130</v>
      </c>
      <c r="AG315" s="12" t="s">
        <v>122</v>
      </c>
      <c r="AH315" s="12" t="s">
        <v>124</v>
      </c>
      <c r="AI315" s="14">
        <v>45979</v>
      </c>
      <c r="AJ315" s="14">
        <v>45979</v>
      </c>
      <c r="AK315" s="14">
        <v>45979</v>
      </c>
      <c r="AL315" s="14">
        <v>46023</v>
      </c>
      <c r="AM315" s="14"/>
      <c r="AN315" s="14">
        <v>46025</v>
      </c>
      <c r="AO315" s="91" t="s">
        <v>66</v>
      </c>
      <c r="AP315" s="12" t="s">
        <v>3787</v>
      </c>
      <c r="AQ315" s="12"/>
      <c r="AR315" s="12" t="s">
        <v>3788</v>
      </c>
      <c r="AS315" s="12" t="s">
        <v>3789</v>
      </c>
      <c r="AT315" s="12" t="s">
        <v>3789</v>
      </c>
      <c r="AU315" s="12">
        <v>44</v>
      </c>
      <c r="AV315" s="12" t="s">
        <v>3511</v>
      </c>
      <c r="AW315" s="12">
        <v>9</v>
      </c>
      <c r="AX315" s="12">
        <v>53</v>
      </c>
      <c r="AY315" s="14">
        <v>45979</v>
      </c>
      <c r="AZ315" s="14">
        <v>46025</v>
      </c>
      <c r="BA315" s="12" t="e">
        <v>#N/A</v>
      </c>
      <c r="BB315" s="14" t="s">
        <v>2480</v>
      </c>
      <c r="BC315" s="14">
        <v>46039</v>
      </c>
      <c r="BD315" s="16">
        <v>2026</v>
      </c>
      <c r="BE315" s="16">
        <v>1</v>
      </c>
      <c r="BF315" s="16">
        <v>3</v>
      </c>
      <c r="BG315" s="191">
        <v>33</v>
      </c>
      <c r="BH315" s="191">
        <v>594</v>
      </c>
    </row>
    <row r="316" spans="1:60" s="23" customFormat="1" ht="10">
      <c r="A316" s="11" t="s">
        <v>3790</v>
      </c>
      <c r="B316" s="12" t="s">
        <v>111</v>
      </c>
      <c r="C316" s="12" t="s">
        <v>2883</v>
      </c>
      <c r="D316" s="12" t="s">
        <v>113</v>
      </c>
      <c r="E316" s="12" t="s">
        <v>68</v>
      </c>
      <c r="F316" s="12" t="s">
        <v>68</v>
      </c>
      <c r="G316" s="12"/>
      <c r="H316" s="12" t="s">
        <v>66</v>
      </c>
      <c r="I316" s="12" t="s">
        <v>3506</v>
      </c>
      <c r="J316" s="34" t="s">
        <v>68</v>
      </c>
      <c r="K316" s="12">
        <v>16102590</v>
      </c>
      <c r="L316" s="13" t="s">
        <v>2482</v>
      </c>
      <c r="M316" s="12" t="s">
        <v>68</v>
      </c>
      <c r="N316" s="182"/>
      <c r="O316" s="12" t="s">
        <v>2475</v>
      </c>
      <c r="P316" s="12" t="s">
        <v>132</v>
      </c>
      <c r="Q316" s="12" t="s">
        <v>2884</v>
      </c>
      <c r="R316" s="12">
        <v>555076</v>
      </c>
      <c r="S316" s="12" t="s">
        <v>1300</v>
      </c>
      <c r="T316" s="206">
        <v>720</v>
      </c>
      <c r="U316" s="206">
        <v>2376</v>
      </c>
      <c r="V316" s="12">
        <v>1.71072</v>
      </c>
      <c r="W316" s="198">
        <v>72</v>
      </c>
      <c r="X316" s="254">
        <v>4</v>
      </c>
      <c r="Y316" s="12" t="s">
        <v>75</v>
      </c>
      <c r="Z316" s="12"/>
      <c r="AA316" s="12" t="s">
        <v>108</v>
      </c>
      <c r="AB316" s="32" t="s">
        <v>992</v>
      </c>
      <c r="AC316" s="14">
        <v>45973</v>
      </c>
      <c r="AD316" s="15">
        <v>46</v>
      </c>
      <c r="AE316" s="176" t="s">
        <v>3791</v>
      </c>
      <c r="AF316" s="12">
        <v>371009131</v>
      </c>
      <c r="AG316" s="12" t="s">
        <v>122</v>
      </c>
      <c r="AH316" s="12" t="s">
        <v>124</v>
      </c>
      <c r="AI316" s="14">
        <v>45979</v>
      </c>
      <c r="AJ316" s="14">
        <v>45979</v>
      </c>
      <c r="AK316" s="14">
        <v>45979</v>
      </c>
      <c r="AL316" s="14">
        <v>46023</v>
      </c>
      <c r="AM316" s="14"/>
      <c r="AN316" s="14">
        <v>46025</v>
      </c>
      <c r="AO316" s="91" t="s">
        <v>66</v>
      </c>
      <c r="AP316" s="12" t="s">
        <v>3787</v>
      </c>
      <c r="AQ316" s="12"/>
      <c r="AR316" s="12" t="s">
        <v>3788</v>
      </c>
      <c r="AS316" s="12" t="s">
        <v>3789</v>
      </c>
      <c r="AT316" s="12" t="s">
        <v>3789</v>
      </c>
      <c r="AU316" s="12">
        <v>44</v>
      </c>
      <c r="AV316" s="12" t="s">
        <v>3511</v>
      </c>
      <c r="AW316" s="12">
        <v>9</v>
      </c>
      <c r="AX316" s="12">
        <v>52</v>
      </c>
      <c r="AY316" s="14">
        <v>45979</v>
      </c>
      <c r="AZ316" s="14">
        <v>46025</v>
      </c>
      <c r="BA316" s="12" t="e">
        <v>#N/A</v>
      </c>
      <c r="BB316" s="14" t="s">
        <v>2480</v>
      </c>
      <c r="BC316" s="14">
        <v>46039</v>
      </c>
      <c r="BD316" s="16">
        <v>2026</v>
      </c>
      <c r="BE316" s="16">
        <v>1</v>
      </c>
      <c r="BF316" s="16">
        <v>3</v>
      </c>
      <c r="BG316" s="191">
        <v>33</v>
      </c>
      <c r="BH316" s="191">
        <v>594</v>
      </c>
    </row>
    <row r="317" spans="1:60" s="23" customFormat="1" ht="10">
      <c r="A317" s="11" t="s">
        <v>3792</v>
      </c>
      <c r="B317" s="12" t="s">
        <v>111</v>
      </c>
      <c r="C317" s="12" t="s">
        <v>3779</v>
      </c>
      <c r="D317" s="12" t="s">
        <v>63</v>
      </c>
      <c r="E317" s="12" t="s">
        <v>64</v>
      </c>
      <c r="F317" s="12" t="s">
        <v>100</v>
      </c>
      <c r="G317" s="12" t="s">
        <v>67</v>
      </c>
      <c r="H317" s="12" t="s">
        <v>402</v>
      </c>
      <c r="I317" s="12" t="s">
        <v>677</v>
      </c>
      <c r="J317" s="34" t="s">
        <v>68</v>
      </c>
      <c r="K317" s="12">
        <v>14130754</v>
      </c>
      <c r="L317" s="13" t="s">
        <v>2732</v>
      </c>
      <c r="M317" s="213" t="s">
        <v>68</v>
      </c>
      <c r="N317" s="182"/>
      <c r="O317" s="12" t="s">
        <v>2475</v>
      </c>
      <c r="P317" s="12" t="s">
        <v>70</v>
      </c>
      <c r="Q317" s="12" t="s">
        <v>1002</v>
      </c>
      <c r="R317" s="12">
        <v>554246</v>
      </c>
      <c r="S317" s="12" t="s">
        <v>330</v>
      </c>
      <c r="T317" s="206">
        <v>625</v>
      </c>
      <c r="U317" s="206">
        <v>7200</v>
      </c>
      <c r="V317" s="12">
        <v>4.5</v>
      </c>
      <c r="W317" s="198">
        <v>200</v>
      </c>
      <c r="X317" s="254">
        <v>10</v>
      </c>
      <c r="Y317" s="12" t="s">
        <v>75</v>
      </c>
      <c r="Z317" s="12"/>
      <c r="AA317" s="12" t="s">
        <v>3780</v>
      </c>
      <c r="AB317" s="247" t="s">
        <v>3733</v>
      </c>
      <c r="AC317" s="14">
        <v>45975</v>
      </c>
      <c r="AD317" s="15">
        <v>46</v>
      </c>
      <c r="AE317" s="176" t="s">
        <v>3793</v>
      </c>
      <c r="AF317" s="12">
        <v>371009164</v>
      </c>
      <c r="AG317" s="12" t="s">
        <v>122</v>
      </c>
      <c r="AH317" s="12" t="s">
        <v>105</v>
      </c>
      <c r="AI317" s="14">
        <v>45991</v>
      </c>
      <c r="AJ317" s="14">
        <v>45991</v>
      </c>
      <c r="AK317" s="14">
        <v>45992</v>
      </c>
      <c r="AL317" s="14">
        <v>46028</v>
      </c>
      <c r="AM317" s="14">
        <v>46031</v>
      </c>
      <c r="AN317" s="14">
        <v>46031</v>
      </c>
      <c r="AO317" s="91" t="s">
        <v>402</v>
      </c>
      <c r="AP317" s="12" t="s">
        <v>3794</v>
      </c>
      <c r="AQ317" s="12"/>
      <c r="AR317" s="12" t="s">
        <v>3795</v>
      </c>
      <c r="AS317" s="12" t="s">
        <v>3796</v>
      </c>
      <c r="AT317" s="12" t="s">
        <v>3796</v>
      </c>
      <c r="AU317" s="12">
        <v>37</v>
      </c>
      <c r="AV317" s="12" t="s">
        <v>2493</v>
      </c>
      <c r="AW317" s="12">
        <v>4</v>
      </c>
      <c r="AX317" s="12">
        <v>56</v>
      </c>
      <c r="AY317" s="14">
        <v>45992</v>
      </c>
      <c r="AZ317" s="14">
        <v>46031</v>
      </c>
      <c r="BA317" s="12" t="e">
        <v>#N/A</v>
      </c>
      <c r="BB317" s="14" t="s">
        <v>2480</v>
      </c>
      <c r="BC317" s="14">
        <v>46045</v>
      </c>
      <c r="BD317" s="16">
        <v>2026</v>
      </c>
      <c r="BE317" s="16">
        <v>1</v>
      </c>
      <c r="BF317" s="16">
        <v>4</v>
      </c>
      <c r="BG317" s="191">
        <v>36</v>
      </c>
      <c r="BH317" s="191">
        <v>720</v>
      </c>
    </row>
    <row r="318" spans="1:60" s="23" customFormat="1" ht="10">
      <c r="A318" s="11" t="s">
        <v>3797</v>
      </c>
      <c r="B318" s="12" t="s">
        <v>61</v>
      </c>
      <c r="C318" s="12" t="s">
        <v>3759</v>
      </c>
      <c r="D318" s="12" t="s">
        <v>63</v>
      </c>
      <c r="E318" s="12" t="s">
        <v>64</v>
      </c>
      <c r="F318" s="31" t="s">
        <v>310</v>
      </c>
      <c r="G318" s="12" t="s">
        <v>311</v>
      </c>
      <c r="H318" s="12" t="s">
        <v>66</v>
      </c>
      <c r="I318" s="12" t="s">
        <v>1559</v>
      </c>
      <c r="J318" s="34" t="s">
        <v>68</v>
      </c>
      <c r="K318" s="12"/>
      <c r="L318" s="13" t="s">
        <v>2497</v>
      </c>
      <c r="M318" s="213" t="s">
        <v>68</v>
      </c>
      <c r="N318" s="182"/>
      <c r="O318" s="12" t="s">
        <v>2475</v>
      </c>
      <c r="P318" s="12" t="s">
        <v>70</v>
      </c>
      <c r="Q318" s="12" t="s">
        <v>102</v>
      </c>
      <c r="R318" s="12">
        <v>554245</v>
      </c>
      <c r="S318" s="12" t="s">
        <v>103</v>
      </c>
      <c r="T318" s="206">
        <v>620</v>
      </c>
      <c r="U318" s="206">
        <v>4320</v>
      </c>
      <c r="V318" s="12">
        <v>2.6783999999999999</v>
      </c>
      <c r="W318" s="198">
        <v>120</v>
      </c>
      <c r="X318" s="254">
        <v>6</v>
      </c>
      <c r="Y318" s="12" t="s">
        <v>75</v>
      </c>
      <c r="Z318" s="12"/>
      <c r="AA318" s="12" t="s">
        <v>108</v>
      </c>
      <c r="AB318" s="13" t="s">
        <v>967</v>
      </c>
      <c r="AC318" s="14">
        <v>45971</v>
      </c>
      <c r="AD318" s="15">
        <v>46</v>
      </c>
      <c r="AE318" s="176" t="s">
        <v>3798</v>
      </c>
      <c r="AF318" s="12">
        <v>371009135</v>
      </c>
      <c r="AG318" s="12" t="s">
        <v>77</v>
      </c>
      <c r="AH318" s="12" t="s">
        <v>1561</v>
      </c>
      <c r="AI318" s="14">
        <v>45977</v>
      </c>
      <c r="AJ318" s="14">
        <v>45977</v>
      </c>
      <c r="AK318" s="14">
        <v>45976</v>
      </c>
      <c r="AL318" s="14">
        <v>46045</v>
      </c>
      <c r="AM318" s="14">
        <v>46053</v>
      </c>
      <c r="AN318" s="14">
        <v>46054</v>
      </c>
      <c r="AO318" s="91" t="s">
        <v>66</v>
      </c>
      <c r="AP318" s="12" t="s">
        <v>3755</v>
      </c>
      <c r="AQ318" s="12"/>
      <c r="AR318" s="12" t="s">
        <v>3799</v>
      </c>
      <c r="AS318" s="12" t="s">
        <v>3800</v>
      </c>
      <c r="AT318" s="12" t="s">
        <v>3800</v>
      </c>
      <c r="AU318" s="12">
        <v>68</v>
      </c>
      <c r="AV318" s="12" t="s">
        <v>83</v>
      </c>
      <c r="AW318" s="12">
        <v>5</v>
      </c>
      <c r="AX318" s="12">
        <v>83</v>
      </c>
      <c r="AY318" s="14">
        <v>45976</v>
      </c>
      <c r="AZ318" s="14">
        <v>46054</v>
      </c>
      <c r="BA318" s="12" t="e">
        <v>#N/A</v>
      </c>
      <c r="BB318" s="14" t="s">
        <v>2480</v>
      </c>
      <c r="BC318" s="14">
        <v>46068</v>
      </c>
      <c r="BD318" s="16">
        <v>2026</v>
      </c>
      <c r="BE318" s="16">
        <v>2</v>
      </c>
      <c r="BF318" s="16">
        <v>7</v>
      </c>
      <c r="BG318" s="191">
        <v>36</v>
      </c>
      <c r="BH318" s="191">
        <v>720</v>
      </c>
    </row>
    <row r="319" spans="1:60" ht="10">
      <c r="A319" s="11" t="s">
        <v>3801</v>
      </c>
      <c r="B319" s="12" t="s">
        <v>111</v>
      </c>
      <c r="C319" s="12" t="s">
        <v>3732</v>
      </c>
      <c r="D319" s="12" t="s">
        <v>63</v>
      </c>
      <c r="E319" s="12" t="s">
        <v>64</v>
      </c>
      <c r="F319" s="12" t="s">
        <v>100</v>
      </c>
      <c r="G319" s="12" t="s">
        <v>67</v>
      </c>
      <c r="H319" s="12" t="s">
        <v>402</v>
      </c>
      <c r="I319" s="12" t="s">
        <v>677</v>
      </c>
      <c r="J319" s="34" t="s">
        <v>68</v>
      </c>
      <c r="K319" s="12">
        <v>14130733</v>
      </c>
      <c r="L319" s="13" t="s">
        <v>2732</v>
      </c>
      <c r="M319" s="213" t="s">
        <v>68</v>
      </c>
      <c r="N319" s="182"/>
      <c r="O319" s="12" t="s">
        <v>2475</v>
      </c>
      <c r="P319" s="12" t="s">
        <v>70</v>
      </c>
      <c r="Q319" s="12" t="s">
        <v>102</v>
      </c>
      <c r="R319" s="12">
        <v>554245</v>
      </c>
      <c r="S319" s="12" t="s">
        <v>103</v>
      </c>
      <c r="T319" s="206">
        <v>620</v>
      </c>
      <c r="U319" s="206">
        <v>10800</v>
      </c>
      <c r="V319" s="12">
        <v>6.6959999999999997</v>
      </c>
      <c r="W319" s="198">
        <v>300</v>
      </c>
      <c r="X319" s="254">
        <v>15</v>
      </c>
      <c r="Y319" s="12" t="s">
        <v>75</v>
      </c>
      <c r="Z319" s="12"/>
      <c r="AA319" s="12" t="s">
        <v>108</v>
      </c>
      <c r="AB319" s="247" t="s">
        <v>3733</v>
      </c>
      <c r="AC319" s="14">
        <v>45977</v>
      </c>
      <c r="AD319" s="15">
        <v>46</v>
      </c>
      <c r="AE319" s="176" t="s">
        <v>3802</v>
      </c>
      <c r="AF319" s="12">
        <v>371009160</v>
      </c>
      <c r="AG319" s="12" t="s">
        <v>122</v>
      </c>
      <c r="AH319" s="12" t="s">
        <v>105</v>
      </c>
      <c r="AI319" s="14">
        <v>45991</v>
      </c>
      <c r="AJ319" s="14">
        <v>45991</v>
      </c>
      <c r="AK319" s="14">
        <v>45992</v>
      </c>
      <c r="AL319" s="14">
        <v>46028</v>
      </c>
      <c r="AM319" s="14">
        <v>46031</v>
      </c>
      <c r="AN319" s="14">
        <v>46031</v>
      </c>
      <c r="AO319" s="91" t="s">
        <v>402</v>
      </c>
      <c r="AP319" s="12" t="s">
        <v>3794</v>
      </c>
      <c r="AQ319" s="12"/>
      <c r="AR319" s="12" t="s">
        <v>3803</v>
      </c>
      <c r="AS319" s="12" t="s">
        <v>3804</v>
      </c>
      <c r="AT319" s="12" t="s">
        <v>3804</v>
      </c>
      <c r="AU319" s="12">
        <v>37</v>
      </c>
      <c r="AV319" s="12" t="s">
        <v>2493</v>
      </c>
      <c r="AW319" s="12">
        <v>5</v>
      </c>
      <c r="AX319" s="12">
        <v>54</v>
      </c>
      <c r="AY319" s="14">
        <v>45992</v>
      </c>
      <c r="AZ319" s="14">
        <v>46031</v>
      </c>
      <c r="BA319" s="12" t="e">
        <v>#N/A</v>
      </c>
      <c r="BB319" s="14" t="s">
        <v>2480</v>
      </c>
      <c r="BC319" s="14">
        <v>46045</v>
      </c>
      <c r="BD319" s="16">
        <v>2026</v>
      </c>
      <c r="BE319" s="16">
        <v>1</v>
      </c>
      <c r="BF319" s="16">
        <v>4</v>
      </c>
      <c r="BG319" s="191">
        <v>36</v>
      </c>
      <c r="BH319" s="191">
        <v>720</v>
      </c>
    </row>
    <row r="320" spans="1:60" s="23" customFormat="1" ht="10">
      <c r="A320" s="11" t="s">
        <v>3805</v>
      </c>
      <c r="B320" s="12" t="s">
        <v>61</v>
      </c>
      <c r="C320" s="12" t="s">
        <v>3749</v>
      </c>
      <c r="D320" s="12" t="s">
        <v>63</v>
      </c>
      <c r="E320" s="12" t="s">
        <v>64</v>
      </c>
      <c r="F320" s="31" t="s">
        <v>310</v>
      </c>
      <c r="G320" s="12" t="s">
        <v>311</v>
      </c>
      <c r="H320" s="12" t="s">
        <v>66</v>
      </c>
      <c r="I320" s="12" t="s">
        <v>1559</v>
      </c>
      <c r="J320" s="34" t="s">
        <v>68</v>
      </c>
      <c r="K320" s="12"/>
      <c r="L320" s="13" t="s">
        <v>2497</v>
      </c>
      <c r="M320" s="213" t="s">
        <v>68</v>
      </c>
      <c r="N320" s="182"/>
      <c r="O320" s="12" t="s">
        <v>2475</v>
      </c>
      <c r="P320" s="12" t="s">
        <v>70</v>
      </c>
      <c r="Q320" s="12" t="s">
        <v>420</v>
      </c>
      <c r="R320" s="12">
        <v>554476</v>
      </c>
      <c r="S320" s="12" t="s">
        <v>421</v>
      </c>
      <c r="T320" s="206">
        <v>505</v>
      </c>
      <c r="U320" s="206">
        <v>2592</v>
      </c>
      <c r="V320" s="12">
        <v>1.3089599999999999</v>
      </c>
      <c r="W320" s="198">
        <v>72</v>
      </c>
      <c r="X320" s="254">
        <v>3</v>
      </c>
      <c r="Y320" s="12" t="s">
        <v>75</v>
      </c>
      <c r="Z320" s="12"/>
      <c r="AA320" s="12" t="e">
        <v>#N/A</v>
      </c>
      <c r="AB320" s="13" t="s">
        <v>992</v>
      </c>
      <c r="AC320" s="14">
        <v>45971</v>
      </c>
      <c r="AD320" s="15">
        <v>46</v>
      </c>
      <c r="AE320" s="176" t="s">
        <v>3806</v>
      </c>
      <c r="AF320" s="12">
        <v>371009133</v>
      </c>
      <c r="AG320" s="12" t="s">
        <v>77</v>
      </c>
      <c r="AH320" s="12" t="s">
        <v>1561</v>
      </c>
      <c r="AI320" s="14">
        <v>45977</v>
      </c>
      <c r="AJ320" s="14">
        <v>45977</v>
      </c>
      <c r="AK320" s="14">
        <v>45976</v>
      </c>
      <c r="AL320" s="14">
        <v>46045</v>
      </c>
      <c r="AM320" s="14">
        <v>46053</v>
      </c>
      <c r="AN320" s="14">
        <v>46054</v>
      </c>
      <c r="AO320" s="91" t="s">
        <v>66</v>
      </c>
      <c r="AP320" s="12" t="s">
        <v>3755</v>
      </c>
      <c r="AQ320" s="12"/>
      <c r="AR320" s="12" t="s">
        <v>3799</v>
      </c>
      <c r="AS320" s="12" t="s">
        <v>3800</v>
      </c>
      <c r="AT320" s="12" t="s">
        <v>3800</v>
      </c>
      <c r="AU320" s="12">
        <v>68</v>
      </c>
      <c r="AV320" s="12" t="s">
        <v>83</v>
      </c>
      <c r="AW320" s="12">
        <v>3</v>
      </c>
      <c r="AX320" s="12">
        <v>83</v>
      </c>
      <c r="AY320" s="14">
        <v>45976</v>
      </c>
      <c r="AZ320" s="14">
        <v>46054</v>
      </c>
      <c r="BA320" s="12" t="e">
        <v>#N/A</v>
      </c>
      <c r="BB320" s="14" t="s">
        <v>2480</v>
      </c>
      <c r="BC320" s="14">
        <v>46068</v>
      </c>
      <c r="BD320" s="16">
        <v>2026</v>
      </c>
      <c r="BE320" s="16">
        <v>2</v>
      </c>
      <c r="BF320" s="16">
        <v>7</v>
      </c>
      <c r="BG320" s="191">
        <v>36</v>
      </c>
      <c r="BH320" s="191">
        <v>864</v>
      </c>
    </row>
    <row r="321" spans="1:60" ht="10">
      <c r="A321" s="11" t="s">
        <v>3807</v>
      </c>
      <c r="B321" s="12" t="s">
        <v>61</v>
      </c>
      <c r="C321" s="12" t="s">
        <v>193</v>
      </c>
      <c r="D321" s="12" t="s">
        <v>63</v>
      </c>
      <c r="E321" s="12" t="s">
        <v>64</v>
      </c>
      <c r="F321" s="12" t="s">
        <v>100</v>
      </c>
      <c r="G321" s="12" t="s">
        <v>67</v>
      </c>
      <c r="H321" s="12" t="s">
        <v>66</v>
      </c>
      <c r="I321" s="12" t="s">
        <v>2731</v>
      </c>
      <c r="J321" s="34" t="s">
        <v>68</v>
      </c>
      <c r="K321" s="12" t="s">
        <v>328</v>
      </c>
      <c r="L321" s="13" t="s">
        <v>2732</v>
      </c>
      <c r="M321" s="213" t="s">
        <v>68</v>
      </c>
      <c r="N321" s="182"/>
      <c r="O321" s="12" t="s">
        <v>2475</v>
      </c>
      <c r="P321" s="12" t="s">
        <v>70</v>
      </c>
      <c r="Q321" s="12" t="s">
        <v>195</v>
      </c>
      <c r="R321" s="12">
        <v>554473</v>
      </c>
      <c r="S321" s="12" t="s">
        <v>196</v>
      </c>
      <c r="T321" s="206">
        <v>450</v>
      </c>
      <c r="U321" s="206">
        <v>936</v>
      </c>
      <c r="V321" s="12">
        <v>0.42120000000000002</v>
      </c>
      <c r="W321" s="198">
        <v>26</v>
      </c>
      <c r="X321" s="254">
        <v>1</v>
      </c>
      <c r="Y321" s="12" t="s">
        <v>75</v>
      </c>
      <c r="Z321" s="12"/>
      <c r="AA321" s="12" t="s">
        <v>85</v>
      </c>
      <c r="AB321" s="13" t="s">
        <v>967</v>
      </c>
      <c r="AC321" s="14">
        <v>45971</v>
      </c>
      <c r="AD321" s="15">
        <v>46</v>
      </c>
      <c r="AE321" s="176" t="s">
        <v>3808</v>
      </c>
      <c r="AF321" s="12">
        <v>371009123</v>
      </c>
      <c r="AG321" s="12" t="s">
        <v>77</v>
      </c>
      <c r="AH321" s="12" t="s">
        <v>105</v>
      </c>
      <c r="AI321" s="14">
        <v>45976</v>
      </c>
      <c r="AJ321" s="14">
        <v>45976</v>
      </c>
      <c r="AK321" s="14">
        <v>45976</v>
      </c>
      <c r="AL321" s="14">
        <v>46020</v>
      </c>
      <c r="AM321" s="14">
        <v>46021</v>
      </c>
      <c r="AN321" s="14">
        <v>46021</v>
      </c>
      <c r="AO321" s="91" t="s">
        <v>66</v>
      </c>
      <c r="AP321" s="12" t="s">
        <v>3755</v>
      </c>
      <c r="AQ321" s="12"/>
      <c r="AR321" s="12" t="s">
        <v>3809</v>
      </c>
      <c r="AS321" s="12" t="s">
        <v>3810</v>
      </c>
      <c r="AT321" s="12" t="s">
        <v>3810</v>
      </c>
      <c r="AU321" s="12">
        <v>44</v>
      </c>
      <c r="AV321" s="12" t="s">
        <v>83</v>
      </c>
      <c r="AW321" s="12">
        <v>5</v>
      </c>
      <c r="AX321" s="12">
        <v>50</v>
      </c>
      <c r="AY321" s="14">
        <v>45976</v>
      </c>
      <c r="AZ321" s="14">
        <v>46021</v>
      </c>
      <c r="BA321" s="12" t="e">
        <v>#N/A</v>
      </c>
      <c r="BB321" s="14" t="s">
        <v>2480</v>
      </c>
      <c r="BC321" s="14">
        <v>46035</v>
      </c>
      <c r="BD321" s="16">
        <v>2026</v>
      </c>
      <c r="BE321" s="16">
        <v>1</v>
      </c>
      <c r="BF321" s="16">
        <v>3</v>
      </c>
      <c r="BG321" s="191">
        <v>36</v>
      </c>
      <c r="BH321" s="191">
        <v>936</v>
      </c>
    </row>
    <row r="322" spans="1:60" ht="10">
      <c r="A322" s="11" t="s">
        <v>3811</v>
      </c>
      <c r="B322" s="12" t="s">
        <v>111</v>
      </c>
      <c r="C322" s="12" t="s">
        <v>3732</v>
      </c>
      <c r="D322" s="12" t="s">
        <v>63</v>
      </c>
      <c r="E322" s="12" t="s">
        <v>64</v>
      </c>
      <c r="F322" s="12" t="s">
        <v>100</v>
      </c>
      <c r="G322" s="12" t="s">
        <v>67</v>
      </c>
      <c r="H322" s="12" t="s">
        <v>402</v>
      </c>
      <c r="I322" s="12" t="s">
        <v>677</v>
      </c>
      <c r="J322" s="34" t="s">
        <v>68</v>
      </c>
      <c r="K322" s="12">
        <v>14130755</v>
      </c>
      <c r="L322" s="13" t="s">
        <v>2732</v>
      </c>
      <c r="M322" s="213" t="s">
        <v>68</v>
      </c>
      <c r="N322" s="182"/>
      <c r="O322" s="12" t="s">
        <v>2475</v>
      </c>
      <c r="P322" s="12" t="s">
        <v>70</v>
      </c>
      <c r="Q322" s="12" t="s">
        <v>102</v>
      </c>
      <c r="R322" s="12">
        <v>554245</v>
      </c>
      <c r="S322" s="12" t="s">
        <v>103</v>
      </c>
      <c r="T322" s="206">
        <v>620</v>
      </c>
      <c r="U322" s="206">
        <v>10800</v>
      </c>
      <c r="V322" s="12">
        <v>6.6959999999999997</v>
      </c>
      <c r="W322" s="198">
        <v>300</v>
      </c>
      <c r="X322" s="254">
        <v>15</v>
      </c>
      <c r="Y322" s="12" t="s">
        <v>75</v>
      </c>
      <c r="Z322" s="12"/>
      <c r="AA322" s="12" t="s">
        <v>108</v>
      </c>
      <c r="AB322" s="247" t="s">
        <v>3733</v>
      </c>
      <c r="AC322" s="14">
        <v>45982</v>
      </c>
      <c r="AD322" s="15">
        <v>47</v>
      </c>
      <c r="AE322" s="176" t="s">
        <v>3812</v>
      </c>
      <c r="AF322" s="12">
        <v>371009162</v>
      </c>
      <c r="AG322" s="12" t="s">
        <v>122</v>
      </c>
      <c r="AH322" s="12" t="s">
        <v>105</v>
      </c>
      <c r="AI322" s="14">
        <v>45991</v>
      </c>
      <c r="AJ322" s="14">
        <v>45991</v>
      </c>
      <c r="AK322" s="14">
        <v>45999</v>
      </c>
      <c r="AL322" s="14">
        <v>46035</v>
      </c>
      <c r="AM322" s="14"/>
      <c r="AN322" s="14">
        <v>46035</v>
      </c>
      <c r="AO322" s="91" t="s">
        <v>402</v>
      </c>
      <c r="AP322" s="12" t="s">
        <v>3794</v>
      </c>
      <c r="AQ322" s="12"/>
      <c r="AR322" s="12" t="s">
        <v>3813</v>
      </c>
      <c r="AS322" s="12" t="s">
        <v>3814</v>
      </c>
      <c r="AT322" s="12" t="s">
        <v>3814</v>
      </c>
      <c r="AU322" s="12">
        <v>44</v>
      </c>
      <c r="AV322" s="12" t="s">
        <v>2493</v>
      </c>
      <c r="AW322" s="12">
        <v>5</v>
      </c>
      <c r="AX322" s="12">
        <v>53</v>
      </c>
      <c r="AY322" s="14">
        <v>45999</v>
      </c>
      <c r="AZ322" s="14">
        <v>46035</v>
      </c>
      <c r="BA322" s="12" t="e">
        <v>#N/A</v>
      </c>
      <c r="BB322" s="14" t="s">
        <v>2480</v>
      </c>
      <c r="BC322" s="14">
        <v>46049</v>
      </c>
      <c r="BD322" s="16">
        <v>2026</v>
      </c>
      <c r="BE322" s="16">
        <v>1</v>
      </c>
      <c r="BF322" s="16">
        <v>5</v>
      </c>
      <c r="BG322" s="191">
        <v>36</v>
      </c>
      <c r="BH322" s="191">
        <v>720</v>
      </c>
    </row>
    <row r="323" spans="1:60" ht="10">
      <c r="A323" s="11" t="s">
        <v>3815</v>
      </c>
      <c r="B323" s="12" t="s">
        <v>111</v>
      </c>
      <c r="C323" s="12" t="s">
        <v>3732</v>
      </c>
      <c r="D323" s="12" t="s">
        <v>63</v>
      </c>
      <c r="E323" s="12" t="s">
        <v>64</v>
      </c>
      <c r="F323" s="12" t="s">
        <v>100</v>
      </c>
      <c r="G323" s="12" t="s">
        <v>67</v>
      </c>
      <c r="H323" s="12" t="s">
        <v>402</v>
      </c>
      <c r="I323" s="12" t="s">
        <v>677</v>
      </c>
      <c r="J323" s="34" t="s">
        <v>68</v>
      </c>
      <c r="K323" s="12">
        <v>14130754</v>
      </c>
      <c r="L323" s="13" t="s">
        <v>2732</v>
      </c>
      <c r="M323" s="213" t="s">
        <v>68</v>
      </c>
      <c r="N323" s="182"/>
      <c r="O323" s="12" t="s">
        <v>2475</v>
      </c>
      <c r="P323" s="12" t="s">
        <v>70</v>
      </c>
      <c r="Q323" s="12" t="s">
        <v>102</v>
      </c>
      <c r="R323" s="12">
        <v>554245</v>
      </c>
      <c r="S323" s="12" t="s">
        <v>103</v>
      </c>
      <c r="T323" s="206">
        <v>620</v>
      </c>
      <c r="U323" s="206">
        <v>7200</v>
      </c>
      <c r="V323" s="12">
        <v>4.4640000000000004</v>
      </c>
      <c r="W323" s="198">
        <v>200</v>
      </c>
      <c r="X323" s="254">
        <v>10</v>
      </c>
      <c r="Y323" s="12" t="s">
        <v>75</v>
      </c>
      <c r="Z323" s="12"/>
      <c r="AA323" s="12" t="s">
        <v>108</v>
      </c>
      <c r="AB323" s="247" t="s">
        <v>3733</v>
      </c>
      <c r="AC323" s="14">
        <v>45978</v>
      </c>
      <c r="AD323" s="15">
        <v>47</v>
      </c>
      <c r="AE323" s="176" t="s">
        <v>3816</v>
      </c>
      <c r="AF323" s="12">
        <v>371009161</v>
      </c>
      <c r="AG323" s="12" t="s">
        <v>122</v>
      </c>
      <c r="AH323" s="12" t="s">
        <v>105</v>
      </c>
      <c r="AI323" s="14">
        <v>45985</v>
      </c>
      <c r="AJ323" s="14">
        <v>45985</v>
      </c>
      <c r="AK323" s="14">
        <v>45985</v>
      </c>
      <c r="AL323" s="14">
        <v>46024</v>
      </c>
      <c r="AM323" s="14">
        <v>46028</v>
      </c>
      <c r="AN323" s="14">
        <v>46028</v>
      </c>
      <c r="AO323" s="91" t="s">
        <v>402</v>
      </c>
      <c r="AP323" s="12" t="s">
        <v>3817</v>
      </c>
      <c r="AQ323" s="12"/>
      <c r="AR323" s="12" t="s">
        <v>3818</v>
      </c>
      <c r="AS323" s="12" t="s">
        <v>3819</v>
      </c>
      <c r="AT323" s="12" t="s">
        <v>3819</v>
      </c>
      <c r="AU323" s="12">
        <v>39</v>
      </c>
      <c r="AV323" s="12" t="s">
        <v>2493</v>
      </c>
      <c r="AW323" s="12">
        <v>5</v>
      </c>
      <c r="AX323" s="12">
        <v>50</v>
      </c>
      <c r="AY323" s="14">
        <v>45985</v>
      </c>
      <c r="AZ323" s="14">
        <v>46028</v>
      </c>
      <c r="BA323" s="12" t="e">
        <v>#N/A</v>
      </c>
      <c r="BB323" s="14" t="s">
        <v>2480</v>
      </c>
      <c r="BC323" s="14">
        <v>46042</v>
      </c>
      <c r="BD323" s="16">
        <v>2026</v>
      </c>
      <c r="BE323" s="16">
        <v>1</v>
      </c>
      <c r="BF323" s="16">
        <v>4</v>
      </c>
      <c r="BG323" s="191">
        <v>36</v>
      </c>
      <c r="BH323" s="191">
        <v>720</v>
      </c>
    </row>
    <row r="324" spans="1:60" s="23" customFormat="1" ht="10">
      <c r="A324" s="11" t="s">
        <v>3820</v>
      </c>
      <c r="B324" s="12" t="s">
        <v>61</v>
      </c>
      <c r="C324" s="12" t="s">
        <v>3759</v>
      </c>
      <c r="D324" s="12" t="s">
        <v>63</v>
      </c>
      <c r="E324" s="12" t="s">
        <v>64</v>
      </c>
      <c r="F324" s="31" t="s">
        <v>310</v>
      </c>
      <c r="G324" s="12" t="s">
        <v>311</v>
      </c>
      <c r="H324" s="12" t="s">
        <v>66</v>
      </c>
      <c r="I324" s="12" t="s">
        <v>1559</v>
      </c>
      <c r="J324" s="34" t="s">
        <v>68</v>
      </c>
      <c r="K324" s="12"/>
      <c r="L324" s="13" t="s">
        <v>2497</v>
      </c>
      <c r="M324" s="213" t="s">
        <v>68</v>
      </c>
      <c r="N324" s="182"/>
      <c r="O324" s="12" t="s">
        <v>2475</v>
      </c>
      <c r="P324" s="12" t="s">
        <v>70</v>
      </c>
      <c r="Q324" s="12" t="s">
        <v>102</v>
      </c>
      <c r="R324" s="12">
        <v>554245</v>
      </c>
      <c r="S324" s="12" t="s">
        <v>103</v>
      </c>
      <c r="T324" s="206">
        <v>620</v>
      </c>
      <c r="U324" s="206">
        <v>5760</v>
      </c>
      <c r="V324" s="12">
        <v>3.5712000000000002</v>
      </c>
      <c r="W324" s="198">
        <v>160</v>
      </c>
      <c r="X324" s="254">
        <v>8</v>
      </c>
      <c r="Y324" s="12" t="s">
        <v>75</v>
      </c>
      <c r="Z324" s="12"/>
      <c r="AA324" s="12" t="s">
        <v>108</v>
      </c>
      <c r="AB324" s="13" t="s">
        <v>967</v>
      </c>
      <c r="AC324" s="14">
        <v>45980</v>
      </c>
      <c r="AD324" s="15">
        <v>47</v>
      </c>
      <c r="AE324" s="176" t="s">
        <v>3821</v>
      </c>
      <c r="AF324" s="12">
        <v>371009156</v>
      </c>
      <c r="AG324" s="12" t="s">
        <v>77</v>
      </c>
      <c r="AH324" s="12" t="s">
        <v>1561</v>
      </c>
      <c r="AI324" s="14">
        <v>45986</v>
      </c>
      <c r="AJ324" s="14">
        <v>45986</v>
      </c>
      <c r="AK324" s="14">
        <v>45986</v>
      </c>
      <c r="AL324" s="14">
        <v>46045</v>
      </c>
      <c r="AM324" s="14">
        <v>46053</v>
      </c>
      <c r="AN324" s="14">
        <v>46054</v>
      </c>
      <c r="AO324" s="91" t="s">
        <v>66</v>
      </c>
      <c r="AP324" s="12" t="s">
        <v>3794</v>
      </c>
      <c r="AQ324" s="12"/>
      <c r="AR324" s="12" t="s">
        <v>3822</v>
      </c>
      <c r="AS324" s="12" t="s">
        <v>3823</v>
      </c>
      <c r="AT324" s="12" t="s">
        <v>3823</v>
      </c>
      <c r="AU324" s="12">
        <v>59</v>
      </c>
      <c r="AV324" s="12" t="s">
        <v>83</v>
      </c>
      <c r="AW324" s="12">
        <v>5</v>
      </c>
      <c r="AX324" s="12">
        <v>74</v>
      </c>
      <c r="AY324" s="14">
        <v>45986</v>
      </c>
      <c r="AZ324" s="14">
        <v>46054</v>
      </c>
      <c r="BA324" s="12" t="e">
        <v>#N/A</v>
      </c>
      <c r="BB324" s="14" t="s">
        <v>2480</v>
      </c>
      <c r="BC324" s="14">
        <v>46068</v>
      </c>
      <c r="BD324" s="16">
        <v>2026</v>
      </c>
      <c r="BE324" s="16">
        <v>2</v>
      </c>
      <c r="BF324" s="16">
        <v>7</v>
      </c>
      <c r="BG324" s="191">
        <v>36</v>
      </c>
      <c r="BH324" s="191">
        <v>720</v>
      </c>
    </row>
    <row r="325" spans="1:60" s="23" customFormat="1" ht="10">
      <c r="A325" s="11" t="s">
        <v>3824</v>
      </c>
      <c r="B325" s="12" t="s">
        <v>111</v>
      </c>
      <c r="C325" s="12" t="s">
        <v>3779</v>
      </c>
      <c r="D325" s="12" t="s">
        <v>63</v>
      </c>
      <c r="E325" s="12" t="s">
        <v>64</v>
      </c>
      <c r="F325" s="12" t="s">
        <v>100</v>
      </c>
      <c r="G325" s="12" t="s">
        <v>67</v>
      </c>
      <c r="H325" s="12" t="s">
        <v>402</v>
      </c>
      <c r="I325" s="12" t="s">
        <v>677</v>
      </c>
      <c r="J325" s="34" t="s">
        <v>68</v>
      </c>
      <c r="K325" s="12">
        <v>14130755</v>
      </c>
      <c r="L325" s="13" t="s">
        <v>2732</v>
      </c>
      <c r="M325" s="213" t="s">
        <v>68</v>
      </c>
      <c r="N325" s="182"/>
      <c r="O325" s="12" t="s">
        <v>2475</v>
      </c>
      <c r="P325" s="12" t="s">
        <v>70</v>
      </c>
      <c r="Q325" s="12" t="s">
        <v>1002</v>
      </c>
      <c r="R325" s="12">
        <v>554246</v>
      </c>
      <c r="S325" s="12" t="s">
        <v>330</v>
      </c>
      <c r="T325" s="206">
        <v>625</v>
      </c>
      <c r="U325" s="206">
        <v>10800</v>
      </c>
      <c r="V325" s="12">
        <v>6.75</v>
      </c>
      <c r="W325" s="198">
        <v>300</v>
      </c>
      <c r="X325" s="254">
        <v>15</v>
      </c>
      <c r="Y325" s="12" t="s">
        <v>75</v>
      </c>
      <c r="Z325" s="12"/>
      <c r="AA325" s="12" t="s">
        <v>3780</v>
      </c>
      <c r="AB325" s="247" t="s">
        <v>3733</v>
      </c>
      <c r="AC325" s="14">
        <v>45981</v>
      </c>
      <c r="AD325" s="15">
        <v>47</v>
      </c>
      <c r="AE325" s="176" t="s">
        <v>3825</v>
      </c>
      <c r="AF325" s="12">
        <v>371009165</v>
      </c>
      <c r="AG325" s="12" t="s">
        <v>122</v>
      </c>
      <c r="AH325" s="12" t="s">
        <v>105</v>
      </c>
      <c r="AI325" s="14">
        <v>45991</v>
      </c>
      <c r="AJ325" s="14">
        <v>45991</v>
      </c>
      <c r="AK325" s="14">
        <v>45999</v>
      </c>
      <c r="AL325" s="14">
        <v>46035</v>
      </c>
      <c r="AM325" s="14">
        <v>46035</v>
      </c>
      <c r="AN325" s="14">
        <v>46035</v>
      </c>
      <c r="AO325" s="91" t="s">
        <v>402</v>
      </c>
      <c r="AP325" s="12" t="s">
        <v>3794</v>
      </c>
      <c r="AQ325" s="12"/>
      <c r="AR325" s="12" t="s">
        <v>3826</v>
      </c>
      <c r="AS325" s="12" t="s">
        <v>3827</v>
      </c>
      <c r="AT325" s="12" t="s">
        <v>3827</v>
      </c>
      <c r="AU325" s="12">
        <v>44</v>
      </c>
      <c r="AV325" s="12" t="s">
        <v>2493</v>
      </c>
      <c r="AW325" s="12">
        <v>4</v>
      </c>
      <c r="AX325" s="12">
        <v>54</v>
      </c>
      <c r="AY325" s="14">
        <v>45999</v>
      </c>
      <c r="AZ325" s="14">
        <v>46035</v>
      </c>
      <c r="BA325" s="12" t="e">
        <v>#N/A</v>
      </c>
      <c r="BB325" s="14" t="s">
        <v>2480</v>
      </c>
      <c r="BC325" s="14">
        <v>46049</v>
      </c>
      <c r="BD325" s="16">
        <v>2026</v>
      </c>
      <c r="BE325" s="16">
        <v>1</v>
      </c>
      <c r="BF325" s="16">
        <v>5</v>
      </c>
      <c r="BG325" s="191">
        <v>36</v>
      </c>
      <c r="BH325" s="191">
        <v>720</v>
      </c>
    </row>
    <row r="326" spans="1:60" s="23" customFormat="1" ht="10">
      <c r="A326" s="11" t="s">
        <v>3828</v>
      </c>
      <c r="B326" s="12" t="s">
        <v>111</v>
      </c>
      <c r="C326" s="12" t="s">
        <v>838</v>
      </c>
      <c r="D326" s="12" t="s">
        <v>63</v>
      </c>
      <c r="E326" s="12" t="s">
        <v>68</v>
      </c>
      <c r="F326" s="12" t="s">
        <v>68</v>
      </c>
      <c r="G326" s="12"/>
      <c r="H326" s="12" t="s">
        <v>402</v>
      </c>
      <c r="I326" s="12" t="s">
        <v>594</v>
      </c>
      <c r="J326" s="34" t="s">
        <v>68</v>
      </c>
      <c r="K326" s="12">
        <v>16102586</v>
      </c>
      <c r="L326" s="13" t="s">
        <v>2482</v>
      </c>
      <c r="M326" s="12" t="s">
        <v>68</v>
      </c>
      <c r="N326" s="182"/>
      <c r="O326" s="12" t="s">
        <v>2475</v>
      </c>
      <c r="P326" s="12" t="s">
        <v>132</v>
      </c>
      <c r="Q326" s="12" t="s">
        <v>841</v>
      </c>
      <c r="R326" s="12">
        <v>554542</v>
      </c>
      <c r="S326" s="12" t="s">
        <v>842</v>
      </c>
      <c r="T326" s="206">
        <v>515</v>
      </c>
      <c r="U326" s="206">
        <v>2376</v>
      </c>
      <c r="V326" s="12">
        <v>1.2236400000000001</v>
      </c>
      <c r="W326" s="198">
        <v>66</v>
      </c>
      <c r="X326" s="254">
        <v>3</v>
      </c>
      <c r="Y326" s="12" t="s">
        <v>75</v>
      </c>
      <c r="Z326" s="12"/>
      <c r="AA326" s="12" t="s">
        <v>108</v>
      </c>
      <c r="AB326" s="32" t="s">
        <v>992</v>
      </c>
      <c r="AC326" s="14">
        <v>45980</v>
      </c>
      <c r="AD326" s="15">
        <v>47</v>
      </c>
      <c r="AE326" s="176" t="s">
        <v>3829</v>
      </c>
      <c r="AF326" s="12">
        <v>371009152</v>
      </c>
      <c r="AG326" s="12" t="s">
        <v>122</v>
      </c>
      <c r="AH326" s="12" t="s">
        <v>124</v>
      </c>
      <c r="AI326" s="14">
        <v>45988</v>
      </c>
      <c r="AJ326" s="14">
        <v>45988</v>
      </c>
      <c r="AK326" s="14">
        <v>45989</v>
      </c>
      <c r="AL326" s="14">
        <v>46026</v>
      </c>
      <c r="AM326" s="14">
        <v>46035</v>
      </c>
      <c r="AN326" s="14">
        <v>46035</v>
      </c>
      <c r="AO326" s="91" t="s">
        <v>402</v>
      </c>
      <c r="AP326" s="12" t="s">
        <v>3830</v>
      </c>
      <c r="AQ326" s="12"/>
      <c r="AR326" s="12" t="s">
        <v>3831</v>
      </c>
      <c r="AS326" s="12" t="s">
        <v>3832</v>
      </c>
      <c r="AT326" s="12" t="s">
        <v>3832</v>
      </c>
      <c r="AU326" s="12">
        <v>38</v>
      </c>
      <c r="AV326" s="12" t="s">
        <v>2493</v>
      </c>
      <c r="AW326" s="12">
        <v>5</v>
      </c>
      <c r="AX326" s="12">
        <v>55</v>
      </c>
      <c r="AY326" s="14">
        <v>45989</v>
      </c>
      <c r="AZ326" s="14">
        <v>46035</v>
      </c>
      <c r="BA326" s="12" t="e">
        <v>#N/A</v>
      </c>
      <c r="BB326" s="14" t="s">
        <v>2480</v>
      </c>
      <c r="BC326" s="14">
        <v>46049</v>
      </c>
      <c r="BD326" s="16">
        <v>2026</v>
      </c>
      <c r="BE326" s="16">
        <v>1</v>
      </c>
      <c r="BF326" s="16">
        <v>5</v>
      </c>
      <c r="BG326" s="191">
        <v>36</v>
      </c>
      <c r="BH326" s="191">
        <v>792</v>
      </c>
    </row>
    <row r="327" spans="1:60" s="23" customFormat="1" ht="10">
      <c r="A327" s="11" t="s">
        <v>3833</v>
      </c>
      <c r="B327" s="12" t="s">
        <v>111</v>
      </c>
      <c r="C327" s="12" t="s">
        <v>3834</v>
      </c>
      <c r="D327" s="12" t="s">
        <v>63</v>
      </c>
      <c r="E327" s="12" t="s">
        <v>68</v>
      </c>
      <c r="F327" s="12" t="s">
        <v>68</v>
      </c>
      <c r="G327" s="12"/>
      <c r="H327" s="12" t="s">
        <v>66</v>
      </c>
      <c r="I327" s="12" t="s">
        <v>96</v>
      </c>
      <c r="J327" s="34" t="s">
        <v>68</v>
      </c>
      <c r="K327" s="12"/>
      <c r="L327" s="13" t="s">
        <v>2482</v>
      </c>
      <c r="M327" s="12" t="s">
        <v>68</v>
      </c>
      <c r="N327" s="182"/>
      <c r="O327" s="12" t="s">
        <v>2475</v>
      </c>
      <c r="P327" s="12" t="s">
        <v>170</v>
      </c>
      <c r="Q327" s="12" t="s">
        <v>171</v>
      </c>
      <c r="R327" s="12">
        <v>552045</v>
      </c>
      <c r="S327" s="12" t="s">
        <v>172</v>
      </c>
      <c r="T327" s="206">
        <v>555</v>
      </c>
      <c r="U327" s="206">
        <v>1320</v>
      </c>
      <c r="V327" s="12">
        <v>0.73260000000000003</v>
      </c>
      <c r="W327" s="198">
        <v>40</v>
      </c>
      <c r="X327" s="254">
        <v>2</v>
      </c>
      <c r="Y327" s="12" t="s">
        <v>75</v>
      </c>
      <c r="Z327" s="12"/>
      <c r="AA327" s="12" t="s">
        <v>108</v>
      </c>
      <c r="AB327" s="13" t="s">
        <v>992</v>
      </c>
      <c r="AC327" s="14">
        <v>45982</v>
      </c>
      <c r="AD327" s="15">
        <v>47</v>
      </c>
      <c r="AE327" s="176" t="s">
        <v>3835</v>
      </c>
      <c r="AF327" s="12">
        <v>371009174</v>
      </c>
      <c r="AG327" s="12" t="s">
        <v>122</v>
      </c>
      <c r="AH327" s="12" t="s">
        <v>124</v>
      </c>
      <c r="AI327" s="14">
        <v>45988</v>
      </c>
      <c r="AJ327" s="14">
        <v>45988</v>
      </c>
      <c r="AK327" s="14">
        <v>45989</v>
      </c>
      <c r="AL327" s="14">
        <v>46026</v>
      </c>
      <c r="AM327" s="14">
        <v>46035</v>
      </c>
      <c r="AN327" s="14">
        <v>46035</v>
      </c>
      <c r="AO327" s="91" t="s">
        <v>66</v>
      </c>
      <c r="AP327" s="12" t="s">
        <v>3830</v>
      </c>
      <c r="AQ327" s="12"/>
      <c r="AR327" s="12" t="s">
        <v>3836</v>
      </c>
      <c r="AS327" s="12" t="s">
        <v>3837</v>
      </c>
      <c r="AT327" s="12" t="s">
        <v>3837</v>
      </c>
      <c r="AU327" s="12">
        <v>38</v>
      </c>
      <c r="AV327" s="12" t="s">
        <v>83</v>
      </c>
      <c r="AW327" s="12">
        <v>6</v>
      </c>
      <c r="AX327" s="12">
        <v>53</v>
      </c>
      <c r="AY327" s="14">
        <v>45989</v>
      </c>
      <c r="AZ327" s="14">
        <v>46035</v>
      </c>
      <c r="BA327" s="12" t="e">
        <v>#N/A</v>
      </c>
      <c r="BB327" s="14" t="s">
        <v>2480</v>
      </c>
      <c r="BC327" s="14">
        <v>46049</v>
      </c>
      <c r="BD327" s="16">
        <v>2026</v>
      </c>
      <c r="BE327" s="16">
        <v>1</v>
      </c>
      <c r="BF327" s="16">
        <v>5</v>
      </c>
      <c r="BG327" s="191">
        <v>33</v>
      </c>
      <c r="BH327" s="191">
        <v>660</v>
      </c>
    </row>
    <row r="328" spans="1:60" s="23" customFormat="1" ht="10">
      <c r="A328" s="11" t="s">
        <v>3838</v>
      </c>
      <c r="B328" s="12" t="s">
        <v>111</v>
      </c>
      <c r="C328" s="12" t="s">
        <v>545</v>
      </c>
      <c r="D328" s="12" t="s">
        <v>63</v>
      </c>
      <c r="E328" s="12" t="s">
        <v>68</v>
      </c>
      <c r="F328" s="12" t="s">
        <v>68</v>
      </c>
      <c r="G328" s="12"/>
      <c r="H328" s="12" t="s">
        <v>66</v>
      </c>
      <c r="I328" s="12" t="s">
        <v>96</v>
      </c>
      <c r="J328" s="34" t="s">
        <v>68</v>
      </c>
      <c r="K328" s="12"/>
      <c r="L328" s="13" t="s">
        <v>2482</v>
      </c>
      <c r="M328" s="12" t="s">
        <v>68</v>
      </c>
      <c r="N328" s="182"/>
      <c r="O328" s="12" t="s">
        <v>2475</v>
      </c>
      <c r="P328" s="12" t="s">
        <v>473</v>
      </c>
      <c r="Q328" s="12" t="s">
        <v>529</v>
      </c>
      <c r="R328" s="12">
        <v>553145</v>
      </c>
      <c r="S328" s="12" t="s">
        <v>530</v>
      </c>
      <c r="T328" s="206">
        <v>455</v>
      </c>
      <c r="U328" s="206">
        <v>864</v>
      </c>
      <c r="V328" s="12">
        <v>0.39312000000000002</v>
      </c>
      <c r="W328" s="198">
        <v>24</v>
      </c>
      <c r="X328" s="254">
        <v>1</v>
      </c>
      <c r="Y328" s="12" t="s">
        <v>75</v>
      </c>
      <c r="Z328" s="12"/>
      <c r="AA328" s="12" t="s">
        <v>85</v>
      </c>
      <c r="AB328" s="13" t="s">
        <v>967</v>
      </c>
      <c r="AC328" s="14">
        <v>45982</v>
      </c>
      <c r="AD328" s="15">
        <v>47</v>
      </c>
      <c r="AE328" s="176" t="s">
        <v>3839</v>
      </c>
      <c r="AF328" s="12">
        <v>371009167</v>
      </c>
      <c r="AG328" s="12" t="s">
        <v>122</v>
      </c>
      <c r="AH328" s="12" t="s">
        <v>124</v>
      </c>
      <c r="AI328" s="14">
        <v>45988</v>
      </c>
      <c r="AJ328" s="14">
        <v>45988</v>
      </c>
      <c r="AK328" s="14">
        <v>45989</v>
      </c>
      <c r="AL328" s="14">
        <v>46026</v>
      </c>
      <c r="AM328" s="14">
        <v>46035</v>
      </c>
      <c r="AN328" s="14">
        <v>46035</v>
      </c>
      <c r="AO328" s="91" t="s">
        <v>66</v>
      </c>
      <c r="AP328" s="12" t="s">
        <v>3830</v>
      </c>
      <c r="AQ328" s="12"/>
      <c r="AR328" s="12" t="s">
        <v>3836</v>
      </c>
      <c r="AS328" s="12" t="s">
        <v>3837</v>
      </c>
      <c r="AT328" s="12" t="s">
        <v>3837</v>
      </c>
      <c r="AU328" s="12">
        <v>38</v>
      </c>
      <c r="AV328" s="12" t="s">
        <v>83</v>
      </c>
      <c r="AW328" s="12">
        <v>13</v>
      </c>
      <c r="AX328" s="12">
        <v>53</v>
      </c>
      <c r="AY328" s="14">
        <v>45989</v>
      </c>
      <c r="AZ328" s="14">
        <v>46035</v>
      </c>
      <c r="BA328" s="12" t="e">
        <v>#N/A</v>
      </c>
      <c r="BB328" s="14" t="s">
        <v>2480</v>
      </c>
      <c r="BC328" s="14">
        <v>46049</v>
      </c>
      <c r="BD328" s="16">
        <v>2026</v>
      </c>
      <c r="BE328" s="16">
        <v>1</v>
      </c>
      <c r="BF328" s="16">
        <v>5</v>
      </c>
      <c r="BG328" s="191">
        <v>36</v>
      </c>
      <c r="BH328" s="191">
        <v>864</v>
      </c>
    </row>
    <row r="329" spans="1:60" ht="10">
      <c r="A329" s="11" t="s">
        <v>3840</v>
      </c>
      <c r="B329" s="12" t="s">
        <v>111</v>
      </c>
      <c r="C329" s="12" t="s">
        <v>3722</v>
      </c>
      <c r="D329" s="12" t="s">
        <v>63</v>
      </c>
      <c r="E329" s="12" t="s">
        <v>64</v>
      </c>
      <c r="F329" s="31" t="s">
        <v>310</v>
      </c>
      <c r="G329" s="12" t="s">
        <v>311</v>
      </c>
      <c r="H329" s="12" t="s">
        <v>66</v>
      </c>
      <c r="I329" s="12" t="s">
        <v>1559</v>
      </c>
      <c r="J329" s="34" t="s">
        <v>68</v>
      </c>
      <c r="K329" s="12"/>
      <c r="L329" s="13" t="s">
        <v>2497</v>
      </c>
      <c r="M329" s="213" t="s">
        <v>68</v>
      </c>
      <c r="N329" s="182"/>
      <c r="O329" s="12" t="s">
        <v>2475</v>
      </c>
      <c r="P329" s="12" t="s">
        <v>132</v>
      </c>
      <c r="Q329" s="12" t="s">
        <v>453</v>
      </c>
      <c r="R329" s="12">
        <v>554541</v>
      </c>
      <c r="S329" s="12" t="s">
        <v>454</v>
      </c>
      <c r="T329" s="206">
        <v>460</v>
      </c>
      <c r="U329" s="206">
        <v>1728</v>
      </c>
      <c r="V329" s="12">
        <v>0.79488000000000003</v>
      </c>
      <c r="W329" s="198">
        <v>48</v>
      </c>
      <c r="X329" s="254">
        <v>2</v>
      </c>
      <c r="Y329" s="12" t="s">
        <v>75</v>
      </c>
      <c r="Z329" s="12"/>
      <c r="AA329" s="12" t="s">
        <v>108</v>
      </c>
      <c r="AB329" s="32" t="s">
        <v>967</v>
      </c>
      <c r="AC329" s="14">
        <v>45984</v>
      </c>
      <c r="AD329" s="15">
        <v>47</v>
      </c>
      <c r="AE329" s="289" t="s">
        <v>3841</v>
      </c>
      <c r="AF329" s="12">
        <v>371009157</v>
      </c>
      <c r="AG329" s="12" t="s">
        <v>122</v>
      </c>
      <c r="AH329" s="12" t="s">
        <v>1561</v>
      </c>
      <c r="AI329" s="14">
        <v>45990</v>
      </c>
      <c r="AJ329" s="14">
        <v>45990</v>
      </c>
      <c r="AK329" s="14">
        <v>45990</v>
      </c>
      <c r="AL329" s="14">
        <v>46034</v>
      </c>
      <c r="AM329" s="14">
        <v>46053</v>
      </c>
      <c r="AN329" s="14">
        <v>46054</v>
      </c>
      <c r="AO329" s="91" t="s">
        <v>66</v>
      </c>
      <c r="AP329" s="12" t="s">
        <v>3842</v>
      </c>
      <c r="AQ329" s="12"/>
      <c r="AR329" s="12" t="s">
        <v>3843</v>
      </c>
      <c r="AS329" s="12" t="s">
        <v>3844</v>
      </c>
      <c r="AT329" s="12" t="s">
        <v>3844</v>
      </c>
      <c r="AU329" s="12">
        <v>44</v>
      </c>
      <c r="AV329" s="12" t="s">
        <v>83</v>
      </c>
      <c r="AW329" s="12">
        <v>6</v>
      </c>
      <c r="AX329" s="12">
        <v>70</v>
      </c>
      <c r="AY329" s="14">
        <v>45990</v>
      </c>
      <c r="AZ329" s="14">
        <v>46054</v>
      </c>
      <c r="BA329" s="12" t="e">
        <v>#N/A</v>
      </c>
      <c r="BB329" s="14" t="s">
        <v>2480</v>
      </c>
      <c r="BC329" s="14">
        <v>46068</v>
      </c>
      <c r="BD329" s="16">
        <v>2026</v>
      </c>
      <c r="BE329" s="16">
        <v>2</v>
      </c>
      <c r="BF329" s="16">
        <v>7</v>
      </c>
      <c r="BG329" s="191">
        <v>36</v>
      </c>
      <c r="BH329" s="191">
        <v>864</v>
      </c>
    </row>
    <row r="330" spans="1:60" ht="10">
      <c r="A330" s="11" t="s">
        <v>3845</v>
      </c>
      <c r="B330" s="12" t="s">
        <v>111</v>
      </c>
      <c r="C330" s="12" t="s">
        <v>3722</v>
      </c>
      <c r="D330" s="12" t="s">
        <v>63</v>
      </c>
      <c r="E330" s="12" t="s">
        <v>68</v>
      </c>
      <c r="F330" s="12" t="s">
        <v>68</v>
      </c>
      <c r="G330" s="12"/>
      <c r="H330" s="12" t="s">
        <v>66</v>
      </c>
      <c r="I330" s="12" t="s">
        <v>1292</v>
      </c>
      <c r="J330" s="34" t="s">
        <v>68</v>
      </c>
      <c r="K330" s="12"/>
      <c r="L330" s="13" t="s">
        <v>2831</v>
      </c>
      <c r="M330" s="12" t="s">
        <v>68</v>
      </c>
      <c r="N330" s="182"/>
      <c r="O330" s="12" t="s">
        <v>2475</v>
      </c>
      <c r="P330" s="12" t="s">
        <v>132</v>
      </c>
      <c r="Q330" s="12" t="s">
        <v>453</v>
      </c>
      <c r="R330" s="12">
        <v>554541</v>
      </c>
      <c r="S330" s="12" t="s">
        <v>454</v>
      </c>
      <c r="T330" s="206">
        <v>460</v>
      </c>
      <c r="U330" s="206">
        <v>1728</v>
      </c>
      <c r="V330" s="12">
        <v>0.79488000000000003</v>
      </c>
      <c r="W330" s="198">
        <v>48</v>
      </c>
      <c r="X330" s="254">
        <v>2</v>
      </c>
      <c r="Y330" s="12" t="s">
        <v>75</v>
      </c>
      <c r="Z330" s="12"/>
      <c r="AA330" s="12" t="s">
        <v>108</v>
      </c>
      <c r="AB330" s="32" t="s">
        <v>967</v>
      </c>
      <c r="AC330" s="14">
        <v>45982</v>
      </c>
      <c r="AD330" s="15">
        <v>47</v>
      </c>
      <c r="AE330" s="176" t="s">
        <v>3846</v>
      </c>
      <c r="AF330" s="12">
        <v>371009159</v>
      </c>
      <c r="AG330" s="12" t="s">
        <v>122</v>
      </c>
      <c r="AH330" s="12" t="s">
        <v>456</v>
      </c>
      <c r="AI330" s="14">
        <v>45987</v>
      </c>
      <c r="AJ330" s="14">
        <v>45987</v>
      </c>
      <c r="AK330" s="14">
        <v>45993</v>
      </c>
      <c r="AL330" s="14">
        <v>46033</v>
      </c>
      <c r="AM330" s="14">
        <v>46036</v>
      </c>
      <c r="AN330" s="14">
        <v>46036</v>
      </c>
      <c r="AO330" s="91" t="s">
        <v>66</v>
      </c>
      <c r="AP330" s="12" t="s">
        <v>3847</v>
      </c>
      <c r="AQ330" s="12"/>
      <c r="AR330" s="12" t="s">
        <v>3848</v>
      </c>
      <c r="AS330" s="12" t="s">
        <v>3849</v>
      </c>
      <c r="AT330" s="12" t="s">
        <v>3849</v>
      </c>
      <c r="AU330" s="12">
        <v>46</v>
      </c>
      <c r="AV330" s="12" t="s">
        <v>83</v>
      </c>
      <c r="AW330" s="12">
        <v>6</v>
      </c>
      <c r="AX330" s="12">
        <v>54</v>
      </c>
      <c r="AY330" s="14">
        <v>45993</v>
      </c>
      <c r="AZ330" s="14">
        <v>46036</v>
      </c>
      <c r="BA330" s="12" t="e">
        <v>#N/A</v>
      </c>
      <c r="BB330" s="14" t="s">
        <v>2480</v>
      </c>
      <c r="BC330" s="14">
        <v>46050</v>
      </c>
      <c r="BD330" s="16">
        <v>2026</v>
      </c>
      <c r="BE330" s="16">
        <v>1</v>
      </c>
      <c r="BF330" s="16">
        <v>5</v>
      </c>
      <c r="BG330" s="191">
        <v>36</v>
      </c>
      <c r="BH330" s="191">
        <v>864</v>
      </c>
    </row>
    <row r="331" spans="1:60" s="23" customFormat="1" ht="10">
      <c r="A331" s="11" t="s">
        <v>3850</v>
      </c>
      <c r="B331" s="12" t="s">
        <v>111</v>
      </c>
      <c r="C331" s="12" t="s">
        <v>548</v>
      </c>
      <c r="D331" s="12" t="s">
        <v>63</v>
      </c>
      <c r="E331" s="12" t="s">
        <v>68</v>
      </c>
      <c r="F331" s="12" t="s">
        <v>68</v>
      </c>
      <c r="G331" s="12"/>
      <c r="H331" s="12" t="s">
        <v>66</v>
      </c>
      <c r="I331" s="12" t="s">
        <v>1292</v>
      </c>
      <c r="J331" s="34" t="s">
        <v>68</v>
      </c>
      <c r="K331" s="12"/>
      <c r="L331" s="13" t="s">
        <v>2831</v>
      </c>
      <c r="M331" s="12" t="s">
        <v>68</v>
      </c>
      <c r="N331" s="182"/>
      <c r="O331" s="12" t="s">
        <v>2475</v>
      </c>
      <c r="P331" s="12" t="s">
        <v>550</v>
      </c>
      <c r="Q331" s="12" t="s">
        <v>551</v>
      </c>
      <c r="R331" s="12">
        <v>553118</v>
      </c>
      <c r="S331" s="12" t="s">
        <v>552</v>
      </c>
      <c r="T331" s="206">
        <v>510</v>
      </c>
      <c r="U331" s="206">
        <v>1584</v>
      </c>
      <c r="V331" s="12">
        <v>0.80784</v>
      </c>
      <c r="W331" s="198">
        <v>44</v>
      </c>
      <c r="X331" s="254">
        <v>2</v>
      </c>
      <c r="Y331" s="12" t="s">
        <v>75</v>
      </c>
      <c r="Z331" s="12"/>
      <c r="AA331" s="12" t="s">
        <v>85</v>
      </c>
      <c r="AB331" s="13" t="s">
        <v>2136</v>
      </c>
      <c r="AC331" s="14">
        <v>45980</v>
      </c>
      <c r="AD331" s="15">
        <v>47</v>
      </c>
      <c r="AE331" s="177" t="s">
        <v>3851</v>
      </c>
      <c r="AF331" s="12">
        <v>371009153</v>
      </c>
      <c r="AG331" s="12" t="s">
        <v>122</v>
      </c>
      <c r="AH331" s="12" t="s">
        <v>456</v>
      </c>
      <c r="AI331" s="14">
        <v>45987</v>
      </c>
      <c r="AJ331" s="14">
        <v>45987</v>
      </c>
      <c r="AK331" s="14">
        <v>45993</v>
      </c>
      <c r="AL331" s="14">
        <v>46033</v>
      </c>
      <c r="AM331" s="14">
        <v>46036</v>
      </c>
      <c r="AN331" s="14">
        <v>46036</v>
      </c>
      <c r="AO331" s="91" t="s">
        <v>66</v>
      </c>
      <c r="AP331" s="12" t="s">
        <v>3847</v>
      </c>
      <c r="AQ331" s="12"/>
      <c r="AR331" s="12" t="s">
        <v>3852</v>
      </c>
      <c r="AS331" s="12" t="s">
        <v>3853</v>
      </c>
      <c r="AT331" s="12" t="s">
        <v>3853</v>
      </c>
      <c r="AU331" s="12">
        <v>46</v>
      </c>
      <c r="AV331" s="12" t="s">
        <v>83</v>
      </c>
      <c r="AW331" s="12">
        <v>18</v>
      </c>
      <c r="AX331" s="12">
        <v>56</v>
      </c>
      <c r="AY331" s="14">
        <v>45993</v>
      </c>
      <c r="AZ331" s="14">
        <v>46036</v>
      </c>
      <c r="BA331" s="12" t="e">
        <v>#N/A</v>
      </c>
      <c r="BB331" s="14" t="s">
        <v>2480</v>
      </c>
      <c r="BC331" s="14">
        <v>46050</v>
      </c>
      <c r="BD331" s="16">
        <v>2026</v>
      </c>
      <c r="BE331" s="16">
        <v>1</v>
      </c>
      <c r="BF331" s="16">
        <v>5</v>
      </c>
      <c r="BG331" s="191">
        <v>36</v>
      </c>
      <c r="BH331" s="191">
        <v>792</v>
      </c>
    </row>
    <row r="332" spans="1:60" s="23" customFormat="1" ht="10">
      <c r="A332" s="11" t="s">
        <v>3854</v>
      </c>
      <c r="B332" s="12" t="s">
        <v>111</v>
      </c>
      <c r="C332" s="12" t="s">
        <v>3855</v>
      </c>
      <c r="D332" s="12" t="s">
        <v>63</v>
      </c>
      <c r="E332" s="12" t="s">
        <v>68</v>
      </c>
      <c r="F332" s="12" t="s">
        <v>68</v>
      </c>
      <c r="G332" s="12"/>
      <c r="H332" s="12" t="s">
        <v>66</v>
      </c>
      <c r="I332" s="12" t="s">
        <v>1342</v>
      </c>
      <c r="J332" s="34" t="s">
        <v>68</v>
      </c>
      <c r="K332" s="12"/>
      <c r="L332" s="13" t="s">
        <v>2497</v>
      </c>
      <c r="M332" s="12" t="s">
        <v>68</v>
      </c>
      <c r="N332" s="182"/>
      <c r="O332" s="12" t="s">
        <v>2475</v>
      </c>
      <c r="P332" s="12" t="s">
        <v>70</v>
      </c>
      <c r="Q332" s="12" t="s">
        <v>1355</v>
      </c>
      <c r="R332" s="12">
        <v>554472</v>
      </c>
      <c r="S332" s="12" t="s">
        <v>1356</v>
      </c>
      <c r="T332" s="206">
        <v>715</v>
      </c>
      <c r="U332" s="206">
        <v>1188</v>
      </c>
      <c r="V332" s="12">
        <v>0.84941999999999995</v>
      </c>
      <c r="W332" s="198">
        <v>36</v>
      </c>
      <c r="X332" s="254">
        <v>2</v>
      </c>
      <c r="Y332" s="12" t="s">
        <v>75</v>
      </c>
      <c r="Z332" s="12"/>
      <c r="AA332" s="12" t="s">
        <v>2658</v>
      </c>
      <c r="AB332" s="32" t="s">
        <v>992</v>
      </c>
      <c r="AC332" s="14">
        <v>45984</v>
      </c>
      <c r="AD332" s="15">
        <v>47</v>
      </c>
      <c r="AE332" s="176" t="s">
        <v>3856</v>
      </c>
      <c r="AF332" s="12">
        <v>371009155</v>
      </c>
      <c r="AG332" s="12" t="s">
        <v>122</v>
      </c>
      <c r="AH332" s="12" t="s">
        <v>314</v>
      </c>
      <c r="AI332" s="14">
        <v>45990</v>
      </c>
      <c r="AJ332" s="14">
        <v>45990</v>
      </c>
      <c r="AK332" s="14">
        <v>45990</v>
      </c>
      <c r="AL332" s="14">
        <v>46034</v>
      </c>
      <c r="AM332" s="14">
        <v>46049</v>
      </c>
      <c r="AN332" s="14">
        <v>46049</v>
      </c>
      <c r="AO332" s="91" t="s">
        <v>66</v>
      </c>
      <c r="AP332" s="12" t="s">
        <v>3842</v>
      </c>
      <c r="AQ332" s="12"/>
      <c r="AR332" s="12" t="s">
        <v>3857</v>
      </c>
      <c r="AS332" s="12" t="s">
        <v>3858</v>
      </c>
      <c r="AT332" s="12" t="s">
        <v>3858</v>
      </c>
      <c r="AU332" s="12">
        <v>44</v>
      </c>
      <c r="AV332" s="12" t="s">
        <v>83</v>
      </c>
      <c r="AW332" s="12">
        <v>1</v>
      </c>
      <c r="AX332" s="12">
        <v>65</v>
      </c>
      <c r="AY332" s="14">
        <v>45990</v>
      </c>
      <c r="AZ332" s="14">
        <v>46049</v>
      </c>
      <c r="BA332" s="12" t="e">
        <v>#N/A</v>
      </c>
      <c r="BB332" s="14" t="s">
        <v>2480</v>
      </c>
      <c r="BC332" s="14">
        <v>46063</v>
      </c>
      <c r="BD332" s="16">
        <v>2026</v>
      </c>
      <c r="BE332" s="16">
        <v>2</v>
      </c>
      <c r="BF332" s="16">
        <v>7</v>
      </c>
      <c r="BG332" s="191">
        <v>33</v>
      </c>
      <c r="BH332" s="191">
        <v>594</v>
      </c>
    </row>
    <row r="333" spans="1:60" s="23" customFormat="1" ht="10">
      <c r="A333" s="11" t="s">
        <v>3859</v>
      </c>
      <c r="B333" s="12" t="s">
        <v>111</v>
      </c>
      <c r="C333" s="12" t="s">
        <v>548</v>
      </c>
      <c r="D333" s="12" t="s">
        <v>63</v>
      </c>
      <c r="E333" s="12" t="s">
        <v>68</v>
      </c>
      <c r="F333" s="12" t="s">
        <v>68</v>
      </c>
      <c r="G333" s="12"/>
      <c r="H333" s="12" t="s">
        <v>66</v>
      </c>
      <c r="I333" s="12" t="s">
        <v>1342</v>
      </c>
      <c r="J333" s="34" t="s">
        <v>68</v>
      </c>
      <c r="K333" s="12"/>
      <c r="L333" s="13" t="s">
        <v>2497</v>
      </c>
      <c r="M333" s="12" t="s">
        <v>68</v>
      </c>
      <c r="N333" s="182"/>
      <c r="O333" s="12" t="s">
        <v>2475</v>
      </c>
      <c r="P333" s="12" t="s">
        <v>550</v>
      </c>
      <c r="Q333" s="12" t="s">
        <v>551</v>
      </c>
      <c r="R333" s="12">
        <v>553118</v>
      </c>
      <c r="S333" s="12" t="s">
        <v>552</v>
      </c>
      <c r="T333" s="206">
        <v>510</v>
      </c>
      <c r="U333" s="206">
        <v>2376</v>
      </c>
      <c r="V333" s="12">
        <v>1.2117599999999999</v>
      </c>
      <c r="W333" s="198">
        <v>66</v>
      </c>
      <c r="X333" s="254">
        <v>3</v>
      </c>
      <c r="Y333" s="12" t="s">
        <v>75</v>
      </c>
      <c r="Z333" s="12"/>
      <c r="AA333" s="12" t="s">
        <v>85</v>
      </c>
      <c r="AB333" s="13" t="s">
        <v>2136</v>
      </c>
      <c r="AC333" s="14">
        <v>45984</v>
      </c>
      <c r="AD333" s="15">
        <v>47</v>
      </c>
      <c r="AE333" s="176" t="s">
        <v>3860</v>
      </c>
      <c r="AF333" s="12">
        <v>371009154</v>
      </c>
      <c r="AG333" s="12" t="s">
        <v>122</v>
      </c>
      <c r="AH333" s="12" t="s">
        <v>314</v>
      </c>
      <c r="AI333" s="14">
        <v>45990</v>
      </c>
      <c r="AJ333" s="14">
        <v>45990</v>
      </c>
      <c r="AK333" s="14">
        <v>45990</v>
      </c>
      <c r="AL333" s="14">
        <v>46034</v>
      </c>
      <c r="AM333" s="14">
        <v>46049</v>
      </c>
      <c r="AN333" s="14">
        <v>46049</v>
      </c>
      <c r="AO333" s="91" t="s">
        <v>66</v>
      </c>
      <c r="AP333" s="12" t="s">
        <v>3842</v>
      </c>
      <c r="AQ333" s="12"/>
      <c r="AR333" s="12" t="s">
        <v>3857</v>
      </c>
      <c r="AS333" s="12" t="s">
        <v>3858</v>
      </c>
      <c r="AT333" s="12" t="s">
        <v>3858</v>
      </c>
      <c r="AU333" s="12">
        <v>44</v>
      </c>
      <c r="AV333" s="12" t="s">
        <v>83</v>
      </c>
      <c r="AW333" s="12">
        <v>18</v>
      </c>
      <c r="AX333" s="12">
        <v>65</v>
      </c>
      <c r="AY333" s="14">
        <v>45990</v>
      </c>
      <c r="AZ333" s="14">
        <v>46049</v>
      </c>
      <c r="BA333" s="12" t="e">
        <v>#N/A</v>
      </c>
      <c r="BB333" s="14" t="s">
        <v>2480</v>
      </c>
      <c r="BC333" s="14">
        <v>46063</v>
      </c>
      <c r="BD333" s="16">
        <v>2026</v>
      </c>
      <c r="BE333" s="16">
        <v>2</v>
      </c>
      <c r="BF333" s="16">
        <v>7</v>
      </c>
      <c r="BG333" s="191">
        <v>36</v>
      </c>
      <c r="BH333" s="191">
        <v>792</v>
      </c>
    </row>
    <row r="334" spans="1:60" ht="10">
      <c r="A334" s="11" t="s">
        <v>3861</v>
      </c>
      <c r="B334" s="12" t="s">
        <v>111</v>
      </c>
      <c r="C334" s="12" t="s">
        <v>3722</v>
      </c>
      <c r="D334" s="12" t="s">
        <v>63</v>
      </c>
      <c r="E334" s="12" t="s">
        <v>68</v>
      </c>
      <c r="F334" s="12" t="s">
        <v>68</v>
      </c>
      <c r="G334" s="12"/>
      <c r="H334" s="12" t="s">
        <v>66</v>
      </c>
      <c r="I334" s="12" t="s">
        <v>1342</v>
      </c>
      <c r="J334" s="34" t="s">
        <v>68</v>
      </c>
      <c r="K334" s="12"/>
      <c r="L334" s="13" t="s">
        <v>2497</v>
      </c>
      <c r="M334" s="12" t="s">
        <v>68</v>
      </c>
      <c r="N334" s="182"/>
      <c r="O334" s="12" t="s">
        <v>2475</v>
      </c>
      <c r="P334" s="12" t="s">
        <v>132</v>
      </c>
      <c r="Q334" s="12" t="s">
        <v>453</v>
      </c>
      <c r="R334" s="12">
        <v>554541</v>
      </c>
      <c r="S334" s="12" t="s">
        <v>454</v>
      </c>
      <c r="T334" s="206">
        <v>460</v>
      </c>
      <c r="U334" s="206">
        <v>1728</v>
      </c>
      <c r="V334" s="12">
        <v>0.79488000000000003</v>
      </c>
      <c r="W334" s="198">
        <v>48</v>
      </c>
      <c r="X334" s="254">
        <v>2</v>
      </c>
      <c r="Y334" s="12" t="s">
        <v>75</v>
      </c>
      <c r="Z334" s="12"/>
      <c r="AA334" s="12" t="s">
        <v>108</v>
      </c>
      <c r="AB334" s="32" t="s">
        <v>967</v>
      </c>
      <c r="AC334" s="14">
        <v>45986</v>
      </c>
      <c r="AD334" s="15">
        <v>48</v>
      </c>
      <c r="AE334" s="289" t="s">
        <v>3862</v>
      </c>
      <c r="AF334" s="12">
        <v>371009158</v>
      </c>
      <c r="AG334" s="12" t="s">
        <v>122</v>
      </c>
      <c r="AH334" s="12" t="s">
        <v>314</v>
      </c>
      <c r="AI334" s="14">
        <v>45990</v>
      </c>
      <c r="AJ334" s="14">
        <v>45990</v>
      </c>
      <c r="AK334" s="14">
        <v>45990</v>
      </c>
      <c r="AL334" s="14">
        <v>46034</v>
      </c>
      <c r="AM334" s="14">
        <v>46049</v>
      </c>
      <c r="AN334" s="14">
        <v>46049</v>
      </c>
      <c r="AO334" s="91" t="s">
        <v>66</v>
      </c>
      <c r="AP334" s="12" t="s">
        <v>3842</v>
      </c>
      <c r="AQ334" s="12"/>
      <c r="AR334" s="12" t="s">
        <v>3857</v>
      </c>
      <c r="AS334" s="12" t="s">
        <v>3858</v>
      </c>
      <c r="AT334" s="12" t="s">
        <v>3858</v>
      </c>
      <c r="AU334" s="12">
        <v>44</v>
      </c>
      <c r="AV334" s="12" t="s">
        <v>83</v>
      </c>
      <c r="AW334" s="12">
        <v>6</v>
      </c>
      <c r="AX334" s="12">
        <v>63</v>
      </c>
      <c r="AY334" s="14">
        <v>45990</v>
      </c>
      <c r="AZ334" s="14">
        <v>46049</v>
      </c>
      <c r="BA334" s="12" t="e">
        <v>#N/A</v>
      </c>
      <c r="BB334" s="14" t="s">
        <v>2480</v>
      </c>
      <c r="BC334" s="14">
        <v>46063</v>
      </c>
      <c r="BD334" s="16">
        <v>2026</v>
      </c>
      <c r="BE334" s="16">
        <v>2</v>
      </c>
      <c r="BF334" s="16">
        <v>7</v>
      </c>
      <c r="BG334" s="191">
        <v>36</v>
      </c>
      <c r="BH334" s="191">
        <v>864</v>
      </c>
    </row>
    <row r="335" spans="1:60" s="23" customFormat="1" ht="10">
      <c r="A335" s="11" t="s">
        <v>3863</v>
      </c>
      <c r="B335" s="12" t="s">
        <v>111</v>
      </c>
      <c r="C335" s="12" t="s">
        <v>548</v>
      </c>
      <c r="D335" s="12" t="s">
        <v>63</v>
      </c>
      <c r="E335" s="12" t="s">
        <v>64</v>
      </c>
      <c r="F335" s="12" t="s">
        <v>100</v>
      </c>
      <c r="G335" s="12" t="s">
        <v>67</v>
      </c>
      <c r="H335" s="12" t="s">
        <v>66</v>
      </c>
      <c r="I335" s="12" t="s">
        <v>96</v>
      </c>
      <c r="J335" s="34" t="s">
        <v>68</v>
      </c>
      <c r="K335" s="12"/>
      <c r="L335" s="13" t="s">
        <v>2474</v>
      </c>
      <c r="M335" s="213" t="s">
        <v>68</v>
      </c>
      <c r="N335" s="182"/>
      <c r="O335" s="12" t="s">
        <v>2475</v>
      </c>
      <c r="P335" s="12" t="s">
        <v>550</v>
      </c>
      <c r="Q335" s="12" t="s">
        <v>551</v>
      </c>
      <c r="R335" s="12">
        <v>553118</v>
      </c>
      <c r="S335" s="12" t="s">
        <v>552</v>
      </c>
      <c r="T335" s="206">
        <v>510</v>
      </c>
      <c r="U335" s="206">
        <v>1584</v>
      </c>
      <c r="V335" s="12">
        <v>0.80784</v>
      </c>
      <c r="W335" s="198">
        <v>44</v>
      </c>
      <c r="X335" s="254">
        <v>2</v>
      </c>
      <c r="Y335" s="12" t="s">
        <v>75</v>
      </c>
      <c r="Z335" s="12"/>
      <c r="AA335" s="12" t="s">
        <v>85</v>
      </c>
      <c r="AB335" s="13" t="s">
        <v>2136</v>
      </c>
      <c r="AC335" s="14">
        <v>45986</v>
      </c>
      <c r="AD335" s="15">
        <v>48</v>
      </c>
      <c r="AE335" s="176" t="s">
        <v>3864</v>
      </c>
      <c r="AF335" s="12">
        <v>371009173</v>
      </c>
      <c r="AG335" s="12" t="s">
        <v>122</v>
      </c>
      <c r="AH335" s="12" t="s">
        <v>105</v>
      </c>
      <c r="AI335" s="14">
        <v>45992</v>
      </c>
      <c r="AJ335" s="14">
        <v>45992</v>
      </c>
      <c r="AK335" s="14">
        <v>45996</v>
      </c>
      <c r="AL335" s="14">
        <v>46032</v>
      </c>
      <c r="AM335" s="14">
        <v>46040</v>
      </c>
      <c r="AN335" s="14">
        <v>46041</v>
      </c>
      <c r="AO335" s="91" t="s">
        <v>66</v>
      </c>
      <c r="AP335" s="12" t="s">
        <v>3865</v>
      </c>
      <c r="AQ335" s="12"/>
      <c r="AR335" s="12" t="s">
        <v>3866</v>
      </c>
      <c r="AS335" s="12" t="s">
        <v>3867</v>
      </c>
      <c r="AT335" s="12" t="s">
        <v>3867</v>
      </c>
      <c r="AU335" s="12">
        <v>40</v>
      </c>
      <c r="AV335" s="12" t="s">
        <v>83</v>
      </c>
      <c r="AW335" s="12">
        <v>18</v>
      </c>
      <c r="AX335" s="12">
        <v>55</v>
      </c>
      <c r="AY335" s="14">
        <v>45996</v>
      </c>
      <c r="AZ335" s="14">
        <v>46041</v>
      </c>
      <c r="BA335" s="12" t="e">
        <v>#N/A</v>
      </c>
      <c r="BB335" s="14" t="s">
        <v>2480</v>
      </c>
      <c r="BC335" s="14">
        <v>46055</v>
      </c>
      <c r="BD335" s="16">
        <v>2026</v>
      </c>
      <c r="BE335" s="16">
        <v>2</v>
      </c>
      <c r="BF335" s="16">
        <v>6</v>
      </c>
      <c r="BG335" s="191">
        <v>36</v>
      </c>
      <c r="BH335" s="191">
        <v>792</v>
      </c>
    </row>
    <row r="336" spans="1:60" s="23" customFormat="1" ht="10">
      <c r="A336" s="11" t="s">
        <v>3868</v>
      </c>
      <c r="B336" s="12" t="s">
        <v>111</v>
      </c>
      <c r="C336" s="12" t="s">
        <v>545</v>
      </c>
      <c r="D336" s="12" t="s">
        <v>63</v>
      </c>
      <c r="E336" s="12" t="s">
        <v>64</v>
      </c>
      <c r="F336" s="31" t="s">
        <v>310</v>
      </c>
      <c r="G336" s="12" t="s">
        <v>311</v>
      </c>
      <c r="H336" s="12" t="s">
        <v>66</v>
      </c>
      <c r="I336" s="12" t="s">
        <v>1342</v>
      </c>
      <c r="J336" s="34" t="s">
        <v>68</v>
      </c>
      <c r="K336" s="12"/>
      <c r="L336" s="13" t="s">
        <v>2497</v>
      </c>
      <c r="M336" s="213" t="s">
        <v>68</v>
      </c>
      <c r="N336" s="182"/>
      <c r="O336" s="12" t="s">
        <v>2475</v>
      </c>
      <c r="P336" s="12" t="s">
        <v>473</v>
      </c>
      <c r="Q336" s="12" t="s">
        <v>529</v>
      </c>
      <c r="R336" s="12">
        <v>553145</v>
      </c>
      <c r="S336" s="12" t="s">
        <v>530</v>
      </c>
      <c r="T336" s="206">
        <v>455</v>
      </c>
      <c r="U336" s="206">
        <v>2592</v>
      </c>
      <c r="V336" s="12">
        <v>1.17936</v>
      </c>
      <c r="W336" s="198">
        <v>72</v>
      </c>
      <c r="X336" s="254">
        <v>3</v>
      </c>
      <c r="Y336" s="12" t="s">
        <v>75</v>
      </c>
      <c r="Z336" s="12"/>
      <c r="AA336" s="12" t="s">
        <v>85</v>
      </c>
      <c r="AB336" s="13" t="s">
        <v>967</v>
      </c>
      <c r="AC336" s="14">
        <v>45990</v>
      </c>
      <c r="AD336" s="15">
        <v>48</v>
      </c>
      <c r="AE336" s="55" t="s">
        <v>3869</v>
      </c>
      <c r="AF336" s="12">
        <v>371009212</v>
      </c>
      <c r="AG336" s="12" t="s">
        <v>122</v>
      </c>
      <c r="AH336" s="12" t="s">
        <v>314</v>
      </c>
      <c r="AI336" s="14">
        <v>45996</v>
      </c>
      <c r="AJ336" s="14">
        <v>45996</v>
      </c>
      <c r="AK336" s="14">
        <v>45998</v>
      </c>
      <c r="AL336" s="14">
        <v>46044</v>
      </c>
      <c r="AM336" s="14">
        <v>46057</v>
      </c>
      <c r="AN336" s="14">
        <v>46058</v>
      </c>
      <c r="AO336" s="91" t="s">
        <v>66</v>
      </c>
      <c r="AP336" s="12" t="s">
        <v>3870</v>
      </c>
      <c r="AQ336" s="12"/>
      <c r="AR336" s="12" t="s">
        <v>3871</v>
      </c>
      <c r="AS336" s="12" t="s">
        <v>3872</v>
      </c>
      <c r="AT336" s="12" t="s">
        <v>3872</v>
      </c>
      <c r="AU336" s="12">
        <v>48</v>
      </c>
      <c r="AV336" s="12"/>
      <c r="AW336" s="12">
        <v>13</v>
      </c>
      <c r="AX336" s="12">
        <v>68</v>
      </c>
      <c r="AY336" s="14">
        <v>45998</v>
      </c>
      <c r="AZ336" s="14">
        <v>46058</v>
      </c>
      <c r="BA336" s="12" t="e">
        <v>#N/A</v>
      </c>
      <c r="BB336" s="14" t="s">
        <v>2480</v>
      </c>
      <c r="BC336" s="14">
        <v>46072</v>
      </c>
      <c r="BD336" s="16">
        <v>2026</v>
      </c>
      <c r="BE336" s="16">
        <v>2</v>
      </c>
      <c r="BF336" s="16">
        <v>8</v>
      </c>
      <c r="BG336" s="191">
        <v>36</v>
      </c>
      <c r="BH336" s="191">
        <v>864</v>
      </c>
    </row>
    <row r="337" spans="1:60" s="23" customFormat="1" ht="10">
      <c r="A337" s="11" t="s">
        <v>3759</v>
      </c>
      <c r="B337" s="12" t="s">
        <v>61</v>
      </c>
      <c r="C337" s="12" t="s">
        <v>203</v>
      </c>
      <c r="D337" s="12" t="s">
        <v>63</v>
      </c>
      <c r="E337" s="12" t="s">
        <v>144</v>
      </c>
      <c r="F337" s="12" t="s">
        <v>145</v>
      </c>
      <c r="G337" s="12" t="s">
        <v>3873</v>
      </c>
      <c r="H337" s="12" t="s">
        <v>156</v>
      </c>
      <c r="I337" s="12" t="s">
        <v>3873</v>
      </c>
      <c r="J337" s="34" t="s">
        <v>68</v>
      </c>
      <c r="K337" s="12">
        <v>14130773</v>
      </c>
      <c r="L337" s="13" t="s">
        <v>2732</v>
      </c>
      <c r="M337" s="236" t="s">
        <v>68</v>
      </c>
      <c r="N337" s="182"/>
      <c r="O337" s="12" t="s">
        <v>2475</v>
      </c>
      <c r="P337" s="12" t="s">
        <v>70</v>
      </c>
      <c r="Q337" s="12" t="s">
        <v>102</v>
      </c>
      <c r="R337" s="12">
        <v>554245</v>
      </c>
      <c r="S337" s="12" t="s">
        <v>103</v>
      </c>
      <c r="T337" s="206">
        <v>620</v>
      </c>
      <c r="U337" s="206">
        <v>5760</v>
      </c>
      <c r="V337" s="12">
        <v>3.5712000000000002</v>
      </c>
      <c r="W337" s="198">
        <v>160</v>
      </c>
      <c r="X337" s="254">
        <v>8</v>
      </c>
      <c r="Y337" s="12" t="s">
        <v>75</v>
      </c>
      <c r="Z337" s="12"/>
      <c r="AA337" s="12" t="s">
        <v>108</v>
      </c>
      <c r="AB337" s="13" t="s">
        <v>967</v>
      </c>
      <c r="AC337" s="14">
        <v>45986</v>
      </c>
      <c r="AD337" s="15">
        <v>48</v>
      </c>
      <c r="AE337" s="176" t="s">
        <v>3874</v>
      </c>
      <c r="AF337" s="12">
        <v>371009205</v>
      </c>
      <c r="AG337" s="12" t="s">
        <v>77</v>
      </c>
      <c r="AH337" s="12" t="s">
        <v>105</v>
      </c>
      <c r="AI337" s="14">
        <v>45994</v>
      </c>
      <c r="AJ337" s="14">
        <v>45994</v>
      </c>
      <c r="AK337" s="14">
        <v>45994</v>
      </c>
      <c r="AL337" s="14">
        <v>46055</v>
      </c>
      <c r="AM337" s="14">
        <v>46060</v>
      </c>
      <c r="AN337" s="14">
        <v>46060</v>
      </c>
      <c r="AO337" s="91" t="s">
        <v>156</v>
      </c>
      <c r="AP337" s="12" t="s">
        <v>3875</v>
      </c>
      <c r="AQ337" s="12"/>
      <c r="AR337" s="12" t="s">
        <v>3876</v>
      </c>
      <c r="AS337" s="12" t="s">
        <v>3877</v>
      </c>
      <c r="AT337" s="12" t="s">
        <v>3878</v>
      </c>
      <c r="AU337" s="12">
        <v>61</v>
      </c>
      <c r="AV337" s="12" t="s">
        <v>2493</v>
      </c>
      <c r="AW337" s="12">
        <v>39</v>
      </c>
      <c r="AX337" s="12">
        <v>74</v>
      </c>
      <c r="AY337" s="14">
        <v>45994</v>
      </c>
      <c r="AZ337" s="14">
        <v>46060</v>
      </c>
      <c r="BA337" s="12" t="e">
        <v>#N/A</v>
      </c>
      <c r="BB337" s="14" t="s">
        <v>2480</v>
      </c>
      <c r="BC337" s="14">
        <v>46074</v>
      </c>
      <c r="BD337" s="16">
        <v>2026</v>
      </c>
      <c r="BE337" s="16">
        <v>2</v>
      </c>
      <c r="BF337" s="16">
        <v>8</v>
      </c>
      <c r="BG337" s="191">
        <v>36</v>
      </c>
      <c r="BH337" s="191">
        <v>720</v>
      </c>
    </row>
    <row r="338" spans="1:60" ht="10">
      <c r="A338" s="11" t="s">
        <v>3879</v>
      </c>
      <c r="B338" s="12" t="s">
        <v>61</v>
      </c>
      <c r="C338" s="12" t="s">
        <v>99</v>
      </c>
      <c r="D338" s="12" t="s">
        <v>63</v>
      </c>
      <c r="E338" s="12" t="s">
        <v>144</v>
      </c>
      <c r="F338" s="12" t="s">
        <v>145</v>
      </c>
      <c r="G338" s="12" t="s">
        <v>3873</v>
      </c>
      <c r="H338" s="12" t="s">
        <v>156</v>
      </c>
      <c r="I338" s="12" t="s">
        <v>3873</v>
      </c>
      <c r="J338" s="34" t="s">
        <v>68</v>
      </c>
      <c r="K338" s="12">
        <v>14130773</v>
      </c>
      <c r="L338" s="13" t="s">
        <v>2732</v>
      </c>
      <c r="M338" s="236" t="s">
        <v>68</v>
      </c>
      <c r="N338" s="182"/>
      <c r="O338" s="12" t="s">
        <v>2475</v>
      </c>
      <c r="P338" s="12" t="s">
        <v>70</v>
      </c>
      <c r="Q338" s="12" t="s">
        <v>102</v>
      </c>
      <c r="R338" s="12">
        <v>554245</v>
      </c>
      <c r="S338" s="12" t="s">
        <v>103</v>
      </c>
      <c r="T338" s="206">
        <v>620</v>
      </c>
      <c r="U338" s="206">
        <v>2880</v>
      </c>
      <c r="V338" s="12">
        <v>1.7856000000000001</v>
      </c>
      <c r="W338" s="198">
        <v>80</v>
      </c>
      <c r="X338" s="254">
        <v>4</v>
      </c>
      <c r="Y338" s="12" t="s">
        <v>75</v>
      </c>
      <c r="Z338" s="12"/>
      <c r="AA338" s="12" t="s">
        <v>108</v>
      </c>
      <c r="AB338" s="13" t="s">
        <v>967</v>
      </c>
      <c r="AC338" s="14">
        <v>45986</v>
      </c>
      <c r="AD338" s="15">
        <v>48</v>
      </c>
      <c r="AE338" s="176" t="s">
        <v>3880</v>
      </c>
      <c r="AF338" s="12">
        <v>371009208</v>
      </c>
      <c r="AG338" s="12" t="s">
        <v>77</v>
      </c>
      <c r="AH338" s="12" t="s">
        <v>105</v>
      </c>
      <c r="AI338" s="14">
        <v>45994</v>
      </c>
      <c r="AJ338" s="14">
        <v>45994</v>
      </c>
      <c r="AK338" s="14">
        <v>45994</v>
      </c>
      <c r="AL338" s="14">
        <v>46055</v>
      </c>
      <c r="AM338" s="14">
        <v>46060</v>
      </c>
      <c r="AN338" s="14">
        <v>46060</v>
      </c>
      <c r="AO338" s="91" t="s">
        <v>156</v>
      </c>
      <c r="AP338" s="12" t="s">
        <v>3875</v>
      </c>
      <c r="AQ338" s="12"/>
      <c r="AR338" s="12" t="s">
        <v>3876</v>
      </c>
      <c r="AS338" s="12" t="s">
        <v>3877</v>
      </c>
      <c r="AT338" s="12" t="s">
        <v>3878</v>
      </c>
      <c r="AU338" s="12">
        <v>61</v>
      </c>
      <c r="AV338" s="12" t="s">
        <v>2493</v>
      </c>
      <c r="AW338" s="12">
        <v>1</v>
      </c>
      <c r="AX338" s="12">
        <v>74</v>
      </c>
      <c r="AY338" s="14">
        <v>45994</v>
      </c>
      <c r="AZ338" s="14">
        <v>46060</v>
      </c>
      <c r="BA338" s="12" t="e">
        <v>#N/A</v>
      </c>
      <c r="BB338" s="14" t="s">
        <v>2480</v>
      </c>
      <c r="BC338" s="14">
        <v>46074</v>
      </c>
      <c r="BD338" s="16">
        <v>2026</v>
      </c>
      <c r="BE338" s="16">
        <v>2</v>
      </c>
      <c r="BF338" s="16">
        <v>8</v>
      </c>
      <c r="BG338" s="191">
        <v>36</v>
      </c>
      <c r="BH338" s="191">
        <v>720</v>
      </c>
    </row>
    <row r="339" spans="1:60" ht="10">
      <c r="A339" s="11" t="s">
        <v>3881</v>
      </c>
      <c r="B339" s="12" t="s">
        <v>61</v>
      </c>
      <c r="C339" s="12" t="s">
        <v>203</v>
      </c>
      <c r="D339" s="12" t="s">
        <v>63</v>
      </c>
      <c r="E339" s="12" t="s">
        <v>144</v>
      </c>
      <c r="F339" s="12" t="s">
        <v>145</v>
      </c>
      <c r="G339" s="12" t="s">
        <v>3873</v>
      </c>
      <c r="H339" s="12" t="s">
        <v>156</v>
      </c>
      <c r="I339" s="12" t="s">
        <v>3873</v>
      </c>
      <c r="J339" s="34" t="s">
        <v>68</v>
      </c>
      <c r="K339" s="12">
        <v>14130773</v>
      </c>
      <c r="L339" s="13" t="s">
        <v>2732</v>
      </c>
      <c r="M339" s="236" t="s">
        <v>68</v>
      </c>
      <c r="N339" s="182"/>
      <c r="O339" s="12" t="s">
        <v>2475</v>
      </c>
      <c r="P339" s="12" t="s">
        <v>70</v>
      </c>
      <c r="Q339" s="12" t="s">
        <v>1002</v>
      </c>
      <c r="R339" s="12">
        <v>554246</v>
      </c>
      <c r="S339" s="12" t="s">
        <v>330</v>
      </c>
      <c r="T339" s="206">
        <v>625</v>
      </c>
      <c r="U339" s="206">
        <v>2160</v>
      </c>
      <c r="V339" s="12">
        <v>1.35</v>
      </c>
      <c r="W339" s="198">
        <v>60</v>
      </c>
      <c r="X339" s="254">
        <v>3</v>
      </c>
      <c r="Y339" s="12" t="s">
        <v>75</v>
      </c>
      <c r="Z339" s="12"/>
      <c r="AA339" s="12" t="s">
        <v>128</v>
      </c>
      <c r="AB339" s="32" t="s">
        <v>992</v>
      </c>
      <c r="AC339" s="14">
        <v>45986</v>
      </c>
      <c r="AD339" s="15">
        <v>48</v>
      </c>
      <c r="AE339" s="176" t="s">
        <v>3882</v>
      </c>
      <c r="AF339" s="12">
        <v>371009209</v>
      </c>
      <c r="AG339" s="12" t="s">
        <v>77</v>
      </c>
      <c r="AH339" s="12" t="s">
        <v>105</v>
      </c>
      <c r="AI339" s="14">
        <v>45994</v>
      </c>
      <c r="AJ339" s="14">
        <v>45994</v>
      </c>
      <c r="AK339" s="14">
        <v>45994</v>
      </c>
      <c r="AL339" s="14">
        <v>46055</v>
      </c>
      <c r="AM339" s="14">
        <v>46060</v>
      </c>
      <c r="AN339" s="14">
        <v>46062</v>
      </c>
      <c r="AO339" s="91" t="s">
        <v>156</v>
      </c>
      <c r="AP339" s="12" t="s">
        <v>3875</v>
      </c>
      <c r="AQ339" s="12"/>
      <c r="AR339" s="12" t="s">
        <v>3883</v>
      </c>
      <c r="AS339" s="12" t="s">
        <v>3884</v>
      </c>
      <c r="AT339" s="12" t="s">
        <v>3885</v>
      </c>
      <c r="AU339" s="12">
        <v>61</v>
      </c>
      <c r="AV339" s="12" t="s">
        <v>2493</v>
      </c>
      <c r="AW339" s="12">
        <v>39</v>
      </c>
      <c r="AX339" s="12">
        <v>76</v>
      </c>
      <c r="AY339" s="14">
        <v>45994</v>
      </c>
      <c r="AZ339" s="14">
        <v>46062</v>
      </c>
      <c r="BA339" s="12" t="e">
        <v>#N/A</v>
      </c>
      <c r="BB339" s="14" t="s">
        <v>2480</v>
      </c>
      <c r="BC339" s="14">
        <v>46076</v>
      </c>
      <c r="BD339" s="16">
        <v>2026</v>
      </c>
      <c r="BE339" s="16">
        <v>2</v>
      </c>
      <c r="BF339" s="16">
        <v>9</v>
      </c>
      <c r="BG339" s="191">
        <v>36</v>
      </c>
      <c r="BH339" s="191">
        <v>720</v>
      </c>
    </row>
    <row r="340" spans="1:60" s="23" customFormat="1" ht="10">
      <c r="A340" s="11" t="s">
        <v>3886</v>
      </c>
      <c r="B340" s="12" t="s">
        <v>296</v>
      </c>
      <c r="C340" s="12" t="s">
        <v>3887</v>
      </c>
      <c r="D340" s="12" t="s">
        <v>63</v>
      </c>
      <c r="E340" s="12" t="s">
        <v>64</v>
      </c>
      <c r="F340" s="12" t="s">
        <v>100</v>
      </c>
      <c r="G340" s="12" t="s">
        <v>67</v>
      </c>
      <c r="H340" s="12" t="s">
        <v>66</v>
      </c>
      <c r="I340" s="12" t="s">
        <v>96</v>
      </c>
      <c r="J340" s="34" t="s">
        <v>68</v>
      </c>
      <c r="K340" s="12"/>
      <c r="L340" s="13" t="s">
        <v>2474</v>
      </c>
      <c r="M340" s="213" t="s">
        <v>68</v>
      </c>
      <c r="N340" s="182"/>
      <c r="O340" s="12" t="s">
        <v>2475</v>
      </c>
      <c r="P340" s="12" t="s">
        <v>298</v>
      </c>
      <c r="Q340" s="12" t="s">
        <v>299</v>
      </c>
      <c r="R340" s="12">
        <v>554251</v>
      </c>
      <c r="S340" s="12" t="s">
        <v>300</v>
      </c>
      <c r="T340" s="206">
        <v>480</v>
      </c>
      <c r="U340" s="206">
        <v>1924</v>
      </c>
      <c r="V340" s="12">
        <v>0.92352000000000001</v>
      </c>
      <c r="W340" s="198">
        <v>52</v>
      </c>
      <c r="X340" s="254">
        <v>2</v>
      </c>
      <c r="Y340" s="12" t="s">
        <v>75</v>
      </c>
      <c r="Z340" s="12"/>
      <c r="AA340" s="12" t="s">
        <v>85</v>
      </c>
      <c r="AB340" s="13" t="s">
        <v>967</v>
      </c>
      <c r="AC340" s="14">
        <v>45987</v>
      </c>
      <c r="AD340" s="15">
        <v>48</v>
      </c>
      <c r="AE340" s="176" t="s">
        <v>3888</v>
      </c>
      <c r="AF340" s="12">
        <v>371009168</v>
      </c>
      <c r="AG340" s="12" t="s">
        <v>288</v>
      </c>
      <c r="AH340" s="12" t="s">
        <v>105</v>
      </c>
      <c r="AI340" s="14">
        <v>45997</v>
      </c>
      <c r="AJ340" s="14">
        <v>45997</v>
      </c>
      <c r="AK340" s="14">
        <v>45997</v>
      </c>
      <c r="AL340" s="14">
        <v>46024</v>
      </c>
      <c r="AM340" s="14">
        <v>46036</v>
      </c>
      <c r="AN340" s="14">
        <v>46036</v>
      </c>
      <c r="AO340" s="91" t="s">
        <v>66</v>
      </c>
      <c r="AP340" s="12" t="s">
        <v>3847</v>
      </c>
      <c r="AQ340" s="12"/>
      <c r="AR340" s="12" t="s">
        <v>3889</v>
      </c>
      <c r="AS340" s="12" t="s">
        <v>3890</v>
      </c>
      <c r="AT340" s="12" t="s">
        <v>3890</v>
      </c>
      <c r="AU340" s="12">
        <v>27</v>
      </c>
      <c r="AV340" s="12" t="s">
        <v>83</v>
      </c>
      <c r="AW340" s="12">
        <v>3</v>
      </c>
      <c r="AX340" s="12">
        <v>49</v>
      </c>
      <c r="AY340" s="14">
        <v>45997</v>
      </c>
      <c r="AZ340" s="14">
        <v>46036</v>
      </c>
      <c r="BA340" s="12" t="e">
        <v>#N/A</v>
      </c>
      <c r="BB340" s="14" t="s">
        <v>2480</v>
      </c>
      <c r="BC340" s="14">
        <v>46050</v>
      </c>
      <c r="BD340" s="16">
        <v>2026</v>
      </c>
      <c r="BE340" s="16">
        <v>1</v>
      </c>
      <c r="BF340" s="16">
        <v>5</v>
      </c>
      <c r="BG340" s="191">
        <v>37</v>
      </c>
      <c r="BH340" s="191">
        <v>962</v>
      </c>
    </row>
    <row r="341" spans="1:60" ht="10">
      <c r="A341" s="11" t="s">
        <v>3891</v>
      </c>
      <c r="B341" s="12" t="s">
        <v>296</v>
      </c>
      <c r="C341" s="12" t="s">
        <v>3892</v>
      </c>
      <c r="D341" s="12" t="s">
        <v>63</v>
      </c>
      <c r="E341" s="12" t="s">
        <v>64</v>
      </c>
      <c r="F341" s="12" t="s">
        <v>100</v>
      </c>
      <c r="G341" s="12" t="s">
        <v>67</v>
      </c>
      <c r="H341" s="12" t="s">
        <v>66</v>
      </c>
      <c r="I341" s="12" t="s">
        <v>96</v>
      </c>
      <c r="J341" s="34" t="s">
        <v>68</v>
      </c>
      <c r="K341" s="12"/>
      <c r="L341" s="13" t="s">
        <v>2474</v>
      </c>
      <c r="M341" s="213" t="s">
        <v>68</v>
      </c>
      <c r="N341" s="182"/>
      <c r="O341" s="12" t="s">
        <v>2475</v>
      </c>
      <c r="P341" s="12" t="s">
        <v>298</v>
      </c>
      <c r="Q341" s="12" t="s">
        <v>306</v>
      </c>
      <c r="R341" s="12">
        <v>554252</v>
      </c>
      <c r="S341" s="12" t="s">
        <v>307</v>
      </c>
      <c r="T341" s="206">
        <v>485</v>
      </c>
      <c r="U341" s="206">
        <v>962</v>
      </c>
      <c r="V341" s="12">
        <v>0.46656999999999998</v>
      </c>
      <c r="W341" s="198">
        <v>26</v>
      </c>
      <c r="X341" s="254">
        <v>1</v>
      </c>
      <c r="Y341" s="12" t="s">
        <v>75</v>
      </c>
      <c r="Z341" s="12"/>
      <c r="AA341" s="12" t="s">
        <v>85</v>
      </c>
      <c r="AB341" s="13" t="s">
        <v>967</v>
      </c>
      <c r="AC341" s="14">
        <v>45987</v>
      </c>
      <c r="AD341" s="15">
        <v>48</v>
      </c>
      <c r="AE341" s="176" t="s">
        <v>3893</v>
      </c>
      <c r="AF341" s="12">
        <v>371009171</v>
      </c>
      <c r="AG341" s="12" t="s">
        <v>288</v>
      </c>
      <c r="AH341" s="12" t="s">
        <v>105</v>
      </c>
      <c r="AI341" s="14">
        <v>45997</v>
      </c>
      <c r="AJ341" s="14">
        <v>45997</v>
      </c>
      <c r="AK341" s="14">
        <v>45997</v>
      </c>
      <c r="AL341" s="14">
        <v>46024</v>
      </c>
      <c r="AM341" s="14">
        <v>46036</v>
      </c>
      <c r="AN341" s="14">
        <v>46036</v>
      </c>
      <c r="AO341" s="91" t="s">
        <v>66</v>
      </c>
      <c r="AP341" s="12" t="s">
        <v>3847</v>
      </c>
      <c r="AQ341" s="12"/>
      <c r="AR341" s="12" t="s">
        <v>3889</v>
      </c>
      <c r="AS341" s="12" t="s">
        <v>3890</v>
      </c>
      <c r="AT341" s="12" t="s">
        <v>3890</v>
      </c>
      <c r="AU341" s="12">
        <v>27</v>
      </c>
      <c r="AV341" s="12" t="s">
        <v>83</v>
      </c>
      <c r="AW341" s="12">
        <v>2</v>
      </c>
      <c r="AX341" s="12">
        <v>49</v>
      </c>
      <c r="AY341" s="14">
        <v>45997</v>
      </c>
      <c r="AZ341" s="14">
        <v>46036</v>
      </c>
      <c r="BA341" s="12" t="e">
        <v>#N/A</v>
      </c>
      <c r="BB341" s="14" t="s">
        <v>2480</v>
      </c>
      <c r="BC341" s="14">
        <v>46050</v>
      </c>
      <c r="BD341" s="16">
        <v>2026</v>
      </c>
      <c r="BE341" s="16">
        <v>1</v>
      </c>
      <c r="BF341" s="16">
        <v>5</v>
      </c>
      <c r="BG341" s="191">
        <v>37</v>
      </c>
      <c r="BH341" s="191">
        <v>962</v>
      </c>
    </row>
    <row r="342" spans="1:60" s="23" customFormat="1" ht="10">
      <c r="A342" s="11" t="s">
        <v>3894</v>
      </c>
      <c r="B342" s="12" t="s">
        <v>296</v>
      </c>
      <c r="C342" s="12" t="s">
        <v>3887</v>
      </c>
      <c r="D342" s="12" t="s">
        <v>63</v>
      </c>
      <c r="E342" s="12" t="s">
        <v>68</v>
      </c>
      <c r="F342" s="12" t="s">
        <v>68</v>
      </c>
      <c r="G342" s="12"/>
      <c r="H342" s="12" t="s">
        <v>66</v>
      </c>
      <c r="I342" s="12" t="s">
        <v>1342</v>
      </c>
      <c r="J342" s="34" t="s">
        <v>68</v>
      </c>
      <c r="K342" s="12"/>
      <c r="L342" s="13" t="s">
        <v>2497</v>
      </c>
      <c r="M342" s="12" t="s">
        <v>68</v>
      </c>
      <c r="N342" s="182"/>
      <c r="O342" s="12" t="s">
        <v>2475</v>
      </c>
      <c r="P342" s="12" t="s">
        <v>298</v>
      </c>
      <c r="Q342" s="12" t="s">
        <v>299</v>
      </c>
      <c r="R342" s="12">
        <v>554251</v>
      </c>
      <c r="S342" s="12" t="s">
        <v>300</v>
      </c>
      <c r="T342" s="206">
        <v>480</v>
      </c>
      <c r="U342" s="206">
        <v>3848</v>
      </c>
      <c r="V342" s="12">
        <v>1.84704</v>
      </c>
      <c r="W342" s="198">
        <v>104</v>
      </c>
      <c r="X342" s="254">
        <v>4</v>
      </c>
      <c r="Y342" s="12" t="s">
        <v>75</v>
      </c>
      <c r="Z342" s="12"/>
      <c r="AA342" s="12" t="s">
        <v>85</v>
      </c>
      <c r="AB342" s="13" t="s">
        <v>967</v>
      </c>
      <c r="AC342" s="14">
        <v>45992</v>
      </c>
      <c r="AD342" s="15">
        <v>49</v>
      </c>
      <c r="AE342" s="176" t="s">
        <v>3895</v>
      </c>
      <c r="AF342" s="12">
        <v>371009169</v>
      </c>
      <c r="AG342" s="12" t="s">
        <v>288</v>
      </c>
      <c r="AH342" s="12" t="s">
        <v>314</v>
      </c>
      <c r="AI342" s="14">
        <v>46007</v>
      </c>
      <c r="AJ342" s="14">
        <v>46007</v>
      </c>
      <c r="AK342" s="14">
        <v>46008</v>
      </c>
      <c r="AL342" s="14">
        <v>46044</v>
      </c>
      <c r="AM342" s="14">
        <v>46057</v>
      </c>
      <c r="AN342" s="14">
        <v>46058</v>
      </c>
      <c r="AO342" s="91" t="s">
        <v>66</v>
      </c>
      <c r="AP342" s="12" t="s">
        <v>3870</v>
      </c>
      <c r="AQ342" s="12"/>
      <c r="AR342" s="12" t="s">
        <v>3896</v>
      </c>
      <c r="AS342" s="12" t="s">
        <v>3897</v>
      </c>
      <c r="AT342" s="12" t="s">
        <v>3897</v>
      </c>
      <c r="AU342" s="12">
        <v>37</v>
      </c>
      <c r="AV342" s="12" t="s">
        <v>83</v>
      </c>
      <c r="AW342" s="12">
        <v>3</v>
      </c>
      <c r="AX342" s="12">
        <v>66</v>
      </c>
      <c r="AY342" s="14">
        <v>46008</v>
      </c>
      <c r="AZ342" s="14">
        <v>46058</v>
      </c>
      <c r="BA342" s="12" t="e">
        <v>#N/A</v>
      </c>
      <c r="BB342" s="14" t="s">
        <v>2480</v>
      </c>
      <c r="BC342" s="14">
        <v>46072</v>
      </c>
      <c r="BD342" s="16">
        <v>2026</v>
      </c>
      <c r="BE342" s="16">
        <v>2</v>
      </c>
      <c r="BF342" s="16">
        <v>8</v>
      </c>
      <c r="BG342" s="191">
        <v>37</v>
      </c>
      <c r="BH342" s="191">
        <v>962</v>
      </c>
    </row>
    <row r="343" spans="1:60" ht="10">
      <c r="A343" s="11" t="s">
        <v>3898</v>
      </c>
      <c r="B343" s="12" t="s">
        <v>296</v>
      </c>
      <c r="C343" s="12" t="s">
        <v>3892</v>
      </c>
      <c r="D343" s="12" t="s">
        <v>63</v>
      </c>
      <c r="E343" s="12" t="s">
        <v>68</v>
      </c>
      <c r="F343" s="12" t="s">
        <v>68</v>
      </c>
      <c r="G343" s="12"/>
      <c r="H343" s="12" t="s">
        <v>66</v>
      </c>
      <c r="I343" s="12" t="s">
        <v>1342</v>
      </c>
      <c r="J343" s="34" t="s">
        <v>68</v>
      </c>
      <c r="K343" s="12"/>
      <c r="L343" s="13" t="s">
        <v>2497</v>
      </c>
      <c r="M343" s="12" t="s">
        <v>68</v>
      </c>
      <c r="N343" s="182"/>
      <c r="O343" s="12" t="s">
        <v>2475</v>
      </c>
      <c r="P343" s="12" t="s">
        <v>298</v>
      </c>
      <c r="Q343" s="12" t="s">
        <v>306</v>
      </c>
      <c r="R343" s="12">
        <v>554252</v>
      </c>
      <c r="S343" s="12" t="s">
        <v>307</v>
      </c>
      <c r="T343" s="206">
        <v>485</v>
      </c>
      <c r="U343" s="206">
        <v>1924</v>
      </c>
      <c r="V343" s="12">
        <v>0.93313999999999997</v>
      </c>
      <c r="W343" s="198">
        <v>52</v>
      </c>
      <c r="X343" s="254">
        <v>2</v>
      </c>
      <c r="Y343" s="12" t="s">
        <v>75</v>
      </c>
      <c r="Z343" s="12"/>
      <c r="AA343" s="12" t="s">
        <v>85</v>
      </c>
      <c r="AB343" s="13" t="s">
        <v>967</v>
      </c>
      <c r="AC343" s="14">
        <v>45992</v>
      </c>
      <c r="AD343" s="15">
        <v>49</v>
      </c>
      <c r="AE343" s="176" t="s">
        <v>3899</v>
      </c>
      <c r="AF343" s="12">
        <v>371009172</v>
      </c>
      <c r="AG343" s="12" t="s">
        <v>288</v>
      </c>
      <c r="AH343" s="12" t="s">
        <v>314</v>
      </c>
      <c r="AI343" s="14">
        <v>46007</v>
      </c>
      <c r="AJ343" s="14">
        <v>46007</v>
      </c>
      <c r="AK343" s="14">
        <v>46008</v>
      </c>
      <c r="AL343" s="14">
        <v>46044</v>
      </c>
      <c r="AM343" s="14">
        <v>46057</v>
      </c>
      <c r="AN343" s="14">
        <v>46058</v>
      </c>
      <c r="AO343" s="91" t="s">
        <v>66</v>
      </c>
      <c r="AP343" s="12" t="s">
        <v>3870</v>
      </c>
      <c r="AQ343" s="12"/>
      <c r="AR343" s="12" t="s">
        <v>3896</v>
      </c>
      <c r="AS343" s="12" t="s">
        <v>3897</v>
      </c>
      <c r="AT343" s="12" t="s">
        <v>3897</v>
      </c>
      <c r="AU343" s="12">
        <v>37</v>
      </c>
      <c r="AV343" s="12" t="s">
        <v>83</v>
      </c>
      <c r="AW343" s="12">
        <v>2</v>
      </c>
      <c r="AX343" s="12">
        <v>66</v>
      </c>
      <c r="AY343" s="14">
        <v>46008</v>
      </c>
      <c r="AZ343" s="14">
        <v>46058</v>
      </c>
      <c r="BA343" s="12" t="e">
        <v>#N/A</v>
      </c>
      <c r="BB343" s="14" t="s">
        <v>2480</v>
      </c>
      <c r="BC343" s="14">
        <v>46072</v>
      </c>
      <c r="BD343" s="16">
        <v>2026</v>
      </c>
      <c r="BE343" s="16">
        <v>2</v>
      </c>
      <c r="BF343" s="16">
        <v>8</v>
      </c>
      <c r="BG343" s="191">
        <v>37</v>
      </c>
      <c r="BH343" s="191">
        <v>962</v>
      </c>
    </row>
    <row r="344" spans="1:60" ht="10">
      <c r="A344" s="11" t="s">
        <v>3900</v>
      </c>
      <c r="B344" s="12" t="s">
        <v>296</v>
      </c>
      <c r="C344" s="12" t="s">
        <v>3887</v>
      </c>
      <c r="D344" s="12" t="s">
        <v>63</v>
      </c>
      <c r="E344" s="12" t="s">
        <v>64</v>
      </c>
      <c r="F344" s="31" t="s">
        <v>310</v>
      </c>
      <c r="G344" s="12" t="s">
        <v>311</v>
      </c>
      <c r="H344" s="12" t="s">
        <v>66</v>
      </c>
      <c r="I344" s="12" t="s">
        <v>1559</v>
      </c>
      <c r="J344" s="34" t="s">
        <v>68</v>
      </c>
      <c r="K344" s="12"/>
      <c r="L344" s="13" t="s">
        <v>2497</v>
      </c>
      <c r="M344" s="213" t="s">
        <v>68</v>
      </c>
      <c r="N344" s="182"/>
      <c r="O344" s="12" t="s">
        <v>2475</v>
      </c>
      <c r="P344" s="12" t="s">
        <v>298</v>
      </c>
      <c r="Q344" s="12" t="s">
        <v>299</v>
      </c>
      <c r="R344" s="12">
        <v>554251</v>
      </c>
      <c r="S344" s="12" t="s">
        <v>300</v>
      </c>
      <c r="T344" s="206">
        <v>480</v>
      </c>
      <c r="U344" s="206">
        <v>1924</v>
      </c>
      <c r="V344" s="12">
        <v>0.92352000000000001</v>
      </c>
      <c r="W344" s="198">
        <v>52</v>
      </c>
      <c r="X344" s="254">
        <v>2</v>
      </c>
      <c r="Y344" s="12" t="s">
        <v>75</v>
      </c>
      <c r="Z344" s="12"/>
      <c r="AA344" s="12" t="s">
        <v>85</v>
      </c>
      <c r="AB344" s="13" t="s">
        <v>967</v>
      </c>
      <c r="AC344" s="14">
        <v>45992</v>
      </c>
      <c r="AD344" s="15">
        <v>49</v>
      </c>
      <c r="AE344" s="176" t="s">
        <v>3901</v>
      </c>
      <c r="AF344" s="12">
        <v>371009170</v>
      </c>
      <c r="AG344" s="12" t="s">
        <v>288</v>
      </c>
      <c r="AH344" s="12" t="s">
        <v>1561</v>
      </c>
      <c r="AI344" s="14">
        <v>46007</v>
      </c>
      <c r="AJ344" s="14">
        <v>46007</v>
      </c>
      <c r="AK344" s="14">
        <v>46008</v>
      </c>
      <c r="AL344" s="14">
        <v>46044</v>
      </c>
      <c r="AM344" s="14">
        <v>46053</v>
      </c>
      <c r="AN344" s="14">
        <v>46054</v>
      </c>
      <c r="AO344" s="91" t="s">
        <v>66</v>
      </c>
      <c r="AP344" s="12" t="s">
        <v>3870</v>
      </c>
      <c r="AQ344" s="12"/>
      <c r="AR344" s="12" t="s">
        <v>3902</v>
      </c>
      <c r="AS344" s="12" t="s">
        <v>3903</v>
      </c>
      <c r="AT344" s="12" t="s">
        <v>3903</v>
      </c>
      <c r="AU344" s="12">
        <v>37</v>
      </c>
      <c r="AV344" s="12" t="s">
        <v>83</v>
      </c>
      <c r="AW344" s="12">
        <v>3</v>
      </c>
      <c r="AX344" s="12">
        <v>62</v>
      </c>
      <c r="AY344" s="14">
        <v>46008</v>
      </c>
      <c r="AZ344" s="14">
        <v>46054</v>
      </c>
      <c r="BA344" s="12" t="e">
        <v>#N/A</v>
      </c>
      <c r="BB344" s="14" t="s">
        <v>2480</v>
      </c>
      <c r="BC344" s="14">
        <v>46068</v>
      </c>
      <c r="BD344" s="16">
        <v>2026</v>
      </c>
      <c r="BE344" s="16">
        <v>2</v>
      </c>
      <c r="BF344" s="16">
        <v>7</v>
      </c>
      <c r="BG344" s="191">
        <v>37</v>
      </c>
      <c r="BH344" s="191">
        <v>962</v>
      </c>
    </row>
    <row r="345" spans="1:60" s="23" customFormat="1" ht="10">
      <c r="A345" s="11" t="s">
        <v>3904</v>
      </c>
      <c r="B345" s="12" t="s">
        <v>111</v>
      </c>
      <c r="C345" s="12" t="s">
        <v>3716</v>
      </c>
      <c r="D345" s="12" t="s">
        <v>63</v>
      </c>
      <c r="E345" s="12" t="s">
        <v>64</v>
      </c>
      <c r="F345" s="12" t="s">
        <v>100</v>
      </c>
      <c r="G345" s="12" t="s">
        <v>67</v>
      </c>
      <c r="H345" s="12" t="s">
        <v>66</v>
      </c>
      <c r="I345" s="12" t="s">
        <v>96</v>
      </c>
      <c r="J345" s="34" t="s">
        <v>68</v>
      </c>
      <c r="K345" s="12"/>
      <c r="L345" s="13" t="s">
        <v>2474</v>
      </c>
      <c r="M345" s="213" t="s">
        <v>68</v>
      </c>
      <c r="N345" s="182"/>
      <c r="O345" s="12" t="s">
        <v>2475</v>
      </c>
      <c r="P345" s="12" t="s">
        <v>170</v>
      </c>
      <c r="Q345" s="12" t="s">
        <v>462</v>
      </c>
      <c r="R345" s="12">
        <v>552026</v>
      </c>
      <c r="S345" s="12" t="s">
        <v>463</v>
      </c>
      <c r="T345" s="206">
        <v>550</v>
      </c>
      <c r="U345" s="206">
        <v>1320</v>
      </c>
      <c r="V345" s="12">
        <v>0.72599999999999998</v>
      </c>
      <c r="W345" s="198">
        <v>40</v>
      </c>
      <c r="X345" s="254">
        <v>2</v>
      </c>
      <c r="Y345" s="12" t="s">
        <v>75</v>
      </c>
      <c r="Z345" s="12"/>
      <c r="AA345" s="12" t="s">
        <v>108</v>
      </c>
      <c r="AB345" s="13" t="s">
        <v>1187</v>
      </c>
      <c r="AC345" s="14">
        <v>45989</v>
      </c>
      <c r="AD345" s="15">
        <v>48</v>
      </c>
      <c r="AE345" s="55" t="s">
        <v>3905</v>
      </c>
      <c r="AF345" s="12">
        <v>371009198</v>
      </c>
      <c r="AG345" s="12" t="s">
        <v>122</v>
      </c>
      <c r="AH345" s="12" t="s">
        <v>105</v>
      </c>
      <c r="AI345" s="14">
        <v>45997</v>
      </c>
      <c r="AJ345" s="14">
        <v>45997</v>
      </c>
      <c r="AK345" s="14">
        <v>46011</v>
      </c>
      <c r="AL345" s="14">
        <v>46038</v>
      </c>
      <c r="AM345" s="14">
        <v>46042</v>
      </c>
      <c r="AN345" s="14">
        <v>46047</v>
      </c>
      <c r="AO345" s="91" t="s">
        <v>66</v>
      </c>
      <c r="AP345" s="12" t="s">
        <v>3906</v>
      </c>
      <c r="AQ345" s="12"/>
      <c r="AR345" s="12" t="s">
        <v>3907</v>
      </c>
      <c r="AS345" s="12" t="s">
        <v>3908</v>
      </c>
      <c r="AT345" s="12" t="s">
        <v>3908</v>
      </c>
      <c r="AU345" s="12">
        <v>45</v>
      </c>
      <c r="AV345" s="12"/>
      <c r="AW345" s="12">
        <v>5</v>
      </c>
      <c r="AX345" s="12">
        <v>58</v>
      </c>
      <c r="AY345" s="14">
        <v>46011</v>
      </c>
      <c r="AZ345" s="14">
        <v>46047</v>
      </c>
      <c r="BA345" s="12" t="e">
        <v>#N/A</v>
      </c>
      <c r="BB345" s="14" t="s">
        <v>2480</v>
      </c>
      <c r="BC345" s="14">
        <v>46061</v>
      </c>
      <c r="BD345" s="16">
        <v>2026</v>
      </c>
      <c r="BE345" s="16">
        <v>2</v>
      </c>
      <c r="BF345" s="16">
        <v>6</v>
      </c>
      <c r="BG345" s="191">
        <v>33</v>
      </c>
      <c r="BH345" s="191">
        <v>660</v>
      </c>
    </row>
    <row r="346" spans="1:60" s="23" customFormat="1" ht="10">
      <c r="A346" s="11" t="s">
        <v>3909</v>
      </c>
      <c r="B346" s="12" t="s">
        <v>111</v>
      </c>
      <c r="C346" s="12" t="s">
        <v>545</v>
      </c>
      <c r="D346" s="12" t="s">
        <v>63</v>
      </c>
      <c r="E346" s="12" t="s">
        <v>64</v>
      </c>
      <c r="F346" s="12" t="s">
        <v>100</v>
      </c>
      <c r="G346" s="12" t="s">
        <v>67</v>
      </c>
      <c r="H346" s="12" t="s">
        <v>66</v>
      </c>
      <c r="I346" s="12" t="s">
        <v>96</v>
      </c>
      <c r="J346" s="34" t="s">
        <v>68</v>
      </c>
      <c r="K346" s="12"/>
      <c r="L346" s="13" t="s">
        <v>2474</v>
      </c>
      <c r="M346" s="213" t="s">
        <v>68</v>
      </c>
      <c r="N346" s="182"/>
      <c r="O346" s="12" t="s">
        <v>2475</v>
      </c>
      <c r="P346" s="12" t="s">
        <v>473</v>
      </c>
      <c r="Q346" s="12" t="s">
        <v>529</v>
      </c>
      <c r="R346" s="12">
        <v>553145</v>
      </c>
      <c r="S346" s="12" t="s">
        <v>530</v>
      </c>
      <c r="T346" s="206">
        <v>455</v>
      </c>
      <c r="U346" s="206">
        <v>1728</v>
      </c>
      <c r="V346" s="12">
        <v>0.78624000000000005</v>
      </c>
      <c r="W346" s="198">
        <v>48</v>
      </c>
      <c r="X346" s="254">
        <v>2</v>
      </c>
      <c r="Y346" s="12" t="s">
        <v>75</v>
      </c>
      <c r="Z346" s="12"/>
      <c r="AA346" s="12" t="s">
        <v>85</v>
      </c>
      <c r="AB346" s="13" t="s">
        <v>967</v>
      </c>
      <c r="AC346" s="14">
        <v>45989</v>
      </c>
      <c r="AD346" s="15">
        <v>48</v>
      </c>
      <c r="AE346" s="55" t="s">
        <v>3910</v>
      </c>
      <c r="AF346" s="12">
        <v>371009211</v>
      </c>
      <c r="AG346" s="12" t="s">
        <v>122</v>
      </c>
      <c r="AH346" s="12" t="s">
        <v>105</v>
      </c>
      <c r="AI346" s="14">
        <v>45997</v>
      </c>
      <c r="AJ346" s="14">
        <v>45997</v>
      </c>
      <c r="AK346" s="14">
        <v>46011</v>
      </c>
      <c r="AL346" s="14">
        <v>46038</v>
      </c>
      <c r="AM346" s="14">
        <v>46042</v>
      </c>
      <c r="AN346" s="14">
        <v>46047</v>
      </c>
      <c r="AO346" s="91" t="s">
        <v>66</v>
      </c>
      <c r="AP346" s="12" t="s">
        <v>3906</v>
      </c>
      <c r="AQ346" s="12"/>
      <c r="AR346" s="12" t="s">
        <v>3907</v>
      </c>
      <c r="AS346" s="12" t="s">
        <v>3908</v>
      </c>
      <c r="AT346" s="12" t="s">
        <v>3908</v>
      </c>
      <c r="AU346" s="12">
        <v>45</v>
      </c>
      <c r="AV346" s="12"/>
      <c r="AW346" s="12">
        <v>13</v>
      </c>
      <c r="AX346" s="12">
        <v>58</v>
      </c>
      <c r="AY346" s="14">
        <v>46011</v>
      </c>
      <c r="AZ346" s="14">
        <v>46047</v>
      </c>
      <c r="BA346" s="12" t="e">
        <v>#N/A</v>
      </c>
      <c r="BB346" s="14" t="s">
        <v>2480</v>
      </c>
      <c r="BC346" s="14">
        <v>46061</v>
      </c>
      <c r="BD346" s="16">
        <v>2026</v>
      </c>
      <c r="BE346" s="16">
        <v>2</v>
      </c>
      <c r="BF346" s="16">
        <v>6</v>
      </c>
      <c r="BG346" s="191">
        <v>36</v>
      </c>
      <c r="BH346" s="191">
        <v>864</v>
      </c>
    </row>
    <row r="347" spans="1:60" s="23" customFormat="1" ht="10">
      <c r="A347" s="11" t="s">
        <v>3911</v>
      </c>
      <c r="B347" s="12" t="s">
        <v>111</v>
      </c>
      <c r="C347" s="12" t="s">
        <v>3834</v>
      </c>
      <c r="D347" s="12" t="s">
        <v>63</v>
      </c>
      <c r="E347" s="12" t="s">
        <v>64</v>
      </c>
      <c r="F347" s="12" t="s">
        <v>100</v>
      </c>
      <c r="G347" s="12" t="s">
        <v>67</v>
      </c>
      <c r="H347" s="12" t="s">
        <v>66</v>
      </c>
      <c r="I347" s="12" t="s">
        <v>96</v>
      </c>
      <c r="J347" s="34" t="s">
        <v>68</v>
      </c>
      <c r="K347" s="12"/>
      <c r="L347" s="13" t="s">
        <v>2474</v>
      </c>
      <c r="M347" s="213" t="s">
        <v>68</v>
      </c>
      <c r="N347" s="182"/>
      <c r="O347" s="12" t="s">
        <v>2475</v>
      </c>
      <c r="P347" s="12" t="s">
        <v>170</v>
      </c>
      <c r="Q347" s="12" t="s">
        <v>171</v>
      </c>
      <c r="R347" s="12">
        <v>552045</v>
      </c>
      <c r="S347" s="12" t="s">
        <v>172</v>
      </c>
      <c r="T347" s="206">
        <v>555</v>
      </c>
      <c r="U347" s="206">
        <v>2640</v>
      </c>
      <c r="V347" s="12">
        <v>1.4652000000000001</v>
      </c>
      <c r="W347" s="198">
        <v>80</v>
      </c>
      <c r="X347" s="254">
        <v>4</v>
      </c>
      <c r="Y347" s="12" t="s">
        <v>75</v>
      </c>
      <c r="Z347" s="12"/>
      <c r="AA347" s="12" t="s">
        <v>108</v>
      </c>
      <c r="AB347" s="13" t="s">
        <v>992</v>
      </c>
      <c r="AC347" s="14">
        <v>45989</v>
      </c>
      <c r="AD347" s="15">
        <v>48</v>
      </c>
      <c r="AE347" s="55" t="s">
        <v>3912</v>
      </c>
      <c r="AF347" s="12">
        <v>371009200</v>
      </c>
      <c r="AG347" s="12" t="s">
        <v>122</v>
      </c>
      <c r="AH347" s="12" t="s">
        <v>105</v>
      </c>
      <c r="AI347" s="14">
        <v>45997</v>
      </c>
      <c r="AJ347" s="14">
        <v>45997</v>
      </c>
      <c r="AK347" s="14">
        <v>46011</v>
      </c>
      <c r="AL347" s="14">
        <v>46038</v>
      </c>
      <c r="AM347" s="14">
        <v>46042</v>
      </c>
      <c r="AN347" s="14">
        <v>46047</v>
      </c>
      <c r="AO347" s="91" t="s">
        <v>66</v>
      </c>
      <c r="AP347" s="12" t="s">
        <v>3906</v>
      </c>
      <c r="AQ347" s="12"/>
      <c r="AR347" s="12" t="s">
        <v>3907</v>
      </c>
      <c r="AS347" s="12" t="s">
        <v>3908</v>
      </c>
      <c r="AT347" s="12" t="s">
        <v>3908</v>
      </c>
      <c r="AU347" s="12">
        <v>45</v>
      </c>
      <c r="AV347" s="12"/>
      <c r="AW347" s="12">
        <v>6</v>
      </c>
      <c r="AX347" s="12">
        <v>58</v>
      </c>
      <c r="AY347" s="14">
        <v>46011</v>
      </c>
      <c r="AZ347" s="14">
        <v>46047</v>
      </c>
      <c r="BA347" s="12" t="e">
        <v>#N/A</v>
      </c>
      <c r="BB347" s="14" t="s">
        <v>2480</v>
      </c>
      <c r="BC347" s="14">
        <v>46061</v>
      </c>
      <c r="BD347" s="16">
        <v>2026</v>
      </c>
      <c r="BE347" s="16">
        <v>2</v>
      </c>
      <c r="BF347" s="16">
        <v>6</v>
      </c>
      <c r="BG347" s="191">
        <v>33</v>
      </c>
      <c r="BH347" s="191">
        <v>660</v>
      </c>
    </row>
    <row r="348" spans="1:60" s="23" customFormat="1" ht="10">
      <c r="A348" s="11" t="s">
        <v>3913</v>
      </c>
      <c r="B348" s="12" t="s">
        <v>111</v>
      </c>
      <c r="C348" s="12" t="s">
        <v>187</v>
      </c>
      <c r="D348" s="12" t="s">
        <v>63</v>
      </c>
      <c r="E348" s="12" t="s">
        <v>64</v>
      </c>
      <c r="F348" s="12" t="s">
        <v>310</v>
      </c>
      <c r="G348" s="12" t="s">
        <v>311</v>
      </c>
      <c r="H348" s="12" t="s">
        <v>66</v>
      </c>
      <c r="I348" s="12" t="s">
        <v>1559</v>
      </c>
      <c r="J348" s="34" t="s">
        <v>68</v>
      </c>
      <c r="K348" s="12"/>
      <c r="L348" s="13" t="s">
        <v>2497</v>
      </c>
      <c r="M348" s="213" t="s">
        <v>68</v>
      </c>
      <c r="N348" s="182"/>
      <c r="O348" s="12" t="s">
        <v>2475</v>
      </c>
      <c r="P348" s="12" t="s">
        <v>132</v>
      </c>
      <c r="Q348" s="12" t="s">
        <v>189</v>
      </c>
      <c r="R348" s="12">
        <v>555536</v>
      </c>
      <c r="S348" s="12" t="s">
        <v>190</v>
      </c>
      <c r="T348" s="206">
        <v>465</v>
      </c>
      <c r="U348" s="206">
        <v>2592</v>
      </c>
      <c r="V348" s="12">
        <v>1.2052799999999999</v>
      </c>
      <c r="W348" s="198">
        <v>72</v>
      </c>
      <c r="X348" s="254">
        <v>3</v>
      </c>
      <c r="Y348" s="12" t="s">
        <v>75</v>
      </c>
      <c r="Z348" s="12"/>
      <c r="AA348" s="12" t="s">
        <v>108</v>
      </c>
      <c r="AB348" s="32" t="s">
        <v>967</v>
      </c>
      <c r="AC348" s="14">
        <v>45989</v>
      </c>
      <c r="AD348" s="15">
        <v>48</v>
      </c>
      <c r="AE348" s="176" t="s">
        <v>3914</v>
      </c>
      <c r="AF348" s="12">
        <v>371009253</v>
      </c>
      <c r="AG348" s="12" t="s">
        <v>122</v>
      </c>
      <c r="AH348" s="12" t="s">
        <v>1561</v>
      </c>
      <c r="AI348" s="14">
        <v>45997</v>
      </c>
      <c r="AJ348" s="14">
        <v>45997</v>
      </c>
      <c r="AK348" s="14">
        <v>46000</v>
      </c>
      <c r="AL348" s="14">
        <v>46043</v>
      </c>
      <c r="AM348" s="14">
        <v>46066</v>
      </c>
      <c r="AN348" s="14">
        <v>46067</v>
      </c>
      <c r="AO348" s="91" t="s">
        <v>66</v>
      </c>
      <c r="AP348" s="12" t="s">
        <v>3915</v>
      </c>
      <c r="AQ348" s="12"/>
      <c r="AR348" s="12" t="s">
        <v>3916</v>
      </c>
      <c r="AS348" s="12" t="s">
        <v>3917</v>
      </c>
      <c r="AT348" s="12" t="s">
        <v>3917</v>
      </c>
      <c r="AU348" s="12">
        <v>46</v>
      </c>
      <c r="AV348" s="12" t="s">
        <v>83</v>
      </c>
      <c r="AW348" s="12">
        <v>1</v>
      </c>
      <c r="AX348" s="12">
        <v>78</v>
      </c>
      <c r="AY348" s="14">
        <v>46000</v>
      </c>
      <c r="AZ348" s="14">
        <v>46067</v>
      </c>
      <c r="BA348" s="12" t="e">
        <v>#N/A</v>
      </c>
      <c r="BB348" s="14" t="s">
        <v>2480</v>
      </c>
      <c r="BC348" s="14">
        <v>46081</v>
      </c>
      <c r="BD348" s="16">
        <v>2026</v>
      </c>
      <c r="BE348" s="16">
        <v>2</v>
      </c>
      <c r="BF348" s="16">
        <v>9</v>
      </c>
      <c r="BG348" s="191">
        <v>36</v>
      </c>
      <c r="BH348" s="191">
        <v>864</v>
      </c>
    </row>
    <row r="349" spans="1:60" s="23" customFormat="1" ht="10">
      <c r="A349" s="11" t="s">
        <v>3918</v>
      </c>
      <c r="B349" s="12" t="s">
        <v>111</v>
      </c>
      <c r="C349" s="12" t="s">
        <v>203</v>
      </c>
      <c r="D349" s="12" t="s">
        <v>63</v>
      </c>
      <c r="E349" s="12" t="s">
        <v>64</v>
      </c>
      <c r="F349" s="12" t="s">
        <v>65</v>
      </c>
      <c r="G349" s="12" t="s">
        <v>67</v>
      </c>
      <c r="H349" s="12" t="s">
        <v>66</v>
      </c>
      <c r="I349" s="12" t="s">
        <v>96</v>
      </c>
      <c r="J349" s="34" t="s">
        <v>68</v>
      </c>
      <c r="K349" s="12"/>
      <c r="L349" s="13" t="s">
        <v>2474</v>
      </c>
      <c r="M349" s="213" t="s">
        <v>68</v>
      </c>
      <c r="N349" s="182"/>
      <c r="O349" s="12" t="s">
        <v>2475</v>
      </c>
      <c r="P349" s="12" t="s">
        <v>473</v>
      </c>
      <c r="Q349" s="12" t="s">
        <v>763</v>
      </c>
      <c r="R349" s="12">
        <v>553146</v>
      </c>
      <c r="S349" s="12" t="s">
        <v>764</v>
      </c>
      <c r="T349" s="206">
        <v>450</v>
      </c>
      <c r="U349" s="206">
        <v>1728</v>
      </c>
      <c r="V349" s="12">
        <v>0.77759999999999996</v>
      </c>
      <c r="W349" s="198">
        <v>48</v>
      </c>
      <c r="X349" s="254">
        <v>2</v>
      </c>
      <c r="Y349" s="12" t="s">
        <v>75</v>
      </c>
      <c r="Z349" s="12"/>
      <c r="AA349" s="12" t="s">
        <v>85</v>
      </c>
      <c r="AB349" s="13" t="s">
        <v>967</v>
      </c>
      <c r="AC349" s="14">
        <v>45988</v>
      </c>
      <c r="AD349" s="15">
        <v>48</v>
      </c>
      <c r="AE349" s="55" t="s">
        <v>3919</v>
      </c>
      <c r="AF349" s="12">
        <v>371009210</v>
      </c>
      <c r="AG349" s="12" t="s">
        <v>122</v>
      </c>
      <c r="AH349" s="12" t="s">
        <v>78</v>
      </c>
      <c r="AI349" s="14">
        <v>45996</v>
      </c>
      <c r="AJ349" s="14">
        <v>45996</v>
      </c>
      <c r="AK349" s="14">
        <v>45998</v>
      </c>
      <c r="AL349" s="14">
        <v>46048</v>
      </c>
      <c r="AM349" s="14">
        <v>46061</v>
      </c>
      <c r="AN349" s="14">
        <v>46062</v>
      </c>
      <c r="AO349" s="91" t="s">
        <v>66</v>
      </c>
      <c r="AP349" s="12" t="s">
        <v>3870</v>
      </c>
      <c r="AQ349" s="12"/>
      <c r="AR349" s="12" t="s">
        <v>3920</v>
      </c>
      <c r="AS349" s="12" t="s">
        <v>3921</v>
      </c>
      <c r="AT349" s="12" t="s">
        <v>3921</v>
      </c>
      <c r="AU349" s="12">
        <v>52</v>
      </c>
      <c r="AV349" s="12"/>
      <c r="AW349" s="12">
        <v>39</v>
      </c>
      <c r="AX349" s="12">
        <v>74</v>
      </c>
      <c r="AY349" s="14">
        <v>45998</v>
      </c>
      <c r="AZ349" s="14">
        <v>46062</v>
      </c>
      <c r="BA349" s="12" t="e">
        <v>#N/A</v>
      </c>
      <c r="BB349" s="14" t="s">
        <v>2480</v>
      </c>
      <c r="BC349" s="14">
        <v>46076</v>
      </c>
      <c r="BD349" s="16">
        <v>2026</v>
      </c>
      <c r="BE349" s="16">
        <v>2</v>
      </c>
      <c r="BF349" s="16">
        <v>9</v>
      </c>
      <c r="BG349" s="191">
        <v>36</v>
      </c>
      <c r="BH349" s="191">
        <v>864</v>
      </c>
    </row>
    <row r="350" spans="1:60" s="224" customFormat="1" ht="10">
      <c r="A350" s="172" t="s">
        <v>3922</v>
      </c>
      <c r="B350" s="41" t="s">
        <v>111</v>
      </c>
      <c r="C350" s="41" t="s">
        <v>3923</v>
      </c>
      <c r="D350" s="41" t="s">
        <v>113</v>
      </c>
      <c r="E350" s="41" t="s">
        <v>64</v>
      </c>
      <c r="F350" s="41" t="s">
        <v>65</v>
      </c>
      <c r="G350" s="41" t="s">
        <v>67</v>
      </c>
      <c r="H350" s="41" t="s">
        <v>66</v>
      </c>
      <c r="I350" s="41" t="s">
        <v>3924</v>
      </c>
      <c r="J350" s="173" t="s">
        <v>68</v>
      </c>
      <c r="K350" s="12" t="s">
        <v>3925</v>
      </c>
      <c r="L350" s="13" t="s">
        <v>113</v>
      </c>
      <c r="M350" s="213" t="s">
        <v>68</v>
      </c>
      <c r="N350" s="182">
        <v>46045</v>
      </c>
      <c r="O350" s="12" t="s">
        <v>2475</v>
      </c>
      <c r="P350" s="41" t="s">
        <v>713</v>
      </c>
      <c r="Q350" s="41" t="s">
        <v>1185</v>
      </c>
      <c r="R350" s="12">
        <v>553179</v>
      </c>
      <c r="S350" s="41" t="s">
        <v>3926</v>
      </c>
      <c r="T350" s="208">
        <v>615</v>
      </c>
      <c r="U350" s="208">
        <v>4320</v>
      </c>
      <c r="V350" s="41">
        <v>2.6568000000000001</v>
      </c>
      <c r="W350" s="201">
        <v>120</v>
      </c>
      <c r="X350" s="255">
        <v>6</v>
      </c>
      <c r="Y350" s="41" t="s">
        <v>75</v>
      </c>
      <c r="Z350" s="41"/>
      <c r="AA350" s="12" t="s">
        <v>108</v>
      </c>
      <c r="AB350" s="13" t="s">
        <v>1187</v>
      </c>
      <c r="AC350" s="37">
        <v>45987</v>
      </c>
      <c r="AD350" s="15">
        <v>48</v>
      </c>
      <c r="AE350" s="287" t="s">
        <v>3927</v>
      </c>
      <c r="AF350" s="12">
        <v>371009217</v>
      </c>
      <c r="AG350" s="41" t="s">
        <v>122</v>
      </c>
      <c r="AH350" s="41" t="s">
        <v>78</v>
      </c>
      <c r="AI350" s="37">
        <v>45993</v>
      </c>
      <c r="AJ350" s="14">
        <v>45993</v>
      </c>
      <c r="AK350" s="14">
        <v>45995</v>
      </c>
      <c r="AL350" s="37">
        <v>46042</v>
      </c>
      <c r="AM350" s="37">
        <v>46048</v>
      </c>
      <c r="AN350" s="37">
        <v>46049</v>
      </c>
      <c r="AO350" s="86" t="s">
        <v>66</v>
      </c>
      <c r="AP350" s="12" t="s">
        <v>3928</v>
      </c>
      <c r="AQ350" s="41"/>
      <c r="AR350" s="41" t="s">
        <v>3929</v>
      </c>
      <c r="AS350" s="41" t="s">
        <v>3930</v>
      </c>
      <c r="AT350" s="41" t="s">
        <v>3930</v>
      </c>
      <c r="AU350" s="41">
        <v>49</v>
      </c>
      <c r="AV350" s="41" t="s">
        <v>83</v>
      </c>
      <c r="AW350" s="12">
        <v>2</v>
      </c>
      <c r="AX350" s="41">
        <v>62</v>
      </c>
      <c r="AY350" s="37">
        <v>45995</v>
      </c>
      <c r="AZ350" s="37">
        <v>46049</v>
      </c>
      <c r="BA350" s="41" t="e">
        <v>#N/A</v>
      </c>
      <c r="BB350" s="37" t="s">
        <v>2480</v>
      </c>
      <c r="BC350" s="37">
        <v>46063</v>
      </c>
      <c r="BD350" s="219">
        <v>2026</v>
      </c>
      <c r="BE350" s="219">
        <v>2</v>
      </c>
      <c r="BF350" s="219">
        <v>7</v>
      </c>
      <c r="BG350" s="219">
        <v>36</v>
      </c>
      <c r="BH350" s="219">
        <v>720</v>
      </c>
    </row>
    <row r="351" spans="1:60" s="224" customFormat="1" ht="10">
      <c r="A351" s="172" t="s">
        <v>3931</v>
      </c>
      <c r="B351" s="41" t="s">
        <v>111</v>
      </c>
      <c r="C351" s="41" t="s">
        <v>3923</v>
      </c>
      <c r="D351" s="41" t="s">
        <v>113</v>
      </c>
      <c r="E351" s="41" t="s">
        <v>64</v>
      </c>
      <c r="F351" s="41" t="s">
        <v>65</v>
      </c>
      <c r="G351" s="41" t="s">
        <v>67</v>
      </c>
      <c r="H351" s="41" t="s">
        <v>66</v>
      </c>
      <c r="I351" s="41" t="s">
        <v>3932</v>
      </c>
      <c r="J351" s="173" t="s">
        <v>68</v>
      </c>
      <c r="K351" s="12" t="s">
        <v>3933</v>
      </c>
      <c r="L351" s="13" t="s">
        <v>113</v>
      </c>
      <c r="M351" s="213" t="s">
        <v>68</v>
      </c>
      <c r="N351" s="182">
        <v>46045</v>
      </c>
      <c r="O351" s="12" t="s">
        <v>2475</v>
      </c>
      <c r="P351" s="41" t="s">
        <v>713</v>
      </c>
      <c r="Q351" s="41" t="s">
        <v>1185</v>
      </c>
      <c r="R351" s="12">
        <v>553179</v>
      </c>
      <c r="S351" s="41" t="s">
        <v>3926</v>
      </c>
      <c r="T351" s="208">
        <v>615</v>
      </c>
      <c r="U351" s="208">
        <v>6480</v>
      </c>
      <c r="V351" s="41">
        <v>3.9851999999999999</v>
      </c>
      <c r="W351" s="201">
        <v>180</v>
      </c>
      <c r="X351" s="255">
        <v>9</v>
      </c>
      <c r="Y351" s="41" t="s">
        <v>75</v>
      </c>
      <c r="Z351" s="41"/>
      <c r="AA351" s="12" t="s">
        <v>108</v>
      </c>
      <c r="AB351" s="13" t="s">
        <v>1187</v>
      </c>
      <c r="AC351" s="37">
        <v>45988</v>
      </c>
      <c r="AD351" s="15">
        <v>48</v>
      </c>
      <c r="AE351" s="287" t="s">
        <v>3934</v>
      </c>
      <c r="AF351" s="12">
        <v>371009218</v>
      </c>
      <c r="AG351" s="41" t="s">
        <v>122</v>
      </c>
      <c r="AH351" s="41" t="s">
        <v>78</v>
      </c>
      <c r="AI351" s="37">
        <v>45996</v>
      </c>
      <c r="AJ351" s="14">
        <v>45996</v>
      </c>
      <c r="AK351" s="14">
        <v>45998</v>
      </c>
      <c r="AL351" s="37">
        <v>46048</v>
      </c>
      <c r="AM351" s="37">
        <v>46061</v>
      </c>
      <c r="AN351" s="37">
        <v>46062</v>
      </c>
      <c r="AO351" s="86" t="s">
        <v>66</v>
      </c>
      <c r="AP351" s="12" t="s">
        <v>3870</v>
      </c>
      <c r="AQ351" s="41"/>
      <c r="AR351" s="41" t="s">
        <v>3935</v>
      </c>
      <c r="AS351" s="41" t="s">
        <v>3936</v>
      </c>
      <c r="AT351" s="41" t="s">
        <v>3936</v>
      </c>
      <c r="AU351" s="41">
        <v>52</v>
      </c>
      <c r="AV351" s="41"/>
      <c r="AW351" s="12">
        <v>2</v>
      </c>
      <c r="AX351" s="41">
        <v>74</v>
      </c>
      <c r="AY351" s="37">
        <v>45998</v>
      </c>
      <c r="AZ351" s="37">
        <v>46062</v>
      </c>
      <c r="BA351" s="41" t="e">
        <v>#N/A</v>
      </c>
      <c r="BB351" s="37" t="s">
        <v>2480</v>
      </c>
      <c r="BC351" s="37">
        <v>46076</v>
      </c>
      <c r="BD351" s="219">
        <v>2026</v>
      </c>
      <c r="BE351" s="219">
        <v>2</v>
      </c>
      <c r="BF351" s="219">
        <v>9</v>
      </c>
      <c r="BG351" s="219">
        <v>36</v>
      </c>
      <c r="BH351" s="219">
        <v>720</v>
      </c>
    </row>
    <row r="352" spans="1:60" s="175" customFormat="1" ht="10">
      <c r="A352" s="172" t="s">
        <v>3937</v>
      </c>
      <c r="B352" s="41" t="s">
        <v>111</v>
      </c>
      <c r="C352" s="41" t="s">
        <v>3834</v>
      </c>
      <c r="D352" s="41" t="s">
        <v>63</v>
      </c>
      <c r="E352" s="41" t="s">
        <v>64</v>
      </c>
      <c r="F352" s="41" t="s">
        <v>310</v>
      </c>
      <c r="G352" s="41" t="s">
        <v>311</v>
      </c>
      <c r="H352" s="41" t="s">
        <v>66</v>
      </c>
      <c r="I352" s="41" t="s">
        <v>1342</v>
      </c>
      <c r="J352" s="173" t="s">
        <v>68</v>
      </c>
      <c r="K352" s="12"/>
      <c r="L352" s="13" t="s">
        <v>2497</v>
      </c>
      <c r="M352" s="213" t="s">
        <v>68</v>
      </c>
      <c r="N352" s="182"/>
      <c r="O352" s="12" t="s">
        <v>2475</v>
      </c>
      <c r="P352" s="41" t="s">
        <v>170</v>
      </c>
      <c r="Q352" s="41" t="s">
        <v>171</v>
      </c>
      <c r="R352" s="41">
        <v>552045</v>
      </c>
      <c r="S352" s="41" t="s">
        <v>172</v>
      </c>
      <c r="T352" s="208">
        <v>555</v>
      </c>
      <c r="U352" s="208">
        <v>1320</v>
      </c>
      <c r="V352" s="41">
        <v>0.73260000000000003</v>
      </c>
      <c r="W352" s="201">
        <v>40</v>
      </c>
      <c r="X352" s="255">
        <v>2</v>
      </c>
      <c r="Y352" s="41" t="s">
        <v>75</v>
      </c>
      <c r="Z352" s="41"/>
      <c r="AA352" s="12" t="s">
        <v>108</v>
      </c>
      <c r="AB352" s="173" t="s">
        <v>992</v>
      </c>
      <c r="AC352" s="37">
        <v>45988</v>
      </c>
      <c r="AD352" s="15">
        <v>48</v>
      </c>
      <c r="AE352" s="239" t="s">
        <v>3938</v>
      </c>
      <c r="AF352" s="12">
        <v>371009201</v>
      </c>
      <c r="AG352" s="41" t="s">
        <v>122</v>
      </c>
      <c r="AH352" s="41" t="s">
        <v>314</v>
      </c>
      <c r="AI352" s="37">
        <v>45996</v>
      </c>
      <c r="AJ352" s="14">
        <v>45996</v>
      </c>
      <c r="AK352" s="14">
        <v>45998</v>
      </c>
      <c r="AL352" s="37">
        <v>46044</v>
      </c>
      <c r="AM352" s="37">
        <v>46057</v>
      </c>
      <c r="AN352" s="37">
        <v>46058</v>
      </c>
      <c r="AO352" s="86" t="s">
        <v>66</v>
      </c>
      <c r="AP352" s="12" t="s">
        <v>3870</v>
      </c>
      <c r="AQ352" s="41"/>
      <c r="AR352" s="41" t="s">
        <v>3939</v>
      </c>
      <c r="AS352" s="41" t="s">
        <v>3940</v>
      </c>
      <c r="AT352" s="41" t="s">
        <v>3940</v>
      </c>
      <c r="AU352" s="41">
        <v>48</v>
      </c>
      <c r="AV352" s="41"/>
      <c r="AW352" s="12">
        <v>6</v>
      </c>
      <c r="AX352" s="41">
        <v>70</v>
      </c>
      <c r="AY352" s="37">
        <v>45998</v>
      </c>
      <c r="AZ352" s="37">
        <v>46058</v>
      </c>
      <c r="BA352" s="41" t="e">
        <v>#N/A</v>
      </c>
      <c r="BB352" s="37" t="s">
        <v>2480</v>
      </c>
      <c r="BC352" s="37">
        <v>46072</v>
      </c>
      <c r="BD352" s="219">
        <v>2026</v>
      </c>
      <c r="BE352" s="219">
        <v>2</v>
      </c>
      <c r="BF352" s="219">
        <v>8</v>
      </c>
      <c r="BG352" s="219">
        <v>33</v>
      </c>
      <c r="BH352" s="219">
        <v>660</v>
      </c>
    </row>
    <row r="353" spans="1:60" s="175" customFormat="1" ht="10">
      <c r="A353" s="172" t="s">
        <v>3941</v>
      </c>
      <c r="B353" s="41" t="s">
        <v>111</v>
      </c>
      <c r="C353" s="41" t="s">
        <v>3716</v>
      </c>
      <c r="D353" s="41" t="s">
        <v>63</v>
      </c>
      <c r="E353" s="41" t="s">
        <v>64</v>
      </c>
      <c r="F353" s="41" t="s">
        <v>310</v>
      </c>
      <c r="G353" s="41" t="s">
        <v>311</v>
      </c>
      <c r="H353" s="41" t="s">
        <v>66</v>
      </c>
      <c r="I353" s="41" t="s">
        <v>1342</v>
      </c>
      <c r="J353" s="173" t="s">
        <v>68</v>
      </c>
      <c r="K353" s="12"/>
      <c r="L353" s="13" t="s">
        <v>2497</v>
      </c>
      <c r="M353" s="213" t="s">
        <v>68</v>
      </c>
      <c r="N353" s="182"/>
      <c r="O353" s="12" t="s">
        <v>2475</v>
      </c>
      <c r="P353" s="41" t="s">
        <v>170</v>
      </c>
      <c r="Q353" s="41" t="s">
        <v>462</v>
      </c>
      <c r="R353" s="41">
        <v>552026</v>
      </c>
      <c r="S353" s="41" t="s">
        <v>463</v>
      </c>
      <c r="T353" s="208">
        <v>550</v>
      </c>
      <c r="U353" s="208">
        <v>1980</v>
      </c>
      <c r="V353" s="41">
        <v>1.089</v>
      </c>
      <c r="W353" s="201">
        <v>60</v>
      </c>
      <c r="X353" s="255">
        <v>3</v>
      </c>
      <c r="Y353" s="41" t="s">
        <v>75</v>
      </c>
      <c r="Z353" s="41"/>
      <c r="AA353" s="12" t="s">
        <v>108</v>
      </c>
      <c r="AB353" s="173" t="s">
        <v>1187</v>
      </c>
      <c r="AC353" s="37">
        <v>45988</v>
      </c>
      <c r="AD353" s="15">
        <v>48</v>
      </c>
      <c r="AE353" s="290" t="s">
        <v>3942</v>
      </c>
      <c r="AF353" s="12">
        <v>371009199</v>
      </c>
      <c r="AG353" s="41" t="s">
        <v>122</v>
      </c>
      <c r="AH353" s="41" t="s">
        <v>314</v>
      </c>
      <c r="AI353" s="37">
        <v>45996</v>
      </c>
      <c r="AJ353" s="14">
        <v>45996</v>
      </c>
      <c r="AK353" s="14">
        <v>45998</v>
      </c>
      <c r="AL353" s="37">
        <v>46044</v>
      </c>
      <c r="AM353" s="37">
        <v>46057</v>
      </c>
      <c r="AN353" s="37">
        <v>46058</v>
      </c>
      <c r="AO353" s="86" t="s">
        <v>66</v>
      </c>
      <c r="AP353" s="12" t="s">
        <v>3870</v>
      </c>
      <c r="AQ353" s="41"/>
      <c r="AR353" s="41" t="s">
        <v>3939</v>
      </c>
      <c r="AS353" s="41" t="s">
        <v>3940</v>
      </c>
      <c r="AT353" s="41" t="s">
        <v>3940</v>
      </c>
      <c r="AU353" s="41">
        <v>48</v>
      </c>
      <c r="AV353" s="41"/>
      <c r="AW353" s="12">
        <v>5</v>
      </c>
      <c r="AX353" s="41">
        <v>70</v>
      </c>
      <c r="AY353" s="37">
        <v>45998</v>
      </c>
      <c r="AZ353" s="37">
        <v>46058</v>
      </c>
      <c r="BA353" s="41" t="e">
        <v>#N/A</v>
      </c>
      <c r="BB353" s="37" t="s">
        <v>2480</v>
      </c>
      <c r="BC353" s="37">
        <v>46072</v>
      </c>
      <c r="BD353" s="219">
        <v>2026</v>
      </c>
      <c r="BE353" s="219">
        <v>2</v>
      </c>
      <c r="BF353" s="219">
        <v>8</v>
      </c>
      <c r="BG353" s="219">
        <v>33</v>
      </c>
      <c r="BH353" s="219">
        <v>660</v>
      </c>
    </row>
    <row r="354" spans="1:60" s="23" customFormat="1" ht="10">
      <c r="A354" s="11" t="s">
        <v>3943</v>
      </c>
      <c r="B354" s="12" t="s">
        <v>111</v>
      </c>
      <c r="C354" s="12" t="s">
        <v>3944</v>
      </c>
      <c r="D354" s="12" t="s">
        <v>63</v>
      </c>
      <c r="E354" s="12" t="s">
        <v>64</v>
      </c>
      <c r="F354" s="12" t="s">
        <v>310</v>
      </c>
      <c r="G354" s="12" t="s">
        <v>311</v>
      </c>
      <c r="H354" s="12" t="s">
        <v>66</v>
      </c>
      <c r="I354" s="12" t="s">
        <v>1342</v>
      </c>
      <c r="J354" s="34" t="s">
        <v>68</v>
      </c>
      <c r="K354" s="12"/>
      <c r="L354" s="13" t="s">
        <v>2497</v>
      </c>
      <c r="M354" s="213" t="s">
        <v>68</v>
      </c>
      <c r="N354" s="182"/>
      <c r="O354" s="12" t="s">
        <v>2475</v>
      </c>
      <c r="P354" s="12" t="s">
        <v>132</v>
      </c>
      <c r="Q354" s="12" t="s">
        <v>453</v>
      </c>
      <c r="R354" s="12">
        <v>554541</v>
      </c>
      <c r="S354" s="12" t="s">
        <v>454</v>
      </c>
      <c r="T354" s="206">
        <v>460</v>
      </c>
      <c r="U354" s="206">
        <v>2592</v>
      </c>
      <c r="V354" s="12">
        <v>1.19232</v>
      </c>
      <c r="W354" s="198">
        <v>72</v>
      </c>
      <c r="X354" s="254">
        <v>3</v>
      </c>
      <c r="Y354" s="12" t="s">
        <v>75</v>
      </c>
      <c r="Z354" s="12"/>
      <c r="AA354" s="12" t="s">
        <v>108</v>
      </c>
      <c r="AB354" s="32" t="s">
        <v>967</v>
      </c>
      <c r="AC354" s="14">
        <v>45990</v>
      </c>
      <c r="AD354" s="15">
        <v>48</v>
      </c>
      <c r="AE354" s="176" t="s">
        <v>3945</v>
      </c>
      <c r="AF354" s="12">
        <v>371009214</v>
      </c>
      <c r="AG354" s="12" t="s">
        <v>122</v>
      </c>
      <c r="AH354" s="12" t="s">
        <v>314</v>
      </c>
      <c r="AI354" s="14">
        <v>45996</v>
      </c>
      <c r="AJ354" s="14">
        <v>45996</v>
      </c>
      <c r="AK354" s="14">
        <v>45998</v>
      </c>
      <c r="AL354" s="14">
        <v>46044</v>
      </c>
      <c r="AM354" s="14">
        <v>46057</v>
      </c>
      <c r="AN354" s="14">
        <v>46058</v>
      </c>
      <c r="AO354" s="91" t="s">
        <v>66</v>
      </c>
      <c r="AP354" s="12" t="s">
        <v>3870</v>
      </c>
      <c r="AQ354" s="12"/>
      <c r="AR354" s="12" t="s">
        <v>3871</v>
      </c>
      <c r="AS354" s="12" t="s">
        <v>3872</v>
      </c>
      <c r="AT354" s="12" t="s">
        <v>3872</v>
      </c>
      <c r="AU354" s="12">
        <v>48</v>
      </c>
      <c r="AV354" s="12"/>
      <c r="AW354" s="12">
        <v>4</v>
      </c>
      <c r="AX354" s="12">
        <v>68</v>
      </c>
      <c r="AY354" s="14">
        <v>45998</v>
      </c>
      <c r="AZ354" s="14">
        <v>46058</v>
      </c>
      <c r="BA354" s="12" t="e">
        <v>#N/A</v>
      </c>
      <c r="BB354" s="14" t="s">
        <v>2480</v>
      </c>
      <c r="BC354" s="14">
        <v>46072</v>
      </c>
      <c r="BD354" s="16">
        <v>2026</v>
      </c>
      <c r="BE354" s="16">
        <v>2</v>
      </c>
      <c r="BF354" s="16">
        <v>8</v>
      </c>
      <c r="BG354" s="191">
        <v>36</v>
      </c>
      <c r="BH354" s="191">
        <v>864</v>
      </c>
    </row>
    <row r="355" spans="1:60" s="175" customFormat="1" ht="10">
      <c r="A355" s="172" t="s">
        <v>3946</v>
      </c>
      <c r="B355" s="41" t="s">
        <v>111</v>
      </c>
      <c r="C355" s="41" t="s">
        <v>3944</v>
      </c>
      <c r="D355" s="41" t="s">
        <v>63</v>
      </c>
      <c r="E355" s="41" t="s">
        <v>64</v>
      </c>
      <c r="F355" s="41" t="s">
        <v>310</v>
      </c>
      <c r="G355" s="41" t="s">
        <v>311</v>
      </c>
      <c r="H355" s="41" t="s">
        <v>66</v>
      </c>
      <c r="I355" s="41" t="s">
        <v>1559</v>
      </c>
      <c r="J355" s="173" t="s">
        <v>68</v>
      </c>
      <c r="K355" s="12"/>
      <c r="L355" s="13" t="s">
        <v>2497</v>
      </c>
      <c r="M355" s="213" t="s">
        <v>68</v>
      </c>
      <c r="N355" s="182"/>
      <c r="O355" s="12" t="s">
        <v>2475</v>
      </c>
      <c r="P355" s="41" t="s">
        <v>132</v>
      </c>
      <c r="Q355" s="41" t="s">
        <v>453</v>
      </c>
      <c r="R355" s="41">
        <v>554541</v>
      </c>
      <c r="S355" s="41" t="s">
        <v>454</v>
      </c>
      <c r="T355" s="208">
        <v>460</v>
      </c>
      <c r="U355" s="208">
        <v>1728</v>
      </c>
      <c r="V355" s="41">
        <v>0.79488000000000003</v>
      </c>
      <c r="W355" s="201">
        <v>48</v>
      </c>
      <c r="X355" s="255">
        <v>2</v>
      </c>
      <c r="Y355" s="12" t="s">
        <v>75</v>
      </c>
      <c r="Z355" s="41"/>
      <c r="AA355" s="12" t="s">
        <v>108</v>
      </c>
      <c r="AB355" s="175" t="s">
        <v>967</v>
      </c>
      <c r="AC355" s="37">
        <v>45991</v>
      </c>
      <c r="AD355" s="15">
        <v>48</v>
      </c>
      <c r="AE355" s="287" t="s">
        <v>3947</v>
      </c>
      <c r="AF355" s="12">
        <v>371009215</v>
      </c>
      <c r="AG355" s="41" t="s">
        <v>122</v>
      </c>
      <c r="AH355" s="41" t="s">
        <v>1561</v>
      </c>
      <c r="AI355" s="37">
        <v>45997</v>
      </c>
      <c r="AJ355" s="14">
        <v>45997</v>
      </c>
      <c r="AK355" s="14">
        <v>46000</v>
      </c>
      <c r="AL355" s="37">
        <v>46047</v>
      </c>
      <c r="AM355" s="37">
        <v>46066</v>
      </c>
      <c r="AN355" s="37">
        <v>46067</v>
      </c>
      <c r="AO355" s="86" t="s">
        <v>66</v>
      </c>
      <c r="AP355" s="12" t="s">
        <v>3915</v>
      </c>
      <c r="AQ355" s="41"/>
      <c r="AR355" s="41" t="s">
        <v>3948</v>
      </c>
      <c r="AS355" s="41" t="s">
        <v>3949</v>
      </c>
      <c r="AT355" s="41" t="s">
        <v>3949</v>
      </c>
      <c r="AU355" s="41">
        <v>50</v>
      </c>
      <c r="AV355" s="41" t="s">
        <v>83</v>
      </c>
      <c r="AW355" s="12">
        <v>4</v>
      </c>
      <c r="AX355" s="41">
        <v>76</v>
      </c>
      <c r="AY355" s="37">
        <v>46000</v>
      </c>
      <c r="AZ355" s="37">
        <v>46067</v>
      </c>
      <c r="BA355" s="41" t="e">
        <v>#N/A</v>
      </c>
      <c r="BB355" s="37" t="s">
        <v>2480</v>
      </c>
      <c r="BC355" s="37">
        <v>46081</v>
      </c>
      <c r="BD355" s="219">
        <v>2026</v>
      </c>
      <c r="BE355" s="219">
        <v>2</v>
      </c>
      <c r="BF355" s="219">
        <v>9</v>
      </c>
      <c r="BG355" s="219">
        <v>36</v>
      </c>
      <c r="BH355" s="219">
        <v>864</v>
      </c>
    </row>
    <row r="356" spans="1:60" s="224" customFormat="1" ht="10">
      <c r="A356" s="172" t="s">
        <v>3950</v>
      </c>
      <c r="B356" s="41" t="s">
        <v>111</v>
      </c>
      <c r="C356" s="41" t="s">
        <v>3951</v>
      </c>
      <c r="D356" s="41" t="s">
        <v>63</v>
      </c>
      <c r="E356" s="41" t="s">
        <v>64</v>
      </c>
      <c r="F356" s="41" t="s">
        <v>310</v>
      </c>
      <c r="G356" s="41" t="s">
        <v>311</v>
      </c>
      <c r="H356" s="41" t="s">
        <v>66</v>
      </c>
      <c r="I356" s="41" t="s">
        <v>1559</v>
      </c>
      <c r="J356" s="173" t="s">
        <v>68</v>
      </c>
      <c r="K356" s="12"/>
      <c r="L356" s="13" t="s">
        <v>2497</v>
      </c>
      <c r="M356" s="213" t="s">
        <v>68</v>
      </c>
      <c r="N356" s="182"/>
      <c r="O356" s="12" t="s">
        <v>2475</v>
      </c>
      <c r="P356" s="41" t="s">
        <v>132</v>
      </c>
      <c r="Q356" s="41" t="s">
        <v>3952</v>
      </c>
      <c r="R356" s="41">
        <v>554431</v>
      </c>
      <c r="S356" s="41" t="s">
        <v>1105</v>
      </c>
      <c r="T356" s="208">
        <v>455</v>
      </c>
      <c r="U356" s="208">
        <v>1728</v>
      </c>
      <c r="V356" s="41">
        <v>0.78624000000000005</v>
      </c>
      <c r="W356" s="201">
        <v>48</v>
      </c>
      <c r="X356" s="255">
        <v>2</v>
      </c>
      <c r="Y356" s="12" t="s">
        <v>75</v>
      </c>
      <c r="Z356" s="41"/>
      <c r="AA356" s="12" t="s">
        <v>108</v>
      </c>
      <c r="AB356" s="175" t="s">
        <v>967</v>
      </c>
      <c r="AC356" s="37">
        <v>45991</v>
      </c>
      <c r="AD356" s="15">
        <v>48</v>
      </c>
      <c r="AE356" s="287" t="s">
        <v>3953</v>
      </c>
      <c r="AF356" s="12">
        <v>371009206</v>
      </c>
      <c r="AG356" s="41" t="s">
        <v>122</v>
      </c>
      <c r="AH356" s="41" t="s">
        <v>1561</v>
      </c>
      <c r="AI356" s="37">
        <v>45997</v>
      </c>
      <c r="AJ356" s="14">
        <v>45997</v>
      </c>
      <c r="AK356" s="14">
        <v>46000</v>
      </c>
      <c r="AL356" s="37">
        <v>46046</v>
      </c>
      <c r="AM356" s="37">
        <v>46066</v>
      </c>
      <c r="AN356" s="37">
        <v>46067</v>
      </c>
      <c r="AO356" s="86" t="s">
        <v>66</v>
      </c>
      <c r="AP356" s="12" t="s">
        <v>3915</v>
      </c>
      <c r="AQ356" s="41"/>
      <c r="AR356" s="41" t="s">
        <v>3948</v>
      </c>
      <c r="AS356" s="41" t="s">
        <v>3949</v>
      </c>
      <c r="AT356" s="41" t="s">
        <v>3949</v>
      </c>
      <c r="AU356" s="41">
        <v>49</v>
      </c>
      <c r="AV356" s="41" t="s">
        <v>83</v>
      </c>
      <c r="AW356" s="12">
        <v>4</v>
      </c>
      <c r="AX356" s="41">
        <v>76</v>
      </c>
      <c r="AY356" s="37">
        <v>46000</v>
      </c>
      <c r="AZ356" s="37">
        <v>46067</v>
      </c>
      <c r="BA356" s="41" t="e">
        <v>#N/A</v>
      </c>
      <c r="BB356" s="37" t="s">
        <v>2480</v>
      </c>
      <c r="BC356" s="37">
        <v>46081</v>
      </c>
      <c r="BD356" s="219">
        <v>2026</v>
      </c>
      <c r="BE356" s="219">
        <v>2</v>
      </c>
      <c r="BF356" s="219">
        <v>9</v>
      </c>
      <c r="BG356" s="219">
        <v>36</v>
      </c>
      <c r="BH356" s="219">
        <v>864</v>
      </c>
    </row>
    <row r="357" spans="1:60" s="175" customFormat="1" ht="10">
      <c r="A357" s="172" t="s">
        <v>3954</v>
      </c>
      <c r="B357" s="41" t="s">
        <v>111</v>
      </c>
      <c r="C357" s="41" t="s">
        <v>3955</v>
      </c>
      <c r="D357" s="41" t="s">
        <v>63</v>
      </c>
      <c r="E357" s="41" t="s">
        <v>64</v>
      </c>
      <c r="F357" s="41" t="s">
        <v>310</v>
      </c>
      <c r="G357" s="41" t="s">
        <v>311</v>
      </c>
      <c r="H357" s="41" t="s">
        <v>66</v>
      </c>
      <c r="I357" s="41" t="s">
        <v>1559</v>
      </c>
      <c r="J357" s="173" t="s">
        <v>68</v>
      </c>
      <c r="K357" s="12"/>
      <c r="L357" s="13" t="s">
        <v>2497</v>
      </c>
      <c r="M357" s="213" t="s">
        <v>68</v>
      </c>
      <c r="N357" s="182"/>
      <c r="O357" s="12" t="s">
        <v>2475</v>
      </c>
      <c r="P357" s="41" t="s">
        <v>132</v>
      </c>
      <c r="Q357" s="41" t="s">
        <v>133</v>
      </c>
      <c r="R357" s="41">
        <v>554304</v>
      </c>
      <c r="S357" s="41" t="s">
        <v>134</v>
      </c>
      <c r="T357" s="208">
        <v>720</v>
      </c>
      <c r="U357" s="208">
        <v>4752</v>
      </c>
      <c r="V357" s="41">
        <v>3.42144</v>
      </c>
      <c r="W357" s="201">
        <v>144</v>
      </c>
      <c r="X357" s="255">
        <v>8</v>
      </c>
      <c r="Y357" s="12" t="s">
        <v>75</v>
      </c>
      <c r="Z357" s="41"/>
      <c r="AA357" s="12" t="s">
        <v>108</v>
      </c>
      <c r="AB357" s="173" t="s">
        <v>992</v>
      </c>
      <c r="AC357" s="37">
        <v>45991</v>
      </c>
      <c r="AD357" s="15">
        <v>48</v>
      </c>
      <c r="AE357" s="287" t="s">
        <v>3956</v>
      </c>
      <c r="AF357" s="12">
        <v>371009216</v>
      </c>
      <c r="AG357" s="41" t="s">
        <v>122</v>
      </c>
      <c r="AH357" s="41" t="s">
        <v>1561</v>
      </c>
      <c r="AI357" s="37">
        <v>45997</v>
      </c>
      <c r="AJ357" s="14">
        <v>45997</v>
      </c>
      <c r="AK357" s="14">
        <v>46000</v>
      </c>
      <c r="AL357" s="37">
        <v>46045</v>
      </c>
      <c r="AM357" s="37">
        <v>46066</v>
      </c>
      <c r="AN357" s="37">
        <v>46067</v>
      </c>
      <c r="AO357" s="86" t="s">
        <v>66</v>
      </c>
      <c r="AP357" s="12" t="s">
        <v>3915</v>
      </c>
      <c r="AQ357" s="41"/>
      <c r="AR357" s="41" t="s">
        <v>3948</v>
      </c>
      <c r="AS357" s="41" t="s">
        <v>3949</v>
      </c>
      <c r="AT357" s="41" t="s">
        <v>3949</v>
      </c>
      <c r="AU357" s="41">
        <v>48</v>
      </c>
      <c r="AV357" s="41" t="s">
        <v>83</v>
      </c>
      <c r="AW357" s="12">
        <v>3</v>
      </c>
      <c r="AX357" s="41">
        <v>76</v>
      </c>
      <c r="AY357" s="37">
        <v>46000</v>
      </c>
      <c r="AZ357" s="37">
        <v>46067</v>
      </c>
      <c r="BA357" s="41" t="e">
        <v>#N/A</v>
      </c>
      <c r="BB357" s="37" t="s">
        <v>2480</v>
      </c>
      <c r="BC357" s="37">
        <v>46081</v>
      </c>
      <c r="BD357" s="219">
        <v>2026</v>
      </c>
      <c r="BE357" s="219">
        <v>2</v>
      </c>
      <c r="BF357" s="219">
        <v>9</v>
      </c>
      <c r="BG357" s="219">
        <v>33</v>
      </c>
      <c r="BH357" s="219">
        <v>594</v>
      </c>
    </row>
    <row r="358" spans="1:60" s="32" customFormat="1" ht="10">
      <c r="A358" s="33" t="s">
        <v>3957</v>
      </c>
      <c r="B358" s="31" t="s">
        <v>111</v>
      </c>
      <c r="C358" s="31" t="s">
        <v>545</v>
      </c>
      <c r="D358" s="31" t="s">
        <v>63</v>
      </c>
      <c r="E358" s="31" t="s">
        <v>64</v>
      </c>
      <c r="F358" s="31" t="s">
        <v>310</v>
      </c>
      <c r="G358" s="31" t="s">
        <v>311</v>
      </c>
      <c r="H358" s="31" t="s">
        <v>66</v>
      </c>
      <c r="I358" s="31" t="s">
        <v>1559</v>
      </c>
      <c r="J358" s="34" t="s">
        <v>68</v>
      </c>
      <c r="K358" s="12"/>
      <c r="L358" s="13" t="s">
        <v>2497</v>
      </c>
      <c r="M358" s="213" t="s">
        <v>68</v>
      </c>
      <c r="N358" s="182"/>
      <c r="O358" s="12" t="s">
        <v>2475</v>
      </c>
      <c r="P358" s="31" t="s">
        <v>473</v>
      </c>
      <c r="Q358" s="31" t="s">
        <v>529</v>
      </c>
      <c r="R358" s="31">
        <v>553145</v>
      </c>
      <c r="S358" s="31" t="s">
        <v>530</v>
      </c>
      <c r="T358" s="209">
        <v>455</v>
      </c>
      <c r="U358" s="209">
        <v>1728</v>
      </c>
      <c r="V358" s="31">
        <v>0.78624000000000005</v>
      </c>
      <c r="W358" s="199">
        <v>48</v>
      </c>
      <c r="X358" s="253">
        <v>2</v>
      </c>
      <c r="Y358" s="12" t="s">
        <v>75</v>
      </c>
      <c r="Z358" s="31"/>
      <c r="AA358" s="12" t="s">
        <v>85</v>
      </c>
      <c r="AB358" s="13" t="s">
        <v>967</v>
      </c>
      <c r="AC358" s="30">
        <v>45991</v>
      </c>
      <c r="AD358" s="15">
        <v>48</v>
      </c>
      <c r="AE358" s="55" t="s">
        <v>3958</v>
      </c>
      <c r="AF358" s="12">
        <v>371009213</v>
      </c>
      <c r="AG358" s="31" t="s">
        <v>122</v>
      </c>
      <c r="AH358" s="31" t="s">
        <v>1561</v>
      </c>
      <c r="AI358" s="30">
        <v>45997</v>
      </c>
      <c r="AJ358" s="14">
        <v>45997</v>
      </c>
      <c r="AK358" s="14">
        <v>46000</v>
      </c>
      <c r="AL358" s="30">
        <v>46044</v>
      </c>
      <c r="AM358" s="30">
        <v>46066</v>
      </c>
      <c r="AN358" s="30">
        <v>46067</v>
      </c>
      <c r="AO358" s="75" t="s">
        <v>66</v>
      </c>
      <c r="AP358" s="12" t="s">
        <v>3915</v>
      </c>
      <c r="AQ358" s="31"/>
      <c r="AR358" s="31" t="s">
        <v>3948</v>
      </c>
      <c r="AS358" s="31" t="s">
        <v>3949</v>
      </c>
      <c r="AT358" s="31" t="s">
        <v>3949</v>
      </c>
      <c r="AU358" s="31">
        <v>47</v>
      </c>
      <c r="AV358" s="31" t="s">
        <v>83</v>
      </c>
      <c r="AW358" s="12">
        <v>13</v>
      </c>
      <c r="AX358" s="31">
        <v>76</v>
      </c>
      <c r="AY358" s="30">
        <v>46000</v>
      </c>
      <c r="AZ358" s="30">
        <v>46067</v>
      </c>
      <c r="BA358" s="31" t="e">
        <v>#N/A</v>
      </c>
      <c r="BB358" s="30" t="s">
        <v>2480</v>
      </c>
      <c r="BC358" s="30">
        <v>46081</v>
      </c>
      <c r="BD358" s="191">
        <v>2026</v>
      </c>
      <c r="BE358" s="191">
        <v>2</v>
      </c>
      <c r="BF358" s="191">
        <v>9</v>
      </c>
      <c r="BG358" s="191">
        <v>36</v>
      </c>
      <c r="BH358" s="191">
        <v>864</v>
      </c>
    </row>
    <row r="359" spans="1:60" s="175" customFormat="1" ht="10">
      <c r="A359" s="172" t="s">
        <v>3959</v>
      </c>
      <c r="B359" s="41" t="s">
        <v>111</v>
      </c>
      <c r="C359" s="41" t="s">
        <v>3834</v>
      </c>
      <c r="D359" s="41" t="s">
        <v>63</v>
      </c>
      <c r="E359" s="41" t="s">
        <v>64</v>
      </c>
      <c r="F359" s="41" t="s">
        <v>310</v>
      </c>
      <c r="G359" s="41" t="s">
        <v>311</v>
      </c>
      <c r="H359" s="41" t="s">
        <v>66</v>
      </c>
      <c r="I359" s="41" t="s">
        <v>1559</v>
      </c>
      <c r="J359" s="173" t="s">
        <v>68</v>
      </c>
      <c r="K359" s="12"/>
      <c r="L359" s="13" t="s">
        <v>2497</v>
      </c>
      <c r="M359" s="213" t="s">
        <v>68</v>
      </c>
      <c r="N359" s="182"/>
      <c r="O359" s="12" t="s">
        <v>2475</v>
      </c>
      <c r="P359" s="41" t="s">
        <v>170</v>
      </c>
      <c r="Q359" s="41" t="s">
        <v>171</v>
      </c>
      <c r="R359" s="41">
        <v>552045</v>
      </c>
      <c r="S359" s="41" t="s">
        <v>172</v>
      </c>
      <c r="T359" s="208">
        <v>555</v>
      </c>
      <c r="U359" s="208">
        <v>1320</v>
      </c>
      <c r="V359" s="41">
        <v>0.73260000000000003</v>
      </c>
      <c r="W359" s="201">
        <v>40</v>
      </c>
      <c r="X359" s="255">
        <v>2</v>
      </c>
      <c r="Y359" s="12" t="s">
        <v>75</v>
      </c>
      <c r="Z359" s="41"/>
      <c r="AA359" s="12" t="s">
        <v>108</v>
      </c>
      <c r="AB359" s="173" t="s">
        <v>992</v>
      </c>
      <c r="AC359" s="37">
        <v>45991</v>
      </c>
      <c r="AD359" s="15">
        <v>48</v>
      </c>
      <c r="AE359" s="239" t="s">
        <v>3960</v>
      </c>
      <c r="AF359" s="12">
        <v>371009202</v>
      </c>
      <c r="AG359" s="41" t="s">
        <v>122</v>
      </c>
      <c r="AH359" s="41" t="s">
        <v>1561</v>
      </c>
      <c r="AI359" s="37">
        <v>45997</v>
      </c>
      <c r="AJ359" s="14">
        <v>45997</v>
      </c>
      <c r="AK359" s="14">
        <v>46000</v>
      </c>
      <c r="AL359" s="37">
        <v>46043</v>
      </c>
      <c r="AM359" s="37">
        <v>46066</v>
      </c>
      <c r="AN359" s="37">
        <v>46067</v>
      </c>
      <c r="AO359" s="86" t="s">
        <v>66</v>
      </c>
      <c r="AP359" s="12" t="s">
        <v>3915</v>
      </c>
      <c r="AQ359" s="41"/>
      <c r="AR359" s="41" t="s">
        <v>3948</v>
      </c>
      <c r="AS359" s="41" t="s">
        <v>3949</v>
      </c>
      <c r="AT359" s="41" t="s">
        <v>3949</v>
      </c>
      <c r="AU359" s="41">
        <v>46</v>
      </c>
      <c r="AV359" s="41" t="s">
        <v>83</v>
      </c>
      <c r="AW359" s="12">
        <v>6</v>
      </c>
      <c r="AX359" s="41">
        <v>76</v>
      </c>
      <c r="AY359" s="37">
        <v>46000</v>
      </c>
      <c r="AZ359" s="37">
        <v>46067</v>
      </c>
      <c r="BA359" s="41" t="e">
        <v>#N/A</v>
      </c>
      <c r="BB359" s="37" t="s">
        <v>2480</v>
      </c>
      <c r="BC359" s="37">
        <v>46081</v>
      </c>
      <c r="BD359" s="219">
        <v>2026</v>
      </c>
      <c r="BE359" s="219">
        <v>2</v>
      </c>
      <c r="BF359" s="219">
        <v>9</v>
      </c>
      <c r="BG359" s="219">
        <v>33</v>
      </c>
      <c r="BH359" s="219">
        <v>660</v>
      </c>
    </row>
    <row r="360" spans="1:60" ht="10">
      <c r="A360" s="11" t="s">
        <v>3961</v>
      </c>
      <c r="B360" s="12" t="s">
        <v>61</v>
      </c>
      <c r="C360" s="12" t="s">
        <v>193</v>
      </c>
      <c r="D360" s="12" t="s">
        <v>63</v>
      </c>
      <c r="E360" s="12" t="s">
        <v>144</v>
      </c>
      <c r="F360" s="12" t="s">
        <v>145</v>
      </c>
      <c r="G360" s="18" t="s">
        <v>526</v>
      </c>
      <c r="H360" s="12" t="s">
        <v>402</v>
      </c>
      <c r="I360" s="12" t="s">
        <v>527</v>
      </c>
      <c r="J360" s="34" t="s">
        <v>68</v>
      </c>
      <c r="K360" s="12">
        <v>46010943</v>
      </c>
      <c r="L360" s="13" t="s">
        <v>2769</v>
      </c>
      <c r="M360" s="236" t="s">
        <v>68</v>
      </c>
      <c r="N360" s="182"/>
      <c r="O360" s="12" t="s">
        <v>2475</v>
      </c>
      <c r="P360" s="12" t="s">
        <v>70</v>
      </c>
      <c r="Q360" s="12" t="s">
        <v>195</v>
      </c>
      <c r="R360" s="12">
        <v>554473</v>
      </c>
      <c r="S360" s="12" t="s">
        <v>196</v>
      </c>
      <c r="T360" s="206">
        <v>450</v>
      </c>
      <c r="U360" s="206">
        <v>936</v>
      </c>
      <c r="V360" s="12">
        <v>0.42120000000000002</v>
      </c>
      <c r="W360" s="198">
        <v>26</v>
      </c>
      <c r="X360" s="254">
        <v>1</v>
      </c>
      <c r="Y360" s="12" t="s">
        <v>75</v>
      </c>
      <c r="Z360" s="12"/>
      <c r="AA360" s="12" t="s">
        <v>85</v>
      </c>
      <c r="AB360" s="13" t="s">
        <v>967</v>
      </c>
      <c r="AC360" s="14">
        <v>45989</v>
      </c>
      <c r="AD360" s="15">
        <v>48</v>
      </c>
      <c r="AE360" s="176" t="s">
        <v>3962</v>
      </c>
      <c r="AF360" s="12">
        <v>371009207</v>
      </c>
      <c r="AG360" s="12" t="s">
        <v>77</v>
      </c>
      <c r="AH360" s="12" t="s">
        <v>532</v>
      </c>
      <c r="AI360" s="14">
        <v>45997</v>
      </c>
      <c r="AJ360" s="14">
        <v>45997</v>
      </c>
      <c r="AK360" s="14">
        <v>45997</v>
      </c>
      <c r="AL360" s="14">
        <v>46064</v>
      </c>
      <c r="AM360" s="14">
        <v>46085</v>
      </c>
      <c r="AN360" s="14">
        <v>46085</v>
      </c>
      <c r="AO360" s="91" t="s">
        <v>402</v>
      </c>
      <c r="AP360" s="12" t="s">
        <v>3963</v>
      </c>
      <c r="AQ360" s="12"/>
      <c r="AR360" s="12" t="s">
        <v>3964</v>
      </c>
      <c r="AS360" s="12" t="s">
        <v>3965</v>
      </c>
      <c r="AT360" s="12" t="s">
        <v>3966</v>
      </c>
      <c r="AU360" s="12">
        <v>67</v>
      </c>
      <c r="AV360" s="12" t="s">
        <v>2493</v>
      </c>
      <c r="AW360" s="12">
        <v>5</v>
      </c>
      <c r="AX360" s="12">
        <v>96</v>
      </c>
      <c r="AY360" s="14">
        <v>45997</v>
      </c>
      <c r="AZ360" s="14">
        <v>46085</v>
      </c>
      <c r="BA360" s="12" t="e">
        <v>#N/A</v>
      </c>
      <c r="BB360" s="14" t="s">
        <v>2480</v>
      </c>
      <c r="BC360" s="14">
        <v>46099</v>
      </c>
      <c r="BD360" s="16">
        <v>2026</v>
      </c>
      <c r="BE360" s="16">
        <v>3</v>
      </c>
      <c r="BF360" s="16">
        <v>12</v>
      </c>
      <c r="BG360" s="191">
        <v>36</v>
      </c>
      <c r="BH360" s="191">
        <v>936</v>
      </c>
    </row>
    <row r="361" spans="1:60" s="23" customFormat="1" ht="10">
      <c r="A361" s="11" t="s">
        <v>3967</v>
      </c>
      <c r="B361" s="12" t="s">
        <v>61</v>
      </c>
      <c r="C361" s="12" t="s">
        <v>3343</v>
      </c>
      <c r="D361" s="12" t="s">
        <v>63</v>
      </c>
      <c r="E361" s="12" t="s">
        <v>144</v>
      </c>
      <c r="F361" s="12" t="s">
        <v>145</v>
      </c>
      <c r="G361" s="18" t="s">
        <v>526</v>
      </c>
      <c r="H361" s="12" t="s">
        <v>402</v>
      </c>
      <c r="I361" s="12" t="s">
        <v>527</v>
      </c>
      <c r="J361" s="34" t="s">
        <v>68</v>
      </c>
      <c r="K361" s="12">
        <v>46010943</v>
      </c>
      <c r="L361" s="13" t="s">
        <v>2769</v>
      </c>
      <c r="M361" s="236" t="s">
        <v>68</v>
      </c>
      <c r="N361" s="182"/>
      <c r="O361" s="12" t="s">
        <v>2475</v>
      </c>
      <c r="P361" s="12" t="s">
        <v>70</v>
      </c>
      <c r="Q361" s="12" t="s">
        <v>195</v>
      </c>
      <c r="R361" s="12">
        <v>554473</v>
      </c>
      <c r="S361" s="12" t="s">
        <v>196</v>
      </c>
      <c r="T361" s="206">
        <v>450</v>
      </c>
      <c r="U361" s="206">
        <v>3744</v>
      </c>
      <c r="V361" s="12">
        <v>1.6848000000000001</v>
      </c>
      <c r="W361" s="198">
        <v>104</v>
      </c>
      <c r="X361" s="254">
        <v>4</v>
      </c>
      <c r="Y361" s="12" t="s">
        <v>75</v>
      </c>
      <c r="Z361" s="12"/>
      <c r="AA361" s="12" t="s">
        <v>85</v>
      </c>
      <c r="AB361" s="13" t="s">
        <v>967</v>
      </c>
      <c r="AC361" s="14">
        <v>45989</v>
      </c>
      <c r="AD361" s="15">
        <v>48</v>
      </c>
      <c r="AE361" s="176" t="s">
        <v>3968</v>
      </c>
      <c r="AF361" s="12">
        <v>371009203</v>
      </c>
      <c r="AG361" s="12" t="s">
        <v>77</v>
      </c>
      <c r="AH361" s="12" t="s">
        <v>532</v>
      </c>
      <c r="AI361" s="14">
        <v>45997</v>
      </c>
      <c r="AJ361" s="14">
        <v>45997</v>
      </c>
      <c r="AK361" s="14">
        <v>45997</v>
      </c>
      <c r="AL361" s="14">
        <v>46064</v>
      </c>
      <c r="AM361" s="14">
        <v>46085</v>
      </c>
      <c r="AN361" s="14">
        <v>46085</v>
      </c>
      <c r="AO361" s="91" t="s">
        <v>402</v>
      </c>
      <c r="AP361" s="12" t="s">
        <v>3963</v>
      </c>
      <c r="AQ361" s="12"/>
      <c r="AR361" s="12" t="s">
        <v>3964</v>
      </c>
      <c r="AS361" s="12" t="s">
        <v>3965</v>
      </c>
      <c r="AT361" s="12" t="s">
        <v>3966</v>
      </c>
      <c r="AU361" s="12">
        <v>67</v>
      </c>
      <c r="AV361" s="12" t="s">
        <v>2493</v>
      </c>
      <c r="AW361" s="12">
        <v>7</v>
      </c>
      <c r="AX361" s="12">
        <v>96</v>
      </c>
      <c r="AY361" s="14">
        <v>45997</v>
      </c>
      <c r="AZ361" s="14">
        <v>46085</v>
      </c>
      <c r="BA361" s="12" t="e">
        <v>#N/A</v>
      </c>
      <c r="BB361" s="14" t="s">
        <v>2480</v>
      </c>
      <c r="BC361" s="14">
        <v>46099</v>
      </c>
      <c r="BD361" s="16">
        <v>2026</v>
      </c>
      <c r="BE361" s="16">
        <v>3</v>
      </c>
      <c r="BF361" s="16">
        <v>12</v>
      </c>
      <c r="BG361" s="191">
        <v>36</v>
      </c>
      <c r="BH361" s="191">
        <v>936</v>
      </c>
    </row>
    <row r="362" spans="1:60" s="23" customFormat="1" ht="10">
      <c r="A362" s="11" t="s">
        <v>3969</v>
      </c>
      <c r="B362" s="12" t="s">
        <v>61</v>
      </c>
      <c r="C362" s="12" t="s">
        <v>3759</v>
      </c>
      <c r="D362" s="12" t="s">
        <v>63</v>
      </c>
      <c r="E362" s="12" t="s">
        <v>64</v>
      </c>
      <c r="F362" s="31" t="s">
        <v>310</v>
      </c>
      <c r="G362" s="12" t="s">
        <v>311</v>
      </c>
      <c r="H362" s="12" t="s">
        <v>66</v>
      </c>
      <c r="I362" s="12" t="s">
        <v>1342</v>
      </c>
      <c r="J362" s="34" t="s">
        <v>68</v>
      </c>
      <c r="K362" s="12"/>
      <c r="L362" s="13" t="s">
        <v>2497</v>
      </c>
      <c r="M362" s="213" t="s">
        <v>68</v>
      </c>
      <c r="N362" s="182"/>
      <c r="O362" s="12" t="s">
        <v>2475</v>
      </c>
      <c r="P362" s="12" t="s">
        <v>70</v>
      </c>
      <c r="Q362" s="12" t="s">
        <v>102</v>
      </c>
      <c r="R362" s="12">
        <v>554245</v>
      </c>
      <c r="S362" s="12" t="s">
        <v>103</v>
      </c>
      <c r="T362" s="206">
        <v>620</v>
      </c>
      <c r="U362" s="206">
        <v>4320</v>
      </c>
      <c r="V362" s="12">
        <v>2.6783999999999999</v>
      </c>
      <c r="W362" s="198">
        <v>120</v>
      </c>
      <c r="X362" s="254">
        <v>6</v>
      </c>
      <c r="Y362" s="12" t="s">
        <v>75</v>
      </c>
      <c r="Z362" s="12"/>
      <c r="AA362" s="12" t="s">
        <v>108</v>
      </c>
      <c r="AB362" s="13" t="s">
        <v>967</v>
      </c>
      <c r="AC362" s="14">
        <v>45985</v>
      </c>
      <c r="AD362" s="15">
        <v>48</v>
      </c>
      <c r="AE362" s="176" t="s">
        <v>3970</v>
      </c>
      <c r="AF362" s="12">
        <v>371009204</v>
      </c>
      <c r="AG362" s="12" t="s">
        <v>77</v>
      </c>
      <c r="AH362" s="12" t="s">
        <v>314</v>
      </c>
      <c r="AI362" s="14">
        <v>45990</v>
      </c>
      <c r="AJ362" s="14">
        <v>45990</v>
      </c>
      <c r="AK362" s="14">
        <v>45990</v>
      </c>
      <c r="AL362" s="14">
        <v>46050</v>
      </c>
      <c r="AM362" s="14">
        <v>46064</v>
      </c>
      <c r="AN362" s="14">
        <v>46064</v>
      </c>
      <c r="AO362" s="91" t="s">
        <v>66</v>
      </c>
      <c r="AP362" s="12" t="s">
        <v>3971</v>
      </c>
      <c r="AQ362" s="12"/>
      <c r="AR362" s="12" t="s">
        <v>3972</v>
      </c>
      <c r="AS362" s="12" t="s">
        <v>3973</v>
      </c>
      <c r="AT362" s="12" t="s">
        <v>3973</v>
      </c>
      <c r="AU362" s="12">
        <v>60</v>
      </c>
      <c r="AV362" s="12" t="s">
        <v>83</v>
      </c>
      <c r="AW362" s="12">
        <v>5</v>
      </c>
      <c r="AX362" s="12">
        <v>79</v>
      </c>
      <c r="AY362" s="14">
        <v>45990</v>
      </c>
      <c r="AZ362" s="14">
        <v>46064</v>
      </c>
      <c r="BA362" s="12" t="e">
        <v>#N/A</v>
      </c>
      <c r="BB362" s="14" t="s">
        <v>2480</v>
      </c>
      <c r="BC362" s="14">
        <v>46078</v>
      </c>
      <c r="BD362" s="16">
        <v>2026</v>
      </c>
      <c r="BE362" s="16">
        <v>2</v>
      </c>
      <c r="BF362" s="16">
        <v>9</v>
      </c>
      <c r="BG362" s="191">
        <v>36</v>
      </c>
      <c r="BH362" s="191">
        <v>720</v>
      </c>
    </row>
    <row r="363" spans="1:60" ht="10">
      <c r="A363" s="11" t="s">
        <v>3974</v>
      </c>
      <c r="B363" s="12" t="s">
        <v>111</v>
      </c>
      <c r="C363" s="12" t="s">
        <v>215</v>
      </c>
      <c r="D363" s="12" t="s">
        <v>113</v>
      </c>
      <c r="E363" s="12" t="s">
        <v>64</v>
      </c>
      <c r="F363" s="12" t="s">
        <v>100</v>
      </c>
      <c r="G363" s="12" t="s">
        <v>67</v>
      </c>
      <c r="H363" s="12" t="s">
        <v>66</v>
      </c>
      <c r="I363" s="12" t="s">
        <v>363</v>
      </c>
      <c r="J363" s="34" t="s">
        <v>68</v>
      </c>
      <c r="K363" s="12" t="s">
        <v>364</v>
      </c>
      <c r="L363" s="13" t="s">
        <v>113</v>
      </c>
      <c r="M363" s="213" t="s">
        <v>68</v>
      </c>
      <c r="N363" s="182"/>
      <c r="O363" s="12" t="s">
        <v>2475</v>
      </c>
      <c r="P363" s="12" t="s">
        <v>70</v>
      </c>
      <c r="Q363" s="12" t="s">
        <v>218</v>
      </c>
      <c r="R363" s="12">
        <v>555364</v>
      </c>
      <c r="S363" s="12" t="s">
        <v>219</v>
      </c>
      <c r="T363" s="206">
        <v>625</v>
      </c>
      <c r="U363" s="206">
        <v>2880</v>
      </c>
      <c r="V363" s="12">
        <v>1.8</v>
      </c>
      <c r="W363" s="198">
        <v>80</v>
      </c>
      <c r="X363" s="254">
        <v>4</v>
      </c>
      <c r="Y363" s="12" t="s">
        <v>75</v>
      </c>
      <c r="Z363" s="12"/>
      <c r="AA363" s="12" t="s">
        <v>128</v>
      </c>
      <c r="AB363" s="13" t="s">
        <v>992</v>
      </c>
      <c r="AC363" s="14">
        <v>45991</v>
      </c>
      <c r="AD363" s="15">
        <v>48</v>
      </c>
      <c r="AE363" s="176" t="s">
        <v>3975</v>
      </c>
      <c r="AF363" s="12">
        <v>371009255</v>
      </c>
      <c r="AG363" s="12" t="s">
        <v>1525</v>
      </c>
      <c r="AH363" s="12" t="s">
        <v>105</v>
      </c>
      <c r="AI363" s="14">
        <v>45998</v>
      </c>
      <c r="AJ363" s="14">
        <v>45998</v>
      </c>
      <c r="AK363" s="14">
        <v>45998</v>
      </c>
      <c r="AL363" s="14">
        <v>46032</v>
      </c>
      <c r="AM363" s="14">
        <v>46039</v>
      </c>
      <c r="AN363" s="14">
        <v>46040</v>
      </c>
      <c r="AO363" s="91" t="s">
        <v>66</v>
      </c>
      <c r="AP363" s="12" t="s">
        <v>3865</v>
      </c>
      <c r="AQ363" s="12"/>
      <c r="AR363" s="12" t="s">
        <v>3976</v>
      </c>
      <c r="AS363" s="12" t="s">
        <v>3977</v>
      </c>
      <c r="AT363" s="12" t="s">
        <v>3978</v>
      </c>
      <c r="AU363" s="12">
        <v>34</v>
      </c>
      <c r="AV363" s="12"/>
      <c r="AW363" s="12">
        <v>5</v>
      </c>
      <c r="AX363" s="12">
        <v>49</v>
      </c>
      <c r="AY363" s="14">
        <v>45998</v>
      </c>
      <c r="AZ363" s="14">
        <v>46040</v>
      </c>
      <c r="BA363" s="12" t="e">
        <v>#N/A</v>
      </c>
      <c r="BB363" s="14" t="s">
        <v>2480</v>
      </c>
      <c r="BC363" s="14">
        <v>46054</v>
      </c>
      <c r="BD363" s="16">
        <v>2026</v>
      </c>
      <c r="BE363" s="16">
        <v>2</v>
      </c>
      <c r="BF363" s="16">
        <v>5</v>
      </c>
      <c r="BG363" s="191">
        <v>36</v>
      </c>
      <c r="BH363" s="191">
        <v>720</v>
      </c>
    </row>
    <row r="364" spans="1:60" ht="10">
      <c r="A364" s="11" t="s">
        <v>3979</v>
      </c>
      <c r="B364" s="12" t="s">
        <v>111</v>
      </c>
      <c r="C364" s="12" t="s">
        <v>3980</v>
      </c>
      <c r="D364" s="12" t="s">
        <v>63</v>
      </c>
      <c r="E364" s="12" t="s">
        <v>144</v>
      </c>
      <c r="F364" s="12" t="s">
        <v>145</v>
      </c>
      <c r="G364" s="12" t="s">
        <v>677</v>
      </c>
      <c r="H364" s="12" t="s">
        <v>156</v>
      </c>
      <c r="I364" s="12" t="s">
        <v>677</v>
      </c>
      <c r="J364" s="34" t="s">
        <v>68</v>
      </c>
      <c r="K364" s="12"/>
      <c r="L364" s="13" t="s">
        <v>2732</v>
      </c>
      <c r="M364" s="236" t="s">
        <v>68</v>
      </c>
      <c r="N364" s="182"/>
      <c r="O364" s="12" t="s">
        <v>2475</v>
      </c>
      <c r="P364" s="12" t="s">
        <v>70</v>
      </c>
      <c r="Q364" s="12" t="s">
        <v>1002</v>
      </c>
      <c r="R364" s="12">
        <v>554246</v>
      </c>
      <c r="S364" s="12" t="s">
        <v>330</v>
      </c>
      <c r="T364" s="206">
        <v>625</v>
      </c>
      <c r="U364" s="206">
        <v>6480</v>
      </c>
      <c r="V364" s="12">
        <v>4.05</v>
      </c>
      <c r="W364" s="198">
        <v>180</v>
      </c>
      <c r="X364" s="254">
        <v>9</v>
      </c>
      <c r="Y364" s="12" t="s">
        <v>75</v>
      </c>
      <c r="Z364" s="12"/>
      <c r="AA364" s="12" t="s">
        <v>3780</v>
      </c>
      <c r="AB364" s="247" t="s">
        <v>3733</v>
      </c>
      <c r="AC364" s="14">
        <v>45993</v>
      </c>
      <c r="AD364" s="15">
        <v>49</v>
      </c>
      <c r="AE364" s="176" t="s">
        <v>3981</v>
      </c>
      <c r="AF364" s="12">
        <v>371009259</v>
      </c>
      <c r="AG364" s="12" t="s">
        <v>122</v>
      </c>
      <c r="AH364" s="12" t="s">
        <v>105</v>
      </c>
      <c r="AI364" s="14">
        <v>46004</v>
      </c>
      <c r="AJ364" s="14">
        <v>46004</v>
      </c>
      <c r="AK364" s="14">
        <v>46005</v>
      </c>
      <c r="AL364" s="14">
        <v>46060</v>
      </c>
      <c r="AM364" s="14"/>
      <c r="AN364" s="14">
        <v>46055</v>
      </c>
      <c r="AO364" s="91" t="s">
        <v>156</v>
      </c>
      <c r="AP364" s="12" t="s">
        <v>3982</v>
      </c>
      <c r="AQ364" s="12"/>
      <c r="AR364" s="12" t="s">
        <v>3983</v>
      </c>
      <c r="AS364" s="12" t="s">
        <v>3984</v>
      </c>
      <c r="AT364" s="12" t="s">
        <v>3985</v>
      </c>
      <c r="AU364" s="12">
        <v>56</v>
      </c>
      <c r="AV364" s="12"/>
      <c r="AW364" s="12">
        <v>6</v>
      </c>
      <c r="AX364" s="12">
        <v>62</v>
      </c>
      <c r="AY364" s="14">
        <v>46005</v>
      </c>
      <c r="AZ364" s="14">
        <v>46055</v>
      </c>
      <c r="BA364" s="12" t="e">
        <v>#N/A</v>
      </c>
      <c r="BB364" s="14" t="s">
        <v>2480</v>
      </c>
      <c r="BC364" s="14">
        <v>46069</v>
      </c>
      <c r="BD364" s="16">
        <v>2026</v>
      </c>
      <c r="BE364" s="16">
        <v>2</v>
      </c>
      <c r="BF364" s="16">
        <v>8</v>
      </c>
      <c r="BG364" s="191">
        <v>36</v>
      </c>
      <c r="BH364" s="191">
        <v>720</v>
      </c>
    </row>
    <row r="365" spans="1:60" ht="10">
      <c r="A365" s="11" t="s">
        <v>3986</v>
      </c>
      <c r="B365" s="12" t="s">
        <v>111</v>
      </c>
      <c r="C365" s="12" t="s">
        <v>3980</v>
      </c>
      <c r="D365" s="12" t="s">
        <v>63</v>
      </c>
      <c r="E365" s="12" t="s">
        <v>144</v>
      </c>
      <c r="F365" s="12" t="s">
        <v>145</v>
      </c>
      <c r="G365" s="12" t="s">
        <v>677</v>
      </c>
      <c r="H365" s="12" t="s">
        <v>156</v>
      </c>
      <c r="I365" s="12" t="s">
        <v>677</v>
      </c>
      <c r="J365" s="34" t="s">
        <v>68</v>
      </c>
      <c r="K365" s="12"/>
      <c r="L365" s="13" t="s">
        <v>2732</v>
      </c>
      <c r="M365" s="236" t="s">
        <v>68</v>
      </c>
      <c r="N365" s="182"/>
      <c r="O365" s="12" t="s">
        <v>2475</v>
      </c>
      <c r="P365" s="12" t="s">
        <v>70</v>
      </c>
      <c r="Q365" s="12" t="s">
        <v>1002</v>
      </c>
      <c r="R365" s="12">
        <v>554246</v>
      </c>
      <c r="S365" s="12" t="s">
        <v>330</v>
      </c>
      <c r="T365" s="206">
        <v>625</v>
      </c>
      <c r="U365" s="206">
        <v>8640</v>
      </c>
      <c r="V365" s="12">
        <v>5.4</v>
      </c>
      <c r="W365" s="198">
        <v>240</v>
      </c>
      <c r="X365" s="254">
        <v>12</v>
      </c>
      <c r="Y365" s="12" t="s">
        <v>75</v>
      </c>
      <c r="Z365" s="12"/>
      <c r="AA365" s="12" t="s">
        <v>3780</v>
      </c>
      <c r="AB365" s="247" t="s">
        <v>3733</v>
      </c>
      <c r="AC365" s="14">
        <v>45994</v>
      </c>
      <c r="AD365" s="15">
        <v>49</v>
      </c>
      <c r="AE365" s="176" t="s">
        <v>3987</v>
      </c>
      <c r="AF365" s="12">
        <v>371009260</v>
      </c>
      <c r="AG365" s="12" t="s">
        <v>122</v>
      </c>
      <c r="AH365" s="12" t="s">
        <v>105</v>
      </c>
      <c r="AI365" s="14">
        <v>46004</v>
      </c>
      <c r="AJ365" s="14">
        <v>46004</v>
      </c>
      <c r="AK365" s="14">
        <v>46005</v>
      </c>
      <c r="AL365" s="14">
        <v>46060</v>
      </c>
      <c r="AM365" s="14"/>
      <c r="AN365" s="14">
        <v>46055</v>
      </c>
      <c r="AO365" s="91" t="s">
        <v>156</v>
      </c>
      <c r="AP365" s="12" t="s">
        <v>3982</v>
      </c>
      <c r="AQ365" s="12"/>
      <c r="AR365" s="12" t="s">
        <v>3983</v>
      </c>
      <c r="AS365" s="12" t="s">
        <v>3984</v>
      </c>
      <c r="AT365" s="12" t="s">
        <v>3985</v>
      </c>
      <c r="AU365" s="12">
        <v>56</v>
      </c>
      <c r="AV365" s="12"/>
      <c r="AW365" s="12">
        <v>6</v>
      </c>
      <c r="AX365" s="12">
        <v>61</v>
      </c>
      <c r="AY365" s="14">
        <v>46005</v>
      </c>
      <c r="AZ365" s="14">
        <v>46055</v>
      </c>
      <c r="BA365" s="12" t="e">
        <v>#N/A</v>
      </c>
      <c r="BB365" s="14" t="s">
        <v>2480</v>
      </c>
      <c r="BC365" s="14">
        <v>46069</v>
      </c>
      <c r="BD365" s="16">
        <v>2026</v>
      </c>
      <c r="BE365" s="16">
        <v>2</v>
      </c>
      <c r="BF365" s="16">
        <v>8</v>
      </c>
      <c r="BG365" s="191">
        <v>36</v>
      </c>
      <c r="BH365" s="191">
        <v>720</v>
      </c>
    </row>
    <row r="366" spans="1:60" ht="10">
      <c r="A366" s="11" t="s">
        <v>3988</v>
      </c>
      <c r="B366" s="12" t="s">
        <v>111</v>
      </c>
      <c r="C366" s="12" t="s">
        <v>3980</v>
      </c>
      <c r="D366" s="12" t="s">
        <v>63</v>
      </c>
      <c r="E366" s="12" t="s">
        <v>144</v>
      </c>
      <c r="F366" s="12" t="s">
        <v>145</v>
      </c>
      <c r="G366" s="12" t="s">
        <v>677</v>
      </c>
      <c r="H366" s="12" t="s">
        <v>156</v>
      </c>
      <c r="I366" s="12" t="s">
        <v>677</v>
      </c>
      <c r="J366" s="34" t="s">
        <v>68</v>
      </c>
      <c r="K366" s="12"/>
      <c r="L366" s="13" t="s">
        <v>2732</v>
      </c>
      <c r="M366" s="236" t="s">
        <v>68</v>
      </c>
      <c r="N366" s="182"/>
      <c r="O366" s="12" t="s">
        <v>2475</v>
      </c>
      <c r="P366" s="12" t="s">
        <v>70</v>
      </c>
      <c r="Q366" s="12" t="s">
        <v>1002</v>
      </c>
      <c r="R366" s="12">
        <v>554246</v>
      </c>
      <c r="S366" s="12" t="s">
        <v>330</v>
      </c>
      <c r="T366" s="206">
        <v>625</v>
      </c>
      <c r="U366" s="206">
        <v>9360</v>
      </c>
      <c r="V366" s="12">
        <v>5.85</v>
      </c>
      <c r="W366" s="198">
        <v>260</v>
      </c>
      <c r="X366" s="254">
        <v>13</v>
      </c>
      <c r="Y366" s="12" t="s">
        <v>75</v>
      </c>
      <c r="Z366" s="12"/>
      <c r="AA366" s="12" t="s">
        <v>3780</v>
      </c>
      <c r="AB366" s="247" t="s">
        <v>3733</v>
      </c>
      <c r="AC366" s="14">
        <v>46000</v>
      </c>
      <c r="AD366" s="15">
        <v>50</v>
      </c>
      <c r="AE366" s="176" t="s">
        <v>3989</v>
      </c>
      <c r="AF366" s="12">
        <v>371009304</v>
      </c>
      <c r="AG366" s="12" t="s">
        <v>122</v>
      </c>
      <c r="AH366" s="12" t="s">
        <v>105</v>
      </c>
      <c r="AI366" s="14">
        <v>46005</v>
      </c>
      <c r="AJ366" s="14">
        <v>46014</v>
      </c>
      <c r="AK366" s="14">
        <v>46014</v>
      </c>
      <c r="AL366" s="14">
        <v>46055</v>
      </c>
      <c r="AM366" s="14">
        <v>46069</v>
      </c>
      <c r="AN366" s="14">
        <v>46068</v>
      </c>
      <c r="AO366" s="91" t="s">
        <v>156</v>
      </c>
      <c r="AP366" s="12" t="s">
        <v>3990</v>
      </c>
      <c r="AQ366" s="12"/>
      <c r="AR366" s="12" t="s">
        <v>3991</v>
      </c>
      <c r="AS366" s="12" t="s">
        <v>3992</v>
      </c>
      <c r="AT366" s="12" t="s">
        <v>3993</v>
      </c>
      <c r="AU366" s="12">
        <v>50</v>
      </c>
      <c r="AV366" s="12"/>
      <c r="AW366" s="12">
        <v>6</v>
      </c>
      <c r="AX366" s="12">
        <v>68</v>
      </c>
      <c r="AY366" s="14">
        <v>46014</v>
      </c>
      <c r="AZ366" s="14">
        <v>46068</v>
      </c>
      <c r="BA366" s="12" t="e">
        <v>#N/A</v>
      </c>
      <c r="BB366" s="14" t="s">
        <v>2480</v>
      </c>
      <c r="BC366" s="14">
        <v>46082</v>
      </c>
      <c r="BD366" s="16">
        <v>2026</v>
      </c>
      <c r="BE366" s="16">
        <v>3</v>
      </c>
      <c r="BF366" s="16">
        <v>9</v>
      </c>
      <c r="BG366" s="191">
        <v>36</v>
      </c>
      <c r="BH366" s="191">
        <v>720</v>
      </c>
    </row>
    <row r="367" spans="1:60" ht="10">
      <c r="A367" s="11" t="s">
        <v>3994</v>
      </c>
      <c r="B367" s="12" t="s">
        <v>111</v>
      </c>
      <c r="C367" s="12" t="s">
        <v>3995</v>
      </c>
      <c r="D367" s="12" t="s">
        <v>63</v>
      </c>
      <c r="E367" s="12" t="s">
        <v>144</v>
      </c>
      <c r="F367" s="12" t="s">
        <v>145</v>
      </c>
      <c r="G367" s="12" t="s">
        <v>677</v>
      </c>
      <c r="H367" s="12" t="s">
        <v>156</v>
      </c>
      <c r="I367" s="12" t="s">
        <v>677</v>
      </c>
      <c r="J367" s="34" t="s">
        <v>68</v>
      </c>
      <c r="K367" s="12"/>
      <c r="L367" s="13" t="s">
        <v>2732</v>
      </c>
      <c r="M367" s="236" t="s">
        <v>68</v>
      </c>
      <c r="N367" s="182"/>
      <c r="O367" s="12" t="s">
        <v>2475</v>
      </c>
      <c r="P367" s="12" t="s">
        <v>70</v>
      </c>
      <c r="Q367" s="12" t="s">
        <v>102</v>
      </c>
      <c r="R367" s="12">
        <v>554245</v>
      </c>
      <c r="S367" s="12" t="s">
        <v>103</v>
      </c>
      <c r="T367" s="206">
        <v>620</v>
      </c>
      <c r="U367" s="206">
        <v>5760</v>
      </c>
      <c r="V367" s="12">
        <v>3.5712000000000002</v>
      </c>
      <c r="W367" s="198">
        <v>160</v>
      </c>
      <c r="X367" s="254">
        <v>8</v>
      </c>
      <c r="Y367" s="12" t="s">
        <v>75</v>
      </c>
      <c r="Z367" s="12"/>
      <c r="AA367" s="12" t="s">
        <v>108</v>
      </c>
      <c r="AB367" s="247" t="s">
        <v>3733</v>
      </c>
      <c r="AC367" s="14">
        <v>46001</v>
      </c>
      <c r="AD367" s="15">
        <v>50</v>
      </c>
      <c r="AE367" s="176" t="s">
        <v>3996</v>
      </c>
      <c r="AF367" s="12">
        <v>371009302</v>
      </c>
      <c r="AG367" s="12" t="s">
        <v>122</v>
      </c>
      <c r="AH367" s="12" t="s">
        <v>105</v>
      </c>
      <c r="AI367" s="14">
        <v>46005</v>
      </c>
      <c r="AJ367" s="14">
        <v>46014</v>
      </c>
      <c r="AK367" s="14">
        <v>46014</v>
      </c>
      <c r="AL367" s="14">
        <v>46055</v>
      </c>
      <c r="AM367" s="14">
        <v>46069</v>
      </c>
      <c r="AN367" s="14">
        <v>46068</v>
      </c>
      <c r="AO367" s="91" t="s">
        <v>156</v>
      </c>
      <c r="AP367" s="12" t="s">
        <v>3990</v>
      </c>
      <c r="AQ367" s="12"/>
      <c r="AR367" s="12" t="s">
        <v>3991</v>
      </c>
      <c r="AS367" s="12" t="s">
        <v>3992</v>
      </c>
      <c r="AT367" s="12" t="s">
        <v>3993</v>
      </c>
      <c r="AU367" s="12">
        <v>50</v>
      </c>
      <c r="AV367" s="12"/>
      <c r="AW367" s="12">
        <v>5</v>
      </c>
      <c r="AX367" s="12">
        <v>67</v>
      </c>
      <c r="AY367" s="14">
        <v>46014</v>
      </c>
      <c r="AZ367" s="14">
        <v>46068</v>
      </c>
      <c r="BA367" s="12" t="e">
        <v>#N/A</v>
      </c>
      <c r="BB367" s="14" t="s">
        <v>2480</v>
      </c>
      <c r="BC367" s="14">
        <v>46082</v>
      </c>
      <c r="BD367" s="16">
        <v>2026</v>
      </c>
      <c r="BE367" s="16">
        <v>3</v>
      </c>
      <c r="BF367" s="16">
        <v>9</v>
      </c>
      <c r="BG367" s="191">
        <v>36</v>
      </c>
      <c r="BH367" s="191">
        <v>720</v>
      </c>
    </row>
    <row r="368" spans="1:60" ht="10">
      <c r="A368" s="11" t="s">
        <v>3997</v>
      </c>
      <c r="B368" s="12" t="s">
        <v>111</v>
      </c>
      <c r="C368" s="12" t="s">
        <v>3995</v>
      </c>
      <c r="D368" s="12" t="s">
        <v>63</v>
      </c>
      <c r="E368" s="12" t="s">
        <v>144</v>
      </c>
      <c r="F368" s="12" t="s">
        <v>145</v>
      </c>
      <c r="G368" s="12" t="s">
        <v>677</v>
      </c>
      <c r="H368" s="12" t="s">
        <v>156</v>
      </c>
      <c r="I368" s="12" t="s">
        <v>677</v>
      </c>
      <c r="J368" s="34" t="s">
        <v>68</v>
      </c>
      <c r="K368" s="12"/>
      <c r="L368" s="13" t="s">
        <v>2732</v>
      </c>
      <c r="M368" s="236" t="s">
        <v>68</v>
      </c>
      <c r="N368" s="182"/>
      <c r="O368" s="12" t="s">
        <v>2475</v>
      </c>
      <c r="P368" s="12" t="s">
        <v>70</v>
      </c>
      <c r="Q368" s="12" t="s">
        <v>102</v>
      </c>
      <c r="R368" s="12">
        <v>554245</v>
      </c>
      <c r="S368" s="12" t="s">
        <v>103</v>
      </c>
      <c r="T368" s="206">
        <v>620</v>
      </c>
      <c r="U368" s="206">
        <v>8640</v>
      </c>
      <c r="V368" s="12">
        <v>5.3567999999999998</v>
      </c>
      <c r="W368" s="198">
        <v>240</v>
      </c>
      <c r="X368" s="254">
        <v>12</v>
      </c>
      <c r="Y368" s="12" t="s">
        <v>75</v>
      </c>
      <c r="Z368" s="12"/>
      <c r="AA368" s="12" t="s">
        <v>108</v>
      </c>
      <c r="AB368" s="247" t="s">
        <v>3733</v>
      </c>
      <c r="AC368" s="14">
        <v>45995</v>
      </c>
      <c r="AD368" s="15">
        <v>49</v>
      </c>
      <c r="AE368" s="176" t="s">
        <v>3998</v>
      </c>
      <c r="AF368" s="12">
        <v>371009257</v>
      </c>
      <c r="AG368" s="12" t="s">
        <v>122</v>
      </c>
      <c r="AH368" s="12" t="s">
        <v>105</v>
      </c>
      <c r="AI368" s="14">
        <v>46005</v>
      </c>
      <c r="AJ368" s="14">
        <v>46005</v>
      </c>
      <c r="AK368" s="14">
        <v>46007</v>
      </c>
      <c r="AL368" s="14">
        <v>46051</v>
      </c>
      <c r="AM368" s="14">
        <v>46058</v>
      </c>
      <c r="AN368" s="14">
        <v>46061</v>
      </c>
      <c r="AO368" s="91" t="s">
        <v>156</v>
      </c>
      <c r="AP368" s="12" t="s">
        <v>3999</v>
      </c>
      <c r="AQ368" s="12"/>
      <c r="AR368" s="12" t="s">
        <v>4000</v>
      </c>
      <c r="AS368" s="12" t="s">
        <v>4001</v>
      </c>
      <c r="AT368" s="12" t="s">
        <v>4002</v>
      </c>
      <c r="AU368" s="12">
        <v>46</v>
      </c>
      <c r="AV368" s="12"/>
      <c r="AW368" s="12">
        <v>5</v>
      </c>
      <c r="AX368" s="12">
        <v>66</v>
      </c>
      <c r="AY368" s="14">
        <v>46007</v>
      </c>
      <c r="AZ368" s="14">
        <v>46061</v>
      </c>
      <c r="BA368" s="12" t="e">
        <v>#N/A</v>
      </c>
      <c r="BB368" s="14" t="s">
        <v>2480</v>
      </c>
      <c r="BC368" s="14">
        <v>46075</v>
      </c>
      <c r="BD368" s="16">
        <v>2026</v>
      </c>
      <c r="BE368" s="16">
        <v>2</v>
      </c>
      <c r="BF368" s="16">
        <v>8</v>
      </c>
      <c r="BG368" s="191">
        <v>36</v>
      </c>
      <c r="BH368" s="191">
        <v>720</v>
      </c>
    </row>
    <row r="369" spans="1:60" ht="10">
      <c r="A369" s="11" t="s">
        <v>4003</v>
      </c>
      <c r="B369" s="12" t="s">
        <v>111</v>
      </c>
      <c r="C369" s="12" t="s">
        <v>3995</v>
      </c>
      <c r="D369" s="12" t="s">
        <v>63</v>
      </c>
      <c r="E369" s="12" t="s">
        <v>144</v>
      </c>
      <c r="F369" s="12" t="s">
        <v>145</v>
      </c>
      <c r="G369" s="12" t="s">
        <v>677</v>
      </c>
      <c r="H369" s="12" t="s">
        <v>156</v>
      </c>
      <c r="I369" s="12" t="s">
        <v>677</v>
      </c>
      <c r="J369" s="34" t="s">
        <v>68</v>
      </c>
      <c r="K369" s="12"/>
      <c r="L369" s="13" t="s">
        <v>2732</v>
      </c>
      <c r="M369" s="236" t="s">
        <v>68</v>
      </c>
      <c r="N369" s="182"/>
      <c r="O369" s="12" t="s">
        <v>2475</v>
      </c>
      <c r="P369" s="12" t="s">
        <v>70</v>
      </c>
      <c r="Q369" s="12" t="s">
        <v>102</v>
      </c>
      <c r="R369" s="12">
        <v>554245</v>
      </c>
      <c r="S369" s="12" t="s">
        <v>103</v>
      </c>
      <c r="T369" s="206">
        <v>620</v>
      </c>
      <c r="U369" s="206">
        <v>4320</v>
      </c>
      <c r="V369" s="12">
        <v>2.6783999999999999</v>
      </c>
      <c r="W369" s="198">
        <v>120</v>
      </c>
      <c r="X369" s="254">
        <v>6</v>
      </c>
      <c r="Y369" s="12" t="s">
        <v>75</v>
      </c>
      <c r="Z369" s="12"/>
      <c r="AA369" s="12" t="s">
        <v>108</v>
      </c>
      <c r="AB369" s="13" t="s">
        <v>967</v>
      </c>
      <c r="AC369" s="14">
        <v>45995</v>
      </c>
      <c r="AD369" s="15">
        <v>49</v>
      </c>
      <c r="AE369" s="176" t="s">
        <v>4004</v>
      </c>
      <c r="AF369" s="12">
        <v>371009258</v>
      </c>
      <c r="AG369" s="12" t="s">
        <v>122</v>
      </c>
      <c r="AH369" s="12" t="s">
        <v>105</v>
      </c>
      <c r="AI369" s="14">
        <v>46005</v>
      </c>
      <c r="AJ369" s="14">
        <v>46005</v>
      </c>
      <c r="AK369" s="14">
        <v>46007</v>
      </c>
      <c r="AL369" s="14">
        <v>46051</v>
      </c>
      <c r="AM369" s="14">
        <v>46058</v>
      </c>
      <c r="AN369" s="14">
        <v>46061</v>
      </c>
      <c r="AO369" s="91" t="s">
        <v>156</v>
      </c>
      <c r="AP369" s="12" t="s">
        <v>3999</v>
      </c>
      <c r="AQ369" s="12"/>
      <c r="AR369" s="12" t="s">
        <v>4005</v>
      </c>
      <c r="AS369" s="12" t="s">
        <v>4006</v>
      </c>
      <c r="AT369" s="12" t="s">
        <v>4007</v>
      </c>
      <c r="AU369" s="12">
        <v>46</v>
      </c>
      <c r="AV369" s="12"/>
      <c r="AW369" s="12">
        <v>5</v>
      </c>
      <c r="AX369" s="12">
        <v>66</v>
      </c>
      <c r="AY369" s="14">
        <v>46007</v>
      </c>
      <c r="AZ369" s="14">
        <v>46061</v>
      </c>
      <c r="BA369" s="12" t="e">
        <v>#N/A</v>
      </c>
      <c r="BB369" s="14" t="s">
        <v>2480</v>
      </c>
      <c r="BC369" s="14">
        <v>46075</v>
      </c>
      <c r="BD369" s="16">
        <v>2026</v>
      </c>
      <c r="BE369" s="16">
        <v>2</v>
      </c>
      <c r="BF369" s="16">
        <v>8</v>
      </c>
      <c r="BG369" s="191">
        <v>36</v>
      </c>
      <c r="BH369" s="191">
        <v>720</v>
      </c>
    </row>
    <row r="370" spans="1:60" ht="10">
      <c r="A370" s="11" t="s">
        <v>4008</v>
      </c>
      <c r="B370" s="12" t="s">
        <v>111</v>
      </c>
      <c r="C370" s="12" t="s">
        <v>3980</v>
      </c>
      <c r="D370" s="12" t="s">
        <v>63</v>
      </c>
      <c r="E370" s="12" t="s">
        <v>144</v>
      </c>
      <c r="F370" s="12" t="s">
        <v>145</v>
      </c>
      <c r="G370" s="12" t="s">
        <v>677</v>
      </c>
      <c r="H370" s="12" t="s">
        <v>156</v>
      </c>
      <c r="I370" s="12" t="s">
        <v>677</v>
      </c>
      <c r="J370" s="34" t="s">
        <v>68</v>
      </c>
      <c r="K370" s="12"/>
      <c r="L370" s="13" t="s">
        <v>2732</v>
      </c>
      <c r="M370" s="236" t="s">
        <v>68</v>
      </c>
      <c r="N370" s="182"/>
      <c r="O370" s="12" t="s">
        <v>2475</v>
      </c>
      <c r="P370" s="12" t="s">
        <v>70</v>
      </c>
      <c r="Q370" s="12" t="s">
        <v>1002</v>
      </c>
      <c r="R370" s="12">
        <v>554246</v>
      </c>
      <c r="S370" s="12" t="s">
        <v>330</v>
      </c>
      <c r="T370" s="206">
        <v>625</v>
      </c>
      <c r="U370" s="206">
        <v>5040</v>
      </c>
      <c r="V370" s="12">
        <v>3.15</v>
      </c>
      <c r="W370" s="198">
        <v>140</v>
      </c>
      <c r="X370" s="254">
        <v>7</v>
      </c>
      <c r="Y370" s="12" t="s">
        <v>75</v>
      </c>
      <c r="Z370" s="12"/>
      <c r="AA370" s="12" t="s">
        <v>3780</v>
      </c>
      <c r="AB370" s="247" t="s">
        <v>3733</v>
      </c>
      <c r="AC370" s="14">
        <v>45996</v>
      </c>
      <c r="AD370" s="15">
        <v>49</v>
      </c>
      <c r="AE370" s="176" t="s">
        <v>4009</v>
      </c>
      <c r="AF370" s="12">
        <v>371009262</v>
      </c>
      <c r="AG370" s="12" t="s">
        <v>122</v>
      </c>
      <c r="AH370" s="12" t="s">
        <v>105</v>
      </c>
      <c r="AI370" s="14">
        <v>46005</v>
      </c>
      <c r="AJ370" s="14">
        <v>46005</v>
      </c>
      <c r="AK370" s="14">
        <v>46007</v>
      </c>
      <c r="AL370" s="14">
        <v>46051</v>
      </c>
      <c r="AM370" s="14">
        <v>46058</v>
      </c>
      <c r="AN370" s="14">
        <v>46061</v>
      </c>
      <c r="AO370" s="91" t="s">
        <v>156</v>
      </c>
      <c r="AP370" s="12" t="s">
        <v>3999</v>
      </c>
      <c r="AQ370" s="12"/>
      <c r="AR370" s="12" t="s">
        <v>4010</v>
      </c>
      <c r="AS370" s="12" t="s">
        <v>4011</v>
      </c>
      <c r="AT370" s="12" t="s">
        <v>4012</v>
      </c>
      <c r="AU370" s="12">
        <v>46</v>
      </c>
      <c r="AV370" s="12"/>
      <c r="AW370" s="12">
        <v>6</v>
      </c>
      <c r="AX370" s="12">
        <v>65</v>
      </c>
      <c r="AY370" s="14">
        <v>46007</v>
      </c>
      <c r="AZ370" s="14">
        <v>46061</v>
      </c>
      <c r="BA370" s="12" t="e">
        <v>#N/A</v>
      </c>
      <c r="BB370" s="14" t="s">
        <v>2480</v>
      </c>
      <c r="BC370" s="14">
        <v>46075</v>
      </c>
      <c r="BD370" s="16">
        <v>2026</v>
      </c>
      <c r="BE370" s="16">
        <v>2</v>
      </c>
      <c r="BF370" s="16">
        <v>8</v>
      </c>
      <c r="BG370" s="191">
        <v>36</v>
      </c>
      <c r="BH370" s="191">
        <v>720</v>
      </c>
    </row>
    <row r="371" spans="1:60" ht="10">
      <c r="A371" s="11" t="s">
        <v>4013</v>
      </c>
      <c r="B371" s="12" t="s">
        <v>111</v>
      </c>
      <c r="C371" s="12" t="s">
        <v>3995</v>
      </c>
      <c r="D371" s="12" t="s">
        <v>63</v>
      </c>
      <c r="E371" s="12" t="s">
        <v>144</v>
      </c>
      <c r="F371" s="12" t="s">
        <v>145</v>
      </c>
      <c r="G371" s="12" t="s">
        <v>677</v>
      </c>
      <c r="H371" s="12" t="s">
        <v>156</v>
      </c>
      <c r="I371" s="12" t="s">
        <v>677</v>
      </c>
      <c r="J371" s="34" t="s">
        <v>68</v>
      </c>
      <c r="K371" s="12"/>
      <c r="L371" s="13" t="s">
        <v>2732</v>
      </c>
      <c r="M371" s="236" t="s">
        <v>68</v>
      </c>
      <c r="N371" s="182"/>
      <c r="O371" s="12" t="s">
        <v>2475</v>
      </c>
      <c r="P371" s="12" t="s">
        <v>70</v>
      </c>
      <c r="Q371" s="12" t="s">
        <v>102</v>
      </c>
      <c r="R371" s="12">
        <v>554245</v>
      </c>
      <c r="S371" s="12" t="s">
        <v>103</v>
      </c>
      <c r="T371" s="206">
        <v>620</v>
      </c>
      <c r="U371" s="206">
        <v>9360</v>
      </c>
      <c r="V371" s="12">
        <v>5.8032000000000004</v>
      </c>
      <c r="W371" s="198">
        <v>260</v>
      </c>
      <c r="X371" s="254">
        <v>13</v>
      </c>
      <c r="Y371" s="12" t="s">
        <v>75</v>
      </c>
      <c r="Z371" s="12"/>
      <c r="AA371" s="12" t="s">
        <v>108</v>
      </c>
      <c r="AB371" s="247" t="s">
        <v>3733</v>
      </c>
      <c r="AC371" s="14">
        <v>46002</v>
      </c>
      <c r="AD371" s="15">
        <v>50</v>
      </c>
      <c r="AE371" s="176" t="s">
        <v>4014</v>
      </c>
      <c r="AF371" s="12">
        <v>371009300</v>
      </c>
      <c r="AG371" s="12" t="s">
        <v>122</v>
      </c>
      <c r="AH371" s="12" t="s">
        <v>105</v>
      </c>
      <c r="AI371" s="14">
        <v>46009</v>
      </c>
      <c r="AJ371" s="14">
        <v>46016</v>
      </c>
      <c r="AK371" s="14">
        <v>46016</v>
      </c>
      <c r="AL371" s="14">
        <v>46059</v>
      </c>
      <c r="AM371" s="14">
        <v>46068</v>
      </c>
      <c r="AN371" s="14">
        <v>46069</v>
      </c>
      <c r="AO371" s="91" t="s">
        <v>156</v>
      </c>
      <c r="AP371" s="12" t="s">
        <v>4015</v>
      </c>
      <c r="AQ371" s="12"/>
      <c r="AR371" s="12" t="s">
        <v>4016</v>
      </c>
      <c r="AS371" s="12" t="s">
        <v>4017</v>
      </c>
      <c r="AT371" s="12" t="s">
        <v>4018</v>
      </c>
      <c r="AU371" s="12">
        <v>50</v>
      </c>
      <c r="AV371" s="12"/>
      <c r="AW371" s="12">
        <v>5</v>
      </c>
      <c r="AX371" s="12">
        <v>67</v>
      </c>
      <c r="AY371" s="14">
        <v>46016</v>
      </c>
      <c r="AZ371" s="14">
        <v>46069</v>
      </c>
      <c r="BA371" s="12" t="e">
        <v>#N/A</v>
      </c>
      <c r="BB371" s="14" t="s">
        <v>2480</v>
      </c>
      <c r="BC371" s="14">
        <v>46083</v>
      </c>
      <c r="BD371" s="16">
        <v>2026</v>
      </c>
      <c r="BE371" s="16">
        <v>3</v>
      </c>
      <c r="BF371" s="16">
        <v>10</v>
      </c>
      <c r="BG371" s="191">
        <v>36</v>
      </c>
      <c r="BH371" s="191">
        <v>720</v>
      </c>
    </row>
    <row r="372" spans="1:60" ht="10">
      <c r="A372" s="11" t="s">
        <v>4019</v>
      </c>
      <c r="B372" s="12" t="s">
        <v>111</v>
      </c>
      <c r="C372" s="12" t="s">
        <v>3995</v>
      </c>
      <c r="D372" s="12" t="s">
        <v>63</v>
      </c>
      <c r="E372" s="12" t="s">
        <v>144</v>
      </c>
      <c r="F372" s="12" t="s">
        <v>145</v>
      </c>
      <c r="G372" s="12" t="s">
        <v>677</v>
      </c>
      <c r="H372" s="12" t="s">
        <v>156</v>
      </c>
      <c r="I372" s="12" t="s">
        <v>677</v>
      </c>
      <c r="J372" s="34" t="s">
        <v>68</v>
      </c>
      <c r="K372" s="12"/>
      <c r="L372" s="13" t="s">
        <v>2732</v>
      </c>
      <c r="M372" s="236" t="s">
        <v>68</v>
      </c>
      <c r="N372" s="182"/>
      <c r="O372" s="12" t="s">
        <v>2475</v>
      </c>
      <c r="P372" s="12" t="s">
        <v>70</v>
      </c>
      <c r="Q372" s="12" t="s">
        <v>102</v>
      </c>
      <c r="R372" s="12">
        <v>554245</v>
      </c>
      <c r="S372" s="12" t="s">
        <v>103</v>
      </c>
      <c r="T372" s="206">
        <v>620</v>
      </c>
      <c r="U372" s="206">
        <v>5760</v>
      </c>
      <c r="V372" s="12">
        <v>3.5712000000000002</v>
      </c>
      <c r="W372" s="198">
        <v>160</v>
      </c>
      <c r="X372" s="254">
        <v>8</v>
      </c>
      <c r="Y372" s="12" t="s">
        <v>75</v>
      </c>
      <c r="Z372" s="12"/>
      <c r="AA372" s="12" t="s">
        <v>108</v>
      </c>
      <c r="AB372" s="247" t="s">
        <v>3733</v>
      </c>
      <c r="AC372" s="14">
        <v>46003</v>
      </c>
      <c r="AD372" s="15">
        <v>50</v>
      </c>
      <c r="AE372" s="176" t="s">
        <v>4020</v>
      </c>
      <c r="AF372" s="12">
        <v>371009301</v>
      </c>
      <c r="AG372" s="12" t="s">
        <v>122</v>
      </c>
      <c r="AH372" s="12" t="s">
        <v>105</v>
      </c>
      <c r="AI372" s="14">
        <v>46009</v>
      </c>
      <c r="AJ372" s="14">
        <v>46016</v>
      </c>
      <c r="AK372" s="14">
        <v>46016</v>
      </c>
      <c r="AL372" s="14">
        <v>46059</v>
      </c>
      <c r="AM372" s="14">
        <v>46068</v>
      </c>
      <c r="AN372" s="14">
        <v>46069</v>
      </c>
      <c r="AO372" s="91" t="s">
        <v>156</v>
      </c>
      <c r="AP372" s="12" t="s">
        <v>4015</v>
      </c>
      <c r="AQ372" s="12"/>
      <c r="AR372" s="12" t="s">
        <v>4021</v>
      </c>
      <c r="AS372" s="12" t="s">
        <v>4022</v>
      </c>
      <c r="AT372" s="12" t="s">
        <v>4023</v>
      </c>
      <c r="AU372" s="12">
        <v>50</v>
      </c>
      <c r="AV372" s="12"/>
      <c r="AW372" s="12">
        <v>5</v>
      </c>
      <c r="AX372" s="12">
        <v>66</v>
      </c>
      <c r="AY372" s="14">
        <v>46016</v>
      </c>
      <c r="AZ372" s="14">
        <v>46069</v>
      </c>
      <c r="BA372" s="12" t="e">
        <v>#N/A</v>
      </c>
      <c r="BB372" s="14" t="s">
        <v>2480</v>
      </c>
      <c r="BC372" s="14">
        <v>46083</v>
      </c>
      <c r="BD372" s="16">
        <v>2026</v>
      </c>
      <c r="BE372" s="16">
        <v>3</v>
      </c>
      <c r="BF372" s="16">
        <v>10</v>
      </c>
      <c r="BG372" s="191">
        <v>36</v>
      </c>
      <c r="BH372" s="191">
        <v>720</v>
      </c>
    </row>
    <row r="373" spans="1:60" ht="10">
      <c r="A373" s="11" t="s">
        <v>4024</v>
      </c>
      <c r="B373" s="12" t="s">
        <v>111</v>
      </c>
      <c r="C373" s="12" t="s">
        <v>3980</v>
      </c>
      <c r="D373" s="12" t="s">
        <v>63</v>
      </c>
      <c r="E373" s="12" t="s">
        <v>144</v>
      </c>
      <c r="F373" s="12" t="s">
        <v>145</v>
      </c>
      <c r="G373" s="12" t="s">
        <v>677</v>
      </c>
      <c r="H373" s="12" t="s">
        <v>156</v>
      </c>
      <c r="I373" s="12" t="s">
        <v>677</v>
      </c>
      <c r="J373" s="34" t="s">
        <v>68</v>
      </c>
      <c r="K373" s="12"/>
      <c r="L373" s="13" t="s">
        <v>2732</v>
      </c>
      <c r="M373" s="236" t="s">
        <v>68</v>
      </c>
      <c r="N373" s="182"/>
      <c r="O373" s="12" t="s">
        <v>2475</v>
      </c>
      <c r="P373" s="12" t="s">
        <v>70</v>
      </c>
      <c r="Q373" s="12" t="s">
        <v>1002</v>
      </c>
      <c r="R373" s="12">
        <v>554246</v>
      </c>
      <c r="S373" s="12" t="s">
        <v>330</v>
      </c>
      <c r="T373" s="206">
        <v>625</v>
      </c>
      <c r="U373" s="206">
        <v>3600</v>
      </c>
      <c r="V373" s="12">
        <v>2.25</v>
      </c>
      <c r="W373" s="198">
        <v>100</v>
      </c>
      <c r="X373" s="254">
        <v>5</v>
      </c>
      <c r="Y373" s="12" t="s">
        <v>75</v>
      </c>
      <c r="Z373" s="12"/>
      <c r="AA373" s="12" t="s">
        <v>3780</v>
      </c>
      <c r="AB373" s="247" t="s">
        <v>3733</v>
      </c>
      <c r="AC373" s="14">
        <v>46003</v>
      </c>
      <c r="AD373" s="15">
        <v>50</v>
      </c>
      <c r="AE373" s="176" t="s">
        <v>4025</v>
      </c>
      <c r="AF373" s="12">
        <v>371009303</v>
      </c>
      <c r="AG373" s="12" t="s">
        <v>122</v>
      </c>
      <c r="AH373" s="12" t="s">
        <v>105</v>
      </c>
      <c r="AI373" s="14">
        <v>46009</v>
      </c>
      <c r="AJ373" s="14">
        <v>46016</v>
      </c>
      <c r="AK373" s="14">
        <v>46016</v>
      </c>
      <c r="AL373" s="14">
        <v>46059</v>
      </c>
      <c r="AM373" s="14">
        <v>46068</v>
      </c>
      <c r="AN373" s="14">
        <v>46069</v>
      </c>
      <c r="AO373" s="91" t="s">
        <v>156</v>
      </c>
      <c r="AP373" s="12" t="s">
        <v>4015</v>
      </c>
      <c r="AQ373" s="12"/>
      <c r="AR373" s="12" t="s">
        <v>4021</v>
      </c>
      <c r="AS373" s="12" t="s">
        <v>4022</v>
      </c>
      <c r="AT373" s="12" t="s">
        <v>4023</v>
      </c>
      <c r="AU373" s="12">
        <v>50</v>
      </c>
      <c r="AV373" s="12"/>
      <c r="AW373" s="12">
        <v>6</v>
      </c>
      <c r="AX373" s="12">
        <v>66</v>
      </c>
      <c r="AY373" s="14">
        <v>46016</v>
      </c>
      <c r="AZ373" s="14">
        <v>46069</v>
      </c>
      <c r="BA373" s="12" t="e">
        <v>#N/A</v>
      </c>
      <c r="BB373" s="14" t="s">
        <v>2480</v>
      </c>
      <c r="BC373" s="14">
        <v>46083</v>
      </c>
      <c r="BD373" s="16">
        <v>2026</v>
      </c>
      <c r="BE373" s="16">
        <v>3</v>
      </c>
      <c r="BF373" s="16">
        <v>10</v>
      </c>
      <c r="BG373" s="191">
        <v>36</v>
      </c>
      <c r="BH373" s="191">
        <v>720</v>
      </c>
    </row>
    <row r="374" spans="1:60" ht="10">
      <c r="A374" s="11" t="s">
        <v>4026</v>
      </c>
      <c r="B374" s="12" t="s">
        <v>4027</v>
      </c>
      <c r="C374" s="12" t="s">
        <v>4028</v>
      </c>
      <c r="D374" s="12" t="s">
        <v>63</v>
      </c>
      <c r="E374" s="12" t="s">
        <v>68</v>
      </c>
      <c r="F374" s="12" t="s">
        <v>68</v>
      </c>
      <c r="G374" s="12"/>
      <c r="H374" s="12" t="s">
        <v>156</v>
      </c>
      <c r="I374" s="12" t="s">
        <v>677</v>
      </c>
      <c r="J374" s="34" t="s">
        <v>68</v>
      </c>
      <c r="K374" s="12"/>
      <c r="L374" s="13" t="s">
        <v>2732</v>
      </c>
      <c r="M374" s="12" t="s">
        <v>68</v>
      </c>
      <c r="N374" s="182"/>
      <c r="O374" s="12" t="s">
        <v>2475</v>
      </c>
      <c r="P374" s="12" t="s">
        <v>284</v>
      </c>
      <c r="Q374" s="12" t="s">
        <v>4029</v>
      </c>
      <c r="R374" s="12">
        <v>554313</v>
      </c>
      <c r="S374" s="12" t="s">
        <v>4030</v>
      </c>
      <c r="T374" s="206">
        <v>650</v>
      </c>
      <c r="U374" s="206">
        <v>7200</v>
      </c>
      <c r="V374" s="12">
        <v>4.68</v>
      </c>
      <c r="W374" s="198">
        <v>200</v>
      </c>
      <c r="X374" s="254">
        <v>10</v>
      </c>
      <c r="Y374" s="12" t="s">
        <v>75</v>
      </c>
      <c r="Z374" s="12"/>
      <c r="AA374" s="12" t="s">
        <v>108</v>
      </c>
      <c r="AB374" s="13" t="s">
        <v>992</v>
      </c>
      <c r="AC374" s="14">
        <v>45992</v>
      </c>
      <c r="AD374" s="15">
        <v>49</v>
      </c>
      <c r="AE374" s="176" t="s">
        <v>4031</v>
      </c>
      <c r="AF374" s="12">
        <v>371009265</v>
      </c>
      <c r="AG374" s="12" t="s">
        <v>1525</v>
      </c>
      <c r="AH374" s="12" t="s">
        <v>105</v>
      </c>
      <c r="AI374" s="14">
        <v>46000</v>
      </c>
      <c r="AJ374" s="14">
        <v>46000</v>
      </c>
      <c r="AK374" s="14">
        <v>46000</v>
      </c>
      <c r="AL374" s="14">
        <v>46038</v>
      </c>
      <c r="AM374" s="14">
        <v>46041</v>
      </c>
      <c r="AN374" s="14">
        <v>46044</v>
      </c>
      <c r="AO374" s="91" t="s">
        <v>156</v>
      </c>
      <c r="AP374" s="12" t="s">
        <v>4032</v>
      </c>
      <c r="AQ374" s="12"/>
      <c r="AR374" s="12" t="s">
        <v>4033</v>
      </c>
      <c r="AS374" s="12" t="s">
        <v>4034</v>
      </c>
      <c r="AT374" s="12" t="s">
        <v>4035</v>
      </c>
      <c r="AU374" s="12">
        <v>38</v>
      </c>
      <c r="AV374" s="12" t="s">
        <v>2493</v>
      </c>
      <c r="AW374" s="12">
        <v>3</v>
      </c>
      <c r="AX374" s="12">
        <v>52</v>
      </c>
      <c r="AY374" s="14">
        <v>46000</v>
      </c>
      <c r="AZ374" s="14">
        <v>46044</v>
      </c>
      <c r="BA374" s="12" t="e">
        <v>#N/A</v>
      </c>
      <c r="BB374" s="14" t="s">
        <v>2480</v>
      </c>
      <c r="BC374" s="14">
        <v>46058</v>
      </c>
      <c r="BD374" s="16">
        <v>2026</v>
      </c>
      <c r="BE374" s="16">
        <v>2</v>
      </c>
      <c r="BF374" s="16">
        <v>6</v>
      </c>
      <c r="BG374" s="191">
        <v>36</v>
      </c>
      <c r="BH374" s="191">
        <v>720</v>
      </c>
    </row>
    <row r="375" spans="1:60" ht="10">
      <c r="A375" s="11" t="s">
        <v>4036</v>
      </c>
      <c r="B375" s="12" t="s">
        <v>4027</v>
      </c>
      <c r="C375" s="12" t="s">
        <v>4037</v>
      </c>
      <c r="D375" s="12" t="s">
        <v>63</v>
      </c>
      <c r="E375" s="12" t="s">
        <v>68</v>
      </c>
      <c r="F375" s="12" t="s">
        <v>68</v>
      </c>
      <c r="G375" s="12"/>
      <c r="H375" s="12" t="s">
        <v>156</v>
      </c>
      <c r="I375" s="12" t="s">
        <v>677</v>
      </c>
      <c r="J375" s="34" t="s">
        <v>68</v>
      </c>
      <c r="K375" s="12"/>
      <c r="L375" s="13" t="s">
        <v>2732</v>
      </c>
      <c r="M375" s="12" t="s">
        <v>68</v>
      </c>
      <c r="N375" s="182"/>
      <c r="O375" s="12" t="s">
        <v>2475</v>
      </c>
      <c r="P375" s="12" t="s">
        <v>284</v>
      </c>
      <c r="Q375" s="12" t="s">
        <v>4038</v>
      </c>
      <c r="R375" s="12">
        <v>554312</v>
      </c>
      <c r="S375" s="12" t="s">
        <v>4039</v>
      </c>
      <c r="T375" s="206">
        <v>645</v>
      </c>
      <c r="U375" s="206">
        <v>7200</v>
      </c>
      <c r="V375" s="12">
        <v>4.6440000000000001</v>
      </c>
      <c r="W375" s="198">
        <v>200</v>
      </c>
      <c r="X375" s="254">
        <v>10</v>
      </c>
      <c r="Y375" s="12" t="s">
        <v>75</v>
      </c>
      <c r="Z375" s="12"/>
      <c r="AA375" s="12" t="s">
        <v>108</v>
      </c>
      <c r="AB375" s="13" t="s">
        <v>992</v>
      </c>
      <c r="AC375" s="14">
        <v>45994</v>
      </c>
      <c r="AD375" s="15">
        <v>49</v>
      </c>
      <c r="AE375" s="176" t="s">
        <v>4040</v>
      </c>
      <c r="AF375" s="12">
        <v>371009263</v>
      </c>
      <c r="AG375" s="12" t="s">
        <v>1525</v>
      </c>
      <c r="AH375" s="12" t="s">
        <v>105</v>
      </c>
      <c r="AI375" s="14">
        <v>46000</v>
      </c>
      <c r="AJ375" s="14">
        <v>46000</v>
      </c>
      <c r="AK375" s="14">
        <v>46000</v>
      </c>
      <c r="AL375" s="14">
        <v>46038</v>
      </c>
      <c r="AM375" s="14">
        <v>46041</v>
      </c>
      <c r="AN375" s="14">
        <v>46044</v>
      </c>
      <c r="AO375" s="91" t="s">
        <v>156</v>
      </c>
      <c r="AP375" s="12" t="s">
        <v>4032</v>
      </c>
      <c r="AQ375" s="12"/>
      <c r="AR375" s="12" t="s">
        <v>4041</v>
      </c>
      <c r="AS375" s="12" t="s">
        <v>4042</v>
      </c>
      <c r="AT375" s="12" t="s">
        <v>4043</v>
      </c>
      <c r="AU375" s="12">
        <v>38</v>
      </c>
      <c r="AV375" s="12" t="s">
        <v>2493</v>
      </c>
      <c r="AW375" s="12">
        <v>3</v>
      </c>
      <c r="AX375" s="12">
        <v>50</v>
      </c>
      <c r="AY375" s="14">
        <v>46000</v>
      </c>
      <c r="AZ375" s="14">
        <v>46044</v>
      </c>
      <c r="BA375" s="12" t="e">
        <v>#N/A</v>
      </c>
      <c r="BB375" s="14" t="s">
        <v>2480</v>
      </c>
      <c r="BC375" s="14">
        <v>46058</v>
      </c>
      <c r="BD375" s="16">
        <v>2026</v>
      </c>
      <c r="BE375" s="16">
        <v>2</v>
      </c>
      <c r="BF375" s="16">
        <v>6</v>
      </c>
      <c r="BG375" s="191">
        <v>36</v>
      </c>
      <c r="BH375" s="191">
        <v>720</v>
      </c>
    </row>
    <row r="376" spans="1:60" ht="10">
      <c r="A376" s="11" t="s">
        <v>4044</v>
      </c>
      <c r="B376" s="12" t="s">
        <v>4027</v>
      </c>
      <c r="C376" s="12" t="s">
        <v>4028</v>
      </c>
      <c r="D376" s="12" t="s">
        <v>63</v>
      </c>
      <c r="E376" s="12" t="s">
        <v>144</v>
      </c>
      <c r="F376" s="12" t="s">
        <v>145</v>
      </c>
      <c r="G376" s="12" t="s">
        <v>677</v>
      </c>
      <c r="H376" s="12" t="s">
        <v>156</v>
      </c>
      <c r="I376" s="12" t="s">
        <v>677</v>
      </c>
      <c r="J376" s="34" t="s">
        <v>68</v>
      </c>
      <c r="K376" s="12"/>
      <c r="L376" s="13" t="s">
        <v>2732</v>
      </c>
      <c r="M376" s="236" t="s">
        <v>68</v>
      </c>
      <c r="N376" s="182"/>
      <c r="O376" s="12" t="s">
        <v>2475</v>
      </c>
      <c r="P376" s="12" t="s">
        <v>284</v>
      </c>
      <c r="Q376" s="12" t="s">
        <v>4029</v>
      </c>
      <c r="R376" s="12">
        <v>554313</v>
      </c>
      <c r="S376" s="12" t="s">
        <v>4030</v>
      </c>
      <c r="T376" s="206">
        <v>650</v>
      </c>
      <c r="U376" s="206">
        <v>5040</v>
      </c>
      <c r="V376" s="12">
        <v>3.2759999999999998</v>
      </c>
      <c r="W376" s="198">
        <v>140</v>
      </c>
      <c r="X376" s="254">
        <v>7</v>
      </c>
      <c r="Y376" s="12" t="s">
        <v>75</v>
      </c>
      <c r="Z376" s="12"/>
      <c r="AA376" s="12" t="s">
        <v>108</v>
      </c>
      <c r="AB376" s="13" t="s">
        <v>992</v>
      </c>
      <c r="AC376" s="14">
        <v>45995</v>
      </c>
      <c r="AD376" s="15">
        <v>49</v>
      </c>
      <c r="AE376" s="176" t="s">
        <v>4045</v>
      </c>
      <c r="AF376" s="12">
        <v>371009266</v>
      </c>
      <c r="AG376" s="12" t="s">
        <v>1525</v>
      </c>
      <c r="AH376" s="12" t="s">
        <v>105</v>
      </c>
      <c r="AI376" s="14">
        <v>46005</v>
      </c>
      <c r="AJ376" s="14">
        <v>46005</v>
      </c>
      <c r="AK376" s="14">
        <v>46004</v>
      </c>
      <c r="AL376" s="14">
        <v>46051</v>
      </c>
      <c r="AM376" s="14">
        <v>46058</v>
      </c>
      <c r="AN376" s="14">
        <v>46061</v>
      </c>
      <c r="AO376" s="91" t="s">
        <v>156</v>
      </c>
      <c r="AP376" s="12" t="s">
        <v>3999</v>
      </c>
      <c r="AQ376" s="12"/>
      <c r="AR376" s="12" t="s">
        <v>4046</v>
      </c>
      <c r="AS376" s="12" t="s">
        <v>4047</v>
      </c>
      <c r="AT376" s="12" t="s">
        <v>4048</v>
      </c>
      <c r="AU376" s="12">
        <v>46</v>
      </c>
      <c r="AV376" s="12" t="s">
        <v>2493</v>
      </c>
      <c r="AW376" s="12">
        <v>3</v>
      </c>
      <c r="AX376" s="12">
        <v>66</v>
      </c>
      <c r="AY376" s="14">
        <v>46004</v>
      </c>
      <c r="AZ376" s="14">
        <v>46061</v>
      </c>
      <c r="BA376" s="12" t="e">
        <v>#N/A</v>
      </c>
      <c r="BB376" s="14" t="s">
        <v>2480</v>
      </c>
      <c r="BC376" s="14">
        <v>46075</v>
      </c>
      <c r="BD376" s="16">
        <v>2026</v>
      </c>
      <c r="BE376" s="16">
        <v>2</v>
      </c>
      <c r="BF376" s="16">
        <v>8</v>
      </c>
      <c r="BG376" s="191">
        <v>36</v>
      </c>
      <c r="BH376" s="191">
        <v>720</v>
      </c>
    </row>
    <row r="377" spans="1:60" ht="10">
      <c r="A377" s="11" t="s">
        <v>4049</v>
      </c>
      <c r="B377" s="12" t="s">
        <v>4027</v>
      </c>
      <c r="C377" s="12" t="s">
        <v>4037</v>
      </c>
      <c r="D377" s="12" t="s">
        <v>63</v>
      </c>
      <c r="E377" s="12" t="s">
        <v>144</v>
      </c>
      <c r="F377" s="12" t="s">
        <v>145</v>
      </c>
      <c r="G377" s="12" t="s">
        <v>677</v>
      </c>
      <c r="H377" s="12" t="s">
        <v>156</v>
      </c>
      <c r="I377" s="12" t="s">
        <v>677</v>
      </c>
      <c r="J377" s="34" t="s">
        <v>68</v>
      </c>
      <c r="K377" s="12"/>
      <c r="L377" s="13" t="s">
        <v>2732</v>
      </c>
      <c r="M377" s="236" t="s">
        <v>68</v>
      </c>
      <c r="N377" s="182"/>
      <c r="O377" s="12" t="s">
        <v>2475</v>
      </c>
      <c r="P377" s="12" t="s">
        <v>284</v>
      </c>
      <c r="Q377" s="12" t="s">
        <v>4038</v>
      </c>
      <c r="R377" s="12">
        <v>554312</v>
      </c>
      <c r="S377" s="12" t="s">
        <v>4039</v>
      </c>
      <c r="T377" s="206">
        <v>645</v>
      </c>
      <c r="U377" s="206">
        <v>7200</v>
      </c>
      <c r="V377" s="12">
        <v>4.6440000000000001</v>
      </c>
      <c r="W377" s="198">
        <v>200</v>
      </c>
      <c r="X377" s="254">
        <v>10</v>
      </c>
      <c r="Y377" s="12" t="s">
        <v>75</v>
      </c>
      <c r="Z377" s="12"/>
      <c r="AA377" s="12" t="s">
        <v>108</v>
      </c>
      <c r="AB377" s="13" t="s">
        <v>992</v>
      </c>
      <c r="AC377" s="14">
        <v>45996</v>
      </c>
      <c r="AD377" s="15">
        <v>49</v>
      </c>
      <c r="AE377" s="176" t="s">
        <v>4050</v>
      </c>
      <c r="AF377" s="12">
        <v>371009264</v>
      </c>
      <c r="AG377" s="12" t="s">
        <v>1525</v>
      </c>
      <c r="AH377" s="12" t="s">
        <v>105</v>
      </c>
      <c r="AI377" s="14">
        <v>46005</v>
      </c>
      <c r="AJ377" s="14">
        <v>46005</v>
      </c>
      <c r="AK377" s="14">
        <v>46004</v>
      </c>
      <c r="AL377" s="14">
        <v>46051</v>
      </c>
      <c r="AM377" s="14">
        <v>46058</v>
      </c>
      <c r="AN377" s="14">
        <v>46061</v>
      </c>
      <c r="AO377" s="91" t="s">
        <v>156</v>
      </c>
      <c r="AP377" s="12" t="s">
        <v>3999</v>
      </c>
      <c r="AQ377" s="12"/>
      <c r="AR377" s="12" t="s">
        <v>4051</v>
      </c>
      <c r="AS377" s="12" t="s">
        <v>4052</v>
      </c>
      <c r="AT377" s="12" t="s">
        <v>4053</v>
      </c>
      <c r="AU377" s="12">
        <v>46</v>
      </c>
      <c r="AV377" s="12" t="s">
        <v>2493</v>
      </c>
      <c r="AW377" s="12">
        <v>3</v>
      </c>
      <c r="AX377" s="12">
        <v>65</v>
      </c>
      <c r="AY377" s="14">
        <v>46004</v>
      </c>
      <c r="AZ377" s="14">
        <v>46061</v>
      </c>
      <c r="BA377" s="12" t="e">
        <v>#N/A</v>
      </c>
      <c r="BB377" s="14" t="s">
        <v>2480</v>
      </c>
      <c r="BC377" s="14">
        <v>46075</v>
      </c>
      <c r="BD377" s="16">
        <v>2026</v>
      </c>
      <c r="BE377" s="16">
        <v>2</v>
      </c>
      <c r="BF377" s="16">
        <v>8</v>
      </c>
      <c r="BG377" s="191">
        <v>36</v>
      </c>
      <c r="BH377" s="191">
        <v>720</v>
      </c>
    </row>
    <row r="378" spans="1:60" ht="10">
      <c r="A378" s="11" t="s">
        <v>4054</v>
      </c>
      <c r="B378" s="12" t="s">
        <v>4027</v>
      </c>
      <c r="C378" s="12" t="s">
        <v>4037</v>
      </c>
      <c r="D378" s="12" t="s">
        <v>63</v>
      </c>
      <c r="E378" s="12" t="s">
        <v>144</v>
      </c>
      <c r="F378" s="12" t="s">
        <v>145</v>
      </c>
      <c r="G378" s="12" t="s">
        <v>677</v>
      </c>
      <c r="H378" s="12" t="s">
        <v>156</v>
      </c>
      <c r="I378" s="12" t="s">
        <v>677</v>
      </c>
      <c r="J378" s="34" t="s">
        <v>68</v>
      </c>
      <c r="K378" s="12"/>
      <c r="L378" s="13" t="s">
        <v>2732</v>
      </c>
      <c r="M378" s="236" t="s">
        <v>68</v>
      </c>
      <c r="N378" s="182"/>
      <c r="O378" s="12" t="s">
        <v>2475</v>
      </c>
      <c r="P378" s="12" t="s">
        <v>284</v>
      </c>
      <c r="Q378" s="12" t="s">
        <v>4038</v>
      </c>
      <c r="R378" s="12">
        <v>554312</v>
      </c>
      <c r="S378" s="12" t="s">
        <v>4039</v>
      </c>
      <c r="T378" s="206">
        <v>645</v>
      </c>
      <c r="U378" s="206">
        <v>5040</v>
      </c>
      <c r="V378" s="12">
        <v>3.2507999999999999</v>
      </c>
      <c r="W378" s="198">
        <v>140</v>
      </c>
      <c r="X378" s="254">
        <v>7</v>
      </c>
      <c r="Y378" s="12" t="s">
        <v>75</v>
      </c>
      <c r="Z378" s="12"/>
      <c r="AA378" s="12" t="s">
        <v>108</v>
      </c>
      <c r="AB378" s="13" t="s">
        <v>992</v>
      </c>
      <c r="AC378" s="14">
        <v>45998</v>
      </c>
      <c r="AD378" s="15">
        <v>49</v>
      </c>
      <c r="AE378" s="176" t="s">
        <v>4055</v>
      </c>
      <c r="AF378" s="12">
        <v>371009305</v>
      </c>
      <c r="AG378" s="12" t="s">
        <v>1525</v>
      </c>
      <c r="AH378" s="12" t="s">
        <v>105</v>
      </c>
      <c r="AI378" s="14">
        <v>46011</v>
      </c>
      <c r="AJ378" s="14">
        <v>46024</v>
      </c>
      <c r="AK378" s="14">
        <v>46024</v>
      </c>
      <c r="AL378" s="14">
        <v>46046</v>
      </c>
      <c r="AM378" s="14">
        <v>46059</v>
      </c>
      <c r="AN378" s="14">
        <v>46064</v>
      </c>
      <c r="AO378" s="91" t="s">
        <v>156</v>
      </c>
      <c r="AP378" s="12" t="s">
        <v>4056</v>
      </c>
      <c r="AQ378" s="12"/>
      <c r="AR378" s="12" t="s">
        <v>4057</v>
      </c>
      <c r="AS378" s="12" t="s">
        <v>4058</v>
      </c>
      <c r="AT378" s="12" t="s">
        <v>4059</v>
      </c>
      <c r="AU378" s="12">
        <v>35</v>
      </c>
      <c r="AV378" s="12" t="s">
        <v>2493</v>
      </c>
      <c r="AW378" s="12">
        <v>3</v>
      </c>
      <c r="AX378" s="12">
        <v>66</v>
      </c>
      <c r="AY378" s="14">
        <v>46024</v>
      </c>
      <c r="AZ378" s="14">
        <v>46064</v>
      </c>
      <c r="BA378" s="12" t="e">
        <v>#N/A</v>
      </c>
      <c r="BB378" s="14" t="s">
        <v>2480</v>
      </c>
      <c r="BC378" s="14">
        <v>46078</v>
      </c>
      <c r="BD378" s="16">
        <v>2026</v>
      </c>
      <c r="BE378" s="16">
        <v>2</v>
      </c>
      <c r="BF378" s="16">
        <v>9</v>
      </c>
      <c r="BG378" s="191">
        <v>36</v>
      </c>
      <c r="BH378" s="191">
        <v>720</v>
      </c>
    </row>
    <row r="379" spans="1:60" ht="10">
      <c r="A379" s="11" t="s">
        <v>4060</v>
      </c>
      <c r="B379" s="12" t="s">
        <v>4027</v>
      </c>
      <c r="C379" s="12" t="s">
        <v>4028</v>
      </c>
      <c r="D379" s="12" t="s">
        <v>63</v>
      </c>
      <c r="E379" s="12" t="s">
        <v>144</v>
      </c>
      <c r="F379" s="12" t="s">
        <v>145</v>
      </c>
      <c r="G379" s="12" t="s">
        <v>677</v>
      </c>
      <c r="H379" s="12" t="s">
        <v>156</v>
      </c>
      <c r="I379" s="12" t="s">
        <v>677</v>
      </c>
      <c r="J379" s="34" t="s">
        <v>68</v>
      </c>
      <c r="K379" s="12"/>
      <c r="L379" s="13" t="s">
        <v>2732</v>
      </c>
      <c r="M379" s="236" t="s">
        <v>68</v>
      </c>
      <c r="N379" s="182"/>
      <c r="O379" s="12" t="s">
        <v>2475</v>
      </c>
      <c r="P379" s="12" t="s">
        <v>284</v>
      </c>
      <c r="Q379" s="12" t="s">
        <v>4029</v>
      </c>
      <c r="R379" s="12">
        <v>554313</v>
      </c>
      <c r="S379" s="12" t="s">
        <v>4030</v>
      </c>
      <c r="T379" s="206">
        <v>650</v>
      </c>
      <c r="U379" s="206">
        <v>2160</v>
      </c>
      <c r="V379" s="12">
        <v>1.4039999999999999</v>
      </c>
      <c r="W379" s="198">
        <v>60</v>
      </c>
      <c r="X379" s="254">
        <v>3</v>
      </c>
      <c r="Y379" s="12" t="s">
        <v>75</v>
      </c>
      <c r="Z379" s="12"/>
      <c r="AA379" s="12" t="s">
        <v>108</v>
      </c>
      <c r="AB379" s="13" t="s">
        <v>992</v>
      </c>
      <c r="AC379" s="14">
        <v>45998</v>
      </c>
      <c r="AD379" s="15">
        <v>49</v>
      </c>
      <c r="AE379" s="176" t="s">
        <v>4061</v>
      </c>
      <c r="AF379" s="12">
        <v>371009306</v>
      </c>
      <c r="AG379" s="12" t="s">
        <v>1525</v>
      </c>
      <c r="AH379" s="12" t="s">
        <v>105</v>
      </c>
      <c r="AI379" s="14">
        <v>46011</v>
      </c>
      <c r="AJ379" s="14">
        <v>46024</v>
      </c>
      <c r="AK379" s="14">
        <v>46024</v>
      </c>
      <c r="AL379" s="14">
        <v>46046</v>
      </c>
      <c r="AM379" s="14">
        <v>46059</v>
      </c>
      <c r="AN379" s="14">
        <v>46064</v>
      </c>
      <c r="AO379" s="91" t="s">
        <v>156</v>
      </c>
      <c r="AP379" s="12" t="s">
        <v>4056</v>
      </c>
      <c r="AQ379" s="12"/>
      <c r="AR379" s="12" t="s">
        <v>4057</v>
      </c>
      <c r="AS379" s="12" t="s">
        <v>4058</v>
      </c>
      <c r="AT379" s="12" t="s">
        <v>4059</v>
      </c>
      <c r="AU379" s="12">
        <v>35</v>
      </c>
      <c r="AV379" s="12" t="s">
        <v>2493</v>
      </c>
      <c r="AW379" s="12">
        <v>3</v>
      </c>
      <c r="AX379" s="12">
        <v>66</v>
      </c>
      <c r="AY379" s="14">
        <v>46024</v>
      </c>
      <c r="AZ379" s="14">
        <v>46064</v>
      </c>
      <c r="BA379" s="12" t="e">
        <v>#N/A</v>
      </c>
      <c r="BB379" s="14" t="s">
        <v>2480</v>
      </c>
      <c r="BC379" s="14">
        <v>46078</v>
      </c>
      <c r="BD379" s="16">
        <v>2026</v>
      </c>
      <c r="BE379" s="16">
        <v>2</v>
      </c>
      <c r="BF379" s="16">
        <v>9</v>
      </c>
      <c r="BG379" s="191">
        <v>36</v>
      </c>
      <c r="BH379" s="191">
        <v>720</v>
      </c>
    </row>
    <row r="380" spans="1:60" ht="10">
      <c r="A380" s="11" t="s">
        <v>4028</v>
      </c>
      <c r="B380" s="12" t="s">
        <v>4027</v>
      </c>
      <c r="C380" s="12" t="s">
        <v>203</v>
      </c>
      <c r="D380" s="12" t="s">
        <v>63</v>
      </c>
      <c r="E380" s="12" t="s">
        <v>144</v>
      </c>
      <c r="F380" s="12" t="s">
        <v>145</v>
      </c>
      <c r="G380" s="12" t="s">
        <v>677</v>
      </c>
      <c r="H380" s="12" t="s">
        <v>156</v>
      </c>
      <c r="I380" s="12" t="s">
        <v>677</v>
      </c>
      <c r="J380" s="34" t="s">
        <v>68</v>
      </c>
      <c r="K380" s="12"/>
      <c r="L380" s="13" t="s">
        <v>2732</v>
      </c>
      <c r="M380" s="236" t="s">
        <v>68</v>
      </c>
      <c r="N380" s="182"/>
      <c r="O380" s="12" t="s">
        <v>2475</v>
      </c>
      <c r="P380" s="12" t="s">
        <v>284</v>
      </c>
      <c r="Q380" s="12" t="s">
        <v>4029</v>
      </c>
      <c r="R380" s="12">
        <v>554313</v>
      </c>
      <c r="S380" s="12" t="s">
        <v>4030</v>
      </c>
      <c r="T380" s="206">
        <v>650</v>
      </c>
      <c r="U380" s="206">
        <v>5040</v>
      </c>
      <c r="V380" s="12">
        <v>3.2759999999999998</v>
      </c>
      <c r="W380" s="198">
        <v>140</v>
      </c>
      <c r="X380" s="254">
        <v>7</v>
      </c>
      <c r="Y380" s="12" t="s">
        <v>75</v>
      </c>
      <c r="Z380" s="12"/>
      <c r="AA380" s="12" t="s">
        <v>108</v>
      </c>
      <c r="AB380" s="13" t="s">
        <v>992</v>
      </c>
      <c r="AC380" s="14">
        <v>45998</v>
      </c>
      <c r="AD380" s="15">
        <v>49</v>
      </c>
      <c r="AE380" s="176" t="s">
        <v>4062</v>
      </c>
      <c r="AF380" s="12">
        <v>371009307</v>
      </c>
      <c r="AG380" s="12" t="s">
        <v>1525</v>
      </c>
      <c r="AH380" s="12" t="s">
        <v>105</v>
      </c>
      <c r="AI380" s="14">
        <v>46011</v>
      </c>
      <c r="AJ380" s="14">
        <v>46015</v>
      </c>
      <c r="AK380" s="14">
        <v>46015</v>
      </c>
      <c r="AL380" s="14">
        <v>46046</v>
      </c>
      <c r="AM380" s="14">
        <v>46057</v>
      </c>
      <c r="AN380" s="14">
        <v>46062</v>
      </c>
      <c r="AO380" s="91" t="s">
        <v>156</v>
      </c>
      <c r="AP380" s="12" t="s">
        <v>4063</v>
      </c>
      <c r="AQ380" s="12"/>
      <c r="AR380" s="12" t="s">
        <v>4064</v>
      </c>
      <c r="AS380" s="12" t="s">
        <v>4065</v>
      </c>
      <c r="AT380" s="12" t="s">
        <v>4066</v>
      </c>
      <c r="AU380" s="12">
        <v>35</v>
      </c>
      <c r="AV380" s="12" t="s">
        <v>2493</v>
      </c>
      <c r="AW380" s="12">
        <v>39</v>
      </c>
      <c r="AX380" s="12">
        <v>64</v>
      </c>
      <c r="AY380" s="14">
        <v>46015</v>
      </c>
      <c r="AZ380" s="14">
        <v>46062</v>
      </c>
      <c r="BA380" s="12" t="e">
        <v>#N/A</v>
      </c>
      <c r="BB380" s="14" t="s">
        <v>2480</v>
      </c>
      <c r="BC380" s="14">
        <v>46076</v>
      </c>
      <c r="BD380" s="16">
        <v>2026</v>
      </c>
      <c r="BE380" s="16">
        <v>2</v>
      </c>
      <c r="BF380" s="16">
        <v>9</v>
      </c>
      <c r="BG380" s="191">
        <v>36</v>
      </c>
      <c r="BH380" s="191">
        <v>720</v>
      </c>
    </row>
    <row r="381" spans="1:60" s="23" customFormat="1" ht="10">
      <c r="A381" s="11" t="s">
        <v>4067</v>
      </c>
      <c r="B381" s="12" t="s">
        <v>281</v>
      </c>
      <c r="C381" s="12" t="s">
        <v>282</v>
      </c>
      <c r="D381" s="12" t="s">
        <v>63</v>
      </c>
      <c r="E381" s="12" t="s">
        <v>68</v>
      </c>
      <c r="F381" s="12" t="s">
        <v>68</v>
      </c>
      <c r="G381" s="12"/>
      <c r="H381" s="12" t="s">
        <v>66</v>
      </c>
      <c r="I381" s="12" t="s">
        <v>1292</v>
      </c>
      <c r="J381" s="34" t="s">
        <v>68</v>
      </c>
      <c r="K381" s="12"/>
      <c r="L381" s="13" t="s">
        <v>2831</v>
      </c>
      <c r="M381" s="12" t="s">
        <v>68</v>
      </c>
      <c r="N381" s="182"/>
      <c r="O381" s="12" t="s">
        <v>2475</v>
      </c>
      <c r="P381" s="12" t="s">
        <v>284</v>
      </c>
      <c r="Q381" s="12" t="s">
        <v>285</v>
      </c>
      <c r="R381" s="12">
        <v>554319</v>
      </c>
      <c r="S381" s="12" t="s">
        <v>286</v>
      </c>
      <c r="T381" s="206">
        <v>460</v>
      </c>
      <c r="U381" s="206">
        <v>1924</v>
      </c>
      <c r="V381" s="12">
        <v>0.88504000000000005</v>
      </c>
      <c r="W381" s="198">
        <v>52</v>
      </c>
      <c r="X381" s="254">
        <v>2</v>
      </c>
      <c r="Y381" s="12" t="s">
        <v>75</v>
      </c>
      <c r="Z381" s="12"/>
      <c r="AA381" s="12" t="s">
        <v>85</v>
      </c>
      <c r="AB381" s="13" t="s">
        <v>992</v>
      </c>
      <c r="AC381" s="14">
        <v>45994</v>
      </c>
      <c r="AD381" s="15">
        <v>49</v>
      </c>
      <c r="AE381" s="176" t="s">
        <v>4068</v>
      </c>
      <c r="AF381" s="12">
        <v>371009231</v>
      </c>
      <c r="AG381" s="12" t="s">
        <v>288</v>
      </c>
      <c r="AH381" s="12" t="s">
        <v>456</v>
      </c>
      <c r="AI381" s="14">
        <v>46001</v>
      </c>
      <c r="AJ381" s="14">
        <v>46001</v>
      </c>
      <c r="AK381" s="14">
        <v>46001</v>
      </c>
      <c r="AL381" s="14">
        <v>46033</v>
      </c>
      <c r="AM381" s="14">
        <v>46036</v>
      </c>
      <c r="AN381" s="14">
        <v>46036</v>
      </c>
      <c r="AO381" s="91" t="s">
        <v>66</v>
      </c>
      <c r="AP381" s="12" t="s">
        <v>4069</v>
      </c>
      <c r="AQ381" s="12"/>
      <c r="AR381" s="12" t="s">
        <v>4070</v>
      </c>
      <c r="AS381" s="12" t="s">
        <v>4071</v>
      </c>
      <c r="AT381" s="12" t="s">
        <v>4071</v>
      </c>
      <c r="AU381" s="12">
        <v>32</v>
      </c>
      <c r="AV381" s="12" t="s">
        <v>83</v>
      </c>
      <c r="AW381" s="12">
        <v>9</v>
      </c>
      <c r="AX381" s="12">
        <v>42</v>
      </c>
      <c r="AY381" s="14">
        <v>46001</v>
      </c>
      <c r="AZ381" s="14">
        <v>46036</v>
      </c>
      <c r="BA381" s="12" t="e">
        <v>#N/A</v>
      </c>
      <c r="BB381" s="14" t="s">
        <v>2480</v>
      </c>
      <c r="BC381" s="14">
        <v>46050</v>
      </c>
      <c r="BD381" s="16">
        <v>2026</v>
      </c>
      <c r="BE381" s="16">
        <v>1</v>
      </c>
      <c r="BF381" s="16">
        <v>5</v>
      </c>
      <c r="BG381" s="191">
        <v>37</v>
      </c>
      <c r="BH381" s="191">
        <v>962</v>
      </c>
    </row>
    <row r="382" spans="1:60" ht="10">
      <c r="A382" s="11" t="s">
        <v>4072</v>
      </c>
      <c r="B382" s="12" t="s">
        <v>111</v>
      </c>
      <c r="C382" s="12" t="s">
        <v>3980</v>
      </c>
      <c r="D382" s="12" t="s">
        <v>63</v>
      </c>
      <c r="E382" s="12" t="s">
        <v>144</v>
      </c>
      <c r="F382" s="12" t="s">
        <v>145</v>
      </c>
      <c r="G382" s="12" t="s">
        <v>677</v>
      </c>
      <c r="H382" s="12" t="s">
        <v>156</v>
      </c>
      <c r="I382" s="12" t="s">
        <v>677</v>
      </c>
      <c r="J382" s="34" t="s">
        <v>68</v>
      </c>
      <c r="K382" s="12"/>
      <c r="L382" s="13" t="s">
        <v>2732</v>
      </c>
      <c r="M382" s="236" t="s">
        <v>68</v>
      </c>
      <c r="N382" s="182"/>
      <c r="O382" s="12" t="s">
        <v>2475</v>
      </c>
      <c r="P382" s="12" t="s">
        <v>70</v>
      </c>
      <c r="Q382" s="12" t="s">
        <v>1002</v>
      </c>
      <c r="R382" s="12">
        <v>554246</v>
      </c>
      <c r="S382" s="12" t="s">
        <v>330</v>
      </c>
      <c r="T382" s="206">
        <v>625</v>
      </c>
      <c r="U382" s="206">
        <v>4320</v>
      </c>
      <c r="V382" s="12">
        <v>2.7</v>
      </c>
      <c r="W382" s="198">
        <v>120</v>
      </c>
      <c r="X382" s="254">
        <v>6</v>
      </c>
      <c r="Y382" s="12" t="s">
        <v>75</v>
      </c>
      <c r="Z382" s="12"/>
      <c r="AA382" s="12" t="s">
        <v>3780</v>
      </c>
      <c r="AB382" s="247" t="s">
        <v>3733</v>
      </c>
      <c r="AC382" s="14">
        <v>45995</v>
      </c>
      <c r="AD382" s="15">
        <v>49</v>
      </c>
      <c r="AE382" s="176" t="s">
        <v>4073</v>
      </c>
      <c r="AF382" s="12">
        <v>371009261</v>
      </c>
      <c r="AG382" s="12" t="s">
        <v>122</v>
      </c>
      <c r="AH382" s="12" t="s">
        <v>105</v>
      </c>
      <c r="AI382" s="14">
        <v>46005</v>
      </c>
      <c r="AJ382" s="14">
        <v>46005</v>
      </c>
      <c r="AK382" s="14">
        <v>46007</v>
      </c>
      <c r="AL382" s="14">
        <v>46051</v>
      </c>
      <c r="AM382" s="14">
        <v>46058</v>
      </c>
      <c r="AN382" s="14">
        <v>46061</v>
      </c>
      <c r="AO382" s="91" t="s">
        <v>156</v>
      </c>
      <c r="AP382" s="12" t="s">
        <v>3999</v>
      </c>
      <c r="AQ382" s="12"/>
      <c r="AR382" s="12" t="s">
        <v>4005</v>
      </c>
      <c r="AS382" s="12" t="s">
        <v>4006</v>
      </c>
      <c r="AT382" s="12" t="s">
        <v>4007</v>
      </c>
      <c r="AU382" s="12">
        <v>46</v>
      </c>
      <c r="AV382" s="12"/>
      <c r="AW382" s="12">
        <v>6</v>
      </c>
      <c r="AX382" s="12">
        <v>66</v>
      </c>
      <c r="AY382" s="14">
        <v>46007</v>
      </c>
      <c r="AZ382" s="14">
        <v>46061</v>
      </c>
      <c r="BA382" s="12" t="e">
        <v>#N/A</v>
      </c>
      <c r="BB382" s="14" t="s">
        <v>2480</v>
      </c>
      <c r="BC382" s="14">
        <v>46075</v>
      </c>
      <c r="BD382" s="16">
        <v>2026</v>
      </c>
      <c r="BE382" s="16">
        <v>2</v>
      </c>
      <c r="BF382" s="16">
        <v>8</v>
      </c>
      <c r="BG382" s="191">
        <v>36</v>
      </c>
      <c r="BH382" s="191">
        <v>720</v>
      </c>
    </row>
    <row r="383" spans="1:60" s="23" customFormat="1" ht="10">
      <c r="A383" s="11" t="s">
        <v>4074</v>
      </c>
      <c r="B383" s="12" t="s">
        <v>281</v>
      </c>
      <c r="C383" s="12" t="s">
        <v>601</v>
      </c>
      <c r="D383" s="12" t="s">
        <v>63</v>
      </c>
      <c r="E383" s="12" t="s">
        <v>64</v>
      </c>
      <c r="F383" s="31" t="s">
        <v>310</v>
      </c>
      <c r="G383" s="12" t="s">
        <v>311</v>
      </c>
      <c r="H383" s="12" t="s">
        <v>66</v>
      </c>
      <c r="I383" s="12" t="s">
        <v>1342</v>
      </c>
      <c r="J383" s="34" t="s">
        <v>68</v>
      </c>
      <c r="K383" s="12"/>
      <c r="L383" s="13" t="s">
        <v>2497</v>
      </c>
      <c r="M383" s="213" t="s">
        <v>68</v>
      </c>
      <c r="N383" s="182"/>
      <c r="O383" s="12" t="s">
        <v>2475</v>
      </c>
      <c r="P383" s="12" t="s">
        <v>284</v>
      </c>
      <c r="Q383" s="12" t="s">
        <v>602</v>
      </c>
      <c r="R383" s="12">
        <v>554440</v>
      </c>
      <c r="S383" s="12" t="s">
        <v>603</v>
      </c>
      <c r="T383" s="206">
        <v>465</v>
      </c>
      <c r="U383" s="206">
        <v>962</v>
      </c>
      <c r="V383" s="12">
        <v>0.44733000000000001</v>
      </c>
      <c r="W383" s="198">
        <v>26</v>
      </c>
      <c r="X383" s="254">
        <v>1</v>
      </c>
      <c r="Y383" s="12" t="s">
        <v>75</v>
      </c>
      <c r="Z383" s="12"/>
      <c r="AA383" s="12" t="s">
        <v>108</v>
      </c>
      <c r="AB383" s="13" t="s">
        <v>992</v>
      </c>
      <c r="AC383" s="14">
        <v>45999</v>
      </c>
      <c r="AD383" s="15">
        <v>50</v>
      </c>
      <c r="AE383" s="176" t="s">
        <v>4075</v>
      </c>
      <c r="AF383" s="12">
        <v>371009233</v>
      </c>
      <c r="AG383" s="12" t="s">
        <v>288</v>
      </c>
      <c r="AH383" s="12" t="s">
        <v>314</v>
      </c>
      <c r="AI383" s="14">
        <v>46003</v>
      </c>
      <c r="AJ383" s="14">
        <v>46003</v>
      </c>
      <c r="AK383" s="14">
        <v>46016</v>
      </c>
      <c r="AL383" s="14">
        <v>46043</v>
      </c>
      <c r="AM383" s="14">
        <v>46064</v>
      </c>
      <c r="AN383" s="14">
        <v>46064</v>
      </c>
      <c r="AO383" s="91" t="s">
        <v>66</v>
      </c>
      <c r="AP383" s="12" t="s">
        <v>3870</v>
      </c>
      <c r="AQ383" s="12"/>
      <c r="AR383" s="12" t="s">
        <v>4076</v>
      </c>
      <c r="AS383" s="12" t="s">
        <v>4077</v>
      </c>
      <c r="AT383" s="12" t="s">
        <v>4077</v>
      </c>
      <c r="AU383" s="12">
        <v>40</v>
      </c>
      <c r="AV383" s="12" t="s">
        <v>83</v>
      </c>
      <c r="AW383" s="12">
        <v>5</v>
      </c>
      <c r="AX383" s="12">
        <v>65</v>
      </c>
      <c r="AY383" s="14">
        <v>46016</v>
      </c>
      <c r="AZ383" s="14">
        <v>46064</v>
      </c>
      <c r="BA383" s="12" t="e">
        <v>#N/A</v>
      </c>
      <c r="BB383" s="14" t="s">
        <v>2480</v>
      </c>
      <c r="BC383" s="14">
        <v>46078</v>
      </c>
      <c r="BD383" s="16">
        <v>2026</v>
      </c>
      <c r="BE383" s="16">
        <v>2</v>
      </c>
      <c r="BF383" s="16">
        <v>9</v>
      </c>
      <c r="BG383" s="191">
        <v>37</v>
      </c>
      <c r="BH383" s="191">
        <v>962</v>
      </c>
    </row>
    <row r="384" spans="1:60" s="23" customFormat="1" ht="10">
      <c r="A384" s="11" t="s">
        <v>4078</v>
      </c>
      <c r="B384" s="12" t="s">
        <v>281</v>
      </c>
      <c r="C384" s="12" t="s">
        <v>282</v>
      </c>
      <c r="D384" s="12" t="s">
        <v>63</v>
      </c>
      <c r="E384" s="12" t="s">
        <v>64</v>
      </c>
      <c r="F384" s="31" t="s">
        <v>310</v>
      </c>
      <c r="G384" s="12" t="s">
        <v>311</v>
      </c>
      <c r="H384" s="12" t="s">
        <v>66</v>
      </c>
      <c r="I384" s="12" t="s">
        <v>1342</v>
      </c>
      <c r="J384" s="34" t="s">
        <v>68</v>
      </c>
      <c r="K384" s="12"/>
      <c r="L384" s="13" t="s">
        <v>2497</v>
      </c>
      <c r="M384" s="213" t="s">
        <v>68</v>
      </c>
      <c r="N384" s="182"/>
      <c r="O384" s="12" t="s">
        <v>2475</v>
      </c>
      <c r="P384" s="12" t="s">
        <v>284</v>
      </c>
      <c r="Q384" s="12" t="s">
        <v>285</v>
      </c>
      <c r="R384" s="12">
        <v>554319</v>
      </c>
      <c r="S384" s="12" t="s">
        <v>286</v>
      </c>
      <c r="T384" s="206">
        <v>460</v>
      </c>
      <c r="U384" s="206">
        <v>962</v>
      </c>
      <c r="V384" s="12">
        <v>0.44252000000000002</v>
      </c>
      <c r="W384" s="198">
        <v>26</v>
      </c>
      <c r="X384" s="254">
        <v>1</v>
      </c>
      <c r="Y384" s="12" t="s">
        <v>75</v>
      </c>
      <c r="Z384" s="12"/>
      <c r="AA384" s="12" t="s">
        <v>85</v>
      </c>
      <c r="AB384" s="13" t="s">
        <v>992</v>
      </c>
      <c r="AC384" s="14">
        <v>45999</v>
      </c>
      <c r="AD384" s="15">
        <v>50</v>
      </c>
      <c r="AE384" s="176" t="s">
        <v>4079</v>
      </c>
      <c r="AF384" s="12">
        <v>371009232</v>
      </c>
      <c r="AG384" s="12" t="s">
        <v>288</v>
      </c>
      <c r="AH384" s="12" t="s">
        <v>314</v>
      </c>
      <c r="AI384" s="14">
        <v>46003</v>
      </c>
      <c r="AJ384" s="14">
        <v>46003</v>
      </c>
      <c r="AK384" s="14">
        <v>46016</v>
      </c>
      <c r="AL384" s="14">
        <v>46043</v>
      </c>
      <c r="AM384" s="14">
        <v>46064</v>
      </c>
      <c r="AN384" s="14">
        <v>46064</v>
      </c>
      <c r="AO384" s="91" t="s">
        <v>66</v>
      </c>
      <c r="AP384" s="12" t="s">
        <v>3870</v>
      </c>
      <c r="AQ384" s="12"/>
      <c r="AR384" s="12" t="s">
        <v>4076</v>
      </c>
      <c r="AS384" s="12" t="s">
        <v>4077</v>
      </c>
      <c r="AT384" s="12" t="s">
        <v>4077</v>
      </c>
      <c r="AU384" s="12">
        <v>40</v>
      </c>
      <c r="AV384" s="12" t="s">
        <v>83</v>
      </c>
      <c r="AW384" s="12">
        <v>9</v>
      </c>
      <c r="AX384" s="12">
        <v>65</v>
      </c>
      <c r="AY384" s="14">
        <v>46016</v>
      </c>
      <c r="AZ384" s="14">
        <v>46064</v>
      </c>
      <c r="BA384" s="12" t="e">
        <v>#N/A</v>
      </c>
      <c r="BB384" s="14" t="s">
        <v>2480</v>
      </c>
      <c r="BC384" s="14">
        <v>46078</v>
      </c>
      <c r="BD384" s="16">
        <v>2026</v>
      </c>
      <c r="BE384" s="16">
        <v>2</v>
      </c>
      <c r="BF384" s="16">
        <v>9</v>
      </c>
      <c r="BG384" s="191">
        <v>37</v>
      </c>
      <c r="BH384" s="191">
        <v>962</v>
      </c>
    </row>
    <row r="385" spans="1:60" s="23" customFormat="1" ht="10">
      <c r="A385" s="11" t="s">
        <v>4080</v>
      </c>
      <c r="B385" s="12" t="s">
        <v>111</v>
      </c>
      <c r="C385" s="12" t="s">
        <v>545</v>
      </c>
      <c r="D385" s="12" t="s">
        <v>63</v>
      </c>
      <c r="E385" s="12" t="s">
        <v>144</v>
      </c>
      <c r="F385" s="12" t="s">
        <v>145</v>
      </c>
      <c r="G385" s="18" t="s">
        <v>526</v>
      </c>
      <c r="H385" s="12" t="s">
        <v>402</v>
      </c>
      <c r="I385" s="12" t="s">
        <v>527</v>
      </c>
      <c r="J385" s="34" t="s">
        <v>68</v>
      </c>
      <c r="K385" s="12">
        <v>46010946</v>
      </c>
      <c r="L385" s="13" t="s">
        <v>2769</v>
      </c>
      <c r="M385" s="236" t="s">
        <v>68</v>
      </c>
      <c r="N385" s="182"/>
      <c r="O385" s="12" t="s">
        <v>2475</v>
      </c>
      <c r="P385" s="12" t="s">
        <v>473</v>
      </c>
      <c r="Q385" s="12" t="s">
        <v>529</v>
      </c>
      <c r="R385" s="12">
        <v>553145</v>
      </c>
      <c r="S385" s="12" t="s">
        <v>530</v>
      </c>
      <c r="T385" s="206">
        <v>455</v>
      </c>
      <c r="U385" s="206">
        <v>4320</v>
      </c>
      <c r="V385" s="12">
        <v>1.9656</v>
      </c>
      <c r="W385" s="198">
        <v>120</v>
      </c>
      <c r="X385" s="254">
        <v>5</v>
      </c>
      <c r="Y385" s="12" t="s">
        <v>75</v>
      </c>
      <c r="Z385" s="12"/>
      <c r="AA385" s="12" t="s">
        <v>85</v>
      </c>
      <c r="AB385" s="13" t="s">
        <v>967</v>
      </c>
      <c r="AC385" s="14">
        <v>45992</v>
      </c>
      <c r="AD385" s="15">
        <v>49</v>
      </c>
      <c r="AE385" s="176" t="s">
        <v>4081</v>
      </c>
      <c r="AF385" s="12">
        <v>371009247</v>
      </c>
      <c r="AG385" s="12" t="s">
        <v>122</v>
      </c>
      <c r="AH385" s="12" t="s">
        <v>532</v>
      </c>
      <c r="AI385" s="14">
        <v>45998</v>
      </c>
      <c r="AJ385" s="14">
        <v>45998</v>
      </c>
      <c r="AK385" s="14">
        <v>45999</v>
      </c>
      <c r="AL385" s="14">
        <v>46048</v>
      </c>
      <c r="AM385" s="14">
        <v>46058</v>
      </c>
      <c r="AN385" s="14">
        <v>46062</v>
      </c>
      <c r="AO385" s="91" t="s">
        <v>402</v>
      </c>
      <c r="AP385" s="12" t="s">
        <v>4082</v>
      </c>
      <c r="AQ385" s="12"/>
      <c r="AR385" s="12" t="s">
        <v>4083</v>
      </c>
      <c r="AS385" s="12" t="s">
        <v>4084</v>
      </c>
      <c r="AT385" s="12" t="s">
        <v>4085</v>
      </c>
      <c r="AU385" s="12">
        <v>50</v>
      </c>
      <c r="AV385" s="12" t="s">
        <v>2493</v>
      </c>
      <c r="AW385" s="12">
        <v>13</v>
      </c>
      <c r="AX385" s="12">
        <v>70</v>
      </c>
      <c r="AY385" s="14">
        <v>45999</v>
      </c>
      <c r="AZ385" s="14">
        <v>46062</v>
      </c>
      <c r="BA385" s="12" t="e">
        <v>#N/A</v>
      </c>
      <c r="BB385" s="14" t="s">
        <v>2480</v>
      </c>
      <c r="BC385" s="14">
        <v>46076</v>
      </c>
      <c r="BD385" s="16">
        <v>2026</v>
      </c>
      <c r="BE385" s="16">
        <v>2</v>
      </c>
      <c r="BF385" s="16">
        <v>9</v>
      </c>
      <c r="BG385" s="191">
        <v>36</v>
      </c>
      <c r="BH385" s="191">
        <v>864</v>
      </c>
    </row>
    <row r="386" spans="1:60" s="23" customFormat="1" ht="10">
      <c r="A386" s="11" t="s">
        <v>4086</v>
      </c>
      <c r="B386" s="12" t="s">
        <v>111</v>
      </c>
      <c r="C386" s="12" t="s">
        <v>3944</v>
      </c>
      <c r="D386" s="12" t="s">
        <v>63</v>
      </c>
      <c r="E386" s="12" t="s">
        <v>64</v>
      </c>
      <c r="F386" s="12" t="s">
        <v>450</v>
      </c>
      <c r="G386" s="39" t="s">
        <v>451</v>
      </c>
      <c r="H386" s="12" t="s">
        <v>66</v>
      </c>
      <c r="I386" s="12" t="s">
        <v>452</v>
      </c>
      <c r="J386" s="34" t="s">
        <v>68</v>
      </c>
      <c r="K386" s="12">
        <v>20519249</v>
      </c>
      <c r="L386" s="13" t="s">
        <v>2831</v>
      </c>
      <c r="M386" s="213" t="s">
        <v>68</v>
      </c>
      <c r="N386" s="182"/>
      <c r="O386" s="12" t="s">
        <v>2475</v>
      </c>
      <c r="P386" s="12" t="s">
        <v>132</v>
      </c>
      <c r="Q386" s="12" t="s">
        <v>453</v>
      </c>
      <c r="R386" s="12">
        <v>554541</v>
      </c>
      <c r="S386" s="12" t="s">
        <v>454</v>
      </c>
      <c r="T386" s="206">
        <v>460</v>
      </c>
      <c r="U386" s="206">
        <v>1728</v>
      </c>
      <c r="V386" s="12">
        <v>0.79488000000000003</v>
      </c>
      <c r="W386" s="198">
        <v>48</v>
      </c>
      <c r="X386" s="254">
        <v>2</v>
      </c>
      <c r="Y386" s="12" t="s">
        <v>75</v>
      </c>
      <c r="Z386" s="12"/>
      <c r="AA386" s="12" t="s">
        <v>108</v>
      </c>
      <c r="AB386" s="32" t="s">
        <v>967</v>
      </c>
      <c r="AC386" s="14">
        <v>45993</v>
      </c>
      <c r="AD386" s="15">
        <v>49</v>
      </c>
      <c r="AE386" s="176" t="s">
        <v>4087</v>
      </c>
      <c r="AF386" s="12">
        <v>371009277</v>
      </c>
      <c r="AG386" s="12" t="s">
        <v>122</v>
      </c>
      <c r="AH386" s="12" t="s">
        <v>456</v>
      </c>
      <c r="AI386" s="14">
        <v>46006</v>
      </c>
      <c r="AJ386" s="14">
        <v>46006</v>
      </c>
      <c r="AK386" s="14">
        <v>46007</v>
      </c>
      <c r="AL386" s="14">
        <v>46040</v>
      </c>
      <c r="AM386" s="14">
        <v>46055</v>
      </c>
      <c r="AN386" s="14">
        <v>46055</v>
      </c>
      <c r="AO386" s="91" t="s">
        <v>66</v>
      </c>
      <c r="AP386" s="12" t="s">
        <v>4088</v>
      </c>
      <c r="AQ386" s="12"/>
      <c r="AR386" s="12" t="s">
        <v>4089</v>
      </c>
      <c r="AS386" s="12" t="s">
        <v>4090</v>
      </c>
      <c r="AT386" s="12" t="s">
        <v>4090</v>
      </c>
      <c r="AU386" s="12">
        <v>34</v>
      </c>
      <c r="AV386" s="12"/>
      <c r="AW386" s="12">
        <v>4</v>
      </c>
      <c r="AX386" s="12">
        <v>62</v>
      </c>
      <c r="AY386" s="14">
        <v>46007</v>
      </c>
      <c r="AZ386" s="14">
        <v>46055</v>
      </c>
      <c r="BA386" s="12" t="e">
        <v>#N/A</v>
      </c>
      <c r="BB386" s="14" t="s">
        <v>2480</v>
      </c>
      <c r="BC386" s="14">
        <v>46069</v>
      </c>
      <c r="BD386" s="16">
        <v>2026</v>
      </c>
      <c r="BE386" s="16">
        <v>2</v>
      </c>
      <c r="BF386" s="16">
        <v>8</v>
      </c>
      <c r="BG386" s="191">
        <v>36</v>
      </c>
      <c r="BH386" s="191">
        <v>864</v>
      </c>
    </row>
    <row r="387" spans="1:60" s="23" customFormat="1" ht="10">
      <c r="A387" s="11" t="s">
        <v>4091</v>
      </c>
      <c r="B387" s="12" t="s">
        <v>111</v>
      </c>
      <c r="C387" s="12" t="s">
        <v>3732</v>
      </c>
      <c r="D387" s="12" t="s">
        <v>63</v>
      </c>
      <c r="E387" s="12" t="s">
        <v>64</v>
      </c>
      <c r="F387" s="12" t="s">
        <v>100</v>
      </c>
      <c r="G387" s="12" t="s">
        <v>67</v>
      </c>
      <c r="H387" s="12" t="s">
        <v>402</v>
      </c>
      <c r="I387" s="12" t="s">
        <v>677</v>
      </c>
      <c r="J387" s="34" t="s">
        <v>68</v>
      </c>
      <c r="K387" s="12">
        <v>14130756</v>
      </c>
      <c r="L387" s="13" t="s">
        <v>2732</v>
      </c>
      <c r="M387" s="213" t="s">
        <v>68</v>
      </c>
      <c r="N387" s="182"/>
      <c r="O387" s="12" t="s">
        <v>2475</v>
      </c>
      <c r="P387" s="12" t="s">
        <v>70</v>
      </c>
      <c r="Q387" s="12" t="s">
        <v>102</v>
      </c>
      <c r="R387" s="12">
        <v>554245</v>
      </c>
      <c r="S387" s="12" t="s">
        <v>103</v>
      </c>
      <c r="T387" s="206">
        <v>620</v>
      </c>
      <c r="U387" s="206">
        <v>10080</v>
      </c>
      <c r="V387" s="12">
        <v>6.2496</v>
      </c>
      <c r="W387" s="198">
        <v>280</v>
      </c>
      <c r="X387" s="254">
        <v>14</v>
      </c>
      <c r="Y387" s="12" t="s">
        <v>75</v>
      </c>
      <c r="Z387" s="12"/>
      <c r="AA387" s="12" t="s">
        <v>108</v>
      </c>
      <c r="AB387" s="247" t="s">
        <v>3733</v>
      </c>
      <c r="AC387" s="14">
        <v>45992</v>
      </c>
      <c r="AD387" s="15">
        <v>49</v>
      </c>
      <c r="AE387" s="176" t="s">
        <v>4092</v>
      </c>
      <c r="AF387" s="12">
        <v>371009245</v>
      </c>
      <c r="AG387" s="12" t="s">
        <v>122</v>
      </c>
      <c r="AH387" s="12" t="s">
        <v>105</v>
      </c>
      <c r="AI387" s="14">
        <v>45999</v>
      </c>
      <c r="AJ387" s="14">
        <v>45999</v>
      </c>
      <c r="AK387" s="14">
        <v>45999</v>
      </c>
      <c r="AL387" s="14">
        <v>46038</v>
      </c>
      <c r="AM387" s="14">
        <v>46042</v>
      </c>
      <c r="AN387" s="14">
        <v>46042</v>
      </c>
      <c r="AO387" s="91" t="s">
        <v>402</v>
      </c>
      <c r="AP387" s="12" t="s">
        <v>4082</v>
      </c>
      <c r="AQ387" s="12"/>
      <c r="AR387" s="12" t="s">
        <v>4093</v>
      </c>
      <c r="AS387" s="12" t="s">
        <v>4094</v>
      </c>
      <c r="AT387" s="12" t="s">
        <v>4094</v>
      </c>
      <c r="AU387" s="12">
        <v>39</v>
      </c>
      <c r="AV387" s="12" t="s">
        <v>2493</v>
      </c>
      <c r="AW387" s="12">
        <v>5</v>
      </c>
      <c r="AX387" s="12">
        <v>50</v>
      </c>
      <c r="AY387" s="14">
        <v>45999</v>
      </c>
      <c r="AZ387" s="14">
        <v>46042</v>
      </c>
      <c r="BA387" s="12" t="e">
        <v>#N/A</v>
      </c>
      <c r="BB387" s="14" t="s">
        <v>2480</v>
      </c>
      <c r="BC387" s="14">
        <v>46056</v>
      </c>
      <c r="BD387" s="16">
        <v>2026</v>
      </c>
      <c r="BE387" s="16">
        <v>2</v>
      </c>
      <c r="BF387" s="16">
        <v>6</v>
      </c>
      <c r="BG387" s="191">
        <v>36</v>
      </c>
      <c r="BH387" s="191">
        <v>720</v>
      </c>
    </row>
    <row r="388" spans="1:60" s="23" customFormat="1" ht="10">
      <c r="A388" s="11" t="s">
        <v>4095</v>
      </c>
      <c r="B388" s="12" t="s">
        <v>111</v>
      </c>
      <c r="C388" s="12" t="s">
        <v>3779</v>
      </c>
      <c r="D388" s="12" t="s">
        <v>63</v>
      </c>
      <c r="E388" s="12" t="s">
        <v>64</v>
      </c>
      <c r="F388" s="12" t="s">
        <v>100</v>
      </c>
      <c r="G388" s="12" t="s">
        <v>67</v>
      </c>
      <c r="H388" s="12" t="s">
        <v>402</v>
      </c>
      <c r="I388" s="12" t="s">
        <v>677</v>
      </c>
      <c r="J388" s="34" t="s">
        <v>68</v>
      </c>
      <c r="K388" s="12">
        <v>14130756</v>
      </c>
      <c r="L388" s="13" t="s">
        <v>2732</v>
      </c>
      <c r="M388" s="213" t="s">
        <v>68</v>
      </c>
      <c r="N388" s="182"/>
      <c r="O388" s="12" t="s">
        <v>2475</v>
      </c>
      <c r="P388" s="12" t="s">
        <v>70</v>
      </c>
      <c r="Q388" s="12" t="s">
        <v>1002</v>
      </c>
      <c r="R388" s="12">
        <v>554246</v>
      </c>
      <c r="S388" s="12" t="s">
        <v>330</v>
      </c>
      <c r="T388" s="206">
        <v>625</v>
      </c>
      <c r="U388" s="206">
        <v>7200</v>
      </c>
      <c r="V388" s="12">
        <v>4.5</v>
      </c>
      <c r="W388" s="198">
        <v>200</v>
      </c>
      <c r="X388" s="254">
        <v>10</v>
      </c>
      <c r="Y388" s="12" t="s">
        <v>75</v>
      </c>
      <c r="Z388" s="12"/>
      <c r="AA388" s="12" t="s">
        <v>3780</v>
      </c>
      <c r="AB388" s="247" t="s">
        <v>3733</v>
      </c>
      <c r="AC388" s="14">
        <v>45990</v>
      </c>
      <c r="AD388" s="15">
        <v>48</v>
      </c>
      <c r="AE388" s="176" t="s">
        <v>4096</v>
      </c>
      <c r="AF388" s="12">
        <v>371009246</v>
      </c>
      <c r="AG388" s="12" t="s">
        <v>122</v>
      </c>
      <c r="AH388" s="12" t="s">
        <v>105</v>
      </c>
      <c r="AI388" s="14">
        <v>46009</v>
      </c>
      <c r="AJ388" s="14">
        <v>46009</v>
      </c>
      <c r="AK388" s="14">
        <v>46011</v>
      </c>
      <c r="AL388" s="14">
        <v>46042</v>
      </c>
      <c r="AM388" s="14"/>
      <c r="AN388" s="14">
        <v>46047</v>
      </c>
      <c r="AO388" s="91" t="s">
        <v>402</v>
      </c>
      <c r="AP388" s="12" t="s">
        <v>4082</v>
      </c>
      <c r="AQ388" s="12"/>
      <c r="AR388" s="12" t="s">
        <v>4097</v>
      </c>
      <c r="AS388" s="12" t="s">
        <v>4098</v>
      </c>
      <c r="AT388" s="12" t="s">
        <v>4098</v>
      </c>
      <c r="AU388" s="12">
        <v>33</v>
      </c>
      <c r="AV388" s="12" t="s">
        <v>2493</v>
      </c>
      <c r="AW388" s="12">
        <v>4</v>
      </c>
      <c r="AX388" s="12">
        <v>57</v>
      </c>
      <c r="AY388" s="14">
        <v>46011</v>
      </c>
      <c r="AZ388" s="14">
        <v>46047</v>
      </c>
      <c r="BA388" s="12" t="e">
        <v>#N/A</v>
      </c>
      <c r="BB388" s="14" t="s">
        <v>2480</v>
      </c>
      <c r="BC388" s="14">
        <v>46061</v>
      </c>
      <c r="BD388" s="16">
        <v>2026</v>
      </c>
      <c r="BE388" s="16">
        <v>2</v>
      </c>
      <c r="BF388" s="16">
        <v>6</v>
      </c>
      <c r="BG388" s="191">
        <v>36</v>
      </c>
      <c r="BH388" s="191">
        <v>720</v>
      </c>
    </row>
    <row r="389" spans="1:60" s="175" customFormat="1" ht="10">
      <c r="A389" s="172" t="s">
        <v>4099</v>
      </c>
      <c r="B389" s="41" t="s">
        <v>111</v>
      </c>
      <c r="C389" s="41" t="s">
        <v>638</v>
      </c>
      <c r="D389" s="41" t="s">
        <v>63</v>
      </c>
      <c r="E389" s="41" t="s">
        <v>64</v>
      </c>
      <c r="F389" s="41" t="s">
        <v>100</v>
      </c>
      <c r="G389" s="41" t="s">
        <v>67</v>
      </c>
      <c r="H389" s="41" t="s">
        <v>66</v>
      </c>
      <c r="I389" s="41" t="s">
        <v>96</v>
      </c>
      <c r="J389" s="173" t="s">
        <v>68</v>
      </c>
      <c r="K389" s="12"/>
      <c r="L389" s="13" t="s">
        <v>2474</v>
      </c>
      <c r="M389" s="213" t="s">
        <v>68</v>
      </c>
      <c r="N389" s="182"/>
      <c r="O389" s="12" t="s">
        <v>2475</v>
      </c>
      <c r="P389" s="41" t="s">
        <v>473</v>
      </c>
      <c r="Q389" s="41" t="s">
        <v>474</v>
      </c>
      <c r="R389" s="41">
        <v>553144</v>
      </c>
      <c r="S389" s="41" t="s">
        <v>475</v>
      </c>
      <c r="T389" s="208">
        <v>460</v>
      </c>
      <c r="U389" s="208">
        <v>2592</v>
      </c>
      <c r="V389" s="41">
        <v>1.19232</v>
      </c>
      <c r="W389" s="201">
        <v>72</v>
      </c>
      <c r="X389" s="255">
        <v>3</v>
      </c>
      <c r="Y389" s="41" t="s">
        <v>75</v>
      </c>
      <c r="Z389" s="41"/>
      <c r="AA389" s="12" t="s">
        <v>85</v>
      </c>
      <c r="AB389" s="13" t="s">
        <v>967</v>
      </c>
      <c r="AC389" s="37">
        <v>45991</v>
      </c>
      <c r="AD389" s="15">
        <v>48</v>
      </c>
      <c r="AE389" s="239" t="s">
        <v>4100</v>
      </c>
      <c r="AF389" s="12">
        <v>371009251</v>
      </c>
      <c r="AG389" s="41" t="s">
        <v>122</v>
      </c>
      <c r="AH389" s="41" t="s">
        <v>105</v>
      </c>
      <c r="AI389" s="37">
        <v>46009</v>
      </c>
      <c r="AJ389" s="14">
        <v>46009</v>
      </c>
      <c r="AK389" s="14">
        <v>46011</v>
      </c>
      <c r="AL389" s="37">
        <v>46042</v>
      </c>
      <c r="AM389" s="37"/>
      <c r="AN389" s="37">
        <v>46047</v>
      </c>
      <c r="AO389" s="86" t="s">
        <v>66</v>
      </c>
      <c r="AP389" s="12" t="s">
        <v>3906</v>
      </c>
      <c r="AQ389" s="41"/>
      <c r="AR389" s="41" t="s">
        <v>4101</v>
      </c>
      <c r="AS389" s="41" t="s">
        <v>4102</v>
      </c>
      <c r="AT389" s="41" t="s">
        <v>4102</v>
      </c>
      <c r="AU389" s="41">
        <v>33</v>
      </c>
      <c r="AV389" s="41"/>
      <c r="AW389" s="12">
        <v>6</v>
      </c>
      <c r="AX389" s="41">
        <v>56</v>
      </c>
      <c r="AY389" s="37">
        <v>46011</v>
      </c>
      <c r="AZ389" s="37">
        <v>46047</v>
      </c>
      <c r="BA389" s="41" t="e">
        <v>#N/A</v>
      </c>
      <c r="BB389" s="37" t="s">
        <v>2480</v>
      </c>
      <c r="BC389" s="37">
        <v>46061</v>
      </c>
      <c r="BD389" s="219">
        <v>2026</v>
      </c>
      <c r="BE389" s="219">
        <v>2</v>
      </c>
      <c r="BF389" s="219">
        <v>6</v>
      </c>
      <c r="BG389" s="219">
        <v>36</v>
      </c>
      <c r="BH389" s="219">
        <v>864</v>
      </c>
    </row>
    <row r="390" spans="1:60" s="175" customFormat="1" ht="10">
      <c r="A390" s="172" t="s">
        <v>4103</v>
      </c>
      <c r="B390" s="41" t="s">
        <v>111</v>
      </c>
      <c r="C390" s="41" t="s">
        <v>545</v>
      </c>
      <c r="D390" s="41" t="s">
        <v>63</v>
      </c>
      <c r="E390" s="41" t="s">
        <v>64</v>
      </c>
      <c r="F390" s="41" t="s">
        <v>100</v>
      </c>
      <c r="G390" s="41" t="s">
        <v>67</v>
      </c>
      <c r="H390" s="41" t="s">
        <v>66</v>
      </c>
      <c r="I390" s="41" t="s">
        <v>96</v>
      </c>
      <c r="J390" s="173" t="s">
        <v>68</v>
      </c>
      <c r="K390" s="12"/>
      <c r="L390" s="13" t="s">
        <v>2474</v>
      </c>
      <c r="M390" s="213" t="s">
        <v>68</v>
      </c>
      <c r="N390" s="182"/>
      <c r="O390" s="12" t="s">
        <v>2475</v>
      </c>
      <c r="P390" s="41" t="s">
        <v>473</v>
      </c>
      <c r="Q390" s="41" t="s">
        <v>529</v>
      </c>
      <c r="R390" s="41">
        <v>553145</v>
      </c>
      <c r="S390" s="41" t="s">
        <v>530</v>
      </c>
      <c r="T390" s="208">
        <v>455</v>
      </c>
      <c r="U390" s="208">
        <v>2592</v>
      </c>
      <c r="V390" s="41">
        <v>1.17936</v>
      </c>
      <c r="W390" s="201">
        <v>72</v>
      </c>
      <c r="X390" s="255">
        <v>3</v>
      </c>
      <c r="Y390" s="41" t="s">
        <v>75</v>
      </c>
      <c r="Z390" s="41"/>
      <c r="AA390" s="12" t="s">
        <v>85</v>
      </c>
      <c r="AB390" s="13" t="s">
        <v>967</v>
      </c>
      <c r="AC390" s="37">
        <v>45991</v>
      </c>
      <c r="AD390" s="15">
        <v>48</v>
      </c>
      <c r="AE390" s="239" t="s">
        <v>4104</v>
      </c>
      <c r="AF390" s="12">
        <v>371009248</v>
      </c>
      <c r="AG390" s="41" t="s">
        <v>122</v>
      </c>
      <c r="AH390" s="41" t="s">
        <v>105</v>
      </c>
      <c r="AI390" s="37">
        <v>46009</v>
      </c>
      <c r="AJ390" s="14">
        <v>46009</v>
      </c>
      <c r="AK390" s="14">
        <v>46011</v>
      </c>
      <c r="AL390" s="37">
        <v>46042</v>
      </c>
      <c r="AM390" s="37"/>
      <c r="AN390" s="37">
        <v>46047</v>
      </c>
      <c r="AO390" s="86" t="s">
        <v>66</v>
      </c>
      <c r="AP390" s="12" t="s">
        <v>3906</v>
      </c>
      <c r="AQ390" s="41"/>
      <c r="AR390" s="41" t="s">
        <v>4101</v>
      </c>
      <c r="AS390" s="41" t="s">
        <v>4102</v>
      </c>
      <c r="AT390" s="41" t="s">
        <v>4102</v>
      </c>
      <c r="AU390" s="41">
        <v>33</v>
      </c>
      <c r="AV390" s="41"/>
      <c r="AW390" s="12">
        <v>13</v>
      </c>
      <c r="AX390" s="41">
        <v>56</v>
      </c>
      <c r="AY390" s="37">
        <v>46011</v>
      </c>
      <c r="AZ390" s="37">
        <v>46047</v>
      </c>
      <c r="BA390" s="41" t="e">
        <v>#N/A</v>
      </c>
      <c r="BB390" s="37" t="s">
        <v>2480</v>
      </c>
      <c r="BC390" s="37">
        <v>46061</v>
      </c>
      <c r="BD390" s="219">
        <v>2026</v>
      </c>
      <c r="BE390" s="219">
        <v>2</v>
      </c>
      <c r="BF390" s="219">
        <v>6</v>
      </c>
      <c r="BG390" s="219">
        <v>36</v>
      </c>
      <c r="BH390" s="219">
        <v>864</v>
      </c>
    </row>
    <row r="391" spans="1:60" s="23" customFormat="1" ht="10">
      <c r="A391" s="11" t="s">
        <v>4105</v>
      </c>
      <c r="B391" s="12" t="s">
        <v>111</v>
      </c>
      <c r="C391" s="12" t="s">
        <v>548</v>
      </c>
      <c r="D391" s="12" t="s">
        <v>63</v>
      </c>
      <c r="E391" s="12" t="s">
        <v>64</v>
      </c>
      <c r="F391" s="12" t="s">
        <v>100</v>
      </c>
      <c r="G391" s="12" t="s">
        <v>67</v>
      </c>
      <c r="H391" s="12" t="s">
        <v>66</v>
      </c>
      <c r="I391" s="12" t="s">
        <v>96</v>
      </c>
      <c r="J391" s="34" t="s">
        <v>68</v>
      </c>
      <c r="K391" s="12"/>
      <c r="L391" s="13" t="s">
        <v>2474</v>
      </c>
      <c r="M391" s="213" t="s">
        <v>68</v>
      </c>
      <c r="N391" s="182"/>
      <c r="O391" s="12" t="s">
        <v>2475</v>
      </c>
      <c r="P391" s="12" t="s">
        <v>550</v>
      </c>
      <c r="Q391" s="12" t="s">
        <v>551</v>
      </c>
      <c r="R391" s="12">
        <v>553118</v>
      </c>
      <c r="S391" s="12" t="s">
        <v>552</v>
      </c>
      <c r="T391" s="206">
        <v>510</v>
      </c>
      <c r="U391" s="206">
        <v>3168</v>
      </c>
      <c r="V391" s="12">
        <v>1.61568</v>
      </c>
      <c r="W391" s="198">
        <v>88</v>
      </c>
      <c r="X391" s="254">
        <v>4</v>
      </c>
      <c r="Y391" s="12" t="s">
        <v>75</v>
      </c>
      <c r="Z391" s="12"/>
      <c r="AA391" s="12" t="s">
        <v>85</v>
      </c>
      <c r="AB391" s="13" t="s">
        <v>2136</v>
      </c>
      <c r="AC391" s="14">
        <v>45991</v>
      </c>
      <c r="AD391" s="15">
        <v>48</v>
      </c>
      <c r="AE391" s="55" t="s">
        <v>4106</v>
      </c>
      <c r="AF391" s="12">
        <v>371009236</v>
      </c>
      <c r="AG391" s="12" t="s">
        <v>122</v>
      </c>
      <c r="AH391" s="12" t="s">
        <v>105</v>
      </c>
      <c r="AI391" s="14">
        <v>46009</v>
      </c>
      <c r="AJ391" s="14">
        <v>46009</v>
      </c>
      <c r="AK391" s="14">
        <v>46011</v>
      </c>
      <c r="AL391" s="14">
        <v>46042</v>
      </c>
      <c r="AM391" s="14"/>
      <c r="AN391" s="14">
        <v>46047</v>
      </c>
      <c r="AO391" s="91" t="s">
        <v>66</v>
      </c>
      <c r="AP391" s="12" t="s">
        <v>3906</v>
      </c>
      <c r="AQ391" s="12"/>
      <c r="AR391" s="12" t="s">
        <v>4101</v>
      </c>
      <c r="AS391" s="12" t="s">
        <v>4102</v>
      </c>
      <c r="AT391" s="12" t="s">
        <v>4102</v>
      </c>
      <c r="AU391" s="12">
        <v>33</v>
      </c>
      <c r="AV391" s="12"/>
      <c r="AW391" s="12">
        <v>18</v>
      </c>
      <c r="AX391" s="12">
        <v>56</v>
      </c>
      <c r="AY391" s="14">
        <v>46011</v>
      </c>
      <c r="AZ391" s="14">
        <v>46047</v>
      </c>
      <c r="BA391" s="12" t="e">
        <v>#N/A</v>
      </c>
      <c r="BB391" s="14" t="s">
        <v>2480</v>
      </c>
      <c r="BC391" s="14">
        <v>46061</v>
      </c>
      <c r="BD391" s="16">
        <v>2026</v>
      </c>
      <c r="BE391" s="16">
        <v>2</v>
      </c>
      <c r="BF391" s="16">
        <v>6</v>
      </c>
      <c r="BG391" s="191">
        <v>36</v>
      </c>
      <c r="BH391" s="191">
        <v>792</v>
      </c>
    </row>
    <row r="392" spans="1:60" s="23" customFormat="1" ht="10">
      <c r="A392" s="11" t="s">
        <v>4107</v>
      </c>
      <c r="B392" s="12" t="s">
        <v>111</v>
      </c>
      <c r="C392" s="12" t="s">
        <v>638</v>
      </c>
      <c r="D392" s="12" t="s">
        <v>63</v>
      </c>
      <c r="E392" s="12" t="s">
        <v>64</v>
      </c>
      <c r="F392" s="12" t="s">
        <v>65</v>
      </c>
      <c r="G392" s="12" t="s">
        <v>67</v>
      </c>
      <c r="H392" s="12" t="s">
        <v>66</v>
      </c>
      <c r="I392" s="12" t="s">
        <v>96</v>
      </c>
      <c r="J392" s="34" t="s">
        <v>68</v>
      </c>
      <c r="K392" s="12"/>
      <c r="L392" s="13" t="s">
        <v>2474</v>
      </c>
      <c r="M392" s="213" t="s">
        <v>68</v>
      </c>
      <c r="N392" s="182"/>
      <c r="O392" s="12" t="s">
        <v>2475</v>
      </c>
      <c r="P392" s="12" t="s">
        <v>473</v>
      </c>
      <c r="Q392" s="12" t="s">
        <v>474</v>
      </c>
      <c r="R392" s="12">
        <v>553144</v>
      </c>
      <c r="S392" s="12" t="s">
        <v>475</v>
      </c>
      <c r="T392" s="206">
        <v>460</v>
      </c>
      <c r="U392" s="206">
        <v>864</v>
      </c>
      <c r="V392" s="12">
        <v>0.39744000000000002</v>
      </c>
      <c r="W392" s="198">
        <v>24</v>
      </c>
      <c r="X392" s="254">
        <v>1</v>
      </c>
      <c r="Y392" s="12" t="s">
        <v>75</v>
      </c>
      <c r="Z392" s="12"/>
      <c r="AA392" s="12" t="s">
        <v>85</v>
      </c>
      <c r="AB392" s="13" t="s">
        <v>967</v>
      </c>
      <c r="AC392" s="14">
        <v>45993</v>
      </c>
      <c r="AD392" s="15">
        <v>49</v>
      </c>
      <c r="AE392" s="176" t="s">
        <v>4108</v>
      </c>
      <c r="AF392" s="12">
        <v>371009252</v>
      </c>
      <c r="AG392" s="12" t="s">
        <v>122</v>
      </c>
      <c r="AH392" s="12" t="s">
        <v>356</v>
      </c>
      <c r="AI392" s="14">
        <v>45997</v>
      </c>
      <c r="AJ392" s="14">
        <v>45997</v>
      </c>
      <c r="AK392" s="14">
        <v>45996</v>
      </c>
      <c r="AL392" s="14">
        <v>46035</v>
      </c>
      <c r="AM392" s="14"/>
      <c r="AN392" s="14">
        <v>46037</v>
      </c>
      <c r="AO392" s="91" t="s">
        <v>66</v>
      </c>
      <c r="AP392" s="12" t="s">
        <v>4032</v>
      </c>
      <c r="AQ392" s="12"/>
      <c r="AR392" s="12" t="s">
        <v>4109</v>
      </c>
      <c r="AS392" s="12" t="s">
        <v>4110</v>
      </c>
      <c r="AT392" s="12" t="s">
        <v>4110</v>
      </c>
      <c r="AU392" s="12">
        <v>38</v>
      </c>
      <c r="AV392" s="12"/>
      <c r="AW392" s="12">
        <v>6</v>
      </c>
      <c r="AX392" s="12">
        <v>44</v>
      </c>
      <c r="AY392" s="14">
        <v>45996</v>
      </c>
      <c r="AZ392" s="14">
        <v>46037</v>
      </c>
      <c r="BA392" s="12" t="e">
        <v>#N/A</v>
      </c>
      <c r="BB392" s="14" t="s">
        <v>2480</v>
      </c>
      <c r="BC392" s="14">
        <v>46051</v>
      </c>
      <c r="BD392" s="16">
        <v>2026</v>
      </c>
      <c r="BE392" s="16">
        <v>1</v>
      </c>
      <c r="BF392" s="16">
        <v>5</v>
      </c>
      <c r="BG392" s="191">
        <v>36</v>
      </c>
      <c r="BH392" s="191">
        <v>864</v>
      </c>
    </row>
    <row r="393" spans="1:60" s="23" customFormat="1" ht="10">
      <c r="A393" s="11" t="s">
        <v>4111</v>
      </c>
      <c r="B393" s="12" t="s">
        <v>111</v>
      </c>
      <c r="C393" s="12" t="s">
        <v>215</v>
      </c>
      <c r="D393" s="12" t="s">
        <v>113</v>
      </c>
      <c r="E393" s="12" t="s">
        <v>64</v>
      </c>
      <c r="F393" s="12" t="s">
        <v>100</v>
      </c>
      <c r="G393" s="12" t="s">
        <v>67</v>
      </c>
      <c r="H393" s="12" t="s">
        <v>66</v>
      </c>
      <c r="I393" s="12" t="s">
        <v>363</v>
      </c>
      <c r="J393" s="34" t="s">
        <v>68</v>
      </c>
      <c r="K393" s="12" t="s">
        <v>364</v>
      </c>
      <c r="L393" s="13" t="s">
        <v>113</v>
      </c>
      <c r="M393" s="213" t="s">
        <v>68</v>
      </c>
      <c r="N393" s="182"/>
      <c r="O393" s="12" t="s">
        <v>2475</v>
      </c>
      <c r="P393" s="12" t="s">
        <v>70</v>
      </c>
      <c r="Q393" s="12" t="s">
        <v>218</v>
      </c>
      <c r="R393" s="12">
        <v>555364</v>
      </c>
      <c r="S393" s="12" t="s">
        <v>219</v>
      </c>
      <c r="T393" s="206">
        <v>625</v>
      </c>
      <c r="U393" s="206">
        <v>5760</v>
      </c>
      <c r="V393" s="12">
        <v>3.6</v>
      </c>
      <c r="W393" s="198">
        <v>160</v>
      </c>
      <c r="X393" s="254">
        <v>8</v>
      </c>
      <c r="Y393" s="12" t="s">
        <v>75</v>
      </c>
      <c r="Z393" s="12"/>
      <c r="AA393" s="12" t="s">
        <v>128</v>
      </c>
      <c r="AB393" s="13" t="s">
        <v>992</v>
      </c>
      <c r="AC393" s="14">
        <v>45993</v>
      </c>
      <c r="AD393" s="15">
        <v>49</v>
      </c>
      <c r="AE393" s="176" t="s">
        <v>4112</v>
      </c>
      <c r="AF393" s="12">
        <v>371009256</v>
      </c>
      <c r="AG393" s="12" t="s">
        <v>122</v>
      </c>
      <c r="AH393" s="12" t="s">
        <v>105</v>
      </c>
      <c r="AI393" s="14">
        <v>46006</v>
      </c>
      <c r="AJ393" s="14">
        <v>46006</v>
      </c>
      <c r="AK393" s="14">
        <v>46011</v>
      </c>
      <c r="AL393" s="14">
        <v>46042</v>
      </c>
      <c r="AM393" s="14"/>
      <c r="AN393" s="14">
        <v>46047</v>
      </c>
      <c r="AO393" s="91" t="s">
        <v>66</v>
      </c>
      <c r="AP393" s="12" t="s">
        <v>4113</v>
      </c>
      <c r="AQ393" s="12"/>
      <c r="AR393" s="12" t="s">
        <v>4114</v>
      </c>
      <c r="AS393" s="12" t="s">
        <v>4115</v>
      </c>
      <c r="AT393" s="12" t="s">
        <v>4115</v>
      </c>
      <c r="AU393" s="12">
        <v>36</v>
      </c>
      <c r="AV393" s="12"/>
      <c r="AW393" s="12">
        <v>5</v>
      </c>
      <c r="AX393" s="12">
        <v>54</v>
      </c>
      <c r="AY393" s="14">
        <v>46011</v>
      </c>
      <c r="AZ393" s="14">
        <v>46047</v>
      </c>
      <c r="BA393" s="12" t="e">
        <v>#N/A</v>
      </c>
      <c r="BB393" s="14" t="s">
        <v>2480</v>
      </c>
      <c r="BC393" s="14">
        <v>46061</v>
      </c>
      <c r="BD393" s="16">
        <v>2026</v>
      </c>
      <c r="BE393" s="16">
        <v>2</v>
      </c>
      <c r="BF393" s="16">
        <v>6</v>
      </c>
      <c r="BG393" s="191">
        <v>36</v>
      </c>
      <c r="BH393" s="191">
        <v>720</v>
      </c>
    </row>
    <row r="394" spans="1:60" s="23" customFormat="1" ht="10">
      <c r="A394" s="11" t="s">
        <v>4116</v>
      </c>
      <c r="B394" s="12" t="s">
        <v>111</v>
      </c>
      <c r="C394" s="12" t="s">
        <v>548</v>
      </c>
      <c r="D394" s="12" t="s">
        <v>63</v>
      </c>
      <c r="E394" s="12" t="s">
        <v>64</v>
      </c>
      <c r="F394" s="12" t="s">
        <v>65</v>
      </c>
      <c r="G394" s="12" t="s">
        <v>67</v>
      </c>
      <c r="H394" s="12" t="s">
        <v>66</v>
      </c>
      <c r="I394" s="12" t="s">
        <v>96</v>
      </c>
      <c r="J394" s="34" t="s">
        <v>68</v>
      </c>
      <c r="K394" s="12"/>
      <c r="L394" s="13" t="s">
        <v>2474</v>
      </c>
      <c r="M394" s="213" t="s">
        <v>68</v>
      </c>
      <c r="N394" s="182"/>
      <c r="O394" s="12" t="s">
        <v>2475</v>
      </c>
      <c r="P394" s="12" t="s">
        <v>550</v>
      </c>
      <c r="Q394" s="12" t="s">
        <v>551</v>
      </c>
      <c r="R394" s="12">
        <v>553118</v>
      </c>
      <c r="S394" s="12" t="s">
        <v>552</v>
      </c>
      <c r="T394" s="206">
        <v>510</v>
      </c>
      <c r="U394" s="206">
        <v>2376</v>
      </c>
      <c r="V394" s="12">
        <v>1.2117599999999999</v>
      </c>
      <c r="W394" s="198">
        <v>66</v>
      </c>
      <c r="X394" s="254">
        <v>3</v>
      </c>
      <c r="Y394" s="12" t="s">
        <v>75</v>
      </c>
      <c r="Z394" s="12"/>
      <c r="AA394" s="12" t="s">
        <v>85</v>
      </c>
      <c r="AB394" s="13" t="s">
        <v>2136</v>
      </c>
      <c r="AC394" s="14">
        <v>45994</v>
      </c>
      <c r="AD394" s="15">
        <v>49</v>
      </c>
      <c r="AE394" s="55" t="s">
        <v>4117</v>
      </c>
      <c r="AF394" s="12">
        <v>371009237</v>
      </c>
      <c r="AG394" s="12" t="s">
        <v>122</v>
      </c>
      <c r="AH394" s="12" t="s">
        <v>78</v>
      </c>
      <c r="AI394" s="14">
        <v>46002</v>
      </c>
      <c r="AJ394" s="14">
        <v>46002</v>
      </c>
      <c r="AK394" s="14">
        <v>46002</v>
      </c>
      <c r="AL394" s="14">
        <v>46049</v>
      </c>
      <c r="AM394" s="14">
        <v>46054</v>
      </c>
      <c r="AN394" s="14">
        <v>46054</v>
      </c>
      <c r="AO394" s="91" t="s">
        <v>66</v>
      </c>
      <c r="AP394" s="12" t="s">
        <v>4118</v>
      </c>
      <c r="AQ394" s="12"/>
      <c r="AR394" s="12" t="s">
        <v>4119</v>
      </c>
      <c r="AS394" s="12" t="s">
        <v>4120</v>
      </c>
      <c r="AT394" s="12" t="s">
        <v>4120</v>
      </c>
      <c r="AU394" s="12">
        <v>47</v>
      </c>
      <c r="AV394" s="12" t="s">
        <v>2493</v>
      </c>
      <c r="AW394" s="12">
        <v>18</v>
      </c>
      <c r="AX394" s="12">
        <v>60</v>
      </c>
      <c r="AY394" s="14">
        <v>46002</v>
      </c>
      <c r="AZ394" s="14">
        <v>46054</v>
      </c>
      <c r="BA394" s="12" t="e">
        <v>#N/A</v>
      </c>
      <c r="BB394" s="14" t="s">
        <v>2480</v>
      </c>
      <c r="BC394" s="14">
        <v>46068</v>
      </c>
      <c r="BD394" s="16">
        <v>2026</v>
      </c>
      <c r="BE394" s="16">
        <v>2</v>
      </c>
      <c r="BF394" s="16">
        <v>7</v>
      </c>
      <c r="BG394" s="191">
        <v>36</v>
      </c>
      <c r="BH394" s="191">
        <v>792</v>
      </c>
    </row>
    <row r="395" spans="1:60" s="23" customFormat="1" ht="10">
      <c r="A395" s="11" t="s">
        <v>4121</v>
      </c>
      <c r="B395" s="12" t="s">
        <v>111</v>
      </c>
      <c r="C395" s="12" t="s">
        <v>3716</v>
      </c>
      <c r="D395" s="12" t="s">
        <v>63</v>
      </c>
      <c r="E395" s="12" t="s">
        <v>64</v>
      </c>
      <c r="F395" s="12" t="s">
        <v>65</v>
      </c>
      <c r="G395" s="12" t="s">
        <v>67</v>
      </c>
      <c r="H395" s="12" t="s">
        <v>66</v>
      </c>
      <c r="I395" s="12" t="s">
        <v>96</v>
      </c>
      <c r="J395" s="34" t="s">
        <v>68</v>
      </c>
      <c r="K395" s="12"/>
      <c r="L395" s="13" t="s">
        <v>2474</v>
      </c>
      <c r="M395" s="213" t="s">
        <v>68</v>
      </c>
      <c r="N395" s="182"/>
      <c r="O395" s="12" t="s">
        <v>2475</v>
      </c>
      <c r="P395" s="12" t="s">
        <v>170</v>
      </c>
      <c r="Q395" s="12" t="s">
        <v>462</v>
      </c>
      <c r="R395" s="12">
        <v>552026</v>
      </c>
      <c r="S395" s="12" t="s">
        <v>463</v>
      </c>
      <c r="T395" s="206">
        <v>550</v>
      </c>
      <c r="U395" s="206">
        <v>1980</v>
      </c>
      <c r="V395" s="12">
        <v>1.089</v>
      </c>
      <c r="W395" s="198">
        <v>60</v>
      </c>
      <c r="X395" s="254">
        <v>3</v>
      </c>
      <c r="Y395" s="12" t="s">
        <v>75</v>
      </c>
      <c r="Z395" s="12"/>
      <c r="AA395" s="12" t="s">
        <v>108</v>
      </c>
      <c r="AB395" s="32" t="s">
        <v>1187</v>
      </c>
      <c r="AC395" s="14">
        <v>45994</v>
      </c>
      <c r="AD395" s="15">
        <v>49</v>
      </c>
      <c r="AE395" s="55" t="s">
        <v>4122</v>
      </c>
      <c r="AF395" s="12">
        <v>371009228</v>
      </c>
      <c r="AG395" s="12" t="s">
        <v>122</v>
      </c>
      <c r="AH395" s="12" t="s">
        <v>78</v>
      </c>
      <c r="AI395" s="14">
        <v>46002</v>
      </c>
      <c r="AJ395" s="14">
        <v>46002</v>
      </c>
      <c r="AK395" s="14">
        <v>46002</v>
      </c>
      <c r="AL395" s="14">
        <v>46049</v>
      </c>
      <c r="AM395" s="14">
        <v>46054</v>
      </c>
      <c r="AN395" s="14">
        <v>46054</v>
      </c>
      <c r="AO395" s="91" t="s">
        <v>66</v>
      </c>
      <c r="AP395" s="12" t="s">
        <v>4118</v>
      </c>
      <c r="AQ395" s="12"/>
      <c r="AR395" s="12" t="s">
        <v>4119</v>
      </c>
      <c r="AS395" s="12" t="s">
        <v>4120</v>
      </c>
      <c r="AT395" s="12" t="s">
        <v>4120</v>
      </c>
      <c r="AU395" s="12">
        <v>47</v>
      </c>
      <c r="AV395" s="12" t="s">
        <v>2493</v>
      </c>
      <c r="AW395" s="12">
        <v>5</v>
      </c>
      <c r="AX395" s="12">
        <v>60</v>
      </c>
      <c r="AY395" s="14">
        <v>46002</v>
      </c>
      <c r="AZ395" s="14">
        <v>46054</v>
      </c>
      <c r="BA395" s="12" t="e">
        <v>#N/A</v>
      </c>
      <c r="BB395" s="14" t="s">
        <v>2480</v>
      </c>
      <c r="BC395" s="14">
        <v>46068</v>
      </c>
      <c r="BD395" s="16">
        <v>2026</v>
      </c>
      <c r="BE395" s="16">
        <v>2</v>
      </c>
      <c r="BF395" s="16">
        <v>7</v>
      </c>
      <c r="BG395" s="191">
        <v>33</v>
      </c>
      <c r="BH395" s="191">
        <v>660</v>
      </c>
    </row>
    <row r="396" spans="1:60" s="23" customFormat="1" ht="10">
      <c r="A396" s="11" t="s">
        <v>4123</v>
      </c>
      <c r="B396" s="12" t="s">
        <v>111</v>
      </c>
      <c r="C396" s="12" t="s">
        <v>545</v>
      </c>
      <c r="D396" s="12" t="s">
        <v>63</v>
      </c>
      <c r="E396" s="12" t="s">
        <v>64</v>
      </c>
      <c r="F396" s="12" t="s">
        <v>65</v>
      </c>
      <c r="G396" s="12" t="s">
        <v>67</v>
      </c>
      <c r="H396" s="12" t="s">
        <v>66</v>
      </c>
      <c r="I396" s="12" t="s">
        <v>96</v>
      </c>
      <c r="J396" s="34" t="s">
        <v>68</v>
      </c>
      <c r="K396" s="12"/>
      <c r="L396" s="13" t="s">
        <v>2474</v>
      </c>
      <c r="M396" s="213" t="s">
        <v>68</v>
      </c>
      <c r="N396" s="182"/>
      <c r="O396" s="12" t="s">
        <v>2475</v>
      </c>
      <c r="P396" s="12" t="s">
        <v>473</v>
      </c>
      <c r="Q396" s="12" t="s">
        <v>529</v>
      </c>
      <c r="R396" s="12">
        <v>553145</v>
      </c>
      <c r="S396" s="12" t="s">
        <v>530</v>
      </c>
      <c r="T396" s="206">
        <v>455</v>
      </c>
      <c r="U396" s="206">
        <v>2592</v>
      </c>
      <c r="V396" s="12">
        <v>1.17936</v>
      </c>
      <c r="W396" s="198">
        <v>72</v>
      </c>
      <c r="X396" s="254">
        <v>3</v>
      </c>
      <c r="Y396" s="12" t="s">
        <v>75</v>
      </c>
      <c r="Z396" s="12"/>
      <c r="AA396" s="12" t="s">
        <v>85</v>
      </c>
      <c r="AB396" s="13" t="s">
        <v>967</v>
      </c>
      <c r="AC396" s="14">
        <v>45998</v>
      </c>
      <c r="AD396" s="15">
        <v>49</v>
      </c>
      <c r="AE396" s="55" t="s">
        <v>4124</v>
      </c>
      <c r="AF396" s="12">
        <v>371009249</v>
      </c>
      <c r="AG396" s="12" t="s">
        <v>122</v>
      </c>
      <c r="AH396" s="12" t="s">
        <v>78</v>
      </c>
      <c r="AI396" s="14">
        <v>46007</v>
      </c>
      <c r="AJ396" s="14">
        <v>46007</v>
      </c>
      <c r="AK396" s="14">
        <v>46008</v>
      </c>
      <c r="AL396" s="14">
        <v>46055</v>
      </c>
      <c r="AM396" s="14">
        <v>46068</v>
      </c>
      <c r="AN396" s="14">
        <v>46071</v>
      </c>
      <c r="AO396" s="91" t="s">
        <v>66</v>
      </c>
      <c r="AP396" s="12" t="s">
        <v>4125</v>
      </c>
      <c r="AQ396" s="12"/>
      <c r="AR396" s="12" t="s">
        <v>4126</v>
      </c>
      <c r="AS396" s="12" t="s">
        <v>4127</v>
      </c>
      <c r="AT396" s="12" t="s">
        <v>4127</v>
      </c>
      <c r="AU396" s="12">
        <v>48</v>
      </c>
      <c r="AV396" s="12" t="s">
        <v>83</v>
      </c>
      <c r="AW396" s="12">
        <v>13</v>
      </c>
      <c r="AX396" s="12">
        <v>73</v>
      </c>
      <c r="AY396" s="14">
        <v>46008</v>
      </c>
      <c r="AZ396" s="14">
        <v>46071</v>
      </c>
      <c r="BA396" s="12" t="s">
        <v>973</v>
      </c>
      <c r="BB396" s="14" t="s">
        <v>4128</v>
      </c>
      <c r="BC396" s="14">
        <v>46085</v>
      </c>
      <c r="BD396" s="16">
        <v>2026</v>
      </c>
      <c r="BE396" s="16">
        <v>3</v>
      </c>
      <c r="BF396" s="16">
        <v>10</v>
      </c>
      <c r="BG396" s="191">
        <v>36</v>
      </c>
      <c r="BH396" s="191">
        <v>864</v>
      </c>
    </row>
    <row r="397" spans="1:60" s="23" customFormat="1" ht="10">
      <c r="A397" s="11" t="s">
        <v>4129</v>
      </c>
      <c r="B397" s="12" t="s">
        <v>111</v>
      </c>
      <c r="C397" s="12" t="s">
        <v>3716</v>
      </c>
      <c r="D397" s="12" t="s">
        <v>63</v>
      </c>
      <c r="E397" s="12" t="s">
        <v>64</v>
      </c>
      <c r="F397" s="12" t="s">
        <v>65</v>
      </c>
      <c r="G397" s="12" t="s">
        <v>67</v>
      </c>
      <c r="H397" s="12" t="s">
        <v>66</v>
      </c>
      <c r="I397" s="12" t="s">
        <v>96</v>
      </c>
      <c r="J397" s="34" t="s">
        <v>68</v>
      </c>
      <c r="K397" s="12"/>
      <c r="L397" s="13" t="s">
        <v>2474</v>
      </c>
      <c r="M397" s="213" t="s">
        <v>68</v>
      </c>
      <c r="N397" s="182"/>
      <c r="O397" s="12" t="s">
        <v>2475</v>
      </c>
      <c r="P397" s="12" t="s">
        <v>170</v>
      </c>
      <c r="Q397" s="12" t="s">
        <v>462</v>
      </c>
      <c r="R397" s="12">
        <v>552026</v>
      </c>
      <c r="S397" s="12" t="s">
        <v>463</v>
      </c>
      <c r="T397" s="206">
        <v>550</v>
      </c>
      <c r="U397" s="206">
        <v>1980</v>
      </c>
      <c r="V397" s="12">
        <v>1.089</v>
      </c>
      <c r="W397" s="198">
        <v>60</v>
      </c>
      <c r="X397" s="254">
        <v>3</v>
      </c>
      <c r="Y397" s="12" t="s">
        <v>75</v>
      </c>
      <c r="Z397" s="12"/>
      <c r="AA397" s="12" t="s">
        <v>108</v>
      </c>
      <c r="AB397" s="32" t="s">
        <v>1187</v>
      </c>
      <c r="AC397" s="14">
        <v>45998</v>
      </c>
      <c r="AD397" s="15">
        <v>49</v>
      </c>
      <c r="AE397" s="55" t="s">
        <v>4130</v>
      </c>
      <c r="AF397" s="12">
        <v>371009229</v>
      </c>
      <c r="AG397" s="12" t="s">
        <v>122</v>
      </c>
      <c r="AH397" s="12" t="s">
        <v>78</v>
      </c>
      <c r="AI397" s="14">
        <v>46007</v>
      </c>
      <c r="AJ397" s="14">
        <v>46007</v>
      </c>
      <c r="AK397" s="14">
        <v>46008</v>
      </c>
      <c r="AL397" s="14">
        <v>46055</v>
      </c>
      <c r="AM397" s="14">
        <v>46068</v>
      </c>
      <c r="AN397" s="14">
        <v>46071</v>
      </c>
      <c r="AO397" s="91" t="s">
        <v>66</v>
      </c>
      <c r="AP397" s="12" t="s">
        <v>4125</v>
      </c>
      <c r="AQ397" s="12"/>
      <c r="AR397" s="12" t="s">
        <v>4126</v>
      </c>
      <c r="AS397" s="12" t="s">
        <v>4127</v>
      </c>
      <c r="AT397" s="12" t="s">
        <v>4127</v>
      </c>
      <c r="AU397" s="12">
        <v>48</v>
      </c>
      <c r="AV397" s="12" t="s">
        <v>83</v>
      </c>
      <c r="AW397" s="12">
        <v>5</v>
      </c>
      <c r="AX397" s="12">
        <v>73</v>
      </c>
      <c r="AY397" s="14">
        <v>46008</v>
      </c>
      <c r="AZ397" s="14">
        <v>46071</v>
      </c>
      <c r="BA397" s="12" t="s">
        <v>973</v>
      </c>
      <c r="BB397" s="14" t="s">
        <v>4128</v>
      </c>
      <c r="BC397" s="14">
        <v>46085</v>
      </c>
      <c r="BD397" s="16">
        <v>2026</v>
      </c>
      <c r="BE397" s="16">
        <v>3</v>
      </c>
      <c r="BF397" s="16">
        <v>10</v>
      </c>
      <c r="BG397" s="191">
        <v>33</v>
      </c>
      <c r="BH397" s="191">
        <v>660</v>
      </c>
    </row>
    <row r="398" spans="1:60" s="23" customFormat="1" ht="10">
      <c r="A398" s="11" t="s">
        <v>4131</v>
      </c>
      <c r="B398" s="12" t="s">
        <v>111</v>
      </c>
      <c r="C398" s="12" t="s">
        <v>548</v>
      </c>
      <c r="D398" s="12" t="s">
        <v>63</v>
      </c>
      <c r="E398" s="12" t="s">
        <v>64</v>
      </c>
      <c r="F398" s="12" t="s">
        <v>65</v>
      </c>
      <c r="G398" s="12" t="s">
        <v>67</v>
      </c>
      <c r="H398" s="12" t="s">
        <v>66</v>
      </c>
      <c r="I398" s="12" t="s">
        <v>96</v>
      </c>
      <c r="J398" s="34" t="s">
        <v>68</v>
      </c>
      <c r="K398" s="12"/>
      <c r="L398" s="13" t="s">
        <v>2474</v>
      </c>
      <c r="M398" s="213" t="s">
        <v>68</v>
      </c>
      <c r="N398" s="182"/>
      <c r="O398" s="12" t="s">
        <v>2475</v>
      </c>
      <c r="P398" s="12" t="s">
        <v>550</v>
      </c>
      <c r="Q398" s="12" t="s">
        <v>551</v>
      </c>
      <c r="R398" s="12">
        <v>553118</v>
      </c>
      <c r="S398" s="12" t="s">
        <v>552</v>
      </c>
      <c r="T398" s="206">
        <v>510</v>
      </c>
      <c r="U398" s="206">
        <v>2376</v>
      </c>
      <c r="V398" s="12">
        <v>1.2117599999999999</v>
      </c>
      <c r="W398" s="198">
        <v>66</v>
      </c>
      <c r="X398" s="254">
        <v>3</v>
      </c>
      <c r="Y398" s="12" t="s">
        <v>75</v>
      </c>
      <c r="Z398" s="12"/>
      <c r="AA398" s="12" t="s">
        <v>85</v>
      </c>
      <c r="AB398" s="13" t="s">
        <v>2136</v>
      </c>
      <c r="AC398" s="14">
        <v>45998</v>
      </c>
      <c r="AD398" s="15">
        <v>49</v>
      </c>
      <c r="AE398" s="55" t="s">
        <v>4132</v>
      </c>
      <c r="AF398" s="12">
        <v>371009238</v>
      </c>
      <c r="AG398" s="12" t="s">
        <v>122</v>
      </c>
      <c r="AH398" s="12" t="s">
        <v>78</v>
      </c>
      <c r="AI398" s="14">
        <v>46007</v>
      </c>
      <c r="AJ398" s="14">
        <v>46007</v>
      </c>
      <c r="AK398" s="14">
        <v>46008</v>
      </c>
      <c r="AL398" s="14">
        <v>46055</v>
      </c>
      <c r="AM398" s="14">
        <v>46068</v>
      </c>
      <c r="AN398" s="14">
        <v>46071</v>
      </c>
      <c r="AO398" s="91" t="s">
        <v>66</v>
      </c>
      <c r="AP398" s="12" t="s">
        <v>4125</v>
      </c>
      <c r="AQ398" s="12"/>
      <c r="AR398" s="12" t="s">
        <v>4126</v>
      </c>
      <c r="AS398" s="12" t="s">
        <v>4127</v>
      </c>
      <c r="AT398" s="12" t="s">
        <v>4127</v>
      </c>
      <c r="AU398" s="12">
        <v>48</v>
      </c>
      <c r="AV398" s="12" t="s">
        <v>83</v>
      </c>
      <c r="AW398" s="12">
        <v>18</v>
      </c>
      <c r="AX398" s="12">
        <v>73</v>
      </c>
      <c r="AY398" s="14">
        <v>46008</v>
      </c>
      <c r="AZ398" s="14">
        <v>46071</v>
      </c>
      <c r="BA398" s="12" t="s">
        <v>973</v>
      </c>
      <c r="BB398" s="14" t="s">
        <v>4128</v>
      </c>
      <c r="BC398" s="14">
        <v>46085</v>
      </c>
      <c r="BD398" s="16">
        <v>2026</v>
      </c>
      <c r="BE398" s="16">
        <v>3</v>
      </c>
      <c r="BF398" s="16">
        <v>10</v>
      </c>
      <c r="BG398" s="191">
        <v>36</v>
      </c>
      <c r="BH398" s="191">
        <v>792</v>
      </c>
    </row>
    <row r="399" spans="1:60" s="23" customFormat="1" ht="10">
      <c r="A399" s="11" t="s">
        <v>4133</v>
      </c>
      <c r="B399" s="12" t="s">
        <v>111</v>
      </c>
      <c r="C399" s="12" t="s">
        <v>4134</v>
      </c>
      <c r="D399" s="12" t="s">
        <v>63</v>
      </c>
      <c r="E399" s="12" t="s">
        <v>64</v>
      </c>
      <c r="F399" s="12" t="s">
        <v>65</v>
      </c>
      <c r="G399" s="12" t="s">
        <v>67</v>
      </c>
      <c r="H399" s="12" t="s">
        <v>66</v>
      </c>
      <c r="I399" s="12" t="s">
        <v>131</v>
      </c>
      <c r="J399" s="34" t="s">
        <v>68</v>
      </c>
      <c r="K399" s="12"/>
      <c r="L399" s="13" t="s">
        <v>2497</v>
      </c>
      <c r="M399" s="213" t="s">
        <v>68</v>
      </c>
      <c r="N399" s="182"/>
      <c r="O399" s="12" t="s">
        <v>2475</v>
      </c>
      <c r="P399" s="12" t="s">
        <v>132</v>
      </c>
      <c r="Q399" s="12" t="s">
        <v>453</v>
      </c>
      <c r="R399" s="12">
        <v>554541</v>
      </c>
      <c r="S399" s="12" t="s">
        <v>454</v>
      </c>
      <c r="T399" s="206">
        <v>460</v>
      </c>
      <c r="U399" s="206">
        <v>864</v>
      </c>
      <c r="V399" s="12">
        <v>0.39744000000000002</v>
      </c>
      <c r="W399" s="198">
        <v>24</v>
      </c>
      <c r="X399" s="254">
        <v>1</v>
      </c>
      <c r="Y399" s="12" t="s">
        <v>75</v>
      </c>
      <c r="Z399" s="12"/>
      <c r="AA399" s="12" t="s">
        <v>108</v>
      </c>
      <c r="AB399" s="13" t="s">
        <v>967</v>
      </c>
      <c r="AC399" s="14">
        <v>45996</v>
      </c>
      <c r="AD399" s="15">
        <v>49</v>
      </c>
      <c r="AE399" s="55" t="s">
        <v>4135</v>
      </c>
      <c r="AF399" s="12">
        <v>371009235</v>
      </c>
      <c r="AG399" s="12" t="s">
        <v>122</v>
      </c>
      <c r="AH399" s="243" t="s">
        <v>78</v>
      </c>
      <c r="AI399" s="14">
        <v>46007</v>
      </c>
      <c r="AJ399" s="14">
        <v>46022</v>
      </c>
      <c r="AK399" s="14">
        <v>46022</v>
      </c>
      <c r="AL399" s="14">
        <v>46050</v>
      </c>
      <c r="AM399" s="14">
        <v>46076</v>
      </c>
      <c r="AN399" s="14">
        <v>46076</v>
      </c>
      <c r="AO399" s="91" t="s">
        <v>66</v>
      </c>
      <c r="AP399" s="12" t="s">
        <v>4125</v>
      </c>
      <c r="AQ399" s="12"/>
      <c r="AR399" s="12" t="s">
        <v>4136</v>
      </c>
      <c r="AS399" s="12" t="s">
        <v>4137</v>
      </c>
      <c r="AT399" s="12" t="s">
        <v>4137</v>
      </c>
      <c r="AU399" s="12">
        <v>43</v>
      </c>
      <c r="AV399" s="12"/>
      <c r="AW399" s="12">
        <v>2</v>
      </c>
      <c r="AX399" s="12">
        <v>80</v>
      </c>
      <c r="AY399" s="14">
        <v>46022</v>
      </c>
      <c r="AZ399" s="14">
        <v>46076</v>
      </c>
      <c r="BA399" s="12" t="s">
        <v>973</v>
      </c>
      <c r="BB399" s="14" t="s">
        <v>4138</v>
      </c>
      <c r="BC399" s="14">
        <v>46090</v>
      </c>
      <c r="BD399" s="16">
        <v>2026</v>
      </c>
      <c r="BE399" s="16">
        <v>3</v>
      </c>
      <c r="BF399" s="16">
        <v>11</v>
      </c>
      <c r="BG399" s="191">
        <v>36</v>
      </c>
      <c r="BH399" s="191">
        <v>864</v>
      </c>
    </row>
    <row r="400" spans="1:60" s="23" customFormat="1" ht="10">
      <c r="A400" s="11" t="s">
        <v>4139</v>
      </c>
      <c r="B400" s="12" t="s">
        <v>111</v>
      </c>
      <c r="C400" s="12" t="s">
        <v>3616</v>
      </c>
      <c r="D400" s="12" t="s">
        <v>63</v>
      </c>
      <c r="E400" s="12" t="s">
        <v>64</v>
      </c>
      <c r="F400" s="12" t="s">
        <v>65</v>
      </c>
      <c r="G400" s="12" t="s">
        <v>67</v>
      </c>
      <c r="H400" s="12" t="s">
        <v>66</v>
      </c>
      <c r="I400" s="12" t="s">
        <v>131</v>
      </c>
      <c r="J400" s="34" t="s">
        <v>68</v>
      </c>
      <c r="K400" s="12"/>
      <c r="L400" s="13" t="s">
        <v>2497</v>
      </c>
      <c r="M400" s="213" t="s">
        <v>68</v>
      </c>
      <c r="N400" s="182"/>
      <c r="O400" s="12" t="s">
        <v>2475</v>
      </c>
      <c r="P400" s="12" t="s">
        <v>70</v>
      </c>
      <c r="Q400" s="12" t="s">
        <v>1347</v>
      </c>
      <c r="R400" s="12">
        <v>554471</v>
      </c>
      <c r="S400" s="12" t="s">
        <v>1348</v>
      </c>
      <c r="T400" s="206">
        <v>710</v>
      </c>
      <c r="U400" s="206">
        <v>2970</v>
      </c>
      <c r="V400" s="12">
        <v>2.1086999999999998</v>
      </c>
      <c r="W400" s="198">
        <v>90</v>
      </c>
      <c r="X400" s="254">
        <v>5</v>
      </c>
      <c r="Y400" s="12" t="s">
        <v>75</v>
      </c>
      <c r="Z400" s="12"/>
      <c r="AA400" s="12" t="s">
        <v>2658</v>
      </c>
      <c r="AB400" s="32" t="s">
        <v>992</v>
      </c>
      <c r="AC400" s="14">
        <v>45996</v>
      </c>
      <c r="AD400" s="15">
        <v>49</v>
      </c>
      <c r="AE400" s="55" t="s">
        <v>4140</v>
      </c>
      <c r="AF400" s="12">
        <v>371009240</v>
      </c>
      <c r="AG400" s="12" t="s">
        <v>122</v>
      </c>
      <c r="AH400" s="243" t="s">
        <v>78</v>
      </c>
      <c r="AI400" s="14">
        <v>46007</v>
      </c>
      <c r="AJ400" s="14">
        <v>46022</v>
      </c>
      <c r="AK400" s="14">
        <v>46022</v>
      </c>
      <c r="AL400" s="14">
        <v>46050</v>
      </c>
      <c r="AM400" s="14">
        <v>46076</v>
      </c>
      <c r="AN400" s="14">
        <v>46076</v>
      </c>
      <c r="AO400" s="91" t="s">
        <v>66</v>
      </c>
      <c r="AP400" s="12" t="s">
        <v>4125</v>
      </c>
      <c r="AQ400" s="12"/>
      <c r="AR400" s="12" t="s">
        <v>4136</v>
      </c>
      <c r="AS400" s="12" t="s">
        <v>4137</v>
      </c>
      <c r="AT400" s="12" t="s">
        <v>4137</v>
      </c>
      <c r="AU400" s="12">
        <v>43</v>
      </c>
      <c r="AV400" s="12"/>
      <c r="AW400" s="12">
        <v>2</v>
      </c>
      <c r="AX400" s="12">
        <v>80</v>
      </c>
      <c r="AY400" s="14">
        <v>46022</v>
      </c>
      <c r="AZ400" s="14">
        <v>46076</v>
      </c>
      <c r="BA400" s="12" t="s">
        <v>973</v>
      </c>
      <c r="BB400" s="14" t="s">
        <v>4138</v>
      </c>
      <c r="BC400" s="14">
        <v>46090</v>
      </c>
      <c r="BD400" s="16">
        <v>2026</v>
      </c>
      <c r="BE400" s="16">
        <v>3</v>
      </c>
      <c r="BF400" s="16">
        <v>11</v>
      </c>
      <c r="BG400" s="191">
        <v>33</v>
      </c>
      <c r="BH400" s="191">
        <v>594</v>
      </c>
    </row>
    <row r="401" spans="1:60" ht="10">
      <c r="A401" s="11" t="s">
        <v>4141</v>
      </c>
      <c r="B401" s="12" t="s">
        <v>111</v>
      </c>
      <c r="C401" s="12" t="s">
        <v>3951</v>
      </c>
      <c r="D401" s="12" t="s">
        <v>63</v>
      </c>
      <c r="E401" s="12" t="s">
        <v>64</v>
      </c>
      <c r="F401" s="12" t="s">
        <v>65</v>
      </c>
      <c r="G401" s="12" t="s">
        <v>67</v>
      </c>
      <c r="H401" s="12" t="s">
        <v>66</v>
      </c>
      <c r="I401" s="12" t="s">
        <v>131</v>
      </c>
      <c r="J401" s="34" t="s">
        <v>68</v>
      </c>
      <c r="K401" s="12"/>
      <c r="L401" s="13" t="s">
        <v>2497</v>
      </c>
      <c r="M401" s="213" t="s">
        <v>68</v>
      </c>
      <c r="N401" s="182"/>
      <c r="O401" s="12" t="s">
        <v>2475</v>
      </c>
      <c r="P401" s="12" t="s">
        <v>132</v>
      </c>
      <c r="Q401" s="12" t="s">
        <v>3952</v>
      </c>
      <c r="R401" s="12">
        <v>554431</v>
      </c>
      <c r="S401" s="12" t="s">
        <v>1105</v>
      </c>
      <c r="T401" s="206">
        <v>455</v>
      </c>
      <c r="U401" s="206">
        <v>3456</v>
      </c>
      <c r="V401" s="12">
        <v>1.5724800000000001</v>
      </c>
      <c r="W401" s="198">
        <v>96</v>
      </c>
      <c r="X401" s="254">
        <v>4</v>
      </c>
      <c r="Y401" s="12" t="s">
        <v>75</v>
      </c>
      <c r="Z401" s="12"/>
      <c r="AA401" s="12" t="s">
        <v>108</v>
      </c>
      <c r="AB401" s="32" t="s">
        <v>967</v>
      </c>
      <c r="AC401" s="14">
        <v>45996</v>
      </c>
      <c r="AD401" s="15">
        <v>49</v>
      </c>
      <c r="AE401" s="55" t="s">
        <v>4142</v>
      </c>
      <c r="AF401" s="12">
        <v>371009242</v>
      </c>
      <c r="AG401" s="12" t="s">
        <v>122</v>
      </c>
      <c r="AH401" s="243" t="s">
        <v>78</v>
      </c>
      <c r="AI401" s="14">
        <v>46007</v>
      </c>
      <c r="AJ401" s="14">
        <v>46022</v>
      </c>
      <c r="AK401" s="14">
        <v>46022</v>
      </c>
      <c r="AL401" s="14">
        <v>46050</v>
      </c>
      <c r="AM401" s="14">
        <v>46076</v>
      </c>
      <c r="AN401" s="14">
        <v>46076</v>
      </c>
      <c r="AO401" s="91" t="s">
        <v>66</v>
      </c>
      <c r="AP401" s="12" t="s">
        <v>4125</v>
      </c>
      <c r="AQ401" s="12"/>
      <c r="AR401" s="12" t="s">
        <v>4136</v>
      </c>
      <c r="AS401" s="12" t="s">
        <v>4137</v>
      </c>
      <c r="AT401" s="12" t="s">
        <v>4137</v>
      </c>
      <c r="AU401" s="12">
        <v>43</v>
      </c>
      <c r="AV401" s="12"/>
      <c r="AW401" s="12">
        <v>4</v>
      </c>
      <c r="AX401" s="12">
        <v>80</v>
      </c>
      <c r="AY401" s="14">
        <v>46022</v>
      </c>
      <c r="AZ401" s="14">
        <v>46076</v>
      </c>
      <c r="BA401" s="12" t="s">
        <v>973</v>
      </c>
      <c r="BB401" s="14" t="s">
        <v>4138</v>
      </c>
      <c r="BC401" s="14">
        <v>46090</v>
      </c>
      <c r="BD401" s="16">
        <v>2026</v>
      </c>
      <c r="BE401" s="16">
        <v>3</v>
      </c>
      <c r="BF401" s="16">
        <v>11</v>
      </c>
      <c r="BG401" s="191">
        <v>36</v>
      </c>
      <c r="BH401" s="191">
        <v>864</v>
      </c>
    </row>
    <row r="402" spans="1:60" ht="10">
      <c r="A402" s="11" t="s">
        <v>4143</v>
      </c>
      <c r="B402" s="12" t="s">
        <v>111</v>
      </c>
      <c r="C402" s="12" t="s">
        <v>3951</v>
      </c>
      <c r="D402" s="12" t="s">
        <v>63</v>
      </c>
      <c r="E402" s="12" t="s">
        <v>64</v>
      </c>
      <c r="F402" s="12" t="s">
        <v>65</v>
      </c>
      <c r="G402" s="12" t="s">
        <v>67</v>
      </c>
      <c r="H402" s="12" t="s">
        <v>66</v>
      </c>
      <c r="I402" s="12" t="s">
        <v>131</v>
      </c>
      <c r="J402" s="34" t="s">
        <v>68</v>
      </c>
      <c r="K402" s="12"/>
      <c r="L402" s="13" t="s">
        <v>2497</v>
      </c>
      <c r="M402" s="213" t="s">
        <v>68</v>
      </c>
      <c r="N402" s="182"/>
      <c r="O402" s="12" t="s">
        <v>2475</v>
      </c>
      <c r="P402" s="12" t="s">
        <v>132</v>
      </c>
      <c r="Q402" s="12" t="s">
        <v>3952</v>
      </c>
      <c r="R402" s="12">
        <v>554431</v>
      </c>
      <c r="S402" s="12" t="s">
        <v>1105</v>
      </c>
      <c r="T402" s="206">
        <v>455</v>
      </c>
      <c r="U402" s="206">
        <v>3456</v>
      </c>
      <c r="V402" s="12">
        <v>1.5724800000000001</v>
      </c>
      <c r="W402" s="198">
        <v>96</v>
      </c>
      <c r="X402" s="254">
        <v>4</v>
      </c>
      <c r="Y402" s="12" t="s">
        <v>75</v>
      </c>
      <c r="Z402" s="12"/>
      <c r="AA402" s="12" t="s">
        <v>108</v>
      </c>
      <c r="AB402" s="32" t="s">
        <v>967</v>
      </c>
      <c r="AC402" s="14">
        <v>45996</v>
      </c>
      <c r="AD402" s="15">
        <v>49</v>
      </c>
      <c r="AE402" s="55" t="s">
        <v>4144</v>
      </c>
      <c r="AF402" s="12">
        <v>371009243</v>
      </c>
      <c r="AG402" s="12" t="s">
        <v>122</v>
      </c>
      <c r="AH402" s="243" t="s">
        <v>78</v>
      </c>
      <c r="AI402" s="14">
        <v>46007</v>
      </c>
      <c r="AJ402" s="14">
        <v>46022</v>
      </c>
      <c r="AK402" s="14">
        <v>46022</v>
      </c>
      <c r="AL402" s="14">
        <v>46050</v>
      </c>
      <c r="AM402" s="14">
        <v>46076</v>
      </c>
      <c r="AN402" s="14">
        <v>46076</v>
      </c>
      <c r="AO402" s="91" t="s">
        <v>66</v>
      </c>
      <c r="AP402" s="12" t="s">
        <v>4125</v>
      </c>
      <c r="AQ402" s="12"/>
      <c r="AR402" s="12" t="s">
        <v>4136</v>
      </c>
      <c r="AS402" s="12" t="s">
        <v>4137</v>
      </c>
      <c r="AT402" s="12" t="s">
        <v>4137</v>
      </c>
      <c r="AU402" s="12">
        <v>43</v>
      </c>
      <c r="AV402" s="12"/>
      <c r="AW402" s="12">
        <v>4</v>
      </c>
      <c r="AX402" s="12">
        <v>80</v>
      </c>
      <c r="AY402" s="14">
        <v>46022</v>
      </c>
      <c r="AZ402" s="14">
        <v>46076</v>
      </c>
      <c r="BA402" s="12" t="s">
        <v>973</v>
      </c>
      <c r="BB402" s="14" t="s">
        <v>4138</v>
      </c>
      <c r="BC402" s="14">
        <v>46090</v>
      </c>
      <c r="BD402" s="16">
        <v>2026</v>
      </c>
      <c r="BE402" s="16">
        <v>3</v>
      </c>
      <c r="BF402" s="16">
        <v>11</v>
      </c>
      <c r="BG402" s="191">
        <v>36</v>
      </c>
      <c r="BH402" s="191">
        <v>864</v>
      </c>
    </row>
    <row r="403" spans="1:60" ht="10">
      <c r="A403" s="11" t="s">
        <v>4145</v>
      </c>
      <c r="B403" s="12" t="s">
        <v>111</v>
      </c>
      <c r="C403" s="12" t="s">
        <v>3951</v>
      </c>
      <c r="D403" s="12" t="s">
        <v>63</v>
      </c>
      <c r="E403" s="12" t="s">
        <v>64</v>
      </c>
      <c r="F403" s="31" t="s">
        <v>310</v>
      </c>
      <c r="G403" s="12" t="s">
        <v>311</v>
      </c>
      <c r="H403" s="12" t="s">
        <v>66</v>
      </c>
      <c r="I403" s="12" t="s">
        <v>1559</v>
      </c>
      <c r="J403" s="34" t="s">
        <v>68</v>
      </c>
      <c r="K403" s="12"/>
      <c r="L403" s="13" t="s">
        <v>2497</v>
      </c>
      <c r="M403" s="213" t="s">
        <v>68</v>
      </c>
      <c r="N403" s="182"/>
      <c r="O403" s="12" t="s">
        <v>2475</v>
      </c>
      <c r="P403" s="12" t="s">
        <v>132</v>
      </c>
      <c r="Q403" s="12" t="s">
        <v>3952</v>
      </c>
      <c r="R403" s="12">
        <v>554431</v>
      </c>
      <c r="S403" s="12" t="s">
        <v>1105</v>
      </c>
      <c r="T403" s="206">
        <v>455</v>
      </c>
      <c r="U403" s="206">
        <v>864</v>
      </c>
      <c r="V403" s="12">
        <v>0.39312000000000002</v>
      </c>
      <c r="W403" s="198">
        <v>24</v>
      </c>
      <c r="X403" s="254">
        <v>1</v>
      </c>
      <c r="Y403" s="12" t="s">
        <v>75</v>
      </c>
      <c r="Z403" s="12"/>
      <c r="AA403" s="12" t="s">
        <v>108</v>
      </c>
      <c r="AB403" s="32" t="s">
        <v>967</v>
      </c>
      <c r="AC403" s="14">
        <v>45998</v>
      </c>
      <c r="AD403" s="15">
        <v>49</v>
      </c>
      <c r="AE403" s="55" t="s">
        <v>4146</v>
      </c>
      <c r="AF403" s="12">
        <v>371009244</v>
      </c>
      <c r="AG403" s="12" t="s">
        <v>122</v>
      </c>
      <c r="AH403" s="12" t="s">
        <v>1561</v>
      </c>
      <c r="AI403" s="14">
        <v>46004</v>
      </c>
      <c r="AJ403" s="14">
        <v>46004</v>
      </c>
      <c r="AK403" s="14">
        <v>46004</v>
      </c>
      <c r="AL403" s="14">
        <v>46059</v>
      </c>
      <c r="AM403" s="14">
        <v>46067</v>
      </c>
      <c r="AN403" s="14">
        <v>46067</v>
      </c>
      <c r="AO403" s="91" t="s">
        <v>66</v>
      </c>
      <c r="AP403" s="12" t="s">
        <v>4147</v>
      </c>
      <c r="AQ403" s="12"/>
      <c r="AR403" s="12" t="s">
        <v>4148</v>
      </c>
      <c r="AS403" s="12" t="s">
        <v>4149</v>
      </c>
      <c r="AT403" s="12" t="s">
        <v>4149</v>
      </c>
      <c r="AU403" s="12">
        <v>55</v>
      </c>
      <c r="AV403" s="12"/>
      <c r="AW403" s="12">
        <v>4</v>
      </c>
      <c r="AX403" s="12">
        <v>69</v>
      </c>
      <c r="AY403" s="14">
        <v>46004</v>
      </c>
      <c r="AZ403" s="14">
        <v>46067</v>
      </c>
      <c r="BA403" s="12" t="s">
        <v>973</v>
      </c>
      <c r="BB403" s="14" t="s">
        <v>4150</v>
      </c>
      <c r="BC403" s="14">
        <v>46081</v>
      </c>
      <c r="BD403" s="16">
        <v>2026</v>
      </c>
      <c r="BE403" s="16">
        <v>2</v>
      </c>
      <c r="BF403" s="16">
        <v>9</v>
      </c>
      <c r="BG403" s="191">
        <v>36</v>
      </c>
      <c r="BH403" s="191">
        <v>864</v>
      </c>
    </row>
    <row r="404" spans="1:60" s="23" customFormat="1" ht="10">
      <c r="A404" s="11" t="s">
        <v>4151</v>
      </c>
      <c r="B404" s="12" t="s">
        <v>111</v>
      </c>
      <c r="C404" s="12" t="s">
        <v>545</v>
      </c>
      <c r="D404" s="12" t="s">
        <v>63</v>
      </c>
      <c r="E404" s="12" t="s">
        <v>64</v>
      </c>
      <c r="F404" s="31" t="s">
        <v>310</v>
      </c>
      <c r="G404" s="12" t="s">
        <v>311</v>
      </c>
      <c r="H404" s="12" t="s">
        <v>66</v>
      </c>
      <c r="I404" s="12" t="s">
        <v>1559</v>
      </c>
      <c r="J404" s="34" t="s">
        <v>68</v>
      </c>
      <c r="K404" s="12"/>
      <c r="L404" s="13" t="s">
        <v>2497</v>
      </c>
      <c r="M404" s="213" t="s">
        <v>68</v>
      </c>
      <c r="N404" s="182"/>
      <c r="O404" s="12" t="s">
        <v>2475</v>
      </c>
      <c r="P404" s="12" t="s">
        <v>473</v>
      </c>
      <c r="Q404" s="12" t="s">
        <v>529</v>
      </c>
      <c r="R404" s="12">
        <v>553145</v>
      </c>
      <c r="S404" s="12" t="s">
        <v>530</v>
      </c>
      <c r="T404" s="206">
        <v>455</v>
      </c>
      <c r="U404" s="206">
        <v>1728</v>
      </c>
      <c r="V404" s="12">
        <v>0.78624000000000005</v>
      </c>
      <c r="W404" s="198">
        <v>48</v>
      </c>
      <c r="X404" s="254">
        <v>2</v>
      </c>
      <c r="Y404" s="12" t="s">
        <v>75</v>
      </c>
      <c r="Z404" s="12"/>
      <c r="AA404" s="12" t="s">
        <v>85</v>
      </c>
      <c r="AB404" s="13" t="s">
        <v>967</v>
      </c>
      <c r="AC404" s="14">
        <v>45998</v>
      </c>
      <c r="AD404" s="15">
        <v>49</v>
      </c>
      <c r="AE404" s="55" t="s">
        <v>4152</v>
      </c>
      <c r="AF404" s="12">
        <v>371009250</v>
      </c>
      <c r="AG404" s="12" t="s">
        <v>122</v>
      </c>
      <c r="AH404" s="12" t="s">
        <v>1561</v>
      </c>
      <c r="AI404" s="14">
        <v>46004</v>
      </c>
      <c r="AJ404" s="14">
        <v>46004</v>
      </c>
      <c r="AK404" s="14">
        <v>46004</v>
      </c>
      <c r="AL404" s="14">
        <v>46059</v>
      </c>
      <c r="AM404" s="14">
        <v>46067</v>
      </c>
      <c r="AN404" s="14">
        <v>46067</v>
      </c>
      <c r="AO404" s="91" t="s">
        <v>66</v>
      </c>
      <c r="AP404" s="12" t="s">
        <v>4147</v>
      </c>
      <c r="AQ404" s="12"/>
      <c r="AR404" s="12" t="s">
        <v>4148</v>
      </c>
      <c r="AS404" s="12" t="s">
        <v>4149</v>
      </c>
      <c r="AT404" s="12" t="s">
        <v>4149</v>
      </c>
      <c r="AU404" s="12">
        <v>55</v>
      </c>
      <c r="AV404" s="12"/>
      <c r="AW404" s="12">
        <v>13</v>
      </c>
      <c r="AX404" s="12">
        <v>69</v>
      </c>
      <c r="AY404" s="14">
        <v>46004</v>
      </c>
      <c r="AZ404" s="14">
        <v>46067</v>
      </c>
      <c r="BA404" s="12" t="s">
        <v>973</v>
      </c>
      <c r="BB404" s="14" t="s">
        <v>4150</v>
      </c>
      <c r="BC404" s="14">
        <v>46081</v>
      </c>
      <c r="BD404" s="16">
        <v>2026</v>
      </c>
      <c r="BE404" s="16">
        <v>2</v>
      </c>
      <c r="BF404" s="16">
        <v>9</v>
      </c>
      <c r="BG404" s="191">
        <v>36</v>
      </c>
      <c r="BH404" s="191">
        <v>864</v>
      </c>
    </row>
    <row r="405" spans="1:60" s="23" customFormat="1" ht="10">
      <c r="A405" s="11" t="s">
        <v>4153</v>
      </c>
      <c r="B405" s="12" t="s">
        <v>111</v>
      </c>
      <c r="C405" s="12" t="s">
        <v>3955</v>
      </c>
      <c r="D405" s="12" t="s">
        <v>63</v>
      </c>
      <c r="E405" s="12" t="s">
        <v>64</v>
      </c>
      <c r="F405" s="31" t="s">
        <v>310</v>
      </c>
      <c r="G405" s="12" t="s">
        <v>311</v>
      </c>
      <c r="H405" s="12" t="s">
        <v>66</v>
      </c>
      <c r="I405" s="12" t="s">
        <v>1559</v>
      </c>
      <c r="J405" s="34" t="s">
        <v>68</v>
      </c>
      <c r="K405" s="12"/>
      <c r="L405" s="13" t="s">
        <v>2497</v>
      </c>
      <c r="M405" s="213" t="s">
        <v>68</v>
      </c>
      <c r="N405" s="182"/>
      <c r="O405" s="12" t="s">
        <v>2475</v>
      </c>
      <c r="P405" s="12" t="s">
        <v>132</v>
      </c>
      <c r="Q405" s="12" t="s">
        <v>133</v>
      </c>
      <c r="R405" s="12">
        <v>554304</v>
      </c>
      <c r="S405" s="12" t="s">
        <v>134</v>
      </c>
      <c r="T405" s="206">
        <v>720</v>
      </c>
      <c r="U405" s="206">
        <v>4752</v>
      </c>
      <c r="V405" s="12">
        <v>3.42144</v>
      </c>
      <c r="W405" s="198">
        <v>144</v>
      </c>
      <c r="X405" s="254">
        <v>8</v>
      </c>
      <c r="Y405" s="12" t="s">
        <v>75</v>
      </c>
      <c r="Z405" s="12"/>
      <c r="AA405" s="12" t="s">
        <v>108</v>
      </c>
      <c r="AB405" s="13" t="s">
        <v>992</v>
      </c>
      <c r="AC405" s="14">
        <v>45998</v>
      </c>
      <c r="AD405" s="15">
        <v>49</v>
      </c>
      <c r="AE405" s="55" t="s">
        <v>4154</v>
      </c>
      <c r="AF405" s="12">
        <v>371009254</v>
      </c>
      <c r="AG405" s="12" t="s">
        <v>122</v>
      </c>
      <c r="AH405" s="12" t="s">
        <v>1561</v>
      </c>
      <c r="AI405" s="14">
        <v>46004</v>
      </c>
      <c r="AJ405" s="14">
        <v>46004</v>
      </c>
      <c r="AK405" s="14">
        <v>46004</v>
      </c>
      <c r="AL405" s="14">
        <v>46059</v>
      </c>
      <c r="AM405" s="14">
        <v>46067</v>
      </c>
      <c r="AN405" s="14">
        <v>46067</v>
      </c>
      <c r="AO405" s="91" t="s">
        <v>66</v>
      </c>
      <c r="AP405" s="12" t="s">
        <v>4147</v>
      </c>
      <c r="AQ405" s="12"/>
      <c r="AR405" s="12" t="s">
        <v>4148</v>
      </c>
      <c r="AS405" s="12" t="s">
        <v>4149</v>
      </c>
      <c r="AT405" s="12" t="s">
        <v>4149</v>
      </c>
      <c r="AU405" s="12">
        <v>55</v>
      </c>
      <c r="AV405" s="12"/>
      <c r="AW405" s="12">
        <v>3</v>
      </c>
      <c r="AX405" s="12">
        <v>69</v>
      </c>
      <c r="AY405" s="14">
        <v>46004</v>
      </c>
      <c r="AZ405" s="14">
        <v>46067</v>
      </c>
      <c r="BA405" s="12" t="s">
        <v>973</v>
      </c>
      <c r="BB405" s="14" t="s">
        <v>4150</v>
      </c>
      <c r="BC405" s="14">
        <v>46081</v>
      </c>
      <c r="BD405" s="16">
        <v>2026</v>
      </c>
      <c r="BE405" s="16">
        <v>2</v>
      </c>
      <c r="BF405" s="16">
        <v>9</v>
      </c>
      <c r="BG405" s="191">
        <v>33</v>
      </c>
      <c r="BH405" s="191">
        <v>594</v>
      </c>
    </row>
    <row r="406" spans="1:60" s="23" customFormat="1" ht="10">
      <c r="A406" s="11" t="s">
        <v>4155</v>
      </c>
      <c r="B406" s="12" t="s">
        <v>111</v>
      </c>
      <c r="C406" s="12" t="s">
        <v>3739</v>
      </c>
      <c r="D406" s="12" t="s">
        <v>63</v>
      </c>
      <c r="E406" s="12" t="s">
        <v>68</v>
      </c>
      <c r="F406" s="12" t="s">
        <v>68</v>
      </c>
      <c r="G406" s="12"/>
      <c r="H406" s="12" t="s">
        <v>402</v>
      </c>
      <c r="I406" s="12" t="s">
        <v>594</v>
      </c>
      <c r="J406" s="34" t="s">
        <v>68</v>
      </c>
      <c r="K406" s="12">
        <v>16102605</v>
      </c>
      <c r="L406" s="13" t="s">
        <v>2482</v>
      </c>
      <c r="M406" s="12" t="s">
        <v>68</v>
      </c>
      <c r="N406" s="182"/>
      <c r="O406" s="12" t="s">
        <v>2475</v>
      </c>
      <c r="P406" s="12" t="s">
        <v>132</v>
      </c>
      <c r="Q406" s="12" t="s">
        <v>1905</v>
      </c>
      <c r="R406" s="12">
        <v>554547</v>
      </c>
      <c r="S406" s="12" t="s">
        <v>1906</v>
      </c>
      <c r="T406" s="206">
        <v>555</v>
      </c>
      <c r="U406" s="206">
        <v>1980</v>
      </c>
      <c r="V406" s="12">
        <v>1.0989</v>
      </c>
      <c r="W406" s="198">
        <v>60</v>
      </c>
      <c r="X406" s="254">
        <v>3</v>
      </c>
      <c r="Y406" s="12" t="s">
        <v>75</v>
      </c>
      <c r="Z406" s="12"/>
      <c r="AA406" s="12" t="s">
        <v>108</v>
      </c>
      <c r="AB406" s="13" t="s">
        <v>992</v>
      </c>
      <c r="AC406" s="14">
        <v>45997</v>
      </c>
      <c r="AD406" s="15">
        <v>49</v>
      </c>
      <c r="AE406" s="176" t="s">
        <v>4156</v>
      </c>
      <c r="AF406" s="12">
        <v>371009230</v>
      </c>
      <c r="AG406" s="12" t="s">
        <v>122</v>
      </c>
      <c r="AH406" s="12" t="s">
        <v>124</v>
      </c>
      <c r="AI406" s="14">
        <v>46004</v>
      </c>
      <c r="AJ406" s="14">
        <v>46004</v>
      </c>
      <c r="AK406" s="14">
        <v>46004</v>
      </c>
      <c r="AL406" s="14">
        <v>46045</v>
      </c>
      <c r="AM406" s="14"/>
      <c r="AN406" s="14">
        <v>46046</v>
      </c>
      <c r="AO406" s="91" t="s">
        <v>402</v>
      </c>
      <c r="AP406" s="12" t="s">
        <v>4147</v>
      </c>
      <c r="AQ406" s="12"/>
      <c r="AR406" s="12" t="s">
        <v>4157</v>
      </c>
      <c r="AS406" s="12" t="s">
        <v>4158</v>
      </c>
      <c r="AT406" s="12" t="s">
        <v>4158</v>
      </c>
      <c r="AU406" s="12">
        <v>41</v>
      </c>
      <c r="AV406" s="12"/>
      <c r="AW406" s="12">
        <v>3</v>
      </c>
      <c r="AX406" s="12">
        <v>49</v>
      </c>
      <c r="AY406" s="14">
        <v>46004</v>
      </c>
      <c r="AZ406" s="14">
        <v>46046</v>
      </c>
      <c r="BA406" s="12" t="e">
        <v>#N/A</v>
      </c>
      <c r="BB406" s="14" t="s">
        <v>2480</v>
      </c>
      <c r="BC406" s="14">
        <v>46060</v>
      </c>
      <c r="BD406" s="16">
        <v>2026</v>
      </c>
      <c r="BE406" s="16">
        <v>2</v>
      </c>
      <c r="BF406" s="16">
        <v>6</v>
      </c>
      <c r="BG406" s="191">
        <v>33</v>
      </c>
      <c r="BH406" s="191">
        <v>660</v>
      </c>
    </row>
    <row r="407" spans="1:60" s="23" customFormat="1" ht="10">
      <c r="A407" s="11" t="s">
        <v>4159</v>
      </c>
      <c r="B407" s="12" t="s">
        <v>61</v>
      </c>
      <c r="C407" s="12" t="s">
        <v>3685</v>
      </c>
      <c r="D407" s="12" t="s">
        <v>63</v>
      </c>
      <c r="E407" s="12" t="s">
        <v>64</v>
      </c>
      <c r="F407" s="12" t="s">
        <v>65</v>
      </c>
      <c r="G407" s="12" t="s">
        <v>67</v>
      </c>
      <c r="H407" s="12" t="s">
        <v>66</v>
      </c>
      <c r="I407" s="12" t="s">
        <v>69</v>
      </c>
      <c r="J407" s="34" t="s">
        <v>68</v>
      </c>
      <c r="K407" s="12"/>
      <c r="L407" s="13" t="s">
        <v>2474</v>
      </c>
      <c r="M407" s="213" t="s">
        <v>68</v>
      </c>
      <c r="N407" s="182"/>
      <c r="O407" s="12" t="s">
        <v>2475</v>
      </c>
      <c r="P407" s="12" t="s">
        <v>70</v>
      </c>
      <c r="Q407" s="12" t="s">
        <v>71</v>
      </c>
      <c r="R407" s="12">
        <v>554475</v>
      </c>
      <c r="S407" s="12" t="s">
        <v>72</v>
      </c>
      <c r="T407" s="206">
        <v>500</v>
      </c>
      <c r="U407" s="206">
        <v>864</v>
      </c>
      <c r="V407" s="12">
        <v>0.432</v>
      </c>
      <c r="W407" s="198">
        <v>24</v>
      </c>
      <c r="X407" s="254">
        <v>1</v>
      </c>
      <c r="Y407" s="12" t="s">
        <v>75</v>
      </c>
      <c r="Z407" s="12"/>
      <c r="AA407" s="12" t="s">
        <v>2658</v>
      </c>
      <c r="AB407" s="13" t="s">
        <v>967</v>
      </c>
      <c r="AC407" s="14">
        <v>45992</v>
      </c>
      <c r="AD407" s="15">
        <v>49</v>
      </c>
      <c r="AE407" s="55" t="s">
        <v>4160</v>
      </c>
      <c r="AF407" s="12">
        <v>371009241</v>
      </c>
      <c r="AG407" s="12" t="s">
        <v>77</v>
      </c>
      <c r="AH407" s="12" t="s">
        <v>78</v>
      </c>
      <c r="AI407" s="14">
        <v>45998</v>
      </c>
      <c r="AJ407" s="14">
        <v>45998</v>
      </c>
      <c r="AK407" s="14">
        <v>45998</v>
      </c>
      <c r="AL407" s="14">
        <v>46062</v>
      </c>
      <c r="AM407" s="14">
        <v>46070</v>
      </c>
      <c r="AN407" s="14">
        <v>46074</v>
      </c>
      <c r="AO407" s="91" t="s">
        <v>66</v>
      </c>
      <c r="AP407" s="12" t="s">
        <v>4161</v>
      </c>
      <c r="AQ407" s="12"/>
      <c r="AR407" s="12" t="s">
        <v>4162</v>
      </c>
      <c r="AS407" s="12" t="s">
        <v>4163</v>
      </c>
      <c r="AT407" s="12" t="s">
        <v>4163</v>
      </c>
      <c r="AU407" s="12">
        <v>64</v>
      </c>
      <c r="AV407" s="12" t="s">
        <v>83</v>
      </c>
      <c r="AW407" s="12">
        <v>2</v>
      </c>
      <c r="AX407" s="12">
        <v>82</v>
      </c>
      <c r="AY407" s="14">
        <v>45998</v>
      </c>
      <c r="AZ407" s="14">
        <v>46074</v>
      </c>
      <c r="BA407" s="12" t="s">
        <v>973</v>
      </c>
      <c r="BB407" s="14" t="s">
        <v>4150</v>
      </c>
      <c r="BC407" s="14">
        <v>46088</v>
      </c>
      <c r="BD407" s="16">
        <v>2026</v>
      </c>
      <c r="BE407" s="16">
        <v>3</v>
      </c>
      <c r="BF407" s="16">
        <v>10</v>
      </c>
      <c r="BG407" s="191">
        <v>36</v>
      </c>
      <c r="BH407" s="191">
        <v>864</v>
      </c>
    </row>
    <row r="408" spans="1:60" s="23" customFormat="1" ht="10">
      <c r="A408" s="11" t="s">
        <v>4164</v>
      </c>
      <c r="B408" s="12" t="s">
        <v>61</v>
      </c>
      <c r="C408" s="12" t="s">
        <v>3158</v>
      </c>
      <c r="D408" s="12" t="s">
        <v>63</v>
      </c>
      <c r="E408" s="12" t="s">
        <v>64</v>
      </c>
      <c r="F408" s="12" t="s">
        <v>65</v>
      </c>
      <c r="G408" s="12" t="s">
        <v>67</v>
      </c>
      <c r="H408" s="12" t="s">
        <v>66</v>
      </c>
      <c r="I408" s="12" t="s">
        <v>96</v>
      </c>
      <c r="J408" s="34" t="s">
        <v>68</v>
      </c>
      <c r="K408" s="12"/>
      <c r="L408" s="13" t="s">
        <v>2474</v>
      </c>
      <c r="M408" s="213" t="s">
        <v>68</v>
      </c>
      <c r="N408" s="182"/>
      <c r="O408" s="12" t="s">
        <v>2475</v>
      </c>
      <c r="P408" s="12" t="s">
        <v>70</v>
      </c>
      <c r="Q408" s="12" t="s">
        <v>71</v>
      </c>
      <c r="R408" s="12">
        <v>554475</v>
      </c>
      <c r="S408" s="12" t="s">
        <v>72</v>
      </c>
      <c r="T408" s="206">
        <v>500</v>
      </c>
      <c r="U408" s="206">
        <v>2592</v>
      </c>
      <c r="V408" s="12">
        <v>1.296</v>
      </c>
      <c r="W408" s="198">
        <v>72</v>
      </c>
      <c r="X408" s="254">
        <v>3</v>
      </c>
      <c r="Y408" s="12" t="s">
        <v>75</v>
      </c>
      <c r="Z408" s="12"/>
      <c r="AA408" s="12" t="s">
        <v>2658</v>
      </c>
      <c r="AB408" s="13" t="s">
        <v>967</v>
      </c>
      <c r="AC408" s="14">
        <v>45992</v>
      </c>
      <c r="AD408" s="15">
        <v>49</v>
      </c>
      <c r="AE408" s="55" t="s">
        <v>4165</v>
      </c>
      <c r="AF408" s="12">
        <v>371009239</v>
      </c>
      <c r="AG408" s="12" t="s">
        <v>77</v>
      </c>
      <c r="AH408" s="12" t="s">
        <v>78</v>
      </c>
      <c r="AI408" s="14">
        <v>45998</v>
      </c>
      <c r="AJ408" s="14">
        <v>45998</v>
      </c>
      <c r="AK408" s="14">
        <v>45998</v>
      </c>
      <c r="AL408" s="14">
        <v>46062</v>
      </c>
      <c r="AM408" s="14">
        <v>46070</v>
      </c>
      <c r="AN408" s="14">
        <v>46074</v>
      </c>
      <c r="AO408" s="91" t="s">
        <v>66</v>
      </c>
      <c r="AP408" s="12" t="s">
        <v>4161</v>
      </c>
      <c r="AQ408" s="12"/>
      <c r="AR408" s="12" t="s">
        <v>4162</v>
      </c>
      <c r="AS408" s="12" t="s">
        <v>4163</v>
      </c>
      <c r="AT408" s="12" t="s">
        <v>4163</v>
      </c>
      <c r="AU408" s="12">
        <v>64</v>
      </c>
      <c r="AV408" s="12" t="s">
        <v>83</v>
      </c>
      <c r="AW408" s="12">
        <v>10</v>
      </c>
      <c r="AX408" s="12">
        <v>82</v>
      </c>
      <c r="AY408" s="14">
        <v>45998</v>
      </c>
      <c r="AZ408" s="14">
        <v>46074</v>
      </c>
      <c r="BA408" s="12" t="s">
        <v>973</v>
      </c>
      <c r="BB408" s="14" t="s">
        <v>4150</v>
      </c>
      <c r="BC408" s="14">
        <v>46088</v>
      </c>
      <c r="BD408" s="16">
        <v>2026</v>
      </c>
      <c r="BE408" s="16">
        <v>3</v>
      </c>
      <c r="BF408" s="16">
        <v>10</v>
      </c>
      <c r="BG408" s="191">
        <v>36</v>
      </c>
      <c r="BH408" s="191">
        <v>864</v>
      </c>
    </row>
    <row r="409" spans="1:60" s="23" customFormat="1" ht="10">
      <c r="A409" s="11" t="s">
        <v>4166</v>
      </c>
      <c r="B409" s="12" t="s">
        <v>61</v>
      </c>
      <c r="C409" s="12" t="s">
        <v>3343</v>
      </c>
      <c r="D409" s="12" t="s">
        <v>63</v>
      </c>
      <c r="E409" s="12" t="s">
        <v>144</v>
      </c>
      <c r="F409" s="12" t="s">
        <v>145</v>
      </c>
      <c r="G409" s="12" t="s">
        <v>1081</v>
      </c>
      <c r="H409" s="12" t="s">
        <v>146</v>
      </c>
      <c r="I409" s="12" t="s">
        <v>1081</v>
      </c>
      <c r="J409" s="34" t="s">
        <v>68</v>
      </c>
      <c r="K409" s="12">
        <v>46010928</v>
      </c>
      <c r="L409" s="13" t="s">
        <v>2719</v>
      </c>
      <c r="M409" s="236" t="s">
        <v>68</v>
      </c>
      <c r="N409" s="182"/>
      <c r="O409" s="12" t="s">
        <v>2475</v>
      </c>
      <c r="P409" s="12" t="s">
        <v>70</v>
      </c>
      <c r="Q409" s="12" t="s">
        <v>195</v>
      </c>
      <c r="R409" s="12">
        <v>554473</v>
      </c>
      <c r="S409" s="12" t="s">
        <v>196</v>
      </c>
      <c r="T409" s="206">
        <v>450</v>
      </c>
      <c r="U409" s="206">
        <v>1872</v>
      </c>
      <c r="V409" s="12">
        <v>0.84240000000000004</v>
      </c>
      <c r="W409" s="198">
        <v>52</v>
      </c>
      <c r="X409" s="254">
        <v>2</v>
      </c>
      <c r="Y409" s="12" t="s">
        <v>75</v>
      </c>
      <c r="Z409" s="12"/>
      <c r="AA409" s="12" t="s">
        <v>85</v>
      </c>
      <c r="AB409" s="13" t="s">
        <v>967</v>
      </c>
      <c r="AC409" s="14">
        <v>46000</v>
      </c>
      <c r="AD409" s="15">
        <v>50</v>
      </c>
      <c r="AE409" s="176" t="s">
        <v>4167</v>
      </c>
      <c r="AF409" s="12">
        <v>371009288</v>
      </c>
      <c r="AG409" s="12" t="s">
        <v>77</v>
      </c>
      <c r="AH409" s="12" t="s">
        <v>105</v>
      </c>
      <c r="AI409" s="14">
        <v>46009</v>
      </c>
      <c r="AJ409" s="14">
        <v>46009</v>
      </c>
      <c r="AK409" s="14">
        <v>46012</v>
      </c>
      <c r="AL409" s="14">
        <v>46049</v>
      </c>
      <c r="AM409" s="14">
        <v>46056</v>
      </c>
      <c r="AN409" s="14">
        <v>46056</v>
      </c>
      <c r="AO409" s="91" t="s">
        <v>146</v>
      </c>
      <c r="AP409" s="12" t="s">
        <v>79</v>
      </c>
      <c r="AQ409" s="12"/>
      <c r="AR409" s="12">
        <v>46010928</v>
      </c>
      <c r="AS409" s="12" t="s">
        <v>4168</v>
      </c>
      <c r="AT409" s="12" t="s">
        <v>4168</v>
      </c>
      <c r="AU409" s="12">
        <v>40</v>
      </c>
      <c r="AV409" s="12" t="s">
        <v>2493</v>
      </c>
      <c r="AW409" s="12">
        <v>7</v>
      </c>
      <c r="AX409" s="12">
        <v>56</v>
      </c>
      <c r="AY409" s="14">
        <v>46012</v>
      </c>
      <c r="AZ409" s="14">
        <v>46056</v>
      </c>
      <c r="BA409" s="12" t="e">
        <v>#N/A</v>
      </c>
      <c r="BB409" s="14" t="s">
        <v>2480</v>
      </c>
      <c r="BC409" s="14">
        <v>46070</v>
      </c>
      <c r="BD409" s="16">
        <v>2026</v>
      </c>
      <c r="BE409" s="16">
        <v>2</v>
      </c>
      <c r="BF409" s="16">
        <v>8</v>
      </c>
      <c r="BG409" s="191">
        <v>36</v>
      </c>
      <c r="BH409" s="191">
        <v>936</v>
      </c>
    </row>
    <row r="410" spans="1:60" ht="10">
      <c r="A410" s="11" t="s">
        <v>4169</v>
      </c>
      <c r="B410" s="12" t="s">
        <v>111</v>
      </c>
      <c r="C410" s="12" t="s">
        <v>215</v>
      </c>
      <c r="D410" s="12" t="s">
        <v>113</v>
      </c>
      <c r="E410" s="12" t="s">
        <v>64</v>
      </c>
      <c r="F410" s="12" t="s">
        <v>65</v>
      </c>
      <c r="G410" s="12" t="s">
        <v>67</v>
      </c>
      <c r="H410" s="12" t="s">
        <v>66</v>
      </c>
      <c r="I410" s="12" t="s">
        <v>363</v>
      </c>
      <c r="J410" s="34" t="s">
        <v>68</v>
      </c>
      <c r="K410" s="12" t="s">
        <v>364</v>
      </c>
      <c r="L410" s="13" t="s">
        <v>113</v>
      </c>
      <c r="M410" s="213" t="s">
        <v>68</v>
      </c>
      <c r="N410" s="182"/>
      <c r="O410" s="12" t="s">
        <v>2475</v>
      </c>
      <c r="P410" s="12" t="s">
        <v>70</v>
      </c>
      <c r="Q410" s="12" t="s">
        <v>218</v>
      </c>
      <c r="R410" s="12">
        <v>555364</v>
      </c>
      <c r="S410" s="12" t="s">
        <v>219</v>
      </c>
      <c r="T410" s="206">
        <v>625</v>
      </c>
      <c r="U410" s="206">
        <v>720</v>
      </c>
      <c r="V410" s="12">
        <v>0.45</v>
      </c>
      <c r="W410" s="198">
        <v>20</v>
      </c>
      <c r="X410" s="254">
        <v>1</v>
      </c>
      <c r="Y410" s="12" t="s">
        <v>75</v>
      </c>
      <c r="Z410" s="12"/>
      <c r="AA410" s="12" t="s">
        <v>128</v>
      </c>
      <c r="AB410" s="13" t="s">
        <v>992</v>
      </c>
      <c r="AC410" s="14">
        <v>46000</v>
      </c>
      <c r="AD410" s="15">
        <v>50</v>
      </c>
      <c r="AE410" s="176" t="s">
        <v>4170</v>
      </c>
      <c r="AF410" s="12">
        <v>371009299</v>
      </c>
      <c r="AG410" s="12" t="s">
        <v>122</v>
      </c>
      <c r="AH410" s="12" t="s">
        <v>356</v>
      </c>
      <c r="AI410" s="14">
        <v>46005</v>
      </c>
      <c r="AJ410" s="14">
        <v>46005</v>
      </c>
      <c r="AK410" s="14">
        <v>46003</v>
      </c>
      <c r="AL410" s="14">
        <v>46043</v>
      </c>
      <c r="AM410" s="14">
        <v>46042</v>
      </c>
      <c r="AN410" s="14">
        <v>46044</v>
      </c>
      <c r="AO410" s="91" t="s">
        <v>66</v>
      </c>
      <c r="AP410" s="12" t="s">
        <v>4171</v>
      </c>
      <c r="AQ410" s="12"/>
      <c r="AR410" s="12" t="s">
        <v>4172</v>
      </c>
      <c r="AS410" s="12" t="s">
        <v>4173</v>
      </c>
      <c r="AT410" s="12" t="s">
        <v>4174</v>
      </c>
      <c r="AU410" s="12">
        <v>38</v>
      </c>
      <c r="AV410" s="12"/>
      <c r="AW410" s="12">
        <v>5</v>
      </c>
      <c r="AX410" s="12">
        <v>44</v>
      </c>
      <c r="AY410" s="14">
        <v>46003</v>
      </c>
      <c r="AZ410" s="14">
        <v>46044</v>
      </c>
      <c r="BA410" s="12" t="e">
        <v>#N/A</v>
      </c>
      <c r="BB410" s="14" t="s">
        <v>2480</v>
      </c>
      <c r="BC410" s="14">
        <v>46058</v>
      </c>
      <c r="BD410" s="16">
        <v>2026</v>
      </c>
      <c r="BE410" s="16">
        <v>2</v>
      </c>
      <c r="BF410" s="16">
        <v>6</v>
      </c>
      <c r="BG410" s="191">
        <v>36</v>
      </c>
      <c r="BH410" s="191">
        <v>720</v>
      </c>
    </row>
    <row r="411" spans="1:60" s="32" customFormat="1" ht="12">
      <c r="A411" s="49" t="s">
        <v>4175</v>
      </c>
      <c r="B411" s="31" t="s">
        <v>111</v>
      </c>
      <c r="C411" s="31" t="s">
        <v>548</v>
      </c>
      <c r="D411" s="49" t="s">
        <v>63</v>
      </c>
      <c r="E411" s="12" t="s">
        <v>64</v>
      </c>
      <c r="F411" s="12" t="s">
        <v>100</v>
      </c>
      <c r="G411" s="12" t="s">
        <v>67</v>
      </c>
      <c r="H411" s="31" t="s">
        <v>66</v>
      </c>
      <c r="I411" s="31" t="s">
        <v>96</v>
      </c>
      <c r="J411" s="34" t="s">
        <v>68</v>
      </c>
      <c r="K411" s="31"/>
      <c r="L411" s="13" t="s">
        <v>2474</v>
      </c>
      <c r="M411" s="213" t="s">
        <v>68</v>
      </c>
      <c r="N411" s="183"/>
      <c r="O411" s="12" t="s">
        <v>2475</v>
      </c>
      <c r="P411" s="49" t="s">
        <v>550</v>
      </c>
      <c r="Q411" s="12" t="s">
        <v>551</v>
      </c>
      <c r="R411" s="50">
        <v>553118</v>
      </c>
      <c r="S411" s="49" t="s">
        <v>552</v>
      </c>
      <c r="T411" s="207">
        <v>510</v>
      </c>
      <c r="U411" s="207">
        <v>1584</v>
      </c>
      <c r="V411" s="50">
        <v>0.80784</v>
      </c>
      <c r="W411" s="200">
        <v>44</v>
      </c>
      <c r="X411" s="256">
        <v>2</v>
      </c>
      <c r="Y411" s="12" t="s">
        <v>75</v>
      </c>
      <c r="Z411" s="12"/>
      <c r="AA411" s="12" t="s">
        <v>85</v>
      </c>
      <c r="AB411" s="13" t="s">
        <v>2136</v>
      </c>
      <c r="AC411" s="51">
        <v>45999</v>
      </c>
      <c r="AD411" s="35">
        <v>50</v>
      </c>
      <c r="AE411" s="55" t="s">
        <v>4176</v>
      </c>
      <c r="AF411" s="57">
        <v>371009286</v>
      </c>
      <c r="AG411" s="52" t="s">
        <v>122</v>
      </c>
      <c r="AH411" s="53" t="s">
        <v>105</v>
      </c>
      <c r="AI411" s="54">
        <v>46013</v>
      </c>
      <c r="AJ411" s="58">
        <v>46013</v>
      </c>
      <c r="AK411" s="30">
        <v>46013</v>
      </c>
      <c r="AL411" s="14">
        <v>46046</v>
      </c>
      <c r="AM411" s="14">
        <v>46058</v>
      </c>
      <c r="AN411" s="30">
        <v>46057</v>
      </c>
      <c r="AO411" s="75" t="s">
        <v>66</v>
      </c>
      <c r="AP411" s="49" t="s">
        <v>4063</v>
      </c>
      <c r="AQ411" s="31"/>
      <c r="AR411" s="49" t="s">
        <v>4177</v>
      </c>
      <c r="AS411" s="49" t="s">
        <v>4178</v>
      </c>
      <c r="AT411" s="49" t="s">
        <v>4178</v>
      </c>
      <c r="AU411" s="31"/>
      <c r="AV411" s="31"/>
      <c r="AW411" s="12">
        <v>18</v>
      </c>
      <c r="AX411" s="31">
        <v>58</v>
      </c>
      <c r="AY411" s="14">
        <v>46013</v>
      </c>
      <c r="AZ411" s="14">
        <v>46057</v>
      </c>
      <c r="BA411" s="31" t="e">
        <v>#N/A</v>
      </c>
      <c r="BB411" s="14" t="s">
        <v>2480</v>
      </c>
      <c r="BC411" s="30">
        <v>46071</v>
      </c>
      <c r="BD411" s="191">
        <v>2026</v>
      </c>
      <c r="BE411" s="191">
        <v>2</v>
      </c>
      <c r="BF411" s="191">
        <v>8</v>
      </c>
      <c r="BG411" s="191">
        <v>36</v>
      </c>
      <c r="BH411" s="191">
        <v>792</v>
      </c>
    </row>
    <row r="412" spans="1:60" s="23" customFormat="1" ht="10">
      <c r="A412" s="11" t="s">
        <v>4179</v>
      </c>
      <c r="B412" s="12" t="s">
        <v>111</v>
      </c>
      <c r="C412" s="12" t="s">
        <v>3955</v>
      </c>
      <c r="D412" s="12" t="s">
        <v>63</v>
      </c>
      <c r="E412" s="12" t="s">
        <v>64</v>
      </c>
      <c r="F412" s="31" t="s">
        <v>310</v>
      </c>
      <c r="G412" s="12" t="s">
        <v>311</v>
      </c>
      <c r="H412" s="12" t="s">
        <v>66</v>
      </c>
      <c r="I412" s="12" t="s">
        <v>1559</v>
      </c>
      <c r="J412" s="34" t="s">
        <v>68</v>
      </c>
      <c r="K412" s="12"/>
      <c r="L412" s="13" t="s">
        <v>2497</v>
      </c>
      <c r="M412" s="213" t="s">
        <v>68</v>
      </c>
      <c r="N412" s="182"/>
      <c r="O412" s="12" t="s">
        <v>2475</v>
      </c>
      <c r="P412" s="12" t="s">
        <v>132</v>
      </c>
      <c r="Q412" s="12" t="s">
        <v>133</v>
      </c>
      <c r="R412" s="12">
        <v>554304</v>
      </c>
      <c r="S412" s="12" t="s">
        <v>134</v>
      </c>
      <c r="T412" s="206">
        <v>720</v>
      </c>
      <c r="U412" s="206">
        <v>4752</v>
      </c>
      <c r="V412" s="12">
        <v>3.42144</v>
      </c>
      <c r="W412" s="198">
        <v>144</v>
      </c>
      <c r="X412" s="254">
        <v>8</v>
      </c>
      <c r="Y412" s="12" t="s">
        <v>75</v>
      </c>
      <c r="Z412" s="12"/>
      <c r="AA412" s="12" t="s">
        <v>108</v>
      </c>
      <c r="AB412" s="13" t="s">
        <v>992</v>
      </c>
      <c r="AC412" s="14">
        <v>46003</v>
      </c>
      <c r="AD412" s="15">
        <v>50</v>
      </c>
      <c r="AE412" s="55" t="s">
        <v>4180</v>
      </c>
      <c r="AF412" s="12">
        <v>371009294</v>
      </c>
      <c r="AG412" s="12" t="s">
        <v>122</v>
      </c>
      <c r="AH412" s="12" t="s">
        <v>1561</v>
      </c>
      <c r="AI412" s="14">
        <v>46010</v>
      </c>
      <c r="AJ412" s="14">
        <v>46010</v>
      </c>
      <c r="AK412" s="14">
        <v>46014</v>
      </c>
      <c r="AL412" s="14">
        <v>46059</v>
      </c>
      <c r="AM412" s="14">
        <v>46067</v>
      </c>
      <c r="AN412" s="14">
        <v>46067</v>
      </c>
      <c r="AO412" s="91" t="s">
        <v>66</v>
      </c>
      <c r="AP412" s="12" t="s">
        <v>4181</v>
      </c>
      <c r="AQ412" s="12"/>
      <c r="AR412" s="12" t="s">
        <v>4182</v>
      </c>
      <c r="AS412" s="12" t="s">
        <v>4183</v>
      </c>
      <c r="AT412" s="12" t="s">
        <v>4183</v>
      </c>
      <c r="AU412" s="12">
        <v>49</v>
      </c>
      <c r="AV412" s="12"/>
      <c r="AW412" s="12">
        <v>3</v>
      </c>
      <c r="AX412" s="12">
        <v>64</v>
      </c>
      <c r="AY412" s="14">
        <v>46014</v>
      </c>
      <c r="AZ412" s="14">
        <v>46067</v>
      </c>
      <c r="BA412" s="12" t="s">
        <v>973</v>
      </c>
      <c r="BB412" s="14" t="s">
        <v>4150</v>
      </c>
      <c r="BC412" s="14">
        <v>46081</v>
      </c>
      <c r="BD412" s="16">
        <v>2026</v>
      </c>
      <c r="BE412" s="16">
        <v>2</v>
      </c>
      <c r="BF412" s="16">
        <v>9</v>
      </c>
      <c r="BG412" s="191">
        <v>33</v>
      </c>
      <c r="BH412" s="191">
        <v>594</v>
      </c>
    </row>
    <row r="413" spans="1:60" s="23" customFormat="1" ht="10">
      <c r="A413" s="11" t="s">
        <v>4184</v>
      </c>
      <c r="B413" s="12" t="s">
        <v>111</v>
      </c>
      <c r="C413" s="12" t="s">
        <v>3547</v>
      </c>
      <c r="D413" s="12" t="s">
        <v>113</v>
      </c>
      <c r="E413" s="12" t="s">
        <v>64</v>
      </c>
      <c r="F413" s="12" t="s">
        <v>114</v>
      </c>
      <c r="G413" s="12" t="s">
        <v>115</v>
      </c>
      <c r="H413" s="12" t="s">
        <v>66</v>
      </c>
      <c r="I413" s="12" t="s">
        <v>3536</v>
      </c>
      <c r="J413" s="34" t="s">
        <v>68</v>
      </c>
      <c r="K413" s="12">
        <v>16102578</v>
      </c>
      <c r="L413" s="13" t="s">
        <v>2482</v>
      </c>
      <c r="M413" s="213" t="s">
        <v>68</v>
      </c>
      <c r="N413" s="182"/>
      <c r="O413" s="12" t="s">
        <v>2475</v>
      </c>
      <c r="P413" s="12" t="s">
        <v>70</v>
      </c>
      <c r="Q413" s="12" t="s">
        <v>3548</v>
      </c>
      <c r="R413" s="12">
        <v>554812</v>
      </c>
      <c r="S413" s="12" t="s">
        <v>3549</v>
      </c>
      <c r="T413" s="206">
        <v>705</v>
      </c>
      <c r="U413" s="206">
        <v>66</v>
      </c>
      <c r="V413" s="12">
        <v>4.6530000000000002E-2</v>
      </c>
      <c r="W413" s="198">
        <v>2</v>
      </c>
      <c r="X413" s="262">
        <v>0.1111111111111111</v>
      </c>
      <c r="Y413" s="12" t="s">
        <v>75</v>
      </c>
      <c r="Z413" s="12"/>
      <c r="AA413" s="12" t="s">
        <v>108</v>
      </c>
      <c r="AB413" s="13" t="s">
        <v>3537</v>
      </c>
      <c r="AC413" s="14">
        <v>46002</v>
      </c>
      <c r="AD413" s="15">
        <v>50</v>
      </c>
      <c r="AE413" s="55" t="s">
        <v>4185</v>
      </c>
      <c r="AF413" s="12">
        <v>371009283</v>
      </c>
      <c r="AG413" s="12" t="s">
        <v>122</v>
      </c>
      <c r="AH413" s="12" t="s">
        <v>124</v>
      </c>
      <c r="AI413" s="14">
        <v>46009</v>
      </c>
      <c r="AJ413" s="14">
        <v>46009</v>
      </c>
      <c r="AK413" s="14">
        <v>46012</v>
      </c>
      <c r="AL413" s="14">
        <v>46051</v>
      </c>
      <c r="AM413" s="14">
        <v>46053</v>
      </c>
      <c r="AN413" s="14">
        <v>46053</v>
      </c>
      <c r="AO413" s="91" t="s">
        <v>66</v>
      </c>
      <c r="AP413" s="12" t="s">
        <v>4186</v>
      </c>
      <c r="AQ413" s="12"/>
      <c r="AR413" s="12" t="s">
        <v>4187</v>
      </c>
      <c r="AS413" s="12" t="s">
        <v>4188</v>
      </c>
      <c r="AT413" s="12" t="s">
        <v>4188</v>
      </c>
      <c r="AU413" s="12">
        <v>42</v>
      </c>
      <c r="AV413" s="12"/>
      <c r="AW413" s="12">
        <v>3</v>
      </c>
      <c r="AX413" s="12">
        <v>51</v>
      </c>
      <c r="AY413" s="14">
        <v>46012</v>
      </c>
      <c r="AZ413" s="14">
        <v>46053</v>
      </c>
      <c r="BA413" s="12" t="e">
        <v>#N/A</v>
      </c>
      <c r="BB413" s="14" t="s">
        <v>2480</v>
      </c>
      <c r="BC413" s="14">
        <v>46067</v>
      </c>
      <c r="BD413" s="16">
        <v>2026</v>
      </c>
      <c r="BE413" s="16">
        <v>2</v>
      </c>
      <c r="BF413" s="16">
        <v>7</v>
      </c>
      <c r="BG413" s="191">
        <v>33</v>
      </c>
      <c r="BH413" s="191">
        <v>594</v>
      </c>
    </row>
    <row r="414" spans="1:60" s="23" customFormat="1" ht="10">
      <c r="A414" s="11" t="s">
        <v>4189</v>
      </c>
      <c r="B414" s="12" t="s">
        <v>111</v>
      </c>
      <c r="C414" s="12" t="s">
        <v>3535</v>
      </c>
      <c r="D414" s="12" t="s">
        <v>113</v>
      </c>
      <c r="E414" s="12" t="s">
        <v>64</v>
      </c>
      <c r="F414" s="12" t="s">
        <v>114</v>
      </c>
      <c r="G414" s="12" t="s">
        <v>115</v>
      </c>
      <c r="H414" s="12" t="s">
        <v>66</v>
      </c>
      <c r="I414" s="12" t="s">
        <v>3536</v>
      </c>
      <c r="J414" s="34" t="s">
        <v>68</v>
      </c>
      <c r="K414" s="12">
        <v>16102578</v>
      </c>
      <c r="L414" s="13" t="s">
        <v>2482</v>
      </c>
      <c r="M414" s="213" t="s">
        <v>68</v>
      </c>
      <c r="N414" s="182"/>
      <c r="O414" s="12" t="s">
        <v>2475</v>
      </c>
      <c r="P414" s="12" t="s">
        <v>70</v>
      </c>
      <c r="Q414" s="12" t="s">
        <v>1355</v>
      </c>
      <c r="R414" s="12">
        <v>554472</v>
      </c>
      <c r="S414" s="12" t="s">
        <v>1356</v>
      </c>
      <c r="T414" s="206">
        <v>715</v>
      </c>
      <c r="U414" s="206">
        <v>825</v>
      </c>
      <c r="V414" s="12">
        <v>0.58987500000000004</v>
      </c>
      <c r="W414" s="198">
        <v>25</v>
      </c>
      <c r="X414" s="254">
        <v>1.3888888888888888</v>
      </c>
      <c r="Y414" s="12" t="s">
        <v>75</v>
      </c>
      <c r="Z414" s="12"/>
      <c r="AA414" s="12" t="s">
        <v>108</v>
      </c>
      <c r="AB414" s="13" t="s">
        <v>3537</v>
      </c>
      <c r="AC414" s="14">
        <v>46002</v>
      </c>
      <c r="AD414" s="15">
        <v>50</v>
      </c>
      <c r="AE414" s="55" t="s">
        <v>4190</v>
      </c>
      <c r="AF414" s="12">
        <v>371009285</v>
      </c>
      <c r="AG414" s="12" t="s">
        <v>122</v>
      </c>
      <c r="AH414" s="12" t="s">
        <v>124</v>
      </c>
      <c r="AI414" s="14">
        <v>46009</v>
      </c>
      <c r="AJ414" s="14">
        <v>46009</v>
      </c>
      <c r="AK414" s="14">
        <v>46012</v>
      </c>
      <c r="AL414" s="14">
        <v>46051</v>
      </c>
      <c r="AM414" s="14">
        <v>46053</v>
      </c>
      <c r="AN414" s="14">
        <v>46053</v>
      </c>
      <c r="AO414" s="91" t="s">
        <v>66</v>
      </c>
      <c r="AP414" s="12" t="s">
        <v>4186</v>
      </c>
      <c r="AQ414" s="12"/>
      <c r="AR414" s="12" t="s">
        <v>4187</v>
      </c>
      <c r="AS414" s="12" t="s">
        <v>4188</v>
      </c>
      <c r="AT414" s="12" t="s">
        <v>4188</v>
      </c>
      <c r="AU414" s="12">
        <v>42</v>
      </c>
      <c r="AV414" s="12"/>
      <c r="AW414" s="12">
        <v>3</v>
      </c>
      <c r="AX414" s="12">
        <v>51</v>
      </c>
      <c r="AY414" s="14">
        <v>46012</v>
      </c>
      <c r="AZ414" s="14">
        <v>46053</v>
      </c>
      <c r="BA414" s="12" t="e">
        <v>#N/A</v>
      </c>
      <c r="BB414" s="14" t="s">
        <v>2480</v>
      </c>
      <c r="BC414" s="14">
        <v>46067</v>
      </c>
      <c r="BD414" s="16">
        <v>2026</v>
      </c>
      <c r="BE414" s="16">
        <v>2</v>
      </c>
      <c r="BF414" s="16">
        <v>7</v>
      </c>
      <c r="BG414" s="191">
        <v>33</v>
      </c>
      <c r="BH414" s="191">
        <v>594</v>
      </c>
    </row>
    <row r="415" spans="1:60" s="23" customFormat="1" ht="10">
      <c r="A415" s="11" t="s">
        <v>4191</v>
      </c>
      <c r="B415" s="12" t="s">
        <v>111</v>
      </c>
      <c r="C415" s="12" t="s">
        <v>3541</v>
      </c>
      <c r="D415" s="12" t="s">
        <v>113</v>
      </c>
      <c r="E415" s="12" t="s">
        <v>64</v>
      </c>
      <c r="F415" s="12" t="s">
        <v>114</v>
      </c>
      <c r="G415" s="12" t="s">
        <v>115</v>
      </c>
      <c r="H415" s="12" t="s">
        <v>66</v>
      </c>
      <c r="I415" s="12" t="s">
        <v>3536</v>
      </c>
      <c r="J415" s="34" t="s">
        <v>68</v>
      </c>
      <c r="K415" s="12">
        <v>16102578</v>
      </c>
      <c r="L415" s="13" t="s">
        <v>2482</v>
      </c>
      <c r="M415" s="213" t="s">
        <v>68</v>
      </c>
      <c r="N415" s="182"/>
      <c r="O415" s="12" t="s">
        <v>2475</v>
      </c>
      <c r="P415" s="12" t="s">
        <v>70</v>
      </c>
      <c r="Q415" s="12" t="s">
        <v>1347</v>
      </c>
      <c r="R415" s="12">
        <v>554471</v>
      </c>
      <c r="S415" s="12" t="s">
        <v>1348</v>
      </c>
      <c r="T415" s="206">
        <v>710</v>
      </c>
      <c r="U415" s="206">
        <v>891</v>
      </c>
      <c r="V415" s="12">
        <v>0.63261000000000001</v>
      </c>
      <c r="W415" s="198">
        <v>27</v>
      </c>
      <c r="X415" s="254">
        <v>1.5</v>
      </c>
      <c r="Y415" s="12" t="s">
        <v>75</v>
      </c>
      <c r="Z415" s="12"/>
      <c r="AA415" s="12" t="s">
        <v>108</v>
      </c>
      <c r="AB415" s="13" t="s">
        <v>3537</v>
      </c>
      <c r="AC415" s="14">
        <v>46002</v>
      </c>
      <c r="AD415" s="15">
        <v>50</v>
      </c>
      <c r="AE415" s="55" t="s">
        <v>4192</v>
      </c>
      <c r="AF415" s="12">
        <v>371009284</v>
      </c>
      <c r="AG415" s="12" t="s">
        <v>122</v>
      </c>
      <c r="AH415" s="12" t="s">
        <v>124</v>
      </c>
      <c r="AI415" s="14">
        <v>46009</v>
      </c>
      <c r="AJ415" s="14">
        <v>46009</v>
      </c>
      <c r="AK415" s="14">
        <v>46012</v>
      </c>
      <c r="AL415" s="14">
        <v>46051</v>
      </c>
      <c r="AM415" s="14">
        <v>46053</v>
      </c>
      <c r="AN415" s="14">
        <v>46053</v>
      </c>
      <c r="AO415" s="91" t="s">
        <v>66</v>
      </c>
      <c r="AP415" s="12" t="s">
        <v>4186</v>
      </c>
      <c r="AQ415" s="12"/>
      <c r="AR415" s="12" t="s">
        <v>4187</v>
      </c>
      <c r="AS415" s="12" t="s">
        <v>4188</v>
      </c>
      <c r="AT415" s="12" t="s">
        <v>4188</v>
      </c>
      <c r="AU415" s="12">
        <v>42</v>
      </c>
      <c r="AV415" s="12"/>
      <c r="AW415" s="12">
        <v>5</v>
      </c>
      <c r="AX415" s="12">
        <v>51</v>
      </c>
      <c r="AY415" s="14">
        <v>46012</v>
      </c>
      <c r="AZ415" s="14">
        <v>46053</v>
      </c>
      <c r="BA415" s="12" t="e">
        <v>#N/A</v>
      </c>
      <c r="BB415" s="14" t="s">
        <v>2480</v>
      </c>
      <c r="BC415" s="14">
        <v>46067</v>
      </c>
      <c r="BD415" s="16">
        <v>2026</v>
      </c>
      <c r="BE415" s="16">
        <v>2</v>
      </c>
      <c r="BF415" s="16">
        <v>7</v>
      </c>
      <c r="BG415" s="191">
        <v>33</v>
      </c>
      <c r="BH415" s="191">
        <v>594</v>
      </c>
    </row>
    <row r="416" spans="1:60" s="23" customFormat="1" ht="10">
      <c r="A416" s="11" t="s">
        <v>4193</v>
      </c>
      <c r="B416" s="12" t="s">
        <v>111</v>
      </c>
      <c r="C416" s="12" t="s">
        <v>112</v>
      </c>
      <c r="D416" s="12" t="s">
        <v>113</v>
      </c>
      <c r="E416" s="12" t="s">
        <v>64</v>
      </c>
      <c r="F416" s="12" t="s">
        <v>114</v>
      </c>
      <c r="G416" s="12" t="s">
        <v>115</v>
      </c>
      <c r="H416" s="12" t="s">
        <v>66</v>
      </c>
      <c r="I416" s="12" t="s">
        <v>116</v>
      </c>
      <c r="J416" s="34" t="s">
        <v>68</v>
      </c>
      <c r="K416" s="12" t="s">
        <v>266</v>
      </c>
      <c r="L416" s="13" t="s">
        <v>2482</v>
      </c>
      <c r="M416" s="213" t="s">
        <v>68</v>
      </c>
      <c r="N416" s="182"/>
      <c r="O416" s="12" t="s">
        <v>2475</v>
      </c>
      <c r="P416" s="12" t="s">
        <v>70</v>
      </c>
      <c r="Q416" s="12" t="s">
        <v>118</v>
      </c>
      <c r="R416" s="12">
        <v>555431</v>
      </c>
      <c r="S416" s="12" t="s">
        <v>119</v>
      </c>
      <c r="T416" s="206">
        <v>640</v>
      </c>
      <c r="U416" s="206">
        <v>6912</v>
      </c>
      <c r="V416" s="12">
        <v>4.4236800000000001</v>
      </c>
      <c r="W416" s="198">
        <v>192</v>
      </c>
      <c r="X416" s="254">
        <v>12</v>
      </c>
      <c r="Y416" s="12" t="s">
        <v>75</v>
      </c>
      <c r="Z416" s="12"/>
      <c r="AA416" s="13" t="s">
        <v>3780</v>
      </c>
      <c r="AB416" s="13" t="s">
        <v>992</v>
      </c>
      <c r="AC416" s="14">
        <v>46004</v>
      </c>
      <c r="AD416" s="15">
        <v>50</v>
      </c>
      <c r="AE416" s="55" t="s">
        <v>4194</v>
      </c>
      <c r="AF416" s="12">
        <v>371009308</v>
      </c>
      <c r="AG416" s="12" t="s">
        <v>122</v>
      </c>
      <c r="AH416" s="12" t="s">
        <v>124</v>
      </c>
      <c r="AI416" s="14">
        <v>46008</v>
      </c>
      <c r="AJ416" s="14">
        <v>46027</v>
      </c>
      <c r="AK416" s="14">
        <v>46027</v>
      </c>
      <c r="AL416" s="14">
        <v>46051</v>
      </c>
      <c r="AM416" s="14">
        <v>46069</v>
      </c>
      <c r="AN416" s="14">
        <v>46071</v>
      </c>
      <c r="AO416" s="91" t="s">
        <v>66</v>
      </c>
      <c r="AP416" s="12" t="s">
        <v>241</v>
      </c>
      <c r="AQ416" s="12"/>
      <c r="AR416" s="12" t="s">
        <v>4195</v>
      </c>
      <c r="AS416" s="12" t="s">
        <v>4196</v>
      </c>
      <c r="AT416" s="12" t="s">
        <v>4196</v>
      </c>
      <c r="AU416" s="12">
        <v>43</v>
      </c>
      <c r="AV416" s="12"/>
      <c r="AW416" s="12">
        <v>3</v>
      </c>
      <c r="AX416" s="12">
        <v>67</v>
      </c>
      <c r="AY416" s="14">
        <v>46027</v>
      </c>
      <c r="AZ416" s="14">
        <v>46071</v>
      </c>
      <c r="BA416" s="12" t="s">
        <v>973</v>
      </c>
      <c r="BB416" s="14" t="s">
        <v>4150</v>
      </c>
      <c r="BC416" s="14">
        <v>46085</v>
      </c>
      <c r="BD416" s="16">
        <v>2026</v>
      </c>
      <c r="BE416" s="16">
        <v>3</v>
      </c>
      <c r="BF416" s="16">
        <v>10</v>
      </c>
      <c r="BG416" s="191">
        <v>36</v>
      </c>
      <c r="BH416" s="191">
        <v>576</v>
      </c>
    </row>
    <row r="417" spans="1:60" s="23" customFormat="1" ht="10">
      <c r="A417" s="11" t="s">
        <v>4197</v>
      </c>
      <c r="B417" s="12" t="s">
        <v>111</v>
      </c>
      <c r="C417" s="12" t="s">
        <v>112</v>
      </c>
      <c r="D417" s="12" t="s">
        <v>113</v>
      </c>
      <c r="E417" s="12" t="s">
        <v>64</v>
      </c>
      <c r="F417" s="12" t="s">
        <v>114</v>
      </c>
      <c r="G417" s="12" t="s">
        <v>115</v>
      </c>
      <c r="H417" s="12" t="s">
        <v>66</v>
      </c>
      <c r="I417" s="12" t="s">
        <v>116</v>
      </c>
      <c r="J417" s="34" t="s">
        <v>68</v>
      </c>
      <c r="K417" s="12" t="s">
        <v>117</v>
      </c>
      <c r="L417" s="13" t="s">
        <v>2482</v>
      </c>
      <c r="M417" s="213" t="s">
        <v>68</v>
      </c>
      <c r="N417" s="182"/>
      <c r="O417" s="12" t="s">
        <v>2475</v>
      </c>
      <c r="P417" s="12" t="s">
        <v>70</v>
      </c>
      <c r="Q417" s="12" t="s">
        <v>118</v>
      </c>
      <c r="R417" s="12">
        <v>555431</v>
      </c>
      <c r="S417" s="12" t="s">
        <v>119</v>
      </c>
      <c r="T417" s="206">
        <v>640</v>
      </c>
      <c r="U417" s="206">
        <v>4608</v>
      </c>
      <c r="V417" s="12">
        <v>2.9491200000000002</v>
      </c>
      <c r="W417" s="198">
        <v>128</v>
      </c>
      <c r="X417" s="254">
        <v>8</v>
      </c>
      <c r="Y417" s="12" t="s">
        <v>75</v>
      </c>
      <c r="Z417" s="12"/>
      <c r="AA417" s="13" t="s">
        <v>3780</v>
      </c>
      <c r="AB417" s="13" t="s">
        <v>992</v>
      </c>
      <c r="AC417" s="14">
        <v>46004</v>
      </c>
      <c r="AD417" s="15">
        <v>50</v>
      </c>
      <c r="AE417" s="55" t="s">
        <v>4198</v>
      </c>
      <c r="AF417" s="12">
        <v>371009309</v>
      </c>
      <c r="AG417" s="12" t="s">
        <v>122</v>
      </c>
      <c r="AH417" s="12" t="s">
        <v>124</v>
      </c>
      <c r="AI417" s="14">
        <v>46008</v>
      </c>
      <c r="AJ417" s="14">
        <v>46027</v>
      </c>
      <c r="AK417" s="14">
        <v>46027</v>
      </c>
      <c r="AL417" s="14">
        <v>46051</v>
      </c>
      <c r="AM417" s="14">
        <v>46069</v>
      </c>
      <c r="AN417" s="14">
        <v>46071</v>
      </c>
      <c r="AO417" s="91" t="s">
        <v>66</v>
      </c>
      <c r="AP417" s="12" t="s">
        <v>241</v>
      </c>
      <c r="AQ417" s="12"/>
      <c r="AR417" s="12" t="s">
        <v>4195</v>
      </c>
      <c r="AS417" s="12" t="s">
        <v>4196</v>
      </c>
      <c r="AT417" s="12" t="s">
        <v>4196</v>
      </c>
      <c r="AU417" s="12">
        <v>43</v>
      </c>
      <c r="AV417" s="12"/>
      <c r="AW417" s="12">
        <v>3</v>
      </c>
      <c r="AX417" s="12">
        <v>67</v>
      </c>
      <c r="AY417" s="14">
        <v>46027</v>
      </c>
      <c r="AZ417" s="14">
        <v>46071</v>
      </c>
      <c r="BA417" s="12" t="s">
        <v>973</v>
      </c>
      <c r="BB417" s="14" t="s">
        <v>4150</v>
      </c>
      <c r="BC417" s="14">
        <v>46085</v>
      </c>
      <c r="BD417" s="16">
        <v>2026</v>
      </c>
      <c r="BE417" s="16">
        <v>3</v>
      </c>
      <c r="BF417" s="16">
        <v>10</v>
      </c>
      <c r="BG417" s="191">
        <v>36</v>
      </c>
      <c r="BH417" s="191">
        <v>576</v>
      </c>
    </row>
    <row r="418" spans="1:60" s="23" customFormat="1" ht="10">
      <c r="A418" s="11" t="s">
        <v>4199</v>
      </c>
      <c r="B418" s="12" t="s">
        <v>111</v>
      </c>
      <c r="C418" s="12" t="s">
        <v>548</v>
      </c>
      <c r="D418" s="12" t="s">
        <v>63</v>
      </c>
      <c r="E418" s="12" t="s">
        <v>64</v>
      </c>
      <c r="F418" s="12" t="s">
        <v>114</v>
      </c>
      <c r="G418" s="12" t="s">
        <v>115</v>
      </c>
      <c r="H418" s="12" t="s">
        <v>66</v>
      </c>
      <c r="I418" s="12" t="s">
        <v>96</v>
      </c>
      <c r="J418" s="34" t="s">
        <v>68</v>
      </c>
      <c r="K418" s="12"/>
      <c r="L418" s="13" t="s">
        <v>2482</v>
      </c>
      <c r="M418" s="213" t="s">
        <v>68</v>
      </c>
      <c r="N418" s="182"/>
      <c r="O418" s="12" t="s">
        <v>2475</v>
      </c>
      <c r="P418" s="12" t="s">
        <v>550</v>
      </c>
      <c r="Q418" s="12" t="s">
        <v>551</v>
      </c>
      <c r="R418" s="12">
        <v>553118</v>
      </c>
      <c r="S418" s="12" t="s">
        <v>552</v>
      </c>
      <c r="T418" s="206">
        <v>510</v>
      </c>
      <c r="U418" s="206">
        <v>1584</v>
      </c>
      <c r="V418" s="12">
        <v>0.80784</v>
      </c>
      <c r="W418" s="198">
        <v>44</v>
      </c>
      <c r="X418" s="254">
        <v>2</v>
      </c>
      <c r="Y418" s="12" t="s">
        <v>75</v>
      </c>
      <c r="Z418" s="12"/>
      <c r="AA418" s="13" t="s">
        <v>85</v>
      </c>
      <c r="AB418" s="13" t="s">
        <v>2136</v>
      </c>
      <c r="AC418" s="14">
        <v>46002</v>
      </c>
      <c r="AD418" s="15">
        <v>50</v>
      </c>
      <c r="AE418" s="55" t="s">
        <v>4200</v>
      </c>
      <c r="AF418" s="12">
        <v>371009287</v>
      </c>
      <c r="AG418" s="12" t="s">
        <v>122</v>
      </c>
      <c r="AH418" s="12" t="s">
        <v>124</v>
      </c>
      <c r="AI418" s="14">
        <v>46009</v>
      </c>
      <c r="AJ418" s="14">
        <v>46009</v>
      </c>
      <c r="AK418" s="14">
        <v>46012</v>
      </c>
      <c r="AL418" s="14">
        <v>46051</v>
      </c>
      <c r="AM418" s="14">
        <v>46053</v>
      </c>
      <c r="AN418" s="14">
        <v>46053</v>
      </c>
      <c r="AO418" s="91" t="s">
        <v>66</v>
      </c>
      <c r="AP418" s="12" t="s">
        <v>4186</v>
      </c>
      <c r="AQ418" s="12"/>
      <c r="AR418" s="12" t="s">
        <v>4201</v>
      </c>
      <c r="AS418" s="12" t="s">
        <v>4202</v>
      </c>
      <c r="AT418" s="12" t="s">
        <v>4202</v>
      </c>
      <c r="AU418" s="12">
        <v>42</v>
      </c>
      <c r="AV418" s="12"/>
      <c r="AW418" s="12">
        <v>18</v>
      </c>
      <c r="AX418" s="12">
        <v>51</v>
      </c>
      <c r="AY418" s="14">
        <v>46012</v>
      </c>
      <c r="AZ418" s="14">
        <v>46053</v>
      </c>
      <c r="BA418" s="12" t="e">
        <v>#N/A</v>
      </c>
      <c r="BB418" s="14" t="s">
        <v>2480</v>
      </c>
      <c r="BC418" s="14">
        <v>46067</v>
      </c>
      <c r="BD418" s="16">
        <v>2026</v>
      </c>
      <c r="BE418" s="16">
        <v>2</v>
      </c>
      <c r="BF418" s="16">
        <v>7</v>
      </c>
      <c r="BG418" s="191">
        <v>36</v>
      </c>
      <c r="BH418" s="191">
        <v>792</v>
      </c>
    </row>
    <row r="419" spans="1:60" s="23" customFormat="1" ht="10">
      <c r="A419" s="11" t="s">
        <v>4203</v>
      </c>
      <c r="B419" s="12" t="s">
        <v>281</v>
      </c>
      <c r="C419" s="12" t="s">
        <v>282</v>
      </c>
      <c r="D419" s="12" t="s">
        <v>63</v>
      </c>
      <c r="E419" s="12" t="s">
        <v>64</v>
      </c>
      <c r="F419" s="31" t="s">
        <v>310</v>
      </c>
      <c r="G419" s="12" t="s">
        <v>311</v>
      </c>
      <c r="H419" s="12" t="s">
        <v>66</v>
      </c>
      <c r="I419" s="12" t="s">
        <v>1342</v>
      </c>
      <c r="J419" s="34" t="s">
        <v>68</v>
      </c>
      <c r="K419" s="12"/>
      <c r="L419" s="13" t="s">
        <v>2497</v>
      </c>
      <c r="M419" s="213" t="s">
        <v>68</v>
      </c>
      <c r="N419" s="182"/>
      <c r="O419" s="12" t="s">
        <v>2475</v>
      </c>
      <c r="P419" s="12" t="s">
        <v>284</v>
      </c>
      <c r="Q419" s="12" t="s">
        <v>285</v>
      </c>
      <c r="R419" s="12">
        <v>554319</v>
      </c>
      <c r="S419" s="12" t="s">
        <v>286</v>
      </c>
      <c r="T419" s="206">
        <v>460</v>
      </c>
      <c r="U419" s="206">
        <v>962</v>
      </c>
      <c r="V419" s="12">
        <v>0.44252000000000002</v>
      </c>
      <c r="W419" s="198">
        <v>26</v>
      </c>
      <c r="X419" s="254">
        <v>1</v>
      </c>
      <c r="Y419" s="12" t="s">
        <v>75</v>
      </c>
      <c r="Z419" s="12"/>
      <c r="AA419" s="13" t="s">
        <v>85</v>
      </c>
      <c r="AB419" s="13" t="s">
        <v>992</v>
      </c>
      <c r="AC419" s="14">
        <v>46006</v>
      </c>
      <c r="AD419" s="15">
        <v>51</v>
      </c>
      <c r="AE419" s="55" t="s">
        <v>4204</v>
      </c>
      <c r="AF419" s="12">
        <v>371009281</v>
      </c>
      <c r="AG419" s="12" t="s">
        <v>288</v>
      </c>
      <c r="AH419" s="12" t="s">
        <v>314</v>
      </c>
      <c r="AI419" s="14">
        <v>46010</v>
      </c>
      <c r="AJ419" s="14">
        <v>46010</v>
      </c>
      <c r="AK419" s="14">
        <v>46016</v>
      </c>
      <c r="AL419" s="14">
        <v>46050</v>
      </c>
      <c r="AM419" s="14">
        <v>46064</v>
      </c>
      <c r="AN419" s="14">
        <v>46064</v>
      </c>
      <c r="AO419" s="91" t="s">
        <v>66</v>
      </c>
      <c r="AP419" s="12" t="s">
        <v>4125</v>
      </c>
      <c r="AQ419" s="12"/>
      <c r="AR419" s="12" t="s">
        <v>4205</v>
      </c>
      <c r="AS419" s="12" t="s">
        <v>4206</v>
      </c>
      <c r="AT419" s="12" t="s">
        <v>4206</v>
      </c>
      <c r="AU419" s="12">
        <v>40</v>
      </c>
      <c r="AV419" s="12" t="s">
        <v>83</v>
      </c>
      <c r="AW419" s="12">
        <v>9</v>
      </c>
      <c r="AX419" s="12">
        <v>58</v>
      </c>
      <c r="AY419" s="14">
        <v>46016</v>
      </c>
      <c r="AZ419" s="14">
        <v>46064</v>
      </c>
      <c r="BA419" s="12" t="e">
        <v>#N/A</v>
      </c>
      <c r="BB419" s="14" t="s">
        <v>2480</v>
      </c>
      <c r="BC419" s="14">
        <v>46078</v>
      </c>
      <c r="BD419" s="16">
        <v>2026</v>
      </c>
      <c r="BE419" s="16">
        <v>2</v>
      </c>
      <c r="BF419" s="16">
        <v>9</v>
      </c>
      <c r="BG419" s="191">
        <v>37</v>
      </c>
      <c r="BH419" s="191">
        <v>962</v>
      </c>
    </row>
    <row r="420" spans="1:60" s="23" customFormat="1" ht="10">
      <c r="A420" s="11" t="s">
        <v>4207</v>
      </c>
      <c r="B420" s="12" t="s">
        <v>281</v>
      </c>
      <c r="C420" s="12" t="s">
        <v>601</v>
      </c>
      <c r="D420" s="12" t="s">
        <v>63</v>
      </c>
      <c r="E420" s="12" t="s">
        <v>64</v>
      </c>
      <c r="F420" s="31" t="s">
        <v>310</v>
      </c>
      <c r="G420" s="12" t="s">
        <v>311</v>
      </c>
      <c r="H420" s="12" t="s">
        <v>66</v>
      </c>
      <c r="I420" s="12" t="s">
        <v>1342</v>
      </c>
      <c r="J420" s="34" t="s">
        <v>68</v>
      </c>
      <c r="K420" s="12"/>
      <c r="L420" s="13" t="s">
        <v>2497</v>
      </c>
      <c r="M420" s="213" t="s">
        <v>68</v>
      </c>
      <c r="N420" s="182"/>
      <c r="O420" s="12" t="s">
        <v>2475</v>
      </c>
      <c r="P420" s="12" t="s">
        <v>284</v>
      </c>
      <c r="Q420" s="12" t="s">
        <v>602</v>
      </c>
      <c r="R420" s="12">
        <v>554440</v>
      </c>
      <c r="S420" s="12" t="s">
        <v>603</v>
      </c>
      <c r="T420" s="206">
        <v>465</v>
      </c>
      <c r="U420" s="206">
        <v>962</v>
      </c>
      <c r="V420" s="12">
        <v>0.44733000000000001</v>
      </c>
      <c r="W420" s="198">
        <v>26</v>
      </c>
      <c r="X420" s="254">
        <v>1</v>
      </c>
      <c r="Y420" s="12" t="s">
        <v>75</v>
      </c>
      <c r="Z420" s="12"/>
      <c r="AA420" s="13" t="s">
        <v>108</v>
      </c>
      <c r="AB420" s="13" t="s">
        <v>992</v>
      </c>
      <c r="AC420" s="14">
        <v>46006</v>
      </c>
      <c r="AD420" s="15">
        <v>51</v>
      </c>
      <c r="AE420" s="55" t="s">
        <v>4208</v>
      </c>
      <c r="AF420" s="12">
        <v>371009282</v>
      </c>
      <c r="AG420" s="12" t="s">
        <v>288</v>
      </c>
      <c r="AH420" s="12" t="s">
        <v>314</v>
      </c>
      <c r="AI420" s="14">
        <v>46010</v>
      </c>
      <c r="AJ420" s="14">
        <v>46010</v>
      </c>
      <c r="AK420" s="14">
        <v>46016</v>
      </c>
      <c r="AL420" s="14">
        <v>46050</v>
      </c>
      <c r="AM420" s="14">
        <v>46064</v>
      </c>
      <c r="AN420" s="14">
        <v>46064</v>
      </c>
      <c r="AO420" s="91" t="s">
        <v>66</v>
      </c>
      <c r="AP420" s="12" t="s">
        <v>4125</v>
      </c>
      <c r="AQ420" s="12"/>
      <c r="AR420" s="12" t="s">
        <v>4205</v>
      </c>
      <c r="AS420" s="12" t="s">
        <v>4206</v>
      </c>
      <c r="AT420" s="12" t="s">
        <v>4206</v>
      </c>
      <c r="AU420" s="12">
        <v>40</v>
      </c>
      <c r="AV420" s="12" t="s">
        <v>83</v>
      </c>
      <c r="AW420" s="12">
        <v>5</v>
      </c>
      <c r="AX420" s="12">
        <v>58</v>
      </c>
      <c r="AY420" s="14">
        <v>46016</v>
      </c>
      <c r="AZ420" s="14">
        <v>46064</v>
      </c>
      <c r="BA420" s="12" t="e">
        <v>#N/A</v>
      </c>
      <c r="BB420" s="14" t="s">
        <v>2480</v>
      </c>
      <c r="BC420" s="14">
        <v>46078</v>
      </c>
      <c r="BD420" s="16">
        <v>2026</v>
      </c>
      <c r="BE420" s="16">
        <v>2</v>
      </c>
      <c r="BF420" s="16">
        <v>9</v>
      </c>
      <c r="BG420" s="191">
        <v>37</v>
      </c>
      <c r="BH420" s="191">
        <v>962</v>
      </c>
    </row>
    <row r="421" spans="1:60" s="32" customFormat="1" ht="10">
      <c r="A421" s="33" t="s">
        <v>4209</v>
      </c>
      <c r="B421" s="31" t="s">
        <v>281</v>
      </c>
      <c r="C421" s="31" t="s">
        <v>282</v>
      </c>
      <c r="D421" s="31" t="s">
        <v>63</v>
      </c>
      <c r="E421" s="12" t="s">
        <v>144</v>
      </c>
      <c r="F421" s="12" t="s">
        <v>145</v>
      </c>
      <c r="G421" s="31" t="s">
        <v>157</v>
      </c>
      <c r="H421" s="31" t="s">
        <v>402</v>
      </c>
      <c r="I421" s="31" t="s">
        <v>157</v>
      </c>
      <c r="J421" s="34" t="s">
        <v>68</v>
      </c>
      <c r="K421" s="31">
        <v>46011029</v>
      </c>
      <c r="L421" s="34" t="s">
        <v>2489</v>
      </c>
      <c r="M421" s="236" t="s">
        <v>68</v>
      </c>
      <c r="N421" s="182"/>
      <c r="O421" s="31" t="s">
        <v>2475</v>
      </c>
      <c r="P421" s="31" t="s">
        <v>284</v>
      </c>
      <c r="Q421" s="31" t="s">
        <v>285</v>
      </c>
      <c r="R421" s="31">
        <v>554319</v>
      </c>
      <c r="S421" s="31" t="s">
        <v>286</v>
      </c>
      <c r="T421" s="209">
        <v>460</v>
      </c>
      <c r="U421" s="209">
        <v>1924</v>
      </c>
      <c r="V421" s="31">
        <v>0.88504000000000005</v>
      </c>
      <c r="W421" s="199">
        <v>52</v>
      </c>
      <c r="X421" s="253">
        <v>2</v>
      </c>
      <c r="Y421" s="12" t="s">
        <v>75</v>
      </c>
      <c r="Z421" s="12"/>
      <c r="AA421" s="13" t="s">
        <v>85</v>
      </c>
      <c r="AB421" s="13" t="s">
        <v>992</v>
      </c>
      <c r="AC421" s="30">
        <v>46007</v>
      </c>
      <c r="AD421" s="35">
        <v>51</v>
      </c>
      <c r="AE421" s="176" t="s">
        <v>4210</v>
      </c>
      <c r="AF421" s="31">
        <v>371009342</v>
      </c>
      <c r="AG421" s="31" t="s">
        <v>288</v>
      </c>
      <c r="AH421" s="31" t="s">
        <v>105</v>
      </c>
      <c r="AI421" s="30">
        <v>46011</v>
      </c>
      <c r="AJ421" s="30">
        <v>46011</v>
      </c>
      <c r="AK421" s="30">
        <v>46011</v>
      </c>
      <c r="AL421" s="30">
        <v>46045</v>
      </c>
      <c r="AM421" s="30">
        <v>46057</v>
      </c>
      <c r="AN421" s="30">
        <v>46051</v>
      </c>
      <c r="AO421" s="75" t="s">
        <v>402</v>
      </c>
      <c r="AP421" s="41" t="s">
        <v>4211</v>
      </c>
      <c r="AQ421" s="31"/>
      <c r="AR421" s="31">
        <v>46011029</v>
      </c>
      <c r="AS421" s="31" t="s">
        <v>4212</v>
      </c>
      <c r="AT421" s="31" t="s">
        <v>4212</v>
      </c>
      <c r="AU421" s="31">
        <v>34</v>
      </c>
      <c r="AV421" s="31" t="s">
        <v>2493</v>
      </c>
      <c r="AW421" s="12">
        <v>9</v>
      </c>
      <c r="AX421" s="31">
        <v>44</v>
      </c>
      <c r="AY421" s="30">
        <v>46011</v>
      </c>
      <c r="AZ421" s="30">
        <v>46051</v>
      </c>
      <c r="BA421" s="31" t="e">
        <v>#N/A</v>
      </c>
      <c r="BB421" s="30" t="s">
        <v>2480</v>
      </c>
      <c r="BC421" s="30">
        <v>46065</v>
      </c>
      <c r="BD421" s="191">
        <v>2026</v>
      </c>
      <c r="BE421" s="191">
        <v>2</v>
      </c>
      <c r="BF421" s="191">
        <v>7</v>
      </c>
      <c r="BG421" s="191">
        <v>37</v>
      </c>
      <c r="BH421" s="191">
        <v>962</v>
      </c>
    </row>
    <row r="422" spans="1:60" ht="10">
      <c r="A422" s="11" t="s">
        <v>4213</v>
      </c>
      <c r="B422" s="12" t="s">
        <v>61</v>
      </c>
      <c r="C422" s="12" t="s">
        <v>88</v>
      </c>
      <c r="D422" s="12" t="s">
        <v>63</v>
      </c>
      <c r="E422" s="12" t="s">
        <v>64</v>
      </c>
      <c r="F422" s="12" t="s">
        <v>65</v>
      </c>
      <c r="G422" s="12" t="s">
        <v>67</v>
      </c>
      <c r="H422" s="12" t="s">
        <v>66</v>
      </c>
      <c r="I422" s="12" t="s">
        <v>96</v>
      </c>
      <c r="J422" s="34" t="s">
        <v>68</v>
      </c>
      <c r="K422" s="12"/>
      <c r="L422" s="13" t="s">
        <v>2474</v>
      </c>
      <c r="M422" s="213" t="s">
        <v>68</v>
      </c>
      <c r="N422" s="182"/>
      <c r="O422" s="12" t="s">
        <v>2475</v>
      </c>
      <c r="P422" s="12" t="s">
        <v>70</v>
      </c>
      <c r="Q422" s="12" t="s">
        <v>91</v>
      </c>
      <c r="R422" s="12">
        <v>554480</v>
      </c>
      <c r="S422" s="12" t="s">
        <v>92</v>
      </c>
      <c r="T422" s="206">
        <v>450</v>
      </c>
      <c r="U422" s="206">
        <v>2808</v>
      </c>
      <c r="V422" s="12">
        <v>1.2636000000000001</v>
      </c>
      <c r="W422" s="198">
        <v>78</v>
      </c>
      <c r="X422" s="254">
        <v>3</v>
      </c>
      <c r="Y422" s="12" t="s">
        <v>75</v>
      </c>
      <c r="Z422" s="12"/>
      <c r="AA422" s="13" t="s">
        <v>4214</v>
      </c>
      <c r="AB422" s="32" t="s">
        <v>967</v>
      </c>
      <c r="AC422" s="14">
        <v>46003</v>
      </c>
      <c r="AD422" s="15">
        <v>50</v>
      </c>
      <c r="AE422" s="55" t="s">
        <v>4215</v>
      </c>
      <c r="AF422" s="12">
        <v>371009295</v>
      </c>
      <c r="AG422" s="12" t="s">
        <v>77</v>
      </c>
      <c r="AH422" s="12" t="s">
        <v>356</v>
      </c>
      <c r="AI422" s="14">
        <v>46009</v>
      </c>
      <c r="AJ422" s="14">
        <v>46009</v>
      </c>
      <c r="AK422" s="14">
        <v>46012</v>
      </c>
      <c r="AL422" s="14">
        <v>46056</v>
      </c>
      <c r="AM422" s="14">
        <v>46064</v>
      </c>
      <c r="AN422" s="14">
        <v>46064</v>
      </c>
      <c r="AO422" s="91" t="s">
        <v>66</v>
      </c>
      <c r="AP422" s="12" t="s">
        <v>79</v>
      </c>
      <c r="AQ422" s="12"/>
      <c r="AR422" s="12" t="s">
        <v>4216</v>
      </c>
      <c r="AS422" s="12" t="s">
        <v>4217</v>
      </c>
      <c r="AT422" s="12" t="s">
        <v>4217</v>
      </c>
      <c r="AU422" s="12">
        <v>47</v>
      </c>
      <c r="AV422" s="12" t="s">
        <v>83</v>
      </c>
      <c r="AW422" s="12">
        <v>5</v>
      </c>
      <c r="AX422" s="12">
        <v>61</v>
      </c>
      <c r="AY422" s="14">
        <v>46012</v>
      </c>
      <c r="AZ422" s="14">
        <v>46064</v>
      </c>
      <c r="BA422" s="12" t="e">
        <v>#N/A</v>
      </c>
      <c r="BB422" s="14" t="s">
        <v>2480</v>
      </c>
      <c r="BC422" s="14">
        <v>46078</v>
      </c>
      <c r="BD422" s="16">
        <v>2026</v>
      </c>
      <c r="BE422" s="16">
        <v>2</v>
      </c>
      <c r="BF422" s="16">
        <v>9</v>
      </c>
      <c r="BG422" s="191">
        <v>36</v>
      </c>
      <c r="BH422" s="191">
        <v>936</v>
      </c>
    </row>
    <row r="423" spans="1:60" ht="10">
      <c r="A423" s="11" t="s">
        <v>4218</v>
      </c>
      <c r="B423" s="12" t="s">
        <v>61</v>
      </c>
      <c r="C423" s="12" t="s">
        <v>62</v>
      </c>
      <c r="D423" s="12" t="s">
        <v>63</v>
      </c>
      <c r="E423" s="12" t="s">
        <v>64</v>
      </c>
      <c r="F423" s="12" t="s">
        <v>65</v>
      </c>
      <c r="G423" s="12" t="s">
        <v>67</v>
      </c>
      <c r="H423" s="12" t="s">
        <v>66</v>
      </c>
      <c r="I423" s="12" t="s">
        <v>69</v>
      </c>
      <c r="J423" s="34" t="s">
        <v>68</v>
      </c>
      <c r="K423" s="12"/>
      <c r="L423" s="13" t="s">
        <v>2474</v>
      </c>
      <c r="M423" s="213" t="s">
        <v>68</v>
      </c>
      <c r="N423" s="182"/>
      <c r="O423" s="12" t="s">
        <v>2475</v>
      </c>
      <c r="P423" s="12" t="s">
        <v>70</v>
      </c>
      <c r="Q423" s="12" t="s">
        <v>71</v>
      </c>
      <c r="R423" s="12">
        <v>554475</v>
      </c>
      <c r="S423" s="12" t="s">
        <v>72</v>
      </c>
      <c r="T423" s="206">
        <v>500</v>
      </c>
      <c r="U423" s="206">
        <v>2592</v>
      </c>
      <c r="V423" s="12">
        <v>1.296</v>
      </c>
      <c r="W423" s="198">
        <v>72</v>
      </c>
      <c r="X423" s="254">
        <v>3</v>
      </c>
      <c r="Y423" s="12" t="s">
        <v>75</v>
      </c>
      <c r="Z423" s="12"/>
      <c r="AA423" s="13" t="s">
        <v>85</v>
      </c>
      <c r="AB423" s="13" t="s">
        <v>967</v>
      </c>
      <c r="AC423" s="14">
        <v>46003</v>
      </c>
      <c r="AD423" s="15">
        <v>50</v>
      </c>
      <c r="AE423" s="55" t="s">
        <v>4219</v>
      </c>
      <c r="AF423" s="12">
        <v>371009289</v>
      </c>
      <c r="AG423" s="12" t="s">
        <v>77</v>
      </c>
      <c r="AH423" s="12" t="s">
        <v>356</v>
      </c>
      <c r="AI423" s="14">
        <v>46009</v>
      </c>
      <c r="AJ423" s="14">
        <v>46009</v>
      </c>
      <c r="AK423" s="14">
        <v>46012</v>
      </c>
      <c r="AL423" s="14">
        <v>46056</v>
      </c>
      <c r="AM423" s="14">
        <v>46064</v>
      </c>
      <c r="AN423" s="14">
        <v>46064</v>
      </c>
      <c r="AO423" s="91" t="s">
        <v>66</v>
      </c>
      <c r="AP423" s="12" t="s">
        <v>79</v>
      </c>
      <c r="AQ423" s="12"/>
      <c r="AR423" s="12" t="s">
        <v>4216</v>
      </c>
      <c r="AS423" s="12" t="s">
        <v>4217</v>
      </c>
      <c r="AT423" s="12" t="s">
        <v>4217</v>
      </c>
      <c r="AU423" s="12">
        <v>47</v>
      </c>
      <c r="AV423" s="12" t="s">
        <v>83</v>
      </c>
      <c r="AW423" s="12">
        <v>3</v>
      </c>
      <c r="AX423" s="12">
        <v>61</v>
      </c>
      <c r="AY423" s="14">
        <v>46012</v>
      </c>
      <c r="AZ423" s="14">
        <v>46064</v>
      </c>
      <c r="BA423" s="12" t="e">
        <v>#N/A</v>
      </c>
      <c r="BB423" s="14" t="s">
        <v>2480</v>
      </c>
      <c r="BC423" s="14">
        <v>46078</v>
      </c>
      <c r="BD423" s="16">
        <v>2026</v>
      </c>
      <c r="BE423" s="16">
        <v>2</v>
      </c>
      <c r="BF423" s="16">
        <v>9</v>
      </c>
      <c r="BG423" s="191">
        <v>36</v>
      </c>
      <c r="BH423" s="191">
        <v>864</v>
      </c>
    </row>
    <row r="424" spans="1:60" ht="10">
      <c r="A424" s="11" t="s">
        <v>4220</v>
      </c>
      <c r="B424" s="12" t="s">
        <v>61</v>
      </c>
      <c r="C424" s="12" t="s">
        <v>193</v>
      </c>
      <c r="D424" s="12" t="s">
        <v>63</v>
      </c>
      <c r="E424" s="12" t="s">
        <v>144</v>
      </c>
      <c r="F424" s="12" t="s">
        <v>145</v>
      </c>
      <c r="G424" s="18" t="s">
        <v>526</v>
      </c>
      <c r="H424" s="12" t="s">
        <v>402</v>
      </c>
      <c r="I424" s="12" t="s">
        <v>527</v>
      </c>
      <c r="J424" s="34" t="s">
        <v>68</v>
      </c>
      <c r="K424" s="12">
        <v>46010944</v>
      </c>
      <c r="L424" s="13" t="s">
        <v>2769</v>
      </c>
      <c r="M424" s="236" t="s">
        <v>68</v>
      </c>
      <c r="N424" s="182"/>
      <c r="O424" s="12" t="s">
        <v>2475</v>
      </c>
      <c r="P424" s="12" t="s">
        <v>70</v>
      </c>
      <c r="Q424" s="12" t="s">
        <v>195</v>
      </c>
      <c r="R424" s="12">
        <v>554473</v>
      </c>
      <c r="S424" s="12" t="s">
        <v>196</v>
      </c>
      <c r="T424" s="206">
        <v>450</v>
      </c>
      <c r="U424" s="206">
        <v>4680</v>
      </c>
      <c r="V424" s="12">
        <v>2.1059999999999999</v>
      </c>
      <c r="W424" s="198">
        <v>130</v>
      </c>
      <c r="X424" s="254">
        <v>5</v>
      </c>
      <c r="Y424" s="12" t="s">
        <v>75</v>
      </c>
      <c r="Z424" s="12"/>
      <c r="AA424" s="13" t="s">
        <v>85</v>
      </c>
      <c r="AB424" s="13" t="s">
        <v>967</v>
      </c>
      <c r="AC424" s="14">
        <v>46004</v>
      </c>
      <c r="AD424" s="15">
        <v>50</v>
      </c>
      <c r="AE424" s="176" t="s">
        <v>4221</v>
      </c>
      <c r="AF424" s="12">
        <v>371009337</v>
      </c>
      <c r="AG424" s="12" t="s">
        <v>77</v>
      </c>
      <c r="AH424" s="12" t="s">
        <v>532</v>
      </c>
      <c r="AI424" s="14">
        <v>46016</v>
      </c>
      <c r="AJ424" s="14">
        <v>46016</v>
      </c>
      <c r="AK424" s="14">
        <v>46016</v>
      </c>
      <c r="AL424" s="14">
        <v>46078</v>
      </c>
      <c r="AM424" s="14">
        <v>46078</v>
      </c>
      <c r="AN424" s="14">
        <v>46078</v>
      </c>
      <c r="AO424" s="91" t="s">
        <v>402</v>
      </c>
      <c r="AP424" s="12" t="s">
        <v>4222</v>
      </c>
      <c r="AQ424" s="12"/>
      <c r="AR424" s="12">
        <v>46010944</v>
      </c>
      <c r="AS424" s="12" t="s">
        <v>4223</v>
      </c>
      <c r="AT424" s="12" t="s">
        <v>4224</v>
      </c>
      <c r="AU424" s="12">
        <v>62</v>
      </c>
      <c r="AV424" s="12" t="s">
        <v>2493</v>
      </c>
      <c r="AW424" s="12">
        <v>2</v>
      </c>
      <c r="AX424" s="12">
        <v>74</v>
      </c>
      <c r="AY424" s="14">
        <v>46016</v>
      </c>
      <c r="AZ424" s="14">
        <v>46078</v>
      </c>
      <c r="BA424" s="12" t="e">
        <v>#N/A</v>
      </c>
      <c r="BB424" s="14" t="s">
        <v>2480</v>
      </c>
      <c r="BC424" s="14">
        <v>46092</v>
      </c>
      <c r="BD424" s="16">
        <v>2026</v>
      </c>
      <c r="BE424" s="16">
        <v>3</v>
      </c>
      <c r="BF424" s="16">
        <v>11</v>
      </c>
      <c r="BG424" s="191">
        <v>36</v>
      </c>
      <c r="BH424" s="191">
        <v>936</v>
      </c>
    </row>
    <row r="425" spans="1:60" s="23" customFormat="1" ht="10">
      <c r="A425" s="11" t="s">
        <v>4225</v>
      </c>
      <c r="B425" s="12" t="s">
        <v>61</v>
      </c>
      <c r="C425" s="12" t="s">
        <v>88</v>
      </c>
      <c r="D425" s="12" t="s">
        <v>63</v>
      </c>
      <c r="E425" s="12" t="s">
        <v>144</v>
      </c>
      <c r="F425" s="12" t="s">
        <v>145</v>
      </c>
      <c r="G425" s="12" t="s">
        <v>2671</v>
      </c>
      <c r="H425" s="12" t="s">
        <v>146</v>
      </c>
      <c r="I425" s="12" t="s">
        <v>2671</v>
      </c>
      <c r="J425" s="34" t="s">
        <v>68</v>
      </c>
      <c r="K425" s="12">
        <v>46010840</v>
      </c>
      <c r="L425" s="13" t="s">
        <v>2666</v>
      </c>
      <c r="M425" s="236" t="s">
        <v>68</v>
      </c>
      <c r="N425" s="182"/>
      <c r="O425" s="12" t="s">
        <v>2475</v>
      </c>
      <c r="P425" s="12" t="s">
        <v>70</v>
      </c>
      <c r="Q425" s="12" t="s">
        <v>91</v>
      </c>
      <c r="R425" s="12">
        <v>554480</v>
      </c>
      <c r="S425" s="12" t="s">
        <v>92</v>
      </c>
      <c r="T425" s="206">
        <v>450</v>
      </c>
      <c r="U425" s="206">
        <v>936</v>
      </c>
      <c r="V425" s="12">
        <v>0.42120000000000002</v>
      </c>
      <c r="W425" s="198">
        <v>26</v>
      </c>
      <c r="X425" s="254">
        <v>1</v>
      </c>
      <c r="Y425" s="12" t="s">
        <v>75</v>
      </c>
      <c r="Z425" s="12"/>
      <c r="AA425" s="13" t="s">
        <v>4214</v>
      </c>
      <c r="AB425" s="32" t="s">
        <v>967</v>
      </c>
      <c r="AC425" s="14">
        <v>46003</v>
      </c>
      <c r="AD425" s="15">
        <v>50</v>
      </c>
      <c r="AE425" s="176" t="s">
        <v>4226</v>
      </c>
      <c r="AF425" s="12">
        <v>371009296</v>
      </c>
      <c r="AG425" s="12" t="s">
        <v>77</v>
      </c>
      <c r="AH425" s="12" t="s">
        <v>78</v>
      </c>
      <c r="AI425" s="14">
        <v>46009</v>
      </c>
      <c r="AJ425" s="14">
        <v>46009</v>
      </c>
      <c r="AK425" s="14">
        <v>46012</v>
      </c>
      <c r="AL425" s="14">
        <v>46069</v>
      </c>
      <c r="AM425" s="14">
        <v>46069</v>
      </c>
      <c r="AN425" s="14">
        <v>46076</v>
      </c>
      <c r="AO425" s="91" t="s">
        <v>146</v>
      </c>
      <c r="AP425" s="12" t="s">
        <v>79</v>
      </c>
      <c r="AQ425" s="12"/>
      <c r="AR425" s="12">
        <v>46010840</v>
      </c>
      <c r="AS425" s="12" t="s">
        <v>4227</v>
      </c>
      <c r="AT425" s="12" t="s">
        <v>4227</v>
      </c>
      <c r="AU425" s="12">
        <v>60</v>
      </c>
      <c r="AV425" s="12" t="s">
        <v>83</v>
      </c>
      <c r="AW425" s="12">
        <v>1</v>
      </c>
      <c r="AX425" s="12">
        <v>73</v>
      </c>
      <c r="AY425" s="14">
        <v>46012</v>
      </c>
      <c r="AZ425" s="14">
        <v>46076</v>
      </c>
      <c r="BA425" s="12" t="e">
        <v>#N/A</v>
      </c>
      <c r="BB425" s="14" t="s">
        <v>2480</v>
      </c>
      <c r="BC425" s="14">
        <v>46090</v>
      </c>
      <c r="BD425" s="16">
        <v>2026</v>
      </c>
      <c r="BE425" s="16">
        <v>3</v>
      </c>
      <c r="BF425" s="16">
        <v>11</v>
      </c>
      <c r="BG425" s="191">
        <v>36</v>
      </c>
      <c r="BH425" s="191">
        <v>936</v>
      </c>
    </row>
    <row r="426" spans="1:60" s="23" customFormat="1" ht="10">
      <c r="A426" s="11" t="s">
        <v>4228</v>
      </c>
      <c r="B426" s="12" t="s">
        <v>111</v>
      </c>
      <c r="C426" s="12" t="s">
        <v>638</v>
      </c>
      <c r="D426" s="12" t="s">
        <v>63</v>
      </c>
      <c r="E426" s="12" t="s">
        <v>64</v>
      </c>
      <c r="F426" s="12" t="s">
        <v>65</v>
      </c>
      <c r="G426" s="12" t="s">
        <v>67</v>
      </c>
      <c r="H426" s="12" t="s">
        <v>66</v>
      </c>
      <c r="I426" s="12" t="s">
        <v>96</v>
      </c>
      <c r="J426" s="34" t="s">
        <v>68</v>
      </c>
      <c r="K426" s="12"/>
      <c r="L426" s="13" t="s">
        <v>2474</v>
      </c>
      <c r="M426" s="213" t="s">
        <v>68</v>
      </c>
      <c r="N426" s="182"/>
      <c r="O426" s="12" t="s">
        <v>2475</v>
      </c>
      <c r="P426" s="12" t="s">
        <v>473</v>
      </c>
      <c r="Q426" s="12" t="s">
        <v>474</v>
      </c>
      <c r="R426" s="12">
        <v>553144</v>
      </c>
      <c r="S426" s="12" t="s">
        <v>475</v>
      </c>
      <c r="T426" s="206">
        <v>460</v>
      </c>
      <c r="U426" s="206">
        <v>4320</v>
      </c>
      <c r="V426" s="12">
        <v>1.9872000000000001</v>
      </c>
      <c r="W426" s="198">
        <v>120</v>
      </c>
      <c r="X426" s="254">
        <v>5</v>
      </c>
      <c r="Y426" s="12" t="s">
        <v>75</v>
      </c>
      <c r="Z426" s="12"/>
      <c r="AA426" s="13" t="s">
        <v>85</v>
      </c>
      <c r="AB426" s="13" t="s">
        <v>967</v>
      </c>
      <c r="AC426" s="14">
        <v>45997</v>
      </c>
      <c r="AD426" s="15">
        <v>49</v>
      </c>
      <c r="AE426" s="55" t="s">
        <v>4229</v>
      </c>
      <c r="AF426" s="12">
        <v>371009293</v>
      </c>
      <c r="AG426" s="12" t="s">
        <v>122</v>
      </c>
      <c r="AH426" s="12" t="s">
        <v>356</v>
      </c>
      <c r="AI426" s="14">
        <v>46004</v>
      </c>
      <c r="AJ426" s="14">
        <v>46004</v>
      </c>
      <c r="AK426" s="14">
        <v>46004</v>
      </c>
      <c r="AL426" s="14">
        <v>46055</v>
      </c>
      <c r="AM426" s="14">
        <v>46055</v>
      </c>
      <c r="AN426" s="14">
        <v>46056</v>
      </c>
      <c r="AO426" s="91" t="s">
        <v>66</v>
      </c>
      <c r="AP426" s="12" t="s">
        <v>4230</v>
      </c>
      <c r="AQ426" s="12"/>
      <c r="AR426" s="12" t="s">
        <v>4231</v>
      </c>
      <c r="AS426" s="12" t="s">
        <v>4232</v>
      </c>
      <c r="AT426" s="12" t="s">
        <v>4232</v>
      </c>
      <c r="AU426" s="12">
        <v>51</v>
      </c>
      <c r="AV426" s="12"/>
      <c r="AW426" s="12">
        <v>2</v>
      </c>
      <c r="AX426" s="12">
        <v>59</v>
      </c>
      <c r="AY426" s="14">
        <v>46004</v>
      </c>
      <c r="AZ426" s="14">
        <v>46056</v>
      </c>
      <c r="BA426" s="12" t="e">
        <v>#N/A</v>
      </c>
      <c r="BB426" s="14" t="s">
        <v>2480</v>
      </c>
      <c r="BC426" s="14">
        <v>46070</v>
      </c>
      <c r="BD426" s="16">
        <v>2026</v>
      </c>
      <c r="BE426" s="16">
        <v>2</v>
      </c>
      <c r="BF426" s="16">
        <v>8</v>
      </c>
      <c r="BG426" s="191">
        <v>36</v>
      </c>
      <c r="BH426" s="191">
        <v>864</v>
      </c>
    </row>
    <row r="427" spans="1:60" s="23" customFormat="1" ht="10">
      <c r="A427" s="11" t="s">
        <v>4233</v>
      </c>
      <c r="B427" s="12" t="s">
        <v>111</v>
      </c>
      <c r="C427" s="12" t="s">
        <v>545</v>
      </c>
      <c r="D427" s="12" t="s">
        <v>63</v>
      </c>
      <c r="E427" s="12" t="s">
        <v>64</v>
      </c>
      <c r="F427" s="12" t="s">
        <v>65</v>
      </c>
      <c r="G427" s="12" t="s">
        <v>67</v>
      </c>
      <c r="H427" s="12" t="s">
        <v>66</v>
      </c>
      <c r="I427" s="12" t="s">
        <v>96</v>
      </c>
      <c r="J427" s="34" t="s">
        <v>68</v>
      </c>
      <c r="K427" s="12"/>
      <c r="L427" s="13" t="s">
        <v>2474</v>
      </c>
      <c r="M427" s="213" t="s">
        <v>68</v>
      </c>
      <c r="N427" s="182"/>
      <c r="O427" s="12" t="s">
        <v>2475</v>
      </c>
      <c r="P427" s="12" t="s">
        <v>473</v>
      </c>
      <c r="Q427" s="12" t="s">
        <v>529</v>
      </c>
      <c r="R427" s="12">
        <v>553145</v>
      </c>
      <c r="S427" s="12" t="s">
        <v>530</v>
      </c>
      <c r="T427" s="206">
        <v>455</v>
      </c>
      <c r="U427" s="206">
        <v>864</v>
      </c>
      <c r="V427" s="12">
        <v>0.39312000000000002</v>
      </c>
      <c r="W427" s="198">
        <v>24</v>
      </c>
      <c r="X427" s="254">
        <v>1</v>
      </c>
      <c r="Y427" s="12" t="s">
        <v>75</v>
      </c>
      <c r="Z427" s="12"/>
      <c r="AA427" s="13" t="s">
        <v>85</v>
      </c>
      <c r="AB427" s="13" t="s">
        <v>967</v>
      </c>
      <c r="AC427" s="14">
        <v>45997</v>
      </c>
      <c r="AD427" s="15">
        <v>49</v>
      </c>
      <c r="AE427" s="55" t="s">
        <v>4234</v>
      </c>
      <c r="AF427" s="12">
        <v>371009292</v>
      </c>
      <c r="AG427" s="12" t="s">
        <v>122</v>
      </c>
      <c r="AH427" s="12" t="s">
        <v>356</v>
      </c>
      <c r="AI427" s="14">
        <v>46004</v>
      </c>
      <c r="AJ427" s="14">
        <v>46004</v>
      </c>
      <c r="AK427" s="14">
        <v>46004</v>
      </c>
      <c r="AL427" s="14">
        <v>46055</v>
      </c>
      <c r="AM427" s="14">
        <v>46055</v>
      </c>
      <c r="AN427" s="14">
        <v>46056</v>
      </c>
      <c r="AO427" s="91" t="s">
        <v>66</v>
      </c>
      <c r="AP427" s="12" t="s">
        <v>4230</v>
      </c>
      <c r="AQ427" s="12"/>
      <c r="AR427" s="12" t="s">
        <v>4231</v>
      </c>
      <c r="AS427" s="12" t="s">
        <v>4232</v>
      </c>
      <c r="AT427" s="12" t="s">
        <v>4232</v>
      </c>
      <c r="AU427" s="12">
        <v>51</v>
      </c>
      <c r="AV427" s="12"/>
      <c r="AW427" s="12">
        <v>8</v>
      </c>
      <c r="AX427" s="12">
        <v>59</v>
      </c>
      <c r="AY427" s="14">
        <v>46004</v>
      </c>
      <c r="AZ427" s="14">
        <v>46056</v>
      </c>
      <c r="BA427" s="12" t="e">
        <v>#N/A</v>
      </c>
      <c r="BB427" s="14" t="s">
        <v>2480</v>
      </c>
      <c r="BC427" s="14">
        <v>46070</v>
      </c>
      <c r="BD427" s="16">
        <v>2026</v>
      </c>
      <c r="BE427" s="16">
        <v>2</v>
      </c>
      <c r="BF427" s="16">
        <v>8</v>
      </c>
      <c r="BG427" s="191">
        <v>36</v>
      </c>
      <c r="BH427" s="191">
        <v>864</v>
      </c>
    </row>
    <row r="428" spans="1:60" ht="10">
      <c r="A428" s="11" t="s">
        <v>4235</v>
      </c>
      <c r="B428" s="12" t="s">
        <v>111</v>
      </c>
      <c r="C428" s="12" t="s">
        <v>215</v>
      </c>
      <c r="D428" s="12" t="s">
        <v>113</v>
      </c>
      <c r="E428" s="12" t="s">
        <v>64</v>
      </c>
      <c r="F428" s="12" t="s">
        <v>65</v>
      </c>
      <c r="G428" s="12" t="s">
        <v>67</v>
      </c>
      <c r="H428" s="12" t="s">
        <v>66</v>
      </c>
      <c r="I428" s="12" t="s">
        <v>363</v>
      </c>
      <c r="J428" s="34" t="s">
        <v>68</v>
      </c>
      <c r="K428" s="12" t="s">
        <v>364</v>
      </c>
      <c r="L428" s="13" t="s">
        <v>113</v>
      </c>
      <c r="M428" s="213" t="s">
        <v>68</v>
      </c>
      <c r="N428" s="182"/>
      <c r="O428" s="12" t="s">
        <v>2475</v>
      </c>
      <c r="P428" s="12" t="s">
        <v>70</v>
      </c>
      <c r="Q428" s="12" t="s">
        <v>218</v>
      </c>
      <c r="R428" s="12">
        <v>555364</v>
      </c>
      <c r="S428" s="12" t="s">
        <v>219</v>
      </c>
      <c r="T428" s="206">
        <v>625</v>
      </c>
      <c r="U428" s="206">
        <v>3600</v>
      </c>
      <c r="V428" s="12">
        <v>2.25</v>
      </c>
      <c r="W428" s="198">
        <v>100</v>
      </c>
      <c r="X428" s="254">
        <v>5</v>
      </c>
      <c r="Y428" s="12" t="s">
        <v>75</v>
      </c>
      <c r="Z428" s="12"/>
      <c r="AA428" s="13" t="s">
        <v>3780</v>
      </c>
      <c r="AB428" s="13" t="s">
        <v>992</v>
      </c>
      <c r="AC428" s="14">
        <v>46006</v>
      </c>
      <c r="AD428" s="15">
        <v>51</v>
      </c>
      <c r="AE428" s="176" t="s">
        <v>4236</v>
      </c>
      <c r="AF428" s="12" t="s">
        <v>4235</v>
      </c>
      <c r="AG428" s="12" t="s">
        <v>122</v>
      </c>
      <c r="AH428" s="12" t="s">
        <v>356</v>
      </c>
      <c r="AI428" s="14">
        <v>46011</v>
      </c>
      <c r="AJ428" s="14">
        <v>46011</v>
      </c>
      <c r="AK428" s="14">
        <v>46011</v>
      </c>
      <c r="AL428" s="14">
        <v>46049</v>
      </c>
      <c r="AM428" s="14">
        <v>46050</v>
      </c>
      <c r="AN428" s="14">
        <v>46053</v>
      </c>
      <c r="AO428" s="91" t="s">
        <v>66</v>
      </c>
      <c r="AP428" s="12" t="s">
        <v>4237</v>
      </c>
      <c r="AQ428" s="12" t="s">
        <v>161</v>
      </c>
      <c r="AR428" s="12" t="s">
        <v>4238</v>
      </c>
      <c r="AS428" s="12" t="s">
        <v>4239</v>
      </c>
      <c r="AT428" s="12" t="s">
        <v>4240</v>
      </c>
      <c r="AU428" s="12">
        <v>38</v>
      </c>
      <c r="AV428" s="12"/>
      <c r="AW428" s="12">
        <v>3</v>
      </c>
      <c r="AX428" s="12">
        <v>47</v>
      </c>
      <c r="AY428" s="14">
        <v>46011</v>
      </c>
      <c r="AZ428" s="14">
        <v>46053</v>
      </c>
      <c r="BA428" s="12" t="e">
        <v>#N/A</v>
      </c>
      <c r="BB428" s="14" t="s">
        <v>2480</v>
      </c>
      <c r="BC428" s="14">
        <v>46067</v>
      </c>
      <c r="BD428" s="16">
        <v>2026</v>
      </c>
      <c r="BE428" s="16">
        <v>2</v>
      </c>
      <c r="BF428" s="16">
        <v>7</v>
      </c>
      <c r="BG428" s="191">
        <v>36</v>
      </c>
      <c r="BH428" s="191">
        <v>720</v>
      </c>
    </row>
    <row r="429" spans="1:60" ht="10">
      <c r="A429" s="11" t="s">
        <v>4241</v>
      </c>
      <c r="B429" s="12" t="s">
        <v>111</v>
      </c>
      <c r="C429" s="12" t="s">
        <v>215</v>
      </c>
      <c r="D429" s="12" t="s">
        <v>113</v>
      </c>
      <c r="E429" s="12" t="s">
        <v>64</v>
      </c>
      <c r="F429" s="12" t="s">
        <v>65</v>
      </c>
      <c r="G429" s="12" t="s">
        <v>67</v>
      </c>
      <c r="H429" s="12" t="s">
        <v>66</v>
      </c>
      <c r="I429" s="12" t="s">
        <v>353</v>
      </c>
      <c r="J429" s="34" t="s">
        <v>68</v>
      </c>
      <c r="K429" s="12" t="s">
        <v>354</v>
      </c>
      <c r="L429" s="13" t="s">
        <v>113</v>
      </c>
      <c r="M429" s="213" t="s">
        <v>68</v>
      </c>
      <c r="N429" s="182"/>
      <c r="O429" s="12" t="s">
        <v>2475</v>
      </c>
      <c r="P429" s="12" t="s">
        <v>70</v>
      </c>
      <c r="Q429" s="12" t="s">
        <v>218</v>
      </c>
      <c r="R429" s="12">
        <v>555364</v>
      </c>
      <c r="S429" s="12" t="s">
        <v>219</v>
      </c>
      <c r="T429" s="206">
        <v>625</v>
      </c>
      <c r="U429" s="206">
        <v>1440</v>
      </c>
      <c r="V429" s="12">
        <v>0.9</v>
      </c>
      <c r="W429" s="198">
        <v>40</v>
      </c>
      <c r="X429" s="254">
        <v>2</v>
      </c>
      <c r="Y429" s="12" t="s">
        <v>75</v>
      </c>
      <c r="Z429" s="12"/>
      <c r="AA429" s="13" t="s">
        <v>3780</v>
      </c>
      <c r="AB429" s="13" t="s">
        <v>992</v>
      </c>
      <c r="AC429" s="14">
        <v>46006</v>
      </c>
      <c r="AD429" s="15">
        <v>51</v>
      </c>
      <c r="AE429" s="176" t="s">
        <v>4242</v>
      </c>
      <c r="AF429" s="12" t="s">
        <v>4241</v>
      </c>
      <c r="AG429" s="12" t="s">
        <v>122</v>
      </c>
      <c r="AH429" s="12" t="s">
        <v>356</v>
      </c>
      <c r="AI429" s="14">
        <v>46011</v>
      </c>
      <c r="AJ429" s="14">
        <v>46011</v>
      </c>
      <c r="AK429" s="14">
        <v>46011</v>
      </c>
      <c r="AL429" s="14">
        <v>46049</v>
      </c>
      <c r="AM429" s="14">
        <v>46050</v>
      </c>
      <c r="AN429" s="14">
        <v>46053</v>
      </c>
      <c r="AO429" s="91" t="s">
        <v>66</v>
      </c>
      <c r="AP429" s="16" t="s">
        <v>4237</v>
      </c>
      <c r="AQ429" s="12" t="s">
        <v>161</v>
      </c>
      <c r="AR429" s="12" t="s">
        <v>4238</v>
      </c>
      <c r="AS429" s="12" t="s">
        <v>4239</v>
      </c>
      <c r="AT429" s="12" t="s">
        <v>4240</v>
      </c>
      <c r="AU429" s="12">
        <v>38</v>
      </c>
      <c r="AV429" s="12"/>
      <c r="AW429" s="12">
        <v>3</v>
      </c>
      <c r="AX429" s="12">
        <v>47</v>
      </c>
      <c r="AY429" s="14">
        <v>46011</v>
      </c>
      <c r="AZ429" s="14">
        <v>46053</v>
      </c>
      <c r="BA429" s="12" t="e">
        <v>#N/A</v>
      </c>
      <c r="BB429" s="14" t="s">
        <v>2480</v>
      </c>
      <c r="BC429" s="14">
        <v>46067</v>
      </c>
      <c r="BD429" s="16">
        <v>2026</v>
      </c>
      <c r="BE429" s="16">
        <v>2</v>
      </c>
      <c r="BF429" s="16">
        <v>7</v>
      </c>
      <c r="BG429" s="191">
        <v>36</v>
      </c>
      <c r="BH429" s="191">
        <v>720</v>
      </c>
    </row>
    <row r="430" spans="1:60" s="23" customFormat="1" ht="10">
      <c r="A430" s="11" t="s">
        <v>4243</v>
      </c>
      <c r="B430" s="12" t="s">
        <v>111</v>
      </c>
      <c r="C430" s="12" t="s">
        <v>2883</v>
      </c>
      <c r="D430" s="12" t="s">
        <v>63</v>
      </c>
      <c r="E430" s="12" t="s">
        <v>144</v>
      </c>
      <c r="F430" s="12" t="s">
        <v>145</v>
      </c>
      <c r="G430" s="12" t="s">
        <v>594</v>
      </c>
      <c r="H430" s="12" t="s">
        <v>402</v>
      </c>
      <c r="I430" s="12" t="s">
        <v>594</v>
      </c>
      <c r="J430" s="34" t="s">
        <v>68</v>
      </c>
      <c r="K430" s="12">
        <v>16102622</v>
      </c>
      <c r="L430" s="13" t="s">
        <v>2482</v>
      </c>
      <c r="M430" s="236" t="s">
        <v>68</v>
      </c>
      <c r="N430" s="182"/>
      <c r="O430" s="12" t="s">
        <v>2475</v>
      </c>
      <c r="P430" s="12" t="s">
        <v>132</v>
      </c>
      <c r="Q430" s="12" t="s">
        <v>2884</v>
      </c>
      <c r="R430" s="12">
        <v>555076</v>
      </c>
      <c r="S430" s="12" t="s">
        <v>1300</v>
      </c>
      <c r="T430" s="206">
        <v>720</v>
      </c>
      <c r="U430" s="206">
        <v>2970</v>
      </c>
      <c r="V430" s="12">
        <v>2.1383999999999999</v>
      </c>
      <c r="W430" s="198">
        <v>90</v>
      </c>
      <c r="X430" s="254">
        <v>5</v>
      </c>
      <c r="Y430" s="12" t="s">
        <v>75</v>
      </c>
      <c r="Z430" s="12"/>
      <c r="AA430" s="13" t="s">
        <v>108</v>
      </c>
      <c r="AB430" s="13" t="s">
        <v>967</v>
      </c>
      <c r="AC430" s="14">
        <v>46005</v>
      </c>
      <c r="AD430" s="15">
        <v>50</v>
      </c>
      <c r="AE430" s="176" t="s">
        <v>4244</v>
      </c>
      <c r="AF430" s="12">
        <v>371009334</v>
      </c>
      <c r="AG430" s="12" t="s">
        <v>122</v>
      </c>
      <c r="AH430" s="12" t="s">
        <v>124</v>
      </c>
      <c r="AI430" s="14">
        <v>46014</v>
      </c>
      <c r="AJ430" s="14">
        <v>46018</v>
      </c>
      <c r="AK430" s="14">
        <v>46017</v>
      </c>
      <c r="AL430" s="14">
        <v>46058</v>
      </c>
      <c r="AM430" s="14">
        <v>46058</v>
      </c>
      <c r="AN430" s="14">
        <v>46061</v>
      </c>
      <c r="AO430" s="91" t="s">
        <v>402</v>
      </c>
      <c r="AP430" s="12" t="s">
        <v>140</v>
      </c>
      <c r="AQ430" s="12"/>
      <c r="AR430" s="12" t="s">
        <v>4245</v>
      </c>
      <c r="AS430" s="12" t="s">
        <v>4246</v>
      </c>
      <c r="AT430" s="12" t="s">
        <v>4246</v>
      </c>
      <c r="AU430" s="12">
        <v>44</v>
      </c>
      <c r="AV430" s="12"/>
      <c r="AW430" s="12">
        <v>8</v>
      </c>
      <c r="AX430" s="12">
        <v>56</v>
      </c>
      <c r="AY430" s="14">
        <v>46017</v>
      </c>
      <c r="AZ430" s="14">
        <v>46061</v>
      </c>
      <c r="BA430" s="12" t="e">
        <v>#N/A</v>
      </c>
      <c r="BB430" s="14" t="s">
        <v>2480</v>
      </c>
      <c r="BC430" s="14">
        <v>46075</v>
      </c>
      <c r="BD430" s="16">
        <v>2026</v>
      </c>
      <c r="BE430" s="16">
        <v>2</v>
      </c>
      <c r="BF430" s="16">
        <v>8</v>
      </c>
      <c r="BG430" s="191">
        <v>33</v>
      </c>
      <c r="BH430" s="191">
        <v>594</v>
      </c>
    </row>
    <row r="431" spans="1:60" s="175" customFormat="1" ht="10">
      <c r="A431" s="172" t="s">
        <v>3739</v>
      </c>
      <c r="B431" s="41" t="s">
        <v>111</v>
      </c>
      <c r="C431" s="41" t="s">
        <v>203</v>
      </c>
      <c r="D431" s="41" t="s">
        <v>63</v>
      </c>
      <c r="E431" s="12" t="s">
        <v>144</v>
      </c>
      <c r="F431" s="41" t="s">
        <v>145</v>
      </c>
      <c r="G431" s="41" t="s">
        <v>4247</v>
      </c>
      <c r="H431" s="41" t="s">
        <v>146</v>
      </c>
      <c r="I431" s="41" t="s">
        <v>4247</v>
      </c>
      <c r="J431" s="34" t="s">
        <v>68</v>
      </c>
      <c r="K431" s="41">
        <v>16102620</v>
      </c>
      <c r="L431" s="13" t="s">
        <v>2482</v>
      </c>
      <c r="M431" s="237" t="s">
        <v>68</v>
      </c>
      <c r="N431" s="184"/>
      <c r="O431" s="41" t="s">
        <v>2475</v>
      </c>
      <c r="P431" s="41" t="s">
        <v>132</v>
      </c>
      <c r="Q431" s="41" t="s">
        <v>1905</v>
      </c>
      <c r="R431" s="41">
        <v>554547</v>
      </c>
      <c r="S431" s="41" t="s">
        <v>1906</v>
      </c>
      <c r="T431" s="208">
        <v>555</v>
      </c>
      <c r="U431" s="208">
        <v>2640</v>
      </c>
      <c r="V431" s="41">
        <v>1.4652000000000001</v>
      </c>
      <c r="W431" s="201">
        <v>80</v>
      </c>
      <c r="X431" s="255">
        <v>4</v>
      </c>
      <c r="Y431" s="12" t="s">
        <v>75</v>
      </c>
      <c r="Z431" s="41"/>
      <c r="AA431" s="13" t="s">
        <v>108</v>
      </c>
      <c r="AB431" s="13" t="s">
        <v>992</v>
      </c>
      <c r="AC431" s="37">
        <v>46003</v>
      </c>
      <c r="AD431" s="174">
        <v>50</v>
      </c>
      <c r="AE431" s="287" t="s">
        <v>4248</v>
      </c>
      <c r="AF431" s="41">
        <v>371009280</v>
      </c>
      <c r="AG431" s="41" t="s">
        <v>122</v>
      </c>
      <c r="AH431" s="41" t="s">
        <v>124</v>
      </c>
      <c r="AI431" s="37">
        <v>46009</v>
      </c>
      <c r="AJ431" s="37">
        <v>45663</v>
      </c>
      <c r="AK431" s="37">
        <v>46027</v>
      </c>
      <c r="AL431" s="37">
        <v>46051</v>
      </c>
      <c r="AM431" s="37">
        <v>46071</v>
      </c>
      <c r="AN431" s="37">
        <v>46071</v>
      </c>
      <c r="AO431" s="86" t="s">
        <v>146</v>
      </c>
      <c r="AP431" s="41" t="s">
        <v>241</v>
      </c>
      <c r="AQ431" s="41"/>
      <c r="AR431" s="41">
        <v>16102620</v>
      </c>
      <c r="AS431" s="41" t="s">
        <v>4249</v>
      </c>
      <c r="AT431" s="41" t="s">
        <v>4249</v>
      </c>
      <c r="AU431" s="41">
        <v>42</v>
      </c>
      <c r="AV431" s="41"/>
      <c r="AW431" s="12">
        <v>38</v>
      </c>
      <c r="AX431" s="41">
        <v>68</v>
      </c>
      <c r="AY431" s="37">
        <v>46027</v>
      </c>
      <c r="AZ431" s="37">
        <v>46071</v>
      </c>
      <c r="BA431" s="41" t="e">
        <v>#N/A</v>
      </c>
      <c r="BB431" s="37" t="s">
        <v>2480</v>
      </c>
      <c r="BC431" s="37">
        <v>46085</v>
      </c>
      <c r="BD431" s="219">
        <v>2026</v>
      </c>
      <c r="BE431" s="219">
        <v>3</v>
      </c>
      <c r="BF431" s="219">
        <v>10</v>
      </c>
      <c r="BG431" s="219">
        <v>33</v>
      </c>
      <c r="BH431" s="219">
        <v>660</v>
      </c>
    </row>
    <row r="432" spans="1:60" s="175" customFormat="1" ht="10">
      <c r="A432" s="172" t="s">
        <v>4250</v>
      </c>
      <c r="B432" s="41" t="s">
        <v>111</v>
      </c>
      <c r="C432" s="41" t="s">
        <v>3739</v>
      </c>
      <c r="D432" s="41" t="s">
        <v>63</v>
      </c>
      <c r="E432" s="12" t="s">
        <v>144</v>
      </c>
      <c r="F432" s="41" t="s">
        <v>145</v>
      </c>
      <c r="G432" s="41" t="s">
        <v>4247</v>
      </c>
      <c r="H432" s="41" t="s">
        <v>146</v>
      </c>
      <c r="I432" s="41" t="s">
        <v>4247</v>
      </c>
      <c r="J432" s="34" t="s">
        <v>68</v>
      </c>
      <c r="K432" s="41">
        <v>16102620</v>
      </c>
      <c r="L432" s="13" t="s">
        <v>2482</v>
      </c>
      <c r="M432" s="237" t="s">
        <v>68</v>
      </c>
      <c r="N432" s="184"/>
      <c r="O432" s="41" t="s">
        <v>2475</v>
      </c>
      <c r="P432" s="41" t="s">
        <v>132</v>
      </c>
      <c r="Q432" s="41" t="s">
        <v>1905</v>
      </c>
      <c r="R432" s="41">
        <v>554547</v>
      </c>
      <c r="S432" s="41" t="s">
        <v>1906</v>
      </c>
      <c r="T432" s="208">
        <v>555</v>
      </c>
      <c r="U432" s="208">
        <v>660</v>
      </c>
      <c r="V432" s="41">
        <v>0.36630000000000001</v>
      </c>
      <c r="W432" s="201">
        <v>20</v>
      </c>
      <c r="X432" s="255">
        <v>1</v>
      </c>
      <c r="Y432" s="12" t="s">
        <v>75</v>
      </c>
      <c r="Z432" s="41"/>
      <c r="AA432" s="13" t="s">
        <v>108</v>
      </c>
      <c r="AB432" s="13" t="s">
        <v>992</v>
      </c>
      <c r="AC432" s="37">
        <v>46003</v>
      </c>
      <c r="AD432" s="174">
        <v>50</v>
      </c>
      <c r="AE432" s="287" t="s">
        <v>4248</v>
      </c>
      <c r="AF432" s="41">
        <v>371009280</v>
      </c>
      <c r="AG432" s="41" t="s">
        <v>122</v>
      </c>
      <c r="AH432" s="41" t="s">
        <v>124</v>
      </c>
      <c r="AI432" s="37">
        <v>46009</v>
      </c>
      <c r="AJ432" s="37">
        <v>45663</v>
      </c>
      <c r="AK432" s="37">
        <v>46027</v>
      </c>
      <c r="AL432" s="37">
        <v>46051</v>
      </c>
      <c r="AM432" s="37">
        <v>46071</v>
      </c>
      <c r="AN432" s="37">
        <v>46071</v>
      </c>
      <c r="AO432" s="86" t="s">
        <v>146</v>
      </c>
      <c r="AP432" s="41" t="s">
        <v>241</v>
      </c>
      <c r="AQ432" s="41"/>
      <c r="AR432" s="41" t="s">
        <v>4251</v>
      </c>
      <c r="AS432" s="41" t="s">
        <v>4252</v>
      </c>
      <c r="AT432" s="41" t="s">
        <v>4249</v>
      </c>
      <c r="AU432" s="41">
        <v>42</v>
      </c>
      <c r="AV432" s="41"/>
      <c r="AW432" s="12">
        <v>2</v>
      </c>
      <c r="AX432" s="41">
        <v>68</v>
      </c>
      <c r="AY432" s="37">
        <v>46027</v>
      </c>
      <c r="AZ432" s="37">
        <v>46071</v>
      </c>
      <c r="BA432" s="41" t="e">
        <v>#N/A</v>
      </c>
      <c r="BB432" s="37" t="s">
        <v>2480</v>
      </c>
      <c r="BC432" s="37">
        <v>46085</v>
      </c>
      <c r="BD432" s="219">
        <v>2026</v>
      </c>
      <c r="BE432" s="219">
        <v>3</v>
      </c>
      <c r="BF432" s="219">
        <v>10</v>
      </c>
      <c r="BG432" s="219">
        <v>33</v>
      </c>
      <c r="BH432" s="219">
        <v>660</v>
      </c>
    </row>
    <row r="433" spans="1:60" s="23" customFormat="1" ht="10">
      <c r="A433" s="11" t="s">
        <v>4253</v>
      </c>
      <c r="B433" s="12" t="s">
        <v>111</v>
      </c>
      <c r="C433" s="12" t="s">
        <v>638</v>
      </c>
      <c r="D433" s="12" t="s">
        <v>63</v>
      </c>
      <c r="E433" s="12" t="s">
        <v>64</v>
      </c>
      <c r="F433" s="12" t="s">
        <v>450</v>
      </c>
      <c r="G433" s="39" t="s">
        <v>451</v>
      </c>
      <c r="H433" s="12" t="s">
        <v>66</v>
      </c>
      <c r="I433" s="12" t="s">
        <v>1292</v>
      </c>
      <c r="J433" s="34" t="s">
        <v>68</v>
      </c>
      <c r="K433" s="12"/>
      <c r="L433" s="13" t="s">
        <v>2831</v>
      </c>
      <c r="M433" s="213" t="s">
        <v>68</v>
      </c>
      <c r="N433" s="182"/>
      <c r="O433" s="12" t="s">
        <v>2475</v>
      </c>
      <c r="P433" s="12" t="s">
        <v>473</v>
      </c>
      <c r="Q433" s="12" t="s">
        <v>474</v>
      </c>
      <c r="R433" s="12">
        <v>553144</v>
      </c>
      <c r="S433" s="12" t="s">
        <v>475</v>
      </c>
      <c r="T433" s="206">
        <v>460</v>
      </c>
      <c r="U433" s="206">
        <v>864</v>
      </c>
      <c r="V433" s="12">
        <v>0.39744000000000002</v>
      </c>
      <c r="W433" s="198">
        <v>24</v>
      </c>
      <c r="X433" s="254">
        <v>1</v>
      </c>
      <c r="Y433" s="12" t="s">
        <v>75</v>
      </c>
      <c r="Z433" s="12"/>
      <c r="AA433" s="13" t="s">
        <v>85</v>
      </c>
      <c r="AB433" s="13" t="s">
        <v>967</v>
      </c>
      <c r="AC433" s="14">
        <v>46008</v>
      </c>
      <c r="AD433" s="40">
        <v>51</v>
      </c>
      <c r="AE433" s="176" t="s">
        <v>4254</v>
      </c>
      <c r="AF433" s="12"/>
      <c r="AG433" s="12" t="s">
        <v>122</v>
      </c>
      <c r="AH433" s="12" t="s">
        <v>456</v>
      </c>
      <c r="AI433" s="14">
        <v>46015</v>
      </c>
      <c r="AJ433" s="14">
        <v>46020</v>
      </c>
      <c r="AK433" s="14">
        <v>46020</v>
      </c>
      <c r="AL433" s="14">
        <v>46054</v>
      </c>
      <c r="AM433" s="14">
        <v>46068</v>
      </c>
      <c r="AN433" s="14">
        <v>46069</v>
      </c>
      <c r="AO433" s="91" t="s">
        <v>66</v>
      </c>
      <c r="AP433" s="12" t="s">
        <v>4056</v>
      </c>
      <c r="AQ433" s="12" t="s">
        <v>80</v>
      </c>
      <c r="AR433" s="12" t="s">
        <v>4255</v>
      </c>
      <c r="AS433" s="12" t="s">
        <v>4256</v>
      </c>
      <c r="AT433" s="12" t="s">
        <v>4256</v>
      </c>
      <c r="AU433" s="12">
        <v>39</v>
      </c>
      <c r="AV433" s="12"/>
      <c r="AW433" s="12">
        <v>2</v>
      </c>
      <c r="AX433" s="12">
        <v>61</v>
      </c>
      <c r="AY433" s="14">
        <v>46020</v>
      </c>
      <c r="AZ433" s="14">
        <v>46069</v>
      </c>
      <c r="BA433" s="12" t="e">
        <v>#N/A</v>
      </c>
      <c r="BB433" s="14" t="s">
        <v>2480</v>
      </c>
      <c r="BC433" s="14">
        <v>46083</v>
      </c>
      <c r="BD433" s="16">
        <v>2026</v>
      </c>
      <c r="BE433" s="16">
        <v>3</v>
      </c>
      <c r="BF433" s="16">
        <v>10</v>
      </c>
      <c r="BG433" s="191">
        <v>36</v>
      </c>
      <c r="BH433" s="191">
        <v>864</v>
      </c>
    </row>
    <row r="434" spans="1:60" s="23" customFormat="1" ht="10">
      <c r="A434" s="11" t="s">
        <v>4257</v>
      </c>
      <c r="B434" s="12" t="s">
        <v>111</v>
      </c>
      <c r="C434" s="12" t="s">
        <v>3944</v>
      </c>
      <c r="D434" s="12" t="s">
        <v>63</v>
      </c>
      <c r="E434" s="12" t="s">
        <v>64</v>
      </c>
      <c r="F434" s="12" t="s">
        <v>450</v>
      </c>
      <c r="G434" s="39" t="s">
        <v>451</v>
      </c>
      <c r="H434" s="12" t="s">
        <v>66</v>
      </c>
      <c r="I434" s="12" t="s">
        <v>452</v>
      </c>
      <c r="J434" s="34" t="s">
        <v>68</v>
      </c>
      <c r="K434" s="12">
        <v>20519249</v>
      </c>
      <c r="L434" s="13" t="s">
        <v>2831</v>
      </c>
      <c r="M434" s="213" t="s">
        <v>68</v>
      </c>
      <c r="N434" s="182"/>
      <c r="O434" s="12" t="s">
        <v>2475</v>
      </c>
      <c r="P434" s="12" t="s">
        <v>132</v>
      </c>
      <c r="Q434" s="12" t="s">
        <v>453</v>
      </c>
      <c r="R434" s="12">
        <v>554541</v>
      </c>
      <c r="S434" s="12" t="s">
        <v>454</v>
      </c>
      <c r="T434" s="206">
        <v>460</v>
      </c>
      <c r="U434" s="206">
        <v>864</v>
      </c>
      <c r="V434" s="12">
        <v>0.39744000000000002</v>
      </c>
      <c r="W434" s="198">
        <v>24</v>
      </c>
      <c r="X434" s="254">
        <v>1</v>
      </c>
      <c r="Y434" s="12" t="s">
        <v>75</v>
      </c>
      <c r="Z434" s="12"/>
      <c r="AA434" s="13" t="s">
        <v>108</v>
      </c>
      <c r="AB434" s="32" t="s">
        <v>967</v>
      </c>
      <c r="AC434" s="14">
        <v>46008</v>
      </c>
      <c r="AD434" s="15">
        <v>51</v>
      </c>
      <c r="AE434" s="55" t="s">
        <v>4258</v>
      </c>
      <c r="AF434" s="12"/>
      <c r="AG434" s="12" t="s">
        <v>122</v>
      </c>
      <c r="AH434" s="12" t="s">
        <v>456</v>
      </c>
      <c r="AI434" s="14">
        <v>46015</v>
      </c>
      <c r="AJ434" s="14">
        <v>46020</v>
      </c>
      <c r="AK434" s="14">
        <v>46020</v>
      </c>
      <c r="AL434" s="14">
        <v>46054</v>
      </c>
      <c r="AM434" s="14">
        <v>46068</v>
      </c>
      <c r="AN434" s="14">
        <v>46069</v>
      </c>
      <c r="AO434" s="91" t="s">
        <v>66</v>
      </c>
      <c r="AP434" s="12" t="s">
        <v>4056</v>
      </c>
      <c r="AQ434" s="12" t="s">
        <v>80</v>
      </c>
      <c r="AR434" s="12" t="s">
        <v>4255</v>
      </c>
      <c r="AS434" s="12" t="s">
        <v>4256</v>
      </c>
      <c r="AT434" s="12" t="s">
        <v>4256</v>
      </c>
      <c r="AU434" s="12">
        <v>39</v>
      </c>
      <c r="AV434" s="12"/>
      <c r="AW434" s="12">
        <v>3</v>
      </c>
      <c r="AX434" s="12">
        <v>61</v>
      </c>
      <c r="AY434" s="14">
        <v>46020</v>
      </c>
      <c r="AZ434" s="14">
        <v>46069</v>
      </c>
      <c r="BA434" s="12" t="e">
        <v>#N/A</v>
      </c>
      <c r="BB434" s="14" t="s">
        <v>2480</v>
      </c>
      <c r="BC434" s="14">
        <v>46083</v>
      </c>
      <c r="BD434" s="16">
        <v>2026</v>
      </c>
      <c r="BE434" s="16">
        <v>3</v>
      </c>
      <c r="BF434" s="16">
        <v>10</v>
      </c>
      <c r="BG434" s="191">
        <v>36</v>
      </c>
      <c r="BH434" s="191">
        <v>864</v>
      </c>
    </row>
    <row r="435" spans="1:60" s="23" customFormat="1" ht="10">
      <c r="A435" s="11" t="s">
        <v>4259</v>
      </c>
      <c r="B435" s="12" t="s">
        <v>111</v>
      </c>
      <c r="C435" s="12" t="s">
        <v>545</v>
      </c>
      <c r="D435" s="12" t="s">
        <v>63</v>
      </c>
      <c r="E435" s="12" t="s">
        <v>64</v>
      </c>
      <c r="F435" s="12" t="s">
        <v>100</v>
      </c>
      <c r="G435" s="12" t="s">
        <v>67</v>
      </c>
      <c r="H435" s="12" t="s">
        <v>66</v>
      </c>
      <c r="I435" s="12" t="s">
        <v>96</v>
      </c>
      <c r="J435" s="34" t="s">
        <v>68</v>
      </c>
      <c r="K435" s="12"/>
      <c r="L435" s="13" t="s">
        <v>2474</v>
      </c>
      <c r="M435" s="213" t="s">
        <v>68</v>
      </c>
      <c r="N435" s="182"/>
      <c r="O435" s="12" t="s">
        <v>2475</v>
      </c>
      <c r="P435" s="12" t="s">
        <v>473</v>
      </c>
      <c r="Q435" s="12" t="s">
        <v>529</v>
      </c>
      <c r="R435" s="12">
        <v>553145</v>
      </c>
      <c r="S435" s="12" t="s">
        <v>530</v>
      </c>
      <c r="T435" s="206">
        <v>455</v>
      </c>
      <c r="U435" s="206">
        <v>1728</v>
      </c>
      <c r="V435" s="12">
        <v>0.78624000000000005</v>
      </c>
      <c r="W435" s="198">
        <v>48</v>
      </c>
      <c r="X435" s="254">
        <v>2</v>
      </c>
      <c r="Y435" s="12" t="s">
        <v>75</v>
      </c>
      <c r="Z435" s="12"/>
      <c r="AA435" s="13" t="s">
        <v>85</v>
      </c>
      <c r="AB435" s="13" t="s">
        <v>967</v>
      </c>
      <c r="AC435" s="14">
        <v>46007</v>
      </c>
      <c r="AD435" s="15">
        <v>51</v>
      </c>
      <c r="AE435" s="55" t="s">
        <v>4260</v>
      </c>
      <c r="AF435" s="12"/>
      <c r="AG435" s="12" t="s">
        <v>122</v>
      </c>
      <c r="AH435" s="12" t="s">
        <v>105</v>
      </c>
      <c r="AI435" s="14">
        <v>46014</v>
      </c>
      <c r="AJ435" s="14">
        <v>46019</v>
      </c>
      <c r="AK435" s="14">
        <v>46019</v>
      </c>
      <c r="AL435" s="14">
        <v>46057</v>
      </c>
      <c r="AM435" s="14">
        <v>46069</v>
      </c>
      <c r="AN435" s="14">
        <v>46071</v>
      </c>
      <c r="AO435" s="91" t="s">
        <v>66</v>
      </c>
      <c r="AP435" s="12" t="s">
        <v>4261</v>
      </c>
      <c r="AQ435" s="12"/>
      <c r="AR435" s="12" t="s">
        <v>4262</v>
      </c>
      <c r="AS435" s="12" t="s">
        <v>4263</v>
      </c>
      <c r="AT435" s="12" t="s">
        <v>4263</v>
      </c>
      <c r="AU435" s="12">
        <v>43</v>
      </c>
      <c r="AV435" s="12"/>
      <c r="AW435" s="12">
        <v>8</v>
      </c>
      <c r="AX435" s="12">
        <v>64</v>
      </c>
      <c r="AY435" s="14">
        <v>46019</v>
      </c>
      <c r="AZ435" s="14">
        <v>46071</v>
      </c>
      <c r="BA435" s="12" t="e">
        <v>#N/A</v>
      </c>
      <c r="BB435" s="14" t="s">
        <v>2480</v>
      </c>
      <c r="BC435" s="14">
        <v>46085</v>
      </c>
      <c r="BD435" s="16">
        <v>2026</v>
      </c>
      <c r="BE435" s="16">
        <v>3</v>
      </c>
      <c r="BF435" s="16">
        <v>10</v>
      </c>
      <c r="BG435" s="191">
        <v>36</v>
      </c>
      <c r="BH435" s="191">
        <v>864</v>
      </c>
    </row>
    <row r="436" spans="1:60" s="23" customFormat="1" ht="10">
      <c r="A436" s="11" t="s">
        <v>4264</v>
      </c>
      <c r="B436" s="12" t="s">
        <v>111</v>
      </c>
      <c r="C436" s="12" t="s">
        <v>168</v>
      </c>
      <c r="D436" s="12" t="s">
        <v>63</v>
      </c>
      <c r="E436" s="12" t="s">
        <v>64</v>
      </c>
      <c r="F436" s="12" t="s">
        <v>100</v>
      </c>
      <c r="G436" s="12" t="s">
        <v>67</v>
      </c>
      <c r="H436" s="12" t="s">
        <v>66</v>
      </c>
      <c r="I436" s="12" t="s">
        <v>96</v>
      </c>
      <c r="J436" s="34" t="s">
        <v>68</v>
      </c>
      <c r="K436" s="12"/>
      <c r="L436" s="13" t="s">
        <v>2474</v>
      </c>
      <c r="M436" s="213" t="s">
        <v>68</v>
      </c>
      <c r="N436" s="182"/>
      <c r="O436" s="12" t="s">
        <v>2475</v>
      </c>
      <c r="P436" s="12" t="s">
        <v>170</v>
      </c>
      <c r="Q436" s="12" t="s">
        <v>171</v>
      </c>
      <c r="R436" s="12">
        <v>552045</v>
      </c>
      <c r="S436" s="12" t="s">
        <v>172</v>
      </c>
      <c r="T436" s="206">
        <v>555</v>
      </c>
      <c r="U436" s="206">
        <v>2640</v>
      </c>
      <c r="V436" s="12">
        <v>1.4652000000000001</v>
      </c>
      <c r="W436" s="198">
        <v>80</v>
      </c>
      <c r="X436" s="254">
        <v>4</v>
      </c>
      <c r="Y436" s="12" t="s">
        <v>75</v>
      </c>
      <c r="Z436" s="12"/>
      <c r="AA436" s="13" t="s">
        <v>108</v>
      </c>
      <c r="AB436" s="32" t="s">
        <v>992</v>
      </c>
      <c r="AC436" s="14">
        <v>46010</v>
      </c>
      <c r="AD436" s="15">
        <v>51</v>
      </c>
      <c r="AE436" s="55" t="s">
        <v>4265</v>
      </c>
      <c r="AF436" s="12"/>
      <c r="AG436" s="12" t="s">
        <v>122</v>
      </c>
      <c r="AH436" s="12" t="s">
        <v>105</v>
      </c>
      <c r="AI436" s="14">
        <v>46014</v>
      </c>
      <c r="AJ436" s="14">
        <v>46027</v>
      </c>
      <c r="AK436" s="14">
        <v>46027</v>
      </c>
      <c r="AL436" s="14">
        <v>46057</v>
      </c>
      <c r="AM436" s="14">
        <v>46063</v>
      </c>
      <c r="AN436" s="14">
        <v>46064</v>
      </c>
      <c r="AO436" s="91" t="s">
        <v>66</v>
      </c>
      <c r="AP436" s="12" t="s">
        <v>149</v>
      </c>
      <c r="AQ436" s="12"/>
      <c r="AR436" s="12" t="s">
        <v>4266</v>
      </c>
      <c r="AS436" s="12" t="s">
        <v>4267</v>
      </c>
      <c r="AT436" s="12" t="s">
        <v>4267</v>
      </c>
      <c r="AU436" s="12">
        <v>43</v>
      </c>
      <c r="AV436" s="12"/>
      <c r="AW436" s="12">
        <v>0</v>
      </c>
      <c r="AX436" s="12">
        <v>54</v>
      </c>
      <c r="AY436" s="14">
        <v>46027</v>
      </c>
      <c r="AZ436" s="14">
        <v>46064</v>
      </c>
      <c r="BA436" s="12" t="e">
        <v>#N/A</v>
      </c>
      <c r="BB436" s="14" t="s">
        <v>2480</v>
      </c>
      <c r="BC436" s="14">
        <v>46078</v>
      </c>
      <c r="BD436" s="16">
        <v>2026</v>
      </c>
      <c r="BE436" s="16">
        <v>2</v>
      </c>
      <c r="BF436" s="16">
        <v>9</v>
      </c>
      <c r="BG436" s="191">
        <v>33</v>
      </c>
      <c r="BH436" s="191">
        <v>660</v>
      </c>
    </row>
    <row r="437" spans="1:60" s="23" customFormat="1" ht="10">
      <c r="A437" s="11" t="s">
        <v>4268</v>
      </c>
      <c r="B437" s="12" t="s">
        <v>111</v>
      </c>
      <c r="C437" s="12" t="s">
        <v>638</v>
      </c>
      <c r="D437" s="12" t="s">
        <v>63</v>
      </c>
      <c r="E437" s="12" t="s">
        <v>64</v>
      </c>
      <c r="F437" s="12" t="s">
        <v>100</v>
      </c>
      <c r="G437" s="12" t="s">
        <v>67</v>
      </c>
      <c r="H437" s="12" t="s">
        <v>66</v>
      </c>
      <c r="I437" s="12" t="s">
        <v>96</v>
      </c>
      <c r="J437" s="34" t="s">
        <v>68</v>
      </c>
      <c r="K437" s="12"/>
      <c r="L437" s="13" t="s">
        <v>2474</v>
      </c>
      <c r="M437" s="213" t="s">
        <v>68</v>
      </c>
      <c r="N437" s="182"/>
      <c r="O437" s="12" t="s">
        <v>2475</v>
      </c>
      <c r="P437" s="12" t="s">
        <v>473</v>
      </c>
      <c r="Q437" s="12" t="s">
        <v>474</v>
      </c>
      <c r="R437" s="12">
        <v>553144</v>
      </c>
      <c r="S437" s="12" t="s">
        <v>475</v>
      </c>
      <c r="T437" s="206">
        <v>460</v>
      </c>
      <c r="U437" s="206">
        <v>864</v>
      </c>
      <c r="V437" s="12">
        <v>0.39744000000000002</v>
      </c>
      <c r="W437" s="198">
        <v>24</v>
      </c>
      <c r="X437" s="254">
        <v>1</v>
      </c>
      <c r="Y437" s="12" t="s">
        <v>75</v>
      </c>
      <c r="Z437" s="12"/>
      <c r="AA437" s="13" t="s">
        <v>85</v>
      </c>
      <c r="AB437" s="13" t="s">
        <v>967</v>
      </c>
      <c r="AC437" s="14">
        <v>46010</v>
      </c>
      <c r="AD437" s="15">
        <v>51</v>
      </c>
      <c r="AE437" s="55" t="s">
        <v>4269</v>
      </c>
      <c r="AF437" s="12"/>
      <c r="AG437" s="12" t="s">
        <v>122</v>
      </c>
      <c r="AH437" s="12" t="s">
        <v>105</v>
      </c>
      <c r="AI437" s="14">
        <v>46014</v>
      </c>
      <c r="AJ437" s="14">
        <v>46027</v>
      </c>
      <c r="AK437" s="14">
        <v>46027</v>
      </c>
      <c r="AL437" s="14">
        <v>46057</v>
      </c>
      <c r="AM437" s="14">
        <v>46063</v>
      </c>
      <c r="AN437" s="14">
        <v>46064</v>
      </c>
      <c r="AO437" s="91" t="s">
        <v>66</v>
      </c>
      <c r="AP437" s="12" t="s">
        <v>149</v>
      </c>
      <c r="AQ437" s="12"/>
      <c r="AR437" s="12" t="s">
        <v>4266</v>
      </c>
      <c r="AS437" s="12" t="s">
        <v>4267</v>
      </c>
      <c r="AT437" s="12" t="s">
        <v>4267</v>
      </c>
      <c r="AU437" s="12">
        <v>43</v>
      </c>
      <c r="AV437" s="12"/>
      <c r="AW437" s="12">
        <v>2</v>
      </c>
      <c r="AX437" s="12">
        <v>54</v>
      </c>
      <c r="AY437" s="14">
        <v>46027</v>
      </c>
      <c r="AZ437" s="14">
        <v>46064</v>
      </c>
      <c r="BA437" s="12" t="e">
        <v>#N/A</v>
      </c>
      <c r="BB437" s="14" t="s">
        <v>2480</v>
      </c>
      <c r="BC437" s="14">
        <v>46078</v>
      </c>
      <c r="BD437" s="16">
        <v>2026</v>
      </c>
      <c r="BE437" s="16">
        <v>2</v>
      </c>
      <c r="BF437" s="16">
        <v>9</v>
      </c>
      <c r="BG437" s="191">
        <v>36</v>
      </c>
      <c r="BH437" s="191">
        <v>864</v>
      </c>
    </row>
    <row r="438" spans="1:60" s="23" customFormat="1" ht="10">
      <c r="A438" s="11" t="s">
        <v>4270</v>
      </c>
      <c r="B438" s="12" t="s">
        <v>111</v>
      </c>
      <c r="C438" s="12" t="s">
        <v>112</v>
      </c>
      <c r="D438" s="12" t="s">
        <v>113</v>
      </c>
      <c r="E438" s="12" t="s">
        <v>64</v>
      </c>
      <c r="F438" s="12" t="s">
        <v>114</v>
      </c>
      <c r="G438" s="12" t="s">
        <v>115</v>
      </c>
      <c r="H438" s="12" t="s">
        <v>66</v>
      </c>
      <c r="I438" s="12" t="s">
        <v>116</v>
      </c>
      <c r="J438" s="34" t="s">
        <v>68</v>
      </c>
      <c r="K438" s="12" t="s">
        <v>117</v>
      </c>
      <c r="L438" s="13" t="s">
        <v>2482</v>
      </c>
      <c r="M438" s="213" t="s">
        <v>68</v>
      </c>
      <c r="N438" s="182"/>
      <c r="O438" s="12" t="s">
        <v>2475</v>
      </c>
      <c r="P438" s="12" t="s">
        <v>70</v>
      </c>
      <c r="Q438" s="12" t="s">
        <v>118</v>
      </c>
      <c r="R438" s="12">
        <v>555431</v>
      </c>
      <c r="S438" s="12" t="s">
        <v>119</v>
      </c>
      <c r="T438" s="206">
        <v>640</v>
      </c>
      <c r="U438" s="206">
        <v>3456</v>
      </c>
      <c r="V438" s="12">
        <v>2.21184</v>
      </c>
      <c r="W438" s="198">
        <v>96</v>
      </c>
      <c r="X438" s="254">
        <v>6</v>
      </c>
      <c r="Y438" s="12" t="s">
        <v>75</v>
      </c>
      <c r="Z438" s="12"/>
      <c r="AA438" s="13" t="s">
        <v>3780</v>
      </c>
      <c r="AB438" s="13" t="s">
        <v>992</v>
      </c>
      <c r="AC438" s="14">
        <v>46009</v>
      </c>
      <c r="AD438" s="15">
        <v>51</v>
      </c>
      <c r="AE438" s="55" t="s">
        <v>4271</v>
      </c>
      <c r="AF438" s="12"/>
      <c r="AG438" s="12" t="s">
        <v>122</v>
      </c>
      <c r="AH438" s="12" t="s">
        <v>124</v>
      </c>
      <c r="AI438" s="14">
        <v>46015</v>
      </c>
      <c r="AJ438" s="14">
        <v>46019</v>
      </c>
      <c r="AK438" s="14">
        <v>46018</v>
      </c>
      <c r="AL438" s="14">
        <v>46058</v>
      </c>
      <c r="AM438" s="14">
        <v>46058</v>
      </c>
      <c r="AN438" s="14">
        <v>46059</v>
      </c>
      <c r="AO438" s="91" t="s">
        <v>66</v>
      </c>
      <c r="AP438" s="12" t="s">
        <v>4272</v>
      </c>
      <c r="AQ438" s="12"/>
      <c r="AR438" s="12" t="s">
        <v>4273</v>
      </c>
      <c r="AS438" s="12" t="s">
        <v>4274</v>
      </c>
      <c r="AT438" s="12" t="s">
        <v>4274</v>
      </c>
      <c r="AU438" s="12">
        <v>43</v>
      </c>
      <c r="AV438" s="12"/>
      <c r="AW438" s="12">
        <v>2</v>
      </c>
      <c r="AX438" s="12">
        <v>50</v>
      </c>
      <c r="AY438" s="14">
        <v>46018</v>
      </c>
      <c r="AZ438" s="14">
        <v>46059</v>
      </c>
      <c r="BA438" s="12" t="e">
        <v>#N/A</v>
      </c>
      <c r="BB438" s="14" t="s">
        <v>2480</v>
      </c>
      <c r="BC438" s="14">
        <v>46073</v>
      </c>
      <c r="BD438" s="16">
        <v>2026</v>
      </c>
      <c r="BE438" s="16">
        <v>2</v>
      </c>
      <c r="BF438" s="16">
        <v>8</v>
      </c>
      <c r="BG438" s="191">
        <v>36</v>
      </c>
      <c r="BH438" s="191">
        <v>576</v>
      </c>
    </row>
    <row r="439" spans="1:60" s="23" customFormat="1" ht="10">
      <c r="A439" s="11" t="s">
        <v>4275</v>
      </c>
      <c r="B439" s="12" t="s">
        <v>111</v>
      </c>
      <c r="C439" s="12" t="s">
        <v>4134</v>
      </c>
      <c r="D439" s="12" t="s">
        <v>63</v>
      </c>
      <c r="E439" s="12" t="s">
        <v>64</v>
      </c>
      <c r="F439" s="12" t="s">
        <v>450</v>
      </c>
      <c r="G439" s="39" t="s">
        <v>451</v>
      </c>
      <c r="H439" s="12" t="s">
        <v>66</v>
      </c>
      <c r="I439" s="12" t="s">
        <v>452</v>
      </c>
      <c r="J439" s="34" t="s">
        <v>68</v>
      </c>
      <c r="K439" s="12">
        <v>20519249</v>
      </c>
      <c r="L439" s="13" t="s">
        <v>2831</v>
      </c>
      <c r="M439" s="213" t="s">
        <v>68</v>
      </c>
      <c r="N439" s="182"/>
      <c r="O439" s="12" t="s">
        <v>2475</v>
      </c>
      <c r="P439" s="12" t="s">
        <v>132</v>
      </c>
      <c r="Q439" s="12" t="s">
        <v>453</v>
      </c>
      <c r="R439" s="12">
        <v>554541</v>
      </c>
      <c r="S439" s="12" t="s">
        <v>454</v>
      </c>
      <c r="T439" s="206">
        <v>460</v>
      </c>
      <c r="U439" s="206">
        <v>1728</v>
      </c>
      <c r="V439" s="12">
        <v>0.79488000000000003</v>
      </c>
      <c r="W439" s="198">
        <v>48</v>
      </c>
      <c r="X439" s="254">
        <v>2</v>
      </c>
      <c r="Y439" s="12" t="s">
        <v>75</v>
      </c>
      <c r="Z439" s="12"/>
      <c r="AA439" s="13" t="s">
        <v>108</v>
      </c>
      <c r="AB439" s="13" t="s">
        <v>967</v>
      </c>
      <c r="AC439" s="14">
        <v>46008</v>
      </c>
      <c r="AD439" s="15">
        <v>51</v>
      </c>
      <c r="AE439" s="55" t="s">
        <v>4276</v>
      </c>
      <c r="AF439" s="12"/>
      <c r="AG439" s="12" t="s">
        <v>122</v>
      </c>
      <c r="AH439" s="12" t="s">
        <v>456</v>
      </c>
      <c r="AI439" s="14">
        <v>46015</v>
      </c>
      <c r="AJ439" s="14">
        <v>46024</v>
      </c>
      <c r="AK439" s="14">
        <v>46024</v>
      </c>
      <c r="AL439" s="14">
        <v>46054</v>
      </c>
      <c r="AM439" s="14">
        <v>46077</v>
      </c>
      <c r="AN439" s="14">
        <v>46077</v>
      </c>
      <c r="AO439" s="91" t="s">
        <v>66</v>
      </c>
      <c r="AP439" s="12" t="s">
        <v>4056</v>
      </c>
      <c r="AQ439" s="12"/>
      <c r="AR439" s="12" t="s">
        <v>4277</v>
      </c>
      <c r="AS439" s="12" t="s">
        <v>4278</v>
      </c>
      <c r="AT439" s="12" t="s">
        <v>4278</v>
      </c>
      <c r="AU439" s="12">
        <v>39</v>
      </c>
      <c r="AV439" s="12"/>
      <c r="AW439" s="12">
        <v>1</v>
      </c>
      <c r="AX439" s="12">
        <v>69</v>
      </c>
      <c r="AY439" s="14">
        <v>46024</v>
      </c>
      <c r="AZ439" s="14">
        <v>46077</v>
      </c>
      <c r="BA439" s="12" t="s">
        <v>973</v>
      </c>
      <c r="BB439" s="14" t="s">
        <v>4279</v>
      </c>
      <c r="BC439" s="14">
        <v>46091</v>
      </c>
      <c r="BD439" s="16">
        <v>2026</v>
      </c>
      <c r="BE439" s="16">
        <v>3</v>
      </c>
      <c r="BF439" s="16">
        <v>11</v>
      </c>
      <c r="BG439" s="191">
        <v>36</v>
      </c>
      <c r="BH439" s="191">
        <v>864</v>
      </c>
    </row>
    <row r="440" spans="1:60" s="23" customFormat="1" ht="10">
      <c r="A440" s="11" t="s">
        <v>4280</v>
      </c>
      <c r="B440" s="12" t="s">
        <v>111</v>
      </c>
      <c r="C440" s="12" t="s">
        <v>638</v>
      </c>
      <c r="D440" s="12" t="s">
        <v>63</v>
      </c>
      <c r="E440" s="12" t="s">
        <v>64</v>
      </c>
      <c r="F440" s="12" t="s">
        <v>450</v>
      </c>
      <c r="G440" s="39" t="s">
        <v>451</v>
      </c>
      <c r="H440" s="12" t="s">
        <v>66</v>
      </c>
      <c r="I440" s="12" t="s">
        <v>1292</v>
      </c>
      <c r="J440" s="34" t="s">
        <v>68</v>
      </c>
      <c r="K440" s="12"/>
      <c r="L440" s="13" t="s">
        <v>2831</v>
      </c>
      <c r="M440" s="213" t="s">
        <v>68</v>
      </c>
      <c r="N440" s="182"/>
      <c r="O440" s="12" t="s">
        <v>2475</v>
      </c>
      <c r="P440" s="12" t="s">
        <v>473</v>
      </c>
      <c r="Q440" s="12" t="s">
        <v>474</v>
      </c>
      <c r="R440" s="12">
        <v>553144</v>
      </c>
      <c r="S440" s="12" t="s">
        <v>475</v>
      </c>
      <c r="T440" s="206">
        <v>460</v>
      </c>
      <c r="U440" s="206">
        <v>1728</v>
      </c>
      <c r="V440" s="12">
        <v>0.79488000000000003</v>
      </c>
      <c r="W440" s="198">
        <v>48</v>
      </c>
      <c r="X440" s="254">
        <v>2</v>
      </c>
      <c r="Y440" s="12" t="s">
        <v>75</v>
      </c>
      <c r="Z440" s="12"/>
      <c r="AA440" s="13" t="s">
        <v>85</v>
      </c>
      <c r="AB440" s="13" t="s">
        <v>967</v>
      </c>
      <c r="AC440" s="14">
        <v>46008</v>
      </c>
      <c r="AD440" s="15">
        <v>51</v>
      </c>
      <c r="AE440" s="55" t="s">
        <v>4281</v>
      </c>
      <c r="AF440" s="12"/>
      <c r="AG440" s="12" t="s">
        <v>122</v>
      </c>
      <c r="AH440" s="12" t="s">
        <v>456</v>
      </c>
      <c r="AI440" s="14">
        <v>46015</v>
      </c>
      <c r="AJ440" s="14">
        <v>46024</v>
      </c>
      <c r="AK440" s="14">
        <v>46024</v>
      </c>
      <c r="AL440" s="14">
        <v>46054</v>
      </c>
      <c r="AM440" s="14">
        <v>46077</v>
      </c>
      <c r="AN440" s="14">
        <v>46077</v>
      </c>
      <c r="AO440" s="91" t="s">
        <v>66</v>
      </c>
      <c r="AP440" s="12" t="s">
        <v>4056</v>
      </c>
      <c r="AQ440" s="12"/>
      <c r="AR440" s="12" t="s">
        <v>4277</v>
      </c>
      <c r="AS440" s="12" t="s">
        <v>4278</v>
      </c>
      <c r="AT440" s="12" t="s">
        <v>4278</v>
      </c>
      <c r="AU440" s="12">
        <v>39</v>
      </c>
      <c r="AV440" s="12"/>
      <c r="AW440" s="12">
        <v>5</v>
      </c>
      <c r="AX440" s="12">
        <v>69</v>
      </c>
      <c r="AY440" s="14">
        <v>46024</v>
      </c>
      <c r="AZ440" s="14">
        <v>46077</v>
      </c>
      <c r="BA440" s="12" t="s">
        <v>973</v>
      </c>
      <c r="BB440" s="14" t="s">
        <v>4279</v>
      </c>
      <c r="BC440" s="14">
        <v>46091</v>
      </c>
      <c r="BD440" s="16">
        <v>2026</v>
      </c>
      <c r="BE440" s="16">
        <v>3</v>
      </c>
      <c r="BF440" s="16">
        <v>11</v>
      </c>
      <c r="BG440" s="191">
        <v>36</v>
      </c>
      <c r="BH440" s="191">
        <v>864</v>
      </c>
    </row>
    <row r="441" spans="1:60" s="23" customFormat="1" ht="10">
      <c r="A441" s="11" t="s">
        <v>4282</v>
      </c>
      <c r="B441" s="12" t="s">
        <v>111</v>
      </c>
      <c r="C441" s="12" t="s">
        <v>3834</v>
      </c>
      <c r="D441" s="12" t="s">
        <v>63</v>
      </c>
      <c r="E441" s="12" t="s">
        <v>64</v>
      </c>
      <c r="F441" s="12" t="s">
        <v>100</v>
      </c>
      <c r="G441" s="12" t="s">
        <v>67</v>
      </c>
      <c r="H441" s="12" t="s">
        <v>66</v>
      </c>
      <c r="I441" s="12" t="s">
        <v>96</v>
      </c>
      <c r="J441" s="34" t="s">
        <v>68</v>
      </c>
      <c r="K441" s="12"/>
      <c r="L441" s="13" t="s">
        <v>2474</v>
      </c>
      <c r="M441" s="213" t="s">
        <v>68</v>
      </c>
      <c r="N441" s="182"/>
      <c r="O441" s="12" t="s">
        <v>2475</v>
      </c>
      <c r="P441" s="12" t="s">
        <v>170</v>
      </c>
      <c r="Q441" s="12" t="s">
        <v>171</v>
      </c>
      <c r="R441" s="12">
        <v>552045</v>
      </c>
      <c r="S441" s="12" t="s">
        <v>172</v>
      </c>
      <c r="T441" s="206">
        <v>555</v>
      </c>
      <c r="U441" s="206">
        <v>1320</v>
      </c>
      <c r="V441" s="12">
        <v>0.73260000000000003</v>
      </c>
      <c r="W441" s="198">
        <v>40</v>
      </c>
      <c r="X441" s="254">
        <v>2</v>
      </c>
      <c r="Y441" s="12" t="s">
        <v>75</v>
      </c>
      <c r="Z441" s="12"/>
      <c r="AA441" s="13" t="s">
        <v>108</v>
      </c>
      <c r="AB441" s="32" t="s">
        <v>992</v>
      </c>
      <c r="AC441" s="14">
        <v>46012</v>
      </c>
      <c r="AD441" s="15">
        <v>51</v>
      </c>
      <c r="AE441" s="55" t="s">
        <v>4283</v>
      </c>
      <c r="AF441" s="12"/>
      <c r="AG441" s="12" t="s">
        <v>122</v>
      </c>
      <c r="AH441" s="12" t="s">
        <v>105</v>
      </c>
      <c r="AI441" s="14">
        <v>46016</v>
      </c>
      <c r="AJ441" s="14">
        <v>46018</v>
      </c>
      <c r="AK441" s="14">
        <v>46018</v>
      </c>
      <c r="AL441" s="14">
        <v>46055</v>
      </c>
      <c r="AM441" s="14">
        <v>46055</v>
      </c>
      <c r="AN441" s="14">
        <v>46056</v>
      </c>
      <c r="AO441" s="91" t="s">
        <v>66</v>
      </c>
      <c r="AP441" s="12" t="s">
        <v>4284</v>
      </c>
      <c r="AQ441" s="12"/>
      <c r="AR441" s="12" t="s">
        <v>4285</v>
      </c>
      <c r="AS441" s="12" t="s">
        <v>4286</v>
      </c>
      <c r="AT441" s="12">
        <v>263209297</v>
      </c>
      <c r="AU441" s="12">
        <v>39</v>
      </c>
      <c r="AV441" s="12"/>
      <c r="AW441" s="12">
        <v>4</v>
      </c>
      <c r="AX441" s="12">
        <v>44</v>
      </c>
      <c r="AY441" s="14">
        <v>46018</v>
      </c>
      <c r="AZ441" s="14">
        <v>46056</v>
      </c>
      <c r="BA441" s="12" t="e">
        <v>#N/A</v>
      </c>
      <c r="BB441" s="14" t="s">
        <v>2480</v>
      </c>
      <c r="BC441" s="14">
        <v>46070</v>
      </c>
      <c r="BD441" s="16">
        <v>2026</v>
      </c>
      <c r="BE441" s="16">
        <v>2</v>
      </c>
      <c r="BF441" s="16">
        <v>8</v>
      </c>
      <c r="BG441" s="191">
        <v>33</v>
      </c>
      <c r="BH441" s="191">
        <v>660</v>
      </c>
    </row>
    <row r="442" spans="1:60" s="23" customFormat="1" ht="10">
      <c r="A442" s="11" t="s">
        <v>4287</v>
      </c>
      <c r="B442" s="12" t="s">
        <v>61</v>
      </c>
      <c r="C442" s="12" t="s">
        <v>88</v>
      </c>
      <c r="D442" s="12" t="s">
        <v>63</v>
      </c>
      <c r="E442" s="12" t="s">
        <v>144</v>
      </c>
      <c r="F442" s="12" t="s">
        <v>145</v>
      </c>
      <c r="G442" s="12" t="s">
        <v>147</v>
      </c>
      <c r="H442" s="12" t="s">
        <v>146</v>
      </c>
      <c r="I442" s="12" t="s">
        <v>147</v>
      </c>
      <c r="J442" s="34" t="s">
        <v>68</v>
      </c>
      <c r="K442" s="12">
        <v>46010942</v>
      </c>
      <c r="L442" s="13" t="s">
        <v>2666</v>
      </c>
      <c r="M442" s="236" t="s">
        <v>68</v>
      </c>
      <c r="N442" s="182"/>
      <c r="O442" s="12" t="s">
        <v>2475</v>
      </c>
      <c r="P442" s="12" t="s">
        <v>70</v>
      </c>
      <c r="Q442" s="12" t="s">
        <v>91</v>
      </c>
      <c r="R442" s="12">
        <v>554480</v>
      </c>
      <c r="S442" s="12" t="s">
        <v>92</v>
      </c>
      <c r="T442" s="206">
        <v>450</v>
      </c>
      <c r="U442" s="206">
        <v>936</v>
      </c>
      <c r="V442" s="12">
        <v>0.42120000000000002</v>
      </c>
      <c r="W442" s="198">
        <v>26</v>
      </c>
      <c r="X442" s="254">
        <v>1</v>
      </c>
      <c r="Y442" s="12" t="s">
        <v>75</v>
      </c>
      <c r="Z442" s="12"/>
      <c r="AA442" s="13" t="s">
        <v>4214</v>
      </c>
      <c r="AB442" s="32" t="s">
        <v>967</v>
      </c>
      <c r="AC442" s="14">
        <v>46009</v>
      </c>
      <c r="AD442" s="15">
        <v>51</v>
      </c>
      <c r="AE442" s="176" t="s">
        <v>4288</v>
      </c>
      <c r="AF442" s="12">
        <v>371009345</v>
      </c>
      <c r="AG442" s="12" t="s">
        <v>77</v>
      </c>
      <c r="AH442" s="12" t="s">
        <v>78</v>
      </c>
      <c r="AI442" s="14">
        <v>46017</v>
      </c>
      <c r="AJ442" s="14">
        <v>46018</v>
      </c>
      <c r="AK442" s="14">
        <v>46018</v>
      </c>
      <c r="AL442" s="14">
        <v>46083</v>
      </c>
      <c r="AM442" s="14">
        <v>46083</v>
      </c>
      <c r="AN442" s="14">
        <v>46084</v>
      </c>
      <c r="AO442" s="91" t="s">
        <v>146</v>
      </c>
      <c r="AP442" s="12" t="s">
        <v>149</v>
      </c>
      <c r="AQ442" s="12" t="s">
        <v>80</v>
      </c>
      <c r="AR442" s="12">
        <v>46010942</v>
      </c>
      <c r="AS442" s="12" t="s">
        <v>4289</v>
      </c>
      <c r="AT442" s="12" t="s">
        <v>4289</v>
      </c>
      <c r="AU442" s="12">
        <v>66</v>
      </c>
      <c r="AV442" s="12" t="s">
        <v>83</v>
      </c>
      <c r="AW442" s="12">
        <v>2</v>
      </c>
      <c r="AX442" s="12">
        <v>75</v>
      </c>
      <c r="AY442" s="14">
        <v>46018</v>
      </c>
      <c r="AZ442" s="14">
        <v>46084</v>
      </c>
      <c r="BA442" s="12" t="e">
        <v>#N/A</v>
      </c>
      <c r="BB442" s="14" t="s">
        <v>2480</v>
      </c>
      <c r="BC442" s="14">
        <v>46098</v>
      </c>
      <c r="BD442" s="16">
        <v>2026</v>
      </c>
      <c r="BE442" s="16">
        <v>3</v>
      </c>
      <c r="BF442" s="16">
        <v>12</v>
      </c>
      <c r="BG442" s="191">
        <v>36</v>
      </c>
      <c r="BH442" s="191">
        <v>936</v>
      </c>
    </row>
    <row r="443" spans="1:60" ht="10">
      <c r="A443" s="11" t="s">
        <v>4290</v>
      </c>
      <c r="B443" s="12" t="s">
        <v>61</v>
      </c>
      <c r="C443" s="12" t="s">
        <v>62</v>
      </c>
      <c r="D443" s="12" t="s">
        <v>63</v>
      </c>
      <c r="E443" s="12" t="s">
        <v>144</v>
      </c>
      <c r="F443" s="12" t="s">
        <v>145</v>
      </c>
      <c r="G443" s="12" t="s">
        <v>147</v>
      </c>
      <c r="H443" s="12" t="s">
        <v>146</v>
      </c>
      <c r="I443" s="12" t="s">
        <v>147</v>
      </c>
      <c r="J443" s="34" t="s">
        <v>68</v>
      </c>
      <c r="K443" s="12">
        <v>46010942</v>
      </c>
      <c r="L443" s="13" t="s">
        <v>2666</v>
      </c>
      <c r="M443" s="236" t="s">
        <v>68</v>
      </c>
      <c r="N443" s="182"/>
      <c r="O443" s="12" t="s">
        <v>2475</v>
      </c>
      <c r="P443" s="12" t="s">
        <v>70</v>
      </c>
      <c r="Q443" s="12" t="s">
        <v>71</v>
      </c>
      <c r="R443" s="12">
        <v>554475</v>
      </c>
      <c r="S443" s="12" t="s">
        <v>72</v>
      </c>
      <c r="T443" s="206">
        <v>500</v>
      </c>
      <c r="U443" s="206">
        <v>864</v>
      </c>
      <c r="V443" s="12">
        <v>0.432</v>
      </c>
      <c r="W443" s="198">
        <v>24</v>
      </c>
      <c r="X443" s="254">
        <v>1</v>
      </c>
      <c r="Y443" s="12" t="s">
        <v>75</v>
      </c>
      <c r="Z443" s="12"/>
      <c r="AA443" s="13" t="s">
        <v>85</v>
      </c>
      <c r="AB443" s="13" t="s">
        <v>967</v>
      </c>
      <c r="AC443" s="14">
        <v>46009</v>
      </c>
      <c r="AD443" s="15">
        <v>51</v>
      </c>
      <c r="AE443" s="176" t="s">
        <v>4291</v>
      </c>
      <c r="AF443" s="12">
        <v>371009339</v>
      </c>
      <c r="AG443" s="12" t="s">
        <v>77</v>
      </c>
      <c r="AH443" s="12" t="s">
        <v>78</v>
      </c>
      <c r="AI443" s="14">
        <v>46017</v>
      </c>
      <c r="AJ443" s="14">
        <v>46018</v>
      </c>
      <c r="AK443" s="14">
        <v>46018</v>
      </c>
      <c r="AL443" s="14">
        <v>46083</v>
      </c>
      <c r="AM443" s="14">
        <v>46083</v>
      </c>
      <c r="AN443" s="14">
        <v>46084</v>
      </c>
      <c r="AO443" s="91" t="s">
        <v>146</v>
      </c>
      <c r="AP443" s="12" t="s">
        <v>149</v>
      </c>
      <c r="AQ443" s="12" t="s">
        <v>80</v>
      </c>
      <c r="AR443" s="12">
        <v>46010942</v>
      </c>
      <c r="AS443" s="12" t="s">
        <v>4289</v>
      </c>
      <c r="AT443" s="12" t="s">
        <v>4289</v>
      </c>
      <c r="AU443" s="12">
        <v>66</v>
      </c>
      <c r="AV443" s="12" t="s">
        <v>83</v>
      </c>
      <c r="AW443" s="12">
        <v>2</v>
      </c>
      <c r="AX443" s="12">
        <v>75</v>
      </c>
      <c r="AY443" s="14">
        <v>46018</v>
      </c>
      <c r="AZ443" s="14">
        <v>46084</v>
      </c>
      <c r="BA443" s="12" t="e">
        <v>#N/A</v>
      </c>
      <c r="BB443" s="14" t="s">
        <v>2480</v>
      </c>
      <c r="BC443" s="14">
        <v>46098</v>
      </c>
      <c r="BD443" s="16">
        <v>2026</v>
      </c>
      <c r="BE443" s="16">
        <v>3</v>
      </c>
      <c r="BF443" s="16">
        <v>12</v>
      </c>
      <c r="BG443" s="191">
        <v>36</v>
      </c>
      <c r="BH443" s="191">
        <v>864</v>
      </c>
    </row>
    <row r="444" spans="1:60" s="23" customFormat="1" ht="10">
      <c r="A444" s="11" t="s">
        <v>4292</v>
      </c>
      <c r="B444" s="12" t="s">
        <v>61</v>
      </c>
      <c r="C444" s="12" t="s">
        <v>88</v>
      </c>
      <c r="D444" s="12" t="s">
        <v>63</v>
      </c>
      <c r="E444" s="12" t="s">
        <v>64</v>
      </c>
      <c r="F444" s="12" t="s">
        <v>65</v>
      </c>
      <c r="G444" s="12" t="s">
        <v>67</v>
      </c>
      <c r="H444" s="12" t="s">
        <v>66</v>
      </c>
      <c r="I444" s="12" t="s">
        <v>96</v>
      </c>
      <c r="J444" s="34" t="s">
        <v>68</v>
      </c>
      <c r="K444" s="12"/>
      <c r="L444" s="13" t="s">
        <v>2474</v>
      </c>
      <c r="M444" s="213" t="s">
        <v>68</v>
      </c>
      <c r="N444" s="182"/>
      <c r="O444" s="12" t="s">
        <v>2475</v>
      </c>
      <c r="P444" s="12" t="s">
        <v>70</v>
      </c>
      <c r="Q444" s="12" t="s">
        <v>91</v>
      </c>
      <c r="R444" s="12">
        <v>554480</v>
      </c>
      <c r="S444" s="12" t="s">
        <v>92</v>
      </c>
      <c r="T444" s="206">
        <v>450</v>
      </c>
      <c r="U444" s="206">
        <v>936</v>
      </c>
      <c r="V444" s="12">
        <v>0.42120000000000002</v>
      </c>
      <c r="W444" s="198">
        <v>26</v>
      </c>
      <c r="X444" s="254">
        <v>1</v>
      </c>
      <c r="Y444" s="12" t="s">
        <v>75</v>
      </c>
      <c r="Z444" s="12"/>
      <c r="AA444" s="13" t="s">
        <v>4214</v>
      </c>
      <c r="AB444" s="32" t="s">
        <v>967</v>
      </c>
      <c r="AC444" s="14">
        <v>46010</v>
      </c>
      <c r="AD444" s="15">
        <v>51</v>
      </c>
      <c r="AE444" s="55" t="s">
        <v>4293</v>
      </c>
      <c r="AF444" s="12"/>
      <c r="AG444" s="12" t="s">
        <v>77</v>
      </c>
      <c r="AH444" s="12" t="s">
        <v>78</v>
      </c>
      <c r="AI444" s="14">
        <v>46017</v>
      </c>
      <c r="AJ444" s="14">
        <v>46018</v>
      </c>
      <c r="AK444" s="14">
        <v>46018</v>
      </c>
      <c r="AL444" s="14">
        <v>46083</v>
      </c>
      <c r="AM444" s="14">
        <v>46083</v>
      </c>
      <c r="AN444" s="14">
        <v>46084</v>
      </c>
      <c r="AO444" s="91" t="s">
        <v>66</v>
      </c>
      <c r="AP444" s="12" t="s">
        <v>149</v>
      </c>
      <c r="AQ444" s="12" t="s">
        <v>80</v>
      </c>
      <c r="AR444" s="12" t="s">
        <v>4294</v>
      </c>
      <c r="AS444" s="12" t="s">
        <v>4295</v>
      </c>
      <c r="AT444" s="12" t="s">
        <v>4295</v>
      </c>
      <c r="AU444" s="12">
        <v>66</v>
      </c>
      <c r="AV444" s="12" t="s">
        <v>83</v>
      </c>
      <c r="AW444" s="12">
        <v>3</v>
      </c>
      <c r="AX444" s="12">
        <v>74</v>
      </c>
      <c r="AY444" s="14">
        <v>46018</v>
      </c>
      <c r="AZ444" s="14">
        <v>46084</v>
      </c>
      <c r="BA444" s="12" t="s">
        <v>2434</v>
      </c>
      <c r="BB444" s="14" t="s">
        <v>4296</v>
      </c>
      <c r="BC444" s="14">
        <v>46098</v>
      </c>
      <c r="BD444" s="16">
        <v>2026</v>
      </c>
      <c r="BE444" s="16">
        <v>3</v>
      </c>
      <c r="BF444" s="16">
        <v>12</v>
      </c>
      <c r="BG444" s="191">
        <v>36</v>
      </c>
      <c r="BH444" s="191">
        <v>936</v>
      </c>
    </row>
    <row r="445" spans="1:60" s="23" customFormat="1" ht="10">
      <c r="A445" s="11" t="s">
        <v>4297</v>
      </c>
      <c r="B445" s="12" t="s">
        <v>61</v>
      </c>
      <c r="C445" s="12" t="s">
        <v>88</v>
      </c>
      <c r="D445" s="12" t="s">
        <v>63</v>
      </c>
      <c r="E445" s="12" t="s">
        <v>64</v>
      </c>
      <c r="F445" s="12" t="s">
        <v>65</v>
      </c>
      <c r="G445" s="12" t="s">
        <v>67</v>
      </c>
      <c r="H445" s="12" t="s">
        <v>66</v>
      </c>
      <c r="I445" s="12" t="s">
        <v>96</v>
      </c>
      <c r="J445" s="34" t="s">
        <v>68</v>
      </c>
      <c r="K445" s="12"/>
      <c r="L445" s="13" t="s">
        <v>2474</v>
      </c>
      <c r="M445" s="213" t="s">
        <v>68</v>
      </c>
      <c r="N445" s="182"/>
      <c r="O445" s="12" t="s">
        <v>2475</v>
      </c>
      <c r="P445" s="12" t="s">
        <v>70</v>
      </c>
      <c r="Q445" s="12" t="s">
        <v>91</v>
      </c>
      <c r="R445" s="12">
        <v>554480</v>
      </c>
      <c r="S445" s="12" t="s">
        <v>92</v>
      </c>
      <c r="T445" s="206">
        <v>450</v>
      </c>
      <c r="U445" s="206">
        <v>2808</v>
      </c>
      <c r="V445" s="12">
        <v>1.2636000000000001</v>
      </c>
      <c r="W445" s="198">
        <v>78</v>
      </c>
      <c r="X445" s="254">
        <v>3</v>
      </c>
      <c r="Y445" s="12" t="s">
        <v>75</v>
      </c>
      <c r="Z445" s="12"/>
      <c r="AA445" s="13" t="s">
        <v>4214</v>
      </c>
      <c r="AB445" s="32" t="s">
        <v>967</v>
      </c>
      <c r="AC445" s="14">
        <v>46010</v>
      </c>
      <c r="AD445" s="15">
        <v>51</v>
      </c>
      <c r="AE445" s="177" t="s">
        <v>4298</v>
      </c>
      <c r="AF445" s="12"/>
      <c r="AG445" s="12" t="s">
        <v>77</v>
      </c>
      <c r="AH445" s="12" t="s">
        <v>78</v>
      </c>
      <c r="AI445" s="14">
        <v>46017</v>
      </c>
      <c r="AJ445" s="14">
        <v>46018</v>
      </c>
      <c r="AK445" s="14">
        <v>46018</v>
      </c>
      <c r="AL445" s="14">
        <v>46083</v>
      </c>
      <c r="AM445" s="14">
        <v>46083</v>
      </c>
      <c r="AN445" s="14">
        <v>46084</v>
      </c>
      <c r="AO445" s="91" t="s">
        <v>66</v>
      </c>
      <c r="AP445" s="12" t="s">
        <v>149</v>
      </c>
      <c r="AQ445" s="12" t="s">
        <v>80</v>
      </c>
      <c r="AR445" s="12" t="s">
        <v>4294</v>
      </c>
      <c r="AS445" s="12" t="s">
        <v>4295</v>
      </c>
      <c r="AT445" s="12" t="s">
        <v>4295</v>
      </c>
      <c r="AU445" s="12">
        <v>66</v>
      </c>
      <c r="AV445" s="12" t="s">
        <v>83</v>
      </c>
      <c r="AW445" s="12">
        <v>3</v>
      </c>
      <c r="AX445" s="12">
        <v>74</v>
      </c>
      <c r="AY445" s="14">
        <v>46018</v>
      </c>
      <c r="AZ445" s="14">
        <v>46084</v>
      </c>
      <c r="BA445" s="12" t="s">
        <v>2434</v>
      </c>
      <c r="BB445" s="14" t="s">
        <v>4296</v>
      </c>
      <c r="BC445" s="14">
        <v>46098</v>
      </c>
      <c r="BD445" s="16">
        <v>2026</v>
      </c>
      <c r="BE445" s="16">
        <v>3</v>
      </c>
      <c r="BF445" s="16">
        <v>12</v>
      </c>
      <c r="BG445" s="191">
        <v>36</v>
      </c>
      <c r="BH445" s="191">
        <v>936</v>
      </c>
    </row>
    <row r="446" spans="1:60" s="23" customFormat="1" ht="10">
      <c r="A446" s="11" t="s">
        <v>4299</v>
      </c>
      <c r="B446" s="12" t="s">
        <v>61</v>
      </c>
      <c r="C446" s="12" t="s">
        <v>577</v>
      </c>
      <c r="D446" s="12" t="s">
        <v>63</v>
      </c>
      <c r="E446" s="12" t="s">
        <v>64</v>
      </c>
      <c r="F446" s="12" t="s">
        <v>65</v>
      </c>
      <c r="G446" s="12" t="s">
        <v>67</v>
      </c>
      <c r="H446" s="12" t="s">
        <v>66</v>
      </c>
      <c r="I446" s="12" t="s">
        <v>96</v>
      </c>
      <c r="J446" s="34" t="s">
        <v>68</v>
      </c>
      <c r="K446" s="12"/>
      <c r="L446" s="13" t="s">
        <v>2474</v>
      </c>
      <c r="M446" s="213" t="s">
        <v>68</v>
      </c>
      <c r="N446" s="182"/>
      <c r="O446" s="12" t="s">
        <v>2475</v>
      </c>
      <c r="P446" s="12" t="s">
        <v>70</v>
      </c>
      <c r="Q446" s="12" t="s">
        <v>71</v>
      </c>
      <c r="R446" s="12">
        <v>554475</v>
      </c>
      <c r="S446" s="12" t="s">
        <v>72</v>
      </c>
      <c r="T446" s="206">
        <v>500</v>
      </c>
      <c r="U446" s="206">
        <v>1728</v>
      </c>
      <c r="V446" s="12">
        <v>0.86399999999999999</v>
      </c>
      <c r="W446" s="198">
        <v>48</v>
      </c>
      <c r="X446" s="254">
        <v>2</v>
      </c>
      <c r="Y446" s="12" t="s">
        <v>75</v>
      </c>
      <c r="Z446" s="12"/>
      <c r="AA446" s="13" t="s">
        <v>85</v>
      </c>
      <c r="AB446" s="32" t="s">
        <v>967</v>
      </c>
      <c r="AC446" s="14">
        <v>46010</v>
      </c>
      <c r="AD446" s="15">
        <v>51</v>
      </c>
      <c r="AE446" s="55" t="s">
        <v>4300</v>
      </c>
      <c r="AF446" s="12"/>
      <c r="AG446" s="12" t="s">
        <v>77</v>
      </c>
      <c r="AH446" s="12" t="s">
        <v>78</v>
      </c>
      <c r="AI446" s="14">
        <v>46017</v>
      </c>
      <c r="AJ446" s="14">
        <v>46018</v>
      </c>
      <c r="AK446" s="14">
        <v>46018</v>
      </c>
      <c r="AL446" s="14">
        <v>46083</v>
      </c>
      <c r="AM446" s="14">
        <v>46083</v>
      </c>
      <c r="AN446" s="14">
        <v>46084</v>
      </c>
      <c r="AO446" s="91" t="s">
        <v>66</v>
      </c>
      <c r="AP446" s="12" t="s">
        <v>149</v>
      </c>
      <c r="AQ446" s="12" t="s">
        <v>80</v>
      </c>
      <c r="AR446" s="12" t="s">
        <v>4294</v>
      </c>
      <c r="AS446" s="12" t="s">
        <v>4295</v>
      </c>
      <c r="AT446" s="12" t="s">
        <v>4295</v>
      </c>
      <c r="AU446" s="12">
        <v>66</v>
      </c>
      <c r="AV446" s="12" t="s">
        <v>83</v>
      </c>
      <c r="AW446" s="12">
        <v>0</v>
      </c>
      <c r="AX446" s="12">
        <v>74</v>
      </c>
      <c r="AY446" s="14">
        <v>46018</v>
      </c>
      <c r="AZ446" s="14">
        <v>46084</v>
      </c>
      <c r="BA446" s="12" t="s">
        <v>2434</v>
      </c>
      <c r="BB446" s="14" t="s">
        <v>4296</v>
      </c>
      <c r="BC446" s="14">
        <v>46098</v>
      </c>
      <c r="BD446" s="16">
        <v>2026</v>
      </c>
      <c r="BE446" s="16">
        <v>3</v>
      </c>
      <c r="BF446" s="16">
        <v>12</v>
      </c>
      <c r="BG446" s="191">
        <v>36</v>
      </c>
      <c r="BH446" s="191">
        <v>864</v>
      </c>
    </row>
    <row r="447" spans="1:60" s="23" customFormat="1" ht="10">
      <c r="A447" s="11" t="s">
        <v>4301</v>
      </c>
      <c r="B447" s="12" t="s">
        <v>61</v>
      </c>
      <c r="C447" s="12" t="s">
        <v>577</v>
      </c>
      <c r="D447" s="12" t="s">
        <v>63</v>
      </c>
      <c r="E447" s="12" t="s">
        <v>64</v>
      </c>
      <c r="F447" s="12" t="s">
        <v>65</v>
      </c>
      <c r="G447" s="12" t="s">
        <v>67</v>
      </c>
      <c r="H447" s="12" t="s">
        <v>66</v>
      </c>
      <c r="I447" s="12" t="s">
        <v>96</v>
      </c>
      <c r="J447" s="34" t="s">
        <v>68</v>
      </c>
      <c r="K447" s="12"/>
      <c r="L447" s="13" t="s">
        <v>2474</v>
      </c>
      <c r="M447" s="213" t="s">
        <v>68</v>
      </c>
      <c r="N447" s="182"/>
      <c r="O447" s="12" t="s">
        <v>2475</v>
      </c>
      <c r="P447" s="12" t="s">
        <v>70</v>
      </c>
      <c r="Q447" s="12" t="s">
        <v>71</v>
      </c>
      <c r="R447" s="12">
        <v>554475</v>
      </c>
      <c r="S447" s="12" t="s">
        <v>72</v>
      </c>
      <c r="T447" s="206">
        <v>500</v>
      </c>
      <c r="U447" s="206">
        <v>864</v>
      </c>
      <c r="V447" s="12">
        <v>0.432</v>
      </c>
      <c r="W447" s="198">
        <v>24</v>
      </c>
      <c r="X447" s="254">
        <v>1</v>
      </c>
      <c r="Y447" s="12" t="s">
        <v>75</v>
      </c>
      <c r="Z447" s="12"/>
      <c r="AA447" s="13" t="s">
        <v>85</v>
      </c>
      <c r="AB447" s="32" t="s">
        <v>967</v>
      </c>
      <c r="AC447" s="14">
        <v>46010</v>
      </c>
      <c r="AD447" s="15">
        <v>51</v>
      </c>
      <c r="AE447" s="55" t="s">
        <v>4302</v>
      </c>
      <c r="AF447" s="12"/>
      <c r="AG447" s="12" t="s">
        <v>77</v>
      </c>
      <c r="AH447" s="12" t="s">
        <v>78</v>
      </c>
      <c r="AI447" s="14">
        <v>46017</v>
      </c>
      <c r="AJ447" s="14">
        <v>46018</v>
      </c>
      <c r="AK447" s="14">
        <v>46018</v>
      </c>
      <c r="AL447" s="14">
        <v>46083</v>
      </c>
      <c r="AM447" s="14">
        <v>46083</v>
      </c>
      <c r="AN447" s="14">
        <v>46084</v>
      </c>
      <c r="AO447" s="91" t="s">
        <v>66</v>
      </c>
      <c r="AP447" s="12" t="s">
        <v>149</v>
      </c>
      <c r="AQ447" s="12" t="s">
        <v>80</v>
      </c>
      <c r="AR447" s="12" t="s">
        <v>4294</v>
      </c>
      <c r="AS447" s="12" t="s">
        <v>4295</v>
      </c>
      <c r="AT447" s="12" t="s">
        <v>4295</v>
      </c>
      <c r="AU447" s="12">
        <v>66</v>
      </c>
      <c r="AV447" s="12" t="s">
        <v>83</v>
      </c>
      <c r="AW447" s="12">
        <v>0</v>
      </c>
      <c r="AX447" s="12">
        <v>74</v>
      </c>
      <c r="AY447" s="14">
        <v>46018</v>
      </c>
      <c r="AZ447" s="14">
        <v>46084</v>
      </c>
      <c r="BA447" s="12" t="s">
        <v>2434</v>
      </c>
      <c r="BB447" s="14" t="s">
        <v>4296</v>
      </c>
      <c r="BC447" s="14">
        <v>46098</v>
      </c>
      <c r="BD447" s="16">
        <v>2026</v>
      </c>
      <c r="BE447" s="16">
        <v>3</v>
      </c>
      <c r="BF447" s="16">
        <v>12</v>
      </c>
      <c r="BG447" s="191">
        <v>36</v>
      </c>
      <c r="BH447" s="191">
        <v>864</v>
      </c>
    </row>
    <row r="448" spans="1:60" ht="10">
      <c r="A448" s="11" t="s">
        <v>4303</v>
      </c>
      <c r="B448" s="12" t="s">
        <v>111</v>
      </c>
      <c r="C448" s="12" t="s">
        <v>537</v>
      </c>
      <c r="D448" s="12" t="s">
        <v>63</v>
      </c>
      <c r="E448" s="12" t="s">
        <v>64</v>
      </c>
      <c r="F448" s="12" t="s">
        <v>100</v>
      </c>
      <c r="G448" s="12" t="s">
        <v>67</v>
      </c>
      <c r="H448" s="12" t="s">
        <v>66</v>
      </c>
      <c r="I448" s="12" t="s">
        <v>96</v>
      </c>
      <c r="J448" s="34" t="s">
        <v>68</v>
      </c>
      <c r="K448" s="12"/>
      <c r="L448" s="13" t="s">
        <v>2474</v>
      </c>
      <c r="M448" s="213" t="s">
        <v>68</v>
      </c>
      <c r="N448" s="182"/>
      <c r="O448" s="12" t="s">
        <v>2475</v>
      </c>
      <c r="P448" s="12" t="s">
        <v>473</v>
      </c>
      <c r="Q448" s="12" t="s">
        <v>529</v>
      </c>
      <c r="R448" s="12">
        <v>553145</v>
      </c>
      <c r="S448" s="12" t="s">
        <v>530</v>
      </c>
      <c r="T448" s="206">
        <v>455</v>
      </c>
      <c r="U448" s="206">
        <v>1728</v>
      </c>
      <c r="V448" s="12">
        <v>0.78624000000000005</v>
      </c>
      <c r="W448" s="198">
        <v>48</v>
      </c>
      <c r="X448" s="254">
        <v>2</v>
      </c>
      <c r="Y448" s="12" t="s">
        <v>75</v>
      </c>
      <c r="Z448" s="12"/>
      <c r="AA448" s="13" t="s">
        <v>85</v>
      </c>
      <c r="AB448" s="13" t="s">
        <v>967</v>
      </c>
      <c r="AC448" s="14">
        <v>46012</v>
      </c>
      <c r="AD448" s="15">
        <v>51</v>
      </c>
      <c r="AE448" s="55" t="s">
        <v>4304</v>
      </c>
      <c r="AF448" s="12"/>
      <c r="AG448" s="12" t="s">
        <v>122</v>
      </c>
      <c r="AH448" s="12" t="s">
        <v>105</v>
      </c>
      <c r="AI448" s="14">
        <v>46016</v>
      </c>
      <c r="AJ448" s="14">
        <v>46018</v>
      </c>
      <c r="AK448" s="14">
        <v>46018</v>
      </c>
      <c r="AL448" s="14">
        <v>46055</v>
      </c>
      <c r="AM448" s="14">
        <v>46055</v>
      </c>
      <c r="AN448" s="14">
        <v>46056</v>
      </c>
      <c r="AO448" s="91" t="s">
        <v>66</v>
      </c>
      <c r="AP448" s="12" t="s">
        <v>4284</v>
      </c>
      <c r="AQ448" s="12" t="s">
        <v>161</v>
      </c>
      <c r="AR448" s="12" t="s">
        <v>4285</v>
      </c>
      <c r="AS448" s="12" t="s">
        <v>4286</v>
      </c>
      <c r="AT448" s="12">
        <v>263209297</v>
      </c>
      <c r="AU448" s="12">
        <v>39</v>
      </c>
      <c r="AV448" s="12"/>
      <c r="AW448" s="12">
        <v>5</v>
      </c>
      <c r="AX448" s="12">
        <v>44</v>
      </c>
      <c r="AY448" s="14">
        <v>46018</v>
      </c>
      <c r="AZ448" s="14">
        <v>46056</v>
      </c>
      <c r="BA448" s="12" t="e">
        <v>#N/A</v>
      </c>
      <c r="BB448" s="14" t="s">
        <v>2480</v>
      </c>
      <c r="BC448" s="14">
        <v>46070</v>
      </c>
      <c r="BD448" s="16">
        <v>2026</v>
      </c>
      <c r="BE448" s="16">
        <v>2</v>
      </c>
      <c r="BF448" s="16">
        <v>8</v>
      </c>
      <c r="BG448" s="191">
        <v>36</v>
      </c>
      <c r="BH448" s="191">
        <v>864</v>
      </c>
    </row>
    <row r="449" spans="1:60" s="23" customFormat="1" ht="10">
      <c r="A449" s="11" t="s">
        <v>4305</v>
      </c>
      <c r="B449" s="12" t="s">
        <v>281</v>
      </c>
      <c r="C449" s="12" t="s">
        <v>282</v>
      </c>
      <c r="D449" s="12" t="s">
        <v>63</v>
      </c>
      <c r="E449" s="12" t="s">
        <v>144</v>
      </c>
      <c r="F449" s="12" t="s">
        <v>145</v>
      </c>
      <c r="G449" s="12" t="s">
        <v>4306</v>
      </c>
      <c r="H449" s="12" t="s">
        <v>402</v>
      </c>
      <c r="I449" s="12" t="s">
        <v>4306</v>
      </c>
      <c r="J449" s="34" t="s">
        <v>68</v>
      </c>
      <c r="K449" s="12">
        <v>46011058</v>
      </c>
      <c r="L449" s="13" t="s">
        <v>2489</v>
      </c>
      <c r="M449" s="236" t="s">
        <v>68</v>
      </c>
      <c r="N449" s="182"/>
      <c r="O449" s="12" t="s">
        <v>2475</v>
      </c>
      <c r="P449" s="12" t="s">
        <v>284</v>
      </c>
      <c r="Q449" s="12" t="s">
        <v>285</v>
      </c>
      <c r="R449" s="12">
        <v>554319</v>
      </c>
      <c r="S449" s="12" t="s">
        <v>286</v>
      </c>
      <c r="T449" s="206">
        <v>460</v>
      </c>
      <c r="U449" s="206">
        <v>962</v>
      </c>
      <c r="V449" s="12">
        <v>0.44252000000000002</v>
      </c>
      <c r="W449" s="198">
        <v>26</v>
      </c>
      <c r="X449" s="254">
        <v>1</v>
      </c>
      <c r="Y449" s="12" t="s">
        <v>75</v>
      </c>
      <c r="Z449" s="12"/>
      <c r="AA449" s="13" t="s">
        <v>85</v>
      </c>
      <c r="AB449" s="13" t="s">
        <v>992</v>
      </c>
      <c r="AC449" s="14">
        <v>46014</v>
      </c>
      <c r="AD449" s="15">
        <v>52</v>
      </c>
      <c r="AE449" s="176" t="s">
        <v>4307</v>
      </c>
      <c r="AF449" s="12">
        <v>371009340</v>
      </c>
      <c r="AG449" s="12" t="s">
        <v>288</v>
      </c>
      <c r="AH449" s="12" t="s">
        <v>159</v>
      </c>
      <c r="AI449" s="14">
        <v>46018</v>
      </c>
      <c r="AJ449" s="14">
        <v>46020</v>
      </c>
      <c r="AK449" s="14">
        <v>46020</v>
      </c>
      <c r="AL449" s="14">
        <v>46049</v>
      </c>
      <c r="AM449" s="14">
        <v>46061</v>
      </c>
      <c r="AN449" s="14">
        <v>46060</v>
      </c>
      <c r="AO449" s="91" t="s">
        <v>402</v>
      </c>
      <c r="AP449" s="12" t="s">
        <v>4063</v>
      </c>
      <c r="AQ449" s="12" t="s">
        <v>161</v>
      </c>
      <c r="AR449" s="12" t="s">
        <v>4308</v>
      </c>
      <c r="AS449" s="12" t="s">
        <v>4309</v>
      </c>
      <c r="AT449" s="12" t="s">
        <v>4310</v>
      </c>
      <c r="AU449" s="12">
        <v>31</v>
      </c>
      <c r="AV449" s="12" t="s">
        <v>2493</v>
      </c>
      <c r="AW449" s="12">
        <v>8</v>
      </c>
      <c r="AX449" s="12">
        <v>46</v>
      </c>
      <c r="AY449" s="14">
        <v>46020</v>
      </c>
      <c r="AZ449" s="14">
        <v>46060</v>
      </c>
      <c r="BA449" s="12" t="e">
        <v>#N/A</v>
      </c>
      <c r="BB449" s="14" t="s">
        <v>2480</v>
      </c>
      <c r="BC449" s="14">
        <v>46074</v>
      </c>
      <c r="BD449" s="16">
        <v>2026</v>
      </c>
      <c r="BE449" s="16">
        <v>2</v>
      </c>
      <c r="BF449" s="16">
        <v>8</v>
      </c>
      <c r="BG449" s="191">
        <v>37</v>
      </c>
      <c r="BH449" s="191">
        <v>962</v>
      </c>
    </row>
    <row r="450" spans="1:60" s="23" customFormat="1" ht="10">
      <c r="A450" s="11" t="s">
        <v>4311</v>
      </c>
      <c r="B450" s="12" t="s">
        <v>111</v>
      </c>
      <c r="C450" s="12" t="s">
        <v>387</v>
      </c>
      <c r="D450" s="12" t="s">
        <v>63</v>
      </c>
      <c r="E450" s="12" t="s">
        <v>64</v>
      </c>
      <c r="F450" s="12" t="s">
        <v>100</v>
      </c>
      <c r="G450" s="12" t="s">
        <v>67</v>
      </c>
      <c r="H450" s="12" t="s">
        <v>66</v>
      </c>
      <c r="I450" s="12" t="s">
        <v>293</v>
      </c>
      <c r="J450" s="34" t="s">
        <v>68</v>
      </c>
      <c r="K450" s="12"/>
      <c r="L450" s="13" t="s">
        <v>2732</v>
      </c>
      <c r="M450" s="213" t="s">
        <v>68</v>
      </c>
      <c r="N450" s="182"/>
      <c r="O450" s="12" t="s">
        <v>2475</v>
      </c>
      <c r="P450" s="12" t="s">
        <v>132</v>
      </c>
      <c r="Q450" s="12" t="s">
        <v>189</v>
      </c>
      <c r="R450" s="12">
        <v>555536</v>
      </c>
      <c r="S450" s="12" t="s">
        <v>190</v>
      </c>
      <c r="T450" s="206">
        <v>465</v>
      </c>
      <c r="U450" s="206">
        <v>4320</v>
      </c>
      <c r="V450" s="12">
        <v>2.0087999999999999</v>
      </c>
      <c r="W450" s="198">
        <v>120</v>
      </c>
      <c r="X450" s="254">
        <v>5</v>
      </c>
      <c r="Y450" s="12" t="s">
        <v>75</v>
      </c>
      <c r="Z450" s="12"/>
      <c r="AA450" s="13" t="s">
        <v>108</v>
      </c>
      <c r="AB450" s="32" t="s">
        <v>967</v>
      </c>
      <c r="AC450" s="14">
        <v>46020</v>
      </c>
      <c r="AD450" s="15">
        <v>1</v>
      </c>
      <c r="AE450" s="55" t="s">
        <v>4312</v>
      </c>
      <c r="AF450" s="12"/>
      <c r="AG450" s="12" t="s">
        <v>122</v>
      </c>
      <c r="AH450" s="12" t="s">
        <v>105</v>
      </c>
      <c r="AI450" s="14">
        <v>46026</v>
      </c>
      <c r="AJ450" s="14">
        <v>46033</v>
      </c>
      <c r="AK450" s="14">
        <v>46032</v>
      </c>
      <c r="AL450" s="14">
        <v>46067</v>
      </c>
      <c r="AM450" s="14">
        <v>46074</v>
      </c>
      <c r="AN450" s="14">
        <v>46075</v>
      </c>
      <c r="AO450" s="91" t="s">
        <v>66</v>
      </c>
      <c r="AP450" s="12" t="s">
        <v>4313</v>
      </c>
      <c r="AQ450" s="12" t="s">
        <v>161</v>
      </c>
      <c r="AR450" s="12" t="s">
        <v>4314</v>
      </c>
      <c r="AS450" s="12" t="s">
        <v>4315</v>
      </c>
      <c r="AT450" s="12" t="s">
        <v>4315</v>
      </c>
      <c r="AU450" s="12"/>
      <c r="AV450" s="12"/>
      <c r="AW450" s="12">
        <v>0</v>
      </c>
      <c r="AX450" s="12">
        <v>55</v>
      </c>
      <c r="AY450" s="14">
        <v>46032</v>
      </c>
      <c r="AZ450" s="14">
        <v>46075</v>
      </c>
      <c r="BA450" s="12" t="s">
        <v>973</v>
      </c>
      <c r="BB450" s="14" t="s">
        <v>4138</v>
      </c>
      <c r="BC450" s="14">
        <v>46089</v>
      </c>
      <c r="BD450" s="16">
        <v>2026</v>
      </c>
      <c r="BE450" s="16">
        <v>3</v>
      </c>
      <c r="BF450" s="16">
        <v>10</v>
      </c>
      <c r="BG450" s="191">
        <v>36</v>
      </c>
      <c r="BH450" s="191">
        <v>864</v>
      </c>
    </row>
    <row r="451" spans="1:60" s="23" customFormat="1" ht="10">
      <c r="A451" s="11" t="s">
        <v>4316</v>
      </c>
      <c r="B451" s="12" t="s">
        <v>111</v>
      </c>
      <c r="C451" s="12" t="s">
        <v>3834</v>
      </c>
      <c r="D451" s="12" t="s">
        <v>63</v>
      </c>
      <c r="E451" s="12" t="s">
        <v>64</v>
      </c>
      <c r="F451" s="12" t="s">
        <v>100</v>
      </c>
      <c r="G451" s="12" t="s">
        <v>67</v>
      </c>
      <c r="H451" s="12" t="s">
        <v>66</v>
      </c>
      <c r="I451" s="12" t="s">
        <v>96</v>
      </c>
      <c r="J451" s="34" t="s">
        <v>68</v>
      </c>
      <c r="K451" s="12"/>
      <c r="L451" s="13" t="s">
        <v>2474</v>
      </c>
      <c r="M451" s="213" t="s">
        <v>68</v>
      </c>
      <c r="N451" s="182"/>
      <c r="O451" s="12" t="s">
        <v>2475</v>
      </c>
      <c r="P451" s="12" t="s">
        <v>170</v>
      </c>
      <c r="Q451" s="12" t="s">
        <v>171</v>
      </c>
      <c r="R451" s="12">
        <v>552045</v>
      </c>
      <c r="S451" s="12" t="s">
        <v>172</v>
      </c>
      <c r="T451" s="206">
        <v>555</v>
      </c>
      <c r="U451" s="206">
        <v>660</v>
      </c>
      <c r="V451" s="12">
        <v>0.36630000000000001</v>
      </c>
      <c r="W451" s="198">
        <v>20</v>
      </c>
      <c r="X451" s="254">
        <v>1</v>
      </c>
      <c r="Y451" s="12" t="s">
        <v>75</v>
      </c>
      <c r="Z451" s="12"/>
      <c r="AA451" s="13" t="s">
        <v>108</v>
      </c>
      <c r="AB451" s="32" t="s">
        <v>992</v>
      </c>
      <c r="AC451" s="14">
        <v>46020</v>
      </c>
      <c r="AD451" s="15">
        <v>1</v>
      </c>
      <c r="AE451" s="55" t="s">
        <v>4317</v>
      </c>
      <c r="AF451" s="12"/>
      <c r="AG451" s="12" t="s">
        <v>122</v>
      </c>
      <c r="AH451" s="12" t="s">
        <v>105</v>
      </c>
      <c r="AI451" s="14">
        <v>46026</v>
      </c>
      <c r="AJ451" s="14">
        <v>46033</v>
      </c>
      <c r="AK451" s="14">
        <v>46032</v>
      </c>
      <c r="AL451" s="14">
        <v>46067</v>
      </c>
      <c r="AM451" s="14">
        <v>46074</v>
      </c>
      <c r="AN451" s="14">
        <v>46075</v>
      </c>
      <c r="AO451" s="91" t="s">
        <v>66</v>
      </c>
      <c r="AP451" s="12" t="s">
        <v>4313</v>
      </c>
      <c r="AQ451" s="12" t="s">
        <v>161</v>
      </c>
      <c r="AR451" s="12" t="s">
        <v>4314</v>
      </c>
      <c r="AS451" s="12" t="s">
        <v>4315</v>
      </c>
      <c r="AT451" s="12" t="s">
        <v>4315</v>
      </c>
      <c r="AU451" s="12">
        <v>41</v>
      </c>
      <c r="AV451" s="12"/>
      <c r="AW451" s="12">
        <v>5</v>
      </c>
      <c r="AX451" s="12">
        <v>55</v>
      </c>
      <c r="AY451" s="14">
        <v>46032</v>
      </c>
      <c r="AZ451" s="14">
        <v>46075</v>
      </c>
      <c r="BA451" s="12" t="s">
        <v>973</v>
      </c>
      <c r="BB451" s="14" t="s">
        <v>4138</v>
      </c>
      <c r="BC451" s="14">
        <v>46089</v>
      </c>
      <c r="BD451" s="16">
        <v>2026</v>
      </c>
      <c r="BE451" s="16">
        <v>3</v>
      </c>
      <c r="BF451" s="16">
        <v>10</v>
      </c>
      <c r="BG451" s="191">
        <v>33</v>
      </c>
      <c r="BH451" s="191">
        <v>660</v>
      </c>
    </row>
    <row r="452" spans="1:60" ht="10">
      <c r="A452" s="11" t="s">
        <v>4318</v>
      </c>
      <c r="B452" s="12" t="s">
        <v>111</v>
      </c>
      <c r="C452" s="12" t="s">
        <v>537</v>
      </c>
      <c r="D452" s="12" t="s">
        <v>63</v>
      </c>
      <c r="E452" s="12" t="s">
        <v>64</v>
      </c>
      <c r="F452" s="12" t="s">
        <v>100</v>
      </c>
      <c r="G452" s="12" t="s">
        <v>67</v>
      </c>
      <c r="H452" s="12" t="s">
        <v>66</v>
      </c>
      <c r="I452" s="12" t="s">
        <v>96</v>
      </c>
      <c r="J452" s="34" t="s">
        <v>68</v>
      </c>
      <c r="K452" s="12"/>
      <c r="L452" s="13" t="s">
        <v>2474</v>
      </c>
      <c r="M452" s="213" t="s">
        <v>68</v>
      </c>
      <c r="N452" s="182"/>
      <c r="O452" s="12" t="s">
        <v>2475</v>
      </c>
      <c r="P452" s="12" t="s">
        <v>473</v>
      </c>
      <c r="Q452" s="12" t="s">
        <v>529</v>
      </c>
      <c r="R452" s="12">
        <v>553145</v>
      </c>
      <c r="S452" s="12" t="s">
        <v>530</v>
      </c>
      <c r="T452" s="206">
        <v>455</v>
      </c>
      <c r="U452" s="206">
        <v>864</v>
      </c>
      <c r="V452" s="12">
        <v>0.39312000000000002</v>
      </c>
      <c r="W452" s="198">
        <v>24</v>
      </c>
      <c r="X452" s="254">
        <v>1</v>
      </c>
      <c r="Y452" s="12" t="s">
        <v>75</v>
      </c>
      <c r="Z452" s="12"/>
      <c r="AA452" s="13" t="s">
        <v>85</v>
      </c>
      <c r="AB452" s="13" t="s">
        <v>967</v>
      </c>
      <c r="AC452" s="14">
        <v>46020</v>
      </c>
      <c r="AD452" s="15">
        <v>1</v>
      </c>
      <c r="AE452" s="55" t="s">
        <v>4319</v>
      </c>
      <c r="AF452" s="12"/>
      <c r="AG452" s="12" t="s">
        <v>122</v>
      </c>
      <c r="AH452" s="12" t="s">
        <v>105</v>
      </c>
      <c r="AI452" s="14">
        <v>46026</v>
      </c>
      <c r="AJ452" s="14">
        <v>46033</v>
      </c>
      <c r="AK452" s="14">
        <v>46032</v>
      </c>
      <c r="AL452" s="14">
        <v>46067</v>
      </c>
      <c r="AM452" s="14">
        <v>46074</v>
      </c>
      <c r="AN452" s="14">
        <v>46075</v>
      </c>
      <c r="AO452" s="91" t="s">
        <v>66</v>
      </c>
      <c r="AP452" s="12" t="s">
        <v>4313</v>
      </c>
      <c r="AQ452" s="12" t="s">
        <v>161</v>
      </c>
      <c r="AR452" s="12" t="s">
        <v>4314</v>
      </c>
      <c r="AS452" s="12" t="s">
        <v>4315</v>
      </c>
      <c r="AT452" s="12" t="s">
        <v>4315</v>
      </c>
      <c r="AU452" s="12"/>
      <c r="AV452" s="12"/>
      <c r="AW452" s="12">
        <v>6</v>
      </c>
      <c r="AX452" s="12">
        <v>55</v>
      </c>
      <c r="AY452" s="14">
        <v>46032</v>
      </c>
      <c r="AZ452" s="14">
        <v>46075</v>
      </c>
      <c r="BA452" s="12" t="s">
        <v>973</v>
      </c>
      <c r="BB452" s="14" t="s">
        <v>4138</v>
      </c>
      <c r="BC452" s="14">
        <v>46089</v>
      </c>
      <c r="BD452" s="16">
        <v>2026</v>
      </c>
      <c r="BE452" s="16">
        <v>3</v>
      </c>
      <c r="BF452" s="16">
        <v>10</v>
      </c>
      <c r="BG452" s="191">
        <v>36</v>
      </c>
      <c r="BH452" s="191">
        <v>864</v>
      </c>
    </row>
    <row r="453" spans="1:60" s="23" customFormat="1" ht="10">
      <c r="A453" s="11" t="s">
        <v>4320</v>
      </c>
      <c r="B453" s="12" t="s">
        <v>111</v>
      </c>
      <c r="C453" s="12" t="s">
        <v>545</v>
      </c>
      <c r="D453" s="12" t="s">
        <v>63</v>
      </c>
      <c r="E453" s="12" t="s">
        <v>64</v>
      </c>
      <c r="F453" s="12" t="s">
        <v>100</v>
      </c>
      <c r="G453" s="12" t="s">
        <v>67</v>
      </c>
      <c r="H453" s="12" t="s">
        <v>66</v>
      </c>
      <c r="I453" s="12" t="s">
        <v>96</v>
      </c>
      <c r="J453" s="34" t="s">
        <v>68</v>
      </c>
      <c r="K453" s="12"/>
      <c r="L453" s="13" t="s">
        <v>2474</v>
      </c>
      <c r="M453" s="213" t="s">
        <v>68</v>
      </c>
      <c r="N453" s="182"/>
      <c r="O453" s="12" t="s">
        <v>2475</v>
      </c>
      <c r="P453" s="12" t="s">
        <v>473</v>
      </c>
      <c r="Q453" s="12" t="s">
        <v>529</v>
      </c>
      <c r="R453" s="12">
        <v>553145</v>
      </c>
      <c r="S453" s="12" t="s">
        <v>530</v>
      </c>
      <c r="T453" s="206">
        <v>455</v>
      </c>
      <c r="U453" s="206">
        <v>1728</v>
      </c>
      <c r="V453" s="12">
        <v>0.78624000000000005</v>
      </c>
      <c r="W453" s="198">
        <v>48</v>
      </c>
      <c r="X453" s="254">
        <v>2</v>
      </c>
      <c r="Y453" s="12" t="s">
        <v>75</v>
      </c>
      <c r="Z453" s="12"/>
      <c r="AA453" s="13" t="s">
        <v>85</v>
      </c>
      <c r="AB453" s="13" t="s">
        <v>967</v>
      </c>
      <c r="AC453" s="14">
        <v>46014</v>
      </c>
      <c r="AD453" s="15">
        <v>52</v>
      </c>
      <c r="AE453" s="55" t="s">
        <v>4321</v>
      </c>
      <c r="AF453" s="12"/>
      <c r="AG453" s="12" t="s">
        <v>122</v>
      </c>
      <c r="AH453" s="12" t="s">
        <v>105</v>
      </c>
      <c r="AI453" s="14">
        <v>46020</v>
      </c>
      <c r="AJ453" s="14">
        <v>46023</v>
      </c>
      <c r="AK453" s="14">
        <v>46024</v>
      </c>
      <c r="AL453" s="14">
        <v>46057</v>
      </c>
      <c r="AM453" s="14">
        <v>46071</v>
      </c>
      <c r="AN453" s="14">
        <v>46071</v>
      </c>
      <c r="AO453" s="91" t="s">
        <v>66</v>
      </c>
      <c r="AP453" s="12" t="s">
        <v>4322</v>
      </c>
      <c r="AQ453" s="12" t="s">
        <v>80</v>
      </c>
      <c r="AR453" s="12" t="s">
        <v>4323</v>
      </c>
      <c r="AS453" s="12" t="s">
        <v>4324</v>
      </c>
      <c r="AT453" s="12" t="s">
        <v>4324</v>
      </c>
      <c r="AU453" s="12">
        <v>37</v>
      </c>
      <c r="AV453" s="12"/>
      <c r="AW453" s="12">
        <v>10</v>
      </c>
      <c r="AX453" s="12">
        <v>57</v>
      </c>
      <c r="AY453" s="14">
        <v>46024</v>
      </c>
      <c r="AZ453" s="14">
        <v>46071</v>
      </c>
      <c r="BA453" s="12" t="e">
        <v>#N/A</v>
      </c>
      <c r="BB453" s="14" t="s">
        <v>2480</v>
      </c>
      <c r="BC453" s="14">
        <v>46085</v>
      </c>
      <c r="BD453" s="16">
        <v>2026</v>
      </c>
      <c r="BE453" s="16">
        <v>3</v>
      </c>
      <c r="BF453" s="16">
        <v>10</v>
      </c>
      <c r="BG453" s="191">
        <v>36</v>
      </c>
      <c r="BH453" s="191">
        <v>864</v>
      </c>
    </row>
    <row r="454" spans="1:60" s="23" customFormat="1" ht="10">
      <c r="A454" s="11" t="s">
        <v>4325</v>
      </c>
      <c r="B454" s="12" t="s">
        <v>111</v>
      </c>
      <c r="C454" s="12" t="s">
        <v>545</v>
      </c>
      <c r="D454" s="12" t="s">
        <v>63</v>
      </c>
      <c r="E454" s="12" t="s">
        <v>64</v>
      </c>
      <c r="F454" s="12" t="s">
        <v>100</v>
      </c>
      <c r="G454" s="12" t="s">
        <v>67</v>
      </c>
      <c r="H454" s="12" t="s">
        <v>66</v>
      </c>
      <c r="I454" s="12" t="s">
        <v>96</v>
      </c>
      <c r="J454" s="34" t="s">
        <v>68</v>
      </c>
      <c r="K454" s="12"/>
      <c r="L454" s="13" t="s">
        <v>2474</v>
      </c>
      <c r="M454" s="213" t="s">
        <v>68</v>
      </c>
      <c r="N454" s="182"/>
      <c r="O454" s="12" t="s">
        <v>2475</v>
      </c>
      <c r="P454" s="12" t="s">
        <v>473</v>
      </c>
      <c r="Q454" s="12" t="s">
        <v>529</v>
      </c>
      <c r="R454" s="12">
        <v>553145</v>
      </c>
      <c r="S454" s="12" t="s">
        <v>530</v>
      </c>
      <c r="T454" s="206">
        <v>455</v>
      </c>
      <c r="U454" s="206">
        <v>1728</v>
      </c>
      <c r="V454" s="12">
        <v>0.78624000000000005</v>
      </c>
      <c r="W454" s="198">
        <v>48</v>
      </c>
      <c r="X454" s="254">
        <v>2</v>
      </c>
      <c r="Y454" s="12" t="s">
        <v>75</v>
      </c>
      <c r="Z454" s="12"/>
      <c r="AA454" s="13" t="s">
        <v>85</v>
      </c>
      <c r="AB454" s="13" t="s">
        <v>967</v>
      </c>
      <c r="AC454" s="14">
        <v>46014</v>
      </c>
      <c r="AD454" s="15">
        <v>52</v>
      </c>
      <c r="AE454" s="55" t="s">
        <v>4326</v>
      </c>
      <c r="AF454" s="12"/>
      <c r="AG454" s="12" t="s">
        <v>122</v>
      </c>
      <c r="AH454" s="12" t="s">
        <v>105</v>
      </c>
      <c r="AI454" s="14">
        <v>46020</v>
      </c>
      <c r="AJ454" s="14">
        <v>46023</v>
      </c>
      <c r="AK454" s="14">
        <v>46024</v>
      </c>
      <c r="AL454" s="14">
        <v>46057</v>
      </c>
      <c r="AM454" s="14">
        <v>46071</v>
      </c>
      <c r="AN454" s="14">
        <v>46071</v>
      </c>
      <c r="AO454" s="91" t="s">
        <v>66</v>
      </c>
      <c r="AP454" s="12" t="s">
        <v>4322</v>
      </c>
      <c r="AQ454" s="12" t="s">
        <v>80</v>
      </c>
      <c r="AR454" s="12" t="s">
        <v>4327</v>
      </c>
      <c r="AS454" s="12" t="s">
        <v>4328</v>
      </c>
      <c r="AT454" s="12" t="s">
        <v>4328</v>
      </c>
      <c r="AU454" s="12">
        <v>37</v>
      </c>
      <c r="AV454" s="12"/>
      <c r="AW454" s="12">
        <v>10</v>
      </c>
      <c r="AX454" s="12">
        <v>57</v>
      </c>
      <c r="AY454" s="14">
        <v>46024</v>
      </c>
      <c r="AZ454" s="14">
        <v>46071</v>
      </c>
      <c r="BA454" s="12" t="e">
        <v>#N/A</v>
      </c>
      <c r="BB454" s="14" t="s">
        <v>2480</v>
      </c>
      <c r="BC454" s="14">
        <v>46085</v>
      </c>
      <c r="BD454" s="16">
        <v>2026</v>
      </c>
      <c r="BE454" s="16">
        <v>3</v>
      </c>
      <c r="BF454" s="16">
        <v>10</v>
      </c>
      <c r="BG454" s="191">
        <v>36</v>
      </c>
      <c r="BH454" s="191">
        <v>864</v>
      </c>
    </row>
    <row r="455" spans="1:60" s="23" customFormat="1" ht="10">
      <c r="A455" s="11" t="s">
        <v>4329</v>
      </c>
      <c r="B455" s="12" t="s">
        <v>281</v>
      </c>
      <c r="C455" s="12" t="s">
        <v>601</v>
      </c>
      <c r="D455" s="12" t="s">
        <v>63</v>
      </c>
      <c r="E455" s="12" t="s">
        <v>64</v>
      </c>
      <c r="F455" s="31" t="s">
        <v>310</v>
      </c>
      <c r="G455" s="12" t="s">
        <v>311</v>
      </c>
      <c r="H455" s="12" t="s">
        <v>66</v>
      </c>
      <c r="I455" s="12" t="s">
        <v>1342</v>
      </c>
      <c r="J455" s="34" t="s">
        <v>68</v>
      </c>
      <c r="K455" s="12"/>
      <c r="L455" s="13" t="s">
        <v>2497</v>
      </c>
      <c r="M455" s="213" t="s">
        <v>68</v>
      </c>
      <c r="N455" s="182"/>
      <c r="O455" s="12" t="s">
        <v>2475</v>
      </c>
      <c r="P455" s="12" t="s">
        <v>284</v>
      </c>
      <c r="Q455" s="12" t="s">
        <v>602</v>
      </c>
      <c r="R455" s="12">
        <v>554440</v>
      </c>
      <c r="S455" s="12" t="s">
        <v>603</v>
      </c>
      <c r="T455" s="206">
        <v>465</v>
      </c>
      <c r="U455" s="206">
        <v>962</v>
      </c>
      <c r="V455" s="12">
        <v>0.44733000000000001</v>
      </c>
      <c r="W455" s="198">
        <v>26</v>
      </c>
      <c r="X455" s="254">
        <v>1</v>
      </c>
      <c r="Y455" s="12" t="s">
        <v>75</v>
      </c>
      <c r="Z455" s="12"/>
      <c r="AA455" s="13" t="s">
        <v>108</v>
      </c>
      <c r="AB455" s="13" t="s">
        <v>992</v>
      </c>
      <c r="AC455" s="14">
        <v>46013</v>
      </c>
      <c r="AD455" s="15">
        <v>52</v>
      </c>
      <c r="AE455" s="55" t="s">
        <v>4330</v>
      </c>
      <c r="AF455" s="12"/>
      <c r="AG455" s="12" t="s">
        <v>288</v>
      </c>
      <c r="AH455" s="12" t="s">
        <v>314</v>
      </c>
      <c r="AI455" s="14">
        <v>46017</v>
      </c>
      <c r="AJ455" s="14">
        <v>46021</v>
      </c>
      <c r="AK455" s="14">
        <v>46021</v>
      </c>
      <c r="AL455" s="14">
        <v>46057</v>
      </c>
      <c r="AM455" s="14">
        <v>46064</v>
      </c>
      <c r="AN455" s="14">
        <v>46064</v>
      </c>
      <c r="AO455" s="91" t="s">
        <v>66</v>
      </c>
      <c r="AP455" s="12" t="s">
        <v>4181</v>
      </c>
      <c r="AQ455" s="12" t="s">
        <v>80</v>
      </c>
      <c r="AR455" s="12" t="s">
        <v>4331</v>
      </c>
      <c r="AS455" s="12" t="s">
        <v>4332</v>
      </c>
      <c r="AT455" s="12" t="s">
        <v>4332</v>
      </c>
      <c r="AU455" s="12">
        <v>40</v>
      </c>
      <c r="AV455" s="12" t="s">
        <v>83</v>
      </c>
      <c r="AW455" s="12">
        <v>3</v>
      </c>
      <c r="AX455" s="12">
        <v>51</v>
      </c>
      <c r="AY455" s="14">
        <v>46021</v>
      </c>
      <c r="AZ455" s="14">
        <v>46064</v>
      </c>
      <c r="BA455" s="12" t="e">
        <v>#N/A</v>
      </c>
      <c r="BB455" s="14" t="s">
        <v>2480</v>
      </c>
      <c r="BC455" s="14">
        <v>46078</v>
      </c>
      <c r="BD455" s="16">
        <v>2026</v>
      </c>
      <c r="BE455" s="16">
        <v>2</v>
      </c>
      <c r="BF455" s="16">
        <v>9</v>
      </c>
      <c r="BG455" s="191">
        <v>37</v>
      </c>
      <c r="BH455" s="191">
        <v>962</v>
      </c>
    </row>
    <row r="456" spans="1:60" s="23" customFormat="1" ht="10">
      <c r="A456" s="11" t="s">
        <v>4333</v>
      </c>
      <c r="B456" s="12" t="s">
        <v>281</v>
      </c>
      <c r="C456" s="12" t="s">
        <v>601</v>
      </c>
      <c r="D456" s="12" t="s">
        <v>63</v>
      </c>
      <c r="E456" s="12" t="s">
        <v>64</v>
      </c>
      <c r="F456" s="31" t="s">
        <v>310</v>
      </c>
      <c r="G456" s="12" t="s">
        <v>311</v>
      </c>
      <c r="H456" s="12" t="s">
        <v>66</v>
      </c>
      <c r="I456" s="12" t="s">
        <v>1342</v>
      </c>
      <c r="J456" s="34" t="s">
        <v>68</v>
      </c>
      <c r="K456" s="12"/>
      <c r="L456" s="13" t="s">
        <v>2497</v>
      </c>
      <c r="M456" s="213" t="s">
        <v>68</v>
      </c>
      <c r="N456" s="182"/>
      <c r="O456" s="12" t="s">
        <v>2475</v>
      </c>
      <c r="P456" s="12" t="s">
        <v>284</v>
      </c>
      <c r="Q456" s="12" t="s">
        <v>602</v>
      </c>
      <c r="R456" s="12">
        <v>554440</v>
      </c>
      <c r="S456" s="12" t="s">
        <v>603</v>
      </c>
      <c r="T456" s="206">
        <v>465</v>
      </c>
      <c r="U456" s="206">
        <v>962</v>
      </c>
      <c r="V456" s="12">
        <v>0.44733000000000001</v>
      </c>
      <c r="W456" s="198">
        <v>26</v>
      </c>
      <c r="X456" s="254">
        <v>1</v>
      </c>
      <c r="Y456" s="12" t="s">
        <v>75</v>
      </c>
      <c r="Z456" s="12"/>
      <c r="AA456" s="13" t="s">
        <v>108</v>
      </c>
      <c r="AB456" s="13" t="s">
        <v>992</v>
      </c>
      <c r="AC456" s="14">
        <v>46020</v>
      </c>
      <c r="AD456" s="15">
        <v>1</v>
      </c>
      <c r="AE456" s="55" t="s">
        <v>4334</v>
      </c>
      <c r="AF456" s="12"/>
      <c r="AG456" s="12" t="s">
        <v>288</v>
      </c>
      <c r="AH456" s="12" t="s">
        <v>314</v>
      </c>
      <c r="AI456" s="14">
        <v>46026</v>
      </c>
      <c r="AJ456" s="14">
        <v>46029</v>
      </c>
      <c r="AK456" s="14">
        <v>46029</v>
      </c>
      <c r="AL456" s="14">
        <v>46064</v>
      </c>
      <c r="AM456" s="14">
        <v>46071</v>
      </c>
      <c r="AN456" s="14">
        <v>46071</v>
      </c>
      <c r="AO456" s="91" t="s">
        <v>66</v>
      </c>
      <c r="AP456" s="12" t="s">
        <v>125</v>
      </c>
      <c r="AQ456" s="12" t="s">
        <v>80</v>
      </c>
      <c r="AR456" s="12" t="s">
        <v>4335</v>
      </c>
      <c r="AS456" s="12" t="s">
        <v>4336</v>
      </c>
      <c r="AT456" s="12" t="s">
        <v>4336</v>
      </c>
      <c r="AU456" s="12">
        <v>38</v>
      </c>
      <c r="AV456" s="12" t="s">
        <v>83</v>
      </c>
      <c r="AW456" s="12">
        <v>3</v>
      </c>
      <c r="AX456" s="12">
        <v>51</v>
      </c>
      <c r="AY456" s="14">
        <v>46029</v>
      </c>
      <c r="AZ456" s="14">
        <v>46071</v>
      </c>
      <c r="BA456" s="12" t="s">
        <v>973</v>
      </c>
      <c r="BB456" s="14" t="s">
        <v>4337</v>
      </c>
      <c r="BC456" s="14">
        <v>46085</v>
      </c>
      <c r="BD456" s="16">
        <v>2026</v>
      </c>
      <c r="BE456" s="16">
        <v>3</v>
      </c>
      <c r="BF456" s="16">
        <v>10</v>
      </c>
      <c r="BG456" s="191">
        <v>37</v>
      </c>
      <c r="BH456" s="191">
        <v>962</v>
      </c>
    </row>
    <row r="457" spans="1:60" ht="10">
      <c r="A457" s="11" t="s">
        <v>4338</v>
      </c>
      <c r="B457" s="12" t="s">
        <v>61</v>
      </c>
      <c r="C457" s="12" t="s">
        <v>193</v>
      </c>
      <c r="D457" s="12" t="s">
        <v>63</v>
      </c>
      <c r="E457" s="12" t="s">
        <v>144</v>
      </c>
      <c r="F457" s="12" t="s">
        <v>145</v>
      </c>
      <c r="G457" s="12" t="s">
        <v>1081</v>
      </c>
      <c r="H457" s="12" t="s">
        <v>146</v>
      </c>
      <c r="I457" s="12" t="s">
        <v>1081</v>
      </c>
      <c r="J457" s="34" t="s">
        <v>68</v>
      </c>
      <c r="K457" s="12">
        <v>46011032</v>
      </c>
      <c r="L457" s="13" t="s">
        <v>2719</v>
      </c>
      <c r="M457" s="236" t="s">
        <v>68</v>
      </c>
      <c r="N457" s="182"/>
      <c r="O457" s="12" t="s">
        <v>2475</v>
      </c>
      <c r="P457" s="12" t="s">
        <v>70</v>
      </c>
      <c r="Q457" s="12" t="s">
        <v>195</v>
      </c>
      <c r="R457" s="12">
        <v>554473</v>
      </c>
      <c r="S457" s="12" t="s">
        <v>196</v>
      </c>
      <c r="T457" s="206">
        <v>450</v>
      </c>
      <c r="U457" s="206">
        <v>1872</v>
      </c>
      <c r="V457" s="12">
        <v>0.84240000000000004</v>
      </c>
      <c r="W457" s="198">
        <v>52</v>
      </c>
      <c r="X457" s="254">
        <v>2</v>
      </c>
      <c r="Y457" s="12" t="s">
        <v>75</v>
      </c>
      <c r="Z457" s="12"/>
      <c r="AA457" s="13" t="s">
        <v>85</v>
      </c>
      <c r="AB457" s="13" t="s">
        <v>967</v>
      </c>
      <c r="AC457" s="14">
        <v>46015</v>
      </c>
      <c r="AD457" s="15">
        <v>52</v>
      </c>
      <c r="AE457" s="176" t="s">
        <v>4339</v>
      </c>
      <c r="AF457" s="12">
        <v>371009341</v>
      </c>
      <c r="AG457" s="12" t="s">
        <v>77</v>
      </c>
      <c r="AH457" s="12" t="s">
        <v>105</v>
      </c>
      <c r="AI457" s="14">
        <v>46027</v>
      </c>
      <c r="AJ457" s="14">
        <v>46027</v>
      </c>
      <c r="AK457" s="14">
        <v>46027</v>
      </c>
      <c r="AL457" s="14">
        <v>46067</v>
      </c>
      <c r="AM457" s="14">
        <v>46072</v>
      </c>
      <c r="AN457" s="14">
        <v>46082</v>
      </c>
      <c r="AO457" s="91" t="s">
        <v>146</v>
      </c>
      <c r="AP457" s="12" t="s">
        <v>199</v>
      </c>
      <c r="AQ457" s="12" t="s">
        <v>80</v>
      </c>
      <c r="AR457" s="12">
        <v>46011032</v>
      </c>
      <c r="AS457" s="12" t="s">
        <v>4340</v>
      </c>
      <c r="AT457" s="12" t="s">
        <v>4340</v>
      </c>
      <c r="AU457" s="12">
        <v>40</v>
      </c>
      <c r="AV457" s="12" t="s">
        <v>2493</v>
      </c>
      <c r="AW457" s="12">
        <v>3</v>
      </c>
      <c r="AX457" s="12">
        <v>67</v>
      </c>
      <c r="AY457" s="14">
        <v>46027</v>
      </c>
      <c r="AZ457" s="14">
        <v>46082</v>
      </c>
      <c r="BA457" s="12" t="e">
        <v>#N/A</v>
      </c>
      <c r="BB457" s="14" t="s">
        <v>2480</v>
      </c>
      <c r="BC457" s="14">
        <v>46096</v>
      </c>
      <c r="BD457" s="16">
        <v>2026</v>
      </c>
      <c r="BE457" s="16">
        <v>3</v>
      </c>
      <c r="BF457" s="16">
        <v>11</v>
      </c>
      <c r="BG457" s="191">
        <v>36</v>
      </c>
      <c r="BH457" s="191">
        <v>936</v>
      </c>
    </row>
    <row r="458" spans="1:60" s="23" customFormat="1" ht="10">
      <c r="A458" s="11" t="s">
        <v>4341</v>
      </c>
      <c r="B458" s="12" t="s">
        <v>61</v>
      </c>
      <c r="C458" s="12" t="s">
        <v>3343</v>
      </c>
      <c r="D458" s="12" t="s">
        <v>63</v>
      </c>
      <c r="E458" s="12" t="s">
        <v>144</v>
      </c>
      <c r="F458" s="12" t="s">
        <v>145</v>
      </c>
      <c r="G458" s="12" t="s">
        <v>594</v>
      </c>
      <c r="H458" s="12" t="s">
        <v>402</v>
      </c>
      <c r="I458" s="12" t="s">
        <v>594</v>
      </c>
      <c r="J458" s="34" t="s">
        <v>68</v>
      </c>
      <c r="K458" s="12">
        <v>16102622</v>
      </c>
      <c r="L458" s="13" t="s">
        <v>2482</v>
      </c>
      <c r="M458" s="236" t="s">
        <v>68</v>
      </c>
      <c r="N458" s="182"/>
      <c r="O458" s="12" t="s">
        <v>2475</v>
      </c>
      <c r="P458" s="12" t="s">
        <v>70</v>
      </c>
      <c r="Q458" s="12" t="s">
        <v>195</v>
      </c>
      <c r="R458" s="12">
        <v>554473</v>
      </c>
      <c r="S458" s="12" t="s">
        <v>196</v>
      </c>
      <c r="T458" s="206">
        <v>450</v>
      </c>
      <c r="U458" s="206">
        <v>1872</v>
      </c>
      <c r="V458" s="12">
        <v>0.84240000000000004</v>
      </c>
      <c r="W458" s="198">
        <v>52</v>
      </c>
      <c r="X458" s="254">
        <v>2</v>
      </c>
      <c r="Y458" s="12" t="s">
        <v>75</v>
      </c>
      <c r="Z458" s="12"/>
      <c r="AA458" s="13" t="s">
        <v>85</v>
      </c>
      <c r="AB458" s="13" t="s">
        <v>967</v>
      </c>
      <c r="AC458" s="14">
        <v>46015</v>
      </c>
      <c r="AD458" s="15">
        <v>52</v>
      </c>
      <c r="AE458" s="291" t="s">
        <v>4342</v>
      </c>
      <c r="AF458" s="12"/>
      <c r="AG458" s="12" t="s">
        <v>77</v>
      </c>
      <c r="AH458" s="12" t="s">
        <v>124</v>
      </c>
      <c r="AI458" s="14">
        <v>46027</v>
      </c>
      <c r="AJ458" s="14">
        <v>46027</v>
      </c>
      <c r="AK458" s="14">
        <v>46027</v>
      </c>
      <c r="AL458" s="14">
        <v>46079</v>
      </c>
      <c r="AM458" s="14">
        <v>46080</v>
      </c>
      <c r="AN458" s="14">
        <v>46084</v>
      </c>
      <c r="AO458" s="91" t="s">
        <v>402</v>
      </c>
      <c r="AP458" s="12" t="s">
        <v>199</v>
      </c>
      <c r="AQ458" s="12" t="s">
        <v>80</v>
      </c>
      <c r="AR458" s="12" t="s">
        <v>4343</v>
      </c>
      <c r="AS458" s="12" t="s">
        <v>4344</v>
      </c>
      <c r="AT458" s="12" t="s">
        <v>4344</v>
      </c>
      <c r="AU458" s="12">
        <v>52</v>
      </c>
      <c r="AV458" s="12" t="s">
        <v>2493</v>
      </c>
      <c r="AW458" s="12">
        <v>5</v>
      </c>
      <c r="AX458" s="12">
        <v>69</v>
      </c>
      <c r="AY458" s="14">
        <v>46027</v>
      </c>
      <c r="AZ458" s="14">
        <v>46084</v>
      </c>
      <c r="BA458" s="12" t="e">
        <v>#N/A</v>
      </c>
      <c r="BB458" s="14" t="s">
        <v>2480</v>
      </c>
      <c r="BC458" s="14">
        <v>46098</v>
      </c>
      <c r="BD458" s="16">
        <v>2026</v>
      </c>
      <c r="BE458" s="16">
        <v>3</v>
      </c>
      <c r="BF458" s="16">
        <v>12</v>
      </c>
      <c r="BG458" s="191">
        <v>36</v>
      </c>
      <c r="BH458" s="191">
        <v>936</v>
      </c>
    </row>
    <row r="459" spans="1:60" s="23" customFormat="1" ht="10">
      <c r="A459" s="11" t="s">
        <v>4345</v>
      </c>
      <c r="B459" s="12" t="s">
        <v>61</v>
      </c>
      <c r="C459" s="12" t="s">
        <v>3343</v>
      </c>
      <c r="D459" s="12" t="s">
        <v>63</v>
      </c>
      <c r="E459" s="12" t="s">
        <v>144</v>
      </c>
      <c r="F459" s="12" t="s">
        <v>145</v>
      </c>
      <c r="G459" s="12" t="s">
        <v>594</v>
      </c>
      <c r="H459" s="12" t="s">
        <v>402</v>
      </c>
      <c r="I459" s="12" t="s">
        <v>594</v>
      </c>
      <c r="J459" s="34" t="s">
        <v>68</v>
      </c>
      <c r="K459" s="12">
        <v>16102622</v>
      </c>
      <c r="L459" s="13" t="s">
        <v>2482</v>
      </c>
      <c r="M459" s="236" t="s">
        <v>68</v>
      </c>
      <c r="N459" s="182"/>
      <c r="O459" s="12" t="s">
        <v>2475</v>
      </c>
      <c r="P459" s="12"/>
      <c r="Q459" s="12" t="s">
        <v>195</v>
      </c>
      <c r="R459" s="12">
        <v>554473</v>
      </c>
      <c r="S459" s="12" t="s">
        <v>196</v>
      </c>
      <c r="T459" s="206">
        <v>450</v>
      </c>
      <c r="U459" s="206">
        <v>1872</v>
      </c>
      <c r="V459" s="12">
        <v>0.84240000000000004</v>
      </c>
      <c r="W459" s="198">
        <v>52</v>
      </c>
      <c r="X459" s="254">
        <v>2</v>
      </c>
      <c r="Y459" s="12" t="s">
        <v>75</v>
      </c>
      <c r="Z459" s="12"/>
      <c r="AA459" s="13" t="s">
        <v>85</v>
      </c>
      <c r="AB459" s="13" t="s">
        <v>967</v>
      </c>
      <c r="AC459" s="14">
        <v>46015</v>
      </c>
      <c r="AD459" s="15">
        <v>52</v>
      </c>
      <c r="AE459" s="291" t="s">
        <v>4346</v>
      </c>
      <c r="AF459" s="12"/>
      <c r="AG459" s="12" t="s">
        <v>77</v>
      </c>
      <c r="AH459" s="12" t="s">
        <v>124</v>
      </c>
      <c r="AI459" s="14">
        <v>46027</v>
      </c>
      <c r="AJ459" s="14">
        <v>46027</v>
      </c>
      <c r="AK459" s="14">
        <v>46027</v>
      </c>
      <c r="AL459" s="14">
        <v>46086</v>
      </c>
      <c r="AM459" s="14"/>
      <c r="AN459" s="14">
        <v>46084</v>
      </c>
      <c r="AO459" s="91" t="s">
        <v>402</v>
      </c>
      <c r="AP459" s="12" t="s">
        <v>199</v>
      </c>
      <c r="AQ459" s="12" t="s">
        <v>80</v>
      </c>
      <c r="AR459" s="12">
        <v>16102622</v>
      </c>
      <c r="AS459" s="12" t="s">
        <v>4347</v>
      </c>
      <c r="AT459" s="12" t="s">
        <v>4347</v>
      </c>
      <c r="AU459" s="12">
        <v>59</v>
      </c>
      <c r="AV459" s="12" t="s">
        <v>2493</v>
      </c>
      <c r="AW459" s="12">
        <v>5</v>
      </c>
      <c r="AX459" s="12">
        <v>69</v>
      </c>
      <c r="AY459" s="14">
        <v>46027</v>
      </c>
      <c r="AZ459" s="14">
        <v>46084</v>
      </c>
      <c r="BA459" s="12" t="s">
        <v>973</v>
      </c>
      <c r="BB459" s="14" t="s">
        <v>4128</v>
      </c>
      <c r="BC459" s="14">
        <v>46098</v>
      </c>
      <c r="BD459" s="16">
        <v>2026</v>
      </c>
      <c r="BE459" s="16">
        <v>3</v>
      </c>
      <c r="BF459" s="16">
        <v>12</v>
      </c>
      <c r="BG459" s="191">
        <v>36</v>
      </c>
      <c r="BH459" s="191">
        <v>936</v>
      </c>
    </row>
    <row r="460" spans="1:60" ht="10">
      <c r="A460" s="11" t="s">
        <v>4348</v>
      </c>
      <c r="B460" s="12" t="s">
        <v>61</v>
      </c>
      <c r="C460" s="12" t="s">
        <v>193</v>
      </c>
      <c r="D460" s="12" t="s">
        <v>63</v>
      </c>
      <c r="E460" s="12" t="s">
        <v>144</v>
      </c>
      <c r="F460" s="12" t="s">
        <v>145</v>
      </c>
      <c r="G460" s="12" t="s">
        <v>594</v>
      </c>
      <c r="H460" s="12" t="s">
        <v>402</v>
      </c>
      <c r="I460" s="12" t="s">
        <v>594</v>
      </c>
      <c r="J460" s="34" t="s">
        <v>68</v>
      </c>
      <c r="K460" s="12">
        <v>16102622</v>
      </c>
      <c r="L460" s="13" t="s">
        <v>2482</v>
      </c>
      <c r="M460" s="236" t="s">
        <v>68</v>
      </c>
      <c r="N460" s="182"/>
      <c r="O460" s="12" t="s">
        <v>2475</v>
      </c>
      <c r="P460" s="12" t="s">
        <v>70</v>
      </c>
      <c r="Q460" s="12" t="s">
        <v>195</v>
      </c>
      <c r="R460" s="12">
        <v>554473</v>
      </c>
      <c r="S460" s="12" t="s">
        <v>196</v>
      </c>
      <c r="T460" s="206">
        <v>450</v>
      </c>
      <c r="U460" s="206">
        <v>936</v>
      </c>
      <c r="V460" s="12">
        <v>0.42120000000000002</v>
      </c>
      <c r="W460" s="198">
        <v>26</v>
      </c>
      <c r="X460" s="254">
        <v>1</v>
      </c>
      <c r="Y460" s="12" t="s">
        <v>75</v>
      </c>
      <c r="Z460" s="12"/>
      <c r="AA460" s="13" t="s">
        <v>85</v>
      </c>
      <c r="AB460" s="13" t="s">
        <v>967</v>
      </c>
      <c r="AC460" s="14">
        <v>46015</v>
      </c>
      <c r="AD460" s="15">
        <v>52</v>
      </c>
      <c r="AE460" s="291" t="s">
        <v>4349</v>
      </c>
      <c r="AF460" s="12"/>
      <c r="AG460" s="12" t="s">
        <v>77</v>
      </c>
      <c r="AH460" s="12" t="s">
        <v>124</v>
      </c>
      <c r="AI460" s="14">
        <v>46027</v>
      </c>
      <c r="AJ460" s="14">
        <v>46027</v>
      </c>
      <c r="AK460" s="14">
        <v>46027</v>
      </c>
      <c r="AL460" s="14">
        <v>46086</v>
      </c>
      <c r="AM460" s="14"/>
      <c r="AN460" s="14">
        <v>46084</v>
      </c>
      <c r="AO460" s="91" t="s">
        <v>402</v>
      </c>
      <c r="AP460" s="12" t="s">
        <v>199</v>
      </c>
      <c r="AQ460" s="12" t="s">
        <v>80</v>
      </c>
      <c r="AR460" s="12">
        <v>16102622</v>
      </c>
      <c r="AS460" s="12" t="s">
        <v>4347</v>
      </c>
      <c r="AT460" s="12" t="s">
        <v>4347</v>
      </c>
      <c r="AU460" s="12">
        <v>59</v>
      </c>
      <c r="AV460" s="12"/>
      <c r="AW460" s="12">
        <v>4</v>
      </c>
      <c r="AX460" s="12">
        <v>69</v>
      </c>
      <c r="AY460" s="14">
        <v>46027</v>
      </c>
      <c r="AZ460" s="14">
        <v>46084</v>
      </c>
      <c r="BA460" s="12" t="s">
        <v>973</v>
      </c>
      <c r="BB460" s="14" t="s">
        <v>4128</v>
      </c>
      <c r="BC460" s="14">
        <v>46098</v>
      </c>
      <c r="BD460" s="16">
        <v>2026</v>
      </c>
      <c r="BE460" s="16">
        <v>3</v>
      </c>
      <c r="BF460" s="16">
        <v>12</v>
      </c>
      <c r="BG460" s="191">
        <v>36</v>
      </c>
      <c r="BH460" s="191">
        <v>936</v>
      </c>
    </row>
    <row r="461" spans="1:60" s="23" customFormat="1" ht="10">
      <c r="A461" s="11" t="s">
        <v>4350</v>
      </c>
      <c r="B461" s="12" t="s">
        <v>111</v>
      </c>
      <c r="C461" s="12" t="s">
        <v>545</v>
      </c>
      <c r="D461" s="12" t="s">
        <v>63</v>
      </c>
      <c r="E461" s="12" t="s">
        <v>64</v>
      </c>
      <c r="F461" s="12" t="s">
        <v>100</v>
      </c>
      <c r="G461" s="12" t="s">
        <v>67</v>
      </c>
      <c r="H461" s="12" t="s">
        <v>66</v>
      </c>
      <c r="I461" s="12" t="s">
        <v>96</v>
      </c>
      <c r="J461" s="34" t="s">
        <v>68</v>
      </c>
      <c r="K461" s="12"/>
      <c r="L461" s="13" t="s">
        <v>2474</v>
      </c>
      <c r="M461" s="213" t="s">
        <v>68</v>
      </c>
      <c r="N461" s="182"/>
      <c r="O461" s="12" t="s">
        <v>2475</v>
      </c>
      <c r="P461" s="12" t="s">
        <v>473</v>
      </c>
      <c r="Q461" s="12" t="s">
        <v>529</v>
      </c>
      <c r="R461" s="12">
        <v>553145</v>
      </c>
      <c r="S461" s="12" t="s">
        <v>530</v>
      </c>
      <c r="T461" s="206">
        <v>455</v>
      </c>
      <c r="U461" s="206">
        <v>864</v>
      </c>
      <c r="V461" s="12">
        <v>0.39312000000000002</v>
      </c>
      <c r="W461" s="198">
        <v>24</v>
      </c>
      <c r="X461" s="254">
        <v>1</v>
      </c>
      <c r="Y461" s="12" t="s">
        <v>75</v>
      </c>
      <c r="Z461" s="12"/>
      <c r="AA461" s="13" t="s">
        <v>85</v>
      </c>
      <c r="AB461" s="13" t="s">
        <v>967</v>
      </c>
      <c r="AC461" s="14">
        <v>46021</v>
      </c>
      <c r="AD461" s="15">
        <v>1</v>
      </c>
      <c r="AE461" s="177" t="s">
        <v>4351</v>
      </c>
      <c r="AF461" s="11"/>
      <c r="AG461" s="12" t="s">
        <v>122</v>
      </c>
      <c r="AH461" s="12" t="s">
        <v>105</v>
      </c>
      <c r="AI461" s="14">
        <v>46027</v>
      </c>
      <c r="AJ461" s="14">
        <v>46028</v>
      </c>
      <c r="AK461" s="14">
        <v>46028</v>
      </c>
      <c r="AL461" s="14">
        <v>46064</v>
      </c>
      <c r="AM461" s="14">
        <v>46066</v>
      </c>
      <c r="AN461" s="14">
        <v>46079</v>
      </c>
      <c r="AO461" s="91" t="s">
        <v>66</v>
      </c>
      <c r="AP461" s="12" t="s">
        <v>4352</v>
      </c>
      <c r="AQ461" s="12" t="s">
        <v>80</v>
      </c>
      <c r="AR461" s="12" t="s">
        <v>4353</v>
      </c>
      <c r="AS461" s="12" t="s">
        <v>4354</v>
      </c>
      <c r="AT461" s="12" t="s">
        <v>4354</v>
      </c>
      <c r="AU461" s="12">
        <v>37</v>
      </c>
      <c r="AV461" s="12"/>
      <c r="AW461" s="12">
        <v>12</v>
      </c>
      <c r="AX461" s="12">
        <v>58</v>
      </c>
      <c r="AY461" s="14">
        <v>46028</v>
      </c>
      <c r="AZ461" s="14">
        <v>46079</v>
      </c>
      <c r="BA461" s="12" t="s">
        <v>973</v>
      </c>
      <c r="BB461" s="14" t="s">
        <v>4138</v>
      </c>
      <c r="BC461" s="14">
        <v>46093</v>
      </c>
      <c r="BD461" s="16">
        <v>2026</v>
      </c>
      <c r="BE461" s="16">
        <v>3</v>
      </c>
      <c r="BF461" s="16">
        <v>11</v>
      </c>
      <c r="BG461" s="191">
        <v>36</v>
      </c>
      <c r="BH461" s="191">
        <v>864</v>
      </c>
    </row>
    <row r="462" spans="1:60" s="23" customFormat="1" ht="10">
      <c r="A462" s="11" t="s">
        <v>4355</v>
      </c>
      <c r="B462" s="12" t="s">
        <v>111</v>
      </c>
      <c r="C462" s="12" t="s">
        <v>537</v>
      </c>
      <c r="D462" s="12" t="s">
        <v>63</v>
      </c>
      <c r="E462" s="12" t="s">
        <v>64</v>
      </c>
      <c r="F462" s="12" t="s">
        <v>100</v>
      </c>
      <c r="G462" s="12" t="s">
        <v>67</v>
      </c>
      <c r="H462" s="12" t="s">
        <v>66</v>
      </c>
      <c r="I462" s="12" t="s">
        <v>96</v>
      </c>
      <c r="J462" s="34" t="s">
        <v>68</v>
      </c>
      <c r="K462" s="12"/>
      <c r="L462" s="13" t="s">
        <v>2474</v>
      </c>
      <c r="M462" s="213" t="s">
        <v>68</v>
      </c>
      <c r="N462" s="182"/>
      <c r="O462" s="12" t="s">
        <v>2475</v>
      </c>
      <c r="P462" s="12" t="s">
        <v>473</v>
      </c>
      <c r="Q462" s="12" t="s">
        <v>529</v>
      </c>
      <c r="R462" s="12">
        <v>553145</v>
      </c>
      <c r="S462" s="12" t="s">
        <v>530</v>
      </c>
      <c r="T462" s="206">
        <v>455</v>
      </c>
      <c r="U462" s="206">
        <v>864</v>
      </c>
      <c r="V462" s="12">
        <v>0.39312000000000002</v>
      </c>
      <c r="W462" s="198">
        <v>24</v>
      </c>
      <c r="X462" s="254">
        <v>1</v>
      </c>
      <c r="Y462" s="12" t="s">
        <v>75</v>
      </c>
      <c r="Z462" s="12"/>
      <c r="AA462" s="13" t="s">
        <v>85</v>
      </c>
      <c r="AB462" s="13" t="s">
        <v>967</v>
      </c>
      <c r="AC462" s="14">
        <v>46021</v>
      </c>
      <c r="AD462" s="15">
        <v>1</v>
      </c>
      <c r="AE462" s="177" t="s">
        <v>4356</v>
      </c>
      <c r="AF462" s="11"/>
      <c r="AG462" s="12" t="s">
        <v>122</v>
      </c>
      <c r="AH462" s="12" t="s">
        <v>105</v>
      </c>
      <c r="AI462" s="14">
        <v>46027</v>
      </c>
      <c r="AJ462" s="14">
        <v>46028</v>
      </c>
      <c r="AK462" s="14">
        <v>46028</v>
      </c>
      <c r="AL462" s="14">
        <v>46064</v>
      </c>
      <c r="AM462" s="14">
        <v>46066</v>
      </c>
      <c r="AN462" s="14">
        <v>46079</v>
      </c>
      <c r="AO462" s="91" t="s">
        <v>66</v>
      </c>
      <c r="AP462" s="12" t="s">
        <v>4352</v>
      </c>
      <c r="AQ462" s="12" t="s">
        <v>80</v>
      </c>
      <c r="AR462" s="12" t="s">
        <v>4353</v>
      </c>
      <c r="AS462" s="12" t="s">
        <v>4354</v>
      </c>
      <c r="AT462" s="12" t="s">
        <v>4354</v>
      </c>
      <c r="AU462" s="12">
        <v>37</v>
      </c>
      <c r="AV462" s="12"/>
      <c r="AW462" s="12">
        <v>7</v>
      </c>
      <c r="AX462" s="12">
        <v>58</v>
      </c>
      <c r="AY462" s="14">
        <v>46028</v>
      </c>
      <c r="AZ462" s="14">
        <v>46079</v>
      </c>
      <c r="BA462" s="12" t="s">
        <v>973</v>
      </c>
      <c r="BB462" s="14" t="s">
        <v>4138</v>
      </c>
      <c r="BC462" s="14">
        <v>46093</v>
      </c>
      <c r="BD462" s="16">
        <v>2026</v>
      </c>
      <c r="BE462" s="16">
        <v>3</v>
      </c>
      <c r="BF462" s="16">
        <v>11</v>
      </c>
      <c r="BG462" s="191">
        <v>36</v>
      </c>
      <c r="BH462" s="191">
        <v>864</v>
      </c>
    </row>
    <row r="463" spans="1:60" s="23" customFormat="1" ht="10">
      <c r="A463" s="11" t="s">
        <v>4357</v>
      </c>
      <c r="B463" s="12" t="s">
        <v>61</v>
      </c>
      <c r="C463" s="12" t="s">
        <v>326</v>
      </c>
      <c r="D463" s="12" t="s">
        <v>113</v>
      </c>
      <c r="E463" s="12" t="s">
        <v>64</v>
      </c>
      <c r="F463" s="12" t="s">
        <v>100</v>
      </c>
      <c r="G463" s="12" t="s">
        <v>67</v>
      </c>
      <c r="H463" s="12" t="s">
        <v>66</v>
      </c>
      <c r="I463" s="12" t="s">
        <v>327</v>
      </c>
      <c r="J463" s="34" t="s">
        <v>68</v>
      </c>
      <c r="K463" s="12" t="s">
        <v>328</v>
      </c>
      <c r="L463" s="13" t="s">
        <v>113</v>
      </c>
      <c r="M463" s="213" t="s">
        <v>68</v>
      </c>
      <c r="N463" s="182"/>
      <c r="O463" s="12" t="s">
        <v>2475</v>
      </c>
      <c r="P463" s="12" t="s">
        <v>70</v>
      </c>
      <c r="Q463" s="36" t="s">
        <v>329</v>
      </c>
      <c r="R463" s="31">
        <v>554246</v>
      </c>
      <c r="S463" s="12" t="s">
        <v>330</v>
      </c>
      <c r="T463" s="206">
        <v>625</v>
      </c>
      <c r="U463" s="206">
        <v>7200</v>
      </c>
      <c r="V463" s="12">
        <v>4.5</v>
      </c>
      <c r="W463" s="198">
        <v>200</v>
      </c>
      <c r="X463" s="254">
        <v>10</v>
      </c>
      <c r="Y463" s="12" t="s">
        <v>75</v>
      </c>
      <c r="Z463" s="12"/>
      <c r="AA463" s="13" t="s">
        <v>3780</v>
      </c>
      <c r="AB463" s="13" t="s">
        <v>992</v>
      </c>
      <c r="AC463" s="30">
        <v>46021</v>
      </c>
      <c r="AD463" s="35">
        <v>1</v>
      </c>
      <c r="AE463" s="55" t="s">
        <v>4358</v>
      </c>
      <c r="AF463" s="31"/>
      <c r="AG463" s="31" t="s">
        <v>77</v>
      </c>
      <c r="AH463" s="31" t="s">
        <v>105</v>
      </c>
      <c r="AI463" s="30">
        <v>46027</v>
      </c>
      <c r="AJ463" s="30">
        <v>46027</v>
      </c>
      <c r="AK463" s="30">
        <v>46027</v>
      </c>
      <c r="AL463" s="30">
        <v>46067</v>
      </c>
      <c r="AM463" s="30">
        <v>46066</v>
      </c>
      <c r="AN463" s="30">
        <v>46076</v>
      </c>
      <c r="AO463" s="75" t="s">
        <v>66</v>
      </c>
      <c r="AP463" s="31" t="s">
        <v>4359</v>
      </c>
      <c r="AQ463" s="12" t="s">
        <v>161</v>
      </c>
      <c r="AR463" s="12" t="s">
        <v>4360</v>
      </c>
      <c r="AS463" s="12" t="s">
        <v>4361</v>
      </c>
      <c r="AT463" s="12" t="s">
        <v>4361</v>
      </c>
      <c r="AU463" s="12">
        <v>40</v>
      </c>
      <c r="AV463" s="12"/>
      <c r="AW463" s="12">
        <v>0</v>
      </c>
      <c r="AX463" s="12">
        <v>55</v>
      </c>
      <c r="AY463" s="14">
        <v>46027</v>
      </c>
      <c r="AZ463" s="14">
        <v>46076</v>
      </c>
      <c r="BA463" s="12" t="s">
        <v>973</v>
      </c>
      <c r="BB463" s="30" t="s">
        <v>4150</v>
      </c>
      <c r="BC463" s="14">
        <v>46090</v>
      </c>
      <c r="BD463" s="16">
        <v>2026</v>
      </c>
      <c r="BE463" s="16">
        <v>3</v>
      </c>
      <c r="BF463" s="16">
        <v>11</v>
      </c>
      <c r="BG463" s="191">
        <v>36</v>
      </c>
      <c r="BH463" s="191">
        <v>720</v>
      </c>
    </row>
    <row r="465" spans="1:33">
      <c r="A465" t="s">
        <v>4362</v>
      </c>
    </row>
    <row r="468" spans="1:33"/>
    <row r="471" spans="1:33">
      <c r="S471" s="12" t="s">
        <v>860</v>
      </c>
      <c r="T471" s="12">
        <v>554479</v>
      </c>
      <c r="U471" s="12" t="s">
        <v>861</v>
      </c>
    </row>
  </sheetData>
  <sheetProtection formatCells="0" formatColumns="0" formatRows="0" insertRows="0" autoFilter="0" pivotTables="0"/>
  <protectedRanges>
    <protectedRange sqref="K1:T1 AB469:AH472 U466:AH468 X480:X1048576 P464:AE464 O473:P1048576 S473 O464:O472 A479:F1048576 A472:E478 Q473:R475 S475 L464:L475 A464:F471 AF464:XFD465 AA469:AA480 AA483:AA1048576 AB473:XFD1048576 L477:L1048576 AI466:XFD472 U465:AE465 U469:Z470 P465:T470 A1:I463 J2:T463 Q479:W1048576 Y479:Z1048576 T472:Z478 U1:XFD463 P472:S472 P471:Z471" name="PV_Data"/>
    <protectedRange sqref="J1" name="PV_Data_2_1"/>
  </protectedRanges>
  <phoneticPr fontId="64" type="noConversion"/>
  <conditionalFormatting sqref="A1:A1048576">
    <cfRule type="duplicateValues" dxfId="169" priority="7"/>
  </conditionalFormatting>
  <conditionalFormatting sqref="M2:M336 M340:M359 M362:M363 M374:M375 M381 M383:M384 M386:M408 M410:M420 M422:M423 M426:M429 M433:M441 M444:M448 M450:M456 M461:M463">
    <cfRule type="cellIs" dxfId="168" priority="5" operator="equal">
      <formula>"Yes"</formula>
    </cfRule>
    <cfRule type="cellIs" dxfId="167" priority="6" operator="equal">
      <formula>"No"</formula>
    </cfRule>
  </conditionalFormatting>
  <dataValidations count="3">
    <dataValidation allowBlank="1" showInputMessage="1" showErrorMessage="1" sqref="AE322:AE330 AE332:AE335 AE449 A340:D463 A2:A339 AE401:AE423 AE392:AE396 AE354:AE357 AE457:AE460 AC334:AL334 AC1:AD336 AC354:AD362 AC408:AD423 AN362:AN393 AE443 AF392:AL405 AC360:AM393 AC405:AL407 A334:C334 B1:D339 AC410:AJ421 AA392:AD405 A1:H1 AA1:AB391 Z1:Z405 AF408:AV423 AM392:AV407 AO360:AV393 AF1:AV336 AC337:AV353 AF354:AV362 AF443:AU449 AV442:AV449 O442:AU442 AF433:AL441 AC433:AD441 Z405:AB441 AM424:AV441 M1:Y441 AC424:AL437 AF450:AV463 O443:AD463 M442:N463 D1:D460 G1:L463 AW1:XFD463 AE1:AE320 S471:U471" xr:uid="{DFC6AE24-52B3-4960-A80E-4461ACAAEB79}"/>
    <dataValidation type="list" allowBlank="1" showInputMessage="1" showErrorMessage="1" sqref="E2:E463" xr:uid="{7691C5CD-7223-47B6-AC15-69D45D816368}">
      <formula1>"Internal,Offshore,n/a"</formula1>
    </dataValidation>
    <dataValidation type="list" allowBlank="1" showInputMessage="1" showErrorMessage="1" sqref="F2:F463" xr:uid="{771C5276-3553-4E68-A8FE-88F375429A51}">
      <formula1>"Arrival Plan-SPTN,Arrival Plan-SPNL,Arrival Plan-SPES,Arrival Plan-SPIT,Arrival Plan-SPUK,SPTN Offstore in Transit WH,n/a"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EAF1-7E5F-41A9-BC03-4EEE1EDDD02F}">
  <sheetPr>
    <tabColor rgb="FF92D050"/>
  </sheetPr>
  <dimension ref="A1:AT157"/>
  <sheetViews>
    <sheetView zoomScale="130" zoomScaleNormal="130" workbookViewId="0">
      <pane ySplit="1" topLeftCell="A19" activePane="bottomLeft" state="frozen"/>
      <selection pane="bottomLeft" activeCell="Q1" sqref="Q1:W1048576"/>
    </sheetView>
  </sheetViews>
  <sheetFormatPr defaultColWidth="9.09765625" defaultRowHeight="12.75" customHeight="1" outlineLevelCol="1"/>
  <cols>
    <col min="1" max="1" width="10.3984375" style="507" bestFit="1" customWidth="1"/>
    <col min="2" max="2" width="12.8984375" style="507" customWidth="1"/>
    <col min="3" max="3" width="16" style="507" customWidth="1"/>
    <col min="4" max="4" width="9.09765625" style="507" hidden="1" customWidth="1"/>
    <col min="5" max="7" width="12.3984375" style="507" hidden="1" customWidth="1" outlineLevel="1"/>
    <col min="8" max="8" width="11.09765625" style="507" hidden="1" customWidth="1" outlineLevel="1"/>
    <col min="9" max="9" width="12.3984375" style="507" hidden="1" customWidth="1" outlineLevel="1"/>
    <col min="10" max="10" width="13.09765625" style="507" hidden="1" customWidth="1" outlineLevel="1"/>
    <col min="11" max="11" width="12.3984375" style="507" hidden="1" customWidth="1" outlineLevel="1" collapsed="1"/>
    <col min="12" max="12" width="12.3984375" style="507" hidden="1" customWidth="1" outlineLevel="1"/>
    <col min="13" max="14" width="12.8984375" style="507" hidden="1" customWidth="1" outlineLevel="1"/>
    <col min="15" max="15" width="14.8984375" style="507" hidden="1" customWidth="1" collapsed="1"/>
    <col min="16" max="23" width="12.59765625" style="507" hidden="1" customWidth="1"/>
    <col min="24" max="27" width="12.59765625" style="507" customWidth="1"/>
    <col min="28" max="28" width="9.09765625" style="507" customWidth="1"/>
    <col min="29" max="36" width="12.59765625" style="507" customWidth="1"/>
    <col min="37" max="37" width="15.09765625" style="507" customWidth="1"/>
    <col min="38" max="39" width="14.59765625" style="507" customWidth="1"/>
    <col min="40" max="40" width="29" style="507" customWidth="1"/>
    <col min="41" max="41" width="13.8984375" style="507" bestFit="1" customWidth="1"/>
    <col min="42" max="42" width="26.09765625" style="507" customWidth="1"/>
    <col min="43" max="16384" width="9.09765625" style="507"/>
  </cols>
  <sheetData>
    <row r="1" spans="1:46" s="502" customFormat="1" ht="26">
      <c r="A1" s="496" t="s">
        <v>123</v>
      </c>
      <c r="B1" s="496"/>
      <c r="C1" s="496" t="s">
        <v>197</v>
      </c>
      <c r="D1" s="496" t="s">
        <v>951</v>
      </c>
      <c r="E1" s="496" t="s">
        <v>4363</v>
      </c>
      <c r="F1" s="496" t="s">
        <v>4364</v>
      </c>
      <c r="G1" s="496" t="s">
        <v>4365</v>
      </c>
      <c r="H1" s="496" t="s">
        <v>4366</v>
      </c>
      <c r="I1" s="496" t="s">
        <v>4367</v>
      </c>
      <c r="J1" s="496" t="s">
        <v>4368</v>
      </c>
      <c r="K1" s="496" t="s">
        <v>4369</v>
      </c>
      <c r="L1" s="496" t="s">
        <v>4370</v>
      </c>
      <c r="M1" s="496" t="s">
        <v>4371</v>
      </c>
      <c r="N1" s="496" t="s">
        <v>4372</v>
      </c>
      <c r="O1" s="496" t="s">
        <v>4373</v>
      </c>
      <c r="P1" s="496" t="s">
        <v>4374</v>
      </c>
      <c r="Q1" s="496" t="s">
        <v>4375</v>
      </c>
      <c r="R1" s="496" t="s">
        <v>4376</v>
      </c>
      <c r="S1" s="496" t="s">
        <v>4377</v>
      </c>
      <c r="T1" s="496" t="s">
        <v>4378</v>
      </c>
      <c r="U1" s="496" t="s">
        <v>4379</v>
      </c>
      <c r="V1" s="496" t="s">
        <v>4380</v>
      </c>
      <c r="W1" s="496" t="s">
        <v>4381</v>
      </c>
      <c r="X1" s="496" t="s">
        <v>4382</v>
      </c>
      <c r="Y1" s="496" t="s">
        <v>4383</v>
      </c>
      <c r="Z1" s="496" t="s">
        <v>4384</v>
      </c>
      <c r="AA1" s="496" t="s">
        <v>4385</v>
      </c>
      <c r="AB1" s="496" t="s">
        <v>4386</v>
      </c>
      <c r="AC1" s="496" t="s">
        <v>4387</v>
      </c>
      <c r="AD1" s="496" t="s">
        <v>4388</v>
      </c>
      <c r="AE1" s="496" t="s">
        <v>4389</v>
      </c>
      <c r="AF1" s="496" t="s">
        <v>4390</v>
      </c>
      <c r="AG1" s="496" t="s">
        <v>4391</v>
      </c>
      <c r="AH1" s="496" t="s">
        <v>4392</v>
      </c>
      <c r="AI1" s="496" t="s">
        <v>4393</v>
      </c>
      <c r="AJ1" s="496" t="s">
        <v>4394</v>
      </c>
      <c r="AK1" s="498" t="s">
        <v>4395</v>
      </c>
      <c r="AL1" s="499" t="s">
        <v>4396</v>
      </c>
      <c r="AM1" s="500" t="s">
        <v>4397</v>
      </c>
      <c r="AN1" s="500" t="s">
        <v>4398</v>
      </c>
      <c r="AO1" s="501"/>
      <c r="AP1" s="501" t="s">
        <v>4399</v>
      </c>
      <c r="AQ1" s="501"/>
      <c r="AR1" s="501"/>
      <c r="AS1" s="501"/>
      <c r="AT1" s="501"/>
    </row>
    <row r="2" spans="1:46" ht="13">
      <c r="A2" s="1516" t="s">
        <v>109</v>
      </c>
      <c r="B2" s="1516" t="s">
        <v>456</v>
      </c>
      <c r="C2" s="503" t="s">
        <v>4400</v>
      </c>
      <c r="D2" s="504">
        <f>SUMIFS('PV SUPPLY DATA'!$X:$X,'PV SUPPLY DATA'!$AH:$AH,'CT capacity tracker'!$B2,'PV SUPPLY DATA'!$AG:$AG,'CT capacity tracker'!$A$1,'PV SUPPLY DATA'!$Z:$Z,'CT capacity tracker'!D$1)+SUMIFS('ESS SUPPLY DATA'!$U:$U,'ESS SUPPLY DATA'!$AF:$AF,'CT capacity tracker'!$B2,'ESS SUPPLY DATA'!$AE:$AE,'CT capacity tracker'!$A$1,'ESS SUPPLY DATA'!$X:$X,'CT capacity tracker'!D$1)</f>
        <v>11</v>
      </c>
      <c r="E2" s="504">
        <f>SUMIFS('PV SUPPLY DATA'!$X:$X,'PV SUPPLY DATA'!$AH:$AH,'CT capacity tracker'!$B2,'PV SUPPLY DATA'!$AG:$AG,'CT capacity tracker'!$A$1,'PV SUPPLY DATA'!$Y:$Y,'CT capacity tracker'!E$1)+SUMIFS('ESS SUPPLY DATA'!$U:$U,'ESS SUPPLY DATA'!$AF:$AF,'CT capacity tracker'!$B2,'ESS SUPPLY DATA'!$AE:$AE,'CT capacity tracker'!$A$1,'ESS SUPPLY DATA'!$W:$W,'CT capacity tracker'!E$1)</f>
        <v>0</v>
      </c>
      <c r="F2" s="504">
        <f>SUMIFS('PV SUPPLY DATA'!$X:$X,'PV SUPPLY DATA'!$AH:$AH,'CT capacity tracker'!$B2,'PV SUPPLY DATA'!$AG:$AG,'CT capacity tracker'!$A$1,'PV SUPPLY DATA'!$Y:$Y,'CT capacity tracker'!F$1)+SUMIFS('ESS SUPPLY DATA'!$U:$U,'ESS SUPPLY DATA'!$AF:$AF,'CT capacity tracker'!$B2,'ESS SUPPLY DATA'!$AE:$AE,'CT capacity tracker'!$A$1,'ESS SUPPLY DATA'!$W:$W,'CT capacity tracker'!F$1)</f>
        <v>0</v>
      </c>
      <c r="G2" s="504">
        <f>SUMIFS('PV SUPPLY DATA'!$X:$X,'PV SUPPLY DATA'!$AH:$AH,'CT capacity tracker'!$B2,'PV SUPPLY DATA'!$AG:$AG,'CT capacity tracker'!$A$1,'PV SUPPLY DATA'!$Y:$Y,'CT capacity tracker'!G$1)+SUMIFS('ESS SUPPLY DATA'!$U:$U,'ESS SUPPLY DATA'!$AF:$AF,'CT capacity tracker'!$B2,'ESS SUPPLY DATA'!$AE:$AE,'CT capacity tracker'!$A$1,'ESS SUPPLY DATA'!$W:$W,'CT capacity tracker'!G$1)</f>
        <v>0</v>
      </c>
      <c r="H2" s="504">
        <f>SUMIFS('PV SUPPLY DATA'!$X:$X,'PV SUPPLY DATA'!$AH:$AH,'CT capacity tracker'!$B2,'PV SUPPLY DATA'!$AG:$AG,'CT capacity tracker'!$A$1,'PV SUPPLY DATA'!$Y:$Y,'CT capacity tracker'!H$1)+SUMIFS('ESS SUPPLY DATA'!$U:$U,'ESS SUPPLY DATA'!$AF:$AF,'CT capacity tracker'!$B2,'ESS SUPPLY DATA'!$AE:$AE,'CT capacity tracker'!$A$1,'ESS SUPPLY DATA'!$W:$W,'CT capacity tracker'!H$1)</f>
        <v>3</v>
      </c>
      <c r="I2" s="504">
        <f>SUMIFS('PV SUPPLY DATA'!$X:$X,'PV SUPPLY DATA'!$AH:$AH,'CT capacity tracker'!$B2,'PV SUPPLY DATA'!$AG:$AG,'CT capacity tracker'!$A$1,'PV SUPPLY DATA'!$Y:$Y,'CT capacity tracker'!I$1)+SUMIFS('ESS SUPPLY DATA'!$U:$U,'ESS SUPPLY DATA'!$AF:$AF,'CT capacity tracker'!$B2,'ESS SUPPLY DATA'!$AE:$AE,'CT capacity tracker'!$A$1,'ESS SUPPLY DATA'!$W:$W,'CT capacity tracker'!I$1)</f>
        <v>0</v>
      </c>
      <c r="J2" s="504">
        <f>SUMIFS('PV SUPPLY DATA'!$X:$X,'PV SUPPLY DATA'!$AH:$AH,'CT capacity tracker'!$B2,'PV SUPPLY DATA'!$AG:$AG,'CT capacity tracker'!$A$1,'PV SUPPLY DATA'!$Y:$Y,'CT capacity tracker'!J$1)+SUMIFS('ESS SUPPLY DATA'!$U:$U,'ESS SUPPLY DATA'!$AF:$AF,'CT capacity tracker'!$B2,'ESS SUPPLY DATA'!$AE:$AE,'CT capacity tracker'!$A$1,'ESS SUPPLY DATA'!$W:$W,'CT capacity tracker'!J$1)</f>
        <v>3</v>
      </c>
      <c r="K2" s="504">
        <f>SUMIFS('PV SUPPLY DATA'!$X:$X,'PV SUPPLY DATA'!$AH:$AH,'CT capacity tracker'!$B2,'PV SUPPLY DATA'!$AG:$AG,'CT capacity tracker'!$A$1,'PV SUPPLY DATA'!$Y:$Y,'CT capacity tracker'!K$1)+SUMIFS('ESS SUPPLY DATA'!$U:$U,'ESS SUPPLY DATA'!$AF:$AF,'CT capacity tracker'!$B2,'ESS SUPPLY DATA'!$AE:$AE,'CT capacity tracker'!$A$1,'ESS SUPPLY DATA'!$W:$W,'CT capacity tracker'!K$1)</f>
        <v>0</v>
      </c>
      <c r="L2" s="504">
        <f>SUMIFS('PV SUPPLY DATA'!$X:$X,'PV SUPPLY DATA'!$AH:$AH,'CT capacity tracker'!$B2,'PV SUPPLY DATA'!$AG:$AG,'CT capacity tracker'!$A$1,'PV SUPPLY DATA'!$Y:$Y,'CT capacity tracker'!L$1)+SUMIFS('ESS SUPPLY DATA'!$U:$U,'ESS SUPPLY DATA'!$AF:$AF,'CT capacity tracker'!$B2,'ESS SUPPLY DATA'!$AE:$AE,'CT capacity tracker'!$A$1,'ESS SUPPLY DATA'!$W:$W,'CT capacity tracker'!L$1)</f>
        <v>1</v>
      </c>
      <c r="M2" s="504">
        <f>SUMIFS('PV SUPPLY DATA'!$X:$X,'PV SUPPLY DATA'!$AH:$AH,'CT capacity tracker'!$B2,'PV SUPPLY DATA'!$AG:$AG,'CT capacity tracker'!$A$1,'PV SUPPLY DATA'!$Y:$Y,'CT capacity tracker'!M$1)+SUMIFS('ESS SUPPLY DATA'!$U:$U,'ESS SUPPLY DATA'!$AF:$AF,'CT capacity tracker'!$B2,'ESS SUPPLY DATA'!$AE:$AE,'CT capacity tracker'!$A$1,'ESS SUPPLY DATA'!$W:$W,'CT capacity tracker'!M$1)</f>
        <v>5</v>
      </c>
      <c r="N2" s="504">
        <f>SUMIFS('PV SUPPLY DATA'!$X:$X,'PV SUPPLY DATA'!$AH:$AH,'CT capacity tracker'!$B2,'PV SUPPLY DATA'!$AG:$AG,'CT capacity tracker'!$A$1,'PV SUPPLY DATA'!$Y:$Y,'CT capacity tracker'!N$1)+SUMIFS('ESS SUPPLY DATA'!$U:$U,'ESS SUPPLY DATA'!$AF:$AF,'CT capacity tracker'!$B2,'ESS SUPPLY DATA'!$AE:$AE,'CT capacity tracker'!$A$1,'ESS SUPPLY DATA'!$W:$W,'CT capacity tracker'!N$1)</f>
        <v>0</v>
      </c>
      <c r="O2" s="504">
        <f>SUMIFS('PV SUPPLY DATA'!$X:$X,'PV SUPPLY DATA'!$AH:$AH,'CT capacity tracker'!$B2,'PV SUPPLY DATA'!$AG:$AG,'CT capacity tracker'!$A$1,'PV SUPPLY DATA'!$Y:$Y,'CT capacity tracker'!O$1)+SUMIFS('ESS SUPPLY DATA'!$U:$U,'ESS SUPPLY DATA'!$AF:$AF,'CT capacity tracker'!$B2,'ESS SUPPLY DATA'!$AE:$AE,'CT capacity tracker'!$A$1,'ESS SUPPLY DATA'!$W:$W,'CT capacity tracker'!O$1)</f>
        <v>5</v>
      </c>
      <c r="P2" s="504">
        <f>SUMIFS('PV SUPPLY DATA'!$X:$X,'PV SUPPLY DATA'!$AH:$AH,'CT capacity tracker'!$B2,'PV SUPPLY DATA'!$AG:$AG,'CT capacity tracker'!$A$1,'PV SUPPLY DATA'!$Y:$Y,'CT capacity tracker'!P$1)+SUMIFS('ESS SUPPLY DATA'!$U:$U,'ESS SUPPLY DATA'!$AF:$AF,'CT capacity tracker'!$B2,'ESS SUPPLY DATA'!$AE:$AE,'CT capacity tracker'!$A$1,'ESS SUPPLY DATA'!$W:$W,'CT capacity tracker'!P$1)</f>
        <v>1</v>
      </c>
      <c r="Q2" s="504">
        <f>SUMIFS('PV SUPPLY DATA'!$X:$X,'PV SUPPLY DATA'!$AH:$AH,'CT capacity tracker'!$B2,'PV SUPPLY DATA'!$AG:$AG,'CT capacity tracker'!$A$1,'PV SUPPLY DATA'!$Y:$Y,'CT capacity tracker'!Q$1)+SUMIFS('ESS SUPPLY DATA'!$U:$U,'ESS SUPPLY DATA'!$AF:$AF,'CT capacity tracker'!$B2,'ESS SUPPLY DATA'!$AE:$AE,'CT capacity tracker'!$A$1,'ESS SUPPLY DATA'!$W:$W,'CT capacity tracker'!Q$1)</f>
        <v>4</v>
      </c>
      <c r="R2" s="504">
        <f>SUMIFS('PV SUPPLY DATA'!$X:$X,'PV SUPPLY DATA'!$AH:$AH,'CT capacity tracker'!$B2,'PV SUPPLY DATA'!$AG:$AG,'CT capacity tracker'!$A$1,'PV SUPPLY DATA'!$Y:$Y,'CT capacity tracker'!R$1)+SUMIFS('ESS SUPPLY DATA'!$U:$U,'ESS SUPPLY DATA'!$AF:$AF,'CT capacity tracker'!$B2,'ESS SUPPLY DATA'!$AE:$AE,'CT capacity tracker'!$A$1,'ESS SUPPLY DATA'!$W:$W,'CT capacity tracker'!R$1)</f>
        <v>9</v>
      </c>
      <c r="S2" s="504">
        <f>SUMIFS('PV SUPPLY DATA'!$X:$X,'PV SUPPLY DATA'!$AH:$AH,'CT capacity tracker'!$B2,'PV SUPPLY DATA'!$AG:$AG,'CT capacity tracker'!$A$1,'PV SUPPLY DATA'!$Y:$Y,'CT capacity tracker'!S$1)+SUMIFS('ESS SUPPLY DATA'!$U:$U,'ESS SUPPLY DATA'!$AF:$AF,'CT capacity tracker'!$B2,'ESS SUPPLY DATA'!$AE:$AE,'CT capacity tracker'!$A$1,'ESS SUPPLY DATA'!$W:$W,'CT capacity tracker'!S$1)</f>
        <v>0</v>
      </c>
      <c r="T2" s="504">
        <f>SUMIFS('PV SUPPLY DATA'!$X:$X,'PV SUPPLY DATA'!$AH:$AH,'CT capacity tracker'!$B2,'PV SUPPLY DATA'!$AG:$AG,'CT capacity tracker'!$A$1,'PV SUPPLY DATA'!$Y:$Y,'CT capacity tracker'!T$1)+SUMIFS('ESS SUPPLY DATA'!$U:$U,'ESS SUPPLY DATA'!$AF:$AF,'CT capacity tracker'!$B2,'ESS SUPPLY DATA'!$AE:$AE,'CT capacity tracker'!$A$1,'ESS SUPPLY DATA'!$W:$W,'CT capacity tracker'!T$1)</f>
        <v>3</v>
      </c>
      <c r="U2" s="504">
        <f>SUMIFS('PV SUPPLY DATA'!$X:$X,'PV SUPPLY DATA'!$AH:$AH,'CT capacity tracker'!$B2,'PV SUPPLY DATA'!$AG:$AG,'CT capacity tracker'!$A$1,'PV SUPPLY DATA'!$Y:$Y,'CT capacity tracker'!U$1)+SUMIFS('ESS SUPPLY DATA'!$U:$U,'ESS SUPPLY DATA'!$AF:$AF,'CT capacity tracker'!$B2,'ESS SUPPLY DATA'!$AE:$AE,'CT capacity tracker'!$A$1,'ESS SUPPLY DATA'!$W:$W,'CT capacity tracker'!U$1)</f>
        <v>0</v>
      </c>
      <c r="V2" s="504">
        <f>SUMIFS('PV SUPPLY DATA'!$X:$X,'PV SUPPLY DATA'!$AH:$AH,'CT capacity tracker'!$B2,'PV SUPPLY DATA'!$AG:$AG,'CT capacity tracker'!$A$1,'PV SUPPLY DATA'!$Y:$Y,'CT capacity tracker'!V$1)+SUMIFS('ESS SUPPLY DATA'!$U:$U,'ESS SUPPLY DATA'!$AF:$AF,'CT capacity tracker'!$B2,'ESS SUPPLY DATA'!$AE:$AE,'CT capacity tracker'!$A$1,'ESS SUPPLY DATA'!$W:$W,'CT capacity tracker'!V$1)</f>
        <v>0</v>
      </c>
      <c r="W2" s="504">
        <f>SUMIFS('PV SUPPLY DATA'!$X:$X,'PV SUPPLY DATA'!$AH:$AH,'CT capacity tracker'!$B2,'PV SUPPLY DATA'!$AG:$AG,'CT capacity tracker'!$A$1,'PV SUPPLY DATA'!$Y:$Y,'CT capacity tracker'!W$1)+SUMIFS('ESS SUPPLY DATA'!$U:$U,'ESS SUPPLY DATA'!$AF:$AF,'CT capacity tracker'!$B2,'ESS SUPPLY DATA'!$AE:$AE,'CT capacity tracker'!$A$1,'ESS SUPPLY DATA'!$W:$W,'CT capacity tracker'!W$1)</f>
        <v>0</v>
      </c>
      <c r="X2" s="504">
        <f>SUMIFS('PV SUPPLY DATA'!$X:$X,'PV SUPPLY DATA'!$AH:$AH,'CT capacity tracker'!$B2,'PV SUPPLY DATA'!$AG:$AG,'CT capacity tracker'!$A$1,'PV SUPPLY DATA'!$Y:$Y,'CT capacity tracker'!X$1)+SUMIFS('ESS SUPPLY DATA'!$U:$U,'ESS SUPPLY DATA'!$AF:$AF,'CT capacity tracker'!$B2,'ESS SUPPLY DATA'!$AE:$AE,'CT capacity tracker'!$A$1,'ESS SUPPLY DATA'!$W:$W,'CT capacity tracker'!X$1)</f>
        <v>0</v>
      </c>
      <c r="Y2" s="504">
        <f>SUMIFS('PV SUPPLY DATA'!$X:$X,'PV SUPPLY DATA'!$AH:$AH,'CT capacity tracker'!$B2,'PV SUPPLY DATA'!$AG:$AG,'CT capacity tracker'!$A$1,'PV SUPPLY DATA'!$Y:$Y,'CT capacity tracker'!Y$1)+SUMIFS('ESS SUPPLY DATA'!$U:$U,'ESS SUPPLY DATA'!$AF:$AF,'CT capacity tracker'!$B2,'ESS SUPPLY DATA'!$AE:$AE,'CT capacity tracker'!$A$1,'ESS SUPPLY DATA'!$W:$W,'CT capacity tracker'!Y$1)</f>
        <v>5</v>
      </c>
      <c r="Z2" s="504">
        <f>SUMIFS('PV SUPPLY DATA'!$X:$X,'PV SUPPLY DATA'!$AH:$AH,'CT capacity tracker'!$B2,'PV SUPPLY DATA'!$AG:$AG,'CT capacity tracker'!$A$1,'PV SUPPLY DATA'!$Y:$Y,'CT capacity tracker'!Z$1)+SUMIFS('ESS SUPPLY DATA'!$U:$U,'ESS SUPPLY DATA'!$AF:$AF,'CT capacity tracker'!$B2,'ESS SUPPLY DATA'!$AE:$AE,'CT capacity tracker'!$A$1,'ESS SUPPLY DATA'!$W:$W,'CT capacity tracker'!Z$1)</f>
        <v>3</v>
      </c>
      <c r="AA2" s="504">
        <f>SUMIFS('PV SUPPLY DATA'!$X:$X,'PV SUPPLY DATA'!$AH:$AH,'CT capacity tracker'!$B2,'PV SUPPLY DATA'!$AG:$AG,'CT capacity tracker'!$A$1,'PV SUPPLY DATA'!$Y:$Y,'CT capacity tracker'!AA$1)+SUMIFS('ESS SUPPLY DATA'!$U:$U,'ESS SUPPLY DATA'!$AF:$AF,'CT capacity tracker'!$B2,'ESS SUPPLY DATA'!$AE:$AE,'CT capacity tracker'!$A$1,'ESS SUPPLY DATA'!$W:$W,'CT capacity tracker'!AA$1)</f>
        <v>9</v>
      </c>
      <c r="AB2" s="504">
        <f>SUMIFS('PV SUPPLY DATA'!$X:$X,'PV SUPPLY DATA'!$AH:$AH,'CT capacity tracker'!$B2,'PV SUPPLY DATA'!$AG:$AG,'CT capacity tracker'!$A$1,'PV SUPPLY DATA'!$Y:$Y,'CT capacity tracker'!AB$1)+SUMIFS('ESS SUPPLY DATA'!$U:$U,'ESS SUPPLY DATA'!$AF:$AF,'CT capacity tracker'!$B2,'ESS SUPPLY DATA'!$AE:$AE,'CT capacity tracker'!$A$1,'ESS SUPPLY DATA'!$W:$W,'CT capacity tracker'!AB$1)</f>
        <v>5</v>
      </c>
      <c r="AC2" s="504">
        <f>SUMIFS('PV SUPPLY DATA'!$X:$X,'PV SUPPLY DATA'!$AH:$AH,'CT capacity tracker'!$B2,'PV SUPPLY DATA'!$AG:$AG,'CT capacity tracker'!$A$1,'PV SUPPLY DATA'!$Y:$Y,'CT capacity tracker'!AC$1)+SUMIFS('ESS SUPPLY DATA'!$U:$U,'ESS SUPPLY DATA'!$AF:$AF,'CT capacity tracker'!$B2,'ESS SUPPLY DATA'!$AE:$AE,'CT capacity tracker'!$A$1,'ESS SUPPLY DATA'!$W:$W,'CT capacity tracker'!AC$1)</f>
        <v>0</v>
      </c>
      <c r="AD2" s="504">
        <f>SUMIFS('PV SUPPLY DATA'!$X:$X,'PV SUPPLY DATA'!$AH:$AH,'CT capacity tracker'!$B2,'PV SUPPLY DATA'!$AG:$AG,'CT capacity tracker'!$A$1,'PV SUPPLY DATA'!$Y:$Y,'CT capacity tracker'!AD$1)+SUMIFS('ESS SUPPLY DATA'!$U:$U,'ESS SUPPLY DATA'!$AF:$AF,'CT capacity tracker'!$B2,'ESS SUPPLY DATA'!$AE:$AE,'CT capacity tracker'!$A$1,'ESS SUPPLY DATA'!$W:$W,'CT capacity tracker'!AD$1)</f>
        <v>5</v>
      </c>
      <c r="AE2" s="504">
        <f>SUMIFS('PV SUPPLY DATA'!$X:$X,'PV SUPPLY DATA'!$AH:$AH,'CT capacity tracker'!$B2,'PV SUPPLY DATA'!$AG:$AG,'CT capacity tracker'!$A$1,'PV SUPPLY DATA'!$Y:$Y,'CT capacity tracker'!AE$1)+SUMIFS('ESS SUPPLY DATA'!$U:$U,'ESS SUPPLY DATA'!$AF:$AF,'CT capacity tracker'!$B2,'ESS SUPPLY DATA'!$AE:$AE,'CT capacity tracker'!$A$1,'ESS SUPPLY DATA'!$W:$W,'CT capacity tracker'!AE$1)</f>
        <v>0</v>
      </c>
      <c r="AF2" s="504">
        <f>SUMIFS('PV SUPPLY DATA'!$X:$X,'PV SUPPLY DATA'!$AH:$AH,'CT capacity tracker'!$B2,'PV SUPPLY DATA'!$AG:$AG,'CT capacity tracker'!$A$1,'PV SUPPLY DATA'!$Y:$Y,'CT capacity tracker'!AF$1)+SUMIFS('ESS SUPPLY DATA'!$U:$U,'ESS SUPPLY DATA'!$AF:$AF,'CT capacity tracker'!$B2,'ESS SUPPLY DATA'!$AE:$AE,'CT capacity tracker'!$A$1,'ESS SUPPLY DATA'!$W:$W,'CT capacity tracker'!AF$1)</f>
        <v>0</v>
      </c>
      <c r="AG2" s="504">
        <f>SUMIFS('PV SUPPLY DATA'!$X:$X,'PV SUPPLY DATA'!$AH:$AH,'CT capacity tracker'!$B2,'PV SUPPLY DATA'!$AG:$AG,'CT capacity tracker'!$A$1,'PV SUPPLY DATA'!$Y:$Y,'CT capacity tracker'!AG$1)+SUMIFS('ESS SUPPLY DATA'!$U:$U,'ESS SUPPLY DATA'!$AF:$AF,'CT capacity tracker'!$B2,'ESS SUPPLY DATA'!$AE:$AE,'CT capacity tracker'!$A$1,'ESS SUPPLY DATA'!$W:$W,'CT capacity tracker'!AG$1)</f>
        <v>0</v>
      </c>
      <c r="AH2" s="504">
        <f>SUMIFS('PV SUPPLY DATA'!$X:$X,'PV SUPPLY DATA'!$AH:$AH,'CT capacity tracker'!$B2,'PV SUPPLY DATA'!$AG:$AG,'CT capacity tracker'!$A$1,'PV SUPPLY DATA'!$Y:$Y,'CT capacity tracker'!AH$1)+SUMIFS('ESS SUPPLY DATA'!$U:$U,'ESS SUPPLY DATA'!$AF:$AF,'CT capacity tracker'!$B2,'ESS SUPPLY DATA'!$AE:$AE,'CT capacity tracker'!$A$1,'ESS SUPPLY DATA'!$W:$W,'CT capacity tracker'!AH$1)</f>
        <v>0</v>
      </c>
      <c r="AI2" s="504">
        <f>SUMIFS('PV SUPPLY DATA'!$X:$X,'PV SUPPLY DATA'!$AH:$AH,'CT capacity tracker'!$B2,'PV SUPPLY DATA'!$AG:$AG,'CT capacity tracker'!$A$1,'PV SUPPLY DATA'!$Y:$Y,'CT capacity tracker'!AI$1)+SUMIFS('ESS SUPPLY DATA'!$U:$U,'ESS SUPPLY DATA'!$AF:$AF,'CT capacity tracker'!$B2,'ESS SUPPLY DATA'!$AE:$AE,'CT capacity tracker'!$A$1,'ESS SUPPLY DATA'!$W:$W,'CT capacity tracker'!AI$1)</f>
        <v>0</v>
      </c>
      <c r="AJ2" s="504">
        <f>SUMIFS('PV SUPPLY DATA'!$X:$X,'PV SUPPLY DATA'!$AH:$AH,'CT capacity tracker'!$B2,'PV SUPPLY DATA'!$AG:$AG,'CT capacity tracker'!$A$1,'PV SUPPLY DATA'!$Y:$Y,'CT capacity tracker'!AJ$1)+SUMIFS('ESS SUPPLY DATA'!$U:$U,'ESS SUPPLY DATA'!$AF:$AF,'CT capacity tracker'!$B2,'ESS SUPPLY DATA'!$AE:$AE,'CT capacity tracker'!$A$1,'ESS SUPPLY DATA'!$W:$W,'CT capacity tracker'!AJ$1)</f>
        <v>0</v>
      </c>
      <c r="AK2" s="505" t="s">
        <v>197</v>
      </c>
      <c r="AL2" s="505" t="s">
        <v>197</v>
      </c>
      <c r="AM2" s="696">
        <f>SUM(E2:X2)</f>
        <v>34</v>
      </c>
      <c r="AN2" s="503" t="s">
        <v>197</v>
      </c>
      <c r="AP2" s="506"/>
      <c r="AQ2" s="506"/>
      <c r="AR2" s="506"/>
      <c r="AS2" s="506"/>
      <c r="AT2" s="506"/>
    </row>
    <row r="3" spans="1:46" ht="13">
      <c r="A3" s="1517"/>
      <c r="B3" s="1516"/>
      <c r="C3" s="509" t="s">
        <v>4401</v>
      </c>
      <c r="D3" s="509"/>
      <c r="E3" s="510">
        <v>3</v>
      </c>
      <c r="F3" s="510">
        <v>3</v>
      </c>
      <c r="G3" s="510">
        <v>3</v>
      </c>
      <c r="H3" s="510">
        <v>3</v>
      </c>
      <c r="I3" s="510">
        <v>0</v>
      </c>
      <c r="J3" s="510">
        <v>3</v>
      </c>
      <c r="K3" s="510">
        <v>0</v>
      </c>
      <c r="L3" s="510">
        <v>1</v>
      </c>
      <c r="M3" s="510">
        <v>5</v>
      </c>
      <c r="N3" s="510">
        <v>0</v>
      </c>
      <c r="O3" s="510">
        <v>5</v>
      </c>
      <c r="P3" s="510">
        <f>5-1</f>
        <v>4</v>
      </c>
      <c r="Q3" s="510">
        <v>0</v>
      </c>
      <c r="R3" s="510">
        <v>5</v>
      </c>
      <c r="S3" s="510">
        <v>3</v>
      </c>
      <c r="T3" s="510">
        <v>5</v>
      </c>
      <c r="U3" s="510">
        <v>0</v>
      </c>
      <c r="V3" s="510"/>
      <c r="W3" s="510"/>
      <c r="X3" s="510">
        <v>0</v>
      </c>
      <c r="Y3" s="510">
        <v>5</v>
      </c>
      <c r="Z3" s="510">
        <v>5</v>
      </c>
      <c r="AA3" s="510">
        <v>5</v>
      </c>
      <c r="AB3" s="510">
        <v>0</v>
      </c>
      <c r="AC3" s="510">
        <v>5</v>
      </c>
      <c r="AD3" s="510">
        <v>5</v>
      </c>
      <c r="AE3" s="510">
        <v>5</v>
      </c>
      <c r="AF3" s="510">
        <v>0</v>
      </c>
      <c r="AG3" s="510"/>
      <c r="AH3" s="510"/>
      <c r="AI3" s="510"/>
      <c r="AJ3" s="510"/>
      <c r="AK3" s="505" t="s">
        <v>197</v>
      </c>
      <c r="AL3" s="505" t="s">
        <v>197</v>
      </c>
      <c r="AM3" s="696"/>
      <c r="AN3" s="503" t="s">
        <v>197</v>
      </c>
      <c r="AO3" s="506"/>
      <c r="AP3" s="506"/>
      <c r="AQ3" s="506"/>
      <c r="AR3" s="506" t="s">
        <v>197</v>
      </c>
      <c r="AS3" s="506" t="s">
        <v>197</v>
      </c>
      <c r="AT3" s="506" t="s">
        <v>197</v>
      </c>
    </row>
    <row r="4" spans="1:46" ht="13">
      <c r="A4" s="1517"/>
      <c r="B4" s="1516"/>
      <c r="C4" s="520" t="s">
        <v>4402</v>
      </c>
      <c r="D4" s="522"/>
      <c r="E4" s="522">
        <f t="shared" ref="E4:T4" si="0">E3-E2</f>
        <v>3</v>
      </c>
      <c r="F4" s="522">
        <f t="shared" si="0"/>
        <v>3</v>
      </c>
      <c r="G4" s="522">
        <f t="shared" si="0"/>
        <v>3</v>
      </c>
      <c r="H4" s="522">
        <f t="shared" si="0"/>
        <v>0</v>
      </c>
      <c r="I4" s="522">
        <f t="shared" si="0"/>
        <v>0</v>
      </c>
      <c r="J4" s="522">
        <f t="shared" si="0"/>
        <v>0</v>
      </c>
      <c r="K4" s="522">
        <f t="shared" si="0"/>
        <v>0</v>
      </c>
      <c r="L4" s="522">
        <f t="shared" si="0"/>
        <v>0</v>
      </c>
      <c r="M4" s="522">
        <f t="shared" si="0"/>
        <v>0</v>
      </c>
      <c r="N4" s="522">
        <f t="shared" si="0"/>
        <v>0</v>
      </c>
      <c r="O4" s="522">
        <f t="shared" si="0"/>
        <v>0</v>
      </c>
      <c r="P4" s="522">
        <f t="shared" si="0"/>
        <v>3</v>
      </c>
      <c r="Q4" s="522">
        <f>Q3-Q2</f>
        <v>-4</v>
      </c>
      <c r="R4" s="522">
        <f t="shared" si="0"/>
        <v>-4</v>
      </c>
      <c r="S4" s="522">
        <f t="shared" si="0"/>
        <v>3</v>
      </c>
      <c r="T4" s="522">
        <f t="shared" si="0"/>
        <v>2</v>
      </c>
      <c r="U4" s="522">
        <f t="shared" ref="U4:AB4" si="1">U3-U2</f>
        <v>0</v>
      </c>
      <c r="V4" s="522">
        <f t="shared" si="1"/>
        <v>0</v>
      </c>
      <c r="W4" s="522">
        <f t="shared" si="1"/>
        <v>0</v>
      </c>
      <c r="X4" s="522">
        <f t="shared" si="1"/>
        <v>0</v>
      </c>
      <c r="Y4" s="522">
        <f t="shared" si="1"/>
        <v>0</v>
      </c>
      <c r="Z4" s="522">
        <f t="shared" si="1"/>
        <v>2</v>
      </c>
      <c r="AA4" s="522">
        <f t="shared" si="1"/>
        <v>-4</v>
      </c>
      <c r="AB4" s="522">
        <f t="shared" si="1"/>
        <v>-5</v>
      </c>
      <c r="AC4" s="522">
        <f t="shared" ref="AC4:AJ4" si="2">AC3-AC2</f>
        <v>5</v>
      </c>
      <c r="AD4" s="522">
        <f t="shared" si="2"/>
        <v>0</v>
      </c>
      <c r="AE4" s="522">
        <f t="shared" si="2"/>
        <v>5</v>
      </c>
      <c r="AF4" s="522">
        <f t="shared" si="2"/>
        <v>0</v>
      </c>
      <c r="AG4" s="522">
        <f t="shared" si="2"/>
        <v>0</v>
      </c>
      <c r="AH4" s="522">
        <f t="shared" si="2"/>
        <v>0</v>
      </c>
      <c r="AI4" s="522">
        <f t="shared" si="2"/>
        <v>0</v>
      </c>
      <c r="AJ4" s="522">
        <f t="shared" si="2"/>
        <v>0</v>
      </c>
      <c r="AK4" s="511">
        <f>SUMIF($E4:$X4,"&gt;0")</f>
        <v>17</v>
      </c>
      <c r="AL4" s="511">
        <f>SUMIF($E4:$X4,"&lt;0")</f>
        <v>-8</v>
      </c>
      <c r="AM4" s="696"/>
      <c r="AN4" s="503"/>
      <c r="AO4" s="506"/>
      <c r="AP4" s="534">
        <f>SUM(G4:J4)</f>
        <v>3</v>
      </c>
      <c r="AQ4" s="506"/>
      <c r="AR4" s="506" t="s">
        <v>197</v>
      </c>
      <c r="AS4" s="506" t="s">
        <v>197</v>
      </c>
      <c r="AT4" s="506" t="s">
        <v>197</v>
      </c>
    </row>
    <row r="5" spans="1:46" ht="13">
      <c r="A5" s="1517"/>
      <c r="B5" s="1516"/>
      <c r="C5" s="503" t="s">
        <v>4403</v>
      </c>
      <c r="D5" s="504"/>
      <c r="E5" s="504">
        <f>SUMIFS('PV SUPPLY DATA'!$X:$X,'PV SUPPLY DATA'!$AH:$AH,'CT capacity tracker'!$B2,'PV SUPPLY DATA'!$AG:$AG,'CT capacity tracker'!$A$1,'PV SUPPLY DATA'!$Y:$Y,E$1,'PV SUPPLY DATA'!$AQ:$AQ,"cosco")+SUMIFS('PV SUPPLY DATA'!$X:$X,'PV SUPPLY DATA'!$AH:$AH,'CT capacity tracker'!$B2,'PV SUPPLY DATA'!$AG:$AG,'CT capacity tracker'!$A$1,'PV SUPPLY DATA'!$Y:$Y,E$1,'PV SUPPLY DATA'!$AQ:$AQ,"other")+SUMIFS('ESS SUPPLY DATA'!$U:$U,'ESS SUPPLY DATA'!$AF:$AF,'CT capacity tracker'!$B2,'ESS SUPPLY DATA'!$AE:$AE,'CT capacity tracker'!$A$1,'ESS SUPPLY DATA'!$W:$W,'CT capacity tracker'!E$1,'ESS SUPPLY DATA'!$AO:$AO,"cosco")+SUMIFS('ESS SUPPLY DATA'!$U:$U,'ESS SUPPLY DATA'!$AF:$AF,'CT capacity tracker'!$B2,'ESS SUPPLY DATA'!$AE:$AE,'CT capacity tracker'!$A$1,'ESS SUPPLY DATA'!$W:$W,'CT capacity tracker'!E$1,'ESS SUPPLY DATA'!$AO:$AO,"other")</f>
        <v>0</v>
      </c>
      <c r="F5" s="504">
        <f>SUMIFS('PV SUPPLY DATA'!$X:$X,'PV SUPPLY DATA'!$AH:$AH,'CT capacity tracker'!$B2,'PV SUPPLY DATA'!$AG:$AG,'CT capacity tracker'!$A$1,'PV SUPPLY DATA'!$Y:$Y,F$1,'PV SUPPLY DATA'!$AQ:$AQ,"cosco")+SUMIFS('PV SUPPLY DATA'!$X:$X,'PV SUPPLY DATA'!$AH:$AH,'CT capacity tracker'!$B2,'PV SUPPLY DATA'!$AG:$AG,'CT capacity tracker'!$A$1,'PV SUPPLY DATA'!$Y:$Y,F$1,'PV SUPPLY DATA'!$AQ:$AQ,"other")+SUMIFS('ESS SUPPLY DATA'!$U:$U,'ESS SUPPLY DATA'!$AF:$AF,'CT capacity tracker'!$B2,'ESS SUPPLY DATA'!$AE:$AE,'CT capacity tracker'!$A$1,'ESS SUPPLY DATA'!$W:$W,'CT capacity tracker'!F$1,'ESS SUPPLY DATA'!$AO:$AO,"cosco")+SUMIFS('ESS SUPPLY DATA'!$U:$U,'ESS SUPPLY DATA'!$AF:$AF,'CT capacity tracker'!$B2,'ESS SUPPLY DATA'!$AE:$AE,'CT capacity tracker'!$A$1,'ESS SUPPLY DATA'!$W:$W,'CT capacity tracker'!F$1,'ESS SUPPLY DATA'!$AO:$AO,"other")</f>
        <v>0</v>
      </c>
      <c r="G5" s="504">
        <f>SUMIFS('PV SUPPLY DATA'!$X:$X,'PV SUPPLY DATA'!$AH:$AH,'CT capacity tracker'!$B2,'PV SUPPLY DATA'!$AG:$AG,'CT capacity tracker'!$A$1,'PV SUPPLY DATA'!$Y:$Y,G$1,'PV SUPPLY DATA'!$AQ:$AQ,"cosco")+SUMIFS('PV SUPPLY DATA'!$X:$X,'PV SUPPLY DATA'!$AH:$AH,'CT capacity tracker'!$B2,'PV SUPPLY DATA'!$AG:$AG,'CT capacity tracker'!$A$1,'PV SUPPLY DATA'!$Y:$Y,G$1,'PV SUPPLY DATA'!$AQ:$AQ,"other")+SUMIFS('ESS SUPPLY DATA'!$U:$U,'ESS SUPPLY DATA'!$AF:$AF,'CT capacity tracker'!$B2,'ESS SUPPLY DATA'!$AE:$AE,'CT capacity tracker'!$A$1,'ESS SUPPLY DATA'!$W:$W,'CT capacity tracker'!G$1,'ESS SUPPLY DATA'!$AO:$AO,"cosco")+SUMIFS('ESS SUPPLY DATA'!$U:$U,'ESS SUPPLY DATA'!$AF:$AF,'CT capacity tracker'!$B2,'ESS SUPPLY DATA'!$AE:$AE,'CT capacity tracker'!$A$1,'ESS SUPPLY DATA'!$W:$W,'CT capacity tracker'!G$1,'ESS SUPPLY DATA'!$AO:$AO,"other")</f>
        <v>0</v>
      </c>
      <c r="H5" s="504">
        <f>SUMIFS('PV SUPPLY DATA'!$X:$X,'PV SUPPLY DATA'!$AH:$AH,'CT capacity tracker'!$B2,'PV SUPPLY DATA'!$AG:$AG,'CT capacity tracker'!$A$1,'PV SUPPLY DATA'!$Y:$Y,H$1,'PV SUPPLY DATA'!$AQ:$AQ,"cosco")+SUMIFS('PV SUPPLY DATA'!$X:$X,'PV SUPPLY DATA'!$AH:$AH,'CT capacity tracker'!$B2,'PV SUPPLY DATA'!$AG:$AG,'CT capacity tracker'!$A$1,'PV SUPPLY DATA'!$Y:$Y,H$1,'PV SUPPLY DATA'!$AQ:$AQ,"other")+SUMIFS('ESS SUPPLY DATA'!$U:$U,'ESS SUPPLY DATA'!$AF:$AF,'CT capacity tracker'!$B2,'ESS SUPPLY DATA'!$AE:$AE,'CT capacity tracker'!$A$1,'ESS SUPPLY DATA'!$W:$W,'CT capacity tracker'!H$1,'ESS SUPPLY DATA'!$AO:$AO,"cosco")+SUMIFS('ESS SUPPLY DATA'!$U:$U,'ESS SUPPLY DATA'!$AF:$AF,'CT capacity tracker'!$B2,'ESS SUPPLY DATA'!$AE:$AE,'CT capacity tracker'!$A$1,'ESS SUPPLY DATA'!$W:$W,'CT capacity tracker'!H$1,'ESS SUPPLY DATA'!$AO:$AO,"other")</f>
        <v>3</v>
      </c>
      <c r="I5" s="504">
        <f>SUMIFS('PV SUPPLY DATA'!$X:$X,'PV SUPPLY DATA'!$AH:$AH,'CT capacity tracker'!$B2,'PV SUPPLY DATA'!$AG:$AG,'CT capacity tracker'!$A$1,'PV SUPPLY DATA'!$Y:$Y,I$1,'PV SUPPLY DATA'!$AQ:$AQ,"cosco")+SUMIFS('PV SUPPLY DATA'!$X:$X,'PV SUPPLY DATA'!$AH:$AH,'CT capacity tracker'!$B2,'PV SUPPLY DATA'!$AG:$AG,'CT capacity tracker'!$A$1,'PV SUPPLY DATA'!$Y:$Y,I$1,'PV SUPPLY DATA'!$AQ:$AQ,"other")+SUMIFS('ESS SUPPLY DATA'!$U:$U,'ESS SUPPLY DATA'!$AF:$AF,'CT capacity tracker'!$B2,'ESS SUPPLY DATA'!$AE:$AE,'CT capacity tracker'!$A$1,'ESS SUPPLY DATA'!$W:$W,'CT capacity tracker'!I$1,'ESS SUPPLY DATA'!$AO:$AO,"cosco")+SUMIFS('ESS SUPPLY DATA'!$U:$U,'ESS SUPPLY DATA'!$AF:$AF,'CT capacity tracker'!$B2,'ESS SUPPLY DATA'!$AE:$AE,'CT capacity tracker'!$A$1,'ESS SUPPLY DATA'!$W:$W,'CT capacity tracker'!I$1,'ESS SUPPLY DATA'!$AO:$AO,"other")</f>
        <v>0</v>
      </c>
      <c r="J5" s="504">
        <f>SUMIFS('PV SUPPLY DATA'!$X:$X,'PV SUPPLY DATA'!$AH:$AH,'CT capacity tracker'!$B2,'PV SUPPLY DATA'!$AG:$AG,'CT capacity tracker'!$A$1,'PV SUPPLY DATA'!$Y:$Y,J$1,'PV SUPPLY DATA'!$AQ:$AQ,"cosco")+SUMIFS('PV SUPPLY DATA'!$X:$X,'PV SUPPLY DATA'!$AH:$AH,'CT capacity tracker'!$B2,'PV SUPPLY DATA'!$AG:$AG,'CT capacity tracker'!$A$1,'PV SUPPLY DATA'!$Y:$Y,J$1,'PV SUPPLY DATA'!$AQ:$AQ,"other")+SUMIFS('ESS SUPPLY DATA'!$U:$U,'ESS SUPPLY DATA'!$AF:$AF,'CT capacity tracker'!$B2,'ESS SUPPLY DATA'!$AE:$AE,'CT capacity tracker'!$A$1,'ESS SUPPLY DATA'!$W:$W,'CT capacity tracker'!J$1,'ESS SUPPLY DATA'!$AO:$AO,"cosco")+SUMIFS('ESS SUPPLY DATA'!$U:$U,'ESS SUPPLY DATA'!$AF:$AF,'CT capacity tracker'!$B2,'ESS SUPPLY DATA'!$AE:$AE,'CT capacity tracker'!$A$1,'ESS SUPPLY DATA'!$W:$W,'CT capacity tracker'!J$1,'ESS SUPPLY DATA'!$AO:$AO,"other")</f>
        <v>3</v>
      </c>
      <c r="K5" s="504">
        <f>SUMIFS('PV SUPPLY DATA'!$X:$X,'PV SUPPLY DATA'!$AH:$AH,'CT capacity tracker'!$B2,'PV SUPPLY DATA'!$AG:$AG,'CT capacity tracker'!$A$1,'PV SUPPLY DATA'!$Y:$Y,K$1,'PV SUPPLY DATA'!$AQ:$AQ,"cosco")+SUMIFS('PV SUPPLY DATA'!$X:$X,'PV SUPPLY DATA'!$AH:$AH,'CT capacity tracker'!$B2,'PV SUPPLY DATA'!$AG:$AG,'CT capacity tracker'!$A$1,'PV SUPPLY DATA'!$Y:$Y,K$1,'PV SUPPLY DATA'!$AQ:$AQ,"other")+SUMIFS('ESS SUPPLY DATA'!$U:$U,'ESS SUPPLY DATA'!$AF:$AF,'CT capacity tracker'!$B2,'ESS SUPPLY DATA'!$AE:$AE,'CT capacity tracker'!$A$1,'ESS SUPPLY DATA'!$W:$W,'CT capacity tracker'!K$1,'ESS SUPPLY DATA'!$AO:$AO,"cosco")+SUMIFS('ESS SUPPLY DATA'!$U:$U,'ESS SUPPLY DATA'!$AF:$AF,'CT capacity tracker'!$B2,'ESS SUPPLY DATA'!$AE:$AE,'CT capacity tracker'!$A$1,'ESS SUPPLY DATA'!$W:$W,'CT capacity tracker'!K$1,'ESS SUPPLY DATA'!$AO:$AO,"other")</f>
        <v>0</v>
      </c>
      <c r="L5" s="504">
        <f>SUMIFS('PV SUPPLY DATA'!$X:$X,'PV SUPPLY DATA'!$AH:$AH,'CT capacity tracker'!$B2,'PV SUPPLY DATA'!$AG:$AG,'CT capacity tracker'!$A$1,'PV SUPPLY DATA'!$Y:$Y,L$1,'PV SUPPLY DATA'!$AQ:$AQ,"cosco")+SUMIFS('PV SUPPLY DATA'!$X:$X,'PV SUPPLY DATA'!$AH:$AH,'CT capacity tracker'!$B2,'PV SUPPLY DATA'!$AG:$AG,'CT capacity tracker'!$A$1,'PV SUPPLY DATA'!$Y:$Y,L$1,'PV SUPPLY DATA'!$AQ:$AQ,"other")+SUMIFS('ESS SUPPLY DATA'!$U:$U,'ESS SUPPLY DATA'!$AF:$AF,'CT capacity tracker'!$B2,'ESS SUPPLY DATA'!$AE:$AE,'CT capacity tracker'!$A$1,'ESS SUPPLY DATA'!$W:$W,'CT capacity tracker'!L$1,'ESS SUPPLY DATA'!$AO:$AO,"cosco")+SUMIFS('ESS SUPPLY DATA'!$U:$U,'ESS SUPPLY DATA'!$AF:$AF,'CT capacity tracker'!$B2,'ESS SUPPLY DATA'!$AE:$AE,'CT capacity tracker'!$A$1,'ESS SUPPLY DATA'!$W:$W,'CT capacity tracker'!L$1,'ESS SUPPLY DATA'!$AO:$AO,"other")</f>
        <v>1</v>
      </c>
      <c r="M5" s="504">
        <f>SUMIFS('PV SUPPLY DATA'!$X:$X,'PV SUPPLY DATA'!$AH:$AH,'CT capacity tracker'!$B2,'PV SUPPLY DATA'!$AG:$AG,'CT capacity tracker'!$A$1,'PV SUPPLY DATA'!$Y:$Y,M$1,'PV SUPPLY DATA'!$AQ:$AQ,"cosco")+SUMIFS('PV SUPPLY DATA'!$X:$X,'PV SUPPLY DATA'!$AH:$AH,'CT capacity tracker'!$B2,'PV SUPPLY DATA'!$AG:$AG,'CT capacity tracker'!$A$1,'PV SUPPLY DATA'!$Y:$Y,M$1,'PV SUPPLY DATA'!$AQ:$AQ,"other")+SUMIFS('ESS SUPPLY DATA'!$U:$U,'ESS SUPPLY DATA'!$AF:$AF,'CT capacity tracker'!$B2,'ESS SUPPLY DATA'!$AE:$AE,'CT capacity tracker'!$A$1,'ESS SUPPLY DATA'!$W:$W,'CT capacity tracker'!M$1,'ESS SUPPLY DATA'!$AO:$AO,"cosco")+SUMIFS('ESS SUPPLY DATA'!$U:$U,'ESS SUPPLY DATA'!$AF:$AF,'CT capacity tracker'!$B2,'ESS SUPPLY DATA'!$AE:$AE,'CT capacity tracker'!$A$1,'ESS SUPPLY DATA'!$W:$W,'CT capacity tracker'!M$1,'ESS SUPPLY DATA'!$AO:$AO,"other")</f>
        <v>5</v>
      </c>
      <c r="N5" s="504">
        <f>SUMIFS('PV SUPPLY DATA'!$X:$X,'PV SUPPLY DATA'!$AH:$AH,'CT capacity tracker'!$B2,'PV SUPPLY DATA'!$AG:$AG,'CT capacity tracker'!$A$1,'PV SUPPLY DATA'!$Y:$Y,N$1,'PV SUPPLY DATA'!$AQ:$AQ,"cosco")+SUMIFS('PV SUPPLY DATA'!$X:$X,'PV SUPPLY DATA'!$AH:$AH,'CT capacity tracker'!$B2,'PV SUPPLY DATA'!$AG:$AG,'CT capacity tracker'!$A$1,'PV SUPPLY DATA'!$Y:$Y,N$1,'PV SUPPLY DATA'!$AQ:$AQ,"other")+SUMIFS('ESS SUPPLY DATA'!$U:$U,'ESS SUPPLY DATA'!$AF:$AF,'CT capacity tracker'!$B2,'ESS SUPPLY DATA'!$AE:$AE,'CT capacity tracker'!$A$1,'ESS SUPPLY DATA'!$W:$W,'CT capacity tracker'!N$1,'ESS SUPPLY DATA'!$AO:$AO,"cosco")+SUMIFS('ESS SUPPLY DATA'!$U:$U,'ESS SUPPLY DATA'!$AF:$AF,'CT capacity tracker'!$B2,'ESS SUPPLY DATA'!$AE:$AE,'CT capacity tracker'!$A$1,'ESS SUPPLY DATA'!$W:$W,'CT capacity tracker'!N$1,'ESS SUPPLY DATA'!$AO:$AO,"other")</f>
        <v>0</v>
      </c>
      <c r="O5" s="504">
        <f>SUMIFS('PV SUPPLY DATA'!$X:$X,'PV SUPPLY DATA'!$AH:$AH,'CT capacity tracker'!$B2,'PV SUPPLY DATA'!$AG:$AG,'CT capacity tracker'!$A$1,'PV SUPPLY DATA'!$Y:$Y,O$1,'PV SUPPLY DATA'!$AQ:$AQ,"cosco")+SUMIFS('PV SUPPLY DATA'!$X:$X,'PV SUPPLY DATA'!$AH:$AH,'CT capacity tracker'!$B2,'PV SUPPLY DATA'!$AG:$AG,'CT capacity tracker'!$A$1,'PV SUPPLY DATA'!$Y:$Y,O$1,'PV SUPPLY DATA'!$AQ:$AQ,"other")+SUMIFS('ESS SUPPLY DATA'!$U:$U,'ESS SUPPLY DATA'!$AF:$AF,'CT capacity tracker'!$B2,'ESS SUPPLY DATA'!$AE:$AE,'CT capacity tracker'!$A$1,'ESS SUPPLY DATA'!$W:$W,'CT capacity tracker'!O$1,'ESS SUPPLY DATA'!$AO:$AO,"cosco")+SUMIFS('ESS SUPPLY DATA'!$U:$U,'ESS SUPPLY DATA'!$AF:$AF,'CT capacity tracker'!$B2,'ESS SUPPLY DATA'!$AE:$AE,'CT capacity tracker'!$A$1,'ESS SUPPLY DATA'!$W:$W,'CT capacity tracker'!O$1,'ESS SUPPLY DATA'!$AO:$AO,"other")</f>
        <v>5</v>
      </c>
      <c r="P5" s="504">
        <f>SUMIFS('PV SUPPLY DATA'!$X:$X,'PV SUPPLY DATA'!$AH:$AH,'CT capacity tracker'!$B2,'PV SUPPLY DATA'!$AG:$AG,'CT capacity tracker'!$A$1,'PV SUPPLY DATA'!$Y:$Y,P$1,'PV SUPPLY DATA'!$AQ:$AQ,"cosco")+SUMIFS('PV SUPPLY DATA'!$X:$X,'PV SUPPLY DATA'!$AH:$AH,'CT capacity tracker'!$B2,'PV SUPPLY DATA'!$AG:$AG,'CT capacity tracker'!$A$1,'PV SUPPLY DATA'!$Y:$Y,P$1,'PV SUPPLY DATA'!$AQ:$AQ,"other")+SUMIFS('ESS SUPPLY DATA'!$U:$U,'ESS SUPPLY DATA'!$AF:$AF,'CT capacity tracker'!$B2,'ESS SUPPLY DATA'!$AE:$AE,'CT capacity tracker'!$A$1,'ESS SUPPLY DATA'!$W:$W,'CT capacity tracker'!P$1,'ESS SUPPLY DATA'!$AO:$AO,"cosco")+SUMIFS('ESS SUPPLY DATA'!$U:$U,'ESS SUPPLY DATA'!$AF:$AF,'CT capacity tracker'!$B2,'ESS SUPPLY DATA'!$AE:$AE,'CT capacity tracker'!$A$1,'ESS SUPPLY DATA'!$W:$W,'CT capacity tracker'!P$1,'ESS SUPPLY DATA'!$AO:$AO,"other")</f>
        <v>1</v>
      </c>
      <c r="Q5" s="504">
        <f>SUMIFS('PV SUPPLY DATA'!$X:$X,'PV SUPPLY DATA'!$AH:$AH,'CT capacity tracker'!$B2,'PV SUPPLY DATA'!$AG:$AG,'CT capacity tracker'!$A$1,'PV SUPPLY DATA'!$Y:$Y,Q$1,'PV SUPPLY DATA'!$AQ:$AQ,"cosco")+SUMIFS('PV SUPPLY DATA'!$X:$X,'PV SUPPLY DATA'!$AH:$AH,'CT capacity tracker'!$B2,'PV SUPPLY DATA'!$AG:$AG,'CT capacity tracker'!$A$1,'PV SUPPLY DATA'!$Y:$Y,Q$1,'PV SUPPLY DATA'!$AQ:$AQ,"other")+SUMIFS('ESS SUPPLY DATA'!$U:$U,'ESS SUPPLY DATA'!$AF:$AF,'CT capacity tracker'!$B2,'ESS SUPPLY DATA'!$AE:$AE,'CT capacity tracker'!$A$1,'ESS SUPPLY DATA'!$W:$W,'CT capacity tracker'!Q$1,'ESS SUPPLY DATA'!$AO:$AO,"cosco")+SUMIFS('ESS SUPPLY DATA'!$U:$U,'ESS SUPPLY DATA'!$AF:$AF,'CT capacity tracker'!$B2,'ESS SUPPLY DATA'!$AE:$AE,'CT capacity tracker'!$A$1,'ESS SUPPLY DATA'!$W:$W,'CT capacity tracker'!Q$1,'ESS SUPPLY DATA'!$AO:$AO,"other")</f>
        <v>4</v>
      </c>
      <c r="R5" s="504">
        <f>SUMIFS('PV SUPPLY DATA'!$X:$X,'PV SUPPLY DATA'!$AH:$AH,'CT capacity tracker'!$B2,'PV SUPPLY DATA'!$AG:$AG,'CT capacity tracker'!$A$1,'PV SUPPLY DATA'!$Y:$Y,R$1,'PV SUPPLY DATA'!$AQ:$AQ,"cosco")+SUMIFS('PV SUPPLY DATA'!$X:$X,'PV SUPPLY DATA'!$AH:$AH,'CT capacity tracker'!$B2,'PV SUPPLY DATA'!$AG:$AG,'CT capacity tracker'!$A$1,'PV SUPPLY DATA'!$Y:$Y,R$1,'PV SUPPLY DATA'!$AQ:$AQ,"other")+SUMIFS('ESS SUPPLY DATA'!$U:$U,'ESS SUPPLY DATA'!$AF:$AF,'CT capacity tracker'!$B2,'ESS SUPPLY DATA'!$AE:$AE,'CT capacity tracker'!$A$1,'ESS SUPPLY DATA'!$W:$W,'CT capacity tracker'!R$1,'ESS SUPPLY DATA'!$AO:$AO,"cosco")+SUMIFS('ESS SUPPLY DATA'!$U:$U,'ESS SUPPLY DATA'!$AF:$AF,'CT capacity tracker'!$B2,'ESS SUPPLY DATA'!$AE:$AE,'CT capacity tracker'!$A$1,'ESS SUPPLY DATA'!$W:$W,'CT capacity tracker'!R$1,'ESS SUPPLY DATA'!$AO:$AO,"other")</f>
        <v>9</v>
      </c>
      <c r="S5" s="504">
        <f>SUMIFS('PV SUPPLY DATA'!$X:$X,'PV SUPPLY DATA'!$AH:$AH,'CT capacity tracker'!$B2,'PV SUPPLY DATA'!$AG:$AG,'CT capacity tracker'!$A$1,'PV SUPPLY DATA'!$Y:$Y,S$1,'PV SUPPLY DATA'!$AQ:$AQ,"cosco")+SUMIFS('PV SUPPLY DATA'!$X:$X,'PV SUPPLY DATA'!$AH:$AH,'CT capacity tracker'!$B2,'PV SUPPLY DATA'!$AG:$AG,'CT capacity tracker'!$A$1,'PV SUPPLY DATA'!$Y:$Y,S$1,'PV SUPPLY DATA'!$AQ:$AQ,"other")+SUMIFS('ESS SUPPLY DATA'!$U:$U,'ESS SUPPLY DATA'!$AF:$AF,'CT capacity tracker'!$B2,'ESS SUPPLY DATA'!$AE:$AE,'CT capacity tracker'!$A$1,'ESS SUPPLY DATA'!$W:$W,'CT capacity tracker'!S$1,'ESS SUPPLY DATA'!$AO:$AO,"cosco")+SUMIFS('ESS SUPPLY DATA'!$U:$U,'ESS SUPPLY DATA'!$AF:$AF,'CT capacity tracker'!$B2,'ESS SUPPLY DATA'!$AE:$AE,'CT capacity tracker'!$A$1,'ESS SUPPLY DATA'!$W:$W,'CT capacity tracker'!S$1,'ESS SUPPLY DATA'!$AO:$AO,"other")</f>
        <v>0</v>
      </c>
      <c r="T5" s="504">
        <f>SUMIFS('PV SUPPLY DATA'!$X:$X,'PV SUPPLY DATA'!$AH:$AH,'CT capacity tracker'!$B2,'PV SUPPLY DATA'!$AG:$AG,'CT capacity tracker'!$A$1,'PV SUPPLY DATA'!$Y:$Y,T$1,'PV SUPPLY DATA'!$AQ:$AQ,"cosco")+SUMIFS('PV SUPPLY DATA'!$X:$X,'PV SUPPLY DATA'!$AH:$AH,'CT capacity tracker'!$B2,'PV SUPPLY DATA'!$AG:$AG,'CT capacity tracker'!$A$1,'PV SUPPLY DATA'!$Y:$Y,T$1,'PV SUPPLY DATA'!$AQ:$AQ,"other")+SUMIFS('ESS SUPPLY DATA'!$U:$U,'ESS SUPPLY DATA'!$AF:$AF,'CT capacity tracker'!$B2,'ESS SUPPLY DATA'!$AE:$AE,'CT capacity tracker'!$A$1,'ESS SUPPLY DATA'!$W:$W,'CT capacity tracker'!T$1,'ESS SUPPLY DATA'!$AO:$AO,"cosco")+SUMIFS('ESS SUPPLY DATA'!$U:$U,'ESS SUPPLY DATA'!$AF:$AF,'CT capacity tracker'!$B2,'ESS SUPPLY DATA'!$AE:$AE,'CT capacity tracker'!$A$1,'ESS SUPPLY DATA'!$W:$W,'CT capacity tracker'!T$1,'ESS SUPPLY DATA'!$AO:$AO,"other")</f>
        <v>3</v>
      </c>
      <c r="U5" s="504">
        <f>SUMIFS('PV SUPPLY DATA'!$X:$X,'PV SUPPLY DATA'!$AH:$AH,'CT capacity tracker'!$B2,'PV SUPPLY DATA'!$AG:$AG,'CT capacity tracker'!$A$1,'PV SUPPLY DATA'!$Y:$Y,U$1,'PV SUPPLY DATA'!$AQ:$AQ,"cosco")+SUMIFS('PV SUPPLY DATA'!$X:$X,'PV SUPPLY DATA'!$AH:$AH,'CT capacity tracker'!$B2,'PV SUPPLY DATA'!$AG:$AG,'CT capacity tracker'!$A$1,'PV SUPPLY DATA'!$Y:$Y,U$1,'PV SUPPLY DATA'!$AQ:$AQ,"other")+SUMIFS('ESS SUPPLY DATA'!$U:$U,'ESS SUPPLY DATA'!$AF:$AF,'CT capacity tracker'!$B2,'ESS SUPPLY DATA'!$AE:$AE,'CT capacity tracker'!$A$1,'ESS SUPPLY DATA'!$W:$W,'CT capacity tracker'!U$1,'ESS SUPPLY DATA'!$AO:$AO,"cosco")+SUMIFS('ESS SUPPLY DATA'!$U:$U,'ESS SUPPLY DATA'!$AF:$AF,'CT capacity tracker'!$B2,'ESS SUPPLY DATA'!$AE:$AE,'CT capacity tracker'!$A$1,'ESS SUPPLY DATA'!$W:$W,'CT capacity tracker'!U$1,'ESS SUPPLY DATA'!$AO:$AO,"other")</f>
        <v>0</v>
      </c>
      <c r="V5" s="504">
        <f>SUMIFS('PV SUPPLY DATA'!$X:$X,'PV SUPPLY DATA'!$AH:$AH,'CT capacity tracker'!$B2,'PV SUPPLY DATA'!$AG:$AG,'CT capacity tracker'!$A$1,'PV SUPPLY DATA'!$Y:$Y,V$1,'PV SUPPLY DATA'!$AQ:$AQ,"cosco")+SUMIFS('PV SUPPLY DATA'!$X:$X,'PV SUPPLY DATA'!$AH:$AH,'CT capacity tracker'!$B2,'PV SUPPLY DATA'!$AG:$AG,'CT capacity tracker'!$A$1,'PV SUPPLY DATA'!$Y:$Y,V$1,'PV SUPPLY DATA'!$AQ:$AQ,"other")+SUMIFS('ESS SUPPLY DATA'!$U:$U,'ESS SUPPLY DATA'!$AF:$AF,'CT capacity tracker'!$B2,'ESS SUPPLY DATA'!$AE:$AE,'CT capacity tracker'!$A$1,'ESS SUPPLY DATA'!$W:$W,'CT capacity tracker'!V$1,'ESS SUPPLY DATA'!$AO:$AO,"cosco")+SUMIFS('ESS SUPPLY DATA'!$U:$U,'ESS SUPPLY DATA'!$AF:$AF,'CT capacity tracker'!$B2,'ESS SUPPLY DATA'!$AE:$AE,'CT capacity tracker'!$A$1,'ESS SUPPLY DATA'!$W:$W,'CT capacity tracker'!V$1,'ESS SUPPLY DATA'!$AO:$AO,"other")</f>
        <v>0</v>
      </c>
      <c r="W5" s="504">
        <f>SUMIFS('PV SUPPLY DATA'!$X:$X,'PV SUPPLY DATA'!$AH:$AH,'CT capacity tracker'!$B2,'PV SUPPLY DATA'!$AG:$AG,'CT capacity tracker'!$A$1,'PV SUPPLY DATA'!$Y:$Y,W$1,'PV SUPPLY DATA'!$AQ:$AQ,"cosco")+SUMIFS('PV SUPPLY DATA'!$X:$X,'PV SUPPLY DATA'!$AH:$AH,'CT capacity tracker'!$B2,'PV SUPPLY DATA'!$AG:$AG,'CT capacity tracker'!$A$1,'PV SUPPLY DATA'!$Y:$Y,W$1,'PV SUPPLY DATA'!$AQ:$AQ,"other")+SUMIFS('ESS SUPPLY DATA'!$U:$U,'ESS SUPPLY DATA'!$AF:$AF,'CT capacity tracker'!$B2,'ESS SUPPLY DATA'!$AE:$AE,'CT capacity tracker'!$A$1,'ESS SUPPLY DATA'!$W:$W,'CT capacity tracker'!W$1,'ESS SUPPLY DATA'!$AO:$AO,"cosco")+SUMIFS('ESS SUPPLY DATA'!$U:$U,'ESS SUPPLY DATA'!$AF:$AF,'CT capacity tracker'!$B2,'ESS SUPPLY DATA'!$AE:$AE,'CT capacity tracker'!$A$1,'ESS SUPPLY DATA'!$W:$W,'CT capacity tracker'!W$1,'ESS SUPPLY DATA'!$AO:$AO,"other")</f>
        <v>0</v>
      </c>
      <c r="X5" s="504">
        <f>SUMIFS('PV SUPPLY DATA'!$X:$X,'PV SUPPLY DATA'!$AH:$AH,'CT capacity tracker'!$B2,'PV SUPPLY DATA'!$AG:$AG,'CT capacity tracker'!$A$1,'PV SUPPLY DATA'!$Y:$Y,X$1,'PV SUPPLY DATA'!$AQ:$AQ,"cosco")+SUMIFS('PV SUPPLY DATA'!$X:$X,'PV SUPPLY DATA'!$AH:$AH,'CT capacity tracker'!$B2,'PV SUPPLY DATA'!$AG:$AG,'CT capacity tracker'!$A$1,'PV SUPPLY DATA'!$Y:$Y,X$1,'PV SUPPLY DATA'!$AQ:$AQ,"other")+SUMIFS('ESS SUPPLY DATA'!$U:$U,'ESS SUPPLY DATA'!$AF:$AF,'CT capacity tracker'!$B2,'ESS SUPPLY DATA'!$AE:$AE,'CT capacity tracker'!$A$1,'ESS SUPPLY DATA'!$W:$W,'CT capacity tracker'!X$1,'ESS SUPPLY DATA'!$AO:$AO,"cosco")+SUMIFS('ESS SUPPLY DATA'!$U:$U,'ESS SUPPLY DATA'!$AF:$AF,'CT capacity tracker'!$B2,'ESS SUPPLY DATA'!$AE:$AE,'CT capacity tracker'!$A$1,'ESS SUPPLY DATA'!$W:$W,'CT capacity tracker'!X$1,'ESS SUPPLY DATA'!$AO:$AO,"other")</f>
        <v>0</v>
      </c>
      <c r="Y5" s="504">
        <f>SUMIFS('PV SUPPLY DATA'!$X:$X,'PV SUPPLY DATA'!$AH:$AH,'CT capacity tracker'!$B2,'PV SUPPLY DATA'!$AG:$AG,'CT capacity tracker'!$A$1,'PV SUPPLY DATA'!$Y:$Y,Y$1,'PV SUPPLY DATA'!$AQ:$AQ,"cosco")+SUMIFS('PV SUPPLY DATA'!$X:$X,'PV SUPPLY DATA'!$AH:$AH,'CT capacity tracker'!$B2,'PV SUPPLY DATA'!$AG:$AG,'CT capacity tracker'!$A$1,'PV SUPPLY DATA'!$Y:$Y,Y$1,'PV SUPPLY DATA'!$AQ:$AQ,"other")+SUMIFS('ESS SUPPLY DATA'!$U:$U,'ESS SUPPLY DATA'!$AF:$AF,'CT capacity tracker'!$B2,'ESS SUPPLY DATA'!$AE:$AE,'CT capacity tracker'!$A$1,'ESS SUPPLY DATA'!$W:$W,'CT capacity tracker'!Y$1,'ESS SUPPLY DATA'!$AO:$AO,"cosco")+SUMIFS('ESS SUPPLY DATA'!$U:$U,'ESS SUPPLY DATA'!$AF:$AF,'CT capacity tracker'!$B2,'ESS SUPPLY DATA'!$AE:$AE,'CT capacity tracker'!$A$1,'ESS SUPPLY DATA'!$W:$W,'CT capacity tracker'!Y$1,'ESS SUPPLY DATA'!$AO:$AO,"other")</f>
        <v>5</v>
      </c>
      <c r="Z5" s="504">
        <f>SUMIFS('PV SUPPLY DATA'!$X:$X,'PV SUPPLY DATA'!$AH:$AH,'CT capacity tracker'!$B2,'PV SUPPLY DATA'!$AG:$AG,'CT capacity tracker'!$A$1,'PV SUPPLY DATA'!$Y:$Y,Z$1,'PV SUPPLY DATA'!$AQ:$AQ,"cosco")+SUMIFS('PV SUPPLY DATA'!$X:$X,'PV SUPPLY DATA'!$AH:$AH,'CT capacity tracker'!$B2,'PV SUPPLY DATA'!$AG:$AG,'CT capacity tracker'!$A$1,'PV SUPPLY DATA'!$Y:$Y,Z$1,'PV SUPPLY DATA'!$AQ:$AQ,"other")+SUMIFS('ESS SUPPLY DATA'!$U:$U,'ESS SUPPLY DATA'!$AF:$AF,'CT capacity tracker'!$B2,'ESS SUPPLY DATA'!$AE:$AE,'CT capacity tracker'!$A$1,'ESS SUPPLY DATA'!$W:$W,'CT capacity tracker'!Z$1,'ESS SUPPLY DATA'!$AO:$AO,"cosco")+SUMIFS('ESS SUPPLY DATA'!$U:$U,'ESS SUPPLY DATA'!$AF:$AF,'CT capacity tracker'!$B2,'ESS SUPPLY DATA'!$AE:$AE,'CT capacity tracker'!$A$1,'ESS SUPPLY DATA'!$W:$W,'CT capacity tracker'!Z$1,'ESS SUPPLY DATA'!$AO:$AO,"other")</f>
        <v>3</v>
      </c>
      <c r="AA5" s="504">
        <f>SUMIFS('PV SUPPLY DATA'!$X:$X,'PV SUPPLY DATA'!$AH:$AH,'CT capacity tracker'!$B2,'PV SUPPLY DATA'!$AG:$AG,'CT capacity tracker'!$A$1,'PV SUPPLY DATA'!$Y:$Y,AA$1,'PV SUPPLY DATA'!$AQ:$AQ,"cosco")+SUMIFS('PV SUPPLY DATA'!$X:$X,'PV SUPPLY DATA'!$AH:$AH,'CT capacity tracker'!$B2,'PV SUPPLY DATA'!$AG:$AG,'CT capacity tracker'!$A$1,'PV SUPPLY DATA'!$Y:$Y,AA$1,'PV SUPPLY DATA'!$AQ:$AQ,"other")+SUMIFS('ESS SUPPLY DATA'!$U:$U,'ESS SUPPLY DATA'!$AF:$AF,'CT capacity tracker'!$B2,'ESS SUPPLY DATA'!$AE:$AE,'CT capacity tracker'!$A$1,'ESS SUPPLY DATA'!$W:$W,'CT capacity tracker'!AA$1,'ESS SUPPLY DATA'!$AO:$AO,"cosco")+SUMIFS('ESS SUPPLY DATA'!$U:$U,'ESS SUPPLY DATA'!$AF:$AF,'CT capacity tracker'!$B2,'ESS SUPPLY DATA'!$AE:$AE,'CT capacity tracker'!$A$1,'ESS SUPPLY DATA'!$W:$W,'CT capacity tracker'!AA$1,'ESS SUPPLY DATA'!$AO:$AO,"other")</f>
        <v>9</v>
      </c>
      <c r="AB5" s="504">
        <f>SUMIFS('PV SUPPLY DATA'!$X:$X,'PV SUPPLY DATA'!$AH:$AH,'CT capacity tracker'!$B2,'PV SUPPLY DATA'!$AG:$AG,'CT capacity tracker'!$A$1,'PV SUPPLY DATA'!$Y:$Y,AB$1,'PV SUPPLY DATA'!$AQ:$AQ,"cosco")+SUMIFS('PV SUPPLY DATA'!$X:$X,'PV SUPPLY DATA'!$AH:$AH,'CT capacity tracker'!$B2,'PV SUPPLY DATA'!$AG:$AG,'CT capacity tracker'!$A$1,'PV SUPPLY DATA'!$Y:$Y,AB$1,'PV SUPPLY DATA'!$AQ:$AQ,"other")+SUMIFS('ESS SUPPLY DATA'!$U:$U,'ESS SUPPLY DATA'!$AF:$AF,'CT capacity tracker'!$B2,'ESS SUPPLY DATA'!$AE:$AE,'CT capacity tracker'!$A$1,'ESS SUPPLY DATA'!$W:$W,'CT capacity tracker'!AB$1,'ESS SUPPLY DATA'!$AO:$AO,"cosco")+SUMIFS('ESS SUPPLY DATA'!$U:$U,'ESS SUPPLY DATA'!$AF:$AF,'CT capacity tracker'!$B2,'ESS SUPPLY DATA'!$AE:$AE,'CT capacity tracker'!$A$1,'ESS SUPPLY DATA'!$W:$W,'CT capacity tracker'!AB$1,'ESS SUPPLY DATA'!$AO:$AO,"other")</f>
        <v>5</v>
      </c>
      <c r="AC5" s="504">
        <f>SUMIFS('PV SUPPLY DATA'!$X:$X,'PV SUPPLY DATA'!$AH:$AH,'CT capacity tracker'!$B2,'PV SUPPLY DATA'!$AG:$AG,'CT capacity tracker'!$A$1,'PV SUPPLY DATA'!$Y:$Y,AC$1,'PV SUPPLY DATA'!$AQ:$AQ,"cosco")+SUMIFS('PV SUPPLY DATA'!$X:$X,'PV SUPPLY DATA'!$AH:$AH,'CT capacity tracker'!$B2,'PV SUPPLY DATA'!$AG:$AG,'CT capacity tracker'!$A$1,'PV SUPPLY DATA'!$Y:$Y,AC$1,'PV SUPPLY DATA'!$AQ:$AQ,"other")+SUMIFS('ESS SUPPLY DATA'!$U:$U,'ESS SUPPLY DATA'!$AF:$AF,'CT capacity tracker'!$B2,'ESS SUPPLY DATA'!$AE:$AE,'CT capacity tracker'!$A$1,'ESS SUPPLY DATA'!$W:$W,'CT capacity tracker'!AC$1,'ESS SUPPLY DATA'!$AO:$AO,"cosco")+SUMIFS('ESS SUPPLY DATA'!$U:$U,'ESS SUPPLY DATA'!$AF:$AF,'CT capacity tracker'!$B2,'ESS SUPPLY DATA'!$AE:$AE,'CT capacity tracker'!$A$1,'ESS SUPPLY DATA'!$W:$W,'CT capacity tracker'!AC$1,'ESS SUPPLY DATA'!$AO:$AO,"other")</f>
        <v>0</v>
      </c>
      <c r="AD5" s="504">
        <f>SUMIFS('PV SUPPLY DATA'!$X:$X,'PV SUPPLY DATA'!$AH:$AH,'CT capacity tracker'!$B2,'PV SUPPLY DATA'!$AG:$AG,'CT capacity tracker'!$A$1,'PV SUPPLY DATA'!$Y:$Y,AD$1,'PV SUPPLY DATA'!$AQ:$AQ,"cosco")+SUMIFS('PV SUPPLY DATA'!$X:$X,'PV SUPPLY DATA'!$AH:$AH,'CT capacity tracker'!$B2,'PV SUPPLY DATA'!$AG:$AG,'CT capacity tracker'!$A$1,'PV SUPPLY DATA'!$Y:$Y,AD$1,'PV SUPPLY DATA'!$AQ:$AQ,"other")+SUMIFS('ESS SUPPLY DATA'!$U:$U,'ESS SUPPLY DATA'!$AF:$AF,'CT capacity tracker'!$B2,'ESS SUPPLY DATA'!$AE:$AE,'CT capacity tracker'!$A$1,'ESS SUPPLY DATA'!$W:$W,'CT capacity tracker'!AD$1,'ESS SUPPLY DATA'!$AO:$AO,"cosco")+SUMIFS('ESS SUPPLY DATA'!$U:$U,'ESS SUPPLY DATA'!$AF:$AF,'CT capacity tracker'!$B2,'ESS SUPPLY DATA'!$AE:$AE,'CT capacity tracker'!$A$1,'ESS SUPPLY DATA'!$W:$W,'CT capacity tracker'!AD$1,'ESS SUPPLY DATA'!$AO:$AO,"other")</f>
        <v>0</v>
      </c>
      <c r="AE5" s="504">
        <f>SUMIFS('PV SUPPLY DATA'!$X:$X,'PV SUPPLY DATA'!$AH:$AH,'CT capacity tracker'!$B2,'PV SUPPLY DATA'!$AG:$AG,'CT capacity tracker'!$A$1,'PV SUPPLY DATA'!$Y:$Y,AE$1,'PV SUPPLY DATA'!$AQ:$AQ,"cosco")+SUMIFS('PV SUPPLY DATA'!$X:$X,'PV SUPPLY DATA'!$AH:$AH,'CT capacity tracker'!$B2,'PV SUPPLY DATA'!$AG:$AG,'CT capacity tracker'!$A$1,'PV SUPPLY DATA'!$Y:$Y,AE$1,'PV SUPPLY DATA'!$AQ:$AQ,"other")+SUMIFS('ESS SUPPLY DATA'!$U:$U,'ESS SUPPLY DATA'!$AF:$AF,'CT capacity tracker'!$B2,'ESS SUPPLY DATA'!$AE:$AE,'CT capacity tracker'!$A$1,'ESS SUPPLY DATA'!$W:$W,'CT capacity tracker'!AE$1,'ESS SUPPLY DATA'!$AO:$AO,"cosco")+SUMIFS('ESS SUPPLY DATA'!$U:$U,'ESS SUPPLY DATA'!$AF:$AF,'CT capacity tracker'!$B2,'ESS SUPPLY DATA'!$AE:$AE,'CT capacity tracker'!$A$1,'ESS SUPPLY DATA'!$W:$W,'CT capacity tracker'!AE$1,'ESS SUPPLY DATA'!$AO:$AO,"other")</f>
        <v>0</v>
      </c>
      <c r="AF5" s="504">
        <f>SUMIFS('PV SUPPLY DATA'!$X:$X,'PV SUPPLY DATA'!$AH:$AH,'CT capacity tracker'!$B2,'PV SUPPLY DATA'!$AG:$AG,'CT capacity tracker'!$A$1,'PV SUPPLY DATA'!$Y:$Y,AF$1,'PV SUPPLY DATA'!$AQ:$AQ,"cosco")+SUMIFS('PV SUPPLY DATA'!$X:$X,'PV SUPPLY DATA'!$AH:$AH,'CT capacity tracker'!$B2,'PV SUPPLY DATA'!$AG:$AG,'CT capacity tracker'!$A$1,'PV SUPPLY DATA'!$Y:$Y,AF$1,'PV SUPPLY DATA'!$AQ:$AQ,"other")+SUMIFS('ESS SUPPLY DATA'!$U:$U,'ESS SUPPLY DATA'!$AF:$AF,'CT capacity tracker'!$B2,'ESS SUPPLY DATA'!$AE:$AE,'CT capacity tracker'!$A$1,'ESS SUPPLY DATA'!$W:$W,'CT capacity tracker'!AF$1,'ESS SUPPLY DATA'!$AO:$AO,"cosco")+SUMIFS('ESS SUPPLY DATA'!$U:$U,'ESS SUPPLY DATA'!$AF:$AF,'CT capacity tracker'!$B2,'ESS SUPPLY DATA'!$AE:$AE,'CT capacity tracker'!$A$1,'ESS SUPPLY DATA'!$W:$W,'CT capacity tracker'!AF$1,'ESS SUPPLY DATA'!$AO:$AO,"other")</f>
        <v>0</v>
      </c>
      <c r="AG5" s="504">
        <f>SUMIFS('PV SUPPLY DATA'!$X:$X,'PV SUPPLY DATA'!$AH:$AH,'CT capacity tracker'!$B2,'PV SUPPLY DATA'!$AG:$AG,'CT capacity tracker'!$A$1,'PV SUPPLY DATA'!$Y:$Y,AG$1,'PV SUPPLY DATA'!$AQ:$AQ,"cosco")+SUMIFS('PV SUPPLY DATA'!$X:$X,'PV SUPPLY DATA'!$AH:$AH,'CT capacity tracker'!$B2,'PV SUPPLY DATA'!$AG:$AG,'CT capacity tracker'!$A$1,'PV SUPPLY DATA'!$Y:$Y,AG$1,'PV SUPPLY DATA'!$AQ:$AQ,"other")+SUMIFS('ESS SUPPLY DATA'!$U:$U,'ESS SUPPLY DATA'!$AF:$AF,'CT capacity tracker'!$B2,'ESS SUPPLY DATA'!$AE:$AE,'CT capacity tracker'!$A$1,'ESS SUPPLY DATA'!$W:$W,'CT capacity tracker'!AG$1,'ESS SUPPLY DATA'!$AO:$AO,"cosco")+SUMIFS('ESS SUPPLY DATA'!$U:$U,'ESS SUPPLY DATA'!$AF:$AF,'CT capacity tracker'!$B2,'ESS SUPPLY DATA'!$AE:$AE,'CT capacity tracker'!$A$1,'ESS SUPPLY DATA'!$W:$W,'CT capacity tracker'!AG$1,'ESS SUPPLY DATA'!$AO:$AO,"other")</f>
        <v>0</v>
      </c>
      <c r="AH5" s="504">
        <f>SUMIFS('PV SUPPLY DATA'!$X:$X,'PV SUPPLY DATA'!$AH:$AH,'CT capacity tracker'!$B2,'PV SUPPLY DATA'!$AG:$AG,'CT capacity tracker'!$A$1,'PV SUPPLY DATA'!$Y:$Y,AH$1,'PV SUPPLY DATA'!$AQ:$AQ,"cosco")+SUMIFS('PV SUPPLY DATA'!$X:$X,'PV SUPPLY DATA'!$AH:$AH,'CT capacity tracker'!$B2,'PV SUPPLY DATA'!$AG:$AG,'CT capacity tracker'!$A$1,'PV SUPPLY DATA'!$Y:$Y,AH$1,'PV SUPPLY DATA'!$AQ:$AQ,"other")+SUMIFS('ESS SUPPLY DATA'!$U:$U,'ESS SUPPLY DATA'!$AF:$AF,'CT capacity tracker'!$B2,'ESS SUPPLY DATA'!$AE:$AE,'CT capacity tracker'!$A$1,'ESS SUPPLY DATA'!$W:$W,'CT capacity tracker'!AH$1,'ESS SUPPLY DATA'!$AO:$AO,"cosco")+SUMIFS('ESS SUPPLY DATA'!$U:$U,'ESS SUPPLY DATA'!$AF:$AF,'CT capacity tracker'!$B2,'ESS SUPPLY DATA'!$AE:$AE,'CT capacity tracker'!$A$1,'ESS SUPPLY DATA'!$W:$W,'CT capacity tracker'!AH$1,'ESS SUPPLY DATA'!$AO:$AO,"other")</f>
        <v>0</v>
      </c>
      <c r="AI5" s="504">
        <f>SUMIFS('PV SUPPLY DATA'!$X:$X,'PV SUPPLY DATA'!$AH:$AH,'CT capacity tracker'!$B2,'PV SUPPLY DATA'!$AG:$AG,'CT capacity tracker'!$A$1,'PV SUPPLY DATA'!$Y:$Y,AI$1,'PV SUPPLY DATA'!$AQ:$AQ,"cosco")+SUMIFS('PV SUPPLY DATA'!$X:$X,'PV SUPPLY DATA'!$AH:$AH,'CT capacity tracker'!$B2,'PV SUPPLY DATA'!$AG:$AG,'CT capacity tracker'!$A$1,'PV SUPPLY DATA'!$Y:$Y,AI$1,'PV SUPPLY DATA'!$AQ:$AQ,"other")+SUMIFS('ESS SUPPLY DATA'!$U:$U,'ESS SUPPLY DATA'!$AF:$AF,'CT capacity tracker'!$B2,'ESS SUPPLY DATA'!$AE:$AE,'CT capacity tracker'!$A$1,'ESS SUPPLY DATA'!$W:$W,'CT capacity tracker'!AI$1,'ESS SUPPLY DATA'!$AO:$AO,"cosco")+SUMIFS('ESS SUPPLY DATA'!$U:$U,'ESS SUPPLY DATA'!$AF:$AF,'CT capacity tracker'!$B2,'ESS SUPPLY DATA'!$AE:$AE,'CT capacity tracker'!$A$1,'ESS SUPPLY DATA'!$W:$W,'CT capacity tracker'!AI$1,'ESS SUPPLY DATA'!$AO:$AO,"other")</f>
        <v>0</v>
      </c>
      <c r="AJ5" s="504">
        <f>SUMIFS('PV SUPPLY DATA'!$X:$X,'PV SUPPLY DATA'!$AH:$AH,'CT capacity tracker'!$B2,'PV SUPPLY DATA'!$AG:$AG,'CT capacity tracker'!$A$1,'PV SUPPLY DATA'!$Y:$Y,AJ$1,'PV SUPPLY DATA'!$AQ:$AQ,"cosco")+SUMIFS('PV SUPPLY DATA'!$X:$X,'PV SUPPLY DATA'!$AH:$AH,'CT capacity tracker'!$B2,'PV SUPPLY DATA'!$AG:$AG,'CT capacity tracker'!$A$1,'PV SUPPLY DATA'!$Y:$Y,AJ$1,'PV SUPPLY DATA'!$AQ:$AQ,"other")+SUMIFS('ESS SUPPLY DATA'!$U:$U,'ESS SUPPLY DATA'!$AF:$AF,'CT capacity tracker'!$B2,'ESS SUPPLY DATA'!$AE:$AE,'CT capacity tracker'!$A$1,'ESS SUPPLY DATA'!$W:$W,'CT capacity tracker'!AJ$1,'ESS SUPPLY DATA'!$AO:$AO,"cosco")+SUMIFS('ESS SUPPLY DATA'!$U:$U,'ESS SUPPLY DATA'!$AF:$AF,'CT capacity tracker'!$B2,'ESS SUPPLY DATA'!$AE:$AE,'CT capacity tracker'!$A$1,'ESS SUPPLY DATA'!$W:$W,'CT capacity tracker'!AJ$1,'ESS SUPPLY DATA'!$AO:$AO,"other")</f>
        <v>0</v>
      </c>
      <c r="AK5" s="511"/>
      <c r="AL5" s="511"/>
      <c r="AM5" s="696">
        <f>SUM(E5:X5)</f>
        <v>34</v>
      </c>
      <c r="AN5" s="503"/>
      <c r="AO5" s="506"/>
      <c r="AP5" s="534"/>
      <c r="AQ5" s="506"/>
      <c r="AR5" s="506"/>
      <c r="AS5" s="506"/>
      <c r="AT5" s="506"/>
    </row>
    <row r="6" spans="1:46" ht="13">
      <c r="A6" s="1517"/>
      <c r="B6" s="1516" t="s">
        <v>105</v>
      </c>
      <c r="C6" s="503" t="s">
        <v>4400</v>
      </c>
      <c r="D6" s="504">
        <f>SUMIFS('PV SUPPLY DATA'!$X:$X,'PV SUPPLY DATA'!$AH:$AH,'CT capacity tracker'!$B6,'PV SUPPLY DATA'!$AG:$AG,'CT capacity tracker'!$A$1,'PV SUPPLY DATA'!$Z:$Z,'CT capacity tracker'!D$1)+SUMIFS('ESS SUPPLY DATA'!$U:$U,'ESS SUPPLY DATA'!$AF:$AF,'CT capacity tracker'!$B6,'ESS SUPPLY DATA'!$AE:$AE,'CT capacity tracker'!$A$1,'ESS SUPPLY DATA'!$X:$X,'CT capacity tracker'!D$1)</f>
        <v>209</v>
      </c>
      <c r="E6" s="504">
        <f>SUMIFS('PV SUPPLY DATA'!$X:$X,'PV SUPPLY DATA'!$AH:$AH,'CT capacity tracker'!$B6,'PV SUPPLY DATA'!$AG:$AG,'CT capacity tracker'!$A$1,'PV SUPPLY DATA'!$Y:$Y,'CT capacity tracker'!E$1)+SUMIFS('ESS SUPPLY DATA'!$U:$U,'ESS SUPPLY DATA'!$AF:$AF,'CT capacity tracker'!$B6,'ESS SUPPLY DATA'!$AE:$AE,'CT capacity tracker'!$A$1,'ESS SUPPLY DATA'!$W:$W,'CT capacity tracker'!E$1)</f>
        <v>38</v>
      </c>
      <c r="F6" s="504">
        <f>SUMIFS('PV SUPPLY DATA'!$X:$X,'PV SUPPLY DATA'!$AH:$AH,'CT capacity tracker'!$B6,'PV SUPPLY DATA'!$AG:$AG,'CT capacity tracker'!$A$1,'PV SUPPLY DATA'!$Y:$Y,'CT capacity tracker'!F$1)+SUMIFS('ESS SUPPLY DATA'!$U:$U,'ESS SUPPLY DATA'!$AF:$AF,'CT capacity tracker'!$B6,'ESS SUPPLY DATA'!$AE:$AE,'CT capacity tracker'!$A$1,'ESS SUPPLY DATA'!$W:$W,'CT capacity tracker'!F$1)</f>
        <v>0</v>
      </c>
      <c r="G6" s="504">
        <f>SUMIFS('PV SUPPLY DATA'!$X:$X,'PV SUPPLY DATA'!$AH:$AH,'CT capacity tracker'!$B6,'PV SUPPLY DATA'!$AG:$AG,'CT capacity tracker'!$A$1,'PV SUPPLY DATA'!$Y:$Y,'CT capacity tracker'!G$1)+SUMIFS('ESS SUPPLY DATA'!$U:$U,'ESS SUPPLY DATA'!$AF:$AF,'CT capacity tracker'!$B6,'ESS SUPPLY DATA'!$AE:$AE,'CT capacity tracker'!$A$1,'ESS SUPPLY DATA'!$W:$W,'CT capacity tracker'!G$1)</f>
        <v>37</v>
      </c>
      <c r="H6" s="504">
        <f>SUMIFS('PV SUPPLY DATA'!$X:$X,'PV SUPPLY DATA'!$AH:$AH,'CT capacity tracker'!$B6,'PV SUPPLY DATA'!$AG:$AG,'CT capacity tracker'!$A$1,'PV SUPPLY DATA'!$Y:$Y,'CT capacity tracker'!H$1)+SUMIFS('ESS SUPPLY DATA'!$U:$U,'ESS SUPPLY DATA'!$AF:$AF,'CT capacity tracker'!$B6,'ESS SUPPLY DATA'!$AE:$AE,'CT capacity tracker'!$A$1,'ESS SUPPLY DATA'!$W:$W,'CT capacity tracker'!H$1)</f>
        <v>29</v>
      </c>
      <c r="I6" s="504">
        <f>SUMIFS('PV SUPPLY DATA'!$X:$X,'PV SUPPLY DATA'!$AH:$AH,'CT capacity tracker'!$B6,'PV SUPPLY DATA'!$AG:$AG,'CT capacity tracker'!$A$1,'PV SUPPLY DATA'!$Y:$Y,'CT capacity tracker'!I$1)+SUMIFS('ESS SUPPLY DATA'!$U:$U,'ESS SUPPLY DATA'!$AF:$AF,'CT capacity tracker'!$B6,'ESS SUPPLY DATA'!$AE:$AE,'CT capacity tracker'!$A$1,'ESS SUPPLY DATA'!$W:$W,'CT capacity tracker'!I$1)</f>
        <v>32.91255613951266</v>
      </c>
      <c r="J6" s="504">
        <f>SUMIFS('PV SUPPLY DATA'!$X:$X,'PV SUPPLY DATA'!$AH:$AH,'CT capacity tracker'!$B6,'PV SUPPLY DATA'!$AG:$AG,'CT capacity tracker'!$A$1,'PV SUPPLY DATA'!$Y:$Y,'CT capacity tracker'!J$1)+SUMIFS('ESS SUPPLY DATA'!$U:$U,'ESS SUPPLY DATA'!$AF:$AF,'CT capacity tracker'!$B6,'ESS SUPPLY DATA'!$AE:$AE,'CT capacity tracker'!$A$1,'ESS SUPPLY DATA'!$W:$W,'CT capacity tracker'!J$1)</f>
        <v>28.877090301003346</v>
      </c>
      <c r="K6" s="504">
        <f>SUMIFS('PV SUPPLY DATA'!$X:$X,'PV SUPPLY DATA'!$AH:$AH,'CT capacity tracker'!$B6,'PV SUPPLY DATA'!$AG:$AG,'CT capacity tracker'!$A$1,'PV SUPPLY DATA'!$Y:$Y,'CT capacity tracker'!K$1)+SUMIFS('ESS SUPPLY DATA'!$U:$U,'ESS SUPPLY DATA'!$AF:$AF,'CT capacity tracker'!$B6,'ESS SUPPLY DATA'!$AE:$AE,'CT capacity tracker'!$A$1,'ESS SUPPLY DATA'!$W:$W,'CT capacity tracker'!K$1)</f>
        <v>71</v>
      </c>
      <c r="L6" s="504">
        <f>SUMIFS('PV SUPPLY DATA'!$X:$X,'PV SUPPLY DATA'!$AH:$AH,'CT capacity tracker'!$B6,'PV SUPPLY DATA'!$AG:$AG,'CT capacity tracker'!$A$1,'PV SUPPLY DATA'!$Y:$Y,'CT capacity tracker'!L$1)+SUMIFS('ESS SUPPLY DATA'!$U:$U,'ESS SUPPLY DATA'!$AF:$AF,'CT capacity tracker'!$B6,'ESS SUPPLY DATA'!$AE:$AE,'CT capacity tracker'!$A$1,'ESS SUPPLY DATA'!$W:$W,'CT capacity tracker'!L$1)</f>
        <v>39</v>
      </c>
      <c r="M6" s="504">
        <f>SUMIFS('PV SUPPLY DATA'!$X:$X,'PV SUPPLY DATA'!$AH:$AH,'CT capacity tracker'!$B6,'PV SUPPLY DATA'!$AG:$AG,'CT capacity tracker'!$A$1,'PV SUPPLY DATA'!$Y:$Y,'CT capacity tracker'!M$1)+SUMIFS('ESS SUPPLY DATA'!$U:$U,'ESS SUPPLY DATA'!$AF:$AF,'CT capacity tracker'!$B6,'ESS SUPPLY DATA'!$AE:$AE,'CT capacity tracker'!$A$1,'ESS SUPPLY DATA'!$W:$W,'CT capacity tracker'!M$1)</f>
        <v>50</v>
      </c>
      <c r="N6" s="504">
        <f>SUMIFS('PV SUPPLY DATA'!$X:$X,'PV SUPPLY DATA'!$AH:$AH,'CT capacity tracker'!$B6,'PV SUPPLY DATA'!$AG:$AG,'CT capacity tracker'!$A$1,'PV SUPPLY DATA'!$Y:$Y,'CT capacity tracker'!N$1)+SUMIFS('ESS SUPPLY DATA'!$U:$U,'ESS SUPPLY DATA'!$AF:$AF,'CT capacity tracker'!$B6,'ESS SUPPLY DATA'!$AE:$AE,'CT capacity tracker'!$A$1,'ESS SUPPLY DATA'!$W:$W,'CT capacity tracker'!N$1)</f>
        <v>6</v>
      </c>
      <c r="O6" s="504">
        <f>SUMIFS('PV SUPPLY DATA'!$X:$X,'PV SUPPLY DATA'!$AH:$AH,'CT capacity tracker'!$B6,'PV SUPPLY DATA'!$AG:$AG,'CT capacity tracker'!$A$1,'PV SUPPLY DATA'!$Y:$Y,'CT capacity tracker'!O$1)+SUMIFS('ESS SUPPLY DATA'!$U:$U,'ESS SUPPLY DATA'!$AF:$AF,'CT capacity tracker'!$B6,'ESS SUPPLY DATA'!$AE:$AE,'CT capacity tracker'!$A$1,'ESS SUPPLY DATA'!$W:$W,'CT capacity tracker'!O$1)</f>
        <v>0</v>
      </c>
      <c r="P6" s="504">
        <f>SUMIFS('PV SUPPLY DATA'!$X:$X,'PV SUPPLY DATA'!$AH:$AH,'CT capacity tracker'!$B6,'PV SUPPLY DATA'!$AG:$AG,'CT capacity tracker'!$A$1,'PV SUPPLY DATA'!$Y:$Y,'CT capacity tracker'!P$1)+SUMIFS('ESS SUPPLY DATA'!$U:$U,'ESS SUPPLY DATA'!$AF:$AF,'CT capacity tracker'!$B6,'ESS SUPPLY DATA'!$AE:$AE,'CT capacity tracker'!$A$1,'ESS SUPPLY DATA'!$W:$W,'CT capacity tracker'!P$1)</f>
        <v>51</v>
      </c>
      <c r="Q6" s="504">
        <f>SUMIFS('PV SUPPLY DATA'!$X:$X,'PV SUPPLY DATA'!$AH:$AH,'CT capacity tracker'!$B6,'PV SUPPLY DATA'!$AG:$AG,'CT capacity tracker'!$A$1,'PV SUPPLY DATA'!$Y:$Y,'CT capacity tracker'!Q$1)+SUMIFS('ESS SUPPLY DATA'!$U:$U,'ESS SUPPLY DATA'!$AF:$AF,'CT capacity tracker'!$B6,'ESS SUPPLY DATA'!$AE:$AE,'CT capacity tracker'!$A$1,'ESS SUPPLY DATA'!$W:$W,'CT capacity tracker'!Q$1)</f>
        <v>30</v>
      </c>
      <c r="R6" s="504">
        <f>SUMIFS('PV SUPPLY DATA'!$X:$X,'PV SUPPLY DATA'!$AH:$AH,'CT capacity tracker'!$B6,'PV SUPPLY DATA'!$AG:$AG,'CT capacity tracker'!$A$1,'PV SUPPLY DATA'!$Y:$Y,'CT capacity tracker'!R$1)+SUMIFS('ESS SUPPLY DATA'!$U:$U,'ESS SUPPLY DATA'!$AF:$AF,'CT capacity tracker'!$B6,'ESS SUPPLY DATA'!$AE:$AE,'CT capacity tracker'!$A$1,'ESS SUPPLY DATA'!$W:$W,'CT capacity tracker'!R$1)</f>
        <v>35</v>
      </c>
      <c r="S6" s="504">
        <f>SUMIFS('PV SUPPLY DATA'!$X:$X,'PV SUPPLY DATA'!$AH:$AH,'CT capacity tracker'!$B6,'PV SUPPLY DATA'!$AG:$AG,'CT capacity tracker'!$A$1,'PV SUPPLY DATA'!$Y:$Y,'CT capacity tracker'!S$1)+SUMIFS('ESS SUPPLY DATA'!$U:$U,'ESS SUPPLY DATA'!$AF:$AF,'CT capacity tracker'!$B6,'ESS SUPPLY DATA'!$AE:$AE,'CT capacity tracker'!$A$1,'ESS SUPPLY DATA'!$W:$W,'CT capacity tracker'!S$1)</f>
        <v>55</v>
      </c>
      <c r="T6" s="504">
        <f>SUMIFS('PV SUPPLY DATA'!$X:$X,'PV SUPPLY DATA'!$AH:$AH,'CT capacity tracker'!$B6,'PV SUPPLY DATA'!$AG:$AG,'CT capacity tracker'!$A$1,'PV SUPPLY DATA'!$Y:$Y,'CT capacity tracker'!T$1)+SUMIFS('ESS SUPPLY DATA'!$U:$U,'ESS SUPPLY DATA'!$AF:$AF,'CT capacity tracker'!$B6,'ESS SUPPLY DATA'!$AE:$AE,'CT capacity tracker'!$A$1,'ESS SUPPLY DATA'!$W:$W,'CT capacity tracker'!T$1)</f>
        <v>36</v>
      </c>
      <c r="U6" s="504">
        <f>SUMIFS('PV SUPPLY DATA'!$X:$X,'PV SUPPLY DATA'!$AH:$AH,'CT capacity tracker'!$B6,'PV SUPPLY DATA'!$AG:$AG,'CT capacity tracker'!$A$1,'PV SUPPLY DATA'!$Y:$Y,'CT capacity tracker'!U$1)+SUMIFS('ESS SUPPLY DATA'!$U:$U,'ESS SUPPLY DATA'!$AF:$AF,'CT capacity tracker'!$B6,'ESS SUPPLY DATA'!$AE:$AE,'CT capacity tracker'!$A$1,'ESS SUPPLY DATA'!$W:$W,'CT capacity tracker'!U$1)</f>
        <v>48</v>
      </c>
      <c r="V6" s="504">
        <f>SUMIFS('PV SUPPLY DATA'!$X:$X,'PV SUPPLY DATA'!$AH:$AH,'CT capacity tracker'!$B6,'PV SUPPLY DATA'!$AG:$AG,'CT capacity tracker'!$A$1,'PV SUPPLY DATA'!$Y:$Y,'CT capacity tracker'!V$1)+SUMIFS('ESS SUPPLY DATA'!$U:$U,'ESS SUPPLY DATA'!$AF:$AF,'CT capacity tracker'!$B6,'ESS SUPPLY DATA'!$AE:$AE,'CT capacity tracker'!$A$1,'ESS SUPPLY DATA'!$W:$W,'CT capacity tracker'!V$1)</f>
        <v>39</v>
      </c>
      <c r="W6" s="504">
        <f>SUMIFS('PV SUPPLY DATA'!$X:$X,'PV SUPPLY DATA'!$AH:$AH,'CT capacity tracker'!$B6,'PV SUPPLY DATA'!$AG:$AG,'CT capacity tracker'!$A$1,'PV SUPPLY DATA'!$Y:$Y,'CT capacity tracker'!W$1)+SUMIFS('ESS SUPPLY DATA'!$U:$U,'ESS SUPPLY DATA'!$AF:$AF,'CT capacity tracker'!$B6,'ESS SUPPLY DATA'!$AE:$AE,'CT capacity tracker'!$A$1,'ESS SUPPLY DATA'!$W:$W,'CT capacity tracker'!W$1)</f>
        <v>51</v>
      </c>
      <c r="X6" s="504">
        <f>SUMIFS('PV SUPPLY DATA'!$X:$X,'PV SUPPLY DATA'!$AH:$AH,'CT capacity tracker'!$B6,'PV SUPPLY DATA'!$AG:$AG,'CT capacity tracker'!$A$1,'PV SUPPLY DATA'!$Y:$Y,'CT capacity tracker'!X$1)+SUMIFS('ESS SUPPLY DATA'!$U:$U,'ESS SUPPLY DATA'!$AF:$AF,'CT capacity tracker'!$B6,'ESS SUPPLY DATA'!$AE:$AE,'CT capacity tracker'!$A$1,'ESS SUPPLY DATA'!$W:$W,'CT capacity tracker'!X$1)</f>
        <v>17</v>
      </c>
      <c r="Y6" s="504">
        <f>SUMIFS('PV SUPPLY DATA'!$X:$X,'PV SUPPLY DATA'!$AH:$AH,'CT capacity tracker'!$B6,'PV SUPPLY DATA'!$AG:$AG,'CT capacity tracker'!$A$1,'PV SUPPLY DATA'!$Y:$Y,'CT capacity tracker'!Y$1)+SUMIFS('ESS SUPPLY DATA'!$U:$U,'ESS SUPPLY DATA'!$AF:$AF,'CT capacity tracker'!$B6,'ESS SUPPLY DATA'!$AE:$AE,'CT capacity tracker'!$A$1,'ESS SUPPLY DATA'!$W:$W,'CT capacity tracker'!Y$1)</f>
        <v>11</v>
      </c>
      <c r="Z6" s="504">
        <f>SUMIFS('PV SUPPLY DATA'!$X:$X,'PV SUPPLY DATA'!$AH:$AH,'CT capacity tracker'!$B6,'PV SUPPLY DATA'!$AG:$AG,'CT capacity tracker'!$A$1,'PV SUPPLY DATA'!$Y:$Y,'CT capacity tracker'!Z$1)+SUMIFS('ESS SUPPLY DATA'!$U:$U,'ESS SUPPLY DATA'!$AF:$AF,'CT capacity tracker'!$B6,'ESS SUPPLY DATA'!$AE:$AE,'CT capacity tracker'!$A$1,'ESS SUPPLY DATA'!$W:$W,'CT capacity tracker'!Z$1)</f>
        <v>30</v>
      </c>
      <c r="AA6" s="504">
        <f>SUMIFS('PV SUPPLY DATA'!$X:$X,'PV SUPPLY DATA'!$AH:$AH,'CT capacity tracker'!$B6,'PV SUPPLY DATA'!$AG:$AG,'CT capacity tracker'!$A$1,'PV SUPPLY DATA'!$Y:$Y,'CT capacity tracker'!AA$1)+SUMIFS('ESS SUPPLY DATA'!$U:$U,'ESS SUPPLY DATA'!$AF:$AF,'CT capacity tracker'!$B6,'ESS SUPPLY DATA'!$AE:$AE,'CT capacity tracker'!$A$1,'ESS SUPPLY DATA'!$W:$W,'CT capacity tracker'!AA$1)</f>
        <v>32</v>
      </c>
      <c r="AB6" s="504">
        <f>SUMIFS('PV SUPPLY DATA'!$X:$X,'PV SUPPLY DATA'!$AH:$AH,'CT capacity tracker'!$B6,'PV SUPPLY DATA'!$AG:$AG,'CT capacity tracker'!$A$1,'PV SUPPLY DATA'!$Y:$Y,'CT capacity tracker'!AB$1)+SUMIFS('ESS SUPPLY DATA'!$U:$U,'ESS SUPPLY DATA'!$AF:$AF,'CT capacity tracker'!$B6,'ESS SUPPLY DATA'!$AE:$AE,'CT capacity tracker'!$A$1,'ESS SUPPLY DATA'!$W:$W,'CT capacity tracker'!AB$1)</f>
        <v>21</v>
      </c>
      <c r="AC6" s="504">
        <f>SUMIFS('PV SUPPLY DATA'!$X:$X,'PV SUPPLY DATA'!$AH:$AH,'CT capacity tracker'!$B6,'PV SUPPLY DATA'!$AG:$AG,'CT capacity tracker'!$A$1,'PV SUPPLY DATA'!$Y:$Y,'CT capacity tracker'!AC$1)+SUMIFS('ESS SUPPLY DATA'!$U:$U,'ESS SUPPLY DATA'!$AF:$AF,'CT capacity tracker'!$B6,'ESS SUPPLY DATA'!$AE:$AE,'CT capacity tracker'!$A$1,'ESS SUPPLY DATA'!$W:$W,'CT capacity tracker'!AC$1)</f>
        <v>46</v>
      </c>
      <c r="AD6" s="504">
        <f>SUMIFS('PV SUPPLY DATA'!$X:$X,'PV SUPPLY DATA'!$AH:$AH,'CT capacity tracker'!$B6,'PV SUPPLY DATA'!$AG:$AG,'CT capacity tracker'!$A$1,'PV SUPPLY DATA'!$Y:$Y,'CT capacity tracker'!AD$1)+SUMIFS('ESS SUPPLY DATA'!$U:$U,'ESS SUPPLY DATA'!$AF:$AF,'CT capacity tracker'!$B6,'ESS SUPPLY DATA'!$AE:$AE,'CT capacity tracker'!$A$1,'ESS SUPPLY DATA'!$W:$W,'CT capacity tracker'!AD$1)</f>
        <v>91.5</v>
      </c>
      <c r="AE6" s="504">
        <f>SUMIFS('PV SUPPLY DATA'!$X:$X,'PV SUPPLY DATA'!$AH:$AH,'CT capacity tracker'!$B6,'PV SUPPLY DATA'!$AG:$AG,'CT capacity tracker'!$A$1,'PV SUPPLY DATA'!$Y:$Y,'CT capacity tracker'!AE$1)+SUMIFS('ESS SUPPLY DATA'!$U:$U,'ESS SUPPLY DATA'!$AF:$AF,'CT capacity tracker'!$B6,'ESS SUPPLY DATA'!$AE:$AE,'CT capacity tracker'!$A$1,'ESS SUPPLY DATA'!$W:$W,'CT capacity tracker'!AE$1)</f>
        <v>0</v>
      </c>
      <c r="AF6" s="504">
        <f>SUMIFS('PV SUPPLY DATA'!$X:$X,'PV SUPPLY DATA'!$AH:$AH,'CT capacity tracker'!$B6,'PV SUPPLY DATA'!$AG:$AG,'CT capacity tracker'!$A$1,'PV SUPPLY DATA'!$Y:$Y,'CT capacity tracker'!AF$1)+SUMIFS('ESS SUPPLY DATA'!$U:$U,'ESS SUPPLY DATA'!$AF:$AF,'CT capacity tracker'!$B6,'ESS SUPPLY DATA'!$AE:$AE,'CT capacity tracker'!$A$1,'ESS SUPPLY DATA'!$W:$W,'CT capacity tracker'!AF$1)</f>
        <v>16</v>
      </c>
      <c r="AG6" s="504">
        <f>SUMIFS('PV SUPPLY DATA'!$X:$X,'PV SUPPLY DATA'!$AH:$AH,'CT capacity tracker'!$B6,'PV SUPPLY DATA'!$AG:$AG,'CT capacity tracker'!$A$1,'PV SUPPLY DATA'!$Y:$Y,'CT capacity tracker'!AG$1)+SUMIFS('ESS SUPPLY DATA'!$U:$U,'ESS SUPPLY DATA'!$AF:$AF,'CT capacity tracker'!$B6,'ESS SUPPLY DATA'!$AE:$AE,'CT capacity tracker'!$A$1,'ESS SUPPLY DATA'!$W:$W,'CT capacity tracker'!AG$1)</f>
        <v>17</v>
      </c>
      <c r="AH6" s="504">
        <f>SUMIFS('PV SUPPLY DATA'!$X:$X,'PV SUPPLY DATA'!$AH:$AH,'CT capacity tracker'!$B6,'PV SUPPLY DATA'!$AG:$AG,'CT capacity tracker'!$A$1,'PV SUPPLY DATA'!$Y:$Y,'CT capacity tracker'!AH$1)+SUMIFS('ESS SUPPLY DATA'!$U:$U,'ESS SUPPLY DATA'!$AF:$AF,'CT capacity tracker'!$B6,'ESS SUPPLY DATA'!$AE:$AE,'CT capacity tracker'!$A$1,'ESS SUPPLY DATA'!$W:$W,'CT capacity tracker'!AH$1)</f>
        <v>10</v>
      </c>
      <c r="AI6" s="504">
        <f>SUMIFS('PV SUPPLY DATA'!$X:$X,'PV SUPPLY DATA'!$AH:$AH,'CT capacity tracker'!$B6,'PV SUPPLY DATA'!$AG:$AG,'CT capacity tracker'!$A$1,'PV SUPPLY DATA'!$Y:$Y,'CT capacity tracker'!AI$1)+SUMIFS('ESS SUPPLY DATA'!$U:$U,'ESS SUPPLY DATA'!$AF:$AF,'CT capacity tracker'!$B6,'ESS SUPPLY DATA'!$AE:$AE,'CT capacity tracker'!$A$1,'ESS SUPPLY DATA'!$W:$W,'CT capacity tracker'!AI$1)</f>
        <v>10</v>
      </c>
      <c r="AJ6" s="504">
        <f>SUMIFS('PV SUPPLY DATA'!$X:$X,'PV SUPPLY DATA'!$AH:$AH,'CT capacity tracker'!$B6,'PV SUPPLY DATA'!$AG:$AG,'CT capacity tracker'!$A$1,'PV SUPPLY DATA'!$Y:$Y,'CT capacity tracker'!AJ$1)+SUMIFS('ESS SUPPLY DATA'!$U:$U,'ESS SUPPLY DATA'!$AF:$AF,'CT capacity tracker'!$B6,'ESS SUPPLY DATA'!$AE:$AE,'CT capacity tracker'!$A$1,'ESS SUPPLY DATA'!$W:$W,'CT capacity tracker'!AJ$1)</f>
        <v>0</v>
      </c>
      <c r="AK6" s="505" t="s">
        <v>197</v>
      </c>
      <c r="AL6" s="505" t="s">
        <v>197</v>
      </c>
      <c r="AM6" s="696">
        <f>SUM(E6:X6)</f>
        <v>693.78964644051598</v>
      </c>
      <c r="AN6" s="503" t="s">
        <v>197</v>
      </c>
      <c r="AO6" s="506"/>
      <c r="AP6" s="506">
        <f t="shared" ref="AP6:AP76" si="3">SUM(G6:J6)</f>
        <v>127.78964644051601</v>
      </c>
      <c r="AQ6" s="506"/>
      <c r="AR6" s="506" t="s">
        <v>197</v>
      </c>
      <c r="AS6" s="506" t="s">
        <v>197</v>
      </c>
      <c r="AT6" s="506" t="s">
        <v>197</v>
      </c>
    </row>
    <row r="7" spans="1:46" ht="13">
      <c r="A7" s="1517"/>
      <c r="B7" s="1517"/>
      <c r="C7" s="509" t="s">
        <v>4401</v>
      </c>
      <c r="D7" s="509"/>
      <c r="E7" s="510">
        <v>54</v>
      </c>
      <c r="F7" s="510">
        <v>24</v>
      </c>
      <c r="G7" s="510">
        <f>16+1</f>
        <v>17</v>
      </c>
      <c r="H7" s="510">
        <v>29</v>
      </c>
      <c r="I7" s="510">
        <f>29+3</f>
        <v>32</v>
      </c>
      <c r="J7" s="510">
        <f>22+1</f>
        <v>23</v>
      </c>
      <c r="K7" s="510">
        <f>11+8+5</f>
        <v>24</v>
      </c>
      <c r="L7" s="510">
        <f>11+5+8+5+9+9</f>
        <v>47</v>
      </c>
      <c r="M7" s="510">
        <f>5</f>
        <v>5</v>
      </c>
      <c r="N7" s="510">
        <f>8+7+5+38</f>
        <v>58</v>
      </c>
      <c r="O7" s="510">
        <f>11+5</f>
        <v>16</v>
      </c>
      <c r="P7" s="510">
        <f>11+5+8+21+15</f>
        <v>60</v>
      </c>
      <c r="Q7" s="510">
        <f>5+8+11+7+19</f>
        <v>50</v>
      </c>
      <c r="R7" s="510">
        <f>8+11+2+8+20</f>
        <v>49</v>
      </c>
      <c r="S7" s="510">
        <f>11+8+20</f>
        <v>39</v>
      </c>
      <c r="T7" s="510">
        <f>5+8+11+5+7</f>
        <v>36</v>
      </c>
      <c r="U7" s="510">
        <f>11+5+8+20</f>
        <v>44</v>
      </c>
      <c r="V7" s="510">
        <f>11+8+5+2+10</f>
        <v>36</v>
      </c>
      <c r="W7" s="510">
        <f>11+8+5+12+20</f>
        <v>56</v>
      </c>
      <c r="X7" s="510">
        <f>11+8+5</f>
        <v>24</v>
      </c>
      <c r="Y7" s="510">
        <v>11</v>
      </c>
      <c r="Z7" s="510">
        <f>11+5+8</f>
        <v>24</v>
      </c>
      <c r="AA7" s="510">
        <f>11+5+8</f>
        <v>24</v>
      </c>
      <c r="AB7" s="510">
        <f>4+5+8</f>
        <v>17</v>
      </c>
      <c r="AC7" s="510">
        <f>5+8</f>
        <v>13</v>
      </c>
      <c r="AD7" s="510">
        <f>5+11</f>
        <v>16</v>
      </c>
      <c r="AE7" s="510">
        <f>5+8+11</f>
        <v>24</v>
      </c>
      <c r="AF7" s="510">
        <f>11+8</f>
        <v>19</v>
      </c>
      <c r="AG7" s="510"/>
      <c r="AH7" s="510"/>
      <c r="AI7" s="510"/>
      <c r="AJ7" s="510"/>
      <c r="AK7" s="505" t="s">
        <v>197</v>
      </c>
      <c r="AL7" s="505" t="s">
        <v>197</v>
      </c>
      <c r="AM7" s="696"/>
      <c r="AN7" s="503" t="s">
        <v>197</v>
      </c>
      <c r="AO7" s="506"/>
      <c r="AP7" s="506">
        <f t="shared" si="3"/>
        <v>101</v>
      </c>
      <c r="AQ7" s="506"/>
      <c r="AR7" s="506" t="s">
        <v>197</v>
      </c>
      <c r="AS7" s="506" t="s">
        <v>197</v>
      </c>
      <c r="AT7" s="506" t="s">
        <v>197</v>
      </c>
    </row>
    <row r="8" spans="1:46" ht="13">
      <c r="A8" s="1517"/>
      <c r="B8" s="1517"/>
      <c r="C8" s="520" t="s">
        <v>4402</v>
      </c>
      <c r="D8" s="522"/>
      <c r="E8" s="522">
        <f t="shared" ref="E8:T8" si="4">E7-E6</f>
        <v>16</v>
      </c>
      <c r="F8" s="522">
        <f t="shared" si="4"/>
        <v>24</v>
      </c>
      <c r="G8" s="522">
        <f t="shared" si="4"/>
        <v>-20</v>
      </c>
      <c r="H8" s="522">
        <f t="shared" si="4"/>
        <v>0</v>
      </c>
      <c r="I8" s="522">
        <f t="shared" si="4"/>
        <v>-0.91255613951265957</v>
      </c>
      <c r="J8" s="522">
        <f t="shared" si="4"/>
        <v>-5.8770903010033457</v>
      </c>
      <c r="K8" s="522">
        <f t="shared" si="4"/>
        <v>-47</v>
      </c>
      <c r="L8" s="522">
        <f t="shared" si="4"/>
        <v>8</v>
      </c>
      <c r="M8" s="522">
        <f t="shared" si="4"/>
        <v>-45</v>
      </c>
      <c r="N8" s="522">
        <f t="shared" si="4"/>
        <v>52</v>
      </c>
      <c r="O8" s="522">
        <f t="shared" si="4"/>
        <v>16</v>
      </c>
      <c r="P8" s="522">
        <f t="shared" si="4"/>
        <v>9</v>
      </c>
      <c r="Q8" s="522">
        <f t="shared" si="4"/>
        <v>20</v>
      </c>
      <c r="R8" s="522">
        <f t="shared" si="4"/>
        <v>14</v>
      </c>
      <c r="S8" s="522">
        <f>S7-S6</f>
        <v>-16</v>
      </c>
      <c r="T8" s="522">
        <f t="shared" si="4"/>
        <v>0</v>
      </c>
      <c r="U8" s="522">
        <f t="shared" ref="U8:AB8" si="5">U7-U6</f>
        <v>-4</v>
      </c>
      <c r="V8" s="522">
        <f t="shared" si="5"/>
        <v>-3</v>
      </c>
      <c r="W8" s="522">
        <f t="shared" si="5"/>
        <v>5</v>
      </c>
      <c r="X8" s="522">
        <f t="shared" si="5"/>
        <v>7</v>
      </c>
      <c r="Y8" s="522">
        <f t="shared" si="5"/>
        <v>0</v>
      </c>
      <c r="Z8" s="522">
        <f t="shared" si="5"/>
        <v>-6</v>
      </c>
      <c r="AA8" s="522">
        <f t="shared" si="5"/>
        <v>-8</v>
      </c>
      <c r="AB8" s="522">
        <f t="shared" si="5"/>
        <v>-4</v>
      </c>
      <c r="AC8" s="522">
        <f t="shared" ref="AC8:AJ8" si="6">AC7-AC6</f>
        <v>-33</v>
      </c>
      <c r="AD8" s="522">
        <f t="shared" si="6"/>
        <v>-75.5</v>
      </c>
      <c r="AE8" s="522">
        <f t="shared" si="6"/>
        <v>24</v>
      </c>
      <c r="AF8" s="522">
        <f t="shared" si="6"/>
        <v>3</v>
      </c>
      <c r="AG8" s="522">
        <f t="shared" si="6"/>
        <v>-17</v>
      </c>
      <c r="AH8" s="522">
        <f t="shared" si="6"/>
        <v>-10</v>
      </c>
      <c r="AI8" s="522">
        <f t="shared" si="6"/>
        <v>-10</v>
      </c>
      <c r="AJ8" s="522">
        <f t="shared" si="6"/>
        <v>0</v>
      </c>
      <c r="AK8" s="511">
        <f>SUMIF($E8:$X8,"&gt;0")</f>
        <v>171</v>
      </c>
      <c r="AL8" s="511">
        <f>SUMIF($E8:$X8,"&lt;0")</f>
        <v>-141.78964644051601</v>
      </c>
      <c r="AM8" s="696"/>
      <c r="AN8" s="503"/>
      <c r="AO8" s="506"/>
      <c r="AP8" s="506">
        <f t="shared" si="3"/>
        <v>-26.789646440516005</v>
      </c>
      <c r="AQ8" s="506"/>
      <c r="AR8" s="506" t="s">
        <v>197</v>
      </c>
      <c r="AS8" s="506" t="s">
        <v>197</v>
      </c>
      <c r="AT8" s="506" t="s">
        <v>197</v>
      </c>
    </row>
    <row r="9" spans="1:46" ht="13">
      <c r="A9" s="1517"/>
      <c r="B9" s="1518"/>
      <c r="C9" s="503" t="s">
        <v>4403</v>
      </c>
      <c r="D9" s="522"/>
      <c r="E9" s="504">
        <f>SUMIFS('PV SUPPLY DATA'!$X:$X,'PV SUPPLY DATA'!$AH:$AH,'CT capacity tracker'!$B6,'PV SUPPLY DATA'!$AG:$AG,'CT capacity tracker'!$A$1,'PV SUPPLY DATA'!$Y:$Y,E$1,'PV SUPPLY DATA'!$AQ:$AQ,"cosco")+SUMIFS('PV SUPPLY DATA'!$X:$X,'PV SUPPLY DATA'!$AH:$AH,'CT capacity tracker'!$B6,'PV SUPPLY DATA'!$AG:$AG,'CT capacity tracker'!$A$1,'PV SUPPLY DATA'!$Y:$Y,E$1,'PV SUPPLY DATA'!$AQ:$AQ,"other")+SUMIFS('ESS SUPPLY DATA'!$U:$U,'ESS SUPPLY DATA'!$AF:$AF,'CT capacity tracker'!$B6,'ESS SUPPLY DATA'!$AE:$AE,'CT capacity tracker'!$A$1,'ESS SUPPLY DATA'!$W:$W,'CT capacity tracker'!E$1,'ESS SUPPLY DATA'!$AO:$AO,"cosco")+SUMIFS('ESS SUPPLY DATA'!$U:$U,'ESS SUPPLY DATA'!$AF:$AF,'CT capacity tracker'!$B6,'ESS SUPPLY DATA'!$AE:$AE,'CT capacity tracker'!$A$1,'ESS SUPPLY DATA'!$W:$W,'CT capacity tracker'!E$1,'ESS SUPPLY DATA'!$AO:$AO,"other")</f>
        <v>38</v>
      </c>
      <c r="F9" s="504">
        <f>SUMIFS('PV SUPPLY DATA'!$X:$X,'PV SUPPLY DATA'!$AH:$AH,'CT capacity tracker'!$B6,'PV SUPPLY DATA'!$AG:$AG,'CT capacity tracker'!$A$1,'PV SUPPLY DATA'!$Y:$Y,F$1,'PV SUPPLY DATA'!$AQ:$AQ,"cosco")+SUMIFS('PV SUPPLY DATA'!$X:$X,'PV SUPPLY DATA'!$AH:$AH,'CT capacity tracker'!$B6,'PV SUPPLY DATA'!$AG:$AG,'CT capacity tracker'!$A$1,'PV SUPPLY DATA'!$Y:$Y,F$1,'PV SUPPLY DATA'!$AQ:$AQ,"other")+SUMIFS('ESS SUPPLY DATA'!$U:$U,'ESS SUPPLY DATA'!$AF:$AF,'CT capacity tracker'!$B6,'ESS SUPPLY DATA'!$AE:$AE,'CT capacity tracker'!$A$1,'ESS SUPPLY DATA'!$W:$W,'CT capacity tracker'!F$1,'ESS SUPPLY DATA'!$AO:$AO,"cosco")+SUMIFS('ESS SUPPLY DATA'!$U:$U,'ESS SUPPLY DATA'!$AF:$AF,'CT capacity tracker'!$B6,'ESS SUPPLY DATA'!$AE:$AE,'CT capacity tracker'!$A$1,'ESS SUPPLY DATA'!$W:$W,'CT capacity tracker'!F$1,'ESS SUPPLY DATA'!$AO:$AO,"other")</f>
        <v>0</v>
      </c>
      <c r="G9" s="504">
        <f>SUMIFS('PV SUPPLY DATA'!$X:$X,'PV SUPPLY DATA'!$AH:$AH,'CT capacity tracker'!$B6,'PV SUPPLY DATA'!$AG:$AG,'CT capacity tracker'!$A$1,'PV SUPPLY DATA'!$Y:$Y,G$1,'PV SUPPLY DATA'!$AQ:$AQ,"cosco")+SUMIFS('PV SUPPLY DATA'!$X:$X,'PV SUPPLY DATA'!$AH:$AH,'CT capacity tracker'!$B6,'PV SUPPLY DATA'!$AG:$AG,'CT capacity tracker'!$A$1,'PV SUPPLY DATA'!$Y:$Y,G$1,'PV SUPPLY DATA'!$AQ:$AQ,"other")+SUMIFS('ESS SUPPLY DATA'!$U:$U,'ESS SUPPLY DATA'!$AF:$AF,'CT capacity tracker'!$B6,'ESS SUPPLY DATA'!$AE:$AE,'CT capacity tracker'!$A$1,'ESS SUPPLY DATA'!$W:$W,'CT capacity tracker'!G$1,'ESS SUPPLY DATA'!$AO:$AO,"cosco")+SUMIFS('ESS SUPPLY DATA'!$U:$U,'ESS SUPPLY DATA'!$AF:$AF,'CT capacity tracker'!$B6,'ESS SUPPLY DATA'!$AE:$AE,'CT capacity tracker'!$A$1,'ESS SUPPLY DATA'!$W:$W,'CT capacity tracker'!G$1,'ESS SUPPLY DATA'!$AO:$AO,"other")</f>
        <v>37</v>
      </c>
      <c r="H9" s="504">
        <f>SUMIFS('PV SUPPLY DATA'!$X:$X,'PV SUPPLY DATA'!$AH:$AH,'CT capacity tracker'!$B6,'PV SUPPLY DATA'!$AG:$AG,'CT capacity tracker'!$A$1,'PV SUPPLY DATA'!$Y:$Y,H$1,'PV SUPPLY DATA'!$AQ:$AQ,"cosco")+SUMIFS('PV SUPPLY DATA'!$X:$X,'PV SUPPLY DATA'!$AH:$AH,'CT capacity tracker'!$B6,'PV SUPPLY DATA'!$AG:$AG,'CT capacity tracker'!$A$1,'PV SUPPLY DATA'!$Y:$Y,H$1,'PV SUPPLY DATA'!$AQ:$AQ,"other")+SUMIFS('ESS SUPPLY DATA'!$U:$U,'ESS SUPPLY DATA'!$AF:$AF,'CT capacity tracker'!$B6,'ESS SUPPLY DATA'!$AE:$AE,'CT capacity tracker'!$A$1,'ESS SUPPLY DATA'!$W:$W,'CT capacity tracker'!H$1,'ESS SUPPLY DATA'!$AO:$AO,"cosco")+SUMIFS('ESS SUPPLY DATA'!$U:$U,'ESS SUPPLY DATA'!$AF:$AF,'CT capacity tracker'!$B6,'ESS SUPPLY DATA'!$AE:$AE,'CT capacity tracker'!$A$1,'ESS SUPPLY DATA'!$W:$W,'CT capacity tracker'!H$1,'ESS SUPPLY DATA'!$AO:$AO,"other")</f>
        <v>29</v>
      </c>
      <c r="I9" s="504">
        <f>SUMIFS('PV SUPPLY DATA'!$X:$X,'PV SUPPLY DATA'!$AH:$AH,'CT capacity tracker'!$B6,'PV SUPPLY DATA'!$AG:$AG,'CT capacity tracker'!$A$1,'PV SUPPLY DATA'!$Y:$Y,I$1,'PV SUPPLY DATA'!$AQ:$AQ,"cosco")+SUMIFS('PV SUPPLY DATA'!$X:$X,'PV SUPPLY DATA'!$AH:$AH,'CT capacity tracker'!$B6,'PV SUPPLY DATA'!$AG:$AG,'CT capacity tracker'!$A$1,'PV SUPPLY DATA'!$Y:$Y,I$1,'PV SUPPLY DATA'!$AQ:$AQ,"other")+SUMIFS('ESS SUPPLY DATA'!$U:$U,'ESS SUPPLY DATA'!$AF:$AF,'CT capacity tracker'!$B6,'ESS SUPPLY DATA'!$AE:$AE,'CT capacity tracker'!$A$1,'ESS SUPPLY DATA'!$W:$W,'CT capacity tracker'!I$1,'ESS SUPPLY DATA'!$AO:$AO,"cosco")+SUMIFS('ESS SUPPLY DATA'!$U:$U,'ESS SUPPLY DATA'!$AF:$AF,'CT capacity tracker'!$B6,'ESS SUPPLY DATA'!$AE:$AE,'CT capacity tracker'!$A$1,'ESS SUPPLY DATA'!$W:$W,'CT capacity tracker'!I$1,'ESS SUPPLY DATA'!$AO:$AO,"other")</f>
        <v>32.91255613951266</v>
      </c>
      <c r="J9" s="504">
        <f>SUMIFS('PV SUPPLY DATA'!$X:$X,'PV SUPPLY DATA'!$AH:$AH,'CT capacity tracker'!$B6,'PV SUPPLY DATA'!$AG:$AG,'CT capacity tracker'!$A$1,'PV SUPPLY DATA'!$Y:$Y,J$1,'PV SUPPLY DATA'!$AQ:$AQ,"cosco")+SUMIFS('PV SUPPLY DATA'!$X:$X,'PV SUPPLY DATA'!$AH:$AH,'CT capacity tracker'!$B6,'PV SUPPLY DATA'!$AG:$AG,'CT capacity tracker'!$A$1,'PV SUPPLY DATA'!$Y:$Y,J$1,'PV SUPPLY DATA'!$AQ:$AQ,"other")+SUMIFS('ESS SUPPLY DATA'!$U:$U,'ESS SUPPLY DATA'!$AF:$AF,'CT capacity tracker'!$B6,'ESS SUPPLY DATA'!$AE:$AE,'CT capacity tracker'!$A$1,'ESS SUPPLY DATA'!$W:$W,'CT capacity tracker'!J$1,'ESS SUPPLY DATA'!$AO:$AO,"cosco")+SUMIFS('ESS SUPPLY DATA'!$U:$U,'ESS SUPPLY DATA'!$AF:$AF,'CT capacity tracker'!$B6,'ESS SUPPLY DATA'!$AE:$AE,'CT capacity tracker'!$A$1,'ESS SUPPLY DATA'!$W:$W,'CT capacity tracker'!J$1,'ESS SUPPLY DATA'!$AO:$AO,"other")</f>
        <v>28.877090301003346</v>
      </c>
      <c r="K9" s="504">
        <f>SUMIFS('PV SUPPLY DATA'!$X:$X,'PV SUPPLY DATA'!$AH:$AH,'CT capacity tracker'!$B6,'PV SUPPLY DATA'!$AG:$AG,'CT capacity tracker'!$A$1,'PV SUPPLY DATA'!$Y:$Y,K$1,'PV SUPPLY DATA'!$AQ:$AQ,"cosco")+SUMIFS('PV SUPPLY DATA'!$X:$X,'PV SUPPLY DATA'!$AH:$AH,'CT capacity tracker'!$B6,'PV SUPPLY DATA'!$AG:$AG,'CT capacity tracker'!$A$1,'PV SUPPLY DATA'!$Y:$Y,K$1,'PV SUPPLY DATA'!$AQ:$AQ,"other")+SUMIFS('ESS SUPPLY DATA'!$U:$U,'ESS SUPPLY DATA'!$AF:$AF,'CT capacity tracker'!$B6,'ESS SUPPLY DATA'!$AE:$AE,'CT capacity tracker'!$A$1,'ESS SUPPLY DATA'!$W:$W,'CT capacity tracker'!K$1,'ESS SUPPLY DATA'!$AO:$AO,"cosco")+SUMIFS('ESS SUPPLY DATA'!$U:$U,'ESS SUPPLY DATA'!$AF:$AF,'CT capacity tracker'!$B6,'ESS SUPPLY DATA'!$AE:$AE,'CT capacity tracker'!$A$1,'ESS SUPPLY DATA'!$W:$W,'CT capacity tracker'!K$1,'ESS SUPPLY DATA'!$AO:$AO,"other")</f>
        <v>71</v>
      </c>
      <c r="L9" s="504">
        <f>SUMIFS('PV SUPPLY DATA'!$X:$X,'PV SUPPLY DATA'!$AH:$AH,'CT capacity tracker'!$B6,'PV SUPPLY DATA'!$AG:$AG,'CT capacity tracker'!$A$1,'PV SUPPLY DATA'!$Y:$Y,L$1,'PV SUPPLY DATA'!$AQ:$AQ,"cosco")+SUMIFS('PV SUPPLY DATA'!$X:$X,'PV SUPPLY DATA'!$AH:$AH,'CT capacity tracker'!$B6,'PV SUPPLY DATA'!$AG:$AG,'CT capacity tracker'!$A$1,'PV SUPPLY DATA'!$Y:$Y,L$1,'PV SUPPLY DATA'!$AQ:$AQ,"other")+SUMIFS('ESS SUPPLY DATA'!$U:$U,'ESS SUPPLY DATA'!$AF:$AF,'CT capacity tracker'!$B6,'ESS SUPPLY DATA'!$AE:$AE,'CT capacity tracker'!$A$1,'ESS SUPPLY DATA'!$W:$W,'CT capacity tracker'!L$1,'ESS SUPPLY DATA'!$AO:$AO,"cosco")+SUMIFS('ESS SUPPLY DATA'!$U:$U,'ESS SUPPLY DATA'!$AF:$AF,'CT capacity tracker'!$B6,'ESS SUPPLY DATA'!$AE:$AE,'CT capacity tracker'!$A$1,'ESS SUPPLY DATA'!$W:$W,'CT capacity tracker'!L$1,'ESS SUPPLY DATA'!$AO:$AO,"other")</f>
        <v>39</v>
      </c>
      <c r="M9" s="504">
        <f>SUMIFS('PV SUPPLY DATA'!$X:$X,'PV SUPPLY DATA'!$AH:$AH,'CT capacity tracker'!$B6,'PV SUPPLY DATA'!$AG:$AG,'CT capacity tracker'!$A$1,'PV SUPPLY DATA'!$Y:$Y,M$1,'PV SUPPLY DATA'!$AQ:$AQ,"cosco")+SUMIFS('PV SUPPLY DATA'!$X:$X,'PV SUPPLY DATA'!$AH:$AH,'CT capacity tracker'!$B6,'PV SUPPLY DATA'!$AG:$AG,'CT capacity tracker'!$A$1,'PV SUPPLY DATA'!$Y:$Y,M$1,'PV SUPPLY DATA'!$AQ:$AQ,"other")+SUMIFS('ESS SUPPLY DATA'!$U:$U,'ESS SUPPLY DATA'!$AF:$AF,'CT capacity tracker'!$B6,'ESS SUPPLY DATA'!$AE:$AE,'CT capacity tracker'!$A$1,'ESS SUPPLY DATA'!$W:$W,'CT capacity tracker'!M$1,'ESS SUPPLY DATA'!$AO:$AO,"cosco")+SUMIFS('ESS SUPPLY DATA'!$U:$U,'ESS SUPPLY DATA'!$AF:$AF,'CT capacity tracker'!$B6,'ESS SUPPLY DATA'!$AE:$AE,'CT capacity tracker'!$A$1,'ESS SUPPLY DATA'!$W:$W,'CT capacity tracker'!M$1,'ESS SUPPLY DATA'!$AO:$AO,"other")</f>
        <v>50</v>
      </c>
      <c r="N9" s="504">
        <f>SUMIFS('PV SUPPLY DATA'!$X:$X,'PV SUPPLY DATA'!$AH:$AH,'CT capacity tracker'!$B6,'PV SUPPLY DATA'!$AG:$AG,'CT capacity tracker'!$A$1,'PV SUPPLY DATA'!$Y:$Y,N$1,'PV SUPPLY DATA'!$AQ:$AQ,"cosco")+SUMIFS('PV SUPPLY DATA'!$X:$X,'PV SUPPLY DATA'!$AH:$AH,'CT capacity tracker'!$B6,'PV SUPPLY DATA'!$AG:$AG,'CT capacity tracker'!$A$1,'PV SUPPLY DATA'!$Y:$Y,N$1,'PV SUPPLY DATA'!$AQ:$AQ,"other")+SUMIFS('ESS SUPPLY DATA'!$U:$U,'ESS SUPPLY DATA'!$AF:$AF,'CT capacity tracker'!$B6,'ESS SUPPLY DATA'!$AE:$AE,'CT capacity tracker'!$A$1,'ESS SUPPLY DATA'!$W:$W,'CT capacity tracker'!N$1,'ESS SUPPLY DATA'!$AO:$AO,"cosco")+SUMIFS('ESS SUPPLY DATA'!$U:$U,'ESS SUPPLY DATA'!$AF:$AF,'CT capacity tracker'!$B6,'ESS SUPPLY DATA'!$AE:$AE,'CT capacity tracker'!$A$1,'ESS SUPPLY DATA'!$W:$W,'CT capacity tracker'!N$1,'ESS SUPPLY DATA'!$AO:$AO,"other")</f>
        <v>6</v>
      </c>
      <c r="O9" s="504">
        <f>SUMIFS('PV SUPPLY DATA'!$X:$X,'PV SUPPLY DATA'!$AH:$AH,'CT capacity tracker'!$B6,'PV SUPPLY DATA'!$AG:$AG,'CT capacity tracker'!$A$1,'PV SUPPLY DATA'!$Y:$Y,O$1,'PV SUPPLY DATA'!$AQ:$AQ,"cosco")+SUMIFS('PV SUPPLY DATA'!$X:$X,'PV SUPPLY DATA'!$AH:$AH,'CT capacity tracker'!$B6,'PV SUPPLY DATA'!$AG:$AG,'CT capacity tracker'!$A$1,'PV SUPPLY DATA'!$Y:$Y,O$1,'PV SUPPLY DATA'!$AQ:$AQ,"other")+SUMIFS('ESS SUPPLY DATA'!$U:$U,'ESS SUPPLY DATA'!$AF:$AF,'CT capacity tracker'!$B6,'ESS SUPPLY DATA'!$AE:$AE,'CT capacity tracker'!$A$1,'ESS SUPPLY DATA'!$W:$W,'CT capacity tracker'!O$1,'ESS SUPPLY DATA'!$AO:$AO,"cosco")+SUMIFS('ESS SUPPLY DATA'!$U:$U,'ESS SUPPLY DATA'!$AF:$AF,'CT capacity tracker'!$B6,'ESS SUPPLY DATA'!$AE:$AE,'CT capacity tracker'!$A$1,'ESS SUPPLY DATA'!$W:$W,'CT capacity tracker'!O$1,'ESS SUPPLY DATA'!$AO:$AO,"other")</f>
        <v>0</v>
      </c>
      <c r="P9" s="504">
        <f>SUMIFS('PV SUPPLY DATA'!$X:$X,'PV SUPPLY DATA'!$AH:$AH,'CT capacity tracker'!$B6,'PV SUPPLY DATA'!$AG:$AG,'CT capacity tracker'!$A$1,'PV SUPPLY DATA'!$Y:$Y,P$1,'PV SUPPLY DATA'!$AQ:$AQ,"cosco")+SUMIFS('PV SUPPLY DATA'!$X:$X,'PV SUPPLY DATA'!$AH:$AH,'CT capacity tracker'!$B6,'PV SUPPLY DATA'!$AG:$AG,'CT capacity tracker'!$A$1,'PV SUPPLY DATA'!$Y:$Y,P$1,'PV SUPPLY DATA'!$AQ:$AQ,"other")+SUMIFS('ESS SUPPLY DATA'!$U:$U,'ESS SUPPLY DATA'!$AF:$AF,'CT capacity tracker'!$B6,'ESS SUPPLY DATA'!$AE:$AE,'CT capacity tracker'!$A$1,'ESS SUPPLY DATA'!$W:$W,'CT capacity tracker'!P$1,'ESS SUPPLY DATA'!$AO:$AO,"cosco")+SUMIFS('ESS SUPPLY DATA'!$U:$U,'ESS SUPPLY DATA'!$AF:$AF,'CT capacity tracker'!$B6,'ESS SUPPLY DATA'!$AE:$AE,'CT capacity tracker'!$A$1,'ESS SUPPLY DATA'!$W:$W,'CT capacity tracker'!P$1,'ESS SUPPLY DATA'!$AO:$AO,"other")</f>
        <v>51</v>
      </c>
      <c r="Q9" s="504">
        <f>SUMIFS('PV SUPPLY DATA'!$X:$X,'PV SUPPLY DATA'!$AH:$AH,'CT capacity tracker'!$B6,'PV SUPPLY DATA'!$AG:$AG,'CT capacity tracker'!$A$1,'PV SUPPLY DATA'!$Y:$Y,Q$1,'PV SUPPLY DATA'!$AQ:$AQ,"cosco")+SUMIFS('PV SUPPLY DATA'!$X:$X,'PV SUPPLY DATA'!$AH:$AH,'CT capacity tracker'!$B6,'PV SUPPLY DATA'!$AG:$AG,'CT capacity tracker'!$A$1,'PV SUPPLY DATA'!$Y:$Y,Q$1,'PV SUPPLY DATA'!$AQ:$AQ,"other")+SUMIFS('ESS SUPPLY DATA'!$U:$U,'ESS SUPPLY DATA'!$AF:$AF,'CT capacity tracker'!$B6,'ESS SUPPLY DATA'!$AE:$AE,'CT capacity tracker'!$A$1,'ESS SUPPLY DATA'!$W:$W,'CT capacity tracker'!Q$1,'ESS SUPPLY DATA'!$AO:$AO,"cosco")+SUMIFS('ESS SUPPLY DATA'!$U:$U,'ESS SUPPLY DATA'!$AF:$AF,'CT capacity tracker'!$B6,'ESS SUPPLY DATA'!$AE:$AE,'CT capacity tracker'!$A$1,'ESS SUPPLY DATA'!$W:$W,'CT capacity tracker'!Q$1,'ESS SUPPLY DATA'!$AO:$AO,"other")</f>
        <v>30</v>
      </c>
      <c r="R9" s="504">
        <f>SUMIFS('PV SUPPLY DATA'!$X:$X,'PV SUPPLY DATA'!$AH:$AH,'CT capacity tracker'!$B6,'PV SUPPLY DATA'!$AG:$AG,'CT capacity tracker'!$A$1,'PV SUPPLY DATA'!$Y:$Y,R$1,'PV SUPPLY DATA'!$AQ:$AQ,"cosco")+SUMIFS('PV SUPPLY DATA'!$X:$X,'PV SUPPLY DATA'!$AH:$AH,'CT capacity tracker'!$B6,'PV SUPPLY DATA'!$AG:$AG,'CT capacity tracker'!$A$1,'PV SUPPLY DATA'!$Y:$Y,R$1,'PV SUPPLY DATA'!$AQ:$AQ,"other")+SUMIFS('ESS SUPPLY DATA'!$U:$U,'ESS SUPPLY DATA'!$AF:$AF,'CT capacity tracker'!$B6,'ESS SUPPLY DATA'!$AE:$AE,'CT capacity tracker'!$A$1,'ESS SUPPLY DATA'!$W:$W,'CT capacity tracker'!R$1,'ESS SUPPLY DATA'!$AO:$AO,"cosco")+SUMIFS('ESS SUPPLY DATA'!$U:$U,'ESS SUPPLY DATA'!$AF:$AF,'CT capacity tracker'!$B6,'ESS SUPPLY DATA'!$AE:$AE,'CT capacity tracker'!$A$1,'ESS SUPPLY DATA'!$W:$W,'CT capacity tracker'!R$1,'ESS SUPPLY DATA'!$AO:$AO,"other")</f>
        <v>35</v>
      </c>
      <c r="S9" s="504">
        <f>SUMIFS('PV SUPPLY DATA'!$X:$X,'PV SUPPLY DATA'!$AH:$AH,'CT capacity tracker'!$B6,'PV SUPPLY DATA'!$AG:$AG,'CT capacity tracker'!$A$1,'PV SUPPLY DATA'!$Y:$Y,S$1,'PV SUPPLY DATA'!$AQ:$AQ,"cosco")+SUMIFS('PV SUPPLY DATA'!$X:$X,'PV SUPPLY DATA'!$AH:$AH,'CT capacity tracker'!$B6,'PV SUPPLY DATA'!$AG:$AG,'CT capacity tracker'!$A$1,'PV SUPPLY DATA'!$Y:$Y,S$1,'PV SUPPLY DATA'!$AQ:$AQ,"other")+SUMIFS('ESS SUPPLY DATA'!$U:$U,'ESS SUPPLY DATA'!$AF:$AF,'CT capacity tracker'!$B6,'ESS SUPPLY DATA'!$AE:$AE,'CT capacity tracker'!$A$1,'ESS SUPPLY DATA'!$W:$W,'CT capacity tracker'!S$1,'ESS SUPPLY DATA'!$AO:$AO,"cosco")+SUMIFS('ESS SUPPLY DATA'!$U:$U,'ESS SUPPLY DATA'!$AF:$AF,'CT capacity tracker'!$B6,'ESS SUPPLY DATA'!$AE:$AE,'CT capacity tracker'!$A$1,'ESS SUPPLY DATA'!$W:$W,'CT capacity tracker'!S$1,'ESS SUPPLY DATA'!$AO:$AO,"other")</f>
        <v>55</v>
      </c>
      <c r="T9" s="504">
        <f>SUMIFS('PV SUPPLY DATA'!$X:$X,'PV SUPPLY DATA'!$AH:$AH,'CT capacity tracker'!$B6,'PV SUPPLY DATA'!$AG:$AG,'CT capacity tracker'!$A$1,'PV SUPPLY DATA'!$Y:$Y,T$1,'PV SUPPLY DATA'!$AQ:$AQ,"cosco")+SUMIFS('PV SUPPLY DATA'!$X:$X,'PV SUPPLY DATA'!$AH:$AH,'CT capacity tracker'!$B6,'PV SUPPLY DATA'!$AG:$AG,'CT capacity tracker'!$A$1,'PV SUPPLY DATA'!$Y:$Y,T$1,'PV SUPPLY DATA'!$AQ:$AQ,"other")+SUMIFS('ESS SUPPLY DATA'!$U:$U,'ESS SUPPLY DATA'!$AF:$AF,'CT capacity tracker'!$B6,'ESS SUPPLY DATA'!$AE:$AE,'CT capacity tracker'!$A$1,'ESS SUPPLY DATA'!$W:$W,'CT capacity tracker'!T$1,'ESS SUPPLY DATA'!$AO:$AO,"cosco")+SUMIFS('ESS SUPPLY DATA'!$U:$U,'ESS SUPPLY DATA'!$AF:$AF,'CT capacity tracker'!$B6,'ESS SUPPLY DATA'!$AE:$AE,'CT capacity tracker'!$A$1,'ESS SUPPLY DATA'!$W:$W,'CT capacity tracker'!T$1,'ESS SUPPLY DATA'!$AO:$AO,"other")</f>
        <v>36</v>
      </c>
      <c r="U9" s="504">
        <f>SUMIFS('PV SUPPLY DATA'!$X:$X,'PV SUPPLY DATA'!$AH:$AH,'CT capacity tracker'!$B6,'PV SUPPLY DATA'!$AG:$AG,'CT capacity tracker'!$A$1,'PV SUPPLY DATA'!$Y:$Y,U$1,'PV SUPPLY DATA'!$AQ:$AQ,"cosco")+SUMIFS('PV SUPPLY DATA'!$X:$X,'PV SUPPLY DATA'!$AH:$AH,'CT capacity tracker'!$B6,'PV SUPPLY DATA'!$AG:$AG,'CT capacity tracker'!$A$1,'PV SUPPLY DATA'!$Y:$Y,U$1,'PV SUPPLY DATA'!$AQ:$AQ,"other")+SUMIFS('ESS SUPPLY DATA'!$U:$U,'ESS SUPPLY DATA'!$AF:$AF,'CT capacity tracker'!$B6,'ESS SUPPLY DATA'!$AE:$AE,'CT capacity tracker'!$A$1,'ESS SUPPLY DATA'!$W:$W,'CT capacity tracker'!U$1,'ESS SUPPLY DATA'!$AO:$AO,"cosco")+SUMIFS('ESS SUPPLY DATA'!$U:$U,'ESS SUPPLY DATA'!$AF:$AF,'CT capacity tracker'!$B6,'ESS SUPPLY DATA'!$AE:$AE,'CT capacity tracker'!$A$1,'ESS SUPPLY DATA'!$W:$W,'CT capacity tracker'!U$1,'ESS SUPPLY DATA'!$AO:$AO,"other")</f>
        <v>48</v>
      </c>
      <c r="V9" s="504">
        <f>SUMIFS('PV SUPPLY DATA'!$X:$X,'PV SUPPLY DATA'!$AH:$AH,'CT capacity tracker'!$B6,'PV SUPPLY DATA'!$AG:$AG,'CT capacity tracker'!$A$1,'PV SUPPLY DATA'!$Y:$Y,V$1,'PV SUPPLY DATA'!$AQ:$AQ,"cosco")+SUMIFS('PV SUPPLY DATA'!$X:$X,'PV SUPPLY DATA'!$AH:$AH,'CT capacity tracker'!$B6,'PV SUPPLY DATA'!$AG:$AG,'CT capacity tracker'!$A$1,'PV SUPPLY DATA'!$Y:$Y,V$1,'PV SUPPLY DATA'!$AQ:$AQ,"other")+SUMIFS('ESS SUPPLY DATA'!$U:$U,'ESS SUPPLY DATA'!$AF:$AF,'CT capacity tracker'!$B6,'ESS SUPPLY DATA'!$AE:$AE,'CT capacity tracker'!$A$1,'ESS SUPPLY DATA'!$W:$W,'CT capacity tracker'!V$1,'ESS SUPPLY DATA'!$AO:$AO,"cosco")+SUMIFS('ESS SUPPLY DATA'!$U:$U,'ESS SUPPLY DATA'!$AF:$AF,'CT capacity tracker'!$B6,'ESS SUPPLY DATA'!$AE:$AE,'CT capacity tracker'!$A$1,'ESS SUPPLY DATA'!$W:$W,'CT capacity tracker'!V$1,'ESS SUPPLY DATA'!$AO:$AO,"other")</f>
        <v>39</v>
      </c>
      <c r="W9" s="504">
        <f>SUMIFS('PV SUPPLY DATA'!$X:$X,'PV SUPPLY DATA'!$AH:$AH,'CT capacity tracker'!$B6,'PV SUPPLY DATA'!$AG:$AG,'CT capacity tracker'!$A$1,'PV SUPPLY DATA'!$Y:$Y,W$1,'PV SUPPLY DATA'!$AQ:$AQ,"cosco")+SUMIFS('PV SUPPLY DATA'!$X:$X,'PV SUPPLY DATA'!$AH:$AH,'CT capacity tracker'!$B6,'PV SUPPLY DATA'!$AG:$AG,'CT capacity tracker'!$A$1,'PV SUPPLY DATA'!$Y:$Y,W$1,'PV SUPPLY DATA'!$AQ:$AQ,"other")+SUMIFS('ESS SUPPLY DATA'!$U:$U,'ESS SUPPLY DATA'!$AF:$AF,'CT capacity tracker'!$B6,'ESS SUPPLY DATA'!$AE:$AE,'CT capacity tracker'!$A$1,'ESS SUPPLY DATA'!$W:$W,'CT capacity tracker'!W$1,'ESS SUPPLY DATA'!$AO:$AO,"cosco")+SUMIFS('ESS SUPPLY DATA'!$U:$U,'ESS SUPPLY DATA'!$AF:$AF,'CT capacity tracker'!$B6,'ESS SUPPLY DATA'!$AE:$AE,'CT capacity tracker'!$A$1,'ESS SUPPLY DATA'!$W:$W,'CT capacity tracker'!W$1,'ESS SUPPLY DATA'!$AO:$AO,"other")</f>
        <v>51</v>
      </c>
      <c r="X9" s="504">
        <f>SUMIFS('PV SUPPLY DATA'!$X:$X,'PV SUPPLY DATA'!$AH:$AH,'CT capacity tracker'!$B6,'PV SUPPLY DATA'!$AG:$AG,'CT capacity tracker'!$A$1,'PV SUPPLY DATA'!$Y:$Y,X$1,'PV SUPPLY DATA'!$AQ:$AQ,"cosco")+SUMIFS('PV SUPPLY DATA'!$X:$X,'PV SUPPLY DATA'!$AH:$AH,'CT capacity tracker'!$B6,'PV SUPPLY DATA'!$AG:$AG,'CT capacity tracker'!$A$1,'PV SUPPLY DATA'!$Y:$Y,X$1,'PV SUPPLY DATA'!$AQ:$AQ,"other")+SUMIFS('ESS SUPPLY DATA'!$U:$U,'ESS SUPPLY DATA'!$AF:$AF,'CT capacity tracker'!$B6,'ESS SUPPLY DATA'!$AE:$AE,'CT capacity tracker'!$A$1,'ESS SUPPLY DATA'!$W:$W,'CT capacity tracker'!X$1,'ESS SUPPLY DATA'!$AO:$AO,"cosco")+SUMIFS('ESS SUPPLY DATA'!$U:$U,'ESS SUPPLY DATA'!$AF:$AF,'CT capacity tracker'!$B6,'ESS SUPPLY DATA'!$AE:$AE,'CT capacity tracker'!$A$1,'ESS SUPPLY DATA'!$W:$W,'CT capacity tracker'!X$1,'ESS SUPPLY DATA'!$AO:$AO,"other")</f>
        <v>17</v>
      </c>
      <c r="Y9" s="504">
        <f>SUMIFS('PV SUPPLY DATA'!$X:$X,'PV SUPPLY DATA'!$AH:$AH,'CT capacity tracker'!$B6,'PV SUPPLY DATA'!$AG:$AG,'CT capacity tracker'!$A$1,'PV SUPPLY DATA'!$Y:$Y,Y$1,'PV SUPPLY DATA'!$AQ:$AQ,"cosco")+SUMIFS('PV SUPPLY DATA'!$X:$X,'PV SUPPLY DATA'!$AH:$AH,'CT capacity tracker'!$B6,'PV SUPPLY DATA'!$AG:$AG,'CT capacity tracker'!$A$1,'PV SUPPLY DATA'!$Y:$Y,Y$1,'PV SUPPLY DATA'!$AQ:$AQ,"other")+SUMIFS('ESS SUPPLY DATA'!$U:$U,'ESS SUPPLY DATA'!$AF:$AF,'CT capacity tracker'!$B6,'ESS SUPPLY DATA'!$AE:$AE,'CT capacity tracker'!$A$1,'ESS SUPPLY DATA'!$W:$W,'CT capacity tracker'!Y$1,'ESS SUPPLY DATA'!$AO:$AO,"cosco")+SUMIFS('ESS SUPPLY DATA'!$U:$U,'ESS SUPPLY DATA'!$AF:$AF,'CT capacity tracker'!$B6,'ESS SUPPLY DATA'!$AE:$AE,'CT capacity tracker'!$A$1,'ESS SUPPLY DATA'!$W:$W,'CT capacity tracker'!Y$1,'ESS SUPPLY DATA'!$AO:$AO,"other")</f>
        <v>11</v>
      </c>
      <c r="Z9" s="504">
        <f>SUMIFS('PV SUPPLY DATA'!$X:$X,'PV SUPPLY DATA'!$AH:$AH,'CT capacity tracker'!$B6,'PV SUPPLY DATA'!$AG:$AG,'CT capacity tracker'!$A$1,'PV SUPPLY DATA'!$Y:$Y,Z$1,'PV SUPPLY DATA'!$AQ:$AQ,"cosco")+SUMIFS('PV SUPPLY DATA'!$X:$X,'PV SUPPLY DATA'!$AH:$AH,'CT capacity tracker'!$B6,'PV SUPPLY DATA'!$AG:$AG,'CT capacity tracker'!$A$1,'PV SUPPLY DATA'!$Y:$Y,Z$1,'PV SUPPLY DATA'!$AQ:$AQ,"other")+SUMIFS('ESS SUPPLY DATA'!$U:$U,'ESS SUPPLY DATA'!$AF:$AF,'CT capacity tracker'!$B6,'ESS SUPPLY DATA'!$AE:$AE,'CT capacity tracker'!$A$1,'ESS SUPPLY DATA'!$W:$W,'CT capacity tracker'!Z$1,'ESS SUPPLY DATA'!$AO:$AO,"cosco")+SUMIFS('ESS SUPPLY DATA'!$U:$U,'ESS SUPPLY DATA'!$AF:$AF,'CT capacity tracker'!$B6,'ESS SUPPLY DATA'!$AE:$AE,'CT capacity tracker'!$A$1,'ESS SUPPLY DATA'!$W:$W,'CT capacity tracker'!Z$1,'ESS SUPPLY DATA'!$AO:$AO,"other")</f>
        <v>30</v>
      </c>
      <c r="AA9" s="504">
        <f>SUMIFS('PV SUPPLY DATA'!$X:$X,'PV SUPPLY DATA'!$AH:$AH,'CT capacity tracker'!$B6,'PV SUPPLY DATA'!$AG:$AG,'CT capacity tracker'!$A$1,'PV SUPPLY DATA'!$Y:$Y,AA$1,'PV SUPPLY DATA'!$AQ:$AQ,"cosco")+SUMIFS('PV SUPPLY DATA'!$X:$X,'PV SUPPLY DATA'!$AH:$AH,'CT capacity tracker'!$B6,'PV SUPPLY DATA'!$AG:$AG,'CT capacity tracker'!$A$1,'PV SUPPLY DATA'!$Y:$Y,AA$1,'PV SUPPLY DATA'!$AQ:$AQ,"other")+SUMIFS('ESS SUPPLY DATA'!$U:$U,'ESS SUPPLY DATA'!$AF:$AF,'CT capacity tracker'!$B6,'ESS SUPPLY DATA'!$AE:$AE,'CT capacity tracker'!$A$1,'ESS SUPPLY DATA'!$W:$W,'CT capacity tracker'!AA$1,'ESS SUPPLY DATA'!$AO:$AO,"cosco")+SUMIFS('ESS SUPPLY DATA'!$U:$U,'ESS SUPPLY DATA'!$AF:$AF,'CT capacity tracker'!$B6,'ESS SUPPLY DATA'!$AE:$AE,'CT capacity tracker'!$A$1,'ESS SUPPLY DATA'!$W:$W,'CT capacity tracker'!AA$1,'ESS SUPPLY DATA'!$AO:$AO,"other")</f>
        <v>32</v>
      </c>
      <c r="AB9" s="504">
        <f>SUMIFS('PV SUPPLY DATA'!$X:$X,'PV SUPPLY DATA'!$AH:$AH,'CT capacity tracker'!$B6,'PV SUPPLY DATA'!$AG:$AG,'CT capacity tracker'!$A$1,'PV SUPPLY DATA'!$Y:$Y,AB$1,'PV SUPPLY DATA'!$AQ:$AQ,"cosco")+SUMIFS('PV SUPPLY DATA'!$X:$X,'PV SUPPLY DATA'!$AH:$AH,'CT capacity tracker'!$B6,'PV SUPPLY DATA'!$AG:$AG,'CT capacity tracker'!$A$1,'PV SUPPLY DATA'!$Y:$Y,AB$1,'PV SUPPLY DATA'!$AQ:$AQ,"other")+SUMIFS('ESS SUPPLY DATA'!$U:$U,'ESS SUPPLY DATA'!$AF:$AF,'CT capacity tracker'!$B6,'ESS SUPPLY DATA'!$AE:$AE,'CT capacity tracker'!$A$1,'ESS SUPPLY DATA'!$W:$W,'CT capacity tracker'!AB$1,'ESS SUPPLY DATA'!$AO:$AO,"cosco")+SUMIFS('ESS SUPPLY DATA'!$U:$U,'ESS SUPPLY DATA'!$AF:$AF,'CT capacity tracker'!$B6,'ESS SUPPLY DATA'!$AE:$AE,'CT capacity tracker'!$A$1,'ESS SUPPLY DATA'!$W:$W,'CT capacity tracker'!AB$1,'ESS SUPPLY DATA'!$AO:$AO,"other")</f>
        <v>8</v>
      </c>
      <c r="AC9" s="504">
        <f>SUMIFS('PV SUPPLY DATA'!$X:$X,'PV SUPPLY DATA'!$AH:$AH,'CT capacity tracker'!$B6,'PV SUPPLY DATA'!$AG:$AG,'CT capacity tracker'!$A$1,'PV SUPPLY DATA'!$Y:$Y,AC$1,'PV SUPPLY DATA'!$AQ:$AQ,"cosco")+SUMIFS('PV SUPPLY DATA'!$X:$X,'PV SUPPLY DATA'!$AH:$AH,'CT capacity tracker'!$B6,'PV SUPPLY DATA'!$AG:$AG,'CT capacity tracker'!$A$1,'PV SUPPLY DATA'!$Y:$Y,AC$1,'PV SUPPLY DATA'!$AQ:$AQ,"other")+SUMIFS('ESS SUPPLY DATA'!$U:$U,'ESS SUPPLY DATA'!$AF:$AF,'CT capacity tracker'!$B6,'ESS SUPPLY DATA'!$AE:$AE,'CT capacity tracker'!$A$1,'ESS SUPPLY DATA'!$W:$W,'CT capacity tracker'!AC$1,'ESS SUPPLY DATA'!$AO:$AO,"cosco")+SUMIFS('ESS SUPPLY DATA'!$U:$U,'ESS SUPPLY DATA'!$AF:$AF,'CT capacity tracker'!$B6,'ESS SUPPLY DATA'!$AE:$AE,'CT capacity tracker'!$A$1,'ESS SUPPLY DATA'!$W:$W,'CT capacity tracker'!AC$1,'ESS SUPPLY DATA'!$AO:$AO,"other")</f>
        <v>14</v>
      </c>
      <c r="AD9" s="504">
        <f>SUMIFS('PV SUPPLY DATA'!$X:$X,'PV SUPPLY DATA'!$AH:$AH,'CT capacity tracker'!$B6,'PV SUPPLY DATA'!$AG:$AG,'CT capacity tracker'!$A$1,'PV SUPPLY DATA'!$Y:$Y,AD$1,'PV SUPPLY DATA'!$AQ:$AQ,"cosco")+SUMIFS('PV SUPPLY DATA'!$X:$X,'PV SUPPLY DATA'!$AH:$AH,'CT capacity tracker'!$B6,'PV SUPPLY DATA'!$AG:$AG,'CT capacity tracker'!$A$1,'PV SUPPLY DATA'!$Y:$Y,AD$1,'PV SUPPLY DATA'!$AQ:$AQ,"other")+SUMIFS('ESS SUPPLY DATA'!$U:$U,'ESS SUPPLY DATA'!$AF:$AF,'CT capacity tracker'!$B6,'ESS SUPPLY DATA'!$AE:$AE,'CT capacity tracker'!$A$1,'ESS SUPPLY DATA'!$W:$W,'CT capacity tracker'!AD$1,'ESS SUPPLY DATA'!$AO:$AO,"cosco")+SUMIFS('ESS SUPPLY DATA'!$U:$U,'ESS SUPPLY DATA'!$AF:$AF,'CT capacity tracker'!$B6,'ESS SUPPLY DATA'!$AE:$AE,'CT capacity tracker'!$A$1,'ESS SUPPLY DATA'!$W:$W,'CT capacity tracker'!AD$1,'ESS SUPPLY DATA'!$AO:$AO,"other")</f>
        <v>2</v>
      </c>
      <c r="AE9" s="504">
        <f>SUMIFS('PV SUPPLY DATA'!$X:$X,'PV SUPPLY DATA'!$AH:$AH,'CT capacity tracker'!$B6,'PV SUPPLY DATA'!$AG:$AG,'CT capacity tracker'!$A$1,'PV SUPPLY DATA'!$Y:$Y,AE$1,'PV SUPPLY DATA'!$AQ:$AQ,"cosco")+SUMIFS('PV SUPPLY DATA'!$X:$X,'PV SUPPLY DATA'!$AH:$AH,'CT capacity tracker'!$B6,'PV SUPPLY DATA'!$AG:$AG,'CT capacity tracker'!$A$1,'PV SUPPLY DATA'!$Y:$Y,AE$1,'PV SUPPLY DATA'!$AQ:$AQ,"other")+SUMIFS('ESS SUPPLY DATA'!$U:$U,'ESS SUPPLY DATA'!$AF:$AF,'CT capacity tracker'!$B6,'ESS SUPPLY DATA'!$AE:$AE,'CT capacity tracker'!$A$1,'ESS SUPPLY DATA'!$W:$W,'CT capacity tracker'!AE$1,'ESS SUPPLY DATA'!$AO:$AO,"cosco")+SUMIFS('ESS SUPPLY DATA'!$U:$U,'ESS SUPPLY DATA'!$AF:$AF,'CT capacity tracker'!$B6,'ESS SUPPLY DATA'!$AE:$AE,'CT capacity tracker'!$A$1,'ESS SUPPLY DATA'!$W:$W,'CT capacity tracker'!AE$1,'ESS SUPPLY DATA'!$AO:$AO,"other")</f>
        <v>0</v>
      </c>
      <c r="AF9" s="504">
        <f>SUMIFS('PV SUPPLY DATA'!$X:$X,'PV SUPPLY DATA'!$AH:$AH,'CT capacity tracker'!$B6,'PV SUPPLY DATA'!$AG:$AG,'CT capacity tracker'!$A$1,'PV SUPPLY DATA'!$Y:$Y,AF$1,'PV SUPPLY DATA'!$AQ:$AQ,"cosco")+SUMIFS('PV SUPPLY DATA'!$X:$X,'PV SUPPLY DATA'!$AH:$AH,'CT capacity tracker'!$B6,'PV SUPPLY DATA'!$AG:$AG,'CT capacity tracker'!$A$1,'PV SUPPLY DATA'!$Y:$Y,AF$1,'PV SUPPLY DATA'!$AQ:$AQ,"other")+SUMIFS('ESS SUPPLY DATA'!$U:$U,'ESS SUPPLY DATA'!$AF:$AF,'CT capacity tracker'!$B6,'ESS SUPPLY DATA'!$AE:$AE,'CT capacity tracker'!$A$1,'ESS SUPPLY DATA'!$W:$W,'CT capacity tracker'!AF$1,'ESS SUPPLY DATA'!$AO:$AO,"cosco")+SUMIFS('ESS SUPPLY DATA'!$U:$U,'ESS SUPPLY DATA'!$AF:$AF,'CT capacity tracker'!$B6,'ESS SUPPLY DATA'!$AE:$AE,'CT capacity tracker'!$A$1,'ESS SUPPLY DATA'!$W:$W,'CT capacity tracker'!AF$1,'ESS SUPPLY DATA'!$AO:$AO,"other")</f>
        <v>0</v>
      </c>
      <c r="AG9" s="504">
        <f>SUMIFS('PV SUPPLY DATA'!$X:$X,'PV SUPPLY DATA'!$AH:$AH,'CT capacity tracker'!$B6,'PV SUPPLY DATA'!$AG:$AG,'CT capacity tracker'!$A$1,'PV SUPPLY DATA'!$Y:$Y,AG$1,'PV SUPPLY DATA'!$AQ:$AQ,"cosco")+SUMIFS('PV SUPPLY DATA'!$X:$X,'PV SUPPLY DATA'!$AH:$AH,'CT capacity tracker'!$B6,'PV SUPPLY DATA'!$AG:$AG,'CT capacity tracker'!$A$1,'PV SUPPLY DATA'!$Y:$Y,AG$1,'PV SUPPLY DATA'!$AQ:$AQ,"other")+SUMIFS('ESS SUPPLY DATA'!$U:$U,'ESS SUPPLY DATA'!$AF:$AF,'CT capacity tracker'!$B6,'ESS SUPPLY DATA'!$AE:$AE,'CT capacity tracker'!$A$1,'ESS SUPPLY DATA'!$W:$W,'CT capacity tracker'!AG$1,'ESS SUPPLY DATA'!$AO:$AO,"cosco")+SUMIFS('ESS SUPPLY DATA'!$U:$U,'ESS SUPPLY DATA'!$AF:$AF,'CT capacity tracker'!$B6,'ESS SUPPLY DATA'!$AE:$AE,'CT capacity tracker'!$A$1,'ESS SUPPLY DATA'!$W:$W,'CT capacity tracker'!AG$1,'ESS SUPPLY DATA'!$AO:$AO,"other")</f>
        <v>0</v>
      </c>
      <c r="AH9" s="504">
        <f>SUMIFS('PV SUPPLY DATA'!$X:$X,'PV SUPPLY DATA'!$AH:$AH,'CT capacity tracker'!$B6,'PV SUPPLY DATA'!$AG:$AG,'CT capacity tracker'!$A$1,'PV SUPPLY DATA'!$Y:$Y,AH$1,'PV SUPPLY DATA'!$AQ:$AQ,"cosco")+SUMIFS('PV SUPPLY DATA'!$X:$X,'PV SUPPLY DATA'!$AH:$AH,'CT capacity tracker'!$B6,'PV SUPPLY DATA'!$AG:$AG,'CT capacity tracker'!$A$1,'PV SUPPLY DATA'!$Y:$Y,AH$1,'PV SUPPLY DATA'!$AQ:$AQ,"other")+SUMIFS('ESS SUPPLY DATA'!$U:$U,'ESS SUPPLY DATA'!$AF:$AF,'CT capacity tracker'!$B6,'ESS SUPPLY DATA'!$AE:$AE,'CT capacity tracker'!$A$1,'ESS SUPPLY DATA'!$W:$W,'CT capacity tracker'!AH$1,'ESS SUPPLY DATA'!$AO:$AO,"cosco")+SUMIFS('ESS SUPPLY DATA'!$U:$U,'ESS SUPPLY DATA'!$AF:$AF,'CT capacity tracker'!$B6,'ESS SUPPLY DATA'!$AE:$AE,'CT capacity tracker'!$A$1,'ESS SUPPLY DATA'!$W:$W,'CT capacity tracker'!AH$1,'ESS SUPPLY DATA'!$AO:$AO,"other")</f>
        <v>0</v>
      </c>
      <c r="AI9" s="504">
        <f>SUMIFS('PV SUPPLY DATA'!$X:$X,'PV SUPPLY DATA'!$AH:$AH,'CT capacity tracker'!$B6,'PV SUPPLY DATA'!$AG:$AG,'CT capacity tracker'!$A$1,'PV SUPPLY DATA'!$Y:$Y,AI$1,'PV SUPPLY DATA'!$AQ:$AQ,"cosco")+SUMIFS('PV SUPPLY DATA'!$X:$X,'PV SUPPLY DATA'!$AH:$AH,'CT capacity tracker'!$B6,'PV SUPPLY DATA'!$AG:$AG,'CT capacity tracker'!$A$1,'PV SUPPLY DATA'!$Y:$Y,AI$1,'PV SUPPLY DATA'!$AQ:$AQ,"other")+SUMIFS('ESS SUPPLY DATA'!$U:$U,'ESS SUPPLY DATA'!$AF:$AF,'CT capacity tracker'!$B6,'ESS SUPPLY DATA'!$AE:$AE,'CT capacity tracker'!$A$1,'ESS SUPPLY DATA'!$W:$W,'CT capacity tracker'!AI$1,'ESS SUPPLY DATA'!$AO:$AO,"cosco")+SUMIFS('ESS SUPPLY DATA'!$U:$U,'ESS SUPPLY DATA'!$AF:$AF,'CT capacity tracker'!$B6,'ESS SUPPLY DATA'!$AE:$AE,'CT capacity tracker'!$A$1,'ESS SUPPLY DATA'!$W:$W,'CT capacity tracker'!AI$1,'ESS SUPPLY DATA'!$AO:$AO,"other")</f>
        <v>0</v>
      </c>
      <c r="AJ9" s="504">
        <f>SUMIFS('PV SUPPLY DATA'!$X:$X,'PV SUPPLY DATA'!$AH:$AH,'CT capacity tracker'!$B6,'PV SUPPLY DATA'!$AG:$AG,'CT capacity tracker'!$A$1,'PV SUPPLY DATA'!$Y:$Y,AJ$1,'PV SUPPLY DATA'!$AQ:$AQ,"cosco")+SUMIFS('PV SUPPLY DATA'!$X:$X,'PV SUPPLY DATA'!$AH:$AH,'CT capacity tracker'!$B6,'PV SUPPLY DATA'!$AG:$AG,'CT capacity tracker'!$A$1,'PV SUPPLY DATA'!$Y:$Y,AJ$1,'PV SUPPLY DATA'!$AQ:$AQ,"other")+SUMIFS('ESS SUPPLY DATA'!$U:$U,'ESS SUPPLY DATA'!$AF:$AF,'CT capacity tracker'!$B6,'ESS SUPPLY DATA'!$AE:$AE,'CT capacity tracker'!$A$1,'ESS SUPPLY DATA'!$W:$W,'CT capacity tracker'!AJ$1,'ESS SUPPLY DATA'!$AO:$AO,"cosco")+SUMIFS('ESS SUPPLY DATA'!$U:$U,'ESS SUPPLY DATA'!$AF:$AF,'CT capacity tracker'!$B6,'ESS SUPPLY DATA'!$AE:$AE,'CT capacity tracker'!$A$1,'ESS SUPPLY DATA'!$W:$W,'CT capacity tracker'!AJ$1,'ESS SUPPLY DATA'!$AO:$AO,"other")</f>
        <v>0</v>
      </c>
      <c r="AK9" s="511"/>
      <c r="AL9" s="511"/>
      <c r="AM9" s="696">
        <f>SUM(E9:X9)</f>
        <v>693.78964644051598</v>
      </c>
      <c r="AN9" s="503"/>
      <c r="AO9" s="506"/>
      <c r="AP9" s="506"/>
      <c r="AQ9" s="506"/>
      <c r="AR9" s="506"/>
      <c r="AS9" s="506"/>
      <c r="AT9" s="506"/>
    </row>
    <row r="10" spans="1:46" ht="13">
      <c r="A10" s="1517"/>
      <c r="B10" s="1516" t="s">
        <v>356</v>
      </c>
      <c r="C10" s="503" t="s">
        <v>4400</v>
      </c>
      <c r="D10" s="504">
        <f>SUMIFS('PV SUPPLY DATA'!$X:$X,'PV SUPPLY DATA'!$AH:$AH,'CT capacity tracker'!$B10,'PV SUPPLY DATA'!$AG:$AG,'CT capacity tracker'!$A$1,'PV SUPPLY DATA'!$Z:$Z,'CT capacity tracker'!D$1)+SUMIFS('ESS SUPPLY DATA'!$U:$U,'ESS SUPPLY DATA'!$AF:$AF,'CT capacity tracker'!$B10,'ESS SUPPLY DATA'!$AE:$AE,'CT capacity tracker'!$A$1,'ESS SUPPLY DATA'!$X:$X,'CT capacity tracker'!D$1)</f>
        <v>0</v>
      </c>
      <c r="E10" s="504">
        <f>SUMIFS('PV SUPPLY DATA'!$X:$X,'PV SUPPLY DATA'!$AH:$AH,'CT capacity tracker'!$B10,'PV SUPPLY DATA'!$AG:$AG,'CT capacity tracker'!$A$1,'PV SUPPLY DATA'!$Y:$Y,'CT capacity tracker'!E$1)+SUMIFS('ESS SUPPLY DATA'!$U:$U,'ESS SUPPLY DATA'!$AF:$AF,'CT capacity tracker'!$B10,'ESS SUPPLY DATA'!$AE:$AE,'CT capacity tracker'!$A$1,'ESS SUPPLY DATA'!$W:$W,'CT capacity tracker'!E$1)</f>
        <v>0</v>
      </c>
      <c r="F10" s="504">
        <f>SUMIFS('PV SUPPLY DATA'!$X:$X,'PV SUPPLY DATA'!$AH:$AH,'CT capacity tracker'!$B10,'PV SUPPLY DATA'!$AG:$AG,'CT capacity tracker'!$A$1,'PV SUPPLY DATA'!$Y:$Y,'CT capacity tracker'!F$1)+SUMIFS('ESS SUPPLY DATA'!$U:$U,'ESS SUPPLY DATA'!$AF:$AF,'CT capacity tracker'!$B10,'ESS SUPPLY DATA'!$AE:$AE,'CT capacity tracker'!$A$1,'ESS SUPPLY DATA'!$W:$W,'CT capacity tracker'!F$1)</f>
        <v>0</v>
      </c>
      <c r="G10" s="504">
        <f>SUMIFS('PV SUPPLY DATA'!$X:$X,'PV SUPPLY DATA'!$AH:$AH,'CT capacity tracker'!$B10,'PV SUPPLY DATA'!$AG:$AG,'CT capacity tracker'!$A$1,'PV SUPPLY DATA'!$Y:$Y,'CT capacity tracker'!G$1)+SUMIFS('ESS SUPPLY DATA'!$U:$U,'ESS SUPPLY DATA'!$AF:$AF,'CT capacity tracker'!$B10,'ESS SUPPLY DATA'!$AE:$AE,'CT capacity tracker'!$A$1,'ESS SUPPLY DATA'!$W:$W,'CT capacity tracker'!G$1)</f>
        <v>1</v>
      </c>
      <c r="H10" s="504">
        <f>SUMIFS('PV SUPPLY DATA'!$X:$X,'PV SUPPLY DATA'!$AH:$AH,'CT capacity tracker'!$B10,'PV SUPPLY DATA'!$AG:$AG,'CT capacity tracker'!$A$1,'PV SUPPLY DATA'!$Y:$Y,'CT capacity tracker'!H$1)+SUMIFS('ESS SUPPLY DATA'!$U:$U,'ESS SUPPLY DATA'!$AF:$AF,'CT capacity tracker'!$B10,'ESS SUPPLY DATA'!$AE:$AE,'CT capacity tracker'!$A$1,'ESS SUPPLY DATA'!$W:$W,'CT capacity tracker'!H$1)</f>
        <v>0</v>
      </c>
      <c r="I10" s="504">
        <f>SUMIFS('PV SUPPLY DATA'!$X:$X,'PV SUPPLY DATA'!$AH:$AH,'CT capacity tracker'!$B10,'PV SUPPLY DATA'!$AG:$AG,'CT capacity tracker'!$A$1,'PV SUPPLY DATA'!$Y:$Y,'CT capacity tracker'!I$1)+SUMIFS('ESS SUPPLY DATA'!$U:$U,'ESS SUPPLY DATA'!$AF:$AF,'CT capacity tracker'!$B10,'ESS SUPPLY DATA'!$AE:$AE,'CT capacity tracker'!$A$1,'ESS SUPPLY DATA'!$W:$W,'CT capacity tracker'!I$1)</f>
        <v>0</v>
      </c>
      <c r="J10" s="504">
        <f>SUMIFS('PV SUPPLY DATA'!$X:$X,'PV SUPPLY DATA'!$AH:$AH,'CT capacity tracker'!$B10,'PV SUPPLY DATA'!$AG:$AG,'CT capacity tracker'!$A$1,'PV SUPPLY DATA'!$Y:$Y,'CT capacity tracker'!J$1)+SUMIFS('ESS SUPPLY DATA'!$U:$U,'ESS SUPPLY DATA'!$AF:$AF,'CT capacity tracker'!$B10,'ESS SUPPLY DATA'!$AE:$AE,'CT capacity tracker'!$A$1,'ESS SUPPLY DATA'!$W:$W,'CT capacity tracker'!J$1)</f>
        <v>0</v>
      </c>
      <c r="K10" s="504">
        <f>SUMIFS('PV SUPPLY DATA'!$X:$X,'PV SUPPLY DATA'!$AH:$AH,'CT capacity tracker'!$B10,'PV SUPPLY DATA'!$AG:$AG,'CT capacity tracker'!$A$1,'PV SUPPLY DATA'!$Y:$Y,'CT capacity tracker'!K$1)+SUMIFS('ESS SUPPLY DATA'!$U:$U,'ESS SUPPLY DATA'!$AF:$AF,'CT capacity tracker'!$B10,'ESS SUPPLY DATA'!$AE:$AE,'CT capacity tracker'!$A$1,'ESS SUPPLY DATA'!$W:$W,'CT capacity tracker'!K$1)</f>
        <v>0</v>
      </c>
      <c r="L10" s="504">
        <f>SUMIFS('PV SUPPLY DATA'!$X:$X,'PV SUPPLY DATA'!$AH:$AH,'CT capacity tracker'!$B10,'PV SUPPLY DATA'!$AG:$AG,'CT capacity tracker'!$A$1,'PV SUPPLY DATA'!$Y:$Y,'CT capacity tracker'!L$1)+SUMIFS('ESS SUPPLY DATA'!$U:$U,'ESS SUPPLY DATA'!$AF:$AF,'CT capacity tracker'!$B10,'ESS SUPPLY DATA'!$AE:$AE,'CT capacity tracker'!$A$1,'ESS SUPPLY DATA'!$W:$W,'CT capacity tracker'!L$1)</f>
        <v>0</v>
      </c>
      <c r="M10" s="504">
        <f>SUMIFS('PV SUPPLY DATA'!$X:$X,'PV SUPPLY DATA'!$AH:$AH,'CT capacity tracker'!$B10,'PV SUPPLY DATA'!$AG:$AG,'CT capacity tracker'!$A$1,'PV SUPPLY DATA'!$Y:$Y,'CT capacity tracker'!M$1)+SUMIFS('ESS SUPPLY DATA'!$U:$U,'ESS SUPPLY DATA'!$AF:$AF,'CT capacity tracker'!$B10,'ESS SUPPLY DATA'!$AE:$AE,'CT capacity tracker'!$A$1,'ESS SUPPLY DATA'!$W:$W,'CT capacity tracker'!M$1)</f>
        <v>0</v>
      </c>
      <c r="N10" s="504">
        <f>SUMIFS('PV SUPPLY DATA'!$X:$X,'PV SUPPLY DATA'!$AH:$AH,'CT capacity tracker'!$B10,'PV SUPPLY DATA'!$AG:$AG,'CT capacity tracker'!$A$1,'PV SUPPLY DATA'!$Y:$Y,'CT capacity tracker'!N$1)+SUMIFS('ESS SUPPLY DATA'!$U:$U,'ESS SUPPLY DATA'!$AF:$AF,'CT capacity tracker'!$B10,'ESS SUPPLY DATA'!$AE:$AE,'CT capacity tracker'!$A$1,'ESS SUPPLY DATA'!$W:$W,'CT capacity tracker'!N$1)</f>
        <v>0</v>
      </c>
      <c r="O10" s="504">
        <f>SUMIFS('PV SUPPLY DATA'!$X:$X,'PV SUPPLY DATA'!$AH:$AH,'CT capacity tracker'!$B10,'PV SUPPLY DATA'!$AG:$AG,'CT capacity tracker'!$A$1,'PV SUPPLY DATA'!$Y:$Y,'CT capacity tracker'!O$1)+SUMIFS('ESS SUPPLY DATA'!$U:$U,'ESS SUPPLY DATA'!$AF:$AF,'CT capacity tracker'!$B10,'ESS SUPPLY DATA'!$AE:$AE,'CT capacity tracker'!$A$1,'ESS SUPPLY DATA'!$W:$W,'CT capacity tracker'!O$1)</f>
        <v>0</v>
      </c>
      <c r="P10" s="504">
        <f>SUMIFS('PV SUPPLY DATA'!$X:$X,'PV SUPPLY DATA'!$AH:$AH,'CT capacity tracker'!$B10,'PV SUPPLY DATA'!$AG:$AG,'CT capacity tracker'!$A$1,'PV SUPPLY DATA'!$Y:$Y,'CT capacity tracker'!P$1)+SUMIFS('ESS SUPPLY DATA'!$U:$U,'ESS SUPPLY DATA'!$AF:$AF,'CT capacity tracker'!$B10,'ESS SUPPLY DATA'!$AE:$AE,'CT capacity tracker'!$A$1,'ESS SUPPLY DATA'!$W:$W,'CT capacity tracker'!P$1)</f>
        <v>0</v>
      </c>
      <c r="Q10" s="504">
        <f>SUMIFS('PV SUPPLY DATA'!$X:$X,'PV SUPPLY DATA'!$AH:$AH,'CT capacity tracker'!$B10,'PV SUPPLY DATA'!$AG:$AG,'CT capacity tracker'!$A$1,'PV SUPPLY DATA'!$Y:$Y,'CT capacity tracker'!Q$1)+SUMIFS('ESS SUPPLY DATA'!$U:$U,'ESS SUPPLY DATA'!$AF:$AF,'CT capacity tracker'!$B10,'ESS SUPPLY DATA'!$AE:$AE,'CT capacity tracker'!$A$1,'ESS SUPPLY DATA'!$W:$W,'CT capacity tracker'!Q$1)</f>
        <v>2</v>
      </c>
      <c r="R10" s="504">
        <f>SUMIFS('PV SUPPLY DATA'!$X:$X,'PV SUPPLY DATA'!$AH:$AH,'CT capacity tracker'!$B10,'PV SUPPLY DATA'!$AG:$AG,'CT capacity tracker'!$A$1,'PV SUPPLY DATA'!$Y:$Y,'CT capacity tracker'!R$1)+SUMIFS('ESS SUPPLY DATA'!$U:$U,'ESS SUPPLY DATA'!$AF:$AF,'CT capacity tracker'!$B10,'ESS SUPPLY DATA'!$AE:$AE,'CT capacity tracker'!$A$1,'ESS SUPPLY DATA'!$W:$W,'CT capacity tracker'!R$1)</f>
        <v>0</v>
      </c>
      <c r="S10" s="504">
        <f>SUMIFS('PV SUPPLY DATA'!$X:$X,'PV SUPPLY DATA'!$AH:$AH,'CT capacity tracker'!$B10,'PV SUPPLY DATA'!$AG:$AG,'CT capacity tracker'!$A$1,'PV SUPPLY DATA'!$Y:$Y,'CT capacity tracker'!S$1)+SUMIFS('ESS SUPPLY DATA'!$U:$U,'ESS SUPPLY DATA'!$AF:$AF,'CT capacity tracker'!$B10,'ESS SUPPLY DATA'!$AE:$AE,'CT capacity tracker'!$A$1,'ESS SUPPLY DATA'!$W:$W,'CT capacity tracker'!S$1)</f>
        <v>0</v>
      </c>
      <c r="T10" s="504">
        <f>SUMIFS('PV SUPPLY DATA'!$X:$X,'PV SUPPLY DATA'!$AH:$AH,'CT capacity tracker'!$B10,'PV SUPPLY DATA'!$AG:$AG,'CT capacity tracker'!$A$1,'PV SUPPLY DATA'!$Y:$Y,'CT capacity tracker'!T$1)+SUMIFS('ESS SUPPLY DATA'!$U:$U,'ESS SUPPLY DATA'!$AF:$AF,'CT capacity tracker'!$B10,'ESS SUPPLY DATA'!$AE:$AE,'CT capacity tracker'!$A$1,'ESS SUPPLY DATA'!$W:$W,'CT capacity tracker'!T$1)</f>
        <v>0</v>
      </c>
      <c r="U10" s="504">
        <f>SUMIFS('PV SUPPLY DATA'!$X:$X,'PV SUPPLY DATA'!$AH:$AH,'CT capacity tracker'!$B10,'PV SUPPLY DATA'!$AG:$AG,'CT capacity tracker'!$A$1,'PV SUPPLY DATA'!$Y:$Y,'CT capacity tracker'!U$1)+SUMIFS('ESS SUPPLY DATA'!$U:$U,'ESS SUPPLY DATA'!$AF:$AF,'CT capacity tracker'!$B10,'ESS SUPPLY DATA'!$AE:$AE,'CT capacity tracker'!$A$1,'ESS SUPPLY DATA'!$W:$W,'CT capacity tracker'!U$1)</f>
        <v>0</v>
      </c>
      <c r="V10" s="504">
        <f>SUMIFS('PV SUPPLY DATA'!$X:$X,'PV SUPPLY DATA'!$AH:$AH,'CT capacity tracker'!$B10,'PV SUPPLY DATA'!$AG:$AG,'CT capacity tracker'!$A$1,'PV SUPPLY DATA'!$Y:$Y,'CT capacity tracker'!V$1)+SUMIFS('ESS SUPPLY DATA'!$U:$U,'ESS SUPPLY DATA'!$AF:$AF,'CT capacity tracker'!$B10,'ESS SUPPLY DATA'!$AE:$AE,'CT capacity tracker'!$A$1,'ESS SUPPLY DATA'!$W:$W,'CT capacity tracker'!V$1)</f>
        <v>0</v>
      </c>
      <c r="W10" s="504">
        <f>SUMIFS('PV SUPPLY DATA'!$X:$X,'PV SUPPLY DATA'!$AH:$AH,'CT capacity tracker'!$B10,'PV SUPPLY DATA'!$AG:$AG,'CT capacity tracker'!$A$1,'PV SUPPLY DATA'!$Y:$Y,'CT capacity tracker'!W$1)+SUMIFS('ESS SUPPLY DATA'!$U:$U,'ESS SUPPLY DATA'!$AF:$AF,'CT capacity tracker'!$B10,'ESS SUPPLY DATA'!$AE:$AE,'CT capacity tracker'!$A$1,'ESS SUPPLY DATA'!$W:$W,'CT capacity tracker'!W$1)</f>
        <v>0</v>
      </c>
      <c r="X10" s="504">
        <f>SUMIFS('PV SUPPLY DATA'!$X:$X,'PV SUPPLY DATA'!$AH:$AH,'CT capacity tracker'!$B10,'PV SUPPLY DATA'!$AG:$AG,'CT capacity tracker'!$A$1,'PV SUPPLY DATA'!$Y:$Y,'CT capacity tracker'!X$1)+SUMIFS('ESS SUPPLY DATA'!$U:$U,'ESS SUPPLY DATA'!$AF:$AF,'CT capacity tracker'!$B10,'ESS SUPPLY DATA'!$AE:$AE,'CT capacity tracker'!$A$1,'ESS SUPPLY DATA'!$W:$W,'CT capacity tracker'!X$1)</f>
        <v>0</v>
      </c>
      <c r="Y10" s="504">
        <f>SUMIFS('PV SUPPLY DATA'!$X:$X,'PV SUPPLY DATA'!$AH:$AH,'CT capacity tracker'!$B10,'PV SUPPLY DATA'!$AG:$AG,'CT capacity tracker'!$A$1,'PV SUPPLY DATA'!$Y:$Y,'CT capacity tracker'!Y$1)+SUMIFS('ESS SUPPLY DATA'!$U:$U,'ESS SUPPLY DATA'!$AF:$AF,'CT capacity tracker'!$B10,'ESS SUPPLY DATA'!$AE:$AE,'CT capacity tracker'!$A$1,'ESS SUPPLY DATA'!$W:$W,'CT capacity tracker'!Y$1)</f>
        <v>0</v>
      </c>
      <c r="Z10" s="504">
        <f>SUMIFS('PV SUPPLY DATA'!$X:$X,'PV SUPPLY DATA'!$AH:$AH,'CT capacity tracker'!$B10,'PV SUPPLY DATA'!$AG:$AG,'CT capacity tracker'!$A$1,'PV SUPPLY DATA'!$Y:$Y,'CT capacity tracker'!Z$1)+SUMIFS('ESS SUPPLY DATA'!$U:$U,'ESS SUPPLY DATA'!$AF:$AF,'CT capacity tracker'!$B10,'ESS SUPPLY DATA'!$AE:$AE,'CT capacity tracker'!$A$1,'ESS SUPPLY DATA'!$W:$W,'CT capacity tracker'!Z$1)</f>
        <v>0</v>
      </c>
      <c r="AA10" s="504">
        <f>SUMIFS('PV SUPPLY DATA'!$X:$X,'PV SUPPLY DATA'!$AH:$AH,'CT capacity tracker'!$B10,'PV SUPPLY DATA'!$AG:$AG,'CT capacity tracker'!$A$1,'PV SUPPLY DATA'!$Y:$Y,'CT capacity tracker'!AA$1)+SUMIFS('ESS SUPPLY DATA'!$U:$U,'ESS SUPPLY DATA'!$AF:$AF,'CT capacity tracker'!$B10,'ESS SUPPLY DATA'!$AE:$AE,'CT capacity tracker'!$A$1,'ESS SUPPLY DATA'!$W:$W,'CT capacity tracker'!AA$1)</f>
        <v>0</v>
      </c>
      <c r="AB10" s="504">
        <f>SUMIFS('PV SUPPLY DATA'!$X:$X,'PV SUPPLY DATA'!$AH:$AH,'CT capacity tracker'!$B10,'PV SUPPLY DATA'!$AG:$AG,'CT capacity tracker'!$A$1,'PV SUPPLY DATA'!$Y:$Y,'CT capacity tracker'!AB$1)+SUMIFS('ESS SUPPLY DATA'!$U:$U,'ESS SUPPLY DATA'!$AF:$AF,'CT capacity tracker'!$B10,'ESS SUPPLY DATA'!$AE:$AE,'CT capacity tracker'!$A$1,'ESS SUPPLY DATA'!$W:$W,'CT capacity tracker'!AB$1)</f>
        <v>0</v>
      </c>
      <c r="AC10" s="504">
        <f>SUMIFS('PV SUPPLY DATA'!$X:$X,'PV SUPPLY DATA'!$AH:$AH,'CT capacity tracker'!$B10,'PV SUPPLY DATA'!$AG:$AG,'CT capacity tracker'!$A$1,'PV SUPPLY DATA'!$Y:$Y,'CT capacity tracker'!AC$1)+SUMIFS('ESS SUPPLY DATA'!$U:$U,'ESS SUPPLY DATA'!$AF:$AF,'CT capacity tracker'!$B10,'ESS SUPPLY DATA'!$AE:$AE,'CT capacity tracker'!$A$1,'ESS SUPPLY DATA'!$W:$W,'CT capacity tracker'!AC$1)</f>
        <v>0</v>
      </c>
      <c r="AD10" s="504">
        <f>SUMIFS('PV SUPPLY DATA'!$X:$X,'PV SUPPLY DATA'!$AH:$AH,'CT capacity tracker'!$B10,'PV SUPPLY DATA'!$AG:$AG,'CT capacity tracker'!$A$1,'PV SUPPLY DATA'!$Y:$Y,'CT capacity tracker'!AD$1)+SUMIFS('ESS SUPPLY DATA'!$U:$U,'ESS SUPPLY DATA'!$AF:$AF,'CT capacity tracker'!$B10,'ESS SUPPLY DATA'!$AE:$AE,'CT capacity tracker'!$A$1,'ESS SUPPLY DATA'!$W:$W,'CT capacity tracker'!AD$1)</f>
        <v>0</v>
      </c>
      <c r="AE10" s="504">
        <f>SUMIFS('PV SUPPLY DATA'!$X:$X,'PV SUPPLY DATA'!$AH:$AH,'CT capacity tracker'!$B10,'PV SUPPLY DATA'!$AG:$AG,'CT capacity tracker'!$A$1,'PV SUPPLY DATA'!$Y:$Y,'CT capacity tracker'!AE$1)+SUMIFS('ESS SUPPLY DATA'!$U:$U,'ESS SUPPLY DATA'!$AF:$AF,'CT capacity tracker'!$B10,'ESS SUPPLY DATA'!$AE:$AE,'CT capacity tracker'!$A$1,'ESS SUPPLY DATA'!$W:$W,'CT capacity tracker'!AE$1)</f>
        <v>0</v>
      </c>
      <c r="AF10" s="504">
        <f>SUMIFS('PV SUPPLY DATA'!$X:$X,'PV SUPPLY DATA'!$AH:$AH,'CT capacity tracker'!$B10,'PV SUPPLY DATA'!$AG:$AG,'CT capacity tracker'!$A$1,'PV SUPPLY DATA'!$Y:$Y,'CT capacity tracker'!AF$1)+SUMIFS('ESS SUPPLY DATA'!$U:$U,'ESS SUPPLY DATA'!$AF:$AF,'CT capacity tracker'!$B10,'ESS SUPPLY DATA'!$AE:$AE,'CT capacity tracker'!$A$1,'ESS SUPPLY DATA'!$W:$W,'CT capacity tracker'!AF$1)</f>
        <v>0</v>
      </c>
      <c r="AG10" s="504">
        <f>SUMIFS('PV SUPPLY DATA'!$X:$X,'PV SUPPLY DATA'!$AH:$AH,'CT capacity tracker'!$B10,'PV SUPPLY DATA'!$AG:$AG,'CT capacity tracker'!$A$1,'PV SUPPLY DATA'!$Y:$Y,'CT capacity tracker'!AG$1)+SUMIFS('ESS SUPPLY DATA'!$U:$U,'ESS SUPPLY DATA'!$AF:$AF,'CT capacity tracker'!$B10,'ESS SUPPLY DATA'!$AE:$AE,'CT capacity tracker'!$A$1,'ESS SUPPLY DATA'!$W:$W,'CT capacity tracker'!AG$1)</f>
        <v>0</v>
      </c>
      <c r="AH10" s="504">
        <f>SUMIFS('PV SUPPLY DATA'!$X:$X,'PV SUPPLY DATA'!$AH:$AH,'CT capacity tracker'!$B10,'PV SUPPLY DATA'!$AG:$AG,'CT capacity tracker'!$A$1,'PV SUPPLY DATA'!$Y:$Y,'CT capacity tracker'!AH$1)+SUMIFS('ESS SUPPLY DATA'!$U:$U,'ESS SUPPLY DATA'!$AF:$AF,'CT capacity tracker'!$B10,'ESS SUPPLY DATA'!$AE:$AE,'CT capacity tracker'!$A$1,'ESS SUPPLY DATA'!$W:$W,'CT capacity tracker'!AH$1)</f>
        <v>0</v>
      </c>
      <c r="AI10" s="504">
        <f>SUMIFS('PV SUPPLY DATA'!$X:$X,'PV SUPPLY DATA'!$AH:$AH,'CT capacity tracker'!$B10,'PV SUPPLY DATA'!$AG:$AG,'CT capacity tracker'!$A$1,'PV SUPPLY DATA'!$Y:$Y,'CT capacity tracker'!AI$1)+SUMIFS('ESS SUPPLY DATA'!$U:$U,'ESS SUPPLY DATA'!$AF:$AF,'CT capacity tracker'!$B10,'ESS SUPPLY DATA'!$AE:$AE,'CT capacity tracker'!$A$1,'ESS SUPPLY DATA'!$W:$W,'CT capacity tracker'!AI$1)</f>
        <v>0</v>
      </c>
      <c r="AJ10" s="504">
        <f>SUMIFS('PV SUPPLY DATA'!$X:$X,'PV SUPPLY DATA'!$AH:$AH,'CT capacity tracker'!$B10,'PV SUPPLY DATA'!$AG:$AG,'CT capacity tracker'!$A$1,'PV SUPPLY DATA'!$Y:$Y,'CT capacity tracker'!AJ$1)+SUMIFS('ESS SUPPLY DATA'!$U:$U,'ESS SUPPLY DATA'!$AF:$AF,'CT capacity tracker'!$B10,'ESS SUPPLY DATA'!$AE:$AE,'CT capacity tracker'!$A$1,'ESS SUPPLY DATA'!$W:$W,'CT capacity tracker'!AJ$1)</f>
        <v>0</v>
      </c>
      <c r="AK10" s="505" t="s">
        <v>197</v>
      </c>
      <c r="AL10" s="505" t="s">
        <v>197</v>
      </c>
      <c r="AM10" s="696">
        <f>SUM(E10:X10)</f>
        <v>3</v>
      </c>
      <c r="AN10" s="503" t="s">
        <v>197</v>
      </c>
      <c r="AO10" s="506"/>
      <c r="AP10" s="506">
        <f t="shared" si="3"/>
        <v>1</v>
      </c>
      <c r="AQ10" s="506"/>
      <c r="AR10" s="506" t="s">
        <v>197</v>
      </c>
      <c r="AS10" s="506" t="s">
        <v>197</v>
      </c>
      <c r="AT10" s="506" t="s">
        <v>197</v>
      </c>
    </row>
    <row r="11" spans="1:46" ht="13">
      <c r="A11" s="1517"/>
      <c r="B11" s="1517"/>
      <c r="C11" s="509" t="s">
        <v>4401</v>
      </c>
      <c r="D11" s="509"/>
      <c r="E11" s="512"/>
      <c r="F11" s="512"/>
      <c r="G11" s="512">
        <v>1</v>
      </c>
      <c r="H11" s="512"/>
      <c r="I11" s="513"/>
      <c r="J11" s="512"/>
      <c r="K11" s="513"/>
      <c r="L11" s="513"/>
      <c r="M11" s="513"/>
      <c r="N11" s="513"/>
      <c r="O11" s="513"/>
      <c r="P11" s="513"/>
      <c r="Q11" s="513"/>
      <c r="R11" s="513"/>
      <c r="S11" s="513">
        <v>2</v>
      </c>
      <c r="T11" s="513"/>
      <c r="U11" s="513"/>
      <c r="V11" s="513"/>
      <c r="W11" s="513"/>
      <c r="X11" s="513"/>
      <c r="Y11" s="513"/>
      <c r="Z11" s="513"/>
      <c r="AA11" s="513"/>
      <c r="AB11" s="513"/>
      <c r="AC11" s="513"/>
      <c r="AD11" s="513"/>
      <c r="AE11" s="513"/>
      <c r="AF11" s="513"/>
      <c r="AG11" s="513"/>
      <c r="AH11" s="513"/>
      <c r="AI11" s="513"/>
      <c r="AJ11" s="513"/>
      <c r="AK11" s="505" t="s">
        <v>197</v>
      </c>
      <c r="AL11" s="505" t="s">
        <v>197</v>
      </c>
      <c r="AM11" s="696"/>
      <c r="AN11" s="503" t="s">
        <v>197</v>
      </c>
      <c r="AO11" s="506"/>
      <c r="AP11" s="506">
        <f t="shared" si="3"/>
        <v>1</v>
      </c>
      <c r="AQ11" s="506"/>
      <c r="AR11" s="506" t="s">
        <v>197</v>
      </c>
      <c r="AS11" s="506" t="s">
        <v>197</v>
      </c>
      <c r="AT11" s="506" t="s">
        <v>197</v>
      </c>
    </row>
    <row r="12" spans="1:46" ht="13">
      <c r="A12" s="1517"/>
      <c r="B12" s="1517"/>
      <c r="C12" s="520" t="s">
        <v>4402</v>
      </c>
      <c r="D12" s="522"/>
      <c r="E12" s="522">
        <f t="shared" ref="E12:X12" si="7">E11-E10</f>
        <v>0</v>
      </c>
      <c r="F12" s="522">
        <f t="shared" si="7"/>
        <v>0</v>
      </c>
      <c r="G12" s="522">
        <f t="shared" si="7"/>
        <v>0</v>
      </c>
      <c r="H12" s="522">
        <f t="shared" si="7"/>
        <v>0</v>
      </c>
      <c r="I12" s="522">
        <f t="shared" si="7"/>
        <v>0</v>
      </c>
      <c r="J12" s="522">
        <f t="shared" si="7"/>
        <v>0</v>
      </c>
      <c r="K12" s="522">
        <f t="shared" si="7"/>
        <v>0</v>
      </c>
      <c r="L12" s="522">
        <f t="shared" si="7"/>
        <v>0</v>
      </c>
      <c r="M12" s="522">
        <f t="shared" si="7"/>
        <v>0</v>
      </c>
      <c r="N12" s="522">
        <f t="shared" si="7"/>
        <v>0</v>
      </c>
      <c r="O12" s="522">
        <f t="shared" si="7"/>
        <v>0</v>
      </c>
      <c r="P12" s="522">
        <f t="shared" si="7"/>
        <v>0</v>
      </c>
      <c r="Q12" s="522">
        <f t="shared" si="7"/>
        <v>-2</v>
      </c>
      <c r="R12" s="522">
        <f t="shared" si="7"/>
        <v>0</v>
      </c>
      <c r="S12" s="522">
        <f t="shared" si="7"/>
        <v>2</v>
      </c>
      <c r="T12" s="522">
        <f t="shared" si="7"/>
        <v>0</v>
      </c>
      <c r="U12" s="522">
        <f t="shared" si="7"/>
        <v>0</v>
      </c>
      <c r="V12" s="522">
        <f t="shared" si="7"/>
        <v>0</v>
      </c>
      <c r="W12" s="522">
        <f t="shared" si="7"/>
        <v>0</v>
      </c>
      <c r="X12" s="522">
        <f t="shared" si="7"/>
        <v>0</v>
      </c>
      <c r="Y12" s="522">
        <f t="shared" ref="Y12:AJ12" si="8">Y11-Y10</f>
        <v>0</v>
      </c>
      <c r="Z12" s="522">
        <f t="shared" si="8"/>
        <v>0</v>
      </c>
      <c r="AA12" s="522">
        <f t="shared" si="8"/>
        <v>0</v>
      </c>
      <c r="AB12" s="522">
        <f t="shared" si="8"/>
        <v>0</v>
      </c>
      <c r="AC12" s="522">
        <f t="shared" si="8"/>
        <v>0</v>
      </c>
      <c r="AD12" s="522">
        <f t="shared" si="8"/>
        <v>0</v>
      </c>
      <c r="AE12" s="522">
        <f t="shared" si="8"/>
        <v>0</v>
      </c>
      <c r="AF12" s="522">
        <f t="shared" si="8"/>
        <v>0</v>
      </c>
      <c r="AG12" s="522">
        <f t="shared" si="8"/>
        <v>0</v>
      </c>
      <c r="AH12" s="522">
        <f t="shared" si="8"/>
        <v>0</v>
      </c>
      <c r="AI12" s="522">
        <f t="shared" si="8"/>
        <v>0</v>
      </c>
      <c r="AJ12" s="522">
        <f t="shared" si="8"/>
        <v>0</v>
      </c>
      <c r="AK12" s="511">
        <f>SUMIF($E12:$X12,"&gt;0")</f>
        <v>2</v>
      </c>
      <c r="AL12" s="511">
        <f>SUMIF($E12:$X12,"&lt;0")</f>
        <v>-2</v>
      </c>
      <c r="AM12" s="696"/>
      <c r="AN12" s="503" t="s">
        <v>197</v>
      </c>
      <c r="AO12" s="506"/>
      <c r="AP12" s="506">
        <f t="shared" si="3"/>
        <v>0</v>
      </c>
      <c r="AQ12" s="506"/>
      <c r="AR12" s="506" t="s">
        <v>197</v>
      </c>
      <c r="AS12" s="506" t="s">
        <v>197</v>
      </c>
      <c r="AT12" s="506" t="s">
        <v>197</v>
      </c>
    </row>
    <row r="13" spans="1:46" ht="13">
      <c r="A13" s="1517"/>
      <c r="B13" s="1518"/>
      <c r="C13" s="503" t="s">
        <v>4403</v>
      </c>
      <c r="D13" s="522"/>
      <c r="E13" s="504">
        <f>SUMIFS('PV SUPPLY DATA'!$X:$X,'PV SUPPLY DATA'!$AH:$AH,'CT capacity tracker'!$B10,'PV SUPPLY DATA'!$AG:$AG,'CT capacity tracker'!$A$1,'PV SUPPLY DATA'!$Y:$Y,E$1,'PV SUPPLY DATA'!$AQ:$AQ,"cosco")+SUMIFS('PV SUPPLY DATA'!$X:$X,'PV SUPPLY DATA'!$AH:$AH,'CT capacity tracker'!$B10,'PV SUPPLY DATA'!$AG:$AG,'CT capacity tracker'!$A$1,'PV SUPPLY DATA'!$Y:$Y,E$1,'PV SUPPLY DATA'!$AQ:$AQ,"other")+SUMIFS('ESS SUPPLY DATA'!$U:$U,'ESS SUPPLY DATA'!$AF:$AF,'CT capacity tracker'!$B10,'ESS SUPPLY DATA'!$AE:$AE,'CT capacity tracker'!$A$1,'ESS SUPPLY DATA'!$W:$W,'CT capacity tracker'!E$1,'ESS SUPPLY DATA'!$AO:$AO,"cosco")+SUMIFS('ESS SUPPLY DATA'!$U:$U,'ESS SUPPLY DATA'!$AF:$AF,'CT capacity tracker'!$B10,'ESS SUPPLY DATA'!$AE:$AE,'CT capacity tracker'!$A$1,'ESS SUPPLY DATA'!$W:$W,'CT capacity tracker'!E$1,'ESS SUPPLY DATA'!$AO:$AO,"other")</f>
        <v>0</v>
      </c>
      <c r="F13" s="504">
        <f>SUMIFS('PV SUPPLY DATA'!$X:$X,'PV SUPPLY DATA'!$AH:$AH,'CT capacity tracker'!$B10,'PV SUPPLY DATA'!$AG:$AG,'CT capacity tracker'!$A$1,'PV SUPPLY DATA'!$Y:$Y,F$1,'PV SUPPLY DATA'!$AQ:$AQ,"cosco")+SUMIFS('PV SUPPLY DATA'!$X:$X,'PV SUPPLY DATA'!$AH:$AH,'CT capacity tracker'!$B10,'PV SUPPLY DATA'!$AG:$AG,'CT capacity tracker'!$A$1,'PV SUPPLY DATA'!$Y:$Y,F$1,'PV SUPPLY DATA'!$AQ:$AQ,"other")+SUMIFS('ESS SUPPLY DATA'!$U:$U,'ESS SUPPLY DATA'!$AF:$AF,'CT capacity tracker'!$B10,'ESS SUPPLY DATA'!$AE:$AE,'CT capacity tracker'!$A$1,'ESS SUPPLY DATA'!$W:$W,'CT capacity tracker'!F$1,'ESS SUPPLY DATA'!$AO:$AO,"cosco")+SUMIFS('ESS SUPPLY DATA'!$U:$U,'ESS SUPPLY DATA'!$AF:$AF,'CT capacity tracker'!$B10,'ESS SUPPLY DATA'!$AE:$AE,'CT capacity tracker'!$A$1,'ESS SUPPLY DATA'!$W:$W,'CT capacity tracker'!F$1,'ESS SUPPLY DATA'!$AO:$AO,"other")</f>
        <v>0</v>
      </c>
      <c r="G13" s="504">
        <f>SUMIFS('PV SUPPLY DATA'!$X:$X,'PV SUPPLY DATA'!$AH:$AH,'CT capacity tracker'!$B10,'PV SUPPLY DATA'!$AG:$AG,'CT capacity tracker'!$A$1,'PV SUPPLY DATA'!$Y:$Y,G$1,'PV SUPPLY DATA'!$AQ:$AQ,"cosco")+SUMIFS('PV SUPPLY DATA'!$X:$X,'PV SUPPLY DATA'!$AH:$AH,'CT capacity tracker'!$B10,'PV SUPPLY DATA'!$AG:$AG,'CT capacity tracker'!$A$1,'PV SUPPLY DATA'!$Y:$Y,G$1,'PV SUPPLY DATA'!$AQ:$AQ,"other")+SUMIFS('ESS SUPPLY DATA'!$U:$U,'ESS SUPPLY DATA'!$AF:$AF,'CT capacity tracker'!$B10,'ESS SUPPLY DATA'!$AE:$AE,'CT capacity tracker'!$A$1,'ESS SUPPLY DATA'!$W:$W,'CT capacity tracker'!G$1,'ESS SUPPLY DATA'!$AO:$AO,"cosco")+SUMIFS('ESS SUPPLY DATA'!$U:$U,'ESS SUPPLY DATA'!$AF:$AF,'CT capacity tracker'!$B10,'ESS SUPPLY DATA'!$AE:$AE,'CT capacity tracker'!$A$1,'ESS SUPPLY DATA'!$W:$W,'CT capacity tracker'!G$1,'ESS SUPPLY DATA'!$AO:$AO,"other")</f>
        <v>1</v>
      </c>
      <c r="H13" s="504">
        <f>SUMIFS('PV SUPPLY DATA'!$X:$X,'PV SUPPLY DATA'!$AH:$AH,'CT capacity tracker'!$B10,'PV SUPPLY DATA'!$AG:$AG,'CT capacity tracker'!$A$1,'PV SUPPLY DATA'!$Y:$Y,H$1,'PV SUPPLY DATA'!$AQ:$AQ,"cosco")+SUMIFS('PV SUPPLY DATA'!$X:$X,'PV SUPPLY DATA'!$AH:$AH,'CT capacity tracker'!$B10,'PV SUPPLY DATA'!$AG:$AG,'CT capacity tracker'!$A$1,'PV SUPPLY DATA'!$Y:$Y,H$1,'PV SUPPLY DATA'!$AQ:$AQ,"other")+SUMIFS('ESS SUPPLY DATA'!$U:$U,'ESS SUPPLY DATA'!$AF:$AF,'CT capacity tracker'!$B10,'ESS SUPPLY DATA'!$AE:$AE,'CT capacity tracker'!$A$1,'ESS SUPPLY DATA'!$W:$W,'CT capacity tracker'!H$1,'ESS SUPPLY DATA'!$AO:$AO,"cosco")+SUMIFS('ESS SUPPLY DATA'!$U:$U,'ESS SUPPLY DATA'!$AF:$AF,'CT capacity tracker'!$B10,'ESS SUPPLY DATA'!$AE:$AE,'CT capacity tracker'!$A$1,'ESS SUPPLY DATA'!$W:$W,'CT capacity tracker'!H$1,'ESS SUPPLY DATA'!$AO:$AO,"other")</f>
        <v>0</v>
      </c>
      <c r="I13" s="504">
        <f>SUMIFS('PV SUPPLY DATA'!$X:$X,'PV SUPPLY DATA'!$AH:$AH,'CT capacity tracker'!$B10,'PV SUPPLY DATA'!$AG:$AG,'CT capacity tracker'!$A$1,'PV SUPPLY DATA'!$Y:$Y,I$1,'PV SUPPLY DATA'!$AQ:$AQ,"cosco")+SUMIFS('PV SUPPLY DATA'!$X:$X,'PV SUPPLY DATA'!$AH:$AH,'CT capacity tracker'!$B10,'PV SUPPLY DATA'!$AG:$AG,'CT capacity tracker'!$A$1,'PV SUPPLY DATA'!$Y:$Y,I$1,'PV SUPPLY DATA'!$AQ:$AQ,"other")+SUMIFS('ESS SUPPLY DATA'!$U:$U,'ESS SUPPLY DATA'!$AF:$AF,'CT capacity tracker'!$B10,'ESS SUPPLY DATA'!$AE:$AE,'CT capacity tracker'!$A$1,'ESS SUPPLY DATA'!$W:$W,'CT capacity tracker'!I$1,'ESS SUPPLY DATA'!$AO:$AO,"cosco")+SUMIFS('ESS SUPPLY DATA'!$U:$U,'ESS SUPPLY DATA'!$AF:$AF,'CT capacity tracker'!$B10,'ESS SUPPLY DATA'!$AE:$AE,'CT capacity tracker'!$A$1,'ESS SUPPLY DATA'!$W:$W,'CT capacity tracker'!I$1,'ESS SUPPLY DATA'!$AO:$AO,"other")</f>
        <v>0</v>
      </c>
      <c r="J13" s="504">
        <f>SUMIFS('PV SUPPLY DATA'!$X:$X,'PV SUPPLY DATA'!$AH:$AH,'CT capacity tracker'!$B10,'PV SUPPLY DATA'!$AG:$AG,'CT capacity tracker'!$A$1,'PV SUPPLY DATA'!$Y:$Y,J$1,'PV SUPPLY DATA'!$AQ:$AQ,"cosco")+SUMIFS('PV SUPPLY DATA'!$X:$X,'PV SUPPLY DATA'!$AH:$AH,'CT capacity tracker'!$B10,'PV SUPPLY DATA'!$AG:$AG,'CT capacity tracker'!$A$1,'PV SUPPLY DATA'!$Y:$Y,J$1,'PV SUPPLY DATA'!$AQ:$AQ,"other")+SUMIFS('ESS SUPPLY DATA'!$U:$U,'ESS SUPPLY DATA'!$AF:$AF,'CT capacity tracker'!$B10,'ESS SUPPLY DATA'!$AE:$AE,'CT capacity tracker'!$A$1,'ESS SUPPLY DATA'!$W:$W,'CT capacity tracker'!J$1,'ESS SUPPLY DATA'!$AO:$AO,"cosco")+SUMIFS('ESS SUPPLY DATA'!$U:$U,'ESS SUPPLY DATA'!$AF:$AF,'CT capacity tracker'!$B10,'ESS SUPPLY DATA'!$AE:$AE,'CT capacity tracker'!$A$1,'ESS SUPPLY DATA'!$W:$W,'CT capacity tracker'!J$1,'ESS SUPPLY DATA'!$AO:$AO,"other")</f>
        <v>0</v>
      </c>
      <c r="K13" s="504">
        <f>SUMIFS('PV SUPPLY DATA'!$X:$X,'PV SUPPLY DATA'!$AH:$AH,'CT capacity tracker'!$B10,'PV SUPPLY DATA'!$AG:$AG,'CT capacity tracker'!$A$1,'PV SUPPLY DATA'!$Y:$Y,K$1,'PV SUPPLY DATA'!$AQ:$AQ,"cosco")+SUMIFS('PV SUPPLY DATA'!$X:$X,'PV SUPPLY DATA'!$AH:$AH,'CT capacity tracker'!$B10,'PV SUPPLY DATA'!$AG:$AG,'CT capacity tracker'!$A$1,'PV SUPPLY DATA'!$Y:$Y,K$1,'PV SUPPLY DATA'!$AQ:$AQ,"other")+SUMIFS('ESS SUPPLY DATA'!$U:$U,'ESS SUPPLY DATA'!$AF:$AF,'CT capacity tracker'!$B10,'ESS SUPPLY DATA'!$AE:$AE,'CT capacity tracker'!$A$1,'ESS SUPPLY DATA'!$W:$W,'CT capacity tracker'!K$1,'ESS SUPPLY DATA'!$AO:$AO,"cosco")+SUMIFS('ESS SUPPLY DATA'!$U:$U,'ESS SUPPLY DATA'!$AF:$AF,'CT capacity tracker'!$B10,'ESS SUPPLY DATA'!$AE:$AE,'CT capacity tracker'!$A$1,'ESS SUPPLY DATA'!$W:$W,'CT capacity tracker'!K$1,'ESS SUPPLY DATA'!$AO:$AO,"other")</f>
        <v>0</v>
      </c>
      <c r="L13" s="504">
        <f>SUMIFS('PV SUPPLY DATA'!$X:$X,'PV SUPPLY DATA'!$AH:$AH,'CT capacity tracker'!$B10,'PV SUPPLY DATA'!$AG:$AG,'CT capacity tracker'!$A$1,'PV SUPPLY DATA'!$Y:$Y,L$1,'PV SUPPLY DATA'!$AQ:$AQ,"cosco")+SUMIFS('PV SUPPLY DATA'!$X:$X,'PV SUPPLY DATA'!$AH:$AH,'CT capacity tracker'!$B10,'PV SUPPLY DATA'!$AG:$AG,'CT capacity tracker'!$A$1,'PV SUPPLY DATA'!$Y:$Y,L$1,'PV SUPPLY DATA'!$AQ:$AQ,"other")+SUMIFS('ESS SUPPLY DATA'!$U:$U,'ESS SUPPLY DATA'!$AF:$AF,'CT capacity tracker'!$B10,'ESS SUPPLY DATA'!$AE:$AE,'CT capacity tracker'!$A$1,'ESS SUPPLY DATA'!$W:$W,'CT capacity tracker'!L$1,'ESS SUPPLY DATA'!$AO:$AO,"cosco")+SUMIFS('ESS SUPPLY DATA'!$U:$U,'ESS SUPPLY DATA'!$AF:$AF,'CT capacity tracker'!$B10,'ESS SUPPLY DATA'!$AE:$AE,'CT capacity tracker'!$A$1,'ESS SUPPLY DATA'!$W:$W,'CT capacity tracker'!L$1,'ESS SUPPLY DATA'!$AO:$AO,"other")</f>
        <v>0</v>
      </c>
      <c r="M13" s="504">
        <f>SUMIFS('PV SUPPLY DATA'!$X:$X,'PV SUPPLY DATA'!$AH:$AH,'CT capacity tracker'!$B10,'PV SUPPLY DATA'!$AG:$AG,'CT capacity tracker'!$A$1,'PV SUPPLY DATA'!$Y:$Y,M$1,'PV SUPPLY DATA'!$AQ:$AQ,"cosco")+SUMIFS('PV SUPPLY DATA'!$X:$X,'PV SUPPLY DATA'!$AH:$AH,'CT capacity tracker'!$B10,'PV SUPPLY DATA'!$AG:$AG,'CT capacity tracker'!$A$1,'PV SUPPLY DATA'!$Y:$Y,M$1,'PV SUPPLY DATA'!$AQ:$AQ,"other")+SUMIFS('ESS SUPPLY DATA'!$U:$U,'ESS SUPPLY DATA'!$AF:$AF,'CT capacity tracker'!$B10,'ESS SUPPLY DATA'!$AE:$AE,'CT capacity tracker'!$A$1,'ESS SUPPLY DATA'!$W:$W,'CT capacity tracker'!M$1,'ESS SUPPLY DATA'!$AO:$AO,"cosco")+SUMIFS('ESS SUPPLY DATA'!$U:$U,'ESS SUPPLY DATA'!$AF:$AF,'CT capacity tracker'!$B10,'ESS SUPPLY DATA'!$AE:$AE,'CT capacity tracker'!$A$1,'ESS SUPPLY DATA'!$W:$W,'CT capacity tracker'!M$1,'ESS SUPPLY DATA'!$AO:$AO,"other")</f>
        <v>0</v>
      </c>
      <c r="N13" s="504">
        <f>SUMIFS('PV SUPPLY DATA'!$X:$X,'PV SUPPLY DATA'!$AH:$AH,'CT capacity tracker'!$B10,'PV SUPPLY DATA'!$AG:$AG,'CT capacity tracker'!$A$1,'PV SUPPLY DATA'!$Y:$Y,N$1,'PV SUPPLY DATA'!$AQ:$AQ,"cosco")+SUMIFS('PV SUPPLY DATA'!$X:$X,'PV SUPPLY DATA'!$AH:$AH,'CT capacity tracker'!$B10,'PV SUPPLY DATA'!$AG:$AG,'CT capacity tracker'!$A$1,'PV SUPPLY DATA'!$Y:$Y,N$1,'PV SUPPLY DATA'!$AQ:$AQ,"other")+SUMIFS('ESS SUPPLY DATA'!$U:$U,'ESS SUPPLY DATA'!$AF:$AF,'CT capacity tracker'!$B10,'ESS SUPPLY DATA'!$AE:$AE,'CT capacity tracker'!$A$1,'ESS SUPPLY DATA'!$W:$W,'CT capacity tracker'!N$1,'ESS SUPPLY DATA'!$AO:$AO,"cosco")+SUMIFS('ESS SUPPLY DATA'!$U:$U,'ESS SUPPLY DATA'!$AF:$AF,'CT capacity tracker'!$B10,'ESS SUPPLY DATA'!$AE:$AE,'CT capacity tracker'!$A$1,'ESS SUPPLY DATA'!$W:$W,'CT capacity tracker'!N$1,'ESS SUPPLY DATA'!$AO:$AO,"other")</f>
        <v>0</v>
      </c>
      <c r="O13" s="504">
        <f>SUMIFS('PV SUPPLY DATA'!$X:$X,'PV SUPPLY DATA'!$AH:$AH,'CT capacity tracker'!$B10,'PV SUPPLY DATA'!$AG:$AG,'CT capacity tracker'!$A$1,'PV SUPPLY DATA'!$Y:$Y,O$1,'PV SUPPLY DATA'!$AQ:$AQ,"cosco")+SUMIFS('PV SUPPLY DATA'!$X:$X,'PV SUPPLY DATA'!$AH:$AH,'CT capacity tracker'!$B10,'PV SUPPLY DATA'!$AG:$AG,'CT capacity tracker'!$A$1,'PV SUPPLY DATA'!$Y:$Y,O$1,'PV SUPPLY DATA'!$AQ:$AQ,"other")+SUMIFS('ESS SUPPLY DATA'!$U:$U,'ESS SUPPLY DATA'!$AF:$AF,'CT capacity tracker'!$B10,'ESS SUPPLY DATA'!$AE:$AE,'CT capacity tracker'!$A$1,'ESS SUPPLY DATA'!$W:$W,'CT capacity tracker'!O$1,'ESS SUPPLY DATA'!$AO:$AO,"cosco")+SUMIFS('ESS SUPPLY DATA'!$U:$U,'ESS SUPPLY DATA'!$AF:$AF,'CT capacity tracker'!$B10,'ESS SUPPLY DATA'!$AE:$AE,'CT capacity tracker'!$A$1,'ESS SUPPLY DATA'!$W:$W,'CT capacity tracker'!O$1,'ESS SUPPLY DATA'!$AO:$AO,"other")</f>
        <v>0</v>
      </c>
      <c r="P13" s="504">
        <f>SUMIFS('PV SUPPLY DATA'!$X:$X,'PV SUPPLY DATA'!$AH:$AH,'CT capacity tracker'!$B10,'PV SUPPLY DATA'!$AG:$AG,'CT capacity tracker'!$A$1,'PV SUPPLY DATA'!$Y:$Y,P$1,'PV SUPPLY DATA'!$AQ:$AQ,"cosco")+SUMIFS('PV SUPPLY DATA'!$X:$X,'PV SUPPLY DATA'!$AH:$AH,'CT capacity tracker'!$B10,'PV SUPPLY DATA'!$AG:$AG,'CT capacity tracker'!$A$1,'PV SUPPLY DATA'!$Y:$Y,P$1,'PV SUPPLY DATA'!$AQ:$AQ,"other")+SUMIFS('ESS SUPPLY DATA'!$U:$U,'ESS SUPPLY DATA'!$AF:$AF,'CT capacity tracker'!$B10,'ESS SUPPLY DATA'!$AE:$AE,'CT capacity tracker'!$A$1,'ESS SUPPLY DATA'!$W:$W,'CT capacity tracker'!P$1,'ESS SUPPLY DATA'!$AO:$AO,"cosco")+SUMIFS('ESS SUPPLY DATA'!$U:$U,'ESS SUPPLY DATA'!$AF:$AF,'CT capacity tracker'!$B10,'ESS SUPPLY DATA'!$AE:$AE,'CT capacity tracker'!$A$1,'ESS SUPPLY DATA'!$W:$W,'CT capacity tracker'!P$1,'ESS SUPPLY DATA'!$AO:$AO,"other")</f>
        <v>0</v>
      </c>
      <c r="Q13" s="504">
        <f>SUMIFS('PV SUPPLY DATA'!$X:$X,'PV SUPPLY DATA'!$AH:$AH,'CT capacity tracker'!$B10,'PV SUPPLY DATA'!$AG:$AG,'CT capacity tracker'!$A$1,'PV SUPPLY DATA'!$Y:$Y,Q$1,'PV SUPPLY DATA'!$AQ:$AQ,"cosco")+SUMIFS('PV SUPPLY DATA'!$X:$X,'PV SUPPLY DATA'!$AH:$AH,'CT capacity tracker'!$B10,'PV SUPPLY DATA'!$AG:$AG,'CT capacity tracker'!$A$1,'PV SUPPLY DATA'!$Y:$Y,Q$1,'PV SUPPLY DATA'!$AQ:$AQ,"other")+SUMIFS('ESS SUPPLY DATA'!$U:$U,'ESS SUPPLY DATA'!$AF:$AF,'CT capacity tracker'!$B10,'ESS SUPPLY DATA'!$AE:$AE,'CT capacity tracker'!$A$1,'ESS SUPPLY DATA'!$W:$W,'CT capacity tracker'!Q$1,'ESS SUPPLY DATA'!$AO:$AO,"cosco")+SUMIFS('ESS SUPPLY DATA'!$U:$U,'ESS SUPPLY DATA'!$AF:$AF,'CT capacity tracker'!$B10,'ESS SUPPLY DATA'!$AE:$AE,'CT capacity tracker'!$A$1,'ESS SUPPLY DATA'!$W:$W,'CT capacity tracker'!Q$1,'ESS SUPPLY DATA'!$AO:$AO,"other")</f>
        <v>2</v>
      </c>
      <c r="R13" s="504">
        <f>SUMIFS('PV SUPPLY DATA'!$X:$X,'PV SUPPLY DATA'!$AH:$AH,'CT capacity tracker'!$B10,'PV SUPPLY DATA'!$AG:$AG,'CT capacity tracker'!$A$1,'PV SUPPLY DATA'!$Y:$Y,R$1,'PV SUPPLY DATA'!$AQ:$AQ,"cosco")+SUMIFS('PV SUPPLY DATA'!$X:$X,'PV SUPPLY DATA'!$AH:$AH,'CT capacity tracker'!$B10,'PV SUPPLY DATA'!$AG:$AG,'CT capacity tracker'!$A$1,'PV SUPPLY DATA'!$Y:$Y,R$1,'PV SUPPLY DATA'!$AQ:$AQ,"other")+SUMIFS('ESS SUPPLY DATA'!$U:$U,'ESS SUPPLY DATA'!$AF:$AF,'CT capacity tracker'!$B10,'ESS SUPPLY DATA'!$AE:$AE,'CT capacity tracker'!$A$1,'ESS SUPPLY DATA'!$W:$W,'CT capacity tracker'!R$1,'ESS SUPPLY DATA'!$AO:$AO,"cosco")+SUMIFS('ESS SUPPLY DATA'!$U:$U,'ESS SUPPLY DATA'!$AF:$AF,'CT capacity tracker'!$B10,'ESS SUPPLY DATA'!$AE:$AE,'CT capacity tracker'!$A$1,'ESS SUPPLY DATA'!$W:$W,'CT capacity tracker'!R$1,'ESS SUPPLY DATA'!$AO:$AO,"other")</f>
        <v>0</v>
      </c>
      <c r="S13" s="504">
        <f>SUMIFS('PV SUPPLY DATA'!$X:$X,'PV SUPPLY DATA'!$AH:$AH,'CT capacity tracker'!$B10,'PV SUPPLY DATA'!$AG:$AG,'CT capacity tracker'!$A$1,'PV SUPPLY DATA'!$Y:$Y,S$1,'PV SUPPLY DATA'!$AQ:$AQ,"cosco")+SUMIFS('PV SUPPLY DATA'!$X:$X,'PV SUPPLY DATA'!$AH:$AH,'CT capacity tracker'!$B10,'PV SUPPLY DATA'!$AG:$AG,'CT capacity tracker'!$A$1,'PV SUPPLY DATA'!$Y:$Y,S$1,'PV SUPPLY DATA'!$AQ:$AQ,"other")+SUMIFS('ESS SUPPLY DATA'!$U:$U,'ESS SUPPLY DATA'!$AF:$AF,'CT capacity tracker'!$B10,'ESS SUPPLY DATA'!$AE:$AE,'CT capacity tracker'!$A$1,'ESS SUPPLY DATA'!$W:$W,'CT capacity tracker'!S$1,'ESS SUPPLY DATA'!$AO:$AO,"cosco")+SUMIFS('ESS SUPPLY DATA'!$U:$U,'ESS SUPPLY DATA'!$AF:$AF,'CT capacity tracker'!$B10,'ESS SUPPLY DATA'!$AE:$AE,'CT capacity tracker'!$A$1,'ESS SUPPLY DATA'!$W:$W,'CT capacity tracker'!S$1,'ESS SUPPLY DATA'!$AO:$AO,"other")</f>
        <v>0</v>
      </c>
      <c r="T13" s="504">
        <f>SUMIFS('PV SUPPLY DATA'!$X:$X,'PV SUPPLY DATA'!$AH:$AH,'CT capacity tracker'!$B10,'PV SUPPLY DATA'!$AG:$AG,'CT capacity tracker'!$A$1,'PV SUPPLY DATA'!$Y:$Y,T$1,'PV SUPPLY DATA'!$AQ:$AQ,"cosco")+SUMIFS('PV SUPPLY DATA'!$X:$X,'PV SUPPLY DATA'!$AH:$AH,'CT capacity tracker'!$B10,'PV SUPPLY DATA'!$AG:$AG,'CT capacity tracker'!$A$1,'PV SUPPLY DATA'!$Y:$Y,T$1,'PV SUPPLY DATA'!$AQ:$AQ,"other")+SUMIFS('ESS SUPPLY DATA'!$U:$U,'ESS SUPPLY DATA'!$AF:$AF,'CT capacity tracker'!$B10,'ESS SUPPLY DATA'!$AE:$AE,'CT capacity tracker'!$A$1,'ESS SUPPLY DATA'!$W:$W,'CT capacity tracker'!T$1,'ESS SUPPLY DATA'!$AO:$AO,"cosco")+SUMIFS('ESS SUPPLY DATA'!$U:$U,'ESS SUPPLY DATA'!$AF:$AF,'CT capacity tracker'!$B10,'ESS SUPPLY DATA'!$AE:$AE,'CT capacity tracker'!$A$1,'ESS SUPPLY DATA'!$W:$W,'CT capacity tracker'!T$1,'ESS SUPPLY DATA'!$AO:$AO,"other")</f>
        <v>0</v>
      </c>
      <c r="U13" s="504">
        <f>SUMIFS('PV SUPPLY DATA'!$X:$X,'PV SUPPLY DATA'!$AH:$AH,'CT capacity tracker'!$B10,'PV SUPPLY DATA'!$AG:$AG,'CT capacity tracker'!$A$1,'PV SUPPLY DATA'!$Y:$Y,U$1,'PV SUPPLY DATA'!$AQ:$AQ,"cosco")+SUMIFS('PV SUPPLY DATA'!$X:$X,'PV SUPPLY DATA'!$AH:$AH,'CT capacity tracker'!$B10,'PV SUPPLY DATA'!$AG:$AG,'CT capacity tracker'!$A$1,'PV SUPPLY DATA'!$Y:$Y,U$1,'PV SUPPLY DATA'!$AQ:$AQ,"other")+SUMIFS('ESS SUPPLY DATA'!$U:$U,'ESS SUPPLY DATA'!$AF:$AF,'CT capacity tracker'!$B10,'ESS SUPPLY DATA'!$AE:$AE,'CT capacity tracker'!$A$1,'ESS SUPPLY DATA'!$W:$W,'CT capacity tracker'!U$1,'ESS SUPPLY DATA'!$AO:$AO,"cosco")+SUMIFS('ESS SUPPLY DATA'!$U:$U,'ESS SUPPLY DATA'!$AF:$AF,'CT capacity tracker'!$B10,'ESS SUPPLY DATA'!$AE:$AE,'CT capacity tracker'!$A$1,'ESS SUPPLY DATA'!$W:$W,'CT capacity tracker'!U$1,'ESS SUPPLY DATA'!$AO:$AO,"other")</f>
        <v>0</v>
      </c>
      <c r="V13" s="504">
        <f>SUMIFS('PV SUPPLY DATA'!$X:$X,'PV SUPPLY DATA'!$AH:$AH,'CT capacity tracker'!$B10,'PV SUPPLY DATA'!$AG:$AG,'CT capacity tracker'!$A$1,'PV SUPPLY DATA'!$Y:$Y,V$1,'PV SUPPLY DATA'!$AQ:$AQ,"cosco")+SUMIFS('PV SUPPLY DATA'!$X:$X,'PV SUPPLY DATA'!$AH:$AH,'CT capacity tracker'!$B10,'PV SUPPLY DATA'!$AG:$AG,'CT capacity tracker'!$A$1,'PV SUPPLY DATA'!$Y:$Y,V$1,'PV SUPPLY DATA'!$AQ:$AQ,"other")+SUMIFS('ESS SUPPLY DATA'!$U:$U,'ESS SUPPLY DATA'!$AF:$AF,'CT capacity tracker'!$B10,'ESS SUPPLY DATA'!$AE:$AE,'CT capacity tracker'!$A$1,'ESS SUPPLY DATA'!$W:$W,'CT capacity tracker'!V$1,'ESS SUPPLY DATA'!$AO:$AO,"cosco")+SUMIFS('ESS SUPPLY DATA'!$U:$U,'ESS SUPPLY DATA'!$AF:$AF,'CT capacity tracker'!$B10,'ESS SUPPLY DATA'!$AE:$AE,'CT capacity tracker'!$A$1,'ESS SUPPLY DATA'!$W:$W,'CT capacity tracker'!V$1,'ESS SUPPLY DATA'!$AO:$AO,"other")</f>
        <v>0</v>
      </c>
      <c r="W13" s="504">
        <f>SUMIFS('PV SUPPLY DATA'!$X:$X,'PV SUPPLY DATA'!$AH:$AH,'CT capacity tracker'!$B10,'PV SUPPLY DATA'!$AG:$AG,'CT capacity tracker'!$A$1,'PV SUPPLY DATA'!$Y:$Y,W$1,'PV SUPPLY DATA'!$AQ:$AQ,"cosco")+SUMIFS('PV SUPPLY DATA'!$X:$X,'PV SUPPLY DATA'!$AH:$AH,'CT capacity tracker'!$B10,'PV SUPPLY DATA'!$AG:$AG,'CT capacity tracker'!$A$1,'PV SUPPLY DATA'!$Y:$Y,W$1,'PV SUPPLY DATA'!$AQ:$AQ,"other")+SUMIFS('ESS SUPPLY DATA'!$U:$U,'ESS SUPPLY DATA'!$AF:$AF,'CT capacity tracker'!$B10,'ESS SUPPLY DATA'!$AE:$AE,'CT capacity tracker'!$A$1,'ESS SUPPLY DATA'!$W:$W,'CT capacity tracker'!W$1,'ESS SUPPLY DATA'!$AO:$AO,"cosco")+SUMIFS('ESS SUPPLY DATA'!$U:$U,'ESS SUPPLY DATA'!$AF:$AF,'CT capacity tracker'!$B10,'ESS SUPPLY DATA'!$AE:$AE,'CT capacity tracker'!$A$1,'ESS SUPPLY DATA'!$W:$W,'CT capacity tracker'!W$1,'ESS SUPPLY DATA'!$AO:$AO,"other")</f>
        <v>0</v>
      </c>
      <c r="X13" s="504">
        <f>SUMIFS('PV SUPPLY DATA'!$X:$X,'PV SUPPLY DATA'!$AH:$AH,'CT capacity tracker'!$B10,'PV SUPPLY DATA'!$AG:$AG,'CT capacity tracker'!$A$1,'PV SUPPLY DATA'!$Y:$Y,X$1,'PV SUPPLY DATA'!$AQ:$AQ,"cosco")+SUMIFS('PV SUPPLY DATA'!$X:$X,'PV SUPPLY DATA'!$AH:$AH,'CT capacity tracker'!$B10,'PV SUPPLY DATA'!$AG:$AG,'CT capacity tracker'!$A$1,'PV SUPPLY DATA'!$Y:$Y,X$1,'PV SUPPLY DATA'!$AQ:$AQ,"other")+SUMIFS('ESS SUPPLY DATA'!$U:$U,'ESS SUPPLY DATA'!$AF:$AF,'CT capacity tracker'!$B10,'ESS SUPPLY DATA'!$AE:$AE,'CT capacity tracker'!$A$1,'ESS SUPPLY DATA'!$W:$W,'CT capacity tracker'!X$1,'ESS SUPPLY DATA'!$AO:$AO,"cosco")+SUMIFS('ESS SUPPLY DATA'!$U:$U,'ESS SUPPLY DATA'!$AF:$AF,'CT capacity tracker'!$B10,'ESS SUPPLY DATA'!$AE:$AE,'CT capacity tracker'!$A$1,'ESS SUPPLY DATA'!$W:$W,'CT capacity tracker'!X$1,'ESS SUPPLY DATA'!$AO:$AO,"other")</f>
        <v>0</v>
      </c>
      <c r="Y13" s="504">
        <f>SUMIFS('PV SUPPLY DATA'!$X:$X,'PV SUPPLY DATA'!$AH:$AH,'CT capacity tracker'!$B10,'PV SUPPLY DATA'!$AG:$AG,'CT capacity tracker'!$A$1,'PV SUPPLY DATA'!$Y:$Y,Y$1,'PV SUPPLY DATA'!$AQ:$AQ,"cosco")+SUMIFS('PV SUPPLY DATA'!$X:$X,'PV SUPPLY DATA'!$AH:$AH,'CT capacity tracker'!$B10,'PV SUPPLY DATA'!$AG:$AG,'CT capacity tracker'!$A$1,'PV SUPPLY DATA'!$Y:$Y,Y$1,'PV SUPPLY DATA'!$AQ:$AQ,"other")+SUMIFS('ESS SUPPLY DATA'!$U:$U,'ESS SUPPLY DATA'!$AF:$AF,'CT capacity tracker'!$B10,'ESS SUPPLY DATA'!$AE:$AE,'CT capacity tracker'!$A$1,'ESS SUPPLY DATA'!$W:$W,'CT capacity tracker'!Y$1,'ESS SUPPLY DATA'!$AO:$AO,"cosco")+SUMIFS('ESS SUPPLY DATA'!$U:$U,'ESS SUPPLY DATA'!$AF:$AF,'CT capacity tracker'!$B10,'ESS SUPPLY DATA'!$AE:$AE,'CT capacity tracker'!$A$1,'ESS SUPPLY DATA'!$W:$W,'CT capacity tracker'!Y$1,'ESS SUPPLY DATA'!$AO:$AO,"other")</f>
        <v>0</v>
      </c>
      <c r="Z13" s="504">
        <f>SUMIFS('PV SUPPLY DATA'!$X:$X,'PV SUPPLY DATA'!$AH:$AH,'CT capacity tracker'!$B10,'PV SUPPLY DATA'!$AG:$AG,'CT capacity tracker'!$A$1,'PV SUPPLY DATA'!$Y:$Y,Z$1,'PV SUPPLY DATA'!$AQ:$AQ,"cosco")+SUMIFS('PV SUPPLY DATA'!$X:$X,'PV SUPPLY DATA'!$AH:$AH,'CT capacity tracker'!$B10,'PV SUPPLY DATA'!$AG:$AG,'CT capacity tracker'!$A$1,'PV SUPPLY DATA'!$Y:$Y,Z$1,'PV SUPPLY DATA'!$AQ:$AQ,"other")+SUMIFS('ESS SUPPLY DATA'!$U:$U,'ESS SUPPLY DATA'!$AF:$AF,'CT capacity tracker'!$B10,'ESS SUPPLY DATA'!$AE:$AE,'CT capacity tracker'!$A$1,'ESS SUPPLY DATA'!$W:$W,'CT capacity tracker'!Z$1,'ESS SUPPLY DATA'!$AO:$AO,"cosco")+SUMIFS('ESS SUPPLY DATA'!$U:$U,'ESS SUPPLY DATA'!$AF:$AF,'CT capacity tracker'!$B10,'ESS SUPPLY DATA'!$AE:$AE,'CT capacity tracker'!$A$1,'ESS SUPPLY DATA'!$W:$W,'CT capacity tracker'!Z$1,'ESS SUPPLY DATA'!$AO:$AO,"other")</f>
        <v>0</v>
      </c>
      <c r="AA13" s="504">
        <f>SUMIFS('PV SUPPLY DATA'!$X:$X,'PV SUPPLY DATA'!$AH:$AH,'CT capacity tracker'!$B10,'PV SUPPLY DATA'!$AG:$AG,'CT capacity tracker'!$A$1,'PV SUPPLY DATA'!$Y:$Y,AA$1,'PV SUPPLY DATA'!$AQ:$AQ,"cosco")+SUMIFS('PV SUPPLY DATA'!$X:$X,'PV SUPPLY DATA'!$AH:$AH,'CT capacity tracker'!$B10,'PV SUPPLY DATA'!$AG:$AG,'CT capacity tracker'!$A$1,'PV SUPPLY DATA'!$Y:$Y,AA$1,'PV SUPPLY DATA'!$AQ:$AQ,"other")+SUMIFS('ESS SUPPLY DATA'!$U:$U,'ESS SUPPLY DATA'!$AF:$AF,'CT capacity tracker'!$B10,'ESS SUPPLY DATA'!$AE:$AE,'CT capacity tracker'!$A$1,'ESS SUPPLY DATA'!$W:$W,'CT capacity tracker'!AA$1,'ESS SUPPLY DATA'!$AO:$AO,"cosco")+SUMIFS('ESS SUPPLY DATA'!$U:$U,'ESS SUPPLY DATA'!$AF:$AF,'CT capacity tracker'!$B10,'ESS SUPPLY DATA'!$AE:$AE,'CT capacity tracker'!$A$1,'ESS SUPPLY DATA'!$W:$W,'CT capacity tracker'!AA$1,'ESS SUPPLY DATA'!$AO:$AO,"other")</f>
        <v>0</v>
      </c>
      <c r="AB13" s="504">
        <f>SUMIFS('PV SUPPLY DATA'!$X:$X,'PV SUPPLY DATA'!$AH:$AH,'CT capacity tracker'!$B10,'PV SUPPLY DATA'!$AG:$AG,'CT capacity tracker'!$A$1,'PV SUPPLY DATA'!$Y:$Y,AB$1,'PV SUPPLY DATA'!$AQ:$AQ,"cosco")+SUMIFS('PV SUPPLY DATA'!$X:$X,'PV SUPPLY DATA'!$AH:$AH,'CT capacity tracker'!$B10,'PV SUPPLY DATA'!$AG:$AG,'CT capacity tracker'!$A$1,'PV SUPPLY DATA'!$Y:$Y,AB$1,'PV SUPPLY DATA'!$AQ:$AQ,"other")+SUMIFS('ESS SUPPLY DATA'!$U:$U,'ESS SUPPLY DATA'!$AF:$AF,'CT capacity tracker'!$B10,'ESS SUPPLY DATA'!$AE:$AE,'CT capacity tracker'!$A$1,'ESS SUPPLY DATA'!$W:$W,'CT capacity tracker'!AB$1,'ESS SUPPLY DATA'!$AO:$AO,"cosco")+SUMIFS('ESS SUPPLY DATA'!$U:$U,'ESS SUPPLY DATA'!$AF:$AF,'CT capacity tracker'!$B10,'ESS SUPPLY DATA'!$AE:$AE,'CT capacity tracker'!$A$1,'ESS SUPPLY DATA'!$W:$W,'CT capacity tracker'!AB$1,'ESS SUPPLY DATA'!$AO:$AO,"other")</f>
        <v>0</v>
      </c>
      <c r="AC13" s="504">
        <f>SUMIFS('PV SUPPLY DATA'!$X:$X,'PV SUPPLY DATA'!$AH:$AH,'CT capacity tracker'!$B10,'PV SUPPLY DATA'!$AG:$AG,'CT capacity tracker'!$A$1,'PV SUPPLY DATA'!$Y:$Y,AC$1,'PV SUPPLY DATA'!$AQ:$AQ,"cosco")+SUMIFS('PV SUPPLY DATA'!$X:$X,'PV SUPPLY DATA'!$AH:$AH,'CT capacity tracker'!$B10,'PV SUPPLY DATA'!$AG:$AG,'CT capacity tracker'!$A$1,'PV SUPPLY DATA'!$Y:$Y,AC$1,'PV SUPPLY DATA'!$AQ:$AQ,"other")+SUMIFS('ESS SUPPLY DATA'!$U:$U,'ESS SUPPLY DATA'!$AF:$AF,'CT capacity tracker'!$B10,'ESS SUPPLY DATA'!$AE:$AE,'CT capacity tracker'!$A$1,'ESS SUPPLY DATA'!$W:$W,'CT capacity tracker'!AC$1,'ESS SUPPLY DATA'!$AO:$AO,"cosco")+SUMIFS('ESS SUPPLY DATA'!$U:$U,'ESS SUPPLY DATA'!$AF:$AF,'CT capacity tracker'!$B10,'ESS SUPPLY DATA'!$AE:$AE,'CT capacity tracker'!$A$1,'ESS SUPPLY DATA'!$W:$W,'CT capacity tracker'!AC$1,'ESS SUPPLY DATA'!$AO:$AO,"other")</f>
        <v>0</v>
      </c>
      <c r="AD13" s="504">
        <f>SUMIFS('PV SUPPLY DATA'!$X:$X,'PV SUPPLY DATA'!$AH:$AH,'CT capacity tracker'!$B10,'PV SUPPLY DATA'!$AG:$AG,'CT capacity tracker'!$A$1,'PV SUPPLY DATA'!$Y:$Y,AD$1,'PV SUPPLY DATA'!$AQ:$AQ,"cosco")+SUMIFS('PV SUPPLY DATA'!$X:$X,'PV SUPPLY DATA'!$AH:$AH,'CT capacity tracker'!$B10,'PV SUPPLY DATA'!$AG:$AG,'CT capacity tracker'!$A$1,'PV SUPPLY DATA'!$Y:$Y,AD$1,'PV SUPPLY DATA'!$AQ:$AQ,"other")+SUMIFS('ESS SUPPLY DATA'!$U:$U,'ESS SUPPLY DATA'!$AF:$AF,'CT capacity tracker'!$B10,'ESS SUPPLY DATA'!$AE:$AE,'CT capacity tracker'!$A$1,'ESS SUPPLY DATA'!$W:$W,'CT capacity tracker'!AD$1,'ESS SUPPLY DATA'!$AO:$AO,"cosco")+SUMIFS('ESS SUPPLY DATA'!$U:$U,'ESS SUPPLY DATA'!$AF:$AF,'CT capacity tracker'!$B10,'ESS SUPPLY DATA'!$AE:$AE,'CT capacity tracker'!$A$1,'ESS SUPPLY DATA'!$W:$W,'CT capacity tracker'!AD$1,'ESS SUPPLY DATA'!$AO:$AO,"other")</f>
        <v>0</v>
      </c>
      <c r="AE13" s="504">
        <f>SUMIFS('PV SUPPLY DATA'!$X:$X,'PV SUPPLY DATA'!$AH:$AH,'CT capacity tracker'!$B10,'PV SUPPLY DATA'!$AG:$AG,'CT capacity tracker'!$A$1,'PV SUPPLY DATA'!$Y:$Y,AE$1,'PV SUPPLY DATA'!$AQ:$AQ,"cosco")+SUMIFS('PV SUPPLY DATA'!$X:$X,'PV SUPPLY DATA'!$AH:$AH,'CT capacity tracker'!$B10,'PV SUPPLY DATA'!$AG:$AG,'CT capacity tracker'!$A$1,'PV SUPPLY DATA'!$Y:$Y,AE$1,'PV SUPPLY DATA'!$AQ:$AQ,"other")+SUMIFS('ESS SUPPLY DATA'!$U:$U,'ESS SUPPLY DATA'!$AF:$AF,'CT capacity tracker'!$B10,'ESS SUPPLY DATA'!$AE:$AE,'CT capacity tracker'!$A$1,'ESS SUPPLY DATA'!$W:$W,'CT capacity tracker'!AE$1,'ESS SUPPLY DATA'!$AO:$AO,"cosco")+SUMIFS('ESS SUPPLY DATA'!$U:$U,'ESS SUPPLY DATA'!$AF:$AF,'CT capacity tracker'!$B10,'ESS SUPPLY DATA'!$AE:$AE,'CT capacity tracker'!$A$1,'ESS SUPPLY DATA'!$W:$W,'CT capacity tracker'!AE$1,'ESS SUPPLY DATA'!$AO:$AO,"other")</f>
        <v>0</v>
      </c>
      <c r="AF13" s="504">
        <f>SUMIFS('PV SUPPLY DATA'!$X:$X,'PV SUPPLY DATA'!$AH:$AH,'CT capacity tracker'!$B10,'PV SUPPLY DATA'!$AG:$AG,'CT capacity tracker'!$A$1,'PV SUPPLY DATA'!$Y:$Y,AF$1,'PV SUPPLY DATA'!$AQ:$AQ,"cosco")+SUMIFS('PV SUPPLY DATA'!$X:$X,'PV SUPPLY DATA'!$AH:$AH,'CT capacity tracker'!$B10,'PV SUPPLY DATA'!$AG:$AG,'CT capacity tracker'!$A$1,'PV SUPPLY DATA'!$Y:$Y,AF$1,'PV SUPPLY DATA'!$AQ:$AQ,"other")+SUMIFS('ESS SUPPLY DATA'!$U:$U,'ESS SUPPLY DATA'!$AF:$AF,'CT capacity tracker'!$B10,'ESS SUPPLY DATA'!$AE:$AE,'CT capacity tracker'!$A$1,'ESS SUPPLY DATA'!$W:$W,'CT capacity tracker'!AF$1,'ESS SUPPLY DATA'!$AO:$AO,"cosco")+SUMIFS('ESS SUPPLY DATA'!$U:$U,'ESS SUPPLY DATA'!$AF:$AF,'CT capacity tracker'!$B10,'ESS SUPPLY DATA'!$AE:$AE,'CT capacity tracker'!$A$1,'ESS SUPPLY DATA'!$W:$W,'CT capacity tracker'!AF$1,'ESS SUPPLY DATA'!$AO:$AO,"other")</f>
        <v>0</v>
      </c>
      <c r="AG13" s="504">
        <f>SUMIFS('PV SUPPLY DATA'!$X:$X,'PV SUPPLY DATA'!$AH:$AH,'CT capacity tracker'!$B10,'PV SUPPLY DATA'!$AG:$AG,'CT capacity tracker'!$A$1,'PV SUPPLY DATA'!$Y:$Y,AG$1,'PV SUPPLY DATA'!$AQ:$AQ,"cosco")+SUMIFS('PV SUPPLY DATA'!$X:$X,'PV SUPPLY DATA'!$AH:$AH,'CT capacity tracker'!$B10,'PV SUPPLY DATA'!$AG:$AG,'CT capacity tracker'!$A$1,'PV SUPPLY DATA'!$Y:$Y,AG$1,'PV SUPPLY DATA'!$AQ:$AQ,"other")+SUMIFS('ESS SUPPLY DATA'!$U:$U,'ESS SUPPLY DATA'!$AF:$AF,'CT capacity tracker'!$B10,'ESS SUPPLY DATA'!$AE:$AE,'CT capacity tracker'!$A$1,'ESS SUPPLY DATA'!$W:$W,'CT capacity tracker'!AG$1,'ESS SUPPLY DATA'!$AO:$AO,"cosco")+SUMIFS('ESS SUPPLY DATA'!$U:$U,'ESS SUPPLY DATA'!$AF:$AF,'CT capacity tracker'!$B10,'ESS SUPPLY DATA'!$AE:$AE,'CT capacity tracker'!$A$1,'ESS SUPPLY DATA'!$W:$W,'CT capacity tracker'!AG$1,'ESS SUPPLY DATA'!$AO:$AO,"other")</f>
        <v>0</v>
      </c>
      <c r="AH13" s="504">
        <f>SUMIFS('PV SUPPLY DATA'!$X:$X,'PV SUPPLY DATA'!$AH:$AH,'CT capacity tracker'!$B10,'PV SUPPLY DATA'!$AG:$AG,'CT capacity tracker'!$A$1,'PV SUPPLY DATA'!$Y:$Y,AH$1,'PV SUPPLY DATA'!$AQ:$AQ,"cosco")+SUMIFS('PV SUPPLY DATA'!$X:$X,'PV SUPPLY DATA'!$AH:$AH,'CT capacity tracker'!$B10,'PV SUPPLY DATA'!$AG:$AG,'CT capacity tracker'!$A$1,'PV SUPPLY DATA'!$Y:$Y,AH$1,'PV SUPPLY DATA'!$AQ:$AQ,"other")+SUMIFS('ESS SUPPLY DATA'!$U:$U,'ESS SUPPLY DATA'!$AF:$AF,'CT capacity tracker'!$B10,'ESS SUPPLY DATA'!$AE:$AE,'CT capacity tracker'!$A$1,'ESS SUPPLY DATA'!$W:$W,'CT capacity tracker'!AH$1,'ESS SUPPLY DATA'!$AO:$AO,"cosco")+SUMIFS('ESS SUPPLY DATA'!$U:$U,'ESS SUPPLY DATA'!$AF:$AF,'CT capacity tracker'!$B10,'ESS SUPPLY DATA'!$AE:$AE,'CT capacity tracker'!$A$1,'ESS SUPPLY DATA'!$W:$W,'CT capacity tracker'!AH$1,'ESS SUPPLY DATA'!$AO:$AO,"other")</f>
        <v>0</v>
      </c>
      <c r="AI13" s="504">
        <f>SUMIFS('PV SUPPLY DATA'!$X:$X,'PV SUPPLY DATA'!$AH:$AH,'CT capacity tracker'!$B10,'PV SUPPLY DATA'!$AG:$AG,'CT capacity tracker'!$A$1,'PV SUPPLY DATA'!$Y:$Y,AI$1,'PV SUPPLY DATA'!$AQ:$AQ,"cosco")+SUMIFS('PV SUPPLY DATA'!$X:$X,'PV SUPPLY DATA'!$AH:$AH,'CT capacity tracker'!$B10,'PV SUPPLY DATA'!$AG:$AG,'CT capacity tracker'!$A$1,'PV SUPPLY DATA'!$Y:$Y,AI$1,'PV SUPPLY DATA'!$AQ:$AQ,"other")+SUMIFS('ESS SUPPLY DATA'!$U:$U,'ESS SUPPLY DATA'!$AF:$AF,'CT capacity tracker'!$B10,'ESS SUPPLY DATA'!$AE:$AE,'CT capacity tracker'!$A$1,'ESS SUPPLY DATA'!$W:$W,'CT capacity tracker'!AI$1,'ESS SUPPLY DATA'!$AO:$AO,"cosco")+SUMIFS('ESS SUPPLY DATA'!$U:$U,'ESS SUPPLY DATA'!$AF:$AF,'CT capacity tracker'!$B10,'ESS SUPPLY DATA'!$AE:$AE,'CT capacity tracker'!$A$1,'ESS SUPPLY DATA'!$W:$W,'CT capacity tracker'!AI$1,'ESS SUPPLY DATA'!$AO:$AO,"other")</f>
        <v>0</v>
      </c>
      <c r="AJ13" s="504">
        <f>SUMIFS('PV SUPPLY DATA'!$X:$X,'PV SUPPLY DATA'!$AH:$AH,'CT capacity tracker'!$B10,'PV SUPPLY DATA'!$AG:$AG,'CT capacity tracker'!$A$1,'PV SUPPLY DATA'!$Y:$Y,AJ$1,'PV SUPPLY DATA'!$AQ:$AQ,"cosco")+SUMIFS('PV SUPPLY DATA'!$X:$X,'PV SUPPLY DATA'!$AH:$AH,'CT capacity tracker'!$B10,'PV SUPPLY DATA'!$AG:$AG,'CT capacity tracker'!$A$1,'PV SUPPLY DATA'!$Y:$Y,AJ$1,'PV SUPPLY DATA'!$AQ:$AQ,"other")+SUMIFS('ESS SUPPLY DATA'!$U:$U,'ESS SUPPLY DATA'!$AF:$AF,'CT capacity tracker'!$B10,'ESS SUPPLY DATA'!$AE:$AE,'CT capacity tracker'!$A$1,'ESS SUPPLY DATA'!$W:$W,'CT capacity tracker'!AJ$1,'ESS SUPPLY DATA'!$AO:$AO,"cosco")+SUMIFS('ESS SUPPLY DATA'!$U:$U,'ESS SUPPLY DATA'!$AF:$AF,'CT capacity tracker'!$B10,'ESS SUPPLY DATA'!$AE:$AE,'CT capacity tracker'!$A$1,'ESS SUPPLY DATA'!$W:$W,'CT capacity tracker'!AJ$1,'ESS SUPPLY DATA'!$AO:$AO,"other")</f>
        <v>0</v>
      </c>
      <c r="AK13" s="511"/>
      <c r="AL13" s="511"/>
      <c r="AM13" s="696">
        <f>SUM(E13:X13)</f>
        <v>3</v>
      </c>
      <c r="AN13" s="503"/>
      <c r="AO13" s="506"/>
      <c r="AP13" s="506"/>
      <c r="AQ13" s="506"/>
      <c r="AR13" s="506"/>
      <c r="AS13" s="506"/>
      <c r="AT13" s="506"/>
    </row>
    <row r="14" spans="1:46" ht="12.75" customHeight="1">
      <c r="A14" s="1517"/>
      <c r="B14" s="1516" t="s">
        <v>541</v>
      </c>
      <c r="C14" s="503" t="s">
        <v>4400</v>
      </c>
      <c r="D14" s="504">
        <f>SUMIFS('PV SUPPLY DATA'!$X:$X,'PV SUPPLY DATA'!$AH:$AH,'CT capacity tracker'!$B14,'PV SUPPLY DATA'!$AG:$AG,'CT capacity tracker'!$A$1,'PV SUPPLY DATA'!$Z:$Z,'CT capacity tracker'!D$1)+SUMIFS('ESS SUPPLY DATA'!$U:$U,'ESS SUPPLY DATA'!$AF:$AF,'CT capacity tracker'!$B14,'ESS SUPPLY DATA'!$AE:$AE,'CT capacity tracker'!$A$1,'ESS SUPPLY DATA'!$X:$X,'CT capacity tracker'!D$1)</f>
        <v>10</v>
      </c>
      <c r="E14" s="504">
        <f>SUMIFS('PV SUPPLY DATA'!$X:$X,'PV SUPPLY DATA'!$AH:$AH,'CT capacity tracker'!$B14,'PV SUPPLY DATA'!$AG:$AG,'CT capacity tracker'!$A$1,'PV SUPPLY DATA'!$Y:$Y,'CT capacity tracker'!E$1)+SUMIFS('ESS SUPPLY DATA'!$U:$U,'ESS SUPPLY DATA'!$AF:$AF,'CT capacity tracker'!$B14,'ESS SUPPLY DATA'!$AE:$AE,'CT capacity tracker'!$A$1,'ESS SUPPLY DATA'!$W:$W,'CT capacity tracker'!E$1)</f>
        <v>0</v>
      </c>
      <c r="F14" s="504">
        <f>SUMIFS('PV SUPPLY DATA'!$X:$X,'PV SUPPLY DATA'!$AH:$AH,'CT capacity tracker'!$B14,'PV SUPPLY DATA'!$AG:$AG,'CT capacity tracker'!$A$1,'PV SUPPLY DATA'!$Y:$Y,'CT capacity tracker'!F$1)+SUMIFS('ESS SUPPLY DATA'!$U:$U,'ESS SUPPLY DATA'!$AF:$AF,'CT capacity tracker'!$B14,'ESS SUPPLY DATA'!$AE:$AE,'CT capacity tracker'!$A$1,'ESS SUPPLY DATA'!$W:$W,'CT capacity tracker'!F$1)</f>
        <v>0</v>
      </c>
      <c r="G14" s="504">
        <f>SUMIFS('PV SUPPLY DATA'!$X:$X,'PV SUPPLY DATA'!$AH:$AH,'CT capacity tracker'!$B14,'PV SUPPLY DATA'!$AG:$AG,'CT capacity tracker'!$A$1,'PV SUPPLY DATA'!$Y:$Y,'CT capacity tracker'!G$1)+SUMIFS('ESS SUPPLY DATA'!$U:$U,'ESS SUPPLY DATA'!$AF:$AF,'CT capacity tracker'!$B14,'ESS SUPPLY DATA'!$AE:$AE,'CT capacity tracker'!$A$1,'ESS SUPPLY DATA'!$W:$W,'CT capacity tracker'!G$1)</f>
        <v>0</v>
      </c>
      <c r="H14" s="504">
        <f>SUMIFS('PV SUPPLY DATA'!$X:$X,'PV SUPPLY DATA'!$AH:$AH,'CT capacity tracker'!$B14,'PV SUPPLY DATA'!$AG:$AG,'CT capacity tracker'!$A$1,'PV SUPPLY DATA'!$Y:$Y,'CT capacity tracker'!H$1)+SUMIFS('ESS SUPPLY DATA'!$U:$U,'ESS SUPPLY DATA'!$AF:$AF,'CT capacity tracker'!$B14,'ESS SUPPLY DATA'!$AE:$AE,'CT capacity tracker'!$A$1,'ESS SUPPLY DATA'!$W:$W,'CT capacity tracker'!H$1)</f>
        <v>0</v>
      </c>
      <c r="I14" s="504">
        <f>SUMIFS('PV SUPPLY DATA'!$X:$X,'PV SUPPLY DATA'!$AH:$AH,'CT capacity tracker'!$B14,'PV SUPPLY DATA'!$AG:$AG,'CT capacity tracker'!$A$1,'PV SUPPLY DATA'!$Y:$Y,'CT capacity tracker'!I$1)+SUMIFS('ESS SUPPLY DATA'!$U:$U,'ESS SUPPLY DATA'!$AF:$AF,'CT capacity tracker'!$B14,'ESS SUPPLY DATA'!$AE:$AE,'CT capacity tracker'!$A$1,'ESS SUPPLY DATA'!$W:$W,'CT capacity tracker'!I$1)</f>
        <v>0</v>
      </c>
      <c r="J14" s="504">
        <f>SUMIFS('PV SUPPLY DATA'!$X:$X,'PV SUPPLY DATA'!$AH:$AH,'CT capacity tracker'!$B14,'PV SUPPLY DATA'!$AG:$AG,'CT capacity tracker'!$A$1,'PV SUPPLY DATA'!$Y:$Y,'CT capacity tracker'!J$1)+SUMIFS('ESS SUPPLY DATA'!$U:$U,'ESS SUPPLY DATA'!$AF:$AF,'CT capacity tracker'!$B14,'ESS SUPPLY DATA'!$AE:$AE,'CT capacity tracker'!$A$1,'ESS SUPPLY DATA'!$W:$W,'CT capacity tracker'!J$1)</f>
        <v>0</v>
      </c>
      <c r="K14" s="504">
        <f>SUMIFS('PV SUPPLY DATA'!$X:$X,'PV SUPPLY DATA'!$AH:$AH,'CT capacity tracker'!$B14,'PV SUPPLY DATA'!$AG:$AG,'CT capacity tracker'!$A$1,'PV SUPPLY DATA'!$Y:$Y,'CT capacity tracker'!K$1)+SUMIFS('ESS SUPPLY DATA'!$U:$U,'ESS SUPPLY DATA'!$AF:$AF,'CT capacity tracker'!$B14,'ESS SUPPLY DATA'!$AE:$AE,'CT capacity tracker'!$A$1,'ESS SUPPLY DATA'!$W:$W,'CT capacity tracker'!K$1)</f>
        <v>0</v>
      </c>
      <c r="L14" s="504">
        <f>SUMIFS('PV SUPPLY DATA'!$X:$X,'PV SUPPLY DATA'!$AH:$AH,'CT capacity tracker'!$B14,'PV SUPPLY DATA'!$AG:$AG,'CT capacity tracker'!$A$1,'PV SUPPLY DATA'!$Y:$Y,'CT capacity tracker'!L$1)+SUMIFS('ESS SUPPLY DATA'!$U:$U,'ESS SUPPLY DATA'!$AF:$AF,'CT capacity tracker'!$B14,'ESS SUPPLY DATA'!$AE:$AE,'CT capacity tracker'!$A$1,'ESS SUPPLY DATA'!$W:$W,'CT capacity tracker'!L$1)</f>
        <v>0</v>
      </c>
      <c r="M14" s="504">
        <f>SUMIFS('PV SUPPLY DATA'!$X:$X,'PV SUPPLY DATA'!$AH:$AH,'CT capacity tracker'!$B14,'PV SUPPLY DATA'!$AG:$AG,'CT capacity tracker'!$A$1,'PV SUPPLY DATA'!$Y:$Y,'CT capacity tracker'!M$1)+SUMIFS('ESS SUPPLY DATA'!$U:$U,'ESS SUPPLY DATA'!$AF:$AF,'CT capacity tracker'!$B14,'ESS SUPPLY DATA'!$AE:$AE,'CT capacity tracker'!$A$1,'ESS SUPPLY DATA'!$W:$W,'CT capacity tracker'!M$1)</f>
        <v>0</v>
      </c>
      <c r="N14" s="504">
        <f>SUMIFS('PV SUPPLY DATA'!$X:$X,'PV SUPPLY DATA'!$AH:$AH,'CT capacity tracker'!$B14,'PV SUPPLY DATA'!$AG:$AG,'CT capacity tracker'!$A$1,'PV SUPPLY DATA'!$Y:$Y,'CT capacity tracker'!N$1)+SUMIFS('ESS SUPPLY DATA'!$U:$U,'ESS SUPPLY DATA'!$AF:$AF,'CT capacity tracker'!$B14,'ESS SUPPLY DATA'!$AE:$AE,'CT capacity tracker'!$A$1,'ESS SUPPLY DATA'!$W:$W,'CT capacity tracker'!N$1)</f>
        <v>0</v>
      </c>
      <c r="O14" s="504">
        <f>SUMIFS('PV SUPPLY DATA'!$X:$X,'PV SUPPLY DATA'!$AH:$AH,'CT capacity tracker'!$B14,'PV SUPPLY DATA'!$AG:$AG,'CT capacity tracker'!$A$1,'PV SUPPLY DATA'!$Y:$Y,'CT capacity tracker'!O$1)+SUMIFS('ESS SUPPLY DATA'!$U:$U,'ESS SUPPLY DATA'!$AF:$AF,'CT capacity tracker'!$B14,'ESS SUPPLY DATA'!$AE:$AE,'CT capacity tracker'!$A$1,'ESS SUPPLY DATA'!$W:$W,'CT capacity tracker'!O$1)</f>
        <v>0</v>
      </c>
      <c r="P14" s="504">
        <f>SUMIFS('PV SUPPLY DATA'!$X:$X,'PV SUPPLY DATA'!$AH:$AH,'CT capacity tracker'!$B14,'PV SUPPLY DATA'!$AG:$AG,'CT capacity tracker'!$A$1,'PV SUPPLY DATA'!$Y:$Y,'CT capacity tracker'!P$1)+SUMIFS('ESS SUPPLY DATA'!$U:$U,'ESS SUPPLY DATA'!$AF:$AF,'CT capacity tracker'!$B14,'ESS SUPPLY DATA'!$AE:$AE,'CT capacity tracker'!$A$1,'ESS SUPPLY DATA'!$W:$W,'CT capacity tracker'!P$1)</f>
        <v>0</v>
      </c>
      <c r="Q14" s="504">
        <f>SUMIFS('PV SUPPLY DATA'!$X:$X,'PV SUPPLY DATA'!$AH:$AH,'CT capacity tracker'!$B14,'PV SUPPLY DATA'!$AG:$AG,'CT capacity tracker'!$A$1,'PV SUPPLY DATA'!$Y:$Y,'CT capacity tracker'!Q$1)+SUMIFS('ESS SUPPLY DATA'!$U:$U,'ESS SUPPLY DATA'!$AF:$AF,'CT capacity tracker'!$B14,'ESS SUPPLY DATA'!$AE:$AE,'CT capacity tracker'!$A$1,'ESS SUPPLY DATA'!$W:$W,'CT capacity tracker'!Q$1)</f>
        <v>11</v>
      </c>
      <c r="R14" s="504">
        <f>SUMIFS('PV SUPPLY DATA'!$X:$X,'PV SUPPLY DATA'!$AH:$AH,'CT capacity tracker'!$B14,'PV SUPPLY DATA'!$AG:$AG,'CT capacity tracker'!$A$1,'PV SUPPLY DATA'!$Y:$Y,'CT capacity tracker'!R$1)+SUMIFS('ESS SUPPLY DATA'!$U:$U,'ESS SUPPLY DATA'!$AF:$AF,'CT capacity tracker'!$B14,'ESS SUPPLY DATA'!$AE:$AE,'CT capacity tracker'!$A$1,'ESS SUPPLY DATA'!$W:$W,'CT capacity tracker'!R$1)</f>
        <v>0</v>
      </c>
      <c r="S14" s="504">
        <f>SUMIFS('PV SUPPLY DATA'!$X:$X,'PV SUPPLY DATA'!$AH:$AH,'CT capacity tracker'!$B14,'PV SUPPLY DATA'!$AG:$AG,'CT capacity tracker'!$A$1,'PV SUPPLY DATA'!$Y:$Y,'CT capacity tracker'!S$1)+SUMIFS('ESS SUPPLY DATA'!$U:$U,'ESS SUPPLY DATA'!$AF:$AF,'CT capacity tracker'!$B14,'ESS SUPPLY DATA'!$AE:$AE,'CT capacity tracker'!$A$1,'ESS SUPPLY DATA'!$W:$W,'CT capacity tracker'!S$1)</f>
        <v>0</v>
      </c>
      <c r="T14" s="504">
        <f>SUMIFS('PV SUPPLY DATA'!$X:$X,'PV SUPPLY DATA'!$AH:$AH,'CT capacity tracker'!$B14,'PV SUPPLY DATA'!$AG:$AG,'CT capacity tracker'!$A$1,'PV SUPPLY DATA'!$Y:$Y,'CT capacity tracker'!T$1)+SUMIFS('ESS SUPPLY DATA'!$U:$U,'ESS SUPPLY DATA'!$AF:$AF,'CT capacity tracker'!$B14,'ESS SUPPLY DATA'!$AE:$AE,'CT capacity tracker'!$A$1,'ESS SUPPLY DATA'!$W:$W,'CT capacity tracker'!T$1)</f>
        <v>0</v>
      </c>
      <c r="U14" s="504">
        <f>SUMIFS('PV SUPPLY DATA'!$X:$X,'PV SUPPLY DATA'!$AH:$AH,'CT capacity tracker'!$B14,'PV SUPPLY DATA'!$AG:$AG,'CT capacity tracker'!$A$1,'PV SUPPLY DATA'!$Y:$Y,'CT capacity tracker'!U$1)+SUMIFS('ESS SUPPLY DATA'!$U:$U,'ESS SUPPLY DATA'!$AF:$AF,'CT capacity tracker'!$B14,'ESS SUPPLY DATA'!$AE:$AE,'CT capacity tracker'!$A$1,'ESS SUPPLY DATA'!$W:$W,'CT capacity tracker'!U$1)</f>
        <v>0</v>
      </c>
      <c r="V14" s="504">
        <f>SUMIFS('PV SUPPLY DATA'!$X:$X,'PV SUPPLY DATA'!$AH:$AH,'CT capacity tracker'!$B14,'PV SUPPLY DATA'!$AG:$AG,'CT capacity tracker'!$A$1,'PV SUPPLY DATA'!$Y:$Y,'CT capacity tracker'!V$1)+SUMIFS('ESS SUPPLY DATA'!$U:$U,'ESS SUPPLY DATA'!$AF:$AF,'CT capacity tracker'!$B14,'ESS SUPPLY DATA'!$AE:$AE,'CT capacity tracker'!$A$1,'ESS SUPPLY DATA'!$W:$W,'CT capacity tracker'!V$1)</f>
        <v>0</v>
      </c>
      <c r="W14" s="504">
        <f>SUMIFS('PV SUPPLY DATA'!$X:$X,'PV SUPPLY DATA'!$AH:$AH,'CT capacity tracker'!$B14,'PV SUPPLY DATA'!$AG:$AG,'CT capacity tracker'!$A$1,'PV SUPPLY DATA'!$Y:$Y,'CT capacity tracker'!W$1)+SUMIFS('ESS SUPPLY DATA'!$U:$U,'ESS SUPPLY DATA'!$AF:$AF,'CT capacity tracker'!$B14,'ESS SUPPLY DATA'!$AE:$AE,'CT capacity tracker'!$A$1,'ESS SUPPLY DATA'!$W:$W,'CT capacity tracker'!W$1)</f>
        <v>0</v>
      </c>
      <c r="X14" s="504">
        <f>SUMIFS('PV SUPPLY DATA'!$X:$X,'PV SUPPLY DATA'!$AH:$AH,'CT capacity tracker'!$B14,'PV SUPPLY DATA'!$AG:$AG,'CT capacity tracker'!$A$1,'PV SUPPLY DATA'!$Y:$Y,'CT capacity tracker'!X$1)+SUMIFS('ESS SUPPLY DATA'!$U:$U,'ESS SUPPLY DATA'!$AF:$AF,'CT capacity tracker'!$B14,'ESS SUPPLY DATA'!$AE:$AE,'CT capacity tracker'!$A$1,'ESS SUPPLY DATA'!$W:$W,'CT capacity tracker'!X$1)</f>
        <v>0</v>
      </c>
      <c r="Y14" s="504">
        <f>SUMIFS('PV SUPPLY DATA'!$X:$X,'PV SUPPLY DATA'!$AH:$AH,'CT capacity tracker'!$B14,'PV SUPPLY DATA'!$AG:$AG,'CT capacity tracker'!$A$1,'PV SUPPLY DATA'!$Y:$Y,'CT capacity tracker'!Y$1)+SUMIFS('ESS SUPPLY DATA'!$U:$U,'ESS SUPPLY DATA'!$AF:$AF,'CT capacity tracker'!$B14,'ESS SUPPLY DATA'!$AE:$AE,'CT capacity tracker'!$A$1,'ESS SUPPLY DATA'!$W:$W,'CT capacity tracker'!Y$1)</f>
        <v>0</v>
      </c>
      <c r="Z14" s="504">
        <f>SUMIFS('PV SUPPLY DATA'!$X:$X,'PV SUPPLY DATA'!$AH:$AH,'CT capacity tracker'!$B14,'PV SUPPLY DATA'!$AG:$AG,'CT capacity tracker'!$A$1,'PV SUPPLY DATA'!$Y:$Y,'CT capacity tracker'!Z$1)+SUMIFS('ESS SUPPLY DATA'!$U:$U,'ESS SUPPLY DATA'!$AF:$AF,'CT capacity tracker'!$B14,'ESS SUPPLY DATA'!$AE:$AE,'CT capacity tracker'!$A$1,'ESS SUPPLY DATA'!$W:$W,'CT capacity tracker'!Z$1)</f>
        <v>0</v>
      </c>
      <c r="AA14" s="504">
        <f>SUMIFS('PV SUPPLY DATA'!$X:$X,'PV SUPPLY DATA'!$AH:$AH,'CT capacity tracker'!$B14,'PV SUPPLY DATA'!$AG:$AG,'CT capacity tracker'!$A$1,'PV SUPPLY DATA'!$Y:$Y,'CT capacity tracker'!AA$1)+SUMIFS('ESS SUPPLY DATA'!$U:$U,'ESS SUPPLY DATA'!$AF:$AF,'CT capacity tracker'!$B14,'ESS SUPPLY DATA'!$AE:$AE,'CT capacity tracker'!$A$1,'ESS SUPPLY DATA'!$W:$W,'CT capacity tracker'!AA$1)</f>
        <v>10</v>
      </c>
      <c r="AB14" s="504">
        <f>SUMIFS('PV SUPPLY DATA'!$X:$X,'PV SUPPLY DATA'!$AH:$AH,'CT capacity tracker'!$B14,'PV SUPPLY DATA'!$AG:$AG,'CT capacity tracker'!$A$1,'PV SUPPLY DATA'!$Y:$Y,'CT capacity tracker'!AB$1)+SUMIFS('ESS SUPPLY DATA'!$U:$U,'ESS SUPPLY DATA'!$AF:$AF,'CT capacity tracker'!$B14,'ESS SUPPLY DATA'!$AE:$AE,'CT capacity tracker'!$A$1,'ESS SUPPLY DATA'!$W:$W,'CT capacity tracker'!AB$1)</f>
        <v>0</v>
      </c>
      <c r="AC14" s="504">
        <f>SUMIFS('PV SUPPLY DATA'!$X:$X,'PV SUPPLY DATA'!$AH:$AH,'CT capacity tracker'!$B14,'PV SUPPLY DATA'!$AG:$AG,'CT capacity tracker'!$A$1,'PV SUPPLY DATA'!$Y:$Y,'CT capacity tracker'!AC$1)+SUMIFS('ESS SUPPLY DATA'!$U:$U,'ESS SUPPLY DATA'!$AF:$AF,'CT capacity tracker'!$B14,'ESS SUPPLY DATA'!$AE:$AE,'CT capacity tracker'!$A$1,'ESS SUPPLY DATA'!$W:$W,'CT capacity tracker'!AC$1)</f>
        <v>0</v>
      </c>
      <c r="AD14" s="504">
        <f>SUMIFS('PV SUPPLY DATA'!$X:$X,'PV SUPPLY DATA'!$AH:$AH,'CT capacity tracker'!$B14,'PV SUPPLY DATA'!$AG:$AG,'CT capacity tracker'!$A$1,'PV SUPPLY DATA'!$Y:$Y,'CT capacity tracker'!AD$1)+SUMIFS('ESS SUPPLY DATA'!$U:$U,'ESS SUPPLY DATA'!$AF:$AF,'CT capacity tracker'!$B14,'ESS SUPPLY DATA'!$AE:$AE,'CT capacity tracker'!$A$1,'ESS SUPPLY DATA'!$W:$W,'CT capacity tracker'!AD$1)</f>
        <v>0</v>
      </c>
      <c r="AE14" s="504">
        <f>SUMIFS('PV SUPPLY DATA'!$X:$X,'PV SUPPLY DATA'!$AH:$AH,'CT capacity tracker'!$B14,'PV SUPPLY DATA'!$AG:$AG,'CT capacity tracker'!$A$1,'PV SUPPLY DATA'!$Y:$Y,'CT capacity tracker'!AE$1)+SUMIFS('ESS SUPPLY DATA'!$U:$U,'ESS SUPPLY DATA'!$AF:$AF,'CT capacity tracker'!$B14,'ESS SUPPLY DATA'!$AE:$AE,'CT capacity tracker'!$A$1,'ESS SUPPLY DATA'!$W:$W,'CT capacity tracker'!AE$1)</f>
        <v>0</v>
      </c>
      <c r="AF14" s="504">
        <f>SUMIFS('PV SUPPLY DATA'!$X:$X,'PV SUPPLY DATA'!$AH:$AH,'CT capacity tracker'!$B14,'PV SUPPLY DATA'!$AG:$AG,'CT capacity tracker'!$A$1,'PV SUPPLY DATA'!$Y:$Y,'CT capacity tracker'!AF$1)+SUMIFS('ESS SUPPLY DATA'!$U:$U,'ESS SUPPLY DATA'!$AF:$AF,'CT capacity tracker'!$B14,'ESS SUPPLY DATA'!$AE:$AE,'CT capacity tracker'!$A$1,'ESS SUPPLY DATA'!$W:$W,'CT capacity tracker'!AF$1)</f>
        <v>0</v>
      </c>
      <c r="AG14" s="504">
        <f>SUMIFS('PV SUPPLY DATA'!$X:$X,'PV SUPPLY DATA'!$AH:$AH,'CT capacity tracker'!$B14,'PV SUPPLY DATA'!$AG:$AG,'CT capacity tracker'!$A$1,'PV SUPPLY DATA'!$Y:$Y,'CT capacity tracker'!AG$1)+SUMIFS('ESS SUPPLY DATA'!$U:$U,'ESS SUPPLY DATA'!$AF:$AF,'CT capacity tracker'!$B14,'ESS SUPPLY DATA'!$AE:$AE,'CT capacity tracker'!$A$1,'ESS SUPPLY DATA'!$W:$W,'CT capacity tracker'!AG$1)</f>
        <v>0</v>
      </c>
      <c r="AH14" s="504">
        <f>SUMIFS('PV SUPPLY DATA'!$X:$X,'PV SUPPLY DATA'!$AH:$AH,'CT capacity tracker'!$B14,'PV SUPPLY DATA'!$AG:$AG,'CT capacity tracker'!$A$1,'PV SUPPLY DATA'!$Y:$Y,'CT capacity tracker'!AH$1)+SUMIFS('ESS SUPPLY DATA'!$U:$U,'ESS SUPPLY DATA'!$AF:$AF,'CT capacity tracker'!$B14,'ESS SUPPLY DATA'!$AE:$AE,'CT capacity tracker'!$A$1,'ESS SUPPLY DATA'!$W:$W,'CT capacity tracker'!AH$1)</f>
        <v>0</v>
      </c>
      <c r="AI14" s="504">
        <f>SUMIFS('PV SUPPLY DATA'!$X:$X,'PV SUPPLY DATA'!$AH:$AH,'CT capacity tracker'!$B14,'PV SUPPLY DATA'!$AG:$AG,'CT capacity tracker'!$A$1,'PV SUPPLY DATA'!$Y:$Y,'CT capacity tracker'!AI$1)+SUMIFS('ESS SUPPLY DATA'!$U:$U,'ESS SUPPLY DATA'!$AF:$AF,'CT capacity tracker'!$B14,'ESS SUPPLY DATA'!$AE:$AE,'CT capacity tracker'!$A$1,'ESS SUPPLY DATA'!$W:$W,'CT capacity tracker'!AI$1)</f>
        <v>0</v>
      </c>
      <c r="AJ14" s="504">
        <f>SUMIFS('PV SUPPLY DATA'!$X:$X,'PV SUPPLY DATA'!$AH:$AH,'CT capacity tracker'!$B14,'PV SUPPLY DATA'!$AG:$AG,'CT capacity tracker'!$A$1,'PV SUPPLY DATA'!$Y:$Y,'CT capacity tracker'!AJ$1)+SUMIFS('ESS SUPPLY DATA'!$U:$U,'ESS SUPPLY DATA'!$AF:$AF,'CT capacity tracker'!$B14,'ESS SUPPLY DATA'!$AE:$AE,'CT capacity tracker'!$A$1,'ESS SUPPLY DATA'!$W:$W,'CT capacity tracker'!AJ$1)</f>
        <v>0</v>
      </c>
      <c r="AK14" s="505" t="s">
        <v>197</v>
      </c>
      <c r="AL14" s="505" t="s">
        <v>197</v>
      </c>
      <c r="AM14" s="696">
        <f>SUM(E14:X14)</f>
        <v>11</v>
      </c>
      <c r="AN14" s="503" t="s">
        <v>197</v>
      </c>
      <c r="AO14" s="506"/>
      <c r="AP14" s="506"/>
      <c r="AQ14" s="506"/>
      <c r="AR14" s="506"/>
      <c r="AS14" s="506"/>
      <c r="AT14" s="506"/>
    </row>
    <row r="15" spans="1:46" ht="12.75" customHeight="1">
      <c r="A15" s="1517"/>
      <c r="B15" s="1517"/>
      <c r="C15" s="509" t="s">
        <v>4401</v>
      </c>
      <c r="D15" s="509"/>
      <c r="E15" s="512"/>
      <c r="F15" s="512"/>
      <c r="G15" s="512"/>
      <c r="H15" s="512"/>
      <c r="I15" s="513"/>
      <c r="J15" s="512"/>
      <c r="K15" s="513">
        <v>3</v>
      </c>
      <c r="L15" s="513">
        <v>4</v>
      </c>
      <c r="M15" s="513"/>
      <c r="N15" s="513"/>
      <c r="O15" s="513"/>
      <c r="P15" s="513"/>
      <c r="Q15" s="513"/>
      <c r="R15" s="513"/>
      <c r="S15" s="513"/>
      <c r="T15" s="513"/>
      <c r="U15" s="513"/>
      <c r="V15" s="513"/>
      <c r="W15" s="513"/>
      <c r="X15" s="513"/>
      <c r="Y15" s="513"/>
      <c r="Z15" s="513"/>
      <c r="AA15" s="513"/>
      <c r="AB15" s="513"/>
      <c r="AC15" s="513"/>
      <c r="AD15" s="513"/>
      <c r="AE15" s="513"/>
      <c r="AF15" s="513"/>
      <c r="AG15" s="513"/>
      <c r="AH15" s="513"/>
      <c r="AI15" s="513"/>
      <c r="AJ15" s="513"/>
      <c r="AK15" s="505" t="s">
        <v>197</v>
      </c>
      <c r="AL15" s="505" t="s">
        <v>197</v>
      </c>
      <c r="AM15" s="696"/>
      <c r="AN15" s="503" t="s">
        <v>197</v>
      </c>
      <c r="AO15" s="506"/>
      <c r="AP15" s="506"/>
      <c r="AQ15" s="506"/>
      <c r="AR15" s="506"/>
      <c r="AS15" s="506"/>
      <c r="AT15" s="506"/>
    </row>
    <row r="16" spans="1:46" ht="12.75" customHeight="1">
      <c r="A16" s="1517"/>
      <c r="B16" s="1517"/>
      <c r="C16" s="520" t="s">
        <v>4402</v>
      </c>
      <c r="D16" s="522"/>
      <c r="E16" s="522">
        <f t="shared" ref="E16:X16" si="9">E15-E14</f>
        <v>0</v>
      </c>
      <c r="F16" s="522">
        <f t="shared" si="9"/>
        <v>0</v>
      </c>
      <c r="G16" s="522">
        <f t="shared" si="9"/>
        <v>0</v>
      </c>
      <c r="H16" s="522">
        <f t="shared" si="9"/>
        <v>0</v>
      </c>
      <c r="I16" s="522">
        <f t="shared" si="9"/>
        <v>0</v>
      </c>
      <c r="J16" s="522">
        <f t="shared" si="9"/>
        <v>0</v>
      </c>
      <c r="K16" s="522">
        <f t="shared" si="9"/>
        <v>3</v>
      </c>
      <c r="L16" s="522">
        <f t="shared" si="9"/>
        <v>4</v>
      </c>
      <c r="M16" s="522">
        <f t="shared" si="9"/>
        <v>0</v>
      </c>
      <c r="N16" s="522">
        <f t="shared" si="9"/>
        <v>0</v>
      </c>
      <c r="O16" s="522">
        <f t="shared" si="9"/>
        <v>0</v>
      </c>
      <c r="P16" s="522">
        <f t="shared" si="9"/>
        <v>0</v>
      </c>
      <c r="Q16" s="522">
        <f t="shared" si="9"/>
        <v>-11</v>
      </c>
      <c r="R16" s="522">
        <f t="shared" si="9"/>
        <v>0</v>
      </c>
      <c r="S16" s="522">
        <f t="shared" si="9"/>
        <v>0</v>
      </c>
      <c r="T16" s="522">
        <f t="shared" si="9"/>
        <v>0</v>
      </c>
      <c r="U16" s="522">
        <f t="shared" si="9"/>
        <v>0</v>
      </c>
      <c r="V16" s="522">
        <f t="shared" si="9"/>
        <v>0</v>
      </c>
      <c r="W16" s="522">
        <f t="shared" si="9"/>
        <v>0</v>
      </c>
      <c r="X16" s="522">
        <f t="shared" si="9"/>
        <v>0</v>
      </c>
      <c r="Y16" s="522">
        <f t="shared" ref="Y16:AJ16" si="10">Y15-Y14</f>
        <v>0</v>
      </c>
      <c r="Z16" s="522">
        <f t="shared" si="10"/>
        <v>0</v>
      </c>
      <c r="AA16" s="522">
        <f t="shared" si="10"/>
        <v>-10</v>
      </c>
      <c r="AB16" s="522">
        <f t="shared" si="10"/>
        <v>0</v>
      </c>
      <c r="AC16" s="522">
        <f t="shared" si="10"/>
        <v>0</v>
      </c>
      <c r="AD16" s="522">
        <f t="shared" si="10"/>
        <v>0</v>
      </c>
      <c r="AE16" s="522">
        <f t="shared" si="10"/>
        <v>0</v>
      </c>
      <c r="AF16" s="522">
        <f t="shared" si="10"/>
        <v>0</v>
      </c>
      <c r="AG16" s="522">
        <f t="shared" si="10"/>
        <v>0</v>
      </c>
      <c r="AH16" s="522">
        <f t="shared" si="10"/>
        <v>0</v>
      </c>
      <c r="AI16" s="522">
        <f t="shared" si="10"/>
        <v>0</v>
      </c>
      <c r="AJ16" s="522">
        <f t="shared" si="10"/>
        <v>0</v>
      </c>
      <c r="AK16" s="511">
        <f>SUMIF($E16:$X16,"&gt;0")</f>
        <v>7</v>
      </c>
      <c r="AL16" s="511">
        <f>SUMIF($E16:$X16,"&lt;0")</f>
        <v>-11</v>
      </c>
      <c r="AM16" s="696"/>
      <c r="AN16" s="503" t="s">
        <v>197</v>
      </c>
      <c r="AO16" s="506"/>
      <c r="AP16" s="506"/>
      <c r="AQ16" s="506"/>
      <c r="AR16" s="506"/>
      <c r="AS16" s="506"/>
      <c r="AT16" s="506"/>
    </row>
    <row r="17" spans="1:46" ht="12.75" customHeight="1">
      <c r="A17" s="1517"/>
      <c r="B17" s="1518"/>
      <c r="C17" s="503" t="s">
        <v>4403</v>
      </c>
      <c r="D17" s="522"/>
      <c r="E17" s="504">
        <f>SUMIFS('PV SUPPLY DATA'!$X:$X,'PV SUPPLY DATA'!$AH:$AH,'CT capacity tracker'!$B14,'PV SUPPLY DATA'!$AG:$AG,'CT capacity tracker'!$A$1,'PV SUPPLY DATA'!$Y:$Y,E$1,'PV SUPPLY DATA'!$AQ:$AQ,"cosco")+SUMIFS('PV SUPPLY DATA'!$X:$X,'PV SUPPLY DATA'!$AH:$AH,'CT capacity tracker'!$B14,'PV SUPPLY DATA'!$AG:$AG,'CT capacity tracker'!$A$1,'PV SUPPLY DATA'!$Y:$Y,E$1,'PV SUPPLY DATA'!$AQ:$AQ,"other")+SUMIFS('ESS SUPPLY DATA'!$U:$U,'ESS SUPPLY DATA'!$AF:$AF,'CT capacity tracker'!$B14,'ESS SUPPLY DATA'!$AE:$AE,'CT capacity tracker'!$A$1,'ESS SUPPLY DATA'!$W:$W,'CT capacity tracker'!E$1,'ESS SUPPLY DATA'!$AO:$AO,"cosco")+SUMIFS('ESS SUPPLY DATA'!$U:$U,'ESS SUPPLY DATA'!$AF:$AF,'CT capacity tracker'!$B14,'ESS SUPPLY DATA'!$AE:$AE,'CT capacity tracker'!$A$1,'ESS SUPPLY DATA'!$W:$W,'CT capacity tracker'!E$1,'ESS SUPPLY DATA'!$AO:$AO,"other")</f>
        <v>0</v>
      </c>
      <c r="F17" s="504">
        <f>SUMIFS('PV SUPPLY DATA'!$X:$X,'PV SUPPLY DATA'!$AH:$AH,'CT capacity tracker'!$B14,'PV SUPPLY DATA'!$AG:$AG,'CT capacity tracker'!$A$1,'PV SUPPLY DATA'!$Y:$Y,F$1,'PV SUPPLY DATA'!$AQ:$AQ,"cosco")+SUMIFS('PV SUPPLY DATA'!$X:$X,'PV SUPPLY DATA'!$AH:$AH,'CT capacity tracker'!$B14,'PV SUPPLY DATA'!$AG:$AG,'CT capacity tracker'!$A$1,'PV SUPPLY DATA'!$Y:$Y,F$1,'PV SUPPLY DATA'!$AQ:$AQ,"other")+SUMIFS('ESS SUPPLY DATA'!$U:$U,'ESS SUPPLY DATA'!$AF:$AF,'CT capacity tracker'!$B14,'ESS SUPPLY DATA'!$AE:$AE,'CT capacity tracker'!$A$1,'ESS SUPPLY DATA'!$W:$W,'CT capacity tracker'!F$1,'ESS SUPPLY DATA'!$AO:$AO,"cosco")+SUMIFS('ESS SUPPLY DATA'!$U:$U,'ESS SUPPLY DATA'!$AF:$AF,'CT capacity tracker'!$B14,'ESS SUPPLY DATA'!$AE:$AE,'CT capacity tracker'!$A$1,'ESS SUPPLY DATA'!$W:$W,'CT capacity tracker'!F$1,'ESS SUPPLY DATA'!$AO:$AO,"other")</f>
        <v>0</v>
      </c>
      <c r="G17" s="504">
        <f>SUMIFS('PV SUPPLY DATA'!$X:$X,'PV SUPPLY DATA'!$AH:$AH,'CT capacity tracker'!$B14,'PV SUPPLY DATA'!$AG:$AG,'CT capacity tracker'!$A$1,'PV SUPPLY DATA'!$Y:$Y,G$1,'PV SUPPLY DATA'!$AQ:$AQ,"cosco")+SUMIFS('PV SUPPLY DATA'!$X:$X,'PV SUPPLY DATA'!$AH:$AH,'CT capacity tracker'!$B14,'PV SUPPLY DATA'!$AG:$AG,'CT capacity tracker'!$A$1,'PV SUPPLY DATA'!$Y:$Y,G$1,'PV SUPPLY DATA'!$AQ:$AQ,"other")+SUMIFS('ESS SUPPLY DATA'!$U:$U,'ESS SUPPLY DATA'!$AF:$AF,'CT capacity tracker'!$B14,'ESS SUPPLY DATA'!$AE:$AE,'CT capacity tracker'!$A$1,'ESS SUPPLY DATA'!$W:$W,'CT capacity tracker'!G$1,'ESS SUPPLY DATA'!$AO:$AO,"cosco")+SUMIFS('ESS SUPPLY DATA'!$U:$U,'ESS SUPPLY DATA'!$AF:$AF,'CT capacity tracker'!$B14,'ESS SUPPLY DATA'!$AE:$AE,'CT capacity tracker'!$A$1,'ESS SUPPLY DATA'!$W:$W,'CT capacity tracker'!G$1,'ESS SUPPLY DATA'!$AO:$AO,"other")</f>
        <v>0</v>
      </c>
      <c r="H17" s="504">
        <f>SUMIFS('PV SUPPLY DATA'!$X:$X,'PV SUPPLY DATA'!$AH:$AH,'CT capacity tracker'!$B14,'PV SUPPLY DATA'!$AG:$AG,'CT capacity tracker'!$A$1,'PV SUPPLY DATA'!$Y:$Y,H$1,'PV SUPPLY DATA'!$AQ:$AQ,"cosco")+SUMIFS('PV SUPPLY DATA'!$X:$X,'PV SUPPLY DATA'!$AH:$AH,'CT capacity tracker'!$B14,'PV SUPPLY DATA'!$AG:$AG,'CT capacity tracker'!$A$1,'PV SUPPLY DATA'!$Y:$Y,H$1,'PV SUPPLY DATA'!$AQ:$AQ,"other")+SUMIFS('ESS SUPPLY DATA'!$U:$U,'ESS SUPPLY DATA'!$AF:$AF,'CT capacity tracker'!$B14,'ESS SUPPLY DATA'!$AE:$AE,'CT capacity tracker'!$A$1,'ESS SUPPLY DATA'!$W:$W,'CT capacity tracker'!H$1,'ESS SUPPLY DATA'!$AO:$AO,"cosco")+SUMIFS('ESS SUPPLY DATA'!$U:$U,'ESS SUPPLY DATA'!$AF:$AF,'CT capacity tracker'!$B14,'ESS SUPPLY DATA'!$AE:$AE,'CT capacity tracker'!$A$1,'ESS SUPPLY DATA'!$W:$W,'CT capacity tracker'!H$1,'ESS SUPPLY DATA'!$AO:$AO,"other")</f>
        <v>0</v>
      </c>
      <c r="I17" s="504">
        <f>SUMIFS('PV SUPPLY DATA'!$X:$X,'PV SUPPLY DATA'!$AH:$AH,'CT capacity tracker'!$B14,'PV SUPPLY DATA'!$AG:$AG,'CT capacity tracker'!$A$1,'PV SUPPLY DATA'!$Y:$Y,I$1,'PV SUPPLY DATA'!$AQ:$AQ,"cosco")+SUMIFS('PV SUPPLY DATA'!$X:$X,'PV SUPPLY DATA'!$AH:$AH,'CT capacity tracker'!$B14,'PV SUPPLY DATA'!$AG:$AG,'CT capacity tracker'!$A$1,'PV SUPPLY DATA'!$Y:$Y,I$1,'PV SUPPLY DATA'!$AQ:$AQ,"other")+SUMIFS('ESS SUPPLY DATA'!$U:$U,'ESS SUPPLY DATA'!$AF:$AF,'CT capacity tracker'!$B14,'ESS SUPPLY DATA'!$AE:$AE,'CT capacity tracker'!$A$1,'ESS SUPPLY DATA'!$W:$W,'CT capacity tracker'!I$1,'ESS SUPPLY DATA'!$AO:$AO,"cosco")+SUMIFS('ESS SUPPLY DATA'!$U:$U,'ESS SUPPLY DATA'!$AF:$AF,'CT capacity tracker'!$B14,'ESS SUPPLY DATA'!$AE:$AE,'CT capacity tracker'!$A$1,'ESS SUPPLY DATA'!$W:$W,'CT capacity tracker'!I$1,'ESS SUPPLY DATA'!$AO:$AO,"other")</f>
        <v>0</v>
      </c>
      <c r="J17" s="504">
        <f>SUMIFS('PV SUPPLY DATA'!$X:$X,'PV SUPPLY DATA'!$AH:$AH,'CT capacity tracker'!$B14,'PV SUPPLY DATA'!$AG:$AG,'CT capacity tracker'!$A$1,'PV SUPPLY DATA'!$Y:$Y,J$1,'PV SUPPLY DATA'!$AQ:$AQ,"cosco")+SUMIFS('PV SUPPLY DATA'!$X:$X,'PV SUPPLY DATA'!$AH:$AH,'CT capacity tracker'!$B14,'PV SUPPLY DATA'!$AG:$AG,'CT capacity tracker'!$A$1,'PV SUPPLY DATA'!$Y:$Y,J$1,'PV SUPPLY DATA'!$AQ:$AQ,"other")+SUMIFS('ESS SUPPLY DATA'!$U:$U,'ESS SUPPLY DATA'!$AF:$AF,'CT capacity tracker'!$B14,'ESS SUPPLY DATA'!$AE:$AE,'CT capacity tracker'!$A$1,'ESS SUPPLY DATA'!$W:$W,'CT capacity tracker'!J$1,'ESS SUPPLY DATA'!$AO:$AO,"cosco")+SUMIFS('ESS SUPPLY DATA'!$U:$U,'ESS SUPPLY DATA'!$AF:$AF,'CT capacity tracker'!$B14,'ESS SUPPLY DATA'!$AE:$AE,'CT capacity tracker'!$A$1,'ESS SUPPLY DATA'!$W:$W,'CT capacity tracker'!J$1,'ESS SUPPLY DATA'!$AO:$AO,"other")</f>
        <v>0</v>
      </c>
      <c r="K17" s="504">
        <f>SUMIFS('PV SUPPLY DATA'!$X:$X,'PV SUPPLY DATA'!$AH:$AH,'CT capacity tracker'!$B14,'PV SUPPLY DATA'!$AG:$AG,'CT capacity tracker'!$A$1,'PV SUPPLY DATA'!$Y:$Y,K$1,'PV SUPPLY DATA'!$AQ:$AQ,"cosco")+SUMIFS('PV SUPPLY DATA'!$X:$X,'PV SUPPLY DATA'!$AH:$AH,'CT capacity tracker'!$B14,'PV SUPPLY DATA'!$AG:$AG,'CT capacity tracker'!$A$1,'PV SUPPLY DATA'!$Y:$Y,K$1,'PV SUPPLY DATA'!$AQ:$AQ,"other")+SUMIFS('ESS SUPPLY DATA'!$U:$U,'ESS SUPPLY DATA'!$AF:$AF,'CT capacity tracker'!$B14,'ESS SUPPLY DATA'!$AE:$AE,'CT capacity tracker'!$A$1,'ESS SUPPLY DATA'!$W:$W,'CT capacity tracker'!K$1,'ESS SUPPLY DATA'!$AO:$AO,"cosco")+SUMIFS('ESS SUPPLY DATA'!$U:$U,'ESS SUPPLY DATA'!$AF:$AF,'CT capacity tracker'!$B14,'ESS SUPPLY DATA'!$AE:$AE,'CT capacity tracker'!$A$1,'ESS SUPPLY DATA'!$W:$W,'CT capacity tracker'!K$1,'ESS SUPPLY DATA'!$AO:$AO,"other")</f>
        <v>0</v>
      </c>
      <c r="L17" s="504">
        <f>SUMIFS('PV SUPPLY DATA'!$X:$X,'PV SUPPLY DATA'!$AH:$AH,'CT capacity tracker'!$B14,'PV SUPPLY DATA'!$AG:$AG,'CT capacity tracker'!$A$1,'PV SUPPLY DATA'!$Y:$Y,L$1,'PV SUPPLY DATA'!$AQ:$AQ,"cosco")+SUMIFS('PV SUPPLY DATA'!$X:$X,'PV SUPPLY DATA'!$AH:$AH,'CT capacity tracker'!$B14,'PV SUPPLY DATA'!$AG:$AG,'CT capacity tracker'!$A$1,'PV SUPPLY DATA'!$Y:$Y,L$1,'PV SUPPLY DATA'!$AQ:$AQ,"other")+SUMIFS('ESS SUPPLY DATA'!$U:$U,'ESS SUPPLY DATA'!$AF:$AF,'CT capacity tracker'!$B14,'ESS SUPPLY DATA'!$AE:$AE,'CT capacity tracker'!$A$1,'ESS SUPPLY DATA'!$W:$W,'CT capacity tracker'!L$1,'ESS SUPPLY DATA'!$AO:$AO,"cosco")+SUMIFS('ESS SUPPLY DATA'!$U:$U,'ESS SUPPLY DATA'!$AF:$AF,'CT capacity tracker'!$B14,'ESS SUPPLY DATA'!$AE:$AE,'CT capacity tracker'!$A$1,'ESS SUPPLY DATA'!$W:$W,'CT capacity tracker'!L$1,'ESS SUPPLY DATA'!$AO:$AO,"other")</f>
        <v>0</v>
      </c>
      <c r="M17" s="504">
        <f>SUMIFS('PV SUPPLY DATA'!$X:$X,'PV SUPPLY DATA'!$AH:$AH,'CT capacity tracker'!$B14,'PV SUPPLY DATA'!$AG:$AG,'CT capacity tracker'!$A$1,'PV SUPPLY DATA'!$Y:$Y,M$1,'PV SUPPLY DATA'!$AQ:$AQ,"cosco")+SUMIFS('PV SUPPLY DATA'!$X:$X,'PV SUPPLY DATA'!$AH:$AH,'CT capacity tracker'!$B14,'PV SUPPLY DATA'!$AG:$AG,'CT capacity tracker'!$A$1,'PV SUPPLY DATA'!$Y:$Y,M$1,'PV SUPPLY DATA'!$AQ:$AQ,"other")+SUMIFS('ESS SUPPLY DATA'!$U:$U,'ESS SUPPLY DATA'!$AF:$AF,'CT capacity tracker'!$B14,'ESS SUPPLY DATA'!$AE:$AE,'CT capacity tracker'!$A$1,'ESS SUPPLY DATA'!$W:$W,'CT capacity tracker'!M$1,'ESS SUPPLY DATA'!$AO:$AO,"cosco")+SUMIFS('ESS SUPPLY DATA'!$U:$U,'ESS SUPPLY DATA'!$AF:$AF,'CT capacity tracker'!$B14,'ESS SUPPLY DATA'!$AE:$AE,'CT capacity tracker'!$A$1,'ESS SUPPLY DATA'!$W:$W,'CT capacity tracker'!M$1,'ESS SUPPLY DATA'!$AO:$AO,"other")</f>
        <v>0</v>
      </c>
      <c r="N17" s="504">
        <f>SUMIFS('PV SUPPLY DATA'!$X:$X,'PV SUPPLY DATA'!$AH:$AH,'CT capacity tracker'!$B14,'PV SUPPLY DATA'!$AG:$AG,'CT capacity tracker'!$A$1,'PV SUPPLY DATA'!$Y:$Y,N$1,'PV SUPPLY DATA'!$AQ:$AQ,"cosco")+SUMIFS('PV SUPPLY DATA'!$X:$X,'PV SUPPLY DATA'!$AH:$AH,'CT capacity tracker'!$B14,'PV SUPPLY DATA'!$AG:$AG,'CT capacity tracker'!$A$1,'PV SUPPLY DATA'!$Y:$Y,N$1,'PV SUPPLY DATA'!$AQ:$AQ,"other")+SUMIFS('ESS SUPPLY DATA'!$U:$U,'ESS SUPPLY DATA'!$AF:$AF,'CT capacity tracker'!$B14,'ESS SUPPLY DATA'!$AE:$AE,'CT capacity tracker'!$A$1,'ESS SUPPLY DATA'!$W:$W,'CT capacity tracker'!N$1,'ESS SUPPLY DATA'!$AO:$AO,"cosco")+SUMIFS('ESS SUPPLY DATA'!$U:$U,'ESS SUPPLY DATA'!$AF:$AF,'CT capacity tracker'!$B14,'ESS SUPPLY DATA'!$AE:$AE,'CT capacity tracker'!$A$1,'ESS SUPPLY DATA'!$W:$W,'CT capacity tracker'!N$1,'ESS SUPPLY DATA'!$AO:$AO,"other")</f>
        <v>0</v>
      </c>
      <c r="O17" s="504">
        <f>SUMIFS('PV SUPPLY DATA'!$X:$X,'PV SUPPLY DATA'!$AH:$AH,'CT capacity tracker'!$B14,'PV SUPPLY DATA'!$AG:$AG,'CT capacity tracker'!$A$1,'PV SUPPLY DATA'!$Y:$Y,O$1,'PV SUPPLY DATA'!$AQ:$AQ,"cosco")+SUMIFS('PV SUPPLY DATA'!$X:$X,'PV SUPPLY DATA'!$AH:$AH,'CT capacity tracker'!$B14,'PV SUPPLY DATA'!$AG:$AG,'CT capacity tracker'!$A$1,'PV SUPPLY DATA'!$Y:$Y,O$1,'PV SUPPLY DATA'!$AQ:$AQ,"other")+SUMIFS('ESS SUPPLY DATA'!$U:$U,'ESS SUPPLY DATA'!$AF:$AF,'CT capacity tracker'!$B14,'ESS SUPPLY DATA'!$AE:$AE,'CT capacity tracker'!$A$1,'ESS SUPPLY DATA'!$W:$W,'CT capacity tracker'!O$1,'ESS SUPPLY DATA'!$AO:$AO,"cosco")+SUMIFS('ESS SUPPLY DATA'!$U:$U,'ESS SUPPLY DATA'!$AF:$AF,'CT capacity tracker'!$B14,'ESS SUPPLY DATA'!$AE:$AE,'CT capacity tracker'!$A$1,'ESS SUPPLY DATA'!$W:$W,'CT capacity tracker'!O$1,'ESS SUPPLY DATA'!$AO:$AO,"other")</f>
        <v>0</v>
      </c>
      <c r="P17" s="504">
        <f>SUMIFS('PV SUPPLY DATA'!$X:$X,'PV SUPPLY DATA'!$AH:$AH,'CT capacity tracker'!$B14,'PV SUPPLY DATA'!$AG:$AG,'CT capacity tracker'!$A$1,'PV SUPPLY DATA'!$Y:$Y,P$1,'PV SUPPLY DATA'!$AQ:$AQ,"cosco")+SUMIFS('PV SUPPLY DATA'!$X:$X,'PV SUPPLY DATA'!$AH:$AH,'CT capacity tracker'!$B14,'PV SUPPLY DATA'!$AG:$AG,'CT capacity tracker'!$A$1,'PV SUPPLY DATA'!$Y:$Y,P$1,'PV SUPPLY DATA'!$AQ:$AQ,"other")+SUMIFS('ESS SUPPLY DATA'!$U:$U,'ESS SUPPLY DATA'!$AF:$AF,'CT capacity tracker'!$B14,'ESS SUPPLY DATA'!$AE:$AE,'CT capacity tracker'!$A$1,'ESS SUPPLY DATA'!$W:$W,'CT capacity tracker'!P$1,'ESS SUPPLY DATA'!$AO:$AO,"cosco")+SUMIFS('ESS SUPPLY DATA'!$U:$U,'ESS SUPPLY DATA'!$AF:$AF,'CT capacity tracker'!$B14,'ESS SUPPLY DATA'!$AE:$AE,'CT capacity tracker'!$A$1,'ESS SUPPLY DATA'!$W:$W,'CT capacity tracker'!P$1,'ESS SUPPLY DATA'!$AO:$AO,"other")</f>
        <v>0</v>
      </c>
      <c r="Q17" s="504">
        <f>SUMIFS('PV SUPPLY DATA'!$X:$X,'PV SUPPLY DATA'!$AH:$AH,'CT capacity tracker'!$B14,'PV SUPPLY DATA'!$AG:$AG,'CT capacity tracker'!$A$1,'PV SUPPLY DATA'!$Y:$Y,Q$1,'PV SUPPLY DATA'!$AQ:$AQ,"cosco")+SUMIFS('PV SUPPLY DATA'!$X:$X,'PV SUPPLY DATA'!$AH:$AH,'CT capacity tracker'!$B14,'PV SUPPLY DATA'!$AG:$AG,'CT capacity tracker'!$A$1,'PV SUPPLY DATA'!$Y:$Y,Q$1,'PV SUPPLY DATA'!$AQ:$AQ,"other")+SUMIFS('ESS SUPPLY DATA'!$U:$U,'ESS SUPPLY DATA'!$AF:$AF,'CT capacity tracker'!$B14,'ESS SUPPLY DATA'!$AE:$AE,'CT capacity tracker'!$A$1,'ESS SUPPLY DATA'!$W:$W,'CT capacity tracker'!Q$1,'ESS SUPPLY DATA'!$AO:$AO,"cosco")+SUMIFS('ESS SUPPLY DATA'!$U:$U,'ESS SUPPLY DATA'!$AF:$AF,'CT capacity tracker'!$B14,'ESS SUPPLY DATA'!$AE:$AE,'CT capacity tracker'!$A$1,'ESS SUPPLY DATA'!$W:$W,'CT capacity tracker'!Q$1,'ESS SUPPLY DATA'!$AO:$AO,"other")</f>
        <v>11</v>
      </c>
      <c r="R17" s="504">
        <f>SUMIFS('PV SUPPLY DATA'!$X:$X,'PV SUPPLY DATA'!$AH:$AH,'CT capacity tracker'!$B14,'PV SUPPLY DATA'!$AG:$AG,'CT capacity tracker'!$A$1,'PV SUPPLY DATA'!$Y:$Y,R$1,'PV SUPPLY DATA'!$AQ:$AQ,"cosco")+SUMIFS('PV SUPPLY DATA'!$X:$X,'PV SUPPLY DATA'!$AH:$AH,'CT capacity tracker'!$B14,'PV SUPPLY DATA'!$AG:$AG,'CT capacity tracker'!$A$1,'PV SUPPLY DATA'!$Y:$Y,R$1,'PV SUPPLY DATA'!$AQ:$AQ,"other")+SUMIFS('ESS SUPPLY DATA'!$U:$U,'ESS SUPPLY DATA'!$AF:$AF,'CT capacity tracker'!$B14,'ESS SUPPLY DATA'!$AE:$AE,'CT capacity tracker'!$A$1,'ESS SUPPLY DATA'!$W:$W,'CT capacity tracker'!R$1,'ESS SUPPLY DATA'!$AO:$AO,"cosco")+SUMIFS('ESS SUPPLY DATA'!$U:$U,'ESS SUPPLY DATA'!$AF:$AF,'CT capacity tracker'!$B14,'ESS SUPPLY DATA'!$AE:$AE,'CT capacity tracker'!$A$1,'ESS SUPPLY DATA'!$W:$W,'CT capacity tracker'!R$1,'ESS SUPPLY DATA'!$AO:$AO,"other")</f>
        <v>0</v>
      </c>
      <c r="S17" s="504">
        <f>SUMIFS('PV SUPPLY DATA'!$X:$X,'PV SUPPLY DATA'!$AH:$AH,'CT capacity tracker'!$B14,'PV SUPPLY DATA'!$AG:$AG,'CT capacity tracker'!$A$1,'PV SUPPLY DATA'!$Y:$Y,S$1,'PV SUPPLY DATA'!$AQ:$AQ,"cosco")+SUMIFS('PV SUPPLY DATA'!$X:$X,'PV SUPPLY DATA'!$AH:$AH,'CT capacity tracker'!$B14,'PV SUPPLY DATA'!$AG:$AG,'CT capacity tracker'!$A$1,'PV SUPPLY DATA'!$Y:$Y,S$1,'PV SUPPLY DATA'!$AQ:$AQ,"other")+SUMIFS('ESS SUPPLY DATA'!$U:$U,'ESS SUPPLY DATA'!$AF:$AF,'CT capacity tracker'!$B14,'ESS SUPPLY DATA'!$AE:$AE,'CT capacity tracker'!$A$1,'ESS SUPPLY DATA'!$W:$W,'CT capacity tracker'!S$1,'ESS SUPPLY DATA'!$AO:$AO,"cosco")+SUMIFS('ESS SUPPLY DATA'!$U:$U,'ESS SUPPLY DATA'!$AF:$AF,'CT capacity tracker'!$B14,'ESS SUPPLY DATA'!$AE:$AE,'CT capacity tracker'!$A$1,'ESS SUPPLY DATA'!$W:$W,'CT capacity tracker'!S$1,'ESS SUPPLY DATA'!$AO:$AO,"other")</f>
        <v>0</v>
      </c>
      <c r="T17" s="504">
        <f>SUMIFS('PV SUPPLY DATA'!$X:$X,'PV SUPPLY DATA'!$AH:$AH,'CT capacity tracker'!$B14,'PV SUPPLY DATA'!$AG:$AG,'CT capacity tracker'!$A$1,'PV SUPPLY DATA'!$Y:$Y,T$1,'PV SUPPLY DATA'!$AQ:$AQ,"cosco")+SUMIFS('PV SUPPLY DATA'!$X:$X,'PV SUPPLY DATA'!$AH:$AH,'CT capacity tracker'!$B14,'PV SUPPLY DATA'!$AG:$AG,'CT capacity tracker'!$A$1,'PV SUPPLY DATA'!$Y:$Y,T$1,'PV SUPPLY DATA'!$AQ:$AQ,"other")+SUMIFS('ESS SUPPLY DATA'!$U:$U,'ESS SUPPLY DATA'!$AF:$AF,'CT capacity tracker'!$B14,'ESS SUPPLY DATA'!$AE:$AE,'CT capacity tracker'!$A$1,'ESS SUPPLY DATA'!$W:$W,'CT capacity tracker'!T$1,'ESS SUPPLY DATA'!$AO:$AO,"cosco")+SUMIFS('ESS SUPPLY DATA'!$U:$U,'ESS SUPPLY DATA'!$AF:$AF,'CT capacity tracker'!$B14,'ESS SUPPLY DATA'!$AE:$AE,'CT capacity tracker'!$A$1,'ESS SUPPLY DATA'!$W:$W,'CT capacity tracker'!T$1,'ESS SUPPLY DATA'!$AO:$AO,"other")</f>
        <v>0</v>
      </c>
      <c r="U17" s="504">
        <f>SUMIFS('PV SUPPLY DATA'!$X:$X,'PV SUPPLY DATA'!$AH:$AH,'CT capacity tracker'!$B14,'PV SUPPLY DATA'!$AG:$AG,'CT capacity tracker'!$A$1,'PV SUPPLY DATA'!$Y:$Y,U$1,'PV SUPPLY DATA'!$AQ:$AQ,"cosco")+SUMIFS('PV SUPPLY DATA'!$X:$X,'PV SUPPLY DATA'!$AH:$AH,'CT capacity tracker'!$B14,'PV SUPPLY DATA'!$AG:$AG,'CT capacity tracker'!$A$1,'PV SUPPLY DATA'!$Y:$Y,U$1,'PV SUPPLY DATA'!$AQ:$AQ,"other")+SUMIFS('ESS SUPPLY DATA'!$U:$U,'ESS SUPPLY DATA'!$AF:$AF,'CT capacity tracker'!$B14,'ESS SUPPLY DATA'!$AE:$AE,'CT capacity tracker'!$A$1,'ESS SUPPLY DATA'!$W:$W,'CT capacity tracker'!U$1,'ESS SUPPLY DATA'!$AO:$AO,"cosco")+SUMIFS('ESS SUPPLY DATA'!$U:$U,'ESS SUPPLY DATA'!$AF:$AF,'CT capacity tracker'!$B14,'ESS SUPPLY DATA'!$AE:$AE,'CT capacity tracker'!$A$1,'ESS SUPPLY DATA'!$W:$W,'CT capacity tracker'!U$1,'ESS SUPPLY DATA'!$AO:$AO,"other")</f>
        <v>0</v>
      </c>
      <c r="V17" s="504">
        <f>SUMIFS('PV SUPPLY DATA'!$X:$X,'PV SUPPLY DATA'!$AH:$AH,'CT capacity tracker'!$B14,'PV SUPPLY DATA'!$AG:$AG,'CT capacity tracker'!$A$1,'PV SUPPLY DATA'!$Y:$Y,V$1,'PV SUPPLY DATA'!$AQ:$AQ,"cosco")+SUMIFS('PV SUPPLY DATA'!$X:$X,'PV SUPPLY DATA'!$AH:$AH,'CT capacity tracker'!$B14,'PV SUPPLY DATA'!$AG:$AG,'CT capacity tracker'!$A$1,'PV SUPPLY DATA'!$Y:$Y,V$1,'PV SUPPLY DATA'!$AQ:$AQ,"other")+SUMIFS('ESS SUPPLY DATA'!$U:$U,'ESS SUPPLY DATA'!$AF:$AF,'CT capacity tracker'!$B14,'ESS SUPPLY DATA'!$AE:$AE,'CT capacity tracker'!$A$1,'ESS SUPPLY DATA'!$W:$W,'CT capacity tracker'!V$1,'ESS SUPPLY DATA'!$AO:$AO,"cosco")+SUMIFS('ESS SUPPLY DATA'!$U:$U,'ESS SUPPLY DATA'!$AF:$AF,'CT capacity tracker'!$B14,'ESS SUPPLY DATA'!$AE:$AE,'CT capacity tracker'!$A$1,'ESS SUPPLY DATA'!$W:$W,'CT capacity tracker'!V$1,'ESS SUPPLY DATA'!$AO:$AO,"other")</f>
        <v>0</v>
      </c>
      <c r="W17" s="504">
        <f>SUMIFS('PV SUPPLY DATA'!$X:$X,'PV SUPPLY DATA'!$AH:$AH,'CT capacity tracker'!$B14,'PV SUPPLY DATA'!$AG:$AG,'CT capacity tracker'!$A$1,'PV SUPPLY DATA'!$Y:$Y,W$1,'PV SUPPLY DATA'!$AQ:$AQ,"cosco")+SUMIFS('PV SUPPLY DATA'!$X:$X,'PV SUPPLY DATA'!$AH:$AH,'CT capacity tracker'!$B14,'PV SUPPLY DATA'!$AG:$AG,'CT capacity tracker'!$A$1,'PV SUPPLY DATA'!$Y:$Y,W$1,'PV SUPPLY DATA'!$AQ:$AQ,"other")+SUMIFS('ESS SUPPLY DATA'!$U:$U,'ESS SUPPLY DATA'!$AF:$AF,'CT capacity tracker'!$B14,'ESS SUPPLY DATA'!$AE:$AE,'CT capacity tracker'!$A$1,'ESS SUPPLY DATA'!$W:$W,'CT capacity tracker'!W$1,'ESS SUPPLY DATA'!$AO:$AO,"cosco")+SUMIFS('ESS SUPPLY DATA'!$U:$U,'ESS SUPPLY DATA'!$AF:$AF,'CT capacity tracker'!$B14,'ESS SUPPLY DATA'!$AE:$AE,'CT capacity tracker'!$A$1,'ESS SUPPLY DATA'!$W:$W,'CT capacity tracker'!W$1,'ESS SUPPLY DATA'!$AO:$AO,"other")</f>
        <v>0</v>
      </c>
      <c r="X17" s="504">
        <f>SUMIFS('PV SUPPLY DATA'!$X:$X,'PV SUPPLY DATA'!$AH:$AH,'CT capacity tracker'!$B14,'PV SUPPLY DATA'!$AG:$AG,'CT capacity tracker'!$A$1,'PV SUPPLY DATA'!$Y:$Y,X$1,'PV SUPPLY DATA'!$AQ:$AQ,"cosco")+SUMIFS('PV SUPPLY DATA'!$X:$X,'PV SUPPLY DATA'!$AH:$AH,'CT capacity tracker'!$B14,'PV SUPPLY DATA'!$AG:$AG,'CT capacity tracker'!$A$1,'PV SUPPLY DATA'!$Y:$Y,X$1,'PV SUPPLY DATA'!$AQ:$AQ,"other")+SUMIFS('ESS SUPPLY DATA'!$U:$U,'ESS SUPPLY DATA'!$AF:$AF,'CT capacity tracker'!$B14,'ESS SUPPLY DATA'!$AE:$AE,'CT capacity tracker'!$A$1,'ESS SUPPLY DATA'!$W:$W,'CT capacity tracker'!X$1,'ESS SUPPLY DATA'!$AO:$AO,"cosco")+SUMIFS('ESS SUPPLY DATA'!$U:$U,'ESS SUPPLY DATA'!$AF:$AF,'CT capacity tracker'!$B14,'ESS SUPPLY DATA'!$AE:$AE,'CT capacity tracker'!$A$1,'ESS SUPPLY DATA'!$W:$W,'CT capacity tracker'!X$1,'ESS SUPPLY DATA'!$AO:$AO,"other")</f>
        <v>0</v>
      </c>
      <c r="Y17" s="504">
        <f>SUMIFS('PV SUPPLY DATA'!$X:$X,'PV SUPPLY DATA'!$AH:$AH,'CT capacity tracker'!$B14,'PV SUPPLY DATA'!$AG:$AG,'CT capacity tracker'!$A$1,'PV SUPPLY DATA'!$Y:$Y,Y$1,'PV SUPPLY DATA'!$AQ:$AQ,"cosco")+SUMIFS('PV SUPPLY DATA'!$X:$X,'PV SUPPLY DATA'!$AH:$AH,'CT capacity tracker'!$B14,'PV SUPPLY DATA'!$AG:$AG,'CT capacity tracker'!$A$1,'PV SUPPLY DATA'!$Y:$Y,Y$1,'PV SUPPLY DATA'!$AQ:$AQ,"other")+SUMIFS('ESS SUPPLY DATA'!$U:$U,'ESS SUPPLY DATA'!$AF:$AF,'CT capacity tracker'!$B14,'ESS SUPPLY DATA'!$AE:$AE,'CT capacity tracker'!$A$1,'ESS SUPPLY DATA'!$W:$W,'CT capacity tracker'!Y$1,'ESS SUPPLY DATA'!$AO:$AO,"cosco")+SUMIFS('ESS SUPPLY DATA'!$U:$U,'ESS SUPPLY DATA'!$AF:$AF,'CT capacity tracker'!$B14,'ESS SUPPLY DATA'!$AE:$AE,'CT capacity tracker'!$A$1,'ESS SUPPLY DATA'!$W:$W,'CT capacity tracker'!Y$1,'ESS SUPPLY DATA'!$AO:$AO,"other")</f>
        <v>0</v>
      </c>
      <c r="Z17" s="504">
        <f>SUMIFS('PV SUPPLY DATA'!$X:$X,'PV SUPPLY DATA'!$AH:$AH,'CT capacity tracker'!$B14,'PV SUPPLY DATA'!$AG:$AG,'CT capacity tracker'!$A$1,'PV SUPPLY DATA'!$Y:$Y,Z$1,'PV SUPPLY DATA'!$AQ:$AQ,"cosco")+SUMIFS('PV SUPPLY DATA'!$X:$X,'PV SUPPLY DATA'!$AH:$AH,'CT capacity tracker'!$B14,'PV SUPPLY DATA'!$AG:$AG,'CT capacity tracker'!$A$1,'PV SUPPLY DATA'!$Y:$Y,Z$1,'PV SUPPLY DATA'!$AQ:$AQ,"other")+SUMIFS('ESS SUPPLY DATA'!$U:$U,'ESS SUPPLY DATA'!$AF:$AF,'CT capacity tracker'!$B14,'ESS SUPPLY DATA'!$AE:$AE,'CT capacity tracker'!$A$1,'ESS SUPPLY DATA'!$W:$W,'CT capacity tracker'!Z$1,'ESS SUPPLY DATA'!$AO:$AO,"cosco")+SUMIFS('ESS SUPPLY DATA'!$U:$U,'ESS SUPPLY DATA'!$AF:$AF,'CT capacity tracker'!$B14,'ESS SUPPLY DATA'!$AE:$AE,'CT capacity tracker'!$A$1,'ESS SUPPLY DATA'!$W:$W,'CT capacity tracker'!Z$1,'ESS SUPPLY DATA'!$AO:$AO,"other")</f>
        <v>0</v>
      </c>
      <c r="AA17" s="504">
        <f>SUMIFS('PV SUPPLY DATA'!$X:$X,'PV SUPPLY DATA'!$AH:$AH,'CT capacity tracker'!$B14,'PV SUPPLY DATA'!$AG:$AG,'CT capacity tracker'!$A$1,'PV SUPPLY DATA'!$Y:$Y,AA$1,'PV SUPPLY DATA'!$AQ:$AQ,"cosco")+SUMIFS('PV SUPPLY DATA'!$X:$X,'PV SUPPLY DATA'!$AH:$AH,'CT capacity tracker'!$B14,'PV SUPPLY DATA'!$AG:$AG,'CT capacity tracker'!$A$1,'PV SUPPLY DATA'!$Y:$Y,AA$1,'PV SUPPLY DATA'!$AQ:$AQ,"other")+SUMIFS('ESS SUPPLY DATA'!$U:$U,'ESS SUPPLY DATA'!$AF:$AF,'CT capacity tracker'!$B14,'ESS SUPPLY DATA'!$AE:$AE,'CT capacity tracker'!$A$1,'ESS SUPPLY DATA'!$W:$W,'CT capacity tracker'!AA$1,'ESS SUPPLY DATA'!$AO:$AO,"cosco")+SUMIFS('ESS SUPPLY DATA'!$U:$U,'ESS SUPPLY DATA'!$AF:$AF,'CT capacity tracker'!$B14,'ESS SUPPLY DATA'!$AE:$AE,'CT capacity tracker'!$A$1,'ESS SUPPLY DATA'!$W:$W,'CT capacity tracker'!AA$1,'ESS SUPPLY DATA'!$AO:$AO,"other")</f>
        <v>10</v>
      </c>
      <c r="AB17" s="504">
        <f>SUMIFS('PV SUPPLY DATA'!$X:$X,'PV SUPPLY DATA'!$AH:$AH,'CT capacity tracker'!$B14,'PV SUPPLY DATA'!$AG:$AG,'CT capacity tracker'!$A$1,'PV SUPPLY DATA'!$Y:$Y,AB$1,'PV SUPPLY DATA'!$AQ:$AQ,"cosco")+SUMIFS('PV SUPPLY DATA'!$X:$X,'PV SUPPLY DATA'!$AH:$AH,'CT capacity tracker'!$B14,'PV SUPPLY DATA'!$AG:$AG,'CT capacity tracker'!$A$1,'PV SUPPLY DATA'!$Y:$Y,AB$1,'PV SUPPLY DATA'!$AQ:$AQ,"other")+SUMIFS('ESS SUPPLY DATA'!$U:$U,'ESS SUPPLY DATA'!$AF:$AF,'CT capacity tracker'!$B14,'ESS SUPPLY DATA'!$AE:$AE,'CT capacity tracker'!$A$1,'ESS SUPPLY DATA'!$W:$W,'CT capacity tracker'!AB$1,'ESS SUPPLY DATA'!$AO:$AO,"cosco")+SUMIFS('ESS SUPPLY DATA'!$U:$U,'ESS SUPPLY DATA'!$AF:$AF,'CT capacity tracker'!$B14,'ESS SUPPLY DATA'!$AE:$AE,'CT capacity tracker'!$A$1,'ESS SUPPLY DATA'!$W:$W,'CT capacity tracker'!AB$1,'ESS SUPPLY DATA'!$AO:$AO,"other")</f>
        <v>0</v>
      </c>
      <c r="AC17" s="504">
        <f>SUMIFS('PV SUPPLY DATA'!$X:$X,'PV SUPPLY DATA'!$AH:$AH,'CT capacity tracker'!$B14,'PV SUPPLY DATA'!$AG:$AG,'CT capacity tracker'!$A$1,'PV SUPPLY DATA'!$Y:$Y,AC$1,'PV SUPPLY DATA'!$AQ:$AQ,"cosco")+SUMIFS('PV SUPPLY DATA'!$X:$X,'PV SUPPLY DATA'!$AH:$AH,'CT capacity tracker'!$B14,'PV SUPPLY DATA'!$AG:$AG,'CT capacity tracker'!$A$1,'PV SUPPLY DATA'!$Y:$Y,AC$1,'PV SUPPLY DATA'!$AQ:$AQ,"other")+SUMIFS('ESS SUPPLY DATA'!$U:$U,'ESS SUPPLY DATA'!$AF:$AF,'CT capacity tracker'!$B14,'ESS SUPPLY DATA'!$AE:$AE,'CT capacity tracker'!$A$1,'ESS SUPPLY DATA'!$W:$W,'CT capacity tracker'!AC$1,'ESS SUPPLY DATA'!$AO:$AO,"cosco")+SUMIFS('ESS SUPPLY DATA'!$U:$U,'ESS SUPPLY DATA'!$AF:$AF,'CT capacity tracker'!$B14,'ESS SUPPLY DATA'!$AE:$AE,'CT capacity tracker'!$A$1,'ESS SUPPLY DATA'!$W:$W,'CT capacity tracker'!AC$1,'ESS SUPPLY DATA'!$AO:$AO,"other")</f>
        <v>0</v>
      </c>
      <c r="AD17" s="504">
        <f>SUMIFS('PV SUPPLY DATA'!$X:$X,'PV SUPPLY DATA'!$AH:$AH,'CT capacity tracker'!$B14,'PV SUPPLY DATA'!$AG:$AG,'CT capacity tracker'!$A$1,'PV SUPPLY DATA'!$Y:$Y,AD$1,'PV SUPPLY DATA'!$AQ:$AQ,"cosco")+SUMIFS('PV SUPPLY DATA'!$X:$X,'PV SUPPLY DATA'!$AH:$AH,'CT capacity tracker'!$B14,'PV SUPPLY DATA'!$AG:$AG,'CT capacity tracker'!$A$1,'PV SUPPLY DATA'!$Y:$Y,AD$1,'PV SUPPLY DATA'!$AQ:$AQ,"other")+SUMIFS('ESS SUPPLY DATA'!$U:$U,'ESS SUPPLY DATA'!$AF:$AF,'CT capacity tracker'!$B14,'ESS SUPPLY DATA'!$AE:$AE,'CT capacity tracker'!$A$1,'ESS SUPPLY DATA'!$W:$W,'CT capacity tracker'!AD$1,'ESS SUPPLY DATA'!$AO:$AO,"cosco")+SUMIFS('ESS SUPPLY DATA'!$U:$U,'ESS SUPPLY DATA'!$AF:$AF,'CT capacity tracker'!$B14,'ESS SUPPLY DATA'!$AE:$AE,'CT capacity tracker'!$A$1,'ESS SUPPLY DATA'!$W:$W,'CT capacity tracker'!AD$1,'ESS SUPPLY DATA'!$AO:$AO,"other")</f>
        <v>0</v>
      </c>
      <c r="AE17" s="504">
        <f>SUMIFS('PV SUPPLY DATA'!$X:$X,'PV SUPPLY DATA'!$AH:$AH,'CT capacity tracker'!$B14,'PV SUPPLY DATA'!$AG:$AG,'CT capacity tracker'!$A$1,'PV SUPPLY DATA'!$Y:$Y,AE$1,'PV SUPPLY DATA'!$AQ:$AQ,"cosco")+SUMIFS('PV SUPPLY DATA'!$X:$X,'PV SUPPLY DATA'!$AH:$AH,'CT capacity tracker'!$B14,'PV SUPPLY DATA'!$AG:$AG,'CT capacity tracker'!$A$1,'PV SUPPLY DATA'!$Y:$Y,AE$1,'PV SUPPLY DATA'!$AQ:$AQ,"other")+SUMIFS('ESS SUPPLY DATA'!$U:$U,'ESS SUPPLY DATA'!$AF:$AF,'CT capacity tracker'!$B14,'ESS SUPPLY DATA'!$AE:$AE,'CT capacity tracker'!$A$1,'ESS SUPPLY DATA'!$W:$W,'CT capacity tracker'!AE$1,'ESS SUPPLY DATA'!$AO:$AO,"cosco")+SUMIFS('ESS SUPPLY DATA'!$U:$U,'ESS SUPPLY DATA'!$AF:$AF,'CT capacity tracker'!$B14,'ESS SUPPLY DATA'!$AE:$AE,'CT capacity tracker'!$A$1,'ESS SUPPLY DATA'!$W:$W,'CT capacity tracker'!AE$1,'ESS SUPPLY DATA'!$AO:$AO,"other")</f>
        <v>0</v>
      </c>
      <c r="AF17" s="504">
        <f>SUMIFS('PV SUPPLY DATA'!$X:$X,'PV SUPPLY DATA'!$AH:$AH,'CT capacity tracker'!$B14,'PV SUPPLY DATA'!$AG:$AG,'CT capacity tracker'!$A$1,'PV SUPPLY DATA'!$Y:$Y,AF$1,'PV SUPPLY DATA'!$AQ:$AQ,"cosco")+SUMIFS('PV SUPPLY DATA'!$X:$X,'PV SUPPLY DATA'!$AH:$AH,'CT capacity tracker'!$B14,'PV SUPPLY DATA'!$AG:$AG,'CT capacity tracker'!$A$1,'PV SUPPLY DATA'!$Y:$Y,AF$1,'PV SUPPLY DATA'!$AQ:$AQ,"other")+SUMIFS('ESS SUPPLY DATA'!$U:$U,'ESS SUPPLY DATA'!$AF:$AF,'CT capacity tracker'!$B14,'ESS SUPPLY DATA'!$AE:$AE,'CT capacity tracker'!$A$1,'ESS SUPPLY DATA'!$W:$W,'CT capacity tracker'!AF$1,'ESS SUPPLY DATA'!$AO:$AO,"cosco")+SUMIFS('ESS SUPPLY DATA'!$U:$U,'ESS SUPPLY DATA'!$AF:$AF,'CT capacity tracker'!$B14,'ESS SUPPLY DATA'!$AE:$AE,'CT capacity tracker'!$A$1,'ESS SUPPLY DATA'!$W:$W,'CT capacity tracker'!AF$1,'ESS SUPPLY DATA'!$AO:$AO,"other")</f>
        <v>0</v>
      </c>
      <c r="AG17" s="504">
        <f>SUMIFS('PV SUPPLY DATA'!$X:$X,'PV SUPPLY DATA'!$AH:$AH,'CT capacity tracker'!$B14,'PV SUPPLY DATA'!$AG:$AG,'CT capacity tracker'!$A$1,'PV SUPPLY DATA'!$Y:$Y,AG$1,'PV SUPPLY DATA'!$AQ:$AQ,"cosco")+SUMIFS('PV SUPPLY DATA'!$X:$X,'PV SUPPLY DATA'!$AH:$AH,'CT capacity tracker'!$B14,'PV SUPPLY DATA'!$AG:$AG,'CT capacity tracker'!$A$1,'PV SUPPLY DATA'!$Y:$Y,AG$1,'PV SUPPLY DATA'!$AQ:$AQ,"other")+SUMIFS('ESS SUPPLY DATA'!$U:$U,'ESS SUPPLY DATA'!$AF:$AF,'CT capacity tracker'!$B14,'ESS SUPPLY DATA'!$AE:$AE,'CT capacity tracker'!$A$1,'ESS SUPPLY DATA'!$W:$W,'CT capacity tracker'!AG$1,'ESS SUPPLY DATA'!$AO:$AO,"cosco")+SUMIFS('ESS SUPPLY DATA'!$U:$U,'ESS SUPPLY DATA'!$AF:$AF,'CT capacity tracker'!$B14,'ESS SUPPLY DATA'!$AE:$AE,'CT capacity tracker'!$A$1,'ESS SUPPLY DATA'!$W:$W,'CT capacity tracker'!AG$1,'ESS SUPPLY DATA'!$AO:$AO,"other")</f>
        <v>0</v>
      </c>
      <c r="AH17" s="504">
        <f>SUMIFS('PV SUPPLY DATA'!$X:$X,'PV SUPPLY DATA'!$AH:$AH,'CT capacity tracker'!$B14,'PV SUPPLY DATA'!$AG:$AG,'CT capacity tracker'!$A$1,'PV SUPPLY DATA'!$Y:$Y,AH$1,'PV SUPPLY DATA'!$AQ:$AQ,"cosco")+SUMIFS('PV SUPPLY DATA'!$X:$X,'PV SUPPLY DATA'!$AH:$AH,'CT capacity tracker'!$B14,'PV SUPPLY DATA'!$AG:$AG,'CT capacity tracker'!$A$1,'PV SUPPLY DATA'!$Y:$Y,AH$1,'PV SUPPLY DATA'!$AQ:$AQ,"other")+SUMIFS('ESS SUPPLY DATA'!$U:$U,'ESS SUPPLY DATA'!$AF:$AF,'CT capacity tracker'!$B14,'ESS SUPPLY DATA'!$AE:$AE,'CT capacity tracker'!$A$1,'ESS SUPPLY DATA'!$W:$W,'CT capacity tracker'!AH$1,'ESS SUPPLY DATA'!$AO:$AO,"cosco")+SUMIFS('ESS SUPPLY DATA'!$U:$U,'ESS SUPPLY DATA'!$AF:$AF,'CT capacity tracker'!$B14,'ESS SUPPLY DATA'!$AE:$AE,'CT capacity tracker'!$A$1,'ESS SUPPLY DATA'!$W:$W,'CT capacity tracker'!AH$1,'ESS SUPPLY DATA'!$AO:$AO,"other")</f>
        <v>0</v>
      </c>
      <c r="AI17" s="504">
        <f>SUMIFS('PV SUPPLY DATA'!$X:$X,'PV SUPPLY DATA'!$AH:$AH,'CT capacity tracker'!$B14,'PV SUPPLY DATA'!$AG:$AG,'CT capacity tracker'!$A$1,'PV SUPPLY DATA'!$Y:$Y,AI$1,'PV SUPPLY DATA'!$AQ:$AQ,"cosco")+SUMIFS('PV SUPPLY DATA'!$X:$X,'PV SUPPLY DATA'!$AH:$AH,'CT capacity tracker'!$B14,'PV SUPPLY DATA'!$AG:$AG,'CT capacity tracker'!$A$1,'PV SUPPLY DATA'!$Y:$Y,AI$1,'PV SUPPLY DATA'!$AQ:$AQ,"other")+SUMIFS('ESS SUPPLY DATA'!$U:$U,'ESS SUPPLY DATA'!$AF:$AF,'CT capacity tracker'!$B14,'ESS SUPPLY DATA'!$AE:$AE,'CT capacity tracker'!$A$1,'ESS SUPPLY DATA'!$W:$W,'CT capacity tracker'!AI$1,'ESS SUPPLY DATA'!$AO:$AO,"cosco")+SUMIFS('ESS SUPPLY DATA'!$U:$U,'ESS SUPPLY DATA'!$AF:$AF,'CT capacity tracker'!$B14,'ESS SUPPLY DATA'!$AE:$AE,'CT capacity tracker'!$A$1,'ESS SUPPLY DATA'!$W:$W,'CT capacity tracker'!AI$1,'ESS SUPPLY DATA'!$AO:$AO,"other")</f>
        <v>0</v>
      </c>
      <c r="AJ17" s="504">
        <f>SUMIFS('PV SUPPLY DATA'!$X:$X,'PV SUPPLY DATA'!$AH:$AH,'CT capacity tracker'!$B14,'PV SUPPLY DATA'!$AG:$AG,'CT capacity tracker'!$A$1,'PV SUPPLY DATA'!$Y:$Y,AJ$1,'PV SUPPLY DATA'!$AQ:$AQ,"cosco")+SUMIFS('PV SUPPLY DATA'!$X:$X,'PV SUPPLY DATA'!$AH:$AH,'CT capacity tracker'!$B14,'PV SUPPLY DATA'!$AG:$AG,'CT capacity tracker'!$A$1,'PV SUPPLY DATA'!$Y:$Y,AJ$1,'PV SUPPLY DATA'!$AQ:$AQ,"other")+SUMIFS('ESS SUPPLY DATA'!$U:$U,'ESS SUPPLY DATA'!$AF:$AF,'CT capacity tracker'!$B14,'ESS SUPPLY DATA'!$AE:$AE,'CT capacity tracker'!$A$1,'ESS SUPPLY DATA'!$W:$W,'CT capacity tracker'!AJ$1,'ESS SUPPLY DATA'!$AO:$AO,"cosco")+SUMIFS('ESS SUPPLY DATA'!$U:$U,'ESS SUPPLY DATA'!$AF:$AF,'CT capacity tracker'!$B14,'ESS SUPPLY DATA'!$AE:$AE,'CT capacity tracker'!$A$1,'ESS SUPPLY DATA'!$W:$W,'CT capacity tracker'!AJ$1,'ESS SUPPLY DATA'!$AO:$AO,"other")</f>
        <v>0</v>
      </c>
      <c r="AK17" s="511"/>
      <c r="AL17" s="511"/>
      <c r="AM17" s="696">
        <f>SUM(E17:X17)</f>
        <v>11</v>
      </c>
      <c r="AN17" s="503"/>
      <c r="AO17" s="506"/>
      <c r="AP17" s="506"/>
      <c r="AQ17" s="506"/>
      <c r="AR17" s="506"/>
      <c r="AS17" s="506"/>
      <c r="AT17" s="506"/>
    </row>
    <row r="18" spans="1:46" ht="13">
      <c r="A18" s="1517"/>
      <c r="B18" s="1516" t="s">
        <v>888</v>
      </c>
      <c r="C18" s="503" t="s">
        <v>4400</v>
      </c>
      <c r="D18" s="504">
        <f>SUMIFS('PV SUPPLY DATA'!$X:$X,'PV SUPPLY DATA'!$AH:$AH,'CT capacity tracker'!$B18,'PV SUPPLY DATA'!$AG:$AG,'CT capacity tracker'!$A$1,'PV SUPPLY DATA'!$Z:$Z,'CT capacity tracker'!D$1)+SUMIFS('ESS SUPPLY DATA'!$U:$U,'ESS SUPPLY DATA'!$AF:$AF,'CT capacity tracker'!$B18,'ESS SUPPLY DATA'!$AE:$AE,'CT capacity tracker'!$A$1,'ESS SUPPLY DATA'!$X:$X,'CT capacity tracker'!D$1)</f>
        <v>10</v>
      </c>
      <c r="E18" s="504">
        <f>SUMIFS('PV SUPPLY DATA'!$X:$X,'PV SUPPLY DATA'!$AH:$AH,'CT capacity tracker'!$B18,'PV SUPPLY DATA'!$AG:$AG,'CT capacity tracker'!$A$1,'PV SUPPLY DATA'!$Y:$Y,'CT capacity tracker'!E$1)+SUMIFS('ESS SUPPLY DATA'!$U:$U,'ESS SUPPLY DATA'!$AF:$AF,'CT capacity tracker'!$B18,'ESS SUPPLY DATA'!$AE:$AE,'CT capacity tracker'!$A$1,'ESS SUPPLY DATA'!$W:$W,'CT capacity tracker'!E$1)</f>
        <v>0</v>
      </c>
      <c r="F18" s="504">
        <f>SUMIFS('PV SUPPLY DATA'!$X:$X,'PV SUPPLY DATA'!$AH:$AH,'CT capacity tracker'!$B18,'PV SUPPLY DATA'!$AG:$AG,'CT capacity tracker'!$A$1,'PV SUPPLY DATA'!$Y:$Y,'CT capacity tracker'!F$1)+SUMIFS('ESS SUPPLY DATA'!$U:$U,'ESS SUPPLY DATA'!$AF:$AF,'CT capacity tracker'!$B18,'ESS SUPPLY DATA'!$AE:$AE,'CT capacity tracker'!$A$1,'ESS SUPPLY DATA'!$W:$W,'CT capacity tracker'!F$1)</f>
        <v>0</v>
      </c>
      <c r="G18" s="504">
        <f>SUMIFS('PV SUPPLY DATA'!$X:$X,'PV SUPPLY DATA'!$AH:$AH,'CT capacity tracker'!$B18,'PV SUPPLY DATA'!$AG:$AG,'CT capacity tracker'!$A$1,'PV SUPPLY DATA'!$Y:$Y,'CT capacity tracker'!G$1)+SUMIFS('ESS SUPPLY DATA'!$U:$U,'ESS SUPPLY DATA'!$AF:$AF,'CT capacity tracker'!$B18,'ESS SUPPLY DATA'!$AE:$AE,'CT capacity tracker'!$A$1,'ESS SUPPLY DATA'!$W:$W,'CT capacity tracker'!G$1)</f>
        <v>0</v>
      </c>
      <c r="H18" s="504">
        <f>SUMIFS('PV SUPPLY DATA'!$X:$X,'PV SUPPLY DATA'!$AH:$AH,'CT capacity tracker'!$B18,'PV SUPPLY DATA'!$AG:$AG,'CT capacity tracker'!$A$1,'PV SUPPLY DATA'!$Y:$Y,'CT capacity tracker'!H$1)+SUMIFS('ESS SUPPLY DATA'!$U:$U,'ESS SUPPLY DATA'!$AF:$AF,'CT capacity tracker'!$B18,'ESS SUPPLY DATA'!$AE:$AE,'CT capacity tracker'!$A$1,'ESS SUPPLY DATA'!$W:$W,'CT capacity tracker'!H$1)</f>
        <v>0</v>
      </c>
      <c r="I18" s="504">
        <f>SUMIFS('PV SUPPLY DATA'!$X:$X,'PV SUPPLY DATA'!$AH:$AH,'CT capacity tracker'!$B18,'PV SUPPLY DATA'!$AG:$AG,'CT capacity tracker'!$A$1,'PV SUPPLY DATA'!$Y:$Y,'CT capacity tracker'!I$1)+SUMIFS('ESS SUPPLY DATA'!$U:$U,'ESS SUPPLY DATA'!$AF:$AF,'CT capacity tracker'!$B18,'ESS SUPPLY DATA'!$AE:$AE,'CT capacity tracker'!$A$1,'ESS SUPPLY DATA'!$W:$W,'CT capacity tracker'!I$1)</f>
        <v>0</v>
      </c>
      <c r="J18" s="504">
        <f>SUMIFS('PV SUPPLY DATA'!$X:$X,'PV SUPPLY DATA'!$AH:$AH,'CT capacity tracker'!$B18,'PV SUPPLY DATA'!$AG:$AG,'CT capacity tracker'!$A$1,'PV SUPPLY DATA'!$Y:$Y,'CT capacity tracker'!J$1)+SUMIFS('ESS SUPPLY DATA'!$U:$U,'ESS SUPPLY DATA'!$AF:$AF,'CT capacity tracker'!$B18,'ESS SUPPLY DATA'!$AE:$AE,'CT capacity tracker'!$A$1,'ESS SUPPLY DATA'!$W:$W,'CT capacity tracker'!J$1)</f>
        <v>0</v>
      </c>
      <c r="K18" s="504">
        <f>SUMIFS('PV SUPPLY DATA'!$X:$X,'PV SUPPLY DATA'!$AH:$AH,'CT capacity tracker'!$B18,'PV SUPPLY DATA'!$AG:$AG,'CT capacity tracker'!$A$1,'PV SUPPLY DATA'!$Y:$Y,'CT capacity tracker'!K$1)+SUMIFS('ESS SUPPLY DATA'!$U:$U,'ESS SUPPLY DATA'!$AF:$AF,'CT capacity tracker'!$B18,'ESS SUPPLY DATA'!$AE:$AE,'CT capacity tracker'!$A$1,'ESS SUPPLY DATA'!$W:$W,'CT capacity tracker'!K$1)</f>
        <v>3</v>
      </c>
      <c r="L18" s="504">
        <f>SUMIFS('PV SUPPLY DATA'!$X:$X,'PV SUPPLY DATA'!$AH:$AH,'CT capacity tracker'!$B18,'PV SUPPLY DATA'!$AG:$AG,'CT capacity tracker'!$A$1,'PV SUPPLY DATA'!$Y:$Y,'CT capacity tracker'!L$1)+SUMIFS('ESS SUPPLY DATA'!$U:$U,'ESS SUPPLY DATA'!$AF:$AF,'CT capacity tracker'!$B18,'ESS SUPPLY DATA'!$AE:$AE,'CT capacity tracker'!$A$1,'ESS SUPPLY DATA'!$W:$W,'CT capacity tracker'!L$1)</f>
        <v>4</v>
      </c>
      <c r="M18" s="504">
        <f>SUMIFS('PV SUPPLY DATA'!$X:$X,'PV SUPPLY DATA'!$AH:$AH,'CT capacity tracker'!$B18,'PV SUPPLY DATA'!$AG:$AG,'CT capacity tracker'!$A$1,'PV SUPPLY DATA'!$Y:$Y,'CT capacity tracker'!M$1)+SUMIFS('ESS SUPPLY DATA'!$U:$U,'ESS SUPPLY DATA'!$AF:$AF,'CT capacity tracker'!$B18,'ESS SUPPLY DATA'!$AE:$AE,'CT capacity tracker'!$A$1,'ESS SUPPLY DATA'!$W:$W,'CT capacity tracker'!M$1)</f>
        <v>0</v>
      </c>
      <c r="N18" s="504">
        <f>SUMIFS('PV SUPPLY DATA'!$X:$X,'PV SUPPLY DATA'!$AH:$AH,'CT capacity tracker'!$B18,'PV SUPPLY DATA'!$AG:$AG,'CT capacity tracker'!$A$1,'PV SUPPLY DATA'!$Y:$Y,'CT capacity tracker'!N$1)+SUMIFS('ESS SUPPLY DATA'!$U:$U,'ESS SUPPLY DATA'!$AF:$AF,'CT capacity tracker'!$B18,'ESS SUPPLY DATA'!$AE:$AE,'CT capacity tracker'!$A$1,'ESS SUPPLY DATA'!$W:$W,'CT capacity tracker'!N$1)</f>
        <v>0</v>
      </c>
      <c r="O18" s="504">
        <f>SUMIFS('PV SUPPLY DATA'!$X:$X,'PV SUPPLY DATA'!$AH:$AH,'CT capacity tracker'!$B18,'PV SUPPLY DATA'!$AG:$AG,'CT capacity tracker'!$A$1,'PV SUPPLY DATA'!$Y:$Y,'CT capacity tracker'!O$1)+SUMIFS('ESS SUPPLY DATA'!$U:$U,'ESS SUPPLY DATA'!$AF:$AF,'CT capacity tracker'!$B18,'ESS SUPPLY DATA'!$AE:$AE,'CT capacity tracker'!$A$1,'ESS SUPPLY DATA'!$W:$W,'CT capacity tracker'!O$1)</f>
        <v>0</v>
      </c>
      <c r="P18" s="504">
        <f>SUMIFS('PV SUPPLY DATA'!$X:$X,'PV SUPPLY DATA'!$AH:$AH,'CT capacity tracker'!$B18,'PV SUPPLY DATA'!$AG:$AG,'CT capacity tracker'!$A$1,'PV SUPPLY DATA'!$Y:$Y,'CT capacity tracker'!P$1)+SUMIFS('ESS SUPPLY DATA'!$U:$U,'ESS SUPPLY DATA'!$AF:$AF,'CT capacity tracker'!$B18,'ESS SUPPLY DATA'!$AE:$AE,'CT capacity tracker'!$A$1,'ESS SUPPLY DATA'!$W:$W,'CT capacity tracker'!P$1)</f>
        <v>4</v>
      </c>
      <c r="Q18" s="504">
        <f>SUMIFS('PV SUPPLY DATA'!$X:$X,'PV SUPPLY DATA'!$AH:$AH,'CT capacity tracker'!$B18,'PV SUPPLY DATA'!$AG:$AG,'CT capacity tracker'!$A$1,'PV SUPPLY DATA'!$Y:$Y,'CT capacity tracker'!Q$1)+SUMIFS('ESS SUPPLY DATA'!$U:$U,'ESS SUPPLY DATA'!$AF:$AF,'CT capacity tracker'!$B18,'ESS SUPPLY DATA'!$AE:$AE,'CT capacity tracker'!$A$1,'ESS SUPPLY DATA'!$W:$W,'CT capacity tracker'!Q$1)</f>
        <v>0</v>
      </c>
      <c r="R18" s="504">
        <f>SUMIFS('PV SUPPLY DATA'!$X:$X,'PV SUPPLY DATA'!$AH:$AH,'CT capacity tracker'!$B18,'PV SUPPLY DATA'!$AG:$AG,'CT capacity tracker'!$A$1,'PV SUPPLY DATA'!$Y:$Y,'CT capacity tracker'!R$1)+SUMIFS('ESS SUPPLY DATA'!$U:$U,'ESS SUPPLY DATA'!$AF:$AF,'CT capacity tracker'!$B18,'ESS SUPPLY DATA'!$AE:$AE,'CT capacity tracker'!$A$1,'ESS SUPPLY DATA'!$W:$W,'CT capacity tracker'!R$1)</f>
        <v>0</v>
      </c>
      <c r="S18" s="504">
        <f>SUMIFS('PV SUPPLY DATA'!$X:$X,'PV SUPPLY DATA'!$AH:$AH,'CT capacity tracker'!$B18,'PV SUPPLY DATA'!$AG:$AG,'CT capacity tracker'!$A$1,'PV SUPPLY DATA'!$Y:$Y,'CT capacity tracker'!S$1)+SUMIFS('ESS SUPPLY DATA'!$U:$U,'ESS SUPPLY DATA'!$AF:$AF,'CT capacity tracker'!$B18,'ESS SUPPLY DATA'!$AE:$AE,'CT capacity tracker'!$A$1,'ESS SUPPLY DATA'!$W:$W,'CT capacity tracker'!S$1)</f>
        <v>0</v>
      </c>
      <c r="T18" s="504">
        <f>SUMIFS('PV SUPPLY DATA'!$X:$X,'PV SUPPLY DATA'!$AH:$AH,'CT capacity tracker'!$B18,'PV SUPPLY DATA'!$AG:$AG,'CT capacity tracker'!$A$1,'PV SUPPLY DATA'!$Y:$Y,'CT capacity tracker'!T$1)+SUMIFS('ESS SUPPLY DATA'!$U:$U,'ESS SUPPLY DATA'!$AF:$AF,'CT capacity tracker'!$B18,'ESS SUPPLY DATA'!$AE:$AE,'CT capacity tracker'!$A$1,'ESS SUPPLY DATA'!$W:$W,'CT capacity tracker'!T$1)</f>
        <v>0</v>
      </c>
      <c r="U18" s="504">
        <f>SUMIFS('PV SUPPLY DATA'!$X:$X,'PV SUPPLY DATA'!$AH:$AH,'CT capacity tracker'!$B18,'PV SUPPLY DATA'!$AG:$AG,'CT capacity tracker'!$A$1,'PV SUPPLY DATA'!$Y:$Y,'CT capacity tracker'!U$1)+SUMIFS('ESS SUPPLY DATA'!$U:$U,'ESS SUPPLY DATA'!$AF:$AF,'CT capacity tracker'!$B18,'ESS SUPPLY DATA'!$AE:$AE,'CT capacity tracker'!$A$1,'ESS SUPPLY DATA'!$W:$W,'CT capacity tracker'!U$1)</f>
        <v>5</v>
      </c>
      <c r="V18" s="504">
        <f>SUMIFS('PV SUPPLY DATA'!$X:$X,'PV SUPPLY DATA'!$AH:$AH,'CT capacity tracker'!$B18,'PV SUPPLY DATA'!$AG:$AG,'CT capacity tracker'!$A$1,'PV SUPPLY DATA'!$Y:$Y,'CT capacity tracker'!V$1)+SUMIFS('ESS SUPPLY DATA'!$U:$U,'ESS SUPPLY DATA'!$AF:$AF,'CT capacity tracker'!$B18,'ESS SUPPLY DATA'!$AE:$AE,'CT capacity tracker'!$A$1,'ESS SUPPLY DATA'!$W:$W,'CT capacity tracker'!V$1)</f>
        <v>5</v>
      </c>
      <c r="W18" s="504">
        <f>SUMIFS('PV SUPPLY DATA'!$X:$X,'PV SUPPLY DATA'!$AH:$AH,'CT capacity tracker'!$B18,'PV SUPPLY DATA'!$AG:$AG,'CT capacity tracker'!$A$1,'PV SUPPLY DATA'!$Y:$Y,'CT capacity tracker'!W$1)+SUMIFS('ESS SUPPLY DATA'!$U:$U,'ESS SUPPLY DATA'!$AF:$AF,'CT capacity tracker'!$B18,'ESS SUPPLY DATA'!$AE:$AE,'CT capacity tracker'!$A$1,'ESS SUPPLY DATA'!$W:$W,'CT capacity tracker'!W$1)</f>
        <v>5</v>
      </c>
      <c r="X18" s="504">
        <f>SUMIFS('PV SUPPLY DATA'!$X:$X,'PV SUPPLY DATA'!$AH:$AH,'CT capacity tracker'!$B18,'PV SUPPLY DATA'!$AG:$AG,'CT capacity tracker'!$A$1,'PV SUPPLY DATA'!$Y:$Y,'CT capacity tracker'!X$1)+SUMIFS('ESS SUPPLY DATA'!$U:$U,'ESS SUPPLY DATA'!$AF:$AF,'CT capacity tracker'!$B18,'ESS SUPPLY DATA'!$AE:$AE,'CT capacity tracker'!$A$1,'ESS SUPPLY DATA'!$W:$W,'CT capacity tracker'!X$1)</f>
        <v>0</v>
      </c>
      <c r="Y18" s="504">
        <f>SUMIFS('PV SUPPLY DATA'!$X:$X,'PV SUPPLY DATA'!$AH:$AH,'CT capacity tracker'!$B18,'PV SUPPLY DATA'!$AG:$AG,'CT capacity tracker'!$A$1,'PV SUPPLY DATA'!$Y:$Y,'CT capacity tracker'!Y$1)+SUMIFS('ESS SUPPLY DATA'!$U:$U,'ESS SUPPLY DATA'!$AF:$AF,'CT capacity tracker'!$B18,'ESS SUPPLY DATA'!$AE:$AE,'CT capacity tracker'!$A$1,'ESS SUPPLY DATA'!$W:$W,'CT capacity tracker'!Y$1)</f>
        <v>0</v>
      </c>
      <c r="Z18" s="504">
        <f>SUMIFS('PV SUPPLY DATA'!$X:$X,'PV SUPPLY DATA'!$AH:$AH,'CT capacity tracker'!$B18,'PV SUPPLY DATA'!$AG:$AG,'CT capacity tracker'!$A$1,'PV SUPPLY DATA'!$Y:$Y,'CT capacity tracker'!Z$1)+SUMIFS('ESS SUPPLY DATA'!$U:$U,'ESS SUPPLY DATA'!$AF:$AF,'CT capacity tracker'!$B18,'ESS SUPPLY DATA'!$AE:$AE,'CT capacity tracker'!$A$1,'ESS SUPPLY DATA'!$W:$W,'CT capacity tracker'!Z$1)</f>
        <v>0</v>
      </c>
      <c r="AA18" s="504">
        <f>SUMIFS('PV SUPPLY DATA'!$X:$X,'PV SUPPLY DATA'!$AH:$AH,'CT capacity tracker'!$B18,'PV SUPPLY DATA'!$AG:$AG,'CT capacity tracker'!$A$1,'PV SUPPLY DATA'!$Y:$Y,'CT capacity tracker'!AA$1)+SUMIFS('ESS SUPPLY DATA'!$U:$U,'ESS SUPPLY DATA'!$AF:$AF,'CT capacity tracker'!$B18,'ESS SUPPLY DATA'!$AE:$AE,'CT capacity tracker'!$A$1,'ESS SUPPLY DATA'!$W:$W,'CT capacity tracker'!AA$1)</f>
        <v>0</v>
      </c>
      <c r="AB18" s="504">
        <f>SUMIFS('PV SUPPLY DATA'!$X:$X,'PV SUPPLY DATA'!$AH:$AH,'CT capacity tracker'!$B18,'PV SUPPLY DATA'!$AG:$AG,'CT capacity tracker'!$A$1,'PV SUPPLY DATA'!$Y:$Y,'CT capacity tracker'!AB$1)+SUMIFS('ESS SUPPLY DATA'!$U:$U,'ESS SUPPLY DATA'!$AF:$AF,'CT capacity tracker'!$B18,'ESS SUPPLY DATA'!$AE:$AE,'CT capacity tracker'!$A$1,'ESS SUPPLY DATA'!$W:$W,'CT capacity tracker'!AB$1)</f>
        <v>0</v>
      </c>
      <c r="AC18" s="504">
        <f>SUMIFS('PV SUPPLY DATA'!$X:$X,'PV SUPPLY DATA'!$AH:$AH,'CT capacity tracker'!$B18,'PV SUPPLY DATA'!$AG:$AG,'CT capacity tracker'!$A$1,'PV SUPPLY DATA'!$Y:$Y,'CT capacity tracker'!AC$1)+SUMIFS('ESS SUPPLY DATA'!$U:$U,'ESS SUPPLY DATA'!$AF:$AF,'CT capacity tracker'!$B18,'ESS SUPPLY DATA'!$AE:$AE,'CT capacity tracker'!$A$1,'ESS SUPPLY DATA'!$W:$W,'CT capacity tracker'!AC$1)</f>
        <v>0</v>
      </c>
      <c r="AD18" s="504">
        <f>SUMIFS('PV SUPPLY DATA'!$X:$X,'PV SUPPLY DATA'!$AH:$AH,'CT capacity tracker'!$B18,'PV SUPPLY DATA'!$AG:$AG,'CT capacity tracker'!$A$1,'PV SUPPLY DATA'!$Y:$Y,'CT capacity tracker'!AD$1)+SUMIFS('ESS SUPPLY DATA'!$U:$U,'ESS SUPPLY DATA'!$AF:$AF,'CT capacity tracker'!$B18,'ESS SUPPLY DATA'!$AE:$AE,'CT capacity tracker'!$A$1,'ESS SUPPLY DATA'!$W:$W,'CT capacity tracker'!AD$1)</f>
        <v>0</v>
      </c>
      <c r="AE18" s="504">
        <f>SUMIFS('PV SUPPLY DATA'!$X:$X,'PV SUPPLY DATA'!$AH:$AH,'CT capacity tracker'!$B18,'PV SUPPLY DATA'!$AG:$AG,'CT capacity tracker'!$A$1,'PV SUPPLY DATA'!$Y:$Y,'CT capacity tracker'!AE$1)+SUMIFS('ESS SUPPLY DATA'!$U:$U,'ESS SUPPLY DATA'!$AF:$AF,'CT capacity tracker'!$B18,'ESS SUPPLY DATA'!$AE:$AE,'CT capacity tracker'!$A$1,'ESS SUPPLY DATA'!$W:$W,'CT capacity tracker'!AE$1)</f>
        <v>0</v>
      </c>
      <c r="AF18" s="504">
        <f>SUMIFS('PV SUPPLY DATA'!$X:$X,'PV SUPPLY DATA'!$AH:$AH,'CT capacity tracker'!$B18,'PV SUPPLY DATA'!$AG:$AG,'CT capacity tracker'!$A$1,'PV SUPPLY DATA'!$Y:$Y,'CT capacity tracker'!AF$1)+SUMIFS('ESS SUPPLY DATA'!$U:$U,'ESS SUPPLY DATA'!$AF:$AF,'CT capacity tracker'!$B18,'ESS SUPPLY DATA'!$AE:$AE,'CT capacity tracker'!$A$1,'ESS SUPPLY DATA'!$W:$W,'CT capacity tracker'!AF$1)</f>
        <v>0</v>
      </c>
      <c r="AG18" s="504">
        <f>SUMIFS('PV SUPPLY DATA'!$X:$X,'PV SUPPLY DATA'!$AH:$AH,'CT capacity tracker'!$B18,'PV SUPPLY DATA'!$AG:$AG,'CT capacity tracker'!$A$1,'PV SUPPLY DATA'!$Y:$Y,'CT capacity tracker'!AG$1)+SUMIFS('ESS SUPPLY DATA'!$U:$U,'ESS SUPPLY DATA'!$AF:$AF,'CT capacity tracker'!$B18,'ESS SUPPLY DATA'!$AE:$AE,'CT capacity tracker'!$A$1,'ESS SUPPLY DATA'!$W:$W,'CT capacity tracker'!AG$1)</f>
        <v>0</v>
      </c>
      <c r="AH18" s="504">
        <f>SUMIFS('PV SUPPLY DATA'!$X:$X,'PV SUPPLY DATA'!$AH:$AH,'CT capacity tracker'!$B18,'PV SUPPLY DATA'!$AG:$AG,'CT capacity tracker'!$A$1,'PV SUPPLY DATA'!$Y:$Y,'CT capacity tracker'!AH$1)+SUMIFS('ESS SUPPLY DATA'!$U:$U,'ESS SUPPLY DATA'!$AF:$AF,'CT capacity tracker'!$B18,'ESS SUPPLY DATA'!$AE:$AE,'CT capacity tracker'!$A$1,'ESS SUPPLY DATA'!$W:$W,'CT capacity tracker'!AH$1)</f>
        <v>0</v>
      </c>
      <c r="AI18" s="504">
        <f>SUMIFS('PV SUPPLY DATA'!$X:$X,'PV SUPPLY DATA'!$AH:$AH,'CT capacity tracker'!$B18,'PV SUPPLY DATA'!$AG:$AG,'CT capacity tracker'!$A$1,'PV SUPPLY DATA'!$Y:$Y,'CT capacity tracker'!AI$1)+SUMIFS('ESS SUPPLY DATA'!$U:$U,'ESS SUPPLY DATA'!$AF:$AF,'CT capacity tracker'!$B18,'ESS SUPPLY DATA'!$AE:$AE,'CT capacity tracker'!$A$1,'ESS SUPPLY DATA'!$W:$W,'CT capacity tracker'!AI$1)</f>
        <v>0</v>
      </c>
      <c r="AJ18" s="504">
        <f>SUMIFS('PV SUPPLY DATA'!$X:$X,'PV SUPPLY DATA'!$AH:$AH,'CT capacity tracker'!$B18,'PV SUPPLY DATA'!$AG:$AG,'CT capacity tracker'!$A$1,'PV SUPPLY DATA'!$Y:$Y,'CT capacity tracker'!AJ$1)+SUMIFS('ESS SUPPLY DATA'!$U:$U,'ESS SUPPLY DATA'!$AF:$AF,'CT capacity tracker'!$B18,'ESS SUPPLY DATA'!$AE:$AE,'CT capacity tracker'!$A$1,'ESS SUPPLY DATA'!$W:$W,'CT capacity tracker'!AJ$1)</f>
        <v>0</v>
      </c>
      <c r="AK18" s="505" t="s">
        <v>197</v>
      </c>
      <c r="AL18" s="505" t="s">
        <v>197</v>
      </c>
      <c r="AM18" s="696">
        <f>SUM(E18:X18)</f>
        <v>26</v>
      </c>
      <c r="AN18" s="503" t="s">
        <v>197</v>
      </c>
      <c r="AO18" s="506"/>
      <c r="AP18" s="506">
        <f t="shared" si="3"/>
        <v>0</v>
      </c>
      <c r="AQ18" s="506"/>
      <c r="AR18" s="506"/>
      <c r="AS18" s="506"/>
      <c r="AT18" s="506"/>
    </row>
    <row r="19" spans="1:46" ht="13">
      <c r="A19" s="1517"/>
      <c r="B19" s="1517"/>
      <c r="C19" s="509" t="s">
        <v>4401</v>
      </c>
      <c r="D19" s="509"/>
      <c r="E19" s="512"/>
      <c r="F19" s="512"/>
      <c r="G19" s="512"/>
      <c r="H19" s="512"/>
      <c r="I19" s="513"/>
      <c r="J19" s="512"/>
      <c r="K19" s="513">
        <v>3</v>
      </c>
      <c r="L19" s="513">
        <v>4</v>
      </c>
      <c r="M19" s="513"/>
      <c r="N19" s="513"/>
      <c r="O19" s="513"/>
      <c r="P19" s="513">
        <v>1</v>
      </c>
      <c r="Q19" s="513"/>
      <c r="R19" s="513">
        <v>5</v>
      </c>
      <c r="S19" s="513">
        <v>0</v>
      </c>
      <c r="T19" s="513"/>
      <c r="U19" s="513">
        <v>5</v>
      </c>
      <c r="V19" s="513">
        <v>5</v>
      </c>
      <c r="W19" s="513">
        <v>5</v>
      </c>
      <c r="X19" s="513"/>
      <c r="Y19" s="513"/>
      <c r="Z19" s="513"/>
      <c r="AA19" s="513"/>
      <c r="AB19" s="513"/>
      <c r="AC19" s="513"/>
      <c r="AD19" s="513"/>
      <c r="AE19" s="513"/>
      <c r="AF19" s="513"/>
      <c r="AG19" s="513"/>
      <c r="AH19" s="513"/>
      <c r="AI19" s="513"/>
      <c r="AJ19" s="513"/>
      <c r="AK19" s="505" t="s">
        <v>197</v>
      </c>
      <c r="AL19" s="505" t="s">
        <v>197</v>
      </c>
      <c r="AM19" s="696"/>
      <c r="AN19" s="503" t="s">
        <v>197</v>
      </c>
      <c r="AO19" s="506"/>
      <c r="AP19" s="506">
        <f t="shared" si="3"/>
        <v>0</v>
      </c>
      <c r="AQ19" s="506"/>
      <c r="AR19" s="506"/>
      <c r="AS19" s="506"/>
      <c r="AT19" s="506"/>
    </row>
    <row r="20" spans="1:46" ht="13">
      <c r="A20" s="1517"/>
      <c r="B20" s="1517"/>
      <c r="C20" s="520" t="s">
        <v>4402</v>
      </c>
      <c r="D20" s="522"/>
      <c r="E20" s="522">
        <f t="shared" ref="E20:X20" si="11">E19-E18</f>
        <v>0</v>
      </c>
      <c r="F20" s="522">
        <f t="shared" si="11"/>
        <v>0</v>
      </c>
      <c r="G20" s="522">
        <f t="shared" si="11"/>
        <v>0</v>
      </c>
      <c r="H20" s="522">
        <f t="shared" si="11"/>
        <v>0</v>
      </c>
      <c r="I20" s="522">
        <f t="shared" si="11"/>
        <v>0</v>
      </c>
      <c r="J20" s="522">
        <f t="shared" si="11"/>
        <v>0</v>
      </c>
      <c r="K20" s="522">
        <f t="shared" si="11"/>
        <v>0</v>
      </c>
      <c r="L20" s="522">
        <f t="shared" si="11"/>
        <v>0</v>
      </c>
      <c r="M20" s="522">
        <f t="shared" si="11"/>
        <v>0</v>
      </c>
      <c r="N20" s="522">
        <f t="shared" si="11"/>
        <v>0</v>
      </c>
      <c r="O20" s="522">
        <f t="shared" si="11"/>
        <v>0</v>
      </c>
      <c r="P20" s="522">
        <f t="shared" si="11"/>
        <v>-3</v>
      </c>
      <c r="Q20" s="522">
        <f t="shared" si="11"/>
        <v>0</v>
      </c>
      <c r="R20" s="522">
        <f t="shared" si="11"/>
        <v>5</v>
      </c>
      <c r="S20" s="522">
        <f t="shared" si="11"/>
        <v>0</v>
      </c>
      <c r="T20" s="522">
        <f t="shared" si="11"/>
        <v>0</v>
      </c>
      <c r="U20" s="522">
        <f t="shared" si="11"/>
        <v>0</v>
      </c>
      <c r="V20" s="522">
        <f t="shared" si="11"/>
        <v>0</v>
      </c>
      <c r="W20" s="522">
        <f t="shared" si="11"/>
        <v>0</v>
      </c>
      <c r="X20" s="522">
        <f t="shared" si="11"/>
        <v>0</v>
      </c>
      <c r="Y20" s="522">
        <f t="shared" ref="Y20:AJ20" si="12">Y19-Y18</f>
        <v>0</v>
      </c>
      <c r="Z20" s="522">
        <f t="shared" si="12"/>
        <v>0</v>
      </c>
      <c r="AA20" s="522">
        <f t="shared" si="12"/>
        <v>0</v>
      </c>
      <c r="AB20" s="522">
        <f t="shared" si="12"/>
        <v>0</v>
      </c>
      <c r="AC20" s="522">
        <f t="shared" si="12"/>
        <v>0</v>
      </c>
      <c r="AD20" s="522">
        <f t="shared" si="12"/>
        <v>0</v>
      </c>
      <c r="AE20" s="522">
        <f t="shared" si="12"/>
        <v>0</v>
      </c>
      <c r="AF20" s="522">
        <f t="shared" si="12"/>
        <v>0</v>
      </c>
      <c r="AG20" s="522">
        <f t="shared" si="12"/>
        <v>0</v>
      </c>
      <c r="AH20" s="522">
        <f t="shared" si="12"/>
        <v>0</v>
      </c>
      <c r="AI20" s="522">
        <f t="shared" si="12"/>
        <v>0</v>
      </c>
      <c r="AJ20" s="522">
        <f t="shared" si="12"/>
        <v>0</v>
      </c>
      <c r="AK20" s="511">
        <f>SUMIF($E20:$X20,"&gt;0")</f>
        <v>5</v>
      </c>
      <c r="AL20" s="511">
        <f>SUMIF($E20:$X20,"&lt;0")</f>
        <v>-3</v>
      </c>
      <c r="AM20" s="696"/>
      <c r="AN20" s="503" t="s">
        <v>197</v>
      </c>
      <c r="AO20" s="506"/>
      <c r="AP20" s="506">
        <f t="shared" si="3"/>
        <v>0</v>
      </c>
      <c r="AQ20" s="506"/>
      <c r="AR20" s="506"/>
      <c r="AS20" s="506"/>
      <c r="AT20" s="506"/>
    </row>
    <row r="21" spans="1:46" ht="13">
      <c r="A21" s="1518"/>
      <c r="B21" s="1518"/>
      <c r="C21" s="503" t="s">
        <v>4403</v>
      </c>
      <c r="D21" s="522"/>
      <c r="E21" s="504">
        <f>SUMIFS('PV SUPPLY DATA'!$X:$X,'PV SUPPLY DATA'!$AH:$AH,'CT capacity tracker'!$B18,'PV SUPPLY DATA'!$AG:$AG,'CT capacity tracker'!$A$1,'PV SUPPLY DATA'!$Y:$Y,E$1,'PV SUPPLY DATA'!$AQ:$AQ,"cosco")+SUMIFS('PV SUPPLY DATA'!$X:$X,'PV SUPPLY DATA'!$AH:$AH,'CT capacity tracker'!$B18,'PV SUPPLY DATA'!$AG:$AG,'CT capacity tracker'!$A$1,'PV SUPPLY DATA'!$Y:$Y,E$1,'PV SUPPLY DATA'!$AQ:$AQ,"other")+SUMIFS('ESS SUPPLY DATA'!$U:$U,'ESS SUPPLY DATA'!$AF:$AF,'CT capacity tracker'!$B18,'ESS SUPPLY DATA'!$AE:$AE,'CT capacity tracker'!$A$1,'ESS SUPPLY DATA'!$W:$W,'CT capacity tracker'!E$1,'ESS SUPPLY DATA'!$AO:$AO,"cosco")+SUMIFS('ESS SUPPLY DATA'!$U:$U,'ESS SUPPLY DATA'!$AF:$AF,'CT capacity tracker'!$B18,'ESS SUPPLY DATA'!$AE:$AE,'CT capacity tracker'!$A$1,'ESS SUPPLY DATA'!$W:$W,'CT capacity tracker'!E$1,'ESS SUPPLY DATA'!$AO:$AO,"other")</f>
        <v>0</v>
      </c>
      <c r="F21" s="504">
        <f>SUMIFS('PV SUPPLY DATA'!$X:$X,'PV SUPPLY DATA'!$AH:$AH,'CT capacity tracker'!$B18,'PV SUPPLY DATA'!$AG:$AG,'CT capacity tracker'!$A$1,'PV SUPPLY DATA'!$Y:$Y,F$1,'PV SUPPLY DATA'!$AQ:$AQ,"cosco")+SUMIFS('PV SUPPLY DATA'!$X:$X,'PV SUPPLY DATA'!$AH:$AH,'CT capacity tracker'!$B18,'PV SUPPLY DATA'!$AG:$AG,'CT capacity tracker'!$A$1,'PV SUPPLY DATA'!$Y:$Y,F$1,'PV SUPPLY DATA'!$AQ:$AQ,"other")+SUMIFS('ESS SUPPLY DATA'!$U:$U,'ESS SUPPLY DATA'!$AF:$AF,'CT capacity tracker'!$B18,'ESS SUPPLY DATA'!$AE:$AE,'CT capacity tracker'!$A$1,'ESS SUPPLY DATA'!$W:$W,'CT capacity tracker'!F$1,'ESS SUPPLY DATA'!$AO:$AO,"cosco")+SUMIFS('ESS SUPPLY DATA'!$U:$U,'ESS SUPPLY DATA'!$AF:$AF,'CT capacity tracker'!$B18,'ESS SUPPLY DATA'!$AE:$AE,'CT capacity tracker'!$A$1,'ESS SUPPLY DATA'!$W:$W,'CT capacity tracker'!F$1,'ESS SUPPLY DATA'!$AO:$AO,"other")</f>
        <v>0</v>
      </c>
      <c r="G21" s="504">
        <f>SUMIFS('PV SUPPLY DATA'!$X:$X,'PV SUPPLY DATA'!$AH:$AH,'CT capacity tracker'!$B18,'PV SUPPLY DATA'!$AG:$AG,'CT capacity tracker'!$A$1,'PV SUPPLY DATA'!$Y:$Y,G$1,'PV SUPPLY DATA'!$AQ:$AQ,"cosco")+SUMIFS('PV SUPPLY DATA'!$X:$X,'PV SUPPLY DATA'!$AH:$AH,'CT capacity tracker'!$B18,'PV SUPPLY DATA'!$AG:$AG,'CT capacity tracker'!$A$1,'PV SUPPLY DATA'!$Y:$Y,G$1,'PV SUPPLY DATA'!$AQ:$AQ,"other")+SUMIFS('ESS SUPPLY DATA'!$U:$U,'ESS SUPPLY DATA'!$AF:$AF,'CT capacity tracker'!$B18,'ESS SUPPLY DATA'!$AE:$AE,'CT capacity tracker'!$A$1,'ESS SUPPLY DATA'!$W:$W,'CT capacity tracker'!G$1,'ESS SUPPLY DATA'!$AO:$AO,"cosco")+SUMIFS('ESS SUPPLY DATA'!$U:$U,'ESS SUPPLY DATA'!$AF:$AF,'CT capacity tracker'!$B18,'ESS SUPPLY DATA'!$AE:$AE,'CT capacity tracker'!$A$1,'ESS SUPPLY DATA'!$W:$W,'CT capacity tracker'!G$1,'ESS SUPPLY DATA'!$AO:$AO,"other")</f>
        <v>0</v>
      </c>
      <c r="H21" s="504">
        <f>SUMIFS('PV SUPPLY DATA'!$X:$X,'PV SUPPLY DATA'!$AH:$AH,'CT capacity tracker'!$B18,'PV SUPPLY DATA'!$AG:$AG,'CT capacity tracker'!$A$1,'PV SUPPLY DATA'!$Y:$Y,H$1,'PV SUPPLY DATA'!$AQ:$AQ,"cosco")+SUMIFS('PV SUPPLY DATA'!$X:$X,'PV SUPPLY DATA'!$AH:$AH,'CT capacity tracker'!$B18,'PV SUPPLY DATA'!$AG:$AG,'CT capacity tracker'!$A$1,'PV SUPPLY DATA'!$Y:$Y,H$1,'PV SUPPLY DATA'!$AQ:$AQ,"other")+SUMIFS('ESS SUPPLY DATA'!$U:$U,'ESS SUPPLY DATA'!$AF:$AF,'CT capacity tracker'!$B18,'ESS SUPPLY DATA'!$AE:$AE,'CT capacity tracker'!$A$1,'ESS SUPPLY DATA'!$W:$W,'CT capacity tracker'!H$1,'ESS SUPPLY DATA'!$AO:$AO,"cosco")+SUMIFS('ESS SUPPLY DATA'!$U:$U,'ESS SUPPLY DATA'!$AF:$AF,'CT capacity tracker'!$B18,'ESS SUPPLY DATA'!$AE:$AE,'CT capacity tracker'!$A$1,'ESS SUPPLY DATA'!$W:$W,'CT capacity tracker'!H$1,'ESS SUPPLY DATA'!$AO:$AO,"other")</f>
        <v>0</v>
      </c>
      <c r="I21" s="504">
        <f>SUMIFS('PV SUPPLY DATA'!$X:$X,'PV SUPPLY DATA'!$AH:$AH,'CT capacity tracker'!$B18,'PV SUPPLY DATA'!$AG:$AG,'CT capacity tracker'!$A$1,'PV SUPPLY DATA'!$Y:$Y,I$1,'PV SUPPLY DATA'!$AQ:$AQ,"cosco")+SUMIFS('PV SUPPLY DATA'!$X:$X,'PV SUPPLY DATA'!$AH:$AH,'CT capacity tracker'!$B18,'PV SUPPLY DATA'!$AG:$AG,'CT capacity tracker'!$A$1,'PV SUPPLY DATA'!$Y:$Y,I$1,'PV SUPPLY DATA'!$AQ:$AQ,"other")+SUMIFS('ESS SUPPLY DATA'!$U:$U,'ESS SUPPLY DATA'!$AF:$AF,'CT capacity tracker'!$B18,'ESS SUPPLY DATA'!$AE:$AE,'CT capacity tracker'!$A$1,'ESS SUPPLY DATA'!$W:$W,'CT capacity tracker'!I$1,'ESS SUPPLY DATA'!$AO:$AO,"cosco")+SUMIFS('ESS SUPPLY DATA'!$U:$U,'ESS SUPPLY DATA'!$AF:$AF,'CT capacity tracker'!$B18,'ESS SUPPLY DATA'!$AE:$AE,'CT capacity tracker'!$A$1,'ESS SUPPLY DATA'!$W:$W,'CT capacity tracker'!I$1,'ESS SUPPLY DATA'!$AO:$AO,"other")</f>
        <v>0</v>
      </c>
      <c r="J21" s="504">
        <f>SUMIFS('PV SUPPLY DATA'!$X:$X,'PV SUPPLY DATA'!$AH:$AH,'CT capacity tracker'!$B18,'PV SUPPLY DATA'!$AG:$AG,'CT capacity tracker'!$A$1,'PV SUPPLY DATA'!$Y:$Y,J$1,'PV SUPPLY DATA'!$AQ:$AQ,"cosco")+SUMIFS('PV SUPPLY DATA'!$X:$X,'PV SUPPLY DATA'!$AH:$AH,'CT capacity tracker'!$B18,'PV SUPPLY DATA'!$AG:$AG,'CT capacity tracker'!$A$1,'PV SUPPLY DATA'!$Y:$Y,J$1,'PV SUPPLY DATA'!$AQ:$AQ,"other")+SUMIFS('ESS SUPPLY DATA'!$U:$U,'ESS SUPPLY DATA'!$AF:$AF,'CT capacity tracker'!$B18,'ESS SUPPLY DATA'!$AE:$AE,'CT capacity tracker'!$A$1,'ESS SUPPLY DATA'!$W:$W,'CT capacity tracker'!J$1,'ESS SUPPLY DATA'!$AO:$AO,"cosco")+SUMIFS('ESS SUPPLY DATA'!$U:$U,'ESS SUPPLY DATA'!$AF:$AF,'CT capacity tracker'!$B18,'ESS SUPPLY DATA'!$AE:$AE,'CT capacity tracker'!$A$1,'ESS SUPPLY DATA'!$W:$W,'CT capacity tracker'!J$1,'ESS SUPPLY DATA'!$AO:$AO,"other")</f>
        <v>0</v>
      </c>
      <c r="K21" s="504">
        <f>SUMIFS('PV SUPPLY DATA'!$X:$X,'PV SUPPLY DATA'!$AH:$AH,'CT capacity tracker'!$B18,'PV SUPPLY DATA'!$AG:$AG,'CT capacity tracker'!$A$1,'PV SUPPLY DATA'!$Y:$Y,K$1,'PV SUPPLY DATA'!$AQ:$AQ,"cosco")+SUMIFS('PV SUPPLY DATA'!$X:$X,'PV SUPPLY DATA'!$AH:$AH,'CT capacity tracker'!$B18,'PV SUPPLY DATA'!$AG:$AG,'CT capacity tracker'!$A$1,'PV SUPPLY DATA'!$Y:$Y,K$1,'PV SUPPLY DATA'!$AQ:$AQ,"other")+SUMIFS('ESS SUPPLY DATA'!$U:$U,'ESS SUPPLY DATA'!$AF:$AF,'CT capacity tracker'!$B18,'ESS SUPPLY DATA'!$AE:$AE,'CT capacity tracker'!$A$1,'ESS SUPPLY DATA'!$W:$W,'CT capacity tracker'!K$1,'ESS SUPPLY DATA'!$AO:$AO,"cosco")+SUMIFS('ESS SUPPLY DATA'!$U:$U,'ESS SUPPLY DATA'!$AF:$AF,'CT capacity tracker'!$B18,'ESS SUPPLY DATA'!$AE:$AE,'CT capacity tracker'!$A$1,'ESS SUPPLY DATA'!$W:$W,'CT capacity tracker'!K$1,'ESS SUPPLY DATA'!$AO:$AO,"other")</f>
        <v>3</v>
      </c>
      <c r="L21" s="504">
        <f>SUMIFS('PV SUPPLY DATA'!$X:$X,'PV SUPPLY DATA'!$AH:$AH,'CT capacity tracker'!$B18,'PV SUPPLY DATA'!$AG:$AG,'CT capacity tracker'!$A$1,'PV SUPPLY DATA'!$Y:$Y,L$1,'PV SUPPLY DATA'!$AQ:$AQ,"cosco")+SUMIFS('PV SUPPLY DATA'!$X:$X,'PV SUPPLY DATA'!$AH:$AH,'CT capacity tracker'!$B18,'PV SUPPLY DATA'!$AG:$AG,'CT capacity tracker'!$A$1,'PV SUPPLY DATA'!$Y:$Y,L$1,'PV SUPPLY DATA'!$AQ:$AQ,"other")+SUMIFS('ESS SUPPLY DATA'!$U:$U,'ESS SUPPLY DATA'!$AF:$AF,'CT capacity tracker'!$B18,'ESS SUPPLY DATA'!$AE:$AE,'CT capacity tracker'!$A$1,'ESS SUPPLY DATA'!$W:$W,'CT capacity tracker'!L$1,'ESS SUPPLY DATA'!$AO:$AO,"cosco")+SUMIFS('ESS SUPPLY DATA'!$U:$U,'ESS SUPPLY DATA'!$AF:$AF,'CT capacity tracker'!$B18,'ESS SUPPLY DATA'!$AE:$AE,'CT capacity tracker'!$A$1,'ESS SUPPLY DATA'!$W:$W,'CT capacity tracker'!L$1,'ESS SUPPLY DATA'!$AO:$AO,"other")</f>
        <v>4</v>
      </c>
      <c r="M21" s="504">
        <f>SUMIFS('PV SUPPLY DATA'!$X:$X,'PV SUPPLY DATA'!$AH:$AH,'CT capacity tracker'!$B18,'PV SUPPLY DATA'!$AG:$AG,'CT capacity tracker'!$A$1,'PV SUPPLY DATA'!$Y:$Y,M$1,'PV SUPPLY DATA'!$AQ:$AQ,"cosco")+SUMIFS('PV SUPPLY DATA'!$X:$X,'PV SUPPLY DATA'!$AH:$AH,'CT capacity tracker'!$B18,'PV SUPPLY DATA'!$AG:$AG,'CT capacity tracker'!$A$1,'PV SUPPLY DATA'!$Y:$Y,M$1,'PV SUPPLY DATA'!$AQ:$AQ,"other")+SUMIFS('ESS SUPPLY DATA'!$U:$U,'ESS SUPPLY DATA'!$AF:$AF,'CT capacity tracker'!$B18,'ESS SUPPLY DATA'!$AE:$AE,'CT capacity tracker'!$A$1,'ESS SUPPLY DATA'!$W:$W,'CT capacity tracker'!M$1,'ESS SUPPLY DATA'!$AO:$AO,"cosco")+SUMIFS('ESS SUPPLY DATA'!$U:$U,'ESS SUPPLY DATA'!$AF:$AF,'CT capacity tracker'!$B18,'ESS SUPPLY DATA'!$AE:$AE,'CT capacity tracker'!$A$1,'ESS SUPPLY DATA'!$W:$W,'CT capacity tracker'!M$1,'ESS SUPPLY DATA'!$AO:$AO,"other")</f>
        <v>0</v>
      </c>
      <c r="N21" s="504">
        <f>SUMIFS('PV SUPPLY DATA'!$X:$X,'PV SUPPLY DATA'!$AH:$AH,'CT capacity tracker'!$B18,'PV SUPPLY DATA'!$AG:$AG,'CT capacity tracker'!$A$1,'PV SUPPLY DATA'!$Y:$Y,N$1,'PV SUPPLY DATA'!$AQ:$AQ,"cosco")+SUMIFS('PV SUPPLY DATA'!$X:$X,'PV SUPPLY DATA'!$AH:$AH,'CT capacity tracker'!$B18,'PV SUPPLY DATA'!$AG:$AG,'CT capacity tracker'!$A$1,'PV SUPPLY DATA'!$Y:$Y,N$1,'PV SUPPLY DATA'!$AQ:$AQ,"other")+SUMIFS('ESS SUPPLY DATA'!$U:$U,'ESS SUPPLY DATA'!$AF:$AF,'CT capacity tracker'!$B18,'ESS SUPPLY DATA'!$AE:$AE,'CT capacity tracker'!$A$1,'ESS SUPPLY DATA'!$W:$W,'CT capacity tracker'!N$1,'ESS SUPPLY DATA'!$AO:$AO,"cosco")+SUMIFS('ESS SUPPLY DATA'!$U:$U,'ESS SUPPLY DATA'!$AF:$AF,'CT capacity tracker'!$B18,'ESS SUPPLY DATA'!$AE:$AE,'CT capacity tracker'!$A$1,'ESS SUPPLY DATA'!$W:$W,'CT capacity tracker'!N$1,'ESS SUPPLY DATA'!$AO:$AO,"other")</f>
        <v>0</v>
      </c>
      <c r="O21" s="504">
        <f>SUMIFS('PV SUPPLY DATA'!$X:$X,'PV SUPPLY DATA'!$AH:$AH,'CT capacity tracker'!$B18,'PV SUPPLY DATA'!$AG:$AG,'CT capacity tracker'!$A$1,'PV SUPPLY DATA'!$Y:$Y,O$1,'PV SUPPLY DATA'!$AQ:$AQ,"cosco")+SUMIFS('PV SUPPLY DATA'!$X:$X,'PV SUPPLY DATA'!$AH:$AH,'CT capacity tracker'!$B18,'PV SUPPLY DATA'!$AG:$AG,'CT capacity tracker'!$A$1,'PV SUPPLY DATA'!$Y:$Y,O$1,'PV SUPPLY DATA'!$AQ:$AQ,"other")+SUMIFS('ESS SUPPLY DATA'!$U:$U,'ESS SUPPLY DATA'!$AF:$AF,'CT capacity tracker'!$B18,'ESS SUPPLY DATA'!$AE:$AE,'CT capacity tracker'!$A$1,'ESS SUPPLY DATA'!$W:$W,'CT capacity tracker'!O$1,'ESS SUPPLY DATA'!$AO:$AO,"cosco")+SUMIFS('ESS SUPPLY DATA'!$U:$U,'ESS SUPPLY DATA'!$AF:$AF,'CT capacity tracker'!$B18,'ESS SUPPLY DATA'!$AE:$AE,'CT capacity tracker'!$A$1,'ESS SUPPLY DATA'!$W:$W,'CT capacity tracker'!O$1,'ESS SUPPLY DATA'!$AO:$AO,"other")</f>
        <v>0</v>
      </c>
      <c r="P21" s="504">
        <f>SUMIFS('PV SUPPLY DATA'!$X:$X,'PV SUPPLY DATA'!$AH:$AH,'CT capacity tracker'!$B18,'PV SUPPLY DATA'!$AG:$AG,'CT capacity tracker'!$A$1,'PV SUPPLY DATA'!$Y:$Y,P$1,'PV SUPPLY DATA'!$AQ:$AQ,"cosco")+SUMIFS('PV SUPPLY DATA'!$X:$X,'PV SUPPLY DATA'!$AH:$AH,'CT capacity tracker'!$B18,'PV SUPPLY DATA'!$AG:$AG,'CT capacity tracker'!$A$1,'PV SUPPLY DATA'!$Y:$Y,P$1,'PV SUPPLY DATA'!$AQ:$AQ,"other")+SUMIFS('ESS SUPPLY DATA'!$U:$U,'ESS SUPPLY DATA'!$AF:$AF,'CT capacity tracker'!$B18,'ESS SUPPLY DATA'!$AE:$AE,'CT capacity tracker'!$A$1,'ESS SUPPLY DATA'!$W:$W,'CT capacity tracker'!P$1,'ESS SUPPLY DATA'!$AO:$AO,"cosco")+SUMIFS('ESS SUPPLY DATA'!$U:$U,'ESS SUPPLY DATA'!$AF:$AF,'CT capacity tracker'!$B18,'ESS SUPPLY DATA'!$AE:$AE,'CT capacity tracker'!$A$1,'ESS SUPPLY DATA'!$W:$W,'CT capacity tracker'!P$1,'ESS SUPPLY DATA'!$AO:$AO,"other")</f>
        <v>4</v>
      </c>
      <c r="Q21" s="504">
        <f>SUMIFS('PV SUPPLY DATA'!$X:$X,'PV SUPPLY DATA'!$AH:$AH,'CT capacity tracker'!$B18,'PV SUPPLY DATA'!$AG:$AG,'CT capacity tracker'!$A$1,'PV SUPPLY DATA'!$Y:$Y,Q$1,'PV SUPPLY DATA'!$AQ:$AQ,"cosco")+SUMIFS('PV SUPPLY DATA'!$X:$X,'PV SUPPLY DATA'!$AH:$AH,'CT capacity tracker'!$B18,'PV SUPPLY DATA'!$AG:$AG,'CT capacity tracker'!$A$1,'PV SUPPLY DATA'!$Y:$Y,Q$1,'PV SUPPLY DATA'!$AQ:$AQ,"other")+SUMIFS('ESS SUPPLY DATA'!$U:$U,'ESS SUPPLY DATA'!$AF:$AF,'CT capacity tracker'!$B18,'ESS SUPPLY DATA'!$AE:$AE,'CT capacity tracker'!$A$1,'ESS SUPPLY DATA'!$W:$W,'CT capacity tracker'!Q$1,'ESS SUPPLY DATA'!$AO:$AO,"cosco")+SUMIFS('ESS SUPPLY DATA'!$U:$U,'ESS SUPPLY DATA'!$AF:$AF,'CT capacity tracker'!$B18,'ESS SUPPLY DATA'!$AE:$AE,'CT capacity tracker'!$A$1,'ESS SUPPLY DATA'!$W:$W,'CT capacity tracker'!Q$1,'ESS SUPPLY DATA'!$AO:$AO,"other")</f>
        <v>0</v>
      </c>
      <c r="R21" s="504">
        <f>SUMIFS('PV SUPPLY DATA'!$X:$X,'PV SUPPLY DATA'!$AH:$AH,'CT capacity tracker'!$B18,'PV SUPPLY DATA'!$AG:$AG,'CT capacity tracker'!$A$1,'PV SUPPLY DATA'!$Y:$Y,R$1,'PV SUPPLY DATA'!$AQ:$AQ,"cosco")+SUMIFS('PV SUPPLY DATA'!$X:$X,'PV SUPPLY DATA'!$AH:$AH,'CT capacity tracker'!$B18,'PV SUPPLY DATA'!$AG:$AG,'CT capacity tracker'!$A$1,'PV SUPPLY DATA'!$Y:$Y,R$1,'PV SUPPLY DATA'!$AQ:$AQ,"other")+SUMIFS('ESS SUPPLY DATA'!$U:$U,'ESS SUPPLY DATA'!$AF:$AF,'CT capacity tracker'!$B18,'ESS SUPPLY DATA'!$AE:$AE,'CT capacity tracker'!$A$1,'ESS SUPPLY DATA'!$W:$W,'CT capacity tracker'!R$1,'ESS SUPPLY DATA'!$AO:$AO,"cosco")+SUMIFS('ESS SUPPLY DATA'!$U:$U,'ESS SUPPLY DATA'!$AF:$AF,'CT capacity tracker'!$B18,'ESS SUPPLY DATA'!$AE:$AE,'CT capacity tracker'!$A$1,'ESS SUPPLY DATA'!$W:$W,'CT capacity tracker'!R$1,'ESS SUPPLY DATA'!$AO:$AO,"other")</f>
        <v>0</v>
      </c>
      <c r="S21" s="504">
        <f>SUMIFS('PV SUPPLY DATA'!$X:$X,'PV SUPPLY DATA'!$AH:$AH,'CT capacity tracker'!$B18,'PV SUPPLY DATA'!$AG:$AG,'CT capacity tracker'!$A$1,'PV SUPPLY DATA'!$Y:$Y,S$1,'PV SUPPLY DATA'!$AQ:$AQ,"cosco")+SUMIFS('PV SUPPLY DATA'!$X:$X,'PV SUPPLY DATA'!$AH:$AH,'CT capacity tracker'!$B18,'PV SUPPLY DATA'!$AG:$AG,'CT capacity tracker'!$A$1,'PV SUPPLY DATA'!$Y:$Y,S$1,'PV SUPPLY DATA'!$AQ:$AQ,"other")+SUMIFS('ESS SUPPLY DATA'!$U:$U,'ESS SUPPLY DATA'!$AF:$AF,'CT capacity tracker'!$B18,'ESS SUPPLY DATA'!$AE:$AE,'CT capacity tracker'!$A$1,'ESS SUPPLY DATA'!$W:$W,'CT capacity tracker'!S$1,'ESS SUPPLY DATA'!$AO:$AO,"cosco")+SUMIFS('ESS SUPPLY DATA'!$U:$U,'ESS SUPPLY DATA'!$AF:$AF,'CT capacity tracker'!$B18,'ESS SUPPLY DATA'!$AE:$AE,'CT capacity tracker'!$A$1,'ESS SUPPLY DATA'!$W:$W,'CT capacity tracker'!S$1,'ESS SUPPLY DATA'!$AO:$AO,"other")</f>
        <v>0</v>
      </c>
      <c r="T21" s="504">
        <f>SUMIFS('PV SUPPLY DATA'!$X:$X,'PV SUPPLY DATA'!$AH:$AH,'CT capacity tracker'!$B18,'PV SUPPLY DATA'!$AG:$AG,'CT capacity tracker'!$A$1,'PV SUPPLY DATA'!$Y:$Y,T$1,'PV SUPPLY DATA'!$AQ:$AQ,"cosco")+SUMIFS('PV SUPPLY DATA'!$X:$X,'PV SUPPLY DATA'!$AH:$AH,'CT capacity tracker'!$B18,'PV SUPPLY DATA'!$AG:$AG,'CT capacity tracker'!$A$1,'PV SUPPLY DATA'!$Y:$Y,T$1,'PV SUPPLY DATA'!$AQ:$AQ,"other")+SUMIFS('ESS SUPPLY DATA'!$U:$U,'ESS SUPPLY DATA'!$AF:$AF,'CT capacity tracker'!$B18,'ESS SUPPLY DATA'!$AE:$AE,'CT capacity tracker'!$A$1,'ESS SUPPLY DATA'!$W:$W,'CT capacity tracker'!T$1,'ESS SUPPLY DATA'!$AO:$AO,"cosco")+SUMIFS('ESS SUPPLY DATA'!$U:$U,'ESS SUPPLY DATA'!$AF:$AF,'CT capacity tracker'!$B18,'ESS SUPPLY DATA'!$AE:$AE,'CT capacity tracker'!$A$1,'ESS SUPPLY DATA'!$W:$W,'CT capacity tracker'!T$1,'ESS SUPPLY DATA'!$AO:$AO,"other")</f>
        <v>0</v>
      </c>
      <c r="U21" s="504">
        <f>SUMIFS('PV SUPPLY DATA'!$X:$X,'PV SUPPLY DATA'!$AH:$AH,'CT capacity tracker'!$B18,'PV SUPPLY DATA'!$AG:$AG,'CT capacity tracker'!$A$1,'PV SUPPLY DATA'!$Y:$Y,U$1,'PV SUPPLY DATA'!$AQ:$AQ,"cosco")+SUMIFS('PV SUPPLY DATA'!$X:$X,'PV SUPPLY DATA'!$AH:$AH,'CT capacity tracker'!$B18,'PV SUPPLY DATA'!$AG:$AG,'CT capacity tracker'!$A$1,'PV SUPPLY DATA'!$Y:$Y,U$1,'PV SUPPLY DATA'!$AQ:$AQ,"other")+SUMIFS('ESS SUPPLY DATA'!$U:$U,'ESS SUPPLY DATA'!$AF:$AF,'CT capacity tracker'!$B18,'ESS SUPPLY DATA'!$AE:$AE,'CT capacity tracker'!$A$1,'ESS SUPPLY DATA'!$W:$W,'CT capacity tracker'!U$1,'ESS SUPPLY DATA'!$AO:$AO,"cosco")+SUMIFS('ESS SUPPLY DATA'!$U:$U,'ESS SUPPLY DATA'!$AF:$AF,'CT capacity tracker'!$B18,'ESS SUPPLY DATA'!$AE:$AE,'CT capacity tracker'!$A$1,'ESS SUPPLY DATA'!$W:$W,'CT capacity tracker'!U$1,'ESS SUPPLY DATA'!$AO:$AO,"other")</f>
        <v>5</v>
      </c>
      <c r="V21" s="504">
        <f>SUMIFS('PV SUPPLY DATA'!$X:$X,'PV SUPPLY DATA'!$AH:$AH,'CT capacity tracker'!$B18,'PV SUPPLY DATA'!$AG:$AG,'CT capacity tracker'!$A$1,'PV SUPPLY DATA'!$Y:$Y,V$1,'PV SUPPLY DATA'!$AQ:$AQ,"cosco")+SUMIFS('PV SUPPLY DATA'!$X:$X,'PV SUPPLY DATA'!$AH:$AH,'CT capacity tracker'!$B18,'PV SUPPLY DATA'!$AG:$AG,'CT capacity tracker'!$A$1,'PV SUPPLY DATA'!$Y:$Y,V$1,'PV SUPPLY DATA'!$AQ:$AQ,"other")+SUMIFS('ESS SUPPLY DATA'!$U:$U,'ESS SUPPLY DATA'!$AF:$AF,'CT capacity tracker'!$B18,'ESS SUPPLY DATA'!$AE:$AE,'CT capacity tracker'!$A$1,'ESS SUPPLY DATA'!$W:$W,'CT capacity tracker'!V$1,'ESS SUPPLY DATA'!$AO:$AO,"cosco")+SUMIFS('ESS SUPPLY DATA'!$U:$U,'ESS SUPPLY DATA'!$AF:$AF,'CT capacity tracker'!$B18,'ESS SUPPLY DATA'!$AE:$AE,'CT capacity tracker'!$A$1,'ESS SUPPLY DATA'!$W:$W,'CT capacity tracker'!V$1,'ESS SUPPLY DATA'!$AO:$AO,"other")</f>
        <v>5</v>
      </c>
      <c r="W21" s="504">
        <f>SUMIFS('PV SUPPLY DATA'!$X:$X,'PV SUPPLY DATA'!$AH:$AH,'CT capacity tracker'!$B18,'PV SUPPLY DATA'!$AG:$AG,'CT capacity tracker'!$A$1,'PV SUPPLY DATA'!$Y:$Y,W$1,'PV SUPPLY DATA'!$AQ:$AQ,"cosco")+SUMIFS('PV SUPPLY DATA'!$X:$X,'PV SUPPLY DATA'!$AH:$AH,'CT capacity tracker'!$B18,'PV SUPPLY DATA'!$AG:$AG,'CT capacity tracker'!$A$1,'PV SUPPLY DATA'!$Y:$Y,W$1,'PV SUPPLY DATA'!$AQ:$AQ,"other")+SUMIFS('ESS SUPPLY DATA'!$U:$U,'ESS SUPPLY DATA'!$AF:$AF,'CT capacity tracker'!$B18,'ESS SUPPLY DATA'!$AE:$AE,'CT capacity tracker'!$A$1,'ESS SUPPLY DATA'!$W:$W,'CT capacity tracker'!W$1,'ESS SUPPLY DATA'!$AO:$AO,"cosco")+SUMIFS('ESS SUPPLY DATA'!$U:$U,'ESS SUPPLY DATA'!$AF:$AF,'CT capacity tracker'!$B18,'ESS SUPPLY DATA'!$AE:$AE,'CT capacity tracker'!$A$1,'ESS SUPPLY DATA'!$W:$W,'CT capacity tracker'!W$1,'ESS SUPPLY DATA'!$AO:$AO,"other")</f>
        <v>5</v>
      </c>
      <c r="X21" s="504">
        <f>SUMIFS('PV SUPPLY DATA'!$X:$X,'PV SUPPLY DATA'!$AH:$AH,'CT capacity tracker'!$B18,'PV SUPPLY DATA'!$AG:$AG,'CT capacity tracker'!$A$1,'PV SUPPLY DATA'!$Y:$Y,X$1,'PV SUPPLY DATA'!$AQ:$AQ,"cosco")+SUMIFS('PV SUPPLY DATA'!$X:$X,'PV SUPPLY DATA'!$AH:$AH,'CT capacity tracker'!$B18,'PV SUPPLY DATA'!$AG:$AG,'CT capacity tracker'!$A$1,'PV SUPPLY DATA'!$Y:$Y,X$1,'PV SUPPLY DATA'!$AQ:$AQ,"other")+SUMIFS('ESS SUPPLY DATA'!$U:$U,'ESS SUPPLY DATA'!$AF:$AF,'CT capacity tracker'!$B18,'ESS SUPPLY DATA'!$AE:$AE,'CT capacity tracker'!$A$1,'ESS SUPPLY DATA'!$W:$W,'CT capacity tracker'!X$1,'ESS SUPPLY DATA'!$AO:$AO,"cosco")+SUMIFS('ESS SUPPLY DATA'!$U:$U,'ESS SUPPLY DATA'!$AF:$AF,'CT capacity tracker'!$B18,'ESS SUPPLY DATA'!$AE:$AE,'CT capacity tracker'!$A$1,'ESS SUPPLY DATA'!$W:$W,'CT capacity tracker'!X$1,'ESS SUPPLY DATA'!$AO:$AO,"other")</f>
        <v>0</v>
      </c>
      <c r="Y21" s="504">
        <f>SUMIFS('PV SUPPLY DATA'!$X:$X,'PV SUPPLY DATA'!$AH:$AH,'CT capacity tracker'!$B18,'PV SUPPLY DATA'!$AG:$AG,'CT capacity tracker'!$A$1,'PV SUPPLY DATA'!$Y:$Y,Y$1,'PV SUPPLY DATA'!$AQ:$AQ,"cosco")+SUMIFS('PV SUPPLY DATA'!$X:$X,'PV SUPPLY DATA'!$AH:$AH,'CT capacity tracker'!$B18,'PV SUPPLY DATA'!$AG:$AG,'CT capacity tracker'!$A$1,'PV SUPPLY DATA'!$Y:$Y,Y$1,'PV SUPPLY DATA'!$AQ:$AQ,"other")+SUMIFS('ESS SUPPLY DATA'!$U:$U,'ESS SUPPLY DATA'!$AF:$AF,'CT capacity tracker'!$B18,'ESS SUPPLY DATA'!$AE:$AE,'CT capacity tracker'!$A$1,'ESS SUPPLY DATA'!$W:$W,'CT capacity tracker'!Y$1,'ESS SUPPLY DATA'!$AO:$AO,"cosco")+SUMIFS('ESS SUPPLY DATA'!$U:$U,'ESS SUPPLY DATA'!$AF:$AF,'CT capacity tracker'!$B18,'ESS SUPPLY DATA'!$AE:$AE,'CT capacity tracker'!$A$1,'ESS SUPPLY DATA'!$W:$W,'CT capacity tracker'!Y$1,'ESS SUPPLY DATA'!$AO:$AO,"other")</f>
        <v>0</v>
      </c>
      <c r="Z21" s="504">
        <f>SUMIFS('PV SUPPLY DATA'!$X:$X,'PV SUPPLY DATA'!$AH:$AH,'CT capacity tracker'!$B18,'PV SUPPLY DATA'!$AG:$AG,'CT capacity tracker'!$A$1,'PV SUPPLY DATA'!$Y:$Y,Z$1,'PV SUPPLY DATA'!$AQ:$AQ,"cosco")+SUMIFS('PV SUPPLY DATA'!$X:$X,'PV SUPPLY DATA'!$AH:$AH,'CT capacity tracker'!$B18,'PV SUPPLY DATA'!$AG:$AG,'CT capacity tracker'!$A$1,'PV SUPPLY DATA'!$Y:$Y,Z$1,'PV SUPPLY DATA'!$AQ:$AQ,"other")+SUMIFS('ESS SUPPLY DATA'!$U:$U,'ESS SUPPLY DATA'!$AF:$AF,'CT capacity tracker'!$B18,'ESS SUPPLY DATA'!$AE:$AE,'CT capacity tracker'!$A$1,'ESS SUPPLY DATA'!$W:$W,'CT capacity tracker'!Z$1,'ESS SUPPLY DATA'!$AO:$AO,"cosco")+SUMIFS('ESS SUPPLY DATA'!$U:$U,'ESS SUPPLY DATA'!$AF:$AF,'CT capacity tracker'!$B18,'ESS SUPPLY DATA'!$AE:$AE,'CT capacity tracker'!$A$1,'ESS SUPPLY DATA'!$W:$W,'CT capacity tracker'!Z$1,'ESS SUPPLY DATA'!$AO:$AO,"other")</f>
        <v>0</v>
      </c>
      <c r="AA21" s="504">
        <f>SUMIFS('PV SUPPLY DATA'!$X:$X,'PV SUPPLY DATA'!$AH:$AH,'CT capacity tracker'!$B18,'PV SUPPLY DATA'!$AG:$AG,'CT capacity tracker'!$A$1,'PV SUPPLY DATA'!$Y:$Y,AA$1,'PV SUPPLY DATA'!$AQ:$AQ,"cosco")+SUMIFS('PV SUPPLY DATA'!$X:$X,'PV SUPPLY DATA'!$AH:$AH,'CT capacity tracker'!$B18,'PV SUPPLY DATA'!$AG:$AG,'CT capacity tracker'!$A$1,'PV SUPPLY DATA'!$Y:$Y,AA$1,'PV SUPPLY DATA'!$AQ:$AQ,"other")+SUMIFS('ESS SUPPLY DATA'!$U:$U,'ESS SUPPLY DATA'!$AF:$AF,'CT capacity tracker'!$B18,'ESS SUPPLY DATA'!$AE:$AE,'CT capacity tracker'!$A$1,'ESS SUPPLY DATA'!$W:$W,'CT capacity tracker'!AA$1,'ESS SUPPLY DATA'!$AO:$AO,"cosco")+SUMIFS('ESS SUPPLY DATA'!$U:$U,'ESS SUPPLY DATA'!$AF:$AF,'CT capacity tracker'!$B18,'ESS SUPPLY DATA'!$AE:$AE,'CT capacity tracker'!$A$1,'ESS SUPPLY DATA'!$W:$W,'CT capacity tracker'!AA$1,'ESS SUPPLY DATA'!$AO:$AO,"other")</f>
        <v>0</v>
      </c>
      <c r="AB21" s="504">
        <f>SUMIFS('PV SUPPLY DATA'!$X:$X,'PV SUPPLY DATA'!$AH:$AH,'CT capacity tracker'!$B18,'PV SUPPLY DATA'!$AG:$AG,'CT capacity tracker'!$A$1,'PV SUPPLY DATA'!$Y:$Y,AB$1,'PV SUPPLY DATA'!$AQ:$AQ,"cosco")+SUMIFS('PV SUPPLY DATA'!$X:$X,'PV SUPPLY DATA'!$AH:$AH,'CT capacity tracker'!$B18,'PV SUPPLY DATA'!$AG:$AG,'CT capacity tracker'!$A$1,'PV SUPPLY DATA'!$Y:$Y,AB$1,'PV SUPPLY DATA'!$AQ:$AQ,"other")+SUMIFS('ESS SUPPLY DATA'!$U:$U,'ESS SUPPLY DATA'!$AF:$AF,'CT capacity tracker'!$B18,'ESS SUPPLY DATA'!$AE:$AE,'CT capacity tracker'!$A$1,'ESS SUPPLY DATA'!$W:$W,'CT capacity tracker'!AB$1,'ESS SUPPLY DATA'!$AO:$AO,"cosco")+SUMIFS('ESS SUPPLY DATA'!$U:$U,'ESS SUPPLY DATA'!$AF:$AF,'CT capacity tracker'!$B18,'ESS SUPPLY DATA'!$AE:$AE,'CT capacity tracker'!$A$1,'ESS SUPPLY DATA'!$W:$W,'CT capacity tracker'!AB$1,'ESS SUPPLY DATA'!$AO:$AO,"other")</f>
        <v>0</v>
      </c>
      <c r="AC21" s="504">
        <f>SUMIFS('PV SUPPLY DATA'!$X:$X,'PV SUPPLY DATA'!$AH:$AH,'CT capacity tracker'!$B18,'PV SUPPLY DATA'!$AG:$AG,'CT capacity tracker'!$A$1,'PV SUPPLY DATA'!$Y:$Y,AC$1,'PV SUPPLY DATA'!$AQ:$AQ,"cosco")+SUMIFS('PV SUPPLY DATA'!$X:$X,'PV SUPPLY DATA'!$AH:$AH,'CT capacity tracker'!$B18,'PV SUPPLY DATA'!$AG:$AG,'CT capacity tracker'!$A$1,'PV SUPPLY DATA'!$Y:$Y,AC$1,'PV SUPPLY DATA'!$AQ:$AQ,"other")+SUMIFS('ESS SUPPLY DATA'!$U:$U,'ESS SUPPLY DATA'!$AF:$AF,'CT capacity tracker'!$B18,'ESS SUPPLY DATA'!$AE:$AE,'CT capacity tracker'!$A$1,'ESS SUPPLY DATA'!$W:$W,'CT capacity tracker'!AC$1,'ESS SUPPLY DATA'!$AO:$AO,"cosco")+SUMIFS('ESS SUPPLY DATA'!$U:$U,'ESS SUPPLY DATA'!$AF:$AF,'CT capacity tracker'!$B18,'ESS SUPPLY DATA'!$AE:$AE,'CT capacity tracker'!$A$1,'ESS SUPPLY DATA'!$W:$W,'CT capacity tracker'!AC$1,'ESS SUPPLY DATA'!$AO:$AO,"other")</f>
        <v>0</v>
      </c>
      <c r="AD21" s="504">
        <f>SUMIFS('PV SUPPLY DATA'!$X:$X,'PV SUPPLY DATA'!$AH:$AH,'CT capacity tracker'!$B18,'PV SUPPLY DATA'!$AG:$AG,'CT capacity tracker'!$A$1,'PV SUPPLY DATA'!$Y:$Y,AD$1,'PV SUPPLY DATA'!$AQ:$AQ,"cosco")+SUMIFS('PV SUPPLY DATA'!$X:$X,'PV SUPPLY DATA'!$AH:$AH,'CT capacity tracker'!$B18,'PV SUPPLY DATA'!$AG:$AG,'CT capacity tracker'!$A$1,'PV SUPPLY DATA'!$Y:$Y,AD$1,'PV SUPPLY DATA'!$AQ:$AQ,"other")+SUMIFS('ESS SUPPLY DATA'!$U:$U,'ESS SUPPLY DATA'!$AF:$AF,'CT capacity tracker'!$B18,'ESS SUPPLY DATA'!$AE:$AE,'CT capacity tracker'!$A$1,'ESS SUPPLY DATA'!$W:$W,'CT capacity tracker'!AD$1,'ESS SUPPLY DATA'!$AO:$AO,"cosco")+SUMIFS('ESS SUPPLY DATA'!$U:$U,'ESS SUPPLY DATA'!$AF:$AF,'CT capacity tracker'!$B18,'ESS SUPPLY DATA'!$AE:$AE,'CT capacity tracker'!$A$1,'ESS SUPPLY DATA'!$W:$W,'CT capacity tracker'!AD$1,'ESS SUPPLY DATA'!$AO:$AO,"other")</f>
        <v>0</v>
      </c>
      <c r="AE21" s="504">
        <f>SUMIFS('PV SUPPLY DATA'!$X:$X,'PV SUPPLY DATA'!$AH:$AH,'CT capacity tracker'!$B18,'PV SUPPLY DATA'!$AG:$AG,'CT capacity tracker'!$A$1,'PV SUPPLY DATA'!$Y:$Y,AE$1,'PV SUPPLY DATA'!$AQ:$AQ,"cosco")+SUMIFS('PV SUPPLY DATA'!$X:$X,'PV SUPPLY DATA'!$AH:$AH,'CT capacity tracker'!$B18,'PV SUPPLY DATA'!$AG:$AG,'CT capacity tracker'!$A$1,'PV SUPPLY DATA'!$Y:$Y,AE$1,'PV SUPPLY DATA'!$AQ:$AQ,"other")+SUMIFS('ESS SUPPLY DATA'!$U:$U,'ESS SUPPLY DATA'!$AF:$AF,'CT capacity tracker'!$B18,'ESS SUPPLY DATA'!$AE:$AE,'CT capacity tracker'!$A$1,'ESS SUPPLY DATA'!$W:$W,'CT capacity tracker'!AE$1,'ESS SUPPLY DATA'!$AO:$AO,"cosco")+SUMIFS('ESS SUPPLY DATA'!$U:$U,'ESS SUPPLY DATA'!$AF:$AF,'CT capacity tracker'!$B18,'ESS SUPPLY DATA'!$AE:$AE,'CT capacity tracker'!$A$1,'ESS SUPPLY DATA'!$W:$W,'CT capacity tracker'!AE$1,'ESS SUPPLY DATA'!$AO:$AO,"other")</f>
        <v>0</v>
      </c>
      <c r="AF21" s="504">
        <f>SUMIFS('PV SUPPLY DATA'!$X:$X,'PV SUPPLY DATA'!$AH:$AH,'CT capacity tracker'!$B18,'PV SUPPLY DATA'!$AG:$AG,'CT capacity tracker'!$A$1,'PV SUPPLY DATA'!$Y:$Y,AF$1,'PV SUPPLY DATA'!$AQ:$AQ,"cosco")+SUMIFS('PV SUPPLY DATA'!$X:$X,'PV SUPPLY DATA'!$AH:$AH,'CT capacity tracker'!$B18,'PV SUPPLY DATA'!$AG:$AG,'CT capacity tracker'!$A$1,'PV SUPPLY DATA'!$Y:$Y,AF$1,'PV SUPPLY DATA'!$AQ:$AQ,"other")+SUMIFS('ESS SUPPLY DATA'!$U:$U,'ESS SUPPLY DATA'!$AF:$AF,'CT capacity tracker'!$B18,'ESS SUPPLY DATA'!$AE:$AE,'CT capacity tracker'!$A$1,'ESS SUPPLY DATA'!$W:$W,'CT capacity tracker'!AF$1,'ESS SUPPLY DATA'!$AO:$AO,"cosco")+SUMIFS('ESS SUPPLY DATA'!$U:$U,'ESS SUPPLY DATA'!$AF:$AF,'CT capacity tracker'!$B18,'ESS SUPPLY DATA'!$AE:$AE,'CT capacity tracker'!$A$1,'ESS SUPPLY DATA'!$W:$W,'CT capacity tracker'!AF$1,'ESS SUPPLY DATA'!$AO:$AO,"other")</f>
        <v>0</v>
      </c>
      <c r="AG21" s="504">
        <f>SUMIFS('PV SUPPLY DATA'!$X:$X,'PV SUPPLY DATA'!$AH:$AH,'CT capacity tracker'!$B18,'PV SUPPLY DATA'!$AG:$AG,'CT capacity tracker'!$A$1,'PV SUPPLY DATA'!$Y:$Y,AG$1,'PV SUPPLY DATA'!$AQ:$AQ,"cosco")+SUMIFS('PV SUPPLY DATA'!$X:$X,'PV SUPPLY DATA'!$AH:$AH,'CT capacity tracker'!$B18,'PV SUPPLY DATA'!$AG:$AG,'CT capacity tracker'!$A$1,'PV SUPPLY DATA'!$Y:$Y,AG$1,'PV SUPPLY DATA'!$AQ:$AQ,"other")+SUMIFS('ESS SUPPLY DATA'!$U:$U,'ESS SUPPLY DATA'!$AF:$AF,'CT capacity tracker'!$B18,'ESS SUPPLY DATA'!$AE:$AE,'CT capacity tracker'!$A$1,'ESS SUPPLY DATA'!$W:$W,'CT capacity tracker'!AG$1,'ESS SUPPLY DATA'!$AO:$AO,"cosco")+SUMIFS('ESS SUPPLY DATA'!$U:$U,'ESS SUPPLY DATA'!$AF:$AF,'CT capacity tracker'!$B18,'ESS SUPPLY DATA'!$AE:$AE,'CT capacity tracker'!$A$1,'ESS SUPPLY DATA'!$W:$W,'CT capacity tracker'!AG$1,'ESS SUPPLY DATA'!$AO:$AO,"other")</f>
        <v>0</v>
      </c>
      <c r="AH21" s="504">
        <f>SUMIFS('PV SUPPLY DATA'!$X:$X,'PV SUPPLY DATA'!$AH:$AH,'CT capacity tracker'!$B18,'PV SUPPLY DATA'!$AG:$AG,'CT capacity tracker'!$A$1,'PV SUPPLY DATA'!$Y:$Y,AH$1,'PV SUPPLY DATA'!$AQ:$AQ,"cosco")+SUMIFS('PV SUPPLY DATA'!$X:$X,'PV SUPPLY DATA'!$AH:$AH,'CT capacity tracker'!$B18,'PV SUPPLY DATA'!$AG:$AG,'CT capacity tracker'!$A$1,'PV SUPPLY DATA'!$Y:$Y,AH$1,'PV SUPPLY DATA'!$AQ:$AQ,"other")+SUMIFS('ESS SUPPLY DATA'!$U:$U,'ESS SUPPLY DATA'!$AF:$AF,'CT capacity tracker'!$B18,'ESS SUPPLY DATA'!$AE:$AE,'CT capacity tracker'!$A$1,'ESS SUPPLY DATA'!$W:$W,'CT capacity tracker'!AH$1,'ESS SUPPLY DATA'!$AO:$AO,"cosco")+SUMIFS('ESS SUPPLY DATA'!$U:$U,'ESS SUPPLY DATA'!$AF:$AF,'CT capacity tracker'!$B18,'ESS SUPPLY DATA'!$AE:$AE,'CT capacity tracker'!$A$1,'ESS SUPPLY DATA'!$W:$W,'CT capacity tracker'!AH$1,'ESS SUPPLY DATA'!$AO:$AO,"other")</f>
        <v>0</v>
      </c>
      <c r="AI21" s="504">
        <f>SUMIFS('PV SUPPLY DATA'!$X:$X,'PV SUPPLY DATA'!$AH:$AH,'CT capacity tracker'!$B18,'PV SUPPLY DATA'!$AG:$AG,'CT capacity tracker'!$A$1,'PV SUPPLY DATA'!$Y:$Y,AI$1,'PV SUPPLY DATA'!$AQ:$AQ,"cosco")+SUMIFS('PV SUPPLY DATA'!$X:$X,'PV SUPPLY DATA'!$AH:$AH,'CT capacity tracker'!$B18,'PV SUPPLY DATA'!$AG:$AG,'CT capacity tracker'!$A$1,'PV SUPPLY DATA'!$Y:$Y,AI$1,'PV SUPPLY DATA'!$AQ:$AQ,"other")+SUMIFS('ESS SUPPLY DATA'!$U:$U,'ESS SUPPLY DATA'!$AF:$AF,'CT capacity tracker'!$B18,'ESS SUPPLY DATA'!$AE:$AE,'CT capacity tracker'!$A$1,'ESS SUPPLY DATA'!$W:$W,'CT capacity tracker'!AI$1,'ESS SUPPLY DATA'!$AO:$AO,"cosco")+SUMIFS('ESS SUPPLY DATA'!$U:$U,'ESS SUPPLY DATA'!$AF:$AF,'CT capacity tracker'!$B18,'ESS SUPPLY DATA'!$AE:$AE,'CT capacity tracker'!$A$1,'ESS SUPPLY DATA'!$W:$W,'CT capacity tracker'!AI$1,'ESS SUPPLY DATA'!$AO:$AO,"other")</f>
        <v>0</v>
      </c>
      <c r="AJ21" s="504">
        <f>SUMIFS('PV SUPPLY DATA'!$X:$X,'PV SUPPLY DATA'!$AH:$AH,'CT capacity tracker'!$B18,'PV SUPPLY DATA'!$AG:$AG,'CT capacity tracker'!$A$1,'PV SUPPLY DATA'!$Y:$Y,AJ$1,'PV SUPPLY DATA'!$AQ:$AQ,"cosco")+SUMIFS('PV SUPPLY DATA'!$X:$X,'PV SUPPLY DATA'!$AH:$AH,'CT capacity tracker'!$B18,'PV SUPPLY DATA'!$AG:$AG,'CT capacity tracker'!$A$1,'PV SUPPLY DATA'!$Y:$Y,AJ$1,'PV SUPPLY DATA'!$AQ:$AQ,"other")+SUMIFS('ESS SUPPLY DATA'!$U:$U,'ESS SUPPLY DATA'!$AF:$AF,'CT capacity tracker'!$B18,'ESS SUPPLY DATA'!$AE:$AE,'CT capacity tracker'!$A$1,'ESS SUPPLY DATA'!$W:$W,'CT capacity tracker'!AJ$1,'ESS SUPPLY DATA'!$AO:$AO,"cosco")+SUMIFS('ESS SUPPLY DATA'!$U:$U,'ESS SUPPLY DATA'!$AF:$AF,'CT capacity tracker'!$B18,'ESS SUPPLY DATA'!$AE:$AE,'CT capacity tracker'!$A$1,'ESS SUPPLY DATA'!$W:$W,'CT capacity tracker'!AJ$1,'ESS SUPPLY DATA'!$AO:$AO,"other")</f>
        <v>0</v>
      </c>
      <c r="AK21" s="511"/>
      <c r="AL21" s="511"/>
      <c r="AM21" s="696">
        <f>SUM(E21:X21)</f>
        <v>26</v>
      </c>
      <c r="AN21" s="503"/>
      <c r="AO21" s="506"/>
      <c r="AP21" s="506"/>
      <c r="AQ21" s="506"/>
      <c r="AR21" s="506"/>
      <c r="AS21" s="506"/>
      <c r="AT21" s="506"/>
    </row>
    <row r="22" spans="1:46" ht="27" customHeight="1">
      <c r="A22" s="1510" t="s">
        <v>4404</v>
      </c>
      <c r="B22" s="1511"/>
      <c r="C22" s="694" t="s">
        <v>4400</v>
      </c>
      <c r="D22" s="515">
        <f>D2+D6++D10+D18+D14</f>
        <v>240</v>
      </c>
      <c r="E22" s="515">
        <f t="shared" ref="E22:N22" si="13">E2+E6++E10+E18</f>
        <v>38</v>
      </c>
      <c r="F22" s="515">
        <f t="shared" si="13"/>
        <v>0</v>
      </c>
      <c r="G22" s="515">
        <f t="shared" si="13"/>
        <v>38</v>
      </c>
      <c r="H22" s="515">
        <f t="shared" si="13"/>
        <v>32</v>
      </c>
      <c r="I22" s="515">
        <f t="shared" si="13"/>
        <v>32.91255613951266</v>
      </c>
      <c r="J22" s="515">
        <f t="shared" si="13"/>
        <v>31.877090301003346</v>
      </c>
      <c r="K22" s="515">
        <f t="shared" si="13"/>
        <v>74</v>
      </c>
      <c r="L22" s="515">
        <f t="shared" si="13"/>
        <v>44</v>
      </c>
      <c r="M22" s="515">
        <f t="shared" si="13"/>
        <v>55</v>
      </c>
      <c r="N22" s="515">
        <f t="shared" si="13"/>
        <v>6</v>
      </c>
      <c r="O22" s="515">
        <f t="shared" ref="O22:AA22" si="14">O2+O6++O10+O18+O14</f>
        <v>5</v>
      </c>
      <c r="P22" s="515">
        <f t="shared" si="14"/>
        <v>56</v>
      </c>
      <c r="Q22" s="515">
        <f t="shared" si="14"/>
        <v>47</v>
      </c>
      <c r="R22" s="515">
        <f t="shared" si="14"/>
        <v>44</v>
      </c>
      <c r="S22" s="515">
        <f t="shared" si="14"/>
        <v>55</v>
      </c>
      <c r="T22" s="515">
        <f t="shared" si="14"/>
        <v>39</v>
      </c>
      <c r="U22" s="515">
        <f t="shared" si="14"/>
        <v>53</v>
      </c>
      <c r="V22" s="515">
        <f t="shared" si="14"/>
        <v>44</v>
      </c>
      <c r="W22" s="515">
        <f t="shared" si="14"/>
        <v>56</v>
      </c>
      <c r="X22" s="515">
        <f t="shared" si="14"/>
        <v>17</v>
      </c>
      <c r="Y22" s="515">
        <f t="shared" si="14"/>
        <v>16</v>
      </c>
      <c r="Z22" s="515">
        <f t="shared" si="14"/>
        <v>33</v>
      </c>
      <c r="AA22" s="515">
        <f t="shared" si="14"/>
        <v>51</v>
      </c>
      <c r="AB22" s="515">
        <f t="shared" ref="AB22:AJ22" si="15">AB2+AB6++AB10+AB18+AB14</f>
        <v>26</v>
      </c>
      <c r="AC22" s="515">
        <f t="shared" si="15"/>
        <v>46</v>
      </c>
      <c r="AD22" s="515">
        <f t="shared" si="15"/>
        <v>96.5</v>
      </c>
      <c r="AE22" s="515">
        <f t="shared" si="15"/>
        <v>0</v>
      </c>
      <c r="AF22" s="515">
        <f t="shared" si="15"/>
        <v>16</v>
      </c>
      <c r="AG22" s="515">
        <f t="shared" si="15"/>
        <v>17</v>
      </c>
      <c r="AH22" s="515">
        <f t="shared" si="15"/>
        <v>10</v>
      </c>
      <c r="AI22" s="515">
        <f t="shared" si="15"/>
        <v>10</v>
      </c>
      <c r="AJ22" s="515">
        <f t="shared" si="15"/>
        <v>0</v>
      </c>
      <c r="AK22" s="505" t="s">
        <v>197</v>
      </c>
      <c r="AL22" s="505" t="s">
        <v>197</v>
      </c>
      <c r="AM22" s="697">
        <f>SUM(E22:X22)</f>
        <v>767.78964644051598</v>
      </c>
      <c r="AN22" s="503" t="s">
        <v>197</v>
      </c>
      <c r="AO22" s="696">
        <f>SUM(T22:X22)</f>
        <v>209</v>
      </c>
      <c r="AP22" s="506">
        <f t="shared" si="3"/>
        <v>134.78964644051601</v>
      </c>
      <c r="AQ22" s="506"/>
      <c r="AR22" s="506"/>
      <c r="AS22" s="506"/>
      <c r="AT22" s="506"/>
    </row>
    <row r="23" spans="1:46" ht="13">
      <c r="A23" s="1512"/>
      <c r="B23" s="1513"/>
      <c r="C23" s="694" t="s">
        <v>4401</v>
      </c>
      <c r="D23" s="515"/>
      <c r="E23" s="515">
        <f t="shared" ref="E23:N23" si="16">E3+E7++E11+E19</f>
        <v>57</v>
      </c>
      <c r="F23" s="515">
        <f t="shared" si="16"/>
        <v>27</v>
      </c>
      <c r="G23" s="515">
        <f t="shared" si="16"/>
        <v>21</v>
      </c>
      <c r="H23" s="515">
        <f t="shared" si="16"/>
        <v>32</v>
      </c>
      <c r="I23" s="515">
        <f t="shared" si="16"/>
        <v>32</v>
      </c>
      <c r="J23" s="515">
        <f t="shared" si="16"/>
        <v>26</v>
      </c>
      <c r="K23" s="515">
        <f t="shared" si="16"/>
        <v>27</v>
      </c>
      <c r="L23" s="515">
        <f t="shared" si="16"/>
        <v>52</v>
      </c>
      <c r="M23" s="515">
        <f t="shared" si="16"/>
        <v>10</v>
      </c>
      <c r="N23" s="515">
        <f t="shared" si="16"/>
        <v>58</v>
      </c>
      <c r="O23" s="515">
        <f t="shared" ref="O23:X23" si="17">O3+O7+O11+O19+O15</f>
        <v>21</v>
      </c>
      <c r="P23" s="515">
        <f t="shared" si="17"/>
        <v>65</v>
      </c>
      <c r="Q23" s="515">
        <f t="shared" si="17"/>
        <v>50</v>
      </c>
      <c r="R23" s="515">
        <f t="shared" si="17"/>
        <v>59</v>
      </c>
      <c r="S23" s="515">
        <f t="shared" si="17"/>
        <v>44</v>
      </c>
      <c r="T23" s="515">
        <f t="shared" si="17"/>
        <v>41</v>
      </c>
      <c r="U23" s="515">
        <f t="shared" si="17"/>
        <v>49</v>
      </c>
      <c r="V23" s="515">
        <f t="shared" si="17"/>
        <v>41</v>
      </c>
      <c r="W23" s="515">
        <f t="shared" si="17"/>
        <v>61</v>
      </c>
      <c r="X23" s="515">
        <f t="shared" si="17"/>
        <v>24</v>
      </c>
      <c r="Y23" s="515">
        <f t="shared" ref="Y23:AB24" si="18">Y3+Y7+Y11+Y19+Y15</f>
        <v>16</v>
      </c>
      <c r="Z23" s="515">
        <f t="shared" si="18"/>
        <v>29</v>
      </c>
      <c r="AA23" s="515">
        <f t="shared" si="18"/>
        <v>29</v>
      </c>
      <c r="AB23" s="515">
        <f t="shared" si="18"/>
        <v>17</v>
      </c>
      <c r="AC23" s="515"/>
      <c r="AD23" s="515"/>
      <c r="AE23" s="515"/>
      <c r="AF23" s="515"/>
      <c r="AG23" s="515"/>
      <c r="AH23" s="515"/>
      <c r="AI23" s="515"/>
      <c r="AJ23" s="515"/>
      <c r="AK23" s="505" t="s">
        <v>197</v>
      </c>
      <c r="AL23" s="505" t="s">
        <v>197</v>
      </c>
      <c r="AM23" s="505"/>
      <c r="AN23" s="503" t="s">
        <v>197</v>
      </c>
      <c r="AO23" s="506"/>
      <c r="AP23" s="506">
        <f t="shared" si="3"/>
        <v>111</v>
      </c>
      <c r="AQ23" s="506"/>
      <c r="AR23" s="506"/>
      <c r="AS23" s="506"/>
      <c r="AT23" s="506"/>
    </row>
    <row r="24" spans="1:46" ht="13">
      <c r="A24" s="1512"/>
      <c r="B24" s="1513"/>
      <c r="C24" s="695" t="s">
        <v>4402</v>
      </c>
      <c r="D24" s="523"/>
      <c r="E24" s="523">
        <f t="shared" ref="E24:J25" si="19">E4+E8++E12+E20</f>
        <v>19</v>
      </c>
      <c r="F24" s="523">
        <f t="shared" si="19"/>
        <v>27</v>
      </c>
      <c r="G24" s="523">
        <f t="shared" si="19"/>
        <v>-17</v>
      </c>
      <c r="H24" s="523">
        <f t="shared" si="19"/>
        <v>0</v>
      </c>
      <c r="I24" s="523">
        <f t="shared" si="19"/>
        <v>-0.91255613951265957</v>
      </c>
      <c r="J24" s="523">
        <f t="shared" si="19"/>
        <v>-5.8770903010033457</v>
      </c>
      <c r="K24" s="523">
        <f>K4+K8+K12+K20</f>
        <v>-47</v>
      </c>
      <c r="L24" s="523">
        <f>L4+L8+L12+L20</f>
        <v>8</v>
      </c>
      <c r="M24" s="523">
        <f>M4+M8++M12+M20</f>
        <v>-45</v>
      </c>
      <c r="N24" s="523">
        <f>N4+N8++N12+N20</f>
        <v>52</v>
      </c>
      <c r="O24" s="523">
        <f t="shared" ref="O24:X24" si="20">O4+O8+O12+O20+O16</f>
        <v>16</v>
      </c>
      <c r="P24" s="523">
        <f t="shared" si="20"/>
        <v>9</v>
      </c>
      <c r="Q24" s="523">
        <f t="shared" si="20"/>
        <v>3</v>
      </c>
      <c r="R24" s="523">
        <f t="shared" si="20"/>
        <v>15</v>
      </c>
      <c r="S24" s="523">
        <f t="shared" si="20"/>
        <v>-11</v>
      </c>
      <c r="T24" s="523">
        <f t="shared" si="20"/>
        <v>2</v>
      </c>
      <c r="U24" s="523">
        <f t="shared" si="20"/>
        <v>-4</v>
      </c>
      <c r="V24" s="523">
        <f t="shared" si="20"/>
        <v>-3</v>
      </c>
      <c r="W24" s="523">
        <f t="shared" si="20"/>
        <v>5</v>
      </c>
      <c r="X24" s="523">
        <f t="shared" si="20"/>
        <v>7</v>
      </c>
      <c r="Y24" s="523">
        <f t="shared" si="18"/>
        <v>0</v>
      </c>
      <c r="Z24" s="523">
        <f t="shared" si="18"/>
        <v>-4</v>
      </c>
      <c r="AA24" s="523">
        <f t="shared" si="18"/>
        <v>-22</v>
      </c>
      <c r="AB24" s="523">
        <f t="shared" si="18"/>
        <v>-9</v>
      </c>
      <c r="AC24" s="523"/>
      <c r="AD24" s="523"/>
      <c r="AE24" s="523"/>
      <c r="AF24" s="523"/>
      <c r="AG24" s="523"/>
      <c r="AH24" s="523"/>
      <c r="AI24" s="523"/>
      <c r="AJ24" s="523"/>
      <c r="AK24" s="511">
        <f>SUMIF($E24:$X24,"&gt;0")</f>
        <v>163</v>
      </c>
      <c r="AL24" s="511">
        <f>SUMIF($E24:$X24,"&lt;0")</f>
        <v>-133.78964644051601</v>
      </c>
      <c r="AM24" s="511"/>
      <c r="AN24" s="503" t="s">
        <v>197</v>
      </c>
      <c r="AO24" s="506"/>
      <c r="AP24" s="923">
        <f>SUM(G24:J24)</f>
        <v>-23.789646440516005</v>
      </c>
      <c r="AQ24" s="506"/>
      <c r="AR24" s="506"/>
      <c r="AS24" s="506"/>
      <c r="AT24" s="506"/>
    </row>
    <row r="25" spans="1:46" ht="13">
      <c r="A25" s="1514"/>
      <c r="B25" s="1515"/>
      <c r="C25" s="694" t="s">
        <v>4403</v>
      </c>
      <c r="D25" s="523"/>
      <c r="E25" s="523">
        <f t="shared" si="19"/>
        <v>38</v>
      </c>
      <c r="F25" s="523">
        <f t="shared" si="19"/>
        <v>0</v>
      </c>
      <c r="G25" s="523">
        <f t="shared" si="19"/>
        <v>38</v>
      </c>
      <c r="H25" s="523">
        <f t="shared" si="19"/>
        <v>32</v>
      </c>
      <c r="I25" s="523">
        <f t="shared" si="19"/>
        <v>32.91255613951266</v>
      </c>
      <c r="J25" s="523">
        <f t="shared" si="19"/>
        <v>31.877090301003346</v>
      </c>
      <c r="K25" s="523">
        <f>K5+K9++K13+K21</f>
        <v>74</v>
      </c>
      <c r="L25" s="523">
        <f>L5+L9++L13+L21</f>
        <v>44</v>
      </c>
      <c r="M25" s="523">
        <f>M5+M9++M13+M21</f>
        <v>55</v>
      </c>
      <c r="N25" s="523">
        <f>N5+N9++N13+N21</f>
        <v>6</v>
      </c>
      <c r="O25" s="523">
        <f t="shared" ref="O25:AB25" si="21">O5+O9+O13+O21+O17</f>
        <v>5</v>
      </c>
      <c r="P25" s="523">
        <f t="shared" si="21"/>
        <v>56</v>
      </c>
      <c r="Q25" s="523">
        <f t="shared" si="21"/>
        <v>47</v>
      </c>
      <c r="R25" s="523">
        <f t="shared" si="21"/>
        <v>44</v>
      </c>
      <c r="S25" s="523">
        <f t="shared" si="21"/>
        <v>55</v>
      </c>
      <c r="T25" s="523">
        <f t="shared" si="21"/>
        <v>39</v>
      </c>
      <c r="U25" s="523">
        <f t="shared" si="21"/>
        <v>53</v>
      </c>
      <c r="V25" s="523">
        <f t="shared" si="21"/>
        <v>44</v>
      </c>
      <c r="W25" s="523">
        <f t="shared" si="21"/>
        <v>56</v>
      </c>
      <c r="X25" s="523">
        <f t="shared" si="21"/>
        <v>17</v>
      </c>
      <c r="Y25" s="523">
        <f t="shared" si="21"/>
        <v>16</v>
      </c>
      <c r="Z25" s="523">
        <f t="shared" si="21"/>
        <v>33</v>
      </c>
      <c r="AA25" s="523">
        <f t="shared" si="21"/>
        <v>51</v>
      </c>
      <c r="AB25" s="523">
        <f t="shared" si="21"/>
        <v>13</v>
      </c>
      <c r="AC25" s="523">
        <f t="shared" ref="AC25:AJ25" si="22">AC5+AC9+AC13+AC21+AC17</f>
        <v>14</v>
      </c>
      <c r="AD25" s="523">
        <f t="shared" si="22"/>
        <v>2</v>
      </c>
      <c r="AE25" s="523">
        <f t="shared" si="22"/>
        <v>0</v>
      </c>
      <c r="AF25" s="523">
        <f t="shared" si="22"/>
        <v>0</v>
      </c>
      <c r="AG25" s="523">
        <f t="shared" si="22"/>
        <v>0</v>
      </c>
      <c r="AH25" s="523">
        <f t="shared" si="22"/>
        <v>0</v>
      </c>
      <c r="AI25" s="523">
        <f t="shared" si="22"/>
        <v>0</v>
      </c>
      <c r="AJ25" s="523">
        <f t="shared" si="22"/>
        <v>0</v>
      </c>
      <c r="AK25" s="511"/>
      <c r="AL25" s="511"/>
      <c r="AM25" s="697">
        <f>SUM(E25:X25)</f>
        <v>767.78964644051598</v>
      </c>
      <c r="AN25" s="503"/>
      <c r="AO25" s="696">
        <f>SUM(T25:X25)</f>
        <v>209</v>
      </c>
      <c r="AP25" s="693"/>
      <c r="AQ25" s="506"/>
      <c r="AR25" s="506"/>
      <c r="AS25" s="506"/>
      <c r="AT25" s="506"/>
    </row>
    <row r="26" spans="1:46" ht="13">
      <c r="A26" s="1516" t="s">
        <v>86</v>
      </c>
      <c r="B26" s="1516" t="s">
        <v>78</v>
      </c>
      <c r="C26" s="503" t="s">
        <v>4400</v>
      </c>
      <c r="D26" s="504">
        <f>SUMIFS('PV SUPPLY DATA'!$X:$X,'PV SUPPLY DATA'!$AH:$AH,'CT capacity tracker'!$B26,'PV SUPPLY DATA'!$AG:$AG,'CT capacity tracker'!$A$1,'PV SUPPLY DATA'!$Z:$Z,'CT capacity tracker'!D$1)+SUMIFS('ESS SUPPLY DATA'!$U:$U,'ESS SUPPLY DATA'!$AF:$AF,'CT capacity tracker'!$B26,'ESS SUPPLY DATA'!$AE:$AE,'CT capacity tracker'!$A$1,'ESS SUPPLY DATA'!$X:$X,'CT capacity tracker'!D$1)</f>
        <v>66</v>
      </c>
      <c r="E26" s="504">
        <f>SUMIFS('PV SUPPLY DATA'!$X:$X,'PV SUPPLY DATA'!$AH:$AH,'CT capacity tracker'!$B26,'PV SUPPLY DATA'!$AG:$AG,'CT capacity tracker'!$A$1,'PV SUPPLY DATA'!$Y:$Y,'CT capacity tracker'!E$1)+SUMIFS('ESS SUPPLY DATA'!$U:$U,'ESS SUPPLY DATA'!$AF:$AF,'CT capacity tracker'!$B26,'ESS SUPPLY DATA'!$AE:$AE,'CT capacity tracker'!$A$1,'ESS SUPPLY DATA'!$W:$W,'CT capacity tracker'!E$1)</f>
        <v>0</v>
      </c>
      <c r="F26" s="504">
        <f>SUMIFS('PV SUPPLY DATA'!$X:$X,'PV SUPPLY DATA'!$AH:$AH,'CT capacity tracker'!$B26,'PV SUPPLY DATA'!$AG:$AG,'CT capacity tracker'!$A$1,'PV SUPPLY DATA'!$Y:$Y,'CT capacity tracker'!F$1)+SUMIFS('ESS SUPPLY DATA'!$U:$U,'ESS SUPPLY DATA'!$AF:$AF,'CT capacity tracker'!$B26,'ESS SUPPLY DATA'!$AE:$AE,'CT capacity tracker'!$A$1,'ESS SUPPLY DATA'!$W:$W,'CT capacity tracker'!F$1)</f>
        <v>0</v>
      </c>
      <c r="G26" s="504">
        <f>SUMIFS('PV SUPPLY DATA'!$X:$X,'PV SUPPLY DATA'!$AH:$AH,'CT capacity tracker'!$B26,'PV SUPPLY DATA'!$AG:$AG,'CT capacity tracker'!$A$1,'PV SUPPLY DATA'!$Y:$Y,'CT capacity tracker'!G$1)+SUMIFS('ESS SUPPLY DATA'!$U:$U,'ESS SUPPLY DATA'!$AF:$AF,'CT capacity tracker'!$B26,'ESS SUPPLY DATA'!$AE:$AE,'CT capacity tracker'!$A$1,'ESS SUPPLY DATA'!$W:$W,'CT capacity tracker'!G$1)</f>
        <v>3</v>
      </c>
      <c r="H26" s="504">
        <f>SUMIFS('PV SUPPLY DATA'!$X:$X,'PV SUPPLY DATA'!$AH:$AH,'CT capacity tracker'!$B26,'PV SUPPLY DATA'!$AG:$AG,'CT capacity tracker'!$A$1,'PV SUPPLY DATA'!$Y:$Y,'CT capacity tracker'!H$1)+SUMIFS('ESS SUPPLY DATA'!$U:$U,'ESS SUPPLY DATA'!$AF:$AF,'CT capacity tracker'!$B26,'ESS SUPPLY DATA'!$AE:$AE,'CT capacity tracker'!$A$1,'ESS SUPPLY DATA'!$W:$W,'CT capacity tracker'!H$1)</f>
        <v>26</v>
      </c>
      <c r="I26" s="504">
        <f>SUMIFS('PV SUPPLY DATA'!$X:$X,'PV SUPPLY DATA'!$AH:$AH,'CT capacity tracker'!$B26,'PV SUPPLY DATA'!$AG:$AG,'CT capacity tracker'!$A$1,'PV SUPPLY DATA'!$Y:$Y,'CT capacity tracker'!I$1)+SUMIFS('ESS SUPPLY DATA'!$U:$U,'ESS SUPPLY DATA'!$AF:$AF,'CT capacity tracker'!$B26,'ESS SUPPLY DATA'!$AE:$AE,'CT capacity tracker'!$A$1,'ESS SUPPLY DATA'!$W:$W,'CT capacity tracker'!I$1)</f>
        <v>27</v>
      </c>
      <c r="J26" s="504">
        <f>SUMIFS('PV SUPPLY DATA'!$X:$X,'PV SUPPLY DATA'!$AH:$AH,'CT capacity tracker'!$B26,'PV SUPPLY DATA'!$AG:$AG,'CT capacity tracker'!$A$1,'PV SUPPLY DATA'!$Y:$Y,'CT capacity tracker'!J$1)+SUMIFS('ESS SUPPLY DATA'!$U:$U,'ESS SUPPLY DATA'!$AF:$AF,'CT capacity tracker'!$B26,'ESS SUPPLY DATA'!$AE:$AE,'CT capacity tracker'!$A$1,'ESS SUPPLY DATA'!$W:$W,'CT capacity tracker'!J$1)</f>
        <v>37</v>
      </c>
      <c r="K26" s="504">
        <f>SUMIFS('PV SUPPLY DATA'!$X:$X,'PV SUPPLY DATA'!$AH:$AH,'CT capacity tracker'!$B26,'PV SUPPLY DATA'!$AG:$AG,'CT capacity tracker'!$A$1,'PV SUPPLY DATA'!$Y:$Y,'CT capacity tracker'!K$1)+SUMIFS('ESS SUPPLY DATA'!$U:$U,'ESS SUPPLY DATA'!$AF:$AF,'CT capacity tracker'!$B26,'ESS SUPPLY DATA'!$AE:$AE,'CT capacity tracker'!$A$1,'ESS SUPPLY DATA'!$W:$W,'CT capacity tracker'!K$1)</f>
        <v>16.997142857142858</v>
      </c>
      <c r="L26" s="504">
        <f>SUMIFS('PV SUPPLY DATA'!$X:$X,'PV SUPPLY DATA'!$AH:$AH,'CT capacity tracker'!$B26,'PV SUPPLY DATA'!$AG:$AG,'CT capacity tracker'!$A$1,'PV SUPPLY DATA'!$Y:$Y,'CT capacity tracker'!L$1)+SUMIFS('ESS SUPPLY DATA'!$U:$U,'ESS SUPPLY DATA'!$AF:$AF,'CT capacity tracker'!$B26,'ESS SUPPLY DATA'!$AE:$AE,'CT capacity tracker'!$A$1,'ESS SUPPLY DATA'!$W:$W,'CT capacity tracker'!L$1)</f>
        <v>29</v>
      </c>
      <c r="M26" s="504">
        <f>SUMIFS('PV SUPPLY DATA'!$X:$X,'PV SUPPLY DATA'!$AH:$AH,'CT capacity tracker'!$B26,'PV SUPPLY DATA'!$AG:$AG,'CT capacity tracker'!$A$1,'PV SUPPLY DATA'!$Y:$Y,'CT capacity tracker'!M$1)+SUMIFS('ESS SUPPLY DATA'!$U:$U,'ESS SUPPLY DATA'!$AF:$AF,'CT capacity tracker'!$B26,'ESS SUPPLY DATA'!$AE:$AE,'CT capacity tracker'!$A$1,'ESS SUPPLY DATA'!$W:$W,'CT capacity tracker'!M$1)</f>
        <v>17</v>
      </c>
      <c r="N26" s="504">
        <f>SUMIFS('PV SUPPLY DATA'!$X:$X,'PV SUPPLY DATA'!$AH:$AH,'CT capacity tracker'!$B26,'PV SUPPLY DATA'!$AG:$AG,'CT capacity tracker'!$A$1,'PV SUPPLY DATA'!$Y:$Y,'CT capacity tracker'!N$1)+SUMIFS('ESS SUPPLY DATA'!$U:$U,'ESS SUPPLY DATA'!$AF:$AF,'CT capacity tracker'!$B26,'ESS SUPPLY DATA'!$AE:$AE,'CT capacity tracker'!$A$1,'ESS SUPPLY DATA'!$W:$W,'CT capacity tracker'!N$1)</f>
        <v>18</v>
      </c>
      <c r="O26" s="504">
        <f>SUMIFS('PV SUPPLY DATA'!$X:$X,'PV SUPPLY DATA'!$AH:$AH,'CT capacity tracker'!$B26,'PV SUPPLY DATA'!$AG:$AG,'CT capacity tracker'!$A$1,'PV SUPPLY DATA'!$Y:$Y,'CT capacity tracker'!O$1)+SUMIFS('ESS SUPPLY DATA'!$U:$U,'ESS SUPPLY DATA'!$AF:$AF,'CT capacity tracker'!$B26,'ESS SUPPLY DATA'!$AE:$AE,'CT capacity tracker'!$A$1,'ESS SUPPLY DATA'!$W:$W,'CT capacity tracker'!O$1)</f>
        <v>27.858928571428571</v>
      </c>
      <c r="P26" s="504">
        <f>SUMIFS('PV SUPPLY DATA'!$X:$X,'PV SUPPLY DATA'!$AH:$AH,'CT capacity tracker'!$B26,'PV SUPPLY DATA'!$AG:$AG,'CT capacity tracker'!$A$1,'PV SUPPLY DATA'!$Y:$Y,'CT capacity tracker'!P$1)+SUMIFS('ESS SUPPLY DATA'!$U:$U,'ESS SUPPLY DATA'!$AF:$AF,'CT capacity tracker'!$B26,'ESS SUPPLY DATA'!$AE:$AE,'CT capacity tracker'!$A$1,'ESS SUPPLY DATA'!$W:$W,'CT capacity tracker'!P$1)</f>
        <v>26</v>
      </c>
      <c r="Q26" s="504">
        <f>SUMIFS('PV SUPPLY DATA'!$X:$X,'PV SUPPLY DATA'!$AH:$AH,'CT capacity tracker'!$B26,'PV SUPPLY DATA'!$AG:$AG,'CT capacity tracker'!$A$1,'PV SUPPLY DATA'!$Y:$Y,'CT capacity tracker'!Q$1)+SUMIFS('ESS SUPPLY DATA'!$U:$U,'ESS SUPPLY DATA'!$AF:$AF,'CT capacity tracker'!$B26,'ESS SUPPLY DATA'!$AE:$AE,'CT capacity tracker'!$A$1,'ESS SUPPLY DATA'!$W:$W,'CT capacity tracker'!Q$1)</f>
        <v>19.001785714285713</v>
      </c>
      <c r="R26" s="504">
        <f>SUMIFS('PV SUPPLY DATA'!$X:$X,'PV SUPPLY DATA'!$AH:$AH,'CT capacity tracker'!$B26,'PV SUPPLY DATA'!$AG:$AG,'CT capacity tracker'!$A$1,'PV SUPPLY DATA'!$Y:$Y,'CT capacity tracker'!R$1)+SUMIFS('ESS SUPPLY DATA'!$U:$U,'ESS SUPPLY DATA'!$AF:$AF,'CT capacity tracker'!$B26,'ESS SUPPLY DATA'!$AE:$AE,'CT capacity tracker'!$A$1,'ESS SUPPLY DATA'!$W:$W,'CT capacity tracker'!R$1)</f>
        <v>21</v>
      </c>
      <c r="S26" s="504">
        <f>SUMIFS('PV SUPPLY DATA'!$X:$X,'PV SUPPLY DATA'!$AH:$AH,'CT capacity tracker'!$B26,'PV SUPPLY DATA'!$AG:$AG,'CT capacity tracker'!$A$1,'PV SUPPLY DATA'!$Y:$Y,'CT capacity tracker'!S$1)+SUMIFS('ESS SUPPLY DATA'!$U:$U,'ESS SUPPLY DATA'!$AF:$AF,'CT capacity tracker'!$B26,'ESS SUPPLY DATA'!$AE:$AE,'CT capacity tracker'!$A$1,'ESS SUPPLY DATA'!$W:$W,'CT capacity tracker'!S$1)</f>
        <v>15</v>
      </c>
      <c r="T26" s="504">
        <f>SUMIFS('PV SUPPLY DATA'!$X:$X,'PV SUPPLY DATA'!$AH:$AH,'CT capacity tracker'!$B26,'PV SUPPLY DATA'!$AG:$AG,'CT capacity tracker'!$A$1,'PV SUPPLY DATA'!$Y:$Y,'CT capacity tracker'!T$1)+SUMIFS('ESS SUPPLY DATA'!$U:$U,'ESS SUPPLY DATA'!$AF:$AF,'CT capacity tracker'!$B26,'ESS SUPPLY DATA'!$AE:$AE,'CT capacity tracker'!$A$1,'ESS SUPPLY DATA'!$W:$W,'CT capacity tracker'!T$1)</f>
        <v>14</v>
      </c>
      <c r="U26" s="504">
        <f>SUMIFS('PV SUPPLY DATA'!$X:$X,'PV SUPPLY DATA'!$AH:$AH,'CT capacity tracker'!$B26,'PV SUPPLY DATA'!$AG:$AG,'CT capacity tracker'!$A$1,'PV SUPPLY DATA'!$Y:$Y,'CT capacity tracker'!U$1)+SUMIFS('ESS SUPPLY DATA'!$U:$U,'ESS SUPPLY DATA'!$AF:$AF,'CT capacity tracker'!$B26,'ESS SUPPLY DATA'!$AE:$AE,'CT capacity tracker'!$A$1,'ESS SUPPLY DATA'!$W:$W,'CT capacity tracker'!U$1)</f>
        <v>16</v>
      </c>
      <c r="V26" s="504">
        <f>SUMIFS('PV SUPPLY DATA'!$X:$X,'PV SUPPLY DATA'!$AH:$AH,'CT capacity tracker'!$B26,'PV SUPPLY DATA'!$AG:$AG,'CT capacity tracker'!$A$1,'PV SUPPLY DATA'!$Y:$Y,'CT capacity tracker'!V$1)+SUMIFS('ESS SUPPLY DATA'!$U:$U,'ESS SUPPLY DATA'!$AF:$AF,'CT capacity tracker'!$B26,'ESS SUPPLY DATA'!$AE:$AE,'CT capacity tracker'!$A$1,'ESS SUPPLY DATA'!$W:$W,'CT capacity tracker'!V$1)</f>
        <v>1</v>
      </c>
      <c r="W26" s="504">
        <f>SUMIFS('PV SUPPLY DATA'!$X:$X,'PV SUPPLY DATA'!$AH:$AH,'CT capacity tracker'!$B26,'PV SUPPLY DATA'!$AG:$AG,'CT capacity tracker'!$A$1,'PV SUPPLY DATA'!$Y:$Y,'CT capacity tracker'!W$1)+SUMIFS('ESS SUPPLY DATA'!$U:$U,'ESS SUPPLY DATA'!$AF:$AF,'CT capacity tracker'!$B26,'ESS SUPPLY DATA'!$AE:$AE,'CT capacity tracker'!$A$1,'ESS SUPPLY DATA'!$W:$W,'CT capacity tracker'!W$1)</f>
        <v>7</v>
      </c>
      <c r="X26" s="504">
        <f>SUMIFS('PV SUPPLY DATA'!$X:$X,'PV SUPPLY DATA'!$AH:$AH,'CT capacity tracker'!$B26,'PV SUPPLY DATA'!$AG:$AG,'CT capacity tracker'!$A$1,'PV SUPPLY DATA'!$Y:$Y,'CT capacity tracker'!X$1)+SUMIFS('ESS SUPPLY DATA'!$U:$U,'ESS SUPPLY DATA'!$AF:$AF,'CT capacity tracker'!$B26,'ESS SUPPLY DATA'!$AE:$AE,'CT capacity tracker'!$A$1,'ESS SUPPLY DATA'!$W:$W,'CT capacity tracker'!X$1)</f>
        <v>10</v>
      </c>
      <c r="Y26" s="504">
        <f>SUMIFS('PV SUPPLY DATA'!$X:$X,'PV SUPPLY DATA'!$AH:$AH,'CT capacity tracker'!$B26,'PV SUPPLY DATA'!$AG:$AG,'CT capacity tracker'!$A$1,'PV SUPPLY DATA'!$Y:$Y,'CT capacity tracker'!Y$1)+SUMIFS('ESS SUPPLY DATA'!$U:$U,'ESS SUPPLY DATA'!$AF:$AF,'CT capacity tracker'!$B26,'ESS SUPPLY DATA'!$AE:$AE,'CT capacity tracker'!$A$1,'ESS SUPPLY DATA'!$W:$W,'CT capacity tracker'!Y$1)</f>
        <v>6</v>
      </c>
      <c r="Z26" s="504">
        <f>SUMIFS('PV SUPPLY DATA'!$X:$X,'PV SUPPLY DATA'!$AH:$AH,'CT capacity tracker'!$B26,'PV SUPPLY DATA'!$AG:$AG,'CT capacity tracker'!$A$1,'PV SUPPLY DATA'!$Y:$Y,'CT capacity tracker'!Z$1)+SUMIFS('ESS SUPPLY DATA'!$U:$U,'ESS SUPPLY DATA'!$AF:$AF,'CT capacity tracker'!$B26,'ESS SUPPLY DATA'!$AE:$AE,'CT capacity tracker'!$A$1,'ESS SUPPLY DATA'!$W:$W,'CT capacity tracker'!Z$1)</f>
        <v>8</v>
      </c>
      <c r="AA26" s="504">
        <f>SUMIFS('PV SUPPLY DATA'!$X:$X,'PV SUPPLY DATA'!$AH:$AH,'CT capacity tracker'!$B26,'PV SUPPLY DATA'!$AG:$AG,'CT capacity tracker'!$A$1,'PV SUPPLY DATA'!$Y:$Y,'CT capacity tracker'!AA$1)+SUMIFS('ESS SUPPLY DATA'!$U:$U,'ESS SUPPLY DATA'!$AF:$AF,'CT capacity tracker'!$B26,'ESS SUPPLY DATA'!$AE:$AE,'CT capacity tracker'!$A$1,'ESS SUPPLY DATA'!$W:$W,'CT capacity tracker'!AA$1)</f>
        <v>8</v>
      </c>
      <c r="AB26" s="504">
        <f>SUMIFS('PV SUPPLY DATA'!$X:$X,'PV SUPPLY DATA'!$AH:$AH,'CT capacity tracker'!$B26,'PV SUPPLY DATA'!$AG:$AG,'CT capacity tracker'!$A$1,'PV SUPPLY DATA'!$Y:$Y,'CT capacity tracker'!AB$1)+SUMIFS('ESS SUPPLY DATA'!$U:$U,'ESS SUPPLY DATA'!$AF:$AF,'CT capacity tracker'!$B26,'ESS SUPPLY DATA'!$AE:$AE,'CT capacity tracker'!$A$1,'ESS SUPPLY DATA'!$W:$W,'CT capacity tracker'!AB$1)</f>
        <v>5</v>
      </c>
      <c r="AC26" s="504">
        <f>SUMIFS('PV SUPPLY DATA'!$X:$X,'PV SUPPLY DATA'!$AH:$AH,'CT capacity tracker'!$B26,'PV SUPPLY DATA'!$AG:$AG,'CT capacity tracker'!$A$1,'PV SUPPLY DATA'!$Y:$Y,'CT capacity tracker'!AC$1)+SUMIFS('ESS SUPPLY DATA'!$U:$U,'ESS SUPPLY DATA'!$AF:$AF,'CT capacity tracker'!$B26,'ESS SUPPLY DATA'!$AE:$AE,'CT capacity tracker'!$A$1,'ESS SUPPLY DATA'!$W:$W,'CT capacity tracker'!AC$1)</f>
        <v>2</v>
      </c>
      <c r="AD26" s="504">
        <f>SUMIFS('PV SUPPLY DATA'!$X:$X,'PV SUPPLY DATA'!$AH:$AH,'CT capacity tracker'!$B26,'PV SUPPLY DATA'!$AG:$AG,'CT capacity tracker'!$A$1,'PV SUPPLY DATA'!$Y:$Y,'CT capacity tracker'!AD$1)+SUMIFS('ESS SUPPLY DATA'!$U:$U,'ESS SUPPLY DATA'!$AF:$AF,'CT capacity tracker'!$B26,'ESS SUPPLY DATA'!$AE:$AE,'CT capacity tracker'!$A$1,'ESS SUPPLY DATA'!$W:$W,'CT capacity tracker'!AD$1)</f>
        <v>0</v>
      </c>
      <c r="AE26" s="504">
        <f>SUMIFS('PV SUPPLY DATA'!$X:$X,'PV SUPPLY DATA'!$AH:$AH,'CT capacity tracker'!$B26,'PV SUPPLY DATA'!$AG:$AG,'CT capacity tracker'!$A$1,'PV SUPPLY DATA'!$Y:$Y,'CT capacity tracker'!AE$1)+SUMIFS('ESS SUPPLY DATA'!$U:$U,'ESS SUPPLY DATA'!$AF:$AF,'CT capacity tracker'!$B26,'ESS SUPPLY DATA'!$AE:$AE,'CT capacity tracker'!$A$1,'ESS SUPPLY DATA'!$W:$W,'CT capacity tracker'!AE$1)</f>
        <v>0</v>
      </c>
      <c r="AF26" s="504">
        <f>SUMIFS('PV SUPPLY DATA'!$X:$X,'PV SUPPLY DATA'!$AH:$AH,'CT capacity tracker'!$B26,'PV SUPPLY DATA'!$AG:$AG,'CT capacity tracker'!$A$1,'PV SUPPLY DATA'!$Y:$Y,'CT capacity tracker'!AF$1)+SUMIFS('ESS SUPPLY DATA'!$U:$U,'ESS SUPPLY DATA'!$AF:$AF,'CT capacity tracker'!$B26,'ESS SUPPLY DATA'!$AE:$AE,'CT capacity tracker'!$A$1,'ESS SUPPLY DATA'!$W:$W,'CT capacity tracker'!AF$1)</f>
        <v>8</v>
      </c>
      <c r="AG26" s="504">
        <f>SUMIFS('PV SUPPLY DATA'!$X:$X,'PV SUPPLY DATA'!$AH:$AH,'CT capacity tracker'!$B26,'PV SUPPLY DATA'!$AG:$AG,'CT capacity tracker'!$A$1,'PV SUPPLY DATA'!$Y:$Y,'CT capacity tracker'!AG$1)+SUMIFS('ESS SUPPLY DATA'!$U:$U,'ESS SUPPLY DATA'!$AF:$AF,'CT capacity tracker'!$B26,'ESS SUPPLY DATA'!$AE:$AE,'CT capacity tracker'!$A$1,'ESS SUPPLY DATA'!$W:$W,'CT capacity tracker'!AG$1)</f>
        <v>6</v>
      </c>
      <c r="AH26" s="504">
        <f>SUMIFS('PV SUPPLY DATA'!$X:$X,'PV SUPPLY DATA'!$AH:$AH,'CT capacity tracker'!$B26,'PV SUPPLY DATA'!$AG:$AG,'CT capacity tracker'!$A$1,'PV SUPPLY DATA'!$Y:$Y,'CT capacity tracker'!AH$1)+SUMIFS('ESS SUPPLY DATA'!$U:$U,'ESS SUPPLY DATA'!$AF:$AF,'CT capacity tracker'!$B26,'ESS SUPPLY DATA'!$AE:$AE,'CT capacity tracker'!$A$1,'ESS SUPPLY DATA'!$W:$W,'CT capacity tracker'!AH$1)</f>
        <v>6</v>
      </c>
      <c r="AI26" s="504">
        <f>SUMIFS('PV SUPPLY DATA'!$X:$X,'PV SUPPLY DATA'!$AH:$AH,'CT capacity tracker'!$B26,'PV SUPPLY DATA'!$AG:$AG,'CT capacity tracker'!$A$1,'PV SUPPLY DATA'!$Y:$Y,'CT capacity tracker'!AI$1)+SUMIFS('ESS SUPPLY DATA'!$U:$U,'ESS SUPPLY DATA'!$AF:$AF,'CT capacity tracker'!$B26,'ESS SUPPLY DATA'!$AE:$AE,'CT capacity tracker'!$A$1,'ESS SUPPLY DATA'!$W:$W,'CT capacity tracker'!AI$1)</f>
        <v>6</v>
      </c>
      <c r="AJ26" s="504">
        <f>SUMIFS('PV SUPPLY DATA'!$X:$X,'PV SUPPLY DATA'!$AH:$AH,'CT capacity tracker'!$B26,'PV SUPPLY DATA'!$AG:$AG,'CT capacity tracker'!$A$1,'PV SUPPLY DATA'!$Y:$Y,'CT capacity tracker'!AJ$1)+SUMIFS('ESS SUPPLY DATA'!$U:$U,'ESS SUPPLY DATA'!$AF:$AF,'CT capacity tracker'!$B26,'ESS SUPPLY DATA'!$AE:$AE,'CT capacity tracker'!$A$1,'ESS SUPPLY DATA'!$W:$W,'CT capacity tracker'!AJ$1)</f>
        <v>0</v>
      </c>
      <c r="AK26" s="505" t="s">
        <v>197</v>
      </c>
      <c r="AL26" s="505" t="s">
        <v>197</v>
      </c>
      <c r="AM26" s="696">
        <f>SUM(E26:X26)</f>
        <v>330.85785714285714</v>
      </c>
      <c r="AN26" s="503" t="s">
        <v>197</v>
      </c>
      <c r="AO26" s="506"/>
      <c r="AP26" s="506">
        <f t="shared" si="3"/>
        <v>93</v>
      </c>
      <c r="AQ26" s="506"/>
      <c r="AR26" s="506"/>
      <c r="AS26" s="506"/>
      <c r="AT26" s="506"/>
    </row>
    <row r="27" spans="1:46" ht="13">
      <c r="A27" s="1517"/>
      <c r="B27" s="1517"/>
      <c r="C27" s="509" t="s">
        <v>4401</v>
      </c>
      <c r="D27" s="509"/>
      <c r="E27" s="510"/>
      <c r="F27" s="510">
        <v>9</v>
      </c>
      <c r="G27" s="510">
        <v>5</v>
      </c>
      <c r="H27" s="510">
        <v>20</v>
      </c>
      <c r="I27" s="510">
        <v>39</v>
      </c>
      <c r="J27" s="510">
        <v>27</v>
      </c>
      <c r="K27" s="510">
        <f>22+1</f>
        <v>23</v>
      </c>
      <c r="L27" s="510">
        <f>20+6+1+2</f>
        <v>29</v>
      </c>
      <c r="M27" s="510">
        <f>20-1-3-1+1</f>
        <v>16</v>
      </c>
      <c r="N27" s="510">
        <f>5+2</f>
        <v>7</v>
      </c>
      <c r="O27" s="510">
        <f>12+2</f>
        <v>14</v>
      </c>
      <c r="P27" s="510">
        <f>5-3+4+14</f>
        <v>20</v>
      </c>
      <c r="Q27" s="510">
        <f>5+10-5+4+2+5+17</f>
        <v>38</v>
      </c>
      <c r="R27" s="510">
        <f>10-5+24+2</f>
        <v>31</v>
      </c>
      <c r="S27" s="510">
        <f>5-2+10-6+6+2</f>
        <v>15</v>
      </c>
      <c r="T27" s="510">
        <f>10+5-1+2</f>
        <v>16</v>
      </c>
      <c r="U27" s="510">
        <f>5+3+2</f>
        <v>10</v>
      </c>
      <c r="V27" s="510">
        <f>12-4-2+5</f>
        <v>11</v>
      </c>
      <c r="W27" s="510">
        <f>12-4-4+4</f>
        <v>8</v>
      </c>
      <c r="X27" s="510">
        <f>10+5</f>
        <v>15</v>
      </c>
      <c r="Y27" s="510">
        <v>12</v>
      </c>
      <c r="Z27" s="510">
        <f>12+5</f>
        <v>17</v>
      </c>
      <c r="AA27" s="510">
        <f>5+12</f>
        <v>17</v>
      </c>
      <c r="AB27" s="510">
        <v>5</v>
      </c>
      <c r="AC27" s="510">
        <v>2</v>
      </c>
      <c r="AD27" s="510">
        <v>0</v>
      </c>
      <c r="AE27" s="510">
        <v>8</v>
      </c>
      <c r="AF27" s="510">
        <v>12</v>
      </c>
      <c r="AG27" s="510"/>
      <c r="AH27" s="510"/>
      <c r="AI27" s="510"/>
      <c r="AJ27" s="510"/>
      <c r="AK27" s="505" t="s">
        <v>197</v>
      </c>
      <c r="AL27" s="505" t="s">
        <v>197</v>
      </c>
      <c r="AM27" s="696"/>
      <c r="AN27" s="503" t="s">
        <v>197</v>
      </c>
      <c r="AO27" s="506"/>
      <c r="AP27" s="506">
        <f t="shared" si="3"/>
        <v>91</v>
      </c>
      <c r="AQ27" s="506"/>
      <c r="AR27" s="506"/>
      <c r="AS27" s="506"/>
      <c r="AT27" s="506"/>
    </row>
    <row r="28" spans="1:46" ht="13">
      <c r="A28" s="1517"/>
      <c r="B28" s="1517"/>
      <c r="C28" s="520" t="s">
        <v>4402</v>
      </c>
      <c r="D28" s="522"/>
      <c r="E28" s="522">
        <f t="shared" ref="E28:X28" si="23">E27-E26</f>
        <v>0</v>
      </c>
      <c r="F28" s="522">
        <f t="shared" si="23"/>
        <v>9</v>
      </c>
      <c r="G28" s="522">
        <f t="shared" si="23"/>
        <v>2</v>
      </c>
      <c r="H28" s="522">
        <f t="shared" si="23"/>
        <v>-6</v>
      </c>
      <c r="I28" s="522">
        <f t="shared" si="23"/>
        <v>12</v>
      </c>
      <c r="J28" s="522">
        <f t="shared" si="23"/>
        <v>-10</v>
      </c>
      <c r="K28" s="522">
        <f t="shared" si="23"/>
        <v>6.0028571428571418</v>
      </c>
      <c r="L28" s="522">
        <f t="shared" si="23"/>
        <v>0</v>
      </c>
      <c r="M28" s="522">
        <f t="shared" si="23"/>
        <v>-1</v>
      </c>
      <c r="N28" s="522">
        <f t="shared" si="23"/>
        <v>-11</v>
      </c>
      <c r="O28" s="522">
        <f t="shared" si="23"/>
        <v>-13.858928571428571</v>
      </c>
      <c r="P28" s="522">
        <f t="shared" si="23"/>
        <v>-6</v>
      </c>
      <c r="Q28" s="522">
        <f t="shared" si="23"/>
        <v>18.998214285714287</v>
      </c>
      <c r="R28" s="522">
        <f t="shared" si="23"/>
        <v>10</v>
      </c>
      <c r="S28" s="522">
        <f t="shared" si="23"/>
        <v>0</v>
      </c>
      <c r="T28" s="522">
        <f t="shared" si="23"/>
        <v>2</v>
      </c>
      <c r="U28" s="522">
        <f t="shared" si="23"/>
        <v>-6</v>
      </c>
      <c r="V28" s="522">
        <f t="shared" si="23"/>
        <v>10</v>
      </c>
      <c r="W28" s="522">
        <f t="shared" si="23"/>
        <v>1</v>
      </c>
      <c r="X28" s="522">
        <f t="shared" si="23"/>
        <v>5</v>
      </c>
      <c r="Y28" s="522">
        <f t="shared" ref="Y28:AJ28" si="24">Y27-Y26</f>
        <v>6</v>
      </c>
      <c r="Z28" s="522">
        <f t="shared" si="24"/>
        <v>9</v>
      </c>
      <c r="AA28" s="522">
        <f t="shared" si="24"/>
        <v>9</v>
      </c>
      <c r="AB28" s="522">
        <f t="shared" si="24"/>
        <v>0</v>
      </c>
      <c r="AC28" s="522">
        <f t="shared" si="24"/>
        <v>0</v>
      </c>
      <c r="AD28" s="522">
        <f t="shared" si="24"/>
        <v>0</v>
      </c>
      <c r="AE28" s="522">
        <f t="shared" si="24"/>
        <v>8</v>
      </c>
      <c r="AF28" s="522">
        <f t="shared" si="24"/>
        <v>4</v>
      </c>
      <c r="AG28" s="522">
        <f t="shared" si="24"/>
        <v>-6</v>
      </c>
      <c r="AH28" s="522">
        <f t="shared" si="24"/>
        <v>-6</v>
      </c>
      <c r="AI28" s="522">
        <f t="shared" si="24"/>
        <v>-6</v>
      </c>
      <c r="AJ28" s="522">
        <f t="shared" si="24"/>
        <v>0</v>
      </c>
      <c r="AK28" s="511">
        <f>SUMIF($E28:$X28,"&gt;0")</f>
        <v>76.001071428571436</v>
      </c>
      <c r="AL28" s="511">
        <f>SUMIF($E28:$X28,"&lt;0")</f>
        <v>-53.858928571428571</v>
      </c>
      <c r="AM28" s="696"/>
      <c r="AN28" s="503"/>
      <c r="AO28" s="506"/>
      <c r="AP28" s="506">
        <f t="shared" si="3"/>
        <v>-2</v>
      </c>
      <c r="AQ28" s="506"/>
      <c r="AR28" s="506"/>
      <c r="AS28" s="506"/>
      <c r="AT28" s="506"/>
    </row>
    <row r="29" spans="1:46" ht="13">
      <c r="A29" s="1517"/>
      <c r="B29" s="1518"/>
      <c r="C29" s="503" t="s">
        <v>4403</v>
      </c>
      <c r="D29" s="522"/>
      <c r="E29" s="504">
        <f>SUMIFS('PV SUPPLY DATA'!$X:$X,'PV SUPPLY DATA'!$AH:$AH,'CT capacity tracker'!$B26,'PV SUPPLY DATA'!$AG:$AG,'CT capacity tracker'!$A$1,'PV SUPPLY DATA'!$Y:$Y,E$1,'PV SUPPLY DATA'!$AQ:$AQ,"cosco")+SUMIFS('PV SUPPLY DATA'!$X:$X,'PV SUPPLY DATA'!$AH:$AH,'CT capacity tracker'!$B26,'PV SUPPLY DATA'!$AG:$AG,'CT capacity tracker'!$A$1,'PV SUPPLY DATA'!$Y:$Y,E$1,'PV SUPPLY DATA'!$AQ:$AQ,"other")+SUMIFS('ESS SUPPLY DATA'!$U:$U,'ESS SUPPLY DATA'!$AF:$AF,'CT capacity tracker'!$B26,'ESS SUPPLY DATA'!$AE:$AE,'CT capacity tracker'!$A$1,'ESS SUPPLY DATA'!$W:$W,'CT capacity tracker'!E$1,'ESS SUPPLY DATA'!$AO:$AO,"cosco")+SUMIFS('ESS SUPPLY DATA'!$U:$U,'ESS SUPPLY DATA'!$AF:$AF,'CT capacity tracker'!$B26,'ESS SUPPLY DATA'!$AE:$AE,'CT capacity tracker'!$A$1,'ESS SUPPLY DATA'!$W:$W,'CT capacity tracker'!E$1,'ESS SUPPLY DATA'!$AO:$AO,"other")</f>
        <v>0</v>
      </c>
      <c r="F29" s="504">
        <f>SUMIFS('PV SUPPLY DATA'!$X:$X,'PV SUPPLY DATA'!$AH:$AH,'CT capacity tracker'!$B26,'PV SUPPLY DATA'!$AG:$AG,'CT capacity tracker'!$A$1,'PV SUPPLY DATA'!$Y:$Y,F$1,'PV SUPPLY DATA'!$AQ:$AQ,"cosco")+SUMIFS('PV SUPPLY DATA'!$X:$X,'PV SUPPLY DATA'!$AH:$AH,'CT capacity tracker'!$B26,'PV SUPPLY DATA'!$AG:$AG,'CT capacity tracker'!$A$1,'PV SUPPLY DATA'!$Y:$Y,F$1,'PV SUPPLY DATA'!$AQ:$AQ,"other")+SUMIFS('ESS SUPPLY DATA'!$U:$U,'ESS SUPPLY DATA'!$AF:$AF,'CT capacity tracker'!$B26,'ESS SUPPLY DATA'!$AE:$AE,'CT capacity tracker'!$A$1,'ESS SUPPLY DATA'!$W:$W,'CT capacity tracker'!F$1,'ESS SUPPLY DATA'!$AO:$AO,"cosco")+SUMIFS('ESS SUPPLY DATA'!$U:$U,'ESS SUPPLY DATA'!$AF:$AF,'CT capacity tracker'!$B26,'ESS SUPPLY DATA'!$AE:$AE,'CT capacity tracker'!$A$1,'ESS SUPPLY DATA'!$W:$W,'CT capacity tracker'!F$1,'ESS SUPPLY DATA'!$AO:$AO,"other")</f>
        <v>0</v>
      </c>
      <c r="G29" s="504">
        <f>SUMIFS('PV SUPPLY DATA'!$X:$X,'PV SUPPLY DATA'!$AH:$AH,'CT capacity tracker'!$B26,'PV SUPPLY DATA'!$AG:$AG,'CT capacity tracker'!$A$1,'PV SUPPLY DATA'!$Y:$Y,G$1,'PV SUPPLY DATA'!$AQ:$AQ,"cosco")+SUMIFS('PV SUPPLY DATA'!$X:$X,'PV SUPPLY DATA'!$AH:$AH,'CT capacity tracker'!$B26,'PV SUPPLY DATA'!$AG:$AG,'CT capacity tracker'!$A$1,'PV SUPPLY DATA'!$Y:$Y,G$1,'PV SUPPLY DATA'!$AQ:$AQ,"other")+SUMIFS('ESS SUPPLY DATA'!$U:$U,'ESS SUPPLY DATA'!$AF:$AF,'CT capacity tracker'!$B26,'ESS SUPPLY DATA'!$AE:$AE,'CT capacity tracker'!$A$1,'ESS SUPPLY DATA'!$W:$W,'CT capacity tracker'!G$1,'ESS SUPPLY DATA'!$AO:$AO,"cosco")+SUMIFS('ESS SUPPLY DATA'!$U:$U,'ESS SUPPLY DATA'!$AF:$AF,'CT capacity tracker'!$B26,'ESS SUPPLY DATA'!$AE:$AE,'CT capacity tracker'!$A$1,'ESS SUPPLY DATA'!$W:$W,'CT capacity tracker'!G$1,'ESS SUPPLY DATA'!$AO:$AO,"other")</f>
        <v>3</v>
      </c>
      <c r="H29" s="504">
        <f>SUMIFS('PV SUPPLY DATA'!$X:$X,'PV SUPPLY DATA'!$AH:$AH,'CT capacity tracker'!$B26,'PV SUPPLY DATA'!$AG:$AG,'CT capacity tracker'!$A$1,'PV SUPPLY DATA'!$Y:$Y,H$1,'PV SUPPLY DATA'!$AQ:$AQ,"cosco")+SUMIFS('PV SUPPLY DATA'!$X:$X,'PV SUPPLY DATA'!$AH:$AH,'CT capacity tracker'!$B26,'PV SUPPLY DATA'!$AG:$AG,'CT capacity tracker'!$A$1,'PV SUPPLY DATA'!$Y:$Y,H$1,'PV SUPPLY DATA'!$AQ:$AQ,"other")+SUMIFS('ESS SUPPLY DATA'!$U:$U,'ESS SUPPLY DATA'!$AF:$AF,'CT capacity tracker'!$B26,'ESS SUPPLY DATA'!$AE:$AE,'CT capacity tracker'!$A$1,'ESS SUPPLY DATA'!$W:$W,'CT capacity tracker'!H$1,'ESS SUPPLY DATA'!$AO:$AO,"cosco")+SUMIFS('ESS SUPPLY DATA'!$U:$U,'ESS SUPPLY DATA'!$AF:$AF,'CT capacity tracker'!$B26,'ESS SUPPLY DATA'!$AE:$AE,'CT capacity tracker'!$A$1,'ESS SUPPLY DATA'!$W:$W,'CT capacity tracker'!H$1,'ESS SUPPLY DATA'!$AO:$AO,"other")</f>
        <v>26</v>
      </c>
      <c r="I29" s="504">
        <f>SUMIFS('PV SUPPLY DATA'!$X:$X,'PV SUPPLY DATA'!$AH:$AH,'CT capacity tracker'!$B26,'PV SUPPLY DATA'!$AG:$AG,'CT capacity tracker'!$A$1,'PV SUPPLY DATA'!$Y:$Y,I$1,'PV SUPPLY DATA'!$AQ:$AQ,"cosco")+SUMIFS('PV SUPPLY DATA'!$X:$X,'PV SUPPLY DATA'!$AH:$AH,'CT capacity tracker'!$B26,'PV SUPPLY DATA'!$AG:$AG,'CT capacity tracker'!$A$1,'PV SUPPLY DATA'!$Y:$Y,I$1,'PV SUPPLY DATA'!$AQ:$AQ,"other")+SUMIFS('ESS SUPPLY DATA'!$U:$U,'ESS SUPPLY DATA'!$AF:$AF,'CT capacity tracker'!$B26,'ESS SUPPLY DATA'!$AE:$AE,'CT capacity tracker'!$A$1,'ESS SUPPLY DATA'!$W:$W,'CT capacity tracker'!I$1,'ESS SUPPLY DATA'!$AO:$AO,"cosco")+SUMIFS('ESS SUPPLY DATA'!$U:$U,'ESS SUPPLY DATA'!$AF:$AF,'CT capacity tracker'!$B26,'ESS SUPPLY DATA'!$AE:$AE,'CT capacity tracker'!$A$1,'ESS SUPPLY DATA'!$W:$W,'CT capacity tracker'!I$1,'ESS SUPPLY DATA'!$AO:$AO,"other")</f>
        <v>27</v>
      </c>
      <c r="J29" s="504">
        <f>SUMIFS('PV SUPPLY DATA'!$X:$X,'PV SUPPLY DATA'!$AH:$AH,'CT capacity tracker'!$B26,'PV SUPPLY DATA'!$AG:$AG,'CT capacity tracker'!$A$1,'PV SUPPLY DATA'!$Y:$Y,J$1,'PV SUPPLY DATA'!$AQ:$AQ,"cosco")+SUMIFS('PV SUPPLY DATA'!$X:$X,'PV SUPPLY DATA'!$AH:$AH,'CT capacity tracker'!$B26,'PV SUPPLY DATA'!$AG:$AG,'CT capacity tracker'!$A$1,'PV SUPPLY DATA'!$Y:$Y,J$1,'PV SUPPLY DATA'!$AQ:$AQ,"other")+SUMIFS('ESS SUPPLY DATA'!$U:$U,'ESS SUPPLY DATA'!$AF:$AF,'CT capacity tracker'!$B26,'ESS SUPPLY DATA'!$AE:$AE,'CT capacity tracker'!$A$1,'ESS SUPPLY DATA'!$W:$W,'CT capacity tracker'!J$1,'ESS SUPPLY DATA'!$AO:$AO,"cosco")+SUMIFS('ESS SUPPLY DATA'!$U:$U,'ESS SUPPLY DATA'!$AF:$AF,'CT capacity tracker'!$B26,'ESS SUPPLY DATA'!$AE:$AE,'CT capacity tracker'!$A$1,'ESS SUPPLY DATA'!$W:$W,'CT capacity tracker'!J$1,'ESS SUPPLY DATA'!$AO:$AO,"other")</f>
        <v>37</v>
      </c>
      <c r="K29" s="504">
        <f>SUMIFS('PV SUPPLY DATA'!$X:$X,'PV SUPPLY DATA'!$AH:$AH,'CT capacity tracker'!$B26,'PV SUPPLY DATA'!$AG:$AG,'CT capacity tracker'!$A$1,'PV SUPPLY DATA'!$Y:$Y,K$1,'PV SUPPLY DATA'!$AQ:$AQ,"cosco")+SUMIFS('PV SUPPLY DATA'!$X:$X,'PV SUPPLY DATA'!$AH:$AH,'CT capacity tracker'!$B26,'PV SUPPLY DATA'!$AG:$AG,'CT capacity tracker'!$A$1,'PV SUPPLY DATA'!$Y:$Y,K$1,'PV SUPPLY DATA'!$AQ:$AQ,"other")+SUMIFS('ESS SUPPLY DATA'!$U:$U,'ESS SUPPLY DATA'!$AF:$AF,'CT capacity tracker'!$B26,'ESS SUPPLY DATA'!$AE:$AE,'CT capacity tracker'!$A$1,'ESS SUPPLY DATA'!$W:$W,'CT capacity tracker'!K$1,'ESS SUPPLY DATA'!$AO:$AO,"cosco")+SUMIFS('ESS SUPPLY DATA'!$U:$U,'ESS SUPPLY DATA'!$AF:$AF,'CT capacity tracker'!$B26,'ESS SUPPLY DATA'!$AE:$AE,'CT capacity tracker'!$A$1,'ESS SUPPLY DATA'!$W:$W,'CT capacity tracker'!K$1,'ESS SUPPLY DATA'!$AO:$AO,"other")</f>
        <v>16.997142857142855</v>
      </c>
      <c r="L29" s="504">
        <f>SUMIFS('PV SUPPLY DATA'!$X:$X,'PV SUPPLY DATA'!$AH:$AH,'CT capacity tracker'!$B26,'PV SUPPLY DATA'!$AG:$AG,'CT capacity tracker'!$A$1,'PV SUPPLY DATA'!$Y:$Y,L$1,'PV SUPPLY DATA'!$AQ:$AQ,"cosco")+SUMIFS('PV SUPPLY DATA'!$X:$X,'PV SUPPLY DATA'!$AH:$AH,'CT capacity tracker'!$B26,'PV SUPPLY DATA'!$AG:$AG,'CT capacity tracker'!$A$1,'PV SUPPLY DATA'!$Y:$Y,L$1,'PV SUPPLY DATA'!$AQ:$AQ,"other")+SUMIFS('ESS SUPPLY DATA'!$U:$U,'ESS SUPPLY DATA'!$AF:$AF,'CT capacity tracker'!$B26,'ESS SUPPLY DATA'!$AE:$AE,'CT capacity tracker'!$A$1,'ESS SUPPLY DATA'!$W:$W,'CT capacity tracker'!L$1,'ESS SUPPLY DATA'!$AO:$AO,"cosco")+SUMIFS('ESS SUPPLY DATA'!$U:$U,'ESS SUPPLY DATA'!$AF:$AF,'CT capacity tracker'!$B26,'ESS SUPPLY DATA'!$AE:$AE,'CT capacity tracker'!$A$1,'ESS SUPPLY DATA'!$W:$W,'CT capacity tracker'!L$1,'ESS SUPPLY DATA'!$AO:$AO,"other")</f>
        <v>29</v>
      </c>
      <c r="M29" s="504">
        <f>SUMIFS('PV SUPPLY DATA'!$X:$X,'PV SUPPLY DATA'!$AH:$AH,'CT capacity tracker'!$B26,'PV SUPPLY DATA'!$AG:$AG,'CT capacity tracker'!$A$1,'PV SUPPLY DATA'!$Y:$Y,M$1,'PV SUPPLY DATA'!$AQ:$AQ,"cosco")+SUMIFS('PV SUPPLY DATA'!$X:$X,'PV SUPPLY DATA'!$AH:$AH,'CT capacity tracker'!$B26,'PV SUPPLY DATA'!$AG:$AG,'CT capacity tracker'!$A$1,'PV SUPPLY DATA'!$Y:$Y,M$1,'PV SUPPLY DATA'!$AQ:$AQ,"other")+SUMIFS('ESS SUPPLY DATA'!$U:$U,'ESS SUPPLY DATA'!$AF:$AF,'CT capacity tracker'!$B26,'ESS SUPPLY DATA'!$AE:$AE,'CT capacity tracker'!$A$1,'ESS SUPPLY DATA'!$W:$W,'CT capacity tracker'!M$1,'ESS SUPPLY DATA'!$AO:$AO,"cosco")+SUMIFS('ESS SUPPLY DATA'!$U:$U,'ESS SUPPLY DATA'!$AF:$AF,'CT capacity tracker'!$B26,'ESS SUPPLY DATA'!$AE:$AE,'CT capacity tracker'!$A$1,'ESS SUPPLY DATA'!$W:$W,'CT capacity tracker'!M$1,'ESS SUPPLY DATA'!$AO:$AO,"other")</f>
        <v>17</v>
      </c>
      <c r="N29" s="504">
        <f>SUMIFS('PV SUPPLY DATA'!$X:$X,'PV SUPPLY DATA'!$AH:$AH,'CT capacity tracker'!$B26,'PV SUPPLY DATA'!$AG:$AG,'CT capacity tracker'!$A$1,'PV SUPPLY DATA'!$Y:$Y,N$1,'PV SUPPLY DATA'!$AQ:$AQ,"cosco")+SUMIFS('PV SUPPLY DATA'!$X:$X,'PV SUPPLY DATA'!$AH:$AH,'CT capacity tracker'!$B26,'PV SUPPLY DATA'!$AG:$AG,'CT capacity tracker'!$A$1,'PV SUPPLY DATA'!$Y:$Y,N$1,'PV SUPPLY DATA'!$AQ:$AQ,"other")+SUMIFS('ESS SUPPLY DATA'!$U:$U,'ESS SUPPLY DATA'!$AF:$AF,'CT capacity tracker'!$B26,'ESS SUPPLY DATA'!$AE:$AE,'CT capacity tracker'!$A$1,'ESS SUPPLY DATA'!$W:$W,'CT capacity tracker'!N$1,'ESS SUPPLY DATA'!$AO:$AO,"cosco")+SUMIFS('ESS SUPPLY DATA'!$U:$U,'ESS SUPPLY DATA'!$AF:$AF,'CT capacity tracker'!$B26,'ESS SUPPLY DATA'!$AE:$AE,'CT capacity tracker'!$A$1,'ESS SUPPLY DATA'!$W:$W,'CT capacity tracker'!N$1,'ESS SUPPLY DATA'!$AO:$AO,"other")</f>
        <v>18</v>
      </c>
      <c r="O29" s="504">
        <f>SUMIFS('PV SUPPLY DATA'!$X:$X,'PV SUPPLY DATA'!$AH:$AH,'CT capacity tracker'!$B26,'PV SUPPLY DATA'!$AG:$AG,'CT capacity tracker'!$A$1,'PV SUPPLY DATA'!$Y:$Y,O$1,'PV SUPPLY DATA'!$AQ:$AQ,"cosco")+SUMIFS('PV SUPPLY DATA'!$X:$X,'PV SUPPLY DATA'!$AH:$AH,'CT capacity tracker'!$B26,'PV SUPPLY DATA'!$AG:$AG,'CT capacity tracker'!$A$1,'PV SUPPLY DATA'!$Y:$Y,O$1,'PV SUPPLY DATA'!$AQ:$AQ,"other")+SUMIFS('ESS SUPPLY DATA'!$U:$U,'ESS SUPPLY DATA'!$AF:$AF,'CT capacity tracker'!$B26,'ESS SUPPLY DATA'!$AE:$AE,'CT capacity tracker'!$A$1,'ESS SUPPLY DATA'!$W:$W,'CT capacity tracker'!O$1,'ESS SUPPLY DATA'!$AO:$AO,"cosco")+SUMIFS('ESS SUPPLY DATA'!$U:$U,'ESS SUPPLY DATA'!$AF:$AF,'CT capacity tracker'!$B26,'ESS SUPPLY DATA'!$AE:$AE,'CT capacity tracker'!$A$1,'ESS SUPPLY DATA'!$W:$W,'CT capacity tracker'!O$1,'ESS SUPPLY DATA'!$AO:$AO,"other")</f>
        <v>27.858928571428571</v>
      </c>
      <c r="P29" s="504">
        <f>SUMIFS('PV SUPPLY DATA'!$X:$X,'PV SUPPLY DATA'!$AH:$AH,'CT capacity tracker'!$B26,'PV SUPPLY DATA'!$AG:$AG,'CT capacity tracker'!$A$1,'PV SUPPLY DATA'!$Y:$Y,P$1,'PV SUPPLY DATA'!$AQ:$AQ,"cosco")+SUMIFS('PV SUPPLY DATA'!$X:$X,'PV SUPPLY DATA'!$AH:$AH,'CT capacity tracker'!$B26,'PV SUPPLY DATA'!$AG:$AG,'CT capacity tracker'!$A$1,'PV SUPPLY DATA'!$Y:$Y,P$1,'PV SUPPLY DATA'!$AQ:$AQ,"other")+SUMIFS('ESS SUPPLY DATA'!$U:$U,'ESS SUPPLY DATA'!$AF:$AF,'CT capacity tracker'!$B26,'ESS SUPPLY DATA'!$AE:$AE,'CT capacity tracker'!$A$1,'ESS SUPPLY DATA'!$W:$W,'CT capacity tracker'!P$1,'ESS SUPPLY DATA'!$AO:$AO,"cosco")+SUMIFS('ESS SUPPLY DATA'!$U:$U,'ESS SUPPLY DATA'!$AF:$AF,'CT capacity tracker'!$B26,'ESS SUPPLY DATA'!$AE:$AE,'CT capacity tracker'!$A$1,'ESS SUPPLY DATA'!$W:$W,'CT capacity tracker'!P$1,'ESS SUPPLY DATA'!$AO:$AO,"other")</f>
        <v>26</v>
      </c>
      <c r="Q29" s="504">
        <f>SUMIFS('PV SUPPLY DATA'!$X:$X,'PV SUPPLY DATA'!$AH:$AH,'CT capacity tracker'!$B26,'PV SUPPLY DATA'!$AG:$AG,'CT capacity tracker'!$A$1,'PV SUPPLY DATA'!$Y:$Y,Q$1,'PV SUPPLY DATA'!$AQ:$AQ,"cosco")+SUMIFS('PV SUPPLY DATA'!$X:$X,'PV SUPPLY DATA'!$AH:$AH,'CT capacity tracker'!$B26,'PV SUPPLY DATA'!$AG:$AG,'CT capacity tracker'!$A$1,'PV SUPPLY DATA'!$Y:$Y,Q$1,'PV SUPPLY DATA'!$AQ:$AQ,"other")+SUMIFS('ESS SUPPLY DATA'!$U:$U,'ESS SUPPLY DATA'!$AF:$AF,'CT capacity tracker'!$B26,'ESS SUPPLY DATA'!$AE:$AE,'CT capacity tracker'!$A$1,'ESS SUPPLY DATA'!$W:$W,'CT capacity tracker'!Q$1,'ESS SUPPLY DATA'!$AO:$AO,"cosco")+SUMIFS('ESS SUPPLY DATA'!$U:$U,'ESS SUPPLY DATA'!$AF:$AF,'CT capacity tracker'!$B26,'ESS SUPPLY DATA'!$AE:$AE,'CT capacity tracker'!$A$1,'ESS SUPPLY DATA'!$W:$W,'CT capacity tracker'!Q$1,'ESS SUPPLY DATA'!$AO:$AO,"other")</f>
        <v>19.001785714285713</v>
      </c>
      <c r="R29" s="504">
        <f>SUMIFS('PV SUPPLY DATA'!$X:$X,'PV SUPPLY DATA'!$AH:$AH,'CT capacity tracker'!$B26,'PV SUPPLY DATA'!$AG:$AG,'CT capacity tracker'!$A$1,'PV SUPPLY DATA'!$Y:$Y,R$1,'PV SUPPLY DATA'!$AQ:$AQ,"cosco")+SUMIFS('PV SUPPLY DATA'!$X:$X,'PV SUPPLY DATA'!$AH:$AH,'CT capacity tracker'!$B26,'PV SUPPLY DATA'!$AG:$AG,'CT capacity tracker'!$A$1,'PV SUPPLY DATA'!$Y:$Y,R$1,'PV SUPPLY DATA'!$AQ:$AQ,"other")+SUMIFS('ESS SUPPLY DATA'!$U:$U,'ESS SUPPLY DATA'!$AF:$AF,'CT capacity tracker'!$B26,'ESS SUPPLY DATA'!$AE:$AE,'CT capacity tracker'!$A$1,'ESS SUPPLY DATA'!$W:$W,'CT capacity tracker'!R$1,'ESS SUPPLY DATA'!$AO:$AO,"cosco")+SUMIFS('ESS SUPPLY DATA'!$U:$U,'ESS SUPPLY DATA'!$AF:$AF,'CT capacity tracker'!$B26,'ESS SUPPLY DATA'!$AE:$AE,'CT capacity tracker'!$A$1,'ESS SUPPLY DATA'!$W:$W,'CT capacity tracker'!R$1,'ESS SUPPLY DATA'!$AO:$AO,"other")</f>
        <v>21</v>
      </c>
      <c r="S29" s="504">
        <f>SUMIFS('PV SUPPLY DATA'!$X:$X,'PV SUPPLY DATA'!$AH:$AH,'CT capacity tracker'!$B26,'PV SUPPLY DATA'!$AG:$AG,'CT capacity tracker'!$A$1,'PV SUPPLY DATA'!$Y:$Y,S$1,'PV SUPPLY DATA'!$AQ:$AQ,"cosco")+SUMIFS('PV SUPPLY DATA'!$X:$X,'PV SUPPLY DATA'!$AH:$AH,'CT capacity tracker'!$B26,'PV SUPPLY DATA'!$AG:$AG,'CT capacity tracker'!$A$1,'PV SUPPLY DATA'!$Y:$Y,S$1,'PV SUPPLY DATA'!$AQ:$AQ,"other")+SUMIFS('ESS SUPPLY DATA'!$U:$U,'ESS SUPPLY DATA'!$AF:$AF,'CT capacity tracker'!$B26,'ESS SUPPLY DATA'!$AE:$AE,'CT capacity tracker'!$A$1,'ESS SUPPLY DATA'!$W:$W,'CT capacity tracker'!S$1,'ESS SUPPLY DATA'!$AO:$AO,"cosco")+SUMIFS('ESS SUPPLY DATA'!$U:$U,'ESS SUPPLY DATA'!$AF:$AF,'CT capacity tracker'!$B26,'ESS SUPPLY DATA'!$AE:$AE,'CT capacity tracker'!$A$1,'ESS SUPPLY DATA'!$W:$W,'CT capacity tracker'!S$1,'ESS SUPPLY DATA'!$AO:$AO,"other")</f>
        <v>15</v>
      </c>
      <c r="T29" s="504">
        <f>SUMIFS('PV SUPPLY DATA'!$X:$X,'PV SUPPLY DATA'!$AH:$AH,'CT capacity tracker'!$B26,'PV SUPPLY DATA'!$AG:$AG,'CT capacity tracker'!$A$1,'PV SUPPLY DATA'!$Y:$Y,T$1,'PV SUPPLY DATA'!$AQ:$AQ,"cosco")+SUMIFS('PV SUPPLY DATA'!$X:$X,'PV SUPPLY DATA'!$AH:$AH,'CT capacity tracker'!$B26,'PV SUPPLY DATA'!$AG:$AG,'CT capacity tracker'!$A$1,'PV SUPPLY DATA'!$Y:$Y,T$1,'PV SUPPLY DATA'!$AQ:$AQ,"other")+SUMIFS('ESS SUPPLY DATA'!$U:$U,'ESS SUPPLY DATA'!$AF:$AF,'CT capacity tracker'!$B26,'ESS SUPPLY DATA'!$AE:$AE,'CT capacity tracker'!$A$1,'ESS SUPPLY DATA'!$W:$W,'CT capacity tracker'!T$1,'ESS SUPPLY DATA'!$AO:$AO,"cosco")+SUMIFS('ESS SUPPLY DATA'!$U:$U,'ESS SUPPLY DATA'!$AF:$AF,'CT capacity tracker'!$B26,'ESS SUPPLY DATA'!$AE:$AE,'CT capacity tracker'!$A$1,'ESS SUPPLY DATA'!$W:$W,'CT capacity tracker'!T$1,'ESS SUPPLY DATA'!$AO:$AO,"other")</f>
        <v>14</v>
      </c>
      <c r="U29" s="504">
        <f>SUMIFS('PV SUPPLY DATA'!$X:$X,'PV SUPPLY DATA'!$AH:$AH,'CT capacity tracker'!$B26,'PV SUPPLY DATA'!$AG:$AG,'CT capacity tracker'!$A$1,'PV SUPPLY DATA'!$Y:$Y,U$1,'PV SUPPLY DATA'!$AQ:$AQ,"cosco")+SUMIFS('PV SUPPLY DATA'!$X:$X,'PV SUPPLY DATA'!$AH:$AH,'CT capacity tracker'!$B26,'PV SUPPLY DATA'!$AG:$AG,'CT capacity tracker'!$A$1,'PV SUPPLY DATA'!$Y:$Y,U$1,'PV SUPPLY DATA'!$AQ:$AQ,"other")+SUMIFS('ESS SUPPLY DATA'!$U:$U,'ESS SUPPLY DATA'!$AF:$AF,'CT capacity tracker'!$B26,'ESS SUPPLY DATA'!$AE:$AE,'CT capacity tracker'!$A$1,'ESS SUPPLY DATA'!$W:$W,'CT capacity tracker'!U$1,'ESS SUPPLY DATA'!$AO:$AO,"cosco")+SUMIFS('ESS SUPPLY DATA'!$U:$U,'ESS SUPPLY DATA'!$AF:$AF,'CT capacity tracker'!$B26,'ESS SUPPLY DATA'!$AE:$AE,'CT capacity tracker'!$A$1,'ESS SUPPLY DATA'!$W:$W,'CT capacity tracker'!U$1,'ESS SUPPLY DATA'!$AO:$AO,"other")</f>
        <v>16</v>
      </c>
      <c r="V29" s="504">
        <f>SUMIFS('PV SUPPLY DATA'!$X:$X,'PV SUPPLY DATA'!$AH:$AH,'CT capacity tracker'!$B26,'PV SUPPLY DATA'!$AG:$AG,'CT capacity tracker'!$A$1,'PV SUPPLY DATA'!$Y:$Y,V$1,'PV SUPPLY DATA'!$AQ:$AQ,"cosco")+SUMIFS('PV SUPPLY DATA'!$X:$X,'PV SUPPLY DATA'!$AH:$AH,'CT capacity tracker'!$B26,'PV SUPPLY DATA'!$AG:$AG,'CT capacity tracker'!$A$1,'PV SUPPLY DATA'!$Y:$Y,V$1,'PV SUPPLY DATA'!$AQ:$AQ,"other")+SUMIFS('ESS SUPPLY DATA'!$U:$U,'ESS SUPPLY DATA'!$AF:$AF,'CT capacity tracker'!$B26,'ESS SUPPLY DATA'!$AE:$AE,'CT capacity tracker'!$A$1,'ESS SUPPLY DATA'!$W:$W,'CT capacity tracker'!V$1,'ESS SUPPLY DATA'!$AO:$AO,"cosco")+SUMIFS('ESS SUPPLY DATA'!$U:$U,'ESS SUPPLY DATA'!$AF:$AF,'CT capacity tracker'!$B26,'ESS SUPPLY DATA'!$AE:$AE,'CT capacity tracker'!$A$1,'ESS SUPPLY DATA'!$W:$W,'CT capacity tracker'!V$1,'ESS SUPPLY DATA'!$AO:$AO,"other")</f>
        <v>1</v>
      </c>
      <c r="W29" s="504">
        <f>SUMIFS('PV SUPPLY DATA'!$X:$X,'PV SUPPLY DATA'!$AH:$AH,'CT capacity tracker'!$B26,'PV SUPPLY DATA'!$AG:$AG,'CT capacity tracker'!$A$1,'PV SUPPLY DATA'!$Y:$Y,W$1,'PV SUPPLY DATA'!$AQ:$AQ,"cosco")+SUMIFS('PV SUPPLY DATA'!$X:$X,'PV SUPPLY DATA'!$AH:$AH,'CT capacity tracker'!$B26,'PV SUPPLY DATA'!$AG:$AG,'CT capacity tracker'!$A$1,'PV SUPPLY DATA'!$Y:$Y,W$1,'PV SUPPLY DATA'!$AQ:$AQ,"other")+SUMIFS('ESS SUPPLY DATA'!$U:$U,'ESS SUPPLY DATA'!$AF:$AF,'CT capacity tracker'!$B26,'ESS SUPPLY DATA'!$AE:$AE,'CT capacity tracker'!$A$1,'ESS SUPPLY DATA'!$W:$W,'CT capacity tracker'!W$1,'ESS SUPPLY DATA'!$AO:$AO,"cosco")+SUMIFS('ESS SUPPLY DATA'!$U:$U,'ESS SUPPLY DATA'!$AF:$AF,'CT capacity tracker'!$B26,'ESS SUPPLY DATA'!$AE:$AE,'CT capacity tracker'!$A$1,'ESS SUPPLY DATA'!$W:$W,'CT capacity tracker'!W$1,'ESS SUPPLY DATA'!$AO:$AO,"other")</f>
        <v>7</v>
      </c>
      <c r="X29" s="504">
        <f>SUMIFS('PV SUPPLY DATA'!$X:$X,'PV SUPPLY DATA'!$AH:$AH,'CT capacity tracker'!$B26,'PV SUPPLY DATA'!$AG:$AG,'CT capacity tracker'!$A$1,'PV SUPPLY DATA'!$Y:$Y,X$1,'PV SUPPLY DATA'!$AQ:$AQ,"cosco")+SUMIFS('PV SUPPLY DATA'!$X:$X,'PV SUPPLY DATA'!$AH:$AH,'CT capacity tracker'!$B26,'PV SUPPLY DATA'!$AG:$AG,'CT capacity tracker'!$A$1,'PV SUPPLY DATA'!$Y:$Y,X$1,'PV SUPPLY DATA'!$AQ:$AQ,"other")+SUMIFS('ESS SUPPLY DATA'!$U:$U,'ESS SUPPLY DATA'!$AF:$AF,'CT capacity tracker'!$B26,'ESS SUPPLY DATA'!$AE:$AE,'CT capacity tracker'!$A$1,'ESS SUPPLY DATA'!$W:$W,'CT capacity tracker'!X$1,'ESS SUPPLY DATA'!$AO:$AO,"cosco")+SUMIFS('ESS SUPPLY DATA'!$U:$U,'ESS SUPPLY DATA'!$AF:$AF,'CT capacity tracker'!$B26,'ESS SUPPLY DATA'!$AE:$AE,'CT capacity tracker'!$A$1,'ESS SUPPLY DATA'!$W:$W,'CT capacity tracker'!X$1,'ESS SUPPLY DATA'!$AO:$AO,"other")</f>
        <v>10</v>
      </c>
      <c r="Y29" s="504">
        <f>SUMIFS('PV SUPPLY DATA'!$X:$X,'PV SUPPLY DATA'!$AH:$AH,'CT capacity tracker'!$B26,'PV SUPPLY DATA'!$AG:$AG,'CT capacity tracker'!$A$1,'PV SUPPLY DATA'!$Y:$Y,Y$1,'PV SUPPLY DATA'!$AQ:$AQ,"cosco")+SUMIFS('PV SUPPLY DATA'!$X:$X,'PV SUPPLY DATA'!$AH:$AH,'CT capacity tracker'!$B26,'PV SUPPLY DATA'!$AG:$AG,'CT capacity tracker'!$A$1,'PV SUPPLY DATA'!$Y:$Y,Y$1,'PV SUPPLY DATA'!$AQ:$AQ,"other")+SUMIFS('ESS SUPPLY DATA'!$U:$U,'ESS SUPPLY DATA'!$AF:$AF,'CT capacity tracker'!$B26,'ESS SUPPLY DATA'!$AE:$AE,'CT capacity tracker'!$A$1,'ESS SUPPLY DATA'!$W:$W,'CT capacity tracker'!Y$1,'ESS SUPPLY DATA'!$AO:$AO,"cosco")+SUMIFS('ESS SUPPLY DATA'!$U:$U,'ESS SUPPLY DATA'!$AF:$AF,'CT capacity tracker'!$B26,'ESS SUPPLY DATA'!$AE:$AE,'CT capacity tracker'!$A$1,'ESS SUPPLY DATA'!$W:$W,'CT capacity tracker'!Y$1,'ESS SUPPLY DATA'!$AO:$AO,"other")</f>
        <v>2</v>
      </c>
      <c r="Z29" s="504">
        <f>SUMIFS('PV SUPPLY DATA'!$X:$X,'PV SUPPLY DATA'!$AH:$AH,'CT capacity tracker'!$B26,'PV SUPPLY DATA'!$AG:$AG,'CT capacity tracker'!$A$1,'PV SUPPLY DATA'!$Y:$Y,Z$1,'PV SUPPLY DATA'!$AQ:$AQ,"cosco")+SUMIFS('PV SUPPLY DATA'!$X:$X,'PV SUPPLY DATA'!$AH:$AH,'CT capacity tracker'!$B26,'PV SUPPLY DATA'!$AG:$AG,'CT capacity tracker'!$A$1,'PV SUPPLY DATA'!$Y:$Y,Z$1,'PV SUPPLY DATA'!$AQ:$AQ,"other")+SUMIFS('ESS SUPPLY DATA'!$U:$U,'ESS SUPPLY DATA'!$AF:$AF,'CT capacity tracker'!$B26,'ESS SUPPLY DATA'!$AE:$AE,'CT capacity tracker'!$A$1,'ESS SUPPLY DATA'!$W:$W,'CT capacity tracker'!Z$1,'ESS SUPPLY DATA'!$AO:$AO,"cosco")+SUMIFS('ESS SUPPLY DATA'!$U:$U,'ESS SUPPLY DATA'!$AF:$AF,'CT capacity tracker'!$B26,'ESS SUPPLY DATA'!$AE:$AE,'CT capacity tracker'!$A$1,'ESS SUPPLY DATA'!$W:$W,'CT capacity tracker'!Z$1,'ESS SUPPLY DATA'!$AO:$AO,"other")</f>
        <v>8</v>
      </c>
      <c r="AA29" s="504">
        <f>SUMIFS('PV SUPPLY DATA'!$X:$X,'PV SUPPLY DATA'!$AH:$AH,'CT capacity tracker'!$B26,'PV SUPPLY DATA'!$AG:$AG,'CT capacity tracker'!$A$1,'PV SUPPLY DATA'!$Y:$Y,AA$1,'PV SUPPLY DATA'!$AQ:$AQ,"cosco")+SUMIFS('PV SUPPLY DATA'!$X:$X,'PV SUPPLY DATA'!$AH:$AH,'CT capacity tracker'!$B26,'PV SUPPLY DATA'!$AG:$AG,'CT capacity tracker'!$A$1,'PV SUPPLY DATA'!$Y:$Y,AA$1,'PV SUPPLY DATA'!$AQ:$AQ,"other")+SUMIFS('ESS SUPPLY DATA'!$U:$U,'ESS SUPPLY DATA'!$AF:$AF,'CT capacity tracker'!$B26,'ESS SUPPLY DATA'!$AE:$AE,'CT capacity tracker'!$A$1,'ESS SUPPLY DATA'!$W:$W,'CT capacity tracker'!AA$1,'ESS SUPPLY DATA'!$AO:$AO,"cosco")+SUMIFS('ESS SUPPLY DATA'!$U:$U,'ESS SUPPLY DATA'!$AF:$AF,'CT capacity tracker'!$B26,'ESS SUPPLY DATA'!$AE:$AE,'CT capacity tracker'!$A$1,'ESS SUPPLY DATA'!$W:$W,'CT capacity tracker'!AA$1,'ESS SUPPLY DATA'!$AO:$AO,"other")</f>
        <v>8</v>
      </c>
      <c r="AB29" s="504">
        <f>SUMIFS('PV SUPPLY DATA'!$X:$X,'PV SUPPLY DATA'!$AH:$AH,'CT capacity tracker'!$B26,'PV SUPPLY DATA'!$AG:$AG,'CT capacity tracker'!$A$1,'PV SUPPLY DATA'!$Y:$Y,AB$1,'PV SUPPLY DATA'!$AQ:$AQ,"cosco")+SUMIFS('PV SUPPLY DATA'!$X:$X,'PV SUPPLY DATA'!$AH:$AH,'CT capacity tracker'!$B26,'PV SUPPLY DATA'!$AG:$AG,'CT capacity tracker'!$A$1,'PV SUPPLY DATA'!$Y:$Y,AB$1,'PV SUPPLY DATA'!$AQ:$AQ,"other")+SUMIFS('ESS SUPPLY DATA'!$U:$U,'ESS SUPPLY DATA'!$AF:$AF,'CT capacity tracker'!$B26,'ESS SUPPLY DATA'!$AE:$AE,'CT capacity tracker'!$A$1,'ESS SUPPLY DATA'!$W:$W,'CT capacity tracker'!AB$1,'ESS SUPPLY DATA'!$AO:$AO,"cosco")+SUMIFS('ESS SUPPLY DATA'!$U:$U,'ESS SUPPLY DATA'!$AF:$AF,'CT capacity tracker'!$B26,'ESS SUPPLY DATA'!$AE:$AE,'CT capacity tracker'!$A$1,'ESS SUPPLY DATA'!$W:$W,'CT capacity tracker'!AB$1,'ESS SUPPLY DATA'!$AO:$AO,"other")</f>
        <v>1</v>
      </c>
      <c r="AC29" s="504">
        <f>SUMIFS('PV SUPPLY DATA'!$X:$X,'PV SUPPLY DATA'!$AH:$AH,'CT capacity tracker'!$B26,'PV SUPPLY DATA'!$AG:$AG,'CT capacity tracker'!$A$1,'PV SUPPLY DATA'!$Y:$Y,AC$1,'PV SUPPLY DATA'!$AQ:$AQ,"cosco")+SUMIFS('PV SUPPLY DATA'!$X:$X,'PV SUPPLY DATA'!$AH:$AH,'CT capacity tracker'!$B26,'PV SUPPLY DATA'!$AG:$AG,'CT capacity tracker'!$A$1,'PV SUPPLY DATA'!$Y:$Y,AC$1,'PV SUPPLY DATA'!$AQ:$AQ,"other")+SUMIFS('ESS SUPPLY DATA'!$U:$U,'ESS SUPPLY DATA'!$AF:$AF,'CT capacity tracker'!$B26,'ESS SUPPLY DATA'!$AE:$AE,'CT capacity tracker'!$A$1,'ESS SUPPLY DATA'!$W:$W,'CT capacity tracker'!AC$1,'ESS SUPPLY DATA'!$AO:$AO,"cosco")+SUMIFS('ESS SUPPLY DATA'!$U:$U,'ESS SUPPLY DATA'!$AF:$AF,'CT capacity tracker'!$B26,'ESS SUPPLY DATA'!$AE:$AE,'CT capacity tracker'!$A$1,'ESS SUPPLY DATA'!$W:$W,'CT capacity tracker'!AC$1,'ESS SUPPLY DATA'!$AO:$AO,"other")</f>
        <v>1</v>
      </c>
      <c r="AD29" s="504">
        <f>SUMIFS('PV SUPPLY DATA'!$X:$X,'PV SUPPLY DATA'!$AH:$AH,'CT capacity tracker'!$B26,'PV SUPPLY DATA'!$AG:$AG,'CT capacity tracker'!$A$1,'PV SUPPLY DATA'!$Y:$Y,AD$1,'PV SUPPLY DATA'!$AQ:$AQ,"cosco")+SUMIFS('PV SUPPLY DATA'!$X:$X,'PV SUPPLY DATA'!$AH:$AH,'CT capacity tracker'!$B26,'PV SUPPLY DATA'!$AG:$AG,'CT capacity tracker'!$A$1,'PV SUPPLY DATA'!$Y:$Y,AD$1,'PV SUPPLY DATA'!$AQ:$AQ,"other")+SUMIFS('ESS SUPPLY DATA'!$U:$U,'ESS SUPPLY DATA'!$AF:$AF,'CT capacity tracker'!$B26,'ESS SUPPLY DATA'!$AE:$AE,'CT capacity tracker'!$A$1,'ESS SUPPLY DATA'!$W:$W,'CT capacity tracker'!AD$1,'ESS SUPPLY DATA'!$AO:$AO,"cosco")+SUMIFS('ESS SUPPLY DATA'!$U:$U,'ESS SUPPLY DATA'!$AF:$AF,'CT capacity tracker'!$B26,'ESS SUPPLY DATA'!$AE:$AE,'CT capacity tracker'!$A$1,'ESS SUPPLY DATA'!$W:$W,'CT capacity tracker'!AD$1,'ESS SUPPLY DATA'!$AO:$AO,"other")</f>
        <v>0</v>
      </c>
      <c r="AE29" s="504">
        <f>SUMIFS('PV SUPPLY DATA'!$X:$X,'PV SUPPLY DATA'!$AH:$AH,'CT capacity tracker'!$B26,'PV SUPPLY DATA'!$AG:$AG,'CT capacity tracker'!$A$1,'PV SUPPLY DATA'!$Y:$Y,AE$1,'PV SUPPLY DATA'!$AQ:$AQ,"cosco")+SUMIFS('PV SUPPLY DATA'!$X:$X,'PV SUPPLY DATA'!$AH:$AH,'CT capacity tracker'!$B26,'PV SUPPLY DATA'!$AG:$AG,'CT capacity tracker'!$A$1,'PV SUPPLY DATA'!$Y:$Y,AE$1,'PV SUPPLY DATA'!$AQ:$AQ,"other")+SUMIFS('ESS SUPPLY DATA'!$U:$U,'ESS SUPPLY DATA'!$AF:$AF,'CT capacity tracker'!$B26,'ESS SUPPLY DATA'!$AE:$AE,'CT capacity tracker'!$A$1,'ESS SUPPLY DATA'!$W:$W,'CT capacity tracker'!AE$1,'ESS SUPPLY DATA'!$AO:$AO,"cosco")+SUMIFS('ESS SUPPLY DATA'!$U:$U,'ESS SUPPLY DATA'!$AF:$AF,'CT capacity tracker'!$B26,'ESS SUPPLY DATA'!$AE:$AE,'CT capacity tracker'!$A$1,'ESS SUPPLY DATA'!$W:$W,'CT capacity tracker'!AE$1,'ESS SUPPLY DATA'!$AO:$AO,"other")</f>
        <v>0</v>
      </c>
      <c r="AF29" s="504">
        <f>SUMIFS('PV SUPPLY DATA'!$X:$X,'PV SUPPLY DATA'!$AH:$AH,'CT capacity tracker'!$B26,'PV SUPPLY DATA'!$AG:$AG,'CT capacity tracker'!$A$1,'PV SUPPLY DATA'!$Y:$Y,AF$1,'PV SUPPLY DATA'!$AQ:$AQ,"cosco")+SUMIFS('PV SUPPLY DATA'!$X:$X,'PV SUPPLY DATA'!$AH:$AH,'CT capacity tracker'!$B26,'PV SUPPLY DATA'!$AG:$AG,'CT capacity tracker'!$A$1,'PV SUPPLY DATA'!$Y:$Y,AF$1,'PV SUPPLY DATA'!$AQ:$AQ,"other")+SUMIFS('ESS SUPPLY DATA'!$U:$U,'ESS SUPPLY DATA'!$AF:$AF,'CT capacity tracker'!$B26,'ESS SUPPLY DATA'!$AE:$AE,'CT capacity tracker'!$A$1,'ESS SUPPLY DATA'!$W:$W,'CT capacity tracker'!AF$1,'ESS SUPPLY DATA'!$AO:$AO,"cosco")+SUMIFS('ESS SUPPLY DATA'!$U:$U,'ESS SUPPLY DATA'!$AF:$AF,'CT capacity tracker'!$B26,'ESS SUPPLY DATA'!$AE:$AE,'CT capacity tracker'!$A$1,'ESS SUPPLY DATA'!$W:$W,'CT capacity tracker'!AF$1,'ESS SUPPLY DATA'!$AO:$AO,"other")</f>
        <v>0</v>
      </c>
      <c r="AG29" s="504">
        <f>SUMIFS('PV SUPPLY DATA'!$X:$X,'PV SUPPLY DATA'!$AH:$AH,'CT capacity tracker'!$B26,'PV SUPPLY DATA'!$AG:$AG,'CT capacity tracker'!$A$1,'PV SUPPLY DATA'!$Y:$Y,AG$1,'PV SUPPLY DATA'!$AQ:$AQ,"cosco")+SUMIFS('PV SUPPLY DATA'!$X:$X,'PV SUPPLY DATA'!$AH:$AH,'CT capacity tracker'!$B26,'PV SUPPLY DATA'!$AG:$AG,'CT capacity tracker'!$A$1,'PV SUPPLY DATA'!$Y:$Y,AG$1,'PV SUPPLY DATA'!$AQ:$AQ,"other")+SUMIFS('ESS SUPPLY DATA'!$U:$U,'ESS SUPPLY DATA'!$AF:$AF,'CT capacity tracker'!$B26,'ESS SUPPLY DATA'!$AE:$AE,'CT capacity tracker'!$A$1,'ESS SUPPLY DATA'!$W:$W,'CT capacity tracker'!AG$1,'ESS SUPPLY DATA'!$AO:$AO,"cosco")+SUMIFS('ESS SUPPLY DATA'!$U:$U,'ESS SUPPLY DATA'!$AF:$AF,'CT capacity tracker'!$B26,'ESS SUPPLY DATA'!$AE:$AE,'CT capacity tracker'!$A$1,'ESS SUPPLY DATA'!$W:$W,'CT capacity tracker'!AG$1,'ESS SUPPLY DATA'!$AO:$AO,"other")</f>
        <v>0</v>
      </c>
      <c r="AH29" s="504">
        <f>SUMIFS('PV SUPPLY DATA'!$X:$X,'PV SUPPLY DATA'!$AH:$AH,'CT capacity tracker'!$B26,'PV SUPPLY DATA'!$AG:$AG,'CT capacity tracker'!$A$1,'PV SUPPLY DATA'!$Y:$Y,AH$1,'PV SUPPLY DATA'!$AQ:$AQ,"cosco")+SUMIFS('PV SUPPLY DATA'!$X:$X,'PV SUPPLY DATA'!$AH:$AH,'CT capacity tracker'!$B26,'PV SUPPLY DATA'!$AG:$AG,'CT capacity tracker'!$A$1,'PV SUPPLY DATA'!$Y:$Y,AH$1,'PV SUPPLY DATA'!$AQ:$AQ,"other")+SUMIFS('ESS SUPPLY DATA'!$U:$U,'ESS SUPPLY DATA'!$AF:$AF,'CT capacity tracker'!$B26,'ESS SUPPLY DATA'!$AE:$AE,'CT capacity tracker'!$A$1,'ESS SUPPLY DATA'!$W:$W,'CT capacity tracker'!AH$1,'ESS SUPPLY DATA'!$AO:$AO,"cosco")+SUMIFS('ESS SUPPLY DATA'!$U:$U,'ESS SUPPLY DATA'!$AF:$AF,'CT capacity tracker'!$B26,'ESS SUPPLY DATA'!$AE:$AE,'CT capacity tracker'!$A$1,'ESS SUPPLY DATA'!$W:$W,'CT capacity tracker'!AH$1,'ESS SUPPLY DATA'!$AO:$AO,"other")</f>
        <v>0</v>
      </c>
      <c r="AI29" s="504">
        <f>SUMIFS('PV SUPPLY DATA'!$X:$X,'PV SUPPLY DATA'!$AH:$AH,'CT capacity tracker'!$B26,'PV SUPPLY DATA'!$AG:$AG,'CT capacity tracker'!$A$1,'PV SUPPLY DATA'!$Y:$Y,AI$1,'PV SUPPLY DATA'!$AQ:$AQ,"cosco")+SUMIFS('PV SUPPLY DATA'!$X:$X,'PV SUPPLY DATA'!$AH:$AH,'CT capacity tracker'!$B26,'PV SUPPLY DATA'!$AG:$AG,'CT capacity tracker'!$A$1,'PV SUPPLY DATA'!$Y:$Y,AI$1,'PV SUPPLY DATA'!$AQ:$AQ,"other")+SUMIFS('ESS SUPPLY DATA'!$U:$U,'ESS SUPPLY DATA'!$AF:$AF,'CT capacity tracker'!$B26,'ESS SUPPLY DATA'!$AE:$AE,'CT capacity tracker'!$A$1,'ESS SUPPLY DATA'!$W:$W,'CT capacity tracker'!AI$1,'ESS SUPPLY DATA'!$AO:$AO,"cosco")+SUMIFS('ESS SUPPLY DATA'!$U:$U,'ESS SUPPLY DATA'!$AF:$AF,'CT capacity tracker'!$B26,'ESS SUPPLY DATA'!$AE:$AE,'CT capacity tracker'!$A$1,'ESS SUPPLY DATA'!$W:$W,'CT capacity tracker'!AI$1,'ESS SUPPLY DATA'!$AO:$AO,"other")</f>
        <v>0</v>
      </c>
      <c r="AJ29" s="504">
        <f>SUMIFS('PV SUPPLY DATA'!$X:$X,'PV SUPPLY DATA'!$AH:$AH,'CT capacity tracker'!$B26,'PV SUPPLY DATA'!$AG:$AG,'CT capacity tracker'!$A$1,'PV SUPPLY DATA'!$Y:$Y,AJ$1,'PV SUPPLY DATA'!$AQ:$AQ,"cosco")+SUMIFS('PV SUPPLY DATA'!$X:$X,'PV SUPPLY DATA'!$AH:$AH,'CT capacity tracker'!$B26,'PV SUPPLY DATA'!$AG:$AG,'CT capacity tracker'!$A$1,'PV SUPPLY DATA'!$Y:$Y,AJ$1,'PV SUPPLY DATA'!$AQ:$AQ,"other")+SUMIFS('ESS SUPPLY DATA'!$U:$U,'ESS SUPPLY DATA'!$AF:$AF,'CT capacity tracker'!$B26,'ESS SUPPLY DATA'!$AE:$AE,'CT capacity tracker'!$A$1,'ESS SUPPLY DATA'!$W:$W,'CT capacity tracker'!AJ$1,'ESS SUPPLY DATA'!$AO:$AO,"cosco")+SUMIFS('ESS SUPPLY DATA'!$U:$U,'ESS SUPPLY DATA'!$AF:$AF,'CT capacity tracker'!$B26,'ESS SUPPLY DATA'!$AE:$AE,'CT capacity tracker'!$A$1,'ESS SUPPLY DATA'!$W:$W,'CT capacity tracker'!AJ$1,'ESS SUPPLY DATA'!$AO:$AO,"other")</f>
        <v>0</v>
      </c>
      <c r="AK29" s="511"/>
      <c r="AL29" s="511"/>
      <c r="AM29" s="696">
        <f>SUM(E29:X29)</f>
        <v>330.85785714285714</v>
      </c>
      <c r="AN29" s="503"/>
      <c r="AO29" s="506"/>
      <c r="AP29" s="506"/>
      <c r="AQ29" s="506"/>
      <c r="AR29" s="506"/>
      <c r="AS29" s="506"/>
      <c r="AT29" s="506"/>
    </row>
    <row r="30" spans="1:46" ht="13">
      <c r="A30" s="1517"/>
      <c r="B30" s="1516" t="s">
        <v>314</v>
      </c>
      <c r="C30" s="503" t="s">
        <v>4400</v>
      </c>
      <c r="D30" s="504">
        <f>SUMIFS('PV SUPPLY DATA'!$X:$X,'PV SUPPLY DATA'!$AH:$AH,'CT capacity tracker'!$B30,'PV SUPPLY DATA'!$AG:$AG,'CT capacity tracker'!$A$1,'PV SUPPLY DATA'!$Z:$Z,'CT capacity tracker'!D$1)+SUMIFS('ESS SUPPLY DATA'!$U:$U,'ESS SUPPLY DATA'!$AF:$AF,'CT capacity tracker'!$B30,'ESS SUPPLY DATA'!$AE:$AE,'CT capacity tracker'!$A$1,'ESS SUPPLY DATA'!$X:$X,'CT capacity tracker'!D$1)</f>
        <v>23</v>
      </c>
      <c r="E30" s="504">
        <f>SUMIFS('PV SUPPLY DATA'!$X:$X,'PV SUPPLY DATA'!$AH:$AH,'CT capacity tracker'!$B30,'PV SUPPLY DATA'!$AG:$AG,'CT capacity tracker'!$A$1,'PV SUPPLY DATA'!$Y:$Y,'CT capacity tracker'!E$1)+SUMIFS('ESS SUPPLY DATA'!$U:$U,'ESS SUPPLY DATA'!$AF:$AF,'CT capacity tracker'!$B30,'ESS SUPPLY DATA'!$AE:$AE,'CT capacity tracker'!$A$1,'ESS SUPPLY DATA'!$W:$W,'CT capacity tracker'!E$1)</f>
        <v>0</v>
      </c>
      <c r="F30" s="504">
        <f>SUMIFS('PV SUPPLY DATA'!$X:$X,'PV SUPPLY DATA'!$AH:$AH,'CT capacity tracker'!$B30,'PV SUPPLY DATA'!$AG:$AG,'CT capacity tracker'!$A$1,'PV SUPPLY DATA'!$Y:$Y,'CT capacity tracker'!F$1)+SUMIFS('ESS SUPPLY DATA'!$U:$U,'ESS SUPPLY DATA'!$AF:$AF,'CT capacity tracker'!$B30,'ESS SUPPLY DATA'!$AE:$AE,'CT capacity tracker'!$A$1,'ESS SUPPLY DATA'!$W:$W,'CT capacity tracker'!F$1)</f>
        <v>0</v>
      </c>
      <c r="G30" s="504">
        <f>SUMIFS('PV SUPPLY DATA'!$X:$X,'PV SUPPLY DATA'!$AH:$AH,'CT capacity tracker'!$B30,'PV SUPPLY DATA'!$AG:$AG,'CT capacity tracker'!$A$1,'PV SUPPLY DATA'!$Y:$Y,'CT capacity tracker'!G$1)+SUMIFS('ESS SUPPLY DATA'!$U:$U,'ESS SUPPLY DATA'!$AF:$AF,'CT capacity tracker'!$B30,'ESS SUPPLY DATA'!$AE:$AE,'CT capacity tracker'!$A$1,'ESS SUPPLY DATA'!$W:$W,'CT capacity tracker'!G$1)</f>
        <v>0</v>
      </c>
      <c r="H30" s="504">
        <f>SUMIFS('PV SUPPLY DATA'!$X:$X,'PV SUPPLY DATA'!$AH:$AH,'CT capacity tracker'!$B30,'PV SUPPLY DATA'!$AG:$AG,'CT capacity tracker'!$A$1,'PV SUPPLY DATA'!$Y:$Y,'CT capacity tracker'!H$1)+SUMIFS('ESS SUPPLY DATA'!$U:$U,'ESS SUPPLY DATA'!$AF:$AF,'CT capacity tracker'!$B30,'ESS SUPPLY DATA'!$AE:$AE,'CT capacity tracker'!$A$1,'ESS SUPPLY DATA'!$W:$W,'CT capacity tracker'!H$1)</f>
        <v>0</v>
      </c>
      <c r="I30" s="504">
        <f>SUMIFS('PV SUPPLY DATA'!$X:$X,'PV SUPPLY DATA'!$AH:$AH,'CT capacity tracker'!$B30,'PV SUPPLY DATA'!$AG:$AG,'CT capacity tracker'!$A$1,'PV SUPPLY DATA'!$Y:$Y,'CT capacity tracker'!I$1)+SUMIFS('ESS SUPPLY DATA'!$U:$U,'ESS SUPPLY DATA'!$AF:$AF,'CT capacity tracker'!$B30,'ESS SUPPLY DATA'!$AE:$AE,'CT capacity tracker'!$A$1,'ESS SUPPLY DATA'!$W:$W,'CT capacity tracker'!I$1)</f>
        <v>0</v>
      </c>
      <c r="J30" s="504">
        <f>SUMIFS('PV SUPPLY DATA'!$X:$X,'PV SUPPLY DATA'!$AH:$AH,'CT capacity tracker'!$B30,'PV SUPPLY DATA'!$AG:$AG,'CT capacity tracker'!$A$1,'PV SUPPLY DATA'!$Y:$Y,'CT capacity tracker'!J$1)+SUMIFS('ESS SUPPLY DATA'!$U:$U,'ESS SUPPLY DATA'!$AF:$AF,'CT capacity tracker'!$B30,'ESS SUPPLY DATA'!$AE:$AE,'CT capacity tracker'!$A$1,'ESS SUPPLY DATA'!$W:$W,'CT capacity tracker'!J$1)</f>
        <v>0</v>
      </c>
      <c r="K30" s="504">
        <f>SUMIFS('PV SUPPLY DATA'!$X:$X,'PV SUPPLY DATA'!$AH:$AH,'CT capacity tracker'!$B30,'PV SUPPLY DATA'!$AG:$AG,'CT capacity tracker'!$A$1,'PV SUPPLY DATA'!$Y:$Y,'CT capacity tracker'!K$1)+SUMIFS('ESS SUPPLY DATA'!$U:$U,'ESS SUPPLY DATA'!$AF:$AF,'CT capacity tracker'!$B30,'ESS SUPPLY DATA'!$AE:$AE,'CT capacity tracker'!$A$1,'ESS SUPPLY DATA'!$W:$W,'CT capacity tracker'!K$1)</f>
        <v>5</v>
      </c>
      <c r="L30" s="504">
        <f>SUMIFS('PV SUPPLY DATA'!$X:$X,'PV SUPPLY DATA'!$AH:$AH,'CT capacity tracker'!$B30,'PV SUPPLY DATA'!$AG:$AG,'CT capacity tracker'!$A$1,'PV SUPPLY DATA'!$Y:$Y,'CT capacity tracker'!L$1)+SUMIFS('ESS SUPPLY DATA'!$U:$U,'ESS SUPPLY DATA'!$AF:$AF,'CT capacity tracker'!$B30,'ESS SUPPLY DATA'!$AE:$AE,'CT capacity tracker'!$A$1,'ESS SUPPLY DATA'!$W:$W,'CT capacity tracker'!L$1)</f>
        <v>0</v>
      </c>
      <c r="M30" s="504">
        <f>SUMIFS('PV SUPPLY DATA'!$X:$X,'PV SUPPLY DATA'!$AH:$AH,'CT capacity tracker'!$B30,'PV SUPPLY DATA'!$AG:$AG,'CT capacity tracker'!$A$1,'PV SUPPLY DATA'!$Y:$Y,'CT capacity tracker'!M$1)+SUMIFS('ESS SUPPLY DATA'!$U:$U,'ESS SUPPLY DATA'!$AF:$AF,'CT capacity tracker'!$B30,'ESS SUPPLY DATA'!$AE:$AE,'CT capacity tracker'!$A$1,'ESS SUPPLY DATA'!$W:$W,'CT capacity tracker'!M$1)</f>
        <v>3</v>
      </c>
      <c r="N30" s="504">
        <f>SUMIFS('PV SUPPLY DATA'!$X:$X,'PV SUPPLY DATA'!$AH:$AH,'CT capacity tracker'!$B30,'PV SUPPLY DATA'!$AG:$AG,'CT capacity tracker'!$A$1,'PV SUPPLY DATA'!$Y:$Y,'CT capacity tracker'!N$1)+SUMIFS('ESS SUPPLY DATA'!$U:$U,'ESS SUPPLY DATA'!$AF:$AF,'CT capacity tracker'!$B30,'ESS SUPPLY DATA'!$AE:$AE,'CT capacity tracker'!$A$1,'ESS SUPPLY DATA'!$W:$W,'CT capacity tracker'!N$1)</f>
        <v>3</v>
      </c>
      <c r="O30" s="504">
        <f>SUMIFS('PV SUPPLY DATA'!$X:$X,'PV SUPPLY DATA'!$AH:$AH,'CT capacity tracker'!$B30,'PV SUPPLY DATA'!$AG:$AG,'CT capacity tracker'!$A$1,'PV SUPPLY DATA'!$Y:$Y,'CT capacity tracker'!O$1)+SUMIFS('ESS SUPPLY DATA'!$U:$U,'ESS SUPPLY DATA'!$AF:$AF,'CT capacity tracker'!$B30,'ESS SUPPLY DATA'!$AE:$AE,'CT capacity tracker'!$A$1,'ESS SUPPLY DATA'!$W:$W,'CT capacity tracker'!O$1)</f>
        <v>0</v>
      </c>
      <c r="P30" s="504">
        <f>SUMIFS('PV SUPPLY DATA'!$X:$X,'PV SUPPLY DATA'!$AH:$AH,'CT capacity tracker'!$B30,'PV SUPPLY DATA'!$AG:$AG,'CT capacity tracker'!$A$1,'PV SUPPLY DATA'!$Y:$Y,'CT capacity tracker'!P$1)+SUMIFS('ESS SUPPLY DATA'!$U:$U,'ESS SUPPLY DATA'!$AF:$AF,'CT capacity tracker'!$B30,'ESS SUPPLY DATA'!$AE:$AE,'CT capacity tracker'!$A$1,'ESS SUPPLY DATA'!$W:$W,'CT capacity tracker'!P$1)</f>
        <v>0</v>
      </c>
      <c r="Q30" s="504">
        <f>SUMIFS('PV SUPPLY DATA'!$X:$X,'PV SUPPLY DATA'!$AH:$AH,'CT capacity tracker'!$B30,'PV SUPPLY DATA'!$AG:$AG,'CT capacity tracker'!$A$1,'PV SUPPLY DATA'!$Y:$Y,'CT capacity tracker'!Q$1)+SUMIFS('ESS SUPPLY DATA'!$U:$U,'ESS SUPPLY DATA'!$AF:$AF,'CT capacity tracker'!$B30,'ESS SUPPLY DATA'!$AE:$AE,'CT capacity tracker'!$A$1,'ESS SUPPLY DATA'!$W:$W,'CT capacity tracker'!Q$1)</f>
        <v>0</v>
      </c>
      <c r="R30" s="504">
        <f>SUMIFS('PV SUPPLY DATA'!$X:$X,'PV SUPPLY DATA'!$AH:$AH,'CT capacity tracker'!$B30,'PV SUPPLY DATA'!$AG:$AG,'CT capacity tracker'!$A$1,'PV SUPPLY DATA'!$Y:$Y,'CT capacity tracker'!R$1)+SUMIFS('ESS SUPPLY DATA'!$U:$U,'ESS SUPPLY DATA'!$AF:$AF,'CT capacity tracker'!$B30,'ESS SUPPLY DATA'!$AE:$AE,'CT capacity tracker'!$A$1,'ESS SUPPLY DATA'!$W:$W,'CT capacity tracker'!R$1)</f>
        <v>6</v>
      </c>
      <c r="S30" s="504">
        <f>SUMIFS('PV SUPPLY DATA'!$X:$X,'PV SUPPLY DATA'!$AH:$AH,'CT capacity tracker'!$B30,'PV SUPPLY DATA'!$AG:$AG,'CT capacity tracker'!$A$1,'PV SUPPLY DATA'!$Y:$Y,'CT capacity tracker'!S$1)+SUMIFS('ESS SUPPLY DATA'!$U:$U,'ESS SUPPLY DATA'!$AF:$AF,'CT capacity tracker'!$B30,'ESS SUPPLY DATA'!$AE:$AE,'CT capacity tracker'!$A$1,'ESS SUPPLY DATA'!$W:$W,'CT capacity tracker'!S$1)</f>
        <v>0</v>
      </c>
      <c r="T30" s="504">
        <f>SUMIFS('PV SUPPLY DATA'!$X:$X,'PV SUPPLY DATA'!$AH:$AH,'CT capacity tracker'!$B30,'PV SUPPLY DATA'!$AG:$AG,'CT capacity tracker'!$A$1,'PV SUPPLY DATA'!$Y:$Y,'CT capacity tracker'!T$1)+SUMIFS('ESS SUPPLY DATA'!$U:$U,'ESS SUPPLY DATA'!$AF:$AF,'CT capacity tracker'!$B30,'ESS SUPPLY DATA'!$AE:$AE,'CT capacity tracker'!$A$1,'ESS SUPPLY DATA'!$W:$W,'CT capacity tracker'!T$1)</f>
        <v>0</v>
      </c>
      <c r="U30" s="504">
        <f>SUMIFS('PV SUPPLY DATA'!$X:$X,'PV SUPPLY DATA'!$AH:$AH,'CT capacity tracker'!$B30,'PV SUPPLY DATA'!$AG:$AG,'CT capacity tracker'!$A$1,'PV SUPPLY DATA'!$Y:$Y,'CT capacity tracker'!U$1)+SUMIFS('ESS SUPPLY DATA'!$U:$U,'ESS SUPPLY DATA'!$AF:$AF,'CT capacity tracker'!$B30,'ESS SUPPLY DATA'!$AE:$AE,'CT capacity tracker'!$A$1,'ESS SUPPLY DATA'!$W:$W,'CT capacity tracker'!U$1)</f>
        <v>0</v>
      </c>
      <c r="V30" s="504">
        <f>SUMIFS('PV SUPPLY DATA'!$X:$X,'PV SUPPLY DATA'!$AH:$AH,'CT capacity tracker'!$B30,'PV SUPPLY DATA'!$AG:$AG,'CT capacity tracker'!$A$1,'PV SUPPLY DATA'!$Y:$Y,'CT capacity tracker'!V$1)+SUMIFS('ESS SUPPLY DATA'!$U:$U,'ESS SUPPLY DATA'!$AF:$AF,'CT capacity tracker'!$B30,'ESS SUPPLY DATA'!$AE:$AE,'CT capacity tracker'!$A$1,'ESS SUPPLY DATA'!$W:$W,'CT capacity tracker'!V$1)</f>
        <v>4</v>
      </c>
      <c r="W30" s="504">
        <f>SUMIFS('PV SUPPLY DATA'!$X:$X,'PV SUPPLY DATA'!$AH:$AH,'CT capacity tracker'!$B30,'PV SUPPLY DATA'!$AG:$AG,'CT capacity tracker'!$A$1,'PV SUPPLY DATA'!$Y:$Y,'CT capacity tracker'!W$1)+SUMIFS('ESS SUPPLY DATA'!$U:$U,'ESS SUPPLY DATA'!$AF:$AF,'CT capacity tracker'!$B30,'ESS SUPPLY DATA'!$AE:$AE,'CT capacity tracker'!$A$1,'ESS SUPPLY DATA'!$W:$W,'CT capacity tracker'!W$1)</f>
        <v>0</v>
      </c>
      <c r="X30" s="504">
        <f>SUMIFS('PV SUPPLY DATA'!$X:$X,'PV SUPPLY DATA'!$AH:$AH,'CT capacity tracker'!$B30,'PV SUPPLY DATA'!$AG:$AG,'CT capacity tracker'!$A$1,'PV SUPPLY DATA'!$Y:$Y,'CT capacity tracker'!X$1)+SUMIFS('ESS SUPPLY DATA'!$U:$U,'ESS SUPPLY DATA'!$AF:$AF,'CT capacity tracker'!$B30,'ESS SUPPLY DATA'!$AE:$AE,'CT capacity tracker'!$A$1,'ESS SUPPLY DATA'!$W:$W,'CT capacity tracker'!X$1)</f>
        <v>4</v>
      </c>
      <c r="Y30" s="504">
        <f>SUMIFS('PV SUPPLY DATA'!$X:$X,'PV SUPPLY DATA'!$AH:$AH,'CT capacity tracker'!$B30,'PV SUPPLY DATA'!$AG:$AG,'CT capacity tracker'!$A$1,'PV SUPPLY DATA'!$Y:$Y,'CT capacity tracker'!Y$1)+SUMIFS('ESS SUPPLY DATA'!$U:$U,'ESS SUPPLY DATA'!$AF:$AF,'CT capacity tracker'!$B30,'ESS SUPPLY DATA'!$AE:$AE,'CT capacity tracker'!$A$1,'ESS SUPPLY DATA'!$W:$W,'CT capacity tracker'!Y$1)</f>
        <v>5</v>
      </c>
      <c r="Z30" s="504">
        <f>SUMIFS('PV SUPPLY DATA'!$X:$X,'PV SUPPLY DATA'!$AH:$AH,'CT capacity tracker'!$B30,'PV SUPPLY DATA'!$AG:$AG,'CT capacity tracker'!$A$1,'PV SUPPLY DATA'!$Y:$Y,'CT capacity tracker'!Z$1)+SUMIFS('ESS SUPPLY DATA'!$U:$U,'ESS SUPPLY DATA'!$AF:$AF,'CT capacity tracker'!$B30,'ESS SUPPLY DATA'!$AE:$AE,'CT capacity tracker'!$A$1,'ESS SUPPLY DATA'!$W:$W,'CT capacity tracker'!Z$1)</f>
        <v>4.8307692307692305</v>
      </c>
      <c r="AA30" s="504">
        <f>SUMIFS('PV SUPPLY DATA'!$X:$X,'PV SUPPLY DATA'!$AH:$AH,'CT capacity tracker'!$B30,'PV SUPPLY DATA'!$AG:$AG,'CT capacity tracker'!$A$1,'PV SUPPLY DATA'!$Y:$Y,'CT capacity tracker'!AA$1)+SUMIFS('ESS SUPPLY DATA'!$U:$U,'ESS SUPPLY DATA'!$AF:$AF,'CT capacity tracker'!$B30,'ESS SUPPLY DATA'!$AE:$AE,'CT capacity tracker'!$A$1,'ESS SUPPLY DATA'!$W:$W,'CT capacity tracker'!AA$1)</f>
        <v>9</v>
      </c>
      <c r="AB30" s="504">
        <f>SUMIFS('PV SUPPLY DATA'!$X:$X,'PV SUPPLY DATA'!$AH:$AH,'CT capacity tracker'!$B30,'PV SUPPLY DATA'!$AG:$AG,'CT capacity tracker'!$A$1,'PV SUPPLY DATA'!$Y:$Y,'CT capacity tracker'!AB$1)+SUMIFS('ESS SUPPLY DATA'!$U:$U,'ESS SUPPLY DATA'!$AF:$AF,'CT capacity tracker'!$B30,'ESS SUPPLY DATA'!$AE:$AE,'CT capacity tracker'!$A$1,'ESS SUPPLY DATA'!$W:$W,'CT capacity tracker'!AB$1)</f>
        <v>17</v>
      </c>
      <c r="AC30" s="504">
        <f>SUMIFS('PV SUPPLY DATA'!$X:$X,'PV SUPPLY DATA'!$AH:$AH,'CT capacity tracker'!$B30,'PV SUPPLY DATA'!$AG:$AG,'CT capacity tracker'!$A$1,'PV SUPPLY DATA'!$Y:$Y,'CT capacity tracker'!AC$1)+SUMIFS('ESS SUPPLY DATA'!$U:$U,'ESS SUPPLY DATA'!$AF:$AF,'CT capacity tracker'!$B30,'ESS SUPPLY DATA'!$AE:$AE,'CT capacity tracker'!$A$1,'ESS SUPPLY DATA'!$W:$W,'CT capacity tracker'!AC$1)</f>
        <v>4</v>
      </c>
      <c r="AD30" s="504">
        <f>SUMIFS('PV SUPPLY DATA'!$X:$X,'PV SUPPLY DATA'!$AH:$AH,'CT capacity tracker'!$B30,'PV SUPPLY DATA'!$AG:$AG,'CT capacity tracker'!$A$1,'PV SUPPLY DATA'!$Y:$Y,'CT capacity tracker'!AD$1)+SUMIFS('ESS SUPPLY DATA'!$U:$U,'ESS SUPPLY DATA'!$AF:$AF,'CT capacity tracker'!$B30,'ESS SUPPLY DATA'!$AE:$AE,'CT capacity tracker'!$A$1,'ESS SUPPLY DATA'!$W:$W,'CT capacity tracker'!AD$1)</f>
        <v>12</v>
      </c>
      <c r="AE30" s="504">
        <f>SUMIFS('PV SUPPLY DATA'!$X:$X,'PV SUPPLY DATA'!$AH:$AH,'CT capacity tracker'!$B30,'PV SUPPLY DATA'!$AG:$AG,'CT capacity tracker'!$A$1,'PV SUPPLY DATA'!$Y:$Y,'CT capacity tracker'!AE$1)+SUMIFS('ESS SUPPLY DATA'!$U:$U,'ESS SUPPLY DATA'!$AF:$AF,'CT capacity tracker'!$B30,'ESS SUPPLY DATA'!$AE:$AE,'CT capacity tracker'!$A$1,'ESS SUPPLY DATA'!$W:$W,'CT capacity tracker'!AE$1)</f>
        <v>0</v>
      </c>
      <c r="AF30" s="504">
        <f>SUMIFS('PV SUPPLY DATA'!$X:$X,'PV SUPPLY DATA'!$AH:$AH,'CT capacity tracker'!$B30,'PV SUPPLY DATA'!$AG:$AG,'CT capacity tracker'!$A$1,'PV SUPPLY DATA'!$Y:$Y,'CT capacity tracker'!AF$1)+SUMIFS('ESS SUPPLY DATA'!$U:$U,'ESS SUPPLY DATA'!$AF:$AF,'CT capacity tracker'!$B30,'ESS SUPPLY DATA'!$AE:$AE,'CT capacity tracker'!$A$1,'ESS SUPPLY DATA'!$W:$W,'CT capacity tracker'!AF$1)</f>
        <v>0</v>
      </c>
      <c r="AG30" s="504">
        <f>SUMIFS('PV SUPPLY DATA'!$X:$X,'PV SUPPLY DATA'!$AH:$AH,'CT capacity tracker'!$B30,'PV SUPPLY DATA'!$AG:$AG,'CT capacity tracker'!$A$1,'PV SUPPLY DATA'!$Y:$Y,'CT capacity tracker'!AG$1)+SUMIFS('ESS SUPPLY DATA'!$U:$U,'ESS SUPPLY DATA'!$AF:$AF,'CT capacity tracker'!$B30,'ESS SUPPLY DATA'!$AE:$AE,'CT capacity tracker'!$A$1,'ESS SUPPLY DATA'!$W:$W,'CT capacity tracker'!AG$1)</f>
        <v>0</v>
      </c>
      <c r="AH30" s="504">
        <f>SUMIFS('PV SUPPLY DATA'!$X:$X,'PV SUPPLY DATA'!$AH:$AH,'CT capacity tracker'!$B30,'PV SUPPLY DATA'!$AG:$AG,'CT capacity tracker'!$A$1,'PV SUPPLY DATA'!$Y:$Y,'CT capacity tracker'!AH$1)+SUMIFS('ESS SUPPLY DATA'!$U:$U,'ESS SUPPLY DATA'!$AF:$AF,'CT capacity tracker'!$B30,'ESS SUPPLY DATA'!$AE:$AE,'CT capacity tracker'!$A$1,'ESS SUPPLY DATA'!$W:$W,'CT capacity tracker'!AH$1)</f>
        <v>0</v>
      </c>
      <c r="AI30" s="504">
        <f>SUMIFS('PV SUPPLY DATA'!$X:$X,'PV SUPPLY DATA'!$AH:$AH,'CT capacity tracker'!$B30,'PV SUPPLY DATA'!$AG:$AG,'CT capacity tracker'!$A$1,'PV SUPPLY DATA'!$Y:$Y,'CT capacity tracker'!AI$1)+SUMIFS('ESS SUPPLY DATA'!$U:$U,'ESS SUPPLY DATA'!$AF:$AF,'CT capacity tracker'!$B30,'ESS SUPPLY DATA'!$AE:$AE,'CT capacity tracker'!$A$1,'ESS SUPPLY DATA'!$W:$W,'CT capacity tracker'!AI$1)</f>
        <v>0</v>
      </c>
      <c r="AJ30" s="504">
        <f>SUMIFS('PV SUPPLY DATA'!$X:$X,'PV SUPPLY DATA'!$AH:$AH,'CT capacity tracker'!$B30,'PV SUPPLY DATA'!$AG:$AG,'CT capacity tracker'!$A$1,'PV SUPPLY DATA'!$Y:$Y,'CT capacity tracker'!AJ$1)+SUMIFS('ESS SUPPLY DATA'!$U:$U,'ESS SUPPLY DATA'!$AF:$AF,'CT capacity tracker'!$B30,'ESS SUPPLY DATA'!$AE:$AE,'CT capacity tracker'!$A$1,'ESS SUPPLY DATA'!$W:$W,'CT capacity tracker'!AJ$1)</f>
        <v>0</v>
      </c>
      <c r="AK30" s="505" t="s">
        <v>197</v>
      </c>
      <c r="AL30" s="505" t="s">
        <v>197</v>
      </c>
      <c r="AM30" s="696">
        <f>SUM(E30:X30)</f>
        <v>25</v>
      </c>
      <c r="AN30" s="503" t="s">
        <v>197</v>
      </c>
      <c r="AO30" s="506"/>
      <c r="AP30" s="506">
        <f t="shared" si="3"/>
        <v>0</v>
      </c>
      <c r="AQ30" s="506"/>
      <c r="AR30" s="506"/>
      <c r="AS30" s="506"/>
      <c r="AT30" s="506"/>
    </row>
    <row r="31" spans="1:46" ht="13">
      <c r="A31" s="1517"/>
      <c r="B31" s="1517"/>
      <c r="C31" s="509" t="s">
        <v>4401</v>
      </c>
      <c r="D31" s="509"/>
      <c r="E31" s="510">
        <v>7</v>
      </c>
      <c r="F31" s="510">
        <v>9</v>
      </c>
      <c r="G31" s="510">
        <v>10</v>
      </c>
      <c r="H31" s="510"/>
      <c r="I31" s="510"/>
      <c r="J31" s="510"/>
      <c r="K31" s="510">
        <v>5</v>
      </c>
      <c r="L31" s="510"/>
      <c r="M31" s="510">
        <v>3</v>
      </c>
      <c r="N31" s="510">
        <v>0</v>
      </c>
      <c r="O31" s="510">
        <v>3</v>
      </c>
      <c r="P31" s="510"/>
      <c r="Q31" s="510"/>
      <c r="R31" s="510"/>
      <c r="S31" s="510">
        <v>6</v>
      </c>
      <c r="T31" s="510"/>
      <c r="U31" s="510">
        <v>0</v>
      </c>
      <c r="V31" s="510">
        <v>4</v>
      </c>
      <c r="W31" s="510">
        <v>4</v>
      </c>
      <c r="X31" s="510">
        <v>0</v>
      </c>
      <c r="Y31" s="510"/>
      <c r="Z31" s="510"/>
      <c r="AA31" s="510"/>
      <c r="AB31" s="510">
        <v>7</v>
      </c>
      <c r="AC31" s="510">
        <v>5</v>
      </c>
      <c r="AD31" s="510">
        <v>0</v>
      </c>
      <c r="AE31" s="510"/>
      <c r="AF31" s="510"/>
      <c r="AG31" s="510"/>
      <c r="AH31" s="510"/>
      <c r="AI31" s="510"/>
      <c r="AJ31" s="510"/>
      <c r="AK31" s="505" t="s">
        <v>197</v>
      </c>
      <c r="AL31" s="505" t="s">
        <v>197</v>
      </c>
      <c r="AM31" s="696"/>
      <c r="AN31" s="503" t="s">
        <v>197</v>
      </c>
      <c r="AO31" s="506"/>
      <c r="AP31" s="506">
        <f t="shared" si="3"/>
        <v>10</v>
      </c>
      <c r="AQ31" s="506"/>
      <c r="AR31" s="506"/>
      <c r="AS31" s="506"/>
      <c r="AT31" s="506"/>
    </row>
    <row r="32" spans="1:46" ht="13">
      <c r="A32" s="1517"/>
      <c r="B32" s="1517"/>
      <c r="C32" s="520" t="s">
        <v>4402</v>
      </c>
      <c r="D32" s="522"/>
      <c r="E32" s="522">
        <f t="shared" ref="E32:X32" si="25">E31-E30</f>
        <v>7</v>
      </c>
      <c r="F32" s="522">
        <f t="shared" si="25"/>
        <v>9</v>
      </c>
      <c r="G32" s="522">
        <f t="shared" si="25"/>
        <v>10</v>
      </c>
      <c r="H32" s="522">
        <f t="shared" si="25"/>
        <v>0</v>
      </c>
      <c r="I32" s="522">
        <f t="shared" si="25"/>
        <v>0</v>
      </c>
      <c r="J32" s="522">
        <f t="shared" si="25"/>
        <v>0</v>
      </c>
      <c r="K32" s="522">
        <f t="shared" si="25"/>
        <v>0</v>
      </c>
      <c r="L32" s="522">
        <f t="shared" si="25"/>
        <v>0</v>
      </c>
      <c r="M32" s="522">
        <f t="shared" si="25"/>
        <v>0</v>
      </c>
      <c r="N32" s="522">
        <f t="shared" si="25"/>
        <v>-3</v>
      </c>
      <c r="O32" s="522">
        <f t="shared" si="25"/>
        <v>3</v>
      </c>
      <c r="P32" s="522">
        <f t="shared" si="25"/>
        <v>0</v>
      </c>
      <c r="Q32" s="522">
        <f t="shared" si="25"/>
        <v>0</v>
      </c>
      <c r="R32" s="522">
        <f t="shared" si="25"/>
        <v>-6</v>
      </c>
      <c r="S32" s="522">
        <f t="shared" si="25"/>
        <v>6</v>
      </c>
      <c r="T32" s="522">
        <f t="shared" si="25"/>
        <v>0</v>
      </c>
      <c r="U32" s="522">
        <f t="shared" si="25"/>
        <v>0</v>
      </c>
      <c r="V32" s="522">
        <f t="shared" si="25"/>
        <v>0</v>
      </c>
      <c r="W32" s="522">
        <f t="shared" si="25"/>
        <v>4</v>
      </c>
      <c r="X32" s="522">
        <f t="shared" si="25"/>
        <v>-4</v>
      </c>
      <c r="Y32" s="522">
        <f t="shared" ref="Y32:AJ32" si="26">Y31-Y30</f>
        <v>-5</v>
      </c>
      <c r="Z32" s="522">
        <f t="shared" si="26"/>
        <v>-4.8307692307692305</v>
      </c>
      <c r="AA32" s="522">
        <f t="shared" si="26"/>
        <v>-9</v>
      </c>
      <c r="AB32" s="522">
        <f t="shared" si="26"/>
        <v>-10</v>
      </c>
      <c r="AC32" s="522">
        <f t="shared" si="26"/>
        <v>1</v>
      </c>
      <c r="AD32" s="522">
        <f t="shared" si="26"/>
        <v>-12</v>
      </c>
      <c r="AE32" s="522">
        <f t="shared" si="26"/>
        <v>0</v>
      </c>
      <c r="AF32" s="522">
        <f t="shared" si="26"/>
        <v>0</v>
      </c>
      <c r="AG32" s="522">
        <f t="shared" si="26"/>
        <v>0</v>
      </c>
      <c r="AH32" s="522">
        <f t="shared" si="26"/>
        <v>0</v>
      </c>
      <c r="AI32" s="522">
        <f t="shared" si="26"/>
        <v>0</v>
      </c>
      <c r="AJ32" s="522">
        <f t="shared" si="26"/>
        <v>0</v>
      </c>
      <c r="AK32" s="511">
        <f>SUMIF($E32:$X32,"&gt;0")</f>
        <v>39</v>
      </c>
      <c r="AL32" s="511">
        <f>SUMIF($E32:$X32,"&lt;0")</f>
        <v>-13</v>
      </c>
      <c r="AM32" s="696"/>
      <c r="AN32" s="503" t="s">
        <v>197</v>
      </c>
      <c r="AO32" s="506"/>
      <c r="AP32" s="506">
        <f t="shared" si="3"/>
        <v>10</v>
      </c>
      <c r="AQ32" s="506"/>
      <c r="AR32" s="506"/>
      <c r="AS32" s="506"/>
      <c r="AT32" s="506"/>
    </row>
    <row r="33" spans="1:46" ht="13">
      <c r="A33" s="1517"/>
      <c r="B33" s="1518"/>
      <c r="C33" s="503" t="s">
        <v>4403</v>
      </c>
      <c r="D33" s="522"/>
      <c r="E33" s="504">
        <f>SUMIFS('PV SUPPLY DATA'!$X:$X,'PV SUPPLY DATA'!$AH:$AH,'CT capacity tracker'!$B30,'PV SUPPLY DATA'!$AG:$AG,'CT capacity tracker'!$A$1,'PV SUPPLY DATA'!$Y:$Y,E$1,'PV SUPPLY DATA'!$AQ:$AQ,"cosco")+SUMIFS('PV SUPPLY DATA'!$X:$X,'PV SUPPLY DATA'!$AH:$AH,'CT capacity tracker'!$B30,'PV SUPPLY DATA'!$AG:$AG,'CT capacity tracker'!$A$1,'PV SUPPLY DATA'!$Y:$Y,E$1,'PV SUPPLY DATA'!$AQ:$AQ,"other")+SUMIFS('ESS SUPPLY DATA'!$U:$U,'ESS SUPPLY DATA'!$AF:$AF,'CT capacity tracker'!$B30,'ESS SUPPLY DATA'!$AE:$AE,'CT capacity tracker'!$A$1,'ESS SUPPLY DATA'!$W:$W,'CT capacity tracker'!E$1,'ESS SUPPLY DATA'!$AO:$AO,"cosco")+SUMIFS('ESS SUPPLY DATA'!$U:$U,'ESS SUPPLY DATA'!$AF:$AF,'CT capacity tracker'!$B30,'ESS SUPPLY DATA'!$AE:$AE,'CT capacity tracker'!$A$1,'ESS SUPPLY DATA'!$W:$W,'CT capacity tracker'!E$1,'ESS SUPPLY DATA'!$AO:$AO,"other")</f>
        <v>0</v>
      </c>
      <c r="F33" s="504">
        <f>SUMIFS('PV SUPPLY DATA'!$X:$X,'PV SUPPLY DATA'!$AH:$AH,'CT capacity tracker'!$B30,'PV SUPPLY DATA'!$AG:$AG,'CT capacity tracker'!$A$1,'PV SUPPLY DATA'!$Y:$Y,F$1,'PV SUPPLY DATA'!$AQ:$AQ,"cosco")+SUMIFS('PV SUPPLY DATA'!$X:$X,'PV SUPPLY DATA'!$AH:$AH,'CT capacity tracker'!$B30,'PV SUPPLY DATA'!$AG:$AG,'CT capacity tracker'!$A$1,'PV SUPPLY DATA'!$Y:$Y,F$1,'PV SUPPLY DATA'!$AQ:$AQ,"other")+SUMIFS('ESS SUPPLY DATA'!$U:$U,'ESS SUPPLY DATA'!$AF:$AF,'CT capacity tracker'!$B30,'ESS SUPPLY DATA'!$AE:$AE,'CT capacity tracker'!$A$1,'ESS SUPPLY DATA'!$W:$W,'CT capacity tracker'!F$1,'ESS SUPPLY DATA'!$AO:$AO,"cosco")+SUMIFS('ESS SUPPLY DATA'!$U:$U,'ESS SUPPLY DATA'!$AF:$AF,'CT capacity tracker'!$B30,'ESS SUPPLY DATA'!$AE:$AE,'CT capacity tracker'!$A$1,'ESS SUPPLY DATA'!$W:$W,'CT capacity tracker'!F$1,'ESS SUPPLY DATA'!$AO:$AO,"other")</f>
        <v>0</v>
      </c>
      <c r="G33" s="504">
        <f>SUMIFS('PV SUPPLY DATA'!$X:$X,'PV SUPPLY DATA'!$AH:$AH,'CT capacity tracker'!$B30,'PV SUPPLY DATA'!$AG:$AG,'CT capacity tracker'!$A$1,'PV SUPPLY DATA'!$Y:$Y,G$1,'PV SUPPLY DATA'!$AQ:$AQ,"cosco")+SUMIFS('PV SUPPLY DATA'!$X:$X,'PV SUPPLY DATA'!$AH:$AH,'CT capacity tracker'!$B30,'PV SUPPLY DATA'!$AG:$AG,'CT capacity tracker'!$A$1,'PV SUPPLY DATA'!$Y:$Y,G$1,'PV SUPPLY DATA'!$AQ:$AQ,"other")+SUMIFS('ESS SUPPLY DATA'!$U:$U,'ESS SUPPLY DATA'!$AF:$AF,'CT capacity tracker'!$B30,'ESS SUPPLY DATA'!$AE:$AE,'CT capacity tracker'!$A$1,'ESS SUPPLY DATA'!$W:$W,'CT capacity tracker'!G$1,'ESS SUPPLY DATA'!$AO:$AO,"cosco")+SUMIFS('ESS SUPPLY DATA'!$U:$U,'ESS SUPPLY DATA'!$AF:$AF,'CT capacity tracker'!$B30,'ESS SUPPLY DATA'!$AE:$AE,'CT capacity tracker'!$A$1,'ESS SUPPLY DATA'!$W:$W,'CT capacity tracker'!G$1,'ESS SUPPLY DATA'!$AO:$AO,"other")</f>
        <v>0</v>
      </c>
      <c r="H33" s="504">
        <f>SUMIFS('PV SUPPLY DATA'!$X:$X,'PV SUPPLY DATA'!$AH:$AH,'CT capacity tracker'!$B30,'PV SUPPLY DATA'!$AG:$AG,'CT capacity tracker'!$A$1,'PV SUPPLY DATA'!$Y:$Y,H$1,'PV SUPPLY DATA'!$AQ:$AQ,"cosco")+SUMIFS('PV SUPPLY DATA'!$X:$X,'PV SUPPLY DATA'!$AH:$AH,'CT capacity tracker'!$B30,'PV SUPPLY DATA'!$AG:$AG,'CT capacity tracker'!$A$1,'PV SUPPLY DATA'!$Y:$Y,H$1,'PV SUPPLY DATA'!$AQ:$AQ,"other")+SUMIFS('ESS SUPPLY DATA'!$U:$U,'ESS SUPPLY DATA'!$AF:$AF,'CT capacity tracker'!$B30,'ESS SUPPLY DATA'!$AE:$AE,'CT capacity tracker'!$A$1,'ESS SUPPLY DATA'!$W:$W,'CT capacity tracker'!H$1,'ESS SUPPLY DATA'!$AO:$AO,"cosco")+SUMIFS('ESS SUPPLY DATA'!$U:$U,'ESS SUPPLY DATA'!$AF:$AF,'CT capacity tracker'!$B30,'ESS SUPPLY DATA'!$AE:$AE,'CT capacity tracker'!$A$1,'ESS SUPPLY DATA'!$W:$W,'CT capacity tracker'!H$1,'ESS SUPPLY DATA'!$AO:$AO,"other")</f>
        <v>0</v>
      </c>
      <c r="I33" s="504">
        <f>SUMIFS('PV SUPPLY DATA'!$X:$X,'PV SUPPLY DATA'!$AH:$AH,'CT capacity tracker'!$B30,'PV SUPPLY DATA'!$AG:$AG,'CT capacity tracker'!$A$1,'PV SUPPLY DATA'!$Y:$Y,I$1,'PV SUPPLY DATA'!$AQ:$AQ,"cosco")+SUMIFS('PV SUPPLY DATA'!$X:$X,'PV SUPPLY DATA'!$AH:$AH,'CT capacity tracker'!$B30,'PV SUPPLY DATA'!$AG:$AG,'CT capacity tracker'!$A$1,'PV SUPPLY DATA'!$Y:$Y,I$1,'PV SUPPLY DATA'!$AQ:$AQ,"other")+SUMIFS('ESS SUPPLY DATA'!$U:$U,'ESS SUPPLY DATA'!$AF:$AF,'CT capacity tracker'!$B30,'ESS SUPPLY DATA'!$AE:$AE,'CT capacity tracker'!$A$1,'ESS SUPPLY DATA'!$W:$W,'CT capacity tracker'!I$1,'ESS SUPPLY DATA'!$AO:$AO,"cosco")+SUMIFS('ESS SUPPLY DATA'!$U:$U,'ESS SUPPLY DATA'!$AF:$AF,'CT capacity tracker'!$B30,'ESS SUPPLY DATA'!$AE:$AE,'CT capacity tracker'!$A$1,'ESS SUPPLY DATA'!$W:$W,'CT capacity tracker'!I$1,'ESS SUPPLY DATA'!$AO:$AO,"other")</f>
        <v>0</v>
      </c>
      <c r="J33" s="504">
        <f>SUMIFS('PV SUPPLY DATA'!$X:$X,'PV SUPPLY DATA'!$AH:$AH,'CT capacity tracker'!$B30,'PV SUPPLY DATA'!$AG:$AG,'CT capacity tracker'!$A$1,'PV SUPPLY DATA'!$Y:$Y,J$1,'PV SUPPLY DATA'!$AQ:$AQ,"cosco")+SUMIFS('PV SUPPLY DATA'!$X:$X,'PV SUPPLY DATA'!$AH:$AH,'CT capacity tracker'!$B30,'PV SUPPLY DATA'!$AG:$AG,'CT capacity tracker'!$A$1,'PV SUPPLY DATA'!$Y:$Y,J$1,'PV SUPPLY DATA'!$AQ:$AQ,"other")+SUMIFS('ESS SUPPLY DATA'!$U:$U,'ESS SUPPLY DATA'!$AF:$AF,'CT capacity tracker'!$B30,'ESS SUPPLY DATA'!$AE:$AE,'CT capacity tracker'!$A$1,'ESS SUPPLY DATA'!$W:$W,'CT capacity tracker'!J$1,'ESS SUPPLY DATA'!$AO:$AO,"cosco")+SUMIFS('ESS SUPPLY DATA'!$U:$U,'ESS SUPPLY DATA'!$AF:$AF,'CT capacity tracker'!$B30,'ESS SUPPLY DATA'!$AE:$AE,'CT capacity tracker'!$A$1,'ESS SUPPLY DATA'!$W:$W,'CT capacity tracker'!J$1,'ESS SUPPLY DATA'!$AO:$AO,"other")</f>
        <v>0</v>
      </c>
      <c r="K33" s="504">
        <f>SUMIFS('PV SUPPLY DATA'!$X:$X,'PV SUPPLY DATA'!$AH:$AH,'CT capacity tracker'!$B30,'PV SUPPLY DATA'!$AG:$AG,'CT capacity tracker'!$A$1,'PV SUPPLY DATA'!$Y:$Y,K$1,'PV SUPPLY DATA'!$AQ:$AQ,"cosco")+SUMIFS('PV SUPPLY DATA'!$X:$X,'PV SUPPLY DATA'!$AH:$AH,'CT capacity tracker'!$B30,'PV SUPPLY DATA'!$AG:$AG,'CT capacity tracker'!$A$1,'PV SUPPLY DATA'!$Y:$Y,K$1,'PV SUPPLY DATA'!$AQ:$AQ,"other")+SUMIFS('ESS SUPPLY DATA'!$U:$U,'ESS SUPPLY DATA'!$AF:$AF,'CT capacity tracker'!$B30,'ESS SUPPLY DATA'!$AE:$AE,'CT capacity tracker'!$A$1,'ESS SUPPLY DATA'!$W:$W,'CT capacity tracker'!K$1,'ESS SUPPLY DATA'!$AO:$AO,"cosco")+SUMIFS('ESS SUPPLY DATA'!$U:$U,'ESS SUPPLY DATA'!$AF:$AF,'CT capacity tracker'!$B30,'ESS SUPPLY DATA'!$AE:$AE,'CT capacity tracker'!$A$1,'ESS SUPPLY DATA'!$W:$W,'CT capacity tracker'!K$1,'ESS SUPPLY DATA'!$AO:$AO,"other")</f>
        <v>5</v>
      </c>
      <c r="L33" s="504">
        <f>SUMIFS('PV SUPPLY DATA'!$X:$X,'PV SUPPLY DATA'!$AH:$AH,'CT capacity tracker'!$B30,'PV SUPPLY DATA'!$AG:$AG,'CT capacity tracker'!$A$1,'PV SUPPLY DATA'!$Y:$Y,L$1,'PV SUPPLY DATA'!$AQ:$AQ,"cosco")+SUMIFS('PV SUPPLY DATA'!$X:$X,'PV SUPPLY DATA'!$AH:$AH,'CT capacity tracker'!$B30,'PV SUPPLY DATA'!$AG:$AG,'CT capacity tracker'!$A$1,'PV SUPPLY DATA'!$Y:$Y,L$1,'PV SUPPLY DATA'!$AQ:$AQ,"other")+SUMIFS('ESS SUPPLY DATA'!$U:$U,'ESS SUPPLY DATA'!$AF:$AF,'CT capacity tracker'!$B30,'ESS SUPPLY DATA'!$AE:$AE,'CT capacity tracker'!$A$1,'ESS SUPPLY DATA'!$W:$W,'CT capacity tracker'!L$1,'ESS SUPPLY DATA'!$AO:$AO,"cosco")+SUMIFS('ESS SUPPLY DATA'!$U:$U,'ESS SUPPLY DATA'!$AF:$AF,'CT capacity tracker'!$B30,'ESS SUPPLY DATA'!$AE:$AE,'CT capacity tracker'!$A$1,'ESS SUPPLY DATA'!$W:$W,'CT capacity tracker'!L$1,'ESS SUPPLY DATA'!$AO:$AO,"other")</f>
        <v>0</v>
      </c>
      <c r="M33" s="504">
        <f>SUMIFS('PV SUPPLY DATA'!$X:$X,'PV SUPPLY DATA'!$AH:$AH,'CT capacity tracker'!$B30,'PV SUPPLY DATA'!$AG:$AG,'CT capacity tracker'!$A$1,'PV SUPPLY DATA'!$Y:$Y,M$1,'PV SUPPLY DATA'!$AQ:$AQ,"cosco")+SUMIFS('PV SUPPLY DATA'!$X:$X,'PV SUPPLY DATA'!$AH:$AH,'CT capacity tracker'!$B30,'PV SUPPLY DATA'!$AG:$AG,'CT capacity tracker'!$A$1,'PV SUPPLY DATA'!$Y:$Y,M$1,'PV SUPPLY DATA'!$AQ:$AQ,"other")+SUMIFS('ESS SUPPLY DATA'!$U:$U,'ESS SUPPLY DATA'!$AF:$AF,'CT capacity tracker'!$B30,'ESS SUPPLY DATA'!$AE:$AE,'CT capacity tracker'!$A$1,'ESS SUPPLY DATA'!$W:$W,'CT capacity tracker'!M$1,'ESS SUPPLY DATA'!$AO:$AO,"cosco")+SUMIFS('ESS SUPPLY DATA'!$U:$U,'ESS SUPPLY DATA'!$AF:$AF,'CT capacity tracker'!$B30,'ESS SUPPLY DATA'!$AE:$AE,'CT capacity tracker'!$A$1,'ESS SUPPLY DATA'!$W:$W,'CT capacity tracker'!M$1,'ESS SUPPLY DATA'!$AO:$AO,"other")</f>
        <v>3</v>
      </c>
      <c r="N33" s="504">
        <f>SUMIFS('PV SUPPLY DATA'!$X:$X,'PV SUPPLY DATA'!$AH:$AH,'CT capacity tracker'!$B30,'PV SUPPLY DATA'!$AG:$AG,'CT capacity tracker'!$A$1,'PV SUPPLY DATA'!$Y:$Y,N$1,'PV SUPPLY DATA'!$AQ:$AQ,"cosco")+SUMIFS('PV SUPPLY DATA'!$X:$X,'PV SUPPLY DATA'!$AH:$AH,'CT capacity tracker'!$B30,'PV SUPPLY DATA'!$AG:$AG,'CT capacity tracker'!$A$1,'PV SUPPLY DATA'!$Y:$Y,N$1,'PV SUPPLY DATA'!$AQ:$AQ,"other")+SUMIFS('ESS SUPPLY DATA'!$U:$U,'ESS SUPPLY DATA'!$AF:$AF,'CT capacity tracker'!$B30,'ESS SUPPLY DATA'!$AE:$AE,'CT capacity tracker'!$A$1,'ESS SUPPLY DATA'!$W:$W,'CT capacity tracker'!N$1,'ESS SUPPLY DATA'!$AO:$AO,"cosco")+SUMIFS('ESS SUPPLY DATA'!$U:$U,'ESS SUPPLY DATA'!$AF:$AF,'CT capacity tracker'!$B30,'ESS SUPPLY DATA'!$AE:$AE,'CT capacity tracker'!$A$1,'ESS SUPPLY DATA'!$W:$W,'CT capacity tracker'!N$1,'ESS SUPPLY DATA'!$AO:$AO,"other")</f>
        <v>3</v>
      </c>
      <c r="O33" s="504">
        <f>SUMIFS('PV SUPPLY DATA'!$X:$X,'PV SUPPLY DATA'!$AH:$AH,'CT capacity tracker'!$B30,'PV SUPPLY DATA'!$AG:$AG,'CT capacity tracker'!$A$1,'PV SUPPLY DATA'!$Y:$Y,O$1,'PV SUPPLY DATA'!$AQ:$AQ,"cosco")+SUMIFS('PV SUPPLY DATA'!$X:$X,'PV SUPPLY DATA'!$AH:$AH,'CT capacity tracker'!$B30,'PV SUPPLY DATA'!$AG:$AG,'CT capacity tracker'!$A$1,'PV SUPPLY DATA'!$Y:$Y,O$1,'PV SUPPLY DATA'!$AQ:$AQ,"other")+SUMIFS('ESS SUPPLY DATA'!$U:$U,'ESS SUPPLY DATA'!$AF:$AF,'CT capacity tracker'!$B30,'ESS SUPPLY DATA'!$AE:$AE,'CT capacity tracker'!$A$1,'ESS SUPPLY DATA'!$W:$W,'CT capacity tracker'!O$1,'ESS SUPPLY DATA'!$AO:$AO,"cosco")+SUMIFS('ESS SUPPLY DATA'!$U:$U,'ESS SUPPLY DATA'!$AF:$AF,'CT capacity tracker'!$B30,'ESS SUPPLY DATA'!$AE:$AE,'CT capacity tracker'!$A$1,'ESS SUPPLY DATA'!$W:$W,'CT capacity tracker'!O$1,'ESS SUPPLY DATA'!$AO:$AO,"other")</f>
        <v>0</v>
      </c>
      <c r="P33" s="504">
        <f>SUMIFS('PV SUPPLY DATA'!$X:$X,'PV SUPPLY DATA'!$AH:$AH,'CT capacity tracker'!$B30,'PV SUPPLY DATA'!$AG:$AG,'CT capacity tracker'!$A$1,'PV SUPPLY DATA'!$Y:$Y,P$1,'PV SUPPLY DATA'!$AQ:$AQ,"cosco")+SUMIFS('PV SUPPLY DATA'!$X:$X,'PV SUPPLY DATA'!$AH:$AH,'CT capacity tracker'!$B30,'PV SUPPLY DATA'!$AG:$AG,'CT capacity tracker'!$A$1,'PV SUPPLY DATA'!$Y:$Y,P$1,'PV SUPPLY DATA'!$AQ:$AQ,"other")+SUMIFS('ESS SUPPLY DATA'!$U:$U,'ESS SUPPLY DATA'!$AF:$AF,'CT capacity tracker'!$B30,'ESS SUPPLY DATA'!$AE:$AE,'CT capacity tracker'!$A$1,'ESS SUPPLY DATA'!$W:$W,'CT capacity tracker'!P$1,'ESS SUPPLY DATA'!$AO:$AO,"cosco")+SUMIFS('ESS SUPPLY DATA'!$U:$U,'ESS SUPPLY DATA'!$AF:$AF,'CT capacity tracker'!$B30,'ESS SUPPLY DATA'!$AE:$AE,'CT capacity tracker'!$A$1,'ESS SUPPLY DATA'!$W:$W,'CT capacity tracker'!P$1,'ESS SUPPLY DATA'!$AO:$AO,"other")</f>
        <v>0</v>
      </c>
      <c r="Q33" s="504">
        <f>SUMIFS('PV SUPPLY DATA'!$X:$X,'PV SUPPLY DATA'!$AH:$AH,'CT capacity tracker'!$B30,'PV SUPPLY DATA'!$AG:$AG,'CT capacity tracker'!$A$1,'PV SUPPLY DATA'!$Y:$Y,Q$1,'PV SUPPLY DATA'!$AQ:$AQ,"cosco")+SUMIFS('PV SUPPLY DATA'!$X:$X,'PV SUPPLY DATA'!$AH:$AH,'CT capacity tracker'!$B30,'PV SUPPLY DATA'!$AG:$AG,'CT capacity tracker'!$A$1,'PV SUPPLY DATA'!$Y:$Y,Q$1,'PV SUPPLY DATA'!$AQ:$AQ,"other")+SUMIFS('ESS SUPPLY DATA'!$U:$U,'ESS SUPPLY DATA'!$AF:$AF,'CT capacity tracker'!$B30,'ESS SUPPLY DATA'!$AE:$AE,'CT capacity tracker'!$A$1,'ESS SUPPLY DATA'!$W:$W,'CT capacity tracker'!Q$1,'ESS SUPPLY DATA'!$AO:$AO,"cosco")+SUMIFS('ESS SUPPLY DATA'!$U:$U,'ESS SUPPLY DATA'!$AF:$AF,'CT capacity tracker'!$B30,'ESS SUPPLY DATA'!$AE:$AE,'CT capacity tracker'!$A$1,'ESS SUPPLY DATA'!$W:$W,'CT capacity tracker'!Q$1,'ESS SUPPLY DATA'!$AO:$AO,"other")</f>
        <v>0</v>
      </c>
      <c r="R33" s="504">
        <f>SUMIFS('PV SUPPLY DATA'!$X:$X,'PV SUPPLY DATA'!$AH:$AH,'CT capacity tracker'!$B30,'PV SUPPLY DATA'!$AG:$AG,'CT capacity tracker'!$A$1,'PV SUPPLY DATA'!$Y:$Y,R$1,'PV SUPPLY DATA'!$AQ:$AQ,"cosco")+SUMIFS('PV SUPPLY DATA'!$X:$X,'PV SUPPLY DATA'!$AH:$AH,'CT capacity tracker'!$B30,'PV SUPPLY DATA'!$AG:$AG,'CT capacity tracker'!$A$1,'PV SUPPLY DATA'!$Y:$Y,R$1,'PV SUPPLY DATA'!$AQ:$AQ,"other")+SUMIFS('ESS SUPPLY DATA'!$U:$U,'ESS SUPPLY DATA'!$AF:$AF,'CT capacity tracker'!$B30,'ESS SUPPLY DATA'!$AE:$AE,'CT capacity tracker'!$A$1,'ESS SUPPLY DATA'!$W:$W,'CT capacity tracker'!R$1,'ESS SUPPLY DATA'!$AO:$AO,"cosco")+SUMIFS('ESS SUPPLY DATA'!$U:$U,'ESS SUPPLY DATA'!$AF:$AF,'CT capacity tracker'!$B30,'ESS SUPPLY DATA'!$AE:$AE,'CT capacity tracker'!$A$1,'ESS SUPPLY DATA'!$W:$W,'CT capacity tracker'!R$1,'ESS SUPPLY DATA'!$AO:$AO,"other")</f>
        <v>6</v>
      </c>
      <c r="S33" s="504">
        <f>SUMIFS('PV SUPPLY DATA'!$X:$X,'PV SUPPLY DATA'!$AH:$AH,'CT capacity tracker'!$B30,'PV SUPPLY DATA'!$AG:$AG,'CT capacity tracker'!$A$1,'PV SUPPLY DATA'!$Y:$Y,S$1,'PV SUPPLY DATA'!$AQ:$AQ,"cosco")+SUMIFS('PV SUPPLY DATA'!$X:$X,'PV SUPPLY DATA'!$AH:$AH,'CT capacity tracker'!$B30,'PV SUPPLY DATA'!$AG:$AG,'CT capacity tracker'!$A$1,'PV SUPPLY DATA'!$Y:$Y,S$1,'PV SUPPLY DATA'!$AQ:$AQ,"other")+SUMIFS('ESS SUPPLY DATA'!$U:$U,'ESS SUPPLY DATA'!$AF:$AF,'CT capacity tracker'!$B30,'ESS SUPPLY DATA'!$AE:$AE,'CT capacity tracker'!$A$1,'ESS SUPPLY DATA'!$W:$W,'CT capacity tracker'!S$1,'ESS SUPPLY DATA'!$AO:$AO,"cosco")+SUMIFS('ESS SUPPLY DATA'!$U:$U,'ESS SUPPLY DATA'!$AF:$AF,'CT capacity tracker'!$B30,'ESS SUPPLY DATA'!$AE:$AE,'CT capacity tracker'!$A$1,'ESS SUPPLY DATA'!$W:$W,'CT capacity tracker'!S$1,'ESS SUPPLY DATA'!$AO:$AO,"other")</f>
        <v>0</v>
      </c>
      <c r="T33" s="504">
        <f>SUMIFS('PV SUPPLY DATA'!$X:$X,'PV SUPPLY DATA'!$AH:$AH,'CT capacity tracker'!$B30,'PV SUPPLY DATA'!$AG:$AG,'CT capacity tracker'!$A$1,'PV SUPPLY DATA'!$Y:$Y,T$1,'PV SUPPLY DATA'!$AQ:$AQ,"cosco")+SUMIFS('PV SUPPLY DATA'!$X:$X,'PV SUPPLY DATA'!$AH:$AH,'CT capacity tracker'!$B30,'PV SUPPLY DATA'!$AG:$AG,'CT capacity tracker'!$A$1,'PV SUPPLY DATA'!$Y:$Y,T$1,'PV SUPPLY DATA'!$AQ:$AQ,"other")+SUMIFS('ESS SUPPLY DATA'!$U:$U,'ESS SUPPLY DATA'!$AF:$AF,'CT capacity tracker'!$B30,'ESS SUPPLY DATA'!$AE:$AE,'CT capacity tracker'!$A$1,'ESS SUPPLY DATA'!$W:$W,'CT capacity tracker'!T$1,'ESS SUPPLY DATA'!$AO:$AO,"cosco")+SUMIFS('ESS SUPPLY DATA'!$U:$U,'ESS SUPPLY DATA'!$AF:$AF,'CT capacity tracker'!$B30,'ESS SUPPLY DATA'!$AE:$AE,'CT capacity tracker'!$A$1,'ESS SUPPLY DATA'!$W:$W,'CT capacity tracker'!T$1,'ESS SUPPLY DATA'!$AO:$AO,"other")</f>
        <v>0</v>
      </c>
      <c r="U33" s="504">
        <f>SUMIFS('PV SUPPLY DATA'!$X:$X,'PV SUPPLY DATA'!$AH:$AH,'CT capacity tracker'!$B30,'PV SUPPLY DATA'!$AG:$AG,'CT capacity tracker'!$A$1,'PV SUPPLY DATA'!$Y:$Y,U$1,'PV SUPPLY DATA'!$AQ:$AQ,"cosco")+SUMIFS('PV SUPPLY DATA'!$X:$X,'PV SUPPLY DATA'!$AH:$AH,'CT capacity tracker'!$B30,'PV SUPPLY DATA'!$AG:$AG,'CT capacity tracker'!$A$1,'PV SUPPLY DATA'!$Y:$Y,U$1,'PV SUPPLY DATA'!$AQ:$AQ,"other")+SUMIFS('ESS SUPPLY DATA'!$U:$U,'ESS SUPPLY DATA'!$AF:$AF,'CT capacity tracker'!$B30,'ESS SUPPLY DATA'!$AE:$AE,'CT capacity tracker'!$A$1,'ESS SUPPLY DATA'!$W:$W,'CT capacity tracker'!U$1,'ESS SUPPLY DATA'!$AO:$AO,"cosco")+SUMIFS('ESS SUPPLY DATA'!$U:$U,'ESS SUPPLY DATA'!$AF:$AF,'CT capacity tracker'!$B30,'ESS SUPPLY DATA'!$AE:$AE,'CT capacity tracker'!$A$1,'ESS SUPPLY DATA'!$W:$W,'CT capacity tracker'!U$1,'ESS SUPPLY DATA'!$AO:$AO,"other")</f>
        <v>0</v>
      </c>
      <c r="V33" s="504">
        <f>SUMIFS('PV SUPPLY DATA'!$X:$X,'PV SUPPLY DATA'!$AH:$AH,'CT capacity tracker'!$B30,'PV SUPPLY DATA'!$AG:$AG,'CT capacity tracker'!$A$1,'PV SUPPLY DATA'!$Y:$Y,V$1,'PV SUPPLY DATA'!$AQ:$AQ,"cosco")+SUMIFS('PV SUPPLY DATA'!$X:$X,'PV SUPPLY DATA'!$AH:$AH,'CT capacity tracker'!$B30,'PV SUPPLY DATA'!$AG:$AG,'CT capacity tracker'!$A$1,'PV SUPPLY DATA'!$Y:$Y,V$1,'PV SUPPLY DATA'!$AQ:$AQ,"other")+SUMIFS('ESS SUPPLY DATA'!$U:$U,'ESS SUPPLY DATA'!$AF:$AF,'CT capacity tracker'!$B30,'ESS SUPPLY DATA'!$AE:$AE,'CT capacity tracker'!$A$1,'ESS SUPPLY DATA'!$W:$W,'CT capacity tracker'!V$1,'ESS SUPPLY DATA'!$AO:$AO,"cosco")+SUMIFS('ESS SUPPLY DATA'!$U:$U,'ESS SUPPLY DATA'!$AF:$AF,'CT capacity tracker'!$B30,'ESS SUPPLY DATA'!$AE:$AE,'CT capacity tracker'!$A$1,'ESS SUPPLY DATA'!$W:$W,'CT capacity tracker'!V$1,'ESS SUPPLY DATA'!$AO:$AO,"other")</f>
        <v>4</v>
      </c>
      <c r="W33" s="504">
        <f>SUMIFS('PV SUPPLY DATA'!$X:$X,'PV SUPPLY DATA'!$AH:$AH,'CT capacity tracker'!$B30,'PV SUPPLY DATA'!$AG:$AG,'CT capacity tracker'!$A$1,'PV SUPPLY DATA'!$Y:$Y,W$1,'PV SUPPLY DATA'!$AQ:$AQ,"cosco")+SUMIFS('PV SUPPLY DATA'!$X:$X,'PV SUPPLY DATA'!$AH:$AH,'CT capacity tracker'!$B30,'PV SUPPLY DATA'!$AG:$AG,'CT capacity tracker'!$A$1,'PV SUPPLY DATA'!$Y:$Y,W$1,'PV SUPPLY DATA'!$AQ:$AQ,"other")+SUMIFS('ESS SUPPLY DATA'!$U:$U,'ESS SUPPLY DATA'!$AF:$AF,'CT capacity tracker'!$B30,'ESS SUPPLY DATA'!$AE:$AE,'CT capacity tracker'!$A$1,'ESS SUPPLY DATA'!$W:$W,'CT capacity tracker'!W$1,'ESS SUPPLY DATA'!$AO:$AO,"cosco")+SUMIFS('ESS SUPPLY DATA'!$U:$U,'ESS SUPPLY DATA'!$AF:$AF,'CT capacity tracker'!$B30,'ESS SUPPLY DATA'!$AE:$AE,'CT capacity tracker'!$A$1,'ESS SUPPLY DATA'!$W:$W,'CT capacity tracker'!W$1,'ESS SUPPLY DATA'!$AO:$AO,"other")</f>
        <v>0</v>
      </c>
      <c r="X33" s="504">
        <f>SUMIFS('PV SUPPLY DATA'!$X:$X,'PV SUPPLY DATA'!$AH:$AH,'CT capacity tracker'!$B30,'PV SUPPLY DATA'!$AG:$AG,'CT capacity tracker'!$A$1,'PV SUPPLY DATA'!$Y:$Y,X$1,'PV SUPPLY DATA'!$AQ:$AQ,"cosco")+SUMIFS('PV SUPPLY DATA'!$X:$X,'PV SUPPLY DATA'!$AH:$AH,'CT capacity tracker'!$B30,'PV SUPPLY DATA'!$AG:$AG,'CT capacity tracker'!$A$1,'PV SUPPLY DATA'!$Y:$Y,X$1,'PV SUPPLY DATA'!$AQ:$AQ,"other")+SUMIFS('ESS SUPPLY DATA'!$U:$U,'ESS SUPPLY DATA'!$AF:$AF,'CT capacity tracker'!$B30,'ESS SUPPLY DATA'!$AE:$AE,'CT capacity tracker'!$A$1,'ESS SUPPLY DATA'!$W:$W,'CT capacity tracker'!X$1,'ESS SUPPLY DATA'!$AO:$AO,"cosco")+SUMIFS('ESS SUPPLY DATA'!$U:$U,'ESS SUPPLY DATA'!$AF:$AF,'CT capacity tracker'!$B30,'ESS SUPPLY DATA'!$AE:$AE,'CT capacity tracker'!$A$1,'ESS SUPPLY DATA'!$W:$W,'CT capacity tracker'!X$1,'ESS SUPPLY DATA'!$AO:$AO,"other")</f>
        <v>4</v>
      </c>
      <c r="Y33" s="504">
        <f>SUMIFS('PV SUPPLY DATA'!$X:$X,'PV SUPPLY DATA'!$AH:$AH,'CT capacity tracker'!$B30,'PV SUPPLY DATA'!$AG:$AG,'CT capacity tracker'!$A$1,'PV SUPPLY DATA'!$Y:$Y,Y$1,'PV SUPPLY DATA'!$AQ:$AQ,"cosco")+SUMIFS('PV SUPPLY DATA'!$X:$X,'PV SUPPLY DATA'!$AH:$AH,'CT capacity tracker'!$B30,'PV SUPPLY DATA'!$AG:$AG,'CT capacity tracker'!$A$1,'PV SUPPLY DATA'!$Y:$Y,Y$1,'PV SUPPLY DATA'!$AQ:$AQ,"other")+SUMIFS('ESS SUPPLY DATA'!$U:$U,'ESS SUPPLY DATA'!$AF:$AF,'CT capacity tracker'!$B30,'ESS SUPPLY DATA'!$AE:$AE,'CT capacity tracker'!$A$1,'ESS SUPPLY DATA'!$W:$W,'CT capacity tracker'!Y$1,'ESS SUPPLY DATA'!$AO:$AO,"cosco")+SUMIFS('ESS SUPPLY DATA'!$U:$U,'ESS SUPPLY DATA'!$AF:$AF,'CT capacity tracker'!$B30,'ESS SUPPLY DATA'!$AE:$AE,'CT capacity tracker'!$A$1,'ESS SUPPLY DATA'!$W:$W,'CT capacity tracker'!Y$1,'ESS SUPPLY DATA'!$AO:$AO,"other")</f>
        <v>5</v>
      </c>
      <c r="Z33" s="504">
        <f>SUMIFS('PV SUPPLY DATA'!$X:$X,'PV SUPPLY DATA'!$AH:$AH,'CT capacity tracker'!$B30,'PV SUPPLY DATA'!$AG:$AG,'CT capacity tracker'!$A$1,'PV SUPPLY DATA'!$Y:$Y,Z$1,'PV SUPPLY DATA'!$AQ:$AQ,"cosco")+SUMIFS('PV SUPPLY DATA'!$X:$X,'PV SUPPLY DATA'!$AH:$AH,'CT capacity tracker'!$B30,'PV SUPPLY DATA'!$AG:$AG,'CT capacity tracker'!$A$1,'PV SUPPLY DATA'!$Y:$Y,Z$1,'PV SUPPLY DATA'!$AQ:$AQ,"other")+SUMIFS('ESS SUPPLY DATA'!$U:$U,'ESS SUPPLY DATA'!$AF:$AF,'CT capacity tracker'!$B30,'ESS SUPPLY DATA'!$AE:$AE,'CT capacity tracker'!$A$1,'ESS SUPPLY DATA'!$W:$W,'CT capacity tracker'!Z$1,'ESS SUPPLY DATA'!$AO:$AO,"cosco")+SUMIFS('ESS SUPPLY DATA'!$U:$U,'ESS SUPPLY DATA'!$AF:$AF,'CT capacity tracker'!$B30,'ESS SUPPLY DATA'!$AE:$AE,'CT capacity tracker'!$A$1,'ESS SUPPLY DATA'!$W:$W,'CT capacity tracker'!Z$1,'ESS SUPPLY DATA'!$AO:$AO,"other")</f>
        <v>4.8307692307692314</v>
      </c>
      <c r="AA33" s="504">
        <f>SUMIFS('PV SUPPLY DATA'!$X:$X,'PV SUPPLY DATA'!$AH:$AH,'CT capacity tracker'!$B30,'PV SUPPLY DATA'!$AG:$AG,'CT capacity tracker'!$A$1,'PV SUPPLY DATA'!$Y:$Y,AA$1,'PV SUPPLY DATA'!$AQ:$AQ,"cosco")+SUMIFS('PV SUPPLY DATA'!$X:$X,'PV SUPPLY DATA'!$AH:$AH,'CT capacity tracker'!$B30,'PV SUPPLY DATA'!$AG:$AG,'CT capacity tracker'!$A$1,'PV SUPPLY DATA'!$Y:$Y,AA$1,'PV SUPPLY DATA'!$AQ:$AQ,"other")+SUMIFS('ESS SUPPLY DATA'!$U:$U,'ESS SUPPLY DATA'!$AF:$AF,'CT capacity tracker'!$B30,'ESS SUPPLY DATA'!$AE:$AE,'CT capacity tracker'!$A$1,'ESS SUPPLY DATA'!$W:$W,'CT capacity tracker'!AA$1,'ESS SUPPLY DATA'!$AO:$AO,"cosco")+SUMIFS('ESS SUPPLY DATA'!$U:$U,'ESS SUPPLY DATA'!$AF:$AF,'CT capacity tracker'!$B30,'ESS SUPPLY DATA'!$AE:$AE,'CT capacity tracker'!$A$1,'ESS SUPPLY DATA'!$W:$W,'CT capacity tracker'!AA$1,'ESS SUPPLY DATA'!$AO:$AO,"other")</f>
        <v>9</v>
      </c>
      <c r="AB33" s="504">
        <f>SUMIFS('PV SUPPLY DATA'!$X:$X,'PV SUPPLY DATA'!$AH:$AH,'CT capacity tracker'!$B30,'PV SUPPLY DATA'!$AG:$AG,'CT capacity tracker'!$A$1,'PV SUPPLY DATA'!$Y:$Y,AB$1,'PV SUPPLY DATA'!$AQ:$AQ,"cosco")+SUMIFS('PV SUPPLY DATA'!$X:$X,'PV SUPPLY DATA'!$AH:$AH,'CT capacity tracker'!$B30,'PV SUPPLY DATA'!$AG:$AG,'CT capacity tracker'!$A$1,'PV SUPPLY DATA'!$Y:$Y,AB$1,'PV SUPPLY DATA'!$AQ:$AQ,"other")+SUMIFS('ESS SUPPLY DATA'!$U:$U,'ESS SUPPLY DATA'!$AF:$AF,'CT capacity tracker'!$B30,'ESS SUPPLY DATA'!$AE:$AE,'CT capacity tracker'!$A$1,'ESS SUPPLY DATA'!$W:$W,'CT capacity tracker'!AB$1,'ESS SUPPLY DATA'!$AO:$AO,"cosco")+SUMIFS('ESS SUPPLY DATA'!$U:$U,'ESS SUPPLY DATA'!$AF:$AF,'CT capacity tracker'!$B30,'ESS SUPPLY DATA'!$AE:$AE,'CT capacity tracker'!$A$1,'ESS SUPPLY DATA'!$W:$W,'CT capacity tracker'!AB$1,'ESS SUPPLY DATA'!$AO:$AO,"other")</f>
        <v>17</v>
      </c>
      <c r="AC33" s="504">
        <f>SUMIFS('PV SUPPLY DATA'!$X:$X,'PV SUPPLY DATA'!$AH:$AH,'CT capacity tracker'!$B30,'PV SUPPLY DATA'!$AG:$AG,'CT capacity tracker'!$A$1,'PV SUPPLY DATA'!$Y:$Y,AC$1,'PV SUPPLY DATA'!$AQ:$AQ,"cosco")+SUMIFS('PV SUPPLY DATA'!$X:$X,'PV SUPPLY DATA'!$AH:$AH,'CT capacity tracker'!$B30,'PV SUPPLY DATA'!$AG:$AG,'CT capacity tracker'!$A$1,'PV SUPPLY DATA'!$Y:$Y,AC$1,'PV SUPPLY DATA'!$AQ:$AQ,"other")+SUMIFS('ESS SUPPLY DATA'!$U:$U,'ESS SUPPLY DATA'!$AF:$AF,'CT capacity tracker'!$B30,'ESS SUPPLY DATA'!$AE:$AE,'CT capacity tracker'!$A$1,'ESS SUPPLY DATA'!$W:$W,'CT capacity tracker'!AC$1,'ESS SUPPLY DATA'!$AO:$AO,"cosco")+SUMIFS('ESS SUPPLY DATA'!$U:$U,'ESS SUPPLY DATA'!$AF:$AF,'CT capacity tracker'!$B30,'ESS SUPPLY DATA'!$AE:$AE,'CT capacity tracker'!$A$1,'ESS SUPPLY DATA'!$W:$W,'CT capacity tracker'!AC$1,'ESS SUPPLY DATA'!$AO:$AO,"other")</f>
        <v>2</v>
      </c>
      <c r="AD33" s="504">
        <f>SUMIFS('PV SUPPLY DATA'!$X:$X,'PV SUPPLY DATA'!$AH:$AH,'CT capacity tracker'!$B30,'PV SUPPLY DATA'!$AG:$AG,'CT capacity tracker'!$A$1,'PV SUPPLY DATA'!$Y:$Y,AD$1,'PV SUPPLY DATA'!$AQ:$AQ,"cosco")+SUMIFS('PV SUPPLY DATA'!$X:$X,'PV SUPPLY DATA'!$AH:$AH,'CT capacity tracker'!$B30,'PV SUPPLY DATA'!$AG:$AG,'CT capacity tracker'!$A$1,'PV SUPPLY DATA'!$Y:$Y,AD$1,'PV SUPPLY DATA'!$AQ:$AQ,"other")+SUMIFS('ESS SUPPLY DATA'!$U:$U,'ESS SUPPLY DATA'!$AF:$AF,'CT capacity tracker'!$B30,'ESS SUPPLY DATA'!$AE:$AE,'CT capacity tracker'!$A$1,'ESS SUPPLY DATA'!$W:$W,'CT capacity tracker'!AD$1,'ESS SUPPLY DATA'!$AO:$AO,"cosco")+SUMIFS('ESS SUPPLY DATA'!$U:$U,'ESS SUPPLY DATA'!$AF:$AF,'CT capacity tracker'!$B30,'ESS SUPPLY DATA'!$AE:$AE,'CT capacity tracker'!$A$1,'ESS SUPPLY DATA'!$W:$W,'CT capacity tracker'!AD$1,'ESS SUPPLY DATA'!$AO:$AO,"other")</f>
        <v>1</v>
      </c>
      <c r="AE33" s="504">
        <f>SUMIFS('PV SUPPLY DATA'!$X:$X,'PV SUPPLY DATA'!$AH:$AH,'CT capacity tracker'!$B30,'PV SUPPLY DATA'!$AG:$AG,'CT capacity tracker'!$A$1,'PV SUPPLY DATA'!$Y:$Y,AE$1,'PV SUPPLY DATA'!$AQ:$AQ,"cosco")+SUMIFS('PV SUPPLY DATA'!$X:$X,'PV SUPPLY DATA'!$AH:$AH,'CT capacity tracker'!$B30,'PV SUPPLY DATA'!$AG:$AG,'CT capacity tracker'!$A$1,'PV SUPPLY DATA'!$Y:$Y,AE$1,'PV SUPPLY DATA'!$AQ:$AQ,"other")+SUMIFS('ESS SUPPLY DATA'!$U:$U,'ESS SUPPLY DATA'!$AF:$AF,'CT capacity tracker'!$B30,'ESS SUPPLY DATA'!$AE:$AE,'CT capacity tracker'!$A$1,'ESS SUPPLY DATA'!$W:$W,'CT capacity tracker'!AE$1,'ESS SUPPLY DATA'!$AO:$AO,"cosco")+SUMIFS('ESS SUPPLY DATA'!$U:$U,'ESS SUPPLY DATA'!$AF:$AF,'CT capacity tracker'!$B30,'ESS SUPPLY DATA'!$AE:$AE,'CT capacity tracker'!$A$1,'ESS SUPPLY DATA'!$W:$W,'CT capacity tracker'!AE$1,'ESS SUPPLY DATA'!$AO:$AO,"other")</f>
        <v>0</v>
      </c>
      <c r="AF33" s="504">
        <f>SUMIFS('PV SUPPLY DATA'!$X:$X,'PV SUPPLY DATA'!$AH:$AH,'CT capacity tracker'!$B30,'PV SUPPLY DATA'!$AG:$AG,'CT capacity tracker'!$A$1,'PV SUPPLY DATA'!$Y:$Y,AF$1,'PV SUPPLY DATA'!$AQ:$AQ,"cosco")+SUMIFS('PV SUPPLY DATA'!$X:$X,'PV SUPPLY DATA'!$AH:$AH,'CT capacity tracker'!$B30,'PV SUPPLY DATA'!$AG:$AG,'CT capacity tracker'!$A$1,'PV SUPPLY DATA'!$Y:$Y,AF$1,'PV SUPPLY DATA'!$AQ:$AQ,"other")+SUMIFS('ESS SUPPLY DATA'!$U:$U,'ESS SUPPLY DATA'!$AF:$AF,'CT capacity tracker'!$B30,'ESS SUPPLY DATA'!$AE:$AE,'CT capacity tracker'!$A$1,'ESS SUPPLY DATA'!$W:$W,'CT capacity tracker'!AF$1,'ESS SUPPLY DATA'!$AO:$AO,"cosco")+SUMIFS('ESS SUPPLY DATA'!$U:$U,'ESS SUPPLY DATA'!$AF:$AF,'CT capacity tracker'!$B30,'ESS SUPPLY DATA'!$AE:$AE,'CT capacity tracker'!$A$1,'ESS SUPPLY DATA'!$W:$W,'CT capacity tracker'!AF$1,'ESS SUPPLY DATA'!$AO:$AO,"other")</f>
        <v>0</v>
      </c>
      <c r="AG33" s="504">
        <f>SUMIFS('PV SUPPLY DATA'!$X:$X,'PV SUPPLY DATA'!$AH:$AH,'CT capacity tracker'!$B30,'PV SUPPLY DATA'!$AG:$AG,'CT capacity tracker'!$A$1,'PV SUPPLY DATA'!$Y:$Y,AG$1,'PV SUPPLY DATA'!$AQ:$AQ,"cosco")+SUMIFS('PV SUPPLY DATA'!$X:$X,'PV SUPPLY DATA'!$AH:$AH,'CT capacity tracker'!$B30,'PV SUPPLY DATA'!$AG:$AG,'CT capacity tracker'!$A$1,'PV SUPPLY DATA'!$Y:$Y,AG$1,'PV SUPPLY DATA'!$AQ:$AQ,"other")+SUMIFS('ESS SUPPLY DATA'!$U:$U,'ESS SUPPLY DATA'!$AF:$AF,'CT capacity tracker'!$B30,'ESS SUPPLY DATA'!$AE:$AE,'CT capacity tracker'!$A$1,'ESS SUPPLY DATA'!$W:$W,'CT capacity tracker'!AG$1,'ESS SUPPLY DATA'!$AO:$AO,"cosco")+SUMIFS('ESS SUPPLY DATA'!$U:$U,'ESS SUPPLY DATA'!$AF:$AF,'CT capacity tracker'!$B30,'ESS SUPPLY DATA'!$AE:$AE,'CT capacity tracker'!$A$1,'ESS SUPPLY DATA'!$W:$W,'CT capacity tracker'!AG$1,'ESS SUPPLY DATA'!$AO:$AO,"other")</f>
        <v>0</v>
      </c>
      <c r="AH33" s="504">
        <f>SUMIFS('PV SUPPLY DATA'!$X:$X,'PV SUPPLY DATA'!$AH:$AH,'CT capacity tracker'!$B30,'PV SUPPLY DATA'!$AG:$AG,'CT capacity tracker'!$A$1,'PV SUPPLY DATA'!$Y:$Y,AH$1,'PV SUPPLY DATA'!$AQ:$AQ,"cosco")+SUMIFS('PV SUPPLY DATA'!$X:$X,'PV SUPPLY DATA'!$AH:$AH,'CT capacity tracker'!$B30,'PV SUPPLY DATA'!$AG:$AG,'CT capacity tracker'!$A$1,'PV SUPPLY DATA'!$Y:$Y,AH$1,'PV SUPPLY DATA'!$AQ:$AQ,"other")+SUMIFS('ESS SUPPLY DATA'!$U:$U,'ESS SUPPLY DATA'!$AF:$AF,'CT capacity tracker'!$B30,'ESS SUPPLY DATA'!$AE:$AE,'CT capacity tracker'!$A$1,'ESS SUPPLY DATA'!$W:$W,'CT capacity tracker'!AH$1,'ESS SUPPLY DATA'!$AO:$AO,"cosco")+SUMIFS('ESS SUPPLY DATA'!$U:$U,'ESS SUPPLY DATA'!$AF:$AF,'CT capacity tracker'!$B30,'ESS SUPPLY DATA'!$AE:$AE,'CT capacity tracker'!$A$1,'ESS SUPPLY DATA'!$W:$W,'CT capacity tracker'!AH$1,'ESS SUPPLY DATA'!$AO:$AO,"other")</f>
        <v>0</v>
      </c>
      <c r="AI33" s="504">
        <f>SUMIFS('PV SUPPLY DATA'!$X:$X,'PV SUPPLY DATA'!$AH:$AH,'CT capacity tracker'!$B30,'PV SUPPLY DATA'!$AG:$AG,'CT capacity tracker'!$A$1,'PV SUPPLY DATA'!$Y:$Y,AI$1,'PV SUPPLY DATA'!$AQ:$AQ,"cosco")+SUMIFS('PV SUPPLY DATA'!$X:$X,'PV SUPPLY DATA'!$AH:$AH,'CT capacity tracker'!$B30,'PV SUPPLY DATA'!$AG:$AG,'CT capacity tracker'!$A$1,'PV SUPPLY DATA'!$Y:$Y,AI$1,'PV SUPPLY DATA'!$AQ:$AQ,"other")+SUMIFS('ESS SUPPLY DATA'!$U:$U,'ESS SUPPLY DATA'!$AF:$AF,'CT capacity tracker'!$B30,'ESS SUPPLY DATA'!$AE:$AE,'CT capacity tracker'!$A$1,'ESS SUPPLY DATA'!$W:$W,'CT capacity tracker'!AI$1,'ESS SUPPLY DATA'!$AO:$AO,"cosco")+SUMIFS('ESS SUPPLY DATA'!$U:$U,'ESS SUPPLY DATA'!$AF:$AF,'CT capacity tracker'!$B30,'ESS SUPPLY DATA'!$AE:$AE,'CT capacity tracker'!$A$1,'ESS SUPPLY DATA'!$W:$W,'CT capacity tracker'!AI$1,'ESS SUPPLY DATA'!$AO:$AO,"other")</f>
        <v>0</v>
      </c>
      <c r="AJ33" s="504">
        <f>SUMIFS('PV SUPPLY DATA'!$X:$X,'PV SUPPLY DATA'!$AH:$AH,'CT capacity tracker'!$B30,'PV SUPPLY DATA'!$AG:$AG,'CT capacity tracker'!$A$1,'PV SUPPLY DATA'!$Y:$Y,AJ$1,'PV SUPPLY DATA'!$AQ:$AQ,"cosco")+SUMIFS('PV SUPPLY DATA'!$X:$X,'PV SUPPLY DATA'!$AH:$AH,'CT capacity tracker'!$B30,'PV SUPPLY DATA'!$AG:$AG,'CT capacity tracker'!$A$1,'PV SUPPLY DATA'!$Y:$Y,AJ$1,'PV SUPPLY DATA'!$AQ:$AQ,"other")+SUMIFS('ESS SUPPLY DATA'!$U:$U,'ESS SUPPLY DATA'!$AF:$AF,'CT capacity tracker'!$B30,'ESS SUPPLY DATA'!$AE:$AE,'CT capacity tracker'!$A$1,'ESS SUPPLY DATA'!$W:$W,'CT capacity tracker'!AJ$1,'ESS SUPPLY DATA'!$AO:$AO,"cosco")+SUMIFS('ESS SUPPLY DATA'!$U:$U,'ESS SUPPLY DATA'!$AF:$AF,'CT capacity tracker'!$B30,'ESS SUPPLY DATA'!$AE:$AE,'CT capacity tracker'!$A$1,'ESS SUPPLY DATA'!$W:$W,'CT capacity tracker'!AJ$1,'ESS SUPPLY DATA'!$AO:$AO,"other")</f>
        <v>0</v>
      </c>
      <c r="AK33" s="511"/>
      <c r="AL33" s="511"/>
      <c r="AM33" s="696">
        <f>SUM(E33:X33)</f>
        <v>25</v>
      </c>
      <c r="AN33" s="503"/>
      <c r="AO33" s="506"/>
      <c r="AP33" s="506"/>
      <c r="AQ33" s="506"/>
      <c r="AR33" s="506"/>
      <c r="AS33" s="506"/>
      <c r="AT33" s="506"/>
    </row>
    <row r="34" spans="1:46" ht="13">
      <c r="A34" s="1517"/>
      <c r="B34" s="1516" t="s">
        <v>1561</v>
      </c>
      <c r="C34" s="503" t="s">
        <v>4400</v>
      </c>
      <c r="D34" s="504">
        <f>SUMIFS('PV SUPPLY DATA'!$X:$X,'PV SUPPLY DATA'!$AH:$AH,'CT capacity tracker'!$B34,'PV SUPPLY DATA'!$AG:$AG,'CT capacity tracker'!$A$1,'PV SUPPLY DATA'!$Z:$Z,'CT capacity tracker'!D$1)+SUMIFS('ESS SUPPLY DATA'!$U:$U,'ESS SUPPLY DATA'!$AF:$AF,'CT capacity tracker'!$B34,'ESS SUPPLY DATA'!$AE:$AE,'CT capacity tracker'!$A$1,'ESS SUPPLY DATA'!$X:$X,'CT capacity tracker'!D$1)</f>
        <v>6</v>
      </c>
      <c r="E34" s="504">
        <f>SUMIFS('PV SUPPLY DATA'!$X:$X,'PV SUPPLY DATA'!$AH:$AH,'CT capacity tracker'!$B34,'PV SUPPLY DATA'!$AG:$AG,'CT capacity tracker'!$A$1,'PV SUPPLY DATA'!$Y:$Y,'CT capacity tracker'!E$1)+SUMIFS('ESS SUPPLY DATA'!$U:$U,'ESS SUPPLY DATA'!$AF:$AF,'CT capacity tracker'!$B34,'ESS SUPPLY DATA'!$AE:$AE,'CT capacity tracker'!$A$1,'ESS SUPPLY DATA'!$W:$W,'CT capacity tracker'!E$1)</f>
        <v>0</v>
      </c>
      <c r="F34" s="504">
        <f>SUMIFS('PV SUPPLY DATA'!$X:$X,'PV SUPPLY DATA'!$AH:$AH,'CT capacity tracker'!$B34,'PV SUPPLY DATA'!$AG:$AG,'CT capacity tracker'!$A$1,'PV SUPPLY DATA'!$Y:$Y,'CT capacity tracker'!F$1)+SUMIFS('ESS SUPPLY DATA'!$U:$U,'ESS SUPPLY DATA'!$AF:$AF,'CT capacity tracker'!$B34,'ESS SUPPLY DATA'!$AE:$AE,'CT capacity tracker'!$A$1,'ESS SUPPLY DATA'!$W:$W,'CT capacity tracker'!F$1)</f>
        <v>0</v>
      </c>
      <c r="G34" s="504">
        <f>SUMIFS('PV SUPPLY DATA'!$X:$X,'PV SUPPLY DATA'!$AH:$AH,'CT capacity tracker'!$B34,'PV SUPPLY DATA'!$AG:$AG,'CT capacity tracker'!$A$1,'PV SUPPLY DATA'!$Y:$Y,'CT capacity tracker'!G$1)+SUMIFS('ESS SUPPLY DATA'!$U:$U,'ESS SUPPLY DATA'!$AF:$AF,'CT capacity tracker'!$B34,'ESS SUPPLY DATA'!$AE:$AE,'CT capacity tracker'!$A$1,'ESS SUPPLY DATA'!$W:$W,'CT capacity tracker'!G$1)</f>
        <v>0</v>
      </c>
      <c r="H34" s="504">
        <f>SUMIFS('PV SUPPLY DATA'!$X:$X,'PV SUPPLY DATA'!$AH:$AH,'CT capacity tracker'!$B34,'PV SUPPLY DATA'!$AG:$AG,'CT capacity tracker'!$A$1,'PV SUPPLY DATA'!$Y:$Y,'CT capacity tracker'!H$1)+SUMIFS('ESS SUPPLY DATA'!$U:$U,'ESS SUPPLY DATA'!$AF:$AF,'CT capacity tracker'!$B34,'ESS SUPPLY DATA'!$AE:$AE,'CT capacity tracker'!$A$1,'ESS SUPPLY DATA'!$W:$W,'CT capacity tracker'!H$1)</f>
        <v>5</v>
      </c>
      <c r="I34" s="504">
        <f>SUMIFS('PV SUPPLY DATA'!$X:$X,'PV SUPPLY DATA'!$AH:$AH,'CT capacity tracker'!$B34,'PV SUPPLY DATA'!$AG:$AG,'CT capacity tracker'!$A$1,'PV SUPPLY DATA'!$Y:$Y,'CT capacity tracker'!I$1)+SUMIFS('ESS SUPPLY DATA'!$U:$U,'ESS SUPPLY DATA'!$AF:$AF,'CT capacity tracker'!$B34,'ESS SUPPLY DATA'!$AE:$AE,'CT capacity tracker'!$A$1,'ESS SUPPLY DATA'!$W:$W,'CT capacity tracker'!I$1)</f>
        <v>5</v>
      </c>
      <c r="J34" s="504">
        <f>SUMIFS('PV SUPPLY DATA'!$X:$X,'PV SUPPLY DATA'!$AH:$AH,'CT capacity tracker'!$B34,'PV SUPPLY DATA'!$AG:$AG,'CT capacity tracker'!$A$1,'PV SUPPLY DATA'!$Y:$Y,'CT capacity tracker'!J$1)+SUMIFS('ESS SUPPLY DATA'!$U:$U,'ESS SUPPLY DATA'!$AF:$AF,'CT capacity tracker'!$B34,'ESS SUPPLY DATA'!$AE:$AE,'CT capacity tracker'!$A$1,'ESS SUPPLY DATA'!$W:$W,'CT capacity tracker'!J$1)</f>
        <v>3</v>
      </c>
      <c r="K34" s="504">
        <f>SUMIFS('PV SUPPLY DATA'!$X:$X,'PV SUPPLY DATA'!$AH:$AH,'CT capacity tracker'!$B34,'PV SUPPLY DATA'!$AG:$AG,'CT capacity tracker'!$A$1,'PV SUPPLY DATA'!$Y:$Y,'CT capacity tracker'!K$1)+SUMIFS('ESS SUPPLY DATA'!$U:$U,'ESS SUPPLY DATA'!$AF:$AF,'CT capacity tracker'!$B34,'ESS SUPPLY DATA'!$AE:$AE,'CT capacity tracker'!$A$1,'ESS SUPPLY DATA'!$W:$W,'CT capacity tracker'!K$1)</f>
        <v>0</v>
      </c>
      <c r="L34" s="504">
        <f>SUMIFS('PV SUPPLY DATA'!$X:$X,'PV SUPPLY DATA'!$AH:$AH,'CT capacity tracker'!$B34,'PV SUPPLY DATA'!$AG:$AG,'CT capacity tracker'!$A$1,'PV SUPPLY DATA'!$Y:$Y,'CT capacity tracker'!L$1)+SUMIFS('ESS SUPPLY DATA'!$U:$U,'ESS SUPPLY DATA'!$AF:$AF,'CT capacity tracker'!$B34,'ESS SUPPLY DATA'!$AE:$AE,'CT capacity tracker'!$A$1,'ESS SUPPLY DATA'!$W:$W,'CT capacity tracker'!L$1)</f>
        <v>0</v>
      </c>
      <c r="M34" s="504">
        <f>SUMIFS('PV SUPPLY DATA'!$X:$X,'PV SUPPLY DATA'!$AH:$AH,'CT capacity tracker'!$B34,'PV SUPPLY DATA'!$AG:$AG,'CT capacity tracker'!$A$1,'PV SUPPLY DATA'!$Y:$Y,'CT capacity tracker'!M$1)+SUMIFS('ESS SUPPLY DATA'!$U:$U,'ESS SUPPLY DATA'!$AF:$AF,'CT capacity tracker'!$B34,'ESS SUPPLY DATA'!$AE:$AE,'CT capacity tracker'!$A$1,'ESS SUPPLY DATA'!$W:$W,'CT capacity tracker'!M$1)</f>
        <v>0</v>
      </c>
      <c r="N34" s="504">
        <f>SUMIFS('PV SUPPLY DATA'!$X:$X,'PV SUPPLY DATA'!$AH:$AH,'CT capacity tracker'!$B34,'PV SUPPLY DATA'!$AG:$AG,'CT capacity tracker'!$A$1,'PV SUPPLY DATA'!$Y:$Y,'CT capacity tracker'!N$1)+SUMIFS('ESS SUPPLY DATA'!$U:$U,'ESS SUPPLY DATA'!$AF:$AF,'CT capacity tracker'!$B34,'ESS SUPPLY DATA'!$AE:$AE,'CT capacity tracker'!$A$1,'ESS SUPPLY DATA'!$W:$W,'CT capacity tracker'!N$1)</f>
        <v>0</v>
      </c>
      <c r="O34" s="504">
        <f>SUMIFS('PV SUPPLY DATA'!$X:$X,'PV SUPPLY DATA'!$AH:$AH,'CT capacity tracker'!$B34,'PV SUPPLY DATA'!$AG:$AG,'CT capacity tracker'!$A$1,'PV SUPPLY DATA'!$Y:$Y,'CT capacity tracker'!O$1)+SUMIFS('ESS SUPPLY DATA'!$U:$U,'ESS SUPPLY DATA'!$AF:$AF,'CT capacity tracker'!$B34,'ESS SUPPLY DATA'!$AE:$AE,'CT capacity tracker'!$A$1,'ESS SUPPLY DATA'!$W:$W,'CT capacity tracker'!O$1)</f>
        <v>0</v>
      </c>
      <c r="P34" s="504">
        <f>SUMIFS('PV SUPPLY DATA'!$X:$X,'PV SUPPLY DATA'!$AH:$AH,'CT capacity tracker'!$B34,'PV SUPPLY DATA'!$AG:$AG,'CT capacity tracker'!$A$1,'PV SUPPLY DATA'!$Y:$Y,'CT capacity tracker'!P$1)+SUMIFS('ESS SUPPLY DATA'!$U:$U,'ESS SUPPLY DATA'!$AF:$AF,'CT capacity tracker'!$B34,'ESS SUPPLY DATA'!$AE:$AE,'CT capacity tracker'!$A$1,'ESS SUPPLY DATA'!$W:$W,'CT capacity tracker'!P$1)</f>
        <v>3</v>
      </c>
      <c r="Q34" s="504">
        <f>SUMIFS('PV SUPPLY DATA'!$X:$X,'PV SUPPLY DATA'!$AH:$AH,'CT capacity tracker'!$B34,'PV SUPPLY DATA'!$AG:$AG,'CT capacity tracker'!$A$1,'PV SUPPLY DATA'!$Y:$Y,'CT capacity tracker'!Q$1)+SUMIFS('ESS SUPPLY DATA'!$U:$U,'ESS SUPPLY DATA'!$AF:$AF,'CT capacity tracker'!$B34,'ESS SUPPLY DATA'!$AE:$AE,'CT capacity tracker'!$A$1,'ESS SUPPLY DATA'!$W:$W,'CT capacity tracker'!Q$1)</f>
        <v>1</v>
      </c>
      <c r="R34" s="504">
        <f>SUMIFS('PV SUPPLY DATA'!$X:$X,'PV SUPPLY DATA'!$AH:$AH,'CT capacity tracker'!$B34,'PV SUPPLY DATA'!$AG:$AG,'CT capacity tracker'!$A$1,'PV SUPPLY DATA'!$Y:$Y,'CT capacity tracker'!R$1)+SUMIFS('ESS SUPPLY DATA'!$U:$U,'ESS SUPPLY DATA'!$AF:$AF,'CT capacity tracker'!$B34,'ESS SUPPLY DATA'!$AE:$AE,'CT capacity tracker'!$A$1,'ESS SUPPLY DATA'!$W:$W,'CT capacity tracker'!R$1)</f>
        <v>0</v>
      </c>
      <c r="S34" s="504">
        <f>SUMIFS('PV SUPPLY DATA'!$X:$X,'PV SUPPLY DATA'!$AH:$AH,'CT capacity tracker'!$B34,'PV SUPPLY DATA'!$AG:$AG,'CT capacity tracker'!$A$1,'PV SUPPLY DATA'!$Y:$Y,'CT capacity tracker'!S$1)+SUMIFS('ESS SUPPLY DATA'!$U:$U,'ESS SUPPLY DATA'!$AF:$AF,'CT capacity tracker'!$B34,'ESS SUPPLY DATA'!$AE:$AE,'CT capacity tracker'!$A$1,'ESS SUPPLY DATA'!$W:$W,'CT capacity tracker'!S$1)</f>
        <v>2</v>
      </c>
      <c r="T34" s="504">
        <f>SUMIFS('PV SUPPLY DATA'!$X:$X,'PV SUPPLY DATA'!$AH:$AH,'CT capacity tracker'!$B34,'PV SUPPLY DATA'!$AG:$AG,'CT capacity tracker'!$A$1,'PV SUPPLY DATA'!$Y:$Y,'CT capacity tracker'!T$1)+SUMIFS('ESS SUPPLY DATA'!$U:$U,'ESS SUPPLY DATA'!$AF:$AF,'CT capacity tracker'!$B34,'ESS SUPPLY DATA'!$AE:$AE,'CT capacity tracker'!$A$1,'ESS SUPPLY DATA'!$W:$W,'CT capacity tracker'!T$1)</f>
        <v>0</v>
      </c>
      <c r="U34" s="504">
        <f>SUMIFS('PV SUPPLY DATA'!$X:$X,'PV SUPPLY DATA'!$AH:$AH,'CT capacity tracker'!$B34,'PV SUPPLY DATA'!$AG:$AG,'CT capacity tracker'!$A$1,'PV SUPPLY DATA'!$Y:$Y,'CT capacity tracker'!U$1)+SUMIFS('ESS SUPPLY DATA'!$U:$U,'ESS SUPPLY DATA'!$AF:$AF,'CT capacity tracker'!$B34,'ESS SUPPLY DATA'!$AE:$AE,'CT capacity tracker'!$A$1,'ESS SUPPLY DATA'!$W:$W,'CT capacity tracker'!U$1)</f>
        <v>0</v>
      </c>
      <c r="V34" s="504">
        <f>SUMIFS('PV SUPPLY DATA'!$X:$X,'PV SUPPLY DATA'!$AH:$AH,'CT capacity tracker'!$B34,'PV SUPPLY DATA'!$AG:$AG,'CT capacity tracker'!$A$1,'PV SUPPLY DATA'!$Y:$Y,'CT capacity tracker'!V$1)+SUMIFS('ESS SUPPLY DATA'!$U:$U,'ESS SUPPLY DATA'!$AF:$AF,'CT capacity tracker'!$B34,'ESS SUPPLY DATA'!$AE:$AE,'CT capacity tracker'!$A$1,'ESS SUPPLY DATA'!$W:$W,'CT capacity tracker'!V$1)</f>
        <v>0</v>
      </c>
      <c r="W34" s="504">
        <f>SUMIFS('PV SUPPLY DATA'!$X:$X,'PV SUPPLY DATA'!$AH:$AH,'CT capacity tracker'!$B34,'PV SUPPLY DATA'!$AG:$AG,'CT capacity tracker'!$A$1,'PV SUPPLY DATA'!$Y:$Y,'CT capacity tracker'!W$1)+SUMIFS('ESS SUPPLY DATA'!$U:$U,'ESS SUPPLY DATA'!$AF:$AF,'CT capacity tracker'!$B34,'ESS SUPPLY DATA'!$AE:$AE,'CT capacity tracker'!$A$1,'ESS SUPPLY DATA'!$W:$W,'CT capacity tracker'!W$1)</f>
        <v>4</v>
      </c>
      <c r="X34" s="504">
        <f>SUMIFS('PV SUPPLY DATA'!$X:$X,'PV SUPPLY DATA'!$AH:$AH,'CT capacity tracker'!$B34,'PV SUPPLY DATA'!$AG:$AG,'CT capacity tracker'!$A$1,'PV SUPPLY DATA'!$Y:$Y,'CT capacity tracker'!X$1)+SUMIFS('ESS SUPPLY DATA'!$U:$U,'ESS SUPPLY DATA'!$AF:$AF,'CT capacity tracker'!$B34,'ESS SUPPLY DATA'!$AE:$AE,'CT capacity tracker'!$A$1,'ESS SUPPLY DATA'!$W:$W,'CT capacity tracker'!X$1)</f>
        <v>0</v>
      </c>
      <c r="Y34" s="504">
        <f>SUMIFS('PV SUPPLY DATA'!$X:$X,'PV SUPPLY DATA'!$AH:$AH,'CT capacity tracker'!$B34,'PV SUPPLY DATA'!$AG:$AG,'CT capacity tracker'!$A$1,'PV SUPPLY DATA'!$Y:$Y,'CT capacity tracker'!Y$1)+SUMIFS('ESS SUPPLY DATA'!$U:$U,'ESS SUPPLY DATA'!$AF:$AF,'CT capacity tracker'!$B34,'ESS SUPPLY DATA'!$AE:$AE,'CT capacity tracker'!$A$1,'ESS SUPPLY DATA'!$W:$W,'CT capacity tracker'!Y$1)</f>
        <v>3</v>
      </c>
      <c r="Z34" s="504">
        <f>SUMIFS('PV SUPPLY DATA'!$X:$X,'PV SUPPLY DATA'!$AH:$AH,'CT capacity tracker'!$B34,'PV SUPPLY DATA'!$AG:$AG,'CT capacity tracker'!$A$1,'PV SUPPLY DATA'!$Y:$Y,'CT capacity tracker'!Z$1)+SUMIFS('ESS SUPPLY DATA'!$U:$U,'ESS SUPPLY DATA'!$AF:$AF,'CT capacity tracker'!$B34,'ESS SUPPLY DATA'!$AE:$AE,'CT capacity tracker'!$A$1,'ESS SUPPLY DATA'!$W:$W,'CT capacity tracker'!Z$1)</f>
        <v>4</v>
      </c>
      <c r="AA34" s="504">
        <f>SUMIFS('PV SUPPLY DATA'!$X:$X,'PV SUPPLY DATA'!$AH:$AH,'CT capacity tracker'!$B34,'PV SUPPLY DATA'!$AG:$AG,'CT capacity tracker'!$A$1,'PV SUPPLY DATA'!$Y:$Y,'CT capacity tracker'!AA$1)+SUMIFS('ESS SUPPLY DATA'!$U:$U,'ESS SUPPLY DATA'!$AF:$AF,'CT capacity tracker'!$B34,'ESS SUPPLY DATA'!$AE:$AE,'CT capacity tracker'!$A$1,'ESS SUPPLY DATA'!$W:$W,'CT capacity tracker'!AA$1)</f>
        <v>0</v>
      </c>
      <c r="AB34" s="504">
        <f>SUMIFS('PV SUPPLY DATA'!$X:$X,'PV SUPPLY DATA'!$AH:$AH,'CT capacity tracker'!$B34,'PV SUPPLY DATA'!$AG:$AG,'CT capacity tracker'!$A$1,'PV SUPPLY DATA'!$Y:$Y,'CT capacity tracker'!AB$1)+SUMIFS('ESS SUPPLY DATA'!$U:$U,'ESS SUPPLY DATA'!$AF:$AF,'CT capacity tracker'!$B34,'ESS SUPPLY DATA'!$AE:$AE,'CT capacity tracker'!$A$1,'ESS SUPPLY DATA'!$W:$W,'CT capacity tracker'!AB$1)</f>
        <v>0</v>
      </c>
      <c r="AC34" s="504">
        <f>SUMIFS('PV SUPPLY DATA'!$X:$X,'PV SUPPLY DATA'!$AH:$AH,'CT capacity tracker'!$B34,'PV SUPPLY DATA'!$AG:$AG,'CT capacity tracker'!$A$1,'PV SUPPLY DATA'!$Y:$Y,'CT capacity tracker'!AC$1)+SUMIFS('ESS SUPPLY DATA'!$U:$U,'ESS SUPPLY DATA'!$AF:$AF,'CT capacity tracker'!$B34,'ESS SUPPLY DATA'!$AE:$AE,'CT capacity tracker'!$A$1,'ESS SUPPLY DATA'!$W:$W,'CT capacity tracker'!AC$1)</f>
        <v>4</v>
      </c>
      <c r="AD34" s="504">
        <f>SUMIFS('PV SUPPLY DATA'!$X:$X,'PV SUPPLY DATA'!$AH:$AH,'CT capacity tracker'!$B34,'PV SUPPLY DATA'!$AG:$AG,'CT capacity tracker'!$A$1,'PV SUPPLY DATA'!$Y:$Y,'CT capacity tracker'!AD$1)+SUMIFS('ESS SUPPLY DATA'!$U:$U,'ESS SUPPLY DATA'!$AF:$AF,'CT capacity tracker'!$B34,'ESS SUPPLY DATA'!$AE:$AE,'CT capacity tracker'!$A$1,'ESS SUPPLY DATA'!$W:$W,'CT capacity tracker'!AD$1)</f>
        <v>0</v>
      </c>
      <c r="AE34" s="504">
        <f>SUMIFS('PV SUPPLY DATA'!$X:$X,'PV SUPPLY DATA'!$AH:$AH,'CT capacity tracker'!$B34,'PV SUPPLY DATA'!$AG:$AG,'CT capacity tracker'!$A$1,'PV SUPPLY DATA'!$Y:$Y,'CT capacity tracker'!AE$1)+SUMIFS('ESS SUPPLY DATA'!$U:$U,'ESS SUPPLY DATA'!$AF:$AF,'CT capacity tracker'!$B34,'ESS SUPPLY DATA'!$AE:$AE,'CT capacity tracker'!$A$1,'ESS SUPPLY DATA'!$W:$W,'CT capacity tracker'!AE$1)</f>
        <v>5</v>
      </c>
      <c r="AF34" s="504">
        <f>SUMIFS('PV SUPPLY DATA'!$X:$X,'PV SUPPLY DATA'!$AH:$AH,'CT capacity tracker'!$B34,'PV SUPPLY DATA'!$AG:$AG,'CT capacity tracker'!$A$1,'PV SUPPLY DATA'!$Y:$Y,'CT capacity tracker'!AF$1)+SUMIFS('ESS SUPPLY DATA'!$U:$U,'ESS SUPPLY DATA'!$AF:$AF,'CT capacity tracker'!$B34,'ESS SUPPLY DATA'!$AE:$AE,'CT capacity tracker'!$A$1,'ESS SUPPLY DATA'!$W:$W,'CT capacity tracker'!AF$1)</f>
        <v>0</v>
      </c>
      <c r="AG34" s="504">
        <f>SUMIFS('PV SUPPLY DATA'!$X:$X,'PV SUPPLY DATA'!$AH:$AH,'CT capacity tracker'!$B34,'PV SUPPLY DATA'!$AG:$AG,'CT capacity tracker'!$A$1,'PV SUPPLY DATA'!$Y:$Y,'CT capacity tracker'!AG$1)+SUMIFS('ESS SUPPLY DATA'!$U:$U,'ESS SUPPLY DATA'!$AF:$AF,'CT capacity tracker'!$B34,'ESS SUPPLY DATA'!$AE:$AE,'CT capacity tracker'!$A$1,'ESS SUPPLY DATA'!$W:$W,'CT capacity tracker'!AG$1)</f>
        <v>0</v>
      </c>
      <c r="AH34" s="504">
        <f>SUMIFS('PV SUPPLY DATA'!$X:$X,'PV SUPPLY DATA'!$AH:$AH,'CT capacity tracker'!$B34,'PV SUPPLY DATA'!$AG:$AG,'CT capacity tracker'!$A$1,'PV SUPPLY DATA'!$Y:$Y,'CT capacity tracker'!AH$1)+SUMIFS('ESS SUPPLY DATA'!$U:$U,'ESS SUPPLY DATA'!$AF:$AF,'CT capacity tracker'!$B34,'ESS SUPPLY DATA'!$AE:$AE,'CT capacity tracker'!$A$1,'ESS SUPPLY DATA'!$W:$W,'CT capacity tracker'!AH$1)</f>
        <v>0</v>
      </c>
      <c r="AI34" s="504">
        <f>SUMIFS('PV SUPPLY DATA'!$X:$X,'PV SUPPLY DATA'!$AH:$AH,'CT capacity tracker'!$B34,'PV SUPPLY DATA'!$AG:$AG,'CT capacity tracker'!$A$1,'PV SUPPLY DATA'!$Y:$Y,'CT capacity tracker'!AI$1)+SUMIFS('ESS SUPPLY DATA'!$U:$U,'ESS SUPPLY DATA'!$AF:$AF,'CT capacity tracker'!$B34,'ESS SUPPLY DATA'!$AE:$AE,'CT capacity tracker'!$A$1,'ESS SUPPLY DATA'!$W:$W,'CT capacity tracker'!AI$1)</f>
        <v>0</v>
      </c>
      <c r="AJ34" s="504">
        <f>SUMIFS('PV SUPPLY DATA'!$X:$X,'PV SUPPLY DATA'!$AH:$AH,'CT capacity tracker'!$B34,'PV SUPPLY DATA'!$AG:$AG,'CT capacity tracker'!$A$1,'PV SUPPLY DATA'!$Y:$Y,'CT capacity tracker'!AJ$1)+SUMIFS('ESS SUPPLY DATA'!$U:$U,'ESS SUPPLY DATA'!$AF:$AF,'CT capacity tracker'!$B34,'ESS SUPPLY DATA'!$AE:$AE,'CT capacity tracker'!$A$1,'ESS SUPPLY DATA'!$W:$W,'CT capacity tracker'!AJ$1)</f>
        <v>0</v>
      </c>
      <c r="AK34" s="505" t="s">
        <v>197</v>
      </c>
      <c r="AL34" s="505" t="s">
        <v>197</v>
      </c>
      <c r="AM34" s="696">
        <f>SUM(E34:X34)</f>
        <v>23</v>
      </c>
      <c r="AN34" s="503" t="s">
        <v>197</v>
      </c>
      <c r="AO34" s="506"/>
      <c r="AP34" s="506">
        <f t="shared" si="3"/>
        <v>13</v>
      </c>
      <c r="AQ34" s="506"/>
      <c r="AR34" s="506"/>
      <c r="AS34" s="506"/>
      <c r="AT34" s="506"/>
    </row>
    <row r="35" spans="1:46" ht="13">
      <c r="A35" s="1517"/>
      <c r="B35" s="1517"/>
      <c r="C35" s="509" t="s">
        <v>4401</v>
      </c>
      <c r="D35" s="509"/>
      <c r="E35" s="510">
        <v>13</v>
      </c>
      <c r="F35" s="510"/>
      <c r="G35" s="510">
        <v>5</v>
      </c>
      <c r="H35" s="510">
        <v>5</v>
      </c>
      <c r="I35" s="510">
        <v>5</v>
      </c>
      <c r="J35" s="510">
        <v>3</v>
      </c>
      <c r="K35" s="510"/>
      <c r="L35" s="510"/>
      <c r="M35" s="510"/>
      <c r="N35" s="510">
        <v>0</v>
      </c>
      <c r="O35" s="510">
        <v>0</v>
      </c>
      <c r="P35" s="510">
        <v>2</v>
      </c>
      <c r="Q35" s="510">
        <v>2</v>
      </c>
      <c r="R35" s="510">
        <v>2</v>
      </c>
      <c r="S35" s="510">
        <v>0</v>
      </c>
      <c r="T35" s="510"/>
      <c r="U35" s="510">
        <v>0</v>
      </c>
      <c r="V35" s="510">
        <v>0</v>
      </c>
      <c r="W35" s="510">
        <v>4</v>
      </c>
      <c r="X35" s="510">
        <v>0</v>
      </c>
      <c r="Y35" s="510"/>
      <c r="Z35" s="510"/>
      <c r="AA35" s="510"/>
      <c r="AB35" s="510"/>
      <c r="AC35" s="510">
        <v>4</v>
      </c>
      <c r="AD35" s="510">
        <v>0</v>
      </c>
      <c r="AE35" s="510">
        <v>4</v>
      </c>
      <c r="AF35" s="510"/>
      <c r="AG35" s="510"/>
      <c r="AH35" s="510"/>
      <c r="AI35" s="510"/>
      <c r="AJ35" s="510"/>
      <c r="AK35" s="505" t="s">
        <v>197</v>
      </c>
      <c r="AL35" s="505" t="s">
        <v>197</v>
      </c>
      <c r="AM35" s="696"/>
      <c r="AN35" s="503" t="s">
        <v>197</v>
      </c>
      <c r="AO35" s="506"/>
      <c r="AP35" s="506">
        <f t="shared" si="3"/>
        <v>18</v>
      </c>
      <c r="AQ35" s="506"/>
      <c r="AR35" s="506"/>
      <c r="AS35" s="506"/>
      <c r="AT35" s="506"/>
    </row>
    <row r="36" spans="1:46" ht="13">
      <c r="A36" s="1517"/>
      <c r="B36" s="1517"/>
      <c r="C36" s="520" t="s">
        <v>4402</v>
      </c>
      <c r="D36" s="522"/>
      <c r="E36" s="522">
        <f t="shared" ref="E36:X36" si="27">E35-E34</f>
        <v>13</v>
      </c>
      <c r="F36" s="522">
        <f t="shared" si="27"/>
        <v>0</v>
      </c>
      <c r="G36" s="522">
        <f t="shared" si="27"/>
        <v>5</v>
      </c>
      <c r="H36" s="522">
        <f t="shared" si="27"/>
        <v>0</v>
      </c>
      <c r="I36" s="522">
        <f t="shared" si="27"/>
        <v>0</v>
      </c>
      <c r="J36" s="522">
        <f t="shared" si="27"/>
        <v>0</v>
      </c>
      <c r="K36" s="522">
        <f t="shared" si="27"/>
        <v>0</v>
      </c>
      <c r="L36" s="522">
        <f t="shared" si="27"/>
        <v>0</v>
      </c>
      <c r="M36" s="522">
        <f t="shared" si="27"/>
        <v>0</v>
      </c>
      <c r="N36" s="522">
        <f t="shared" si="27"/>
        <v>0</v>
      </c>
      <c r="O36" s="522">
        <f t="shared" si="27"/>
        <v>0</v>
      </c>
      <c r="P36" s="522">
        <f t="shared" si="27"/>
        <v>-1</v>
      </c>
      <c r="Q36" s="522">
        <f t="shared" si="27"/>
        <v>1</v>
      </c>
      <c r="R36" s="522">
        <f t="shared" si="27"/>
        <v>2</v>
      </c>
      <c r="S36" s="522">
        <f t="shared" si="27"/>
        <v>-2</v>
      </c>
      <c r="T36" s="522">
        <f t="shared" si="27"/>
        <v>0</v>
      </c>
      <c r="U36" s="522">
        <f t="shared" si="27"/>
        <v>0</v>
      </c>
      <c r="V36" s="522">
        <f t="shared" si="27"/>
        <v>0</v>
      </c>
      <c r="W36" s="522">
        <f t="shared" si="27"/>
        <v>0</v>
      </c>
      <c r="X36" s="522">
        <f t="shared" si="27"/>
        <v>0</v>
      </c>
      <c r="Y36" s="522">
        <f t="shared" ref="Y36:AJ36" si="28">Y35-Y34</f>
        <v>-3</v>
      </c>
      <c r="Z36" s="522">
        <f t="shared" si="28"/>
        <v>-4</v>
      </c>
      <c r="AA36" s="522">
        <f t="shared" si="28"/>
        <v>0</v>
      </c>
      <c r="AB36" s="522">
        <f t="shared" si="28"/>
        <v>0</v>
      </c>
      <c r="AC36" s="522">
        <f t="shared" si="28"/>
        <v>0</v>
      </c>
      <c r="AD36" s="522">
        <f t="shared" si="28"/>
        <v>0</v>
      </c>
      <c r="AE36" s="522">
        <f t="shared" si="28"/>
        <v>-1</v>
      </c>
      <c r="AF36" s="522">
        <f t="shared" si="28"/>
        <v>0</v>
      </c>
      <c r="AG36" s="522">
        <f t="shared" si="28"/>
        <v>0</v>
      </c>
      <c r="AH36" s="522">
        <f t="shared" si="28"/>
        <v>0</v>
      </c>
      <c r="AI36" s="522">
        <f t="shared" si="28"/>
        <v>0</v>
      </c>
      <c r="AJ36" s="522">
        <f t="shared" si="28"/>
        <v>0</v>
      </c>
      <c r="AK36" s="511">
        <f>SUMIF($E36:$X36,"&gt;0")</f>
        <v>21</v>
      </c>
      <c r="AL36" s="511">
        <f>SUMIF($E36:$X36,"&lt;0")</f>
        <v>-3</v>
      </c>
      <c r="AM36" s="696"/>
      <c r="AN36" s="503"/>
      <c r="AO36" s="506"/>
      <c r="AP36" s="506">
        <f t="shared" si="3"/>
        <v>5</v>
      </c>
      <c r="AQ36" s="506"/>
      <c r="AR36" s="506"/>
      <c r="AS36" s="506"/>
      <c r="AT36" s="506"/>
    </row>
    <row r="37" spans="1:46" ht="13">
      <c r="A37" s="1517"/>
      <c r="B37" s="1518"/>
      <c r="C37" s="503" t="s">
        <v>4403</v>
      </c>
      <c r="D37" s="522"/>
      <c r="E37" s="504">
        <f>SUMIFS('PV SUPPLY DATA'!$X:$X,'PV SUPPLY DATA'!$AH:$AH,'CT capacity tracker'!$B34,'PV SUPPLY DATA'!$AG:$AG,'CT capacity tracker'!$A$1,'PV SUPPLY DATA'!$Y:$Y,E$1,'PV SUPPLY DATA'!$AQ:$AQ,"cosco")+SUMIFS('PV SUPPLY DATA'!$X:$X,'PV SUPPLY DATA'!$AH:$AH,'CT capacity tracker'!$B34,'PV SUPPLY DATA'!$AG:$AG,'CT capacity tracker'!$A$1,'PV SUPPLY DATA'!$Y:$Y,E$1,'PV SUPPLY DATA'!$AQ:$AQ,"other")+SUMIFS('ESS SUPPLY DATA'!$U:$U,'ESS SUPPLY DATA'!$AF:$AF,'CT capacity tracker'!$B34,'ESS SUPPLY DATA'!$AE:$AE,'CT capacity tracker'!$A$1,'ESS SUPPLY DATA'!$W:$W,'CT capacity tracker'!E$1,'ESS SUPPLY DATA'!$AO:$AO,"cosco")+SUMIFS('ESS SUPPLY DATA'!$U:$U,'ESS SUPPLY DATA'!$AF:$AF,'CT capacity tracker'!$B34,'ESS SUPPLY DATA'!$AE:$AE,'CT capacity tracker'!$A$1,'ESS SUPPLY DATA'!$W:$W,'CT capacity tracker'!E$1,'ESS SUPPLY DATA'!$AO:$AO,"other")</f>
        <v>0</v>
      </c>
      <c r="F37" s="504">
        <f>SUMIFS('PV SUPPLY DATA'!$X:$X,'PV SUPPLY DATA'!$AH:$AH,'CT capacity tracker'!$B34,'PV SUPPLY DATA'!$AG:$AG,'CT capacity tracker'!$A$1,'PV SUPPLY DATA'!$Y:$Y,F$1,'PV SUPPLY DATA'!$AQ:$AQ,"cosco")+SUMIFS('PV SUPPLY DATA'!$X:$X,'PV SUPPLY DATA'!$AH:$AH,'CT capacity tracker'!$B34,'PV SUPPLY DATA'!$AG:$AG,'CT capacity tracker'!$A$1,'PV SUPPLY DATA'!$Y:$Y,F$1,'PV SUPPLY DATA'!$AQ:$AQ,"other")+SUMIFS('ESS SUPPLY DATA'!$U:$U,'ESS SUPPLY DATA'!$AF:$AF,'CT capacity tracker'!$B34,'ESS SUPPLY DATA'!$AE:$AE,'CT capacity tracker'!$A$1,'ESS SUPPLY DATA'!$W:$W,'CT capacity tracker'!F$1,'ESS SUPPLY DATA'!$AO:$AO,"cosco")+SUMIFS('ESS SUPPLY DATA'!$U:$U,'ESS SUPPLY DATA'!$AF:$AF,'CT capacity tracker'!$B34,'ESS SUPPLY DATA'!$AE:$AE,'CT capacity tracker'!$A$1,'ESS SUPPLY DATA'!$W:$W,'CT capacity tracker'!F$1,'ESS SUPPLY DATA'!$AO:$AO,"other")</f>
        <v>0</v>
      </c>
      <c r="G37" s="504">
        <f>SUMIFS('PV SUPPLY DATA'!$X:$X,'PV SUPPLY DATA'!$AH:$AH,'CT capacity tracker'!$B34,'PV SUPPLY DATA'!$AG:$AG,'CT capacity tracker'!$A$1,'PV SUPPLY DATA'!$Y:$Y,G$1,'PV SUPPLY DATA'!$AQ:$AQ,"cosco")+SUMIFS('PV SUPPLY DATA'!$X:$X,'PV SUPPLY DATA'!$AH:$AH,'CT capacity tracker'!$B34,'PV SUPPLY DATA'!$AG:$AG,'CT capacity tracker'!$A$1,'PV SUPPLY DATA'!$Y:$Y,G$1,'PV SUPPLY DATA'!$AQ:$AQ,"other")+SUMIFS('ESS SUPPLY DATA'!$U:$U,'ESS SUPPLY DATA'!$AF:$AF,'CT capacity tracker'!$B34,'ESS SUPPLY DATA'!$AE:$AE,'CT capacity tracker'!$A$1,'ESS SUPPLY DATA'!$W:$W,'CT capacity tracker'!G$1,'ESS SUPPLY DATA'!$AO:$AO,"cosco")+SUMIFS('ESS SUPPLY DATA'!$U:$U,'ESS SUPPLY DATA'!$AF:$AF,'CT capacity tracker'!$B34,'ESS SUPPLY DATA'!$AE:$AE,'CT capacity tracker'!$A$1,'ESS SUPPLY DATA'!$W:$W,'CT capacity tracker'!G$1,'ESS SUPPLY DATA'!$AO:$AO,"other")</f>
        <v>0</v>
      </c>
      <c r="H37" s="504">
        <f>SUMIFS('PV SUPPLY DATA'!$X:$X,'PV SUPPLY DATA'!$AH:$AH,'CT capacity tracker'!$B34,'PV SUPPLY DATA'!$AG:$AG,'CT capacity tracker'!$A$1,'PV SUPPLY DATA'!$Y:$Y,H$1,'PV SUPPLY DATA'!$AQ:$AQ,"cosco")+SUMIFS('PV SUPPLY DATA'!$X:$X,'PV SUPPLY DATA'!$AH:$AH,'CT capacity tracker'!$B34,'PV SUPPLY DATA'!$AG:$AG,'CT capacity tracker'!$A$1,'PV SUPPLY DATA'!$Y:$Y,H$1,'PV SUPPLY DATA'!$AQ:$AQ,"other")+SUMIFS('ESS SUPPLY DATA'!$U:$U,'ESS SUPPLY DATA'!$AF:$AF,'CT capacity tracker'!$B34,'ESS SUPPLY DATA'!$AE:$AE,'CT capacity tracker'!$A$1,'ESS SUPPLY DATA'!$W:$W,'CT capacity tracker'!H$1,'ESS SUPPLY DATA'!$AO:$AO,"cosco")+SUMIFS('ESS SUPPLY DATA'!$U:$U,'ESS SUPPLY DATA'!$AF:$AF,'CT capacity tracker'!$B34,'ESS SUPPLY DATA'!$AE:$AE,'CT capacity tracker'!$A$1,'ESS SUPPLY DATA'!$W:$W,'CT capacity tracker'!H$1,'ESS SUPPLY DATA'!$AO:$AO,"other")</f>
        <v>5</v>
      </c>
      <c r="I37" s="504">
        <f>SUMIFS('PV SUPPLY DATA'!$X:$X,'PV SUPPLY DATA'!$AH:$AH,'CT capacity tracker'!$B34,'PV SUPPLY DATA'!$AG:$AG,'CT capacity tracker'!$A$1,'PV SUPPLY DATA'!$Y:$Y,I$1,'PV SUPPLY DATA'!$AQ:$AQ,"cosco")+SUMIFS('PV SUPPLY DATA'!$X:$X,'PV SUPPLY DATA'!$AH:$AH,'CT capacity tracker'!$B34,'PV SUPPLY DATA'!$AG:$AG,'CT capacity tracker'!$A$1,'PV SUPPLY DATA'!$Y:$Y,I$1,'PV SUPPLY DATA'!$AQ:$AQ,"other")+SUMIFS('ESS SUPPLY DATA'!$U:$U,'ESS SUPPLY DATA'!$AF:$AF,'CT capacity tracker'!$B34,'ESS SUPPLY DATA'!$AE:$AE,'CT capacity tracker'!$A$1,'ESS SUPPLY DATA'!$W:$W,'CT capacity tracker'!I$1,'ESS SUPPLY DATA'!$AO:$AO,"cosco")+SUMIFS('ESS SUPPLY DATA'!$U:$U,'ESS SUPPLY DATA'!$AF:$AF,'CT capacity tracker'!$B34,'ESS SUPPLY DATA'!$AE:$AE,'CT capacity tracker'!$A$1,'ESS SUPPLY DATA'!$W:$W,'CT capacity tracker'!I$1,'ESS SUPPLY DATA'!$AO:$AO,"other")</f>
        <v>5</v>
      </c>
      <c r="J37" s="504">
        <f>SUMIFS('PV SUPPLY DATA'!$X:$X,'PV SUPPLY DATA'!$AH:$AH,'CT capacity tracker'!$B34,'PV SUPPLY DATA'!$AG:$AG,'CT capacity tracker'!$A$1,'PV SUPPLY DATA'!$Y:$Y,J$1,'PV SUPPLY DATA'!$AQ:$AQ,"cosco")+SUMIFS('PV SUPPLY DATA'!$X:$X,'PV SUPPLY DATA'!$AH:$AH,'CT capacity tracker'!$B34,'PV SUPPLY DATA'!$AG:$AG,'CT capacity tracker'!$A$1,'PV SUPPLY DATA'!$Y:$Y,J$1,'PV SUPPLY DATA'!$AQ:$AQ,"other")+SUMIFS('ESS SUPPLY DATA'!$U:$U,'ESS SUPPLY DATA'!$AF:$AF,'CT capacity tracker'!$B34,'ESS SUPPLY DATA'!$AE:$AE,'CT capacity tracker'!$A$1,'ESS SUPPLY DATA'!$W:$W,'CT capacity tracker'!J$1,'ESS SUPPLY DATA'!$AO:$AO,"cosco")+SUMIFS('ESS SUPPLY DATA'!$U:$U,'ESS SUPPLY DATA'!$AF:$AF,'CT capacity tracker'!$B34,'ESS SUPPLY DATA'!$AE:$AE,'CT capacity tracker'!$A$1,'ESS SUPPLY DATA'!$W:$W,'CT capacity tracker'!J$1,'ESS SUPPLY DATA'!$AO:$AO,"other")</f>
        <v>3</v>
      </c>
      <c r="K37" s="504">
        <f>SUMIFS('PV SUPPLY DATA'!$X:$X,'PV SUPPLY DATA'!$AH:$AH,'CT capacity tracker'!$B34,'PV SUPPLY DATA'!$AG:$AG,'CT capacity tracker'!$A$1,'PV SUPPLY DATA'!$Y:$Y,K$1,'PV SUPPLY DATA'!$AQ:$AQ,"cosco")+SUMIFS('PV SUPPLY DATA'!$X:$X,'PV SUPPLY DATA'!$AH:$AH,'CT capacity tracker'!$B34,'PV SUPPLY DATA'!$AG:$AG,'CT capacity tracker'!$A$1,'PV SUPPLY DATA'!$Y:$Y,K$1,'PV SUPPLY DATA'!$AQ:$AQ,"other")+SUMIFS('ESS SUPPLY DATA'!$U:$U,'ESS SUPPLY DATA'!$AF:$AF,'CT capacity tracker'!$B34,'ESS SUPPLY DATA'!$AE:$AE,'CT capacity tracker'!$A$1,'ESS SUPPLY DATA'!$W:$W,'CT capacity tracker'!K$1,'ESS SUPPLY DATA'!$AO:$AO,"cosco")+SUMIFS('ESS SUPPLY DATA'!$U:$U,'ESS SUPPLY DATA'!$AF:$AF,'CT capacity tracker'!$B34,'ESS SUPPLY DATA'!$AE:$AE,'CT capacity tracker'!$A$1,'ESS SUPPLY DATA'!$W:$W,'CT capacity tracker'!K$1,'ESS SUPPLY DATA'!$AO:$AO,"other")</f>
        <v>0</v>
      </c>
      <c r="L37" s="504">
        <f>SUMIFS('PV SUPPLY DATA'!$X:$X,'PV SUPPLY DATA'!$AH:$AH,'CT capacity tracker'!$B34,'PV SUPPLY DATA'!$AG:$AG,'CT capacity tracker'!$A$1,'PV SUPPLY DATA'!$Y:$Y,L$1,'PV SUPPLY DATA'!$AQ:$AQ,"cosco")+SUMIFS('PV SUPPLY DATA'!$X:$X,'PV SUPPLY DATA'!$AH:$AH,'CT capacity tracker'!$B34,'PV SUPPLY DATA'!$AG:$AG,'CT capacity tracker'!$A$1,'PV SUPPLY DATA'!$Y:$Y,L$1,'PV SUPPLY DATA'!$AQ:$AQ,"other")+SUMIFS('ESS SUPPLY DATA'!$U:$U,'ESS SUPPLY DATA'!$AF:$AF,'CT capacity tracker'!$B34,'ESS SUPPLY DATA'!$AE:$AE,'CT capacity tracker'!$A$1,'ESS SUPPLY DATA'!$W:$W,'CT capacity tracker'!L$1,'ESS SUPPLY DATA'!$AO:$AO,"cosco")+SUMIFS('ESS SUPPLY DATA'!$U:$U,'ESS SUPPLY DATA'!$AF:$AF,'CT capacity tracker'!$B34,'ESS SUPPLY DATA'!$AE:$AE,'CT capacity tracker'!$A$1,'ESS SUPPLY DATA'!$W:$W,'CT capacity tracker'!L$1,'ESS SUPPLY DATA'!$AO:$AO,"other")</f>
        <v>0</v>
      </c>
      <c r="M37" s="504">
        <f>SUMIFS('PV SUPPLY DATA'!$X:$X,'PV SUPPLY DATA'!$AH:$AH,'CT capacity tracker'!$B34,'PV SUPPLY DATA'!$AG:$AG,'CT capacity tracker'!$A$1,'PV SUPPLY DATA'!$Y:$Y,M$1,'PV SUPPLY DATA'!$AQ:$AQ,"cosco")+SUMIFS('PV SUPPLY DATA'!$X:$X,'PV SUPPLY DATA'!$AH:$AH,'CT capacity tracker'!$B34,'PV SUPPLY DATA'!$AG:$AG,'CT capacity tracker'!$A$1,'PV SUPPLY DATA'!$Y:$Y,M$1,'PV SUPPLY DATA'!$AQ:$AQ,"other")+SUMIFS('ESS SUPPLY DATA'!$U:$U,'ESS SUPPLY DATA'!$AF:$AF,'CT capacity tracker'!$B34,'ESS SUPPLY DATA'!$AE:$AE,'CT capacity tracker'!$A$1,'ESS SUPPLY DATA'!$W:$W,'CT capacity tracker'!M$1,'ESS SUPPLY DATA'!$AO:$AO,"cosco")+SUMIFS('ESS SUPPLY DATA'!$U:$U,'ESS SUPPLY DATA'!$AF:$AF,'CT capacity tracker'!$B34,'ESS SUPPLY DATA'!$AE:$AE,'CT capacity tracker'!$A$1,'ESS SUPPLY DATA'!$W:$W,'CT capacity tracker'!M$1,'ESS SUPPLY DATA'!$AO:$AO,"other")</f>
        <v>0</v>
      </c>
      <c r="N37" s="504">
        <f>SUMIFS('PV SUPPLY DATA'!$X:$X,'PV SUPPLY DATA'!$AH:$AH,'CT capacity tracker'!$B34,'PV SUPPLY DATA'!$AG:$AG,'CT capacity tracker'!$A$1,'PV SUPPLY DATA'!$Y:$Y,N$1,'PV SUPPLY DATA'!$AQ:$AQ,"cosco")+SUMIFS('PV SUPPLY DATA'!$X:$X,'PV SUPPLY DATA'!$AH:$AH,'CT capacity tracker'!$B34,'PV SUPPLY DATA'!$AG:$AG,'CT capacity tracker'!$A$1,'PV SUPPLY DATA'!$Y:$Y,N$1,'PV SUPPLY DATA'!$AQ:$AQ,"other")+SUMIFS('ESS SUPPLY DATA'!$U:$U,'ESS SUPPLY DATA'!$AF:$AF,'CT capacity tracker'!$B34,'ESS SUPPLY DATA'!$AE:$AE,'CT capacity tracker'!$A$1,'ESS SUPPLY DATA'!$W:$W,'CT capacity tracker'!N$1,'ESS SUPPLY DATA'!$AO:$AO,"cosco")+SUMIFS('ESS SUPPLY DATA'!$U:$U,'ESS SUPPLY DATA'!$AF:$AF,'CT capacity tracker'!$B34,'ESS SUPPLY DATA'!$AE:$AE,'CT capacity tracker'!$A$1,'ESS SUPPLY DATA'!$W:$W,'CT capacity tracker'!N$1,'ESS SUPPLY DATA'!$AO:$AO,"other")</f>
        <v>0</v>
      </c>
      <c r="O37" s="504">
        <f>SUMIFS('PV SUPPLY DATA'!$X:$X,'PV SUPPLY DATA'!$AH:$AH,'CT capacity tracker'!$B34,'PV SUPPLY DATA'!$AG:$AG,'CT capacity tracker'!$A$1,'PV SUPPLY DATA'!$Y:$Y,O$1,'PV SUPPLY DATA'!$AQ:$AQ,"cosco")+SUMIFS('PV SUPPLY DATA'!$X:$X,'PV SUPPLY DATA'!$AH:$AH,'CT capacity tracker'!$B34,'PV SUPPLY DATA'!$AG:$AG,'CT capacity tracker'!$A$1,'PV SUPPLY DATA'!$Y:$Y,O$1,'PV SUPPLY DATA'!$AQ:$AQ,"other")+SUMIFS('ESS SUPPLY DATA'!$U:$U,'ESS SUPPLY DATA'!$AF:$AF,'CT capacity tracker'!$B34,'ESS SUPPLY DATA'!$AE:$AE,'CT capacity tracker'!$A$1,'ESS SUPPLY DATA'!$W:$W,'CT capacity tracker'!O$1,'ESS SUPPLY DATA'!$AO:$AO,"cosco")+SUMIFS('ESS SUPPLY DATA'!$U:$U,'ESS SUPPLY DATA'!$AF:$AF,'CT capacity tracker'!$B34,'ESS SUPPLY DATA'!$AE:$AE,'CT capacity tracker'!$A$1,'ESS SUPPLY DATA'!$W:$W,'CT capacity tracker'!O$1,'ESS SUPPLY DATA'!$AO:$AO,"other")</f>
        <v>0</v>
      </c>
      <c r="P37" s="504">
        <f>SUMIFS('PV SUPPLY DATA'!$X:$X,'PV SUPPLY DATA'!$AH:$AH,'CT capacity tracker'!$B34,'PV SUPPLY DATA'!$AG:$AG,'CT capacity tracker'!$A$1,'PV SUPPLY DATA'!$Y:$Y,P$1,'PV SUPPLY DATA'!$AQ:$AQ,"cosco")+SUMIFS('PV SUPPLY DATA'!$X:$X,'PV SUPPLY DATA'!$AH:$AH,'CT capacity tracker'!$B34,'PV SUPPLY DATA'!$AG:$AG,'CT capacity tracker'!$A$1,'PV SUPPLY DATA'!$Y:$Y,P$1,'PV SUPPLY DATA'!$AQ:$AQ,"other")+SUMIFS('ESS SUPPLY DATA'!$U:$U,'ESS SUPPLY DATA'!$AF:$AF,'CT capacity tracker'!$B34,'ESS SUPPLY DATA'!$AE:$AE,'CT capacity tracker'!$A$1,'ESS SUPPLY DATA'!$W:$W,'CT capacity tracker'!P$1,'ESS SUPPLY DATA'!$AO:$AO,"cosco")+SUMIFS('ESS SUPPLY DATA'!$U:$U,'ESS SUPPLY DATA'!$AF:$AF,'CT capacity tracker'!$B34,'ESS SUPPLY DATA'!$AE:$AE,'CT capacity tracker'!$A$1,'ESS SUPPLY DATA'!$W:$W,'CT capacity tracker'!P$1,'ESS SUPPLY DATA'!$AO:$AO,"other")</f>
        <v>3</v>
      </c>
      <c r="Q37" s="504">
        <f>SUMIFS('PV SUPPLY DATA'!$X:$X,'PV SUPPLY DATA'!$AH:$AH,'CT capacity tracker'!$B34,'PV SUPPLY DATA'!$AG:$AG,'CT capacity tracker'!$A$1,'PV SUPPLY DATA'!$Y:$Y,Q$1,'PV SUPPLY DATA'!$AQ:$AQ,"cosco")+SUMIFS('PV SUPPLY DATA'!$X:$X,'PV SUPPLY DATA'!$AH:$AH,'CT capacity tracker'!$B34,'PV SUPPLY DATA'!$AG:$AG,'CT capacity tracker'!$A$1,'PV SUPPLY DATA'!$Y:$Y,Q$1,'PV SUPPLY DATA'!$AQ:$AQ,"other")+SUMIFS('ESS SUPPLY DATA'!$U:$U,'ESS SUPPLY DATA'!$AF:$AF,'CT capacity tracker'!$B34,'ESS SUPPLY DATA'!$AE:$AE,'CT capacity tracker'!$A$1,'ESS SUPPLY DATA'!$W:$W,'CT capacity tracker'!Q$1,'ESS SUPPLY DATA'!$AO:$AO,"cosco")+SUMIFS('ESS SUPPLY DATA'!$U:$U,'ESS SUPPLY DATA'!$AF:$AF,'CT capacity tracker'!$B34,'ESS SUPPLY DATA'!$AE:$AE,'CT capacity tracker'!$A$1,'ESS SUPPLY DATA'!$W:$W,'CT capacity tracker'!Q$1,'ESS SUPPLY DATA'!$AO:$AO,"other")</f>
        <v>1</v>
      </c>
      <c r="R37" s="504">
        <f>SUMIFS('PV SUPPLY DATA'!$X:$X,'PV SUPPLY DATA'!$AH:$AH,'CT capacity tracker'!$B34,'PV SUPPLY DATA'!$AG:$AG,'CT capacity tracker'!$A$1,'PV SUPPLY DATA'!$Y:$Y,R$1,'PV SUPPLY DATA'!$AQ:$AQ,"cosco")+SUMIFS('PV SUPPLY DATA'!$X:$X,'PV SUPPLY DATA'!$AH:$AH,'CT capacity tracker'!$B34,'PV SUPPLY DATA'!$AG:$AG,'CT capacity tracker'!$A$1,'PV SUPPLY DATA'!$Y:$Y,R$1,'PV SUPPLY DATA'!$AQ:$AQ,"other")+SUMIFS('ESS SUPPLY DATA'!$U:$U,'ESS SUPPLY DATA'!$AF:$AF,'CT capacity tracker'!$B34,'ESS SUPPLY DATA'!$AE:$AE,'CT capacity tracker'!$A$1,'ESS SUPPLY DATA'!$W:$W,'CT capacity tracker'!R$1,'ESS SUPPLY DATA'!$AO:$AO,"cosco")+SUMIFS('ESS SUPPLY DATA'!$U:$U,'ESS SUPPLY DATA'!$AF:$AF,'CT capacity tracker'!$B34,'ESS SUPPLY DATA'!$AE:$AE,'CT capacity tracker'!$A$1,'ESS SUPPLY DATA'!$W:$W,'CT capacity tracker'!R$1,'ESS SUPPLY DATA'!$AO:$AO,"other")</f>
        <v>0</v>
      </c>
      <c r="S37" s="504">
        <f>SUMIFS('PV SUPPLY DATA'!$X:$X,'PV SUPPLY DATA'!$AH:$AH,'CT capacity tracker'!$B34,'PV SUPPLY DATA'!$AG:$AG,'CT capacity tracker'!$A$1,'PV SUPPLY DATA'!$Y:$Y,S$1,'PV SUPPLY DATA'!$AQ:$AQ,"cosco")+SUMIFS('PV SUPPLY DATA'!$X:$X,'PV SUPPLY DATA'!$AH:$AH,'CT capacity tracker'!$B34,'PV SUPPLY DATA'!$AG:$AG,'CT capacity tracker'!$A$1,'PV SUPPLY DATA'!$Y:$Y,S$1,'PV SUPPLY DATA'!$AQ:$AQ,"other")+SUMIFS('ESS SUPPLY DATA'!$U:$U,'ESS SUPPLY DATA'!$AF:$AF,'CT capacity tracker'!$B34,'ESS SUPPLY DATA'!$AE:$AE,'CT capacity tracker'!$A$1,'ESS SUPPLY DATA'!$W:$W,'CT capacity tracker'!S$1,'ESS SUPPLY DATA'!$AO:$AO,"cosco")+SUMIFS('ESS SUPPLY DATA'!$U:$U,'ESS SUPPLY DATA'!$AF:$AF,'CT capacity tracker'!$B34,'ESS SUPPLY DATA'!$AE:$AE,'CT capacity tracker'!$A$1,'ESS SUPPLY DATA'!$W:$W,'CT capacity tracker'!S$1,'ESS SUPPLY DATA'!$AO:$AO,"other")</f>
        <v>2</v>
      </c>
      <c r="T37" s="504">
        <f>SUMIFS('PV SUPPLY DATA'!$X:$X,'PV SUPPLY DATA'!$AH:$AH,'CT capacity tracker'!$B34,'PV SUPPLY DATA'!$AG:$AG,'CT capacity tracker'!$A$1,'PV SUPPLY DATA'!$Y:$Y,T$1,'PV SUPPLY DATA'!$AQ:$AQ,"cosco")+SUMIFS('PV SUPPLY DATA'!$X:$X,'PV SUPPLY DATA'!$AH:$AH,'CT capacity tracker'!$B34,'PV SUPPLY DATA'!$AG:$AG,'CT capacity tracker'!$A$1,'PV SUPPLY DATA'!$Y:$Y,T$1,'PV SUPPLY DATA'!$AQ:$AQ,"other")+SUMIFS('ESS SUPPLY DATA'!$U:$U,'ESS SUPPLY DATA'!$AF:$AF,'CT capacity tracker'!$B34,'ESS SUPPLY DATA'!$AE:$AE,'CT capacity tracker'!$A$1,'ESS SUPPLY DATA'!$W:$W,'CT capacity tracker'!T$1,'ESS SUPPLY DATA'!$AO:$AO,"cosco")+SUMIFS('ESS SUPPLY DATA'!$U:$U,'ESS SUPPLY DATA'!$AF:$AF,'CT capacity tracker'!$B34,'ESS SUPPLY DATA'!$AE:$AE,'CT capacity tracker'!$A$1,'ESS SUPPLY DATA'!$W:$W,'CT capacity tracker'!T$1,'ESS SUPPLY DATA'!$AO:$AO,"other")</f>
        <v>0</v>
      </c>
      <c r="U37" s="504">
        <f>SUMIFS('PV SUPPLY DATA'!$X:$X,'PV SUPPLY DATA'!$AH:$AH,'CT capacity tracker'!$B34,'PV SUPPLY DATA'!$AG:$AG,'CT capacity tracker'!$A$1,'PV SUPPLY DATA'!$Y:$Y,U$1,'PV SUPPLY DATA'!$AQ:$AQ,"cosco")+SUMIFS('PV SUPPLY DATA'!$X:$X,'PV SUPPLY DATA'!$AH:$AH,'CT capacity tracker'!$B34,'PV SUPPLY DATA'!$AG:$AG,'CT capacity tracker'!$A$1,'PV SUPPLY DATA'!$Y:$Y,U$1,'PV SUPPLY DATA'!$AQ:$AQ,"other")+SUMIFS('ESS SUPPLY DATA'!$U:$U,'ESS SUPPLY DATA'!$AF:$AF,'CT capacity tracker'!$B34,'ESS SUPPLY DATA'!$AE:$AE,'CT capacity tracker'!$A$1,'ESS SUPPLY DATA'!$W:$W,'CT capacity tracker'!U$1,'ESS SUPPLY DATA'!$AO:$AO,"cosco")+SUMIFS('ESS SUPPLY DATA'!$U:$U,'ESS SUPPLY DATA'!$AF:$AF,'CT capacity tracker'!$B34,'ESS SUPPLY DATA'!$AE:$AE,'CT capacity tracker'!$A$1,'ESS SUPPLY DATA'!$W:$W,'CT capacity tracker'!U$1,'ESS SUPPLY DATA'!$AO:$AO,"other")</f>
        <v>0</v>
      </c>
      <c r="V37" s="504">
        <f>SUMIFS('PV SUPPLY DATA'!$X:$X,'PV SUPPLY DATA'!$AH:$AH,'CT capacity tracker'!$B34,'PV SUPPLY DATA'!$AG:$AG,'CT capacity tracker'!$A$1,'PV SUPPLY DATA'!$Y:$Y,V$1,'PV SUPPLY DATA'!$AQ:$AQ,"cosco")+SUMIFS('PV SUPPLY DATA'!$X:$X,'PV SUPPLY DATA'!$AH:$AH,'CT capacity tracker'!$B34,'PV SUPPLY DATA'!$AG:$AG,'CT capacity tracker'!$A$1,'PV SUPPLY DATA'!$Y:$Y,V$1,'PV SUPPLY DATA'!$AQ:$AQ,"other")+SUMIFS('ESS SUPPLY DATA'!$U:$U,'ESS SUPPLY DATA'!$AF:$AF,'CT capacity tracker'!$B34,'ESS SUPPLY DATA'!$AE:$AE,'CT capacity tracker'!$A$1,'ESS SUPPLY DATA'!$W:$W,'CT capacity tracker'!V$1,'ESS SUPPLY DATA'!$AO:$AO,"cosco")+SUMIFS('ESS SUPPLY DATA'!$U:$U,'ESS SUPPLY DATA'!$AF:$AF,'CT capacity tracker'!$B34,'ESS SUPPLY DATA'!$AE:$AE,'CT capacity tracker'!$A$1,'ESS SUPPLY DATA'!$W:$W,'CT capacity tracker'!V$1,'ESS SUPPLY DATA'!$AO:$AO,"other")</f>
        <v>0</v>
      </c>
      <c r="W37" s="504">
        <f>SUMIFS('PV SUPPLY DATA'!$X:$X,'PV SUPPLY DATA'!$AH:$AH,'CT capacity tracker'!$B34,'PV SUPPLY DATA'!$AG:$AG,'CT capacity tracker'!$A$1,'PV SUPPLY DATA'!$Y:$Y,W$1,'PV SUPPLY DATA'!$AQ:$AQ,"cosco")+SUMIFS('PV SUPPLY DATA'!$X:$X,'PV SUPPLY DATA'!$AH:$AH,'CT capacity tracker'!$B34,'PV SUPPLY DATA'!$AG:$AG,'CT capacity tracker'!$A$1,'PV SUPPLY DATA'!$Y:$Y,W$1,'PV SUPPLY DATA'!$AQ:$AQ,"other")+SUMIFS('ESS SUPPLY DATA'!$U:$U,'ESS SUPPLY DATA'!$AF:$AF,'CT capacity tracker'!$B34,'ESS SUPPLY DATA'!$AE:$AE,'CT capacity tracker'!$A$1,'ESS SUPPLY DATA'!$W:$W,'CT capacity tracker'!W$1,'ESS SUPPLY DATA'!$AO:$AO,"cosco")+SUMIFS('ESS SUPPLY DATA'!$U:$U,'ESS SUPPLY DATA'!$AF:$AF,'CT capacity tracker'!$B34,'ESS SUPPLY DATA'!$AE:$AE,'CT capacity tracker'!$A$1,'ESS SUPPLY DATA'!$W:$W,'CT capacity tracker'!W$1,'ESS SUPPLY DATA'!$AO:$AO,"other")</f>
        <v>4</v>
      </c>
      <c r="X37" s="504">
        <f>SUMIFS('PV SUPPLY DATA'!$X:$X,'PV SUPPLY DATA'!$AH:$AH,'CT capacity tracker'!$B34,'PV SUPPLY DATA'!$AG:$AG,'CT capacity tracker'!$A$1,'PV SUPPLY DATA'!$Y:$Y,X$1,'PV SUPPLY DATA'!$AQ:$AQ,"cosco")+SUMIFS('PV SUPPLY DATA'!$X:$X,'PV SUPPLY DATA'!$AH:$AH,'CT capacity tracker'!$B34,'PV SUPPLY DATA'!$AG:$AG,'CT capacity tracker'!$A$1,'PV SUPPLY DATA'!$Y:$Y,X$1,'PV SUPPLY DATA'!$AQ:$AQ,"other")+SUMIFS('ESS SUPPLY DATA'!$U:$U,'ESS SUPPLY DATA'!$AF:$AF,'CT capacity tracker'!$B34,'ESS SUPPLY DATA'!$AE:$AE,'CT capacity tracker'!$A$1,'ESS SUPPLY DATA'!$W:$W,'CT capacity tracker'!X$1,'ESS SUPPLY DATA'!$AO:$AO,"cosco")+SUMIFS('ESS SUPPLY DATA'!$U:$U,'ESS SUPPLY DATA'!$AF:$AF,'CT capacity tracker'!$B34,'ESS SUPPLY DATA'!$AE:$AE,'CT capacity tracker'!$A$1,'ESS SUPPLY DATA'!$W:$W,'CT capacity tracker'!X$1,'ESS SUPPLY DATA'!$AO:$AO,"other")</f>
        <v>0</v>
      </c>
      <c r="Y37" s="504">
        <f>SUMIFS('PV SUPPLY DATA'!$X:$X,'PV SUPPLY DATA'!$AH:$AH,'CT capacity tracker'!$B34,'PV SUPPLY DATA'!$AG:$AG,'CT capacity tracker'!$A$1,'PV SUPPLY DATA'!$Y:$Y,Y$1,'PV SUPPLY DATA'!$AQ:$AQ,"cosco")+SUMIFS('PV SUPPLY DATA'!$X:$X,'PV SUPPLY DATA'!$AH:$AH,'CT capacity tracker'!$B34,'PV SUPPLY DATA'!$AG:$AG,'CT capacity tracker'!$A$1,'PV SUPPLY DATA'!$Y:$Y,Y$1,'PV SUPPLY DATA'!$AQ:$AQ,"other")+SUMIFS('ESS SUPPLY DATA'!$U:$U,'ESS SUPPLY DATA'!$AF:$AF,'CT capacity tracker'!$B34,'ESS SUPPLY DATA'!$AE:$AE,'CT capacity tracker'!$A$1,'ESS SUPPLY DATA'!$W:$W,'CT capacity tracker'!Y$1,'ESS SUPPLY DATA'!$AO:$AO,"cosco")+SUMIFS('ESS SUPPLY DATA'!$U:$U,'ESS SUPPLY DATA'!$AF:$AF,'CT capacity tracker'!$B34,'ESS SUPPLY DATA'!$AE:$AE,'CT capacity tracker'!$A$1,'ESS SUPPLY DATA'!$W:$W,'CT capacity tracker'!Y$1,'ESS SUPPLY DATA'!$AO:$AO,"other")</f>
        <v>3</v>
      </c>
      <c r="Z37" s="504">
        <f>SUMIFS('PV SUPPLY DATA'!$X:$X,'PV SUPPLY DATA'!$AH:$AH,'CT capacity tracker'!$B34,'PV SUPPLY DATA'!$AG:$AG,'CT capacity tracker'!$A$1,'PV SUPPLY DATA'!$Y:$Y,Z$1,'PV SUPPLY DATA'!$AQ:$AQ,"cosco")+SUMIFS('PV SUPPLY DATA'!$X:$X,'PV SUPPLY DATA'!$AH:$AH,'CT capacity tracker'!$B34,'PV SUPPLY DATA'!$AG:$AG,'CT capacity tracker'!$A$1,'PV SUPPLY DATA'!$Y:$Y,Z$1,'PV SUPPLY DATA'!$AQ:$AQ,"other")+SUMIFS('ESS SUPPLY DATA'!$U:$U,'ESS SUPPLY DATA'!$AF:$AF,'CT capacity tracker'!$B34,'ESS SUPPLY DATA'!$AE:$AE,'CT capacity tracker'!$A$1,'ESS SUPPLY DATA'!$W:$W,'CT capacity tracker'!Z$1,'ESS SUPPLY DATA'!$AO:$AO,"cosco")+SUMIFS('ESS SUPPLY DATA'!$U:$U,'ESS SUPPLY DATA'!$AF:$AF,'CT capacity tracker'!$B34,'ESS SUPPLY DATA'!$AE:$AE,'CT capacity tracker'!$A$1,'ESS SUPPLY DATA'!$W:$W,'CT capacity tracker'!Z$1,'ESS SUPPLY DATA'!$AO:$AO,"other")</f>
        <v>4</v>
      </c>
      <c r="AA37" s="504">
        <f>SUMIFS('PV SUPPLY DATA'!$X:$X,'PV SUPPLY DATA'!$AH:$AH,'CT capacity tracker'!$B34,'PV SUPPLY DATA'!$AG:$AG,'CT capacity tracker'!$A$1,'PV SUPPLY DATA'!$Y:$Y,AA$1,'PV SUPPLY DATA'!$AQ:$AQ,"cosco")+SUMIFS('PV SUPPLY DATA'!$X:$X,'PV SUPPLY DATA'!$AH:$AH,'CT capacity tracker'!$B34,'PV SUPPLY DATA'!$AG:$AG,'CT capacity tracker'!$A$1,'PV SUPPLY DATA'!$Y:$Y,AA$1,'PV SUPPLY DATA'!$AQ:$AQ,"other")+SUMIFS('ESS SUPPLY DATA'!$U:$U,'ESS SUPPLY DATA'!$AF:$AF,'CT capacity tracker'!$B34,'ESS SUPPLY DATA'!$AE:$AE,'CT capacity tracker'!$A$1,'ESS SUPPLY DATA'!$W:$W,'CT capacity tracker'!AA$1,'ESS SUPPLY DATA'!$AO:$AO,"cosco")+SUMIFS('ESS SUPPLY DATA'!$U:$U,'ESS SUPPLY DATA'!$AF:$AF,'CT capacity tracker'!$B34,'ESS SUPPLY DATA'!$AE:$AE,'CT capacity tracker'!$A$1,'ESS SUPPLY DATA'!$W:$W,'CT capacity tracker'!AA$1,'ESS SUPPLY DATA'!$AO:$AO,"other")</f>
        <v>0</v>
      </c>
      <c r="AB37" s="504">
        <f>SUMIFS('PV SUPPLY DATA'!$X:$X,'PV SUPPLY DATA'!$AH:$AH,'CT capacity tracker'!$B34,'PV SUPPLY DATA'!$AG:$AG,'CT capacity tracker'!$A$1,'PV SUPPLY DATA'!$Y:$Y,AB$1,'PV SUPPLY DATA'!$AQ:$AQ,"cosco")+SUMIFS('PV SUPPLY DATA'!$X:$X,'PV SUPPLY DATA'!$AH:$AH,'CT capacity tracker'!$B34,'PV SUPPLY DATA'!$AG:$AG,'CT capacity tracker'!$A$1,'PV SUPPLY DATA'!$Y:$Y,AB$1,'PV SUPPLY DATA'!$AQ:$AQ,"other")+SUMIFS('ESS SUPPLY DATA'!$U:$U,'ESS SUPPLY DATA'!$AF:$AF,'CT capacity tracker'!$B34,'ESS SUPPLY DATA'!$AE:$AE,'CT capacity tracker'!$A$1,'ESS SUPPLY DATA'!$W:$W,'CT capacity tracker'!AB$1,'ESS SUPPLY DATA'!$AO:$AO,"cosco")+SUMIFS('ESS SUPPLY DATA'!$U:$U,'ESS SUPPLY DATA'!$AF:$AF,'CT capacity tracker'!$B34,'ESS SUPPLY DATA'!$AE:$AE,'CT capacity tracker'!$A$1,'ESS SUPPLY DATA'!$W:$W,'CT capacity tracker'!AB$1,'ESS SUPPLY DATA'!$AO:$AO,"other")</f>
        <v>0</v>
      </c>
      <c r="AC37" s="504">
        <f>SUMIFS('PV SUPPLY DATA'!$X:$X,'PV SUPPLY DATA'!$AH:$AH,'CT capacity tracker'!$B34,'PV SUPPLY DATA'!$AG:$AG,'CT capacity tracker'!$A$1,'PV SUPPLY DATA'!$Y:$Y,AC$1,'PV SUPPLY DATA'!$AQ:$AQ,"cosco")+SUMIFS('PV SUPPLY DATA'!$X:$X,'PV SUPPLY DATA'!$AH:$AH,'CT capacity tracker'!$B34,'PV SUPPLY DATA'!$AG:$AG,'CT capacity tracker'!$A$1,'PV SUPPLY DATA'!$Y:$Y,AC$1,'PV SUPPLY DATA'!$AQ:$AQ,"other")+SUMIFS('ESS SUPPLY DATA'!$U:$U,'ESS SUPPLY DATA'!$AF:$AF,'CT capacity tracker'!$B34,'ESS SUPPLY DATA'!$AE:$AE,'CT capacity tracker'!$A$1,'ESS SUPPLY DATA'!$W:$W,'CT capacity tracker'!AC$1,'ESS SUPPLY DATA'!$AO:$AO,"cosco")+SUMIFS('ESS SUPPLY DATA'!$U:$U,'ESS SUPPLY DATA'!$AF:$AF,'CT capacity tracker'!$B34,'ESS SUPPLY DATA'!$AE:$AE,'CT capacity tracker'!$A$1,'ESS SUPPLY DATA'!$W:$W,'CT capacity tracker'!AC$1,'ESS SUPPLY DATA'!$AO:$AO,"other")</f>
        <v>4</v>
      </c>
      <c r="AD37" s="504">
        <f>SUMIFS('PV SUPPLY DATA'!$X:$X,'PV SUPPLY DATA'!$AH:$AH,'CT capacity tracker'!$B34,'PV SUPPLY DATA'!$AG:$AG,'CT capacity tracker'!$A$1,'PV SUPPLY DATA'!$Y:$Y,AD$1,'PV SUPPLY DATA'!$AQ:$AQ,"cosco")+SUMIFS('PV SUPPLY DATA'!$X:$X,'PV SUPPLY DATA'!$AH:$AH,'CT capacity tracker'!$B34,'PV SUPPLY DATA'!$AG:$AG,'CT capacity tracker'!$A$1,'PV SUPPLY DATA'!$Y:$Y,AD$1,'PV SUPPLY DATA'!$AQ:$AQ,"other")+SUMIFS('ESS SUPPLY DATA'!$U:$U,'ESS SUPPLY DATA'!$AF:$AF,'CT capacity tracker'!$B34,'ESS SUPPLY DATA'!$AE:$AE,'CT capacity tracker'!$A$1,'ESS SUPPLY DATA'!$W:$W,'CT capacity tracker'!AD$1,'ESS SUPPLY DATA'!$AO:$AO,"cosco")+SUMIFS('ESS SUPPLY DATA'!$U:$U,'ESS SUPPLY DATA'!$AF:$AF,'CT capacity tracker'!$B34,'ESS SUPPLY DATA'!$AE:$AE,'CT capacity tracker'!$A$1,'ESS SUPPLY DATA'!$W:$W,'CT capacity tracker'!AD$1,'ESS SUPPLY DATA'!$AO:$AO,"other")</f>
        <v>0</v>
      </c>
      <c r="AE37" s="504">
        <f>SUMIFS('PV SUPPLY DATA'!$X:$X,'PV SUPPLY DATA'!$AH:$AH,'CT capacity tracker'!$B34,'PV SUPPLY DATA'!$AG:$AG,'CT capacity tracker'!$A$1,'PV SUPPLY DATA'!$Y:$Y,AE$1,'PV SUPPLY DATA'!$AQ:$AQ,"cosco")+SUMIFS('PV SUPPLY DATA'!$X:$X,'PV SUPPLY DATA'!$AH:$AH,'CT capacity tracker'!$B34,'PV SUPPLY DATA'!$AG:$AG,'CT capacity tracker'!$A$1,'PV SUPPLY DATA'!$Y:$Y,AE$1,'PV SUPPLY DATA'!$AQ:$AQ,"other")+SUMIFS('ESS SUPPLY DATA'!$U:$U,'ESS SUPPLY DATA'!$AF:$AF,'CT capacity tracker'!$B34,'ESS SUPPLY DATA'!$AE:$AE,'CT capacity tracker'!$A$1,'ESS SUPPLY DATA'!$W:$W,'CT capacity tracker'!AE$1,'ESS SUPPLY DATA'!$AO:$AO,"cosco")+SUMIFS('ESS SUPPLY DATA'!$U:$U,'ESS SUPPLY DATA'!$AF:$AF,'CT capacity tracker'!$B34,'ESS SUPPLY DATA'!$AE:$AE,'CT capacity tracker'!$A$1,'ESS SUPPLY DATA'!$W:$W,'CT capacity tracker'!AE$1,'ESS SUPPLY DATA'!$AO:$AO,"other")</f>
        <v>0</v>
      </c>
      <c r="AF37" s="504">
        <f>SUMIFS('PV SUPPLY DATA'!$X:$X,'PV SUPPLY DATA'!$AH:$AH,'CT capacity tracker'!$B34,'PV SUPPLY DATA'!$AG:$AG,'CT capacity tracker'!$A$1,'PV SUPPLY DATA'!$Y:$Y,AF$1,'PV SUPPLY DATA'!$AQ:$AQ,"cosco")+SUMIFS('PV SUPPLY DATA'!$X:$X,'PV SUPPLY DATA'!$AH:$AH,'CT capacity tracker'!$B34,'PV SUPPLY DATA'!$AG:$AG,'CT capacity tracker'!$A$1,'PV SUPPLY DATA'!$Y:$Y,AF$1,'PV SUPPLY DATA'!$AQ:$AQ,"other")+SUMIFS('ESS SUPPLY DATA'!$U:$U,'ESS SUPPLY DATA'!$AF:$AF,'CT capacity tracker'!$B34,'ESS SUPPLY DATA'!$AE:$AE,'CT capacity tracker'!$A$1,'ESS SUPPLY DATA'!$W:$W,'CT capacity tracker'!AF$1,'ESS SUPPLY DATA'!$AO:$AO,"cosco")+SUMIFS('ESS SUPPLY DATA'!$U:$U,'ESS SUPPLY DATA'!$AF:$AF,'CT capacity tracker'!$B34,'ESS SUPPLY DATA'!$AE:$AE,'CT capacity tracker'!$A$1,'ESS SUPPLY DATA'!$W:$W,'CT capacity tracker'!AF$1,'ESS SUPPLY DATA'!$AO:$AO,"other")</f>
        <v>0</v>
      </c>
      <c r="AG37" s="504">
        <f>SUMIFS('PV SUPPLY DATA'!$X:$X,'PV SUPPLY DATA'!$AH:$AH,'CT capacity tracker'!$B34,'PV SUPPLY DATA'!$AG:$AG,'CT capacity tracker'!$A$1,'PV SUPPLY DATA'!$Y:$Y,AG$1,'PV SUPPLY DATA'!$AQ:$AQ,"cosco")+SUMIFS('PV SUPPLY DATA'!$X:$X,'PV SUPPLY DATA'!$AH:$AH,'CT capacity tracker'!$B34,'PV SUPPLY DATA'!$AG:$AG,'CT capacity tracker'!$A$1,'PV SUPPLY DATA'!$Y:$Y,AG$1,'PV SUPPLY DATA'!$AQ:$AQ,"other")+SUMIFS('ESS SUPPLY DATA'!$U:$U,'ESS SUPPLY DATA'!$AF:$AF,'CT capacity tracker'!$B34,'ESS SUPPLY DATA'!$AE:$AE,'CT capacity tracker'!$A$1,'ESS SUPPLY DATA'!$W:$W,'CT capacity tracker'!AG$1,'ESS SUPPLY DATA'!$AO:$AO,"cosco")+SUMIFS('ESS SUPPLY DATA'!$U:$U,'ESS SUPPLY DATA'!$AF:$AF,'CT capacity tracker'!$B34,'ESS SUPPLY DATA'!$AE:$AE,'CT capacity tracker'!$A$1,'ESS SUPPLY DATA'!$W:$W,'CT capacity tracker'!AG$1,'ESS SUPPLY DATA'!$AO:$AO,"other")</f>
        <v>0</v>
      </c>
      <c r="AH37" s="504">
        <f>SUMIFS('PV SUPPLY DATA'!$X:$X,'PV SUPPLY DATA'!$AH:$AH,'CT capacity tracker'!$B34,'PV SUPPLY DATA'!$AG:$AG,'CT capacity tracker'!$A$1,'PV SUPPLY DATA'!$Y:$Y,AH$1,'PV SUPPLY DATA'!$AQ:$AQ,"cosco")+SUMIFS('PV SUPPLY DATA'!$X:$X,'PV SUPPLY DATA'!$AH:$AH,'CT capacity tracker'!$B34,'PV SUPPLY DATA'!$AG:$AG,'CT capacity tracker'!$A$1,'PV SUPPLY DATA'!$Y:$Y,AH$1,'PV SUPPLY DATA'!$AQ:$AQ,"other")+SUMIFS('ESS SUPPLY DATA'!$U:$U,'ESS SUPPLY DATA'!$AF:$AF,'CT capacity tracker'!$B34,'ESS SUPPLY DATA'!$AE:$AE,'CT capacity tracker'!$A$1,'ESS SUPPLY DATA'!$W:$W,'CT capacity tracker'!AH$1,'ESS SUPPLY DATA'!$AO:$AO,"cosco")+SUMIFS('ESS SUPPLY DATA'!$U:$U,'ESS SUPPLY DATA'!$AF:$AF,'CT capacity tracker'!$B34,'ESS SUPPLY DATA'!$AE:$AE,'CT capacity tracker'!$A$1,'ESS SUPPLY DATA'!$W:$W,'CT capacity tracker'!AH$1,'ESS SUPPLY DATA'!$AO:$AO,"other")</f>
        <v>0</v>
      </c>
      <c r="AI37" s="504">
        <f>SUMIFS('PV SUPPLY DATA'!$X:$X,'PV SUPPLY DATA'!$AH:$AH,'CT capacity tracker'!$B34,'PV SUPPLY DATA'!$AG:$AG,'CT capacity tracker'!$A$1,'PV SUPPLY DATA'!$Y:$Y,AI$1,'PV SUPPLY DATA'!$AQ:$AQ,"cosco")+SUMIFS('PV SUPPLY DATA'!$X:$X,'PV SUPPLY DATA'!$AH:$AH,'CT capacity tracker'!$B34,'PV SUPPLY DATA'!$AG:$AG,'CT capacity tracker'!$A$1,'PV SUPPLY DATA'!$Y:$Y,AI$1,'PV SUPPLY DATA'!$AQ:$AQ,"other")+SUMIFS('ESS SUPPLY DATA'!$U:$U,'ESS SUPPLY DATA'!$AF:$AF,'CT capacity tracker'!$B34,'ESS SUPPLY DATA'!$AE:$AE,'CT capacity tracker'!$A$1,'ESS SUPPLY DATA'!$W:$W,'CT capacity tracker'!AI$1,'ESS SUPPLY DATA'!$AO:$AO,"cosco")+SUMIFS('ESS SUPPLY DATA'!$U:$U,'ESS SUPPLY DATA'!$AF:$AF,'CT capacity tracker'!$B34,'ESS SUPPLY DATA'!$AE:$AE,'CT capacity tracker'!$A$1,'ESS SUPPLY DATA'!$W:$W,'CT capacity tracker'!AI$1,'ESS SUPPLY DATA'!$AO:$AO,"other")</f>
        <v>0</v>
      </c>
      <c r="AJ37" s="504">
        <f>SUMIFS('PV SUPPLY DATA'!$X:$X,'PV SUPPLY DATA'!$AH:$AH,'CT capacity tracker'!$B34,'PV SUPPLY DATA'!$AG:$AG,'CT capacity tracker'!$A$1,'PV SUPPLY DATA'!$Y:$Y,AJ$1,'PV SUPPLY DATA'!$AQ:$AQ,"cosco")+SUMIFS('PV SUPPLY DATA'!$X:$X,'PV SUPPLY DATA'!$AH:$AH,'CT capacity tracker'!$B34,'PV SUPPLY DATA'!$AG:$AG,'CT capacity tracker'!$A$1,'PV SUPPLY DATA'!$Y:$Y,AJ$1,'PV SUPPLY DATA'!$AQ:$AQ,"other")+SUMIFS('ESS SUPPLY DATA'!$U:$U,'ESS SUPPLY DATA'!$AF:$AF,'CT capacity tracker'!$B34,'ESS SUPPLY DATA'!$AE:$AE,'CT capacity tracker'!$A$1,'ESS SUPPLY DATA'!$W:$W,'CT capacity tracker'!AJ$1,'ESS SUPPLY DATA'!$AO:$AO,"cosco")+SUMIFS('ESS SUPPLY DATA'!$U:$U,'ESS SUPPLY DATA'!$AF:$AF,'CT capacity tracker'!$B34,'ESS SUPPLY DATA'!$AE:$AE,'CT capacity tracker'!$A$1,'ESS SUPPLY DATA'!$W:$W,'CT capacity tracker'!AJ$1,'ESS SUPPLY DATA'!$AO:$AO,"other")</f>
        <v>0</v>
      </c>
      <c r="AK37" s="511"/>
      <c r="AL37" s="511"/>
      <c r="AM37" s="696">
        <f>SUM(E37:X37)</f>
        <v>23</v>
      </c>
      <c r="AN37" s="503"/>
      <c r="AO37" s="506"/>
      <c r="AP37" s="506"/>
      <c r="AQ37" s="506"/>
      <c r="AR37" s="506"/>
      <c r="AS37" s="506"/>
      <c r="AT37" s="506"/>
    </row>
    <row r="38" spans="1:46" ht="13">
      <c r="A38" s="1517"/>
      <c r="B38" s="1516" t="s">
        <v>124</v>
      </c>
      <c r="C38" s="503" t="s">
        <v>4400</v>
      </c>
      <c r="D38" s="504">
        <f>SUMIFS('PV SUPPLY DATA'!$X:$X,'PV SUPPLY DATA'!$AH:$AH,'CT capacity tracker'!$B38,'PV SUPPLY DATA'!$AG:$AG,'CT capacity tracker'!$A$1,'PV SUPPLY DATA'!$Z:$Z,'CT capacity tracker'!D$1)+SUMIFS('ESS SUPPLY DATA'!$U:$U,'ESS SUPPLY DATA'!$AF:$AF,'CT capacity tracker'!$B38,'ESS SUPPLY DATA'!$AE:$AE,'CT capacity tracker'!$A$1,'ESS SUPPLY DATA'!$X:$X,'CT capacity tracker'!D$1)</f>
        <v>23</v>
      </c>
      <c r="E38" s="504">
        <f>SUMIFS('PV SUPPLY DATA'!$X:$X,'PV SUPPLY DATA'!$AH:$AH,'CT capacity tracker'!$B38,'PV SUPPLY DATA'!$AG:$AG,'CT capacity tracker'!$A$1,'PV SUPPLY DATA'!$Y:$Y,'CT capacity tracker'!E$1)+SUMIFS('ESS SUPPLY DATA'!$U:$U,'ESS SUPPLY DATA'!$AF:$AF,'CT capacity tracker'!$B38,'ESS SUPPLY DATA'!$AE:$AE,'CT capacity tracker'!$A$1,'ESS SUPPLY DATA'!$W:$W,'CT capacity tracker'!E$1)</f>
        <v>0</v>
      </c>
      <c r="F38" s="504">
        <f>SUMIFS('PV SUPPLY DATA'!$X:$X,'PV SUPPLY DATA'!$AH:$AH,'CT capacity tracker'!$B38,'PV SUPPLY DATA'!$AG:$AG,'CT capacity tracker'!$A$1,'PV SUPPLY DATA'!$Y:$Y,'CT capacity tracker'!F$1)+SUMIFS('ESS SUPPLY DATA'!$U:$U,'ESS SUPPLY DATA'!$AF:$AF,'CT capacity tracker'!$B38,'ESS SUPPLY DATA'!$AE:$AE,'CT capacity tracker'!$A$1,'ESS SUPPLY DATA'!$W:$W,'CT capacity tracker'!F$1)</f>
        <v>0</v>
      </c>
      <c r="G38" s="504">
        <f>SUMIFS('PV SUPPLY DATA'!$X:$X,'PV SUPPLY DATA'!$AH:$AH,'CT capacity tracker'!$B38,'PV SUPPLY DATA'!$AG:$AG,'CT capacity tracker'!$A$1,'PV SUPPLY DATA'!$Y:$Y,'CT capacity tracker'!G$1)+SUMIFS('ESS SUPPLY DATA'!$U:$U,'ESS SUPPLY DATA'!$AF:$AF,'CT capacity tracker'!$B38,'ESS SUPPLY DATA'!$AE:$AE,'CT capacity tracker'!$A$1,'ESS SUPPLY DATA'!$W:$W,'CT capacity tracker'!G$1)</f>
        <v>0</v>
      </c>
      <c r="H38" s="504">
        <f>SUMIFS('PV SUPPLY DATA'!$X:$X,'PV SUPPLY DATA'!$AH:$AH,'CT capacity tracker'!$B38,'PV SUPPLY DATA'!$AG:$AG,'CT capacity tracker'!$A$1,'PV SUPPLY DATA'!$Y:$Y,'CT capacity tracker'!H$1)+SUMIFS('ESS SUPPLY DATA'!$U:$U,'ESS SUPPLY DATA'!$AF:$AF,'CT capacity tracker'!$B38,'ESS SUPPLY DATA'!$AE:$AE,'CT capacity tracker'!$A$1,'ESS SUPPLY DATA'!$W:$W,'CT capacity tracker'!H$1)</f>
        <v>0</v>
      </c>
      <c r="I38" s="504">
        <f>SUMIFS('PV SUPPLY DATA'!$X:$X,'PV SUPPLY DATA'!$AH:$AH,'CT capacity tracker'!$B38,'PV SUPPLY DATA'!$AG:$AG,'CT capacity tracker'!$A$1,'PV SUPPLY DATA'!$Y:$Y,'CT capacity tracker'!I$1)+SUMIFS('ESS SUPPLY DATA'!$U:$U,'ESS SUPPLY DATA'!$AF:$AF,'CT capacity tracker'!$B38,'ESS SUPPLY DATA'!$AE:$AE,'CT capacity tracker'!$A$1,'ESS SUPPLY DATA'!$W:$W,'CT capacity tracker'!I$1)</f>
        <v>1</v>
      </c>
      <c r="J38" s="504">
        <f>SUMIFS('PV SUPPLY DATA'!$X:$X,'PV SUPPLY DATA'!$AH:$AH,'CT capacity tracker'!$B38,'PV SUPPLY DATA'!$AG:$AG,'CT capacity tracker'!$A$1,'PV SUPPLY DATA'!$Y:$Y,'CT capacity tracker'!J$1)+SUMIFS('ESS SUPPLY DATA'!$U:$U,'ESS SUPPLY DATA'!$AF:$AF,'CT capacity tracker'!$B38,'ESS SUPPLY DATA'!$AE:$AE,'CT capacity tracker'!$A$1,'ESS SUPPLY DATA'!$W:$W,'CT capacity tracker'!J$1)</f>
        <v>2.0699999999999998</v>
      </c>
      <c r="K38" s="504">
        <f>SUMIFS('PV SUPPLY DATA'!$X:$X,'PV SUPPLY DATA'!$AH:$AH,'CT capacity tracker'!$B38,'PV SUPPLY DATA'!$AG:$AG,'CT capacity tracker'!$A$1,'PV SUPPLY DATA'!$Y:$Y,'CT capacity tracker'!K$1)+SUMIFS('ESS SUPPLY DATA'!$U:$U,'ESS SUPPLY DATA'!$AF:$AF,'CT capacity tracker'!$B38,'ESS SUPPLY DATA'!$AE:$AE,'CT capacity tracker'!$A$1,'ESS SUPPLY DATA'!$W:$W,'CT capacity tracker'!K$1)</f>
        <v>5</v>
      </c>
      <c r="L38" s="504">
        <f>SUMIFS('PV SUPPLY DATA'!$X:$X,'PV SUPPLY DATA'!$AH:$AH,'CT capacity tracker'!$B38,'PV SUPPLY DATA'!$AG:$AG,'CT capacity tracker'!$A$1,'PV SUPPLY DATA'!$Y:$Y,'CT capacity tracker'!L$1)+SUMIFS('ESS SUPPLY DATA'!$U:$U,'ESS SUPPLY DATA'!$AF:$AF,'CT capacity tracker'!$B38,'ESS SUPPLY DATA'!$AE:$AE,'CT capacity tracker'!$A$1,'ESS SUPPLY DATA'!$W:$W,'CT capacity tracker'!L$1)</f>
        <v>0</v>
      </c>
      <c r="M38" s="504">
        <f>SUMIFS('PV SUPPLY DATA'!$X:$X,'PV SUPPLY DATA'!$AH:$AH,'CT capacity tracker'!$B38,'PV SUPPLY DATA'!$AG:$AG,'CT capacity tracker'!$A$1,'PV SUPPLY DATA'!$Y:$Y,'CT capacity tracker'!M$1)+SUMIFS('ESS SUPPLY DATA'!$U:$U,'ESS SUPPLY DATA'!$AF:$AF,'CT capacity tracker'!$B38,'ESS SUPPLY DATA'!$AE:$AE,'CT capacity tracker'!$A$1,'ESS SUPPLY DATA'!$W:$W,'CT capacity tracker'!M$1)</f>
        <v>4.9981818181818181</v>
      </c>
      <c r="N38" s="504">
        <f>SUMIFS('PV SUPPLY DATA'!$X:$X,'PV SUPPLY DATA'!$AH:$AH,'CT capacity tracker'!$B38,'PV SUPPLY DATA'!$AG:$AG,'CT capacity tracker'!$A$1,'PV SUPPLY DATA'!$Y:$Y,'CT capacity tracker'!N$1)+SUMIFS('ESS SUPPLY DATA'!$U:$U,'ESS SUPPLY DATA'!$AF:$AF,'CT capacity tracker'!$B38,'ESS SUPPLY DATA'!$AE:$AE,'CT capacity tracker'!$A$1,'ESS SUPPLY DATA'!$W:$W,'CT capacity tracker'!N$1)</f>
        <v>0</v>
      </c>
      <c r="O38" s="504">
        <f>SUMIFS('PV SUPPLY DATA'!$X:$X,'PV SUPPLY DATA'!$AH:$AH,'CT capacity tracker'!$B38,'PV SUPPLY DATA'!$AG:$AG,'CT capacity tracker'!$A$1,'PV SUPPLY DATA'!$Y:$Y,'CT capacity tracker'!O$1)+SUMIFS('ESS SUPPLY DATA'!$U:$U,'ESS SUPPLY DATA'!$AF:$AF,'CT capacity tracker'!$B38,'ESS SUPPLY DATA'!$AE:$AE,'CT capacity tracker'!$A$1,'ESS SUPPLY DATA'!$W:$W,'CT capacity tracker'!O$1)</f>
        <v>2</v>
      </c>
      <c r="P38" s="504">
        <f>SUMIFS('PV SUPPLY DATA'!$X:$X,'PV SUPPLY DATA'!$AH:$AH,'CT capacity tracker'!$B38,'PV SUPPLY DATA'!$AG:$AG,'CT capacity tracker'!$A$1,'PV SUPPLY DATA'!$Y:$Y,'CT capacity tracker'!P$1)+SUMIFS('ESS SUPPLY DATA'!$U:$U,'ESS SUPPLY DATA'!$AF:$AF,'CT capacity tracker'!$B38,'ESS SUPPLY DATA'!$AE:$AE,'CT capacity tracker'!$A$1,'ESS SUPPLY DATA'!$W:$W,'CT capacity tracker'!P$1)</f>
        <v>5</v>
      </c>
      <c r="Q38" s="504">
        <f>SUMIFS('PV SUPPLY DATA'!$X:$X,'PV SUPPLY DATA'!$AH:$AH,'CT capacity tracker'!$B38,'PV SUPPLY DATA'!$AG:$AG,'CT capacity tracker'!$A$1,'PV SUPPLY DATA'!$Y:$Y,'CT capacity tracker'!Q$1)+SUMIFS('ESS SUPPLY DATA'!$U:$U,'ESS SUPPLY DATA'!$AF:$AF,'CT capacity tracker'!$B38,'ESS SUPPLY DATA'!$AE:$AE,'CT capacity tracker'!$A$1,'ESS SUPPLY DATA'!$W:$W,'CT capacity tracker'!Q$1)</f>
        <v>3</v>
      </c>
      <c r="R38" s="504">
        <f>SUMIFS('PV SUPPLY DATA'!$X:$X,'PV SUPPLY DATA'!$AH:$AH,'CT capacity tracker'!$B38,'PV SUPPLY DATA'!$AG:$AG,'CT capacity tracker'!$A$1,'PV SUPPLY DATA'!$Y:$Y,'CT capacity tracker'!R$1)+SUMIFS('ESS SUPPLY DATA'!$U:$U,'ESS SUPPLY DATA'!$AF:$AF,'CT capacity tracker'!$B38,'ESS SUPPLY DATA'!$AE:$AE,'CT capacity tracker'!$A$1,'ESS SUPPLY DATA'!$W:$W,'CT capacity tracker'!R$1)</f>
        <v>5</v>
      </c>
      <c r="S38" s="504">
        <f>SUMIFS('PV SUPPLY DATA'!$X:$X,'PV SUPPLY DATA'!$AH:$AH,'CT capacity tracker'!$B38,'PV SUPPLY DATA'!$AG:$AG,'CT capacity tracker'!$A$1,'PV SUPPLY DATA'!$Y:$Y,'CT capacity tracker'!S$1)+SUMIFS('ESS SUPPLY DATA'!$U:$U,'ESS SUPPLY DATA'!$AF:$AF,'CT capacity tracker'!$B38,'ESS SUPPLY DATA'!$AE:$AE,'CT capacity tracker'!$A$1,'ESS SUPPLY DATA'!$W:$W,'CT capacity tracker'!S$1)</f>
        <v>2</v>
      </c>
      <c r="T38" s="504">
        <f>SUMIFS('PV SUPPLY DATA'!$X:$X,'PV SUPPLY DATA'!$AH:$AH,'CT capacity tracker'!$B38,'PV SUPPLY DATA'!$AG:$AG,'CT capacity tracker'!$A$1,'PV SUPPLY DATA'!$Y:$Y,'CT capacity tracker'!T$1)+SUMIFS('ESS SUPPLY DATA'!$U:$U,'ESS SUPPLY DATA'!$AF:$AF,'CT capacity tracker'!$B38,'ESS SUPPLY DATA'!$AE:$AE,'CT capacity tracker'!$A$1,'ESS SUPPLY DATA'!$W:$W,'CT capacity tracker'!T$1)</f>
        <v>4</v>
      </c>
      <c r="U38" s="504">
        <f>SUMIFS('PV SUPPLY DATA'!$X:$X,'PV SUPPLY DATA'!$AH:$AH,'CT capacity tracker'!$B38,'PV SUPPLY DATA'!$AG:$AG,'CT capacity tracker'!$A$1,'PV SUPPLY DATA'!$Y:$Y,'CT capacity tracker'!U$1)+SUMIFS('ESS SUPPLY DATA'!$U:$U,'ESS SUPPLY DATA'!$AF:$AF,'CT capacity tracker'!$B38,'ESS SUPPLY DATA'!$AE:$AE,'CT capacity tracker'!$A$1,'ESS SUPPLY DATA'!$W:$W,'CT capacity tracker'!U$1)</f>
        <v>0</v>
      </c>
      <c r="V38" s="504">
        <f>SUMIFS('PV SUPPLY DATA'!$X:$X,'PV SUPPLY DATA'!$AH:$AH,'CT capacity tracker'!$B38,'PV SUPPLY DATA'!$AG:$AG,'CT capacity tracker'!$A$1,'PV SUPPLY DATA'!$Y:$Y,'CT capacity tracker'!V$1)+SUMIFS('ESS SUPPLY DATA'!$U:$U,'ESS SUPPLY DATA'!$AF:$AF,'CT capacity tracker'!$B38,'ESS SUPPLY DATA'!$AE:$AE,'CT capacity tracker'!$A$1,'ESS SUPPLY DATA'!$W:$W,'CT capacity tracker'!V$1)</f>
        <v>2</v>
      </c>
      <c r="W38" s="504">
        <f>SUMIFS('PV SUPPLY DATA'!$X:$X,'PV SUPPLY DATA'!$AH:$AH,'CT capacity tracker'!$B38,'PV SUPPLY DATA'!$AG:$AG,'CT capacity tracker'!$A$1,'PV SUPPLY DATA'!$Y:$Y,'CT capacity tracker'!W$1)+SUMIFS('ESS SUPPLY DATA'!$U:$U,'ESS SUPPLY DATA'!$AF:$AF,'CT capacity tracker'!$B38,'ESS SUPPLY DATA'!$AE:$AE,'CT capacity tracker'!$A$1,'ESS SUPPLY DATA'!$W:$W,'CT capacity tracker'!W$1)</f>
        <v>1</v>
      </c>
      <c r="X38" s="504">
        <f>SUMIFS('PV SUPPLY DATA'!$X:$X,'PV SUPPLY DATA'!$AH:$AH,'CT capacity tracker'!$B38,'PV SUPPLY DATA'!$AG:$AG,'CT capacity tracker'!$A$1,'PV SUPPLY DATA'!$Y:$Y,'CT capacity tracker'!X$1)+SUMIFS('ESS SUPPLY DATA'!$U:$U,'ESS SUPPLY DATA'!$AF:$AF,'CT capacity tracker'!$B38,'ESS SUPPLY DATA'!$AE:$AE,'CT capacity tracker'!$A$1,'ESS SUPPLY DATA'!$W:$W,'CT capacity tracker'!X$1)</f>
        <v>1</v>
      </c>
      <c r="Y38" s="504">
        <f>SUMIFS('PV SUPPLY DATA'!$X:$X,'PV SUPPLY DATA'!$AH:$AH,'CT capacity tracker'!$B38,'PV SUPPLY DATA'!$AG:$AG,'CT capacity tracker'!$A$1,'PV SUPPLY DATA'!$Y:$Y,'CT capacity tracker'!Y$1)+SUMIFS('ESS SUPPLY DATA'!$U:$U,'ESS SUPPLY DATA'!$AF:$AF,'CT capacity tracker'!$B38,'ESS SUPPLY DATA'!$AE:$AE,'CT capacity tracker'!$A$1,'ESS SUPPLY DATA'!$W:$W,'CT capacity tracker'!Y$1)</f>
        <v>3</v>
      </c>
      <c r="Z38" s="504">
        <f>SUMIFS('PV SUPPLY DATA'!$X:$X,'PV SUPPLY DATA'!$AH:$AH,'CT capacity tracker'!$B38,'PV SUPPLY DATA'!$AG:$AG,'CT capacity tracker'!$A$1,'PV SUPPLY DATA'!$Y:$Y,'CT capacity tracker'!Z$1)+SUMIFS('ESS SUPPLY DATA'!$U:$U,'ESS SUPPLY DATA'!$AF:$AF,'CT capacity tracker'!$B38,'ESS SUPPLY DATA'!$AE:$AE,'CT capacity tracker'!$A$1,'ESS SUPPLY DATA'!$W:$W,'CT capacity tracker'!Z$1)</f>
        <v>1</v>
      </c>
      <c r="AA38" s="504">
        <f>SUMIFS('PV SUPPLY DATA'!$X:$X,'PV SUPPLY DATA'!$AH:$AH,'CT capacity tracker'!$B38,'PV SUPPLY DATA'!$AG:$AG,'CT capacity tracker'!$A$1,'PV SUPPLY DATA'!$Y:$Y,'CT capacity tracker'!AA$1)+SUMIFS('ESS SUPPLY DATA'!$U:$U,'ESS SUPPLY DATA'!$AF:$AF,'CT capacity tracker'!$B38,'ESS SUPPLY DATA'!$AE:$AE,'CT capacity tracker'!$A$1,'ESS SUPPLY DATA'!$W:$W,'CT capacity tracker'!AA$1)</f>
        <v>2</v>
      </c>
      <c r="AB38" s="504">
        <f>SUMIFS('PV SUPPLY DATA'!$X:$X,'PV SUPPLY DATA'!$AH:$AH,'CT capacity tracker'!$B38,'PV SUPPLY DATA'!$AG:$AG,'CT capacity tracker'!$A$1,'PV SUPPLY DATA'!$Y:$Y,'CT capacity tracker'!AB$1)+SUMIFS('ESS SUPPLY DATA'!$U:$U,'ESS SUPPLY DATA'!$AF:$AF,'CT capacity tracker'!$B38,'ESS SUPPLY DATA'!$AE:$AE,'CT capacity tracker'!$A$1,'ESS SUPPLY DATA'!$W:$W,'CT capacity tracker'!AB$1)</f>
        <v>5</v>
      </c>
      <c r="AC38" s="504">
        <f>SUMIFS('PV SUPPLY DATA'!$X:$X,'PV SUPPLY DATA'!$AH:$AH,'CT capacity tracker'!$B38,'PV SUPPLY DATA'!$AG:$AG,'CT capacity tracker'!$A$1,'PV SUPPLY DATA'!$Y:$Y,'CT capacity tracker'!AC$1)+SUMIFS('ESS SUPPLY DATA'!$U:$U,'ESS SUPPLY DATA'!$AF:$AF,'CT capacity tracker'!$B38,'ESS SUPPLY DATA'!$AE:$AE,'CT capacity tracker'!$A$1,'ESS SUPPLY DATA'!$W:$W,'CT capacity tracker'!AC$1)</f>
        <v>8</v>
      </c>
      <c r="AD38" s="504">
        <f>SUMIFS('PV SUPPLY DATA'!$X:$X,'PV SUPPLY DATA'!$AH:$AH,'CT capacity tracker'!$B38,'PV SUPPLY DATA'!$AG:$AG,'CT capacity tracker'!$A$1,'PV SUPPLY DATA'!$Y:$Y,'CT capacity tracker'!AD$1)+SUMIFS('ESS SUPPLY DATA'!$U:$U,'ESS SUPPLY DATA'!$AF:$AF,'CT capacity tracker'!$B38,'ESS SUPPLY DATA'!$AE:$AE,'CT capacity tracker'!$A$1,'ESS SUPPLY DATA'!$W:$W,'CT capacity tracker'!AD$1)</f>
        <v>9</v>
      </c>
      <c r="AE38" s="504">
        <f>SUMIFS('PV SUPPLY DATA'!$X:$X,'PV SUPPLY DATA'!$AH:$AH,'CT capacity tracker'!$B38,'PV SUPPLY DATA'!$AG:$AG,'CT capacity tracker'!$A$1,'PV SUPPLY DATA'!$Y:$Y,'CT capacity tracker'!AE$1)+SUMIFS('ESS SUPPLY DATA'!$U:$U,'ESS SUPPLY DATA'!$AF:$AF,'CT capacity tracker'!$B38,'ESS SUPPLY DATA'!$AE:$AE,'CT capacity tracker'!$A$1,'ESS SUPPLY DATA'!$W:$W,'CT capacity tracker'!AE$1)</f>
        <v>0</v>
      </c>
      <c r="AF38" s="504">
        <f>SUMIFS('PV SUPPLY DATA'!$X:$X,'PV SUPPLY DATA'!$AH:$AH,'CT capacity tracker'!$B38,'PV SUPPLY DATA'!$AG:$AG,'CT capacity tracker'!$A$1,'PV SUPPLY DATA'!$Y:$Y,'CT capacity tracker'!AF$1)+SUMIFS('ESS SUPPLY DATA'!$U:$U,'ESS SUPPLY DATA'!$AF:$AF,'CT capacity tracker'!$B38,'ESS SUPPLY DATA'!$AE:$AE,'CT capacity tracker'!$A$1,'ESS SUPPLY DATA'!$W:$W,'CT capacity tracker'!AF$1)</f>
        <v>0</v>
      </c>
      <c r="AG38" s="504">
        <f>SUMIFS('PV SUPPLY DATA'!$X:$X,'PV SUPPLY DATA'!$AH:$AH,'CT capacity tracker'!$B38,'PV SUPPLY DATA'!$AG:$AG,'CT capacity tracker'!$A$1,'PV SUPPLY DATA'!$Y:$Y,'CT capacity tracker'!AG$1)+SUMIFS('ESS SUPPLY DATA'!$U:$U,'ESS SUPPLY DATA'!$AF:$AF,'CT capacity tracker'!$B38,'ESS SUPPLY DATA'!$AE:$AE,'CT capacity tracker'!$A$1,'ESS SUPPLY DATA'!$W:$W,'CT capacity tracker'!AG$1)</f>
        <v>0</v>
      </c>
      <c r="AH38" s="504">
        <f>SUMIFS('PV SUPPLY DATA'!$X:$X,'PV SUPPLY DATA'!$AH:$AH,'CT capacity tracker'!$B38,'PV SUPPLY DATA'!$AG:$AG,'CT capacity tracker'!$A$1,'PV SUPPLY DATA'!$Y:$Y,'CT capacity tracker'!AH$1)+SUMIFS('ESS SUPPLY DATA'!$U:$U,'ESS SUPPLY DATA'!$AF:$AF,'CT capacity tracker'!$B38,'ESS SUPPLY DATA'!$AE:$AE,'CT capacity tracker'!$A$1,'ESS SUPPLY DATA'!$W:$W,'CT capacity tracker'!AH$1)</f>
        <v>17</v>
      </c>
      <c r="AI38" s="504">
        <f>SUMIFS('PV SUPPLY DATA'!$X:$X,'PV SUPPLY DATA'!$AH:$AH,'CT capacity tracker'!$B38,'PV SUPPLY DATA'!$AG:$AG,'CT capacity tracker'!$A$1,'PV SUPPLY DATA'!$Y:$Y,'CT capacity tracker'!AI$1)+SUMIFS('ESS SUPPLY DATA'!$U:$U,'ESS SUPPLY DATA'!$AF:$AF,'CT capacity tracker'!$B38,'ESS SUPPLY DATA'!$AE:$AE,'CT capacity tracker'!$A$1,'ESS SUPPLY DATA'!$W:$W,'CT capacity tracker'!AI$1)</f>
        <v>0</v>
      </c>
      <c r="AJ38" s="504">
        <f>SUMIFS('PV SUPPLY DATA'!$X:$X,'PV SUPPLY DATA'!$AH:$AH,'CT capacity tracker'!$B38,'PV SUPPLY DATA'!$AG:$AG,'CT capacity tracker'!$A$1,'PV SUPPLY DATA'!$Y:$Y,'CT capacity tracker'!AJ$1)+SUMIFS('ESS SUPPLY DATA'!$U:$U,'ESS SUPPLY DATA'!$AF:$AF,'CT capacity tracker'!$B38,'ESS SUPPLY DATA'!$AE:$AE,'CT capacity tracker'!$A$1,'ESS SUPPLY DATA'!$W:$W,'CT capacity tracker'!AJ$1)</f>
        <v>0</v>
      </c>
      <c r="AK38" s="505" t="s">
        <v>197</v>
      </c>
      <c r="AL38" s="505" t="s">
        <v>197</v>
      </c>
      <c r="AM38" s="696">
        <f>SUM(E38:X38)</f>
        <v>38.06818181818182</v>
      </c>
      <c r="AN38" s="503" t="s">
        <v>197</v>
      </c>
      <c r="AO38" s="506"/>
      <c r="AP38" s="506">
        <f t="shared" si="3"/>
        <v>3.07</v>
      </c>
      <c r="AQ38" s="506"/>
      <c r="AR38" s="506"/>
      <c r="AS38" s="506"/>
      <c r="AT38" s="506"/>
    </row>
    <row r="39" spans="1:46" ht="13">
      <c r="A39" s="1517"/>
      <c r="B39" s="1517"/>
      <c r="C39" s="509" t="s">
        <v>4401</v>
      </c>
      <c r="D39" s="509"/>
      <c r="E39" s="510">
        <v>7</v>
      </c>
      <c r="F39" s="510">
        <v>5</v>
      </c>
      <c r="G39" s="510">
        <v>12</v>
      </c>
      <c r="H39" s="510"/>
      <c r="I39" s="510"/>
      <c r="J39" s="510">
        <v>2</v>
      </c>
      <c r="K39" s="510">
        <v>5</v>
      </c>
      <c r="L39" s="510">
        <v>0</v>
      </c>
      <c r="M39" s="510">
        <v>6</v>
      </c>
      <c r="N39" s="510">
        <v>0</v>
      </c>
      <c r="O39" s="510">
        <v>2</v>
      </c>
      <c r="P39" s="510">
        <v>3</v>
      </c>
      <c r="Q39" s="510">
        <v>5</v>
      </c>
      <c r="R39" s="510">
        <v>5</v>
      </c>
      <c r="S39" s="510">
        <v>2</v>
      </c>
      <c r="T39" s="510">
        <v>3</v>
      </c>
      <c r="U39" s="510">
        <v>0</v>
      </c>
      <c r="V39" s="510">
        <v>2</v>
      </c>
      <c r="W39" s="510">
        <v>1</v>
      </c>
      <c r="X39" s="510">
        <v>0</v>
      </c>
      <c r="Y39" s="510"/>
      <c r="Z39" s="510"/>
      <c r="AA39" s="510"/>
      <c r="AB39" s="510"/>
      <c r="AC39" s="510">
        <v>1</v>
      </c>
      <c r="AD39" s="510">
        <v>5</v>
      </c>
      <c r="AE39" s="510">
        <v>5</v>
      </c>
      <c r="AF39" s="510">
        <v>5</v>
      </c>
      <c r="AG39" s="510"/>
      <c r="AH39" s="510"/>
      <c r="AI39" s="510"/>
      <c r="AJ39" s="510"/>
      <c r="AK39" s="505" t="s">
        <v>197</v>
      </c>
      <c r="AL39" s="505" t="s">
        <v>197</v>
      </c>
      <c r="AM39" s="696"/>
      <c r="AN39" s="503" t="s">
        <v>197</v>
      </c>
      <c r="AO39" s="506"/>
      <c r="AP39" s="506">
        <f t="shared" si="3"/>
        <v>14</v>
      </c>
      <c r="AQ39" s="506"/>
      <c r="AR39" s="506"/>
      <c r="AS39" s="506"/>
      <c r="AT39" s="506"/>
    </row>
    <row r="40" spans="1:46" ht="13">
      <c r="A40" s="1517"/>
      <c r="B40" s="1517"/>
      <c r="C40" s="520" t="s">
        <v>4402</v>
      </c>
      <c r="D40" s="522"/>
      <c r="E40" s="522">
        <f t="shared" ref="E40:X40" si="29">E39-E38</f>
        <v>7</v>
      </c>
      <c r="F40" s="522">
        <f t="shared" si="29"/>
        <v>5</v>
      </c>
      <c r="G40" s="522">
        <f t="shared" si="29"/>
        <v>12</v>
      </c>
      <c r="H40" s="522">
        <f t="shared" si="29"/>
        <v>0</v>
      </c>
      <c r="I40" s="522">
        <f t="shared" si="29"/>
        <v>-1</v>
      </c>
      <c r="J40" s="522">
        <f t="shared" si="29"/>
        <v>-6.999999999999984E-2</v>
      </c>
      <c r="K40" s="522">
        <f t="shared" si="29"/>
        <v>0</v>
      </c>
      <c r="L40" s="522">
        <f t="shared" si="29"/>
        <v>0</v>
      </c>
      <c r="M40" s="522">
        <f t="shared" si="29"/>
        <v>1.0018181818181819</v>
      </c>
      <c r="N40" s="522">
        <f t="shared" si="29"/>
        <v>0</v>
      </c>
      <c r="O40" s="522">
        <f t="shared" si="29"/>
        <v>0</v>
      </c>
      <c r="P40" s="522">
        <f t="shared" si="29"/>
        <v>-2</v>
      </c>
      <c r="Q40" s="522">
        <f t="shared" si="29"/>
        <v>2</v>
      </c>
      <c r="R40" s="522">
        <f t="shared" si="29"/>
        <v>0</v>
      </c>
      <c r="S40" s="522">
        <f t="shared" si="29"/>
        <v>0</v>
      </c>
      <c r="T40" s="522">
        <f t="shared" si="29"/>
        <v>-1</v>
      </c>
      <c r="U40" s="522">
        <f t="shared" si="29"/>
        <v>0</v>
      </c>
      <c r="V40" s="522">
        <f t="shared" si="29"/>
        <v>0</v>
      </c>
      <c r="W40" s="522">
        <f t="shared" si="29"/>
        <v>0</v>
      </c>
      <c r="X40" s="522">
        <f t="shared" si="29"/>
        <v>-1</v>
      </c>
      <c r="Y40" s="522">
        <f t="shared" ref="Y40:AJ40" si="30">Y39-Y38</f>
        <v>-3</v>
      </c>
      <c r="Z40" s="522">
        <f t="shared" si="30"/>
        <v>-1</v>
      </c>
      <c r="AA40" s="522">
        <f t="shared" si="30"/>
        <v>-2</v>
      </c>
      <c r="AB40" s="522">
        <f t="shared" si="30"/>
        <v>-5</v>
      </c>
      <c r="AC40" s="522">
        <f t="shared" si="30"/>
        <v>-7</v>
      </c>
      <c r="AD40" s="522">
        <f t="shared" si="30"/>
        <v>-4</v>
      </c>
      <c r="AE40" s="522">
        <f t="shared" si="30"/>
        <v>5</v>
      </c>
      <c r="AF40" s="522">
        <f t="shared" si="30"/>
        <v>5</v>
      </c>
      <c r="AG40" s="522">
        <f t="shared" si="30"/>
        <v>0</v>
      </c>
      <c r="AH40" s="522">
        <f t="shared" si="30"/>
        <v>-17</v>
      </c>
      <c r="AI40" s="522">
        <f t="shared" si="30"/>
        <v>0</v>
      </c>
      <c r="AJ40" s="522">
        <f t="shared" si="30"/>
        <v>0</v>
      </c>
      <c r="AK40" s="511">
        <f>SUMIF($E40:$X40,"&gt;0")</f>
        <v>27.00181818181818</v>
      </c>
      <c r="AL40" s="511">
        <f>SUMIF($E40:$X40,"&lt;0")</f>
        <v>-5.07</v>
      </c>
      <c r="AM40" s="696"/>
      <c r="AN40" s="503" t="s">
        <v>197</v>
      </c>
      <c r="AO40" s="506"/>
      <c r="AP40" s="506">
        <f t="shared" si="3"/>
        <v>10.93</v>
      </c>
      <c r="AQ40" s="506"/>
      <c r="AR40" s="506"/>
      <c r="AS40" s="506"/>
      <c r="AT40" s="506"/>
    </row>
    <row r="41" spans="1:46" ht="13">
      <c r="A41" s="1517"/>
      <c r="B41" s="1518"/>
      <c r="C41" s="503" t="s">
        <v>4403</v>
      </c>
      <c r="D41" s="522"/>
      <c r="E41" s="504">
        <f>SUMIFS('PV SUPPLY DATA'!$X:$X,'PV SUPPLY DATA'!$AH:$AH,'CT capacity tracker'!$B38,'PV SUPPLY DATA'!$AG:$AG,'CT capacity tracker'!$A$1,'PV SUPPLY DATA'!$Y:$Y,E$1,'PV SUPPLY DATA'!$AQ:$AQ,"cosco")+SUMIFS('PV SUPPLY DATA'!$X:$X,'PV SUPPLY DATA'!$AH:$AH,'CT capacity tracker'!$B38,'PV SUPPLY DATA'!$AG:$AG,'CT capacity tracker'!$A$1,'PV SUPPLY DATA'!$Y:$Y,E$1,'PV SUPPLY DATA'!$AQ:$AQ,"other")+SUMIFS('ESS SUPPLY DATA'!$U:$U,'ESS SUPPLY DATA'!$AF:$AF,'CT capacity tracker'!$B38,'ESS SUPPLY DATA'!$AE:$AE,'CT capacity tracker'!$A$1,'ESS SUPPLY DATA'!$W:$W,'CT capacity tracker'!E$1,'ESS SUPPLY DATA'!$AO:$AO,"cosco")+SUMIFS('ESS SUPPLY DATA'!$U:$U,'ESS SUPPLY DATA'!$AF:$AF,'CT capacity tracker'!$B38,'ESS SUPPLY DATA'!$AE:$AE,'CT capacity tracker'!$A$1,'ESS SUPPLY DATA'!$W:$W,'CT capacity tracker'!E$1,'ESS SUPPLY DATA'!$AO:$AO,"other")</f>
        <v>0</v>
      </c>
      <c r="F41" s="504">
        <f>SUMIFS('PV SUPPLY DATA'!$X:$X,'PV SUPPLY DATA'!$AH:$AH,'CT capacity tracker'!$B38,'PV SUPPLY DATA'!$AG:$AG,'CT capacity tracker'!$A$1,'PV SUPPLY DATA'!$Y:$Y,F$1,'PV SUPPLY DATA'!$AQ:$AQ,"cosco")+SUMIFS('PV SUPPLY DATA'!$X:$X,'PV SUPPLY DATA'!$AH:$AH,'CT capacity tracker'!$B38,'PV SUPPLY DATA'!$AG:$AG,'CT capacity tracker'!$A$1,'PV SUPPLY DATA'!$Y:$Y,F$1,'PV SUPPLY DATA'!$AQ:$AQ,"other")+SUMIFS('ESS SUPPLY DATA'!$U:$U,'ESS SUPPLY DATA'!$AF:$AF,'CT capacity tracker'!$B38,'ESS SUPPLY DATA'!$AE:$AE,'CT capacity tracker'!$A$1,'ESS SUPPLY DATA'!$W:$W,'CT capacity tracker'!F$1,'ESS SUPPLY DATA'!$AO:$AO,"cosco")+SUMIFS('ESS SUPPLY DATA'!$U:$U,'ESS SUPPLY DATA'!$AF:$AF,'CT capacity tracker'!$B38,'ESS SUPPLY DATA'!$AE:$AE,'CT capacity tracker'!$A$1,'ESS SUPPLY DATA'!$W:$W,'CT capacity tracker'!F$1,'ESS SUPPLY DATA'!$AO:$AO,"other")</f>
        <v>0</v>
      </c>
      <c r="G41" s="504">
        <f>SUMIFS('PV SUPPLY DATA'!$X:$X,'PV SUPPLY DATA'!$AH:$AH,'CT capacity tracker'!$B38,'PV SUPPLY DATA'!$AG:$AG,'CT capacity tracker'!$A$1,'PV SUPPLY DATA'!$Y:$Y,G$1,'PV SUPPLY DATA'!$AQ:$AQ,"cosco")+SUMIFS('PV SUPPLY DATA'!$X:$X,'PV SUPPLY DATA'!$AH:$AH,'CT capacity tracker'!$B38,'PV SUPPLY DATA'!$AG:$AG,'CT capacity tracker'!$A$1,'PV SUPPLY DATA'!$Y:$Y,G$1,'PV SUPPLY DATA'!$AQ:$AQ,"other")+SUMIFS('ESS SUPPLY DATA'!$U:$U,'ESS SUPPLY DATA'!$AF:$AF,'CT capacity tracker'!$B38,'ESS SUPPLY DATA'!$AE:$AE,'CT capacity tracker'!$A$1,'ESS SUPPLY DATA'!$W:$W,'CT capacity tracker'!G$1,'ESS SUPPLY DATA'!$AO:$AO,"cosco")+SUMIFS('ESS SUPPLY DATA'!$U:$U,'ESS SUPPLY DATA'!$AF:$AF,'CT capacity tracker'!$B38,'ESS SUPPLY DATA'!$AE:$AE,'CT capacity tracker'!$A$1,'ESS SUPPLY DATA'!$W:$W,'CT capacity tracker'!G$1,'ESS SUPPLY DATA'!$AO:$AO,"other")</f>
        <v>0</v>
      </c>
      <c r="H41" s="504">
        <f>SUMIFS('PV SUPPLY DATA'!$X:$X,'PV SUPPLY DATA'!$AH:$AH,'CT capacity tracker'!$B38,'PV SUPPLY DATA'!$AG:$AG,'CT capacity tracker'!$A$1,'PV SUPPLY DATA'!$Y:$Y,H$1,'PV SUPPLY DATA'!$AQ:$AQ,"cosco")+SUMIFS('PV SUPPLY DATA'!$X:$X,'PV SUPPLY DATA'!$AH:$AH,'CT capacity tracker'!$B38,'PV SUPPLY DATA'!$AG:$AG,'CT capacity tracker'!$A$1,'PV SUPPLY DATA'!$Y:$Y,H$1,'PV SUPPLY DATA'!$AQ:$AQ,"other")+SUMIFS('ESS SUPPLY DATA'!$U:$U,'ESS SUPPLY DATA'!$AF:$AF,'CT capacity tracker'!$B38,'ESS SUPPLY DATA'!$AE:$AE,'CT capacity tracker'!$A$1,'ESS SUPPLY DATA'!$W:$W,'CT capacity tracker'!H$1,'ESS SUPPLY DATA'!$AO:$AO,"cosco")+SUMIFS('ESS SUPPLY DATA'!$U:$U,'ESS SUPPLY DATA'!$AF:$AF,'CT capacity tracker'!$B38,'ESS SUPPLY DATA'!$AE:$AE,'CT capacity tracker'!$A$1,'ESS SUPPLY DATA'!$W:$W,'CT capacity tracker'!H$1,'ESS SUPPLY DATA'!$AO:$AO,"other")</f>
        <v>0</v>
      </c>
      <c r="I41" s="504">
        <f>SUMIFS('PV SUPPLY DATA'!$X:$X,'PV SUPPLY DATA'!$AH:$AH,'CT capacity tracker'!$B38,'PV SUPPLY DATA'!$AG:$AG,'CT capacity tracker'!$A$1,'PV SUPPLY DATA'!$Y:$Y,I$1,'PV SUPPLY DATA'!$AQ:$AQ,"cosco")+SUMIFS('PV SUPPLY DATA'!$X:$X,'PV SUPPLY DATA'!$AH:$AH,'CT capacity tracker'!$B38,'PV SUPPLY DATA'!$AG:$AG,'CT capacity tracker'!$A$1,'PV SUPPLY DATA'!$Y:$Y,I$1,'PV SUPPLY DATA'!$AQ:$AQ,"other")+SUMIFS('ESS SUPPLY DATA'!$U:$U,'ESS SUPPLY DATA'!$AF:$AF,'CT capacity tracker'!$B38,'ESS SUPPLY DATA'!$AE:$AE,'CT capacity tracker'!$A$1,'ESS SUPPLY DATA'!$W:$W,'CT capacity tracker'!I$1,'ESS SUPPLY DATA'!$AO:$AO,"cosco")+SUMIFS('ESS SUPPLY DATA'!$U:$U,'ESS SUPPLY DATA'!$AF:$AF,'CT capacity tracker'!$B38,'ESS SUPPLY DATA'!$AE:$AE,'CT capacity tracker'!$A$1,'ESS SUPPLY DATA'!$W:$W,'CT capacity tracker'!I$1,'ESS SUPPLY DATA'!$AO:$AO,"other")</f>
        <v>1</v>
      </c>
      <c r="J41" s="504">
        <f>SUMIFS('PV SUPPLY DATA'!$X:$X,'PV SUPPLY DATA'!$AH:$AH,'CT capacity tracker'!$B38,'PV SUPPLY DATA'!$AG:$AG,'CT capacity tracker'!$A$1,'PV SUPPLY DATA'!$Y:$Y,J$1,'PV SUPPLY DATA'!$AQ:$AQ,"cosco")+SUMIFS('PV SUPPLY DATA'!$X:$X,'PV SUPPLY DATA'!$AH:$AH,'CT capacity tracker'!$B38,'PV SUPPLY DATA'!$AG:$AG,'CT capacity tracker'!$A$1,'PV SUPPLY DATA'!$Y:$Y,J$1,'PV SUPPLY DATA'!$AQ:$AQ,"other")+SUMIFS('ESS SUPPLY DATA'!$U:$U,'ESS SUPPLY DATA'!$AF:$AF,'CT capacity tracker'!$B38,'ESS SUPPLY DATA'!$AE:$AE,'CT capacity tracker'!$A$1,'ESS SUPPLY DATA'!$W:$W,'CT capacity tracker'!J$1,'ESS SUPPLY DATA'!$AO:$AO,"cosco")+SUMIFS('ESS SUPPLY DATA'!$U:$U,'ESS SUPPLY DATA'!$AF:$AF,'CT capacity tracker'!$B38,'ESS SUPPLY DATA'!$AE:$AE,'CT capacity tracker'!$A$1,'ESS SUPPLY DATA'!$W:$W,'CT capacity tracker'!J$1,'ESS SUPPLY DATA'!$AO:$AO,"other")</f>
        <v>2.0699999999999998</v>
      </c>
      <c r="K41" s="504">
        <f>SUMIFS('PV SUPPLY DATA'!$X:$X,'PV SUPPLY DATA'!$AH:$AH,'CT capacity tracker'!$B38,'PV SUPPLY DATA'!$AG:$AG,'CT capacity tracker'!$A$1,'PV SUPPLY DATA'!$Y:$Y,K$1,'PV SUPPLY DATA'!$AQ:$AQ,"cosco")+SUMIFS('PV SUPPLY DATA'!$X:$X,'PV SUPPLY DATA'!$AH:$AH,'CT capacity tracker'!$B38,'PV SUPPLY DATA'!$AG:$AG,'CT capacity tracker'!$A$1,'PV SUPPLY DATA'!$Y:$Y,K$1,'PV SUPPLY DATA'!$AQ:$AQ,"other")+SUMIFS('ESS SUPPLY DATA'!$U:$U,'ESS SUPPLY DATA'!$AF:$AF,'CT capacity tracker'!$B38,'ESS SUPPLY DATA'!$AE:$AE,'CT capacity tracker'!$A$1,'ESS SUPPLY DATA'!$W:$W,'CT capacity tracker'!K$1,'ESS SUPPLY DATA'!$AO:$AO,"cosco")+SUMIFS('ESS SUPPLY DATA'!$U:$U,'ESS SUPPLY DATA'!$AF:$AF,'CT capacity tracker'!$B38,'ESS SUPPLY DATA'!$AE:$AE,'CT capacity tracker'!$A$1,'ESS SUPPLY DATA'!$W:$W,'CT capacity tracker'!K$1,'ESS SUPPLY DATA'!$AO:$AO,"other")</f>
        <v>5</v>
      </c>
      <c r="L41" s="504">
        <f>SUMIFS('PV SUPPLY DATA'!$X:$X,'PV SUPPLY DATA'!$AH:$AH,'CT capacity tracker'!$B38,'PV SUPPLY DATA'!$AG:$AG,'CT capacity tracker'!$A$1,'PV SUPPLY DATA'!$Y:$Y,L$1,'PV SUPPLY DATA'!$AQ:$AQ,"cosco")+SUMIFS('PV SUPPLY DATA'!$X:$X,'PV SUPPLY DATA'!$AH:$AH,'CT capacity tracker'!$B38,'PV SUPPLY DATA'!$AG:$AG,'CT capacity tracker'!$A$1,'PV SUPPLY DATA'!$Y:$Y,L$1,'PV SUPPLY DATA'!$AQ:$AQ,"other")+SUMIFS('ESS SUPPLY DATA'!$U:$U,'ESS SUPPLY DATA'!$AF:$AF,'CT capacity tracker'!$B38,'ESS SUPPLY DATA'!$AE:$AE,'CT capacity tracker'!$A$1,'ESS SUPPLY DATA'!$W:$W,'CT capacity tracker'!L$1,'ESS SUPPLY DATA'!$AO:$AO,"cosco")+SUMIFS('ESS SUPPLY DATA'!$U:$U,'ESS SUPPLY DATA'!$AF:$AF,'CT capacity tracker'!$B38,'ESS SUPPLY DATA'!$AE:$AE,'CT capacity tracker'!$A$1,'ESS SUPPLY DATA'!$W:$W,'CT capacity tracker'!L$1,'ESS SUPPLY DATA'!$AO:$AO,"other")</f>
        <v>0</v>
      </c>
      <c r="M41" s="504">
        <f>SUMIFS('PV SUPPLY DATA'!$X:$X,'PV SUPPLY DATA'!$AH:$AH,'CT capacity tracker'!$B38,'PV SUPPLY DATA'!$AG:$AG,'CT capacity tracker'!$A$1,'PV SUPPLY DATA'!$Y:$Y,M$1,'PV SUPPLY DATA'!$AQ:$AQ,"cosco")+SUMIFS('PV SUPPLY DATA'!$X:$X,'PV SUPPLY DATA'!$AH:$AH,'CT capacity tracker'!$B38,'PV SUPPLY DATA'!$AG:$AG,'CT capacity tracker'!$A$1,'PV SUPPLY DATA'!$Y:$Y,M$1,'PV SUPPLY DATA'!$AQ:$AQ,"other")+SUMIFS('ESS SUPPLY DATA'!$U:$U,'ESS SUPPLY DATA'!$AF:$AF,'CT capacity tracker'!$B38,'ESS SUPPLY DATA'!$AE:$AE,'CT capacity tracker'!$A$1,'ESS SUPPLY DATA'!$W:$W,'CT capacity tracker'!M$1,'ESS SUPPLY DATA'!$AO:$AO,"cosco")+SUMIFS('ESS SUPPLY DATA'!$U:$U,'ESS SUPPLY DATA'!$AF:$AF,'CT capacity tracker'!$B38,'ESS SUPPLY DATA'!$AE:$AE,'CT capacity tracker'!$A$1,'ESS SUPPLY DATA'!$W:$W,'CT capacity tracker'!M$1,'ESS SUPPLY DATA'!$AO:$AO,"other")</f>
        <v>4.9981818181818181</v>
      </c>
      <c r="N41" s="504">
        <f>SUMIFS('PV SUPPLY DATA'!$X:$X,'PV SUPPLY DATA'!$AH:$AH,'CT capacity tracker'!$B38,'PV SUPPLY DATA'!$AG:$AG,'CT capacity tracker'!$A$1,'PV SUPPLY DATA'!$Y:$Y,N$1,'PV SUPPLY DATA'!$AQ:$AQ,"cosco")+SUMIFS('PV SUPPLY DATA'!$X:$X,'PV SUPPLY DATA'!$AH:$AH,'CT capacity tracker'!$B38,'PV SUPPLY DATA'!$AG:$AG,'CT capacity tracker'!$A$1,'PV SUPPLY DATA'!$Y:$Y,N$1,'PV SUPPLY DATA'!$AQ:$AQ,"other")+SUMIFS('ESS SUPPLY DATA'!$U:$U,'ESS SUPPLY DATA'!$AF:$AF,'CT capacity tracker'!$B38,'ESS SUPPLY DATA'!$AE:$AE,'CT capacity tracker'!$A$1,'ESS SUPPLY DATA'!$W:$W,'CT capacity tracker'!N$1,'ESS SUPPLY DATA'!$AO:$AO,"cosco")+SUMIFS('ESS SUPPLY DATA'!$U:$U,'ESS SUPPLY DATA'!$AF:$AF,'CT capacity tracker'!$B38,'ESS SUPPLY DATA'!$AE:$AE,'CT capacity tracker'!$A$1,'ESS SUPPLY DATA'!$W:$W,'CT capacity tracker'!N$1,'ESS SUPPLY DATA'!$AO:$AO,"other")</f>
        <v>0</v>
      </c>
      <c r="O41" s="504">
        <f>SUMIFS('PV SUPPLY DATA'!$X:$X,'PV SUPPLY DATA'!$AH:$AH,'CT capacity tracker'!$B38,'PV SUPPLY DATA'!$AG:$AG,'CT capacity tracker'!$A$1,'PV SUPPLY DATA'!$Y:$Y,O$1,'PV SUPPLY DATA'!$AQ:$AQ,"cosco")+SUMIFS('PV SUPPLY DATA'!$X:$X,'PV SUPPLY DATA'!$AH:$AH,'CT capacity tracker'!$B38,'PV SUPPLY DATA'!$AG:$AG,'CT capacity tracker'!$A$1,'PV SUPPLY DATA'!$Y:$Y,O$1,'PV SUPPLY DATA'!$AQ:$AQ,"other")+SUMIFS('ESS SUPPLY DATA'!$U:$U,'ESS SUPPLY DATA'!$AF:$AF,'CT capacity tracker'!$B38,'ESS SUPPLY DATA'!$AE:$AE,'CT capacity tracker'!$A$1,'ESS SUPPLY DATA'!$W:$W,'CT capacity tracker'!O$1,'ESS SUPPLY DATA'!$AO:$AO,"cosco")+SUMIFS('ESS SUPPLY DATA'!$U:$U,'ESS SUPPLY DATA'!$AF:$AF,'CT capacity tracker'!$B38,'ESS SUPPLY DATA'!$AE:$AE,'CT capacity tracker'!$A$1,'ESS SUPPLY DATA'!$W:$W,'CT capacity tracker'!O$1,'ESS SUPPLY DATA'!$AO:$AO,"other")</f>
        <v>2</v>
      </c>
      <c r="P41" s="504">
        <f>SUMIFS('PV SUPPLY DATA'!$X:$X,'PV SUPPLY DATA'!$AH:$AH,'CT capacity tracker'!$B38,'PV SUPPLY DATA'!$AG:$AG,'CT capacity tracker'!$A$1,'PV SUPPLY DATA'!$Y:$Y,P$1,'PV SUPPLY DATA'!$AQ:$AQ,"cosco")+SUMIFS('PV SUPPLY DATA'!$X:$X,'PV SUPPLY DATA'!$AH:$AH,'CT capacity tracker'!$B38,'PV SUPPLY DATA'!$AG:$AG,'CT capacity tracker'!$A$1,'PV SUPPLY DATA'!$Y:$Y,P$1,'PV SUPPLY DATA'!$AQ:$AQ,"other")+SUMIFS('ESS SUPPLY DATA'!$U:$U,'ESS SUPPLY DATA'!$AF:$AF,'CT capacity tracker'!$B38,'ESS SUPPLY DATA'!$AE:$AE,'CT capacity tracker'!$A$1,'ESS SUPPLY DATA'!$W:$W,'CT capacity tracker'!P$1,'ESS SUPPLY DATA'!$AO:$AO,"cosco")+SUMIFS('ESS SUPPLY DATA'!$U:$U,'ESS SUPPLY DATA'!$AF:$AF,'CT capacity tracker'!$B38,'ESS SUPPLY DATA'!$AE:$AE,'CT capacity tracker'!$A$1,'ESS SUPPLY DATA'!$W:$W,'CT capacity tracker'!P$1,'ESS SUPPLY DATA'!$AO:$AO,"other")</f>
        <v>5</v>
      </c>
      <c r="Q41" s="504">
        <f>SUMIFS('PV SUPPLY DATA'!$X:$X,'PV SUPPLY DATA'!$AH:$AH,'CT capacity tracker'!$B38,'PV SUPPLY DATA'!$AG:$AG,'CT capacity tracker'!$A$1,'PV SUPPLY DATA'!$Y:$Y,Q$1,'PV SUPPLY DATA'!$AQ:$AQ,"cosco")+SUMIFS('PV SUPPLY DATA'!$X:$X,'PV SUPPLY DATA'!$AH:$AH,'CT capacity tracker'!$B38,'PV SUPPLY DATA'!$AG:$AG,'CT capacity tracker'!$A$1,'PV SUPPLY DATA'!$Y:$Y,Q$1,'PV SUPPLY DATA'!$AQ:$AQ,"other")+SUMIFS('ESS SUPPLY DATA'!$U:$U,'ESS SUPPLY DATA'!$AF:$AF,'CT capacity tracker'!$B38,'ESS SUPPLY DATA'!$AE:$AE,'CT capacity tracker'!$A$1,'ESS SUPPLY DATA'!$W:$W,'CT capacity tracker'!Q$1,'ESS SUPPLY DATA'!$AO:$AO,"cosco")+SUMIFS('ESS SUPPLY DATA'!$U:$U,'ESS SUPPLY DATA'!$AF:$AF,'CT capacity tracker'!$B38,'ESS SUPPLY DATA'!$AE:$AE,'CT capacity tracker'!$A$1,'ESS SUPPLY DATA'!$W:$W,'CT capacity tracker'!Q$1,'ESS SUPPLY DATA'!$AO:$AO,"other")</f>
        <v>3</v>
      </c>
      <c r="R41" s="504">
        <f>SUMIFS('PV SUPPLY DATA'!$X:$X,'PV SUPPLY DATA'!$AH:$AH,'CT capacity tracker'!$B38,'PV SUPPLY DATA'!$AG:$AG,'CT capacity tracker'!$A$1,'PV SUPPLY DATA'!$Y:$Y,R$1,'PV SUPPLY DATA'!$AQ:$AQ,"cosco")+SUMIFS('PV SUPPLY DATA'!$X:$X,'PV SUPPLY DATA'!$AH:$AH,'CT capacity tracker'!$B38,'PV SUPPLY DATA'!$AG:$AG,'CT capacity tracker'!$A$1,'PV SUPPLY DATA'!$Y:$Y,R$1,'PV SUPPLY DATA'!$AQ:$AQ,"other")+SUMIFS('ESS SUPPLY DATA'!$U:$U,'ESS SUPPLY DATA'!$AF:$AF,'CT capacity tracker'!$B38,'ESS SUPPLY DATA'!$AE:$AE,'CT capacity tracker'!$A$1,'ESS SUPPLY DATA'!$W:$W,'CT capacity tracker'!R$1,'ESS SUPPLY DATA'!$AO:$AO,"cosco")+SUMIFS('ESS SUPPLY DATA'!$U:$U,'ESS SUPPLY DATA'!$AF:$AF,'CT capacity tracker'!$B38,'ESS SUPPLY DATA'!$AE:$AE,'CT capacity tracker'!$A$1,'ESS SUPPLY DATA'!$W:$W,'CT capacity tracker'!R$1,'ESS SUPPLY DATA'!$AO:$AO,"other")</f>
        <v>5</v>
      </c>
      <c r="S41" s="504">
        <f>SUMIFS('PV SUPPLY DATA'!$X:$X,'PV SUPPLY DATA'!$AH:$AH,'CT capacity tracker'!$B38,'PV SUPPLY DATA'!$AG:$AG,'CT capacity tracker'!$A$1,'PV SUPPLY DATA'!$Y:$Y,S$1,'PV SUPPLY DATA'!$AQ:$AQ,"cosco")+SUMIFS('PV SUPPLY DATA'!$X:$X,'PV SUPPLY DATA'!$AH:$AH,'CT capacity tracker'!$B38,'PV SUPPLY DATA'!$AG:$AG,'CT capacity tracker'!$A$1,'PV SUPPLY DATA'!$Y:$Y,S$1,'PV SUPPLY DATA'!$AQ:$AQ,"other")+SUMIFS('ESS SUPPLY DATA'!$U:$U,'ESS SUPPLY DATA'!$AF:$AF,'CT capacity tracker'!$B38,'ESS SUPPLY DATA'!$AE:$AE,'CT capacity tracker'!$A$1,'ESS SUPPLY DATA'!$W:$W,'CT capacity tracker'!S$1,'ESS SUPPLY DATA'!$AO:$AO,"cosco")+SUMIFS('ESS SUPPLY DATA'!$U:$U,'ESS SUPPLY DATA'!$AF:$AF,'CT capacity tracker'!$B38,'ESS SUPPLY DATA'!$AE:$AE,'CT capacity tracker'!$A$1,'ESS SUPPLY DATA'!$W:$W,'CT capacity tracker'!S$1,'ESS SUPPLY DATA'!$AO:$AO,"other")</f>
        <v>2</v>
      </c>
      <c r="T41" s="504">
        <f>SUMIFS('PV SUPPLY DATA'!$X:$X,'PV SUPPLY DATA'!$AH:$AH,'CT capacity tracker'!$B38,'PV SUPPLY DATA'!$AG:$AG,'CT capacity tracker'!$A$1,'PV SUPPLY DATA'!$Y:$Y,T$1,'PV SUPPLY DATA'!$AQ:$AQ,"cosco")+SUMIFS('PV SUPPLY DATA'!$X:$X,'PV SUPPLY DATA'!$AH:$AH,'CT capacity tracker'!$B38,'PV SUPPLY DATA'!$AG:$AG,'CT capacity tracker'!$A$1,'PV SUPPLY DATA'!$Y:$Y,T$1,'PV SUPPLY DATA'!$AQ:$AQ,"other")+SUMIFS('ESS SUPPLY DATA'!$U:$U,'ESS SUPPLY DATA'!$AF:$AF,'CT capacity tracker'!$B38,'ESS SUPPLY DATA'!$AE:$AE,'CT capacity tracker'!$A$1,'ESS SUPPLY DATA'!$W:$W,'CT capacity tracker'!T$1,'ESS SUPPLY DATA'!$AO:$AO,"cosco")+SUMIFS('ESS SUPPLY DATA'!$U:$U,'ESS SUPPLY DATA'!$AF:$AF,'CT capacity tracker'!$B38,'ESS SUPPLY DATA'!$AE:$AE,'CT capacity tracker'!$A$1,'ESS SUPPLY DATA'!$W:$W,'CT capacity tracker'!T$1,'ESS SUPPLY DATA'!$AO:$AO,"other")</f>
        <v>4</v>
      </c>
      <c r="U41" s="504">
        <f>SUMIFS('PV SUPPLY DATA'!$X:$X,'PV SUPPLY DATA'!$AH:$AH,'CT capacity tracker'!$B38,'PV SUPPLY DATA'!$AG:$AG,'CT capacity tracker'!$A$1,'PV SUPPLY DATA'!$Y:$Y,U$1,'PV SUPPLY DATA'!$AQ:$AQ,"cosco")+SUMIFS('PV SUPPLY DATA'!$X:$X,'PV SUPPLY DATA'!$AH:$AH,'CT capacity tracker'!$B38,'PV SUPPLY DATA'!$AG:$AG,'CT capacity tracker'!$A$1,'PV SUPPLY DATA'!$Y:$Y,U$1,'PV SUPPLY DATA'!$AQ:$AQ,"other")+SUMIFS('ESS SUPPLY DATA'!$U:$U,'ESS SUPPLY DATA'!$AF:$AF,'CT capacity tracker'!$B38,'ESS SUPPLY DATA'!$AE:$AE,'CT capacity tracker'!$A$1,'ESS SUPPLY DATA'!$W:$W,'CT capacity tracker'!U$1,'ESS SUPPLY DATA'!$AO:$AO,"cosco")+SUMIFS('ESS SUPPLY DATA'!$U:$U,'ESS SUPPLY DATA'!$AF:$AF,'CT capacity tracker'!$B38,'ESS SUPPLY DATA'!$AE:$AE,'CT capacity tracker'!$A$1,'ESS SUPPLY DATA'!$W:$W,'CT capacity tracker'!U$1,'ESS SUPPLY DATA'!$AO:$AO,"other")</f>
        <v>0</v>
      </c>
      <c r="V41" s="504">
        <f>SUMIFS('PV SUPPLY DATA'!$X:$X,'PV SUPPLY DATA'!$AH:$AH,'CT capacity tracker'!$B38,'PV SUPPLY DATA'!$AG:$AG,'CT capacity tracker'!$A$1,'PV SUPPLY DATA'!$Y:$Y,V$1,'PV SUPPLY DATA'!$AQ:$AQ,"cosco")+SUMIFS('PV SUPPLY DATA'!$X:$X,'PV SUPPLY DATA'!$AH:$AH,'CT capacity tracker'!$B38,'PV SUPPLY DATA'!$AG:$AG,'CT capacity tracker'!$A$1,'PV SUPPLY DATA'!$Y:$Y,V$1,'PV SUPPLY DATA'!$AQ:$AQ,"other")+SUMIFS('ESS SUPPLY DATA'!$U:$U,'ESS SUPPLY DATA'!$AF:$AF,'CT capacity tracker'!$B38,'ESS SUPPLY DATA'!$AE:$AE,'CT capacity tracker'!$A$1,'ESS SUPPLY DATA'!$W:$W,'CT capacity tracker'!V$1,'ESS SUPPLY DATA'!$AO:$AO,"cosco")+SUMIFS('ESS SUPPLY DATA'!$U:$U,'ESS SUPPLY DATA'!$AF:$AF,'CT capacity tracker'!$B38,'ESS SUPPLY DATA'!$AE:$AE,'CT capacity tracker'!$A$1,'ESS SUPPLY DATA'!$W:$W,'CT capacity tracker'!V$1,'ESS SUPPLY DATA'!$AO:$AO,"other")</f>
        <v>2</v>
      </c>
      <c r="W41" s="504">
        <f>SUMIFS('PV SUPPLY DATA'!$X:$X,'PV SUPPLY DATA'!$AH:$AH,'CT capacity tracker'!$B38,'PV SUPPLY DATA'!$AG:$AG,'CT capacity tracker'!$A$1,'PV SUPPLY DATA'!$Y:$Y,W$1,'PV SUPPLY DATA'!$AQ:$AQ,"cosco")+SUMIFS('PV SUPPLY DATA'!$X:$X,'PV SUPPLY DATA'!$AH:$AH,'CT capacity tracker'!$B38,'PV SUPPLY DATA'!$AG:$AG,'CT capacity tracker'!$A$1,'PV SUPPLY DATA'!$Y:$Y,W$1,'PV SUPPLY DATA'!$AQ:$AQ,"other")+SUMIFS('ESS SUPPLY DATA'!$U:$U,'ESS SUPPLY DATA'!$AF:$AF,'CT capacity tracker'!$B38,'ESS SUPPLY DATA'!$AE:$AE,'CT capacity tracker'!$A$1,'ESS SUPPLY DATA'!$W:$W,'CT capacity tracker'!W$1,'ESS SUPPLY DATA'!$AO:$AO,"cosco")+SUMIFS('ESS SUPPLY DATA'!$U:$U,'ESS SUPPLY DATA'!$AF:$AF,'CT capacity tracker'!$B38,'ESS SUPPLY DATA'!$AE:$AE,'CT capacity tracker'!$A$1,'ESS SUPPLY DATA'!$W:$W,'CT capacity tracker'!W$1,'ESS SUPPLY DATA'!$AO:$AO,"other")</f>
        <v>1</v>
      </c>
      <c r="X41" s="504">
        <f>SUMIFS('PV SUPPLY DATA'!$X:$X,'PV SUPPLY DATA'!$AH:$AH,'CT capacity tracker'!$B38,'PV SUPPLY DATA'!$AG:$AG,'CT capacity tracker'!$A$1,'PV SUPPLY DATA'!$Y:$Y,X$1,'PV SUPPLY DATA'!$AQ:$AQ,"cosco")+SUMIFS('PV SUPPLY DATA'!$X:$X,'PV SUPPLY DATA'!$AH:$AH,'CT capacity tracker'!$B38,'PV SUPPLY DATA'!$AG:$AG,'CT capacity tracker'!$A$1,'PV SUPPLY DATA'!$Y:$Y,X$1,'PV SUPPLY DATA'!$AQ:$AQ,"other")+SUMIFS('ESS SUPPLY DATA'!$U:$U,'ESS SUPPLY DATA'!$AF:$AF,'CT capacity tracker'!$B38,'ESS SUPPLY DATA'!$AE:$AE,'CT capacity tracker'!$A$1,'ESS SUPPLY DATA'!$W:$W,'CT capacity tracker'!X$1,'ESS SUPPLY DATA'!$AO:$AO,"cosco")+SUMIFS('ESS SUPPLY DATA'!$U:$U,'ESS SUPPLY DATA'!$AF:$AF,'CT capacity tracker'!$B38,'ESS SUPPLY DATA'!$AE:$AE,'CT capacity tracker'!$A$1,'ESS SUPPLY DATA'!$W:$W,'CT capacity tracker'!X$1,'ESS SUPPLY DATA'!$AO:$AO,"other")</f>
        <v>1</v>
      </c>
      <c r="Y41" s="504">
        <f>SUMIFS('PV SUPPLY DATA'!$X:$X,'PV SUPPLY DATA'!$AH:$AH,'CT capacity tracker'!$B38,'PV SUPPLY DATA'!$AG:$AG,'CT capacity tracker'!$A$1,'PV SUPPLY DATA'!$Y:$Y,Y$1,'PV SUPPLY DATA'!$AQ:$AQ,"cosco")+SUMIFS('PV SUPPLY DATA'!$X:$X,'PV SUPPLY DATA'!$AH:$AH,'CT capacity tracker'!$B38,'PV SUPPLY DATA'!$AG:$AG,'CT capacity tracker'!$A$1,'PV SUPPLY DATA'!$Y:$Y,Y$1,'PV SUPPLY DATA'!$AQ:$AQ,"other")+SUMIFS('ESS SUPPLY DATA'!$U:$U,'ESS SUPPLY DATA'!$AF:$AF,'CT capacity tracker'!$B38,'ESS SUPPLY DATA'!$AE:$AE,'CT capacity tracker'!$A$1,'ESS SUPPLY DATA'!$W:$W,'CT capacity tracker'!Y$1,'ESS SUPPLY DATA'!$AO:$AO,"cosco")+SUMIFS('ESS SUPPLY DATA'!$U:$U,'ESS SUPPLY DATA'!$AF:$AF,'CT capacity tracker'!$B38,'ESS SUPPLY DATA'!$AE:$AE,'CT capacity tracker'!$A$1,'ESS SUPPLY DATA'!$W:$W,'CT capacity tracker'!Y$1,'ESS SUPPLY DATA'!$AO:$AO,"other")</f>
        <v>3</v>
      </c>
      <c r="Z41" s="504">
        <f>SUMIFS('PV SUPPLY DATA'!$X:$X,'PV SUPPLY DATA'!$AH:$AH,'CT capacity tracker'!$B38,'PV SUPPLY DATA'!$AG:$AG,'CT capacity tracker'!$A$1,'PV SUPPLY DATA'!$Y:$Y,Z$1,'PV SUPPLY DATA'!$AQ:$AQ,"cosco")+SUMIFS('PV SUPPLY DATA'!$X:$X,'PV SUPPLY DATA'!$AH:$AH,'CT capacity tracker'!$B38,'PV SUPPLY DATA'!$AG:$AG,'CT capacity tracker'!$A$1,'PV SUPPLY DATA'!$Y:$Y,Z$1,'PV SUPPLY DATA'!$AQ:$AQ,"other")+SUMIFS('ESS SUPPLY DATA'!$U:$U,'ESS SUPPLY DATA'!$AF:$AF,'CT capacity tracker'!$B38,'ESS SUPPLY DATA'!$AE:$AE,'CT capacity tracker'!$A$1,'ESS SUPPLY DATA'!$W:$W,'CT capacity tracker'!Z$1,'ESS SUPPLY DATA'!$AO:$AO,"cosco")+SUMIFS('ESS SUPPLY DATA'!$U:$U,'ESS SUPPLY DATA'!$AF:$AF,'CT capacity tracker'!$B38,'ESS SUPPLY DATA'!$AE:$AE,'CT capacity tracker'!$A$1,'ESS SUPPLY DATA'!$W:$W,'CT capacity tracker'!Z$1,'ESS SUPPLY DATA'!$AO:$AO,"other")</f>
        <v>1</v>
      </c>
      <c r="AA41" s="504">
        <f>SUMIFS('PV SUPPLY DATA'!$X:$X,'PV SUPPLY DATA'!$AH:$AH,'CT capacity tracker'!$B38,'PV SUPPLY DATA'!$AG:$AG,'CT capacity tracker'!$A$1,'PV SUPPLY DATA'!$Y:$Y,AA$1,'PV SUPPLY DATA'!$AQ:$AQ,"cosco")+SUMIFS('PV SUPPLY DATA'!$X:$X,'PV SUPPLY DATA'!$AH:$AH,'CT capacity tracker'!$B38,'PV SUPPLY DATA'!$AG:$AG,'CT capacity tracker'!$A$1,'PV SUPPLY DATA'!$Y:$Y,AA$1,'PV SUPPLY DATA'!$AQ:$AQ,"other")+SUMIFS('ESS SUPPLY DATA'!$U:$U,'ESS SUPPLY DATA'!$AF:$AF,'CT capacity tracker'!$B38,'ESS SUPPLY DATA'!$AE:$AE,'CT capacity tracker'!$A$1,'ESS SUPPLY DATA'!$W:$W,'CT capacity tracker'!AA$1,'ESS SUPPLY DATA'!$AO:$AO,"cosco")+SUMIFS('ESS SUPPLY DATA'!$U:$U,'ESS SUPPLY DATA'!$AF:$AF,'CT capacity tracker'!$B38,'ESS SUPPLY DATA'!$AE:$AE,'CT capacity tracker'!$A$1,'ESS SUPPLY DATA'!$W:$W,'CT capacity tracker'!AA$1,'ESS SUPPLY DATA'!$AO:$AO,"other")</f>
        <v>2</v>
      </c>
      <c r="AB41" s="504">
        <f>SUMIFS('PV SUPPLY DATA'!$X:$X,'PV SUPPLY DATA'!$AH:$AH,'CT capacity tracker'!$B38,'PV SUPPLY DATA'!$AG:$AG,'CT capacity tracker'!$A$1,'PV SUPPLY DATA'!$Y:$Y,AB$1,'PV SUPPLY DATA'!$AQ:$AQ,"cosco")+SUMIFS('PV SUPPLY DATA'!$X:$X,'PV SUPPLY DATA'!$AH:$AH,'CT capacity tracker'!$B38,'PV SUPPLY DATA'!$AG:$AG,'CT capacity tracker'!$A$1,'PV SUPPLY DATA'!$Y:$Y,AB$1,'PV SUPPLY DATA'!$AQ:$AQ,"other")+SUMIFS('ESS SUPPLY DATA'!$U:$U,'ESS SUPPLY DATA'!$AF:$AF,'CT capacity tracker'!$B38,'ESS SUPPLY DATA'!$AE:$AE,'CT capacity tracker'!$A$1,'ESS SUPPLY DATA'!$W:$W,'CT capacity tracker'!AB$1,'ESS SUPPLY DATA'!$AO:$AO,"cosco")+SUMIFS('ESS SUPPLY DATA'!$U:$U,'ESS SUPPLY DATA'!$AF:$AF,'CT capacity tracker'!$B38,'ESS SUPPLY DATA'!$AE:$AE,'CT capacity tracker'!$A$1,'ESS SUPPLY DATA'!$W:$W,'CT capacity tracker'!AB$1,'ESS SUPPLY DATA'!$AO:$AO,"other")</f>
        <v>5</v>
      </c>
      <c r="AC41" s="504">
        <f>SUMIFS('PV SUPPLY DATA'!$X:$X,'PV SUPPLY DATA'!$AH:$AH,'CT capacity tracker'!$B38,'PV SUPPLY DATA'!$AG:$AG,'CT capacity tracker'!$A$1,'PV SUPPLY DATA'!$Y:$Y,AC$1,'PV SUPPLY DATA'!$AQ:$AQ,"cosco")+SUMIFS('PV SUPPLY DATA'!$X:$X,'PV SUPPLY DATA'!$AH:$AH,'CT capacity tracker'!$B38,'PV SUPPLY DATA'!$AG:$AG,'CT capacity tracker'!$A$1,'PV SUPPLY DATA'!$Y:$Y,AC$1,'PV SUPPLY DATA'!$AQ:$AQ,"other")+SUMIFS('ESS SUPPLY DATA'!$U:$U,'ESS SUPPLY DATA'!$AF:$AF,'CT capacity tracker'!$B38,'ESS SUPPLY DATA'!$AE:$AE,'CT capacity tracker'!$A$1,'ESS SUPPLY DATA'!$W:$W,'CT capacity tracker'!AC$1,'ESS SUPPLY DATA'!$AO:$AO,"cosco")+SUMIFS('ESS SUPPLY DATA'!$U:$U,'ESS SUPPLY DATA'!$AF:$AF,'CT capacity tracker'!$B38,'ESS SUPPLY DATA'!$AE:$AE,'CT capacity tracker'!$A$1,'ESS SUPPLY DATA'!$W:$W,'CT capacity tracker'!AC$1,'ESS SUPPLY DATA'!$AO:$AO,"other")</f>
        <v>5</v>
      </c>
      <c r="AD41" s="504">
        <f>SUMIFS('PV SUPPLY DATA'!$X:$X,'PV SUPPLY DATA'!$AH:$AH,'CT capacity tracker'!$B38,'PV SUPPLY DATA'!$AG:$AG,'CT capacity tracker'!$A$1,'PV SUPPLY DATA'!$Y:$Y,AD$1,'PV SUPPLY DATA'!$AQ:$AQ,"cosco")+SUMIFS('PV SUPPLY DATA'!$X:$X,'PV SUPPLY DATA'!$AH:$AH,'CT capacity tracker'!$B38,'PV SUPPLY DATA'!$AG:$AG,'CT capacity tracker'!$A$1,'PV SUPPLY DATA'!$Y:$Y,AD$1,'PV SUPPLY DATA'!$AQ:$AQ,"other")+SUMIFS('ESS SUPPLY DATA'!$U:$U,'ESS SUPPLY DATA'!$AF:$AF,'CT capacity tracker'!$B38,'ESS SUPPLY DATA'!$AE:$AE,'CT capacity tracker'!$A$1,'ESS SUPPLY DATA'!$W:$W,'CT capacity tracker'!AD$1,'ESS SUPPLY DATA'!$AO:$AO,"cosco")+SUMIFS('ESS SUPPLY DATA'!$U:$U,'ESS SUPPLY DATA'!$AF:$AF,'CT capacity tracker'!$B38,'ESS SUPPLY DATA'!$AE:$AE,'CT capacity tracker'!$A$1,'ESS SUPPLY DATA'!$W:$W,'CT capacity tracker'!AD$1,'ESS SUPPLY DATA'!$AO:$AO,"other")</f>
        <v>9</v>
      </c>
      <c r="AE41" s="504">
        <f>SUMIFS('PV SUPPLY DATA'!$X:$X,'PV SUPPLY DATA'!$AH:$AH,'CT capacity tracker'!$B38,'PV SUPPLY DATA'!$AG:$AG,'CT capacity tracker'!$A$1,'PV SUPPLY DATA'!$Y:$Y,AE$1,'PV SUPPLY DATA'!$AQ:$AQ,"cosco")+SUMIFS('PV SUPPLY DATA'!$X:$X,'PV SUPPLY DATA'!$AH:$AH,'CT capacity tracker'!$B38,'PV SUPPLY DATA'!$AG:$AG,'CT capacity tracker'!$A$1,'PV SUPPLY DATA'!$Y:$Y,AE$1,'PV SUPPLY DATA'!$AQ:$AQ,"other")+SUMIFS('ESS SUPPLY DATA'!$U:$U,'ESS SUPPLY DATA'!$AF:$AF,'CT capacity tracker'!$B38,'ESS SUPPLY DATA'!$AE:$AE,'CT capacity tracker'!$A$1,'ESS SUPPLY DATA'!$W:$W,'CT capacity tracker'!AE$1,'ESS SUPPLY DATA'!$AO:$AO,"cosco")+SUMIFS('ESS SUPPLY DATA'!$U:$U,'ESS SUPPLY DATA'!$AF:$AF,'CT capacity tracker'!$B38,'ESS SUPPLY DATA'!$AE:$AE,'CT capacity tracker'!$A$1,'ESS SUPPLY DATA'!$W:$W,'CT capacity tracker'!AE$1,'ESS SUPPLY DATA'!$AO:$AO,"other")</f>
        <v>0</v>
      </c>
      <c r="AF41" s="504">
        <f>SUMIFS('PV SUPPLY DATA'!$X:$X,'PV SUPPLY DATA'!$AH:$AH,'CT capacity tracker'!$B38,'PV SUPPLY DATA'!$AG:$AG,'CT capacity tracker'!$A$1,'PV SUPPLY DATA'!$Y:$Y,AF$1,'PV SUPPLY DATA'!$AQ:$AQ,"cosco")+SUMIFS('PV SUPPLY DATA'!$X:$X,'PV SUPPLY DATA'!$AH:$AH,'CT capacity tracker'!$B38,'PV SUPPLY DATA'!$AG:$AG,'CT capacity tracker'!$A$1,'PV SUPPLY DATA'!$Y:$Y,AF$1,'PV SUPPLY DATA'!$AQ:$AQ,"other")+SUMIFS('ESS SUPPLY DATA'!$U:$U,'ESS SUPPLY DATA'!$AF:$AF,'CT capacity tracker'!$B38,'ESS SUPPLY DATA'!$AE:$AE,'CT capacity tracker'!$A$1,'ESS SUPPLY DATA'!$W:$W,'CT capacity tracker'!AF$1,'ESS SUPPLY DATA'!$AO:$AO,"cosco")+SUMIFS('ESS SUPPLY DATA'!$U:$U,'ESS SUPPLY DATA'!$AF:$AF,'CT capacity tracker'!$B38,'ESS SUPPLY DATA'!$AE:$AE,'CT capacity tracker'!$A$1,'ESS SUPPLY DATA'!$W:$W,'CT capacity tracker'!AF$1,'ESS SUPPLY DATA'!$AO:$AO,"other")</f>
        <v>0</v>
      </c>
      <c r="AG41" s="504">
        <f>SUMIFS('PV SUPPLY DATA'!$X:$X,'PV SUPPLY DATA'!$AH:$AH,'CT capacity tracker'!$B38,'PV SUPPLY DATA'!$AG:$AG,'CT capacity tracker'!$A$1,'PV SUPPLY DATA'!$Y:$Y,AG$1,'PV SUPPLY DATA'!$AQ:$AQ,"cosco")+SUMIFS('PV SUPPLY DATA'!$X:$X,'PV SUPPLY DATA'!$AH:$AH,'CT capacity tracker'!$B38,'PV SUPPLY DATA'!$AG:$AG,'CT capacity tracker'!$A$1,'PV SUPPLY DATA'!$Y:$Y,AG$1,'PV SUPPLY DATA'!$AQ:$AQ,"other")+SUMIFS('ESS SUPPLY DATA'!$U:$U,'ESS SUPPLY DATA'!$AF:$AF,'CT capacity tracker'!$B38,'ESS SUPPLY DATA'!$AE:$AE,'CT capacity tracker'!$A$1,'ESS SUPPLY DATA'!$W:$W,'CT capacity tracker'!AG$1,'ESS SUPPLY DATA'!$AO:$AO,"cosco")+SUMIFS('ESS SUPPLY DATA'!$U:$U,'ESS SUPPLY DATA'!$AF:$AF,'CT capacity tracker'!$B38,'ESS SUPPLY DATA'!$AE:$AE,'CT capacity tracker'!$A$1,'ESS SUPPLY DATA'!$W:$W,'CT capacity tracker'!AG$1,'ESS SUPPLY DATA'!$AO:$AO,"other")</f>
        <v>0</v>
      </c>
      <c r="AH41" s="504">
        <f>SUMIFS('PV SUPPLY DATA'!$X:$X,'PV SUPPLY DATA'!$AH:$AH,'CT capacity tracker'!$B38,'PV SUPPLY DATA'!$AG:$AG,'CT capacity tracker'!$A$1,'PV SUPPLY DATA'!$Y:$Y,AH$1,'PV SUPPLY DATA'!$AQ:$AQ,"cosco")+SUMIFS('PV SUPPLY DATA'!$X:$X,'PV SUPPLY DATA'!$AH:$AH,'CT capacity tracker'!$B38,'PV SUPPLY DATA'!$AG:$AG,'CT capacity tracker'!$A$1,'PV SUPPLY DATA'!$Y:$Y,AH$1,'PV SUPPLY DATA'!$AQ:$AQ,"other")+SUMIFS('ESS SUPPLY DATA'!$U:$U,'ESS SUPPLY DATA'!$AF:$AF,'CT capacity tracker'!$B38,'ESS SUPPLY DATA'!$AE:$AE,'CT capacity tracker'!$A$1,'ESS SUPPLY DATA'!$W:$W,'CT capacity tracker'!AH$1,'ESS SUPPLY DATA'!$AO:$AO,"cosco")+SUMIFS('ESS SUPPLY DATA'!$U:$U,'ESS SUPPLY DATA'!$AF:$AF,'CT capacity tracker'!$B38,'ESS SUPPLY DATA'!$AE:$AE,'CT capacity tracker'!$A$1,'ESS SUPPLY DATA'!$W:$W,'CT capacity tracker'!AH$1,'ESS SUPPLY DATA'!$AO:$AO,"other")</f>
        <v>0</v>
      </c>
      <c r="AI41" s="504">
        <f>SUMIFS('PV SUPPLY DATA'!$X:$X,'PV SUPPLY DATA'!$AH:$AH,'CT capacity tracker'!$B38,'PV SUPPLY DATA'!$AG:$AG,'CT capacity tracker'!$A$1,'PV SUPPLY DATA'!$Y:$Y,AI$1,'PV SUPPLY DATA'!$AQ:$AQ,"cosco")+SUMIFS('PV SUPPLY DATA'!$X:$X,'PV SUPPLY DATA'!$AH:$AH,'CT capacity tracker'!$B38,'PV SUPPLY DATA'!$AG:$AG,'CT capacity tracker'!$A$1,'PV SUPPLY DATA'!$Y:$Y,AI$1,'PV SUPPLY DATA'!$AQ:$AQ,"other")+SUMIFS('ESS SUPPLY DATA'!$U:$U,'ESS SUPPLY DATA'!$AF:$AF,'CT capacity tracker'!$B38,'ESS SUPPLY DATA'!$AE:$AE,'CT capacity tracker'!$A$1,'ESS SUPPLY DATA'!$W:$W,'CT capacity tracker'!AI$1,'ESS SUPPLY DATA'!$AO:$AO,"cosco")+SUMIFS('ESS SUPPLY DATA'!$U:$U,'ESS SUPPLY DATA'!$AF:$AF,'CT capacity tracker'!$B38,'ESS SUPPLY DATA'!$AE:$AE,'CT capacity tracker'!$A$1,'ESS SUPPLY DATA'!$W:$W,'CT capacity tracker'!AI$1,'ESS SUPPLY DATA'!$AO:$AO,"other")</f>
        <v>0</v>
      </c>
      <c r="AJ41" s="504">
        <f>SUMIFS('PV SUPPLY DATA'!$X:$X,'PV SUPPLY DATA'!$AH:$AH,'CT capacity tracker'!$B38,'PV SUPPLY DATA'!$AG:$AG,'CT capacity tracker'!$A$1,'PV SUPPLY DATA'!$Y:$Y,AJ$1,'PV SUPPLY DATA'!$AQ:$AQ,"cosco")+SUMIFS('PV SUPPLY DATA'!$X:$X,'PV SUPPLY DATA'!$AH:$AH,'CT capacity tracker'!$B38,'PV SUPPLY DATA'!$AG:$AG,'CT capacity tracker'!$A$1,'PV SUPPLY DATA'!$Y:$Y,AJ$1,'PV SUPPLY DATA'!$AQ:$AQ,"other")+SUMIFS('ESS SUPPLY DATA'!$U:$U,'ESS SUPPLY DATA'!$AF:$AF,'CT capacity tracker'!$B38,'ESS SUPPLY DATA'!$AE:$AE,'CT capacity tracker'!$A$1,'ESS SUPPLY DATA'!$W:$W,'CT capacity tracker'!AJ$1,'ESS SUPPLY DATA'!$AO:$AO,"cosco")+SUMIFS('ESS SUPPLY DATA'!$U:$U,'ESS SUPPLY DATA'!$AF:$AF,'CT capacity tracker'!$B38,'ESS SUPPLY DATA'!$AE:$AE,'CT capacity tracker'!$A$1,'ESS SUPPLY DATA'!$W:$W,'CT capacity tracker'!AJ$1,'ESS SUPPLY DATA'!$AO:$AO,"other")</f>
        <v>0</v>
      </c>
      <c r="AK41" s="511"/>
      <c r="AL41" s="511"/>
      <c r="AM41" s="696">
        <f>SUM(E41:X41)</f>
        <v>38.06818181818182</v>
      </c>
      <c r="AN41" s="503"/>
      <c r="AO41" s="506"/>
      <c r="AP41" s="506"/>
      <c r="AQ41" s="506"/>
      <c r="AR41" s="506"/>
      <c r="AS41" s="506"/>
      <c r="AT41" s="506"/>
    </row>
    <row r="42" spans="1:46" ht="13">
      <c r="A42" s="1517"/>
      <c r="B42" s="1516" t="s">
        <v>4405</v>
      </c>
      <c r="C42" s="503" t="s">
        <v>4400</v>
      </c>
      <c r="D42" s="504">
        <f>SUMIFS('PV SUPPLY DATA'!$X:$X,'PV SUPPLY DATA'!$AH:$AH,'CT capacity tracker'!$B42,'PV SUPPLY DATA'!$AG:$AG,'CT capacity tracker'!$A$1,'PV SUPPLY DATA'!$Z:$Z,'CT capacity tracker'!D$1)+SUMIFS('ESS SUPPLY DATA'!$U:$U,'ESS SUPPLY DATA'!$AF:$AF,'CT capacity tracker'!$B42,'ESS SUPPLY DATA'!$AE:$AE,'CT capacity tracker'!$A$1,'ESS SUPPLY DATA'!$X:$X,'CT capacity tracker'!D$1)</f>
        <v>55</v>
      </c>
      <c r="E42" s="504">
        <f>SUMIFS('PV SUPPLY DATA'!$X:$X,'PV SUPPLY DATA'!$AH:$AH,'CT capacity tracker'!$B42,'PV SUPPLY DATA'!$AG:$AG,'CT capacity tracker'!$A$1,'PV SUPPLY DATA'!$Y:$Y,'CT capacity tracker'!E$1)+SUMIFS('ESS SUPPLY DATA'!$U:$U,'ESS SUPPLY DATA'!$AF:$AF,'CT capacity tracker'!$B42,'ESS SUPPLY DATA'!$AE:$AE,'CT capacity tracker'!$A$1,'ESS SUPPLY DATA'!$W:$W,'CT capacity tracker'!E$1)</f>
        <v>0</v>
      </c>
      <c r="F42" s="504">
        <f>SUMIFS('PV SUPPLY DATA'!$X:$X,'PV SUPPLY DATA'!$AH:$AH,'CT capacity tracker'!$B42,'PV SUPPLY DATA'!$AG:$AG,'CT capacity tracker'!$A$1,'PV SUPPLY DATA'!$Y:$Y,'CT capacity tracker'!F$1)+SUMIFS('ESS SUPPLY DATA'!$U:$U,'ESS SUPPLY DATA'!$AF:$AF,'CT capacity tracker'!$B42,'ESS SUPPLY DATA'!$AE:$AE,'CT capacity tracker'!$A$1,'ESS SUPPLY DATA'!$W:$W,'CT capacity tracker'!F$1)</f>
        <v>0</v>
      </c>
      <c r="G42" s="504">
        <f>SUMIFS('PV SUPPLY DATA'!$X:$X,'PV SUPPLY DATA'!$AH:$AH,'CT capacity tracker'!$B42,'PV SUPPLY DATA'!$AG:$AG,'CT capacity tracker'!$A$1,'PV SUPPLY DATA'!$Y:$Y,'CT capacity tracker'!G$1)+SUMIFS('ESS SUPPLY DATA'!$U:$U,'ESS SUPPLY DATA'!$AF:$AF,'CT capacity tracker'!$B42,'ESS SUPPLY DATA'!$AE:$AE,'CT capacity tracker'!$A$1,'ESS SUPPLY DATA'!$W:$W,'CT capacity tracker'!G$1)</f>
        <v>0</v>
      </c>
      <c r="H42" s="504">
        <f>SUMIFS('PV SUPPLY DATA'!$X:$X,'PV SUPPLY DATA'!$AH:$AH,'CT capacity tracker'!$B42,'PV SUPPLY DATA'!$AG:$AG,'CT capacity tracker'!$A$1,'PV SUPPLY DATA'!$Y:$Y,'CT capacity tracker'!H$1)+SUMIFS('ESS SUPPLY DATA'!$U:$U,'ESS SUPPLY DATA'!$AF:$AF,'CT capacity tracker'!$B42,'ESS SUPPLY DATA'!$AE:$AE,'CT capacity tracker'!$A$1,'ESS SUPPLY DATA'!$W:$W,'CT capacity tracker'!H$1)</f>
        <v>0</v>
      </c>
      <c r="I42" s="504">
        <f>SUMIFS('PV SUPPLY DATA'!$X:$X,'PV SUPPLY DATA'!$AH:$AH,'CT capacity tracker'!$B42,'PV SUPPLY DATA'!$AG:$AG,'CT capacity tracker'!$A$1,'PV SUPPLY DATA'!$Y:$Y,'CT capacity tracker'!I$1)+SUMIFS('ESS SUPPLY DATA'!$U:$U,'ESS SUPPLY DATA'!$AF:$AF,'CT capacity tracker'!$B42,'ESS SUPPLY DATA'!$AE:$AE,'CT capacity tracker'!$A$1,'ESS SUPPLY DATA'!$W:$W,'CT capacity tracker'!I$1)</f>
        <v>0</v>
      </c>
      <c r="J42" s="504">
        <f>SUMIFS('PV SUPPLY DATA'!$X:$X,'PV SUPPLY DATA'!$AH:$AH,'CT capacity tracker'!$B42,'PV SUPPLY DATA'!$AG:$AG,'CT capacity tracker'!$A$1,'PV SUPPLY DATA'!$Y:$Y,'CT capacity tracker'!J$1)+SUMIFS('ESS SUPPLY DATA'!$U:$U,'ESS SUPPLY DATA'!$AF:$AF,'CT capacity tracker'!$B42,'ESS SUPPLY DATA'!$AE:$AE,'CT capacity tracker'!$A$1,'ESS SUPPLY DATA'!$W:$W,'CT capacity tracker'!J$1)</f>
        <v>0</v>
      </c>
      <c r="K42" s="504">
        <f>SUMIFS('PV SUPPLY DATA'!$X:$X,'PV SUPPLY DATA'!$AH:$AH,'CT capacity tracker'!$B42,'PV SUPPLY DATA'!$AG:$AG,'CT capacity tracker'!$A$1,'PV SUPPLY DATA'!$Y:$Y,'CT capacity tracker'!K$1)+SUMIFS('ESS SUPPLY DATA'!$U:$U,'ESS SUPPLY DATA'!$AF:$AF,'CT capacity tracker'!$B42,'ESS SUPPLY DATA'!$AE:$AE,'CT capacity tracker'!$A$1,'ESS SUPPLY DATA'!$W:$W,'CT capacity tracker'!K$1)</f>
        <v>0</v>
      </c>
      <c r="L42" s="504">
        <f>SUMIFS('PV SUPPLY DATA'!$X:$X,'PV SUPPLY DATA'!$AH:$AH,'CT capacity tracker'!$B42,'PV SUPPLY DATA'!$AG:$AG,'CT capacity tracker'!$A$1,'PV SUPPLY DATA'!$Y:$Y,'CT capacity tracker'!L$1)+SUMIFS('ESS SUPPLY DATA'!$U:$U,'ESS SUPPLY DATA'!$AF:$AF,'CT capacity tracker'!$B42,'ESS SUPPLY DATA'!$AE:$AE,'CT capacity tracker'!$A$1,'ESS SUPPLY DATA'!$W:$W,'CT capacity tracker'!L$1)</f>
        <v>0</v>
      </c>
      <c r="M42" s="504">
        <f>SUMIFS('PV SUPPLY DATA'!$X:$X,'PV SUPPLY DATA'!$AH:$AH,'CT capacity tracker'!$B42,'PV SUPPLY DATA'!$AG:$AG,'CT capacity tracker'!$A$1,'PV SUPPLY DATA'!$Y:$Y,'CT capacity tracker'!M$1)+SUMIFS('ESS SUPPLY DATA'!$U:$U,'ESS SUPPLY DATA'!$AF:$AF,'CT capacity tracker'!$B42,'ESS SUPPLY DATA'!$AE:$AE,'CT capacity tracker'!$A$1,'ESS SUPPLY DATA'!$W:$W,'CT capacity tracker'!M$1)</f>
        <v>0</v>
      </c>
      <c r="N42" s="504">
        <f>SUMIFS('PV SUPPLY DATA'!$X:$X,'PV SUPPLY DATA'!$AH:$AH,'CT capacity tracker'!$B42,'PV SUPPLY DATA'!$AG:$AG,'CT capacity tracker'!$A$1,'PV SUPPLY DATA'!$Y:$Y,'CT capacity tracker'!N$1)+SUMIFS('ESS SUPPLY DATA'!$U:$U,'ESS SUPPLY DATA'!$AF:$AF,'CT capacity tracker'!$B42,'ESS SUPPLY DATA'!$AE:$AE,'CT capacity tracker'!$A$1,'ESS SUPPLY DATA'!$W:$W,'CT capacity tracker'!N$1)</f>
        <v>0</v>
      </c>
      <c r="O42" s="504">
        <f>SUMIFS('PV SUPPLY DATA'!$X:$X,'PV SUPPLY DATA'!$AH:$AH,'CT capacity tracker'!$B42,'PV SUPPLY DATA'!$AG:$AG,'CT capacity tracker'!$A$1,'PV SUPPLY DATA'!$Y:$Y,'CT capacity tracker'!O$1)+SUMIFS('ESS SUPPLY DATA'!$U:$U,'ESS SUPPLY DATA'!$AF:$AF,'CT capacity tracker'!$B42,'ESS SUPPLY DATA'!$AE:$AE,'CT capacity tracker'!$A$1,'ESS SUPPLY DATA'!$W:$W,'CT capacity tracker'!O$1)</f>
        <v>0</v>
      </c>
      <c r="P42" s="504">
        <f>SUMIFS('PV SUPPLY DATA'!$X:$X,'PV SUPPLY DATA'!$AH:$AH,'CT capacity tracker'!$B42,'PV SUPPLY DATA'!$AG:$AG,'CT capacity tracker'!$A$1,'PV SUPPLY DATA'!$Y:$Y,'CT capacity tracker'!P$1)+SUMIFS('ESS SUPPLY DATA'!$U:$U,'ESS SUPPLY DATA'!$AF:$AF,'CT capacity tracker'!$B42,'ESS SUPPLY DATA'!$AE:$AE,'CT capacity tracker'!$A$1,'ESS SUPPLY DATA'!$W:$W,'CT capacity tracker'!P$1)</f>
        <v>0</v>
      </c>
      <c r="Q42" s="504">
        <f>SUMIFS('PV SUPPLY DATA'!$X:$X,'PV SUPPLY DATA'!$AH:$AH,'CT capacity tracker'!$B42,'PV SUPPLY DATA'!$AG:$AG,'CT capacity tracker'!$A$1,'PV SUPPLY DATA'!$Y:$Y,'CT capacity tracker'!Q$1)+SUMIFS('ESS SUPPLY DATA'!$U:$U,'ESS SUPPLY DATA'!$AF:$AF,'CT capacity tracker'!$B42,'ESS SUPPLY DATA'!$AE:$AE,'CT capacity tracker'!$A$1,'ESS SUPPLY DATA'!$W:$W,'CT capacity tracker'!Q$1)</f>
        <v>0</v>
      </c>
      <c r="R42" s="504">
        <f>SUMIFS('PV SUPPLY DATA'!$X:$X,'PV SUPPLY DATA'!$AH:$AH,'CT capacity tracker'!$B42,'PV SUPPLY DATA'!$AG:$AG,'CT capacity tracker'!$A$1,'PV SUPPLY DATA'!$Y:$Y,'CT capacity tracker'!R$1)+SUMIFS('ESS SUPPLY DATA'!$U:$U,'ESS SUPPLY DATA'!$AF:$AF,'CT capacity tracker'!$B42,'ESS SUPPLY DATA'!$AE:$AE,'CT capacity tracker'!$A$1,'ESS SUPPLY DATA'!$W:$W,'CT capacity tracker'!R$1)</f>
        <v>0</v>
      </c>
      <c r="S42" s="504">
        <f>SUMIFS('PV SUPPLY DATA'!$X:$X,'PV SUPPLY DATA'!$AH:$AH,'CT capacity tracker'!$B42,'PV SUPPLY DATA'!$AG:$AG,'CT capacity tracker'!$A$1,'PV SUPPLY DATA'!$Y:$Y,'CT capacity tracker'!S$1)+SUMIFS('ESS SUPPLY DATA'!$U:$U,'ESS SUPPLY DATA'!$AF:$AF,'CT capacity tracker'!$B42,'ESS SUPPLY DATA'!$AE:$AE,'CT capacity tracker'!$A$1,'ESS SUPPLY DATA'!$W:$W,'CT capacity tracker'!S$1)</f>
        <v>11</v>
      </c>
      <c r="T42" s="504">
        <f>SUMIFS('PV SUPPLY DATA'!$X:$X,'PV SUPPLY DATA'!$AH:$AH,'CT capacity tracker'!$B42,'PV SUPPLY DATA'!$AG:$AG,'CT capacity tracker'!$A$1,'PV SUPPLY DATA'!$Y:$Y,'CT capacity tracker'!T$1)+SUMIFS('ESS SUPPLY DATA'!$U:$U,'ESS SUPPLY DATA'!$AF:$AF,'CT capacity tracker'!$B42,'ESS SUPPLY DATA'!$AE:$AE,'CT capacity tracker'!$A$1,'ESS SUPPLY DATA'!$W:$W,'CT capacity tracker'!T$1)</f>
        <v>8</v>
      </c>
      <c r="U42" s="504">
        <f>SUMIFS('PV SUPPLY DATA'!$X:$X,'PV SUPPLY DATA'!$AH:$AH,'CT capacity tracker'!$B42,'PV SUPPLY DATA'!$AG:$AG,'CT capacity tracker'!$A$1,'PV SUPPLY DATA'!$Y:$Y,'CT capacity tracker'!U$1)+SUMIFS('ESS SUPPLY DATA'!$U:$U,'ESS SUPPLY DATA'!$AF:$AF,'CT capacity tracker'!$B42,'ESS SUPPLY DATA'!$AE:$AE,'CT capacity tracker'!$A$1,'ESS SUPPLY DATA'!$W:$W,'CT capacity tracker'!U$1)</f>
        <v>14</v>
      </c>
      <c r="V42" s="504">
        <f>SUMIFS('PV SUPPLY DATA'!$X:$X,'PV SUPPLY DATA'!$AH:$AH,'CT capacity tracker'!$B42,'PV SUPPLY DATA'!$AG:$AG,'CT capacity tracker'!$A$1,'PV SUPPLY DATA'!$Y:$Y,'CT capacity tracker'!V$1)+SUMIFS('ESS SUPPLY DATA'!$U:$U,'ESS SUPPLY DATA'!$AF:$AF,'CT capacity tracker'!$B42,'ESS SUPPLY DATA'!$AE:$AE,'CT capacity tracker'!$A$1,'ESS SUPPLY DATA'!$W:$W,'CT capacity tracker'!V$1)</f>
        <v>22</v>
      </c>
      <c r="W42" s="504">
        <f>SUMIFS('PV SUPPLY DATA'!$X:$X,'PV SUPPLY DATA'!$AH:$AH,'CT capacity tracker'!$B42,'PV SUPPLY DATA'!$AG:$AG,'CT capacity tracker'!$A$1,'PV SUPPLY DATA'!$Y:$Y,'CT capacity tracker'!W$1)+SUMIFS('ESS SUPPLY DATA'!$U:$U,'ESS SUPPLY DATA'!$AF:$AF,'CT capacity tracker'!$B42,'ESS SUPPLY DATA'!$AE:$AE,'CT capacity tracker'!$A$1,'ESS SUPPLY DATA'!$W:$W,'CT capacity tracker'!W$1)</f>
        <v>0</v>
      </c>
      <c r="X42" s="504">
        <f>SUMIFS('PV SUPPLY DATA'!$X:$X,'PV SUPPLY DATA'!$AH:$AH,'CT capacity tracker'!$B42,'PV SUPPLY DATA'!$AG:$AG,'CT capacity tracker'!$A$1,'PV SUPPLY DATA'!$Y:$Y,'CT capacity tracker'!X$1)+SUMIFS('ESS SUPPLY DATA'!$U:$U,'ESS SUPPLY DATA'!$AF:$AF,'CT capacity tracker'!$B42,'ESS SUPPLY DATA'!$AE:$AE,'CT capacity tracker'!$A$1,'ESS SUPPLY DATA'!$W:$W,'CT capacity tracker'!X$1)</f>
        <v>0</v>
      </c>
      <c r="Y42" s="504">
        <f>SUMIFS('PV SUPPLY DATA'!$X:$X,'PV SUPPLY DATA'!$AH:$AH,'CT capacity tracker'!$B42,'PV SUPPLY DATA'!$AG:$AG,'CT capacity tracker'!$A$1,'PV SUPPLY DATA'!$Y:$Y,'CT capacity tracker'!Y$1)+SUMIFS('ESS SUPPLY DATA'!$U:$U,'ESS SUPPLY DATA'!$AF:$AF,'CT capacity tracker'!$B42,'ESS SUPPLY DATA'!$AE:$AE,'CT capacity tracker'!$A$1,'ESS SUPPLY DATA'!$W:$W,'CT capacity tracker'!Y$1)</f>
        <v>0</v>
      </c>
      <c r="Z42" s="504">
        <f>SUMIFS('PV SUPPLY DATA'!$X:$X,'PV SUPPLY DATA'!$AH:$AH,'CT capacity tracker'!$B42,'PV SUPPLY DATA'!$AG:$AG,'CT capacity tracker'!$A$1,'PV SUPPLY DATA'!$Y:$Y,'CT capacity tracker'!Z$1)+SUMIFS('ESS SUPPLY DATA'!$U:$U,'ESS SUPPLY DATA'!$AF:$AF,'CT capacity tracker'!$B42,'ESS SUPPLY DATA'!$AE:$AE,'CT capacity tracker'!$A$1,'ESS SUPPLY DATA'!$W:$W,'CT capacity tracker'!Z$1)</f>
        <v>0</v>
      </c>
      <c r="AA42" s="504">
        <f>SUMIFS('PV SUPPLY DATA'!$X:$X,'PV SUPPLY DATA'!$AH:$AH,'CT capacity tracker'!$B42,'PV SUPPLY DATA'!$AG:$AG,'CT capacity tracker'!$A$1,'PV SUPPLY DATA'!$Y:$Y,'CT capacity tracker'!AA$1)+SUMIFS('ESS SUPPLY DATA'!$U:$U,'ESS SUPPLY DATA'!$AF:$AF,'CT capacity tracker'!$B42,'ESS SUPPLY DATA'!$AE:$AE,'CT capacity tracker'!$A$1,'ESS SUPPLY DATA'!$W:$W,'CT capacity tracker'!AA$1)</f>
        <v>0</v>
      </c>
      <c r="AB42" s="504">
        <f>SUMIFS('PV SUPPLY DATA'!$X:$X,'PV SUPPLY DATA'!$AH:$AH,'CT capacity tracker'!$B42,'PV SUPPLY DATA'!$AG:$AG,'CT capacity tracker'!$A$1,'PV SUPPLY DATA'!$Y:$Y,'CT capacity tracker'!AB$1)+SUMIFS('ESS SUPPLY DATA'!$U:$U,'ESS SUPPLY DATA'!$AF:$AF,'CT capacity tracker'!$B42,'ESS SUPPLY DATA'!$AE:$AE,'CT capacity tracker'!$A$1,'ESS SUPPLY DATA'!$W:$W,'CT capacity tracker'!AB$1)</f>
        <v>0</v>
      </c>
      <c r="AC42" s="504">
        <f>SUMIFS('PV SUPPLY DATA'!$X:$X,'PV SUPPLY DATA'!$AH:$AH,'CT capacity tracker'!$B42,'PV SUPPLY DATA'!$AG:$AG,'CT capacity tracker'!$A$1,'PV SUPPLY DATA'!$Y:$Y,'CT capacity tracker'!AC$1)+SUMIFS('ESS SUPPLY DATA'!$U:$U,'ESS SUPPLY DATA'!$AF:$AF,'CT capacity tracker'!$B42,'ESS SUPPLY DATA'!$AE:$AE,'CT capacity tracker'!$A$1,'ESS SUPPLY DATA'!$W:$W,'CT capacity tracker'!AC$1)</f>
        <v>0</v>
      </c>
      <c r="AD42" s="504">
        <f>SUMIFS('PV SUPPLY DATA'!$X:$X,'PV SUPPLY DATA'!$AH:$AH,'CT capacity tracker'!$B42,'PV SUPPLY DATA'!$AG:$AG,'CT capacity tracker'!$A$1,'PV SUPPLY DATA'!$Y:$Y,'CT capacity tracker'!AD$1)+SUMIFS('ESS SUPPLY DATA'!$U:$U,'ESS SUPPLY DATA'!$AF:$AF,'CT capacity tracker'!$B42,'ESS SUPPLY DATA'!$AE:$AE,'CT capacity tracker'!$A$1,'ESS SUPPLY DATA'!$W:$W,'CT capacity tracker'!AD$1)</f>
        <v>0</v>
      </c>
      <c r="AE42" s="504">
        <f>SUMIFS('PV SUPPLY DATA'!$X:$X,'PV SUPPLY DATA'!$AH:$AH,'CT capacity tracker'!$B42,'PV SUPPLY DATA'!$AG:$AG,'CT capacity tracker'!$A$1,'PV SUPPLY DATA'!$Y:$Y,'CT capacity tracker'!AE$1)+SUMIFS('ESS SUPPLY DATA'!$U:$U,'ESS SUPPLY DATA'!$AF:$AF,'CT capacity tracker'!$B42,'ESS SUPPLY DATA'!$AE:$AE,'CT capacity tracker'!$A$1,'ESS SUPPLY DATA'!$W:$W,'CT capacity tracker'!AE$1)</f>
        <v>0</v>
      </c>
      <c r="AF42" s="504">
        <f>SUMIFS('PV SUPPLY DATA'!$X:$X,'PV SUPPLY DATA'!$AH:$AH,'CT capacity tracker'!$B42,'PV SUPPLY DATA'!$AG:$AG,'CT capacity tracker'!$A$1,'PV SUPPLY DATA'!$Y:$Y,'CT capacity tracker'!AF$1)+SUMIFS('ESS SUPPLY DATA'!$U:$U,'ESS SUPPLY DATA'!$AF:$AF,'CT capacity tracker'!$B42,'ESS SUPPLY DATA'!$AE:$AE,'CT capacity tracker'!$A$1,'ESS SUPPLY DATA'!$W:$W,'CT capacity tracker'!AF$1)</f>
        <v>0</v>
      </c>
      <c r="AG42" s="504">
        <f>SUMIFS('PV SUPPLY DATA'!$X:$X,'PV SUPPLY DATA'!$AH:$AH,'CT capacity tracker'!$B42,'PV SUPPLY DATA'!$AG:$AG,'CT capacity tracker'!$A$1,'PV SUPPLY DATA'!$Y:$Y,'CT capacity tracker'!AG$1)+SUMIFS('ESS SUPPLY DATA'!$U:$U,'ESS SUPPLY DATA'!$AF:$AF,'CT capacity tracker'!$B42,'ESS SUPPLY DATA'!$AE:$AE,'CT capacity tracker'!$A$1,'ESS SUPPLY DATA'!$W:$W,'CT capacity tracker'!AG$1)</f>
        <v>0</v>
      </c>
      <c r="AH42" s="504">
        <f>SUMIFS('PV SUPPLY DATA'!$X:$X,'PV SUPPLY DATA'!$AH:$AH,'CT capacity tracker'!$B42,'PV SUPPLY DATA'!$AG:$AG,'CT capacity tracker'!$A$1,'PV SUPPLY DATA'!$Y:$Y,'CT capacity tracker'!AH$1)+SUMIFS('ESS SUPPLY DATA'!$U:$U,'ESS SUPPLY DATA'!$AF:$AF,'CT capacity tracker'!$B42,'ESS SUPPLY DATA'!$AE:$AE,'CT capacity tracker'!$A$1,'ESS SUPPLY DATA'!$W:$W,'CT capacity tracker'!AH$1)</f>
        <v>0</v>
      </c>
      <c r="AI42" s="504">
        <f>SUMIFS('PV SUPPLY DATA'!$X:$X,'PV SUPPLY DATA'!$AH:$AH,'CT capacity tracker'!$B42,'PV SUPPLY DATA'!$AG:$AG,'CT capacity tracker'!$A$1,'PV SUPPLY DATA'!$Y:$Y,'CT capacity tracker'!AI$1)+SUMIFS('ESS SUPPLY DATA'!$U:$U,'ESS SUPPLY DATA'!$AF:$AF,'CT capacity tracker'!$B42,'ESS SUPPLY DATA'!$AE:$AE,'CT capacity tracker'!$A$1,'ESS SUPPLY DATA'!$W:$W,'CT capacity tracker'!AI$1)</f>
        <v>0</v>
      </c>
      <c r="AJ42" s="504">
        <f>SUMIFS('PV SUPPLY DATA'!$X:$X,'PV SUPPLY DATA'!$AH:$AH,'CT capacity tracker'!$B42,'PV SUPPLY DATA'!$AG:$AG,'CT capacity tracker'!$A$1,'PV SUPPLY DATA'!$Y:$Y,'CT capacity tracker'!AJ$1)+SUMIFS('ESS SUPPLY DATA'!$U:$U,'ESS SUPPLY DATA'!$AF:$AF,'CT capacity tracker'!$B42,'ESS SUPPLY DATA'!$AE:$AE,'CT capacity tracker'!$A$1,'ESS SUPPLY DATA'!$W:$W,'CT capacity tracker'!AJ$1)</f>
        <v>0</v>
      </c>
      <c r="AK42" s="505" t="s">
        <v>197</v>
      </c>
      <c r="AL42" s="505" t="s">
        <v>197</v>
      </c>
      <c r="AM42" s="696">
        <f>SUM(E42:X42)</f>
        <v>55</v>
      </c>
      <c r="AN42" s="503" t="s">
        <v>197</v>
      </c>
      <c r="AO42" s="506"/>
      <c r="AP42" s="506">
        <f>SUM(G42:J42)</f>
        <v>0</v>
      </c>
      <c r="AQ42" s="506"/>
      <c r="AR42" s="506"/>
      <c r="AS42" s="506"/>
      <c r="AT42" s="506"/>
    </row>
    <row r="43" spans="1:46" ht="13">
      <c r="A43" s="1517"/>
      <c r="B43" s="1517"/>
      <c r="C43" s="509" t="s">
        <v>4401</v>
      </c>
      <c r="D43" s="509"/>
      <c r="E43" s="510"/>
      <c r="F43" s="510"/>
      <c r="G43" s="510"/>
      <c r="H43" s="510"/>
      <c r="I43" s="510"/>
      <c r="J43" s="510"/>
      <c r="K43" s="510"/>
      <c r="L43" s="510"/>
      <c r="M43" s="510"/>
      <c r="N43" s="510"/>
      <c r="O43" s="510"/>
      <c r="P43" s="510"/>
      <c r="Q43" s="510"/>
      <c r="R43" s="510"/>
      <c r="S43" s="510"/>
      <c r="T43" s="510">
        <v>8</v>
      </c>
      <c r="U43" s="510">
        <v>14</v>
      </c>
      <c r="V43" s="510">
        <v>22</v>
      </c>
      <c r="W43" s="510"/>
      <c r="X43" s="510"/>
      <c r="Y43" s="510"/>
      <c r="Z43" s="510"/>
      <c r="AA43" s="510"/>
      <c r="AB43" s="510"/>
      <c r="AC43" s="510"/>
      <c r="AD43" s="510"/>
      <c r="AE43" s="510"/>
      <c r="AF43" s="510"/>
      <c r="AG43" s="510"/>
      <c r="AH43" s="510"/>
      <c r="AI43" s="510"/>
      <c r="AJ43" s="510"/>
      <c r="AK43" s="505" t="s">
        <v>197</v>
      </c>
      <c r="AL43" s="505" t="s">
        <v>197</v>
      </c>
      <c r="AM43" s="696"/>
      <c r="AN43" s="503" t="s">
        <v>197</v>
      </c>
      <c r="AO43" s="506"/>
      <c r="AP43" s="506">
        <f>SUM(G43:J43)</f>
        <v>0</v>
      </c>
      <c r="AQ43" s="506"/>
      <c r="AR43" s="506"/>
      <c r="AS43" s="506"/>
      <c r="AT43" s="506"/>
    </row>
    <row r="44" spans="1:46" ht="13">
      <c r="A44" s="1517"/>
      <c r="B44" s="1517"/>
      <c r="C44" s="520" t="s">
        <v>4402</v>
      </c>
      <c r="D44" s="522"/>
      <c r="E44" s="522">
        <f t="shared" ref="E44:X44" si="31">E43-E42</f>
        <v>0</v>
      </c>
      <c r="F44" s="522">
        <f t="shared" si="31"/>
        <v>0</v>
      </c>
      <c r="G44" s="522">
        <f t="shared" si="31"/>
        <v>0</v>
      </c>
      <c r="H44" s="522">
        <f t="shared" si="31"/>
        <v>0</v>
      </c>
      <c r="I44" s="522">
        <f t="shared" si="31"/>
        <v>0</v>
      </c>
      <c r="J44" s="522">
        <f t="shared" si="31"/>
        <v>0</v>
      </c>
      <c r="K44" s="522">
        <f t="shared" si="31"/>
        <v>0</v>
      </c>
      <c r="L44" s="522">
        <f t="shared" si="31"/>
        <v>0</v>
      </c>
      <c r="M44" s="522">
        <f t="shared" si="31"/>
        <v>0</v>
      </c>
      <c r="N44" s="522">
        <f t="shared" si="31"/>
        <v>0</v>
      </c>
      <c r="O44" s="522">
        <f t="shared" si="31"/>
        <v>0</v>
      </c>
      <c r="P44" s="522">
        <f t="shared" si="31"/>
        <v>0</v>
      </c>
      <c r="Q44" s="522">
        <f t="shared" si="31"/>
        <v>0</v>
      </c>
      <c r="R44" s="522">
        <f t="shared" si="31"/>
        <v>0</v>
      </c>
      <c r="S44" s="522">
        <f t="shared" si="31"/>
        <v>-11</v>
      </c>
      <c r="T44" s="522">
        <f t="shared" si="31"/>
        <v>0</v>
      </c>
      <c r="U44" s="522">
        <f t="shared" si="31"/>
        <v>0</v>
      </c>
      <c r="V44" s="522">
        <f t="shared" si="31"/>
        <v>0</v>
      </c>
      <c r="W44" s="522">
        <f t="shared" si="31"/>
        <v>0</v>
      </c>
      <c r="X44" s="522">
        <f t="shared" si="31"/>
        <v>0</v>
      </c>
      <c r="Y44" s="522">
        <f t="shared" ref="Y44:AJ44" si="32">Y43-Y42</f>
        <v>0</v>
      </c>
      <c r="Z44" s="522">
        <f t="shared" si="32"/>
        <v>0</v>
      </c>
      <c r="AA44" s="522">
        <f t="shared" si="32"/>
        <v>0</v>
      </c>
      <c r="AB44" s="522">
        <f t="shared" si="32"/>
        <v>0</v>
      </c>
      <c r="AC44" s="522">
        <f t="shared" si="32"/>
        <v>0</v>
      </c>
      <c r="AD44" s="522">
        <f t="shared" si="32"/>
        <v>0</v>
      </c>
      <c r="AE44" s="522">
        <f t="shared" si="32"/>
        <v>0</v>
      </c>
      <c r="AF44" s="522">
        <f t="shared" si="32"/>
        <v>0</v>
      </c>
      <c r="AG44" s="522">
        <f t="shared" si="32"/>
        <v>0</v>
      </c>
      <c r="AH44" s="522">
        <f t="shared" si="32"/>
        <v>0</v>
      </c>
      <c r="AI44" s="522">
        <f t="shared" si="32"/>
        <v>0</v>
      </c>
      <c r="AJ44" s="522">
        <f t="shared" si="32"/>
        <v>0</v>
      </c>
      <c r="AK44" s="511">
        <f>SUMIF($E44:$X44,"&gt;0")</f>
        <v>0</v>
      </c>
      <c r="AL44" s="511">
        <f>SUMIF($E44:$X44,"&lt;0")</f>
        <v>-11</v>
      </c>
      <c r="AM44" s="696"/>
      <c r="AN44" s="503" t="s">
        <v>197</v>
      </c>
      <c r="AO44" s="506"/>
      <c r="AP44" s="506">
        <f>SUM(G44:J44)</f>
        <v>0</v>
      </c>
      <c r="AQ44" s="506"/>
      <c r="AR44" s="506"/>
      <c r="AS44" s="506"/>
      <c r="AT44" s="506"/>
    </row>
    <row r="45" spans="1:46" ht="13">
      <c r="A45" s="1518"/>
      <c r="B45" s="1518"/>
      <c r="C45" s="503" t="s">
        <v>4403</v>
      </c>
      <c r="D45" s="522"/>
      <c r="E45" s="504">
        <f>SUMIFS('PV SUPPLY DATA'!$X:$X,'PV SUPPLY DATA'!$AH:$AH,'CT capacity tracker'!$B42,'PV SUPPLY DATA'!$AG:$AG,'CT capacity tracker'!$A$1,'PV SUPPLY DATA'!$Y:$Y,E$1,'PV SUPPLY DATA'!$AQ:$AQ,"cosco")+SUMIFS('PV SUPPLY DATA'!$X:$X,'PV SUPPLY DATA'!$AH:$AH,'CT capacity tracker'!$B42,'PV SUPPLY DATA'!$AG:$AG,'CT capacity tracker'!$A$1,'PV SUPPLY DATA'!$Y:$Y,E$1,'PV SUPPLY DATA'!$AQ:$AQ,"other")+SUMIFS('ESS SUPPLY DATA'!$U:$U,'ESS SUPPLY DATA'!$AF:$AF,'CT capacity tracker'!$B42,'ESS SUPPLY DATA'!$AE:$AE,'CT capacity tracker'!$A$1,'ESS SUPPLY DATA'!$W:$W,'CT capacity tracker'!E$1,'ESS SUPPLY DATA'!$AO:$AO,"cosco")+SUMIFS('ESS SUPPLY DATA'!$U:$U,'ESS SUPPLY DATA'!$AF:$AF,'CT capacity tracker'!$B42,'ESS SUPPLY DATA'!$AE:$AE,'CT capacity tracker'!$A$1,'ESS SUPPLY DATA'!$W:$W,'CT capacity tracker'!E$1,'ESS SUPPLY DATA'!$AO:$AO,"other")</f>
        <v>0</v>
      </c>
      <c r="F45" s="504">
        <f>SUMIFS('PV SUPPLY DATA'!$X:$X,'PV SUPPLY DATA'!$AH:$AH,'CT capacity tracker'!$B42,'PV SUPPLY DATA'!$AG:$AG,'CT capacity tracker'!$A$1,'PV SUPPLY DATA'!$Y:$Y,F$1,'PV SUPPLY DATA'!$AQ:$AQ,"cosco")+SUMIFS('PV SUPPLY DATA'!$X:$X,'PV SUPPLY DATA'!$AH:$AH,'CT capacity tracker'!$B42,'PV SUPPLY DATA'!$AG:$AG,'CT capacity tracker'!$A$1,'PV SUPPLY DATA'!$Y:$Y,F$1,'PV SUPPLY DATA'!$AQ:$AQ,"other")+SUMIFS('ESS SUPPLY DATA'!$U:$U,'ESS SUPPLY DATA'!$AF:$AF,'CT capacity tracker'!$B42,'ESS SUPPLY DATA'!$AE:$AE,'CT capacity tracker'!$A$1,'ESS SUPPLY DATA'!$W:$W,'CT capacity tracker'!F$1,'ESS SUPPLY DATA'!$AO:$AO,"cosco")+SUMIFS('ESS SUPPLY DATA'!$U:$U,'ESS SUPPLY DATA'!$AF:$AF,'CT capacity tracker'!$B42,'ESS SUPPLY DATA'!$AE:$AE,'CT capacity tracker'!$A$1,'ESS SUPPLY DATA'!$W:$W,'CT capacity tracker'!F$1,'ESS SUPPLY DATA'!$AO:$AO,"other")</f>
        <v>0</v>
      </c>
      <c r="G45" s="504">
        <f>SUMIFS('PV SUPPLY DATA'!$X:$X,'PV SUPPLY DATA'!$AH:$AH,'CT capacity tracker'!$B42,'PV SUPPLY DATA'!$AG:$AG,'CT capacity tracker'!$A$1,'PV SUPPLY DATA'!$Y:$Y,G$1,'PV SUPPLY DATA'!$AQ:$AQ,"cosco")+SUMIFS('PV SUPPLY DATA'!$X:$X,'PV SUPPLY DATA'!$AH:$AH,'CT capacity tracker'!$B42,'PV SUPPLY DATA'!$AG:$AG,'CT capacity tracker'!$A$1,'PV SUPPLY DATA'!$Y:$Y,G$1,'PV SUPPLY DATA'!$AQ:$AQ,"other")+SUMIFS('ESS SUPPLY DATA'!$U:$U,'ESS SUPPLY DATA'!$AF:$AF,'CT capacity tracker'!$B42,'ESS SUPPLY DATA'!$AE:$AE,'CT capacity tracker'!$A$1,'ESS SUPPLY DATA'!$W:$W,'CT capacity tracker'!G$1,'ESS SUPPLY DATA'!$AO:$AO,"cosco")+SUMIFS('ESS SUPPLY DATA'!$U:$U,'ESS SUPPLY DATA'!$AF:$AF,'CT capacity tracker'!$B42,'ESS SUPPLY DATA'!$AE:$AE,'CT capacity tracker'!$A$1,'ESS SUPPLY DATA'!$W:$W,'CT capacity tracker'!G$1,'ESS SUPPLY DATA'!$AO:$AO,"other")</f>
        <v>0</v>
      </c>
      <c r="H45" s="504">
        <f>SUMIFS('PV SUPPLY DATA'!$X:$X,'PV SUPPLY DATA'!$AH:$AH,'CT capacity tracker'!$B42,'PV SUPPLY DATA'!$AG:$AG,'CT capacity tracker'!$A$1,'PV SUPPLY DATA'!$Y:$Y,H$1,'PV SUPPLY DATA'!$AQ:$AQ,"cosco")+SUMIFS('PV SUPPLY DATA'!$X:$X,'PV SUPPLY DATA'!$AH:$AH,'CT capacity tracker'!$B42,'PV SUPPLY DATA'!$AG:$AG,'CT capacity tracker'!$A$1,'PV SUPPLY DATA'!$Y:$Y,H$1,'PV SUPPLY DATA'!$AQ:$AQ,"other")+SUMIFS('ESS SUPPLY DATA'!$U:$U,'ESS SUPPLY DATA'!$AF:$AF,'CT capacity tracker'!$B42,'ESS SUPPLY DATA'!$AE:$AE,'CT capacity tracker'!$A$1,'ESS SUPPLY DATA'!$W:$W,'CT capacity tracker'!H$1,'ESS SUPPLY DATA'!$AO:$AO,"cosco")+SUMIFS('ESS SUPPLY DATA'!$U:$U,'ESS SUPPLY DATA'!$AF:$AF,'CT capacity tracker'!$B42,'ESS SUPPLY DATA'!$AE:$AE,'CT capacity tracker'!$A$1,'ESS SUPPLY DATA'!$W:$W,'CT capacity tracker'!H$1,'ESS SUPPLY DATA'!$AO:$AO,"other")</f>
        <v>0</v>
      </c>
      <c r="I45" s="504">
        <f>SUMIFS('PV SUPPLY DATA'!$X:$X,'PV SUPPLY DATA'!$AH:$AH,'CT capacity tracker'!$B42,'PV SUPPLY DATA'!$AG:$AG,'CT capacity tracker'!$A$1,'PV SUPPLY DATA'!$Y:$Y,I$1,'PV SUPPLY DATA'!$AQ:$AQ,"cosco")+SUMIFS('PV SUPPLY DATA'!$X:$X,'PV SUPPLY DATA'!$AH:$AH,'CT capacity tracker'!$B42,'PV SUPPLY DATA'!$AG:$AG,'CT capacity tracker'!$A$1,'PV SUPPLY DATA'!$Y:$Y,I$1,'PV SUPPLY DATA'!$AQ:$AQ,"other")+SUMIFS('ESS SUPPLY DATA'!$U:$U,'ESS SUPPLY DATA'!$AF:$AF,'CT capacity tracker'!$B42,'ESS SUPPLY DATA'!$AE:$AE,'CT capacity tracker'!$A$1,'ESS SUPPLY DATA'!$W:$W,'CT capacity tracker'!I$1,'ESS SUPPLY DATA'!$AO:$AO,"cosco")+SUMIFS('ESS SUPPLY DATA'!$U:$U,'ESS SUPPLY DATA'!$AF:$AF,'CT capacity tracker'!$B42,'ESS SUPPLY DATA'!$AE:$AE,'CT capacity tracker'!$A$1,'ESS SUPPLY DATA'!$W:$W,'CT capacity tracker'!I$1,'ESS SUPPLY DATA'!$AO:$AO,"other")</f>
        <v>0</v>
      </c>
      <c r="J45" s="504">
        <f>SUMIFS('PV SUPPLY DATA'!$X:$X,'PV SUPPLY DATA'!$AH:$AH,'CT capacity tracker'!$B42,'PV SUPPLY DATA'!$AG:$AG,'CT capacity tracker'!$A$1,'PV SUPPLY DATA'!$Y:$Y,J$1,'PV SUPPLY DATA'!$AQ:$AQ,"cosco")+SUMIFS('PV SUPPLY DATA'!$X:$X,'PV SUPPLY DATA'!$AH:$AH,'CT capacity tracker'!$B42,'PV SUPPLY DATA'!$AG:$AG,'CT capacity tracker'!$A$1,'PV SUPPLY DATA'!$Y:$Y,J$1,'PV SUPPLY DATA'!$AQ:$AQ,"other")+SUMIFS('ESS SUPPLY DATA'!$U:$U,'ESS SUPPLY DATA'!$AF:$AF,'CT capacity tracker'!$B42,'ESS SUPPLY DATA'!$AE:$AE,'CT capacity tracker'!$A$1,'ESS SUPPLY DATA'!$W:$W,'CT capacity tracker'!J$1,'ESS SUPPLY DATA'!$AO:$AO,"cosco")+SUMIFS('ESS SUPPLY DATA'!$U:$U,'ESS SUPPLY DATA'!$AF:$AF,'CT capacity tracker'!$B42,'ESS SUPPLY DATA'!$AE:$AE,'CT capacity tracker'!$A$1,'ESS SUPPLY DATA'!$W:$W,'CT capacity tracker'!J$1,'ESS SUPPLY DATA'!$AO:$AO,"other")</f>
        <v>0</v>
      </c>
      <c r="K45" s="504">
        <f>SUMIFS('PV SUPPLY DATA'!$X:$X,'PV SUPPLY DATA'!$AH:$AH,'CT capacity tracker'!$B42,'PV SUPPLY DATA'!$AG:$AG,'CT capacity tracker'!$A$1,'PV SUPPLY DATA'!$Y:$Y,K$1,'PV SUPPLY DATA'!$AQ:$AQ,"cosco")+SUMIFS('PV SUPPLY DATA'!$X:$X,'PV SUPPLY DATA'!$AH:$AH,'CT capacity tracker'!$B42,'PV SUPPLY DATA'!$AG:$AG,'CT capacity tracker'!$A$1,'PV SUPPLY DATA'!$Y:$Y,K$1,'PV SUPPLY DATA'!$AQ:$AQ,"other")+SUMIFS('ESS SUPPLY DATA'!$U:$U,'ESS SUPPLY DATA'!$AF:$AF,'CT capacity tracker'!$B42,'ESS SUPPLY DATA'!$AE:$AE,'CT capacity tracker'!$A$1,'ESS SUPPLY DATA'!$W:$W,'CT capacity tracker'!K$1,'ESS SUPPLY DATA'!$AO:$AO,"cosco")+SUMIFS('ESS SUPPLY DATA'!$U:$U,'ESS SUPPLY DATA'!$AF:$AF,'CT capacity tracker'!$B42,'ESS SUPPLY DATA'!$AE:$AE,'CT capacity tracker'!$A$1,'ESS SUPPLY DATA'!$W:$W,'CT capacity tracker'!K$1,'ESS SUPPLY DATA'!$AO:$AO,"other")</f>
        <v>0</v>
      </c>
      <c r="L45" s="504">
        <f>SUMIFS('PV SUPPLY DATA'!$X:$X,'PV SUPPLY DATA'!$AH:$AH,'CT capacity tracker'!$B42,'PV SUPPLY DATA'!$AG:$AG,'CT capacity tracker'!$A$1,'PV SUPPLY DATA'!$Y:$Y,L$1,'PV SUPPLY DATA'!$AQ:$AQ,"cosco")+SUMIFS('PV SUPPLY DATA'!$X:$X,'PV SUPPLY DATA'!$AH:$AH,'CT capacity tracker'!$B42,'PV SUPPLY DATA'!$AG:$AG,'CT capacity tracker'!$A$1,'PV SUPPLY DATA'!$Y:$Y,L$1,'PV SUPPLY DATA'!$AQ:$AQ,"other")+SUMIFS('ESS SUPPLY DATA'!$U:$U,'ESS SUPPLY DATA'!$AF:$AF,'CT capacity tracker'!$B42,'ESS SUPPLY DATA'!$AE:$AE,'CT capacity tracker'!$A$1,'ESS SUPPLY DATA'!$W:$W,'CT capacity tracker'!L$1,'ESS SUPPLY DATA'!$AO:$AO,"cosco")+SUMIFS('ESS SUPPLY DATA'!$U:$U,'ESS SUPPLY DATA'!$AF:$AF,'CT capacity tracker'!$B42,'ESS SUPPLY DATA'!$AE:$AE,'CT capacity tracker'!$A$1,'ESS SUPPLY DATA'!$W:$W,'CT capacity tracker'!L$1,'ESS SUPPLY DATA'!$AO:$AO,"other")</f>
        <v>0</v>
      </c>
      <c r="M45" s="504">
        <f>SUMIFS('PV SUPPLY DATA'!$X:$X,'PV SUPPLY DATA'!$AH:$AH,'CT capacity tracker'!$B42,'PV SUPPLY DATA'!$AG:$AG,'CT capacity tracker'!$A$1,'PV SUPPLY DATA'!$Y:$Y,M$1,'PV SUPPLY DATA'!$AQ:$AQ,"cosco")+SUMIFS('PV SUPPLY DATA'!$X:$X,'PV SUPPLY DATA'!$AH:$AH,'CT capacity tracker'!$B42,'PV SUPPLY DATA'!$AG:$AG,'CT capacity tracker'!$A$1,'PV SUPPLY DATA'!$Y:$Y,M$1,'PV SUPPLY DATA'!$AQ:$AQ,"other")+SUMIFS('ESS SUPPLY DATA'!$U:$U,'ESS SUPPLY DATA'!$AF:$AF,'CT capacity tracker'!$B42,'ESS SUPPLY DATA'!$AE:$AE,'CT capacity tracker'!$A$1,'ESS SUPPLY DATA'!$W:$W,'CT capacity tracker'!M$1,'ESS SUPPLY DATA'!$AO:$AO,"cosco")+SUMIFS('ESS SUPPLY DATA'!$U:$U,'ESS SUPPLY DATA'!$AF:$AF,'CT capacity tracker'!$B42,'ESS SUPPLY DATA'!$AE:$AE,'CT capacity tracker'!$A$1,'ESS SUPPLY DATA'!$W:$W,'CT capacity tracker'!M$1,'ESS SUPPLY DATA'!$AO:$AO,"other")</f>
        <v>0</v>
      </c>
      <c r="N45" s="504">
        <f>SUMIFS('PV SUPPLY DATA'!$X:$X,'PV SUPPLY DATA'!$AH:$AH,'CT capacity tracker'!$B42,'PV SUPPLY DATA'!$AG:$AG,'CT capacity tracker'!$A$1,'PV SUPPLY DATA'!$Y:$Y,N$1,'PV SUPPLY DATA'!$AQ:$AQ,"cosco")+SUMIFS('PV SUPPLY DATA'!$X:$X,'PV SUPPLY DATA'!$AH:$AH,'CT capacity tracker'!$B42,'PV SUPPLY DATA'!$AG:$AG,'CT capacity tracker'!$A$1,'PV SUPPLY DATA'!$Y:$Y,N$1,'PV SUPPLY DATA'!$AQ:$AQ,"other")+SUMIFS('ESS SUPPLY DATA'!$U:$U,'ESS SUPPLY DATA'!$AF:$AF,'CT capacity tracker'!$B42,'ESS SUPPLY DATA'!$AE:$AE,'CT capacity tracker'!$A$1,'ESS SUPPLY DATA'!$W:$W,'CT capacity tracker'!N$1,'ESS SUPPLY DATA'!$AO:$AO,"cosco")+SUMIFS('ESS SUPPLY DATA'!$U:$U,'ESS SUPPLY DATA'!$AF:$AF,'CT capacity tracker'!$B42,'ESS SUPPLY DATA'!$AE:$AE,'CT capacity tracker'!$A$1,'ESS SUPPLY DATA'!$W:$W,'CT capacity tracker'!N$1,'ESS SUPPLY DATA'!$AO:$AO,"other")</f>
        <v>0</v>
      </c>
      <c r="O45" s="504">
        <f>SUMIFS('PV SUPPLY DATA'!$X:$X,'PV SUPPLY DATA'!$AH:$AH,'CT capacity tracker'!$B42,'PV SUPPLY DATA'!$AG:$AG,'CT capacity tracker'!$A$1,'PV SUPPLY DATA'!$Y:$Y,O$1,'PV SUPPLY DATA'!$AQ:$AQ,"cosco")+SUMIFS('PV SUPPLY DATA'!$X:$X,'PV SUPPLY DATA'!$AH:$AH,'CT capacity tracker'!$B42,'PV SUPPLY DATA'!$AG:$AG,'CT capacity tracker'!$A$1,'PV SUPPLY DATA'!$Y:$Y,O$1,'PV SUPPLY DATA'!$AQ:$AQ,"other")+SUMIFS('ESS SUPPLY DATA'!$U:$U,'ESS SUPPLY DATA'!$AF:$AF,'CT capacity tracker'!$B42,'ESS SUPPLY DATA'!$AE:$AE,'CT capacity tracker'!$A$1,'ESS SUPPLY DATA'!$W:$W,'CT capacity tracker'!O$1,'ESS SUPPLY DATA'!$AO:$AO,"cosco")+SUMIFS('ESS SUPPLY DATA'!$U:$U,'ESS SUPPLY DATA'!$AF:$AF,'CT capacity tracker'!$B42,'ESS SUPPLY DATA'!$AE:$AE,'CT capacity tracker'!$A$1,'ESS SUPPLY DATA'!$W:$W,'CT capacity tracker'!O$1,'ESS SUPPLY DATA'!$AO:$AO,"other")</f>
        <v>0</v>
      </c>
      <c r="P45" s="504">
        <f>SUMIFS('PV SUPPLY DATA'!$X:$X,'PV SUPPLY DATA'!$AH:$AH,'CT capacity tracker'!$B42,'PV SUPPLY DATA'!$AG:$AG,'CT capacity tracker'!$A$1,'PV SUPPLY DATA'!$Y:$Y,P$1,'PV SUPPLY DATA'!$AQ:$AQ,"cosco")+SUMIFS('PV SUPPLY DATA'!$X:$X,'PV SUPPLY DATA'!$AH:$AH,'CT capacity tracker'!$B42,'PV SUPPLY DATA'!$AG:$AG,'CT capacity tracker'!$A$1,'PV SUPPLY DATA'!$Y:$Y,P$1,'PV SUPPLY DATA'!$AQ:$AQ,"other")+SUMIFS('ESS SUPPLY DATA'!$U:$U,'ESS SUPPLY DATA'!$AF:$AF,'CT capacity tracker'!$B42,'ESS SUPPLY DATA'!$AE:$AE,'CT capacity tracker'!$A$1,'ESS SUPPLY DATA'!$W:$W,'CT capacity tracker'!P$1,'ESS SUPPLY DATA'!$AO:$AO,"cosco")+SUMIFS('ESS SUPPLY DATA'!$U:$U,'ESS SUPPLY DATA'!$AF:$AF,'CT capacity tracker'!$B42,'ESS SUPPLY DATA'!$AE:$AE,'CT capacity tracker'!$A$1,'ESS SUPPLY DATA'!$W:$W,'CT capacity tracker'!P$1,'ESS SUPPLY DATA'!$AO:$AO,"other")</f>
        <v>0</v>
      </c>
      <c r="Q45" s="504">
        <f>SUMIFS('PV SUPPLY DATA'!$X:$X,'PV SUPPLY DATA'!$AH:$AH,'CT capacity tracker'!$B42,'PV SUPPLY DATA'!$AG:$AG,'CT capacity tracker'!$A$1,'PV SUPPLY DATA'!$Y:$Y,Q$1,'PV SUPPLY DATA'!$AQ:$AQ,"cosco")+SUMIFS('PV SUPPLY DATA'!$X:$X,'PV SUPPLY DATA'!$AH:$AH,'CT capacity tracker'!$B42,'PV SUPPLY DATA'!$AG:$AG,'CT capacity tracker'!$A$1,'PV SUPPLY DATA'!$Y:$Y,Q$1,'PV SUPPLY DATA'!$AQ:$AQ,"other")+SUMIFS('ESS SUPPLY DATA'!$U:$U,'ESS SUPPLY DATA'!$AF:$AF,'CT capacity tracker'!$B42,'ESS SUPPLY DATA'!$AE:$AE,'CT capacity tracker'!$A$1,'ESS SUPPLY DATA'!$W:$W,'CT capacity tracker'!Q$1,'ESS SUPPLY DATA'!$AO:$AO,"cosco")+SUMIFS('ESS SUPPLY DATA'!$U:$U,'ESS SUPPLY DATA'!$AF:$AF,'CT capacity tracker'!$B42,'ESS SUPPLY DATA'!$AE:$AE,'CT capacity tracker'!$A$1,'ESS SUPPLY DATA'!$W:$W,'CT capacity tracker'!Q$1,'ESS SUPPLY DATA'!$AO:$AO,"other")</f>
        <v>0</v>
      </c>
      <c r="R45" s="504">
        <f>SUMIFS('PV SUPPLY DATA'!$X:$X,'PV SUPPLY DATA'!$AH:$AH,'CT capacity tracker'!$B42,'PV SUPPLY DATA'!$AG:$AG,'CT capacity tracker'!$A$1,'PV SUPPLY DATA'!$Y:$Y,R$1,'PV SUPPLY DATA'!$AQ:$AQ,"cosco")+SUMIFS('PV SUPPLY DATA'!$X:$X,'PV SUPPLY DATA'!$AH:$AH,'CT capacity tracker'!$B42,'PV SUPPLY DATA'!$AG:$AG,'CT capacity tracker'!$A$1,'PV SUPPLY DATA'!$Y:$Y,R$1,'PV SUPPLY DATA'!$AQ:$AQ,"other")+SUMIFS('ESS SUPPLY DATA'!$U:$U,'ESS SUPPLY DATA'!$AF:$AF,'CT capacity tracker'!$B42,'ESS SUPPLY DATA'!$AE:$AE,'CT capacity tracker'!$A$1,'ESS SUPPLY DATA'!$W:$W,'CT capacity tracker'!R$1,'ESS SUPPLY DATA'!$AO:$AO,"cosco")+SUMIFS('ESS SUPPLY DATA'!$U:$U,'ESS SUPPLY DATA'!$AF:$AF,'CT capacity tracker'!$B42,'ESS SUPPLY DATA'!$AE:$AE,'CT capacity tracker'!$A$1,'ESS SUPPLY DATA'!$W:$W,'CT capacity tracker'!R$1,'ESS SUPPLY DATA'!$AO:$AO,"other")</f>
        <v>0</v>
      </c>
      <c r="S45" s="504">
        <f>SUMIFS('PV SUPPLY DATA'!$X:$X,'PV SUPPLY DATA'!$AH:$AH,'CT capacity tracker'!$B42,'PV SUPPLY DATA'!$AG:$AG,'CT capacity tracker'!$A$1,'PV SUPPLY DATA'!$Y:$Y,S$1,'PV SUPPLY DATA'!$AQ:$AQ,"cosco")+SUMIFS('PV SUPPLY DATA'!$X:$X,'PV SUPPLY DATA'!$AH:$AH,'CT capacity tracker'!$B42,'PV SUPPLY DATA'!$AG:$AG,'CT capacity tracker'!$A$1,'PV SUPPLY DATA'!$Y:$Y,S$1,'PV SUPPLY DATA'!$AQ:$AQ,"other")+SUMIFS('ESS SUPPLY DATA'!$U:$U,'ESS SUPPLY DATA'!$AF:$AF,'CT capacity tracker'!$B42,'ESS SUPPLY DATA'!$AE:$AE,'CT capacity tracker'!$A$1,'ESS SUPPLY DATA'!$W:$W,'CT capacity tracker'!S$1,'ESS SUPPLY DATA'!$AO:$AO,"cosco")+SUMIFS('ESS SUPPLY DATA'!$U:$U,'ESS SUPPLY DATA'!$AF:$AF,'CT capacity tracker'!$B42,'ESS SUPPLY DATA'!$AE:$AE,'CT capacity tracker'!$A$1,'ESS SUPPLY DATA'!$W:$W,'CT capacity tracker'!S$1,'ESS SUPPLY DATA'!$AO:$AO,"other")</f>
        <v>11</v>
      </c>
      <c r="T45" s="504">
        <f>SUMIFS('PV SUPPLY DATA'!$X:$X,'PV SUPPLY DATA'!$AH:$AH,'CT capacity tracker'!$B42,'PV SUPPLY DATA'!$AG:$AG,'CT capacity tracker'!$A$1,'PV SUPPLY DATA'!$Y:$Y,T$1,'PV SUPPLY DATA'!$AQ:$AQ,"cosco")+SUMIFS('PV SUPPLY DATA'!$X:$X,'PV SUPPLY DATA'!$AH:$AH,'CT capacity tracker'!$B42,'PV SUPPLY DATA'!$AG:$AG,'CT capacity tracker'!$A$1,'PV SUPPLY DATA'!$Y:$Y,T$1,'PV SUPPLY DATA'!$AQ:$AQ,"other")+SUMIFS('ESS SUPPLY DATA'!$U:$U,'ESS SUPPLY DATA'!$AF:$AF,'CT capacity tracker'!$B42,'ESS SUPPLY DATA'!$AE:$AE,'CT capacity tracker'!$A$1,'ESS SUPPLY DATA'!$W:$W,'CT capacity tracker'!T$1,'ESS SUPPLY DATA'!$AO:$AO,"cosco")+SUMIFS('ESS SUPPLY DATA'!$U:$U,'ESS SUPPLY DATA'!$AF:$AF,'CT capacity tracker'!$B42,'ESS SUPPLY DATA'!$AE:$AE,'CT capacity tracker'!$A$1,'ESS SUPPLY DATA'!$W:$W,'CT capacity tracker'!T$1,'ESS SUPPLY DATA'!$AO:$AO,"other")</f>
        <v>8</v>
      </c>
      <c r="U45" s="504">
        <f>SUMIFS('PV SUPPLY DATA'!$X:$X,'PV SUPPLY DATA'!$AH:$AH,'CT capacity tracker'!$B42,'PV SUPPLY DATA'!$AG:$AG,'CT capacity tracker'!$A$1,'PV SUPPLY DATA'!$Y:$Y,U$1,'PV SUPPLY DATA'!$AQ:$AQ,"cosco")+SUMIFS('PV SUPPLY DATA'!$X:$X,'PV SUPPLY DATA'!$AH:$AH,'CT capacity tracker'!$B42,'PV SUPPLY DATA'!$AG:$AG,'CT capacity tracker'!$A$1,'PV SUPPLY DATA'!$Y:$Y,U$1,'PV SUPPLY DATA'!$AQ:$AQ,"other")+SUMIFS('ESS SUPPLY DATA'!$U:$U,'ESS SUPPLY DATA'!$AF:$AF,'CT capacity tracker'!$B42,'ESS SUPPLY DATA'!$AE:$AE,'CT capacity tracker'!$A$1,'ESS SUPPLY DATA'!$W:$W,'CT capacity tracker'!U$1,'ESS SUPPLY DATA'!$AO:$AO,"cosco")+SUMIFS('ESS SUPPLY DATA'!$U:$U,'ESS SUPPLY DATA'!$AF:$AF,'CT capacity tracker'!$B42,'ESS SUPPLY DATA'!$AE:$AE,'CT capacity tracker'!$A$1,'ESS SUPPLY DATA'!$W:$W,'CT capacity tracker'!U$1,'ESS SUPPLY DATA'!$AO:$AO,"other")</f>
        <v>14</v>
      </c>
      <c r="V45" s="504">
        <f>SUMIFS('PV SUPPLY DATA'!$X:$X,'PV SUPPLY DATA'!$AH:$AH,'CT capacity tracker'!$B42,'PV SUPPLY DATA'!$AG:$AG,'CT capacity tracker'!$A$1,'PV SUPPLY DATA'!$Y:$Y,V$1,'PV SUPPLY DATA'!$AQ:$AQ,"cosco")+SUMIFS('PV SUPPLY DATA'!$X:$X,'PV SUPPLY DATA'!$AH:$AH,'CT capacity tracker'!$B42,'PV SUPPLY DATA'!$AG:$AG,'CT capacity tracker'!$A$1,'PV SUPPLY DATA'!$Y:$Y,V$1,'PV SUPPLY DATA'!$AQ:$AQ,"other")+SUMIFS('ESS SUPPLY DATA'!$U:$U,'ESS SUPPLY DATA'!$AF:$AF,'CT capacity tracker'!$B42,'ESS SUPPLY DATA'!$AE:$AE,'CT capacity tracker'!$A$1,'ESS SUPPLY DATA'!$W:$W,'CT capacity tracker'!V$1,'ESS SUPPLY DATA'!$AO:$AO,"cosco")+SUMIFS('ESS SUPPLY DATA'!$U:$U,'ESS SUPPLY DATA'!$AF:$AF,'CT capacity tracker'!$B42,'ESS SUPPLY DATA'!$AE:$AE,'CT capacity tracker'!$A$1,'ESS SUPPLY DATA'!$W:$W,'CT capacity tracker'!V$1,'ESS SUPPLY DATA'!$AO:$AO,"other")</f>
        <v>22</v>
      </c>
      <c r="W45" s="504">
        <f>SUMIFS('PV SUPPLY DATA'!$X:$X,'PV SUPPLY DATA'!$AH:$AH,'CT capacity tracker'!$B42,'PV SUPPLY DATA'!$AG:$AG,'CT capacity tracker'!$A$1,'PV SUPPLY DATA'!$Y:$Y,W$1,'PV SUPPLY DATA'!$AQ:$AQ,"cosco")+SUMIFS('PV SUPPLY DATA'!$X:$X,'PV SUPPLY DATA'!$AH:$AH,'CT capacity tracker'!$B42,'PV SUPPLY DATA'!$AG:$AG,'CT capacity tracker'!$A$1,'PV SUPPLY DATA'!$Y:$Y,W$1,'PV SUPPLY DATA'!$AQ:$AQ,"other")+SUMIFS('ESS SUPPLY DATA'!$U:$U,'ESS SUPPLY DATA'!$AF:$AF,'CT capacity tracker'!$B42,'ESS SUPPLY DATA'!$AE:$AE,'CT capacity tracker'!$A$1,'ESS SUPPLY DATA'!$W:$W,'CT capacity tracker'!W$1,'ESS SUPPLY DATA'!$AO:$AO,"cosco")+SUMIFS('ESS SUPPLY DATA'!$U:$U,'ESS SUPPLY DATA'!$AF:$AF,'CT capacity tracker'!$B42,'ESS SUPPLY DATA'!$AE:$AE,'CT capacity tracker'!$A$1,'ESS SUPPLY DATA'!$W:$W,'CT capacity tracker'!W$1,'ESS SUPPLY DATA'!$AO:$AO,"other")</f>
        <v>0</v>
      </c>
      <c r="X45" s="504">
        <f>SUMIFS('PV SUPPLY DATA'!$X:$X,'PV SUPPLY DATA'!$AH:$AH,'CT capacity tracker'!$B42,'PV SUPPLY DATA'!$AG:$AG,'CT capacity tracker'!$A$1,'PV SUPPLY DATA'!$Y:$Y,X$1,'PV SUPPLY DATA'!$AQ:$AQ,"cosco")+SUMIFS('PV SUPPLY DATA'!$X:$X,'PV SUPPLY DATA'!$AH:$AH,'CT capacity tracker'!$B42,'PV SUPPLY DATA'!$AG:$AG,'CT capacity tracker'!$A$1,'PV SUPPLY DATA'!$Y:$Y,X$1,'PV SUPPLY DATA'!$AQ:$AQ,"other")+SUMIFS('ESS SUPPLY DATA'!$U:$U,'ESS SUPPLY DATA'!$AF:$AF,'CT capacity tracker'!$B42,'ESS SUPPLY DATA'!$AE:$AE,'CT capacity tracker'!$A$1,'ESS SUPPLY DATA'!$W:$W,'CT capacity tracker'!X$1,'ESS SUPPLY DATA'!$AO:$AO,"cosco")+SUMIFS('ESS SUPPLY DATA'!$U:$U,'ESS SUPPLY DATA'!$AF:$AF,'CT capacity tracker'!$B42,'ESS SUPPLY DATA'!$AE:$AE,'CT capacity tracker'!$A$1,'ESS SUPPLY DATA'!$W:$W,'CT capacity tracker'!X$1,'ESS SUPPLY DATA'!$AO:$AO,"other")</f>
        <v>0</v>
      </c>
      <c r="Y45" s="504">
        <f>SUMIFS('PV SUPPLY DATA'!$X:$X,'PV SUPPLY DATA'!$AH:$AH,'CT capacity tracker'!$B42,'PV SUPPLY DATA'!$AG:$AG,'CT capacity tracker'!$A$1,'PV SUPPLY DATA'!$Y:$Y,Y$1,'PV SUPPLY DATA'!$AQ:$AQ,"cosco")+SUMIFS('PV SUPPLY DATA'!$X:$X,'PV SUPPLY DATA'!$AH:$AH,'CT capacity tracker'!$B42,'PV SUPPLY DATA'!$AG:$AG,'CT capacity tracker'!$A$1,'PV SUPPLY DATA'!$Y:$Y,Y$1,'PV SUPPLY DATA'!$AQ:$AQ,"other")+SUMIFS('ESS SUPPLY DATA'!$U:$U,'ESS SUPPLY DATA'!$AF:$AF,'CT capacity tracker'!$B42,'ESS SUPPLY DATA'!$AE:$AE,'CT capacity tracker'!$A$1,'ESS SUPPLY DATA'!$W:$W,'CT capacity tracker'!Y$1,'ESS SUPPLY DATA'!$AO:$AO,"cosco")+SUMIFS('ESS SUPPLY DATA'!$U:$U,'ESS SUPPLY DATA'!$AF:$AF,'CT capacity tracker'!$B42,'ESS SUPPLY DATA'!$AE:$AE,'CT capacity tracker'!$A$1,'ESS SUPPLY DATA'!$W:$W,'CT capacity tracker'!Y$1,'ESS SUPPLY DATA'!$AO:$AO,"other")</f>
        <v>0</v>
      </c>
      <c r="Z45" s="504">
        <f>SUMIFS('PV SUPPLY DATA'!$X:$X,'PV SUPPLY DATA'!$AH:$AH,'CT capacity tracker'!$B42,'PV SUPPLY DATA'!$AG:$AG,'CT capacity tracker'!$A$1,'PV SUPPLY DATA'!$Y:$Y,Z$1,'PV SUPPLY DATA'!$AQ:$AQ,"cosco")+SUMIFS('PV SUPPLY DATA'!$X:$X,'PV SUPPLY DATA'!$AH:$AH,'CT capacity tracker'!$B42,'PV SUPPLY DATA'!$AG:$AG,'CT capacity tracker'!$A$1,'PV SUPPLY DATA'!$Y:$Y,Z$1,'PV SUPPLY DATA'!$AQ:$AQ,"other")+SUMIFS('ESS SUPPLY DATA'!$U:$U,'ESS SUPPLY DATA'!$AF:$AF,'CT capacity tracker'!$B42,'ESS SUPPLY DATA'!$AE:$AE,'CT capacity tracker'!$A$1,'ESS SUPPLY DATA'!$W:$W,'CT capacity tracker'!Z$1,'ESS SUPPLY DATA'!$AO:$AO,"cosco")+SUMIFS('ESS SUPPLY DATA'!$U:$U,'ESS SUPPLY DATA'!$AF:$AF,'CT capacity tracker'!$B42,'ESS SUPPLY DATA'!$AE:$AE,'CT capacity tracker'!$A$1,'ESS SUPPLY DATA'!$W:$W,'CT capacity tracker'!Z$1,'ESS SUPPLY DATA'!$AO:$AO,"other")</f>
        <v>0</v>
      </c>
      <c r="AA45" s="504">
        <f>SUMIFS('PV SUPPLY DATA'!$X:$X,'PV SUPPLY DATA'!$AH:$AH,'CT capacity tracker'!$B42,'PV SUPPLY DATA'!$AG:$AG,'CT capacity tracker'!$A$1,'PV SUPPLY DATA'!$Y:$Y,AA$1,'PV SUPPLY DATA'!$AQ:$AQ,"cosco")+SUMIFS('PV SUPPLY DATA'!$X:$X,'PV SUPPLY DATA'!$AH:$AH,'CT capacity tracker'!$B42,'PV SUPPLY DATA'!$AG:$AG,'CT capacity tracker'!$A$1,'PV SUPPLY DATA'!$Y:$Y,AA$1,'PV SUPPLY DATA'!$AQ:$AQ,"other")+SUMIFS('ESS SUPPLY DATA'!$U:$U,'ESS SUPPLY DATA'!$AF:$AF,'CT capacity tracker'!$B42,'ESS SUPPLY DATA'!$AE:$AE,'CT capacity tracker'!$A$1,'ESS SUPPLY DATA'!$W:$W,'CT capacity tracker'!AA$1,'ESS SUPPLY DATA'!$AO:$AO,"cosco")+SUMIFS('ESS SUPPLY DATA'!$U:$U,'ESS SUPPLY DATA'!$AF:$AF,'CT capacity tracker'!$B42,'ESS SUPPLY DATA'!$AE:$AE,'CT capacity tracker'!$A$1,'ESS SUPPLY DATA'!$W:$W,'CT capacity tracker'!AA$1,'ESS SUPPLY DATA'!$AO:$AO,"other")</f>
        <v>0</v>
      </c>
      <c r="AB45" s="504">
        <f>SUMIFS('PV SUPPLY DATA'!$X:$X,'PV SUPPLY DATA'!$AH:$AH,'CT capacity tracker'!$B42,'PV SUPPLY DATA'!$AG:$AG,'CT capacity tracker'!$A$1,'PV SUPPLY DATA'!$Y:$Y,AB$1,'PV SUPPLY DATA'!$AQ:$AQ,"cosco")+SUMIFS('PV SUPPLY DATA'!$X:$X,'PV SUPPLY DATA'!$AH:$AH,'CT capacity tracker'!$B42,'PV SUPPLY DATA'!$AG:$AG,'CT capacity tracker'!$A$1,'PV SUPPLY DATA'!$Y:$Y,AB$1,'PV SUPPLY DATA'!$AQ:$AQ,"other")+SUMIFS('ESS SUPPLY DATA'!$U:$U,'ESS SUPPLY DATA'!$AF:$AF,'CT capacity tracker'!$B42,'ESS SUPPLY DATA'!$AE:$AE,'CT capacity tracker'!$A$1,'ESS SUPPLY DATA'!$W:$W,'CT capacity tracker'!AB$1,'ESS SUPPLY DATA'!$AO:$AO,"cosco")+SUMIFS('ESS SUPPLY DATA'!$U:$U,'ESS SUPPLY DATA'!$AF:$AF,'CT capacity tracker'!$B42,'ESS SUPPLY DATA'!$AE:$AE,'CT capacity tracker'!$A$1,'ESS SUPPLY DATA'!$W:$W,'CT capacity tracker'!AB$1,'ESS SUPPLY DATA'!$AO:$AO,"other")</f>
        <v>0</v>
      </c>
      <c r="AC45" s="504">
        <f>SUMIFS('PV SUPPLY DATA'!$X:$X,'PV SUPPLY DATA'!$AH:$AH,'CT capacity tracker'!$B42,'PV SUPPLY DATA'!$AG:$AG,'CT capacity tracker'!$A$1,'PV SUPPLY DATA'!$Y:$Y,AC$1,'PV SUPPLY DATA'!$AQ:$AQ,"cosco")+SUMIFS('PV SUPPLY DATA'!$X:$X,'PV SUPPLY DATA'!$AH:$AH,'CT capacity tracker'!$B42,'PV SUPPLY DATA'!$AG:$AG,'CT capacity tracker'!$A$1,'PV SUPPLY DATA'!$Y:$Y,AC$1,'PV SUPPLY DATA'!$AQ:$AQ,"other")+SUMIFS('ESS SUPPLY DATA'!$U:$U,'ESS SUPPLY DATA'!$AF:$AF,'CT capacity tracker'!$B42,'ESS SUPPLY DATA'!$AE:$AE,'CT capacity tracker'!$A$1,'ESS SUPPLY DATA'!$W:$W,'CT capacity tracker'!AC$1,'ESS SUPPLY DATA'!$AO:$AO,"cosco")+SUMIFS('ESS SUPPLY DATA'!$U:$U,'ESS SUPPLY DATA'!$AF:$AF,'CT capacity tracker'!$B42,'ESS SUPPLY DATA'!$AE:$AE,'CT capacity tracker'!$A$1,'ESS SUPPLY DATA'!$W:$W,'CT capacity tracker'!AC$1,'ESS SUPPLY DATA'!$AO:$AO,"other")</f>
        <v>0</v>
      </c>
      <c r="AD45" s="504">
        <f>SUMIFS('PV SUPPLY DATA'!$X:$X,'PV SUPPLY DATA'!$AH:$AH,'CT capacity tracker'!$B42,'PV SUPPLY DATA'!$AG:$AG,'CT capacity tracker'!$A$1,'PV SUPPLY DATA'!$Y:$Y,AD$1,'PV SUPPLY DATA'!$AQ:$AQ,"cosco")+SUMIFS('PV SUPPLY DATA'!$X:$X,'PV SUPPLY DATA'!$AH:$AH,'CT capacity tracker'!$B42,'PV SUPPLY DATA'!$AG:$AG,'CT capacity tracker'!$A$1,'PV SUPPLY DATA'!$Y:$Y,AD$1,'PV SUPPLY DATA'!$AQ:$AQ,"other")+SUMIFS('ESS SUPPLY DATA'!$U:$U,'ESS SUPPLY DATA'!$AF:$AF,'CT capacity tracker'!$B42,'ESS SUPPLY DATA'!$AE:$AE,'CT capacity tracker'!$A$1,'ESS SUPPLY DATA'!$W:$W,'CT capacity tracker'!AD$1,'ESS SUPPLY DATA'!$AO:$AO,"cosco")+SUMIFS('ESS SUPPLY DATA'!$U:$U,'ESS SUPPLY DATA'!$AF:$AF,'CT capacity tracker'!$B42,'ESS SUPPLY DATA'!$AE:$AE,'CT capacity tracker'!$A$1,'ESS SUPPLY DATA'!$W:$W,'CT capacity tracker'!AD$1,'ESS SUPPLY DATA'!$AO:$AO,"other")</f>
        <v>0</v>
      </c>
      <c r="AE45" s="504">
        <f>SUMIFS('PV SUPPLY DATA'!$X:$X,'PV SUPPLY DATA'!$AH:$AH,'CT capacity tracker'!$B42,'PV SUPPLY DATA'!$AG:$AG,'CT capacity tracker'!$A$1,'PV SUPPLY DATA'!$Y:$Y,AE$1,'PV SUPPLY DATA'!$AQ:$AQ,"cosco")+SUMIFS('PV SUPPLY DATA'!$X:$X,'PV SUPPLY DATA'!$AH:$AH,'CT capacity tracker'!$B42,'PV SUPPLY DATA'!$AG:$AG,'CT capacity tracker'!$A$1,'PV SUPPLY DATA'!$Y:$Y,AE$1,'PV SUPPLY DATA'!$AQ:$AQ,"other")+SUMIFS('ESS SUPPLY DATA'!$U:$U,'ESS SUPPLY DATA'!$AF:$AF,'CT capacity tracker'!$B42,'ESS SUPPLY DATA'!$AE:$AE,'CT capacity tracker'!$A$1,'ESS SUPPLY DATA'!$W:$W,'CT capacity tracker'!AE$1,'ESS SUPPLY DATA'!$AO:$AO,"cosco")+SUMIFS('ESS SUPPLY DATA'!$U:$U,'ESS SUPPLY DATA'!$AF:$AF,'CT capacity tracker'!$B42,'ESS SUPPLY DATA'!$AE:$AE,'CT capacity tracker'!$A$1,'ESS SUPPLY DATA'!$W:$W,'CT capacity tracker'!AE$1,'ESS SUPPLY DATA'!$AO:$AO,"other")</f>
        <v>0</v>
      </c>
      <c r="AF45" s="504">
        <f>SUMIFS('PV SUPPLY DATA'!$X:$X,'PV SUPPLY DATA'!$AH:$AH,'CT capacity tracker'!$B42,'PV SUPPLY DATA'!$AG:$AG,'CT capacity tracker'!$A$1,'PV SUPPLY DATA'!$Y:$Y,AF$1,'PV SUPPLY DATA'!$AQ:$AQ,"cosco")+SUMIFS('PV SUPPLY DATA'!$X:$X,'PV SUPPLY DATA'!$AH:$AH,'CT capacity tracker'!$B42,'PV SUPPLY DATA'!$AG:$AG,'CT capacity tracker'!$A$1,'PV SUPPLY DATA'!$Y:$Y,AF$1,'PV SUPPLY DATA'!$AQ:$AQ,"other")+SUMIFS('ESS SUPPLY DATA'!$U:$U,'ESS SUPPLY DATA'!$AF:$AF,'CT capacity tracker'!$B42,'ESS SUPPLY DATA'!$AE:$AE,'CT capacity tracker'!$A$1,'ESS SUPPLY DATA'!$W:$W,'CT capacity tracker'!AF$1,'ESS SUPPLY DATA'!$AO:$AO,"cosco")+SUMIFS('ESS SUPPLY DATA'!$U:$U,'ESS SUPPLY DATA'!$AF:$AF,'CT capacity tracker'!$B42,'ESS SUPPLY DATA'!$AE:$AE,'CT capacity tracker'!$A$1,'ESS SUPPLY DATA'!$W:$W,'CT capacity tracker'!AF$1,'ESS SUPPLY DATA'!$AO:$AO,"other")</f>
        <v>0</v>
      </c>
      <c r="AG45" s="504">
        <f>SUMIFS('PV SUPPLY DATA'!$X:$X,'PV SUPPLY DATA'!$AH:$AH,'CT capacity tracker'!$B42,'PV SUPPLY DATA'!$AG:$AG,'CT capacity tracker'!$A$1,'PV SUPPLY DATA'!$Y:$Y,AG$1,'PV SUPPLY DATA'!$AQ:$AQ,"cosco")+SUMIFS('PV SUPPLY DATA'!$X:$X,'PV SUPPLY DATA'!$AH:$AH,'CT capacity tracker'!$B42,'PV SUPPLY DATA'!$AG:$AG,'CT capacity tracker'!$A$1,'PV SUPPLY DATA'!$Y:$Y,AG$1,'PV SUPPLY DATA'!$AQ:$AQ,"other")+SUMIFS('ESS SUPPLY DATA'!$U:$U,'ESS SUPPLY DATA'!$AF:$AF,'CT capacity tracker'!$B42,'ESS SUPPLY DATA'!$AE:$AE,'CT capacity tracker'!$A$1,'ESS SUPPLY DATA'!$W:$W,'CT capacity tracker'!AG$1,'ESS SUPPLY DATA'!$AO:$AO,"cosco")+SUMIFS('ESS SUPPLY DATA'!$U:$U,'ESS SUPPLY DATA'!$AF:$AF,'CT capacity tracker'!$B42,'ESS SUPPLY DATA'!$AE:$AE,'CT capacity tracker'!$A$1,'ESS SUPPLY DATA'!$W:$W,'CT capacity tracker'!AG$1,'ESS SUPPLY DATA'!$AO:$AO,"other")</f>
        <v>0</v>
      </c>
      <c r="AH45" s="504">
        <f>SUMIFS('PV SUPPLY DATA'!$X:$X,'PV SUPPLY DATA'!$AH:$AH,'CT capacity tracker'!$B42,'PV SUPPLY DATA'!$AG:$AG,'CT capacity tracker'!$A$1,'PV SUPPLY DATA'!$Y:$Y,AH$1,'PV SUPPLY DATA'!$AQ:$AQ,"cosco")+SUMIFS('PV SUPPLY DATA'!$X:$X,'PV SUPPLY DATA'!$AH:$AH,'CT capacity tracker'!$B42,'PV SUPPLY DATA'!$AG:$AG,'CT capacity tracker'!$A$1,'PV SUPPLY DATA'!$Y:$Y,AH$1,'PV SUPPLY DATA'!$AQ:$AQ,"other")+SUMIFS('ESS SUPPLY DATA'!$U:$U,'ESS SUPPLY DATA'!$AF:$AF,'CT capacity tracker'!$B42,'ESS SUPPLY DATA'!$AE:$AE,'CT capacity tracker'!$A$1,'ESS SUPPLY DATA'!$W:$W,'CT capacity tracker'!AH$1,'ESS SUPPLY DATA'!$AO:$AO,"cosco")+SUMIFS('ESS SUPPLY DATA'!$U:$U,'ESS SUPPLY DATA'!$AF:$AF,'CT capacity tracker'!$B42,'ESS SUPPLY DATA'!$AE:$AE,'CT capacity tracker'!$A$1,'ESS SUPPLY DATA'!$W:$W,'CT capacity tracker'!AH$1,'ESS SUPPLY DATA'!$AO:$AO,"other")</f>
        <v>0</v>
      </c>
      <c r="AI45" s="504">
        <f>SUMIFS('PV SUPPLY DATA'!$X:$X,'PV SUPPLY DATA'!$AH:$AH,'CT capacity tracker'!$B42,'PV SUPPLY DATA'!$AG:$AG,'CT capacity tracker'!$A$1,'PV SUPPLY DATA'!$Y:$Y,AI$1,'PV SUPPLY DATA'!$AQ:$AQ,"cosco")+SUMIFS('PV SUPPLY DATA'!$X:$X,'PV SUPPLY DATA'!$AH:$AH,'CT capacity tracker'!$B42,'PV SUPPLY DATA'!$AG:$AG,'CT capacity tracker'!$A$1,'PV SUPPLY DATA'!$Y:$Y,AI$1,'PV SUPPLY DATA'!$AQ:$AQ,"other")+SUMIFS('ESS SUPPLY DATA'!$U:$U,'ESS SUPPLY DATA'!$AF:$AF,'CT capacity tracker'!$B42,'ESS SUPPLY DATA'!$AE:$AE,'CT capacity tracker'!$A$1,'ESS SUPPLY DATA'!$W:$W,'CT capacity tracker'!AI$1,'ESS SUPPLY DATA'!$AO:$AO,"cosco")+SUMIFS('ESS SUPPLY DATA'!$U:$U,'ESS SUPPLY DATA'!$AF:$AF,'CT capacity tracker'!$B42,'ESS SUPPLY DATA'!$AE:$AE,'CT capacity tracker'!$A$1,'ESS SUPPLY DATA'!$W:$W,'CT capacity tracker'!AI$1,'ESS SUPPLY DATA'!$AO:$AO,"other")</f>
        <v>0</v>
      </c>
      <c r="AJ45" s="504">
        <f>SUMIFS('PV SUPPLY DATA'!$X:$X,'PV SUPPLY DATA'!$AH:$AH,'CT capacity tracker'!$B42,'PV SUPPLY DATA'!$AG:$AG,'CT capacity tracker'!$A$1,'PV SUPPLY DATA'!$Y:$Y,AJ$1,'PV SUPPLY DATA'!$AQ:$AQ,"cosco")+SUMIFS('PV SUPPLY DATA'!$X:$X,'PV SUPPLY DATA'!$AH:$AH,'CT capacity tracker'!$B42,'PV SUPPLY DATA'!$AG:$AG,'CT capacity tracker'!$A$1,'PV SUPPLY DATA'!$Y:$Y,AJ$1,'PV SUPPLY DATA'!$AQ:$AQ,"other")+SUMIFS('ESS SUPPLY DATA'!$U:$U,'ESS SUPPLY DATA'!$AF:$AF,'CT capacity tracker'!$B42,'ESS SUPPLY DATA'!$AE:$AE,'CT capacity tracker'!$A$1,'ESS SUPPLY DATA'!$W:$W,'CT capacity tracker'!AJ$1,'ESS SUPPLY DATA'!$AO:$AO,"cosco")+SUMIFS('ESS SUPPLY DATA'!$U:$U,'ESS SUPPLY DATA'!$AF:$AF,'CT capacity tracker'!$B42,'ESS SUPPLY DATA'!$AE:$AE,'CT capacity tracker'!$A$1,'ESS SUPPLY DATA'!$W:$W,'CT capacity tracker'!AJ$1,'ESS SUPPLY DATA'!$AO:$AO,"other")</f>
        <v>0</v>
      </c>
      <c r="AK45" s="511"/>
      <c r="AL45" s="511"/>
      <c r="AM45" s="696">
        <f>SUM(E45:X45)</f>
        <v>55</v>
      </c>
      <c r="AN45" s="503"/>
      <c r="AO45" s="506"/>
      <c r="AP45" s="506"/>
      <c r="AQ45" s="506"/>
      <c r="AR45" s="506"/>
      <c r="AS45" s="506"/>
      <c r="AT45" s="506"/>
    </row>
    <row r="46" spans="1:46" ht="14.25" customHeight="1">
      <c r="A46" s="1510" t="s">
        <v>4406</v>
      </c>
      <c r="B46" s="1511"/>
      <c r="C46" s="514" t="s">
        <v>4400</v>
      </c>
      <c r="D46" s="515">
        <f t="shared" ref="D46:R46" si="33">D26+D30++D34+D38</f>
        <v>118</v>
      </c>
      <c r="E46" s="515">
        <f t="shared" si="33"/>
        <v>0</v>
      </c>
      <c r="F46" s="515">
        <f t="shared" si="33"/>
        <v>0</v>
      </c>
      <c r="G46" s="515">
        <f t="shared" si="33"/>
        <v>3</v>
      </c>
      <c r="H46" s="515">
        <f t="shared" si="33"/>
        <v>31</v>
      </c>
      <c r="I46" s="515">
        <f t="shared" si="33"/>
        <v>33</v>
      </c>
      <c r="J46" s="515">
        <f t="shared" si="33"/>
        <v>42.07</v>
      </c>
      <c r="K46" s="515">
        <f t="shared" si="33"/>
        <v>26.997142857142858</v>
      </c>
      <c r="L46" s="515">
        <f t="shared" si="33"/>
        <v>29</v>
      </c>
      <c r="M46" s="515">
        <f t="shared" si="33"/>
        <v>24.99818181818182</v>
      </c>
      <c r="N46" s="515">
        <f t="shared" si="33"/>
        <v>21</v>
      </c>
      <c r="O46" s="515">
        <f t="shared" si="33"/>
        <v>29.858928571428571</v>
      </c>
      <c r="P46" s="515">
        <f>P26+P30++P34+P38</f>
        <v>34</v>
      </c>
      <c r="Q46" s="515">
        <f t="shared" si="33"/>
        <v>23.001785714285713</v>
      </c>
      <c r="R46" s="515">
        <f t="shared" si="33"/>
        <v>32</v>
      </c>
      <c r="S46" s="515">
        <f t="shared" ref="S46:AB49" si="34">S26+S30++S34+S38+S42</f>
        <v>30</v>
      </c>
      <c r="T46" s="515">
        <f t="shared" si="34"/>
        <v>26</v>
      </c>
      <c r="U46" s="515">
        <f t="shared" si="34"/>
        <v>30</v>
      </c>
      <c r="V46" s="515">
        <f t="shared" si="34"/>
        <v>29</v>
      </c>
      <c r="W46" s="515">
        <f t="shared" si="34"/>
        <v>12</v>
      </c>
      <c r="X46" s="515">
        <f t="shared" si="34"/>
        <v>15</v>
      </c>
      <c r="Y46" s="515">
        <f t="shared" si="34"/>
        <v>17</v>
      </c>
      <c r="Z46" s="515">
        <f t="shared" si="34"/>
        <v>17.830769230769231</v>
      </c>
      <c r="AA46" s="515">
        <f t="shared" si="34"/>
        <v>19</v>
      </c>
      <c r="AB46" s="515">
        <f t="shared" si="34"/>
        <v>27</v>
      </c>
      <c r="AC46" s="515">
        <f t="shared" ref="AC46:AJ46" si="35">AC26+AC30++AC34+AC38+AC42</f>
        <v>18</v>
      </c>
      <c r="AD46" s="515">
        <f t="shared" si="35"/>
        <v>21</v>
      </c>
      <c r="AE46" s="515">
        <f t="shared" si="35"/>
        <v>5</v>
      </c>
      <c r="AF46" s="515">
        <f t="shared" si="35"/>
        <v>8</v>
      </c>
      <c r="AG46" s="515">
        <f t="shared" si="35"/>
        <v>6</v>
      </c>
      <c r="AH46" s="515">
        <f t="shared" si="35"/>
        <v>23</v>
      </c>
      <c r="AI46" s="515">
        <f t="shared" si="35"/>
        <v>6</v>
      </c>
      <c r="AJ46" s="515">
        <f t="shared" si="35"/>
        <v>0</v>
      </c>
      <c r="AK46" s="505" t="s">
        <v>197</v>
      </c>
      <c r="AL46" s="505" t="s">
        <v>197</v>
      </c>
      <c r="AM46" s="697">
        <f>SUM(E46:X46)</f>
        <v>471.9260389610389</v>
      </c>
      <c r="AN46" s="503" t="s">
        <v>197</v>
      </c>
      <c r="AO46" s="696">
        <f>SUM(T46:X46)</f>
        <v>112</v>
      </c>
      <c r="AP46" s="506">
        <f t="shared" si="3"/>
        <v>109.07</v>
      </c>
      <c r="AQ46" s="506"/>
      <c r="AR46" s="506"/>
      <c r="AS46" s="506"/>
      <c r="AT46" s="506"/>
    </row>
    <row r="47" spans="1:46" ht="13">
      <c r="A47" s="1512"/>
      <c r="B47" s="1513"/>
      <c r="C47" s="516" t="s">
        <v>4401</v>
      </c>
      <c r="D47" s="515"/>
      <c r="E47" s="515">
        <f t="shared" ref="E47:R47" si="36">E27+E31++E35+E39</f>
        <v>27</v>
      </c>
      <c r="F47" s="515">
        <f t="shared" si="36"/>
        <v>23</v>
      </c>
      <c r="G47" s="515">
        <f t="shared" si="36"/>
        <v>32</v>
      </c>
      <c r="H47" s="515">
        <f t="shared" si="36"/>
        <v>25</v>
      </c>
      <c r="I47" s="515">
        <f t="shared" si="36"/>
        <v>44</v>
      </c>
      <c r="J47" s="515">
        <f t="shared" si="36"/>
        <v>32</v>
      </c>
      <c r="K47" s="515">
        <f t="shared" si="36"/>
        <v>33</v>
      </c>
      <c r="L47" s="515">
        <f t="shared" si="36"/>
        <v>29</v>
      </c>
      <c r="M47" s="515">
        <f t="shared" si="36"/>
        <v>25</v>
      </c>
      <c r="N47" s="515">
        <f t="shared" si="36"/>
        <v>7</v>
      </c>
      <c r="O47" s="515">
        <f t="shared" si="36"/>
        <v>19</v>
      </c>
      <c r="P47" s="515">
        <f t="shared" si="36"/>
        <v>25</v>
      </c>
      <c r="Q47" s="515">
        <f t="shared" si="36"/>
        <v>45</v>
      </c>
      <c r="R47" s="515">
        <f t="shared" si="36"/>
        <v>38</v>
      </c>
      <c r="S47" s="515">
        <f t="shared" si="34"/>
        <v>23</v>
      </c>
      <c r="T47" s="515">
        <f t="shared" si="34"/>
        <v>27</v>
      </c>
      <c r="U47" s="515">
        <f t="shared" si="34"/>
        <v>24</v>
      </c>
      <c r="V47" s="515">
        <f t="shared" si="34"/>
        <v>39</v>
      </c>
      <c r="W47" s="515">
        <f t="shared" si="34"/>
        <v>17</v>
      </c>
      <c r="X47" s="515">
        <f t="shared" si="34"/>
        <v>15</v>
      </c>
      <c r="Y47" s="515">
        <f t="shared" ref="Y47:AB48" si="37">Y27+Y31++Y35+Y39+Y43</f>
        <v>12</v>
      </c>
      <c r="Z47" s="515">
        <f t="shared" si="37"/>
        <v>17</v>
      </c>
      <c r="AA47" s="515">
        <f t="shared" si="37"/>
        <v>17</v>
      </c>
      <c r="AB47" s="515">
        <f t="shared" si="37"/>
        <v>12</v>
      </c>
      <c r="AC47" s="515"/>
      <c r="AD47" s="515"/>
      <c r="AE47" s="515"/>
      <c r="AF47" s="515"/>
      <c r="AG47" s="515"/>
      <c r="AH47" s="515"/>
      <c r="AI47" s="515"/>
      <c r="AJ47" s="515"/>
      <c r="AK47" s="505" t="s">
        <v>197</v>
      </c>
      <c r="AL47" s="505" t="s">
        <v>197</v>
      </c>
      <c r="AM47" s="505"/>
      <c r="AN47" s="503" t="s">
        <v>197</v>
      </c>
      <c r="AO47" s="506"/>
      <c r="AP47" s="506">
        <f t="shared" si="3"/>
        <v>133</v>
      </c>
      <c r="AQ47" s="506"/>
      <c r="AR47" s="506"/>
      <c r="AS47" s="506"/>
      <c r="AT47" s="506"/>
    </row>
    <row r="48" spans="1:46" ht="13">
      <c r="A48" s="1512"/>
      <c r="B48" s="1513"/>
      <c r="C48" s="521" t="s">
        <v>4402</v>
      </c>
      <c r="D48" s="523"/>
      <c r="E48" s="523">
        <f t="shared" ref="E48:R48" si="38">E28+E32++E36+E40</f>
        <v>27</v>
      </c>
      <c r="F48" s="523">
        <f t="shared" si="38"/>
        <v>23</v>
      </c>
      <c r="G48" s="523">
        <f t="shared" si="38"/>
        <v>29</v>
      </c>
      <c r="H48" s="523">
        <f t="shared" si="38"/>
        <v>-6</v>
      </c>
      <c r="I48" s="523">
        <f t="shared" si="38"/>
        <v>11</v>
      </c>
      <c r="J48" s="523">
        <f t="shared" si="38"/>
        <v>-10.07</v>
      </c>
      <c r="K48" s="523">
        <f t="shared" si="38"/>
        <v>6.0028571428571418</v>
      </c>
      <c r="L48" s="523">
        <f t="shared" si="38"/>
        <v>0</v>
      </c>
      <c r="M48" s="523">
        <f t="shared" si="38"/>
        <v>1.8181818181819409E-3</v>
      </c>
      <c r="N48" s="523">
        <f t="shared" si="38"/>
        <v>-14</v>
      </c>
      <c r="O48" s="523">
        <f t="shared" si="38"/>
        <v>-10.858928571428571</v>
      </c>
      <c r="P48" s="523">
        <f t="shared" si="38"/>
        <v>-9</v>
      </c>
      <c r="Q48" s="523">
        <f t="shared" si="38"/>
        <v>21.998214285714287</v>
      </c>
      <c r="R48" s="523">
        <f t="shared" si="38"/>
        <v>6</v>
      </c>
      <c r="S48" s="523">
        <f t="shared" si="34"/>
        <v>-7</v>
      </c>
      <c r="T48" s="523">
        <f t="shared" si="34"/>
        <v>1</v>
      </c>
      <c r="U48" s="523">
        <f t="shared" si="34"/>
        <v>-6</v>
      </c>
      <c r="V48" s="523">
        <f t="shared" si="34"/>
        <v>10</v>
      </c>
      <c r="W48" s="523">
        <f t="shared" si="34"/>
        <v>5</v>
      </c>
      <c r="X48" s="523">
        <f t="shared" si="34"/>
        <v>0</v>
      </c>
      <c r="Y48" s="523">
        <f t="shared" si="37"/>
        <v>-5</v>
      </c>
      <c r="Z48" s="523">
        <f t="shared" si="37"/>
        <v>-0.83076923076923048</v>
      </c>
      <c r="AA48" s="523">
        <f t="shared" si="37"/>
        <v>-2</v>
      </c>
      <c r="AB48" s="523">
        <f t="shared" si="37"/>
        <v>-15</v>
      </c>
      <c r="AC48" s="523"/>
      <c r="AD48" s="523"/>
      <c r="AE48" s="523"/>
      <c r="AF48" s="523"/>
      <c r="AG48" s="523"/>
      <c r="AH48" s="523"/>
      <c r="AI48" s="523"/>
      <c r="AJ48" s="523"/>
      <c r="AK48" s="511">
        <f>SUMIF($E48:$X48,"&gt;0")</f>
        <v>140.00288961038962</v>
      </c>
      <c r="AL48" s="511">
        <f>SUMIF($E48:$X48,"&lt;0")</f>
        <v>-62.928928571428571</v>
      </c>
      <c r="AM48" s="511"/>
      <c r="AN48" s="503" t="s">
        <v>197</v>
      </c>
      <c r="AO48" s="506"/>
      <c r="AP48" s="517">
        <f t="shared" si="3"/>
        <v>23.93</v>
      </c>
      <c r="AQ48" s="506"/>
      <c r="AR48" s="506"/>
      <c r="AS48" s="506"/>
      <c r="AT48" s="506"/>
    </row>
    <row r="49" spans="1:46" ht="13">
      <c r="A49" s="1514"/>
      <c r="B49" s="1515"/>
      <c r="C49" s="694" t="s">
        <v>4403</v>
      </c>
      <c r="D49" s="523"/>
      <c r="E49" s="515">
        <f t="shared" ref="E49:R49" si="39">E29+E33++E37+E41</f>
        <v>0</v>
      </c>
      <c r="F49" s="515">
        <f t="shared" si="39"/>
        <v>0</v>
      </c>
      <c r="G49" s="515">
        <f t="shared" si="39"/>
        <v>3</v>
      </c>
      <c r="H49" s="515">
        <f t="shared" si="39"/>
        <v>31</v>
      </c>
      <c r="I49" s="515">
        <f t="shared" si="39"/>
        <v>33</v>
      </c>
      <c r="J49" s="515">
        <f t="shared" si="39"/>
        <v>42.07</v>
      </c>
      <c r="K49" s="515">
        <f t="shared" si="39"/>
        <v>26.997142857142855</v>
      </c>
      <c r="L49" s="515">
        <f t="shared" si="39"/>
        <v>29</v>
      </c>
      <c r="M49" s="515">
        <f t="shared" si="39"/>
        <v>24.99818181818182</v>
      </c>
      <c r="N49" s="515">
        <f t="shared" si="39"/>
        <v>21</v>
      </c>
      <c r="O49" s="515">
        <f t="shared" si="39"/>
        <v>29.858928571428571</v>
      </c>
      <c r="P49" s="515">
        <f t="shared" si="39"/>
        <v>34</v>
      </c>
      <c r="Q49" s="515">
        <f t="shared" si="39"/>
        <v>23.001785714285713</v>
      </c>
      <c r="R49" s="515">
        <f t="shared" si="39"/>
        <v>32</v>
      </c>
      <c r="S49" s="515">
        <f t="shared" si="34"/>
        <v>30</v>
      </c>
      <c r="T49" s="515">
        <f t="shared" si="34"/>
        <v>26</v>
      </c>
      <c r="U49" s="515">
        <f t="shared" si="34"/>
        <v>30</v>
      </c>
      <c r="V49" s="515">
        <f t="shared" si="34"/>
        <v>29</v>
      </c>
      <c r="W49" s="515">
        <f t="shared" si="34"/>
        <v>12</v>
      </c>
      <c r="X49" s="515">
        <f t="shared" si="34"/>
        <v>15</v>
      </c>
      <c r="Y49" s="515">
        <f t="shared" si="34"/>
        <v>13</v>
      </c>
      <c r="Z49" s="515">
        <f t="shared" si="34"/>
        <v>17.830769230769231</v>
      </c>
      <c r="AA49" s="515">
        <f t="shared" si="34"/>
        <v>19</v>
      </c>
      <c r="AB49" s="515">
        <f t="shared" si="34"/>
        <v>23</v>
      </c>
      <c r="AC49" s="515">
        <f t="shared" ref="AC49:AJ49" si="40">AC29+AC33++AC37+AC41+AC45</f>
        <v>12</v>
      </c>
      <c r="AD49" s="515">
        <f t="shared" si="40"/>
        <v>10</v>
      </c>
      <c r="AE49" s="515">
        <f t="shared" si="40"/>
        <v>0</v>
      </c>
      <c r="AF49" s="515">
        <f t="shared" si="40"/>
        <v>0</v>
      </c>
      <c r="AG49" s="515">
        <f t="shared" si="40"/>
        <v>0</v>
      </c>
      <c r="AH49" s="515">
        <f t="shared" si="40"/>
        <v>0</v>
      </c>
      <c r="AI49" s="515">
        <f t="shared" si="40"/>
        <v>0</v>
      </c>
      <c r="AJ49" s="515">
        <f t="shared" si="40"/>
        <v>0</v>
      </c>
      <c r="AK49" s="511"/>
      <c r="AL49" s="511"/>
      <c r="AM49" s="697">
        <f>SUM(E49:X49)</f>
        <v>471.9260389610389</v>
      </c>
      <c r="AN49" s="503"/>
      <c r="AO49" s="696">
        <f>SUM(T49:W49)</f>
        <v>97</v>
      </c>
      <c r="AP49" s="693"/>
      <c r="AQ49" s="506"/>
      <c r="AR49" s="506"/>
      <c r="AS49" s="506"/>
      <c r="AT49" s="506"/>
    </row>
    <row r="50" spans="1:46" ht="13">
      <c r="A50" s="1509" t="s">
        <v>4398</v>
      </c>
      <c r="B50" s="1509"/>
      <c r="C50" s="503" t="s">
        <v>197</v>
      </c>
      <c r="D50" s="503"/>
      <c r="E50" s="508"/>
      <c r="F50" s="508"/>
      <c r="G50" s="508"/>
      <c r="H50" s="508"/>
      <c r="I50" s="508"/>
      <c r="J50" s="508"/>
      <c r="K50" s="508"/>
      <c r="L50" s="508"/>
      <c r="M50" s="508"/>
      <c r="N50" s="508"/>
      <c r="O50" s="508"/>
      <c r="P50" s="508"/>
      <c r="Q50" s="508"/>
      <c r="R50" s="508"/>
      <c r="S50" s="508"/>
      <c r="T50" s="508"/>
      <c r="U50" s="508"/>
      <c r="V50" s="508"/>
      <c r="W50" s="508"/>
      <c r="X50" s="508"/>
      <c r="Y50" s="508"/>
      <c r="Z50" s="508"/>
      <c r="AA50" s="508"/>
      <c r="AB50" s="508"/>
      <c r="AC50" s="508"/>
      <c r="AD50" s="508"/>
      <c r="AE50" s="508"/>
      <c r="AF50" s="508"/>
      <c r="AG50" s="508"/>
      <c r="AH50" s="508"/>
      <c r="AI50" s="508"/>
      <c r="AJ50" s="508"/>
      <c r="AK50" s="508" t="s">
        <v>197</v>
      </c>
      <c r="AL50" s="508" t="s">
        <v>197</v>
      </c>
      <c r="AM50" s="508"/>
      <c r="AN50" s="503" t="s">
        <v>197</v>
      </c>
      <c r="AO50" s="506"/>
      <c r="AP50" s="506">
        <f t="shared" si="3"/>
        <v>0</v>
      </c>
      <c r="AQ50" s="506"/>
      <c r="AR50" s="506"/>
      <c r="AS50" s="506"/>
      <c r="AT50" s="506"/>
    </row>
    <row r="51" spans="1:46" s="502" customFormat="1" ht="26">
      <c r="A51" s="496" t="s">
        <v>61</v>
      </c>
      <c r="B51" s="496"/>
      <c r="C51" s="496" t="s">
        <v>197</v>
      </c>
      <c r="D51" s="496" t="s">
        <v>951</v>
      </c>
      <c r="E51" s="519" t="s">
        <v>4363</v>
      </c>
      <c r="F51" s="519" t="s">
        <v>4364</v>
      </c>
      <c r="G51" s="519" t="s">
        <v>4365</v>
      </c>
      <c r="H51" s="519" t="s">
        <v>4366</v>
      </c>
      <c r="I51" s="519" t="s">
        <v>4367</v>
      </c>
      <c r="J51" s="519" t="s">
        <v>4368</v>
      </c>
      <c r="K51" s="519" t="s">
        <v>4369</v>
      </c>
      <c r="L51" s="519" t="s">
        <v>4370</v>
      </c>
      <c r="M51" s="519" t="s">
        <v>4371</v>
      </c>
      <c r="N51" s="519" t="s">
        <v>4372</v>
      </c>
      <c r="O51" s="519" t="s">
        <v>4373</v>
      </c>
      <c r="P51" s="519" t="s">
        <v>4374</v>
      </c>
      <c r="Q51" s="496" t="s">
        <v>4375</v>
      </c>
      <c r="R51" s="496" t="s">
        <v>4376</v>
      </c>
      <c r="S51" s="496" t="s">
        <v>4377</v>
      </c>
      <c r="T51" s="496" t="s">
        <v>4378</v>
      </c>
      <c r="U51" s="496" t="s">
        <v>4379</v>
      </c>
      <c r="V51" s="496" t="s">
        <v>4380</v>
      </c>
      <c r="W51" s="496" t="s">
        <v>4381</v>
      </c>
      <c r="X51" s="496" t="s">
        <v>4382</v>
      </c>
      <c r="Y51" s="496" t="s">
        <v>4383</v>
      </c>
      <c r="Z51" s="496" t="s">
        <v>4384</v>
      </c>
      <c r="AA51" s="496" t="s">
        <v>4385</v>
      </c>
      <c r="AB51" s="496" t="s">
        <v>4386</v>
      </c>
      <c r="AC51" s="496"/>
      <c r="AD51" s="496"/>
      <c r="AE51" s="496"/>
      <c r="AF51" s="496"/>
      <c r="AG51" s="496"/>
      <c r="AH51" s="496"/>
      <c r="AI51" s="496"/>
      <c r="AJ51" s="496"/>
      <c r="AK51" s="498" t="s">
        <v>4395</v>
      </c>
      <c r="AL51" s="499" t="s">
        <v>4396</v>
      </c>
      <c r="AM51" s="500" t="s">
        <v>4397</v>
      </c>
      <c r="AN51" s="520" t="s">
        <v>197</v>
      </c>
      <c r="AO51" s="501"/>
      <c r="AP51" s="501">
        <f t="shared" si="3"/>
        <v>0</v>
      </c>
      <c r="AQ51" s="501"/>
      <c r="AR51" s="501"/>
      <c r="AS51" s="501"/>
      <c r="AT51" s="501"/>
    </row>
    <row r="52" spans="1:46" ht="13">
      <c r="A52" s="1516" t="s">
        <v>109</v>
      </c>
      <c r="B52" s="1516" t="s">
        <v>1084</v>
      </c>
      <c r="C52" s="503" t="s">
        <v>4400</v>
      </c>
      <c r="D52" s="504">
        <f>SUMIFS('PV SUPPLY DATA'!$X:$X,'PV SUPPLY DATA'!$AH:$AH,'CT capacity tracker'!$B52,'PV SUPPLY DATA'!$AG:$AG,'CT capacity tracker'!$A$1,'PV SUPPLY DATA'!$Z:$Z,'CT capacity tracker'!D$1)+SUMIFS('ESS SUPPLY DATA'!$U:$U,'ESS SUPPLY DATA'!$AF:$AF,'CT capacity tracker'!$B52,'ESS SUPPLY DATA'!$AE:$AE,'CT capacity tracker'!$A$1,'ESS SUPPLY DATA'!$X:$X,'CT capacity tracker'!D$1)</f>
        <v>0</v>
      </c>
      <c r="E52" s="504">
        <f>SUMIFS('PV SUPPLY DATA'!$X:$X,'PV SUPPLY DATA'!$AH:$AH,'CT capacity tracker'!$B52,'PV SUPPLY DATA'!$AG:$AG,$A$51,'PV SUPPLY DATA'!$Y:$Y,'CT capacity tracker'!E$1)+SUMIFS('ESS SUPPLY DATA'!$U:$U,'ESS SUPPLY DATA'!$AF:$AF,'CT capacity tracker'!$B52,'ESS SUPPLY DATA'!$AE:$AE,'CT capacity tracker'!$A$51,'ESS SUPPLY DATA'!$W:$W,'CT capacity tracker'!E$1)</f>
        <v>0</v>
      </c>
      <c r="F52" s="504">
        <f>SUMIFS('PV SUPPLY DATA'!$X:$X,'PV SUPPLY DATA'!$AH:$AH,'CT capacity tracker'!$B52,'PV SUPPLY DATA'!$AG:$AG,$A$51,'PV SUPPLY DATA'!$Y:$Y,'CT capacity tracker'!F$1)+SUMIFS('ESS SUPPLY DATA'!$U:$U,'ESS SUPPLY DATA'!$AF:$AF,'CT capacity tracker'!$B52,'ESS SUPPLY DATA'!$AE:$AE,'CT capacity tracker'!$A$51,'ESS SUPPLY DATA'!$W:$W,'CT capacity tracker'!F$1)</f>
        <v>0</v>
      </c>
      <c r="G52" s="504">
        <f>SUMIFS('PV SUPPLY DATA'!$X:$X,'PV SUPPLY DATA'!$AH:$AH,'CT capacity tracker'!$B52,'PV SUPPLY DATA'!$AG:$AG,$A$51,'PV SUPPLY DATA'!$Y:$Y,'CT capacity tracker'!G$1)+SUMIFS('ESS SUPPLY DATA'!$U:$U,'ESS SUPPLY DATA'!$AF:$AF,'CT capacity tracker'!$B52,'ESS SUPPLY DATA'!$AE:$AE,'CT capacity tracker'!$A$51,'ESS SUPPLY DATA'!$W:$W,'CT capacity tracker'!G$1)</f>
        <v>2</v>
      </c>
      <c r="H52" s="504">
        <f>SUMIFS('PV SUPPLY DATA'!$X:$X,'PV SUPPLY DATA'!$AH:$AH,'CT capacity tracker'!$B52,'PV SUPPLY DATA'!$AG:$AG,$A$51,'PV SUPPLY DATA'!$Y:$Y,'CT capacity tracker'!H$1)+SUMIFS('ESS SUPPLY DATA'!$U:$U,'ESS SUPPLY DATA'!$AF:$AF,'CT capacity tracker'!$B52,'ESS SUPPLY DATA'!$AE:$AE,'CT capacity tracker'!$A$51,'ESS SUPPLY DATA'!$W:$W,'CT capacity tracker'!H$1)</f>
        <v>0</v>
      </c>
      <c r="I52" s="504">
        <f>SUMIFS('PV SUPPLY DATA'!$X:$X,'PV SUPPLY DATA'!$AH:$AH,'CT capacity tracker'!$B52,'PV SUPPLY DATA'!$AG:$AG,$A$51,'PV SUPPLY DATA'!$Y:$Y,'CT capacity tracker'!I$1)+SUMIFS('ESS SUPPLY DATA'!$U:$U,'ESS SUPPLY DATA'!$AF:$AF,'CT capacity tracker'!$B52,'ESS SUPPLY DATA'!$AE:$AE,'CT capacity tracker'!$A$51,'ESS SUPPLY DATA'!$W:$W,'CT capacity tracker'!I$1)</f>
        <v>0</v>
      </c>
      <c r="J52" s="504">
        <f>SUMIFS('PV SUPPLY DATA'!$X:$X,'PV SUPPLY DATA'!$AH:$AH,'CT capacity tracker'!$B52,'PV SUPPLY DATA'!$AG:$AG,$A$51,'PV SUPPLY DATA'!$Y:$Y,'CT capacity tracker'!J$1)+SUMIFS('ESS SUPPLY DATA'!$U:$U,'ESS SUPPLY DATA'!$AF:$AF,'CT capacity tracker'!$B52,'ESS SUPPLY DATA'!$AE:$AE,'CT capacity tracker'!$A$51,'ESS SUPPLY DATA'!$W:$W,'CT capacity tracker'!J$1)</f>
        <v>0</v>
      </c>
      <c r="K52" s="504">
        <f>SUMIFS('PV SUPPLY DATA'!$X:$X,'PV SUPPLY DATA'!$AH:$AH,'CT capacity tracker'!$B52,'PV SUPPLY DATA'!$AG:$AG,$A$51,'PV SUPPLY DATA'!$Y:$Y,'CT capacity tracker'!K$1)+SUMIFS('ESS SUPPLY DATA'!$U:$U,'ESS SUPPLY DATA'!$AF:$AF,'CT capacity tracker'!$B52,'ESS SUPPLY DATA'!$AE:$AE,'CT capacity tracker'!$A$51,'ESS SUPPLY DATA'!$W:$W,'CT capacity tracker'!K$1)</f>
        <v>0</v>
      </c>
      <c r="L52" s="504">
        <f>SUMIFS('PV SUPPLY DATA'!$X:$X,'PV SUPPLY DATA'!$AH:$AH,'CT capacity tracker'!$B52,'PV SUPPLY DATA'!$AG:$AG,$A$51,'PV SUPPLY DATA'!$Y:$Y,'CT capacity tracker'!L$1)+SUMIFS('ESS SUPPLY DATA'!$U:$U,'ESS SUPPLY DATA'!$AF:$AF,'CT capacity tracker'!$B52,'ESS SUPPLY DATA'!$AE:$AE,'CT capacity tracker'!$A$51,'ESS SUPPLY DATA'!$W:$W,'CT capacity tracker'!L$1)</f>
        <v>0</v>
      </c>
      <c r="M52" s="504">
        <f>SUMIFS('PV SUPPLY DATA'!$X:$X,'PV SUPPLY DATA'!$AH:$AH,'CT capacity tracker'!$B52,'PV SUPPLY DATA'!$AG:$AG,$A$51,'PV SUPPLY DATA'!$Y:$Y,'CT capacity tracker'!M$1)+SUMIFS('ESS SUPPLY DATA'!$U:$U,'ESS SUPPLY DATA'!$AF:$AF,'CT capacity tracker'!$B52,'ESS SUPPLY DATA'!$AE:$AE,'CT capacity tracker'!$A$51,'ESS SUPPLY DATA'!$W:$W,'CT capacity tracker'!M$1)</f>
        <v>0</v>
      </c>
      <c r="N52" s="504">
        <f>SUMIFS('PV SUPPLY DATA'!$X:$X,'PV SUPPLY DATA'!$AH:$AH,'CT capacity tracker'!$B52,'PV SUPPLY DATA'!$AG:$AG,$A$51,'PV SUPPLY DATA'!$Y:$Y,'CT capacity tracker'!N$1)+SUMIFS('ESS SUPPLY DATA'!$U:$U,'ESS SUPPLY DATA'!$AF:$AF,'CT capacity tracker'!$B52,'ESS SUPPLY DATA'!$AE:$AE,'CT capacity tracker'!$A$51,'ESS SUPPLY DATA'!$W:$W,'CT capacity tracker'!N$1)</f>
        <v>0</v>
      </c>
      <c r="O52" s="504">
        <f>SUMIFS('PV SUPPLY DATA'!$X:$X,'PV SUPPLY DATA'!$AH:$AH,'CT capacity tracker'!$B52,'PV SUPPLY DATA'!$AG:$AG,$A$51,'PV SUPPLY DATA'!$Y:$Y,'CT capacity tracker'!O$1)+SUMIFS('ESS SUPPLY DATA'!$U:$U,'ESS SUPPLY DATA'!$AF:$AF,'CT capacity tracker'!$B52,'ESS SUPPLY DATA'!$AE:$AE,'CT capacity tracker'!$A$51,'ESS SUPPLY DATA'!$W:$W,'CT capacity tracker'!O$1)</f>
        <v>2</v>
      </c>
      <c r="P52" s="504">
        <f>SUMIFS('PV SUPPLY DATA'!$X:$X,'PV SUPPLY DATA'!$AH:$AH,'CT capacity tracker'!$B52,'PV SUPPLY DATA'!$AG:$AG,$A$51,'PV SUPPLY DATA'!$Y:$Y,'CT capacity tracker'!P$1)+SUMIFS('ESS SUPPLY DATA'!$U:$U,'ESS SUPPLY DATA'!$AF:$AF,'CT capacity tracker'!$B52,'ESS SUPPLY DATA'!$AE:$AE,'CT capacity tracker'!$A$51,'ESS SUPPLY DATA'!$W:$W,'CT capacity tracker'!P$1)</f>
        <v>0</v>
      </c>
      <c r="Q52" s="504">
        <f>SUMIFS('PV SUPPLY DATA'!$X:$X,'PV SUPPLY DATA'!$AH:$AH,'CT capacity tracker'!$B52,'PV SUPPLY DATA'!$AG:$AG,$A$51,'PV SUPPLY DATA'!$Y:$Y,'CT capacity tracker'!Q$1)+SUMIFS('ESS SUPPLY DATA'!$U:$U,'ESS SUPPLY DATA'!$AF:$AF,'CT capacity tracker'!$B52,'ESS SUPPLY DATA'!$AE:$AE,'CT capacity tracker'!$A$51,'ESS SUPPLY DATA'!$W:$W,'CT capacity tracker'!Q$1)</f>
        <v>0</v>
      </c>
      <c r="R52" s="504">
        <f>SUMIFS('PV SUPPLY DATA'!$X:$X,'PV SUPPLY DATA'!$AH:$AH,'CT capacity tracker'!$B52,'PV SUPPLY DATA'!$AG:$AG,$A$51,'PV SUPPLY DATA'!$Y:$Y,'CT capacity tracker'!R$1)+SUMIFS('ESS SUPPLY DATA'!$U:$U,'ESS SUPPLY DATA'!$AF:$AF,'CT capacity tracker'!$B52,'ESS SUPPLY DATA'!$AE:$AE,'CT capacity tracker'!$A$51,'ESS SUPPLY DATA'!$W:$W,'CT capacity tracker'!R$1)</f>
        <v>0</v>
      </c>
      <c r="S52" s="504">
        <f>SUMIFS('PV SUPPLY DATA'!$X:$X,'PV SUPPLY DATA'!$AH:$AH,'CT capacity tracker'!$B52,'PV SUPPLY DATA'!$AG:$AG,$A$51,'PV SUPPLY DATA'!$Y:$Y,'CT capacity tracker'!S$1)+SUMIFS('ESS SUPPLY DATA'!$U:$U,'ESS SUPPLY DATA'!$AF:$AF,'CT capacity tracker'!$B52,'ESS SUPPLY DATA'!$AE:$AE,'CT capacity tracker'!$A$51,'ESS SUPPLY DATA'!$W:$W,'CT capacity tracker'!S$1)</f>
        <v>0</v>
      </c>
      <c r="T52" s="504">
        <f>SUMIFS('PV SUPPLY DATA'!$X:$X,'PV SUPPLY DATA'!$AH:$AH,'CT capacity tracker'!$B52,'PV SUPPLY DATA'!$AG:$AG,$A$51,'PV SUPPLY DATA'!$Y:$Y,'CT capacity tracker'!T$1)+SUMIFS('ESS SUPPLY DATA'!$U:$U,'ESS SUPPLY DATA'!$AF:$AF,'CT capacity tracker'!$B52,'ESS SUPPLY DATA'!$AE:$AE,'CT capacity tracker'!$A$51,'ESS SUPPLY DATA'!$W:$W,'CT capacity tracker'!T$1)</f>
        <v>0</v>
      </c>
      <c r="U52" s="504">
        <f>SUMIFS('PV SUPPLY DATA'!$X:$X,'PV SUPPLY DATA'!$AH:$AH,'CT capacity tracker'!$B52,'PV SUPPLY DATA'!$AG:$AG,$A$51,'PV SUPPLY DATA'!$Y:$Y,'CT capacity tracker'!U$1)+SUMIFS('ESS SUPPLY DATA'!$U:$U,'ESS SUPPLY DATA'!$AF:$AF,'CT capacity tracker'!$B52,'ESS SUPPLY DATA'!$AE:$AE,'CT capacity tracker'!$A$51,'ESS SUPPLY DATA'!$W:$W,'CT capacity tracker'!U$1)</f>
        <v>0</v>
      </c>
      <c r="V52" s="504">
        <f>SUMIFS('PV SUPPLY DATA'!$X:$X,'PV SUPPLY DATA'!$AH:$AH,'CT capacity tracker'!$B52,'PV SUPPLY DATA'!$AG:$AG,$A$51,'PV SUPPLY DATA'!$Y:$Y,'CT capacity tracker'!V$1)+SUMIFS('ESS SUPPLY DATA'!$U:$U,'ESS SUPPLY DATA'!$AF:$AF,'CT capacity tracker'!$B52,'ESS SUPPLY DATA'!$AE:$AE,'CT capacity tracker'!$A$51,'ESS SUPPLY DATA'!$W:$W,'CT capacity tracker'!V$1)</f>
        <v>0</v>
      </c>
      <c r="W52" s="504">
        <f>SUMIFS('PV SUPPLY DATA'!$X:$X,'PV SUPPLY DATA'!$AH:$AH,'CT capacity tracker'!$B52,'PV SUPPLY DATA'!$AG:$AG,$A$51,'PV SUPPLY DATA'!$Y:$Y,'CT capacity tracker'!W$1)+SUMIFS('ESS SUPPLY DATA'!$U:$U,'ESS SUPPLY DATA'!$AF:$AF,'CT capacity tracker'!$B52,'ESS SUPPLY DATA'!$AE:$AE,'CT capacity tracker'!$A$51,'ESS SUPPLY DATA'!$W:$W,'CT capacity tracker'!W$1)</f>
        <v>0</v>
      </c>
      <c r="X52" s="504">
        <f>SUMIFS('PV SUPPLY DATA'!$X:$X,'PV SUPPLY DATA'!$AH:$AH,'CT capacity tracker'!$B52,'PV SUPPLY DATA'!$AG:$AG,$A$51,'PV SUPPLY DATA'!$Y:$Y,'CT capacity tracker'!X$1)+SUMIFS('ESS SUPPLY DATA'!$U:$U,'ESS SUPPLY DATA'!$AF:$AF,'CT capacity tracker'!$B52,'ESS SUPPLY DATA'!$AE:$AE,'CT capacity tracker'!$A$51,'ESS SUPPLY DATA'!$W:$W,'CT capacity tracker'!X$1)</f>
        <v>0</v>
      </c>
      <c r="Y52" s="504">
        <f>SUMIFS('PV SUPPLY DATA'!$X:$X,'PV SUPPLY DATA'!$AH:$AH,'CT capacity tracker'!$B52,'PV SUPPLY DATA'!$AG:$AG,$A$51,'PV SUPPLY DATA'!$Y:$Y,'CT capacity tracker'!Y$1)+SUMIFS('ESS SUPPLY DATA'!$U:$U,'ESS SUPPLY DATA'!$AF:$AF,'CT capacity tracker'!$B52,'ESS SUPPLY DATA'!$AE:$AE,'CT capacity tracker'!$A$51,'ESS SUPPLY DATA'!$W:$W,'CT capacity tracker'!Y$1)</f>
        <v>0</v>
      </c>
      <c r="Z52" s="504">
        <f>SUMIFS('PV SUPPLY DATA'!$X:$X,'PV SUPPLY DATA'!$AH:$AH,'CT capacity tracker'!$B52,'PV SUPPLY DATA'!$AG:$AG,$A$51,'PV SUPPLY DATA'!$Y:$Y,'CT capacity tracker'!Z$1)+SUMIFS('ESS SUPPLY DATA'!$U:$U,'ESS SUPPLY DATA'!$AF:$AF,'CT capacity tracker'!$B52,'ESS SUPPLY DATA'!$AE:$AE,'CT capacity tracker'!$A$51,'ESS SUPPLY DATA'!$W:$W,'CT capacity tracker'!Z$1)</f>
        <v>0</v>
      </c>
      <c r="AA52" s="504">
        <f>SUMIFS('PV SUPPLY DATA'!$X:$X,'PV SUPPLY DATA'!$AH:$AH,'CT capacity tracker'!$B52,'PV SUPPLY DATA'!$AG:$AG,$A$51,'PV SUPPLY DATA'!$Y:$Y,'CT capacity tracker'!AA$1)+SUMIFS('ESS SUPPLY DATA'!$U:$U,'ESS SUPPLY DATA'!$AF:$AF,'CT capacity tracker'!$B52,'ESS SUPPLY DATA'!$AE:$AE,'CT capacity tracker'!$A$51,'ESS SUPPLY DATA'!$W:$W,'CT capacity tracker'!AA$1)</f>
        <v>0</v>
      </c>
      <c r="AB52" s="504">
        <f>SUMIFS('PV SUPPLY DATA'!$X:$X,'PV SUPPLY DATA'!$AH:$AH,'CT capacity tracker'!$B52,'PV SUPPLY DATA'!$AG:$AG,$A$51,'PV SUPPLY DATA'!$Y:$Y,'CT capacity tracker'!AB$1)+SUMIFS('ESS SUPPLY DATA'!$U:$U,'ESS SUPPLY DATA'!$AF:$AF,'CT capacity tracker'!$B52,'ESS SUPPLY DATA'!$AE:$AE,'CT capacity tracker'!$A$51,'ESS SUPPLY DATA'!$W:$W,'CT capacity tracker'!AB$1)</f>
        <v>0</v>
      </c>
      <c r="AC52" s="504">
        <f>SUMIFS('PV SUPPLY DATA'!$X:$X,'PV SUPPLY DATA'!$AH:$AH,'CT capacity tracker'!$B52,'PV SUPPLY DATA'!$AG:$AG,$A$51,'PV SUPPLY DATA'!$Y:$Y,'CT capacity tracker'!AC$1)+SUMIFS('ESS SUPPLY DATA'!$U:$U,'ESS SUPPLY DATA'!$AF:$AF,'CT capacity tracker'!$B52,'ESS SUPPLY DATA'!$AE:$AE,'CT capacity tracker'!$A$51,'ESS SUPPLY DATA'!$W:$W,'CT capacity tracker'!AC$1)</f>
        <v>0</v>
      </c>
      <c r="AD52" s="504">
        <f>SUMIFS('PV SUPPLY DATA'!$X:$X,'PV SUPPLY DATA'!$AH:$AH,'CT capacity tracker'!$B52,'PV SUPPLY DATA'!$AG:$AG,$A$51,'PV SUPPLY DATA'!$Y:$Y,'CT capacity tracker'!AD$1)+SUMIFS('ESS SUPPLY DATA'!$U:$U,'ESS SUPPLY DATA'!$AF:$AF,'CT capacity tracker'!$B52,'ESS SUPPLY DATA'!$AE:$AE,'CT capacity tracker'!$A$51,'ESS SUPPLY DATA'!$W:$W,'CT capacity tracker'!AD$1)</f>
        <v>0</v>
      </c>
      <c r="AE52" s="504">
        <f>SUMIFS('PV SUPPLY DATA'!$X:$X,'PV SUPPLY DATA'!$AH:$AH,'CT capacity tracker'!$B52,'PV SUPPLY DATA'!$AG:$AG,$A$51,'PV SUPPLY DATA'!$Y:$Y,'CT capacity tracker'!AE$1)+SUMIFS('ESS SUPPLY DATA'!$U:$U,'ESS SUPPLY DATA'!$AF:$AF,'CT capacity tracker'!$B52,'ESS SUPPLY DATA'!$AE:$AE,'CT capacity tracker'!$A$51,'ESS SUPPLY DATA'!$W:$W,'CT capacity tracker'!AE$1)</f>
        <v>0</v>
      </c>
      <c r="AF52" s="504">
        <f>SUMIFS('PV SUPPLY DATA'!$X:$X,'PV SUPPLY DATA'!$AH:$AH,'CT capacity tracker'!$B52,'PV SUPPLY DATA'!$AG:$AG,$A$51,'PV SUPPLY DATA'!$Y:$Y,'CT capacity tracker'!AF$1)+SUMIFS('ESS SUPPLY DATA'!$U:$U,'ESS SUPPLY DATA'!$AF:$AF,'CT capacity tracker'!$B52,'ESS SUPPLY DATA'!$AE:$AE,'CT capacity tracker'!$A$51,'ESS SUPPLY DATA'!$W:$W,'CT capacity tracker'!AF$1)</f>
        <v>0</v>
      </c>
      <c r="AG52" s="504">
        <f>SUMIFS('PV SUPPLY DATA'!$X:$X,'PV SUPPLY DATA'!$AH:$AH,'CT capacity tracker'!$B52,'PV SUPPLY DATA'!$AG:$AG,$A$51,'PV SUPPLY DATA'!$Y:$Y,'CT capacity tracker'!AG$1)+SUMIFS('ESS SUPPLY DATA'!$U:$U,'ESS SUPPLY DATA'!$AF:$AF,'CT capacity tracker'!$B52,'ESS SUPPLY DATA'!$AE:$AE,'CT capacity tracker'!$A$51,'ESS SUPPLY DATA'!$W:$W,'CT capacity tracker'!AG$1)</f>
        <v>0</v>
      </c>
      <c r="AH52" s="504">
        <f>SUMIFS('PV SUPPLY DATA'!$X:$X,'PV SUPPLY DATA'!$AH:$AH,'CT capacity tracker'!$B52,'PV SUPPLY DATA'!$AG:$AG,$A$51,'PV SUPPLY DATA'!$Y:$Y,'CT capacity tracker'!AH$1)+SUMIFS('ESS SUPPLY DATA'!$U:$U,'ESS SUPPLY DATA'!$AF:$AF,'CT capacity tracker'!$B52,'ESS SUPPLY DATA'!$AE:$AE,'CT capacity tracker'!$A$51,'ESS SUPPLY DATA'!$W:$W,'CT capacity tracker'!AH$1)</f>
        <v>0</v>
      </c>
      <c r="AI52" s="504">
        <f>SUMIFS('PV SUPPLY DATA'!$X:$X,'PV SUPPLY DATA'!$AH:$AH,'CT capacity tracker'!$B52,'PV SUPPLY DATA'!$AG:$AG,$A$51,'PV SUPPLY DATA'!$Y:$Y,'CT capacity tracker'!AI$1)+SUMIFS('ESS SUPPLY DATA'!$U:$U,'ESS SUPPLY DATA'!$AF:$AF,'CT capacity tracker'!$B52,'ESS SUPPLY DATA'!$AE:$AE,'CT capacity tracker'!$A$51,'ESS SUPPLY DATA'!$W:$W,'CT capacity tracker'!AI$1)</f>
        <v>0</v>
      </c>
      <c r="AJ52" s="504">
        <f>SUMIFS('PV SUPPLY DATA'!$X:$X,'PV SUPPLY DATA'!$AH:$AH,'CT capacity tracker'!$B52,'PV SUPPLY DATA'!$AG:$AG,$A$51,'PV SUPPLY DATA'!$Y:$Y,'CT capacity tracker'!AJ$1)+SUMIFS('ESS SUPPLY DATA'!$U:$U,'ESS SUPPLY DATA'!$AF:$AF,'CT capacity tracker'!$B52,'ESS SUPPLY DATA'!$AE:$AE,'CT capacity tracker'!$A$51,'ESS SUPPLY DATA'!$W:$W,'CT capacity tracker'!AJ$1)</f>
        <v>0</v>
      </c>
      <c r="AK52" s="505" t="s">
        <v>197</v>
      </c>
      <c r="AL52" s="505" t="s">
        <v>197</v>
      </c>
      <c r="AM52" s="696">
        <f>SUM(E52:X52)</f>
        <v>4</v>
      </c>
      <c r="AN52" s="503" t="s">
        <v>197</v>
      </c>
      <c r="AO52" s="506"/>
      <c r="AP52" s="506">
        <f t="shared" si="3"/>
        <v>2</v>
      </c>
      <c r="AQ52" s="506"/>
      <c r="AR52" s="506"/>
      <c r="AS52" s="506"/>
      <c r="AT52" s="506"/>
    </row>
    <row r="53" spans="1:46" ht="13">
      <c r="A53" s="1517"/>
      <c r="B53" s="1517"/>
      <c r="C53" s="509" t="s">
        <v>4401</v>
      </c>
      <c r="D53" s="509"/>
      <c r="E53" s="510"/>
      <c r="F53" s="510"/>
      <c r="G53" s="510">
        <v>2</v>
      </c>
      <c r="H53" s="510"/>
      <c r="I53" s="510"/>
      <c r="J53" s="510">
        <v>0</v>
      </c>
      <c r="K53" s="510"/>
      <c r="L53" s="510"/>
      <c r="M53" s="510"/>
      <c r="N53" s="510"/>
      <c r="O53" s="510">
        <v>2</v>
      </c>
      <c r="P53" s="510"/>
      <c r="Q53" s="510"/>
      <c r="R53" s="510"/>
      <c r="S53" s="510"/>
      <c r="T53" s="510"/>
      <c r="U53" s="510"/>
      <c r="V53" s="510"/>
      <c r="W53" s="510"/>
      <c r="X53" s="510"/>
      <c r="Y53" s="510"/>
      <c r="Z53" s="510"/>
      <c r="AA53" s="510"/>
      <c r="AB53" s="510">
        <v>0</v>
      </c>
      <c r="AC53" s="510">
        <v>0</v>
      </c>
      <c r="AD53" s="510">
        <v>0</v>
      </c>
      <c r="AE53" s="510">
        <v>0</v>
      </c>
      <c r="AF53" s="510">
        <v>0</v>
      </c>
      <c r="AG53" s="510">
        <v>0</v>
      </c>
      <c r="AH53" s="510">
        <v>0</v>
      </c>
      <c r="AI53" s="510">
        <v>0</v>
      </c>
      <c r="AJ53" s="510">
        <v>0</v>
      </c>
      <c r="AK53" s="505" t="s">
        <v>197</v>
      </c>
      <c r="AL53" s="505" t="s">
        <v>197</v>
      </c>
      <c r="AM53" s="696"/>
      <c r="AN53" s="503" t="s">
        <v>197</v>
      </c>
      <c r="AO53" s="506"/>
      <c r="AP53" s="506">
        <f t="shared" si="3"/>
        <v>2</v>
      </c>
      <c r="AQ53" s="506"/>
      <c r="AR53" s="506"/>
      <c r="AS53" s="506"/>
      <c r="AT53" s="506"/>
    </row>
    <row r="54" spans="1:46" ht="13">
      <c r="A54" s="1517"/>
      <c r="B54" s="1517"/>
      <c r="C54" s="520" t="s">
        <v>4402</v>
      </c>
      <c r="D54" s="522"/>
      <c r="E54" s="522">
        <f t="shared" ref="E54:X54" si="41">E53-E52</f>
        <v>0</v>
      </c>
      <c r="F54" s="522">
        <f t="shared" si="41"/>
        <v>0</v>
      </c>
      <c r="G54" s="522">
        <f t="shared" si="41"/>
        <v>0</v>
      </c>
      <c r="H54" s="522">
        <f t="shared" si="41"/>
        <v>0</v>
      </c>
      <c r="I54" s="522">
        <f t="shared" si="41"/>
        <v>0</v>
      </c>
      <c r="J54" s="522">
        <f t="shared" si="41"/>
        <v>0</v>
      </c>
      <c r="K54" s="522">
        <f t="shared" si="41"/>
        <v>0</v>
      </c>
      <c r="L54" s="522">
        <f t="shared" si="41"/>
        <v>0</v>
      </c>
      <c r="M54" s="522">
        <f t="shared" si="41"/>
        <v>0</v>
      </c>
      <c r="N54" s="522">
        <f t="shared" si="41"/>
        <v>0</v>
      </c>
      <c r="O54" s="522">
        <f t="shared" si="41"/>
        <v>0</v>
      </c>
      <c r="P54" s="522">
        <f t="shared" si="41"/>
        <v>0</v>
      </c>
      <c r="Q54" s="522">
        <f t="shared" si="41"/>
        <v>0</v>
      </c>
      <c r="R54" s="522">
        <f t="shared" si="41"/>
        <v>0</v>
      </c>
      <c r="S54" s="522">
        <f t="shared" si="41"/>
        <v>0</v>
      </c>
      <c r="T54" s="522">
        <f t="shared" si="41"/>
        <v>0</v>
      </c>
      <c r="U54" s="522">
        <f t="shared" si="41"/>
        <v>0</v>
      </c>
      <c r="V54" s="522">
        <f t="shared" si="41"/>
        <v>0</v>
      </c>
      <c r="W54" s="522">
        <f t="shared" si="41"/>
        <v>0</v>
      </c>
      <c r="X54" s="522">
        <f t="shared" si="41"/>
        <v>0</v>
      </c>
      <c r="Y54" s="522">
        <f t="shared" ref="Y54:AJ54" si="42">Y53-Y52</f>
        <v>0</v>
      </c>
      <c r="Z54" s="522">
        <f t="shared" si="42"/>
        <v>0</v>
      </c>
      <c r="AA54" s="522">
        <f t="shared" si="42"/>
        <v>0</v>
      </c>
      <c r="AB54" s="522">
        <f t="shared" si="42"/>
        <v>0</v>
      </c>
      <c r="AC54" s="522">
        <f t="shared" si="42"/>
        <v>0</v>
      </c>
      <c r="AD54" s="522">
        <f t="shared" si="42"/>
        <v>0</v>
      </c>
      <c r="AE54" s="522">
        <f t="shared" si="42"/>
        <v>0</v>
      </c>
      <c r="AF54" s="522">
        <f t="shared" si="42"/>
        <v>0</v>
      </c>
      <c r="AG54" s="522">
        <f t="shared" si="42"/>
        <v>0</v>
      </c>
      <c r="AH54" s="522">
        <f t="shared" si="42"/>
        <v>0</v>
      </c>
      <c r="AI54" s="522">
        <f t="shared" si="42"/>
        <v>0</v>
      </c>
      <c r="AJ54" s="522">
        <f t="shared" si="42"/>
        <v>0</v>
      </c>
      <c r="AK54" s="511">
        <f>SUMIF($E54:$X54,"&gt;0")</f>
        <v>0</v>
      </c>
      <c r="AL54" s="511">
        <f>SUMIF($E54:$X54,"&lt;0")</f>
        <v>0</v>
      </c>
      <c r="AM54" s="696"/>
      <c r="AN54" s="503" t="s">
        <v>197</v>
      </c>
      <c r="AO54" s="506"/>
      <c r="AP54" s="506">
        <f t="shared" si="3"/>
        <v>0</v>
      </c>
      <c r="AQ54" s="506"/>
      <c r="AR54" s="506"/>
      <c r="AS54" s="506"/>
      <c r="AT54" s="506"/>
    </row>
    <row r="55" spans="1:46" ht="13">
      <c r="A55" s="1517"/>
      <c r="B55" s="1518"/>
      <c r="C55" s="503" t="s">
        <v>4403</v>
      </c>
      <c r="D55" s="522"/>
      <c r="E55" s="504">
        <f>SUMIFS('PV SUPPLY DATA'!$X:$X,'PV SUPPLY DATA'!$AH:$AH,'CT capacity tracker'!$B52,'PV SUPPLY DATA'!$AG:$AG,'CT capacity tracker'!$A$51,'PV SUPPLY DATA'!$Y:$Y,E$1,'PV SUPPLY DATA'!$AQ:$AQ,"cosco")+SUMIFS('PV SUPPLY DATA'!$X:$X,'PV SUPPLY DATA'!$AH:$AH,'CT capacity tracker'!$B52,'PV SUPPLY DATA'!$AG:$AG,'CT capacity tracker'!$A$51,'PV SUPPLY DATA'!$Y:$Y,E$1,'PV SUPPLY DATA'!$AQ:$AQ,"other")+SUMIFS('ESS SUPPLY DATA'!$U:$U,'ESS SUPPLY DATA'!$AF:$AF,'CT capacity tracker'!$B52,'ESS SUPPLY DATA'!$AE:$AE,'CT capacity tracker'!$A$51,'ESS SUPPLY DATA'!$W:$W,'CT capacity tracker'!E$1,'ESS SUPPLY DATA'!$AO:$AO,"cosco")+SUMIFS('ESS SUPPLY DATA'!$U:$U,'ESS SUPPLY DATA'!$AF:$AF,'CT capacity tracker'!$B52,'ESS SUPPLY DATA'!$AE:$AE,'CT capacity tracker'!$A$51,'ESS SUPPLY DATA'!$W:$W,'CT capacity tracker'!E$1,'ESS SUPPLY DATA'!$AO:$AO,"other")</f>
        <v>0</v>
      </c>
      <c r="F55" s="504">
        <f>SUMIFS('PV SUPPLY DATA'!$X:$X,'PV SUPPLY DATA'!$AH:$AH,'CT capacity tracker'!$B52,'PV SUPPLY DATA'!$AG:$AG,'CT capacity tracker'!$A$51,'PV SUPPLY DATA'!$Y:$Y,F$1,'PV SUPPLY DATA'!$AQ:$AQ,"cosco")+SUMIFS('PV SUPPLY DATA'!$X:$X,'PV SUPPLY DATA'!$AH:$AH,'CT capacity tracker'!$B52,'PV SUPPLY DATA'!$AG:$AG,'CT capacity tracker'!$A$51,'PV SUPPLY DATA'!$Y:$Y,F$1,'PV SUPPLY DATA'!$AQ:$AQ,"other")+SUMIFS('ESS SUPPLY DATA'!$U:$U,'ESS SUPPLY DATA'!$AF:$AF,'CT capacity tracker'!$B52,'ESS SUPPLY DATA'!$AE:$AE,'CT capacity tracker'!$A$51,'ESS SUPPLY DATA'!$W:$W,'CT capacity tracker'!F$1,'ESS SUPPLY DATA'!$AO:$AO,"cosco")+SUMIFS('ESS SUPPLY DATA'!$U:$U,'ESS SUPPLY DATA'!$AF:$AF,'CT capacity tracker'!$B52,'ESS SUPPLY DATA'!$AE:$AE,'CT capacity tracker'!$A$51,'ESS SUPPLY DATA'!$W:$W,'CT capacity tracker'!F$1,'ESS SUPPLY DATA'!$AO:$AO,"other")</f>
        <v>0</v>
      </c>
      <c r="G55" s="504">
        <f>SUMIFS('PV SUPPLY DATA'!$X:$X,'PV SUPPLY DATA'!$AH:$AH,'CT capacity tracker'!$B52,'PV SUPPLY DATA'!$AG:$AG,'CT capacity tracker'!$A$51,'PV SUPPLY DATA'!$Y:$Y,G$1,'PV SUPPLY DATA'!$AQ:$AQ,"cosco")+SUMIFS('PV SUPPLY DATA'!$X:$X,'PV SUPPLY DATA'!$AH:$AH,'CT capacity tracker'!$B52,'PV SUPPLY DATA'!$AG:$AG,'CT capacity tracker'!$A$51,'PV SUPPLY DATA'!$Y:$Y,G$1,'PV SUPPLY DATA'!$AQ:$AQ,"other")+SUMIFS('ESS SUPPLY DATA'!$U:$U,'ESS SUPPLY DATA'!$AF:$AF,'CT capacity tracker'!$B52,'ESS SUPPLY DATA'!$AE:$AE,'CT capacity tracker'!$A$51,'ESS SUPPLY DATA'!$W:$W,'CT capacity tracker'!G$1,'ESS SUPPLY DATA'!$AO:$AO,"cosco")+SUMIFS('ESS SUPPLY DATA'!$U:$U,'ESS SUPPLY DATA'!$AF:$AF,'CT capacity tracker'!$B52,'ESS SUPPLY DATA'!$AE:$AE,'CT capacity tracker'!$A$51,'ESS SUPPLY DATA'!$W:$W,'CT capacity tracker'!G$1,'ESS SUPPLY DATA'!$AO:$AO,"other")</f>
        <v>2</v>
      </c>
      <c r="H55" s="504">
        <f>SUMIFS('PV SUPPLY DATA'!$X:$X,'PV SUPPLY DATA'!$AH:$AH,'CT capacity tracker'!$B52,'PV SUPPLY DATA'!$AG:$AG,'CT capacity tracker'!$A$51,'PV SUPPLY DATA'!$Y:$Y,H$1,'PV SUPPLY DATA'!$AQ:$AQ,"cosco")+SUMIFS('PV SUPPLY DATA'!$X:$X,'PV SUPPLY DATA'!$AH:$AH,'CT capacity tracker'!$B52,'PV SUPPLY DATA'!$AG:$AG,'CT capacity tracker'!$A$51,'PV SUPPLY DATA'!$Y:$Y,H$1,'PV SUPPLY DATA'!$AQ:$AQ,"other")+SUMIFS('ESS SUPPLY DATA'!$U:$U,'ESS SUPPLY DATA'!$AF:$AF,'CT capacity tracker'!$B52,'ESS SUPPLY DATA'!$AE:$AE,'CT capacity tracker'!$A$51,'ESS SUPPLY DATA'!$W:$W,'CT capacity tracker'!H$1,'ESS SUPPLY DATA'!$AO:$AO,"cosco")+SUMIFS('ESS SUPPLY DATA'!$U:$U,'ESS SUPPLY DATA'!$AF:$AF,'CT capacity tracker'!$B52,'ESS SUPPLY DATA'!$AE:$AE,'CT capacity tracker'!$A$51,'ESS SUPPLY DATA'!$W:$W,'CT capacity tracker'!H$1,'ESS SUPPLY DATA'!$AO:$AO,"other")</f>
        <v>0</v>
      </c>
      <c r="I55" s="504">
        <f>SUMIFS('PV SUPPLY DATA'!$X:$X,'PV SUPPLY DATA'!$AH:$AH,'CT capacity tracker'!$B52,'PV SUPPLY DATA'!$AG:$AG,'CT capacity tracker'!$A$51,'PV SUPPLY DATA'!$Y:$Y,I$1,'PV SUPPLY DATA'!$AQ:$AQ,"cosco")+SUMIFS('PV SUPPLY DATA'!$X:$X,'PV SUPPLY DATA'!$AH:$AH,'CT capacity tracker'!$B52,'PV SUPPLY DATA'!$AG:$AG,'CT capacity tracker'!$A$51,'PV SUPPLY DATA'!$Y:$Y,I$1,'PV SUPPLY DATA'!$AQ:$AQ,"other")+SUMIFS('ESS SUPPLY DATA'!$U:$U,'ESS SUPPLY DATA'!$AF:$AF,'CT capacity tracker'!$B52,'ESS SUPPLY DATA'!$AE:$AE,'CT capacity tracker'!$A$51,'ESS SUPPLY DATA'!$W:$W,'CT capacity tracker'!I$1,'ESS SUPPLY DATA'!$AO:$AO,"cosco")+SUMIFS('ESS SUPPLY DATA'!$U:$U,'ESS SUPPLY DATA'!$AF:$AF,'CT capacity tracker'!$B52,'ESS SUPPLY DATA'!$AE:$AE,'CT capacity tracker'!$A$51,'ESS SUPPLY DATA'!$W:$W,'CT capacity tracker'!I$1,'ESS SUPPLY DATA'!$AO:$AO,"other")</f>
        <v>0</v>
      </c>
      <c r="J55" s="504">
        <f>SUMIFS('PV SUPPLY DATA'!$X:$X,'PV SUPPLY DATA'!$AH:$AH,'CT capacity tracker'!$B52,'PV SUPPLY DATA'!$AG:$AG,'CT capacity tracker'!$A$51,'PV SUPPLY DATA'!$Y:$Y,J$1,'PV SUPPLY DATA'!$AQ:$AQ,"cosco")+SUMIFS('PV SUPPLY DATA'!$X:$X,'PV SUPPLY DATA'!$AH:$AH,'CT capacity tracker'!$B52,'PV SUPPLY DATA'!$AG:$AG,'CT capacity tracker'!$A$51,'PV SUPPLY DATA'!$Y:$Y,J$1,'PV SUPPLY DATA'!$AQ:$AQ,"other")+SUMIFS('ESS SUPPLY DATA'!$U:$U,'ESS SUPPLY DATA'!$AF:$AF,'CT capacity tracker'!$B52,'ESS SUPPLY DATA'!$AE:$AE,'CT capacity tracker'!$A$51,'ESS SUPPLY DATA'!$W:$W,'CT capacity tracker'!J$1,'ESS SUPPLY DATA'!$AO:$AO,"cosco")+SUMIFS('ESS SUPPLY DATA'!$U:$U,'ESS SUPPLY DATA'!$AF:$AF,'CT capacity tracker'!$B52,'ESS SUPPLY DATA'!$AE:$AE,'CT capacity tracker'!$A$51,'ESS SUPPLY DATA'!$W:$W,'CT capacity tracker'!J$1,'ESS SUPPLY DATA'!$AO:$AO,"other")</f>
        <v>0</v>
      </c>
      <c r="K55" s="504">
        <f>SUMIFS('PV SUPPLY DATA'!$X:$X,'PV SUPPLY DATA'!$AH:$AH,'CT capacity tracker'!$B52,'PV SUPPLY DATA'!$AG:$AG,'CT capacity tracker'!$A$51,'PV SUPPLY DATA'!$Y:$Y,K$1,'PV SUPPLY DATA'!$AQ:$AQ,"cosco")+SUMIFS('PV SUPPLY DATA'!$X:$X,'PV SUPPLY DATA'!$AH:$AH,'CT capacity tracker'!$B52,'PV SUPPLY DATA'!$AG:$AG,'CT capacity tracker'!$A$51,'PV SUPPLY DATA'!$Y:$Y,K$1,'PV SUPPLY DATA'!$AQ:$AQ,"other")+SUMIFS('ESS SUPPLY DATA'!$U:$U,'ESS SUPPLY DATA'!$AF:$AF,'CT capacity tracker'!$B52,'ESS SUPPLY DATA'!$AE:$AE,'CT capacity tracker'!$A$51,'ESS SUPPLY DATA'!$W:$W,'CT capacity tracker'!K$1,'ESS SUPPLY DATA'!$AO:$AO,"cosco")+SUMIFS('ESS SUPPLY DATA'!$U:$U,'ESS SUPPLY DATA'!$AF:$AF,'CT capacity tracker'!$B52,'ESS SUPPLY DATA'!$AE:$AE,'CT capacity tracker'!$A$51,'ESS SUPPLY DATA'!$W:$W,'CT capacity tracker'!K$1,'ESS SUPPLY DATA'!$AO:$AO,"other")</f>
        <v>0</v>
      </c>
      <c r="L55" s="504">
        <f>SUMIFS('PV SUPPLY DATA'!$X:$X,'PV SUPPLY DATA'!$AH:$AH,'CT capacity tracker'!$B52,'PV SUPPLY DATA'!$AG:$AG,'CT capacity tracker'!$A$51,'PV SUPPLY DATA'!$Y:$Y,L$1,'PV SUPPLY DATA'!$AQ:$AQ,"cosco")+SUMIFS('PV SUPPLY DATA'!$X:$X,'PV SUPPLY DATA'!$AH:$AH,'CT capacity tracker'!$B52,'PV SUPPLY DATA'!$AG:$AG,'CT capacity tracker'!$A$51,'PV SUPPLY DATA'!$Y:$Y,L$1,'PV SUPPLY DATA'!$AQ:$AQ,"other")+SUMIFS('ESS SUPPLY DATA'!$U:$U,'ESS SUPPLY DATA'!$AF:$AF,'CT capacity tracker'!$B52,'ESS SUPPLY DATA'!$AE:$AE,'CT capacity tracker'!$A$51,'ESS SUPPLY DATA'!$W:$W,'CT capacity tracker'!L$1,'ESS SUPPLY DATA'!$AO:$AO,"cosco")+SUMIFS('ESS SUPPLY DATA'!$U:$U,'ESS SUPPLY DATA'!$AF:$AF,'CT capacity tracker'!$B52,'ESS SUPPLY DATA'!$AE:$AE,'CT capacity tracker'!$A$51,'ESS SUPPLY DATA'!$W:$W,'CT capacity tracker'!L$1,'ESS SUPPLY DATA'!$AO:$AO,"other")</f>
        <v>0</v>
      </c>
      <c r="M55" s="504">
        <f>SUMIFS('PV SUPPLY DATA'!$X:$X,'PV SUPPLY DATA'!$AH:$AH,'CT capacity tracker'!$B52,'PV SUPPLY DATA'!$AG:$AG,'CT capacity tracker'!$A$51,'PV SUPPLY DATA'!$Y:$Y,M$1,'PV SUPPLY DATA'!$AQ:$AQ,"cosco")+SUMIFS('PV SUPPLY DATA'!$X:$X,'PV SUPPLY DATA'!$AH:$AH,'CT capacity tracker'!$B52,'PV SUPPLY DATA'!$AG:$AG,'CT capacity tracker'!$A$51,'PV SUPPLY DATA'!$Y:$Y,M$1,'PV SUPPLY DATA'!$AQ:$AQ,"other")+SUMIFS('ESS SUPPLY DATA'!$U:$U,'ESS SUPPLY DATA'!$AF:$AF,'CT capacity tracker'!$B52,'ESS SUPPLY DATA'!$AE:$AE,'CT capacity tracker'!$A$51,'ESS SUPPLY DATA'!$W:$W,'CT capacity tracker'!M$1,'ESS SUPPLY DATA'!$AO:$AO,"cosco")+SUMIFS('ESS SUPPLY DATA'!$U:$U,'ESS SUPPLY DATA'!$AF:$AF,'CT capacity tracker'!$B52,'ESS SUPPLY DATA'!$AE:$AE,'CT capacity tracker'!$A$51,'ESS SUPPLY DATA'!$W:$W,'CT capacity tracker'!M$1,'ESS SUPPLY DATA'!$AO:$AO,"other")</f>
        <v>0</v>
      </c>
      <c r="N55" s="504">
        <f>SUMIFS('PV SUPPLY DATA'!$X:$X,'PV SUPPLY DATA'!$AH:$AH,'CT capacity tracker'!$B52,'PV SUPPLY DATA'!$AG:$AG,'CT capacity tracker'!$A$51,'PV SUPPLY DATA'!$Y:$Y,N$1,'PV SUPPLY DATA'!$AQ:$AQ,"cosco")+SUMIFS('PV SUPPLY DATA'!$X:$X,'PV SUPPLY DATA'!$AH:$AH,'CT capacity tracker'!$B52,'PV SUPPLY DATA'!$AG:$AG,'CT capacity tracker'!$A$51,'PV SUPPLY DATA'!$Y:$Y,N$1,'PV SUPPLY DATA'!$AQ:$AQ,"other")+SUMIFS('ESS SUPPLY DATA'!$U:$U,'ESS SUPPLY DATA'!$AF:$AF,'CT capacity tracker'!$B52,'ESS SUPPLY DATA'!$AE:$AE,'CT capacity tracker'!$A$51,'ESS SUPPLY DATA'!$W:$W,'CT capacity tracker'!N$1,'ESS SUPPLY DATA'!$AO:$AO,"cosco")+SUMIFS('ESS SUPPLY DATA'!$U:$U,'ESS SUPPLY DATA'!$AF:$AF,'CT capacity tracker'!$B52,'ESS SUPPLY DATA'!$AE:$AE,'CT capacity tracker'!$A$51,'ESS SUPPLY DATA'!$W:$W,'CT capacity tracker'!N$1,'ESS SUPPLY DATA'!$AO:$AO,"other")</f>
        <v>0</v>
      </c>
      <c r="O55" s="504">
        <f>SUMIFS('PV SUPPLY DATA'!$X:$X,'PV SUPPLY DATA'!$AH:$AH,'CT capacity tracker'!$B52,'PV SUPPLY DATA'!$AG:$AG,'CT capacity tracker'!$A$51,'PV SUPPLY DATA'!$Y:$Y,O$1,'PV SUPPLY DATA'!$AQ:$AQ,"cosco")+SUMIFS('PV SUPPLY DATA'!$X:$X,'PV SUPPLY DATA'!$AH:$AH,'CT capacity tracker'!$B52,'PV SUPPLY DATA'!$AG:$AG,'CT capacity tracker'!$A$51,'PV SUPPLY DATA'!$Y:$Y,O$1,'PV SUPPLY DATA'!$AQ:$AQ,"other")+SUMIFS('ESS SUPPLY DATA'!$U:$U,'ESS SUPPLY DATA'!$AF:$AF,'CT capacity tracker'!$B52,'ESS SUPPLY DATA'!$AE:$AE,'CT capacity tracker'!$A$51,'ESS SUPPLY DATA'!$W:$W,'CT capacity tracker'!O$1,'ESS SUPPLY DATA'!$AO:$AO,"cosco")+SUMIFS('ESS SUPPLY DATA'!$U:$U,'ESS SUPPLY DATA'!$AF:$AF,'CT capacity tracker'!$B52,'ESS SUPPLY DATA'!$AE:$AE,'CT capacity tracker'!$A$51,'ESS SUPPLY DATA'!$W:$W,'CT capacity tracker'!O$1,'ESS SUPPLY DATA'!$AO:$AO,"other")</f>
        <v>2</v>
      </c>
      <c r="P55" s="504">
        <f>SUMIFS('PV SUPPLY DATA'!$X:$X,'PV SUPPLY DATA'!$AH:$AH,'CT capacity tracker'!$B52,'PV SUPPLY DATA'!$AG:$AG,'CT capacity tracker'!$A$51,'PV SUPPLY DATA'!$Y:$Y,P$1,'PV SUPPLY DATA'!$AQ:$AQ,"cosco")+SUMIFS('PV SUPPLY DATA'!$X:$X,'PV SUPPLY DATA'!$AH:$AH,'CT capacity tracker'!$B52,'PV SUPPLY DATA'!$AG:$AG,'CT capacity tracker'!$A$51,'PV SUPPLY DATA'!$Y:$Y,P$1,'PV SUPPLY DATA'!$AQ:$AQ,"other")+SUMIFS('ESS SUPPLY DATA'!$U:$U,'ESS SUPPLY DATA'!$AF:$AF,'CT capacity tracker'!$B52,'ESS SUPPLY DATA'!$AE:$AE,'CT capacity tracker'!$A$51,'ESS SUPPLY DATA'!$W:$W,'CT capacity tracker'!P$1,'ESS SUPPLY DATA'!$AO:$AO,"cosco")+SUMIFS('ESS SUPPLY DATA'!$U:$U,'ESS SUPPLY DATA'!$AF:$AF,'CT capacity tracker'!$B52,'ESS SUPPLY DATA'!$AE:$AE,'CT capacity tracker'!$A$51,'ESS SUPPLY DATA'!$W:$W,'CT capacity tracker'!P$1,'ESS SUPPLY DATA'!$AO:$AO,"other")</f>
        <v>0</v>
      </c>
      <c r="Q55" s="504">
        <f>SUMIFS('PV SUPPLY DATA'!$X:$X,'PV SUPPLY DATA'!$AH:$AH,'CT capacity tracker'!$B52,'PV SUPPLY DATA'!$AG:$AG,'CT capacity tracker'!$A$51,'PV SUPPLY DATA'!$Y:$Y,Q$1,'PV SUPPLY DATA'!$AQ:$AQ,"cosco")+SUMIFS('PV SUPPLY DATA'!$X:$X,'PV SUPPLY DATA'!$AH:$AH,'CT capacity tracker'!$B52,'PV SUPPLY DATA'!$AG:$AG,'CT capacity tracker'!$A$51,'PV SUPPLY DATA'!$Y:$Y,Q$1,'PV SUPPLY DATA'!$AQ:$AQ,"other")+SUMIFS('ESS SUPPLY DATA'!$U:$U,'ESS SUPPLY DATA'!$AF:$AF,'CT capacity tracker'!$B52,'ESS SUPPLY DATA'!$AE:$AE,'CT capacity tracker'!$A$51,'ESS SUPPLY DATA'!$W:$W,'CT capacity tracker'!Q$1,'ESS SUPPLY DATA'!$AO:$AO,"cosco")+SUMIFS('ESS SUPPLY DATA'!$U:$U,'ESS SUPPLY DATA'!$AF:$AF,'CT capacity tracker'!$B52,'ESS SUPPLY DATA'!$AE:$AE,'CT capacity tracker'!$A$51,'ESS SUPPLY DATA'!$W:$W,'CT capacity tracker'!Q$1,'ESS SUPPLY DATA'!$AO:$AO,"other")</f>
        <v>0</v>
      </c>
      <c r="R55" s="504">
        <f>SUMIFS('PV SUPPLY DATA'!$X:$X,'PV SUPPLY DATA'!$AH:$AH,'CT capacity tracker'!$B52,'PV SUPPLY DATA'!$AG:$AG,'CT capacity tracker'!$A$51,'PV SUPPLY DATA'!$Y:$Y,R$1,'PV SUPPLY DATA'!$AQ:$AQ,"cosco")+SUMIFS('PV SUPPLY DATA'!$X:$X,'PV SUPPLY DATA'!$AH:$AH,'CT capacity tracker'!$B52,'PV SUPPLY DATA'!$AG:$AG,'CT capacity tracker'!$A$51,'PV SUPPLY DATA'!$Y:$Y,R$1,'PV SUPPLY DATA'!$AQ:$AQ,"other")+SUMIFS('ESS SUPPLY DATA'!$U:$U,'ESS SUPPLY DATA'!$AF:$AF,'CT capacity tracker'!$B52,'ESS SUPPLY DATA'!$AE:$AE,'CT capacity tracker'!$A$51,'ESS SUPPLY DATA'!$W:$W,'CT capacity tracker'!R$1,'ESS SUPPLY DATA'!$AO:$AO,"cosco")+SUMIFS('ESS SUPPLY DATA'!$U:$U,'ESS SUPPLY DATA'!$AF:$AF,'CT capacity tracker'!$B52,'ESS SUPPLY DATA'!$AE:$AE,'CT capacity tracker'!$A$51,'ESS SUPPLY DATA'!$W:$W,'CT capacity tracker'!R$1,'ESS SUPPLY DATA'!$AO:$AO,"other")</f>
        <v>0</v>
      </c>
      <c r="S55" s="504">
        <f>SUMIFS('PV SUPPLY DATA'!$X:$X,'PV SUPPLY DATA'!$AH:$AH,'CT capacity tracker'!$B52,'PV SUPPLY DATA'!$AG:$AG,'CT capacity tracker'!$A$51,'PV SUPPLY DATA'!$Y:$Y,S$1,'PV SUPPLY DATA'!$AQ:$AQ,"cosco")+SUMIFS('PV SUPPLY DATA'!$X:$X,'PV SUPPLY DATA'!$AH:$AH,'CT capacity tracker'!$B52,'PV SUPPLY DATA'!$AG:$AG,'CT capacity tracker'!$A$51,'PV SUPPLY DATA'!$Y:$Y,S$1,'PV SUPPLY DATA'!$AQ:$AQ,"other")+SUMIFS('ESS SUPPLY DATA'!$U:$U,'ESS SUPPLY DATA'!$AF:$AF,'CT capacity tracker'!$B52,'ESS SUPPLY DATA'!$AE:$AE,'CT capacity tracker'!$A$51,'ESS SUPPLY DATA'!$W:$W,'CT capacity tracker'!S$1,'ESS SUPPLY DATA'!$AO:$AO,"cosco")+SUMIFS('ESS SUPPLY DATA'!$U:$U,'ESS SUPPLY DATA'!$AF:$AF,'CT capacity tracker'!$B52,'ESS SUPPLY DATA'!$AE:$AE,'CT capacity tracker'!$A$51,'ESS SUPPLY DATA'!$W:$W,'CT capacity tracker'!S$1,'ESS SUPPLY DATA'!$AO:$AO,"other")</f>
        <v>0</v>
      </c>
      <c r="T55" s="504">
        <f>SUMIFS('PV SUPPLY DATA'!$X:$X,'PV SUPPLY DATA'!$AH:$AH,'CT capacity tracker'!$B52,'PV SUPPLY DATA'!$AG:$AG,'CT capacity tracker'!$A$51,'PV SUPPLY DATA'!$Y:$Y,T$1,'PV SUPPLY DATA'!$AQ:$AQ,"cosco")+SUMIFS('PV SUPPLY DATA'!$X:$X,'PV SUPPLY DATA'!$AH:$AH,'CT capacity tracker'!$B52,'PV SUPPLY DATA'!$AG:$AG,'CT capacity tracker'!$A$51,'PV SUPPLY DATA'!$Y:$Y,T$1,'PV SUPPLY DATA'!$AQ:$AQ,"other")+SUMIFS('ESS SUPPLY DATA'!$U:$U,'ESS SUPPLY DATA'!$AF:$AF,'CT capacity tracker'!$B52,'ESS SUPPLY DATA'!$AE:$AE,'CT capacity tracker'!$A$51,'ESS SUPPLY DATA'!$W:$W,'CT capacity tracker'!T$1,'ESS SUPPLY DATA'!$AO:$AO,"cosco")+SUMIFS('ESS SUPPLY DATA'!$U:$U,'ESS SUPPLY DATA'!$AF:$AF,'CT capacity tracker'!$B52,'ESS SUPPLY DATA'!$AE:$AE,'CT capacity tracker'!$A$51,'ESS SUPPLY DATA'!$W:$W,'CT capacity tracker'!T$1,'ESS SUPPLY DATA'!$AO:$AO,"other")</f>
        <v>0</v>
      </c>
      <c r="U55" s="504">
        <f>SUMIFS('PV SUPPLY DATA'!$X:$X,'PV SUPPLY DATA'!$AH:$AH,'CT capacity tracker'!$B52,'PV SUPPLY DATA'!$AG:$AG,'CT capacity tracker'!$A$51,'PV SUPPLY DATA'!$Y:$Y,U$1,'PV SUPPLY DATA'!$AQ:$AQ,"cosco")+SUMIFS('PV SUPPLY DATA'!$X:$X,'PV SUPPLY DATA'!$AH:$AH,'CT capacity tracker'!$B52,'PV SUPPLY DATA'!$AG:$AG,'CT capacity tracker'!$A$51,'PV SUPPLY DATA'!$Y:$Y,U$1,'PV SUPPLY DATA'!$AQ:$AQ,"other")+SUMIFS('ESS SUPPLY DATA'!$U:$U,'ESS SUPPLY DATA'!$AF:$AF,'CT capacity tracker'!$B52,'ESS SUPPLY DATA'!$AE:$AE,'CT capacity tracker'!$A$51,'ESS SUPPLY DATA'!$W:$W,'CT capacity tracker'!U$1,'ESS SUPPLY DATA'!$AO:$AO,"cosco")+SUMIFS('ESS SUPPLY DATA'!$U:$U,'ESS SUPPLY DATA'!$AF:$AF,'CT capacity tracker'!$B52,'ESS SUPPLY DATA'!$AE:$AE,'CT capacity tracker'!$A$51,'ESS SUPPLY DATA'!$W:$W,'CT capacity tracker'!U$1,'ESS SUPPLY DATA'!$AO:$AO,"other")</f>
        <v>0</v>
      </c>
      <c r="V55" s="504">
        <f>SUMIFS('PV SUPPLY DATA'!$X:$X,'PV SUPPLY DATA'!$AH:$AH,'CT capacity tracker'!$B52,'PV SUPPLY DATA'!$AG:$AG,'CT capacity tracker'!$A$51,'PV SUPPLY DATA'!$Y:$Y,V$1,'PV SUPPLY DATA'!$AQ:$AQ,"cosco")+SUMIFS('PV SUPPLY DATA'!$X:$X,'PV SUPPLY DATA'!$AH:$AH,'CT capacity tracker'!$B52,'PV SUPPLY DATA'!$AG:$AG,'CT capacity tracker'!$A$51,'PV SUPPLY DATA'!$Y:$Y,V$1,'PV SUPPLY DATA'!$AQ:$AQ,"other")+SUMIFS('ESS SUPPLY DATA'!$U:$U,'ESS SUPPLY DATA'!$AF:$AF,'CT capacity tracker'!$B52,'ESS SUPPLY DATA'!$AE:$AE,'CT capacity tracker'!$A$51,'ESS SUPPLY DATA'!$W:$W,'CT capacity tracker'!V$1,'ESS SUPPLY DATA'!$AO:$AO,"cosco")+SUMIFS('ESS SUPPLY DATA'!$U:$U,'ESS SUPPLY DATA'!$AF:$AF,'CT capacity tracker'!$B52,'ESS SUPPLY DATA'!$AE:$AE,'CT capacity tracker'!$A$51,'ESS SUPPLY DATA'!$W:$W,'CT capacity tracker'!V$1,'ESS SUPPLY DATA'!$AO:$AO,"other")</f>
        <v>0</v>
      </c>
      <c r="W55" s="504">
        <f>SUMIFS('PV SUPPLY DATA'!$X:$X,'PV SUPPLY DATA'!$AH:$AH,'CT capacity tracker'!$B52,'PV SUPPLY DATA'!$AG:$AG,'CT capacity tracker'!$A$51,'PV SUPPLY DATA'!$Y:$Y,W$1,'PV SUPPLY DATA'!$AQ:$AQ,"cosco")+SUMIFS('PV SUPPLY DATA'!$X:$X,'PV SUPPLY DATA'!$AH:$AH,'CT capacity tracker'!$B52,'PV SUPPLY DATA'!$AG:$AG,'CT capacity tracker'!$A$51,'PV SUPPLY DATA'!$Y:$Y,W$1,'PV SUPPLY DATA'!$AQ:$AQ,"other")+SUMIFS('ESS SUPPLY DATA'!$U:$U,'ESS SUPPLY DATA'!$AF:$AF,'CT capacity tracker'!$B52,'ESS SUPPLY DATA'!$AE:$AE,'CT capacity tracker'!$A$51,'ESS SUPPLY DATA'!$W:$W,'CT capacity tracker'!W$1,'ESS SUPPLY DATA'!$AO:$AO,"cosco")+SUMIFS('ESS SUPPLY DATA'!$U:$U,'ESS SUPPLY DATA'!$AF:$AF,'CT capacity tracker'!$B52,'ESS SUPPLY DATA'!$AE:$AE,'CT capacity tracker'!$A$51,'ESS SUPPLY DATA'!$W:$W,'CT capacity tracker'!W$1,'ESS SUPPLY DATA'!$AO:$AO,"other")</f>
        <v>0</v>
      </c>
      <c r="X55" s="504">
        <f>SUMIFS('PV SUPPLY DATA'!$X:$X,'PV SUPPLY DATA'!$AH:$AH,'CT capacity tracker'!$B52,'PV SUPPLY DATA'!$AG:$AG,'CT capacity tracker'!$A$51,'PV SUPPLY DATA'!$Y:$Y,X$1,'PV SUPPLY DATA'!$AQ:$AQ,"cosco")+SUMIFS('PV SUPPLY DATA'!$X:$X,'PV SUPPLY DATA'!$AH:$AH,'CT capacity tracker'!$B52,'PV SUPPLY DATA'!$AG:$AG,'CT capacity tracker'!$A$51,'PV SUPPLY DATA'!$Y:$Y,X$1,'PV SUPPLY DATA'!$AQ:$AQ,"other")+SUMIFS('ESS SUPPLY DATA'!$U:$U,'ESS SUPPLY DATA'!$AF:$AF,'CT capacity tracker'!$B52,'ESS SUPPLY DATA'!$AE:$AE,'CT capacity tracker'!$A$51,'ESS SUPPLY DATA'!$W:$W,'CT capacity tracker'!X$1,'ESS SUPPLY DATA'!$AO:$AO,"cosco")+SUMIFS('ESS SUPPLY DATA'!$U:$U,'ESS SUPPLY DATA'!$AF:$AF,'CT capacity tracker'!$B52,'ESS SUPPLY DATA'!$AE:$AE,'CT capacity tracker'!$A$51,'ESS SUPPLY DATA'!$W:$W,'CT capacity tracker'!X$1,'ESS SUPPLY DATA'!$AO:$AO,"other")</f>
        <v>0</v>
      </c>
      <c r="Y55" s="504">
        <f>SUMIFS('PV SUPPLY DATA'!$X:$X,'PV SUPPLY DATA'!$AH:$AH,'CT capacity tracker'!$B52,'PV SUPPLY DATA'!$AG:$AG,'CT capacity tracker'!$A$51,'PV SUPPLY DATA'!$Y:$Y,Y$1,'PV SUPPLY DATA'!$AQ:$AQ,"cosco")+SUMIFS('PV SUPPLY DATA'!$X:$X,'PV SUPPLY DATA'!$AH:$AH,'CT capacity tracker'!$B52,'PV SUPPLY DATA'!$AG:$AG,'CT capacity tracker'!$A$51,'PV SUPPLY DATA'!$Y:$Y,Y$1,'PV SUPPLY DATA'!$AQ:$AQ,"other")+SUMIFS('ESS SUPPLY DATA'!$U:$U,'ESS SUPPLY DATA'!$AF:$AF,'CT capacity tracker'!$B52,'ESS SUPPLY DATA'!$AE:$AE,'CT capacity tracker'!$A$51,'ESS SUPPLY DATA'!$W:$W,'CT capacity tracker'!Y$1,'ESS SUPPLY DATA'!$AO:$AO,"cosco")+SUMIFS('ESS SUPPLY DATA'!$U:$U,'ESS SUPPLY DATA'!$AF:$AF,'CT capacity tracker'!$B52,'ESS SUPPLY DATA'!$AE:$AE,'CT capacity tracker'!$A$51,'ESS SUPPLY DATA'!$W:$W,'CT capacity tracker'!Y$1,'ESS SUPPLY DATA'!$AO:$AO,"other")</f>
        <v>0</v>
      </c>
      <c r="Z55" s="504">
        <f>SUMIFS('PV SUPPLY DATA'!$X:$X,'PV SUPPLY DATA'!$AH:$AH,'CT capacity tracker'!$B52,'PV SUPPLY DATA'!$AG:$AG,'CT capacity tracker'!$A$51,'PV SUPPLY DATA'!$Y:$Y,Z$1,'PV SUPPLY DATA'!$AQ:$AQ,"cosco")+SUMIFS('PV SUPPLY DATA'!$X:$X,'PV SUPPLY DATA'!$AH:$AH,'CT capacity tracker'!$B52,'PV SUPPLY DATA'!$AG:$AG,'CT capacity tracker'!$A$51,'PV SUPPLY DATA'!$Y:$Y,Z$1,'PV SUPPLY DATA'!$AQ:$AQ,"other")+SUMIFS('ESS SUPPLY DATA'!$U:$U,'ESS SUPPLY DATA'!$AF:$AF,'CT capacity tracker'!$B52,'ESS SUPPLY DATA'!$AE:$AE,'CT capacity tracker'!$A$51,'ESS SUPPLY DATA'!$W:$W,'CT capacity tracker'!Z$1,'ESS SUPPLY DATA'!$AO:$AO,"cosco")+SUMIFS('ESS SUPPLY DATA'!$U:$U,'ESS SUPPLY DATA'!$AF:$AF,'CT capacity tracker'!$B52,'ESS SUPPLY DATA'!$AE:$AE,'CT capacity tracker'!$A$51,'ESS SUPPLY DATA'!$W:$W,'CT capacity tracker'!Z$1,'ESS SUPPLY DATA'!$AO:$AO,"other")</f>
        <v>0</v>
      </c>
      <c r="AA55" s="504">
        <f>SUMIFS('PV SUPPLY DATA'!$X:$X,'PV SUPPLY DATA'!$AH:$AH,'CT capacity tracker'!$B52,'PV SUPPLY DATA'!$AG:$AG,'CT capacity tracker'!$A$51,'PV SUPPLY DATA'!$Y:$Y,AA$1,'PV SUPPLY DATA'!$AQ:$AQ,"cosco")+SUMIFS('PV SUPPLY DATA'!$X:$X,'PV SUPPLY DATA'!$AH:$AH,'CT capacity tracker'!$B52,'PV SUPPLY DATA'!$AG:$AG,'CT capacity tracker'!$A$51,'PV SUPPLY DATA'!$Y:$Y,AA$1,'PV SUPPLY DATA'!$AQ:$AQ,"other")+SUMIFS('ESS SUPPLY DATA'!$U:$U,'ESS SUPPLY DATA'!$AF:$AF,'CT capacity tracker'!$B52,'ESS SUPPLY DATA'!$AE:$AE,'CT capacity tracker'!$A$51,'ESS SUPPLY DATA'!$W:$W,'CT capacity tracker'!AA$1,'ESS SUPPLY DATA'!$AO:$AO,"cosco")+SUMIFS('ESS SUPPLY DATA'!$U:$U,'ESS SUPPLY DATA'!$AF:$AF,'CT capacity tracker'!$B52,'ESS SUPPLY DATA'!$AE:$AE,'CT capacity tracker'!$A$51,'ESS SUPPLY DATA'!$W:$W,'CT capacity tracker'!AA$1,'ESS SUPPLY DATA'!$AO:$AO,"other")</f>
        <v>0</v>
      </c>
      <c r="AB55" s="504">
        <f>SUMIFS('PV SUPPLY DATA'!$X:$X,'PV SUPPLY DATA'!$AH:$AH,'CT capacity tracker'!$B52,'PV SUPPLY DATA'!$AG:$AG,'CT capacity tracker'!$A$51,'PV SUPPLY DATA'!$Y:$Y,AB$1,'PV SUPPLY DATA'!$AQ:$AQ,"cosco")+SUMIFS('PV SUPPLY DATA'!$X:$X,'PV SUPPLY DATA'!$AH:$AH,'CT capacity tracker'!$B52,'PV SUPPLY DATA'!$AG:$AG,'CT capacity tracker'!$A$51,'PV SUPPLY DATA'!$Y:$Y,AB$1,'PV SUPPLY DATA'!$AQ:$AQ,"other")+SUMIFS('ESS SUPPLY DATA'!$U:$U,'ESS SUPPLY DATA'!$AF:$AF,'CT capacity tracker'!$B52,'ESS SUPPLY DATA'!$AE:$AE,'CT capacity tracker'!$A$51,'ESS SUPPLY DATA'!$W:$W,'CT capacity tracker'!AB$1,'ESS SUPPLY DATA'!$AO:$AO,"cosco")+SUMIFS('ESS SUPPLY DATA'!$U:$U,'ESS SUPPLY DATA'!$AF:$AF,'CT capacity tracker'!$B52,'ESS SUPPLY DATA'!$AE:$AE,'CT capacity tracker'!$A$51,'ESS SUPPLY DATA'!$W:$W,'CT capacity tracker'!AB$1,'ESS SUPPLY DATA'!$AO:$AO,"other")</f>
        <v>0</v>
      </c>
      <c r="AC55" s="504">
        <f>SUMIFS('PV SUPPLY DATA'!$X:$X,'PV SUPPLY DATA'!$AH:$AH,'CT capacity tracker'!$B52,'PV SUPPLY DATA'!$AG:$AG,'CT capacity tracker'!$A$51,'PV SUPPLY DATA'!$Y:$Y,AC$1,'PV SUPPLY DATA'!$AQ:$AQ,"cosco")+SUMIFS('PV SUPPLY DATA'!$X:$X,'PV SUPPLY DATA'!$AH:$AH,'CT capacity tracker'!$B52,'PV SUPPLY DATA'!$AG:$AG,'CT capacity tracker'!$A$51,'PV SUPPLY DATA'!$Y:$Y,AC$1,'PV SUPPLY DATA'!$AQ:$AQ,"other")+SUMIFS('ESS SUPPLY DATA'!$U:$U,'ESS SUPPLY DATA'!$AF:$AF,'CT capacity tracker'!$B52,'ESS SUPPLY DATA'!$AE:$AE,'CT capacity tracker'!$A$51,'ESS SUPPLY DATA'!$W:$W,'CT capacity tracker'!AC$1,'ESS SUPPLY DATA'!$AO:$AO,"cosco")+SUMIFS('ESS SUPPLY DATA'!$U:$U,'ESS SUPPLY DATA'!$AF:$AF,'CT capacity tracker'!$B52,'ESS SUPPLY DATA'!$AE:$AE,'CT capacity tracker'!$A$51,'ESS SUPPLY DATA'!$W:$W,'CT capacity tracker'!AC$1,'ESS SUPPLY DATA'!$AO:$AO,"other")</f>
        <v>0</v>
      </c>
      <c r="AD55" s="504">
        <f>SUMIFS('PV SUPPLY DATA'!$X:$X,'PV SUPPLY DATA'!$AH:$AH,'CT capacity tracker'!$B52,'PV SUPPLY DATA'!$AG:$AG,'CT capacity tracker'!$A$51,'PV SUPPLY DATA'!$Y:$Y,AD$1,'PV SUPPLY DATA'!$AQ:$AQ,"cosco")+SUMIFS('PV SUPPLY DATA'!$X:$X,'PV SUPPLY DATA'!$AH:$AH,'CT capacity tracker'!$B52,'PV SUPPLY DATA'!$AG:$AG,'CT capacity tracker'!$A$51,'PV SUPPLY DATA'!$Y:$Y,AD$1,'PV SUPPLY DATA'!$AQ:$AQ,"other")+SUMIFS('ESS SUPPLY DATA'!$U:$U,'ESS SUPPLY DATA'!$AF:$AF,'CT capacity tracker'!$B52,'ESS SUPPLY DATA'!$AE:$AE,'CT capacity tracker'!$A$51,'ESS SUPPLY DATA'!$W:$W,'CT capacity tracker'!AD$1,'ESS SUPPLY DATA'!$AO:$AO,"cosco")+SUMIFS('ESS SUPPLY DATA'!$U:$U,'ESS SUPPLY DATA'!$AF:$AF,'CT capacity tracker'!$B52,'ESS SUPPLY DATA'!$AE:$AE,'CT capacity tracker'!$A$51,'ESS SUPPLY DATA'!$W:$W,'CT capacity tracker'!AD$1,'ESS SUPPLY DATA'!$AO:$AO,"other")</f>
        <v>0</v>
      </c>
      <c r="AE55" s="504">
        <f>SUMIFS('PV SUPPLY DATA'!$X:$X,'PV SUPPLY DATA'!$AH:$AH,'CT capacity tracker'!$B52,'PV SUPPLY DATA'!$AG:$AG,'CT capacity tracker'!$A$51,'PV SUPPLY DATA'!$Y:$Y,AE$1,'PV SUPPLY DATA'!$AQ:$AQ,"cosco")+SUMIFS('PV SUPPLY DATA'!$X:$X,'PV SUPPLY DATA'!$AH:$AH,'CT capacity tracker'!$B52,'PV SUPPLY DATA'!$AG:$AG,'CT capacity tracker'!$A$51,'PV SUPPLY DATA'!$Y:$Y,AE$1,'PV SUPPLY DATA'!$AQ:$AQ,"other")+SUMIFS('ESS SUPPLY DATA'!$U:$U,'ESS SUPPLY DATA'!$AF:$AF,'CT capacity tracker'!$B52,'ESS SUPPLY DATA'!$AE:$AE,'CT capacity tracker'!$A$51,'ESS SUPPLY DATA'!$W:$W,'CT capacity tracker'!AE$1,'ESS SUPPLY DATA'!$AO:$AO,"cosco")+SUMIFS('ESS SUPPLY DATA'!$U:$U,'ESS SUPPLY DATA'!$AF:$AF,'CT capacity tracker'!$B52,'ESS SUPPLY DATA'!$AE:$AE,'CT capacity tracker'!$A$51,'ESS SUPPLY DATA'!$W:$W,'CT capacity tracker'!AE$1,'ESS SUPPLY DATA'!$AO:$AO,"other")</f>
        <v>0</v>
      </c>
      <c r="AF55" s="504">
        <f>SUMIFS('PV SUPPLY DATA'!$X:$X,'PV SUPPLY DATA'!$AH:$AH,'CT capacity tracker'!$B52,'PV SUPPLY DATA'!$AG:$AG,'CT capacity tracker'!$A$51,'PV SUPPLY DATA'!$Y:$Y,AF$1,'PV SUPPLY DATA'!$AQ:$AQ,"cosco")+SUMIFS('PV SUPPLY DATA'!$X:$X,'PV SUPPLY DATA'!$AH:$AH,'CT capacity tracker'!$B52,'PV SUPPLY DATA'!$AG:$AG,'CT capacity tracker'!$A$51,'PV SUPPLY DATA'!$Y:$Y,AF$1,'PV SUPPLY DATA'!$AQ:$AQ,"other")+SUMIFS('ESS SUPPLY DATA'!$U:$U,'ESS SUPPLY DATA'!$AF:$AF,'CT capacity tracker'!$B52,'ESS SUPPLY DATA'!$AE:$AE,'CT capacity tracker'!$A$51,'ESS SUPPLY DATA'!$W:$W,'CT capacity tracker'!AF$1,'ESS SUPPLY DATA'!$AO:$AO,"cosco")+SUMIFS('ESS SUPPLY DATA'!$U:$U,'ESS SUPPLY DATA'!$AF:$AF,'CT capacity tracker'!$B52,'ESS SUPPLY DATA'!$AE:$AE,'CT capacity tracker'!$A$51,'ESS SUPPLY DATA'!$W:$W,'CT capacity tracker'!AF$1,'ESS SUPPLY DATA'!$AO:$AO,"other")</f>
        <v>0</v>
      </c>
      <c r="AG55" s="504">
        <f>SUMIFS('PV SUPPLY DATA'!$X:$X,'PV SUPPLY DATA'!$AH:$AH,'CT capacity tracker'!$B52,'PV SUPPLY DATA'!$AG:$AG,'CT capacity tracker'!$A$51,'PV SUPPLY DATA'!$Y:$Y,AG$1,'PV SUPPLY DATA'!$AQ:$AQ,"cosco")+SUMIFS('PV SUPPLY DATA'!$X:$X,'PV SUPPLY DATA'!$AH:$AH,'CT capacity tracker'!$B52,'PV SUPPLY DATA'!$AG:$AG,'CT capacity tracker'!$A$51,'PV SUPPLY DATA'!$Y:$Y,AG$1,'PV SUPPLY DATA'!$AQ:$AQ,"other")+SUMIFS('ESS SUPPLY DATA'!$U:$U,'ESS SUPPLY DATA'!$AF:$AF,'CT capacity tracker'!$B52,'ESS SUPPLY DATA'!$AE:$AE,'CT capacity tracker'!$A$51,'ESS SUPPLY DATA'!$W:$W,'CT capacity tracker'!AG$1,'ESS SUPPLY DATA'!$AO:$AO,"cosco")+SUMIFS('ESS SUPPLY DATA'!$U:$U,'ESS SUPPLY DATA'!$AF:$AF,'CT capacity tracker'!$B52,'ESS SUPPLY DATA'!$AE:$AE,'CT capacity tracker'!$A$51,'ESS SUPPLY DATA'!$W:$W,'CT capacity tracker'!AG$1,'ESS SUPPLY DATA'!$AO:$AO,"other")</f>
        <v>0</v>
      </c>
      <c r="AH55" s="504">
        <f>SUMIFS('PV SUPPLY DATA'!$X:$X,'PV SUPPLY DATA'!$AH:$AH,'CT capacity tracker'!$B52,'PV SUPPLY DATA'!$AG:$AG,'CT capacity tracker'!$A$51,'PV SUPPLY DATA'!$Y:$Y,AH$1,'PV SUPPLY DATA'!$AQ:$AQ,"cosco")+SUMIFS('PV SUPPLY DATA'!$X:$X,'PV SUPPLY DATA'!$AH:$AH,'CT capacity tracker'!$B52,'PV SUPPLY DATA'!$AG:$AG,'CT capacity tracker'!$A$51,'PV SUPPLY DATA'!$Y:$Y,AH$1,'PV SUPPLY DATA'!$AQ:$AQ,"other")+SUMIFS('ESS SUPPLY DATA'!$U:$U,'ESS SUPPLY DATA'!$AF:$AF,'CT capacity tracker'!$B52,'ESS SUPPLY DATA'!$AE:$AE,'CT capacity tracker'!$A$51,'ESS SUPPLY DATA'!$W:$W,'CT capacity tracker'!AH$1,'ESS SUPPLY DATA'!$AO:$AO,"cosco")+SUMIFS('ESS SUPPLY DATA'!$U:$U,'ESS SUPPLY DATA'!$AF:$AF,'CT capacity tracker'!$B52,'ESS SUPPLY DATA'!$AE:$AE,'CT capacity tracker'!$A$51,'ESS SUPPLY DATA'!$W:$W,'CT capacity tracker'!AH$1,'ESS SUPPLY DATA'!$AO:$AO,"other")</f>
        <v>0</v>
      </c>
      <c r="AI55" s="504">
        <f>SUMIFS('PV SUPPLY DATA'!$X:$X,'PV SUPPLY DATA'!$AH:$AH,'CT capacity tracker'!$B52,'PV SUPPLY DATA'!$AG:$AG,'CT capacity tracker'!$A$51,'PV SUPPLY DATA'!$Y:$Y,AI$1,'PV SUPPLY DATA'!$AQ:$AQ,"cosco")+SUMIFS('PV SUPPLY DATA'!$X:$X,'PV SUPPLY DATA'!$AH:$AH,'CT capacity tracker'!$B52,'PV SUPPLY DATA'!$AG:$AG,'CT capacity tracker'!$A$51,'PV SUPPLY DATA'!$Y:$Y,AI$1,'PV SUPPLY DATA'!$AQ:$AQ,"other")+SUMIFS('ESS SUPPLY DATA'!$U:$U,'ESS SUPPLY DATA'!$AF:$AF,'CT capacity tracker'!$B52,'ESS SUPPLY DATA'!$AE:$AE,'CT capacity tracker'!$A$51,'ESS SUPPLY DATA'!$W:$W,'CT capacity tracker'!AI$1,'ESS SUPPLY DATA'!$AO:$AO,"cosco")+SUMIFS('ESS SUPPLY DATA'!$U:$U,'ESS SUPPLY DATA'!$AF:$AF,'CT capacity tracker'!$B52,'ESS SUPPLY DATA'!$AE:$AE,'CT capacity tracker'!$A$51,'ESS SUPPLY DATA'!$W:$W,'CT capacity tracker'!AI$1,'ESS SUPPLY DATA'!$AO:$AO,"other")</f>
        <v>0</v>
      </c>
      <c r="AJ55" s="504">
        <f>SUMIFS('PV SUPPLY DATA'!$X:$X,'PV SUPPLY DATA'!$AH:$AH,'CT capacity tracker'!$B52,'PV SUPPLY DATA'!$AG:$AG,'CT capacity tracker'!$A$51,'PV SUPPLY DATA'!$Y:$Y,AJ$1,'PV SUPPLY DATA'!$AQ:$AQ,"cosco")+SUMIFS('PV SUPPLY DATA'!$X:$X,'PV SUPPLY DATA'!$AH:$AH,'CT capacity tracker'!$B52,'PV SUPPLY DATA'!$AG:$AG,'CT capacity tracker'!$A$51,'PV SUPPLY DATA'!$Y:$Y,AJ$1,'PV SUPPLY DATA'!$AQ:$AQ,"other")+SUMIFS('ESS SUPPLY DATA'!$U:$U,'ESS SUPPLY DATA'!$AF:$AF,'CT capacity tracker'!$B52,'ESS SUPPLY DATA'!$AE:$AE,'CT capacity tracker'!$A$51,'ESS SUPPLY DATA'!$W:$W,'CT capacity tracker'!AJ$1,'ESS SUPPLY DATA'!$AO:$AO,"cosco")+SUMIFS('ESS SUPPLY DATA'!$U:$U,'ESS SUPPLY DATA'!$AF:$AF,'CT capacity tracker'!$B52,'ESS SUPPLY DATA'!$AE:$AE,'CT capacity tracker'!$A$51,'ESS SUPPLY DATA'!$W:$W,'CT capacity tracker'!AJ$1,'ESS SUPPLY DATA'!$AO:$AO,"other")</f>
        <v>0</v>
      </c>
      <c r="AK55" s="511"/>
      <c r="AL55" s="511"/>
      <c r="AM55" s="696">
        <f>SUM(E55:X55)</f>
        <v>4</v>
      </c>
      <c r="AN55" s="503"/>
      <c r="AO55" s="506"/>
      <c r="AP55" s="506"/>
      <c r="AQ55" s="506"/>
      <c r="AR55" s="506"/>
      <c r="AS55" s="506"/>
      <c r="AT55" s="506"/>
    </row>
    <row r="56" spans="1:46" ht="13">
      <c r="A56" s="1517"/>
      <c r="B56" s="1516" t="s">
        <v>456</v>
      </c>
      <c r="C56" s="503" t="s">
        <v>4400</v>
      </c>
      <c r="D56" s="504">
        <f>SUMIFS('PV SUPPLY DATA'!$X:$X,'PV SUPPLY DATA'!$AH:$AH,'CT capacity tracker'!$B56,'PV SUPPLY DATA'!$AG:$AG,'CT capacity tracker'!$A$1,'PV SUPPLY DATA'!$Z:$Z,'CT capacity tracker'!D$1)+SUMIFS('ESS SUPPLY DATA'!$U:$U,'ESS SUPPLY DATA'!$AF:$AF,'CT capacity tracker'!$B56,'ESS SUPPLY DATA'!$AE:$AE,'CT capacity tracker'!$A$1,'ESS SUPPLY DATA'!$X:$X,'CT capacity tracker'!D$1)</f>
        <v>11</v>
      </c>
      <c r="E56" s="504">
        <f>SUMIFS('PV SUPPLY DATA'!$X:$X,'PV SUPPLY DATA'!$AH:$AH,'CT capacity tracker'!$B56,'PV SUPPLY DATA'!$AG:$AG,$A$51,'PV SUPPLY DATA'!$Y:$Y,'CT capacity tracker'!E$1)+SUMIFS('ESS SUPPLY DATA'!$U:$U,'ESS SUPPLY DATA'!$AF:$AF,'CT capacity tracker'!$B56,'ESS SUPPLY DATA'!$AE:$AE,'CT capacity tracker'!$A$51,'ESS SUPPLY DATA'!$W:$W,'CT capacity tracker'!E$1)</f>
        <v>0</v>
      </c>
      <c r="F56" s="504">
        <f>SUMIFS('PV SUPPLY DATA'!$X:$X,'PV SUPPLY DATA'!$AH:$AH,'CT capacity tracker'!$B56,'PV SUPPLY DATA'!$AG:$AG,$A$51,'PV SUPPLY DATA'!$Y:$Y,'CT capacity tracker'!F$1)+SUMIFS('ESS SUPPLY DATA'!$U:$U,'ESS SUPPLY DATA'!$AF:$AF,'CT capacity tracker'!$B56,'ESS SUPPLY DATA'!$AE:$AE,'CT capacity tracker'!$A$51,'ESS SUPPLY DATA'!$W:$W,'CT capacity tracker'!F$1)</f>
        <v>4</v>
      </c>
      <c r="G56" s="504">
        <f>SUMIFS('PV SUPPLY DATA'!$X:$X,'PV SUPPLY DATA'!$AH:$AH,'CT capacity tracker'!$B56,'PV SUPPLY DATA'!$AG:$AG,$A$51,'PV SUPPLY DATA'!$Y:$Y,'CT capacity tracker'!G$1)+SUMIFS('ESS SUPPLY DATA'!$U:$U,'ESS SUPPLY DATA'!$AF:$AF,'CT capacity tracker'!$B56,'ESS SUPPLY DATA'!$AE:$AE,'CT capacity tracker'!$A$51,'ESS SUPPLY DATA'!$W:$W,'CT capacity tracker'!G$1)</f>
        <v>4</v>
      </c>
      <c r="H56" s="504">
        <f>SUMIFS('PV SUPPLY DATA'!$X:$X,'PV SUPPLY DATA'!$AH:$AH,'CT capacity tracker'!$B56,'PV SUPPLY DATA'!$AG:$AG,$A$51,'PV SUPPLY DATA'!$Y:$Y,'CT capacity tracker'!H$1)+SUMIFS('ESS SUPPLY DATA'!$U:$U,'ESS SUPPLY DATA'!$AF:$AF,'CT capacity tracker'!$B56,'ESS SUPPLY DATA'!$AE:$AE,'CT capacity tracker'!$A$51,'ESS SUPPLY DATA'!$W:$W,'CT capacity tracker'!H$1)</f>
        <v>1</v>
      </c>
      <c r="I56" s="504">
        <f>SUMIFS('PV SUPPLY DATA'!$X:$X,'PV SUPPLY DATA'!$AH:$AH,'CT capacity tracker'!$B56,'PV SUPPLY DATA'!$AG:$AG,$A$51,'PV SUPPLY DATA'!$Y:$Y,'CT capacity tracker'!I$1)+SUMIFS('ESS SUPPLY DATA'!$U:$U,'ESS SUPPLY DATA'!$AF:$AF,'CT capacity tracker'!$B56,'ESS SUPPLY DATA'!$AE:$AE,'CT capacity tracker'!$A$51,'ESS SUPPLY DATA'!$W:$W,'CT capacity tracker'!I$1)</f>
        <v>1</v>
      </c>
      <c r="J56" s="504">
        <f>SUMIFS('PV SUPPLY DATA'!$X:$X,'PV SUPPLY DATA'!$AH:$AH,'CT capacity tracker'!$B56,'PV SUPPLY DATA'!$AG:$AG,$A$51,'PV SUPPLY DATA'!$Y:$Y,'CT capacity tracker'!J$1)+SUMIFS('ESS SUPPLY DATA'!$U:$U,'ESS SUPPLY DATA'!$AF:$AF,'CT capacity tracker'!$B56,'ESS SUPPLY DATA'!$AE:$AE,'CT capacity tracker'!$A$51,'ESS SUPPLY DATA'!$W:$W,'CT capacity tracker'!J$1)</f>
        <v>2</v>
      </c>
      <c r="K56" s="504">
        <f>SUMIFS('PV SUPPLY DATA'!$X:$X,'PV SUPPLY DATA'!$AH:$AH,'CT capacity tracker'!$B56,'PV SUPPLY DATA'!$AG:$AG,$A$51,'PV SUPPLY DATA'!$Y:$Y,'CT capacity tracker'!K$1)+SUMIFS('ESS SUPPLY DATA'!$U:$U,'ESS SUPPLY DATA'!$AF:$AF,'CT capacity tracker'!$B56,'ESS SUPPLY DATA'!$AE:$AE,'CT capacity tracker'!$A$51,'ESS SUPPLY DATA'!$W:$W,'CT capacity tracker'!K$1)</f>
        <v>0</v>
      </c>
      <c r="L56" s="504">
        <f>SUMIFS('PV SUPPLY DATA'!$X:$X,'PV SUPPLY DATA'!$AH:$AH,'CT capacity tracker'!$B56,'PV SUPPLY DATA'!$AG:$AG,$A$51,'PV SUPPLY DATA'!$Y:$Y,'CT capacity tracker'!L$1)+SUMIFS('ESS SUPPLY DATA'!$U:$U,'ESS SUPPLY DATA'!$AF:$AF,'CT capacity tracker'!$B56,'ESS SUPPLY DATA'!$AE:$AE,'CT capacity tracker'!$A$51,'ESS SUPPLY DATA'!$W:$W,'CT capacity tracker'!L$1)</f>
        <v>2</v>
      </c>
      <c r="M56" s="504">
        <f>SUMIFS('PV SUPPLY DATA'!$X:$X,'PV SUPPLY DATA'!$AH:$AH,'CT capacity tracker'!$B56,'PV SUPPLY DATA'!$AG:$AG,$A$51,'PV SUPPLY DATA'!$Y:$Y,'CT capacity tracker'!M$1)+SUMIFS('ESS SUPPLY DATA'!$U:$U,'ESS SUPPLY DATA'!$AF:$AF,'CT capacity tracker'!$B56,'ESS SUPPLY DATA'!$AE:$AE,'CT capacity tracker'!$A$51,'ESS SUPPLY DATA'!$W:$W,'CT capacity tracker'!M$1)</f>
        <v>0</v>
      </c>
      <c r="N56" s="504">
        <f>SUMIFS('PV SUPPLY DATA'!$X:$X,'PV SUPPLY DATA'!$AH:$AH,'CT capacity tracker'!$B56,'PV SUPPLY DATA'!$AG:$AG,$A$51,'PV SUPPLY DATA'!$Y:$Y,'CT capacity tracker'!N$1)+SUMIFS('ESS SUPPLY DATA'!$U:$U,'ESS SUPPLY DATA'!$AF:$AF,'CT capacity tracker'!$B56,'ESS SUPPLY DATA'!$AE:$AE,'CT capacity tracker'!$A$51,'ESS SUPPLY DATA'!$W:$W,'CT capacity tracker'!N$1)</f>
        <v>0</v>
      </c>
      <c r="O56" s="504">
        <f>SUMIFS('PV SUPPLY DATA'!$X:$X,'PV SUPPLY DATA'!$AH:$AH,'CT capacity tracker'!$B56,'PV SUPPLY DATA'!$AG:$AG,$A$51,'PV SUPPLY DATA'!$Y:$Y,'CT capacity tracker'!O$1)+SUMIFS('ESS SUPPLY DATA'!$U:$U,'ESS SUPPLY DATA'!$AF:$AF,'CT capacity tracker'!$B56,'ESS SUPPLY DATA'!$AE:$AE,'CT capacity tracker'!$A$51,'ESS SUPPLY DATA'!$W:$W,'CT capacity tracker'!O$1)</f>
        <v>1</v>
      </c>
      <c r="P56" s="504">
        <f>SUMIFS('PV SUPPLY DATA'!$X:$X,'PV SUPPLY DATA'!$AH:$AH,'CT capacity tracker'!$B56,'PV SUPPLY DATA'!$AG:$AG,$A$51,'PV SUPPLY DATA'!$Y:$Y,'CT capacity tracker'!P$1)+SUMIFS('ESS SUPPLY DATA'!$U:$U,'ESS SUPPLY DATA'!$AF:$AF,'CT capacity tracker'!$B56,'ESS SUPPLY DATA'!$AE:$AE,'CT capacity tracker'!$A$51,'ESS SUPPLY DATA'!$W:$W,'CT capacity tracker'!P$1)</f>
        <v>0</v>
      </c>
      <c r="Q56" s="504">
        <f>SUMIFS('PV SUPPLY DATA'!$X:$X,'PV SUPPLY DATA'!$AH:$AH,'CT capacity tracker'!$B56,'PV SUPPLY DATA'!$AG:$AG,$A$51,'PV SUPPLY DATA'!$Y:$Y,'CT capacity tracker'!Q$1)+SUMIFS('ESS SUPPLY DATA'!$U:$U,'ESS SUPPLY DATA'!$AF:$AF,'CT capacity tracker'!$B56,'ESS SUPPLY DATA'!$AE:$AE,'CT capacity tracker'!$A$51,'ESS SUPPLY DATA'!$W:$W,'CT capacity tracker'!Q$1)</f>
        <v>0</v>
      </c>
      <c r="R56" s="504">
        <f>SUMIFS('PV SUPPLY DATA'!$X:$X,'PV SUPPLY DATA'!$AH:$AH,'CT capacity tracker'!$B56,'PV SUPPLY DATA'!$AG:$AG,$A$51,'PV SUPPLY DATA'!$Y:$Y,'CT capacity tracker'!R$1)+SUMIFS('ESS SUPPLY DATA'!$U:$U,'ESS SUPPLY DATA'!$AF:$AF,'CT capacity tracker'!$B56,'ESS SUPPLY DATA'!$AE:$AE,'CT capacity tracker'!$A$51,'ESS SUPPLY DATA'!$W:$W,'CT capacity tracker'!R$1)</f>
        <v>0</v>
      </c>
      <c r="S56" s="504">
        <f>SUMIFS('PV SUPPLY DATA'!$X:$X,'PV SUPPLY DATA'!$AH:$AH,'CT capacity tracker'!$B56,'PV SUPPLY DATA'!$AG:$AG,$A$51,'PV SUPPLY DATA'!$Y:$Y,'CT capacity tracker'!S$1)+SUMIFS('ESS SUPPLY DATA'!$U:$U,'ESS SUPPLY DATA'!$AF:$AF,'CT capacity tracker'!$B56,'ESS SUPPLY DATA'!$AE:$AE,'CT capacity tracker'!$A$51,'ESS SUPPLY DATA'!$W:$W,'CT capacity tracker'!S$1)</f>
        <v>2</v>
      </c>
      <c r="T56" s="504">
        <f>SUMIFS('PV SUPPLY DATA'!$X:$X,'PV SUPPLY DATA'!$AH:$AH,'CT capacity tracker'!$B56,'PV SUPPLY DATA'!$AG:$AG,$A$51,'PV SUPPLY DATA'!$Y:$Y,'CT capacity tracker'!T$1)+SUMIFS('ESS SUPPLY DATA'!$U:$U,'ESS SUPPLY DATA'!$AF:$AF,'CT capacity tracker'!$B56,'ESS SUPPLY DATA'!$AE:$AE,'CT capacity tracker'!$A$51,'ESS SUPPLY DATA'!$W:$W,'CT capacity tracker'!T$1)</f>
        <v>0</v>
      </c>
      <c r="U56" s="504">
        <f>SUMIFS('PV SUPPLY DATA'!$X:$X,'PV SUPPLY DATA'!$AH:$AH,'CT capacity tracker'!$B56,'PV SUPPLY DATA'!$AG:$AG,$A$51,'PV SUPPLY DATA'!$Y:$Y,'CT capacity tracker'!U$1)+SUMIFS('ESS SUPPLY DATA'!$U:$U,'ESS SUPPLY DATA'!$AF:$AF,'CT capacity tracker'!$B56,'ESS SUPPLY DATA'!$AE:$AE,'CT capacity tracker'!$A$51,'ESS SUPPLY DATA'!$W:$W,'CT capacity tracker'!U$1)</f>
        <v>0</v>
      </c>
      <c r="V56" s="504">
        <f>SUMIFS('PV SUPPLY DATA'!$X:$X,'PV SUPPLY DATA'!$AH:$AH,'CT capacity tracker'!$B56,'PV SUPPLY DATA'!$AG:$AG,$A$51,'PV SUPPLY DATA'!$Y:$Y,'CT capacity tracker'!V$1)+SUMIFS('ESS SUPPLY DATA'!$U:$U,'ESS SUPPLY DATA'!$AF:$AF,'CT capacity tracker'!$B56,'ESS SUPPLY DATA'!$AE:$AE,'CT capacity tracker'!$A$51,'ESS SUPPLY DATA'!$W:$W,'CT capacity tracker'!V$1)</f>
        <v>3</v>
      </c>
      <c r="W56" s="504">
        <f>SUMIFS('PV SUPPLY DATA'!$X:$X,'PV SUPPLY DATA'!$AH:$AH,'CT capacity tracker'!$B56,'PV SUPPLY DATA'!$AG:$AG,$A$51,'PV SUPPLY DATA'!$Y:$Y,'CT capacity tracker'!W$1)+SUMIFS('ESS SUPPLY DATA'!$U:$U,'ESS SUPPLY DATA'!$AF:$AF,'CT capacity tracker'!$B56,'ESS SUPPLY DATA'!$AE:$AE,'CT capacity tracker'!$A$51,'ESS SUPPLY DATA'!$W:$W,'CT capacity tracker'!W$1)</f>
        <v>1</v>
      </c>
      <c r="X56" s="504">
        <f>SUMIFS('PV SUPPLY DATA'!$X:$X,'PV SUPPLY DATA'!$AH:$AH,'CT capacity tracker'!$B56,'PV SUPPLY DATA'!$AG:$AG,$A$51,'PV SUPPLY DATA'!$Y:$Y,'CT capacity tracker'!X$1)+SUMIFS('ESS SUPPLY DATA'!$U:$U,'ESS SUPPLY DATA'!$AF:$AF,'CT capacity tracker'!$B56,'ESS SUPPLY DATA'!$AE:$AE,'CT capacity tracker'!$A$51,'ESS SUPPLY DATA'!$W:$W,'CT capacity tracker'!X$1)</f>
        <v>0</v>
      </c>
      <c r="Y56" s="504">
        <f>SUMIFS('PV SUPPLY DATA'!$X:$X,'PV SUPPLY DATA'!$AH:$AH,'CT capacity tracker'!$B56,'PV SUPPLY DATA'!$AG:$AG,$A$51,'PV SUPPLY DATA'!$Y:$Y,'CT capacity tracker'!Y$1)+SUMIFS('ESS SUPPLY DATA'!$U:$U,'ESS SUPPLY DATA'!$AF:$AF,'CT capacity tracker'!$B56,'ESS SUPPLY DATA'!$AE:$AE,'CT capacity tracker'!$A$51,'ESS SUPPLY DATA'!$W:$W,'CT capacity tracker'!Y$1)</f>
        <v>6</v>
      </c>
      <c r="Z56" s="504">
        <f>SUMIFS('PV SUPPLY DATA'!$X:$X,'PV SUPPLY DATA'!$AH:$AH,'CT capacity tracker'!$B56,'PV SUPPLY DATA'!$AG:$AG,$A$51,'PV SUPPLY DATA'!$Y:$Y,'CT capacity tracker'!Z$1)+SUMIFS('ESS SUPPLY DATA'!$U:$U,'ESS SUPPLY DATA'!$AF:$AF,'CT capacity tracker'!$B56,'ESS SUPPLY DATA'!$AE:$AE,'CT capacity tracker'!$A$51,'ESS SUPPLY DATA'!$W:$W,'CT capacity tracker'!Z$1)</f>
        <v>0</v>
      </c>
      <c r="AA56" s="504">
        <f>SUMIFS('PV SUPPLY DATA'!$X:$X,'PV SUPPLY DATA'!$AH:$AH,'CT capacity tracker'!$B56,'PV SUPPLY DATA'!$AG:$AG,$A$51,'PV SUPPLY DATA'!$Y:$Y,'CT capacity tracker'!AA$1)+SUMIFS('ESS SUPPLY DATA'!$U:$U,'ESS SUPPLY DATA'!$AF:$AF,'CT capacity tracker'!$B56,'ESS SUPPLY DATA'!$AE:$AE,'CT capacity tracker'!$A$51,'ESS SUPPLY DATA'!$W:$W,'CT capacity tracker'!AA$1)</f>
        <v>0</v>
      </c>
      <c r="AB56" s="504">
        <f>SUMIFS('PV SUPPLY DATA'!$X:$X,'PV SUPPLY DATA'!$AH:$AH,'CT capacity tracker'!$B56,'PV SUPPLY DATA'!$AG:$AG,$A$51,'PV SUPPLY DATA'!$Y:$Y,'CT capacity tracker'!AB$1)+SUMIFS('ESS SUPPLY DATA'!$U:$U,'ESS SUPPLY DATA'!$AF:$AF,'CT capacity tracker'!$B56,'ESS SUPPLY DATA'!$AE:$AE,'CT capacity tracker'!$A$51,'ESS SUPPLY DATA'!$W:$W,'CT capacity tracker'!AB$1)</f>
        <v>6</v>
      </c>
      <c r="AC56" s="504">
        <f>SUMIFS('PV SUPPLY DATA'!$X:$X,'PV SUPPLY DATA'!$AH:$AH,'CT capacity tracker'!$B56,'PV SUPPLY DATA'!$AG:$AG,$A$51,'PV SUPPLY DATA'!$Y:$Y,'CT capacity tracker'!AC$1)+SUMIFS('ESS SUPPLY DATA'!$U:$U,'ESS SUPPLY DATA'!$AF:$AF,'CT capacity tracker'!$B56,'ESS SUPPLY DATA'!$AE:$AE,'CT capacity tracker'!$A$51,'ESS SUPPLY DATA'!$W:$W,'CT capacity tracker'!AC$1)</f>
        <v>0</v>
      </c>
      <c r="AD56" s="504">
        <f>SUMIFS('PV SUPPLY DATA'!$X:$X,'PV SUPPLY DATA'!$AH:$AH,'CT capacity tracker'!$B56,'PV SUPPLY DATA'!$AG:$AG,$A$51,'PV SUPPLY DATA'!$Y:$Y,'CT capacity tracker'!AD$1)+SUMIFS('ESS SUPPLY DATA'!$U:$U,'ESS SUPPLY DATA'!$AF:$AF,'CT capacity tracker'!$B56,'ESS SUPPLY DATA'!$AE:$AE,'CT capacity tracker'!$A$51,'ESS SUPPLY DATA'!$W:$W,'CT capacity tracker'!AD$1)</f>
        <v>0</v>
      </c>
      <c r="AE56" s="504">
        <f>SUMIFS('PV SUPPLY DATA'!$X:$X,'PV SUPPLY DATA'!$AH:$AH,'CT capacity tracker'!$B56,'PV SUPPLY DATA'!$AG:$AG,$A$51,'PV SUPPLY DATA'!$Y:$Y,'CT capacity tracker'!AE$1)+SUMIFS('ESS SUPPLY DATA'!$U:$U,'ESS SUPPLY DATA'!$AF:$AF,'CT capacity tracker'!$B56,'ESS SUPPLY DATA'!$AE:$AE,'CT capacity tracker'!$A$51,'ESS SUPPLY DATA'!$W:$W,'CT capacity tracker'!AE$1)</f>
        <v>6</v>
      </c>
      <c r="AF56" s="504">
        <f>SUMIFS('PV SUPPLY DATA'!$X:$X,'PV SUPPLY DATA'!$AH:$AH,'CT capacity tracker'!$B56,'PV SUPPLY DATA'!$AG:$AG,$A$51,'PV SUPPLY DATA'!$Y:$Y,'CT capacity tracker'!AF$1)+SUMIFS('ESS SUPPLY DATA'!$U:$U,'ESS SUPPLY DATA'!$AF:$AF,'CT capacity tracker'!$B56,'ESS SUPPLY DATA'!$AE:$AE,'CT capacity tracker'!$A$51,'ESS SUPPLY DATA'!$W:$W,'CT capacity tracker'!AF$1)</f>
        <v>0</v>
      </c>
      <c r="AG56" s="504">
        <f>SUMIFS('PV SUPPLY DATA'!$X:$X,'PV SUPPLY DATA'!$AH:$AH,'CT capacity tracker'!$B56,'PV SUPPLY DATA'!$AG:$AG,$A$51,'PV SUPPLY DATA'!$Y:$Y,'CT capacity tracker'!AG$1)+SUMIFS('ESS SUPPLY DATA'!$U:$U,'ESS SUPPLY DATA'!$AF:$AF,'CT capacity tracker'!$B56,'ESS SUPPLY DATA'!$AE:$AE,'CT capacity tracker'!$A$51,'ESS SUPPLY DATA'!$W:$W,'CT capacity tracker'!AG$1)</f>
        <v>0</v>
      </c>
      <c r="AH56" s="504">
        <f>SUMIFS('PV SUPPLY DATA'!$X:$X,'PV SUPPLY DATA'!$AH:$AH,'CT capacity tracker'!$B56,'PV SUPPLY DATA'!$AG:$AG,$A$51,'PV SUPPLY DATA'!$Y:$Y,'CT capacity tracker'!AH$1)+SUMIFS('ESS SUPPLY DATA'!$U:$U,'ESS SUPPLY DATA'!$AF:$AF,'CT capacity tracker'!$B56,'ESS SUPPLY DATA'!$AE:$AE,'CT capacity tracker'!$A$51,'ESS SUPPLY DATA'!$W:$W,'CT capacity tracker'!AH$1)</f>
        <v>0</v>
      </c>
      <c r="AI56" s="504">
        <f>SUMIFS('PV SUPPLY DATA'!$X:$X,'PV SUPPLY DATA'!$AH:$AH,'CT capacity tracker'!$B56,'PV SUPPLY DATA'!$AG:$AG,$A$51,'PV SUPPLY DATA'!$Y:$Y,'CT capacity tracker'!AI$1)+SUMIFS('ESS SUPPLY DATA'!$U:$U,'ESS SUPPLY DATA'!$AF:$AF,'CT capacity tracker'!$B56,'ESS SUPPLY DATA'!$AE:$AE,'CT capacity tracker'!$A$51,'ESS SUPPLY DATA'!$W:$W,'CT capacity tracker'!AI$1)</f>
        <v>6</v>
      </c>
      <c r="AJ56" s="504">
        <f>SUMIFS('PV SUPPLY DATA'!$X:$X,'PV SUPPLY DATA'!$AH:$AH,'CT capacity tracker'!$B56,'PV SUPPLY DATA'!$AG:$AG,$A$51,'PV SUPPLY DATA'!$Y:$Y,'CT capacity tracker'!AJ$1)+SUMIFS('ESS SUPPLY DATA'!$U:$U,'ESS SUPPLY DATA'!$AF:$AF,'CT capacity tracker'!$B56,'ESS SUPPLY DATA'!$AE:$AE,'CT capacity tracker'!$A$51,'ESS SUPPLY DATA'!$W:$W,'CT capacity tracker'!AJ$1)</f>
        <v>0</v>
      </c>
      <c r="AK56" s="505" t="s">
        <v>197</v>
      </c>
      <c r="AL56" s="505" t="s">
        <v>197</v>
      </c>
      <c r="AM56" s="696">
        <f>SUM(E56:X56)</f>
        <v>21</v>
      </c>
      <c r="AN56" s="503" t="s">
        <v>197</v>
      </c>
      <c r="AO56" s="506"/>
      <c r="AP56" s="506">
        <f t="shared" si="3"/>
        <v>8</v>
      </c>
      <c r="AQ56" s="506"/>
      <c r="AR56" s="506"/>
      <c r="AS56" s="506"/>
      <c r="AT56" s="506"/>
    </row>
    <row r="57" spans="1:46" ht="13">
      <c r="A57" s="1517"/>
      <c r="B57" s="1517"/>
      <c r="C57" s="509" t="s">
        <v>4401</v>
      </c>
      <c r="D57" s="509"/>
      <c r="E57" s="510">
        <v>1</v>
      </c>
      <c r="F57" s="510">
        <v>4</v>
      </c>
      <c r="G57" s="510">
        <v>4</v>
      </c>
      <c r="H57" s="510">
        <v>0</v>
      </c>
      <c r="I57" s="510">
        <v>1</v>
      </c>
      <c r="J57" s="510">
        <v>2</v>
      </c>
      <c r="K57" s="510"/>
      <c r="L57" s="510"/>
      <c r="M57" s="510"/>
      <c r="N57" s="510">
        <v>1</v>
      </c>
      <c r="O57" s="510">
        <v>1</v>
      </c>
      <c r="P57" s="510">
        <v>1</v>
      </c>
      <c r="Q57" s="510">
        <v>1</v>
      </c>
      <c r="R57" s="510">
        <v>1</v>
      </c>
      <c r="S57" s="510">
        <v>0</v>
      </c>
      <c r="T57" s="510">
        <v>0</v>
      </c>
      <c r="U57" s="510">
        <v>0</v>
      </c>
      <c r="V57" s="510">
        <v>0</v>
      </c>
      <c r="W57" s="510">
        <v>1</v>
      </c>
      <c r="X57" s="510">
        <v>1</v>
      </c>
      <c r="Y57" s="510">
        <v>1</v>
      </c>
      <c r="Z57" s="510">
        <v>0</v>
      </c>
      <c r="AA57" s="510">
        <v>1</v>
      </c>
      <c r="AB57" s="510">
        <v>0</v>
      </c>
      <c r="AC57" s="510">
        <v>6</v>
      </c>
      <c r="AD57" s="510">
        <v>1</v>
      </c>
      <c r="AE57" s="510">
        <v>1</v>
      </c>
      <c r="AF57" s="510">
        <v>1</v>
      </c>
      <c r="AG57" s="510">
        <v>1</v>
      </c>
      <c r="AH57" s="510">
        <v>1</v>
      </c>
      <c r="AI57" s="510">
        <v>1</v>
      </c>
      <c r="AJ57" s="510">
        <v>1</v>
      </c>
      <c r="AK57" s="505" t="s">
        <v>197</v>
      </c>
      <c r="AL57" s="505" t="s">
        <v>197</v>
      </c>
      <c r="AM57" s="696"/>
      <c r="AN57" s="503" t="s">
        <v>197</v>
      </c>
      <c r="AO57" s="506"/>
      <c r="AP57" s="506">
        <f t="shared" si="3"/>
        <v>7</v>
      </c>
      <c r="AQ57" s="506"/>
      <c r="AR57" s="506"/>
      <c r="AS57" s="506"/>
      <c r="AT57" s="506"/>
    </row>
    <row r="58" spans="1:46" ht="13">
      <c r="A58" s="1517"/>
      <c r="B58" s="1517"/>
      <c r="C58" s="520" t="s">
        <v>4402</v>
      </c>
      <c r="D58" s="522"/>
      <c r="E58" s="522">
        <f>E57-E56</f>
        <v>1</v>
      </c>
      <c r="F58" s="522">
        <f t="shared" ref="F58:X58" si="43">F57-F56</f>
        <v>0</v>
      </c>
      <c r="G58" s="522">
        <f t="shared" si="43"/>
        <v>0</v>
      </c>
      <c r="H58" s="522">
        <f t="shared" si="43"/>
        <v>-1</v>
      </c>
      <c r="I58" s="522">
        <f t="shared" si="43"/>
        <v>0</v>
      </c>
      <c r="J58" s="522">
        <f t="shared" si="43"/>
        <v>0</v>
      </c>
      <c r="K58" s="522">
        <f t="shared" si="43"/>
        <v>0</v>
      </c>
      <c r="L58" s="522">
        <f t="shared" si="43"/>
        <v>-2</v>
      </c>
      <c r="M58" s="522">
        <f t="shared" si="43"/>
        <v>0</v>
      </c>
      <c r="N58" s="522">
        <f t="shared" si="43"/>
        <v>1</v>
      </c>
      <c r="O58" s="522">
        <f t="shared" si="43"/>
        <v>0</v>
      </c>
      <c r="P58" s="522">
        <f t="shared" si="43"/>
        <v>1</v>
      </c>
      <c r="Q58" s="522">
        <f t="shared" si="43"/>
        <v>1</v>
      </c>
      <c r="R58" s="522">
        <f t="shared" si="43"/>
        <v>1</v>
      </c>
      <c r="S58" s="522">
        <f t="shared" si="43"/>
        <v>-2</v>
      </c>
      <c r="T58" s="522">
        <f t="shared" si="43"/>
        <v>0</v>
      </c>
      <c r="U58" s="522">
        <f t="shared" si="43"/>
        <v>0</v>
      </c>
      <c r="V58" s="522">
        <f t="shared" si="43"/>
        <v>-3</v>
      </c>
      <c r="W58" s="522">
        <f t="shared" si="43"/>
        <v>0</v>
      </c>
      <c r="X58" s="522">
        <f t="shared" si="43"/>
        <v>1</v>
      </c>
      <c r="Y58" s="522">
        <f t="shared" ref="Y58:AJ58" si="44">Y57-Y56</f>
        <v>-5</v>
      </c>
      <c r="Z58" s="522">
        <f t="shared" si="44"/>
        <v>0</v>
      </c>
      <c r="AA58" s="522">
        <f t="shared" si="44"/>
        <v>1</v>
      </c>
      <c r="AB58" s="522">
        <f t="shared" si="44"/>
        <v>-6</v>
      </c>
      <c r="AC58" s="522">
        <f t="shared" si="44"/>
        <v>6</v>
      </c>
      <c r="AD58" s="522">
        <f t="shared" si="44"/>
        <v>1</v>
      </c>
      <c r="AE58" s="522">
        <f t="shared" si="44"/>
        <v>-5</v>
      </c>
      <c r="AF58" s="522">
        <f t="shared" si="44"/>
        <v>1</v>
      </c>
      <c r="AG58" s="522">
        <f t="shared" si="44"/>
        <v>1</v>
      </c>
      <c r="AH58" s="522">
        <f t="shared" si="44"/>
        <v>1</v>
      </c>
      <c r="AI58" s="522">
        <f t="shared" si="44"/>
        <v>-5</v>
      </c>
      <c r="AJ58" s="522">
        <f t="shared" si="44"/>
        <v>1</v>
      </c>
      <c r="AK58" s="511">
        <f>SUMIF($E58:$X58,"&gt;0")</f>
        <v>6</v>
      </c>
      <c r="AL58" s="511">
        <f>SUMIF($E58:$X58,"&lt;0")</f>
        <v>-8</v>
      </c>
      <c r="AM58" s="696"/>
      <c r="AN58" s="503" t="s">
        <v>197</v>
      </c>
      <c r="AO58" s="506"/>
      <c r="AP58" s="506">
        <f t="shared" si="3"/>
        <v>-1</v>
      </c>
      <c r="AQ58" s="506"/>
      <c r="AR58" s="506"/>
      <c r="AS58" s="506"/>
      <c r="AT58" s="506"/>
    </row>
    <row r="59" spans="1:46" ht="13">
      <c r="A59" s="1517"/>
      <c r="B59" s="1518"/>
      <c r="C59" s="503" t="s">
        <v>4403</v>
      </c>
      <c r="D59" s="522"/>
      <c r="E59" s="504">
        <f>SUMIFS('PV SUPPLY DATA'!$X:$X,'PV SUPPLY DATA'!$AH:$AH,'CT capacity tracker'!$B56,'PV SUPPLY DATA'!$AG:$AG,'CT capacity tracker'!$A$51,'PV SUPPLY DATA'!$Y:$Y,E$1,'PV SUPPLY DATA'!$AQ:$AQ,"cosco")+SUMIFS('PV SUPPLY DATA'!$X:$X,'PV SUPPLY DATA'!$AH:$AH,'CT capacity tracker'!$B56,'PV SUPPLY DATA'!$AG:$AG,'CT capacity tracker'!$A$51,'PV SUPPLY DATA'!$Y:$Y,E$1,'PV SUPPLY DATA'!$AQ:$AQ,"other")+SUMIFS('ESS SUPPLY DATA'!$U:$U,'ESS SUPPLY DATA'!$AF:$AF,'CT capacity tracker'!$B56,'ESS SUPPLY DATA'!$AE:$AE,'CT capacity tracker'!$A$51,'ESS SUPPLY DATA'!$W:$W,'CT capacity tracker'!E$1,'ESS SUPPLY DATA'!$AO:$AO,"cosco")+SUMIFS('ESS SUPPLY DATA'!$U:$U,'ESS SUPPLY DATA'!$AF:$AF,'CT capacity tracker'!$B56,'ESS SUPPLY DATA'!$AE:$AE,'CT capacity tracker'!$A$51,'ESS SUPPLY DATA'!$W:$W,'CT capacity tracker'!E$1,'ESS SUPPLY DATA'!$AO:$AO,"other")</f>
        <v>0</v>
      </c>
      <c r="F59" s="504">
        <f>SUMIFS('PV SUPPLY DATA'!$X:$X,'PV SUPPLY DATA'!$AH:$AH,'CT capacity tracker'!$B56,'PV SUPPLY DATA'!$AG:$AG,'CT capacity tracker'!$A$51,'PV SUPPLY DATA'!$Y:$Y,F$1,'PV SUPPLY DATA'!$AQ:$AQ,"cosco")+SUMIFS('PV SUPPLY DATA'!$X:$X,'PV SUPPLY DATA'!$AH:$AH,'CT capacity tracker'!$B56,'PV SUPPLY DATA'!$AG:$AG,'CT capacity tracker'!$A$51,'PV SUPPLY DATA'!$Y:$Y,F$1,'PV SUPPLY DATA'!$AQ:$AQ,"other")+SUMIFS('ESS SUPPLY DATA'!$U:$U,'ESS SUPPLY DATA'!$AF:$AF,'CT capacity tracker'!$B56,'ESS SUPPLY DATA'!$AE:$AE,'CT capacity tracker'!$A$51,'ESS SUPPLY DATA'!$W:$W,'CT capacity tracker'!F$1,'ESS SUPPLY DATA'!$AO:$AO,"cosco")+SUMIFS('ESS SUPPLY DATA'!$U:$U,'ESS SUPPLY DATA'!$AF:$AF,'CT capacity tracker'!$B56,'ESS SUPPLY DATA'!$AE:$AE,'CT capacity tracker'!$A$51,'ESS SUPPLY DATA'!$W:$W,'CT capacity tracker'!F$1,'ESS SUPPLY DATA'!$AO:$AO,"other")</f>
        <v>4</v>
      </c>
      <c r="G59" s="504">
        <f>SUMIFS('PV SUPPLY DATA'!$X:$X,'PV SUPPLY DATA'!$AH:$AH,'CT capacity tracker'!$B56,'PV SUPPLY DATA'!$AG:$AG,'CT capacity tracker'!$A$51,'PV SUPPLY DATA'!$Y:$Y,G$1,'PV SUPPLY DATA'!$AQ:$AQ,"cosco")+SUMIFS('PV SUPPLY DATA'!$X:$X,'PV SUPPLY DATA'!$AH:$AH,'CT capacity tracker'!$B56,'PV SUPPLY DATA'!$AG:$AG,'CT capacity tracker'!$A$51,'PV SUPPLY DATA'!$Y:$Y,G$1,'PV SUPPLY DATA'!$AQ:$AQ,"other")+SUMIFS('ESS SUPPLY DATA'!$U:$U,'ESS SUPPLY DATA'!$AF:$AF,'CT capacity tracker'!$B56,'ESS SUPPLY DATA'!$AE:$AE,'CT capacity tracker'!$A$51,'ESS SUPPLY DATA'!$W:$W,'CT capacity tracker'!G$1,'ESS SUPPLY DATA'!$AO:$AO,"cosco")+SUMIFS('ESS SUPPLY DATA'!$U:$U,'ESS SUPPLY DATA'!$AF:$AF,'CT capacity tracker'!$B56,'ESS SUPPLY DATA'!$AE:$AE,'CT capacity tracker'!$A$51,'ESS SUPPLY DATA'!$W:$W,'CT capacity tracker'!G$1,'ESS SUPPLY DATA'!$AO:$AO,"other")</f>
        <v>4</v>
      </c>
      <c r="H59" s="504">
        <f>SUMIFS('PV SUPPLY DATA'!$X:$X,'PV SUPPLY DATA'!$AH:$AH,'CT capacity tracker'!$B56,'PV SUPPLY DATA'!$AG:$AG,'CT capacity tracker'!$A$51,'PV SUPPLY DATA'!$Y:$Y,H$1,'PV SUPPLY DATA'!$AQ:$AQ,"cosco")+SUMIFS('PV SUPPLY DATA'!$X:$X,'PV SUPPLY DATA'!$AH:$AH,'CT capacity tracker'!$B56,'PV SUPPLY DATA'!$AG:$AG,'CT capacity tracker'!$A$51,'PV SUPPLY DATA'!$Y:$Y,H$1,'PV SUPPLY DATA'!$AQ:$AQ,"other")+SUMIFS('ESS SUPPLY DATA'!$U:$U,'ESS SUPPLY DATA'!$AF:$AF,'CT capacity tracker'!$B56,'ESS SUPPLY DATA'!$AE:$AE,'CT capacity tracker'!$A$51,'ESS SUPPLY DATA'!$W:$W,'CT capacity tracker'!H$1,'ESS SUPPLY DATA'!$AO:$AO,"cosco")+SUMIFS('ESS SUPPLY DATA'!$U:$U,'ESS SUPPLY DATA'!$AF:$AF,'CT capacity tracker'!$B56,'ESS SUPPLY DATA'!$AE:$AE,'CT capacity tracker'!$A$51,'ESS SUPPLY DATA'!$W:$W,'CT capacity tracker'!H$1,'ESS SUPPLY DATA'!$AO:$AO,"other")</f>
        <v>1</v>
      </c>
      <c r="I59" s="504">
        <f>SUMIFS('PV SUPPLY DATA'!$X:$X,'PV SUPPLY DATA'!$AH:$AH,'CT capacity tracker'!$B56,'PV SUPPLY DATA'!$AG:$AG,'CT capacity tracker'!$A$51,'PV SUPPLY DATA'!$Y:$Y,I$1,'PV SUPPLY DATA'!$AQ:$AQ,"cosco")+SUMIFS('PV SUPPLY DATA'!$X:$X,'PV SUPPLY DATA'!$AH:$AH,'CT capacity tracker'!$B56,'PV SUPPLY DATA'!$AG:$AG,'CT capacity tracker'!$A$51,'PV SUPPLY DATA'!$Y:$Y,I$1,'PV SUPPLY DATA'!$AQ:$AQ,"other")+SUMIFS('ESS SUPPLY DATA'!$U:$U,'ESS SUPPLY DATA'!$AF:$AF,'CT capacity tracker'!$B56,'ESS SUPPLY DATA'!$AE:$AE,'CT capacity tracker'!$A$51,'ESS SUPPLY DATA'!$W:$W,'CT capacity tracker'!I$1,'ESS SUPPLY DATA'!$AO:$AO,"cosco")+SUMIFS('ESS SUPPLY DATA'!$U:$U,'ESS SUPPLY DATA'!$AF:$AF,'CT capacity tracker'!$B56,'ESS SUPPLY DATA'!$AE:$AE,'CT capacity tracker'!$A$51,'ESS SUPPLY DATA'!$W:$W,'CT capacity tracker'!I$1,'ESS SUPPLY DATA'!$AO:$AO,"other")</f>
        <v>1</v>
      </c>
      <c r="J59" s="504">
        <f>SUMIFS('PV SUPPLY DATA'!$X:$X,'PV SUPPLY DATA'!$AH:$AH,'CT capacity tracker'!$B56,'PV SUPPLY DATA'!$AG:$AG,'CT capacity tracker'!$A$51,'PV SUPPLY DATA'!$Y:$Y,J$1,'PV SUPPLY DATA'!$AQ:$AQ,"cosco")+SUMIFS('PV SUPPLY DATA'!$X:$X,'PV SUPPLY DATA'!$AH:$AH,'CT capacity tracker'!$B56,'PV SUPPLY DATA'!$AG:$AG,'CT capacity tracker'!$A$51,'PV SUPPLY DATA'!$Y:$Y,J$1,'PV SUPPLY DATA'!$AQ:$AQ,"other")+SUMIFS('ESS SUPPLY DATA'!$U:$U,'ESS SUPPLY DATA'!$AF:$AF,'CT capacity tracker'!$B56,'ESS SUPPLY DATA'!$AE:$AE,'CT capacity tracker'!$A$51,'ESS SUPPLY DATA'!$W:$W,'CT capacity tracker'!J$1,'ESS SUPPLY DATA'!$AO:$AO,"cosco")+SUMIFS('ESS SUPPLY DATA'!$U:$U,'ESS SUPPLY DATA'!$AF:$AF,'CT capacity tracker'!$B56,'ESS SUPPLY DATA'!$AE:$AE,'CT capacity tracker'!$A$51,'ESS SUPPLY DATA'!$W:$W,'CT capacity tracker'!J$1,'ESS SUPPLY DATA'!$AO:$AO,"other")</f>
        <v>2</v>
      </c>
      <c r="K59" s="504">
        <f>SUMIFS('PV SUPPLY DATA'!$X:$X,'PV SUPPLY DATA'!$AH:$AH,'CT capacity tracker'!$B56,'PV SUPPLY DATA'!$AG:$AG,'CT capacity tracker'!$A$51,'PV SUPPLY DATA'!$Y:$Y,K$1,'PV SUPPLY DATA'!$AQ:$AQ,"cosco")+SUMIFS('PV SUPPLY DATA'!$X:$X,'PV SUPPLY DATA'!$AH:$AH,'CT capacity tracker'!$B56,'PV SUPPLY DATA'!$AG:$AG,'CT capacity tracker'!$A$51,'PV SUPPLY DATA'!$Y:$Y,K$1,'PV SUPPLY DATA'!$AQ:$AQ,"other")+SUMIFS('ESS SUPPLY DATA'!$U:$U,'ESS SUPPLY DATA'!$AF:$AF,'CT capacity tracker'!$B56,'ESS SUPPLY DATA'!$AE:$AE,'CT capacity tracker'!$A$51,'ESS SUPPLY DATA'!$W:$W,'CT capacity tracker'!K$1,'ESS SUPPLY DATA'!$AO:$AO,"cosco")+SUMIFS('ESS SUPPLY DATA'!$U:$U,'ESS SUPPLY DATA'!$AF:$AF,'CT capacity tracker'!$B56,'ESS SUPPLY DATA'!$AE:$AE,'CT capacity tracker'!$A$51,'ESS SUPPLY DATA'!$W:$W,'CT capacity tracker'!K$1,'ESS SUPPLY DATA'!$AO:$AO,"other")</f>
        <v>0</v>
      </c>
      <c r="L59" s="504">
        <f>SUMIFS('PV SUPPLY DATA'!$X:$X,'PV SUPPLY DATA'!$AH:$AH,'CT capacity tracker'!$B56,'PV SUPPLY DATA'!$AG:$AG,'CT capacity tracker'!$A$51,'PV SUPPLY DATA'!$Y:$Y,L$1,'PV SUPPLY DATA'!$AQ:$AQ,"cosco")+SUMIFS('PV SUPPLY DATA'!$X:$X,'PV SUPPLY DATA'!$AH:$AH,'CT capacity tracker'!$B56,'PV SUPPLY DATA'!$AG:$AG,'CT capacity tracker'!$A$51,'PV SUPPLY DATA'!$Y:$Y,L$1,'PV SUPPLY DATA'!$AQ:$AQ,"other")+SUMIFS('ESS SUPPLY DATA'!$U:$U,'ESS SUPPLY DATA'!$AF:$AF,'CT capacity tracker'!$B56,'ESS SUPPLY DATA'!$AE:$AE,'CT capacity tracker'!$A$51,'ESS SUPPLY DATA'!$W:$W,'CT capacity tracker'!L$1,'ESS SUPPLY DATA'!$AO:$AO,"cosco")+SUMIFS('ESS SUPPLY DATA'!$U:$U,'ESS SUPPLY DATA'!$AF:$AF,'CT capacity tracker'!$B56,'ESS SUPPLY DATA'!$AE:$AE,'CT capacity tracker'!$A$51,'ESS SUPPLY DATA'!$W:$W,'CT capacity tracker'!L$1,'ESS SUPPLY DATA'!$AO:$AO,"other")</f>
        <v>2</v>
      </c>
      <c r="M59" s="504">
        <f>SUMIFS('PV SUPPLY DATA'!$X:$X,'PV SUPPLY DATA'!$AH:$AH,'CT capacity tracker'!$B56,'PV SUPPLY DATA'!$AG:$AG,'CT capacity tracker'!$A$51,'PV SUPPLY DATA'!$Y:$Y,M$1,'PV SUPPLY DATA'!$AQ:$AQ,"cosco")+SUMIFS('PV SUPPLY DATA'!$X:$X,'PV SUPPLY DATA'!$AH:$AH,'CT capacity tracker'!$B56,'PV SUPPLY DATA'!$AG:$AG,'CT capacity tracker'!$A$51,'PV SUPPLY DATA'!$Y:$Y,M$1,'PV SUPPLY DATA'!$AQ:$AQ,"other")+SUMIFS('ESS SUPPLY DATA'!$U:$U,'ESS SUPPLY DATA'!$AF:$AF,'CT capacity tracker'!$B56,'ESS SUPPLY DATA'!$AE:$AE,'CT capacity tracker'!$A$51,'ESS SUPPLY DATA'!$W:$W,'CT capacity tracker'!M$1,'ESS SUPPLY DATA'!$AO:$AO,"cosco")+SUMIFS('ESS SUPPLY DATA'!$U:$U,'ESS SUPPLY DATA'!$AF:$AF,'CT capacity tracker'!$B56,'ESS SUPPLY DATA'!$AE:$AE,'CT capacity tracker'!$A$51,'ESS SUPPLY DATA'!$W:$W,'CT capacity tracker'!M$1,'ESS SUPPLY DATA'!$AO:$AO,"other")</f>
        <v>0</v>
      </c>
      <c r="N59" s="504">
        <f>SUMIFS('PV SUPPLY DATA'!$X:$X,'PV SUPPLY DATA'!$AH:$AH,'CT capacity tracker'!$B56,'PV SUPPLY DATA'!$AG:$AG,'CT capacity tracker'!$A$51,'PV SUPPLY DATA'!$Y:$Y,N$1,'PV SUPPLY DATA'!$AQ:$AQ,"cosco")+SUMIFS('PV SUPPLY DATA'!$X:$X,'PV SUPPLY DATA'!$AH:$AH,'CT capacity tracker'!$B56,'PV SUPPLY DATA'!$AG:$AG,'CT capacity tracker'!$A$51,'PV SUPPLY DATA'!$Y:$Y,N$1,'PV SUPPLY DATA'!$AQ:$AQ,"other")+SUMIFS('ESS SUPPLY DATA'!$U:$U,'ESS SUPPLY DATA'!$AF:$AF,'CT capacity tracker'!$B56,'ESS SUPPLY DATA'!$AE:$AE,'CT capacity tracker'!$A$51,'ESS SUPPLY DATA'!$W:$W,'CT capacity tracker'!N$1,'ESS SUPPLY DATA'!$AO:$AO,"cosco")+SUMIFS('ESS SUPPLY DATA'!$U:$U,'ESS SUPPLY DATA'!$AF:$AF,'CT capacity tracker'!$B56,'ESS SUPPLY DATA'!$AE:$AE,'CT capacity tracker'!$A$51,'ESS SUPPLY DATA'!$W:$W,'CT capacity tracker'!N$1,'ESS SUPPLY DATA'!$AO:$AO,"other")</f>
        <v>0</v>
      </c>
      <c r="O59" s="504">
        <f>SUMIFS('PV SUPPLY DATA'!$X:$X,'PV SUPPLY DATA'!$AH:$AH,'CT capacity tracker'!$B56,'PV SUPPLY DATA'!$AG:$AG,'CT capacity tracker'!$A$51,'PV SUPPLY DATA'!$Y:$Y,O$1,'PV SUPPLY DATA'!$AQ:$AQ,"cosco")+SUMIFS('PV SUPPLY DATA'!$X:$X,'PV SUPPLY DATA'!$AH:$AH,'CT capacity tracker'!$B56,'PV SUPPLY DATA'!$AG:$AG,'CT capacity tracker'!$A$51,'PV SUPPLY DATA'!$Y:$Y,O$1,'PV SUPPLY DATA'!$AQ:$AQ,"other")+SUMIFS('ESS SUPPLY DATA'!$U:$U,'ESS SUPPLY DATA'!$AF:$AF,'CT capacity tracker'!$B56,'ESS SUPPLY DATA'!$AE:$AE,'CT capacity tracker'!$A$51,'ESS SUPPLY DATA'!$W:$W,'CT capacity tracker'!O$1,'ESS SUPPLY DATA'!$AO:$AO,"cosco")+SUMIFS('ESS SUPPLY DATA'!$U:$U,'ESS SUPPLY DATA'!$AF:$AF,'CT capacity tracker'!$B56,'ESS SUPPLY DATA'!$AE:$AE,'CT capacity tracker'!$A$51,'ESS SUPPLY DATA'!$W:$W,'CT capacity tracker'!O$1,'ESS SUPPLY DATA'!$AO:$AO,"other")</f>
        <v>1</v>
      </c>
      <c r="P59" s="504">
        <f>SUMIFS('PV SUPPLY DATA'!$X:$X,'PV SUPPLY DATA'!$AH:$AH,'CT capacity tracker'!$B56,'PV SUPPLY DATA'!$AG:$AG,'CT capacity tracker'!$A$51,'PV SUPPLY DATA'!$Y:$Y,P$1,'PV SUPPLY DATA'!$AQ:$AQ,"cosco")+SUMIFS('PV SUPPLY DATA'!$X:$X,'PV SUPPLY DATA'!$AH:$AH,'CT capacity tracker'!$B56,'PV SUPPLY DATA'!$AG:$AG,'CT capacity tracker'!$A$51,'PV SUPPLY DATA'!$Y:$Y,P$1,'PV SUPPLY DATA'!$AQ:$AQ,"other")+SUMIFS('ESS SUPPLY DATA'!$U:$U,'ESS SUPPLY DATA'!$AF:$AF,'CT capacity tracker'!$B56,'ESS SUPPLY DATA'!$AE:$AE,'CT capacity tracker'!$A$51,'ESS SUPPLY DATA'!$W:$W,'CT capacity tracker'!P$1,'ESS SUPPLY DATA'!$AO:$AO,"cosco")+SUMIFS('ESS SUPPLY DATA'!$U:$U,'ESS SUPPLY DATA'!$AF:$AF,'CT capacity tracker'!$B56,'ESS SUPPLY DATA'!$AE:$AE,'CT capacity tracker'!$A$51,'ESS SUPPLY DATA'!$W:$W,'CT capacity tracker'!P$1,'ESS SUPPLY DATA'!$AO:$AO,"other")</f>
        <v>0</v>
      </c>
      <c r="Q59" s="504">
        <f>SUMIFS('PV SUPPLY DATA'!$X:$X,'PV SUPPLY DATA'!$AH:$AH,'CT capacity tracker'!$B56,'PV SUPPLY DATA'!$AG:$AG,'CT capacity tracker'!$A$51,'PV SUPPLY DATA'!$Y:$Y,Q$1,'PV SUPPLY DATA'!$AQ:$AQ,"cosco")+SUMIFS('PV SUPPLY DATA'!$X:$X,'PV SUPPLY DATA'!$AH:$AH,'CT capacity tracker'!$B56,'PV SUPPLY DATA'!$AG:$AG,'CT capacity tracker'!$A$51,'PV SUPPLY DATA'!$Y:$Y,Q$1,'PV SUPPLY DATA'!$AQ:$AQ,"other")+SUMIFS('ESS SUPPLY DATA'!$U:$U,'ESS SUPPLY DATA'!$AF:$AF,'CT capacity tracker'!$B56,'ESS SUPPLY DATA'!$AE:$AE,'CT capacity tracker'!$A$51,'ESS SUPPLY DATA'!$W:$W,'CT capacity tracker'!Q$1,'ESS SUPPLY DATA'!$AO:$AO,"cosco")+SUMIFS('ESS SUPPLY DATA'!$U:$U,'ESS SUPPLY DATA'!$AF:$AF,'CT capacity tracker'!$B56,'ESS SUPPLY DATA'!$AE:$AE,'CT capacity tracker'!$A$51,'ESS SUPPLY DATA'!$W:$W,'CT capacity tracker'!Q$1,'ESS SUPPLY DATA'!$AO:$AO,"other")</f>
        <v>0</v>
      </c>
      <c r="R59" s="504">
        <f>SUMIFS('PV SUPPLY DATA'!$X:$X,'PV SUPPLY DATA'!$AH:$AH,'CT capacity tracker'!$B56,'PV SUPPLY DATA'!$AG:$AG,'CT capacity tracker'!$A$51,'PV SUPPLY DATA'!$Y:$Y,R$1,'PV SUPPLY DATA'!$AQ:$AQ,"cosco")+SUMIFS('PV SUPPLY DATA'!$X:$X,'PV SUPPLY DATA'!$AH:$AH,'CT capacity tracker'!$B56,'PV SUPPLY DATA'!$AG:$AG,'CT capacity tracker'!$A$51,'PV SUPPLY DATA'!$Y:$Y,R$1,'PV SUPPLY DATA'!$AQ:$AQ,"other")+SUMIFS('ESS SUPPLY DATA'!$U:$U,'ESS SUPPLY DATA'!$AF:$AF,'CT capacity tracker'!$B56,'ESS SUPPLY DATA'!$AE:$AE,'CT capacity tracker'!$A$51,'ESS SUPPLY DATA'!$W:$W,'CT capacity tracker'!R$1,'ESS SUPPLY DATA'!$AO:$AO,"cosco")+SUMIFS('ESS SUPPLY DATA'!$U:$U,'ESS SUPPLY DATA'!$AF:$AF,'CT capacity tracker'!$B56,'ESS SUPPLY DATA'!$AE:$AE,'CT capacity tracker'!$A$51,'ESS SUPPLY DATA'!$W:$W,'CT capacity tracker'!R$1,'ESS SUPPLY DATA'!$AO:$AO,"other")</f>
        <v>0</v>
      </c>
      <c r="S59" s="504">
        <f>SUMIFS('PV SUPPLY DATA'!$X:$X,'PV SUPPLY DATA'!$AH:$AH,'CT capacity tracker'!$B56,'PV SUPPLY DATA'!$AG:$AG,'CT capacity tracker'!$A$51,'PV SUPPLY DATA'!$Y:$Y,S$1,'PV SUPPLY DATA'!$AQ:$AQ,"cosco")+SUMIFS('PV SUPPLY DATA'!$X:$X,'PV SUPPLY DATA'!$AH:$AH,'CT capacity tracker'!$B56,'PV SUPPLY DATA'!$AG:$AG,'CT capacity tracker'!$A$51,'PV SUPPLY DATA'!$Y:$Y,S$1,'PV SUPPLY DATA'!$AQ:$AQ,"other")+SUMIFS('ESS SUPPLY DATA'!$U:$U,'ESS SUPPLY DATA'!$AF:$AF,'CT capacity tracker'!$B56,'ESS SUPPLY DATA'!$AE:$AE,'CT capacity tracker'!$A$51,'ESS SUPPLY DATA'!$W:$W,'CT capacity tracker'!S$1,'ESS SUPPLY DATA'!$AO:$AO,"cosco")+SUMIFS('ESS SUPPLY DATA'!$U:$U,'ESS SUPPLY DATA'!$AF:$AF,'CT capacity tracker'!$B56,'ESS SUPPLY DATA'!$AE:$AE,'CT capacity tracker'!$A$51,'ESS SUPPLY DATA'!$W:$W,'CT capacity tracker'!S$1,'ESS SUPPLY DATA'!$AO:$AO,"other")</f>
        <v>2</v>
      </c>
      <c r="T59" s="504">
        <f>SUMIFS('PV SUPPLY DATA'!$X:$X,'PV SUPPLY DATA'!$AH:$AH,'CT capacity tracker'!$B56,'PV SUPPLY DATA'!$AG:$AG,'CT capacity tracker'!$A$51,'PV SUPPLY DATA'!$Y:$Y,T$1,'PV SUPPLY DATA'!$AQ:$AQ,"cosco")+SUMIFS('PV SUPPLY DATA'!$X:$X,'PV SUPPLY DATA'!$AH:$AH,'CT capacity tracker'!$B56,'PV SUPPLY DATA'!$AG:$AG,'CT capacity tracker'!$A$51,'PV SUPPLY DATA'!$Y:$Y,T$1,'PV SUPPLY DATA'!$AQ:$AQ,"other")+SUMIFS('ESS SUPPLY DATA'!$U:$U,'ESS SUPPLY DATA'!$AF:$AF,'CT capacity tracker'!$B56,'ESS SUPPLY DATA'!$AE:$AE,'CT capacity tracker'!$A$51,'ESS SUPPLY DATA'!$W:$W,'CT capacity tracker'!T$1,'ESS SUPPLY DATA'!$AO:$AO,"cosco")+SUMIFS('ESS SUPPLY DATA'!$U:$U,'ESS SUPPLY DATA'!$AF:$AF,'CT capacity tracker'!$B56,'ESS SUPPLY DATA'!$AE:$AE,'CT capacity tracker'!$A$51,'ESS SUPPLY DATA'!$W:$W,'CT capacity tracker'!T$1,'ESS SUPPLY DATA'!$AO:$AO,"other")</f>
        <v>0</v>
      </c>
      <c r="U59" s="504">
        <f>SUMIFS('PV SUPPLY DATA'!$X:$X,'PV SUPPLY DATA'!$AH:$AH,'CT capacity tracker'!$B56,'PV SUPPLY DATA'!$AG:$AG,'CT capacity tracker'!$A$51,'PV SUPPLY DATA'!$Y:$Y,U$1,'PV SUPPLY DATA'!$AQ:$AQ,"cosco")+SUMIFS('PV SUPPLY DATA'!$X:$X,'PV SUPPLY DATA'!$AH:$AH,'CT capacity tracker'!$B56,'PV SUPPLY DATA'!$AG:$AG,'CT capacity tracker'!$A$51,'PV SUPPLY DATA'!$Y:$Y,U$1,'PV SUPPLY DATA'!$AQ:$AQ,"other")+SUMIFS('ESS SUPPLY DATA'!$U:$U,'ESS SUPPLY DATA'!$AF:$AF,'CT capacity tracker'!$B56,'ESS SUPPLY DATA'!$AE:$AE,'CT capacity tracker'!$A$51,'ESS SUPPLY DATA'!$W:$W,'CT capacity tracker'!U$1,'ESS SUPPLY DATA'!$AO:$AO,"cosco")+SUMIFS('ESS SUPPLY DATA'!$U:$U,'ESS SUPPLY DATA'!$AF:$AF,'CT capacity tracker'!$B56,'ESS SUPPLY DATA'!$AE:$AE,'CT capacity tracker'!$A$51,'ESS SUPPLY DATA'!$W:$W,'CT capacity tracker'!U$1,'ESS SUPPLY DATA'!$AO:$AO,"other")</f>
        <v>0</v>
      </c>
      <c r="V59" s="504">
        <f>SUMIFS('PV SUPPLY DATA'!$X:$X,'PV SUPPLY DATA'!$AH:$AH,'CT capacity tracker'!$B56,'PV SUPPLY DATA'!$AG:$AG,'CT capacity tracker'!$A$51,'PV SUPPLY DATA'!$Y:$Y,V$1,'PV SUPPLY DATA'!$AQ:$AQ,"cosco")+SUMIFS('PV SUPPLY DATA'!$X:$X,'PV SUPPLY DATA'!$AH:$AH,'CT capacity tracker'!$B56,'PV SUPPLY DATA'!$AG:$AG,'CT capacity tracker'!$A$51,'PV SUPPLY DATA'!$Y:$Y,V$1,'PV SUPPLY DATA'!$AQ:$AQ,"other")+SUMIFS('ESS SUPPLY DATA'!$U:$U,'ESS SUPPLY DATA'!$AF:$AF,'CT capacity tracker'!$B56,'ESS SUPPLY DATA'!$AE:$AE,'CT capacity tracker'!$A$51,'ESS SUPPLY DATA'!$W:$W,'CT capacity tracker'!V$1,'ESS SUPPLY DATA'!$AO:$AO,"cosco")+SUMIFS('ESS SUPPLY DATA'!$U:$U,'ESS SUPPLY DATA'!$AF:$AF,'CT capacity tracker'!$B56,'ESS SUPPLY DATA'!$AE:$AE,'CT capacity tracker'!$A$51,'ESS SUPPLY DATA'!$W:$W,'CT capacity tracker'!V$1,'ESS SUPPLY DATA'!$AO:$AO,"other")</f>
        <v>3</v>
      </c>
      <c r="W59" s="504">
        <f>SUMIFS('PV SUPPLY DATA'!$X:$X,'PV SUPPLY DATA'!$AH:$AH,'CT capacity tracker'!$B56,'PV SUPPLY DATA'!$AG:$AG,'CT capacity tracker'!$A$51,'PV SUPPLY DATA'!$Y:$Y,W$1,'PV SUPPLY DATA'!$AQ:$AQ,"cosco")+SUMIFS('PV SUPPLY DATA'!$X:$X,'PV SUPPLY DATA'!$AH:$AH,'CT capacity tracker'!$B56,'PV SUPPLY DATA'!$AG:$AG,'CT capacity tracker'!$A$51,'PV SUPPLY DATA'!$Y:$Y,W$1,'PV SUPPLY DATA'!$AQ:$AQ,"other")+SUMIFS('ESS SUPPLY DATA'!$U:$U,'ESS SUPPLY DATA'!$AF:$AF,'CT capacity tracker'!$B56,'ESS SUPPLY DATA'!$AE:$AE,'CT capacity tracker'!$A$51,'ESS SUPPLY DATA'!$W:$W,'CT capacity tracker'!W$1,'ESS SUPPLY DATA'!$AO:$AO,"cosco")+SUMIFS('ESS SUPPLY DATA'!$U:$U,'ESS SUPPLY DATA'!$AF:$AF,'CT capacity tracker'!$B56,'ESS SUPPLY DATA'!$AE:$AE,'CT capacity tracker'!$A$51,'ESS SUPPLY DATA'!$W:$W,'CT capacity tracker'!W$1,'ESS SUPPLY DATA'!$AO:$AO,"other")</f>
        <v>1</v>
      </c>
      <c r="X59" s="504">
        <f>SUMIFS('PV SUPPLY DATA'!$X:$X,'PV SUPPLY DATA'!$AH:$AH,'CT capacity tracker'!$B56,'PV SUPPLY DATA'!$AG:$AG,'CT capacity tracker'!$A$51,'PV SUPPLY DATA'!$Y:$Y,X$1,'PV SUPPLY DATA'!$AQ:$AQ,"cosco")+SUMIFS('PV SUPPLY DATA'!$X:$X,'PV SUPPLY DATA'!$AH:$AH,'CT capacity tracker'!$B56,'PV SUPPLY DATA'!$AG:$AG,'CT capacity tracker'!$A$51,'PV SUPPLY DATA'!$Y:$Y,X$1,'PV SUPPLY DATA'!$AQ:$AQ,"other")+SUMIFS('ESS SUPPLY DATA'!$U:$U,'ESS SUPPLY DATA'!$AF:$AF,'CT capacity tracker'!$B56,'ESS SUPPLY DATA'!$AE:$AE,'CT capacity tracker'!$A$51,'ESS SUPPLY DATA'!$W:$W,'CT capacity tracker'!X$1,'ESS SUPPLY DATA'!$AO:$AO,"cosco")+SUMIFS('ESS SUPPLY DATA'!$U:$U,'ESS SUPPLY DATA'!$AF:$AF,'CT capacity tracker'!$B56,'ESS SUPPLY DATA'!$AE:$AE,'CT capacity tracker'!$A$51,'ESS SUPPLY DATA'!$W:$W,'CT capacity tracker'!X$1,'ESS SUPPLY DATA'!$AO:$AO,"other")</f>
        <v>0</v>
      </c>
      <c r="Y59" s="504">
        <f>SUMIFS('PV SUPPLY DATA'!$X:$X,'PV SUPPLY DATA'!$AH:$AH,'CT capacity tracker'!$B56,'PV SUPPLY DATA'!$AG:$AG,'CT capacity tracker'!$A$51,'PV SUPPLY DATA'!$Y:$Y,Y$1,'PV SUPPLY DATA'!$AQ:$AQ,"cosco")+SUMIFS('PV SUPPLY DATA'!$X:$X,'PV SUPPLY DATA'!$AH:$AH,'CT capacity tracker'!$B56,'PV SUPPLY DATA'!$AG:$AG,'CT capacity tracker'!$A$51,'PV SUPPLY DATA'!$Y:$Y,Y$1,'PV SUPPLY DATA'!$AQ:$AQ,"other")+SUMIFS('ESS SUPPLY DATA'!$U:$U,'ESS SUPPLY DATA'!$AF:$AF,'CT capacity tracker'!$B56,'ESS SUPPLY DATA'!$AE:$AE,'CT capacity tracker'!$A$51,'ESS SUPPLY DATA'!$W:$W,'CT capacity tracker'!Y$1,'ESS SUPPLY DATA'!$AO:$AO,"cosco")+SUMIFS('ESS SUPPLY DATA'!$U:$U,'ESS SUPPLY DATA'!$AF:$AF,'CT capacity tracker'!$B56,'ESS SUPPLY DATA'!$AE:$AE,'CT capacity tracker'!$A$51,'ESS SUPPLY DATA'!$W:$W,'CT capacity tracker'!Y$1,'ESS SUPPLY DATA'!$AO:$AO,"other")</f>
        <v>6</v>
      </c>
      <c r="Z59" s="504">
        <f>SUMIFS('PV SUPPLY DATA'!$X:$X,'PV SUPPLY DATA'!$AH:$AH,'CT capacity tracker'!$B56,'PV SUPPLY DATA'!$AG:$AG,'CT capacity tracker'!$A$51,'PV SUPPLY DATA'!$Y:$Y,Z$1,'PV SUPPLY DATA'!$AQ:$AQ,"cosco")+SUMIFS('PV SUPPLY DATA'!$X:$X,'PV SUPPLY DATA'!$AH:$AH,'CT capacity tracker'!$B56,'PV SUPPLY DATA'!$AG:$AG,'CT capacity tracker'!$A$51,'PV SUPPLY DATA'!$Y:$Y,Z$1,'PV SUPPLY DATA'!$AQ:$AQ,"other")+SUMIFS('ESS SUPPLY DATA'!$U:$U,'ESS SUPPLY DATA'!$AF:$AF,'CT capacity tracker'!$B56,'ESS SUPPLY DATA'!$AE:$AE,'CT capacity tracker'!$A$51,'ESS SUPPLY DATA'!$W:$W,'CT capacity tracker'!Z$1,'ESS SUPPLY DATA'!$AO:$AO,"cosco")+SUMIFS('ESS SUPPLY DATA'!$U:$U,'ESS SUPPLY DATA'!$AF:$AF,'CT capacity tracker'!$B56,'ESS SUPPLY DATA'!$AE:$AE,'CT capacity tracker'!$A$51,'ESS SUPPLY DATA'!$W:$W,'CT capacity tracker'!Z$1,'ESS SUPPLY DATA'!$AO:$AO,"other")</f>
        <v>0</v>
      </c>
      <c r="AA59" s="504">
        <f>SUMIFS('PV SUPPLY DATA'!$X:$X,'PV SUPPLY DATA'!$AH:$AH,'CT capacity tracker'!$B56,'PV SUPPLY DATA'!$AG:$AG,'CT capacity tracker'!$A$51,'PV SUPPLY DATA'!$Y:$Y,AA$1,'PV SUPPLY DATA'!$AQ:$AQ,"cosco")+SUMIFS('PV SUPPLY DATA'!$X:$X,'PV SUPPLY DATA'!$AH:$AH,'CT capacity tracker'!$B56,'PV SUPPLY DATA'!$AG:$AG,'CT capacity tracker'!$A$51,'PV SUPPLY DATA'!$Y:$Y,AA$1,'PV SUPPLY DATA'!$AQ:$AQ,"other")+SUMIFS('ESS SUPPLY DATA'!$U:$U,'ESS SUPPLY DATA'!$AF:$AF,'CT capacity tracker'!$B56,'ESS SUPPLY DATA'!$AE:$AE,'CT capacity tracker'!$A$51,'ESS SUPPLY DATA'!$W:$W,'CT capacity tracker'!AA$1,'ESS SUPPLY DATA'!$AO:$AO,"cosco")+SUMIFS('ESS SUPPLY DATA'!$U:$U,'ESS SUPPLY DATA'!$AF:$AF,'CT capacity tracker'!$B56,'ESS SUPPLY DATA'!$AE:$AE,'CT capacity tracker'!$A$51,'ESS SUPPLY DATA'!$W:$W,'CT capacity tracker'!AA$1,'ESS SUPPLY DATA'!$AO:$AO,"other")</f>
        <v>0</v>
      </c>
      <c r="AB59" s="504">
        <f>SUMIFS('PV SUPPLY DATA'!$X:$X,'PV SUPPLY DATA'!$AH:$AH,'CT capacity tracker'!$B56,'PV SUPPLY DATA'!$AG:$AG,'CT capacity tracker'!$A$51,'PV SUPPLY DATA'!$Y:$Y,AB$1,'PV SUPPLY DATA'!$AQ:$AQ,"cosco")+SUMIFS('PV SUPPLY DATA'!$X:$X,'PV SUPPLY DATA'!$AH:$AH,'CT capacity tracker'!$B56,'PV SUPPLY DATA'!$AG:$AG,'CT capacity tracker'!$A$51,'PV SUPPLY DATA'!$Y:$Y,AB$1,'PV SUPPLY DATA'!$AQ:$AQ,"other")+SUMIFS('ESS SUPPLY DATA'!$U:$U,'ESS SUPPLY DATA'!$AF:$AF,'CT capacity tracker'!$B56,'ESS SUPPLY DATA'!$AE:$AE,'CT capacity tracker'!$A$51,'ESS SUPPLY DATA'!$W:$W,'CT capacity tracker'!AB$1,'ESS SUPPLY DATA'!$AO:$AO,"cosco")+SUMIFS('ESS SUPPLY DATA'!$U:$U,'ESS SUPPLY DATA'!$AF:$AF,'CT capacity tracker'!$B56,'ESS SUPPLY DATA'!$AE:$AE,'CT capacity tracker'!$A$51,'ESS SUPPLY DATA'!$W:$W,'CT capacity tracker'!AB$1,'ESS SUPPLY DATA'!$AO:$AO,"other")</f>
        <v>0</v>
      </c>
      <c r="AC59" s="504">
        <f>SUMIFS('PV SUPPLY DATA'!$X:$X,'PV SUPPLY DATA'!$AH:$AH,'CT capacity tracker'!$B56,'PV SUPPLY DATA'!$AG:$AG,'CT capacity tracker'!$A$51,'PV SUPPLY DATA'!$Y:$Y,AC$1,'PV SUPPLY DATA'!$AQ:$AQ,"cosco")+SUMIFS('PV SUPPLY DATA'!$X:$X,'PV SUPPLY DATA'!$AH:$AH,'CT capacity tracker'!$B56,'PV SUPPLY DATA'!$AG:$AG,'CT capacity tracker'!$A$51,'PV SUPPLY DATA'!$Y:$Y,AC$1,'PV SUPPLY DATA'!$AQ:$AQ,"other")+SUMIFS('ESS SUPPLY DATA'!$U:$U,'ESS SUPPLY DATA'!$AF:$AF,'CT capacity tracker'!$B56,'ESS SUPPLY DATA'!$AE:$AE,'CT capacity tracker'!$A$51,'ESS SUPPLY DATA'!$W:$W,'CT capacity tracker'!AC$1,'ESS SUPPLY DATA'!$AO:$AO,"cosco")+SUMIFS('ESS SUPPLY DATA'!$U:$U,'ESS SUPPLY DATA'!$AF:$AF,'CT capacity tracker'!$B56,'ESS SUPPLY DATA'!$AE:$AE,'CT capacity tracker'!$A$51,'ESS SUPPLY DATA'!$W:$W,'CT capacity tracker'!AC$1,'ESS SUPPLY DATA'!$AO:$AO,"other")</f>
        <v>0</v>
      </c>
      <c r="AD59" s="504">
        <f>SUMIFS('PV SUPPLY DATA'!$X:$X,'PV SUPPLY DATA'!$AH:$AH,'CT capacity tracker'!$B56,'PV SUPPLY DATA'!$AG:$AG,'CT capacity tracker'!$A$51,'PV SUPPLY DATA'!$Y:$Y,AD$1,'PV SUPPLY DATA'!$AQ:$AQ,"cosco")+SUMIFS('PV SUPPLY DATA'!$X:$X,'PV SUPPLY DATA'!$AH:$AH,'CT capacity tracker'!$B56,'PV SUPPLY DATA'!$AG:$AG,'CT capacity tracker'!$A$51,'PV SUPPLY DATA'!$Y:$Y,AD$1,'PV SUPPLY DATA'!$AQ:$AQ,"other")+SUMIFS('ESS SUPPLY DATA'!$U:$U,'ESS SUPPLY DATA'!$AF:$AF,'CT capacity tracker'!$B56,'ESS SUPPLY DATA'!$AE:$AE,'CT capacity tracker'!$A$51,'ESS SUPPLY DATA'!$W:$W,'CT capacity tracker'!AD$1,'ESS SUPPLY DATA'!$AO:$AO,"cosco")+SUMIFS('ESS SUPPLY DATA'!$U:$U,'ESS SUPPLY DATA'!$AF:$AF,'CT capacity tracker'!$B56,'ESS SUPPLY DATA'!$AE:$AE,'CT capacity tracker'!$A$51,'ESS SUPPLY DATA'!$W:$W,'CT capacity tracker'!AD$1,'ESS SUPPLY DATA'!$AO:$AO,"other")</f>
        <v>0</v>
      </c>
      <c r="AE59" s="504">
        <f>SUMIFS('PV SUPPLY DATA'!$X:$X,'PV SUPPLY DATA'!$AH:$AH,'CT capacity tracker'!$B56,'PV SUPPLY DATA'!$AG:$AG,'CT capacity tracker'!$A$51,'PV SUPPLY DATA'!$Y:$Y,AE$1,'PV SUPPLY DATA'!$AQ:$AQ,"cosco")+SUMIFS('PV SUPPLY DATA'!$X:$X,'PV SUPPLY DATA'!$AH:$AH,'CT capacity tracker'!$B56,'PV SUPPLY DATA'!$AG:$AG,'CT capacity tracker'!$A$51,'PV SUPPLY DATA'!$Y:$Y,AE$1,'PV SUPPLY DATA'!$AQ:$AQ,"other")+SUMIFS('ESS SUPPLY DATA'!$U:$U,'ESS SUPPLY DATA'!$AF:$AF,'CT capacity tracker'!$B56,'ESS SUPPLY DATA'!$AE:$AE,'CT capacity tracker'!$A$51,'ESS SUPPLY DATA'!$W:$W,'CT capacity tracker'!AE$1,'ESS SUPPLY DATA'!$AO:$AO,"cosco")+SUMIFS('ESS SUPPLY DATA'!$U:$U,'ESS SUPPLY DATA'!$AF:$AF,'CT capacity tracker'!$B56,'ESS SUPPLY DATA'!$AE:$AE,'CT capacity tracker'!$A$51,'ESS SUPPLY DATA'!$W:$W,'CT capacity tracker'!AE$1,'ESS SUPPLY DATA'!$AO:$AO,"other")</f>
        <v>0</v>
      </c>
      <c r="AF59" s="504">
        <f>SUMIFS('PV SUPPLY DATA'!$X:$X,'PV SUPPLY DATA'!$AH:$AH,'CT capacity tracker'!$B56,'PV SUPPLY DATA'!$AG:$AG,'CT capacity tracker'!$A$51,'PV SUPPLY DATA'!$Y:$Y,AF$1,'PV SUPPLY DATA'!$AQ:$AQ,"cosco")+SUMIFS('PV SUPPLY DATA'!$X:$X,'PV SUPPLY DATA'!$AH:$AH,'CT capacity tracker'!$B56,'PV SUPPLY DATA'!$AG:$AG,'CT capacity tracker'!$A$51,'PV SUPPLY DATA'!$Y:$Y,AF$1,'PV SUPPLY DATA'!$AQ:$AQ,"other")+SUMIFS('ESS SUPPLY DATA'!$U:$U,'ESS SUPPLY DATA'!$AF:$AF,'CT capacity tracker'!$B56,'ESS SUPPLY DATA'!$AE:$AE,'CT capacity tracker'!$A$51,'ESS SUPPLY DATA'!$W:$W,'CT capacity tracker'!AF$1,'ESS SUPPLY DATA'!$AO:$AO,"cosco")+SUMIFS('ESS SUPPLY DATA'!$U:$U,'ESS SUPPLY DATA'!$AF:$AF,'CT capacity tracker'!$B56,'ESS SUPPLY DATA'!$AE:$AE,'CT capacity tracker'!$A$51,'ESS SUPPLY DATA'!$W:$W,'CT capacity tracker'!AF$1,'ESS SUPPLY DATA'!$AO:$AO,"other")</f>
        <v>0</v>
      </c>
      <c r="AG59" s="504">
        <f>SUMIFS('PV SUPPLY DATA'!$X:$X,'PV SUPPLY DATA'!$AH:$AH,'CT capacity tracker'!$B56,'PV SUPPLY DATA'!$AG:$AG,'CT capacity tracker'!$A$51,'PV SUPPLY DATA'!$Y:$Y,AG$1,'PV SUPPLY DATA'!$AQ:$AQ,"cosco")+SUMIFS('PV SUPPLY DATA'!$X:$X,'PV SUPPLY DATA'!$AH:$AH,'CT capacity tracker'!$B56,'PV SUPPLY DATA'!$AG:$AG,'CT capacity tracker'!$A$51,'PV SUPPLY DATA'!$Y:$Y,AG$1,'PV SUPPLY DATA'!$AQ:$AQ,"other")+SUMIFS('ESS SUPPLY DATA'!$U:$U,'ESS SUPPLY DATA'!$AF:$AF,'CT capacity tracker'!$B56,'ESS SUPPLY DATA'!$AE:$AE,'CT capacity tracker'!$A$51,'ESS SUPPLY DATA'!$W:$W,'CT capacity tracker'!AG$1,'ESS SUPPLY DATA'!$AO:$AO,"cosco")+SUMIFS('ESS SUPPLY DATA'!$U:$U,'ESS SUPPLY DATA'!$AF:$AF,'CT capacity tracker'!$B56,'ESS SUPPLY DATA'!$AE:$AE,'CT capacity tracker'!$A$51,'ESS SUPPLY DATA'!$W:$W,'CT capacity tracker'!AG$1,'ESS SUPPLY DATA'!$AO:$AO,"other")</f>
        <v>0</v>
      </c>
      <c r="AH59" s="504">
        <f>SUMIFS('PV SUPPLY DATA'!$X:$X,'PV SUPPLY DATA'!$AH:$AH,'CT capacity tracker'!$B56,'PV SUPPLY DATA'!$AG:$AG,'CT capacity tracker'!$A$51,'PV SUPPLY DATA'!$Y:$Y,AH$1,'PV SUPPLY DATA'!$AQ:$AQ,"cosco")+SUMIFS('PV SUPPLY DATA'!$X:$X,'PV SUPPLY DATA'!$AH:$AH,'CT capacity tracker'!$B56,'PV SUPPLY DATA'!$AG:$AG,'CT capacity tracker'!$A$51,'PV SUPPLY DATA'!$Y:$Y,AH$1,'PV SUPPLY DATA'!$AQ:$AQ,"other")+SUMIFS('ESS SUPPLY DATA'!$U:$U,'ESS SUPPLY DATA'!$AF:$AF,'CT capacity tracker'!$B56,'ESS SUPPLY DATA'!$AE:$AE,'CT capacity tracker'!$A$51,'ESS SUPPLY DATA'!$W:$W,'CT capacity tracker'!AH$1,'ESS SUPPLY DATA'!$AO:$AO,"cosco")+SUMIFS('ESS SUPPLY DATA'!$U:$U,'ESS SUPPLY DATA'!$AF:$AF,'CT capacity tracker'!$B56,'ESS SUPPLY DATA'!$AE:$AE,'CT capacity tracker'!$A$51,'ESS SUPPLY DATA'!$W:$W,'CT capacity tracker'!AH$1,'ESS SUPPLY DATA'!$AO:$AO,"other")</f>
        <v>0</v>
      </c>
      <c r="AI59" s="504">
        <f>SUMIFS('PV SUPPLY DATA'!$X:$X,'PV SUPPLY DATA'!$AH:$AH,'CT capacity tracker'!$B56,'PV SUPPLY DATA'!$AG:$AG,'CT capacity tracker'!$A$51,'PV SUPPLY DATA'!$Y:$Y,AI$1,'PV SUPPLY DATA'!$AQ:$AQ,"cosco")+SUMIFS('PV SUPPLY DATA'!$X:$X,'PV SUPPLY DATA'!$AH:$AH,'CT capacity tracker'!$B56,'PV SUPPLY DATA'!$AG:$AG,'CT capacity tracker'!$A$51,'PV SUPPLY DATA'!$Y:$Y,AI$1,'PV SUPPLY DATA'!$AQ:$AQ,"other")+SUMIFS('ESS SUPPLY DATA'!$U:$U,'ESS SUPPLY DATA'!$AF:$AF,'CT capacity tracker'!$B56,'ESS SUPPLY DATA'!$AE:$AE,'CT capacity tracker'!$A$51,'ESS SUPPLY DATA'!$W:$W,'CT capacity tracker'!AI$1,'ESS SUPPLY DATA'!$AO:$AO,"cosco")+SUMIFS('ESS SUPPLY DATA'!$U:$U,'ESS SUPPLY DATA'!$AF:$AF,'CT capacity tracker'!$B56,'ESS SUPPLY DATA'!$AE:$AE,'CT capacity tracker'!$A$51,'ESS SUPPLY DATA'!$W:$W,'CT capacity tracker'!AI$1,'ESS SUPPLY DATA'!$AO:$AO,"other")</f>
        <v>0</v>
      </c>
      <c r="AJ59" s="504">
        <f>SUMIFS('PV SUPPLY DATA'!$X:$X,'PV SUPPLY DATA'!$AH:$AH,'CT capacity tracker'!$B56,'PV SUPPLY DATA'!$AG:$AG,'CT capacity tracker'!$A$51,'PV SUPPLY DATA'!$Y:$Y,AJ$1,'PV SUPPLY DATA'!$AQ:$AQ,"cosco")+SUMIFS('PV SUPPLY DATA'!$X:$X,'PV SUPPLY DATA'!$AH:$AH,'CT capacity tracker'!$B56,'PV SUPPLY DATA'!$AG:$AG,'CT capacity tracker'!$A$51,'PV SUPPLY DATA'!$Y:$Y,AJ$1,'PV SUPPLY DATA'!$AQ:$AQ,"other")+SUMIFS('ESS SUPPLY DATA'!$U:$U,'ESS SUPPLY DATA'!$AF:$AF,'CT capacity tracker'!$B56,'ESS SUPPLY DATA'!$AE:$AE,'CT capacity tracker'!$A$51,'ESS SUPPLY DATA'!$W:$W,'CT capacity tracker'!AJ$1,'ESS SUPPLY DATA'!$AO:$AO,"cosco")+SUMIFS('ESS SUPPLY DATA'!$U:$U,'ESS SUPPLY DATA'!$AF:$AF,'CT capacity tracker'!$B56,'ESS SUPPLY DATA'!$AE:$AE,'CT capacity tracker'!$A$51,'ESS SUPPLY DATA'!$W:$W,'CT capacity tracker'!AJ$1,'ESS SUPPLY DATA'!$AO:$AO,"other")</f>
        <v>0</v>
      </c>
      <c r="AK59" s="511"/>
      <c r="AL59" s="511"/>
      <c r="AM59" s="696">
        <f>SUM(E59:X59)</f>
        <v>21</v>
      </c>
      <c r="AN59" s="503"/>
      <c r="AO59" s="506"/>
      <c r="AP59" s="506"/>
      <c r="AQ59" s="506"/>
      <c r="AR59" s="506"/>
      <c r="AS59" s="506"/>
      <c r="AT59" s="506"/>
    </row>
    <row r="60" spans="1:46" ht="13">
      <c r="A60" s="1517"/>
      <c r="B60" s="1516" t="s">
        <v>888</v>
      </c>
      <c r="C60" s="503" t="s">
        <v>4400</v>
      </c>
      <c r="D60" s="504">
        <f>SUMIFS('PV SUPPLY DATA'!$X:$X,'PV SUPPLY DATA'!$AH:$AH,'CT capacity tracker'!$B60,'PV SUPPLY DATA'!$AG:$AG,'CT capacity tracker'!$A$1,'PV SUPPLY DATA'!$Z:$Z,'CT capacity tracker'!D$1)+SUMIFS('ESS SUPPLY DATA'!$U:$U,'ESS SUPPLY DATA'!$AF:$AF,'CT capacity tracker'!$B60,'ESS SUPPLY DATA'!$AE:$AE,'CT capacity tracker'!$A$1,'ESS SUPPLY DATA'!$X:$X,'CT capacity tracker'!D$1)</f>
        <v>10</v>
      </c>
      <c r="E60" s="504">
        <f>SUMIFS('PV SUPPLY DATA'!$X:$X,'PV SUPPLY DATA'!$AH:$AH,'CT capacity tracker'!$B60,'PV SUPPLY DATA'!$AG:$AG,$A$51,'PV SUPPLY DATA'!$Y:$Y,'CT capacity tracker'!E$1)+SUMIFS('ESS SUPPLY DATA'!$U:$U,'ESS SUPPLY DATA'!$AF:$AF,'CT capacity tracker'!$B60,'ESS SUPPLY DATA'!$AE:$AE,'CT capacity tracker'!$A$51,'ESS SUPPLY DATA'!$W:$W,'CT capacity tracker'!E$1)</f>
        <v>0</v>
      </c>
      <c r="F60" s="504">
        <f>SUMIFS('PV SUPPLY DATA'!$X:$X,'PV SUPPLY DATA'!$AH:$AH,'CT capacity tracker'!$B60,'PV SUPPLY DATA'!$AG:$AG,$A$51,'PV SUPPLY DATA'!$Y:$Y,'CT capacity tracker'!F$1)+SUMIFS('ESS SUPPLY DATA'!$U:$U,'ESS SUPPLY DATA'!$AF:$AF,'CT capacity tracker'!$B60,'ESS SUPPLY DATA'!$AE:$AE,'CT capacity tracker'!$A$51,'ESS SUPPLY DATA'!$W:$W,'CT capacity tracker'!F$1)</f>
        <v>0</v>
      </c>
      <c r="G60" s="504">
        <f>SUMIFS('PV SUPPLY DATA'!$X:$X,'PV SUPPLY DATA'!$AH:$AH,'CT capacity tracker'!$B60,'PV SUPPLY DATA'!$AG:$AG,$A$51,'PV SUPPLY DATA'!$Y:$Y,'CT capacity tracker'!G$1)+SUMIFS('ESS SUPPLY DATA'!$U:$U,'ESS SUPPLY DATA'!$AF:$AF,'CT capacity tracker'!$B60,'ESS SUPPLY DATA'!$AE:$AE,'CT capacity tracker'!$A$51,'ESS SUPPLY DATA'!$W:$W,'CT capacity tracker'!G$1)</f>
        <v>0</v>
      </c>
      <c r="H60" s="504">
        <f>SUMIFS('PV SUPPLY DATA'!$X:$X,'PV SUPPLY DATA'!$AH:$AH,'CT capacity tracker'!$B60,'PV SUPPLY DATA'!$AG:$AG,$A$51,'PV SUPPLY DATA'!$Y:$Y,'CT capacity tracker'!H$1)+SUMIFS('ESS SUPPLY DATA'!$U:$U,'ESS SUPPLY DATA'!$AF:$AF,'CT capacity tracker'!$B60,'ESS SUPPLY DATA'!$AE:$AE,'CT capacity tracker'!$A$51,'ESS SUPPLY DATA'!$W:$W,'CT capacity tracker'!H$1)</f>
        <v>0</v>
      </c>
      <c r="I60" s="504">
        <f>SUMIFS('PV SUPPLY DATA'!$X:$X,'PV SUPPLY DATA'!$AH:$AH,'CT capacity tracker'!$B60,'PV SUPPLY DATA'!$AG:$AG,$A$51,'PV SUPPLY DATA'!$Y:$Y,'CT capacity tracker'!I$1)+SUMIFS('ESS SUPPLY DATA'!$U:$U,'ESS SUPPLY DATA'!$AF:$AF,'CT capacity tracker'!$B60,'ESS SUPPLY DATA'!$AE:$AE,'CT capacity tracker'!$A$51,'ESS SUPPLY DATA'!$W:$W,'CT capacity tracker'!I$1)</f>
        <v>0</v>
      </c>
      <c r="J60" s="504">
        <f>SUMIFS('PV SUPPLY DATA'!$X:$X,'PV SUPPLY DATA'!$AH:$AH,'CT capacity tracker'!$B60,'PV SUPPLY DATA'!$AG:$AG,$A$51,'PV SUPPLY DATA'!$Y:$Y,'CT capacity tracker'!J$1)+SUMIFS('ESS SUPPLY DATA'!$U:$U,'ESS SUPPLY DATA'!$AF:$AF,'CT capacity tracker'!$B60,'ESS SUPPLY DATA'!$AE:$AE,'CT capacity tracker'!$A$51,'ESS SUPPLY DATA'!$W:$W,'CT capacity tracker'!J$1)</f>
        <v>0</v>
      </c>
      <c r="K60" s="504">
        <f>SUMIFS('PV SUPPLY DATA'!$X:$X,'PV SUPPLY DATA'!$AH:$AH,'CT capacity tracker'!$B60,'PV SUPPLY DATA'!$AG:$AG,$A$51,'PV SUPPLY DATA'!$Y:$Y,'CT capacity tracker'!K$1)+SUMIFS('ESS SUPPLY DATA'!$U:$U,'ESS SUPPLY DATA'!$AF:$AF,'CT capacity tracker'!$B60,'ESS SUPPLY DATA'!$AE:$AE,'CT capacity tracker'!$A$51,'ESS SUPPLY DATA'!$W:$W,'CT capacity tracker'!K$1)</f>
        <v>0</v>
      </c>
      <c r="L60" s="504">
        <f>SUMIFS('PV SUPPLY DATA'!$X:$X,'PV SUPPLY DATA'!$AH:$AH,'CT capacity tracker'!$B60,'PV SUPPLY DATA'!$AG:$AG,$A$51,'PV SUPPLY DATA'!$Y:$Y,'CT capacity tracker'!L$1)+SUMIFS('ESS SUPPLY DATA'!$U:$U,'ESS SUPPLY DATA'!$AF:$AF,'CT capacity tracker'!$B60,'ESS SUPPLY DATA'!$AE:$AE,'CT capacity tracker'!$A$51,'ESS SUPPLY DATA'!$W:$W,'CT capacity tracker'!L$1)</f>
        <v>0</v>
      </c>
      <c r="M60" s="504">
        <f>SUMIFS('PV SUPPLY DATA'!$X:$X,'PV SUPPLY DATA'!$AH:$AH,'CT capacity tracker'!$B60,'PV SUPPLY DATA'!$AG:$AG,$A$51,'PV SUPPLY DATA'!$Y:$Y,'CT capacity tracker'!M$1)+SUMIFS('ESS SUPPLY DATA'!$U:$U,'ESS SUPPLY DATA'!$AF:$AF,'CT capacity tracker'!$B60,'ESS SUPPLY DATA'!$AE:$AE,'CT capacity tracker'!$A$51,'ESS SUPPLY DATA'!$W:$W,'CT capacity tracker'!M$1)</f>
        <v>0</v>
      </c>
      <c r="N60" s="504">
        <f>SUMIFS('PV SUPPLY DATA'!$X:$X,'PV SUPPLY DATA'!$AH:$AH,'CT capacity tracker'!$B60,'PV SUPPLY DATA'!$AG:$AG,$A$51,'PV SUPPLY DATA'!$Y:$Y,'CT capacity tracker'!N$1)+SUMIFS('ESS SUPPLY DATA'!$U:$U,'ESS SUPPLY DATA'!$AF:$AF,'CT capacity tracker'!$B60,'ESS SUPPLY DATA'!$AE:$AE,'CT capacity tracker'!$A$51,'ESS SUPPLY DATA'!$W:$W,'CT capacity tracker'!N$1)</f>
        <v>0</v>
      </c>
      <c r="O60" s="504">
        <f>SUMIFS('PV SUPPLY DATA'!$X:$X,'PV SUPPLY DATA'!$AH:$AH,'CT capacity tracker'!$B60,'PV SUPPLY DATA'!$AG:$AG,$A$51,'PV SUPPLY DATA'!$Y:$Y,'CT capacity tracker'!O$1)+SUMIFS('ESS SUPPLY DATA'!$U:$U,'ESS SUPPLY DATA'!$AF:$AF,'CT capacity tracker'!$B60,'ESS SUPPLY DATA'!$AE:$AE,'CT capacity tracker'!$A$51,'ESS SUPPLY DATA'!$W:$W,'CT capacity tracker'!O$1)</f>
        <v>0</v>
      </c>
      <c r="P60" s="504">
        <f>SUMIFS('PV SUPPLY DATA'!$X:$X,'PV SUPPLY DATA'!$AH:$AH,'CT capacity tracker'!$B60,'PV SUPPLY DATA'!$AG:$AG,$A$51,'PV SUPPLY DATA'!$Y:$Y,'CT capacity tracker'!P$1)+SUMIFS('ESS SUPPLY DATA'!$U:$U,'ESS SUPPLY DATA'!$AF:$AF,'CT capacity tracker'!$B60,'ESS SUPPLY DATA'!$AE:$AE,'CT capacity tracker'!$A$51,'ESS SUPPLY DATA'!$W:$W,'CT capacity tracker'!P$1)</f>
        <v>0</v>
      </c>
      <c r="Q60" s="504">
        <f>SUMIFS('PV SUPPLY DATA'!$X:$X,'PV SUPPLY DATA'!$AH:$AH,'CT capacity tracker'!$B60,'PV SUPPLY DATA'!$AG:$AG,$A$51,'PV SUPPLY DATA'!$Y:$Y,'CT capacity tracker'!Q$1)+SUMIFS('ESS SUPPLY DATA'!$U:$U,'ESS SUPPLY DATA'!$AF:$AF,'CT capacity tracker'!$B60,'ESS SUPPLY DATA'!$AE:$AE,'CT capacity tracker'!$A$51,'ESS SUPPLY DATA'!$W:$W,'CT capacity tracker'!Q$1)</f>
        <v>0</v>
      </c>
      <c r="R60" s="504">
        <f>SUMIFS('PV SUPPLY DATA'!$X:$X,'PV SUPPLY DATA'!$AH:$AH,'CT capacity tracker'!$B60,'PV SUPPLY DATA'!$AG:$AG,$A$51,'PV SUPPLY DATA'!$Y:$Y,'CT capacity tracker'!R$1)+SUMIFS('ESS SUPPLY DATA'!$U:$U,'ESS SUPPLY DATA'!$AF:$AF,'CT capacity tracker'!$B60,'ESS SUPPLY DATA'!$AE:$AE,'CT capacity tracker'!$A$51,'ESS SUPPLY DATA'!$W:$W,'CT capacity tracker'!R$1)</f>
        <v>0</v>
      </c>
      <c r="S60" s="504">
        <f>SUMIFS('PV SUPPLY DATA'!$X:$X,'PV SUPPLY DATA'!$AH:$AH,'CT capacity tracker'!$B60,'PV SUPPLY DATA'!$AG:$AG,$A$51,'PV SUPPLY DATA'!$Y:$Y,'CT capacity tracker'!S$1)+SUMIFS('ESS SUPPLY DATA'!$U:$U,'ESS SUPPLY DATA'!$AF:$AF,'CT capacity tracker'!$B60,'ESS SUPPLY DATA'!$AE:$AE,'CT capacity tracker'!$A$51,'ESS SUPPLY DATA'!$W:$W,'CT capacity tracker'!S$1)</f>
        <v>0</v>
      </c>
      <c r="T60" s="504">
        <f>SUMIFS('PV SUPPLY DATA'!$X:$X,'PV SUPPLY DATA'!$AH:$AH,'CT capacity tracker'!$B60,'PV SUPPLY DATA'!$AG:$AG,$A$51,'PV SUPPLY DATA'!$Y:$Y,'CT capacity tracker'!T$1)+SUMIFS('ESS SUPPLY DATA'!$U:$U,'ESS SUPPLY DATA'!$AF:$AF,'CT capacity tracker'!$B60,'ESS SUPPLY DATA'!$AE:$AE,'CT capacity tracker'!$A$51,'ESS SUPPLY DATA'!$W:$W,'CT capacity tracker'!T$1)</f>
        <v>0</v>
      </c>
      <c r="U60" s="504">
        <f>SUMIFS('PV SUPPLY DATA'!$X:$X,'PV SUPPLY DATA'!$AH:$AH,'CT capacity tracker'!$B60,'PV SUPPLY DATA'!$AG:$AG,$A$51,'PV SUPPLY DATA'!$Y:$Y,'CT capacity tracker'!U$1)+SUMIFS('ESS SUPPLY DATA'!$U:$U,'ESS SUPPLY DATA'!$AF:$AF,'CT capacity tracker'!$B60,'ESS SUPPLY DATA'!$AE:$AE,'CT capacity tracker'!$A$51,'ESS SUPPLY DATA'!$W:$W,'CT capacity tracker'!U$1)</f>
        <v>0</v>
      </c>
      <c r="V60" s="504">
        <f>SUMIFS('PV SUPPLY DATA'!$X:$X,'PV SUPPLY DATA'!$AH:$AH,'CT capacity tracker'!$B60,'PV SUPPLY DATA'!$AG:$AG,$A$51,'PV SUPPLY DATA'!$Y:$Y,'CT capacity tracker'!V$1)+SUMIFS('ESS SUPPLY DATA'!$U:$U,'ESS SUPPLY DATA'!$AF:$AF,'CT capacity tracker'!$B60,'ESS SUPPLY DATA'!$AE:$AE,'CT capacity tracker'!$A$51,'ESS SUPPLY DATA'!$W:$W,'CT capacity tracker'!V$1)</f>
        <v>0</v>
      </c>
      <c r="W60" s="504">
        <f>SUMIFS('PV SUPPLY DATA'!$X:$X,'PV SUPPLY DATA'!$AH:$AH,'CT capacity tracker'!$B60,'PV SUPPLY DATA'!$AG:$AG,$A$51,'PV SUPPLY DATA'!$Y:$Y,'CT capacity tracker'!W$1)+SUMIFS('ESS SUPPLY DATA'!$U:$U,'ESS SUPPLY DATA'!$AF:$AF,'CT capacity tracker'!$B60,'ESS SUPPLY DATA'!$AE:$AE,'CT capacity tracker'!$A$51,'ESS SUPPLY DATA'!$W:$W,'CT capacity tracker'!W$1)</f>
        <v>0</v>
      </c>
      <c r="X60" s="504">
        <f>SUMIFS('PV SUPPLY DATA'!$X:$X,'PV SUPPLY DATA'!$AH:$AH,'CT capacity tracker'!$B60,'PV SUPPLY DATA'!$AG:$AG,$A$51,'PV SUPPLY DATA'!$Y:$Y,'CT capacity tracker'!X$1)+SUMIFS('ESS SUPPLY DATA'!$U:$U,'ESS SUPPLY DATA'!$AF:$AF,'CT capacity tracker'!$B60,'ESS SUPPLY DATA'!$AE:$AE,'CT capacity tracker'!$A$51,'ESS SUPPLY DATA'!$W:$W,'CT capacity tracker'!X$1)</f>
        <v>0</v>
      </c>
      <c r="Y60" s="504">
        <f>SUMIFS('PV SUPPLY DATA'!$X:$X,'PV SUPPLY DATA'!$AH:$AH,'CT capacity tracker'!$B60,'PV SUPPLY DATA'!$AG:$AG,$A$51,'PV SUPPLY DATA'!$Y:$Y,'CT capacity tracker'!Y$1)+SUMIFS('ESS SUPPLY DATA'!$U:$U,'ESS SUPPLY DATA'!$AF:$AF,'CT capacity tracker'!$B60,'ESS SUPPLY DATA'!$AE:$AE,'CT capacity tracker'!$A$51,'ESS SUPPLY DATA'!$W:$W,'CT capacity tracker'!Y$1)</f>
        <v>0</v>
      </c>
      <c r="Z60" s="504">
        <f>SUMIFS('PV SUPPLY DATA'!$X:$X,'PV SUPPLY DATA'!$AH:$AH,'CT capacity tracker'!$B60,'PV SUPPLY DATA'!$AG:$AG,$A$51,'PV SUPPLY DATA'!$Y:$Y,'CT capacity tracker'!Z$1)+SUMIFS('ESS SUPPLY DATA'!$U:$U,'ESS SUPPLY DATA'!$AF:$AF,'CT capacity tracker'!$B60,'ESS SUPPLY DATA'!$AE:$AE,'CT capacity tracker'!$A$51,'ESS SUPPLY DATA'!$W:$W,'CT capacity tracker'!Z$1)</f>
        <v>0</v>
      </c>
      <c r="AA60" s="504">
        <f>SUMIFS('PV SUPPLY DATA'!$X:$X,'PV SUPPLY DATA'!$AH:$AH,'CT capacity tracker'!$B60,'PV SUPPLY DATA'!$AG:$AG,$A$51,'PV SUPPLY DATA'!$Y:$Y,'CT capacity tracker'!AA$1)+SUMIFS('ESS SUPPLY DATA'!$U:$U,'ESS SUPPLY DATA'!$AF:$AF,'CT capacity tracker'!$B60,'ESS SUPPLY DATA'!$AE:$AE,'CT capacity tracker'!$A$51,'ESS SUPPLY DATA'!$W:$W,'CT capacity tracker'!AA$1)</f>
        <v>0</v>
      </c>
      <c r="AB60" s="504">
        <f>SUMIFS('PV SUPPLY DATA'!$X:$X,'PV SUPPLY DATA'!$AH:$AH,'CT capacity tracker'!$B60,'PV SUPPLY DATA'!$AG:$AG,$A$51,'PV SUPPLY DATA'!$Y:$Y,'CT capacity tracker'!AB$1)+SUMIFS('ESS SUPPLY DATA'!$U:$U,'ESS SUPPLY DATA'!$AF:$AF,'CT capacity tracker'!$B60,'ESS SUPPLY DATA'!$AE:$AE,'CT capacity tracker'!$A$51,'ESS SUPPLY DATA'!$W:$W,'CT capacity tracker'!AB$1)</f>
        <v>3</v>
      </c>
      <c r="AC60" s="504">
        <f>SUMIFS('PV SUPPLY DATA'!$X:$X,'PV SUPPLY DATA'!$AH:$AH,'CT capacity tracker'!$B60,'PV SUPPLY DATA'!$AG:$AG,$A$51,'PV SUPPLY DATA'!$Y:$Y,'CT capacity tracker'!AC$1)+SUMIFS('ESS SUPPLY DATA'!$U:$U,'ESS SUPPLY DATA'!$AF:$AF,'CT capacity tracker'!$B60,'ESS SUPPLY DATA'!$AE:$AE,'CT capacity tracker'!$A$51,'ESS SUPPLY DATA'!$W:$W,'CT capacity tracker'!AC$1)</f>
        <v>6</v>
      </c>
      <c r="AD60" s="504">
        <f>SUMIFS('PV SUPPLY DATA'!$X:$X,'PV SUPPLY DATA'!$AH:$AH,'CT capacity tracker'!$B60,'PV SUPPLY DATA'!$AG:$AG,$A$51,'PV SUPPLY DATA'!$Y:$Y,'CT capacity tracker'!AD$1)+SUMIFS('ESS SUPPLY DATA'!$U:$U,'ESS SUPPLY DATA'!$AF:$AF,'CT capacity tracker'!$B60,'ESS SUPPLY DATA'!$AE:$AE,'CT capacity tracker'!$A$51,'ESS SUPPLY DATA'!$W:$W,'CT capacity tracker'!AD$1)</f>
        <v>0</v>
      </c>
      <c r="AE60" s="504">
        <f>SUMIFS('PV SUPPLY DATA'!$X:$X,'PV SUPPLY DATA'!$AH:$AH,'CT capacity tracker'!$B60,'PV SUPPLY DATA'!$AG:$AG,$A$51,'PV SUPPLY DATA'!$Y:$Y,'CT capacity tracker'!AE$1)+SUMIFS('ESS SUPPLY DATA'!$U:$U,'ESS SUPPLY DATA'!$AF:$AF,'CT capacity tracker'!$B60,'ESS SUPPLY DATA'!$AE:$AE,'CT capacity tracker'!$A$51,'ESS SUPPLY DATA'!$W:$W,'CT capacity tracker'!AE$1)</f>
        <v>0</v>
      </c>
      <c r="AF60" s="504">
        <f>SUMIFS('PV SUPPLY DATA'!$X:$X,'PV SUPPLY DATA'!$AH:$AH,'CT capacity tracker'!$B60,'PV SUPPLY DATA'!$AG:$AG,$A$51,'PV SUPPLY DATA'!$Y:$Y,'CT capacity tracker'!AF$1)+SUMIFS('ESS SUPPLY DATA'!$U:$U,'ESS SUPPLY DATA'!$AF:$AF,'CT capacity tracker'!$B60,'ESS SUPPLY DATA'!$AE:$AE,'CT capacity tracker'!$A$51,'ESS SUPPLY DATA'!$W:$W,'CT capacity tracker'!AF$1)</f>
        <v>0</v>
      </c>
      <c r="AG60" s="504">
        <f>SUMIFS('PV SUPPLY DATA'!$X:$X,'PV SUPPLY DATA'!$AH:$AH,'CT capacity tracker'!$B60,'PV SUPPLY DATA'!$AG:$AG,$A$51,'PV SUPPLY DATA'!$Y:$Y,'CT capacity tracker'!AG$1)+SUMIFS('ESS SUPPLY DATA'!$U:$U,'ESS SUPPLY DATA'!$AF:$AF,'CT capacity tracker'!$B60,'ESS SUPPLY DATA'!$AE:$AE,'CT capacity tracker'!$A$51,'ESS SUPPLY DATA'!$W:$W,'CT capacity tracker'!AG$1)</f>
        <v>0</v>
      </c>
      <c r="AH60" s="504">
        <f>SUMIFS('PV SUPPLY DATA'!$X:$X,'PV SUPPLY DATA'!$AH:$AH,'CT capacity tracker'!$B60,'PV SUPPLY DATA'!$AG:$AG,$A$51,'PV SUPPLY DATA'!$Y:$Y,'CT capacity tracker'!AH$1)+SUMIFS('ESS SUPPLY DATA'!$U:$U,'ESS SUPPLY DATA'!$AF:$AF,'CT capacity tracker'!$B60,'ESS SUPPLY DATA'!$AE:$AE,'CT capacity tracker'!$A$51,'ESS SUPPLY DATA'!$W:$W,'CT capacity tracker'!AH$1)</f>
        <v>0</v>
      </c>
      <c r="AI60" s="504">
        <f>SUMIFS('PV SUPPLY DATA'!$X:$X,'PV SUPPLY DATA'!$AH:$AH,'CT capacity tracker'!$B60,'PV SUPPLY DATA'!$AG:$AG,$A$51,'PV SUPPLY DATA'!$Y:$Y,'CT capacity tracker'!AI$1)+SUMIFS('ESS SUPPLY DATA'!$U:$U,'ESS SUPPLY DATA'!$AF:$AF,'CT capacity tracker'!$B60,'ESS SUPPLY DATA'!$AE:$AE,'CT capacity tracker'!$A$51,'ESS SUPPLY DATA'!$W:$W,'CT capacity tracker'!AI$1)</f>
        <v>0</v>
      </c>
      <c r="AJ60" s="504">
        <f>SUMIFS('PV SUPPLY DATA'!$X:$X,'PV SUPPLY DATA'!$AH:$AH,'CT capacity tracker'!$B60,'PV SUPPLY DATA'!$AG:$AG,$A$51,'PV SUPPLY DATA'!$Y:$Y,'CT capacity tracker'!AJ$1)+SUMIFS('ESS SUPPLY DATA'!$U:$U,'ESS SUPPLY DATA'!$AF:$AF,'CT capacity tracker'!$B60,'ESS SUPPLY DATA'!$AE:$AE,'CT capacity tracker'!$A$51,'ESS SUPPLY DATA'!$W:$W,'CT capacity tracker'!AJ$1)</f>
        <v>0</v>
      </c>
      <c r="AK60" s="505" t="s">
        <v>197</v>
      </c>
      <c r="AL60" s="505" t="s">
        <v>197</v>
      </c>
      <c r="AM60" s="696">
        <f>SUM(E60:X60)</f>
        <v>0</v>
      </c>
      <c r="AN60" s="503" t="s">
        <v>197</v>
      </c>
      <c r="AO60" s="506"/>
      <c r="AP60" s="506">
        <f t="shared" si="3"/>
        <v>0</v>
      </c>
      <c r="AQ60" s="506"/>
      <c r="AR60" s="506"/>
      <c r="AS60" s="506"/>
      <c r="AT60" s="506"/>
    </row>
    <row r="61" spans="1:46" ht="13">
      <c r="A61" s="1517"/>
      <c r="B61" s="1517"/>
      <c r="C61" s="509" t="s">
        <v>4401</v>
      </c>
      <c r="D61" s="509"/>
      <c r="E61" s="510">
        <v>5</v>
      </c>
      <c r="F61" s="510">
        <v>12</v>
      </c>
      <c r="G61" s="510">
        <v>14</v>
      </c>
      <c r="H61" s="510"/>
      <c r="I61" s="510"/>
      <c r="J61" s="510"/>
      <c r="K61" s="510"/>
      <c r="L61" s="510"/>
      <c r="M61" s="510"/>
      <c r="N61" s="510"/>
      <c r="O61" s="510"/>
      <c r="P61" s="510"/>
      <c r="Q61" s="510"/>
      <c r="R61" s="510"/>
      <c r="S61" s="510"/>
      <c r="T61" s="510"/>
      <c r="U61" s="510"/>
      <c r="V61" s="510"/>
      <c r="W61" s="510"/>
      <c r="X61" s="510"/>
      <c r="Y61" s="510"/>
      <c r="Z61" s="510"/>
      <c r="AA61" s="510"/>
      <c r="AB61" s="510">
        <v>0</v>
      </c>
      <c r="AC61" s="510">
        <f>1+2</f>
        <v>3</v>
      </c>
      <c r="AD61" s="510">
        <v>0</v>
      </c>
      <c r="AE61" s="510">
        <v>0</v>
      </c>
      <c r="AF61" s="510">
        <v>0</v>
      </c>
      <c r="AG61" s="510">
        <v>0</v>
      </c>
      <c r="AH61" s="510">
        <v>0</v>
      </c>
      <c r="AI61" s="510">
        <v>0</v>
      </c>
      <c r="AJ61" s="510">
        <v>0</v>
      </c>
      <c r="AK61" s="505" t="s">
        <v>197</v>
      </c>
      <c r="AL61" s="505" t="s">
        <v>197</v>
      </c>
      <c r="AM61" s="696"/>
      <c r="AN61" s="503" t="s">
        <v>197</v>
      </c>
      <c r="AO61" s="506"/>
      <c r="AP61" s="506">
        <f t="shared" si="3"/>
        <v>14</v>
      </c>
      <c r="AQ61" s="506"/>
      <c r="AR61" s="506"/>
      <c r="AS61" s="506"/>
      <c r="AT61" s="506"/>
    </row>
    <row r="62" spans="1:46" ht="13">
      <c r="A62" s="1517"/>
      <c r="B62" s="1517"/>
      <c r="C62" s="520" t="s">
        <v>4402</v>
      </c>
      <c r="D62" s="522"/>
      <c r="E62" s="522">
        <f>E61-E60</f>
        <v>5</v>
      </c>
      <c r="F62" s="522">
        <f t="shared" ref="F62:X62" si="45">F61-F60</f>
        <v>12</v>
      </c>
      <c r="G62" s="522">
        <f t="shared" si="45"/>
        <v>14</v>
      </c>
      <c r="H62" s="522">
        <f t="shared" si="45"/>
        <v>0</v>
      </c>
      <c r="I62" s="522">
        <f t="shared" si="45"/>
        <v>0</v>
      </c>
      <c r="J62" s="522">
        <f t="shared" si="45"/>
        <v>0</v>
      </c>
      <c r="K62" s="522">
        <f t="shared" si="45"/>
        <v>0</v>
      </c>
      <c r="L62" s="522">
        <f t="shared" si="45"/>
        <v>0</v>
      </c>
      <c r="M62" s="522">
        <f t="shared" si="45"/>
        <v>0</v>
      </c>
      <c r="N62" s="522">
        <f t="shared" si="45"/>
        <v>0</v>
      </c>
      <c r="O62" s="522">
        <f t="shared" si="45"/>
        <v>0</v>
      </c>
      <c r="P62" s="522">
        <f t="shared" si="45"/>
        <v>0</v>
      </c>
      <c r="Q62" s="522">
        <f t="shared" si="45"/>
        <v>0</v>
      </c>
      <c r="R62" s="522">
        <f t="shared" si="45"/>
        <v>0</v>
      </c>
      <c r="S62" s="522">
        <f t="shared" si="45"/>
        <v>0</v>
      </c>
      <c r="T62" s="522">
        <f t="shared" si="45"/>
        <v>0</v>
      </c>
      <c r="U62" s="522">
        <f t="shared" si="45"/>
        <v>0</v>
      </c>
      <c r="V62" s="522">
        <f t="shared" si="45"/>
        <v>0</v>
      </c>
      <c r="W62" s="522">
        <f t="shared" si="45"/>
        <v>0</v>
      </c>
      <c r="X62" s="522">
        <f t="shared" si="45"/>
        <v>0</v>
      </c>
      <c r="Y62" s="522">
        <f t="shared" ref="Y62:AJ62" si="46">Y61-Y60</f>
        <v>0</v>
      </c>
      <c r="Z62" s="522">
        <f t="shared" si="46"/>
        <v>0</v>
      </c>
      <c r="AA62" s="522">
        <f t="shared" si="46"/>
        <v>0</v>
      </c>
      <c r="AB62" s="522">
        <f t="shared" si="46"/>
        <v>-3</v>
      </c>
      <c r="AC62" s="522">
        <f t="shared" si="46"/>
        <v>-3</v>
      </c>
      <c r="AD62" s="522">
        <f t="shared" si="46"/>
        <v>0</v>
      </c>
      <c r="AE62" s="522">
        <f t="shared" si="46"/>
        <v>0</v>
      </c>
      <c r="AF62" s="522">
        <f t="shared" si="46"/>
        <v>0</v>
      </c>
      <c r="AG62" s="522">
        <f t="shared" si="46"/>
        <v>0</v>
      </c>
      <c r="AH62" s="522">
        <f t="shared" si="46"/>
        <v>0</v>
      </c>
      <c r="AI62" s="522">
        <f t="shared" si="46"/>
        <v>0</v>
      </c>
      <c r="AJ62" s="522">
        <f t="shared" si="46"/>
        <v>0</v>
      </c>
      <c r="AK62" s="511">
        <f>SUMIF($E62:$X62,"&gt;0")</f>
        <v>31</v>
      </c>
      <c r="AL62" s="511">
        <f>SUMIF($E62:$X62,"&lt;0")</f>
        <v>0</v>
      </c>
      <c r="AM62" s="696"/>
      <c r="AN62" s="503" t="s">
        <v>197</v>
      </c>
      <c r="AO62" s="506"/>
      <c r="AP62" s="506">
        <f t="shared" si="3"/>
        <v>14</v>
      </c>
      <c r="AQ62" s="506"/>
      <c r="AR62" s="506"/>
      <c r="AS62" s="506"/>
      <c r="AT62" s="506"/>
    </row>
    <row r="63" spans="1:46" ht="13">
      <c r="A63" s="1517"/>
      <c r="B63" s="1518"/>
      <c r="C63" s="503" t="s">
        <v>4403</v>
      </c>
      <c r="D63" s="522"/>
      <c r="E63" s="504">
        <f>SUMIFS('PV SUPPLY DATA'!$X:$X,'PV SUPPLY DATA'!$AH:$AH,'CT capacity tracker'!$B60,'PV SUPPLY DATA'!$AG:$AG,'CT capacity tracker'!$A$51,'PV SUPPLY DATA'!$Y:$Y,E$1,'PV SUPPLY DATA'!$AQ:$AQ,"cosco")+SUMIFS('PV SUPPLY DATA'!$X:$X,'PV SUPPLY DATA'!$AH:$AH,'CT capacity tracker'!$B60,'PV SUPPLY DATA'!$AG:$AG,'CT capacity tracker'!$A$51,'PV SUPPLY DATA'!$Y:$Y,E$1,'PV SUPPLY DATA'!$AQ:$AQ,"other")+SUMIFS('ESS SUPPLY DATA'!$U:$U,'ESS SUPPLY DATA'!$AF:$AF,'CT capacity tracker'!$B60,'ESS SUPPLY DATA'!$AE:$AE,'CT capacity tracker'!$A$51,'ESS SUPPLY DATA'!$W:$W,'CT capacity tracker'!E$1,'ESS SUPPLY DATA'!$AO:$AO,"cosco")+SUMIFS('ESS SUPPLY DATA'!$U:$U,'ESS SUPPLY DATA'!$AF:$AF,'CT capacity tracker'!$B60,'ESS SUPPLY DATA'!$AE:$AE,'CT capacity tracker'!$A$51,'ESS SUPPLY DATA'!$W:$W,'CT capacity tracker'!E$1,'ESS SUPPLY DATA'!$AO:$AO,"other")</f>
        <v>0</v>
      </c>
      <c r="F63" s="504">
        <f>SUMIFS('PV SUPPLY DATA'!$X:$X,'PV SUPPLY DATA'!$AH:$AH,'CT capacity tracker'!$B60,'PV SUPPLY DATA'!$AG:$AG,'CT capacity tracker'!$A$51,'PV SUPPLY DATA'!$Y:$Y,F$1,'PV SUPPLY DATA'!$AQ:$AQ,"cosco")+SUMIFS('PV SUPPLY DATA'!$X:$X,'PV SUPPLY DATA'!$AH:$AH,'CT capacity tracker'!$B60,'PV SUPPLY DATA'!$AG:$AG,'CT capacity tracker'!$A$51,'PV SUPPLY DATA'!$Y:$Y,F$1,'PV SUPPLY DATA'!$AQ:$AQ,"other")+SUMIFS('ESS SUPPLY DATA'!$U:$U,'ESS SUPPLY DATA'!$AF:$AF,'CT capacity tracker'!$B60,'ESS SUPPLY DATA'!$AE:$AE,'CT capacity tracker'!$A$51,'ESS SUPPLY DATA'!$W:$W,'CT capacity tracker'!F$1,'ESS SUPPLY DATA'!$AO:$AO,"cosco")+SUMIFS('ESS SUPPLY DATA'!$U:$U,'ESS SUPPLY DATA'!$AF:$AF,'CT capacity tracker'!$B60,'ESS SUPPLY DATA'!$AE:$AE,'CT capacity tracker'!$A$51,'ESS SUPPLY DATA'!$W:$W,'CT capacity tracker'!F$1,'ESS SUPPLY DATA'!$AO:$AO,"other")</f>
        <v>0</v>
      </c>
      <c r="G63" s="504">
        <f>SUMIFS('PV SUPPLY DATA'!$X:$X,'PV SUPPLY DATA'!$AH:$AH,'CT capacity tracker'!$B60,'PV SUPPLY DATA'!$AG:$AG,'CT capacity tracker'!$A$51,'PV SUPPLY DATA'!$Y:$Y,G$1,'PV SUPPLY DATA'!$AQ:$AQ,"cosco")+SUMIFS('PV SUPPLY DATA'!$X:$X,'PV SUPPLY DATA'!$AH:$AH,'CT capacity tracker'!$B60,'PV SUPPLY DATA'!$AG:$AG,'CT capacity tracker'!$A$51,'PV SUPPLY DATA'!$Y:$Y,G$1,'PV SUPPLY DATA'!$AQ:$AQ,"other")+SUMIFS('ESS SUPPLY DATA'!$U:$U,'ESS SUPPLY DATA'!$AF:$AF,'CT capacity tracker'!$B60,'ESS SUPPLY DATA'!$AE:$AE,'CT capacity tracker'!$A$51,'ESS SUPPLY DATA'!$W:$W,'CT capacity tracker'!G$1,'ESS SUPPLY DATA'!$AO:$AO,"cosco")+SUMIFS('ESS SUPPLY DATA'!$U:$U,'ESS SUPPLY DATA'!$AF:$AF,'CT capacity tracker'!$B60,'ESS SUPPLY DATA'!$AE:$AE,'CT capacity tracker'!$A$51,'ESS SUPPLY DATA'!$W:$W,'CT capacity tracker'!G$1,'ESS SUPPLY DATA'!$AO:$AO,"other")</f>
        <v>0</v>
      </c>
      <c r="H63" s="504">
        <f>SUMIFS('PV SUPPLY DATA'!$X:$X,'PV SUPPLY DATA'!$AH:$AH,'CT capacity tracker'!$B60,'PV SUPPLY DATA'!$AG:$AG,'CT capacity tracker'!$A$51,'PV SUPPLY DATA'!$Y:$Y,H$1,'PV SUPPLY DATA'!$AQ:$AQ,"cosco")+SUMIFS('PV SUPPLY DATA'!$X:$X,'PV SUPPLY DATA'!$AH:$AH,'CT capacity tracker'!$B60,'PV SUPPLY DATA'!$AG:$AG,'CT capacity tracker'!$A$51,'PV SUPPLY DATA'!$Y:$Y,H$1,'PV SUPPLY DATA'!$AQ:$AQ,"other")+SUMIFS('ESS SUPPLY DATA'!$U:$U,'ESS SUPPLY DATA'!$AF:$AF,'CT capacity tracker'!$B60,'ESS SUPPLY DATA'!$AE:$AE,'CT capacity tracker'!$A$51,'ESS SUPPLY DATA'!$W:$W,'CT capacity tracker'!H$1,'ESS SUPPLY DATA'!$AO:$AO,"cosco")+SUMIFS('ESS SUPPLY DATA'!$U:$U,'ESS SUPPLY DATA'!$AF:$AF,'CT capacity tracker'!$B60,'ESS SUPPLY DATA'!$AE:$AE,'CT capacity tracker'!$A$51,'ESS SUPPLY DATA'!$W:$W,'CT capacity tracker'!H$1,'ESS SUPPLY DATA'!$AO:$AO,"other")</f>
        <v>0</v>
      </c>
      <c r="I63" s="504">
        <f>SUMIFS('PV SUPPLY DATA'!$X:$X,'PV SUPPLY DATA'!$AH:$AH,'CT capacity tracker'!$B60,'PV SUPPLY DATA'!$AG:$AG,'CT capacity tracker'!$A$51,'PV SUPPLY DATA'!$Y:$Y,I$1,'PV SUPPLY DATA'!$AQ:$AQ,"cosco")+SUMIFS('PV SUPPLY DATA'!$X:$X,'PV SUPPLY DATA'!$AH:$AH,'CT capacity tracker'!$B60,'PV SUPPLY DATA'!$AG:$AG,'CT capacity tracker'!$A$51,'PV SUPPLY DATA'!$Y:$Y,I$1,'PV SUPPLY DATA'!$AQ:$AQ,"other")+SUMIFS('ESS SUPPLY DATA'!$U:$U,'ESS SUPPLY DATA'!$AF:$AF,'CT capacity tracker'!$B60,'ESS SUPPLY DATA'!$AE:$AE,'CT capacity tracker'!$A$51,'ESS SUPPLY DATA'!$W:$W,'CT capacity tracker'!I$1,'ESS SUPPLY DATA'!$AO:$AO,"cosco")+SUMIFS('ESS SUPPLY DATA'!$U:$U,'ESS SUPPLY DATA'!$AF:$AF,'CT capacity tracker'!$B60,'ESS SUPPLY DATA'!$AE:$AE,'CT capacity tracker'!$A$51,'ESS SUPPLY DATA'!$W:$W,'CT capacity tracker'!I$1,'ESS SUPPLY DATA'!$AO:$AO,"other")</f>
        <v>0</v>
      </c>
      <c r="J63" s="504">
        <f>SUMIFS('PV SUPPLY DATA'!$X:$X,'PV SUPPLY DATA'!$AH:$AH,'CT capacity tracker'!$B60,'PV SUPPLY DATA'!$AG:$AG,'CT capacity tracker'!$A$51,'PV SUPPLY DATA'!$Y:$Y,J$1,'PV SUPPLY DATA'!$AQ:$AQ,"cosco")+SUMIFS('PV SUPPLY DATA'!$X:$X,'PV SUPPLY DATA'!$AH:$AH,'CT capacity tracker'!$B60,'PV SUPPLY DATA'!$AG:$AG,'CT capacity tracker'!$A$51,'PV SUPPLY DATA'!$Y:$Y,J$1,'PV SUPPLY DATA'!$AQ:$AQ,"other")+SUMIFS('ESS SUPPLY DATA'!$U:$U,'ESS SUPPLY DATA'!$AF:$AF,'CT capacity tracker'!$B60,'ESS SUPPLY DATA'!$AE:$AE,'CT capacity tracker'!$A$51,'ESS SUPPLY DATA'!$W:$W,'CT capacity tracker'!J$1,'ESS SUPPLY DATA'!$AO:$AO,"cosco")+SUMIFS('ESS SUPPLY DATA'!$U:$U,'ESS SUPPLY DATA'!$AF:$AF,'CT capacity tracker'!$B60,'ESS SUPPLY DATA'!$AE:$AE,'CT capacity tracker'!$A$51,'ESS SUPPLY DATA'!$W:$W,'CT capacity tracker'!J$1,'ESS SUPPLY DATA'!$AO:$AO,"other")</f>
        <v>0</v>
      </c>
      <c r="K63" s="504">
        <f>SUMIFS('PV SUPPLY DATA'!$X:$X,'PV SUPPLY DATA'!$AH:$AH,'CT capacity tracker'!$B60,'PV SUPPLY DATA'!$AG:$AG,'CT capacity tracker'!$A$51,'PV SUPPLY DATA'!$Y:$Y,K$1,'PV SUPPLY DATA'!$AQ:$AQ,"cosco")+SUMIFS('PV SUPPLY DATA'!$X:$X,'PV SUPPLY DATA'!$AH:$AH,'CT capacity tracker'!$B60,'PV SUPPLY DATA'!$AG:$AG,'CT capacity tracker'!$A$51,'PV SUPPLY DATA'!$Y:$Y,K$1,'PV SUPPLY DATA'!$AQ:$AQ,"other")+SUMIFS('ESS SUPPLY DATA'!$U:$U,'ESS SUPPLY DATA'!$AF:$AF,'CT capacity tracker'!$B60,'ESS SUPPLY DATA'!$AE:$AE,'CT capacity tracker'!$A$51,'ESS SUPPLY DATA'!$W:$W,'CT capacity tracker'!K$1,'ESS SUPPLY DATA'!$AO:$AO,"cosco")+SUMIFS('ESS SUPPLY DATA'!$U:$U,'ESS SUPPLY DATA'!$AF:$AF,'CT capacity tracker'!$B60,'ESS SUPPLY DATA'!$AE:$AE,'CT capacity tracker'!$A$51,'ESS SUPPLY DATA'!$W:$W,'CT capacity tracker'!K$1,'ESS SUPPLY DATA'!$AO:$AO,"other")</f>
        <v>0</v>
      </c>
      <c r="L63" s="504">
        <f>SUMIFS('PV SUPPLY DATA'!$X:$X,'PV SUPPLY DATA'!$AH:$AH,'CT capacity tracker'!$B60,'PV SUPPLY DATA'!$AG:$AG,'CT capacity tracker'!$A$51,'PV SUPPLY DATA'!$Y:$Y,L$1,'PV SUPPLY DATA'!$AQ:$AQ,"cosco")+SUMIFS('PV SUPPLY DATA'!$X:$X,'PV SUPPLY DATA'!$AH:$AH,'CT capacity tracker'!$B60,'PV SUPPLY DATA'!$AG:$AG,'CT capacity tracker'!$A$51,'PV SUPPLY DATA'!$Y:$Y,L$1,'PV SUPPLY DATA'!$AQ:$AQ,"other")+SUMIFS('ESS SUPPLY DATA'!$U:$U,'ESS SUPPLY DATA'!$AF:$AF,'CT capacity tracker'!$B60,'ESS SUPPLY DATA'!$AE:$AE,'CT capacity tracker'!$A$51,'ESS SUPPLY DATA'!$W:$W,'CT capacity tracker'!L$1,'ESS SUPPLY DATA'!$AO:$AO,"cosco")+SUMIFS('ESS SUPPLY DATA'!$U:$U,'ESS SUPPLY DATA'!$AF:$AF,'CT capacity tracker'!$B60,'ESS SUPPLY DATA'!$AE:$AE,'CT capacity tracker'!$A$51,'ESS SUPPLY DATA'!$W:$W,'CT capacity tracker'!L$1,'ESS SUPPLY DATA'!$AO:$AO,"other")</f>
        <v>0</v>
      </c>
      <c r="M63" s="504">
        <f>SUMIFS('PV SUPPLY DATA'!$X:$X,'PV SUPPLY DATA'!$AH:$AH,'CT capacity tracker'!$B60,'PV SUPPLY DATA'!$AG:$AG,'CT capacity tracker'!$A$51,'PV SUPPLY DATA'!$Y:$Y,M$1,'PV SUPPLY DATA'!$AQ:$AQ,"cosco")+SUMIFS('PV SUPPLY DATA'!$X:$X,'PV SUPPLY DATA'!$AH:$AH,'CT capacity tracker'!$B60,'PV SUPPLY DATA'!$AG:$AG,'CT capacity tracker'!$A$51,'PV SUPPLY DATA'!$Y:$Y,M$1,'PV SUPPLY DATA'!$AQ:$AQ,"other")+SUMIFS('ESS SUPPLY DATA'!$U:$U,'ESS SUPPLY DATA'!$AF:$AF,'CT capacity tracker'!$B60,'ESS SUPPLY DATA'!$AE:$AE,'CT capacity tracker'!$A$51,'ESS SUPPLY DATA'!$W:$W,'CT capacity tracker'!M$1,'ESS SUPPLY DATA'!$AO:$AO,"cosco")+SUMIFS('ESS SUPPLY DATA'!$U:$U,'ESS SUPPLY DATA'!$AF:$AF,'CT capacity tracker'!$B60,'ESS SUPPLY DATA'!$AE:$AE,'CT capacity tracker'!$A$51,'ESS SUPPLY DATA'!$W:$W,'CT capacity tracker'!M$1,'ESS SUPPLY DATA'!$AO:$AO,"other")</f>
        <v>0</v>
      </c>
      <c r="N63" s="504">
        <f>SUMIFS('PV SUPPLY DATA'!$X:$X,'PV SUPPLY DATA'!$AH:$AH,'CT capacity tracker'!$B60,'PV SUPPLY DATA'!$AG:$AG,'CT capacity tracker'!$A$51,'PV SUPPLY DATA'!$Y:$Y,N$1,'PV SUPPLY DATA'!$AQ:$AQ,"cosco")+SUMIFS('PV SUPPLY DATA'!$X:$X,'PV SUPPLY DATA'!$AH:$AH,'CT capacity tracker'!$B60,'PV SUPPLY DATA'!$AG:$AG,'CT capacity tracker'!$A$51,'PV SUPPLY DATA'!$Y:$Y,N$1,'PV SUPPLY DATA'!$AQ:$AQ,"other")+SUMIFS('ESS SUPPLY DATA'!$U:$U,'ESS SUPPLY DATA'!$AF:$AF,'CT capacity tracker'!$B60,'ESS SUPPLY DATA'!$AE:$AE,'CT capacity tracker'!$A$51,'ESS SUPPLY DATA'!$W:$W,'CT capacity tracker'!N$1,'ESS SUPPLY DATA'!$AO:$AO,"cosco")+SUMIFS('ESS SUPPLY DATA'!$U:$U,'ESS SUPPLY DATA'!$AF:$AF,'CT capacity tracker'!$B60,'ESS SUPPLY DATA'!$AE:$AE,'CT capacity tracker'!$A$51,'ESS SUPPLY DATA'!$W:$W,'CT capacity tracker'!N$1,'ESS SUPPLY DATA'!$AO:$AO,"other")</f>
        <v>0</v>
      </c>
      <c r="O63" s="504">
        <f>SUMIFS('PV SUPPLY DATA'!$X:$X,'PV SUPPLY DATA'!$AH:$AH,'CT capacity tracker'!$B60,'PV SUPPLY DATA'!$AG:$AG,'CT capacity tracker'!$A$51,'PV SUPPLY DATA'!$Y:$Y,O$1,'PV SUPPLY DATA'!$AQ:$AQ,"cosco")+SUMIFS('PV SUPPLY DATA'!$X:$X,'PV SUPPLY DATA'!$AH:$AH,'CT capacity tracker'!$B60,'PV SUPPLY DATA'!$AG:$AG,'CT capacity tracker'!$A$51,'PV SUPPLY DATA'!$Y:$Y,O$1,'PV SUPPLY DATA'!$AQ:$AQ,"other")+SUMIFS('ESS SUPPLY DATA'!$U:$U,'ESS SUPPLY DATA'!$AF:$AF,'CT capacity tracker'!$B60,'ESS SUPPLY DATA'!$AE:$AE,'CT capacity tracker'!$A$51,'ESS SUPPLY DATA'!$W:$W,'CT capacity tracker'!O$1,'ESS SUPPLY DATA'!$AO:$AO,"cosco")+SUMIFS('ESS SUPPLY DATA'!$U:$U,'ESS SUPPLY DATA'!$AF:$AF,'CT capacity tracker'!$B60,'ESS SUPPLY DATA'!$AE:$AE,'CT capacity tracker'!$A$51,'ESS SUPPLY DATA'!$W:$W,'CT capacity tracker'!O$1,'ESS SUPPLY DATA'!$AO:$AO,"other")</f>
        <v>0</v>
      </c>
      <c r="P63" s="504">
        <f>SUMIFS('PV SUPPLY DATA'!$X:$X,'PV SUPPLY DATA'!$AH:$AH,'CT capacity tracker'!$B60,'PV SUPPLY DATA'!$AG:$AG,'CT capacity tracker'!$A$51,'PV SUPPLY DATA'!$Y:$Y,P$1,'PV SUPPLY DATA'!$AQ:$AQ,"cosco")+SUMIFS('PV SUPPLY DATA'!$X:$X,'PV SUPPLY DATA'!$AH:$AH,'CT capacity tracker'!$B60,'PV SUPPLY DATA'!$AG:$AG,'CT capacity tracker'!$A$51,'PV SUPPLY DATA'!$Y:$Y,P$1,'PV SUPPLY DATA'!$AQ:$AQ,"other")+SUMIFS('ESS SUPPLY DATA'!$U:$U,'ESS SUPPLY DATA'!$AF:$AF,'CT capacity tracker'!$B60,'ESS SUPPLY DATA'!$AE:$AE,'CT capacity tracker'!$A$51,'ESS SUPPLY DATA'!$W:$W,'CT capacity tracker'!P$1,'ESS SUPPLY DATA'!$AO:$AO,"cosco")+SUMIFS('ESS SUPPLY DATA'!$U:$U,'ESS SUPPLY DATA'!$AF:$AF,'CT capacity tracker'!$B60,'ESS SUPPLY DATA'!$AE:$AE,'CT capacity tracker'!$A$51,'ESS SUPPLY DATA'!$W:$W,'CT capacity tracker'!P$1,'ESS SUPPLY DATA'!$AO:$AO,"other")</f>
        <v>0</v>
      </c>
      <c r="Q63" s="504">
        <f>SUMIFS('PV SUPPLY DATA'!$X:$X,'PV SUPPLY DATA'!$AH:$AH,'CT capacity tracker'!$B60,'PV SUPPLY DATA'!$AG:$AG,'CT capacity tracker'!$A$51,'PV SUPPLY DATA'!$Y:$Y,Q$1,'PV SUPPLY DATA'!$AQ:$AQ,"cosco")+SUMIFS('PV SUPPLY DATA'!$X:$X,'PV SUPPLY DATA'!$AH:$AH,'CT capacity tracker'!$B60,'PV SUPPLY DATA'!$AG:$AG,'CT capacity tracker'!$A$51,'PV SUPPLY DATA'!$Y:$Y,Q$1,'PV SUPPLY DATA'!$AQ:$AQ,"other")+SUMIFS('ESS SUPPLY DATA'!$U:$U,'ESS SUPPLY DATA'!$AF:$AF,'CT capacity tracker'!$B60,'ESS SUPPLY DATA'!$AE:$AE,'CT capacity tracker'!$A$51,'ESS SUPPLY DATA'!$W:$W,'CT capacity tracker'!Q$1,'ESS SUPPLY DATA'!$AO:$AO,"cosco")+SUMIFS('ESS SUPPLY DATA'!$U:$U,'ESS SUPPLY DATA'!$AF:$AF,'CT capacity tracker'!$B60,'ESS SUPPLY DATA'!$AE:$AE,'CT capacity tracker'!$A$51,'ESS SUPPLY DATA'!$W:$W,'CT capacity tracker'!Q$1,'ESS SUPPLY DATA'!$AO:$AO,"other")</f>
        <v>0</v>
      </c>
      <c r="R63" s="504">
        <f>SUMIFS('PV SUPPLY DATA'!$X:$X,'PV SUPPLY DATA'!$AH:$AH,'CT capacity tracker'!$B60,'PV SUPPLY DATA'!$AG:$AG,'CT capacity tracker'!$A$51,'PV SUPPLY DATA'!$Y:$Y,R$1,'PV SUPPLY DATA'!$AQ:$AQ,"cosco")+SUMIFS('PV SUPPLY DATA'!$X:$X,'PV SUPPLY DATA'!$AH:$AH,'CT capacity tracker'!$B60,'PV SUPPLY DATA'!$AG:$AG,'CT capacity tracker'!$A$51,'PV SUPPLY DATA'!$Y:$Y,R$1,'PV SUPPLY DATA'!$AQ:$AQ,"other")+SUMIFS('ESS SUPPLY DATA'!$U:$U,'ESS SUPPLY DATA'!$AF:$AF,'CT capacity tracker'!$B60,'ESS SUPPLY DATA'!$AE:$AE,'CT capacity tracker'!$A$51,'ESS SUPPLY DATA'!$W:$W,'CT capacity tracker'!R$1,'ESS SUPPLY DATA'!$AO:$AO,"cosco")+SUMIFS('ESS SUPPLY DATA'!$U:$U,'ESS SUPPLY DATA'!$AF:$AF,'CT capacity tracker'!$B60,'ESS SUPPLY DATA'!$AE:$AE,'CT capacity tracker'!$A$51,'ESS SUPPLY DATA'!$W:$W,'CT capacity tracker'!R$1,'ESS SUPPLY DATA'!$AO:$AO,"other")</f>
        <v>0</v>
      </c>
      <c r="S63" s="504">
        <f>SUMIFS('PV SUPPLY DATA'!$X:$X,'PV SUPPLY DATA'!$AH:$AH,'CT capacity tracker'!$B60,'PV SUPPLY DATA'!$AG:$AG,'CT capacity tracker'!$A$51,'PV SUPPLY DATA'!$Y:$Y,S$1,'PV SUPPLY DATA'!$AQ:$AQ,"cosco")+SUMIFS('PV SUPPLY DATA'!$X:$X,'PV SUPPLY DATA'!$AH:$AH,'CT capacity tracker'!$B60,'PV SUPPLY DATA'!$AG:$AG,'CT capacity tracker'!$A$51,'PV SUPPLY DATA'!$Y:$Y,S$1,'PV SUPPLY DATA'!$AQ:$AQ,"other")+SUMIFS('ESS SUPPLY DATA'!$U:$U,'ESS SUPPLY DATA'!$AF:$AF,'CT capacity tracker'!$B60,'ESS SUPPLY DATA'!$AE:$AE,'CT capacity tracker'!$A$51,'ESS SUPPLY DATA'!$W:$W,'CT capacity tracker'!S$1,'ESS SUPPLY DATA'!$AO:$AO,"cosco")+SUMIFS('ESS SUPPLY DATA'!$U:$U,'ESS SUPPLY DATA'!$AF:$AF,'CT capacity tracker'!$B60,'ESS SUPPLY DATA'!$AE:$AE,'CT capacity tracker'!$A$51,'ESS SUPPLY DATA'!$W:$W,'CT capacity tracker'!S$1,'ESS SUPPLY DATA'!$AO:$AO,"other")</f>
        <v>0</v>
      </c>
      <c r="T63" s="504">
        <f>SUMIFS('PV SUPPLY DATA'!$X:$X,'PV SUPPLY DATA'!$AH:$AH,'CT capacity tracker'!$B60,'PV SUPPLY DATA'!$AG:$AG,'CT capacity tracker'!$A$51,'PV SUPPLY DATA'!$Y:$Y,T$1,'PV SUPPLY DATA'!$AQ:$AQ,"cosco")+SUMIFS('PV SUPPLY DATA'!$X:$X,'PV SUPPLY DATA'!$AH:$AH,'CT capacity tracker'!$B60,'PV SUPPLY DATA'!$AG:$AG,'CT capacity tracker'!$A$51,'PV SUPPLY DATA'!$Y:$Y,T$1,'PV SUPPLY DATA'!$AQ:$AQ,"other")+SUMIFS('ESS SUPPLY DATA'!$U:$U,'ESS SUPPLY DATA'!$AF:$AF,'CT capacity tracker'!$B60,'ESS SUPPLY DATA'!$AE:$AE,'CT capacity tracker'!$A$51,'ESS SUPPLY DATA'!$W:$W,'CT capacity tracker'!T$1,'ESS SUPPLY DATA'!$AO:$AO,"cosco")+SUMIFS('ESS SUPPLY DATA'!$U:$U,'ESS SUPPLY DATA'!$AF:$AF,'CT capacity tracker'!$B60,'ESS SUPPLY DATA'!$AE:$AE,'CT capacity tracker'!$A$51,'ESS SUPPLY DATA'!$W:$W,'CT capacity tracker'!T$1,'ESS SUPPLY DATA'!$AO:$AO,"other")</f>
        <v>0</v>
      </c>
      <c r="U63" s="504">
        <f>SUMIFS('PV SUPPLY DATA'!$X:$X,'PV SUPPLY DATA'!$AH:$AH,'CT capacity tracker'!$B60,'PV SUPPLY DATA'!$AG:$AG,'CT capacity tracker'!$A$51,'PV SUPPLY DATA'!$Y:$Y,U$1,'PV SUPPLY DATA'!$AQ:$AQ,"cosco")+SUMIFS('PV SUPPLY DATA'!$X:$X,'PV SUPPLY DATA'!$AH:$AH,'CT capacity tracker'!$B60,'PV SUPPLY DATA'!$AG:$AG,'CT capacity tracker'!$A$51,'PV SUPPLY DATA'!$Y:$Y,U$1,'PV SUPPLY DATA'!$AQ:$AQ,"other")+SUMIFS('ESS SUPPLY DATA'!$U:$U,'ESS SUPPLY DATA'!$AF:$AF,'CT capacity tracker'!$B60,'ESS SUPPLY DATA'!$AE:$AE,'CT capacity tracker'!$A$51,'ESS SUPPLY DATA'!$W:$W,'CT capacity tracker'!U$1,'ESS SUPPLY DATA'!$AO:$AO,"cosco")+SUMIFS('ESS SUPPLY DATA'!$U:$U,'ESS SUPPLY DATA'!$AF:$AF,'CT capacity tracker'!$B60,'ESS SUPPLY DATA'!$AE:$AE,'CT capacity tracker'!$A$51,'ESS SUPPLY DATA'!$W:$W,'CT capacity tracker'!U$1,'ESS SUPPLY DATA'!$AO:$AO,"other")</f>
        <v>0</v>
      </c>
      <c r="V63" s="504">
        <f>SUMIFS('PV SUPPLY DATA'!$X:$X,'PV SUPPLY DATA'!$AH:$AH,'CT capacity tracker'!$B60,'PV SUPPLY DATA'!$AG:$AG,'CT capacity tracker'!$A$51,'PV SUPPLY DATA'!$Y:$Y,V$1,'PV SUPPLY DATA'!$AQ:$AQ,"cosco")+SUMIFS('PV SUPPLY DATA'!$X:$X,'PV SUPPLY DATA'!$AH:$AH,'CT capacity tracker'!$B60,'PV SUPPLY DATA'!$AG:$AG,'CT capacity tracker'!$A$51,'PV SUPPLY DATA'!$Y:$Y,V$1,'PV SUPPLY DATA'!$AQ:$AQ,"other")+SUMIFS('ESS SUPPLY DATA'!$U:$U,'ESS SUPPLY DATA'!$AF:$AF,'CT capacity tracker'!$B60,'ESS SUPPLY DATA'!$AE:$AE,'CT capacity tracker'!$A$51,'ESS SUPPLY DATA'!$W:$W,'CT capacity tracker'!V$1,'ESS SUPPLY DATA'!$AO:$AO,"cosco")+SUMIFS('ESS SUPPLY DATA'!$U:$U,'ESS SUPPLY DATA'!$AF:$AF,'CT capacity tracker'!$B60,'ESS SUPPLY DATA'!$AE:$AE,'CT capacity tracker'!$A$51,'ESS SUPPLY DATA'!$W:$W,'CT capacity tracker'!V$1,'ESS SUPPLY DATA'!$AO:$AO,"other")</f>
        <v>0</v>
      </c>
      <c r="W63" s="504">
        <f>SUMIFS('PV SUPPLY DATA'!$X:$X,'PV SUPPLY DATA'!$AH:$AH,'CT capacity tracker'!$B60,'PV SUPPLY DATA'!$AG:$AG,'CT capacity tracker'!$A$51,'PV SUPPLY DATA'!$Y:$Y,W$1,'PV SUPPLY DATA'!$AQ:$AQ,"cosco")+SUMIFS('PV SUPPLY DATA'!$X:$X,'PV SUPPLY DATA'!$AH:$AH,'CT capacity tracker'!$B60,'PV SUPPLY DATA'!$AG:$AG,'CT capacity tracker'!$A$51,'PV SUPPLY DATA'!$Y:$Y,W$1,'PV SUPPLY DATA'!$AQ:$AQ,"other")+SUMIFS('ESS SUPPLY DATA'!$U:$U,'ESS SUPPLY DATA'!$AF:$AF,'CT capacity tracker'!$B60,'ESS SUPPLY DATA'!$AE:$AE,'CT capacity tracker'!$A$51,'ESS SUPPLY DATA'!$W:$W,'CT capacity tracker'!W$1,'ESS SUPPLY DATA'!$AO:$AO,"cosco")+SUMIFS('ESS SUPPLY DATA'!$U:$U,'ESS SUPPLY DATA'!$AF:$AF,'CT capacity tracker'!$B60,'ESS SUPPLY DATA'!$AE:$AE,'CT capacity tracker'!$A$51,'ESS SUPPLY DATA'!$W:$W,'CT capacity tracker'!W$1,'ESS SUPPLY DATA'!$AO:$AO,"other")</f>
        <v>0</v>
      </c>
      <c r="X63" s="504">
        <f>SUMIFS('PV SUPPLY DATA'!$X:$X,'PV SUPPLY DATA'!$AH:$AH,'CT capacity tracker'!$B60,'PV SUPPLY DATA'!$AG:$AG,'CT capacity tracker'!$A$51,'PV SUPPLY DATA'!$Y:$Y,X$1,'PV SUPPLY DATA'!$AQ:$AQ,"cosco")+SUMIFS('PV SUPPLY DATA'!$X:$X,'PV SUPPLY DATA'!$AH:$AH,'CT capacity tracker'!$B60,'PV SUPPLY DATA'!$AG:$AG,'CT capacity tracker'!$A$51,'PV SUPPLY DATA'!$Y:$Y,X$1,'PV SUPPLY DATA'!$AQ:$AQ,"other")+SUMIFS('ESS SUPPLY DATA'!$U:$U,'ESS SUPPLY DATA'!$AF:$AF,'CT capacity tracker'!$B60,'ESS SUPPLY DATA'!$AE:$AE,'CT capacity tracker'!$A$51,'ESS SUPPLY DATA'!$W:$W,'CT capacity tracker'!X$1,'ESS SUPPLY DATA'!$AO:$AO,"cosco")+SUMIFS('ESS SUPPLY DATA'!$U:$U,'ESS SUPPLY DATA'!$AF:$AF,'CT capacity tracker'!$B60,'ESS SUPPLY DATA'!$AE:$AE,'CT capacity tracker'!$A$51,'ESS SUPPLY DATA'!$W:$W,'CT capacity tracker'!X$1,'ESS SUPPLY DATA'!$AO:$AO,"other")</f>
        <v>0</v>
      </c>
      <c r="Y63" s="504">
        <f>SUMIFS('PV SUPPLY DATA'!$X:$X,'PV SUPPLY DATA'!$AH:$AH,'CT capacity tracker'!$B60,'PV SUPPLY DATA'!$AG:$AG,'CT capacity tracker'!$A$51,'PV SUPPLY DATA'!$Y:$Y,Y$1,'PV SUPPLY DATA'!$AQ:$AQ,"cosco")+SUMIFS('PV SUPPLY DATA'!$X:$X,'PV SUPPLY DATA'!$AH:$AH,'CT capacity tracker'!$B60,'PV SUPPLY DATA'!$AG:$AG,'CT capacity tracker'!$A$51,'PV SUPPLY DATA'!$Y:$Y,Y$1,'PV SUPPLY DATA'!$AQ:$AQ,"other")+SUMIFS('ESS SUPPLY DATA'!$U:$U,'ESS SUPPLY DATA'!$AF:$AF,'CT capacity tracker'!$B60,'ESS SUPPLY DATA'!$AE:$AE,'CT capacity tracker'!$A$51,'ESS SUPPLY DATA'!$W:$W,'CT capacity tracker'!Y$1,'ESS SUPPLY DATA'!$AO:$AO,"cosco")+SUMIFS('ESS SUPPLY DATA'!$U:$U,'ESS SUPPLY DATA'!$AF:$AF,'CT capacity tracker'!$B60,'ESS SUPPLY DATA'!$AE:$AE,'CT capacity tracker'!$A$51,'ESS SUPPLY DATA'!$W:$W,'CT capacity tracker'!Y$1,'ESS SUPPLY DATA'!$AO:$AO,"other")</f>
        <v>0</v>
      </c>
      <c r="Z63" s="504">
        <f>SUMIFS('PV SUPPLY DATA'!$X:$X,'PV SUPPLY DATA'!$AH:$AH,'CT capacity tracker'!$B60,'PV SUPPLY DATA'!$AG:$AG,'CT capacity tracker'!$A$51,'PV SUPPLY DATA'!$Y:$Y,Z$1,'PV SUPPLY DATA'!$AQ:$AQ,"cosco")+SUMIFS('PV SUPPLY DATA'!$X:$X,'PV SUPPLY DATA'!$AH:$AH,'CT capacity tracker'!$B60,'PV SUPPLY DATA'!$AG:$AG,'CT capacity tracker'!$A$51,'PV SUPPLY DATA'!$Y:$Y,Z$1,'PV SUPPLY DATA'!$AQ:$AQ,"other")+SUMIFS('ESS SUPPLY DATA'!$U:$U,'ESS SUPPLY DATA'!$AF:$AF,'CT capacity tracker'!$B60,'ESS SUPPLY DATA'!$AE:$AE,'CT capacity tracker'!$A$51,'ESS SUPPLY DATA'!$W:$W,'CT capacity tracker'!Z$1,'ESS SUPPLY DATA'!$AO:$AO,"cosco")+SUMIFS('ESS SUPPLY DATA'!$U:$U,'ESS SUPPLY DATA'!$AF:$AF,'CT capacity tracker'!$B60,'ESS SUPPLY DATA'!$AE:$AE,'CT capacity tracker'!$A$51,'ESS SUPPLY DATA'!$W:$W,'CT capacity tracker'!Z$1,'ESS SUPPLY DATA'!$AO:$AO,"other")</f>
        <v>0</v>
      </c>
      <c r="AA63" s="504">
        <f>SUMIFS('PV SUPPLY DATA'!$X:$X,'PV SUPPLY DATA'!$AH:$AH,'CT capacity tracker'!$B60,'PV SUPPLY DATA'!$AG:$AG,'CT capacity tracker'!$A$51,'PV SUPPLY DATA'!$Y:$Y,AA$1,'PV SUPPLY DATA'!$AQ:$AQ,"cosco")+SUMIFS('PV SUPPLY DATA'!$X:$X,'PV SUPPLY DATA'!$AH:$AH,'CT capacity tracker'!$B60,'PV SUPPLY DATA'!$AG:$AG,'CT capacity tracker'!$A$51,'PV SUPPLY DATA'!$Y:$Y,AA$1,'PV SUPPLY DATA'!$AQ:$AQ,"other")+SUMIFS('ESS SUPPLY DATA'!$U:$U,'ESS SUPPLY DATA'!$AF:$AF,'CT capacity tracker'!$B60,'ESS SUPPLY DATA'!$AE:$AE,'CT capacity tracker'!$A$51,'ESS SUPPLY DATA'!$W:$W,'CT capacity tracker'!AA$1,'ESS SUPPLY DATA'!$AO:$AO,"cosco")+SUMIFS('ESS SUPPLY DATA'!$U:$U,'ESS SUPPLY DATA'!$AF:$AF,'CT capacity tracker'!$B60,'ESS SUPPLY DATA'!$AE:$AE,'CT capacity tracker'!$A$51,'ESS SUPPLY DATA'!$W:$W,'CT capacity tracker'!AA$1,'ESS SUPPLY DATA'!$AO:$AO,"other")</f>
        <v>0</v>
      </c>
      <c r="AB63" s="504">
        <f>SUMIFS('PV SUPPLY DATA'!$X:$X,'PV SUPPLY DATA'!$AH:$AH,'CT capacity tracker'!$B60,'PV SUPPLY DATA'!$AG:$AG,'CT capacity tracker'!$A$51,'PV SUPPLY DATA'!$Y:$Y,AB$1,'PV SUPPLY DATA'!$AQ:$AQ,"cosco")+SUMIFS('PV SUPPLY DATA'!$X:$X,'PV SUPPLY DATA'!$AH:$AH,'CT capacity tracker'!$B60,'PV SUPPLY DATA'!$AG:$AG,'CT capacity tracker'!$A$51,'PV SUPPLY DATA'!$Y:$Y,AB$1,'PV SUPPLY DATA'!$AQ:$AQ,"other")+SUMIFS('ESS SUPPLY DATA'!$U:$U,'ESS SUPPLY DATA'!$AF:$AF,'CT capacity tracker'!$B60,'ESS SUPPLY DATA'!$AE:$AE,'CT capacity tracker'!$A$51,'ESS SUPPLY DATA'!$W:$W,'CT capacity tracker'!AB$1,'ESS SUPPLY DATA'!$AO:$AO,"cosco")+SUMIFS('ESS SUPPLY DATA'!$U:$U,'ESS SUPPLY DATA'!$AF:$AF,'CT capacity tracker'!$B60,'ESS SUPPLY DATA'!$AE:$AE,'CT capacity tracker'!$A$51,'ESS SUPPLY DATA'!$W:$W,'CT capacity tracker'!AB$1,'ESS SUPPLY DATA'!$AO:$AO,"other")</f>
        <v>3</v>
      </c>
      <c r="AC63" s="504">
        <f>SUMIFS('PV SUPPLY DATA'!$X:$X,'PV SUPPLY DATA'!$AH:$AH,'CT capacity tracker'!$B60,'PV SUPPLY DATA'!$AG:$AG,'CT capacity tracker'!$A$51,'PV SUPPLY DATA'!$Y:$Y,AC$1,'PV SUPPLY DATA'!$AQ:$AQ,"cosco")+SUMIFS('PV SUPPLY DATA'!$X:$X,'PV SUPPLY DATA'!$AH:$AH,'CT capacity tracker'!$B60,'PV SUPPLY DATA'!$AG:$AG,'CT capacity tracker'!$A$51,'PV SUPPLY DATA'!$Y:$Y,AC$1,'PV SUPPLY DATA'!$AQ:$AQ,"other")+SUMIFS('ESS SUPPLY DATA'!$U:$U,'ESS SUPPLY DATA'!$AF:$AF,'CT capacity tracker'!$B60,'ESS SUPPLY DATA'!$AE:$AE,'CT capacity tracker'!$A$51,'ESS SUPPLY DATA'!$W:$W,'CT capacity tracker'!AC$1,'ESS SUPPLY DATA'!$AO:$AO,"cosco")+SUMIFS('ESS SUPPLY DATA'!$U:$U,'ESS SUPPLY DATA'!$AF:$AF,'CT capacity tracker'!$B60,'ESS SUPPLY DATA'!$AE:$AE,'CT capacity tracker'!$A$51,'ESS SUPPLY DATA'!$W:$W,'CT capacity tracker'!AC$1,'ESS SUPPLY DATA'!$AO:$AO,"other")</f>
        <v>0</v>
      </c>
      <c r="AD63" s="504">
        <f>SUMIFS('PV SUPPLY DATA'!$X:$X,'PV SUPPLY DATA'!$AH:$AH,'CT capacity tracker'!$B60,'PV SUPPLY DATA'!$AG:$AG,'CT capacity tracker'!$A$51,'PV SUPPLY DATA'!$Y:$Y,AD$1,'PV SUPPLY DATA'!$AQ:$AQ,"cosco")+SUMIFS('PV SUPPLY DATA'!$X:$X,'PV SUPPLY DATA'!$AH:$AH,'CT capacity tracker'!$B60,'PV SUPPLY DATA'!$AG:$AG,'CT capacity tracker'!$A$51,'PV SUPPLY DATA'!$Y:$Y,AD$1,'PV SUPPLY DATA'!$AQ:$AQ,"other")+SUMIFS('ESS SUPPLY DATA'!$U:$U,'ESS SUPPLY DATA'!$AF:$AF,'CT capacity tracker'!$B60,'ESS SUPPLY DATA'!$AE:$AE,'CT capacity tracker'!$A$51,'ESS SUPPLY DATA'!$W:$W,'CT capacity tracker'!AD$1,'ESS SUPPLY DATA'!$AO:$AO,"cosco")+SUMIFS('ESS SUPPLY DATA'!$U:$U,'ESS SUPPLY DATA'!$AF:$AF,'CT capacity tracker'!$B60,'ESS SUPPLY DATA'!$AE:$AE,'CT capacity tracker'!$A$51,'ESS SUPPLY DATA'!$W:$W,'CT capacity tracker'!AD$1,'ESS SUPPLY DATA'!$AO:$AO,"other")</f>
        <v>0</v>
      </c>
      <c r="AE63" s="504">
        <f>SUMIFS('PV SUPPLY DATA'!$X:$X,'PV SUPPLY DATA'!$AH:$AH,'CT capacity tracker'!$B60,'PV SUPPLY DATA'!$AG:$AG,'CT capacity tracker'!$A$51,'PV SUPPLY DATA'!$Y:$Y,AE$1,'PV SUPPLY DATA'!$AQ:$AQ,"cosco")+SUMIFS('PV SUPPLY DATA'!$X:$X,'PV SUPPLY DATA'!$AH:$AH,'CT capacity tracker'!$B60,'PV SUPPLY DATA'!$AG:$AG,'CT capacity tracker'!$A$51,'PV SUPPLY DATA'!$Y:$Y,AE$1,'PV SUPPLY DATA'!$AQ:$AQ,"other")+SUMIFS('ESS SUPPLY DATA'!$U:$U,'ESS SUPPLY DATA'!$AF:$AF,'CT capacity tracker'!$B60,'ESS SUPPLY DATA'!$AE:$AE,'CT capacity tracker'!$A$51,'ESS SUPPLY DATA'!$W:$W,'CT capacity tracker'!AE$1,'ESS SUPPLY DATA'!$AO:$AO,"cosco")+SUMIFS('ESS SUPPLY DATA'!$U:$U,'ESS SUPPLY DATA'!$AF:$AF,'CT capacity tracker'!$B60,'ESS SUPPLY DATA'!$AE:$AE,'CT capacity tracker'!$A$51,'ESS SUPPLY DATA'!$W:$W,'CT capacity tracker'!AE$1,'ESS SUPPLY DATA'!$AO:$AO,"other")</f>
        <v>0</v>
      </c>
      <c r="AF63" s="504">
        <f>SUMIFS('PV SUPPLY DATA'!$X:$X,'PV SUPPLY DATA'!$AH:$AH,'CT capacity tracker'!$B60,'PV SUPPLY DATA'!$AG:$AG,'CT capacity tracker'!$A$51,'PV SUPPLY DATA'!$Y:$Y,AF$1,'PV SUPPLY DATA'!$AQ:$AQ,"cosco")+SUMIFS('PV SUPPLY DATA'!$X:$X,'PV SUPPLY DATA'!$AH:$AH,'CT capacity tracker'!$B60,'PV SUPPLY DATA'!$AG:$AG,'CT capacity tracker'!$A$51,'PV SUPPLY DATA'!$Y:$Y,AF$1,'PV SUPPLY DATA'!$AQ:$AQ,"other")+SUMIFS('ESS SUPPLY DATA'!$U:$U,'ESS SUPPLY DATA'!$AF:$AF,'CT capacity tracker'!$B60,'ESS SUPPLY DATA'!$AE:$AE,'CT capacity tracker'!$A$51,'ESS SUPPLY DATA'!$W:$W,'CT capacity tracker'!AF$1,'ESS SUPPLY DATA'!$AO:$AO,"cosco")+SUMIFS('ESS SUPPLY DATA'!$U:$U,'ESS SUPPLY DATA'!$AF:$AF,'CT capacity tracker'!$B60,'ESS SUPPLY DATA'!$AE:$AE,'CT capacity tracker'!$A$51,'ESS SUPPLY DATA'!$W:$W,'CT capacity tracker'!AF$1,'ESS SUPPLY DATA'!$AO:$AO,"other")</f>
        <v>0</v>
      </c>
      <c r="AG63" s="504">
        <f>SUMIFS('PV SUPPLY DATA'!$X:$X,'PV SUPPLY DATA'!$AH:$AH,'CT capacity tracker'!$B60,'PV SUPPLY DATA'!$AG:$AG,'CT capacity tracker'!$A$51,'PV SUPPLY DATA'!$Y:$Y,AG$1,'PV SUPPLY DATA'!$AQ:$AQ,"cosco")+SUMIFS('PV SUPPLY DATA'!$X:$X,'PV SUPPLY DATA'!$AH:$AH,'CT capacity tracker'!$B60,'PV SUPPLY DATA'!$AG:$AG,'CT capacity tracker'!$A$51,'PV SUPPLY DATA'!$Y:$Y,AG$1,'PV SUPPLY DATA'!$AQ:$AQ,"other")+SUMIFS('ESS SUPPLY DATA'!$U:$U,'ESS SUPPLY DATA'!$AF:$AF,'CT capacity tracker'!$B60,'ESS SUPPLY DATA'!$AE:$AE,'CT capacity tracker'!$A$51,'ESS SUPPLY DATA'!$W:$W,'CT capacity tracker'!AG$1,'ESS SUPPLY DATA'!$AO:$AO,"cosco")+SUMIFS('ESS SUPPLY DATA'!$U:$U,'ESS SUPPLY DATA'!$AF:$AF,'CT capacity tracker'!$B60,'ESS SUPPLY DATA'!$AE:$AE,'CT capacity tracker'!$A$51,'ESS SUPPLY DATA'!$W:$W,'CT capacity tracker'!AG$1,'ESS SUPPLY DATA'!$AO:$AO,"other")</f>
        <v>0</v>
      </c>
      <c r="AH63" s="504">
        <f>SUMIFS('PV SUPPLY DATA'!$X:$X,'PV SUPPLY DATA'!$AH:$AH,'CT capacity tracker'!$B60,'PV SUPPLY DATA'!$AG:$AG,'CT capacity tracker'!$A$51,'PV SUPPLY DATA'!$Y:$Y,AH$1,'PV SUPPLY DATA'!$AQ:$AQ,"cosco")+SUMIFS('PV SUPPLY DATA'!$X:$X,'PV SUPPLY DATA'!$AH:$AH,'CT capacity tracker'!$B60,'PV SUPPLY DATA'!$AG:$AG,'CT capacity tracker'!$A$51,'PV SUPPLY DATA'!$Y:$Y,AH$1,'PV SUPPLY DATA'!$AQ:$AQ,"other")+SUMIFS('ESS SUPPLY DATA'!$U:$U,'ESS SUPPLY DATA'!$AF:$AF,'CT capacity tracker'!$B60,'ESS SUPPLY DATA'!$AE:$AE,'CT capacity tracker'!$A$51,'ESS SUPPLY DATA'!$W:$W,'CT capacity tracker'!AH$1,'ESS SUPPLY DATA'!$AO:$AO,"cosco")+SUMIFS('ESS SUPPLY DATA'!$U:$U,'ESS SUPPLY DATA'!$AF:$AF,'CT capacity tracker'!$B60,'ESS SUPPLY DATA'!$AE:$AE,'CT capacity tracker'!$A$51,'ESS SUPPLY DATA'!$W:$W,'CT capacity tracker'!AH$1,'ESS SUPPLY DATA'!$AO:$AO,"other")</f>
        <v>0</v>
      </c>
      <c r="AI63" s="504">
        <f>SUMIFS('PV SUPPLY DATA'!$X:$X,'PV SUPPLY DATA'!$AH:$AH,'CT capacity tracker'!$B60,'PV SUPPLY DATA'!$AG:$AG,'CT capacity tracker'!$A$51,'PV SUPPLY DATA'!$Y:$Y,AI$1,'PV SUPPLY DATA'!$AQ:$AQ,"cosco")+SUMIFS('PV SUPPLY DATA'!$X:$X,'PV SUPPLY DATA'!$AH:$AH,'CT capacity tracker'!$B60,'PV SUPPLY DATA'!$AG:$AG,'CT capacity tracker'!$A$51,'PV SUPPLY DATA'!$Y:$Y,AI$1,'PV SUPPLY DATA'!$AQ:$AQ,"other")+SUMIFS('ESS SUPPLY DATA'!$U:$U,'ESS SUPPLY DATA'!$AF:$AF,'CT capacity tracker'!$B60,'ESS SUPPLY DATA'!$AE:$AE,'CT capacity tracker'!$A$51,'ESS SUPPLY DATA'!$W:$W,'CT capacity tracker'!AI$1,'ESS SUPPLY DATA'!$AO:$AO,"cosco")+SUMIFS('ESS SUPPLY DATA'!$U:$U,'ESS SUPPLY DATA'!$AF:$AF,'CT capacity tracker'!$B60,'ESS SUPPLY DATA'!$AE:$AE,'CT capacity tracker'!$A$51,'ESS SUPPLY DATA'!$W:$W,'CT capacity tracker'!AI$1,'ESS SUPPLY DATA'!$AO:$AO,"other")</f>
        <v>0</v>
      </c>
      <c r="AJ63" s="504">
        <f>SUMIFS('PV SUPPLY DATA'!$X:$X,'PV SUPPLY DATA'!$AH:$AH,'CT capacity tracker'!$B60,'PV SUPPLY DATA'!$AG:$AG,'CT capacity tracker'!$A$51,'PV SUPPLY DATA'!$Y:$Y,AJ$1,'PV SUPPLY DATA'!$AQ:$AQ,"cosco")+SUMIFS('PV SUPPLY DATA'!$X:$X,'PV SUPPLY DATA'!$AH:$AH,'CT capacity tracker'!$B60,'PV SUPPLY DATA'!$AG:$AG,'CT capacity tracker'!$A$51,'PV SUPPLY DATA'!$Y:$Y,AJ$1,'PV SUPPLY DATA'!$AQ:$AQ,"other")+SUMIFS('ESS SUPPLY DATA'!$U:$U,'ESS SUPPLY DATA'!$AF:$AF,'CT capacity tracker'!$B60,'ESS SUPPLY DATA'!$AE:$AE,'CT capacity tracker'!$A$51,'ESS SUPPLY DATA'!$W:$W,'CT capacity tracker'!AJ$1,'ESS SUPPLY DATA'!$AO:$AO,"cosco")+SUMIFS('ESS SUPPLY DATA'!$U:$U,'ESS SUPPLY DATA'!$AF:$AF,'CT capacity tracker'!$B60,'ESS SUPPLY DATA'!$AE:$AE,'CT capacity tracker'!$A$51,'ESS SUPPLY DATA'!$W:$W,'CT capacity tracker'!AJ$1,'ESS SUPPLY DATA'!$AO:$AO,"other")</f>
        <v>0</v>
      </c>
      <c r="AK63" s="511"/>
      <c r="AL63" s="511"/>
      <c r="AM63" s="696">
        <f>SUM(E63:X63)</f>
        <v>0</v>
      </c>
      <c r="AN63" s="503"/>
      <c r="AO63" s="506"/>
      <c r="AP63" s="506"/>
      <c r="AQ63" s="506"/>
      <c r="AR63" s="506"/>
      <c r="AS63" s="506"/>
      <c r="AT63" s="506"/>
    </row>
    <row r="64" spans="1:46" ht="13">
      <c r="A64" s="1517"/>
      <c r="B64" s="1516" t="s">
        <v>105</v>
      </c>
      <c r="C64" s="503" t="s">
        <v>4400</v>
      </c>
      <c r="D64" s="504">
        <f>SUMIFS('PV SUPPLY DATA'!$X:$X,'PV SUPPLY DATA'!$AH:$AH,'CT capacity tracker'!$B64,'PV SUPPLY DATA'!$AG:$AG,'CT capacity tracker'!$A$1,'PV SUPPLY DATA'!$Z:$Z,'CT capacity tracker'!D$1)+SUMIFS('ESS SUPPLY DATA'!$U:$U,'ESS SUPPLY DATA'!$AF:$AF,'CT capacity tracker'!$B64,'ESS SUPPLY DATA'!$AE:$AE,'CT capacity tracker'!$A$1,'ESS SUPPLY DATA'!$X:$X,'CT capacity tracker'!D$1)</f>
        <v>209</v>
      </c>
      <c r="E64" s="504">
        <f>SUMIFS('PV SUPPLY DATA'!$X:$X,'PV SUPPLY DATA'!$AH:$AH,'CT capacity tracker'!$B64,'PV SUPPLY DATA'!$AG:$AG,$A$51,'PV SUPPLY DATA'!$Y:$Y,'CT capacity tracker'!E$1)+SUMIFS('ESS SUPPLY DATA'!$U:$U,'ESS SUPPLY DATA'!$AF:$AF,'CT capacity tracker'!$B64,'ESS SUPPLY DATA'!$AE:$AE,'CT capacity tracker'!$A$51,'ESS SUPPLY DATA'!$W:$W,'CT capacity tracker'!E$1)</f>
        <v>0</v>
      </c>
      <c r="F64" s="504">
        <f>SUMIFS('PV SUPPLY DATA'!$X:$X,'PV SUPPLY DATA'!$AH:$AH,'CT capacity tracker'!$B64,'PV SUPPLY DATA'!$AG:$AG,$A$51,'PV SUPPLY DATA'!$Y:$Y,'CT capacity tracker'!F$1)+SUMIFS('ESS SUPPLY DATA'!$U:$U,'ESS SUPPLY DATA'!$AF:$AF,'CT capacity tracker'!$B64,'ESS SUPPLY DATA'!$AE:$AE,'CT capacity tracker'!$A$51,'ESS SUPPLY DATA'!$W:$W,'CT capacity tracker'!F$1)</f>
        <v>0</v>
      </c>
      <c r="G64" s="504">
        <f>SUMIFS('PV SUPPLY DATA'!$X:$X,'PV SUPPLY DATA'!$AH:$AH,'CT capacity tracker'!$B64,'PV SUPPLY DATA'!$AG:$AG,$A$51,'PV SUPPLY DATA'!$Y:$Y,'CT capacity tracker'!G$1)+SUMIFS('ESS SUPPLY DATA'!$U:$U,'ESS SUPPLY DATA'!$AF:$AF,'CT capacity tracker'!$B64,'ESS SUPPLY DATA'!$AE:$AE,'CT capacity tracker'!$A$51,'ESS SUPPLY DATA'!$W:$W,'CT capacity tracker'!G$1)</f>
        <v>15</v>
      </c>
      <c r="H64" s="504">
        <f>SUMIFS('PV SUPPLY DATA'!$X:$X,'PV SUPPLY DATA'!$AH:$AH,'CT capacity tracker'!$B64,'PV SUPPLY DATA'!$AG:$AG,$A$51,'PV SUPPLY DATA'!$Y:$Y,'CT capacity tracker'!H$1)+SUMIFS('ESS SUPPLY DATA'!$U:$U,'ESS SUPPLY DATA'!$AF:$AF,'CT capacity tracker'!$B64,'ESS SUPPLY DATA'!$AE:$AE,'CT capacity tracker'!$A$51,'ESS SUPPLY DATA'!$W:$W,'CT capacity tracker'!H$1)</f>
        <v>1</v>
      </c>
      <c r="I64" s="504">
        <f>SUMIFS('PV SUPPLY DATA'!$X:$X,'PV SUPPLY DATA'!$AH:$AH,'CT capacity tracker'!$B64,'PV SUPPLY DATA'!$AG:$AG,$A$51,'PV SUPPLY DATA'!$Y:$Y,'CT capacity tracker'!I$1)+SUMIFS('ESS SUPPLY DATA'!$U:$U,'ESS SUPPLY DATA'!$AF:$AF,'CT capacity tracker'!$B64,'ESS SUPPLY DATA'!$AE:$AE,'CT capacity tracker'!$A$51,'ESS SUPPLY DATA'!$W:$W,'CT capacity tracker'!I$1)</f>
        <v>5</v>
      </c>
      <c r="J64" s="504">
        <f>SUMIFS('PV SUPPLY DATA'!$X:$X,'PV SUPPLY DATA'!$AH:$AH,'CT capacity tracker'!$B64,'PV SUPPLY DATA'!$AG:$AG,$A$51,'PV SUPPLY DATA'!$Y:$Y,'CT capacity tracker'!J$1)+SUMIFS('ESS SUPPLY DATA'!$U:$U,'ESS SUPPLY DATA'!$AF:$AF,'CT capacity tracker'!$B64,'ESS SUPPLY DATA'!$AE:$AE,'CT capacity tracker'!$A$51,'ESS SUPPLY DATA'!$W:$W,'CT capacity tracker'!J$1)</f>
        <v>0</v>
      </c>
      <c r="K64" s="504">
        <f>SUMIFS('PV SUPPLY DATA'!$X:$X,'PV SUPPLY DATA'!$AH:$AH,'CT capacity tracker'!$B64,'PV SUPPLY DATA'!$AG:$AG,$A$51,'PV SUPPLY DATA'!$Y:$Y,'CT capacity tracker'!K$1)+SUMIFS('ESS SUPPLY DATA'!$U:$U,'ESS SUPPLY DATA'!$AF:$AF,'CT capacity tracker'!$B64,'ESS SUPPLY DATA'!$AE:$AE,'CT capacity tracker'!$A$51,'ESS SUPPLY DATA'!$W:$W,'CT capacity tracker'!K$1)</f>
        <v>8</v>
      </c>
      <c r="L64" s="504">
        <f>SUMIFS('PV SUPPLY DATA'!$X:$X,'PV SUPPLY DATA'!$AH:$AH,'CT capacity tracker'!$B64,'PV SUPPLY DATA'!$AG:$AG,$A$51,'PV SUPPLY DATA'!$Y:$Y,'CT capacity tracker'!L$1)+SUMIFS('ESS SUPPLY DATA'!$U:$U,'ESS SUPPLY DATA'!$AF:$AF,'CT capacity tracker'!$B64,'ESS SUPPLY DATA'!$AE:$AE,'CT capacity tracker'!$A$51,'ESS SUPPLY DATA'!$W:$W,'CT capacity tracker'!L$1)</f>
        <v>8</v>
      </c>
      <c r="M64" s="504">
        <f>SUMIFS('PV SUPPLY DATA'!$X:$X,'PV SUPPLY DATA'!$AH:$AH,'CT capacity tracker'!$B64,'PV SUPPLY DATA'!$AG:$AG,$A$51,'PV SUPPLY DATA'!$Y:$Y,'CT capacity tracker'!M$1)+SUMIFS('ESS SUPPLY DATA'!$U:$U,'ESS SUPPLY DATA'!$AF:$AF,'CT capacity tracker'!$B64,'ESS SUPPLY DATA'!$AE:$AE,'CT capacity tracker'!$A$51,'ESS SUPPLY DATA'!$W:$W,'CT capacity tracker'!M$1)</f>
        <v>28</v>
      </c>
      <c r="N64" s="504">
        <f>SUMIFS('PV SUPPLY DATA'!$X:$X,'PV SUPPLY DATA'!$AH:$AH,'CT capacity tracker'!$B64,'PV SUPPLY DATA'!$AG:$AG,$A$51,'PV SUPPLY DATA'!$Y:$Y,'CT capacity tracker'!N$1)+SUMIFS('ESS SUPPLY DATA'!$U:$U,'ESS SUPPLY DATA'!$AF:$AF,'CT capacity tracker'!$B64,'ESS SUPPLY DATA'!$AE:$AE,'CT capacity tracker'!$A$51,'ESS SUPPLY DATA'!$W:$W,'CT capacity tracker'!N$1)</f>
        <v>25</v>
      </c>
      <c r="O64" s="504">
        <f>SUMIFS('PV SUPPLY DATA'!$X:$X,'PV SUPPLY DATA'!$AH:$AH,'CT capacity tracker'!$B64,'PV SUPPLY DATA'!$AG:$AG,$A$51,'PV SUPPLY DATA'!$Y:$Y,'CT capacity tracker'!O$1)+SUMIFS('ESS SUPPLY DATA'!$U:$U,'ESS SUPPLY DATA'!$AF:$AF,'CT capacity tracker'!$B64,'ESS SUPPLY DATA'!$AE:$AE,'CT capacity tracker'!$A$51,'ESS SUPPLY DATA'!$W:$W,'CT capacity tracker'!O$1)</f>
        <v>19</v>
      </c>
      <c r="P64" s="504">
        <f>SUMIFS('PV SUPPLY DATA'!$X:$X,'PV SUPPLY DATA'!$AH:$AH,'CT capacity tracker'!$B64,'PV SUPPLY DATA'!$AG:$AG,$A$51,'PV SUPPLY DATA'!$Y:$Y,'CT capacity tracker'!P$1)+SUMIFS('ESS SUPPLY DATA'!$U:$U,'ESS SUPPLY DATA'!$AF:$AF,'CT capacity tracker'!$B64,'ESS SUPPLY DATA'!$AE:$AE,'CT capacity tracker'!$A$51,'ESS SUPPLY DATA'!$W:$W,'CT capacity tracker'!P$1)</f>
        <v>17</v>
      </c>
      <c r="Q64" s="504">
        <f>SUMIFS('PV SUPPLY DATA'!$X:$X,'PV SUPPLY DATA'!$AH:$AH,'CT capacity tracker'!$B64,'PV SUPPLY DATA'!$AG:$AG,$A$51,'PV SUPPLY DATA'!$Y:$Y,'CT capacity tracker'!Q$1)+SUMIFS('ESS SUPPLY DATA'!$U:$U,'ESS SUPPLY DATA'!$AF:$AF,'CT capacity tracker'!$B64,'ESS SUPPLY DATA'!$AE:$AE,'CT capacity tracker'!$A$51,'ESS SUPPLY DATA'!$W:$W,'CT capacity tracker'!Q$1)</f>
        <v>9</v>
      </c>
      <c r="R64" s="504">
        <f>SUMIFS('PV SUPPLY DATA'!$X:$X,'PV SUPPLY DATA'!$AH:$AH,'CT capacity tracker'!$B64,'PV SUPPLY DATA'!$AG:$AG,$A$51,'PV SUPPLY DATA'!$Y:$Y,'CT capacity tracker'!R$1)+SUMIFS('ESS SUPPLY DATA'!$U:$U,'ESS SUPPLY DATA'!$AF:$AF,'CT capacity tracker'!$B64,'ESS SUPPLY DATA'!$AE:$AE,'CT capacity tracker'!$A$51,'ESS SUPPLY DATA'!$W:$W,'CT capacity tracker'!R$1)</f>
        <v>14</v>
      </c>
      <c r="S64" s="504">
        <f>SUMIFS('PV SUPPLY DATA'!$X:$X,'PV SUPPLY DATA'!$AH:$AH,'CT capacity tracker'!$B64,'PV SUPPLY DATA'!$AG:$AG,$A$51,'PV SUPPLY DATA'!$Y:$Y,'CT capacity tracker'!S$1,'PV SUPPLY DATA'!F:F,"&lt;&gt;FOB")+SUMIFS('ESS SUPPLY DATA'!$U:$U,'ESS SUPPLY DATA'!$AF:$AF,'CT capacity tracker'!$B64,'ESS SUPPLY DATA'!$AE:$AE,'CT capacity tracker'!$A$51,'ESS SUPPLY DATA'!$W:$W,'CT capacity tracker'!S$1)</f>
        <v>6</v>
      </c>
      <c r="T64" s="504">
        <f>SUMIFS('PV SUPPLY DATA'!$X:$X,'PV SUPPLY DATA'!$AH:$AH,'CT capacity tracker'!$B64,'PV SUPPLY DATA'!$AG:$AG,$A$51,'PV SUPPLY DATA'!$Y:$Y,'CT capacity tracker'!T$1,'PV SUPPLY DATA'!$G:$G,"&lt;&gt;FOB")+SUMIFS('ESS SUPPLY DATA'!$U:$U,'ESS SUPPLY DATA'!$AF:$AF,'CT capacity tracker'!$B64,'ESS SUPPLY DATA'!$AE:$AE,'CT capacity tracker'!$A$51,'ESS SUPPLY DATA'!$W:$W,'CT capacity tracker'!T$1)</f>
        <v>32</v>
      </c>
      <c r="U64" s="504">
        <f>SUMIFS('PV SUPPLY DATA'!$X:$X,'PV SUPPLY DATA'!$AH:$AH,'CT capacity tracker'!$B64,'PV SUPPLY DATA'!$AG:$AG,$A$51,'PV SUPPLY DATA'!$Y:$Y,'CT capacity tracker'!U$1,'PV SUPPLY DATA'!$G:$G,"&lt;&gt;FOB")+SUMIFS('ESS SUPPLY DATA'!$U:$U,'ESS SUPPLY DATA'!$AF:$AF,'CT capacity tracker'!$B64,'ESS SUPPLY DATA'!$AE:$AE,'CT capacity tracker'!$A$51,'ESS SUPPLY DATA'!$W:$W,'CT capacity tracker'!U$1)</f>
        <v>2</v>
      </c>
      <c r="V64" s="504">
        <f>SUMIFS('PV SUPPLY DATA'!$X:$X,'PV SUPPLY DATA'!$AH:$AH,'CT capacity tracker'!$B64,'PV SUPPLY DATA'!$AG:$AG,$A$51,'PV SUPPLY DATA'!$Y:$Y,'CT capacity tracker'!V$1,'PV SUPPLY DATA'!$G:$G,"&lt;&gt;FOB")+SUMIFS('ESS SUPPLY DATA'!$U:$U,'ESS SUPPLY DATA'!$AF:$AF,'CT capacity tracker'!$B64,'ESS SUPPLY DATA'!$AE:$AE,'CT capacity tracker'!$A$51,'ESS SUPPLY DATA'!$W:$W,'CT capacity tracker'!V$1)</f>
        <v>5</v>
      </c>
      <c r="W64" s="504">
        <f>SUMIFS('PV SUPPLY DATA'!$X:$X,'PV SUPPLY DATA'!$AH:$AH,'CT capacity tracker'!$B64,'PV SUPPLY DATA'!$AG:$AG,$A$51,'PV SUPPLY DATA'!$Y:$Y,'CT capacity tracker'!W$1,'PV SUPPLY DATA'!$G:$G,"&lt;&gt;FOB")+SUMIFS('ESS SUPPLY DATA'!$U:$U,'ESS SUPPLY DATA'!$AF:$AF,'CT capacity tracker'!$B64,'ESS SUPPLY DATA'!$AE:$AE,'CT capacity tracker'!$A$51,'ESS SUPPLY DATA'!$W:$W,'CT capacity tracker'!W$1)</f>
        <v>0</v>
      </c>
      <c r="X64" s="504">
        <f>SUMIFS('PV SUPPLY DATA'!$X:$X,'PV SUPPLY DATA'!$AH:$AH,'CT capacity tracker'!$B64,'PV SUPPLY DATA'!$AG:$AG,$A$51,'PV SUPPLY DATA'!$Y:$Y,'CT capacity tracker'!X$1,'PV SUPPLY DATA'!$G:$G,"&lt;&gt;FOB")+SUMIFS('ESS SUPPLY DATA'!$U:$U,'ESS SUPPLY DATA'!$AF:$AF,'CT capacity tracker'!$B64,'ESS SUPPLY DATA'!$AE:$AE,'CT capacity tracker'!$A$51,'ESS SUPPLY DATA'!$W:$W,'CT capacity tracker'!X$1)</f>
        <v>2</v>
      </c>
      <c r="Y64" s="504">
        <f>SUMIFS('PV SUPPLY DATA'!$X:$X,'PV SUPPLY DATA'!$AH:$AH,'CT capacity tracker'!$B64,'PV SUPPLY DATA'!$AG:$AG,$A$51,'PV SUPPLY DATA'!$Y:$Y,'CT capacity tracker'!Y$1,'PV SUPPLY DATA'!$G:$G,"&lt;&gt;FOB")+SUMIFS('ESS SUPPLY DATA'!$U:$U,'ESS SUPPLY DATA'!$AF:$AF,'CT capacity tracker'!$B64,'ESS SUPPLY DATA'!$AE:$AE,'CT capacity tracker'!$A$51,'ESS SUPPLY DATA'!$W:$W,'CT capacity tracker'!Y$1)</f>
        <v>8</v>
      </c>
      <c r="Z64" s="504">
        <f>SUMIFS('PV SUPPLY DATA'!$X:$X,'PV SUPPLY DATA'!$AH:$AH,'CT capacity tracker'!$B64,'PV SUPPLY DATA'!$AG:$AG,$A$51,'PV SUPPLY DATA'!$Y:$Y,'CT capacity tracker'!Z$1,'PV SUPPLY DATA'!$G:$G,"&lt;&gt;FOB")+SUMIFS('ESS SUPPLY DATA'!$U:$U,'ESS SUPPLY DATA'!$AF:$AF,'CT capacity tracker'!$B64,'ESS SUPPLY DATA'!$AE:$AE,'CT capacity tracker'!$A$51,'ESS SUPPLY DATA'!$W:$W,'CT capacity tracker'!Z$1)</f>
        <v>8</v>
      </c>
      <c r="AA64" s="504">
        <f>SUMIFS('PV SUPPLY DATA'!$X:$X,'PV SUPPLY DATA'!$AH:$AH,'CT capacity tracker'!$B64,'PV SUPPLY DATA'!$AG:$AG,$A$51,'PV SUPPLY DATA'!$Y:$Y,'CT capacity tracker'!AA$1,'PV SUPPLY DATA'!$G:$G,"&lt;&gt;FOB")+SUMIFS('ESS SUPPLY DATA'!$U:$U,'ESS SUPPLY DATA'!$AF:$AF,'CT capacity tracker'!$B64,'ESS SUPPLY DATA'!$AE:$AE,'CT capacity tracker'!$A$51,'ESS SUPPLY DATA'!$W:$W,'CT capacity tracker'!AA$1)</f>
        <v>9</v>
      </c>
      <c r="AB64" s="504">
        <f>SUMIFS('PV SUPPLY DATA'!$X:$X,'PV SUPPLY DATA'!$AH:$AH,'CT capacity tracker'!$B64,'PV SUPPLY DATA'!$AG:$AG,$A$51,'PV SUPPLY DATA'!$Y:$Y,'CT capacity tracker'!AB$1,'PV SUPPLY DATA'!$G:$G,"&lt;&gt;FOB")+SUMIFS('ESS SUPPLY DATA'!$U:$U,'ESS SUPPLY DATA'!$AF:$AF,'CT capacity tracker'!$B64,'ESS SUPPLY DATA'!$AE:$AE,'CT capacity tracker'!$A$51,'ESS SUPPLY DATA'!$W:$W,'CT capacity tracker'!AB$1)</f>
        <v>7</v>
      </c>
      <c r="AC64" s="504">
        <f>SUMIFS('PV SUPPLY DATA'!$X:$X,'PV SUPPLY DATA'!$AH:$AH,'CT capacity tracker'!$B64,'PV SUPPLY DATA'!$AG:$AG,$A$51,'PV SUPPLY DATA'!$Y:$Y,'CT capacity tracker'!AC$1,'PV SUPPLY DATA'!$G:$G,"&lt;&gt;FOB")+SUMIFS('ESS SUPPLY DATA'!$U:$U,'ESS SUPPLY DATA'!$AF:$AF,'CT capacity tracker'!$B64,'ESS SUPPLY DATA'!$AE:$AE,'CT capacity tracker'!$A$51,'ESS SUPPLY DATA'!$W:$W,'CT capacity tracker'!AC$1)</f>
        <v>8</v>
      </c>
      <c r="AD64" s="504">
        <f>SUMIFS('PV SUPPLY DATA'!$X:$X,'PV SUPPLY DATA'!$AH:$AH,'CT capacity tracker'!$B64,'PV SUPPLY DATA'!$AG:$AG,$A$51,'PV SUPPLY DATA'!$Y:$Y,'CT capacity tracker'!AD$1,'PV SUPPLY DATA'!$G:$G,"&lt;&gt;FOB")+SUMIFS('ESS SUPPLY DATA'!$U:$U,'ESS SUPPLY DATA'!$AF:$AF,'CT capacity tracker'!$B64,'ESS SUPPLY DATA'!$AE:$AE,'CT capacity tracker'!$A$51,'ESS SUPPLY DATA'!$W:$W,'CT capacity tracker'!AD$1)</f>
        <v>4</v>
      </c>
      <c r="AE64" s="504">
        <f>SUMIFS('PV SUPPLY DATA'!$X:$X,'PV SUPPLY DATA'!$AH:$AH,'CT capacity tracker'!$B64,'PV SUPPLY DATA'!$AG:$AG,$A$51,'PV SUPPLY DATA'!$Y:$Y,'CT capacity tracker'!AE$1,'PV SUPPLY DATA'!$G:$G,"&lt;&gt;FOB")+SUMIFS('ESS SUPPLY DATA'!$U:$U,'ESS SUPPLY DATA'!$AF:$AF,'CT capacity tracker'!$B64,'ESS SUPPLY DATA'!$AE:$AE,'CT capacity tracker'!$A$51,'ESS SUPPLY DATA'!$W:$W,'CT capacity tracker'!AE$1)</f>
        <v>4</v>
      </c>
      <c r="AF64" s="504">
        <f>SUMIFS('PV SUPPLY DATA'!$X:$X,'PV SUPPLY DATA'!$AH:$AH,'CT capacity tracker'!$B64,'PV SUPPLY DATA'!$AG:$AG,$A$51,'PV SUPPLY DATA'!$Y:$Y,'CT capacity tracker'!AF$1,'PV SUPPLY DATA'!$G:$G,"&lt;&gt;FOB")+SUMIFS('ESS SUPPLY DATA'!$U:$U,'ESS SUPPLY DATA'!$AF:$AF,'CT capacity tracker'!$B64,'ESS SUPPLY DATA'!$AE:$AE,'CT capacity tracker'!$A$51,'ESS SUPPLY DATA'!$W:$W,'CT capacity tracker'!AF$1)</f>
        <v>0</v>
      </c>
      <c r="AG64" s="504">
        <f>SUMIFS('PV SUPPLY DATA'!$X:$X,'PV SUPPLY DATA'!$AH:$AH,'CT capacity tracker'!$B64,'PV SUPPLY DATA'!$AG:$AG,$A$51,'PV SUPPLY DATA'!$Y:$Y,'CT capacity tracker'!AG$1,'PV SUPPLY DATA'!$G:$G,"&lt;&gt;FOB")+SUMIFS('ESS SUPPLY DATA'!$U:$U,'ESS SUPPLY DATA'!$AF:$AF,'CT capacity tracker'!$B64,'ESS SUPPLY DATA'!$AE:$AE,'CT capacity tracker'!$A$51,'ESS SUPPLY DATA'!$W:$W,'CT capacity tracker'!AG$1)</f>
        <v>0</v>
      </c>
      <c r="AH64" s="504">
        <f>SUMIFS('PV SUPPLY DATA'!$X:$X,'PV SUPPLY DATA'!$AH:$AH,'CT capacity tracker'!$B64,'PV SUPPLY DATA'!$AG:$AG,$A$51,'PV SUPPLY DATA'!$Y:$Y,'CT capacity tracker'!AH$1,'PV SUPPLY DATA'!$G:$G,"&lt;&gt;FOB")+SUMIFS('ESS SUPPLY DATA'!$U:$U,'ESS SUPPLY DATA'!$AF:$AF,'CT capacity tracker'!$B64,'ESS SUPPLY DATA'!$AE:$AE,'CT capacity tracker'!$A$51,'ESS SUPPLY DATA'!$W:$W,'CT capacity tracker'!AH$1)</f>
        <v>0</v>
      </c>
      <c r="AI64" s="504">
        <f>SUMIFS('PV SUPPLY DATA'!$X:$X,'PV SUPPLY DATA'!$AH:$AH,'CT capacity tracker'!$B64,'PV SUPPLY DATA'!$AG:$AG,$A$51,'PV SUPPLY DATA'!$Y:$Y,'CT capacity tracker'!AI$1,'PV SUPPLY DATA'!$G:$G,"&lt;&gt;FOB")+SUMIFS('ESS SUPPLY DATA'!$U:$U,'ESS SUPPLY DATA'!$AF:$AF,'CT capacity tracker'!$B64,'ESS SUPPLY DATA'!$AE:$AE,'CT capacity tracker'!$A$51,'ESS SUPPLY DATA'!$W:$W,'CT capacity tracker'!AI$1)</f>
        <v>0</v>
      </c>
      <c r="AJ64" s="504">
        <f>SUMIFS('PV SUPPLY DATA'!$X:$X,'PV SUPPLY DATA'!$AH:$AH,'CT capacity tracker'!$B64,'PV SUPPLY DATA'!$AG:$AG,$A$51,'PV SUPPLY DATA'!$Y:$Y,'CT capacity tracker'!AJ$1,'PV SUPPLY DATA'!$G:$G,"&lt;&gt;FOB")+SUMIFS('ESS SUPPLY DATA'!$U:$U,'ESS SUPPLY DATA'!$AF:$AF,'CT capacity tracker'!$B64,'ESS SUPPLY DATA'!$AE:$AE,'CT capacity tracker'!$A$51,'ESS SUPPLY DATA'!$W:$W,'CT capacity tracker'!AJ$1)</f>
        <v>0</v>
      </c>
      <c r="AK64" s="505" t="s">
        <v>197</v>
      </c>
      <c r="AL64" s="505" t="s">
        <v>197</v>
      </c>
      <c r="AM64" s="696">
        <f>SUM(E64:X64)</f>
        <v>196</v>
      </c>
      <c r="AN64" s="503" t="s">
        <v>197</v>
      </c>
      <c r="AO64" s="506"/>
      <c r="AP64" s="506">
        <f t="shared" si="3"/>
        <v>21</v>
      </c>
      <c r="AQ64" s="506"/>
      <c r="AR64" s="506"/>
      <c r="AS64" s="506"/>
      <c r="AT64" s="506"/>
    </row>
    <row r="65" spans="1:46" ht="13">
      <c r="A65" s="1517"/>
      <c r="B65" s="1517"/>
      <c r="C65" s="509" t="s">
        <v>4401</v>
      </c>
      <c r="D65" s="509"/>
      <c r="E65" s="510">
        <v>9</v>
      </c>
      <c r="F65" s="510">
        <v>5</v>
      </c>
      <c r="G65" s="510">
        <v>15</v>
      </c>
      <c r="H65" s="510">
        <v>6</v>
      </c>
      <c r="I65" s="510">
        <v>6</v>
      </c>
      <c r="J65" s="510"/>
      <c r="K65" s="510">
        <v>5</v>
      </c>
      <c r="L65" s="510"/>
      <c r="M65" s="510">
        <v>4</v>
      </c>
      <c r="N65" s="510">
        <f>8+11</f>
        <v>19</v>
      </c>
      <c r="O65" s="510">
        <v>8</v>
      </c>
      <c r="P65" s="510">
        <f>8+16</f>
        <v>24</v>
      </c>
      <c r="Q65" s="510">
        <f>8+17+14</f>
        <v>39</v>
      </c>
      <c r="R65" s="510">
        <f>8+1+2</f>
        <v>11</v>
      </c>
      <c r="S65" s="510">
        <f>8+3</f>
        <v>11</v>
      </c>
      <c r="T65" s="510">
        <v>8</v>
      </c>
      <c r="U65" s="510">
        <v>8</v>
      </c>
      <c r="V65" s="510">
        <v>8</v>
      </c>
      <c r="W65" s="510">
        <v>8</v>
      </c>
      <c r="X65" s="510">
        <v>8</v>
      </c>
      <c r="Y65" s="510">
        <v>8</v>
      </c>
      <c r="Z65" s="510">
        <v>8</v>
      </c>
      <c r="AA65" s="510">
        <v>2</v>
      </c>
      <c r="AB65" s="510">
        <v>0</v>
      </c>
      <c r="AC65" s="510">
        <v>8</v>
      </c>
      <c r="AD65" s="510">
        <v>8</v>
      </c>
      <c r="AE65" s="510">
        <v>8</v>
      </c>
      <c r="AF65" s="510">
        <v>8</v>
      </c>
      <c r="AG65" s="510">
        <v>8</v>
      </c>
      <c r="AH65" s="510">
        <v>8</v>
      </c>
      <c r="AI65" s="510">
        <v>8</v>
      </c>
      <c r="AJ65" s="510">
        <v>8</v>
      </c>
      <c r="AK65" s="505" t="s">
        <v>197</v>
      </c>
      <c r="AL65" s="505" t="s">
        <v>197</v>
      </c>
      <c r="AM65" s="696"/>
      <c r="AN65" s="503" t="s">
        <v>197</v>
      </c>
      <c r="AO65" s="506"/>
      <c r="AP65" s="506">
        <f t="shared" si="3"/>
        <v>27</v>
      </c>
      <c r="AQ65" s="506"/>
      <c r="AR65" s="506"/>
      <c r="AS65" s="506"/>
      <c r="AT65" s="506"/>
    </row>
    <row r="66" spans="1:46" ht="13">
      <c r="A66" s="1517"/>
      <c r="B66" s="1517"/>
      <c r="C66" s="520" t="s">
        <v>4402</v>
      </c>
      <c r="D66" s="522"/>
      <c r="E66" s="522">
        <f>E65-E64</f>
        <v>9</v>
      </c>
      <c r="F66" s="522">
        <f t="shared" ref="F66:X66" si="47">F65-F64</f>
        <v>5</v>
      </c>
      <c r="G66" s="522">
        <f t="shared" si="47"/>
        <v>0</v>
      </c>
      <c r="H66" s="522">
        <f t="shared" si="47"/>
        <v>5</v>
      </c>
      <c r="I66" s="522">
        <f t="shared" si="47"/>
        <v>1</v>
      </c>
      <c r="J66" s="522">
        <f t="shared" si="47"/>
        <v>0</v>
      </c>
      <c r="K66" s="522">
        <f t="shared" si="47"/>
        <v>-3</v>
      </c>
      <c r="L66" s="522">
        <f t="shared" si="47"/>
        <v>-8</v>
      </c>
      <c r="M66" s="522">
        <f t="shared" si="47"/>
        <v>-24</v>
      </c>
      <c r="N66" s="522">
        <f t="shared" si="47"/>
        <v>-6</v>
      </c>
      <c r="O66" s="522">
        <f t="shared" si="47"/>
        <v>-11</v>
      </c>
      <c r="P66" s="522">
        <f t="shared" si="47"/>
        <v>7</v>
      </c>
      <c r="Q66" s="522">
        <f t="shared" si="47"/>
        <v>30</v>
      </c>
      <c r="R66" s="522">
        <f t="shared" si="47"/>
        <v>-3</v>
      </c>
      <c r="S66" s="522">
        <f t="shared" si="47"/>
        <v>5</v>
      </c>
      <c r="T66" s="522">
        <f t="shared" si="47"/>
        <v>-24</v>
      </c>
      <c r="U66" s="522">
        <f t="shared" si="47"/>
        <v>6</v>
      </c>
      <c r="V66" s="522">
        <f t="shared" si="47"/>
        <v>3</v>
      </c>
      <c r="W66" s="522">
        <f t="shared" si="47"/>
        <v>8</v>
      </c>
      <c r="X66" s="522">
        <f t="shared" si="47"/>
        <v>6</v>
      </c>
      <c r="Y66" s="522">
        <f t="shared" ref="Y66:AJ66" si="48">Y65-Y64</f>
        <v>0</v>
      </c>
      <c r="Z66" s="522">
        <f t="shared" si="48"/>
        <v>0</v>
      </c>
      <c r="AA66" s="522">
        <f t="shared" si="48"/>
        <v>-7</v>
      </c>
      <c r="AB66" s="522">
        <f t="shared" si="48"/>
        <v>-7</v>
      </c>
      <c r="AC66" s="522">
        <f t="shared" si="48"/>
        <v>0</v>
      </c>
      <c r="AD66" s="522">
        <f t="shared" si="48"/>
        <v>4</v>
      </c>
      <c r="AE66" s="522">
        <f t="shared" si="48"/>
        <v>4</v>
      </c>
      <c r="AF66" s="522">
        <f t="shared" si="48"/>
        <v>8</v>
      </c>
      <c r="AG66" s="522">
        <f t="shared" si="48"/>
        <v>8</v>
      </c>
      <c r="AH66" s="522">
        <f t="shared" si="48"/>
        <v>8</v>
      </c>
      <c r="AI66" s="522">
        <f t="shared" si="48"/>
        <v>8</v>
      </c>
      <c r="AJ66" s="522">
        <f t="shared" si="48"/>
        <v>8</v>
      </c>
      <c r="AK66" s="511">
        <f>SUMIF($E66:$X66,"&gt;0")</f>
        <v>85</v>
      </c>
      <c r="AL66" s="511">
        <f>SUMIF($E66:$X66,"&lt;0")</f>
        <v>-79</v>
      </c>
      <c r="AM66" s="696"/>
      <c r="AN66" s="503" t="s">
        <v>197</v>
      </c>
      <c r="AO66" s="506"/>
      <c r="AP66" s="506">
        <f t="shared" si="3"/>
        <v>6</v>
      </c>
      <c r="AQ66" s="506"/>
      <c r="AR66" s="506"/>
      <c r="AS66" s="506"/>
      <c r="AT66" s="506"/>
    </row>
    <row r="67" spans="1:46" ht="13">
      <c r="A67" s="1517"/>
      <c r="B67" s="1518"/>
      <c r="C67" s="503" t="s">
        <v>4403</v>
      </c>
      <c r="D67" s="522"/>
      <c r="E67" s="504">
        <f>SUMIFS('PV SUPPLY DATA'!$X:$X,'PV SUPPLY DATA'!$AH:$AH,'CT capacity tracker'!$B64,'PV SUPPLY DATA'!$AG:$AG,'CT capacity tracker'!$A$51,'PV SUPPLY DATA'!$Y:$Y,E$1,'PV SUPPLY DATA'!$AQ:$AQ,"cosco")+SUMIFS('PV SUPPLY DATA'!$X:$X,'PV SUPPLY DATA'!$AH:$AH,'CT capacity tracker'!$B64,'PV SUPPLY DATA'!$AG:$AG,'CT capacity tracker'!$A$51,'PV SUPPLY DATA'!$Y:$Y,E$1,'PV SUPPLY DATA'!$AQ:$AQ,"other")+SUMIFS('ESS SUPPLY DATA'!$U:$U,'ESS SUPPLY DATA'!$AF:$AF,'CT capacity tracker'!$B64,'ESS SUPPLY DATA'!$AE:$AE,'CT capacity tracker'!$A$51,'ESS SUPPLY DATA'!$W:$W,'CT capacity tracker'!E$1,'ESS SUPPLY DATA'!$AO:$AO,"cosco")+SUMIFS('ESS SUPPLY DATA'!$U:$U,'ESS SUPPLY DATA'!$AF:$AF,'CT capacity tracker'!$B64,'ESS SUPPLY DATA'!$AE:$AE,'CT capacity tracker'!$A$51,'ESS SUPPLY DATA'!$W:$W,'CT capacity tracker'!E$1,'ESS SUPPLY DATA'!$AO:$AO,"other")</f>
        <v>0</v>
      </c>
      <c r="F67" s="504">
        <f>SUMIFS('PV SUPPLY DATA'!$X:$X,'PV SUPPLY DATA'!$AH:$AH,'CT capacity tracker'!$B64,'PV SUPPLY DATA'!$AG:$AG,'CT capacity tracker'!$A$51,'PV SUPPLY DATA'!$Y:$Y,F$1,'PV SUPPLY DATA'!$AQ:$AQ,"cosco")+SUMIFS('PV SUPPLY DATA'!$X:$X,'PV SUPPLY DATA'!$AH:$AH,'CT capacity tracker'!$B64,'PV SUPPLY DATA'!$AG:$AG,'CT capacity tracker'!$A$51,'PV SUPPLY DATA'!$Y:$Y,F$1,'PV SUPPLY DATA'!$AQ:$AQ,"other")+SUMIFS('ESS SUPPLY DATA'!$U:$U,'ESS SUPPLY DATA'!$AF:$AF,'CT capacity tracker'!$B64,'ESS SUPPLY DATA'!$AE:$AE,'CT capacity tracker'!$A$51,'ESS SUPPLY DATA'!$W:$W,'CT capacity tracker'!F$1,'ESS SUPPLY DATA'!$AO:$AO,"cosco")+SUMIFS('ESS SUPPLY DATA'!$U:$U,'ESS SUPPLY DATA'!$AF:$AF,'CT capacity tracker'!$B64,'ESS SUPPLY DATA'!$AE:$AE,'CT capacity tracker'!$A$51,'ESS SUPPLY DATA'!$W:$W,'CT capacity tracker'!F$1,'ESS SUPPLY DATA'!$AO:$AO,"other")</f>
        <v>0</v>
      </c>
      <c r="G67" s="504">
        <f>SUMIFS('PV SUPPLY DATA'!$X:$X,'PV SUPPLY DATA'!$AH:$AH,'CT capacity tracker'!$B64,'PV SUPPLY DATA'!$AG:$AG,'CT capacity tracker'!$A$51,'PV SUPPLY DATA'!$Y:$Y,G$1,'PV SUPPLY DATA'!$AQ:$AQ,"cosco")+SUMIFS('PV SUPPLY DATA'!$X:$X,'PV SUPPLY DATA'!$AH:$AH,'CT capacity tracker'!$B64,'PV SUPPLY DATA'!$AG:$AG,'CT capacity tracker'!$A$51,'PV SUPPLY DATA'!$Y:$Y,G$1,'PV SUPPLY DATA'!$AQ:$AQ,"other")+SUMIFS('ESS SUPPLY DATA'!$U:$U,'ESS SUPPLY DATA'!$AF:$AF,'CT capacity tracker'!$B64,'ESS SUPPLY DATA'!$AE:$AE,'CT capacity tracker'!$A$51,'ESS SUPPLY DATA'!$W:$W,'CT capacity tracker'!G$1,'ESS SUPPLY DATA'!$AO:$AO,"cosco")+SUMIFS('ESS SUPPLY DATA'!$U:$U,'ESS SUPPLY DATA'!$AF:$AF,'CT capacity tracker'!$B64,'ESS SUPPLY DATA'!$AE:$AE,'CT capacity tracker'!$A$51,'ESS SUPPLY DATA'!$W:$W,'CT capacity tracker'!G$1,'ESS SUPPLY DATA'!$AO:$AO,"other")</f>
        <v>15</v>
      </c>
      <c r="H67" s="504">
        <f>SUMIFS('PV SUPPLY DATA'!$X:$X,'PV SUPPLY DATA'!$AH:$AH,'CT capacity tracker'!$B64,'PV SUPPLY DATA'!$AG:$AG,'CT capacity tracker'!$A$51,'PV SUPPLY DATA'!$Y:$Y,H$1,'PV SUPPLY DATA'!$AQ:$AQ,"cosco")+SUMIFS('PV SUPPLY DATA'!$X:$X,'PV SUPPLY DATA'!$AH:$AH,'CT capacity tracker'!$B64,'PV SUPPLY DATA'!$AG:$AG,'CT capacity tracker'!$A$51,'PV SUPPLY DATA'!$Y:$Y,H$1,'PV SUPPLY DATA'!$AQ:$AQ,"other")+SUMIFS('ESS SUPPLY DATA'!$U:$U,'ESS SUPPLY DATA'!$AF:$AF,'CT capacity tracker'!$B64,'ESS SUPPLY DATA'!$AE:$AE,'CT capacity tracker'!$A$51,'ESS SUPPLY DATA'!$W:$W,'CT capacity tracker'!H$1,'ESS SUPPLY DATA'!$AO:$AO,"cosco")+SUMIFS('ESS SUPPLY DATA'!$U:$U,'ESS SUPPLY DATA'!$AF:$AF,'CT capacity tracker'!$B64,'ESS SUPPLY DATA'!$AE:$AE,'CT capacity tracker'!$A$51,'ESS SUPPLY DATA'!$W:$W,'CT capacity tracker'!H$1,'ESS SUPPLY DATA'!$AO:$AO,"other")</f>
        <v>1</v>
      </c>
      <c r="I67" s="504">
        <f>SUMIFS('PV SUPPLY DATA'!$X:$X,'PV SUPPLY DATA'!$AH:$AH,'CT capacity tracker'!$B64,'PV SUPPLY DATA'!$AG:$AG,'CT capacity tracker'!$A$51,'PV SUPPLY DATA'!$Y:$Y,I$1,'PV SUPPLY DATA'!$AQ:$AQ,"cosco")+SUMIFS('PV SUPPLY DATA'!$X:$X,'PV SUPPLY DATA'!$AH:$AH,'CT capacity tracker'!$B64,'PV SUPPLY DATA'!$AG:$AG,'CT capacity tracker'!$A$51,'PV SUPPLY DATA'!$Y:$Y,I$1,'PV SUPPLY DATA'!$AQ:$AQ,"other")+SUMIFS('ESS SUPPLY DATA'!$U:$U,'ESS SUPPLY DATA'!$AF:$AF,'CT capacity tracker'!$B64,'ESS SUPPLY DATA'!$AE:$AE,'CT capacity tracker'!$A$51,'ESS SUPPLY DATA'!$W:$W,'CT capacity tracker'!I$1,'ESS SUPPLY DATA'!$AO:$AO,"cosco")+SUMIFS('ESS SUPPLY DATA'!$U:$U,'ESS SUPPLY DATA'!$AF:$AF,'CT capacity tracker'!$B64,'ESS SUPPLY DATA'!$AE:$AE,'CT capacity tracker'!$A$51,'ESS SUPPLY DATA'!$W:$W,'CT capacity tracker'!I$1,'ESS SUPPLY DATA'!$AO:$AO,"other")</f>
        <v>5</v>
      </c>
      <c r="J67" s="504">
        <f>SUMIFS('PV SUPPLY DATA'!$X:$X,'PV SUPPLY DATA'!$AH:$AH,'CT capacity tracker'!$B64,'PV SUPPLY DATA'!$AG:$AG,'CT capacity tracker'!$A$51,'PV SUPPLY DATA'!$Y:$Y,J$1,'PV SUPPLY DATA'!$AQ:$AQ,"cosco")+SUMIFS('PV SUPPLY DATA'!$X:$X,'PV SUPPLY DATA'!$AH:$AH,'CT capacity tracker'!$B64,'PV SUPPLY DATA'!$AG:$AG,'CT capacity tracker'!$A$51,'PV SUPPLY DATA'!$Y:$Y,J$1,'PV SUPPLY DATA'!$AQ:$AQ,"other")+SUMIFS('ESS SUPPLY DATA'!$U:$U,'ESS SUPPLY DATA'!$AF:$AF,'CT capacity tracker'!$B64,'ESS SUPPLY DATA'!$AE:$AE,'CT capacity tracker'!$A$51,'ESS SUPPLY DATA'!$W:$W,'CT capacity tracker'!J$1,'ESS SUPPLY DATA'!$AO:$AO,"cosco")+SUMIFS('ESS SUPPLY DATA'!$U:$U,'ESS SUPPLY DATA'!$AF:$AF,'CT capacity tracker'!$B64,'ESS SUPPLY DATA'!$AE:$AE,'CT capacity tracker'!$A$51,'ESS SUPPLY DATA'!$W:$W,'CT capacity tracker'!J$1,'ESS SUPPLY DATA'!$AO:$AO,"other")</f>
        <v>0</v>
      </c>
      <c r="K67" s="504">
        <f>SUMIFS('PV SUPPLY DATA'!$X:$X,'PV SUPPLY DATA'!$AH:$AH,'CT capacity tracker'!$B64,'PV SUPPLY DATA'!$AG:$AG,'CT capacity tracker'!$A$51,'PV SUPPLY DATA'!$Y:$Y,K$1,'PV SUPPLY DATA'!$AQ:$AQ,"cosco")+SUMIFS('PV SUPPLY DATA'!$X:$X,'PV SUPPLY DATA'!$AH:$AH,'CT capacity tracker'!$B64,'PV SUPPLY DATA'!$AG:$AG,'CT capacity tracker'!$A$51,'PV SUPPLY DATA'!$Y:$Y,K$1,'PV SUPPLY DATA'!$AQ:$AQ,"other")+SUMIFS('ESS SUPPLY DATA'!$U:$U,'ESS SUPPLY DATA'!$AF:$AF,'CT capacity tracker'!$B64,'ESS SUPPLY DATA'!$AE:$AE,'CT capacity tracker'!$A$51,'ESS SUPPLY DATA'!$W:$W,'CT capacity tracker'!K$1,'ESS SUPPLY DATA'!$AO:$AO,"cosco")+SUMIFS('ESS SUPPLY DATA'!$U:$U,'ESS SUPPLY DATA'!$AF:$AF,'CT capacity tracker'!$B64,'ESS SUPPLY DATA'!$AE:$AE,'CT capacity tracker'!$A$51,'ESS SUPPLY DATA'!$W:$W,'CT capacity tracker'!K$1,'ESS SUPPLY DATA'!$AO:$AO,"other")</f>
        <v>8</v>
      </c>
      <c r="L67" s="504">
        <f>SUMIFS('PV SUPPLY DATA'!$X:$X,'PV SUPPLY DATA'!$AH:$AH,'CT capacity tracker'!$B64,'PV SUPPLY DATA'!$AG:$AG,'CT capacity tracker'!$A$51,'PV SUPPLY DATA'!$Y:$Y,L$1,'PV SUPPLY DATA'!$AQ:$AQ,"cosco")+SUMIFS('PV SUPPLY DATA'!$X:$X,'PV SUPPLY DATA'!$AH:$AH,'CT capacity tracker'!$B64,'PV SUPPLY DATA'!$AG:$AG,'CT capacity tracker'!$A$51,'PV SUPPLY DATA'!$Y:$Y,L$1,'PV SUPPLY DATA'!$AQ:$AQ,"other")+SUMIFS('ESS SUPPLY DATA'!$U:$U,'ESS SUPPLY DATA'!$AF:$AF,'CT capacity tracker'!$B64,'ESS SUPPLY DATA'!$AE:$AE,'CT capacity tracker'!$A$51,'ESS SUPPLY DATA'!$W:$W,'CT capacity tracker'!L$1,'ESS SUPPLY DATA'!$AO:$AO,"cosco")+SUMIFS('ESS SUPPLY DATA'!$U:$U,'ESS SUPPLY DATA'!$AF:$AF,'CT capacity tracker'!$B64,'ESS SUPPLY DATA'!$AE:$AE,'CT capacity tracker'!$A$51,'ESS SUPPLY DATA'!$W:$W,'CT capacity tracker'!L$1,'ESS SUPPLY DATA'!$AO:$AO,"other")</f>
        <v>8</v>
      </c>
      <c r="M67" s="504">
        <f>SUMIFS('PV SUPPLY DATA'!$X:$X,'PV SUPPLY DATA'!$AH:$AH,'CT capacity tracker'!$B64,'PV SUPPLY DATA'!$AG:$AG,'CT capacity tracker'!$A$51,'PV SUPPLY DATA'!$Y:$Y,M$1,'PV SUPPLY DATA'!$AQ:$AQ,"cosco")+SUMIFS('PV SUPPLY DATA'!$X:$X,'PV SUPPLY DATA'!$AH:$AH,'CT capacity tracker'!$B64,'PV SUPPLY DATA'!$AG:$AG,'CT capacity tracker'!$A$51,'PV SUPPLY DATA'!$Y:$Y,M$1,'PV SUPPLY DATA'!$AQ:$AQ,"other")+SUMIFS('ESS SUPPLY DATA'!$U:$U,'ESS SUPPLY DATA'!$AF:$AF,'CT capacity tracker'!$B64,'ESS SUPPLY DATA'!$AE:$AE,'CT capacity tracker'!$A$51,'ESS SUPPLY DATA'!$W:$W,'CT capacity tracker'!M$1,'ESS SUPPLY DATA'!$AO:$AO,"cosco")+SUMIFS('ESS SUPPLY DATA'!$U:$U,'ESS SUPPLY DATA'!$AF:$AF,'CT capacity tracker'!$B64,'ESS SUPPLY DATA'!$AE:$AE,'CT capacity tracker'!$A$51,'ESS SUPPLY DATA'!$W:$W,'CT capacity tracker'!M$1,'ESS SUPPLY DATA'!$AO:$AO,"other")</f>
        <v>28</v>
      </c>
      <c r="N67" s="504">
        <f>SUMIFS('PV SUPPLY DATA'!$X:$X,'PV SUPPLY DATA'!$AH:$AH,'CT capacity tracker'!$B64,'PV SUPPLY DATA'!$AG:$AG,'CT capacity tracker'!$A$51,'PV SUPPLY DATA'!$Y:$Y,N$1,'PV SUPPLY DATA'!$AQ:$AQ,"cosco")+SUMIFS('PV SUPPLY DATA'!$X:$X,'PV SUPPLY DATA'!$AH:$AH,'CT capacity tracker'!$B64,'PV SUPPLY DATA'!$AG:$AG,'CT capacity tracker'!$A$51,'PV SUPPLY DATA'!$Y:$Y,N$1,'PV SUPPLY DATA'!$AQ:$AQ,"other")+SUMIFS('ESS SUPPLY DATA'!$U:$U,'ESS SUPPLY DATA'!$AF:$AF,'CT capacity tracker'!$B64,'ESS SUPPLY DATA'!$AE:$AE,'CT capacity tracker'!$A$51,'ESS SUPPLY DATA'!$W:$W,'CT capacity tracker'!N$1,'ESS SUPPLY DATA'!$AO:$AO,"cosco")+SUMIFS('ESS SUPPLY DATA'!$U:$U,'ESS SUPPLY DATA'!$AF:$AF,'CT capacity tracker'!$B64,'ESS SUPPLY DATA'!$AE:$AE,'CT capacity tracker'!$A$51,'ESS SUPPLY DATA'!$W:$W,'CT capacity tracker'!N$1,'ESS SUPPLY DATA'!$AO:$AO,"other")</f>
        <v>25</v>
      </c>
      <c r="O67" s="504">
        <f>SUMIFS('PV SUPPLY DATA'!$X:$X,'PV SUPPLY DATA'!$AH:$AH,'CT capacity tracker'!$B64,'PV SUPPLY DATA'!$AG:$AG,'CT capacity tracker'!$A$51,'PV SUPPLY DATA'!$Y:$Y,O$1,'PV SUPPLY DATA'!$AQ:$AQ,"cosco")+SUMIFS('PV SUPPLY DATA'!$X:$X,'PV SUPPLY DATA'!$AH:$AH,'CT capacity tracker'!$B64,'PV SUPPLY DATA'!$AG:$AG,'CT capacity tracker'!$A$51,'PV SUPPLY DATA'!$Y:$Y,O$1,'PV SUPPLY DATA'!$AQ:$AQ,"other")+SUMIFS('ESS SUPPLY DATA'!$U:$U,'ESS SUPPLY DATA'!$AF:$AF,'CT capacity tracker'!$B64,'ESS SUPPLY DATA'!$AE:$AE,'CT capacity tracker'!$A$51,'ESS SUPPLY DATA'!$W:$W,'CT capacity tracker'!O$1,'ESS SUPPLY DATA'!$AO:$AO,"cosco")+SUMIFS('ESS SUPPLY DATA'!$U:$U,'ESS SUPPLY DATA'!$AF:$AF,'CT capacity tracker'!$B64,'ESS SUPPLY DATA'!$AE:$AE,'CT capacity tracker'!$A$51,'ESS SUPPLY DATA'!$W:$W,'CT capacity tracker'!O$1,'ESS SUPPLY DATA'!$AO:$AO,"other")</f>
        <v>19</v>
      </c>
      <c r="P67" s="504">
        <f>SUMIFS('PV SUPPLY DATA'!$X:$X,'PV SUPPLY DATA'!$AH:$AH,'CT capacity tracker'!$B64,'PV SUPPLY DATA'!$AG:$AG,'CT capacity tracker'!$A$51,'PV SUPPLY DATA'!$Y:$Y,P$1,'PV SUPPLY DATA'!$AQ:$AQ,"cosco")+SUMIFS('PV SUPPLY DATA'!$X:$X,'PV SUPPLY DATA'!$AH:$AH,'CT capacity tracker'!$B64,'PV SUPPLY DATA'!$AG:$AG,'CT capacity tracker'!$A$51,'PV SUPPLY DATA'!$Y:$Y,P$1,'PV SUPPLY DATA'!$AQ:$AQ,"other")+SUMIFS('ESS SUPPLY DATA'!$U:$U,'ESS SUPPLY DATA'!$AF:$AF,'CT capacity tracker'!$B64,'ESS SUPPLY DATA'!$AE:$AE,'CT capacity tracker'!$A$51,'ESS SUPPLY DATA'!$W:$W,'CT capacity tracker'!P$1,'ESS SUPPLY DATA'!$AO:$AO,"cosco")+SUMIFS('ESS SUPPLY DATA'!$U:$U,'ESS SUPPLY DATA'!$AF:$AF,'CT capacity tracker'!$B64,'ESS SUPPLY DATA'!$AE:$AE,'CT capacity tracker'!$A$51,'ESS SUPPLY DATA'!$W:$W,'CT capacity tracker'!P$1,'ESS SUPPLY DATA'!$AO:$AO,"other")</f>
        <v>17</v>
      </c>
      <c r="Q67" s="504">
        <f>SUMIFS('PV SUPPLY DATA'!$X:$X,'PV SUPPLY DATA'!$AH:$AH,'CT capacity tracker'!$B64,'PV SUPPLY DATA'!$AG:$AG,'CT capacity tracker'!$A$51,'PV SUPPLY DATA'!$Y:$Y,Q$1,'PV SUPPLY DATA'!$AQ:$AQ,"cosco")+SUMIFS('PV SUPPLY DATA'!$X:$X,'PV SUPPLY DATA'!$AH:$AH,'CT capacity tracker'!$B64,'PV SUPPLY DATA'!$AG:$AG,'CT capacity tracker'!$A$51,'PV SUPPLY DATA'!$Y:$Y,Q$1,'PV SUPPLY DATA'!$AQ:$AQ,"other")+SUMIFS('ESS SUPPLY DATA'!$U:$U,'ESS SUPPLY DATA'!$AF:$AF,'CT capacity tracker'!$B64,'ESS SUPPLY DATA'!$AE:$AE,'CT capacity tracker'!$A$51,'ESS SUPPLY DATA'!$W:$W,'CT capacity tracker'!Q$1,'ESS SUPPLY DATA'!$AO:$AO,"cosco")+SUMIFS('ESS SUPPLY DATA'!$U:$U,'ESS SUPPLY DATA'!$AF:$AF,'CT capacity tracker'!$B64,'ESS SUPPLY DATA'!$AE:$AE,'CT capacity tracker'!$A$51,'ESS SUPPLY DATA'!$W:$W,'CT capacity tracker'!Q$1,'ESS SUPPLY DATA'!$AO:$AO,"other")</f>
        <v>9</v>
      </c>
      <c r="R67" s="504">
        <f>SUMIFS('PV SUPPLY DATA'!$X:$X,'PV SUPPLY DATA'!$AH:$AH,'CT capacity tracker'!$B64,'PV SUPPLY DATA'!$AG:$AG,'CT capacity tracker'!$A$51,'PV SUPPLY DATA'!$Y:$Y,R$1,'PV SUPPLY DATA'!$AQ:$AQ,"cosco")+SUMIFS('PV SUPPLY DATA'!$X:$X,'PV SUPPLY DATA'!$AH:$AH,'CT capacity tracker'!$B64,'PV SUPPLY DATA'!$AG:$AG,'CT capacity tracker'!$A$51,'PV SUPPLY DATA'!$Y:$Y,R$1,'PV SUPPLY DATA'!$AQ:$AQ,"other")+SUMIFS('ESS SUPPLY DATA'!$U:$U,'ESS SUPPLY DATA'!$AF:$AF,'CT capacity tracker'!$B64,'ESS SUPPLY DATA'!$AE:$AE,'CT capacity tracker'!$A$51,'ESS SUPPLY DATA'!$W:$W,'CT capacity tracker'!R$1,'ESS SUPPLY DATA'!$AO:$AO,"cosco")+SUMIFS('ESS SUPPLY DATA'!$U:$U,'ESS SUPPLY DATA'!$AF:$AF,'CT capacity tracker'!$B64,'ESS SUPPLY DATA'!$AE:$AE,'CT capacity tracker'!$A$51,'ESS SUPPLY DATA'!$W:$W,'CT capacity tracker'!R$1,'ESS SUPPLY DATA'!$AO:$AO,"other")</f>
        <v>14</v>
      </c>
      <c r="S67" s="504">
        <f>SUMIFS('PV SUPPLY DATA'!$X:$X,'PV SUPPLY DATA'!$AH:$AH,'CT capacity tracker'!$B64,'PV SUPPLY DATA'!$AG:$AG,'CT capacity tracker'!$A$51,'PV SUPPLY DATA'!$Y:$Y,S$1,'PV SUPPLY DATA'!$AQ:$AQ,"cosco")+SUMIFS('PV SUPPLY DATA'!$X:$X,'PV SUPPLY DATA'!$AH:$AH,'CT capacity tracker'!$B64,'PV SUPPLY DATA'!$AG:$AG,'CT capacity tracker'!$A$51,'PV SUPPLY DATA'!$Y:$Y,S$1,'PV SUPPLY DATA'!$AQ:$AQ,"other")+SUMIFS('ESS SUPPLY DATA'!$U:$U,'ESS SUPPLY DATA'!$AF:$AF,'CT capacity tracker'!$B64,'ESS SUPPLY DATA'!$AE:$AE,'CT capacity tracker'!$A$51,'ESS SUPPLY DATA'!$W:$W,'CT capacity tracker'!S$1,'ESS SUPPLY DATA'!$AO:$AO,"cosco")+SUMIFS('ESS SUPPLY DATA'!$U:$U,'ESS SUPPLY DATA'!$AF:$AF,'CT capacity tracker'!$B64,'ESS SUPPLY DATA'!$AE:$AE,'CT capacity tracker'!$A$51,'ESS SUPPLY DATA'!$W:$W,'CT capacity tracker'!S$1,'ESS SUPPLY DATA'!$AO:$AO,"other")</f>
        <v>6</v>
      </c>
      <c r="T67" s="504">
        <f>SUMIFS('PV SUPPLY DATA'!$X:$X,'PV SUPPLY DATA'!$AH:$AH,'CT capacity tracker'!$B64,'PV SUPPLY DATA'!$AG:$AG,'CT capacity tracker'!$A$51,'PV SUPPLY DATA'!$Y:$Y,T$1,'PV SUPPLY DATA'!$AQ:$AQ,"cosco",'PV SUPPLY DATA'!$G:$G,"&lt;&gt;FOB")+SUMIFS('PV SUPPLY DATA'!$X:$X,'PV SUPPLY DATA'!$AH:$AH,'CT capacity tracker'!$B64,'PV SUPPLY DATA'!$AG:$AG,'CT capacity tracker'!$A$51,'PV SUPPLY DATA'!$Y:$Y,T$1,'PV SUPPLY DATA'!$AQ:$AQ,"other",'PV SUPPLY DATA'!$G:$G,"&lt;&gt;FOB")+SUMIFS('ESS SUPPLY DATA'!$U:$U,'ESS SUPPLY DATA'!$AF:$AF,'CT capacity tracker'!$B64,'ESS SUPPLY DATA'!$AE:$AE,'CT capacity tracker'!$A$51,'ESS SUPPLY DATA'!$W:$W,'CT capacity tracker'!T$1,'ESS SUPPLY DATA'!$AO:$AO,"cosco")+SUMIFS('ESS SUPPLY DATA'!$U:$U,'ESS SUPPLY DATA'!$AF:$AF,'CT capacity tracker'!$B64,'ESS SUPPLY DATA'!$AE:$AE,'CT capacity tracker'!$A$51,'ESS SUPPLY DATA'!$W:$W,'CT capacity tracker'!T$1,'ESS SUPPLY DATA'!$AO:$AO,"other")</f>
        <v>32</v>
      </c>
      <c r="U67" s="504">
        <f>SUMIFS('PV SUPPLY DATA'!$X:$X,'PV SUPPLY DATA'!$AH:$AH,'CT capacity tracker'!$B64,'PV SUPPLY DATA'!$AG:$AG,'CT capacity tracker'!$A$51,'PV SUPPLY DATA'!$Y:$Y,U$1,'PV SUPPLY DATA'!$AQ:$AQ,"cosco",'PV SUPPLY DATA'!$G:$G,"&lt;&gt;FOB")+SUMIFS('PV SUPPLY DATA'!$X:$X,'PV SUPPLY DATA'!$AH:$AH,'CT capacity tracker'!$B64,'PV SUPPLY DATA'!$AG:$AG,'CT capacity tracker'!$A$51,'PV SUPPLY DATA'!$Y:$Y,U$1,'PV SUPPLY DATA'!$AQ:$AQ,"other",'PV SUPPLY DATA'!$G:$G,"&lt;&gt;FOB")+SUMIFS('ESS SUPPLY DATA'!$U:$U,'ESS SUPPLY DATA'!$AF:$AF,'CT capacity tracker'!$B64,'ESS SUPPLY DATA'!$AE:$AE,'CT capacity tracker'!$A$51,'ESS SUPPLY DATA'!$W:$W,'CT capacity tracker'!U$1,'ESS SUPPLY DATA'!$AO:$AO,"cosco")+SUMIFS('ESS SUPPLY DATA'!$U:$U,'ESS SUPPLY DATA'!$AF:$AF,'CT capacity tracker'!$B64,'ESS SUPPLY DATA'!$AE:$AE,'CT capacity tracker'!$A$51,'ESS SUPPLY DATA'!$W:$W,'CT capacity tracker'!U$1,'ESS SUPPLY DATA'!$AO:$AO,"other")</f>
        <v>2</v>
      </c>
      <c r="V67" s="504">
        <f>SUMIFS('PV SUPPLY DATA'!$X:$X,'PV SUPPLY DATA'!$AH:$AH,'CT capacity tracker'!$B64,'PV SUPPLY DATA'!$AG:$AG,'CT capacity tracker'!$A$51,'PV SUPPLY DATA'!$Y:$Y,V$1,'PV SUPPLY DATA'!$AQ:$AQ,"cosco",'PV SUPPLY DATA'!$G:$G,"&lt;&gt;FOB")+SUMIFS('PV SUPPLY DATA'!$X:$X,'PV SUPPLY DATA'!$AH:$AH,'CT capacity tracker'!$B64,'PV SUPPLY DATA'!$AG:$AG,'CT capacity tracker'!$A$51,'PV SUPPLY DATA'!$Y:$Y,V$1,'PV SUPPLY DATA'!$AQ:$AQ,"other",'PV SUPPLY DATA'!$G:$G,"&lt;&gt;FOB")+SUMIFS('ESS SUPPLY DATA'!$U:$U,'ESS SUPPLY DATA'!$AF:$AF,'CT capacity tracker'!$B64,'ESS SUPPLY DATA'!$AE:$AE,'CT capacity tracker'!$A$51,'ESS SUPPLY DATA'!$W:$W,'CT capacity tracker'!V$1,'ESS SUPPLY DATA'!$AO:$AO,"cosco")+SUMIFS('ESS SUPPLY DATA'!$U:$U,'ESS SUPPLY DATA'!$AF:$AF,'CT capacity tracker'!$B64,'ESS SUPPLY DATA'!$AE:$AE,'CT capacity tracker'!$A$51,'ESS SUPPLY DATA'!$W:$W,'CT capacity tracker'!V$1,'ESS SUPPLY DATA'!$AO:$AO,"other")</f>
        <v>5</v>
      </c>
      <c r="W67" s="504">
        <f>SUMIFS('PV SUPPLY DATA'!$X:$X,'PV SUPPLY DATA'!$AH:$AH,'CT capacity tracker'!$B64,'PV SUPPLY DATA'!$AG:$AG,'CT capacity tracker'!$A$51,'PV SUPPLY DATA'!$Y:$Y,W$1,'PV SUPPLY DATA'!$AQ:$AQ,"cosco",'PV SUPPLY DATA'!$G:$G,"&lt;&gt;FOB")+SUMIFS('PV SUPPLY DATA'!$X:$X,'PV SUPPLY DATA'!$AH:$AH,'CT capacity tracker'!$B64,'PV SUPPLY DATA'!$AG:$AG,'CT capacity tracker'!$A$51,'PV SUPPLY DATA'!$Y:$Y,W$1,'PV SUPPLY DATA'!$AQ:$AQ,"other",'PV SUPPLY DATA'!$G:$G,"&lt;&gt;FOB")+SUMIFS('ESS SUPPLY DATA'!$U:$U,'ESS SUPPLY DATA'!$AF:$AF,'CT capacity tracker'!$B64,'ESS SUPPLY DATA'!$AE:$AE,'CT capacity tracker'!$A$51,'ESS SUPPLY DATA'!$W:$W,'CT capacity tracker'!W$1,'ESS SUPPLY DATA'!$AO:$AO,"cosco")+SUMIFS('ESS SUPPLY DATA'!$U:$U,'ESS SUPPLY DATA'!$AF:$AF,'CT capacity tracker'!$B64,'ESS SUPPLY DATA'!$AE:$AE,'CT capacity tracker'!$A$51,'ESS SUPPLY DATA'!$W:$W,'CT capacity tracker'!W$1,'ESS SUPPLY DATA'!$AO:$AO,"other")</f>
        <v>0</v>
      </c>
      <c r="X67" s="504">
        <f>SUMIFS('PV SUPPLY DATA'!$X:$X,'PV SUPPLY DATA'!$AH:$AH,'CT capacity tracker'!$B64,'PV SUPPLY DATA'!$AG:$AG,'CT capacity tracker'!$A$51,'PV SUPPLY DATA'!$Y:$Y,X$1,'PV SUPPLY DATA'!$AQ:$AQ,"cosco",'PV SUPPLY DATA'!$G:$G,"&lt;&gt;FOB")+SUMIFS('PV SUPPLY DATA'!$X:$X,'PV SUPPLY DATA'!$AH:$AH,'CT capacity tracker'!$B64,'PV SUPPLY DATA'!$AG:$AG,'CT capacity tracker'!$A$51,'PV SUPPLY DATA'!$Y:$Y,X$1,'PV SUPPLY DATA'!$AQ:$AQ,"other",'PV SUPPLY DATA'!$G:$G,"&lt;&gt;FOB")+SUMIFS('ESS SUPPLY DATA'!$U:$U,'ESS SUPPLY DATA'!$AF:$AF,'CT capacity tracker'!$B64,'ESS SUPPLY DATA'!$AE:$AE,'CT capacity tracker'!$A$51,'ESS SUPPLY DATA'!$W:$W,'CT capacity tracker'!X$1,'ESS SUPPLY DATA'!$AO:$AO,"cosco")+SUMIFS('ESS SUPPLY DATA'!$U:$U,'ESS SUPPLY DATA'!$AF:$AF,'CT capacity tracker'!$B64,'ESS SUPPLY DATA'!$AE:$AE,'CT capacity tracker'!$A$51,'ESS SUPPLY DATA'!$W:$W,'CT capacity tracker'!X$1,'ESS SUPPLY DATA'!$AO:$AO,"other")</f>
        <v>2</v>
      </c>
      <c r="Y67" s="504">
        <f>SUMIFS('PV SUPPLY DATA'!$X:$X,'PV SUPPLY DATA'!$AH:$AH,'CT capacity tracker'!$B64,'PV SUPPLY DATA'!$AG:$AG,'CT capacity tracker'!$A$51,'PV SUPPLY DATA'!$Y:$Y,Y$1,'PV SUPPLY DATA'!$AQ:$AQ,"cosco",'PV SUPPLY DATA'!$G:$G,"&lt;&gt;FOB")+SUMIFS('PV SUPPLY DATA'!$X:$X,'PV SUPPLY DATA'!$AH:$AH,'CT capacity tracker'!$B64,'PV SUPPLY DATA'!$AG:$AG,'CT capacity tracker'!$A$51,'PV SUPPLY DATA'!$Y:$Y,Y$1,'PV SUPPLY DATA'!$AQ:$AQ,"other",'PV SUPPLY DATA'!$G:$G,"&lt;&gt;FOB")+SUMIFS('ESS SUPPLY DATA'!$U:$U,'ESS SUPPLY DATA'!$AF:$AF,'CT capacity tracker'!$B64,'ESS SUPPLY DATA'!$AE:$AE,'CT capacity tracker'!$A$51,'ESS SUPPLY DATA'!$W:$W,'CT capacity tracker'!Y$1,'ESS SUPPLY DATA'!$AO:$AO,"cosco")+SUMIFS('ESS SUPPLY DATA'!$U:$U,'ESS SUPPLY DATA'!$AF:$AF,'CT capacity tracker'!$B64,'ESS SUPPLY DATA'!$AE:$AE,'CT capacity tracker'!$A$51,'ESS SUPPLY DATA'!$W:$W,'CT capacity tracker'!Y$1,'ESS SUPPLY DATA'!$AO:$AO,"other")</f>
        <v>8</v>
      </c>
      <c r="Z67" s="504">
        <f>SUMIFS('PV SUPPLY DATA'!$X:$X,'PV SUPPLY DATA'!$AH:$AH,'CT capacity tracker'!$B64,'PV SUPPLY DATA'!$AG:$AG,'CT capacity tracker'!$A$51,'PV SUPPLY DATA'!$Y:$Y,Z$1,'PV SUPPLY DATA'!$AQ:$AQ,"cosco",'PV SUPPLY DATA'!$G:$G,"&lt;&gt;FOB")+SUMIFS('PV SUPPLY DATA'!$X:$X,'PV SUPPLY DATA'!$AH:$AH,'CT capacity tracker'!$B64,'PV SUPPLY DATA'!$AG:$AG,'CT capacity tracker'!$A$51,'PV SUPPLY DATA'!$Y:$Y,Z$1,'PV SUPPLY DATA'!$AQ:$AQ,"other",'PV SUPPLY DATA'!$G:$G,"&lt;&gt;FOB")+SUMIFS('ESS SUPPLY DATA'!$U:$U,'ESS SUPPLY DATA'!$AF:$AF,'CT capacity tracker'!$B64,'ESS SUPPLY DATA'!$AE:$AE,'CT capacity tracker'!$A$51,'ESS SUPPLY DATA'!$W:$W,'CT capacity tracker'!Z$1,'ESS SUPPLY DATA'!$AO:$AO,"cosco")+SUMIFS('ESS SUPPLY DATA'!$U:$U,'ESS SUPPLY DATA'!$AF:$AF,'CT capacity tracker'!$B64,'ESS SUPPLY DATA'!$AE:$AE,'CT capacity tracker'!$A$51,'ESS SUPPLY DATA'!$W:$W,'CT capacity tracker'!Z$1,'ESS SUPPLY DATA'!$AO:$AO,"other")</f>
        <v>8</v>
      </c>
      <c r="AA67" s="504">
        <f>SUMIFS('PV SUPPLY DATA'!$X:$X,'PV SUPPLY DATA'!$AH:$AH,'CT capacity tracker'!$B64,'PV SUPPLY DATA'!$AG:$AG,'CT capacity tracker'!$A$51,'PV SUPPLY DATA'!$Y:$Y,AA$1,'PV SUPPLY DATA'!$AQ:$AQ,"cosco",'PV SUPPLY DATA'!$G:$G,"&lt;&gt;FOB")+SUMIFS('PV SUPPLY DATA'!$X:$X,'PV SUPPLY DATA'!$AH:$AH,'CT capacity tracker'!$B64,'PV SUPPLY DATA'!$AG:$AG,'CT capacity tracker'!$A$51,'PV SUPPLY DATA'!$Y:$Y,AA$1,'PV SUPPLY DATA'!$AQ:$AQ,"other",'PV SUPPLY DATA'!$G:$G,"&lt;&gt;FOB")+SUMIFS('ESS SUPPLY DATA'!$U:$U,'ESS SUPPLY DATA'!$AF:$AF,'CT capacity tracker'!$B64,'ESS SUPPLY DATA'!$AE:$AE,'CT capacity tracker'!$A$51,'ESS SUPPLY DATA'!$W:$W,'CT capacity tracker'!AA$1,'ESS SUPPLY DATA'!$AO:$AO,"cosco")+SUMIFS('ESS SUPPLY DATA'!$U:$U,'ESS SUPPLY DATA'!$AF:$AF,'CT capacity tracker'!$B64,'ESS SUPPLY DATA'!$AE:$AE,'CT capacity tracker'!$A$51,'ESS SUPPLY DATA'!$W:$W,'CT capacity tracker'!AA$1,'ESS SUPPLY DATA'!$AO:$AO,"other")</f>
        <v>9</v>
      </c>
      <c r="AB67" s="504">
        <f>SUMIFS('PV SUPPLY DATA'!$X:$X,'PV SUPPLY DATA'!$AH:$AH,'CT capacity tracker'!$B64,'PV SUPPLY DATA'!$AG:$AG,'CT capacity tracker'!$A$51,'PV SUPPLY DATA'!$Y:$Y,AB$1,'PV SUPPLY DATA'!$AQ:$AQ,"cosco",'PV SUPPLY DATA'!$G:$G,"&lt;&gt;FOB")+SUMIFS('PV SUPPLY DATA'!$X:$X,'PV SUPPLY DATA'!$AH:$AH,'CT capacity tracker'!$B64,'PV SUPPLY DATA'!$AG:$AG,'CT capacity tracker'!$A$51,'PV SUPPLY DATA'!$Y:$Y,AB$1,'PV SUPPLY DATA'!$AQ:$AQ,"other",'PV SUPPLY DATA'!$G:$G,"&lt;&gt;FOB")+SUMIFS('ESS SUPPLY DATA'!$U:$U,'ESS SUPPLY DATA'!$AF:$AF,'CT capacity tracker'!$B64,'ESS SUPPLY DATA'!$AE:$AE,'CT capacity tracker'!$A$51,'ESS SUPPLY DATA'!$W:$W,'CT capacity tracker'!AB$1,'ESS SUPPLY DATA'!$AO:$AO,"cosco")+SUMIFS('ESS SUPPLY DATA'!$U:$U,'ESS SUPPLY DATA'!$AF:$AF,'CT capacity tracker'!$B64,'ESS SUPPLY DATA'!$AE:$AE,'CT capacity tracker'!$A$51,'ESS SUPPLY DATA'!$W:$W,'CT capacity tracker'!AB$1,'ESS SUPPLY DATA'!$AO:$AO,"other")</f>
        <v>0</v>
      </c>
      <c r="AC67" s="504">
        <f>SUMIFS('PV SUPPLY DATA'!$X:$X,'PV SUPPLY DATA'!$AH:$AH,'CT capacity tracker'!$B64,'PV SUPPLY DATA'!$AG:$AG,'CT capacity tracker'!$A$51,'PV SUPPLY DATA'!$Y:$Y,AC$1,'PV SUPPLY DATA'!$AQ:$AQ,"cosco",'PV SUPPLY DATA'!$G:$G,"&lt;&gt;FOB")+SUMIFS('PV SUPPLY DATA'!$X:$X,'PV SUPPLY DATA'!$AH:$AH,'CT capacity tracker'!$B64,'PV SUPPLY DATA'!$AG:$AG,'CT capacity tracker'!$A$51,'PV SUPPLY DATA'!$Y:$Y,AC$1,'PV SUPPLY DATA'!$AQ:$AQ,"other",'PV SUPPLY DATA'!$G:$G,"&lt;&gt;FOB")+SUMIFS('ESS SUPPLY DATA'!$U:$U,'ESS SUPPLY DATA'!$AF:$AF,'CT capacity tracker'!$B64,'ESS SUPPLY DATA'!$AE:$AE,'CT capacity tracker'!$A$51,'ESS SUPPLY DATA'!$W:$W,'CT capacity tracker'!AC$1,'ESS SUPPLY DATA'!$AO:$AO,"cosco")+SUMIFS('ESS SUPPLY DATA'!$U:$U,'ESS SUPPLY DATA'!$AF:$AF,'CT capacity tracker'!$B64,'ESS SUPPLY DATA'!$AE:$AE,'CT capacity tracker'!$A$51,'ESS SUPPLY DATA'!$W:$W,'CT capacity tracker'!AC$1,'ESS SUPPLY DATA'!$AO:$AO,"other")</f>
        <v>0</v>
      </c>
      <c r="AD67" s="504">
        <f>SUMIFS('PV SUPPLY DATA'!$X:$X,'PV SUPPLY DATA'!$AH:$AH,'CT capacity tracker'!$B64,'PV SUPPLY DATA'!$AG:$AG,'CT capacity tracker'!$A$51,'PV SUPPLY DATA'!$Y:$Y,AD$1,'PV SUPPLY DATA'!$AQ:$AQ,"cosco",'PV SUPPLY DATA'!$G:$G,"&lt;&gt;FOB")+SUMIFS('PV SUPPLY DATA'!$X:$X,'PV SUPPLY DATA'!$AH:$AH,'CT capacity tracker'!$B64,'PV SUPPLY DATA'!$AG:$AG,'CT capacity tracker'!$A$51,'PV SUPPLY DATA'!$Y:$Y,AD$1,'PV SUPPLY DATA'!$AQ:$AQ,"other",'PV SUPPLY DATA'!$G:$G,"&lt;&gt;FOB")+SUMIFS('ESS SUPPLY DATA'!$U:$U,'ESS SUPPLY DATA'!$AF:$AF,'CT capacity tracker'!$B64,'ESS SUPPLY DATA'!$AE:$AE,'CT capacity tracker'!$A$51,'ESS SUPPLY DATA'!$W:$W,'CT capacity tracker'!AD$1,'ESS SUPPLY DATA'!$AO:$AO,"cosco")+SUMIFS('ESS SUPPLY DATA'!$U:$U,'ESS SUPPLY DATA'!$AF:$AF,'CT capacity tracker'!$B64,'ESS SUPPLY DATA'!$AE:$AE,'CT capacity tracker'!$A$51,'ESS SUPPLY DATA'!$W:$W,'CT capacity tracker'!AD$1,'ESS SUPPLY DATA'!$AO:$AO,"other")</f>
        <v>0</v>
      </c>
      <c r="AE67" s="504">
        <f>SUMIFS('PV SUPPLY DATA'!$X:$X,'PV SUPPLY DATA'!$AH:$AH,'CT capacity tracker'!$B64,'PV SUPPLY DATA'!$AG:$AG,'CT capacity tracker'!$A$51,'PV SUPPLY DATA'!$Y:$Y,AE$1,'PV SUPPLY DATA'!$AQ:$AQ,"cosco",'PV SUPPLY DATA'!$G:$G,"&lt;&gt;FOB")+SUMIFS('PV SUPPLY DATA'!$X:$X,'PV SUPPLY DATA'!$AH:$AH,'CT capacity tracker'!$B64,'PV SUPPLY DATA'!$AG:$AG,'CT capacity tracker'!$A$51,'PV SUPPLY DATA'!$Y:$Y,AE$1,'PV SUPPLY DATA'!$AQ:$AQ,"other",'PV SUPPLY DATA'!$G:$G,"&lt;&gt;FOB")+SUMIFS('ESS SUPPLY DATA'!$U:$U,'ESS SUPPLY DATA'!$AF:$AF,'CT capacity tracker'!$B64,'ESS SUPPLY DATA'!$AE:$AE,'CT capacity tracker'!$A$51,'ESS SUPPLY DATA'!$W:$W,'CT capacity tracker'!AE$1,'ESS SUPPLY DATA'!$AO:$AO,"cosco")+SUMIFS('ESS SUPPLY DATA'!$U:$U,'ESS SUPPLY DATA'!$AF:$AF,'CT capacity tracker'!$B64,'ESS SUPPLY DATA'!$AE:$AE,'CT capacity tracker'!$A$51,'ESS SUPPLY DATA'!$W:$W,'CT capacity tracker'!AE$1,'ESS SUPPLY DATA'!$AO:$AO,"other")</f>
        <v>0</v>
      </c>
      <c r="AF67" s="504">
        <f>SUMIFS('PV SUPPLY DATA'!$X:$X,'PV SUPPLY DATA'!$AH:$AH,'CT capacity tracker'!$B64,'PV SUPPLY DATA'!$AG:$AG,'CT capacity tracker'!$A$51,'PV SUPPLY DATA'!$Y:$Y,AF$1,'PV SUPPLY DATA'!$AQ:$AQ,"cosco",'PV SUPPLY DATA'!$G:$G,"&lt;&gt;FOB")+SUMIFS('PV SUPPLY DATA'!$X:$X,'PV SUPPLY DATA'!$AH:$AH,'CT capacity tracker'!$B64,'PV SUPPLY DATA'!$AG:$AG,'CT capacity tracker'!$A$51,'PV SUPPLY DATA'!$Y:$Y,AF$1,'PV SUPPLY DATA'!$AQ:$AQ,"other",'PV SUPPLY DATA'!$G:$G,"&lt;&gt;FOB")+SUMIFS('ESS SUPPLY DATA'!$U:$U,'ESS SUPPLY DATA'!$AF:$AF,'CT capacity tracker'!$B64,'ESS SUPPLY DATA'!$AE:$AE,'CT capacity tracker'!$A$51,'ESS SUPPLY DATA'!$W:$W,'CT capacity tracker'!AF$1,'ESS SUPPLY DATA'!$AO:$AO,"cosco")+SUMIFS('ESS SUPPLY DATA'!$U:$U,'ESS SUPPLY DATA'!$AF:$AF,'CT capacity tracker'!$B64,'ESS SUPPLY DATA'!$AE:$AE,'CT capacity tracker'!$A$51,'ESS SUPPLY DATA'!$W:$W,'CT capacity tracker'!AF$1,'ESS SUPPLY DATA'!$AO:$AO,"other")</f>
        <v>0</v>
      </c>
      <c r="AG67" s="504">
        <f>SUMIFS('PV SUPPLY DATA'!$X:$X,'PV SUPPLY DATA'!$AH:$AH,'CT capacity tracker'!$B64,'PV SUPPLY DATA'!$AG:$AG,'CT capacity tracker'!$A$51,'PV SUPPLY DATA'!$Y:$Y,AG$1,'PV SUPPLY DATA'!$AQ:$AQ,"cosco",'PV SUPPLY DATA'!$G:$G,"&lt;&gt;FOB")+SUMIFS('PV SUPPLY DATA'!$X:$X,'PV SUPPLY DATA'!$AH:$AH,'CT capacity tracker'!$B64,'PV SUPPLY DATA'!$AG:$AG,'CT capacity tracker'!$A$51,'PV SUPPLY DATA'!$Y:$Y,AG$1,'PV SUPPLY DATA'!$AQ:$AQ,"other",'PV SUPPLY DATA'!$G:$G,"&lt;&gt;FOB")+SUMIFS('ESS SUPPLY DATA'!$U:$U,'ESS SUPPLY DATA'!$AF:$AF,'CT capacity tracker'!$B64,'ESS SUPPLY DATA'!$AE:$AE,'CT capacity tracker'!$A$51,'ESS SUPPLY DATA'!$W:$W,'CT capacity tracker'!AG$1,'ESS SUPPLY DATA'!$AO:$AO,"cosco")+SUMIFS('ESS SUPPLY DATA'!$U:$U,'ESS SUPPLY DATA'!$AF:$AF,'CT capacity tracker'!$B64,'ESS SUPPLY DATA'!$AE:$AE,'CT capacity tracker'!$A$51,'ESS SUPPLY DATA'!$W:$W,'CT capacity tracker'!AG$1,'ESS SUPPLY DATA'!$AO:$AO,"other")</f>
        <v>0</v>
      </c>
      <c r="AH67" s="504">
        <f>SUMIFS('PV SUPPLY DATA'!$X:$X,'PV SUPPLY DATA'!$AH:$AH,'CT capacity tracker'!$B64,'PV SUPPLY DATA'!$AG:$AG,'CT capacity tracker'!$A$51,'PV SUPPLY DATA'!$Y:$Y,AH$1,'PV SUPPLY DATA'!$AQ:$AQ,"cosco",'PV SUPPLY DATA'!$G:$G,"&lt;&gt;FOB")+SUMIFS('PV SUPPLY DATA'!$X:$X,'PV SUPPLY DATA'!$AH:$AH,'CT capacity tracker'!$B64,'PV SUPPLY DATA'!$AG:$AG,'CT capacity tracker'!$A$51,'PV SUPPLY DATA'!$Y:$Y,AH$1,'PV SUPPLY DATA'!$AQ:$AQ,"other",'PV SUPPLY DATA'!$G:$G,"&lt;&gt;FOB")+SUMIFS('ESS SUPPLY DATA'!$U:$U,'ESS SUPPLY DATA'!$AF:$AF,'CT capacity tracker'!$B64,'ESS SUPPLY DATA'!$AE:$AE,'CT capacity tracker'!$A$51,'ESS SUPPLY DATA'!$W:$W,'CT capacity tracker'!AH$1,'ESS SUPPLY DATA'!$AO:$AO,"cosco")+SUMIFS('ESS SUPPLY DATA'!$U:$U,'ESS SUPPLY DATA'!$AF:$AF,'CT capacity tracker'!$B64,'ESS SUPPLY DATA'!$AE:$AE,'CT capacity tracker'!$A$51,'ESS SUPPLY DATA'!$W:$W,'CT capacity tracker'!AH$1,'ESS SUPPLY DATA'!$AO:$AO,"other")</f>
        <v>0</v>
      </c>
      <c r="AI67" s="504">
        <f>SUMIFS('PV SUPPLY DATA'!$X:$X,'PV SUPPLY DATA'!$AH:$AH,'CT capacity tracker'!$B64,'PV SUPPLY DATA'!$AG:$AG,'CT capacity tracker'!$A$51,'PV SUPPLY DATA'!$Y:$Y,AI$1,'PV SUPPLY DATA'!$AQ:$AQ,"cosco",'PV SUPPLY DATA'!$G:$G,"&lt;&gt;FOB")+SUMIFS('PV SUPPLY DATA'!$X:$X,'PV SUPPLY DATA'!$AH:$AH,'CT capacity tracker'!$B64,'PV SUPPLY DATA'!$AG:$AG,'CT capacity tracker'!$A$51,'PV SUPPLY DATA'!$Y:$Y,AI$1,'PV SUPPLY DATA'!$AQ:$AQ,"other",'PV SUPPLY DATA'!$G:$G,"&lt;&gt;FOB")+SUMIFS('ESS SUPPLY DATA'!$U:$U,'ESS SUPPLY DATA'!$AF:$AF,'CT capacity tracker'!$B64,'ESS SUPPLY DATA'!$AE:$AE,'CT capacity tracker'!$A$51,'ESS SUPPLY DATA'!$W:$W,'CT capacity tracker'!AI$1,'ESS SUPPLY DATA'!$AO:$AO,"cosco")+SUMIFS('ESS SUPPLY DATA'!$U:$U,'ESS SUPPLY DATA'!$AF:$AF,'CT capacity tracker'!$B64,'ESS SUPPLY DATA'!$AE:$AE,'CT capacity tracker'!$A$51,'ESS SUPPLY DATA'!$W:$W,'CT capacity tracker'!AI$1,'ESS SUPPLY DATA'!$AO:$AO,"other")</f>
        <v>0</v>
      </c>
      <c r="AJ67" s="504">
        <f>SUMIFS('PV SUPPLY DATA'!$X:$X,'PV SUPPLY DATA'!$AH:$AH,'CT capacity tracker'!$B64,'PV SUPPLY DATA'!$AG:$AG,'CT capacity tracker'!$A$51,'PV SUPPLY DATA'!$Y:$Y,AJ$1,'PV SUPPLY DATA'!$AQ:$AQ,"cosco",'PV SUPPLY DATA'!$G:$G,"&lt;&gt;FOB")+SUMIFS('PV SUPPLY DATA'!$X:$X,'PV SUPPLY DATA'!$AH:$AH,'CT capacity tracker'!$B64,'PV SUPPLY DATA'!$AG:$AG,'CT capacity tracker'!$A$51,'PV SUPPLY DATA'!$Y:$Y,AJ$1,'PV SUPPLY DATA'!$AQ:$AQ,"other",'PV SUPPLY DATA'!$G:$G,"&lt;&gt;FOB")+SUMIFS('ESS SUPPLY DATA'!$U:$U,'ESS SUPPLY DATA'!$AF:$AF,'CT capacity tracker'!$B64,'ESS SUPPLY DATA'!$AE:$AE,'CT capacity tracker'!$A$51,'ESS SUPPLY DATA'!$W:$W,'CT capacity tracker'!AJ$1,'ESS SUPPLY DATA'!$AO:$AO,"cosco")+SUMIFS('ESS SUPPLY DATA'!$U:$U,'ESS SUPPLY DATA'!$AF:$AF,'CT capacity tracker'!$B64,'ESS SUPPLY DATA'!$AE:$AE,'CT capacity tracker'!$A$51,'ESS SUPPLY DATA'!$W:$W,'CT capacity tracker'!AJ$1,'ESS SUPPLY DATA'!$AO:$AO,"other")</f>
        <v>0</v>
      </c>
      <c r="AK67" s="511"/>
      <c r="AL67" s="511"/>
      <c r="AM67" s="696">
        <f>SUM(E67:X67)</f>
        <v>196</v>
      </c>
      <c r="AN67" s="503"/>
      <c r="AO67" s="506"/>
      <c r="AP67" s="506"/>
      <c r="AQ67" s="506"/>
      <c r="AR67" s="506"/>
      <c r="AS67" s="506"/>
      <c r="AT67" s="506"/>
    </row>
    <row r="68" spans="1:46" ht="13">
      <c r="A68" s="1517"/>
      <c r="B68" s="1516" t="s">
        <v>356</v>
      </c>
      <c r="C68" s="503" t="s">
        <v>4400</v>
      </c>
      <c r="D68" s="504">
        <f>SUMIFS('PV SUPPLY DATA'!$X:$X,'PV SUPPLY DATA'!$AH:$AH,'CT capacity tracker'!$B68,'PV SUPPLY DATA'!$AG:$AG,'CT capacity tracker'!$A$1,'PV SUPPLY DATA'!$Z:$Z,'CT capacity tracker'!D$1)+SUMIFS('ESS SUPPLY DATA'!$U:$U,'ESS SUPPLY DATA'!$AF:$AF,'CT capacity tracker'!$B68,'ESS SUPPLY DATA'!$AE:$AE,'CT capacity tracker'!$A$1,'ESS SUPPLY DATA'!$X:$X,'CT capacity tracker'!D$1)</f>
        <v>0</v>
      </c>
      <c r="E68" s="504">
        <f>SUMIFS('PV SUPPLY DATA'!$X:$X,'PV SUPPLY DATA'!$AH:$AH,'CT capacity tracker'!$B68,'PV SUPPLY DATA'!$AG:$AG,$A$51,'PV SUPPLY DATA'!$Y:$Y,'CT capacity tracker'!E$1)+SUMIFS('ESS SUPPLY DATA'!$U:$U,'ESS SUPPLY DATA'!$AF:$AF,'CT capacity tracker'!$B68,'ESS SUPPLY DATA'!$AE:$AE,'CT capacity tracker'!$A$51,'ESS SUPPLY DATA'!$W:$W,'CT capacity tracker'!E$1)</f>
        <v>0</v>
      </c>
      <c r="F68" s="504">
        <f>SUMIFS('PV SUPPLY DATA'!$X:$X,'PV SUPPLY DATA'!$AH:$AH,'CT capacity tracker'!$B68,'PV SUPPLY DATA'!$AG:$AG,$A$51,'PV SUPPLY DATA'!$Y:$Y,'CT capacity tracker'!F$1)+SUMIFS('ESS SUPPLY DATA'!$U:$U,'ESS SUPPLY DATA'!$AF:$AF,'CT capacity tracker'!$B68,'ESS SUPPLY DATA'!$AE:$AE,'CT capacity tracker'!$A$51,'ESS SUPPLY DATA'!$W:$W,'CT capacity tracker'!F$1)</f>
        <v>0</v>
      </c>
      <c r="G68" s="504">
        <f>SUMIFS('PV SUPPLY DATA'!$X:$X,'PV SUPPLY DATA'!$AH:$AH,'CT capacity tracker'!$B68,'PV SUPPLY DATA'!$AG:$AG,$A$51,'PV SUPPLY DATA'!$Y:$Y,'CT capacity tracker'!G$1)+SUMIFS('ESS SUPPLY DATA'!$U:$U,'ESS SUPPLY DATA'!$AF:$AF,'CT capacity tracker'!$B68,'ESS SUPPLY DATA'!$AE:$AE,'CT capacity tracker'!$A$51,'ESS SUPPLY DATA'!$W:$W,'CT capacity tracker'!G$1)</f>
        <v>0</v>
      </c>
      <c r="H68" s="504">
        <f>SUMIFS('PV SUPPLY DATA'!$X:$X,'PV SUPPLY DATA'!$AH:$AH,'CT capacity tracker'!$B68,'PV SUPPLY DATA'!$AG:$AG,$A$51,'PV SUPPLY DATA'!$Y:$Y,'CT capacity tracker'!H$1)+SUMIFS('ESS SUPPLY DATA'!$U:$U,'ESS SUPPLY DATA'!$AF:$AF,'CT capacity tracker'!$B68,'ESS SUPPLY DATA'!$AE:$AE,'CT capacity tracker'!$A$51,'ESS SUPPLY DATA'!$W:$W,'CT capacity tracker'!H$1)</f>
        <v>0</v>
      </c>
      <c r="I68" s="504">
        <f>SUMIFS('PV SUPPLY DATA'!$X:$X,'PV SUPPLY DATA'!$AH:$AH,'CT capacity tracker'!$B68,'PV SUPPLY DATA'!$AG:$AG,$A$51,'PV SUPPLY DATA'!$Y:$Y,'CT capacity tracker'!I$1)+SUMIFS('ESS SUPPLY DATA'!$U:$U,'ESS SUPPLY DATA'!$AF:$AF,'CT capacity tracker'!$B68,'ESS SUPPLY DATA'!$AE:$AE,'CT capacity tracker'!$A$51,'ESS SUPPLY DATA'!$W:$W,'CT capacity tracker'!I$1)</f>
        <v>0</v>
      </c>
      <c r="J68" s="504">
        <f>SUMIFS('PV SUPPLY DATA'!$X:$X,'PV SUPPLY DATA'!$AH:$AH,'CT capacity tracker'!$B68,'PV SUPPLY DATA'!$AG:$AG,$A$51,'PV SUPPLY DATA'!$Y:$Y,'CT capacity tracker'!J$1)+SUMIFS('ESS SUPPLY DATA'!$U:$U,'ESS SUPPLY DATA'!$AF:$AF,'CT capacity tracker'!$B68,'ESS SUPPLY DATA'!$AE:$AE,'CT capacity tracker'!$A$51,'ESS SUPPLY DATA'!$W:$W,'CT capacity tracker'!J$1)</f>
        <v>1</v>
      </c>
      <c r="K68" s="524">
        <f>SUMIFS('PV SUPPLY DATA'!$X:$X,'PV SUPPLY DATA'!$AH:$AH,'CT capacity tracker'!$B68,'PV SUPPLY DATA'!$AG:$AG,$A$51,'PV SUPPLY DATA'!$Y:$Y,'CT capacity tracker'!K$1)+SUMIFS('ESS SUPPLY DATA'!$U:$U,'ESS SUPPLY DATA'!$AF:$AF,'CT capacity tracker'!$B68,'ESS SUPPLY DATA'!$AE:$AE,'CT capacity tracker'!$A$51,'ESS SUPPLY DATA'!$W:$W,'CT capacity tracker'!K$1)</f>
        <v>0</v>
      </c>
      <c r="L68" s="504">
        <f>SUMIFS('PV SUPPLY DATA'!$X:$X,'PV SUPPLY DATA'!$AH:$AH,'CT capacity tracker'!$B68,'PV SUPPLY DATA'!$AG:$AG,$A$51,'PV SUPPLY DATA'!$Y:$Y,'CT capacity tracker'!L$1)+SUMIFS('ESS SUPPLY DATA'!$U:$U,'ESS SUPPLY DATA'!$AF:$AF,'CT capacity tracker'!$B68,'ESS SUPPLY DATA'!$AE:$AE,'CT capacity tracker'!$A$51,'ESS SUPPLY DATA'!$W:$W,'CT capacity tracker'!L$1)</f>
        <v>0</v>
      </c>
      <c r="M68" s="504">
        <f>SUMIFS('PV SUPPLY DATA'!$X:$X,'PV SUPPLY DATA'!$AH:$AH,'CT capacity tracker'!$B68,'PV SUPPLY DATA'!$AG:$AG,$A$51,'PV SUPPLY DATA'!$Y:$Y,'CT capacity tracker'!M$1)+SUMIFS('ESS SUPPLY DATA'!$U:$U,'ESS SUPPLY DATA'!$AF:$AF,'CT capacity tracker'!$B68,'ESS SUPPLY DATA'!$AE:$AE,'CT capacity tracker'!$A$51,'ESS SUPPLY DATA'!$W:$W,'CT capacity tracker'!M$1)</f>
        <v>0</v>
      </c>
      <c r="N68" s="504">
        <f>SUMIFS('PV SUPPLY DATA'!$X:$X,'PV SUPPLY DATA'!$AH:$AH,'CT capacity tracker'!$B68,'PV SUPPLY DATA'!$AG:$AG,$A$51,'PV SUPPLY DATA'!$Y:$Y,'CT capacity tracker'!N$1)+SUMIFS('ESS SUPPLY DATA'!$U:$U,'ESS SUPPLY DATA'!$AF:$AF,'CT capacity tracker'!$B68,'ESS SUPPLY DATA'!$AE:$AE,'CT capacity tracker'!$A$51,'ESS SUPPLY DATA'!$W:$W,'CT capacity tracker'!N$1)</f>
        <v>0</v>
      </c>
      <c r="O68" s="504">
        <f>SUMIFS('PV SUPPLY DATA'!$X:$X,'PV SUPPLY DATA'!$AH:$AH,'CT capacity tracker'!$B68,'PV SUPPLY DATA'!$AG:$AG,$A$51,'PV SUPPLY DATA'!$Y:$Y,'CT capacity tracker'!O$1)+SUMIFS('ESS SUPPLY DATA'!$U:$U,'ESS SUPPLY DATA'!$AF:$AF,'CT capacity tracker'!$B68,'ESS SUPPLY DATA'!$AE:$AE,'CT capacity tracker'!$A$51,'ESS SUPPLY DATA'!$W:$W,'CT capacity tracker'!O$1)</f>
        <v>0</v>
      </c>
      <c r="P68" s="504">
        <f>SUMIFS('PV SUPPLY DATA'!$X:$X,'PV SUPPLY DATA'!$AH:$AH,'CT capacity tracker'!$B68,'PV SUPPLY DATA'!$AG:$AG,$A$51,'PV SUPPLY DATA'!$Y:$Y,'CT capacity tracker'!P$1)+SUMIFS('ESS SUPPLY DATA'!$U:$U,'ESS SUPPLY DATA'!$AF:$AF,'CT capacity tracker'!$B68,'ESS SUPPLY DATA'!$AE:$AE,'CT capacity tracker'!$A$51,'ESS SUPPLY DATA'!$W:$W,'CT capacity tracker'!P$1)</f>
        <v>0</v>
      </c>
      <c r="Q68" s="504">
        <f>SUMIFS('PV SUPPLY DATA'!$X:$X,'PV SUPPLY DATA'!$AH:$AH,'CT capacity tracker'!$B68,'PV SUPPLY DATA'!$AG:$AG,$A$51,'PV SUPPLY DATA'!$Y:$Y,'CT capacity tracker'!Q$1)+SUMIFS('ESS SUPPLY DATA'!$U:$U,'ESS SUPPLY DATA'!$AF:$AF,'CT capacity tracker'!$B68,'ESS SUPPLY DATA'!$AE:$AE,'CT capacity tracker'!$A$51,'ESS SUPPLY DATA'!$W:$W,'CT capacity tracker'!Q$1)</f>
        <v>0</v>
      </c>
      <c r="R68" s="504">
        <f>SUMIFS('PV SUPPLY DATA'!$X:$X,'PV SUPPLY DATA'!$AH:$AH,'CT capacity tracker'!$B68,'PV SUPPLY DATA'!$AG:$AG,$A$51,'PV SUPPLY DATA'!$Y:$Y,'CT capacity tracker'!R$1)+SUMIFS('ESS SUPPLY DATA'!$U:$U,'ESS SUPPLY DATA'!$AF:$AF,'CT capacity tracker'!$B68,'ESS SUPPLY DATA'!$AE:$AE,'CT capacity tracker'!$A$51,'ESS SUPPLY DATA'!$W:$W,'CT capacity tracker'!R$1)</f>
        <v>0</v>
      </c>
      <c r="S68" s="504">
        <f>SUMIFS('PV SUPPLY DATA'!$X:$X,'PV SUPPLY DATA'!$AH:$AH,'CT capacity tracker'!$B68,'PV SUPPLY DATA'!$AG:$AG,$A$51,'PV SUPPLY DATA'!$Y:$Y,'CT capacity tracker'!S$1)+SUMIFS('ESS SUPPLY DATA'!$U:$U,'ESS SUPPLY DATA'!$AF:$AF,'CT capacity tracker'!$B68,'ESS SUPPLY DATA'!$AE:$AE,'CT capacity tracker'!$A$51,'ESS SUPPLY DATA'!$W:$W,'CT capacity tracker'!S$1)</f>
        <v>0</v>
      </c>
      <c r="T68" s="504">
        <f>SUMIFS('PV SUPPLY DATA'!$X:$X,'PV SUPPLY DATA'!$AH:$AH,'CT capacity tracker'!$B68,'PV SUPPLY DATA'!$AG:$AG,$A$51,'PV SUPPLY DATA'!$Y:$Y,'CT capacity tracker'!T$1)+SUMIFS('ESS SUPPLY DATA'!$U:$U,'ESS SUPPLY DATA'!$AF:$AF,'CT capacity tracker'!$B68,'ESS SUPPLY DATA'!$AE:$AE,'CT capacity tracker'!$A$51,'ESS SUPPLY DATA'!$W:$W,'CT capacity tracker'!T$1)</f>
        <v>0</v>
      </c>
      <c r="U68" s="504">
        <f>SUMIFS('PV SUPPLY DATA'!$X:$X,'PV SUPPLY DATA'!$AH:$AH,'CT capacity tracker'!$B68,'PV SUPPLY DATA'!$AG:$AG,$A$51,'PV SUPPLY DATA'!$Y:$Y,'CT capacity tracker'!U$1)+SUMIFS('ESS SUPPLY DATA'!$U:$U,'ESS SUPPLY DATA'!$AF:$AF,'CT capacity tracker'!$B68,'ESS SUPPLY DATA'!$AE:$AE,'CT capacity tracker'!$A$51,'ESS SUPPLY DATA'!$W:$W,'CT capacity tracker'!U$1)</f>
        <v>0</v>
      </c>
      <c r="V68" s="504">
        <f>SUMIFS('PV SUPPLY DATA'!$X:$X,'PV SUPPLY DATA'!$AH:$AH,'CT capacity tracker'!$B68,'PV SUPPLY DATA'!$AG:$AG,$A$51,'PV SUPPLY DATA'!$Y:$Y,'CT capacity tracker'!V$1)+SUMIFS('ESS SUPPLY DATA'!$U:$U,'ESS SUPPLY DATA'!$AF:$AF,'CT capacity tracker'!$B68,'ESS SUPPLY DATA'!$AE:$AE,'CT capacity tracker'!$A$51,'ESS SUPPLY DATA'!$W:$W,'CT capacity tracker'!V$1)</f>
        <v>0</v>
      </c>
      <c r="W68" s="504">
        <f>SUMIFS('PV SUPPLY DATA'!$X:$X,'PV SUPPLY DATA'!$AH:$AH,'CT capacity tracker'!$B68,'PV SUPPLY DATA'!$AG:$AG,$A$51,'PV SUPPLY DATA'!$Y:$Y,'CT capacity tracker'!W$1)+SUMIFS('ESS SUPPLY DATA'!$U:$U,'ESS SUPPLY DATA'!$AF:$AF,'CT capacity tracker'!$B68,'ESS SUPPLY DATA'!$AE:$AE,'CT capacity tracker'!$A$51,'ESS SUPPLY DATA'!$W:$W,'CT capacity tracker'!W$1)</f>
        <v>0</v>
      </c>
      <c r="X68" s="504">
        <f>SUMIFS('PV SUPPLY DATA'!$X:$X,'PV SUPPLY DATA'!$AH:$AH,'CT capacity tracker'!$B68,'PV SUPPLY DATA'!$AG:$AG,$A$51,'PV SUPPLY DATA'!$Y:$Y,'CT capacity tracker'!X$1)+SUMIFS('ESS SUPPLY DATA'!$U:$U,'ESS SUPPLY DATA'!$AF:$AF,'CT capacity tracker'!$B68,'ESS SUPPLY DATA'!$AE:$AE,'CT capacity tracker'!$A$51,'ESS SUPPLY DATA'!$W:$W,'CT capacity tracker'!X$1)</f>
        <v>0</v>
      </c>
      <c r="Y68" s="504">
        <f>SUMIFS('PV SUPPLY DATA'!$X:$X,'PV SUPPLY DATA'!$AH:$AH,'CT capacity tracker'!$B68,'PV SUPPLY DATA'!$AG:$AG,$A$51,'PV SUPPLY DATA'!$Y:$Y,'CT capacity tracker'!Y$1)+SUMIFS('ESS SUPPLY DATA'!$U:$U,'ESS SUPPLY DATA'!$AF:$AF,'CT capacity tracker'!$B68,'ESS SUPPLY DATA'!$AE:$AE,'CT capacity tracker'!$A$51,'ESS SUPPLY DATA'!$W:$W,'CT capacity tracker'!Y$1)</f>
        <v>0</v>
      </c>
      <c r="Z68" s="504">
        <f>SUMIFS('PV SUPPLY DATA'!$X:$X,'PV SUPPLY DATA'!$AH:$AH,'CT capacity tracker'!$B68,'PV SUPPLY DATA'!$AG:$AG,$A$51,'PV SUPPLY DATA'!$Y:$Y,'CT capacity tracker'!Z$1)+SUMIFS('ESS SUPPLY DATA'!$U:$U,'ESS SUPPLY DATA'!$AF:$AF,'CT capacity tracker'!$B68,'ESS SUPPLY DATA'!$AE:$AE,'CT capacity tracker'!$A$51,'ESS SUPPLY DATA'!$W:$W,'CT capacity tracker'!Z$1)</f>
        <v>0</v>
      </c>
      <c r="AA68" s="504">
        <f>SUMIFS('PV SUPPLY DATA'!$X:$X,'PV SUPPLY DATA'!$AH:$AH,'CT capacity tracker'!$B68,'PV SUPPLY DATA'!$AG:$AG,$A$51,'PV SUPPLY DATA'!$Y:$Y,'CT capacity tracker'!AA$1)+SUMIFS('ESS SUPPLY DATA'!$U:$U,'ESS SUPPLY DATA'!$AF:$AF,'CT capacity tracker'!$B68,'ESS SUPPLY DATA'!$AE:$AE,'CT capacity tracker'!$A$51,'ESS SUPPLY DATA'!$W:$W,'CT capacity tracker'!AA$1)</f>
        <v>0</v>
      </c>
      <c r="AB68" s="504">
        <f>SUMIFS('PV SUPPLY DATA'!$X:$X,'PV SUPPLY DATA'!$AH:$AH,'CT capacity tracker'!$B68,'PV SUPPLY DATA'!$AG:$AG,$A$51,'PV SUPPLY DATA'!$Y:$Y,'CT capacity tracker'!AB$1)+SUMIFS('ESS SUPPLY DATA'!$U:$U,'ESS SUPPLY DATA'!$AF:$AF,'CT capacity tracker'!$B68,'ESS SUPPLY DATA'!$AE:$AE,'CT capacity tracker'!$A$51,'ESS SUPPLY DATA'!$W:$W,'CT capacity tracker'!AB$1)</f>
        <v>0</v>
      </c>
      <c r="AC68" s="504">
        <f>SUMIFS('PV SUPPLY DATA'!$X:$X,'PV SUPPLY DATA'!$AH:$AH,'CT capacity tracker'!$B68,'PV SUPPLY DATA'!$AG:$AG,$A$51,'PV SUPPLY DATA'!$Y:$Y,'CT capacity tracker'!AC$1)+SUMIFS('ESS SUPPLY DATA'!$U:$U,'ESS SUPPLY DATA'!$AF:$AF,'CT capacity tracker'!$B68,'ESS SUPPLY DATA'!$AE:$AE,'CT capacity tracker'!$A$51,'ESS SUPPLY DATA'!$W:$W,'CT capacity tracker'!AC$1)</f>
        <v>0</v>
      </c>
      <c r="AD68" s="504">
        <f>SUMIFS('PV SUPPLY DATA'!$X:$X,'PV SUPPLY DATA'!$AH:$AH,'CT capacity tracker'!$B68,'PV SUPPLY DATA'!$AG:$AG,$A$51,'PV SUPPLY DATA'!$Y:$Y,'CT capacity tracker'!AD$1)+SUMIFS('ESS SUPPLY DATA'!$U:$U,'ESS SUPPLY DATA'!$AF:$AF,'CT capacity tracker'!$B68,'ESS SUPPLY DATA'!$AE:$AE,'CT capacity tracker'!$A$51,'ESS SUPPLY DATA'!$W:$W,'CT capacity tracker'!AD$1)</f>
        <v>0</v>
      </c>
      <c r="AE68" s="504">
        <f>SUMIFS('PV SUPPLY DATA'!$X:$X,'PV SUPPLY DATA'!$AH:$AH,'CT capacity tracker'!$B68,'PV SUPPLY DATA'!$AG:$AG,$A$51,'PV SUPPLY DATA'!$Y:$Y,'CT capacity tracker'!AE$1)+SUMIFS('ESS SUPPLY DATA'!$U:$U,'ESS SUPPLY DATA'!$AF:$AF,'CT capacity tracker'!$B68,'ESS SUPPLY DATA'!$AE:$AE,'CT capacity tracker'!$A$51,'ESS SUPPLY DATA'!$W:$W,'CT capacity tracker'!AE$1)</f>
        <v>0</v>
      </c>
      <c r="AF68" s="504">
        <f>SUMIFS('PV SUPPLY DATA'!$X:$X,'PV SUPPLY DATA'!$AH:$AH,'CT capacity tracker'!$B68,'PV SUPPLY DATA'!$AG:$AG,$A$51,'PV SUPPLY DATA'!$Y:$Y,'CT capacity tracker'!AF$1)+SUMIFS('ESS SUPPLY DATA'!$U:$U,'ESS SUPPLY DATA'!$AF:$AF,'CT capacity tracker'!$B68,'ESS SUPPLY DATA'!$AE:$AE,'CT capacity tracker'!$A$51,'ESS SUPPLY DATA'!$W:$W,'CT capacity tracker'!AF$1)</f>
        <v>0</v>
      </c>
      <c r="AG68" s="504">
        <f>SUMIFS('PV SUPPLY DATA'!$X:$X,'PV SUPPLY DATA'!$AH:$AH,'CT capacity tracker'!$B68,'PV SUPPLY DATA'!$AG:$AG,$A$51,'PV SUPPLY DATA'!$Y:$Y,'CT capacity tracker'!AG$1)+SUMIFS('ESS SUPPLY DATA'!$U:$U,'ESS SUPPLY DATA'!$AF:$AF,'CT capacity tracker'!$B68,'ESS SUPPLY DATA'!$AE:$AE,'CT capacity tracker'!$A$51,'ESS SUPPLY DATA'!$W:$W,'CT capacity tracker'!AG$1)</f>
        <v>0</v>
      </c>
      <c r="AH68" s="504">
        <f>SUMIFS('PV SUPPLY DATA'!$X:$X,'PV SUPPLY DATA'!$AH:$AH,'CT capacity tracker'!$B68,'PV SUPPLY DATA'!$AG:$AG,$A$51,'PV SUPPLY DATA'!$Y:$Y,'CT capacity tracker'!AH$1)+SUMIFS('ESS SUPPLY DATA'!$U:$U,'ESS SUPPLY DATA'!$AF:$AF,'CT capacity tracker'!$B68,'ESS SUPPLY DATA'!$AE:$AE,'CT capacity tracker'!$A$51,'ESS SUPPLY DATA'!$W:$W,'CT capacity tracker'!AH$1)</f>
        <v>0</v>
      </c>
      <c r="AI68" s="504">
        <f>SUMIFS('PV SUPPLY DATA'!$X:$X,'PV SUPPLY DATA'!$AH:$AH,'CT capacity tracker'!$B68,'PV SUPPLY DATA'!$AG:$AG,$A$51,'PV SUPPLY DATA'!$Y:$Y,'CT capacity tracker'!AI$1)+SUMIFS('ESS SUPPLY DATA'!$U:$U,'ESS SUPPLY DATA'!$AF:$AF,'CT capacity tracker'!$B68,'ESS SUPPLY DATA'!$AE:$AE,'CT capacity tracker'!$A$51,'ESS SUPPLY DATA'!$W:$W,'CT capacity tracker'!AI$1)</f>
        <v>0</v>
      </c>
      <c r="AJ68" s="504">
        <f>SUMIFS('PV SUPPLY DATA'!$X:$X,'PV SUPPLY DATA'!$AH:$AH,'CT capacity tracker'!$B68,'PV SUPPLY DATA'!$AG:$AG,$A$51,'PV SUPPLY DATA'!$Y:$Y,'CT capacity tracker'!AJ$1)+SUMIFS('ESS SUPPLY DATA'!$U:$U,'ESS SUPPLY DATA'!$AF:$AF,'CT capacity tracker'!$B68,'ESS SUPPLY DATA'!$AE:$AE,'CT capacity tracker'!$A$51,'ESS SUPPLY DATA'!$W:$W,'CT capacity tracker'!AJ$1)</f>
        <v>0</v>
      </c>
      <c r="AK68" s="505" t="s">
        <v>197</v>
      </c>
      <c r="AL68" s="505" t="s">
        <v>197</v>
      </c>
      <c r="AM68" s="696">
        <f>SUM(E68:X68)</f>
        <v>1</v>
      </c>
      <c r="AN68" s="503" t="s">
        <v>197</v>
      </c>
      <c r="AO68" s="506"/>
      <c r="AP68" s="506">
        <f t="shared" si="3"/>
        <v>1</v>
      </c>
      <c r="AQ68" s="506"/>
      <c r="AR68" s="506"/>
      <c r="AS68" s="506"/>
      <c r="AT68" s="506"/>
    </row>
    <row r="69" spans="1:46" ht="13">
      <c r="A69" s="1517"/>
      <c r="B69" s="1517"/>
      <c r="C69" s="509" t="s">
        <v>4401</v>
      </c>
      <c r="D69" s="509"/>
      <c r="E69" s="510"/>
      <c r="F69" s="510"/>
      <c r="G69" s="510"/>
      <c r="H69" s="510"/>
      <c r="I69" s="510"/>
      <c r="J69" s="510">
        <v>1</v>
      </c>
      <c r="K69" s="510"/>
      <c r="L69" s="510"/>
      <c r="M69" s="510">
        <v>0</v>
      </c>
      <c r="N69" s="510">
        <v>0</v>
      </c>
      <c r="O69" s="510">
        <v>0</v>
      </c>
      <c r="P69" s="510">
        <v>0</v>
      </c>
      <c r="Q69" s="510"/>
      <c r="R69" s="510"/>
      <c r="S69" s="510"/>
      <c r="T69" s="510"/>
      <c r="U69" s="510"/>
      <c r="V69" s="510"/>
      <c r="W69" s="510"/>
      <c r="X69" s="510"/>
      <c r="Y69" s="510"/>
      <c r="Z69" s="510"/>
      <c r="AA69" s="510"/>
      <c r="AB69" s="510">
        <v>0</v>
      </c>
      <c r="AC69" s="510">
        <v>0</v>
      </c>
      <c r="AD69" s="510">
        <v>0</v>
      </c>
      <c r="AE69" s="510">
        <v>0</v>
      </c>
      <c r="AF69" s="510">
        <v>0</v>
      </c>
      <c r="AG69" s="510">
        <v>0</v>
      </c>
      <c r="AH69" s="510">
        <v>0</v>
      </c>
      <c r="AI69" s="510">
        <v>0</v>
      </c>
      <c r="AJ69" s="510">
        <v>0</v>
      </c>
      <c r="AK69" s="505" t="s">
        <v>197</v>
      </c>
      <c r="AL69" s="505" t="s">
        <v>197</v>
      </c>
      <c r="AM69" s="696"/>
      <c r="AN69" s="503" t="s">
        <v>197</v>
      </c>
      <c r="AO69" s="506"/>
      <c r="AP69" s="506">
        <f t="shared" si="3"/>
        <v>1</v>
      </c>
      <c r="AQ69" s="506"/>
      <c r="AR69" s="506"/>
      <c r="AS69" s="506"/>
      <c r="AT69" s="506"/>
    </row>
    <row r="70" spans="1:46" ht="13">
      <c r="A70" s="1517"/>
      <c r="B70" s="1517"/>
      <c r="C70" s="520" t="s">
        <v>4402</v>
      </c>
      <c r="D70" s="522"/>
      <c r="E70" s="522">
        <f>E69-E68</f>
        <v>0</v>
      </c>
      <c r="F70" s="522">
        <f t="shared" ref="F70:X70" si="49">F69-F68</f>
        <v>0</v>
      </c>
      <c r="G70" s="522">
        <f t="shared" si="49"/>
        <v>0</v>
      </c>
      <c r="H70" s="522">
        <f t="shared" si="49"/>
        <v>0</v>
      </c>
      <c r="I70" s="522">
        <f t="shared" si="49"/>
        <v>0</v>
      </c>
      <c r="J70" s="522">
        <f t="shared" si="49"/>
        <v>0</v>
      </c>
      <c r="K70" s="522">
        <f t="shared" si="49"/>
        <v>0</v>
      </c>
      <c r="L70" s="522">
        <f t="shared" si="49"/>
        <v>0</v>
      </c>
      <c r="M70" s="522">
        <f t="shared" si="49"/>
        <v>0</v>
      </c>
      <c r="N70" s="522">
        <f t="shared" si="49"/>
        <v>0</v>
      </c>
      <c r="O70" s="522">
        <f t="shared" si="49"/>
        <v>0</v>
      </c>
      <c r="P70" s="522">
        <f t="shared" si="49"/>
        <v>0</v>
      </c>
      <c r="Q70" s="522">
        <f t="shared" si="49"/>
        <v>0</v>
      </c>
      <c r="R70" s="522">
        <f t="shared" si="49"/>
        <v>0</v>
      </c>
      <c r="S70" s="522">
        <f t="shared" si="49"/>
        <v>0</v>
      </c>
      <c r="T70" s="522">
        <f t="shared" si="49"/>
        <v>0</v>
      </c>
      <c r="U70" s="522">
        <f t="shared" si="49"/>
        <v>0</v>
      </c>
      <c r="V70" s="522">
        <f t="shared" si="49"/>
        <v>0</v>
      </c>
      <c r="W70" s="522">
        <f t="shared" si="49"/>
        <v>0</v>
      </c>
      <c r="X70" s="522">
        <f t="shared" si="49"/>
        <v>0</v>
      </c>
      <c r="Y70" s="522">
        <f t="shared" ref="Y70:AJ70" si="50">Y69-Y68</f>
        <v>0</v>
      </c>
      <c r="Z70" s="522">
        <f t="shared" si="50"/>
        <v>0</v>
      </c>
      <c r="AA70" s="522">
        <f t="shared" si="50"/>
        <v>0</v>
      </c>
      <c r="AB70" s="522">
        <f t="shared" si="50"/>
        <v>0</v>
      </c>
      <c r="AC70" s="522">
        <f t="shared" si="50"/>
        <v>0</v>
      </c>
      <c r="AD70" s="522">
        <f t="shared" si="50"/>
        <v>0</v>
      </c>
      <c r="AE70" s="522">
        <f t="shared" si="50"/>
        <v>0</v>
      </c>
      <c r="AF70" s="522">
        <f t="shared" si="50"/>
        <v>0</v>
      </c>
      <c r="AG70" s="522">
        <f t="shared" si="50"/>
        <v>0</v>
      </c>
      <c r="AH70" s="522">
        <f t="shared" si="50"/>
        <v>0</v>
      </c>
      <c r="AI70" s="522">
        <f t="shared" si="50"/>
        <v>0</v>
      </c>
      <c r="AJ70" s="522">
        <f t="shared" si="50"/>
        <v>0</v>
      </c>
      <c r="AK70" s="511">
        <f>SUMIF($E70:$X70,"&gt;0")</f>
        <v>0</v>
      </c>
      <c r="AL70" s="511">
        <f>SUMIF($E70:$X70,"&lt;0")</f>
        <v>0</v>
      </c>
      <c r="AM70" s="696"/>
      <c r="AN70" s="503" t="s">
        <v>197</v>
      </c>
      <c r="AO70" s="506"/>
      <c r="AP70" s="506">
        <f t="shared" si="3"/>
        <v>0</v>
      </c>
      <c r="AQ70" s="506"/>
      <c r="AR70" s="506"/>
      <c r="AS70" s="506"/>
      <c r="AT70" s="506"/>
    </row>
    <row r="71" spans="1:46" ht="11.25" customHeight="1">
      <c r="A71" s="1518"/>
      <c r="B71" s="1518"/>
      <c r="C71" s="503" t="s">
        <v>4403</v>
      </c>
      <c r="D71" s="522"/>
      <c r="E71" s="504">
        <f>SUMIFS('PV SUPPLY DATA'!$X:$X,'PV SUPPLY DATA'!$AH:$AH,'CT capacity tracker'!$B68,'PV SUPPLY DATA'!$AG:$AG,'CT capacity tracker'!$A$51,'PV SUPPLY DATA'!$Y:$Y,E$1,'PV SUPPLY DATA'!$AQ:$AQ,"cosco")+SUMIFS('PV SUPPLY DATA'!$X:$X,'PV SUPPLY DATA'!$AH:$AH,'CT capacity tracker'!$B68,'PV SUPPLY DATA'!$AG:$AG,'CT capacity tracker'!$A$51,'PV SUPPLY DATA'!$Y:$Y,E$1,'PV SUPPLY DATA'!$AQ:$AQ,"other")+SUMIFS('ESS SUPPLY DATA'!$U:$U,'ESS SUPPLY DATA'!$AF:$AF,'CT capacity tracker'!$B68,'ESS SUPPLY DATA'!$AE:$AE,'CT capacity tracker'!$A$51,'ESS SUPPLY DATA'!$W:$W,'CT capacity tracker'!E$1,'ESS SUPPLY DATA'!$AO:$AO,"cosco")+SUMIFS('ESS SUPPLY DATA'!$U:$U,'ESS SUPPLY DATA'!$AF:$AF,'CT capacity tracker'!$B68,'ESS SUPPLY DATA'!$AE:$AE,'CT capacity tracker'!$A$51,'ESS SUPPLY DATA'!$W:$W,'CT capacity tracker'!E$1,'ESS SUPPLY DATA'!$AO:$AO,"other")</f>
        <v>0</v>
      </c>
      <c r="F71" s="504">
        <f>SUMIFS('PV SUPPLY DATA'!$X:$X,'PV SUPPLY DATA'!$AH:$AH,'CT capacity tracker'!$B68,'PV SUPPLY DATA'!$AG:$AG,'CT capacity tracker'!$A$51,'PV SUPPLY DATA'!$Y:$Y,F$1,'PV SUPPLY DATA'!$AQ:$AQ,"cosco")+SUMIFS('PV SUPPLY DATA'!$X:$X,'PV SUPPLY DATA'!$AH:$AH,'CT capacity tracker'!$B68,'PV SUPPLY DATA'!$AG:$AG,'CT capacity tracker'!$A$51,'PV SUPPLY DATA'!$Y:$Y,F$1,'PV SUPPLY DATA'!$AQ:$AQ,"other")+SUMIFS('ESS SUPPLY DATA'!$U:$U,'ESS SUPPLY DATA'!$AF:$AF,'CT capacity tracker'!$B68,'ESS SUPPLY DATA'!$AE:$AE,'CT capacity tracker'!$A$51,'ESS SUPPLY DATA'!$W:$W,'CT capacity tracker'!F$1,'ESS SUPPLY DATA'!$AO:$AO,"cosco")+SUMIFS('ESS SUPPLY DATA'!$U:$U,'ESS SUPPLY DATA'!$AF:$AF,'CT capacity tracker'!$B68,'ESS SUPPLY DATA'!$AE:$AE,'CT capacity tracker'!$A$51,'ESS SUPPLY DATA'!$W:$W,'CT capacity tracker'!F$1,'ESS SUPPLY DATA'!$AO:$AO,"other")</f>
        <v>0</v>
      </c>
      <c r="G71" s="504">
        <f>SUMIFS('PV SUPPLY DATA'!$X:$X,'PV SUPPLY DATA'!$AH:$AH,'CT capacity tracker'!$B68,'PV SUPPLY DATA'!$AG:$AG,'CT capacity tracker'!$A$51,'PV SUPPLY DATA'!$Y:$Y,G$1,'PV SUPPLY DATA'!$AQ:$AQ,"cosco")+SUMIFS('PV SUPPLY DATA'!$X:$X,'PV SUPPLY DATA'!$AH:$AH,'CT capacity tracker'!$B68,'PV SUPPLY DATA'!$AG:$AG,'CT capacity tracker'!$A$51,'PV SUPPLY DATA'!$Y:$Y,G$1,'PV SUPPLY DATA'!$AQ:$AQ,"other")+SUMIFS('ESS SUPPLY DATA'!$U:$U,'ESS SUPPLY DATA'!$AF:$AF,'CT capacity tracker'!$B68,'ESS SUPPLY DATA'!$AE:$AE,'CT capacity tracker'!$A$51,'ESS SUPPLY DATA'!$W:$W,'CT capacity tracker'!G$1,'ESS SUPPLY DATA'!$AO:$AO,"cosco")+SUMIFS('ESS SUPPLY DATA'!$U:$U,'ESS SUPPLY DATA'!$AF:$AF,'CT capacity tracker'!$B68,'ESS SUPPLY DATA'!$AE:$AE,'CT capacity tracker'!$A$51,'ESS SUPPLY DATA'!$W:$W,'CT capacity tracker'!G$1,'ESS SUPPLY DATA'!$AO:$AO,"other")</f>
        <v>0</v>
      </c>
      <c r="H71" s="504">
        <f>SUMIFS('PV SUPPLY DATA'!$X:$X,'PV SUPPLY DATA'!$AH:$AH,'CT capacity tracker'!$B68,'PV SUPPLY DATA'!$AG:$AG,'CT capacity tracker'!$A$51,'PV SUPPLY DATA'!$Y:$Y,H$1,'PV SUPPLY DATA'!$AQ:$AQ,"cosco")+SUMIFS('PV SUPPLY DATA'!$X:$X,'PV SUPPLY DATA'!$AH:$AH,'CT capacity tracker'!$B68,'PV SUPPLY DATA'!$AG:$AG,'CT capacity tracker'!$A$51,'PV SUPPLY DATA'!$Y:$Y,H$1,'PV SUPPLY DATA'!$AQ:$AQ,"other")+SUMIFS('ESS SUPPLY DATA'!$U:$U,'ESS SUPPLY DATA'!$AF:$AF,'CT capacity tracker'!$B68,'ESS SUPPLY DATA'!$AE:$AE,'CT capacity tracker'!$A$51,'ESS SUPPLY DATA'!$W:$W,'CT capacity tracker'!H$1,'ESS SUPPLY DATA'!$AO:$AO,"cosco")+SUMIFS('ESS SUPPLY DATA'!$U:$U,'ESS SUPPLY DATA'!$AF:$AF,'CT capacity tracker'!$B68,'ESS SUPPLY DATA'!$AE:$AE,'CT capacity tracker'!$A$51,'ESS SUPPLY DATA'!$W:$W,'CT capacity tracker'!H$1,'ESS SUPPLY DATA'!$AO:$AO,"other")</f>
        <v>0</v>
      </c>
      <c r="I71" s="504">
        <f>SUMIFS('PV SUPPLY DATA'!$X:$X,'PV SUPPLY DATA'!$AH:$AH,'CT capacity tracker'!$B68,'PV SUPPLY DATA'!$AG:$AG,'CT capacity tracker'!$A$51,'PV SUPPLY DATA'!$Y:$Y,I$1,'PV SUPPLY DATA'!$AQ:$AQ,"cosco")+SUMIFS('PV SUPPLY DATA'!$X:$X,'PV SUPPLY DATA'!$AH:$AH,'CT capacity tracker'!$B68,'PV SUPPLY DATA'!$AG:$AG,'CT capacity tracker'!$A$51,'PV SUPPLY DATA'!$Y:$Y,I$1,'PV SUPPLY DATA'!$AQ:$AQ,"other")+SUMIFS('ESS SUPPLY DATA'!$U:$U,'ESS SUPPLY DATA'!$AF:$AF,'CT capacity tracker'!$B68,'ESS SUPPLY DATA'!$AE:$AE,'CT capacity tracker'!$A$51,'ESS SUPPLY DATA'!$W:$W,'CT capacity tracker'!I$1,'ESS SUPPLY DATA'!$AO:$AO,"cosco")+SUMIFS('ESS SUPPLY DATA'!$U:$U,'ESS SUPPLY DATA'!$AF:$AF,'CT capacity tracker'!$B68,'ESS SUPPLY DATA'!$AE:$AE,'CT capacity tracker'!$A$51,'ESS SUPPLY DATA'!$W:$W,'CT capacity tracker'!I$1,'ESS SUPPLY DATA'!$AO:$AO,"other")</f>
        <v>0</v>
      </c>
      <c r="J71" s="504">
        <f>SUMIFS('PV SUPPLY DATA'!$X:$X,'PV SUPPLY DATA'!$AH:$AH,'CT capacity tracker'!$B68,'PV SUPPLY DATA'!$AG:$AG,'CT capacity tracker'!$A$51,'PV SUPPLY DATA'!$Y:$Y,J$1,'PV SUPPLY DATA'!$AQ:$AQ,"cosco")+SUMIFS('PV SUPPLY DATA'!$X:$X,'PV SUPPLY DATA'!$AH:$AH,'CT capacity tracker'!$B68,'PV SUPPLY DATA'!$AG:$AG,'CT capacity tracker'!$A$51,'PV SUPPLY DATA'!$Y:$Y,J$1,'PV SUPPLY DATA'!$AQ:$AQ,"other")+SUMIFS('ESS SUPPLY DATA'!$U:$U,'ESS SUPPLY DATA'!$AF:$AF,'CT capacity tracker'!$B68,'ESS SUPPLY DATA'!$AE:$AE,'CT capacity tracker'!$A$51,'ESS SUPPLY DATA'!$W:$W,'CT capacity tracker'!J$1,'ESS SUPPLY DATA'!$AO:$AO,"cosco")+SUMIFS('ESS SUPPLY DATA'!$U:$U,'ESS SUPPLY DATA'!$AF:$AF,'CT capacity tracker'!$B68,'ESS SUPPLY DATA'!$AE:$AE,'CT capacity tracker'!$A$51,'ESS SUPPLY DATA'!$W:$W,'CT capacity tracker'!J$1,'ESS SUPPLY DATA'!$AO:$AO,"other")</f>
        <v>1</v>
      </c>
      <c r="K71" s="504">
        <f>SUMIFS('PV SUPPLY DATA'!$X:$X,'PV SUPPLY DATA'!$AH:$AH,'CT capacity tracker'!$B68,'PV SUPPLY DATA'!$AG:$AG,'CT capacity tracker'!$A$51,'PV SUPPLY DATA'!$Y:$Y,K$1,'PV SUPPLY DATA'!$AQ:$AQ,"cosco")+SUMIFS('PV SUPPLY DATA'!$X:$X,'PV SUPPLY DATA'!$AH:$AH,'CT capacity tracker'!$B68,'PV SUPPLY DATA'!$AG:$AG,'CT capacity tracker'!$A$51,'PV SUPPLY DATA'!$Y:$Y,K$1,'PV SUPPLY DATA'!$AQ:$AQ,"other")+SUMIFS('ESS SUPPLY DATA'!$U:$U,'ESS SUPPLY DATA'!$AF:$AF,'CT capacity tracker'!$B68,'ESS SUPPLY DATA'!$AE:$AE,'CT capacity tracker'!$A$51,'ESS SUPPLY DATA'!$W:$W,'CT capacity tracker'!K$1,'ESS SUPPLY DATA'!$AO:$AO,"cosco")+SUMIFS('ESS SUPPLY DATA'!$U:$U,'ESS SUPPLY DATA'!$AF:$AF,'CT capacity tracker'!$B68,'ESS SUPPLY DATA'!$AE:$AE,'CT capacity tracker'!$A$51,'ESS SUPPLY DATA'!$W:$W,'CT capacity tracker'!K$1,'ESS SUPPLY DATA'!$AO:$AO,"other")</f>
        <v>0</v>
      </c>
      <c r="L71" s="504">
        <f>SUMIFS('PV SUPPLY DATA'!$X:$X,'PV SUPPLY DATA'!$AH:$AH,'CT capacity tracker'!$B68,'PV SUPPLY DATA'!$AG:$AG,'CT capacity tracker'!$A$51,'PV SUPPLY DATA'!$Y:$Y,L$1,'PV SUPPLY DATA'!$AQ:$AQ,"cosco")+SUMIFS('PV SUPPLY DATA'!$X:$X,'PV SUPPLY DATA'!$AH:$AH,'CT capacity tracker'!$B68,'PV SUPPLY DATA'!$AG:$AG,'CT capacity tracker'!$A$51,'PV SUPPLY DATA'!$Y:$Y,L$1,'PV SUPPLY DATA'!$AQ:$AQ,"other")+SUMIFS('ESS SUPPLY DATA'!$U:$U,'ESS SUPPLY DATA'!$AF:$AF,'CT capacity tracker'!$B68,'ESS SUPPLY DATA'!$AE:$AE,'CT capacity tracker'!$A$51,'ESS SUPPLY DATA'!$W:$W,'CT capacity tracker'!L$1,'ESS SUPPLY DATA'!$AO:$AO,"cosco")+SUMIFS('ESS SUPPLY DATA'!$U:$U,'ESS SUPPLY DATA'!$AF:$AF,'CT capacity tracker'!$B68,'ESS SUPPLY DATA'!$AE:$AE,'CT capacity tracker'!$A$51,'ESS SUPPLY DATA'!$W:$W,'CT capacity tracker'!L$1,'ESS SUPPLY DATA'!$AO:$AO,"other")</f>
        <v>0</v>
      </c>
      <c r="M71" s="504">
        <f>SUMIFS('PV SUPPLY DATA'!$X:$X,'PV SUPPLY DATA'!$AH:$AH,'CT capacity tracker'!$B68,'PV SUPPLY DATA'!$AG:$AG,'CT capacity tracker'!$A$51,'PV SUPPLY DATA'!$Y:$Y,M$1,'PV SUPPLY DATA'!$AQ:$AQ,"cosco")+SUMIFS('PV SUPPLY DATA'!$X:$X,'PV SUPPLY DATA'!$AH:$AH,'CT capacity tracker'!$B68,'PV SUPPLY DATA'!$AG:$AG,'CT capacity tracker'!$A$51,'PV SUPPLY DATA'!$Y:$Y,M$1,'PV SUPPLY DATA'!$AQ:$AQ,"other")+SUMIFS('ESS SUPPLY DATA'!$U:$U,'ESS SUPPLY DATA'!$AF:$AF,'CT capacity tracker'!$B68,'ESS SUPPLY DATA'!$AE:$AE,'CT capacity tracker'!$A$51,'ESS SUPPLY DATA'!$W:$W,'CT capacity tracker'!M$1,'ESS SUPPLY DATA'!$AO:$AO,"cosco")+SUMIFS('ESS SUPPLY DATA'!$U:$U,'ESS SUPPLY DATA'!$AF:$AF,'CT capacity tracker'!$B68,'ESS SUPPLY DATA'!$AE:$AE,'CT capacity tracker'!$A$51,'ESS SUPPLY DATA'!$W:$W,'CT capacity tracker'!M$1,'ESS SUPPLY DATA'!$AO:$AO,"other")</f>
        <v>0</v>
      </c>
      <c r="N71" s="504">
        <f>SUMIFS('PV SUPPLY DATA'!$X:$X,'PV SUPPLY DATA'!$AH:$AH,'CT capacity tracker'!$B68,'PV SUPPLY DATA'!$AG:$AG,'CT capacity tracker'!$A$51,'PV SUPPLY DATA'!$Y:$Y,N$1,'PV SUPPLY DATA'!$AQ:$AQ,"cosco")+SUMIFS('PV SUPPLY DATA'!$X:$X,'PV SUPPLY DATA'!$AH:$AH,'CT capacity tracker'!$B68,'PV SUPPLY DATA'!$AG:$AG,'CT capacity tracker'!$A$51,'PV SUPPLY DATA'!$Y:$Y,N$1,'PV SUPPLY DATA'!$AQ:$AQ,"other")+SUMIFS('ESS SUPPLY DATA'!$U:$U,'ESS SUPPLY DATA'!$AF:$AF,'CT capacity tracker'!$B68,'ESS SUPPLY DATA'!$AE:$AE,'CT capacity tracker'!$A$51,'ESS SUPPLY DATA'!$W:$W,'CT capacity tracker'!N$1,'ESS SUPPLY DATA'!$AO:$AO,"cosco")+SUMIFS('ESS SUPPLY DATA'!$U:$U,'ESS SUPPLY DATA'!$AF:$AF,'CT capacity tracker'!$B68,'ESS SUPPLY DATA'!$AE:$AE,'CT capacity tracker'!$A$51,'ESS SUPPLY DATA'!$W:$W,'CT capacity tracker'!N$1,'ESS SUPPLY DATA'!$AO:$AO,"other")</f>
        <v>0</v>
      </c>
      <c r="O71" s="504">
        <f>SUMIFS('PV SUPPLY DATA'!$X:$X,'PV SUPPLY DATA'!$AH:$AH,'CT capacity tracker'!$B68,'PV SUPPLY DATA'!$AG:$AG,'CT capacity tracker'!$A$51,'PV SUPPLY DATA'!$Y:$Y,O$1,'PV SUPPLY DATA'!$AQ:$AQ,"cosco")+SUMIFS('PV SUPPLY DATA'!$X:$X,'PV SUPPLY DATA'!$AH:$AH,'CT capacity tracker'!$B68,'PV SUPPLY DATA'!$AG:$AG,'CT capacity tracker'!$A$51,'PV SUPPLY DATA'!$Y:$Y,O$1,'PV SUPPLY DATA'!$AQ:$AQ,"other")+SUMIFS('ESS SUPPLY DATA'!$U:$U,'ESS SUPPLY DATA'!$AF:$AF,'CT capacity tracker'!$B68,'ESS SUPPLY DATA'!$AE:$AE,'CT capacity tracker'!$A$51,'ESS SUPPLY DATA'!$W:$W,'CT capacity tracker'!O$1,'ESS SUPPLY DATA'!$AO:$AO,"cosco")+SUMIFS('ESS SUPPLY DATA'!$U:$U,'ESS SUPPLY DATA'!$AF:$AF,'CT capacity tracker'!$B68,'ESS SUPPLY DATA'!$AE:$AE,'CT capacity tracker'!$A$51,'ESS SUPPLY DATA'!$W:$W,'CT capacity tracker'!O$1,'ESS SUPPLY DATA'!$AO:$AO,"other")</f>
        <v>0</v>
      </c>
      <c r="P71" s="504">
        <f>SUMIFS('PV SUPPLY DATA'!$X:$X,'PV SUPPLY DATA'!$AH:$AH,'CT capacity tracker'!$B68,'PV SUPPLY DATA'!$AG:$AG,'CT capacity tracker'!$A$51,'PV SUPPLY DATA'!$Y:$Y,P$1,'PV SUPPLY DATA'!$AQ:$AQ,"cosco")+SUMIFS('PV SUPPLY DATA'!$X:$X,'PV SUPPLY DATA'!$AH:$AH,'CT capacity tracker'!$B68,'PV SUPPLY DATA'!$AG:$AG,'CT capacity tracker'!$A$51,'PV SUPPLY DATA'!$Y:$Y,P$1,'PV SUPPLY DATA'!$AQ:$AQ,"other")+SUMIFS('ESS SUPPLY DATA'!$U:$U,'ESS SUPPLY DATA'!$AF:$AF,'CT capacity tracker'!$B68,'ESS SUPPLY DATA'!$AE:$AE,'CT capacity tracker'!$A$51,'ESS SUPPLY DATA'!$W:$W,'CT capacity tracker'!P$1,'ESS SUPPLY DATA'!$AO:$AO,"cosco")+SUMIFS('ESS SUPPLY DATA'!$U:$U,'ESS SUPPLY DATA'!$AF:$AF,'CT capacity tracker'!$B68,'ESS SUPPLY DATA'!$AE:$AE,'CT capacity tracker'!$A$51,'ESS SUPPLY DATA'!$W:$W,'CT capacity tracker'!P$1,'ESS SUPPLY DATA'!$AO:$AO,"other")</f>
        <v>0</v>
      </c>
      <c r="Q71" s="504">
        <f>SUMIFS('PV SUPPLY DATA'!$X:$X,'PV SUPPLY DATA'!$AH:$AH,'CT capacity tracker'!$B68,'PV SUPPLY DATA'!$AG:$AG,'CT capacity tracker'!$A$51,'PV SUPPLY DATA'!$Y:$Y,Q$1,'PV SUPPLY DATA'!$AQ:$AQ,"cosco")+SUMIFS('PV SUPPLY DATA'!$X:$X,'PV SUPPLY DATA'!$AH:$AH,'CT capacity tracker'!$B68,'PV SUPPLY DATA'!$AG:$AG,'CT capacity tracker'!$A$51,'PV SUPPLY DATA'!$Y:$Y,Q$1,'PV SUPPLY DATA'!$AQ:$AQ,"other")+SUMIFS('ESS SUPPLY DATA'!$U:$U,'ESS SUPPLY DATA'!$AF:$AF,'CT capacity tracker'!$B68,'ESS SUPPLY DATA'!$AE:$AE,'CT capacity tracker'!$A$51,'ESS SUPPLY DATA'!$W:$W,'CT capacity tracker'!Q$1,'ESS SUPPLY DATA'!$AO:$AO,"cosco")+SUMIFS('ESS SUPPLY DATA'!$U:$U,'ESS SUPPLY DATA'!$AF:$AF,'CT capacity tracker'!$B68,'ESS SUPPLY DATA'!$AE:$AE,'CT capacity tracker'!$A$51,'ESS SUPPLY DATA'!$W:$W,'CT capacity tracker'!Q$1,'ESS SUPPLY DATA'!$AO:$AO,"other")</f>
        <v>0</v>
      </c>
      <c r="R71" s="504">
        <f>SUMIFS('PV SUPPLY DATA'!$X:$X,'PV SUPPLY DATA'!$AH:$AH,'CT capacity tracker'!$B68,'PV SUPPLY DATA'!$AG:$AG,'CT capacity tracker'!$A$51,'PV SUPPLY DATA'!$Y:$Y,R$1,'PV SUPPLY DATA'!$AQ:$AQ,"cosco")+SUMIFS('PV SUPPLY DATA'!$X:$X,'PV SUPPLY DATA'!$AH:$AH,'CT capacity tracker'!$B68,'PV SUPPLY DATA'!$AG:$AG,'CT capacity tracker'!$A$51,'PV SUPPLY DATA'!$Y:$Y,R$1,'PV SUPPLY DATA'!$AQ:$AQ,"other")+SUMIFS('ESS SUPPLY DATA'!$U:$U,'ESS SUPPLY DATA'!$AF:$AF,'CT capacity tracker'!$B68,'ESS SUPPLY DATA'!$AE:$AE,'CT capacity tracker'!$A$51,'ESS SUPPLY DATA'!$W:$W,'CT capacity tracker'!R$1,'ESS SUPPLY DATA'!$AO:$AO,"cosco")+SUMIFS('ESS SUPPLY DATA'!$U:$U,'ESS SUPPLY DATA'!$AF:$AF,'CT capacity tracker'!$B68,'ESS SUPPLY DATA'!$AE:$AE,'CT capacity tracker'!$A$51,'ESS SUPPLY DATA'!$W:$W,'CT capacity tracker'!R$1,'ESS SUPPLY DATA'!$AO:$AO,"other")</f>
        <v>0</v>
      </c>
      <c r="S71" s="504">
        <f>SUMIFS('PV SUPPLY DATA'!$X:$X,'PV SUPPLY DATA'!$AH:$AH,'CT capacity tracker'!$B68,'PV SUPPLY DATA'!$AG:$AG,'CT capacity tracker'!$A$51,'PV SUPPLY DATA'!$Y:$Y,S$1,'PV SUPPLY DATA'!$AQ:$AQ,"cosco")+SUMIFS('PV SUPPLY DATA'!$X:$X,'PV SUPPLY DATA'!$AH:$AH,'CT capacity tracker'!$B68,'PV SUPPLY DATA'!$AG:$AG,'CT capacity tracker'!$A$51,'PV SUPPLY DATA'!$Y:$Y,S$1,'PV SUPPLY DATA'!$AQ:$AQ,"other")+SUMIFS('ESS SUPPLY DATA'!$U:$U,'ESS SUPPLY DATA'!$AF:$AF,'CT capacity tracker'!$B68,'ESS SUPPLY DATA'!$AE:$AE,'CT capacity tracker'!$A$51,'ESS SUPPLY DATA'!$W:$W,'CT capacity tracker'!S$1,'ESS SUPPLY DATA'!$AO:$AO,"cosco")+SUMIFS('ESS SUPPLY DATA'!$U:$U,'ESS SUPPLY DATA'!$AF:$AF,'CT capacity tracker'!$B68,'ESS SUPPLY DATA'!$AE:$AE,'CT capacity tracker'!$A$51,'ESS SUPPLY DATA'!$W:$W,'CT capacity tracker'!S$1,'ESS SUPPLY DATA'!$AO:$AO,"other")</f>
        <v>0</v>
      </c>
      <c r="T71" s="504">
        <f>SUMIFS('PV SUPPLY DATA'!$X:$X,'PV SUPPLY DATA'!$AH:$AH,'CT capacity tracker'!$B68,'PV SUPPLY DATA'!$AG:$AG,'CT capacity tracker'!$A$51,'PV SUPPLY DATA'!$Y:$Y,T$1,'PV SUPPLY DATA'!$AQ:$AQ,"cosco")+SUMIFS('PV SUPPLY DATA'!$X:$X,'PV SUPPLY DATA'!$AH:$AH,'CT capacity tracker'!$B68,'PV SUPPLY DATA'!$AG:$AG,'CT capacity tracker'!$A$51,'PV SUPPLY DATA'!$Y:$Y,T$1,'PV SUPPLY DATA'!$AQ:$AQ,"other")+SUMIFS('ESS SUPPLY DATA'!$U:$U,'ESS SUPPLY DATA'!$AF:$AF,'CT capacity tracker'!$B68,'ESS SUPPLY DATA'!$AE:$AE,'CT capacity tracker'!$A$51,'ESS SUPPLY DATA'!$W:$W,'CT capacity tracker'!T$1,'ESS SUPPLY DATA'!$AO:$AO,"cosco")+SUMIFS('ESS SUPPLY DATA'!$U:$U,'ESS SUPPLY DATA'!$AF:$AF,'CT capacity tracker'!$B68,'ESS SUPPLY DATA'!$AE:$AE,'CT capacity tracker'!$A$51,'ESS SUPPLY DATA'!$W:$W,'CT capacity tracker'!T$1,'ESS SUPPLY DATA'!$AO:$AO,"other")</f>
        <v>0</v>
      </c>
      <c r="U71" s="504">
        <f>SUMIFS('PV SUPPLY DATA'!$X:$X,'PV SUPPLY DATA'!$AH:$AH,'CT capacity tracker'!$B68,'PV SUPPLY DATA'!$AG:$AG,'CT capacity tracker'!$A$51,'PV SUPPLY DATA'!$Y:$Y,U$1,'PV SUPPLY DATA'!$AQ:$AQ,"cosco")+SUMIFS('PV SUPPLY DATA'!$X:$X,'PV SUPPLY DATA'!$AH:$AH,'CT capacity tracker'!$B68,'PV SUPPLY DATA'!$AG:$AG,'CT capacity tracker'!$A$51,'PV SUPPLY DATA'!$Y:$Y,U$1,'PV SUPPLY DATA'!$AQ:$AQ,"other")+SUMIFS('ESS SUPPLY DATA'!$U:$U,'ESS SUPPLY DATA'!$AF:$AF,'CT capacity tracker'!$B68,'ESS SUPPLY DATA'!$AE:$AE,'CT capacity tracker'!$A$51,'ESS SUPPLY DATA'!$W:$W,'CT capacity tracker'!U$1,'ESS SUPPLY DATA'!$AO:$AO,"cosco")+SUMIFS('ESS SUPPLY DATA'!$U:$U,'ESS SUPPLY DATA'!$AF:$AF,'CT capacity tracker'!$B68,'ESS SUPPLY DATA'!$AE:$AE,'CT capacity tracker'!$A$51,'ESS SUPPLY DATA'!$W:$W,'CT capacity tracker'!U$1,'ESS SUPPLY DATA'!$AO:$AO,"other")</f>
        <v>0</v>
      </c>
      <c r="V71" s="504">
        <f>SUMIFS('PV SUPPLY DATA'!$X:$X,'PV SUPPLY DATA'!$AH:$AH,'CT capacity tracker'!$B68,'PV SUPPLY DATA'!$AG:$AG,'CT capacity tracker'!$A$51,'PV SUPPLY DATA'!$Y:$Y,V$1,'PV SUPPLY DATA'!$AQ:$AQ,"cosco")+SUMIFS('PV SUPPLY DATA'!$X:$X,'PV SUPPLY DATA'!$AH:$AH,'CT capacity tracker'!$B68,'PV SUPPLY DATA'!$AG:$AG,'CT capacity tracker'!$A$51,'PV SUPPLY DATA'!$Y:$Y,V$1,'PV SUPPLY DATA'!$AQ:$AQ,"other")+SUMIFS('ESS SUPPLY DATA'!$U:$U,'ESS SUPPLY DATA'!$AF:$AF,'CT capacity tracker'!$B68,'ESS SUPPLY DATA'!$AE:$AE,'CT capacity tracker'!$A$51,'ESS SUPPLY DATA'!$W:$W,'CT capacity tracker'!V$1,'ESS SUPPLY DATA'!$AO:$AO,"cosco")+SUMIFS('ESS SUPPLY DATA'!$U:$U,'ESS SUPPLY DATA'!$AF:$AF,'CT capacity tracker'!$B68,'ESS SUPPLY DATA'!$AE:$AE,'CT capacity tracker'!$A$51,'ESS SUPPLY DATA'!$W:$W,'CT capacity tracker'!V$1,'ESS SUPPLY DATA'!$AO:$AO,"other")</f>
        <v>0</v>
      </c>
      <c r="W71" s="504">
        <f>SUMIFS('PV SUPPLY DATA'!$X:$X,'PV SUPPLY DATA'!$AH:$AH,'CT capacity tracker'!$B68,'PV SUPPLY DATA'!$AG:$AG,'CT capacity tracker'!$A$51,'PV SUPPLY DATA'!$Y:$Y,W$1,'PV SUPPLY DATA'!$AQ:$AQ,"cosco")+SUMIFS('PV SUPPLY DATA'!$X:$X,'PV SUPPLY DATA'!$AH:$AH,'CT capacity tracker'!$B68,'PV SUPPLY DATA'!$AG:$AG,'CT capacity tracker'!$A$51,'PV SUPPLY DATA'!$Y:$Y,W$1,'PV SUPPLY DATA'!$AQ:$AQ,"other")+SUMIFS('ESS SUPPLY DATA'!$U:$U,'ESS SUPPLY DATA'!$AF:$AF,'CT capacity tracker'!$B68,'ESS SUPPLY DATA'!$AE:$AE,'CT capacity tracker'!$A$51,'ESS SUPPLY DATA'!$W:$W,'CT capacity tracker'!W$1,'ESS SUPPLY DATA'!$AO:$AO,"cosco")+SUMIFS('ESS SUPPLY DATA'!$U:$U,'ESS SUPPLY DATA'!$AF:$AF,'CT capacity tracker'!$B68,'ESS SUPPLY DATA'!$AE:$AE,'CT capacity tracker'!$A$51,'ESS SUPPLY DATA'!$W:$W,'CT capacity tracker'!W$1,'ESS SUPPLY DATA'!$AO:$AO,"other")</f>
        <v>0</v>
      </c>
      <c r="X71" s="504">
        <f>SUMIFS('PV SUPPLY DATA'!$X:$X,'PV SUPPLY DATA'!$AH:$AH,'CT capacity tracker'!$B68,'PV SUPPLY DATA'!$AG:$AG,'CT capacity tracker'!$A$51,'PV SUPPLY DATA'!$Y:$Y,X$1,'PV SUPPLY DATA'!$AQ:$AQ,"cosco")+SUMIFS('PV SUPPLY DATA'!$X:$X,'PV SUPPLY DATA'!$AH:$AH,'CT capacity tracker'!$B68,'PV SUPPLY DATA'!$AG:$AG,'CT capacity tracker'!$A$51,'PV SUPPLY DATA'!$Y:$Y,X$1,'PV SUPPLY DATA'!$AQ:$AQ,"other")+SUMIFS('ESS SUPPLY DATA'!$U:$U,'ESS SUPPLY DATA'!$AF:$AF,'CT capacity tracker'!$B68,'ESS SUPPLY DATA'!$AE:$AE,'CT capacity tracker'!$A$51,'ESS SUPPLY DATA'!$W:$W,'CT capacity tracker'!X$1,'ESS SUPPLY DATA'!$AO:$AO,"cosco")+SUMIFS('ESS SUPPLY DATA'!$U:$U,'ESS SUPPLY DATA'!$AF:$AF,'CT capacity tracker'!$B68,'ESS SUPPLY DATA'!$AE:$AE,'CT capacity tracker'!$A$51,'ESS SUPPLY DATA'!$W:$W,'CT capacity tracker'!X$1,'ESS SUPPLY DATA'!$AO:$AO,"other")</f>
        <v>0</v>
      </c>
      <c r="Y71" s="504">
        <f>SUMIFS('PV SUPPLY DATA'!$X:$X,'PV SUPPLY DATA'!$AH:$AH,'CT capacity tracker'!$B68,'PV SUPPLY DATA'!$AG:$AG,'CT capacity tracker'!$A$51,'PV SUPPLY DATA'!$Y:$Y,Y$1,'PV SUPPLY DATA'!$AQ:$AQ,"cosco")+SUMIFS('PV SUPPLY DATA'!$X:$X,'PV SUPPLY DATA'!$AH:$AH,'CT capacity tracker'!$B68,'PV SUPPLY DATA'!$AG:$AG,'CT capacity tracker'!$A$51,'PV SUPPLY DATA'!$Y:$Y,Y$1,'PV SUPPLY DATA'!$AQ:$AQ,"other")+SUMIFS('ESS SUPPLY DATA'!$U:$U,'ESS SUPPLY DATA'!$AF:$AF,'CT capacity tracker'!$B68,'ESS SUPPLY DATA'!$AE:$AE,'CT capacity tracker'!$A$51,'ESS SUPPLY DATA'!$W:$W,'CT capacity tracker'!Y$1,'ESS SUPPLY DATA'!$AO:$AO,"cosco")+SUMIFS('ESS SUPPLY DATA'!$U:$U,'ESS SUPPLY DATA'!$AF:$AF,'CT capacity tracker'!$B68,'ESS SUPPLY DATA'!$AE:$AE,'CT capacity tracker'!$A$51,'ESS SUPPLY DATA'!$W:$W,'CT capacity tracker'!Y$1,'ESS SUPPLY DATA'!$AO:$AO,"other")</f>
        <v>0</v>
      </c>
      <c r="Z71" s="504">
        <f>SUMIFS('PV SUPPLY DATA'!$X:$X,'PV SUPPLY DATA'!$AH:$AH,'CT capacity tracker'!$B68,'PV SUPPLY DATA'!$AG:$AG,'CT capacity tracker'!$A$51,'PV SUPPLY DATA'!$Y:$Y,Z$1,'PV SUPPLY DATA'!$AQ:$AQ,"cosco")+SUMIFS('PV SUPPLY DATA'!$X:$X,'PV SUPPLY DATA'!$AH:$AH,'CT capacity tracker'!$B68,'PV SUPPLY DATA'!$AG:$AG,'CT capacity tracker'!$A$51,'PV SUPPLY DATA'!$Y:$Y,Z$1,'PV SUPPLY DATA'!$AQ:$AQ,"other")+SUMIFS('ESS SUPPLY DATA'!$U:$U,'ESS SUPPLY DATA'!$AF:$AF,'CT capacity tracker'!$B68,'ESS SUPPLY DATA'!$AE:$AE,'CT capacity tracker'!$A$51,'ESS SUPPLY DATA'!$W:$W,'CT capacity tracker'!Z$1,'ESS SUPPLY DATA'!$AO:$AO,"cosco")+SUMIFS('ESS SUPPLY DATA'!$U:$U,'ESS SUPPLY DATA'!$AF:$AF,'CT capacity tracker'!$B68,'ESS SUPPLY DATA'!$AE:$AE,'CT capacity tracker'!$A$51,'ESS SUPPLY DATA'!$W:$W,'CT capacity tracker'!Z$1,'ESS SUPPLY DATA'!$AO:$AO,"other")</f>
        <v>0</v>
      </c>
      <c r="AA71" s="504">
        <f>SUMIFS('PV SUPPLY DATA'!$X:$X,'PV SUPPLY DATA'!$AH:$AH,'CT capacity tracker'!$B68,'PV SUPPLY DATA'!$AG:$AG,'CT capacity tracker'!$A$51,'PV SUPPLY DATA'!$Y:$Y,AA$1,'PV SUPPLY DATA'!$AQ:$AQ,"cosco")+SUMIFS('PV SUPPLY DATA'!$X:$X,'PV SUPPLY DATA'!$AH:$AH,'CT capacity tracker'!$B68,'PV SUPPLY DATA'!$AG:$AG,'CT capacity tracker'!$A$51,'PV SUPPLY DATA'!$Y:$Y,AA$1,'PV SUPPLY DATA'!$AQ:$AQ,"other")+SUMIFS('ESS SUPPLY DATA'!$U:$U,'ESS SUPPLY DATA'!$AF:$AF,'CT capacity tracker'!$B68,'ESS SUPPLY DATA'!$AE:$AE,'CT capacity tracker'!$A$51,'ESS SUPPLY DATA'!$W:$W,'CT capacity tracker'!AA$1,'ESS SUPPLY DATA'!$AO:$AO,"cosco")+SUMIFS('ESS SUPPLY DATA'!$U:$U,'ESS SUPPLY DATA'!$AF:$AF,'CT capacity tracker'!$B68,'ESS SUPPLY DATA'!$AE:$AE,'CT capacity tracker'!$A$51,'ESS SUPPLY DATA'!$W:$W,'CT capacity tracker'!AA$1,'ESS SUPPLY DATA'!$AO:$AO,"other")</f>
        <v>0</v>
      </c>
      <c r="AB71" s="504">
        <f>SUMIFS('PV SUPPLY DATA'!$X:$X,'PV SUPPLY DATA'!$AH:$AH,'CT capacity tracker'!$B68,'PV SUPPLY DATA'!$AG:$AG,'CT capacity tracker'!$A$51,'PV SUPPLY DATA'!$Y:$Y,AB$1,'PV SUPPLY DATA'!$AQ:$AQ,"cosco")+SUMIFS('PV SUPPLY DATA'!$X:$X,'PV SUPPLY DATA'!$AH:$AH,'CT capacity tracker'!$B68,'PV SUPPLY DATA'!$AG:$AG,'CT capacity tracker'!$A$51,'PV SUPPLY DATA'!$Y:$Y,AB$1,'PV SUPPLY DATA'!$AQ:$AQ,"other")+SUMIFS('ESS SUPPLY DATA'!$U:$U,'ESS SUPPLY DATA'!$AF:$AF,'CT capacity tracker'!$B68,'ESS SUPPLY DATA'!$AE:$AE,'CT capacity tracker'!$A$51,'ESS SUPPLY DATA'!$W:$W,'CT capacity tracker'!AB$1,'ESS SUPPLY DATA'!$AO:$AO,"cosco")+SUMIFS('ESS SUPPLY DATA'!$U:$U,'ESS SUPPLY DATA'!$AF:$AF,'CT capacity tracker'!$B68,'ESS SUPPLY DATA'!$AE:$AE,'CT capacity tracker'!$A$51,'ESS SUPPLY DATA'!$W:$W,'CT capacity tracker'!AB$1,'ESS SUPPLY DATA'!$AO:$AO,"other")</f>
        <v>0</v>
      </c>
      <c r="AC71" s="504">
        <f>SUMIFS('PV SUPPLY DATA'!$X:$X,'PV SUPPLY DATA'!$AH:$AH,'CT capacity tracker'!$B68,'PV SUPPLY DATA'!$AG:$AG,'CT capacity tracker'!$A$51,'PV SUPPLY DATA'!$Y:$Y,AC$1,'PV SUPPLY DATA'!$AQ:$AQ,"cosco")+SUMIFS('PV SUPPLY DATA'!$X:$X,'PV SUPPLY DATA'!$AH:$AH,'CT capacity tracker'!$B68,'PV SUPPLY DATA'!$AG:$AG,'CT capacity tracker'!$A$51,'PV SUPPLY DATA'!$Y:$Y,AC$1,'PV SUPPLY DATA'!$AQ:$AQ,"other")+SUMIFS('ESS SUPPLY DATA'!$U:$U,'ESS SUPPLY DATA'!$AF:$AF,'CT capacity tracker'!$B68,'ESS SUPPLY DATA'!$AE:$AE,'CT capacity tracker'!$A$51,'ESS SUPPLY DATA'!$W:$W,'CT capacity tracker'!AC$1,'ESS SUPPLY DATA'!$AO:$AO,"cosco")+SUMIFS('ESS SUPPLY DATA'!$U:$U,'ESS SUPPLY DATA'!$AF:$AF,'CT capacity tracker'!$B68,'ESS SUPPLY DATA'!$AE:$AE,'CT capacity tracker'!$A$51,'ESS SUPPLY DATA'!$W:$W,'CT capacity tracker'!AC$1,'ESS SUPPLY DATA'!$AO:$AO,"other")</f>
        <v>0</v>
      </c>
      <c r="AD71" s="504">
        <f>SUMIFS('PV SUPPLY DATA'!$X:$X,'PV SUPPLY DATA'!$AH:$AH,'CT capacity tracker'!$B68,'PV SUPPLY DATA'!$AG:$AG,'CT capacity tracker'!$A$51,'PV SUPPLY DATA'!$Y:$Y,AD$1,'PV SUPPLY DATA'!$AQ:$AQ,"cosco")+SUMIFS('PV SUPPLY DATA'!$X:$X,'PV SUPPLY DATA'!$AH:$AH,'CT capacity tracker'!$B68,'PV SUPPLY DATA'!$AG:$AG,'CT capacity tracker'!$A$51,'PV SUPPLY DATA'!$Y:$Y,AD$1,'PV SUPPLY DATA'!$AQ:$AQ,"other")+SUMIFS('ESS SUPPLY DATA'!$U:$U,'ESS SUPPLY DATA'!$AF:$AF,'CT capacity tracker'!$B68,'ESS SUPPLY DATA'!$AE:$AE,'CT capacity tracker'!$A$51,'ESS SUPPLY DATA'!$W:$W,'CT capacity tracker'!AD$1,'ESS SUPPLY DATA'!$AO:$AO,"cosco")+SUMIFS('ESS SUPPLY DATA'!$U:$U,'ESS SUPPLY DATA'!$AF:$AF,'CT capacity tracker'!$B68,'ESS SUPPLY DATA'!$AE:$AE,'CT capacity tracker'!$A$51,'ESS SUPPLY DATA'!$W:$W,'CT capacity tracker'!AD$1,'ESS SUPPLY DATA'!$AO:$AO,"other")</f>
        <v>0</v>
      </c>
      <c r="AE71" s="504">
        <f>SUMIFS('PV SUPPLY DATA'!$X:$X,'PV SUPPLY DATA'!$AH:$AH,'CT capacity tracker'!$B68,'PV SUPPLY DATA'!$AG:$AG,'CT capacity tracker'!$A$51,'PV SUPPLY DATA'!$Y:$Y,AE$1,'PV SUPPLY DATA'!$AQ:$AQ,"cosco")+SUMIFS('PV SUPPLY DATA'!$X:$X,'PV SUPPLY DATA'!$AH:$AH,'CT capacity tracker'!$B68,'PV SUPPLY DATA'!$AG:$AG,'CT capacity tracker'!$A$51,'PV SUPPLY DATA'!$Y:$Y,AE$1,'PV SUPPLY DATA'!$AQ:$AQ,"other")+SUMIFS('ESS SUPPLY DATA'!$U:$U,'ESS SUPPLY DATA'!$AF:$AF,'CT capacity tracker'!$B68,'ESS SUPPLY DATA'!$AE:$AE,'CT capacity tracker'!$A$51,'ESS SUPPLY DATA'!$W:$W,'CT capacity tracker'!AE$1,'ESS SUPPLY DATA'!$AO:$AO,"cosco")+SUMIFS('ESS SUPPLY DATA'!$U:$U,'ESS SUPPLY DATA'!$AF:$AF,'CT capacity tracker'!$B68,'ESS SUPPLY DATA'!$AE:$AE,'CT capacity tracker'!$A$51,'ESS SUPPLY DATA'!$W:$W,'CT capacity tracker'!AE$1,'ESS SUPPLY DATA'!$AO:$AO,"other")</f>
        <v>0</v>
      </c>
      <c r="AF71" s="504">
        <f>SUMIFS('PV SUPPLY DATA'!$X:$X,'PV SUPPLY DATA'!$AH:$AH,'CT capacity tracker'!$B68,'PV SUPPLY DATA'!$AG:$AG,'CT capacity tracker'!$A$51,'PV SUPPLY DATA'!$Y:$Y,AF$1,'PV SUPPLY DATA'!$AQ:$AQ,"cosco")+SUMIFS('PV SUPPLY DATA'!$X:$X,'PV SUPPLY DATA'!$AH:$AH,'CT capacity tracker'!$B68,'PV SUPPLY DATA'!$AG:$AG,'CT capacity tracker'!$A$51,'PV SUPPLY DATA'!$Y:$Y,AF$1,'PV SUPPLY DATA'!$AQ:$AQ,"other")+SUMIFS('ESS SUPPLY DATA'!$U:$U,'ESS SUPPLY DATA'!$AF:$AF,'CT capacity tracker'!$B68,'ESS SUPPLY DATA'!$AE:$AE,'CT capacity tracker'!$A$51,'ESS SUPPLY DATA'!$W:$W,'CT capacity tracker'!AF$1,'ESS SUPPLY DATA'!$AO:$AO,"cosco")+SUMIFS('ESS SUPPLY DATA'!$U:$U,'ESS SUPPLY DATA'!$AF:$AF,'CT capacity tracker'!$B68,'ESS SUPPLY DATA'!$AE:$AE,'CT capacity tracker'!$A$51,'ESS SUPPLY DATA'!$W:$W,'CT capacity tracker'!AF$1,'ESS SUPPLY DATA'!$AO:$AO,"other")</f>
        <v>0</v>
      </c>
      <c r="AG71" s="504">
        <f>SUMIFS('PV SUPPLY DATA'!$X:$X,'PV SUPPLY DATA'!$AH:$AH,'CT capacity tracker'!$B68,'PV SUPPLY DATA'!$AG:$AG,'CT capacity tracker'!$A$51,'PV SUPPLY DATA'!$Y:$Y,AG$1,'PV SUPPLY DATA'!$AQ:$AQ,"cosco")+SUMIFS('PV SUPPLY DATA'!$X:$X,'PV SUPPLY DATA'!$AH:$AH,'CT capacity tracker'!$B68,'PV SUPPLY DATA'!$AG:$AG,'CT capacity tracker'!$A$51,'PV SUPPLY DATA'!$Y:$Y,AG$1,'PV SUPPLY DATA'!$AQ:$AQ,"other")+SUMIFS('ESS SUPPLY DATA'!$U:$U,'ESS SUPPLY DATA'!$AF:$AF,'CT capacity tracker'!$B68,'ESS SUPPLY DATA'!$AE:$AE,'CT capacity tracker'!$A$51,'ESS SUPPLY DATA'!$W:$W,'CT capacity tracker'!AG$1,'ESS SUPPLY DATA'!$AO:$AO,"cosco")+SUMIFS('ESS SUPPLY DATA'!$U:$U,'ESS SUPPLY DATA'!$AF:$AF,'CT capacity tracker'!$B68,'ESS SUPPLY DATA'!$AE:$AE,'CT capacity tracker'!$A$51,'ESS SUPPLY DATA'!$W:$W,'CT capacity tracker'!AG$1,'ESS SUPPLY DATA'!$AO:$AO,"other")</f>
        <v>0</v>
      </c>
      <c r="AH71" s="504">
        <f>SUMIFS('PV SUPPLY DATA'!$X:$X,'PV SUPPLY DATA'!$AH:$AH,'CT capacity tracker'!$B68,'PV SUPPLY DATA'!$AG:$AG,'CT capacity tracker'!$A$51,'PV SUPPLY DATA'!$Y:$Y,AH$1,'PV SUPPLY DATA'!$AQ:$AQ,"cosco")+SUMIFS('PV SUPPLY DATA'!$X:$X,'PV SUPPLY DATA'!$AH:$AH,'CT capacity tracker'!$B68,'PV SUPPLY DATA'!$AG:$AG,'CT capacity tracker'!$A$51,'PV SUPPLY DATA'!$Y:$Y,AH$1,'PV SUPPLY DATA'!$AQ:$AQ,"other")+SUMIFS('ESS SUPPLY DATA'!$U:$U,'ESS SUPPLY DATA'!$AF:$AF,'CT capacity tracker'!$B68,'ESS SUPPLY DATA'!$AE:$AE,'CT capacity tracker'!$A$51,'ESS SUPPLY DATA'!$W:$W,'CT capacity tracker'!AH$1,'ESS SUPPLY DATA'!$AO:$AO,"cosco")+SUMIFS('ESS SUPPLY DATA'!$U:$U,'ESS SUPPLY DATA'!$AF:$AF,'CT capacity tracker'!$B68,'ESS SUPPLY DATA'!$AE:$AE,'CT capacity tracker'!$A$51,'ESS SUPPLY DATA'!$W:$W,'CT capacity tracker'!AH$1,'ESS SUPPLY DATA'!$AO:$AO,"other")</f>
        <v>0</v>
      </c>
      <c r="AI71" s="504">
        <f>SUMIFS('PV SUPPLY DATA'!$X:$X,'PV SUPPLY DATA'!$AH:$AH,'CT capacity tracker'!$B68,'PV SUPPLY DATA'!$AG:$AG,'CT capacity tracker'!$A$51,'PV SUPPLY DATA'!$Y:$Y,AI$1,'PV SUPPLY DATA'!$AQ:$AQ,"cosco")+SUMIFS('PV SUPPLY DATA'!$X:$X,'PV SUPPLY DATA'!$AH:$AH,'CT capacity tracker'!$B68,'PV SUPPLY DATA'!$AG:$AG,'CT capacity tracker'!$A$51,'PV SUPPLY DATA'!$Y:$Y,AI$1,'PV SUPPLY DATA'!$AQ:$AQ,"other")+SUMIFS('ESS SUPPLY DATA'!$U:$U,'ESS SUPPLY DATA'!$AF:$AF,'CT capacity tracker'!$B68,'ESS SUPPLY DATA'!$AE:$AE,'CT capacity tracker'!$A$51,'ESS SUPPLY DATA'!$W:$W,'CT capacity tracker'!AI$1,'ESS SUPPLY DATA'!$AO:$AO,"cosco")+SUMIFS('ESS SUPPLY DATA'!$U:$U,'ESS SUPPLY DATA'!$AF:$AF,'CT capacity tracker'!$B68,'ESS SUPPLY DATA'!$AE:$AE,'CT capacity tracker'!$A$51,'ESS SUPPLY DATA'!$W:$W,'CT capacity tracker'!AI$1,'ESS SUPPLY DATA'!$AO:$AO,"other")</f>
        <v>0</v>
      </c>
      <c r="AJ71" s="504">
        <f>SUMIFS('PV SUPPLY DATA'!$X:$X,'PV SUPPLY DATA'!$AH:$AH,'CT capacity tracker'!$B68,'PV SUPPLY DATA'!$AG:$AG,'CT capacity tracker'!$A$51,'PV SUPPLY DATA'!$Y:$Y,AJ$1,'PV SUPPLY DATA'!$AQ:$AQ,"cosco")+SUMIFS('PV SUPPLY DATA'!$X:$X,'PV SUPPLY DATA'!$AH:$AH,'CT capacity tracker'!$B68,'PV SUPPLY DATA'!$AG:$AG,'CT capacity tracker'!$A$51,'PV SUPPLY DATA'!$Y:$Y,AJ$1,'PV SUPPLY DATA'!$AQ:$AQ,"other")+SUMIFS('ESS SUPPLY DATA'!$U:$U,'ESS SUPPLY DATA'!$AF:$AF,'CT capacity tracker'!$B68,'ESS SUPPLY DATA'!$AE:$AE,'CT capacity tracker'!$A$51,'ESS SUPPLY DATA'!$W:$W,'CT capacity tracker'!AJ$1,'ESS SUPPLY DATA'!$AO:$AO,"cosco")+SUMIFS('ESS SUPPLY DATA'!$U:$U,'ESS SUPPLY DATA'!$AF:$AF,'CT capacity tracker'!$B68,'ESS SUPPLY DATA'!$AE:$AE,'CT capacity tracker'!$A$51,'ESS SUPPLY DATA'!$W:$W,'CT capacity tracker'!AJ$1,'ESS SUPPLY DATA'!$AO:$AO,"other")</f>
        <v>0</v>
      </c>
      <c r="AK71" s="511"/>
      <c r="AL71" s="511"/>
      <c r="AM71" s="696">
        <f>SUM(E71:X71)</f>
        <v>1</v>
      </c>
      <c r="AN71" s="503"/>
      <c r="AO71" s="506"/>
      <c r="AP71" s="506"/>
      <c r="AQ71" s="506"/>
      <c r="AR71" s="506"/>
      <c r="AS71" s="506"/>
      <c r="AT71" s="506"/>
    </row>
    <row r="72" spans="1:46" ht="13">
      <c r="A72" s="1510" t="s">
        <v>4407</v>
      </c>
      <c r="B72" s="1511"/>
      <c r="C72" s="514" t="s">
        <v>4400</v>
      </c>
      <c r="D72" s="515">
        <f t="shared" ref="D72:X72" si="51">D52+D56+D60+D64+D68</f>
        <v>230</v>
      </c>
      <c r="E72" s="515">
        <f t="shared" si="51"/>
        <v>0</v>
      </c>
      <c r="F72" s="515">
        <f t="shared" si="51"/>
        <v>4</v>
      </c>
      <c r="G72" s="515">
        <f t="shared" si="51"/>
        <v>21</v>
      </c>
      <c r="H72" s="515">
        <f t="shared" si="51"/>
        <v>2</v>
      </c>
      <c r="I72" s="515">
        <f t="shared" si="51"/>
        <v>6</v>
      </c>
      <c r="J72" s="515">
        <f t="shared" si="51"/>
        <v>3</v>
      </c>
      <c r="K72" s="515">
        <f t="shared" si="51"/>
        <v>8</v>
      </c>
      <c r="L72" s="515">
        <f t="shared" si="51"/>
        <v>10</v>
      </c>
      <c r="M72" s="515">
        <f t="shared" si="51"/>
        <v>28</v>
      </c>
      <c r="N72" s="515">
        <f t="shared" si="51"/>
        <v>25</v>
      </c>
      <c r="O72" s="515">
        <f t="shared" si="51"/>
        <v>22</v>
      </c>
      <c r="P72" s="515">
        <f t="shared" si="51"/>
        <v>17</v>
      </c>
      <c r="Q72" s="515">
        <f t="shared" si="51"/>
        <v>9</v>
      </c>
      <c r="R72" s="515">
        <f t="shared" si="51"/>
        <v>14</v>
      </c>
      <c r="S72" s="515">
        <f t="shared" si="51"/>
        <v>8</v>
      </c>
      <c r="T72" s="515">
        <f t="shared" si="51"/>
        <v>32</v>
      </c>
      <c r="U72" s="515">
        <f t="shared" si="51"/>
        <v>2</v>
      </c>
      <c r="V72" s="515">
        <f t="shared" si="51"/>
        <v>8</v>
      </c>
      <c r="W72" s="515">
        <f t="shared" si="51"/>
        <v>1</v>
      </c>
      <c r="X72" s="515">
        <f t="shared" si="51"/>
        <v>2</v>
      </c>
      <c r="Y72" s="515">
        <f t="shared" ref="Y72:AB75" si="52">Y52+Y56+Y60+Y64+Y68</f>
        <v>14</v>
      </c>
      <c r="Z72" s="515">
        <f t="shared" si="52"/>
        <v>8</v>
      </c>
      <c r="AA72" s="515">
        <f t="shared" si="52"/>
        <v>9</v>
      </c>
      <c r="AB72" s="515">
        <f t="shared" si="52"/>
        <v>16</v>
      </c>
      <c r="AC72" s="515">
        <f t="shared" ref="AC72:AJ72" si="53">AC52+AC56+AC60+AC64+AC68</f>
        <v>14</v>
      </c>
      <c r="AD72" s="515">
        <f t="shared" si="53"/>
        <v>4</v>
      </c>
      <c r="AE72" s="515">
        <f t="shared" si="53"/>
        <v>10</v>
      </c>
      <c r="AF72" s="515">
        <f t="shared" si="53"/>
        <v>0</v>
      </c>
      <c r="AG72" s="515">
        <f t="shared" si="53"/>
        <v>0</v>
      </c>
      <c r="AH72" s="515">
        <f t="shared" si="53"/>
        <v>0</v>
      </c>
      <c r="AI72" s="515">
        <f t="shared" si="53"/>
        <v>6</v>
      </c>
      <c r="AJ72" s="515">
        <f t="shared" si="53"/>
        <v>0</v>
      </c>
      <c r="AK72" s="505" t="s">
        <v>197</v>
      </c>
      <c r="AL72" s="505" t="s">
        <v>197</v>
      </c>
      <c r="AM72" s="697">
        <f>SUM(E72:X72)</f>
        <v>222</v>
      </c>
      <c r="AN72" s="503" t="s">
        <v>197</v>
      </c>
      <c r="AO72" s="696">
        <f>SUM(T72:X72)</f>
        <v>45</v>
      </c>
      <c r="AP72" s="506">
        <f t="shared" si="3"/>
        <v>32</v>
      </c>
      <c r="AQ72" s="506"/>
      <c r="AR72" s="506"/>
      <c r="AS72" s="506"/>
      <c r="AT72" s="506"/>
    </row>
    <row r="73" spans="1:46" ht="13">
      <c r="A73" s="1512"/>
      <c r="B73" s="1513"/>
      <c r="C73" s="516" t="s">
        <v>4401</v>
      </c>
      <c r="D73" s="515"/>
      <c r="E73" s="515">
        <f t="shared" ref="E73:X73" si="54">E53+E57+E61+E65+E69</f>
        <v>15</v>
      </c>
      <c r="F73" s="515">
        <f t="shared" si="54"/>
        <v>21</v>
      </c>
      <c r="G73" s="515">
        <f t="shared" si="54"/>
        <v>35</v>
      </c>
      <c r="H73" s="515">
        <f t="shared" si="54"/>
        <v>6</v>
      </c>
      <c r="I73" s="515">
        <f t="shared" si="54"/>
        <v>7</v>
      </c>
      <c r="J73" s="515">
        <f t="shared" si="54"/>
        <v>3</v>
      </c>
      <c r="K73" s="515">
        <f t="shared" si="54"/>
        <v>5</v>
      </c>
      <c r="L73" s="515">
        <f t="shared" si="54"/>
        <v>0</v>
      </c>
      <c r="M73" s="515">
        <f t="shared" si="54"/>
        <v>4</v>
      </c>
      <c r="N73" s="515">
        <f t="shared" si="54"/>
        <v>20</v>
      </c>
      <c r="O73" s="515">
        <f t="shared" si="54"/>
        <v>11</v>
      </c>
      <c r="P73" s="515">
        <f t="shared" si="54"/>
        <v>25</v>
      </c>
      <c r="Q73" s="515">
        <f t="shared" si="54"/>
        <v>40</v>
      </c>
      <c r="R73" s="515">
        <f t="shared" si="54"/>
        <v>12</v>
      </c>
      <c r="S73" s="515">
        <f t="shared" si="54"/>
        <v>11</v>
      </c>
      <c r="T73" s="515">
        <f t="shared" si="54"/>
        <v>8</v>
      </c>
      <c r="U73" s="515">
        <f t="shared" si="54"/>
        <v>8</v>
      </c>
      <c r="V73" s="515">
        <f t="shared" si="54"/>
        <v>8</v>
      </c>
      <c r="W73" s="515">
        <f t="shared" si="54"/>
        <v>9</v>
      </c>
      <c r="X73" s="515">
        <f t="shared" si="54"/>
        <v>9</v>
      </c>
      <c r="Y73" s="515">
        <f t="shared" si="52"/>
        <v>9</v>
      </c>
      <c r="Z73" s="515">
        <f t="shared" si="52"/>
        <v>8</v>
      </c>
      <c r="AA73" s="515">
        <f t="shared" si="52"/>
        <v>3</v>
      </c>
      <c r="AB73" s="515">
        <f t="shared" si="52"/>
        <v>0</v>
      </c>
      <c r="AC73" s="515"/>
      <c r="AD73" s="515"/>
      <c r="AE73" s="515"/>
      <c r="AF73" s="515"/>
      <c r="AG73" s="515"/>
      <c r="AH73" s="515"/>
      <c r="AI73" s="515"/>
      <c r="AJ73" s="515"/>
      <c r="AK73" s="505" t="s">
        <v>197</v>
      </c>
      <c r="AL73" s="505" t="s">
        <v>197</v>
      </c>
      <c r="AM73" s="505"/>
      <c r="AN73" s="503" t="s">
        <v>197</v>
      </c>
      <c r="AO73" s="506"/>
      <c r="AP73" s="506">
        <f t="shared" si="3"/>
        <v>51</v>
      </c>
      <c r="AQ73" s="506"/>
      <c r="AR73" s="506"/>
      <c r="AS73" s="506"/>
      <c r="AT73" s="506"/>
    </row>
    <row r="74" spans="1:46" ht="13">
      <c r="A74" s="1512"/>
      <c r="B74" s="1513"/>
      <c r="C74" s="521" t="s">
        <v>4402</v>
      </c>
      <c r="D74" s="523"/>
      <c r="E74" s="523">
        <f t="shared" ref="E74:X74" si="55">E54+E58+E62+E66+E70</f>
        <v>15</v>
      </c>
      <c r="F74" s="523">
        <f t="shared" si="55"/>
        <v>17</v>
      </c>
      <c r="G74" s="523">
        <f t="shared" si="55"/>
        <v>14</v>
      </c>
      <c r="H74" s="523">
        <f t="shared" si="55"/>
        <v>4</v>
      </c>
      <c r="I74" s="523">
        <f t="shared" si="55"/>
        <v>1</v>
      </c>
      <c r="J74" s="523">
        <f t="shared" si="55"/>
        <v>0</v>
      </c>
      <c r="K74" s="523">
        <f t="shared" si="55"/>
        <v>-3</v>
      </c>
      <c r="L74" s="523">
        <f t="shared" si="55"/>
        <v>-10</v>
      </c>
      <c r="M74" s="523">
        <f t="shared" si="55"/>
        <v>-24</v>
      </c>
      <c r="N74" s="523">
        <f t="shared" si="55"/>
        <v>-5</v>
      </c>
      <c r="O74" s="523">
        <f t="shared" si="55"/>
        <v>-11</v>
      </c>
      <c r="P74" s="523">
        <f t="shared" si="55"/>
        <v>8</v>
      </c>
      <c r="Q74" s="523">
        <f t="shared" si="55"/>
        <v>31</v>
      </c>
      <c r="R74" s="523">
        <f t="shared" si="55"/>
        <v>-2</v>
      </c>
      <c r="S74" s="523">
        <f t="shared" si="55"/>
        <v>3</v>
      </c>
      <c r="T74" s="523">
        <f t="shared" si="55"/>
        <v>-24</v>
      </c>
      <c r="U74" s="523">
        <f t="shared" si="55"/>
        <v>6</v>
      </c>
      <c r="V74" s="523">
        <f t="shared" si="55"/>
        <v>0</v>
      </c>
      <c r="W74" s="523">
        <f t="shared" si="55"/>
        <v>8</v>
      </c>
      <c r="X74" s="523">
        <f t="shared" si="55"/>
        <v>7</v>
      </c>
      <c r="Y74" s="523">
        <f t="shared" si="52"/>
        <v>-5</v>
      </c>
      <c r="Z74" s="523">
        <f t="shared" si="52"/>
        <v>0</v>
      </c>
      <c r="AA74" s="523">
        <f t="shared" si="52"/>
        <v>-6</v>
      </c>
      <c r="AB74" s="523">
        <f t="shared" si="52"/>
        <v>-16</v>
      </c>
      <c r="AC74" s="523"/>
      <c r="AD74" s="523"/>
      <c r="AE74" s="523"/>
      <c r="AF74" s="523"/>
      <c r="AG74" s="523"/>
      <c r="AH74" s="523"/>
      <c r="AI74" s="523"/>
      <c r="AJ74" s="523"/>
      <c r="AK74" s="511">
        <f>SUMIF($E74:$X74,"&gt;0")</f>
        <v>114</v>
      </c>
      <c r="AL74" s="511">
        <f>SUMIF($E74:$X74,"&lt;0")</f>
        <v>-79</v>
      </c>
      <c r="AM74" s="511"/>
      <c r="AN74" s="503" t="s">
        <v>197</v>
      </c>
      <c r="AO74" s="506"/>
      <c r="AP74" s="517">
        <f t="shared" si="3"/>
        <v>19</v>
      </c>
      <c r="AQ74" s="506"/>
      <c r="AR74" s="506"/>
      <c r="AS74" s="506"/>
      <c r="AT74" s="506"/>
    </row>
    <row r="75" spans="1:46" ht="13">
      <c r="A75" s="1514"/>
      <c r="B75" s="1515"/>
      <c r="C75" s="694" t="s">
        <v>4403</v>
      </c>
      <c r="D75" s="523"/>
      <c r="E75" s="523">
        <f>E55+E59+E63+E67+E71</f>
        <v>0</v>
      </c>
      <c r="F75" s="523">
        <f t="shared" ref="F75:X75" si="56">F55+F59+F63+F67+F71</f>
        <v>4</v>
      </c>
      <c r="G75" s="523">
        <f t="shared" si="56"/>
        <v>21</v>
      </c>
      <c r="H75" s="523">
        <f t="shared" si="56"/>
        <v>2</v>
      </c>
      <c r="I75" s="523">
        <f t="shared" si="56"/>
        <v>6</v>
      </c>
      <c r="J75" s="523">
        <f t="shared" si="56"/>
        <v>3</v>
      </c>
      <c r="K75" s="523">
        <f t="shared" si="56"/>
        <v>8</v>
      </c>
      <c r="L75" s="523">
        <f t="shared" si="56"/>
        <v>10</v>
      </c>
      <c r="M75" s="523">
        <f t="shared" si="56"/>
        <v>28</v>
      </c>
      <c r="N75" s="523">
        <f t="shared" si="56"/>
        <v>25</v>
      </c>
      <c r="O75" s="523">
        <f t="shared" si="56"/>
        <v>22</v>
      </c>
      <c r="P75" s="523">
        <f t="shared" si="56"/>
        <v>17</v>
      </c>
      <c r="Q75" s="523">
        <f t="shared" si="56"/>
        <v>9</v>
      </c>
      <c r="R75" s="523">
        <f t="shared" si="56"/>
        <v>14</v>
      </c>
      <c r="S75" s="523">
        <f t="shared" si="56"/>
        <v>8</v>
      </c>
      <c r="T75" s="523">
        <f t="shared" si="56"/>
        <v>32</v>
      </c>
      <c r="U75" s="523">
        <f t="shared" si="56"/>
        <v>2</v>
      </c>
      <c r="V75" s="523">
        <f t="shared" si="56"/>
        <v>8</v>
      </c>
      <c r="W75" s="523">
        <f t="shared" si="56"/>
        <v>1</v>
      </c>
      <c r="X75" s="523">
        <f t="shared" si="56"/>
        <v>2</v>
      </c>
      <c r="Y75" s="523">
        <f t="shared" si="52"/>
        <v>14</v>
      </c>
      <c r="Z75" s="523">
        <f t="shared" si="52"/>
        <v>8</v>
      </c>
      <c r="AA75" s="523">
        <f t="shared" si="52"/>
        <v>9</v>
      </c>
      <c r="AB75" s="523">
        <f t="shared" si="52"/>
        <v>3</v>
      </c>
      <c r="AC75" s="523">
        <f t="shared" ref="AC75:AJ75" si="57">AC55+AC59+AC63+AC67+AC71</f>
        <v>0</v>
      </c>
      <c r="AD75" s="523">
        <f t="shared" si="57"/>
        <v>0</v>
      </c>
      <c r="AE75" s="523">
        <f t="shared" si="57"/>
        <v>0</v>
      </c>
      <c r="AF75" s="523">
        <f t="shared" si="57"/>
        <v>0</v>
      </c>
      <c r="AG75" s="523">
        <f t="shared" si="57"/>
        <v>0</v>
      </c>
      <c r="AH75" s="523">
        <f t="shared" si="57"/>
        <v>0</v>
      </c>
      <c r="AI75" s="523">
        <f t="shared" si="57"/>
        <v>0</v>
      </c>
      <c r="AJ75" s="523">
        <f t="shared" si="57"/>
        <v>0</v>
      </c>
      <c r="AK75" s="511"/>
      <c r="AL75" s="511"/>
      <c r="AM75" s="697">
        <f>SUM(E75:X75)</f>
        <v>222</v>
      </c>
      <c r="AN75" s="503"/>
      <c r="AO75" s="696">
        <f>SUM(T75:W75)</f>
        <v>43</v>
      </c>
      <c r="AP75" s="693"/>
      <c r="AQ75" s="506"/>
      <c r="AR75" s="506"/>
      <c r="AS75" s="506"/>
      <c r="AT75" s="506"/>
    </row>
    <row r="76" spans="1:46" ht="13">
      <c r="A76" s="1516" t="s">
        <v>86</v>
      </c>
      <c r="B76" s="1516" t="s">
        <v>78</v>
      </c>
      <c r="C76" s="503" t="s">
        <v>4400</v>
      </c>
      <c r="D76" s="504">
        <f>SUMIFS('PV SUPPLY DATA'!$X:$X,'PV SUPPLY DATA'!$AH:$AH,'CT capacity tracker'!$B76,'PV SUPPLY DATA'!$AG:$AG,'CT capacity tracker'!$A$1,'PV SUPPLY DATA'!$Z:$Z,'CT capacity tracker'!D$1)+SUMIFS('ESS SUPPLY DATA'!$U:$U,'ESS SUPPLY DATA'!$AF:$AF,'CT capacity tracker'!$B76,'ESS SUPPLY DATA'!$AE:$AE,'CT capacity tracker'!$A$1,'ESS SUPPLY DATA'!$X:$X,'CT capacity tracker'!D$1)</f>
        <v>66</v>
      </c>
      <c r="E76" s="504">
        <f>SUMIFS('PV SUPPLY DATA'!$X:$X,'PV SUPPLY DATA'!$AH:$AH,'CT capacity tracker'!$B76,'PV SUPPLY DATA'!$AG:$AG,$A$51,'PV SUPPLY DATA'!$Y:$Y,'CT capacity tracker'!E$1)+SUMIFS('ESS SUPPLY DATA'!$U:$U,'ESS SUPPLY DATA'!$AF:$AF,'CT capacity tracker'!$B76,'ESS SUPPLY DATA'!$AE:$AE,'CT capacity tracker'!$A$51,'ESS SUPPLY DATA'!$W:$W,'CT capacity tracker'!E$1)</f>
        <v>0</v>
      </c>
      <c r="F76" s="504">
        <f>SUMIFS('PV SUPPLY DATA'!$X:$X,'PV SUPPLY DATA'!$AH:$AH,'CT capacity tracker'!$B76,'PV SUPPLY DATA'!$AG:$AG,$A$51,'PV SUPPLY DATA'!$Y:$Y,'CT capacity tracker'!F$1)+SUMIFS('ESS SUPPLY DATA'!$U:$U,'ESS SUPPLY DATA'!$AF:$AF,'CT capacity tracker'!$B76,'ESS SUPPLY DATA'!$AE:$AE,'CT capacity tracker'!$A$51,'ESS SUPPLY DATA'!$W:$W,'CT capacity tracker'!F$1)</f>
        <v>0</v>
      </c>
      <c r="G76" s="504">
        <f>SUMIFS('PV SUPPLY DATA'!$X:$X,'PV SUPPLY DATA'!$AH:$AH,'CT capacity tracker'!$B76,'PV SUPPLY DATA'!$AG:$AG,$A$51,'PV SUPPLY DATA'!$Y:$Y,'CT capacity tracker'!G$1)+SUMIFS('ESS SUPPLY DATA'!$U:$U,'ESS SUPPLY DATA'!$AF:$AF,'CT capacity tracker'!$B76,'ESS SUPPLY DATA'!$AE:$AE,'CT capacity tracker'!$A$51,'ESS SUPPLY DATA'!$W:$W,'CT capacity tracker'!G$1)</f>
        <v>0</v>
      </c>
      <c r="H76" s="504">
        <f>SUMIFS('PV SUPPLY DATA'!$X:$X,'PV SUPPLY DATA'!$AH:$AH,'CT capacity tracker'!$B76,'PV SUPPLY DATA'!$AG:$AG,$A$51,'PV SUPPLY DATA'!$Y:$Y,'CT capacity tracker'!H$1)+SUMIFS('ESS SUPPLY DATA'!$U:$U,'ESS SUPPLY DATA'!$AF:$AF,'CT capacity tracker'!$B76,'ESS SUPPLY DATA'!$AE:$AE,'CT capacity tracker'!$A$51,'ESS SUPPLY DATA'!$W:$W,'CT capacity tracker'!H$1)</f>
        <v>5</v>
      </c>
      <c r="I76" s="504">
        <f>SUMIFS('PV SUPPLY DATA'!$X:$X,'PV SUPPLY DATA'!$AH:$AH,'CT capacity tracker'!$B76,'PV SUPPLY DATA'!$AG:$AG,$A$51,'PV SUPPLY DATA'!$Y:$Y,'CT capacity tracker'!I$1)+SUMIFS('ESS SUPPLY DATA'!$U:$U,'ESS SUPPLY DATA'!$AF:$AF,'CT capacity tracker'!$B76,'ESS SUPPLY DATA'!$AE:$AE,'CT capacity tracker'!$A$51,'ESS SUPPLY DATA'!$W:$W,'CT capacity tracker'!I$1)</f>
        <v>7</v>
      </c>
      <c r="J76" s="504">
        <f>SUMIFS('PV SUPPLY DATA'!$X:$X,'PV SUPPLY DATA'!$AH:$AH,'CT capacity tracker'!$B76,'PV SUPPLY DATA'!$AG:$AG,$A$51,'PV SUPPLY DATA'!$Y:$Y,'CT capacity tracker'!J$1)+SUMIFS('ESS SUPPLY DATA'!$U:$U,'ESS SUPPLY DATA'!$AF:$AF,'CT capacity tracker'!$B76,'ESS SUPPLY DATA'!$AE:$AE,'CT capacity tracker'!$A$51,'ESS SUPPLY DATA'!$W:$W,'CT capacity tracker'!J$1)</f>
        <v>6</v>
      </c>
      <c r="K76" s="504">
        <f>SUMIFS('PV SUPPLY DATA'!$X:$X,'PV SUPPLY DATA'!$AH:$AH,'CT capacity tracker'!$B76,'PV SUPPLY DATA'!$AG:$AG,$A$51,'PV SUPPLY DATA'!$Y:$Y,'CT capacity tracker'!K$1)+SUMIFS('ESS SUPPLY DATA'!$U:$U,'ESS SUPPLY DATA'!$AF:$AF,'CT capacity tracker'!$B76,'ESS SUPPLY DATA'!$AE:$AE,'CT capacity tracker'!$A$51,'ESS SUPPLY DATA'!$W:$W,'CT capacity tracker'!K$1)</f>
        <v>0</v>
      </c>
      <c r="L76" s="504">
        <f>SUMIFS('PV SUPPLY DATA'!$X:$X,'PV SUPPLY DATA'!$AH:$AH,'CT capacity tracker'!$B76,'PV SUPPLY DATA'!$AG:$AG,$A$51,'PV SUPPLY DATA'!$Y:$Y,'CT capacity tracker'!L$1)+SUMIFS('ESS SUPPLY DATA'!$U:$U,'ESS SUPPLY DATA'!$AF:$AF,'CT capacity tracker'!$B76,'ESS SUPPLY DATA'!$AE:$AE,'CT capacity tracker'!$A$51,'ESS SUPPLY DATA'!$W:$W,'CT capacity tracker'!L$1)</f>
        <v>6</v>
      </c>
      <c r="M76" s="504">
        <f>SUMIFS('PV SUPPLY DATA'!$X:$X,'PV SUPPLY DATA'!$AH:$AH,'CT capacity tracker'!$B76,'PV SUPPLY DATA'!$AG:$AG,$A$51,'PV SUPPLY DATA'!$Y:$Y,'CT capacity tracker'!M$1)+SUMIFS('ESS SUPPLY DATA'!$U:$U,'ESS SUPPLY DATA'!$AF:$AF,'CT capacity tracker'!$B76,'ESS SUPPLY DATA'!$AE:$AE,'CT capacity tracker'!$A$51,'ESS SUPPLY DATA'!$W:$W,'CT capacity tracker'!M$1)</f>
        <v>6</v>
      </c>
      <c r="N76" s="504">
        <f>SUMIFS('PV SUPPLY DATA'!$X:$X,'PV SUPPLY DATA'!$AH:$AH,'CT capacity tracker'!$B76,'PV SUPPLY DATA'!$AG:$AG,$A$51,'PV SUPPLY DATA'!$Y:$Y,'CT capacity tracker'!N$1)+SUMIFS('ESS SUPPLY DATA'!$U:$U,'ESS SUPPLY DATA'!$AF:$AF,'CT capacity tracker'!$B76,'ESS SUPPLY DATA'!$AE:$AE,'CT capacity tracker'!$A$51,'ESS SUPPLY DATA'!$W:$W,'CT capacity tracker'!N$1)</f>
        <v>1</v>
      </c>
      <c r="O76" s="504">
        <f>SUMIFS('PV SUPPLY DATA'!$X:$X,'PV SUPPLY DATA'!$AH:$AH,'CT capacity tracker'!$B76,'PV SUPPLY DATA'!$AG:$AG,$A$51,'PV SUPPLY DATA'!$Y:$Y,'CT capacity tracker'!O$1)+SUMIFS('ESS SUPPLY DATA'!$U:$U,'ESS SUPPLY DATA'!$AF:$AF,'CT capacity tracker'!$B76,'ESS SUPPLY DATA'!$AE:$AE,'CT capacity tracker'!$A$51,'ESS SUPPLY DATA'!$W:$W,'CT capacity tracker'!O$1)</f>
        <v>12</v>
      </c>
      <c r="P76" s="504">
        <f>SUMIFS('PV SUPPLY DATA'!$X:$X,'PV SUPPLY DATA'!$AH:$AH,'CT capacity tracker'!$B76,'PV SUPPLY DATA'!$AG:$AG,$A$51,'PV SUPPLY DATA'!$Y:$Y,'CT capacity tracker'!P$1)+SUMIFS('ESS SUPPLY DATA'!$U:$U,'ESS SUPPLY DATA'!$AF:$AF,'CT capacity tracker'!$B76,'ESS SUPPLY DATA'!$AE:$AE,'CT capacity tracker'!$A$51,'ESS SUPPLY DATA'!$W:$W,'CT capacity tracker'!P$1)</f>
        <v>1</v>
      </c>
      <c r="Q76" s="504">
        <f>SUMIFS('PV SUPPLY DATA'!$X:$X,'PV SUPPLY DATA'!$AH:$AH,'CT capacity tracker'!$B76,'PV SUPPLY DATA'!$AG:$AG,$A$51,'PV SUPPLY DATA'!$Y:$Y,'CT capacity tracker'!Q$1)+SUMIFS('ESS SUPPLY DATA'!$U:$U,'ESS SUPPLY DATA'!$AF:$AF,'CT capacity tracker'!$B76,'ESS SUPPLY DATA'!$AE:$AE,'CT capacity tracker'!$A$51,'ESS SUPPLY DATA'!$W:$W,'CT capacity tracker'!Q$1)</f>
        <v>2</v>
      </c>
      <c r="R76" s="504">
        <f>SUMIFS('PV SUPPLY DATA'!$X:$X,'PV SUPPLY DATA'!$AH:$AH,'CT capacity tracker'!$B76,'PV SUPPLY DATA'!$AG:$AG,$A$51,'PV SUPPLY DATA'!$Y:$Y,'CT capacity tracker'!R$1)+SUMIFS('ESS SUPPLY DATA'!$U:$U,'ESS SUPPLY DATA'!$AF:$AF,'CT capacity tracker'!$B76,'ESS SUPPLY DATA'!$AE:$AE,'CT capacity tracker'!$A$51,'ESS SUPPLY DATA'!$W:$W,'CT capacity tracker'!R$1)</f>
        <v>4</v>
      </c>
      <c r="S76" s="504">
        <f>SUMIFS('PV SUPPLY DATA'!$X:$X,'PV SUPPLY DATA'!$AH:$AH,'CT capacity tracker'!$B76,'PV SUPPLY DATA'!$AG:$AG,$A$51,'PV SUPPLY DATA'!$Y:$Y,'CT capacity tracker'!S$1)+SUMIFS('ESS SUPPLY DATA'!$U:$U,'ESS SUPPLY DATA'!$AF:$AF,'CT capacity tracker'!$B76,'ESS SUPPLY DATA'!$AE:$AE,'CT capacity tracker'!$A$51,'ESS SUPPLY DATA'!$W:$W,'CT capacity tracker'!S$1)</f>
        <v>8</v>
      </c>
      <c r="T76" s="504">
        <f>SUMIFS('PV SUPPLY DATA'!$X:$X,'PV SUPPLY DATA'!$AH:$AH,'CT capacity tracker'!$B76,'PV SUPPLY DATA'!$AG:$AG,$A$51,'PV SUPPLY DATA'!$Y:$Y,'CT capacity tracker'!T$1)+SUMIFS('ESS SUPPLY DATA'!$U:$U,'ESS SUPPLY DATA'!$AF:$AF,'CT capacity tracker'!$B76,'ESS SUPPLY DATA'!$AE:$AE,'CT capacity tracker'!$A$51,'ESS SUPPLY DATA'!$W:$W,'CT capacity tracker'!T$1)</f>
        <v>11</v>
      </c>
      <c r="U76" s="504">
        <f>SUMIFS('PV SUPPLY DATA'!$X:$X,'PV SUPPLY DATA'!$AH:$AH,'CT capacity tracker'!$B76,'PV SUPPLY DATA'!$AG:$AG,$A$51,'PV SUPPLY DATA'!$Y:$Y,'CT capacity tracker'!U$1)+SUMIFS('ESS SUPPLY DATA'!$U:$U,'ESS SUPPLY DATA'!$AF:$AF,'CT capacity tracker'!$B76,'ESS SUPPLY DATA'!$AE:$AE,'CT capacity tracker'!$A$51,'ESS SUPPLY DATA'!$W:$W,'CT capacity tracker'!U$1)</f>
        <v>7</v>
      </c>
      <c r="V76" s="504">
        <f>SUMIFS('PV SUPPLY DATA'!$X:$X,'PV SUPPLY DATA'!$AH:$AH,'CT capacity tracker'!$B76,'PV SUPPLY DATA'!$AG:$AG,$A$51,'PV SUPPLY DATA'!$Y:$Y,'CT capacity tracker'!V$1)+SUMIFS('ESS SUPPLY DATA'!$U:$U,'ESS SUPPLY DATA'!$AF:$AF,'CT capacity tracker'!$B76,'ESS SUPPLY DATA'!$AE:$AE,'CT capacity tracker'!$A$51,'ESS SUPPLY DATA'!$W:$W,'CT capacity tracker'!V$1)</f>
        <v>0</v>
      </c>
      <c r="W76" s="504">
        <f>SUMIFS('PV SUPPLY DATA'!$X:$X,'PV SUPPLY DATA'!$AH:$AH,'CT capacity tracker'!$B76,'PV SUPPLY DATA'!$AG:$AG,$A$51,'PV SUPPLY DATA'!$Y:$Y,'CT capacity tracker'!W$1)+SUMIFS('ESS SUPPLY DATA'!$U:$U,'ESS SUPPLY DATA'!$AF:$AF,'CT capacity tracker'!$B76,'ESS SUPPLY DATA'!$AE:$AE,'CT capacity tracker'!$A$51,'ESS SUPPLY DATA'!$W:$W,'CT capacity tracker'!W$1)</f>
        <v>11</v>
      </c>
      <c r="X76" s="504">
        <f>SUMIFS('PV SUPPLY DATA'!$X:$X,'PV SUPPLY DATA'!$AH:$AH,'CT capacity tracker'!$B76,'PV SUPPLY DATA'!$AG:$AG,$A$51,'PV SUPPLY DATA'!$Y:$Y,'CT capacity tracker'!X$1)+SUMIFS('ESS SUPPLY DATA'!$U:$U,'ESS SUPPLY DATA'!$AF:$AF,'CT capacity tracker'!$B76,'ESS SUPPLY DATA'!$AE:$AE,'CT capacity tracker'!$A$51,'ESS SUPPLY DATA'!$W:$W,'CT capacity tracker'!X$1)</f>
        <v>0</v>
      </c>
      <c r="Y76" s="504">
        <f>SUMIFS('PV SUPPLY DATA'!$X:$X,'PV SUPPLY DATA'!$AH:$AH,'CT capacity tracker'!$B76,'PV SUPPLY DATA'!$AG:$AG,$A$51,'PV SUPPLY DATA'!$Y:$Y,'CT capacity tracker'!Y$1)+SUMIFS('ESS SUPPLY DATA'!$U:$U,'ESS SUPPLY DATA'!$AF:$AF,'CT capacity tracker'!$B76,'ESS SUPPLY DATA'!$AE:$AE,'CT capacity tracker'!$A$51,'ESS SUPPLY DATA'!$W:$W,'CT capacity tracker'!Y$1)</f>
        <v>5</v>
      </c>
      <c r="Z76" s="504">
        <f>SUMIFS('PV SUPPLY DATA'!$X:$X,'PV SUPPLY DATA'!$AH:$AH,'CT capacity tracker'!$B76,'PV SUPPLY DATA'!$AG:$AG,$A$51,'PV SUPPLY DATA'!$Y:$Y,'CT capacity tracker'!Z$1)+SUMIFS('ESS SUPPLY DATA'!$U:$U,'ESS SUPPLY DATA'!$AF:$AF,'CT capacity tracker'!$B76,'ESS SUPPLY DATA'!$AE:$AE,'CT capacity tracker'!$A$51,'ESS SUPPLY DATA'!$W:$W,'CT capacity tracker'!Z$1)</f>
        <v>0</v>
      </c>
      <c r="AA76" s="504">
        <f>SUMIFS('PV SUPPLY DATA'!$X:$X,'PV SUPPLY DATA'!$AH:$AH,'CT capacity tracker'!$B76,'PV SUPPLY DATA'!$AG:$AG,$A$51,'PV SUPPLY DATA'!$Y:$Y,'CT capacity tracker'!AA$1)+SUMIFS('ESS SUPPLY DATA'!$U:$U,'ESS SUPPLY DATA'!$AF:$AF,'CT capacity tracker'!$B76,'ESS SUPPLY DATA'!$AE:$AE,'CT capacity tracker'!$A$51,'ESS SUPPLY DATA'!$W:$W,'CT capacity tracker'!AA$1)</f>
        <v>0</v>
      </c>
      <c r="AB76" s="504">
        <f>SUMIFS('PV SUPPLY DATA'!$X:$X,'PV SUPPLY DATA'!$AH:$AH,'CT capacity tracker'!$B76,'PV SUPPLY DATA'!$AG:$AG,$A$51,'PV SUPPLY DATA'!$Y:$Y,'CT capacity tracker'!AB$1)+SUMIFS('ESS SUPPLY DATA'!$U:$U,'ESS SUPPLY DATA'!$AF:$AF,'CT capacity tracker'!$B76,'ESS SUPPLY DATA'!$AE:$AE,'CT capacity tracker'!$A$51,'ESS SUPPLY DATA'!$W:$W,'CT capacity tracker'!AB$1)</f>
        <v>0</v>
      </c>
      <c r="AC76" s="504">
        <f>SUMIFS('PV SUPPLY DATA'!$X:$X,'PV SUPPLY DATA'!$AH:$AH,'CT capacity tracker'!$B76,'PV SUPPLY DATA'!$AG:$AG,$A$51,'PV SUPPLY DATA'!$Y:$Y,'CT capacity tracker'!AC$1)+SUMIFS('ESS SUPPLY DATA'!$U:$U,'ESS SUPPLY DATA'!$AF:$AF,'CT capacity tracker'!$B76,'ESS SUPPLY DATA'!$AE:$AE,'CT capacity tracker'!$A$51,'ESS SUPPLY DATA'!$W:$W,'CT capacity tracker'!AC$1)</f>
        <v>4</v>
      </c>
      <c r="AD76" s="504">
        <f>SUMIFS('PV SUPPLY DATA'!$X:$X,'PV SUPPLY DATA'!$AH:$AH,'CT capacity tracker'!$B76,'PV SUPPLY DATA'!$AG:$AG,$A$51,'PV SUPPLY DATA'!$Y:$Y,'CT capacity tracker'!AD$1)+SUMIFS('ESS SUPPLY DATA'!$U:$U,'ESS SUPPLY DATA'!$AF:$AF,'CT capacity tracker'!$B76,'ESS SUPPLY DATA'!$AE:$AE,'CT capacity tracker'!$A$51,'ESS SUPPLY DATA'!$W:$W,'CT capacity tracker'!AD$1)</f>
        <v>2</v>
      </c>
      <c r="AE76" s="504">
        <f>SUMIFS('PV SUPPLY DATA'!$X:$X,'PV SUPPLY DATA'!$AH:$AH,'CT capacity tracker'!$B76,'PV SUPPLY DATA'!$AG:$AG,$A$51,'PV SUPPLY DATA'!$Y:$Y,'CT capacity tracker'!AE$1)+SUMIFS('ESS SUPPLY DATA'!$U:$U,'ESS SUPPLY DATA'!$AF:$AF,'CT capacity tracker'!$B76,'ESS SUPPLY DATA'!$AE:$AE,'CT capacity tracker'!$A$51,'ESS SUPPLY DATA'!$W:$W,'CT capacity tracker'!AE$1)</f>
        <v>26</v>
      </c>
      <c r="AF76" s="504">
        <f>SUMIFS('PV SUPPLY DATA'!$X:$X,'PV SUPPLY DATA'!$AH:$AH,'CT capacity tracker'!$B76,'PV SUPPLY DATA'!$AG:$AG,$A$51,'PV SUPPLY DATA'!$Y:$Y,'CT capacity tracker'!AF$1)+SUMIFS('ESS SUPPLY DATA'!$U:$U,'ESS SUPPLY DATA'!$AF:$AF,'CT capacity tracker'!$B76,'ESS SUPPLY DATA'!$AE:$AE,'CT capacity tracker'!$A$51,'ESS SUPPLY DATA'!$W:$W,'CT capacity tracker'!AF$1)</f>
        <v>22.45</v>
      </c>
      <c r="AG76" s="504">
        <f>SUMIFS('PV SUPPLY DATA'!$X:$X,'PV SUPPLY DATA'!$AH:$AH,'CT capacity tracker'!$B76,'PV SUPPLY DATA'!$AG:$AG,$A$51,'PV SUPPLY DATA'!$Y:$Y,'CT capacity tracker'!AG$1)+SUMIFS('ESS SUPPLY DATA'!$U:$U,'ESS SUPPLY DATA'!$AF:$AF,'CT capacity tracker'!$B76,'ESS SUPPLY DATA'!$AE:$AE,'CT capacity tracker'!$A$51,'ESS SUPPLY DATA'!$W:$W,'CT capacity tracker'!AG$1)</f>
        <v>20.75</v>
      </c>
      <c r="AH76" s="504">
        <f>SUMIFS('PV SUPPLY DATA'!$X:$X,'PV SUPPLY DATA'!$AH:$AH,'CT capacity tracker'!$B76,'PV SUPPLY DATA'!$AG:$AG,$A$51,'PV SUPPLY DATA'!$Y:$Y,'CT capacity tracker'!AH$1)+SUMIFS('ESS SUPPLY DATA'!$U:$U,'ESS SUPPLY DATA'!$AF:$AF,'CT capacity tracker'!$B76,'ESS SUPPLY DATA'!$AE:$AE,'CT capacity tracker'!$A$51,'ESS SUPPLY DATA'!$W:$W,'CT capacity tracker'!AH$1)</f>
        <v>10</v>
      </c>
      <c r="AI76" s="504">
        <f>SUMIFS('PV SUPPLY DATA'!$X:$X,'PV SUPPLY DATA'!$AH:$AH,'CT capacity tracker'!$B76,'PV SUPPLY DATA'!$AG:$AG,$A$51,'PV SUPPLY DATA'!$Y:$Y,'CT capacity tracker'!AI$1)+SUMIFS('ESS SUPPLY DATA'!$U:$U,'ESS SUPPLY DATA'!$AF:$AF,'CT capacity tracker'!$B76,'ESS SUPPLY DATA'!$AE:$AE,'CT capacity tracker'!$A$51,'ESS SUPPLY DATA'!$W:$W,'CT capacity tracker'!AI$1)</f>
        <v>0</v>
      </c>
      <c r="AJ76" s="504">
        <f>SUMIFS('PV SUPPLY DATA'!$X:$X,'PV SUPPLY DATA'!$AH:$AH,'CT capacity tracker'!$B76,'PV SUPPLY DATA'!$AG:$AG,$A$51,'PV SUPPLY DATA'!$Y:$Y,'CT capacity tracker'!AJ$1)+SUMIFS('ESS SUPPLY DATA'!$U:$U,'ESS SUPPLY DATA'!$AF:$AF,'CT capacity tracker'!$B76,'ESS SUPPLY DATA'!$AE:$AE,'CT capacity tracker'!$A$51,'ESS SUPPLY DATA'!$W:$W,'CT capacity tracker'!AJ$1)</f>
        <v>0</v>
      </c>
      <c r="AK76" s="505" t="s">
        <v>197</v>
      </c>
      <c r="AL76" s="505" t="s">
        <v>197</v>
      </c>
      <c r="AM76" s="696">
        <f>SUM(E76:X76)</f>
        <v>87</v>
      </c>
      <c r="AN76" s="503" t="s">
        <v>197</v>
      </c>
      <c r="AO76" s="506"/>
      <c r="AP76" s="506">
        <f t="shared" si="3"/>
        <v>18</v>
      </c>
      <c r="AQ76" s="506"/>
      <c r="AR76" s="506"/>
      <c r="AS76" s="506"/>
      <c r="AT76" s="506"/>
    </row>
    <row r="77" spans="1:46" ht="13">
      <c r="A77" s="1517"/>
      <c r="B77" s="1517"/>
      <c r="C77" s="509" t="s">
        <v>4401</v>
      </c>
      <c r="D77" s="509"/>
      <c r="E77" s="510">
        <v>2</v>
      </c>
      <c r="F77" s="510"/>
      <c r="G77" s="510">
        <v>5</v>
      </c>
      <c r="H77" s="510">
        <v>5</v>
      </c>
      <c r="I77" s="510">
        <v>7</v>
      </c>
      <c r="J77" s="510">
        <v>6</v>
      </c>
      <c r="K77" s="510">
        <v>0</v>
      </c>
      <c r="L77" s="510">
        <v>6</v>
      </c>
      <c r="M77" s="510">
        <v>6</v>
      </c>
      <c r="N77" s="510">
        <v>0</v>
      </c>
      <c r="O77" s="510">
        <v>3</v>
      </c>
      <c r="P77" s="510">
        <v>1</v>
      </c>
      <c r="Q77" s="510">
        <v>6</v>
      </c>
      <c r="R77" s="510">
        <v>6</v>
      </c>
      <c r="S77" s="510">
        <v>6</v>
      </c>
      <c r="T77" s="510">
        <v>6</v>
      </c>
      <c r="U77" s="510">
        <v>6</v>
      </c>
      <c r="V77" s="510">
        <v>2</v>
      </c>
      <c r="W77" s="510">
        <v>7</v>
      </c>
      <c r="X77" s="510">
        <v>7</v>
      </c>
      <c r="Y77" s="510">
        <v>5</v>
      </c>
      <c r="Z77" s="510">
        <v>7</v>
      </c>
      <c r="AA77" s="510">
        <v>4</v>
      </c>
      <c r="AB77" s="510">
        <v>0</v>
      </c>
      <c r="AC77" s="510">
        <v>6</v>
      </c>
      <c r="AD77" s="510">
        <v>7</v>
      </c>
      <c r="AE77" s="510">
        <v>7</v>
      </c>
      <c r="AF77" s="510">
        <v>7</v>
      </c>
      <c r="AG77" s="510">
        <v>7</v>
      </c>
      <c r="AH77" s="510">
        <v>7</v>
      </c>
      <c r="AI77" s="510">
        <v>7</v>
      </c>
      <c r="AJ77" s="510">
        <v>7</v>
      </c>
      <c r="AK77" s="505" t="s">
        <v>197</v>
      </c>
      <c r="AL77" s="505" t="s">
        <v>197</v>
      </c>
      <c r="AM77" s="696"/>
      <c r="AN77" s="503" t="s">
        <v>197</v>
      </c>
      <c r="AO77" s="506"/>
      <c r="AP77" s="506">
        <f t="shared" ref="AP77:AP94" si="58">SUM(G77:J77)</f>
        <v>23</v>
      </c>
      <c r="AQ77" s="506"/>
      <c r="AR77" s="506"/>
      <c r="AS77" s="506"/>
      <c r="AT77" s="506"/>
    </row>
    <row r="78" spans="1:46" ht="13">
      <c r="A78" s="1517"/>
      <c r="B78" s="1517"/>
      <c r="C78" s="520" t="s">
        <v>4402</v>
      </c>
      <c r="D78" s="522"/>
      <c r="E78" s="522">
        <f t="shared" ref="E78:X78" si="59">E77-E76</f>
        <v>2</v>
      </c>
      <c r="F78" s="522">
        <f t="shared" si="59"/>
        <v>0</v>
      </c>
      <c r="G78" s="522">
        <f t="shared" si="59"/>
        <v>5</v>
      </c>
      <c r="H78" s="522">
        <f t="shared" si="59"/>
        <v>0</v>
      </c>
      <c r="I78" s="522">
        <f t="shared" si="59"/>
        <v>0</v>
      </c>
      <c r="J78" s="522">
        <f t="shared" si="59"/>
        <v>0</v>
      </c>
      <c r="K78" s="522">
        <f t="shared" si="59"/>
        <v>0</v>
      </c>
      <c r="L78" s="522">
        <f t="shared" si="59"/>
        <v>0</v>
      </c>
      <c r="M78" s="522">
        <f t="shared" si="59"/>
        <v>0</v>
      </c>
      <c r="N78" s="522">
        <f t="shared" si="59"/>
        <v>-1</v>
      </c>
      <c r="O78" s="522">
        <f t="shared" si="59"/>
        <v>-9</v>
      </c>
      <c r="P78" s="522">
        <f t="shared" si="59"/>
        <v>0</v>
      </c>
      <c r="Q78" s="522">
        <f t="shared" si="59"/>
        <v>4</v>
      </c>
      <c r="R78" s="522">
        <f t="shared" si="59"/>
        <v>2</v>
      </c>
      <c r="S78" s="522">
        <f t="shared" si="59"/>
        <v>-2</v>
      </c>
      <c r="T78" s="522">
        <f t="shared" si="59"/>
        <v>-5</v>
      </c>
      <c r="U78" s="522">
        <f t="shared" si="59"/>
        <v>-1</v>
      </c>
      <c r="V78" s="522">
        <f t="shared" si="59"/>
        <v>2</v>
      </c>
      <c r="W78" s="522">
        <f t="shared" si="59"/>
        <v>-4</v>
      </c>
      <c r="X78" s="522">
        <f t="shared" si="59"/>
        <v>7</v>
      </c>
      <c r="Y78" s="522">
        <f t="shared" ref="Y78:AJ78" si="60">Y77-Y76</f>
        <v>0</v>
      </c>
      <c r="Z78" s="522">
        <f t="shared" si="60"/>
        <v>7</v>
      </c>
      <c r="AA78" s="522">
        <f t="shared" si="60"/>
        <v>4</v>
      </c>
      <c r="AB78" s="522">
        <f t="shared" si="60"/>
        <v>0</v>
      </c>
      <c r="AC78" s="522">
        <f t="shared" si="60"/>
        <v>2</v>
      </c>
      <c r="AD78" s="522">
        <f t="shared" si="60"/>
        <v>5</v>
      </c>
      <c r="AE78" s="522">
        <f t="shared" si="60"/>
        <v>-19</v>
      </c>
      <c r="AF78" s="522">
        <f t="shared" si="60"/>
        <v>-15.45</v>
      </c>
      <c r="AG78" s="522">
        <f t="shared" si="60"/>
        <v>-13.75</v>
      </c>
      <c r="AH78" s="522">
        <f t="shared" si="60"/>
        <v>-3</v>
      </c>
      <c r="AI78" s="522">
        <f t="shared" si="60"/>
        <v>7</v>
      </c>
      <c r="AJ78" s="522">
        <f t="shared" si="60"/>
        <v>7</v>
      </c>
      <c r="AK78" s="511">
        <f>SUMIF($E78:$X78,"&gt;0")</f>
        <v>22</v>
      </c>
      <c r="AL78" s="511">
        <f>SUMIF($E78:$X78,"&lt;0")</f>
        <v>-22</v>
      </c>
      <c r="AM78" s="696"/>
      <c r="AN78" s="503"/>
      <c r="AO78" s="506"/>
      <c r="AP78" s="506">
        <f t="shared" si="58"/>
        <v>5</v>
      </c>
      <c r="AQ78" s="506"/>
      <c r="AR78" s="506"/>
      <c r="AS78" s="506"/>
      <c r="AT78" s="506"/>
    </row>
    <row r="79" spans="1:46" ht="13">
      <c r="A79" s="1517"/>
      <c r="B79" s="1518"/>
      <c r="C79" s="503" t="s">
        <v>4403</v>
      </c>
      <c r="D79" s="522"/>
      <c r="E79" s="504">
        <f>SUMIFS('PV SUPPLY DATA'!$X:$X,'PV SUPPLY DATA'!$AH:$AH,'CT capacity tracker'!$B76,'PV SUPPLY DATA'!$AG:$AG,'CT capacity tracker'!$A$51,'PV SUPPLY DATA'!$Y:$Y,E$1,'PV SUPPLY DATA'!$AQ:$AQ,"cosco")+SUMIFS('PV SUPPLY DATA'!$X:$X,'PV SUPPLY DATA'!$AH:$AH,'CT capacity tracker'!$B76,'PV SUPPLY DATA'!$AG:$AG,'CT capacity tracker'!$A$51,'PV SUPPLY DATA'!$Y:$Y,E$1,'PV SUPPLY DATA'!$AQ:$AQ,"other")+SUMIFS('ESS SUPPLY DATA'!$U:$U,'ESS SUPPLY DATA'!$AF:$AF,'CT capacity tracker'!$B76,'ESS SUPPLY DATA'!$AE:$AE,'CT capacity tracker'!$A$51,'ESS SUPPLY DATA'!$W:$W,'CT capacity tracker'!E$1,'ESS SUPPLY DATA'!$AO:$AO,"cosco")+SUMIFS('ESS SUPPLY DATA'!$U:$U,'ESS SUPPLY DATA'!$AF:$AF,'CT capacity tracker'!$B76,'ESS SUPPLY DATA'!$AE:$AE,'CT capacity tracker'!$A$51,'ESS SUPPLY DATA'!$W:$W,'CT capacity tracker'!E$1,'ESS SUPPLY DATA'!$AO:$AO,"other")</f>
        <v>0</v>
      </c>
      <c r="F79" s="504">
        <f>SUMIFS('PV SUPPLY DATA'!$X:$X,'PV SUPPLY DATA'!$AH:$AH,'CT capacity tracker'!$B76,'PV SUPPLY DATA'!$AG:$AG,'CT capacity tracker'!$A$51,'PV SUPPLY DATA'!$Y:$Y,F$1,'PV SUPPLY DATA'!$AQ:$AQ,"cosco")+SUMIFS('PV SUPPLY DATA'!$X:$X,'PV SUPPLY DATA'!$AH:$AH,'CT capacity tracker'!$B76,'PV SUPPLY DATA'!$AG:$AG,'CT capacity tracker'!$A$51,'PV SUPPLY DATA'!$Y:$Y,F$1,'PV SUPPLY DATA'!$AQ:$AQ,"other")+SUMIFS('ESS SUPPLY DATA'!$U:$U,'ESS SUPPLY DATA'!$AF:$AF,'CT capacity tracker'!$B76,'ESS SUPPLY DATA'!$AE:$AE,'CT capacity tracker'!$A$51,'ESS SUPPLY DATA'!$W:$W,'CT capacity tracker'!F$1,'ESS SUPPLY DATA'!$AO:$AO,"cosco")+SUMIFS('ESS SUPPLY DATA'!$U:$U,'ESS SUPPLY DATA'!$AF:$AF,'CT capacity tracker'!$B76,'ESS SUPPLY DATA'!$AE:$AE,'CT capacity tracker'!$A$51,'ESS SUPPLY DATA'!$W:$W,'CT capacity tracker'!F$1,'ESS SUPPLY DATA'!$AO:$AO,"other")</f>
        <v>0</v>
      </c>
      <c r="G79" s="504">
        <f>SUMIFS('PV SUPPLY DATA'!$X:$X,'PV SUPPLY DATA'!$AH:$AH,'CT capacity tracker'!$B76,'PV SUPPLY DATA'!$AG:$AG,'CT capacity tracker'!$A$51,'PV SUPPLY DATA'!$Y:$Y,G$1,'PV SUPPLY DATA'!$AQ:$AQ,"cosco")+SUMIFS('PV SUPPLY DATA'!$X:$X,'PV SUPPLY DATA'!$AH:$AH,'CT capacity tracker'!$B76,'PV SUPPLY DATA'!$AG:$AG,'CT capacity tracker'!$A$51,'PV SUPPLY DATA'!$Y:$Y,G$1,'PV SUPPLY DATA'!$AQ:$AQ,"other")+SUMIFS('ESS SUPPLY DATA'!$U:$U,'ESS SUPPLY DATA'!$AF:$AF,'CT capacity tracker'!$B76,'ESS SUPPLY DATA'!$AE:$AE,'CT capacity tracker'!$A$51,'ESS SUPPLY DATA'!$W:$W,'CT capacity tracker'!G$1,'ESS SUPPLY DATA'!$AO:$AO,"cosco")+SUMIFS('ESS SUPPLY DATA'!$U:$U,'ESS SUPPLY DATA'!$AF:$AF,'CT capacity tracker'!$B76,'ESS SUPPLY DATA'!$AE:$AE,'CT capacity tracker'!$A$51,'ESS SUPPLY DATA'!$W:$W,'CT capacity tracker'!G$1,'ESS SUPPLY DATA'!$AO:$AO,"other")</f>
        <v>0</v>
      </c>
      <c r="H79" s="504">
        <f>SUMIFS('PV SUPPLY DATA'!$X:$X,'PV SUPPLY DATA'!$AH:$AH,'CT capacity tracker'!$B76,'PV SUPPLY DATA'!$AG:$AG,'CT capacity tracker'!$A$51,'PV SUPPLY DATA'!$Y:$Y,H$1,'PV SUPPLY DATA'!$AQ:$AQ,"cosco")+SUMIFS('PV SUPPLY DATA'!$X:$X,'PV SUPPLY DATA'!$AH:$AH,'CT capacity tracker'!$B76,'PV SUPPLY DATA'!$AG:$AG,'CT capacity tracker'!$A$51,'PV SUPPLY DATA'!$Y:$Y,H$1,'PV SUPPLY DATA'!$AQ:$AQ,"other")+SUMIFS('ESS SUPPLY DATA'!$U:$U,'ESS SUPPLY DATA'!$AF:$AF,'CT capacity tracker'!$B76,'ESS SUPPLY DATA'!$AE:$AE,'CT capacity tracker'!$A$51,'ESS SUPPLY DATA'!$W:$W,'CT capacity tracker'!H$1,'ESS SUPPLY DATA'!$AO:$AO,"cosco")+SUMIFS('ESS SUPPLY DATA'!$U:$U,'ESS SUPPLY DATA'!$AF:$AF,'CT capacity tracker'!$B76,'ESS SUPPLY DATA'!$AE:$AE,'CT capacity tracker'!$A$51,'ESS SUPPLY DATA'!$W:$W,'CT capacity tracker'!H$1,'ESS SUPPLY DATA'!$AO:$AO,"other")</f>
        <v>5</v>
      </c>
      <c r="I79" s="504">
        <f>SUMIFS('PV SUPPLY DATA'!$X:$X,'PV SUPPLY DATA'!$AH:$AH,'CT capacity tracker'!$B76,'PV SUPPLY DATA'!$AG:$AG,'CT capacity tracker'!$A$51,'PV SUPPLY DATA'!$Y:$Y,I$1,'PV SUPPLY DATA'!$AQ:$AQ,"cosco")+SUMIFS('PV SUPPLY DATA'!$X:$X,'PV SUPPLY DATA'!$AH:$AH,'CT capacity tracker'!$B76,'PV SUPPLY DATA'!$AG:$AG,'CT capacity tracker'!$A$51,'PV SUPPLY DATA'!$Y:$Y,I$1,'PV SUPPLY DATA'!$AQ:$AQ,"other")+SUMIFS('ESS SUPPLY DATA'!$U:$U,'ESS SUPPLY DATA'!$AF:$AF,'CT capacity tracker'!$B76,'ESS SUPPLY DATA'!$AE:$AE,'CT capacity tracker'!$A$51,'ESS SUPPLY DATA'!$W:$W,'CT capacity tracker'!I$1,'ESS SUPPLY DATA'!$AO:$AO,"cosco")+SUMIFS('ESS SUPPLY DATA'!$U:$U,'ESS SUPPLY DATA'!$AF:$AF,'CT capacity tracker'!$B76,'ESS SUPPLY DATA'!$AE:$AE,'CT capacity tracker'!$A$51,'ESS SUPPLY DATA'!$W:$W,'CT capacity tracker'!I$1,'ESS SUPPLY DATA'!$AO:$AO,"other")</f>
        <v>7</v>
      </c>
      <c r="J79" s="504">
        <f>SUMIFS('PV SUPPLY DATA'!$X:$X,'PV SUPPLY DATA'!$AH:$AH,'CT capacity tracker'!$B76,'PV SUPPLY DATA'!$AG:$AG,'CT capacity tracker'!$A$51,'PV SUPPLY DATA'!$Y:$Y,J$1,'PV SUPPLY DATA'!$AQ:$AQ,"cosco")+SUMIFS('PV SUPPLY DATA'!$X:$X,'PV SUPPLY DATA'!$AH:$AH,'CT capacity tracker'!$B76,'PV SUPPLY DATA'!$AG:$AG,'CT capacity tracker'!$A$51,'PV SUPPLY DATA'!$Y:$Y,J$1,'PV SUPPLY DATA'!$AQ:$AQ,"other")+SUMIFS('ESS SUPPLY DATA'!$U:$U,'ESS SUPPLY DATA'!$AF:$AF,'CT capacity tracker'!$B76,'ESS SUPPLY DATA'!$AE:$AE,'CT capacity tracker'!$A$51,'ESS SUPPLY DATA'!$W:$W,'CT capacity tracker'!J$1,'ESS SUPPLY DATA'!$AO:$AO,"cosco")+SUMIFS('ESS SUPPLY DATA'!$U:$U,'ESS SUPPLY DATA'!$AF:$AF,'CT capacity tracker'!$B76,'ESS SUPPLY DATA'!$AE:$AE,'CT capacity tracker'!$A$51,'ESS SUPPLY DATA'!$W:$W,'CT capacity tracker'!J$1,'ESS SUPPLY DATA'!$AO:$AO,"other")</f>
        <v>6</v>
      </c>
      <c r="K79" s="504">
        <f>SUMIFS('PV SUPPLY DATA'!$X:$X,'PV SUPPLY DATA'!$AH:$AH,'CT capacity tracker'!$B76,'PV SUPPLY DATA'!$AG:$AG,'CT capacity tracker'!$A$51,'PV SUPPLY DATA'!$Y:$Y,K$1,'PV SUPPLY DATA'!$AQ:$AQ,"cosco")+SUMIFS('PV SUPPLY DATA'!$X:$X,'PV SUPPLY DATA'!$AH:$AH,'CT capacity tracker'!$B76,'PV SUPPLY DATA'!$AG:$AG,'CT capacity tracker'!$A$51,'PV SUPPLY DATA'!$Y:$Y,K$1,'PV SUPPLY DATA'!$AQ:$AQ,"other")+SUMIFS('ESS SUPPLY DATA'!$U:$U,'ESS SUPPLY DATA'!$AF:$AF,'CT capacity tracker'!$B76,'ESS SUPPLY DATA'!$AE:$AE,'CT capacity tracker'!$A$51,'ESS SUPPLY DATA'!$W:$W,'CT capacity tracker'!K$1,'ESS SUPPLY DATA'!$AO:$AO,"cosco")+SUMIFS('ESS SUPPLY DATA'!$U:$U,'ESS SUPPLY DATA'!$AF:$AF,'CT capacity tracker'!$B76,'ESS SUPPLY DATA'!$AE:$AE,'CT capacity tracker'!$A$51,'ESS SUPPLY DATA'!$W:$W,'CT capacity tracker'!K$1,'ESS SUPPLY DATA'!$AO:$AO,"other")</f>
        <v>0</v>
      </c>
      <c r="L79" s="504">
        <f>SUMIFS('PV SUPPLY DATA'!$X:$X,'PV SUPPLY DATA'!$AH:$AH,'CT capacity tracker'!$B76,'PV SUPPLY DATA'!$AG:$AG,'CT capacity tracker'!$A$51,'PV SUPPLY DATA'!$Y:$Y,L$1,'PV SUPPLY DATA'!$AQ:$AQ,"cosco")+SUMIFS('PV SUPPLY DATA'!$X:$X,'PV SUPPLY DATA'!$AH:$AH,'CT capacity tracker'!$B76,'PV SUPPLY DATA'!$AG:$AG,'CT capacity tracker'!$A$51,'PV SUPPLY DATA'!$Y:$Y,L$1,'PV SUPPLY DATA'!$AQ:$AQ,"other")+SUMIFS('ESS SUPPLY DATA'!$U:$U,'ESS SUPPLY DATA'!$AF:$AF,'CT capacity tracker'!$B76,'ESS SUPPLY DATA'!$AE:$AE,'CT capacity tracker'!$A$51,'ESS SUPPLY DATA'!$W:$W,'CT capacity tracker'!L$1,'ESS SUPPLY DATA'!$AO:$AO,"cosco")+SUMIFS('ESS SUPPLY DATA'!$U:$U,'ESS SUPPLY DATA'!$AF:$AF,'CT capacity tracker'!$B76,'ESS SUPPLY DATA'!$AE:$AE,'CT capacity tracker'!$A$51,'ESS SUPPLY DATA'!$W:$W,'CT capacity tracker'!L$1,'ESS SUPPLY DATA'!$AO:$AO,"other")</f>
        <v>6</v>
      </c>
      <c r="M79" s="504">
        <f>SUMIFS('PV SUPPLY DATA'!$X:$X,'PV SUPPLY DATA'!$AH:$AH,'CT capacity tracker'!$B76,'PV SUPPLY DATA'!$AG:$AG,'CT capacity tracker'!$A$51,'PV SUPPLY DATA'!$Y:$Y,M$1,'PV SUPPLY DATA'!$AQ:$AQ,"cosco")+SUMIFS('PV SUPPLY DATA'!$X:$X,'PV SUPPLY DATA'!$AH:$AH,'CT capacity tracker'!$B76,'PV SUPPLY DATA'!$AG:$AG,'CT capacity tracker'!$A$51,'PV SUPPLY DATA'!$Y:$Y,M$1,'PV SUPPLY DATA'!$AQ:$AQ,"other")+SUMIFS('ESS SUPPLY DATA'!$U:$U,'ESS SUPPLY DATA'!$AF:$AF,'CT capacity tracker'!$B76,'ESS SUPPLY DATA'!$AE:$AE,'CT capacity tracker'!$A$51,'ESS SUPPLY DATA'!$W:$W,'CT capacity tracker'!M$1,'ESS SUPPLY DATA'!$AO:$AO,"cosco")+SUMIFS('ESS SUPPLY DATA'!$U:$U,'ESS SUPPLY DATA'!$AF:$AF,'CT capacity tracker'!$B76,'ESS SUPPLY DATA'!$AE:$AE,'CT capacity tracker'!$A$51,'ESS SUPPLY DATA'!$W:$W,'CT capacity tracker'!M$1,'ESS SUPPLY DATA'!$AO:$AO,"other")</f>
        <v>6</v>
      </c>
      <c r="N79" s="504">
        <f>SUMIFS('PV SUPPLY DATA'!$X:$X,'PV SUPPLY DATA'!$AH:$AH,'CT capacity tracker'!$B76,'PV SUPPLY DATA'!$AG:$AG,'CT capacity tracker'!$A$51,'PV SUPPLY DATA'!$Y:$Y,N$1,'PV SUPPLY DATA'!$AQ:$AQ,"cosco")+SUMIFS('PV SUPPLY DATA'!$X:$X,'PV SUPPLY DATA'!$AH:$AH,'CT capacity tracker'!$B76,'PV SUPPLY DATA'!$AG:$AG,'CT capacity tracker'!$A$51,'PV SUPPLY DATA'!$Y:$Y,N$1,'PV SUPPLY DATA'!$AQ:$AQ,"other")+SUMIFS('ESS SUPPLY DATA'!$U:$U,'ESS SUPPLY DATA'!$AF:$AF,'CT capacity tracker'!$B76,'ESS SUPPLY DATA'!$AE:$AE,'CT capacity tracker'!$A$51,'ESS SUPPLY DATA'!$W:$W,'CT capacity tracker'!N$1,'ESS SUPPLY DATA'!$AO:$AO,"cosco")+SUMIFS('ESS SUPPLY DATA'!$U:$U,'ESS SUPPLY DATA'!$AF:$AF,'CT capacity tracker'!$B76,'ESS SUPPLY DATA'!$AE:$AE,'CT capacity tracker'!$A$51,'ESS SUPPLY DATA'!$W:$W,'CT capacity tracker'!N$1,'ESS SUPPLY DATA'!$AO:$AO,"other")</f>
        <v>1</v>
      </c>
      <c r="O79" s="504">
        <f>SUMIFS('PV SUPPLY DATA'!$X:$X,'PV SUPPLY DATA'!$AH:$AH,'CT capacity tracker'!$B76,'PV SUPPLY DATA'!$AG:$AG,'CT capacity tracker'!$A$51,'PV SUPPLY DATA'!$Y:$Y,O$1,'PV SUPPLY DATA'!$AQ:$AQ,"cosco")+SUMIFS('PV SUPPLY DATA'!$X:$X,'PV SUPPLY DATA'!$AH:$AH,'CT capacity tracker'!$B76,'PV SUPPLY DATA'!$AG:$AG,'CT capacity tracker'!$A$51,'PV SUPPLY DATA'!$Y:$Y,O$1,'PV SUPPLY DATA'!$AQ:$AQ,"other")+SUMIFS('ESS SUPPLY DATA'!$U:$U,'ESS SUPPLY DATA'!$AF:$AF,'CT capacity tracker'!$B76,'ESS SUPPLY DATA'!$AE:$AE,'CT capacity tracker'!$A$51,'ESS SUPPLY DATA'!$W:$W,'CT capacity tracker'!O$1,'ESS SUPPLY DATA'!$AO:$AO,"cosco")+SUMIFS('ESS SUPPLY DATA'!$U:$U,'ESS SUPPLY DATA'!$AF:$AF,'CT capacity tracker'!$B76,'ESS SUPPLY DATA'!$AE:$AE,'CT capacity tracker'!$A$51,'ESS SUPPLY DATA'!$W:$W,'CT capacity tracker'!O$1,'ESS SUPPLY DATA'!$AO:$AO,"other")</f>
        <v>12</v>
      </c>
      <c r="P79" s="504">
        <f>SUMIFS('PV SUPPLY DATA'!$X:$X,'PV SUPPLY DATA'!$AH:$AH,'CT capacity tracker'!$B76,'PV SUPPLY DATA'!$AG:$AG,'CT capacity tracker'!$A$51,'PV SUPPLY DATA'!$Y:$Y,P$1,'PV SUPPLY DATA'!$AQ:$AQ,"cosco")+SUMIFS('PV SUPPLY DATA'!$X:$X,'PV SUPPLY DATA'!$AH:$AH,'CT capacity tracker'!$B76,'PV SUPPLY DATA'!$AG:$AG,'CT capacity tracker'!$A$51,'PV SUPPLY DATA'!$Y:$Y,P$1,'PV SUPPLY DATA'!$AQ:$AQ,"other")+SUMIFS('ESS SUPPLY DATA'!$U:$U,'ESS SUPPLY DATA'!$AF:$AF,'CT capacity tracker'!$B76,'ESS SUPPLY DATA'!$AE:$AE,'CT capacity tracker'!$A$51,'ESS SUPPLY DATA'!$W:$W,'CT capacity tracker'!P$1,'ESS SUPPLY DATA'!$AO:$AO,"cosco")+SUMIFS('ESS SUPPLY DATA'!$U:$U,'ESS SUPPLY DATA'!$AF:$AF,'CT capacity tracker'!$B76,'ESS SUPPLY DATA'!$AE:$AE,'CT capacity tracker'!$A$51,'ESS SUPPLY DATA'!$W:$W,'CT capacity tracker'!P$1,'ESS SUPPLY DATA'!$AO:$AO,"other")</f>
        <v>1</v>
      </c>
      <c r="Q79" s="504">
        <f>SUMIFS('PV SUPPLY DATA'!$X:$X,'PV SUPPLY DATA'!$AH:$AH,'CT capacity tracker'!$B76,'PV SUPPLY DATA'!$AG:$AG,'CT capacity tracker'!$A$51,'PV SUPPLY DATA'!$Y:$Y,Q$1,'PV SUPPLY DATA'!$AQ:$AQ,"cosco")+SUMIFS('PV SUPPLY DATA'!$X:$X,'PV SUPPLY DATA'!$AH:$AH,'CT capacity tracker'!$B76,'PV SUPPLY DATA'!$AG:$AG,'CT capacity tracker'!$A$51,'PV SUPPLY DATA'!$Y:$Y,Q$1,'PV SUPPLY DATA'!$AQ:$AQ,"other")+SUMIFS('ESS SUPPLY DATA'!$U:$U,'ESS SUPPLY DATA'!$AF:$AF,'CT capacity tracker'!$B76,'ESS SUPPLY DATA'!$AE:$AE,'CT capacity tracker'!$A$51,'ESS SUPPLY DATA'!$W:$W,'CT capacity tracker'!Q$1,'ESS SUPPLY DATA'!$AO:$AO,"cosco")+SUMIFS('ESS SUPPLY DATA'!$U:$U,'ESS SUPPLY DATA'!$AF:$AF,'CT capacity tracker'!$B76,'ESS SUPPLY DATA'!$AE:$AE,'CT capacity tracker'!$A$51,'ESS SUPPLY DATA'!$W:$W,'CT capacity tracker'!Q$1,'ESS SUPPLY DATA'!$AO:$AO,"other")</f>
        <v>2</v>
      </c>
      <c r="R79" s="504">
        <f>SUMIFS('PV SUPPLY DATA'!$X:$X,'PV SUPPLY DATA'!$AH:$AH,'CT capacity tracker'!$B76,'PV SUPPLY DATA'!$AG:$AG,'CT capacity tracker'!$A$51,'PV SUPPLY DATA'!$Y:$Y,R$1,'PV SUPPLY DATA'!$AQ:$AQ,"cosco")+SUMIFS('PV SUPPLY DATA'!$X:$X,'PV SUPPLY DATA'!$AH:$AH,'CT capacity tracker'!$B76,'PV SUPPLY DATA'!$AG:$AG,'CT capacity tracker'!$A$51,'PV SUPPLY DATA'!$Y:$Y,R$1,'PV SUPPLY DATA'!$AQ:$AQ,"other")+SUMIFS('ESS SUPPLY DATA'!$U:$U,'ESS SUPPLY DATA'!$AF:$AF,'CT capacity tracker'!$B76,'ESS SUPPLY DATA'!$AE:$AE,'CT capacity tracker'!$A$51,'ESS SUPPLY DATA'!$W:$W,'CT capacity tracker'!R$1,'ESS SUPPLY DATA'!$AO:$AO,"cosco")+SUMIFS('ESS SUPPLY DATA'!$U:$U,'ESS SUPPLY DATA'!$AF:$AF,'CT capacity tracker'!$B76,'ESS SUPPLY DATA'!$AE:$AE,'CT capacity tracker'!$A$51,'ESS SUPPLY DATA'!$W:$W,'CT capacity tracker'!R$1,'ESS SUPPLY DATA'!$AO:$AO,"other")</f>
        <v>4</v>
      </c>
      <c r="S79" s="504">
        <f>SUMIFS('PV SUPPLY DATA'!$X:$X,'PV SUPPLY DATA'!$AH:$AH,'CT capacity tracker'!$B76,'PV SUPPLY DATA'!$AG:$AG,'CT capacity tracker'!$A$51,'PV SUPPLY DATA'!$Y:$Y,S$1,'PV SUPPLY DATA'!$AQ:$AQ,"cosco")+SUMIFS('PV SUPPLY DATA'!$X:$X,'PV SUPPLY DATA'!$AH:$AH,'CT capacity tracker'!$B76,'PV SUPPLY DATA'!$AG:$AG,'CT capacity tracker'!$A$51,'PV SUPPLY DATA'!$Y:$Y,S$1,'PV SUPPLY DATA'!$AQ:$AQ,"other")+SUMIFS('ESS SUPPLY DATA'!$U:$U,'ESS SUPPLY DATA'!$AF:$AF,'CT capacity tracker'!$B76,'ESS SUPPLY DATA'!$AE:$AE,'CT capacity tracker'!$A$51,'ESS SUPPLY DATA'!$W:$W,'CT capacity tracker'!S$1,'ESS SUPPLY DATA'!$AO:$AO,"cosco")+SUMIFS('ESS SUPPLY DATA'!$U:$U,'ESS SUPPLY DATA'!$AF:$AF,'CT capacity tracker'!$B76,'ESS SUPPLY DATA'!$AE:$AE,'CT capacity tracker'!$A$51,'ESS SUPPLY DATA'!$W:$W,'CT capacity tracker'!S$1,'ESS SUPPLY DATA'!$AO:$AO,"other")</f>
        <v>8</v>
      </c>
      <c r="T79" s="504">
        <f>SUMIFS('PV SUPPLY DATA'!$X:$X,'PV SUPPLY DATA'!$AH:$AH,'CT capacity tracker'!$B76,'PV SUPPLY DATA'!$AG:$AG,'CT capacity tracker'!$A$51,'PV SUPPLY DATA'!$Y:$Y,T$1,'PV SUPPLY DATA'!$AQ:$AQ,"cosco")+SUMIFS('PV SUPPLY DATA'!$X:$X,'PV SUPPLY DATA'!$AH:$AH,'CT capacity tracker'!$B76,'PV SUPPLY DATA'!$AG:$AG,'CT capacity tracker'!$A$51,'PV SUPPLY DATA'!$Y:$Y,T$1,'PV SUPPLY DATA'!$AQ:$AQ,"other")+SUMIFS('ESS SUPPLY DATA'!$U:$U,'ESS SUPPLY DATA'!$AF:$AF,'CT capacity tracker'!$B76,'ESS SUPPLY DATA'!$AE:$AE,'CT capacity tracker'!$A$51,'ESS SUPPLY DATA'!$W:$W,'CT capacity tracker'!T$1,'ESS SUPPLY DATA'!$AO:$AO,"cosco")+SUMIFS('ESS SUPPLY DATA'!$U:$U,'ESS SUPPLY DATA'!$AF:$AF,'CT capacity tracker'!$B76,'ESS SUPPLY DATA'!$AE:$AE,'CT capacity tracker'!$A$51,'ESS SUPPLY DATA'!$W:$W,'CT capacity tracker'!T$1,'ESS SUPPLY DATA'!$AO:$AO,"other")</f>
        <v>11</v>
      </c>
      <c r="U79" s="504">
        <f>SUMIFS('PV SUPPLY DATA'!$X:$X,'PV SUPPLY DATA'!$AH:$AH,'CT capacity tracker'!$B76,'PV SUPPLY DATA'!$AG:$AG,'CT capacity tracker'!$A$51,'PV SUPPLY DATA'!$Y:$Y,U$1,'PV SUPPLY DATA'!$AQ:$AQ,"cosco")+SUMIFS('PV SUPPLY DATA'!$X:$X,'PV SUPPLY DATA'!$AH:$AH,'CT capacity tracker'!$B76,'PV SUPPLY DATA'!$AG:$AG,'CT capacity tracker'!$A$51,'PV SUPPLY DATA'!$Y:$Y,U$1,'PV SUPPLY DATA'!$AQ:$AQ,"other")+SUMIFS('ESS SUPPLY DATA'!$U:$U,'ESS SUPPLY DATA'!$AF:$AF,'CT capacity tracker'!$B76,'ESS SUPPLY DATA'!$AE:$AE,'CT capacity tracker'!$A$51,'ESS SUPPLY DATA'!$W:$W,'CT capacity tracker'!U$1,'ESS SUPPLY DATA'!$AO:$AO,"cosco")+SUMIFS('ESS SUPPLY DATA'!$U:$U,'ESS SUPPLY DATA'!$AF:$AF,'CT capacity tracker'!$B76,'ESS SUPPLY DATA'!$AE:$AE,'CT capacity tracker'!$A$51,'ESS SUPPLY DATA'!$W:$W,'CT capacity tracker'!U$1,'ESS SUPPLY DATA'!$AO:$AO,"other")</f>
        <v>7</v>
      </c>
      <c r="V79" s="504">
        <f>SUMIFS('PV SUPPLY DATA'!$X:$X,'PV SUPPLY DATA'!$AH:$AH,'CT capacity tracker'!$B76,'PV SUPPLY DATA'!$AG:$AG,'CT capacity tracker'!$A$51,'PV SUPPLY DATA'!$Y:$Y,V$1,'PV SUPPLY DATA'!$AQ:$AQ,"cosco")+SUMIFS('PV SUPPLY DATA'!$X:$X,'PV SUPPLY DATA'!$AH:$AH,'CT capacity tracker'!$B76,'PV SUPPLY DATA'!$AG:$AG,'CT capacity tracker'!$A$51,'PV SUPPLY DATA'!$Y:$Y,V$1,'PV SUPPLY DATA'!$AQ:$AQ,"other")+SUMIFS('ESS SUPPLY DATA'!$U:$U,'ESS SUPPLY DATA'!$AF:$AF,'CT capacity tracker'!$B76,'ESS SUPPLY DATA'!$AE:$AE,'CT capacity tracker'!$A$51,'ESS SUPPLY DATA'!$W:$W,'CT capacity tracker'!V$1,'ESS SUPPLY DATA'!$AO:$AO,"cosco")+SUMIFS('ESS SUPPLY DATA'!$U:$U,'ESS SUPPLY DATA'!$AF:$AF,'CT capacity tracker'!$B76,'ESS SUPPLY DATA'!$AE:$AE,'CT capacity tracker'!$A$51,'ESS SUPPLY DATA'!$W:$W,'CT capacity tracker'!V$1,'ESS SUPPLY DATA'!$AO:$AO,"other")</f>
        <v>0</v>
      </c>
      <c r="W79" s="504">
        <f>SUMIFS('PV SUPPLY DATA'!$X:$X,'PV SUPPLY DATA'!$AH:$AH,'CT capacity tracker'!$B76,'PV SUPPLY DATA'!$AG:$AG,'CT capacity tracker'!$A$51,'PV SUPPLY DATA'!$Y:$Y,W$1,'PV SUPPLY DATA'!$AQ:$AQ,"cosco")+SUMIFS('PV SUPPLY DATA'!$X:$X,'PV SUPPLY DATA'!$AH:$AH,'CT capacity tracker'!$B76,'PV SUPPLY DATA'!$AG:$AG,'CT capacity tracker'!$A$51,'PV SUPPLY DATA'!$Y:$Y,W$1,'PV SUPPLY DATA'!$AQ:$AQ,"other")+SUMIFS('ESS SUPPLY DATA'!$U:$U,'ESS SUPPLY DATA'!$AF:$AF,'CT capacity tracker'!$B76,'ESS SUPPLY DATA'!$AE:$AE,'CT capacity tracker'!$A$51,'ESS SUPPLY DATA'!$W:$W,'CT capacity tracker'!W$1,'ESS SUPPLY DATA'!$AO:$AO,"cosco")+SUMIFS('ESS SUPPLY DATA'!$U:$U,'ESS SUPPLY DATA'!$AF:$AF,'CT capacity tracker'!$B76,'ESS SUPPLY DATA'!$AE:$AE,'CT capacity tracker'!$A$51,'ESS SUPPLY DATA'!$W:$W,'CT capacity tracker'!W$1,'ESS SUPPLY DATA'!$AO:$AO,"other")</f>
        <v>11</v>
      </c>
      <c r="X79" s="504">
        <f>SUMIFS('PV SUPPLY DATA'!$X:$X,'PV SUPPLY DATA'!$AH:$AH,'CT capacity tracker'!$B76,'PV SUPPLY DATA'!$AG:$AG,'CT capacity tracker'!$A$51,'PV SUPPLY DATA'!$Y:$Y,X$1,'PV SUPPLY DATA'!$AQ:$AQ,"cosco")+SUMIFS('PV SUPPLY DATA'!$X:$X,'PV SUPPLY DATA'!$AH:$AH,'CT capacity tracker'!$B76,'PV SUPPLY DATA'!$AG:$AG,'CT capacity tracker'!$A$51,'PV SUPPLY DATA'!$Y:$Y,X$1,'PV SUPPLY DATA'!$AQ:$AQ,"other")+SUMIFS('ESS SUPPLY DATA'!$U:$U,'ESS SUPPLY DATA'!$AF:$AF,'CT capacity tracker'!$B76,'ESS SUPPLY DATA'!$AE:$AE,'CT capacity tracker'!$A$51,'ESS SUPPLY DATA'!$W:$W,'CT capacity tracker'!X$1,'ESS SUPPLY DATA'!$AO:$AO,"cosco")+SUMIFS('ESS SUPPLY DATA'!$U:$U,'ESS SUPPLY DATA'!$AF:$AF,'CT capacity tracker'!$B76,'ESS SUPPLY DATA'!$AE:$AE,'CT capacity tracker'!$A$51,'ESS SUPPLY DATA'!$W:$W,'CT capacity tracker'!X$1,'ESS SUPPLY DATA'!$AO:$AO,"other")</f>
        <v>0</v>
      </c>
      <c r="Y79" s="504">
        <f>SUMIFS('PV SUPPLY DATA'!$X:$X,'PV SUPPLY DATA'!$AH:$AH,'CT capacity tracker'!$B76,'PV SUPPLY DATA'!$AG:$AG,'CT capacity tracker'!$A$51,'PV SUPPLY DATA'!$Y:$Y,Y$1,'PV SUPPLY DATA'!$AQ:$AQ,"cosco")+SUMIFS('PV SUPPLY DATA'!$X:$X,'PV SUPPLY DATA'!$AH:$AH,'CT capacity tracker'!$B76,'PV SUPPLY DATA'!$AG:$AG,'CT capacity tracker'!$A$51,'PV SUPPLY DATA'!$Y:$Y,Y$1,'PV SUPPLY DATA'!$AQ:$AQ,"other")+SUMIFS('ESS SUPPLY DATA'!$U:$U,'ESS SUPPLY DATA'!$AF:$AF,'CT capacity tracker'!$B76,'ESS SUPPLY DATA'!$AE:$AE,'CT capacity tracker'!$A$51,'ESS SUPPLY DATA'!$W:$W,'CT capacity tracker'!Y$1,'ESS SUPPLY DATA'!$AO:$AO,"cosco")+SUMIFS('ESS SUPPLY DATA'!$U:$U,'ESS SUPPLY DATA'!$AF:$AF,'CT capacity tracker'!$B76,'ESS SUPPLY DATA'!$AE:$AE,'CT capacity tracker'!$A$51,'ESS SUPPLY DATA'!$W:$W,'CT capacity tracker'!Y$1,'ESS SUPPLY DATA'!$AO:$AO,"other")</f>
        <v>5</v>
      </c>
      <c r="Z79" s="504">
        <f>SUMIFS('PV SUPPLY DATA'!$X:$X,'PV SUPPLY DATA'!$AH:$AH,'CT capacity tracker'!$B76,'PV SUPPLY DATA'!$AG:$AG,'CT capacity tracker'!$A$51,'PV SUPPLY DATA'!$Y:$Y,Z$1,'PV SUPPLY DATA'!$AQ:$AQ,"cosco")+SUMIFS('PV SUPPLY DATA'!$X:$X,'PV SUPPLY DATA'!$AH:$AH,'CT capacity tracker'!$B76,'PV SUPPLY DATA'!$AG:$AG,'CT capacity tracker'!$A$51,'PV SUPPLY DATA'!$Y:$Y,Z$1,'PV SUPPLY DATA'!$AQ:$AQ,"other")+SUMIFS('ESS SUPPLY DATA'!$U:$U,'ESS SUPPLY DATA'!$AF:$AF,'CT capacity tracker'!$B76,'ESS SUPPLY DATA'!$AE:$AE,'CT capacity tracker'!$A$51,'ESS SUPPLY DATA'!$W:$W,'CT capacity tracker'!Z$1,'ESS SUPPLY DATA'!$AO:$AO,"cosco")+SUMIFS('ESS SUPPLY DATA'!$U:$U,'ESS SUPPLY DATA'!$AF:$AF,'CT capacity tracker'!$B76,'ESS SUPPLY DATA'!$AE:$AE,'CT capacity tracker'!$A$51,'ESS SUPPLY DATA'!$W:$W,'CT capacity tracker'!Z$1,'ESS SUPPLY DATA'!$AO:$AO,"other")</f>
        <v>0</v>
      </c>
      <c r="AA79" s="504">
        <f>SUMIFS('PV SUPPLY DATA'!$X:$X,'PV SUPPLY DATA'!$AH:$AH,'CT capacity tracker'!$B76,'PV SUPPLY DATA'!$AG:$AG,'CT capacity tracker'!$A$51,'PV SUPPLY DATA'!$Y:$Y,AA$1,'PV SUPPLY DATA'!$AQ:$AQ,"cosco")+SUMIFS('PV SUPPLY DATA'!$X:$X,'PV SUPPLY DATA'!$AH:$AH,'CT capacity tracker'!$B76,'PV SUPPLY DATA'!$AG:$AG,'CT capacity tracker'!$A$51,'PV SUPPLY DATA'!$Y:$Y,AA$1,'PV SUPPLY DATA'!$AQ:$AQ,"other")+SUMIFS('ESS SUPPLY DATA'!$U:$U,'ESS SUPPLY DATA'!$AF:$AF,'CT capacity tracker'!$B76,'ESS SUPPLY DATA'!$AE:$AE,'CT capacity tracker'!$A$51,'ESS SUPPLY DATA'!$W:$W,'CT capacity tracker'!AA$1,'ESS SUPPLY DATA'!$AO:$AO,"cosco")+SUMIFS('ESS SUPPLY DATA'!$U:$U,'ESS SUPPLY DATA'!$AF:$AF,'CT capacity tracker'!$B76,'ESS SUPPLY DATA'!$AE:$AE,'CT capacity tracker'!$A$51,'ESS SUPPLY DATA'!$W:$W,'CT capacity tracker'!AA$1,'ESS SUPPLY DATA'!$AO:$AO,"other")</f>
        <v>0</v>
      </c>
      <c r="AB79" s="504">
        <f>SUMIFS('PV SUPPLY DATA'!$X:$X,'PV SUPPLY DATA'!$AH:$AH,'CT capacity tracker'!$B76,'PV SUPPLY DATA'!$AG:$AG,'CT capacity tracker'!$A$51,'PV SUPPLY DATA'!$Y:$Y,AB$1,'PV SUPPLY DATA'!$AQ:$AQ,"cosco")+SUMIFS('PV SUPPLY DATA'!$X:$X,'PV SUPPLY DATA'!$AH:$AH,'CT capacity tracker'!$B76,'PV SUPPLY DATA'!$AG:$AG,'CT capacity tracker'!$A$51,'PV SUPPLY DATA'!$Y:$Y,AB$1,'PV SUPPLY DATA'!$AQ:$AQ,"other")+SUMIFS('ESS SUPPLY DATA'!$U:$U,'ESS SUPPLY DATA'!$AF:$AF,'CT capacity tracker'!$B76,'ESS SUPPLY DATA'!$AE:$AE,'CT capacity tracker'!$A$51,'ESS SUPPLY DATA'!$W:$W,'CT capacity tracker'!AB$1,'ESS SUPPLY DATA'!$AO:$AO,"cosco")+SUMIFS('ESS SUPPLY DATA'!$U:$U,'ESS SUPPLY DATA'!$AF:$AF,'CT capacity tracker'!$B76,'ESS SUPPLY DATA'!$AE:$AE,'CT capacity tracker'!$A$51,'ESS SUPPLY DATA'!$W:$W,'CT capacity tracker'!AB$1,'ESS SUPPLY DATA'!$AO:$AO,"other")</f>
        <v>0</v>
      </c>
      <c r="AC79" s="504">
        <f>SUMIFS('PV SUPPLY DATA'!$X:$X,'PV SUPPLY DATA'!$AH:$AH,'CT capacity tracker'!$B76,'PV SUPPLY DATA'!$AG:$AG,'CT capacity tracker'!$A$51,'PV SUPPLY DATA'!$Y:$Y,AC$1,'PV SUPPLY DATA'!$AQ:$AQ,"cosco")+SUMIFS('PV SUPPLY DATA'!$X:$X,'PV SUPPLY DATA'!$AH:$AH,'CT capacity tracker'!$B76,'PV SUPPLY DATA'!$AG:$AG,'CT capacity tracker'!$A$51,'PV SUPPLY DATA'!$Y:$Y,AC$1,'PV SUPPLY DATA'!$AQ:$AQ,"other")+SUMIFS('ESS SUPPLY DATA'!$U:$U,'ESS SUPPLY DATA'!$AF:$AF,'CT capacity tracker'!$B76,'ESS SUPPLY DATA'!$AE:$AE,'CT capacity tracker'!$A$51,'ESS SUPPLY DATA'!$W:$W,'CT capacity tracker'!AC$1,'ESS SUPPLY DATA'!$AO:$AO,"cosco")+SUMIFS('ESS SUPPLY DATA'!$U:$U,'ESS SUPPLY DATA'!$AF:$AF,'CT capacity tracker'!$B76,'ESS SUPPLY DATA'!$AE:$AE,'CT capacity tracker'!$A$51,'ESS SUPPLY DATA'!$W:$W,'CT capacity tracker'!AC$1,'ESS SUPPLY DATA'!$AO:$AO,"other")</f>
        <v>4</v>
      </c>
      <c r="AD79" s="504">
        <f>SUMIFS('PV SUPPLY DATA'!$X:$X,'PV SUPPLY DATA'!$AH:$AH,'CT capacity tracker'!$B76,'PV SUPPLY DATA'!$AG:$AG,'CT capacity tracker'!$A$51,'PV SUPPLY DATA'!$Y:$Y,AD$1,'PV SUPPLY DATA'!$AQ:$AQ,"cosco")+SUMIFS('PV SUPPLY DATA'!$X:$X,'PV SUPPLY DATA'!$AH:$AH,'CT capacity tracker'!$B76,'PV SUPPLY DATA'!$AG:$AG,'CT capacity tracker'!$A$51,'PV SUPPLY DATA'!$Y:$Y,AD$1,'PV SUPPLY DATA'!$AQ:$AQ,"other")+SUMIFS('ESS SUPPLY DATA'!$U:$U,'ESS SUPPLY DATA'!$AF:$AF,'CT capacity tracker'!$B76,'ESS SUPPLY DATA'!$AE:$AE,'CT capacity tracker'!$A$51,'ESS SUPPLY DATA'!$W:$W,'CT capacity tracker'!AD$1,'ESS SUPPLY DATA'!$AO:$AO,"cosco")+SUMIFS('ESS SUPPLY DATA'!$U:$U,'ESS SUPPLY DATA'!$AF:$AF,'CT capacity tracker'!$B76,'ESS SUPPLY DATA'!$AE:$AE,'CT capacity tracker'!$A$51,'ESS SUPPLY DATA'!$W:$W,'CT capacity tracker'!AD$1,'ESS SUPPLY DATA'!$AO:$AO,"other")</f>
        <v>2</v>
      </c>
      <c r="AE79" s="504">
        <f>SUMIFS('PV SUPPLY DATA'!$X:$X,'PV SUPPLY DATA'!$AH:$AH,'CT capacity tracker'!$B76,'PV SUPPLY DATA'!$AG:$AG,'CT capacity tracker'!$A$51,'PV SUPPLY DATA'!$Y:$Y,AE$1,'PV SUPPLY DATA'!$AQ:$AQ,"cosco")+SUMIFS('PV SUPPLY DATA'!$X:$X,'PV SUPPLY DATA'!$AH:$AH,'CT capacity tracker'!$B76,'PV SUPPLY DATA'!$AG:$AG,'CT capacity tracker'!$A$51,'PV SUPPLY DATA'!$Y:$Y,AE$1,'PV SUPPLY DATA'!$AQ:$AQ,"other")+SUMIFS('ESS SUPPLY DATA'!$U:$U,'ESS SUPPLY DATA'!$AF:$AF,'CT capacity tracker'!$B76,'ESS SUPPLY DATA'!$AE:$AE,'CT capacity tracker'!$A$51,'ESS SUPPLY DATA'!$W:$W,'CT capacity tracker'!AE$1,'ESS SUPPLY DATA'!$AO:$AO,"cosco")+SUMIFS('ESS SUPPLY DATA'!$U:$U,'ESS SUPPLY DATA'!$AF:$AF,'CT capacity tracker'!$B76,'ESS SUPPLY DATA'!$AE:$AE,'CT capacity tracker'!$A$51,'ESS SUPPLY DATA'!$W:$W,'CT capacity tracker'!AE$1,'ESS SUPPLY DATA'!$AO:$AO,"other")</f>
        <v>0</v>
      </c>
      <c r="AF79" s="504">
        <f>SUMIFS('PV SUPPLY DATA'!$X:$X,'PV SUPPLY DATA'!$AH:$AH,'CT capacity tracker'!$B76,'PV SUPPLY DATA'!$AG:$AG,'CT capacity tracker'!$A$51,'PV SUPPLY DATA'!$Y:$Y,AF$1,'PV SUPPLY DATA'!$AQ:$AQ,"cosco")+SUMIFS('PV SUPPLY DATA'!$X:$X,'PV SUPPLY DATA'!$AH:$AH,'CT capacity tracker'!$B76,'PV SUPPLY DATA'!$AG:$AG,'CT capacity tracker'!$A$51,'PV SUPPLY DATA'!$Y:$Y,AF$1,'PV SUPPLY DATA'!$AQ:$AQ,"other")+SUMIFS('ESS SUPPLY DATA'!$U:$U,'ESS SUPPLY DATA'!$AF:$AF,'CT capacity tracker'!$B76,'ESS SUPPLY DATA'!$AE:$AE,'CT capacity tracker'!$A$51,'ESS SUPPLY DATA'!$W:$W,'CT capacity tracker'!AF$1,'ESS SUPPLY DATA'!$AO:$AO,"cosco")+SUMIFS('ESS SUPPLY DATA'!$U:$U,'ESS SUPPLY DATA'!$AF:$AF,'CT capacity tracker'!$B76,'ESS SUPPLY DATA'!$AE:$AE,'CT capacity tracker'!$A$51,'ESS SUPPLY DATA'!$W:$W,'CT capacity tracker'!AF$1,'ESS SUPPLY DATA'!$AO:$AO,"other")</f>
        <v>0</v>
      </c>
      <c r="AG79" s="504">
        <f>SUMIFS('PV SUPPLY DATA'!$X:$X,'PV SUPPLY DATA'!$AH:$AH,'CT capacity tracker'!$B76,'PV SUPPLY DATA'!$AG:$AG,'CT capacity tracker'!$A$51,'PV SUPPLY DATA'!$Y:$Y,AG$1,'PV SUPPLY DATA'!$AQ:$AQ,"cosco")+SUMIFS('PV SUPPLY DATA'!$X:$X,'PV SUPPLY DATA'!$AH:$AH,'CT capacity tracker'!$B76,'PV SUPPLY DATA'!$AG:$AG,'CT capacity tracker'!$A$51,'PV SUPPLY DATA'!$Y:$Y,AG$1,'PV SUPPLY DATA'!$AQ:$AQ,"other")+SUMIFS('ESS SUPPLY DATA'!$U:$U,'ESS SUPPLY DATA'!$AF:$AF,'CT capacity tracker'!$B76,'ESS SUPPLY DATA'!$AE:$AE,'CT capacity tracker'!$A$51,'ESS SUPPLY DATA'!$W:$W,'CT capacity tracker'!AG$1,'ESS SUPPLY DATA'!$AO:$AO,"cosco")+SUMIFS('ESS SUPPLY DATA'!$U:$U,'ESS SUPPLY DATA'!$AF:$AF,'CT capacity tracker'!$B76,'ESS SUPPLY DATA'!$AE:$AE,'CT capacity tracker'!$A$51,'ESS SUPPLY DATA'!$W:$W,'CT capacity tracker'!AG$1,'ESS SUPPLY DATA'!$AO:$AO,"other")</f>
        <v>0</v>
      </c>
      <c r="AH79" s="504">
        <f>SUMIFS('PV SUPPLY DATA'!$X:$X,'PV SUPPLY DATA'!$AH:$AH,'CT capacity tracker'!$B76,'PV SUPPLY DATA'!$AG:$AG,'CT capacity tracker'!$A$51,'PV SUPPLY DATA'!$Y:$Y,AH$1,'PV SUPPLY DATA'!$AQ:$AQ,"cosco")+SUMIFS('PV SUPPLY DATA'!$X:$X,'PV SUPPLY DATA'!$AH:$AH,'CT capacity tracker'!$B76,'PV SUPPLY DATA'!$AG:$AG,'CT capacity tracker'!$A$51,'PV SUPPLY DATA'!$Y:$Y,AH$1,'PV SUPPLY DATA'!$AQ:$AQ,"other")+SUMIFS('ESS SUPPLY DATA'!$U:$U,'ESS SUPPLY DATA'!$AF:$AF,'CT capacity tracker'!$B76,'ESS SUPPLY DATA'!$AE:$AE,'CT capacity tracker'!$A$51,'ESS SUPPLY DATA'!$W:$W,'CT capacity tracker'!AH$1,'ESS SUPPLY DATA'!$AO:$AO,"cosco")+SUMIFS('ESS SUPPLY DATA'!$U:$U,'ESS SUPPLY DATA'!$AF:$AF,'CT capacity tracker'!$B76,'ESS SUPPLY DATA'!$AE:$AE,'CT capacity tracker'!$A$51,'ESS SUPPLY DATA'!$W:$W,'CT capacity tracker'!AH$1,'ESS SUPPLY DATA'!$AO:$AO,"other")</f>
        <v>0</v>
      </c>
      <c r="AI79" s="504">
        <f>SUMIFS('PV SUPPLY DATA'!$X:$X,'PV SUPPLY DATA'!$AH:$AH,'CT capacity tracker'!$B76,'PV SUPPLY DATA'!$AG:$AG,'CT capacity tracker'!$A$51,'PV SUPPLY DATA'!$Y:$Y,AI$1,'PV SUPPLY DATA'!$AQ:$AQ,"cosco")+SUMIFS('PV SUPPLY DATA'!$X:$X,'PV SUPPLY DATA'!$AH:$AH,'CT capacity tracker'!$B76,'PV SUPPLY DATA'!$AG:$AG,'CT capacity tracker'!$A$51,'PV SUPPLY DATA'!$Y:$Y,AI$1,'PV SUPPLY DATA'!$AQ:$AQ,"other")+SUMIFS('ESS SUPPLY DATA'!$U:$U,'ESS SUPPLY DATA'!$AF:$AF,'CT capacity tracker'!$B76,'ESS SUPPLY DATA'!$AE:$AE,'CT capacity tracker'!$A$51,'ESS SUPPLY DATA'!$W:$W,'CT capacity tracker'!AI$1,'ESS SUPPLY DATA'!$AO:$AO,"cosco")+SUMIFS('ESS SUPPLY DATA'!$U:$U,'ESS SUPPLY DATA'!$AF:$AF,'CT capacity tracker'!$B76,'ESS SUPPLY DATA'!$AE:$AE,'CT capacity tracker'!$A$51,'ESS SUPPLY DATA'!$W:$W,'CT capacity tracker'!AI$1,'ESS SUPPLY DATA'!$AO:$AO,"other")</f>
        <v>0</v>
      </c>
      <c r="AJ79" s="504">
        <f>SUMIFS('PV SUPPLY DATA'!$X:$X,'PV SUPPLY DATA'!$AH:$AH,'CT capacity tracker'!$B76,'PV SUPPLY DATA'!$AG:$AG,'CT capacity tracker'!$A$51,'PV SUPPLY DATA'!$Y:$Y,AJ$1,'PV SUPPLY DATA'!$AQ:$AQ,"cosco")+SUMIFS('PV SUPPLY DATA'!$X:$X,'PV SUPPLY DATA'!$AH:$AH,'CT capacity tracker'!$B76,'PV SUPPLY DATA'!$AG:$AG,'CT capacity tracker'!$A$51,'PV SUPPLY DATA'!$Y:$Y,AJ$1,'PV SUPPLY DATA'!$AQ:$AQ,"other")+SUMIFS('ESS SUPPLY DATA'!$U:$U,'ESS SUPPLY DATA'!$AF:$AF,'CT capacity tracker'!$B76,'ESS SUPPLY DATA'!$AE:$AE,'CT capacity tracker'!$A$51,'ESS SUPPLY DATA'!$W:$W,'CT capacity tracker'!AJ$1,'ESS SUPPLY DATA'!$AO:$AO,"cosco")+SUMIFS('ESS SUPPLY DATA'!$U:$U,'ESS SUPPLY DATA'!$AF:$AF,'CT capacity tracker'!$B76,'ESS SUPPLY DATA'!$AE:$AE,'CT capacity tracker'!$A$51,'ESS SUPPLY DATA'!$W:$W,'CT capacity tracker'!AJ$1,'ESS SUPPLY DATA'!$AO:$AO,"other")</f>
        <v>0</v>
      </c>
      <c r="AK79" s="511"/>
      <c r="AL79" s="511"/>
      <c r="AM79" s="696">
        <f>SUM(E79:X79)</f>
        <v>87</v>
      </c>
      <c r="AN79" s="503"/>
      <c r="AO79" s="506"/>
      <c r="AP79" s="506"/>
      <c r="AQ79" s="506"/>
      <c r="AR79" s="506"/>
      <c r="AS79" s="506"/>
      <c r="AT79" s="506"/>
    </row>
    <row r="80" spans="1:46" ht="13">
      <c r="A80" s="1517"/>
      <c r="B80" s="1516" t="s">
        <v>314</v>
      </c>
      <c r="C80" s="503" t="s">
        <v>4400</v>
      </c>
      <c r="D80" s="504">
        <f>SUMIFS('PV SUPPLY DATA'!$X:$X,'PV SUPPLY DATA'!$AH:$AH,'CT capacity tracker'!$B80,'PV SUPPLY DATA'!$AG:$AG,'CT capacity tracker'!$A$1,'PV SUPPLY DATA'!$Z:$Z,'CT capacity tracker'!D$1)+SUMIFS('ESS SUPPLY DATA'!$U:$U,'ESS SUPPLY DATA'!$AF:$AF,'CT capacity tracker'!$B80,'ESS SUPPLY DATA'!$AE:$AE,'CT capacity tracker'!$A$1,'ESS SUPPLY DATA'!$X:$X,'CT capacity tracker'!D$1)</f>
        <v>23</v>
      </c>
      <c r="E80" s="504">
        <f>SUMIFS('PV SUPPLY DATA'!$X:$X,'PV SUPPLY DATA'!$AH:$AH,'CT capacity tracker'!$B80,'PV SUPPLY DATA'!$AG:$AG,$A$51,'PV SUPPLY DATA'!$Y:$Y,'CT capacity tracker'!E$1)+SUMIFS('ESS SUPPLY DATA'!$U:$U,'ESS SUPPLY DATA'!$AF:$AF,'CT capacity tracker'!$B80,'ESS SUPPLY DATA'!$AE:$AE,'CT capacity tracker'!$A$51,'ESS SUPPLY DATA'!$W:$W,'CT capacity tracker'!E$1)</f>
        <v>0</v>
      </c>
      <c r="F80" s="504">
        <f>SUMIFS('PV SUPPLY DATA'!$X:$X,'PV SUPPLY DATA'!$AH:$AH,'CT capacity tracker'!$B80,'PV SUPPLY DATA'!$AG:$AG,$A$51,'PV SUPPLY DATA'!$Y:$Y,'CT capacity tracker'!F$1)+SUMIFS('ESS SUPPLY DATA'!$U:$U,'ESS SUPPLY DATA'!$AF:$AF,'CT capacity tracker'!$B80,'ESS SUPPLY DATA'!$AE:$AE,'CT capacity tracker'!$A$51,'ESS SUPPLY DATA'!$W:$W,'CT capacity tracker'!F$1)</f>
        <v>0</v>
      </c>
      <c r="G80" s="504">
        <f>SUMIFS('PV SUPPLY DATA'!$X:$X,'PV SUPPLY DATA'!$AH:$AH,'CT capacity tracker'!$B80,'PV SUPPLY DATA'!$AG:$AG,$A$51,'PV SUPPLY DATA'!$Y:$Y,'CT capacity tracker'!G$1)+SUMIFS('ESS SUPPLY DATA'!$U:$U,'ESS SUPPLY DATA'!$AF:$AF,'CT capacity tracker'!$B80,'ESS SUPPLY DATA'!$AE:$AE,'CT capacity tracker'!$A$51,'ESS SUPPLY DATA'!$W:$W,'CT capacity tracker'!G$1)</f>
        <v>0</v>
      </c>
      <c r="H80" s="504">
        <f>SUMIFS('PV SUPPLY DATA'!$X:$X,'PV SUPPLY DATA'!$AH:$AH,'CT capacity tracker'!$B80,'PV SUPPLY DATA'!$AG:$AG,$A$51,'PV SUPPLY DATA'!$Y:$Y,'CT capacity tracker'!H$1)+SUMIFS('ESS SUPPLY DATA'!$U:$U,'ESS SUPPLY DATA'!$AF:$AF,'CT capacity tracker'!$B80,'ESS SUPPLY DATA'!$AE:$AE,'CT capacity tracker'!$A$51,'ESS SUPPLY DATA'!$W:$W,'CT capacity tracker'!H$1)</f>
        <v>0</v>
      </c>
      <c r="I80" s="504">
        <f>SUMIFS('PV SUPPLY DATA'!$X:$X,'PV SUPPLY DATA'!$AH:$AH,'CT capacity tracker'!$B80,'PV SUPPLY DATA'!$AG:$AG,$A$51,'PV SUPPLY DATA'!$Y:$Y,'CT capacity tracker'!I$1)+SUMIFS('ESS SUPPLY DATA'!$U:$U,'ESS SUPPLY DATA'!$AF:$AF,'CT capacity tracker'!$B80,'ESS SUPPLY DATA'!$AE:$AE,'CT capacity tracker'!$A$51,'ESS SUPPLY DATA'!$W:$W,'CT capacity tracker'!I$1)</f>
        <v>0</v>
      </c>
      <c r="J80" s="504">
        <f>SUMIFS('PV SUPPLY DATA'!$X:$X,'PV SUPPLY DATA'!$AH:$AH,'CT capacity tracker'!$B80,'PV SUPPLY DATA'!$AG:$AG,$A$51,'PV SUPPLY DATA'!$Y:$Y,'CT capacity tracker'!J$1)+SUMIFS('ESS SUPPLY DATA'!$U:$U,'ESS SUPPLY DATA'!$AF:$AF,'CT capacity tracker'!$B80,'ESS SUPPLY DATA'!$AE:$AE,'CT capacity tracker'!$A$51,'ESS SUPPLY DATA'!$W:$W,'CT capacity tracker'!J$1)</f>
        <v>0</v>
      </c>
      <c r="K80" s="504">
        <f>SUMIFS('PV SUPPLY DATA'!$X:$X,'PV SUPPLY DATA'!$AH:$AH,'CT capacity tracker'!$B80,'PV SUPPLY DATA'!$AG:$AG,$A$51,'PV SUPPLY DATA'!$Y:$Y,'CT capacity tracker'!K$1)+SUMIFS('ESS SUPPLY DATA'!$U:$U,'ESS SUPPLY DATA'!$AF:$AF,'CT capacity tracker'!$B80,'ESS SUPPLY DATA'!$AE:$AE,'CT capacity tracker'!$A$51,'ESS SUPPLY DATA'!$W:$W,'CT capacity tracker'!K$1)</f>
        <v>0</v>
      </c>
      <c r="L80" s="504">
        <f>SUMIFS('PV SUPPLY DATA'!$X:$X,'PV SUPPLY DATA'!$AH:$AH,'CT capacity tracker'!$B80,'PV SUPPLY DATA'!$AG:$AG,$A$51,'PV SUPPLY DATA'!$Y:$Y,'CT capacity tracker'!L$1)+SUMIFS('ESS SUPPLY DATA'!$U:$U,'ESS SUPPLY DATA'!$AF:$AF,'CT capacity tracker'!$B80,'ESS SUPPLY DATA'!$AE:$AE,'CT capacity tracker'!$A$51,'ESS SUPPLY DATA'!$W:$W,'CT capacity tracker'!L$1)</f>
        <v>0</v>
      </c>
      <c r="M80" s="504">
        <f>SUMIFS('PV SUPPLY DATA'!$X:$X,'PV SUPPLY DATA'!$AH:$AH,'CT capacity tracker'!$B80,'PV SUPPLY DATA'!$AG:$AG,$A$51,'PV SUPPLY DATA'!$Y:$Y,'CT capacity tracker'!M$1)+SUMIFS('ESS SUPPLY DATA'!$U:$U,'ESS SUPPLY DATA'!$AF:$AF,'CT capacity tracker'!$B80,'ESS SUPPLY DATA'!$AE:$AE,'CT capacity tracker'!$A$51,'ESS SUPPLY DATA'!$W:$W,'CT capacity tracker'!M$1)</f>
        <v>0</v>
      </c>
      <c r="N80" s="504">
        <f>SUMIFS('PV SUPPLY DATA'!$X:$X,'PV SUPPLY DATA'!$AH:$AH,'CT capacity tracker'!$B80,'PV SUPPLY DATA'!$AG:$AG,$A$51,'PV SUPPLY DATA'!$Y:$Y,'CT capacity tracker'!N$1)+SUMIFS('ESS SUPPLY DATA'!$U:$U,'ESS SUPPLY DATA'!$AF:$AF,'CT capacity tracker'!$B80,'ESS SUPPLY DATA'!$AE:$AE,'CT capacity tracker'!$A$51,'ESS SUPPLY DATA'!$W:$W,'CT capacity tracker'!N$1)</f>
        <v>0</v>
      </c>
      <c r="O80" s="504">
        <f>SUMIFS('PV SUPPLY DATA'!$X:$X,'PV SUPPLY DATA'!$AH:$AH,'CT capacity tracker'!$B80,'PV SUPPLY DATA'!$AG:$AG,$A$51,'PV SUPPLY DATA'!$Y:$Y,'CT capacity tracker'!O$1)+SUMIFS('ESS SUPPLY DATA'!$U:$U,'ESS SUPPLY DATA'!$AF:$AF,'CT capacity tracker'!$B80,'ESS SUPPLY DATA'!$AE:$AE,'CT capacity tracker'!$A$51,'ESS SUPPLY DATA'!$W:$W,'CT capacity tracker'!O$1)</f>
        <v>0</v>
      </c>
      <c r="P80" s="504">
        <f>SUMIFS('PV SUPPLY DATA'!$X:$X,'PV SUPPLY DATA'!$AH:$AH,'CT capacity tracker'!$B80,'PV SUPPLY DATA'!$AG:$AG,$A$51,'PV SUPPLY DATA'!$Y:$Y,'CT capacity tracker'!P$1)+SUMIFS('ESS SUPPLY DATA'!$U:$U,'ESS SUPPLY DATA'!$AF:$AF,'CT capacity tracker'!$B80,'ESS SUPPLY DATA'!$AE:$AE,'CT capacity tracker'!$A$51,'ESS SUPPLY DATA'!$W:$W,'CT capacity tracker'!P$1)</f>
        <v>0</v>
      </c>
      <c r="Q80" s="504">
        <f>SUMIFS('PV SUPPLY DATA'!$X:$X,'PV SUPPLY DATA'!$AH:$AH,'CT capacity tracker'!$B80,'PV SUPPLY DATA'!$AG:$AG,$A$51,'PV SUPPLY DATA'!$Y:$Y,'CT capacity tracker'!Q$1)+SUMIFS('ESS SUPPLY DATA'!$U:$U,'ESS SUPPLY DATA'!$AF:$AF,'CT capacity tracker'!$B80,'ESS SUPPLY DATA'!$AE:$AE,'CT capacity tracker'!$A$51,'ESS SUPPLY DATA'!$W:$W,'CT capacity tracker'!Q$1)</f>
        <v>0</v>
      </c>
      <c r="R80" s="504">
        <f>SUMIFS('PV SUPPLY DATA'!$X:$X,'PV SUPPLY DATA'!$AH:$AH,'CT capacity tracker'!$B80,'PV SUPPLY DATA'!$AG:$AG,$A$51,'PV SUPPLY DATA'!$Y:$Y,'CT capacity tracker'!R$1)+SUMIFS('ESS SUPPLY DATA'!$U:$U,'ESS SUPPLY DATA'!$AF:$AF,'CT capacity tracker'!$B80,'ESS SUPPLY DATA'!$AE:$AE,'CT capacity tracker'!$A$51,'ESS SUPPLY DATA'!$W:$W,'CT capacity tracker'!R$1)</f>
        <v>0</v>
      </c>
      <c r="S80" s="504">
        <f>SUMIFS('PV SUPPLY DATA'!$X:$X,'PV SUPPLY DATA'!$AH:$AH,'CT capacity tracker'!$B80,'PV SUPPLY DATA'!$AG:$AG,$A$51,'PV SUPPLY DATA'!$Y:$Y,'CT capacity tracker'!S$1)+SUMIFS('ESS SUPPLY DATA'!$U:$U,'ESS SUPPLY DATA'!$AF:$AF,'CT capacity tracker'!$B80,'ESS SUPPLY DATA'!$AE:$AE,'CT capacity tracker'!$A$51,'ESS SUPPLY DATA'!$W:$W,'CT capacity tracker'!S$1)</f>
        <v>0</v>
      </c>
      <c r="T80" s="504">
        <f>SUMIFS('PV SUPPLY DATA'!$X:$X,'PV SUPPLY DATA'!$AH:$AH,'CT capacity tracker'!$B80,'PV SUPPLY DATA'!$AG:$AG,$A$51,'PV SUPPLY DATA'!$Y:$Y,'CT capacity tracker'!T$1)+SUMIFS('ESS SUPPLY DATA'!$U:$U,'ESS SUPPLY DATA'!$AF:$AF,'CT capacity tracker'!$B80,'ESS SUPPLY DATA'!$AE:$AE,'CT capacity tracker'!$A$51,'ESS SUPPLY DATA'!$W:$W,'CT capacity tracker'!T$1)</f>
        <v>0</v>
      </c>
      <c r="U80" s="504">
        <f>SUMIFS('PV SUPPLY DATA'!$X:$X,'PV SUPPLY DATA'!$AH:$AH,'CT capacity tracker'!$B80,'PV SUPPLY DATA'!$AG:$AG,$A$51,'PV SUPPLY DATA'!$Y:$Y,'CT capacity tracker'!U$1)+SUMIFS('ESS SUPPLY DATA'!$U:$U,'ESS SUPPLY DATA'!$AF:$AF,'CT capacity tracker'!$B80,'ESS SUPPLY DATA'!$AE:$AE,'CT capacity tracker'!$A$51,'ESS SUPPLY DATA'!$W:$W,'CT capacity tracker'!U$1)</f>
        <v>0</v>
      </c>
      <c r="V80" s="504">
        <f>SUMIFS('PV SUPPLY DATA'!$X:$X,'PV SUPPLY DATA'!$AH:$AH,'CT capacity tracker'!$B80,'PV SUPPLY DATA'!$AG:$AG,$A$51,'PV SUPPLY DATA'!$Y:$Y,'CT capacity tracker'!V$1)+SUMIFS('ESS SUPPLY DATA'!$U:$U,'ESS SUPPLY DATA'!$AF:$AF,'CT capacity tracker'!$B80,'ESS SUPPLY DATA'!$AE:$AE,'CT capacity tracker'!$A$51,'ESS SUPPLY DATA'!$W:$W,'CT capacity tracker'!V$1)</f>
        <v>0</v>
      </c>
      <c r="W80" s="504">
        <f>SUMIFS('PV SUPPLY DATA'!$X:$X,'PV SUPPLY DATA'!$AH:$AH,'CT capacity tracker'!$B80,'PV SUPPLY DATA'!$AG:$AG,$A$51,'PV SUPPLY DATA'!$Y:$Y,'CT capacity tracker'!W$1)+SUMIFS('ESS SUPPLY DATA'!$U:$U,'ESS SUPPLY DATA'!$AF:$AF,'CT capacity tracker'!$B80,'ESS SUPPLY DATA'!$AE:$AE,'CT capacity tracker'!$A$51,'ESS SUPPLY DATA'!$W:$W,'CT capacity tracker'!W$1)</f>
        <v>0</v>
      </c>
      <c r="X80" s="504">
        <f>SUMIFS('PV SUPPLY DATA'!$X:$X,'PV SUPPLY DATA'!$AH:$AH,'CT capacity tracker'!$B80,'PV SUPPLY DATA'!$AG:$AG,$A$51,'PV SUPPLY DATA'!$Y:$Y,'CT capacity tracker'!X$1)+SUMIFS('ESS SUPPLY DATA'!$U:$U,'ESS SUPPLY DATA'!$AF:$AF,'CT capacity tracker'!$B80,'ESS SUPPLY DATA'!$AE:$AE,'CT capacity tracker'!$A$51,'ESS SUPPLY DATA'!$W:$W,'CT capacity tracker'!X$1)</f>
        <v>0</v>
      </c>
      <c r="Y80" s="504">
        <f>SUMIFS('PV SUPPLY DATA'!$X:$X,'PV SUPPLY DATA'!$AH:$AH,'CT capacity tracker'!$B80,'PV SUPPLY DATA'!$AG:$AG,$A$51,'PV SUPPLY DATA'!$Y:$Y,'CT capacity tracker'!Y$1)+SUMIFS('ESS SUPPLY DATA'!$U:$U,'ESS SUPPLY DATA'!$AF:$AF,'CT capacity tracker'!$B80,'ESS SUPPLY DATA'!$AE:$AE,'CT capacity tracker'!$A$51,'ESS SUPPLY DATA'!$W:$W,'CT capacity tracker'!Y$1)</f>
        <v>0</v>
      </c>
      <c r="Z80" s="504">
        <f>SUMIFS('PV SUPPLY DATA'!$X:$X,'PV SUPPLY DATA'!$AH:$AH,'CT capacity tracker'!$B80,'PV SUPPLY DATA'!$AG:$AG,$A$51,'PV SUPPLY DATA'!$Y:$Y,'CT capacity tracker'!Z$1)+SUMIFS('ESS SUPPLY DATA'!$U:$U,'ESS SUPPLY DATA'!$AF:$AF,'CT capacity tracker'!$B80,'ESS SUPPLY DATA'!$AE:$AE,'CT capacity tracker'!$A$51,'ESS SUPPLY DATA'!$W:$W,'CT capacity tracker'!Z$1)</f>
        <v>0</v>
      </c>
      <c r="AA80" s="504">
        <f>SUMIFS('PV SUPPLY DATA'!$X:$X,'PV SUPPLY DATA'!$AH:$AH,'CT capacity tracker'!$B80,'PV SUPPLY DATA'!$AG:$AG,$A$51,'PV SUPPLY DATA'!$Y:$Y,'CT capacity tracker'!AA$1)+SUMIFS('ESS SUPPLY DATA'!$U:$U,'ESS SUPPLY DATA'!$AF:$AF,'CT capacity tracker'!$B80,'ESS SUPPLY DATA'!$AE:$AE,'CT capacity tracker'!$A$51,'ESS SUPPLY DATA'!$W:$W,'CT capacity tracker'!AA$1)</f>
        <v>3</v>
      </c>
      <c r="AB80" s="504">
        <f>SUMIFS('PV SUPPLY DATA'!$X:$X,'PV SUPPLY DATA'!$AH:$AH,'CT capacity tracker'!$B80,'PV SUPPLY DATA'!$AG:$AG,$A$51,'PV SUPPLY DATA'!$Y:$Y,'CT capacity tracker'!AB$1)+SUMIFS('ESS SUPPLY DATA'!$U:$U,'ESS SUPPLY DATA'!$AF:$AF,'CT capacity tracker'!$B80,'ESS SUPPLY DATA'!$AE:$AE,'CT capacity tracker'!$A$51,'ESS SUPPLY DATA'!$W:$W,'CT capacity tracker'!AB$1)</f>
        <v>4</v>
      </c>
      <c r="AC80" s="504">
        <f>SUMIFS('PV SUPPLY DATA'!$X:$X,'PV SUPPLY DATA'!$AH:$AH,'CT capacity tracker'!$B80,'PV SUPPLY DATA'!$AG:$AG,$A$51,'PV SUPPLY DATA'!$Y:$Y,'CT capacity tracker'!AC$1)+SUMIFS('ESS SUPPLY DATA'!$U:$U,'ESS SUPPLY DATA'!$AF:$AF,'CT capacity tracker'!$B80,'ESS SUPPLY DATA'!$AE:$AE,'CT capacity tracker'!$A$51,'ESS SUPPLY DATA'!$W:$W,'CT capacity tracker'!AC$1)</f>
        <v>0</v>
      </c>
      <c r="AD80" s="504">
        <f>SUMIFS('PV SUPPLY DATA'!$X:$X,'PV SUPPLY DATA'!$AH:$AH,'CT capacity tracker'!$B80,'PV SUPPLY DATA'!$AG:$AG,$A$51,'PV SUPPLY DATA'!$Y:$Y,'CT capacity tracker'!AD$1)+SUMIFS('ESS SUPPLY DATA'!$U:$U,'ESS SUPPLY DATA'!$AF:$AF,'CT capacity tracker'!$B80,'ESS SUPPLY DATA'!$AE:$AE,'CT capacity tracker'!$A$51,'ESS SUPPLY DATA'!$W:$W,'CT capacity tracker'!AD$1)</f>
        <v>0</v>
      </c>
      <c r="AE80" s="504">
        <f>SUMIFS('PV SUPPLY DATA'!$X:$X,'PV SUPPLY DATA'!$AH:$AH,'CT capacity tracker'!$B80,'PV SUPPLY DATA'!$AG:$AG,$A$51,'PV SUPPLY DATA'!$Y:$Y,'CT capacity tracker'!AE$1)+SUMIFS('ESS SUPPLY DATA'!$U:$U,'ESS SUPPLY DATA'!$AF:$AF,'CT capacity tracker'!$B80,'ESS SUPPLY DATA'!$AE:$AE,'CT capacity tracker'!$A$51,'ESS SUPPLY DATA'!$W:$W,'CT capacity tracker'!AE$1)</f>
        <v>0</v>
      </c>
      <c r="AF80" s="504">
        <f>SUMIFS('PV SUPPLY DATA'!$X:$X,'PV SUPPLY DATA'!$AH:$AH,'CT capacity tracker'!$B80,'PV SUPPLY DATA'!$AG:$AG,$A$51,'PV SUPPLY DATA'!$Y:$Y,'CT capacity tracker'!AF$1)+SUMIFS('ESS SUPPLY DATA'!$U:$U,'ESS SUPPLY DATA'!$AF:$AF,'CT capacity tracker'!$B80,'ESS SUPPLY DATA'!$AE:$AE,'CT capacity tracker'!$A$51,'ESS SUPPLY DATA'!$W:$W,'CT capacity tracker'!AF$1)</f>
        <v>0</v>
      </c>
      <c r="AG80" s="504">
        <f>SUMIFS('PV SUPPLY DATA'!$X:$X,'PV SUPPLY DATA'!$AH:$AH,'CT capacity tracker'!$B80,'PV SUPPLY DATA'!$AG:$AG,$A$51,'PV SUPPLY DATA'!$Y:$Y,'CT capacity tracker'!AG$1)+SUMIFS('ESS SUPPLY DATA'!$U:$U,'ESS SUPPLY DATA'!$AF:$AF,'CT capacity tracker'!$B80,'ESS SUPPLY DATA'!$AE:$AE,'CT capacity tracker'!$A$51,'ESS SUPPLY DATA'!$W:$W,'CT capacity tracker'!AG$1)</f>
        <v>0</v>
      </c>
      <c r="AH80" s="504">
        <f>SUMIFS('PV SUPPLY DATA'!$X:$X,'PV SUPPLY DATA'!$AH:$AH,'CT capacity tracker'!$B80,'PV SUPPLY DATA'!$AG:$AG,$A$51,'PV SUPPLY DATA'!$Y:$Y,'CT capacity tracker'!AH$1)+SUMIFS('ESS SUPPLY DATA'!$U:$U,'ESS SUPPLY DATA'!$AF:$AF,'CT capacity tracker'!$B80,'ESS SUPPLY DATA'!$AE:$AE,'CT capacity tracker'!$A$51,'ESS SUPPLY DATA'!$W:$W,'CT capacity tracker'!AH$1)</f>
        <v>0</v>
      </c>
      <c r="AI80" s="504">
        <f>SUMIFS('PV SUPPLY DATA'!$X:$X,'PV SUPPLY DATA'!$AH:$AH,'CT capacity tracker'!$B80,'PV SUPPLY DATA'!$AG:$AG,$A$51,'PV SUPPLY DATA'!$Y:$Y,'CT capacity tracker'!AI$1)+SUMIFS('ESS SUPPLY DATA'!$U:$U,'ESS SUPPLY DATA'!$AF:$AF,'CT capacity tracker'!$B80,'ESS SUPPLY DATA'!$AE:$AE,'CT capacity tracker'!$A$51,'ESS SUPPLY DATA'!$W:$W,'CT capacity tracker'!AI$1)</f>
        <v>0</v>
      </c>
      <c r="AJ80" s="504">
        <f>SUMIFS('PV SUPPLY DATA'!$X:$X,'PV SUPPLY DATA'!$AH:$AH,'CT capacity tracker'!$B80,'PV SUPPLY DATA'!$AG:$AG,$A$51,'PV SUPPLY DATA'!$Y:$Y,'CT capacity tracker'!AJ$1)+SUMIFS('ESS SUPPLY DATA'!$U:$U,'ESS SUPPLY DATA'!$AF:$AF,'CT capacity tracker'!$B80,'ESS SUPPLY DATA'!$AE:$AE,'CT capacity tracker'!$A$51,'ESS SUPPLY DATA'!$W:$W,'CT capacity tracker'!AJ$1)</f>
        <v>0</v>
      </c>
      <c r="AK80" s="505" t="s">
        <v>197</v>
      </c>
      <c r="AL80" s="505" t="s">
        <v>197</v>
      </c>
      <c r="AM80" s="696">
        <f>SUM(E80:X80)</f>
        <v>0</v>
      </c>
      <c r="AN80" s="503" t="s">
        <v>197</v>
      </c>
      <c r="AO80" s="506"/>
      <c r="AP80" s="506">
        <f t="shared" si="58"/>
        <v>0</v>
      </c>
      <c r="AQ80" s="506"/>
      <c r="AR80" s="506"/>
      <c r="AS80" s="506"/>
      <c r="AT80" s="506"/>
    </row>
    <row r="81" spans="1:46" ht="13">
      <c r="A81" s="1517"/>
      <c r="B81" s="1517"/>
      <c r="C81" s="509" t="s">
        <v>4401</v>
      </c>
      <c r="D81" s="509"/>
      <c r="E81" s="510">
        <v>4</v>
      </c>
      <c r="F81" s="510"/>
      <c r="G81" s="510"/>
      <c r="H81" s="510"/>
      <c r="I81" s="510"/>
      <c r="J81" s="510"/>
      <c r="K81" s="510"/>
      <c r="L81" s="510"/>
      <c r="M81" s="510"/>
      <c r="N81" s="510"/>
      <c r="O81" s="510"/>
      <c r="P81" s="510"/>
      <c r="Q81" s="510"/>
      <c r="R81" s="510"/>
      <c r="S81" s="510"/>
      <c r="T81" s="510"/>
      <c r="U81" s="510"/>
      <c r="V81" s="510"/>
      <c r="W81" s="510"/>
      <c r="X81" s="510"/>
      <c r="Y81" s="510"/>
      <c r="Z81" s="510"/>
      <c r="AA81" s="510">
        <v>3</v>
      </c>
      <c r="AB81" s="510">
        <v>1</v>
      </c>
      <c r="AC81" s="510">
        <v>1</v>
      </c>
      <c r="AD81" s="510">
        <v>0</v>
      </c>
      <c r="AE81" s="510">
        <v>0</v>
      </c>
      <c r="AF81" s="510">
        <v>0</v>
      </c>
      <c r="AG81" s="510">
        <v>0</v>
      </c>
      <c r="AH81" s="510">
        <v>0</v>
      </c>
      <c r="AI81" s="510">
        <v>0</v>
      </c>
      <c r="AJ81" s="510">
        <v>0</v>
      </c>
      <c r="AK81" s="505" t="s">
        <v>197</v>
      </c>
      <c r="AL81" s="505" t="s">
        <v>197</v>
      </c>
      <c r="AM81" s="696"/>
      <c r="AN81" s="503" t="s">
        <v>197</v>
      </c>
      <c r="AO81" s="506"/>
      <c r="AP81" s="506">
        <f t="shared" si="58"/>
        <v>0</v>
      </c>
      <c r="AQ81" s="506"/>
      <c r="AR81" s="506"/>
      <c r="AS81" s="506"/>
      <c r="AT81" s="506"/>
    </row>
    <row r="82" spans="1:46" ht="13">
      <c r="A82" s="1517"/>
      <c r="B82" s="1517"/>
      <c r="C82" s="520" t="s">
        <v>4402</v>
      </c>
      <c r="D82" s="522"/>
      <c r="E82" s="522">
        <f t="shared" ref="E82:X82" si="61">E81-E80</f>
        <v>4</v>
      </c>
      <c r="F82" s="522">
        <f t="shared" si="61"/>
        <v>0</v>
      </c>
      <c r="G82" s="522">
        <f t="shared" si="61"/>
        <v>0</v>
      </c>
      <c r="H82" s="522">
        <f t="shared" si="61"/>
        <v>0</v>
      </c>
      <c r="I82" s="522">
        <f t="shared" si="61"/>
        <v>0</v>
      </c>
      <c r="J82" s="522">
        <f t="shared" si="61"/>
        <v>0</v>
      </c>
      <c r="K82" s="522">
        <f t="shared" si="61"/>
        <v>0</v>
      </c>
      <c r="L82" s="522">
        <f t="shared" si="61"/>
        <v>0</v>
      </c>
      <c r="M82" s="522">
        <f t="shared" si="61"/>
        <v>0</v>
      </c>
      <c r="N82" s="522">
        <f t="shared" si="61"/>
        <v>0</v>
      </c>
      <c r="O82" s="522">
        <f t="shared" si="61"/>
        <v>0</v>
      </c>
      <c r="P82" s="522">
        <f t="shared" si="61"/>
        <v>0</v>
      </c>
      <c r="Q82" s="522">
        <f t="shared" si="61"/>
        <v>0</v>
      </c>
      <c r="R82" s="522">
        <f t="shared" si="61"/>
        <v>0</v>
      </c>
      <c r="S82" s="522">
        <f t="shared" si="61"/>
        <v>0</v>
      </c>
      <c r="T82" s="522">
        <f t="shared" si="61"/>
        <v>0</v>
      </c>
      <c r="U82" s="522">
        <f t="shared" si="61"/>
        <v>0</v>
      </c>
      <c r="V82" s="522">
        <f t="shared" si="61"/>
        <v>0</v>
      </c>
      <c r="W82" s="522">
        <f t="shared" si="61"/>
        <v>0</v>
      </c>
      <c r="X82" s="522">
        <f t="shared" si="61"/>
        <v>0</v>
      </c>
      <c r="Y82" s="522">
        <f t="shared" ref="Y82:AJ82" si="62">Y81-Y80</f>
        <v>0</v>
      </c>
      <c r="Z82" s="522">
        <f t="shared" si="62"/>
        <v>0</v>
      </c>
      <c r="AA82" s="522">
        <f t="shared" si="62"/>
        <v>0</v>
      </c>
      <c r="AB82" s="522">
        <f t="shared" si="62"/>
        <v>-3</v>
      </c>
      <c r="AC82" s="522">
        <f t="shared" si="62"/>
        <v>1</v>
      </c>
      <c r="AD82" s="522">
        <f t="shared" si="62"/>
        <v>0</v>
      </c>
      <c r="AE82" s="522">
        <f t="shared" si="62"/>
        <v>0</v>
      </c>
      <c r="AF82" s="522">
        <f t="shared" si="62"/>
        <v>0</v>
      </c>
      <c r="AG82" s="522">
        <f t="shared" si="62"/>
        <v>0</v>
      </c>
      <c r="AH82" s="522">
        <f t="shared" si="62"/>
        <v>0</v>
      </c>
      <c r="AI82" s="522">
        <f t="shared" si="62"/>
        <v>0</v>
      </c>
      <c r="AJ82" s="522">
        <f t="shared" si="62"/>
        <v>0</v>
      </c>
      <c r="AK82" s="511">
        <f>SUMIF($E82:$X82,"&gt;0")</f>
        <v>4</v>
      </c>
      <c r="AL82" s="511">
        <f>SUMIF($E82:$X82,"&lt;0")</f>
        <v>0</v>
      </c>
      <c r="AM82" s="696"/>
      <c r="AN82" s="503" t="s">
        <v>197</v>
      </c>
      <c r="AO82" s="506"/>
      <c r="AP82" s="506">
        <f t="shared" si="58"/>
        <v>0</v>
      </c>
      <c r="AQ82" s="506"/>
      <c r="AR82" s="506"/>
      <c r="AS82" s="506"/>
      <c r="AT82" s="506"/>
    </row>
    <row r="83" spans="1:46" ht="13">
      <c r="A83" s="1517"/>
      <c r="B83" s="1518"/>
      <c r="C83" s="503" t="s">
        <v>4403</v>
      </c>
      <c r="D83" s="522"/>
      <c r="E83" s="504">
        <f>SUMIFS('PV SUPPLY DATA'!$X:$X,'PV SUPPLY DATA'!$AH:$AH,'CT capacity tracker'!$B80,'PV SUPPLY DATA'!$AG:$AG,'CT capacity tracker'!$A$51,'PV SUPPLY DATA'!$Y:$Y,E$1,'PV SUPPLY DATA'!$AQ:$AQ,"cosco")+SUMIFS('PV SUPPLY DATA'!$X:$X,'PV SUPPLY DATA'!$AH:$AH,'CT capacity tracker'!$B80,'PV SUPPLY DATA'!$AG:$AG,'CT capacity tracker'!$A$51,'PV SUPPLY DATA'!$Y:$Y,E$1,'PV SUPPLY DATA'!$AQ:$AQ,"other")+SUMIFS('ESS SUPPLY DATA'!$U:$U,'ESS SUPPLY DATA'!$AF:$AF,'CT capacity tracker'!$B80,'ESS SUPPLY DATA'!$AE:$AE,'CT capacity tracker'!$A$51,'ESS SUPPLY DATA'!$W:$W,'CT capacity tracker'!E$1,'ESS SUPPLY DATA'!$AO:$AO,"cosco")+SUMIFS('ESS SUPPLY DATA'!$U:$U,'ESS SUPPLY DATA'!$AF:$AF,'CT capacity tracker'!$B80,'ESS SUPPLY DATA'!$AE:$AE,'CT capacity tracker'!$A$51,'ESS SUPPLY DATA'!$W:$W,'CT capacity tracker'!E$1,'ESS SUPPLY DATA'!$AO:$AO,"other")</f>
        <v>0</v>
      </c>
      <c r="F83" s="504">
        <f>SUMIFS('PV SUPPLY DATA'!$X:$X,'PV SUPPLY DATA'!$AH:$AH,'CT capacity tracker'!$B80,'PV SUPPLY DATA'!$AG:$AG,'CT capacity tracker'!$A$51,'PV SUPPLY DATA'!$Y:$Y,F$1,'PV SUPPLY DATA'!$AQ:$AQ,"cosco")+SUMIFS('PV SUPPLY DATA'!$X:$X,'PV SUPPLY DATA'!$AH:$AH,'CT capacity tracker'!$B80,'PV SUPPLY DATA'!$AG:$AG,'CT capacity tracker'!$A$51,'PV SUPPLY DATA'!$Y:$Y,F$1,'PV SUPPLY DATA'!$AQ:$AQ,"other")+SUMIFS('ESS SUPPLY DATA'!$U:$U,'ESS SUPPLY DATA'!$AF:$AF,'CT capacity tracker'!$B80,'ESS SUPPLY DATA'!$AE:$AE,'CT capacity tracker'!$A$51,'ESS SUPPLY DATA'!$W:$W,'CT capacity tracker'!F$1,'ESS SUPPLY DATA'!$AO:$AO,"cosco")+SUMIFS('ESS SUPPLY DATA'!$U:$U,'ESS SUPPLY DATA'!$AF:$AF,'CT capacity tracker'!$B80,'ESS SUPPLY DATA'!$AE:$AE,'CT capacity tracker'!$A$51,'ESS SUPPLY DATA'!$W:$W,'CT capacity tracker'!F$1,'ESS SUPPLY DATA'!$AO:$AO,"other")</f>
        <v>0</v>
      </c>
      <c r="G83" s="504">
        <f>SUMIFS('PV SUPPLY DATA'!$X:$X,'PV SUPPLY DATA'!$AH:$AH,'CT capacity tracker'!$B80,'PV SUPPLY DATA'!$AG:$AG,'CT capacity tracker'!$A$51,'PV SUPPLY DATA'!$Y:$Y,G$1,'PV SUPPLY DATA'!$AQ:$AQ,"cosco")+SUMIFS('PV SUPPLY DATA'!$X:$X,'PV SUPPLY DATA'!$AH:$AH,'CT capacity tracker'!$B80,'PV SUPPLY DATA'!$AG:$AG,'CT capacity tracker'!$A$51,'PV SUPPLY DATA'!$Y:$Y,G$1,'PV SUPPLY DATA'!$AQ:$AQ,"other")+SUMIFS('ESS SUPPLY DATA'!$U:$U,'ESS SUPPLY DATA'!$AF:$AF,'CT capacity tracker'!$B80,'ESS SUPPLY DATA'!$AE:$AE,'CT capacity tracker'!$A$51,'ESS SUPPLY DATA'!$W:$W,'CT capacity tracker'!G$1,'ESS SUPPLY DATA'!$AO:$AO,"cosco")+SUMIFS('ESS SUPPLY DATA'!$U:$U,'ESS SUPPLY DATA'!$AF:$AF,'CT capacity tracker'!$B80,'ESS SUPPLY DATA'!$AE:$AE,'CT capacity tracker'!$A$51,'ESS SUPPLY DATA'!$W:$W,'CT capacity tracker'!G$1,'ESS SUPPLY DATA'!$AO:$AO,"other")</f>
        <v>0</v>
      </c>
      <c r="H83" s="504">
        <f>SUMIFS('PV SUPPLY DATA'!$X:$X,'PV SUPPLY DATA'!$AH:$AH,'CT capacity tracker'!$B80,'PV SUPPLY DATA'!$AG:$AG,'CT capacity tracker'!$A$51,'PV SUPPLY DATA'!$Y:$Y,H$1,'PV SUPPLY DATA'!$AQ:$AQ,"cosco")+SUMIFS('PV SUPPLY DATA'!$X:$X,'PV SUPPLY DATA'!$AH:$AH,'CT capacity tracker'!$B80,'PV SUPPLY DATA'!$AG:$AG,'CT capacity tracker'!$A$51,'PV SUPPLY DATA'!$Y:$Y,H$1,'PV SUPPLY DATA'!$AQ:$AQ,"other")+SUMIFS('ESS SUPPLY DATA'!$U:$U,'ESS SUPPLY DATA'!$AF:$AF,'CT capacity tracker'!$B80,'ESS SUPPLY DATA'!$AE:$AE,'CT capacity tracker'!$A$51,'ESS SUPPLY DATA'!$W:$W,'CT capacity tracker'!H$1,'ESS SUPPLY DATA'!$AO:$AO,"cosco")+SUMIFS('ESS SUPPLY DATA'!$U:$U,'ESS SUPPLY DATA'!$AF:$AF,'CT capacity tracker'!$B80,'ESS SUPPLY DATA'!$AE:$AE,'CT capacity tracker'!$A$51,'ESS SUPPLY DATA'!$W:$W,'CT capacity tracker'!H$1,'ESS SUPPLY DATA'!$AO:$AO,"other")</f>
        <v>0</v>
      </c>
      <c r="I83" s="504">
        <f>SUMIFS('PV SUPPLY DATA'!$X:$X,'PV SUPPLY DATA'!$AH:$AH,'CT capacity tracker'!$B80,'PV SUPPLY DATA'!$AG:$AG,'CT capacity tracker'!$A$51,'PV SUPPLY DATA'!$Y:$Y,I$1,'PV SUPPLY DATA'!$AQ:$AQ,"cosco")+SUMIFS('PV SUPPLY DATA'!$X:$X,'PV SUPPLY DATA'!$AH:$AH,'CT capacity tracker'!$B80,'PV SUPPLY DATA'!$AG:$AG,'CT capacity tracker'!$A$51,'PV SUPPLY DATA'!$Y:$Y,I$1,'PV SUPPLY DATA'!$AQ:$AQ,"other")+SUMIFS('ESS SUPPLY DATA'!$U:$U,'ESS SUPPLY DATA'!$AF:$AF,'CT capacity tracker'!$B80,'ESS SUPPLY DATA'!$AE:$AE,'CT capacity tracker'!$A$51,'ESS SUPPLY DATA'!$W:$W,'CT capacity tracker'!I$1,'ESS SUPPLY DATA'!$AO:$AO,"cosco")+SUMIFS('ESS SUPPLY DATA'!$U:$U,'ESS SUPPLY DATA'!$AF:$AF,'CT capacity tracker'!$B80,'ESS SUPPLY DATA'!$AE:$AE,'CT capacity tracker'!$A$51,'ESS SUPPLY DATA'!$W:$W,'CT capacity tracker'!I$1,'ESS SUPPLY DATA'!$AO:$AO,"other")</f>
        <v>0</v>
      </c>
      <c r="J83" s="504">
        <f>SUMIFS('PV SUPPLY DATA'!$X:$X,'PV SUPPLY DATA'!$AH:$AH,'CT capacity tracker'!$B80,'PV SUPPLY DATA'!$AG:$AG,'CT capacity tracker'!$A$51,'PV SUPPLY DATA'!$Y:$Y,J$1,'PV SUPPLY DATA'!$AQ:$AQ,"cosco")+SUMIFS('PV SUPPLY DATA'!$X:$X,'PV SUPPLY DATA'!$AH:$AH,'CT capacity tracker'!$B80,'PV SUPPLY DATA'!$AG:$AG,'CT capacity tracker'!$A$51,'PV SUPPLY DATA'!$Y:$Y,J$1,'PV SUPPLY DATA'!$AQ:$AQ,"other")+SUMIFS('ESS SUPPLY DATA'!$U:$U,'ESS SUPPLY DATA'!$AF:$AF,'CT capacity tracker'!$B80,'ESS SUPPLY DATA'!$AE:$AE,'CT capacity tracker'!$A$51,'ESS SUPPLY DATA'!$W:$W,'CT capacity tracker'!J$1,'ESS SUPPLY DATA'!$AO:$AO,"cosco")+SUMIFS('ESS SUPPLY DATA'!$U:$U,'ESS SUPPLY DATA'!$AF:$AF,'CT capacity tracker'!$B80,'ESS SUPPLY DATA'!$AE:$AE,'CT capacity tracker'!$A$51,'ESS SUPPLY DATA'!$W:$W,'CT capacity tracker'!J$1,'ESS SUPPLY DATA'!$AO:$AO,"other")</f>
        <v>0</v>
      </c>
      <c r="K83" s="504">
        <f>SUMIFS('PV SUPPLY DATA'!$X:$X,'PV SUPPLY DATA'!$AH:$AH,'CT capacity tracker'!$B80,'PV SUPPLY DATA'!$AG:$AG,'CT capacity tracker'!$A$51,'PV SUPPLY DATA'!$Y:$Y,K$1,'PV SUPPLY DATA'!$AQ:$AQ,"cosco")+SUMIFS('PV SUPPLY DATA'!$X:$X,'PV SUPPLY DATA'!$AH:$AH,'CT capacity tracker'!$B80,'PV SUPPLY DATA'!$AG:$AG,'CT capacity tracker'!$A$51,'PV SUPPLY DATA'!$Y:$Y,K$1,'PV SUPPLY DATA'!$AQ:$AQ,"other")+SUMIFS('ESS SUPPLY DATA'!$U:$U,'ESS SUPPLY DATA'!$AF:$AF,'CT capacity tracker'!$B80,'ESS SUPPLY DATA'!$AE:$AE,'CT capacity tracker'!$A$51,'ESS SUPPLY DATA'!$W:$W,'CT capacity tracker'!K$1,'ESS SUPPLY DATA'!$AO:$AO,"cosco")+SUMIFS('ESS SUPPLY DATA'!$U:$U,'ESS SUPPLY DATA'!$AF:$AF,'CT capacity tracker'!$B80,'ESS SUPPLY DATA'!$AE:$AE,'CT capacity tracker'!$A$51,'ESS SUPPLY DATA'!$W:$W,'CT capacity tracker'!K$1,'ESS SUPPLY DATA'!$AO:$AO,"other")</f>
        <v>0</v>
      </c>
      <c r="L83" s="504">
        <f>SUMIFS('PV SUPPLY DATA'!$X:$X,'PV SUPPLY DATA'!$AH:$AH,'CT capacity tracker'!$B80,'PV SUPPLY DATA'!$AG:$AG,'CT capacity tracker'!$A$51,'PV SUPPLY DATA'!$Y:$Y,L$1,'PV SUPPLY DATA'!$AQ:$AQ,"cosco")+SUMIFS('PV SUPPLY DATA'!$X:$X,'PV SUPPLY DATA'!$AH:$AH,'CT capacity tracker'!$B80,'PV SUPPLY DATA'!$AG:$AG,'CT capacity tracker'!$A$51,'PV SUPPLY DATA'!$Y:$Y,L$1,'PV SUPPLY DATA'!$AQ:$AQ,"other")+SUMIFS('ESS SUPPLY DATA'!$U:$U,'ESS SUPPLY DATA'!$AF:$AF,'CT capacity tracker'!$B80,'ESS SUPPLY DATA'!$AE:$AE,'CT capacity tracker'!$A$51,'ESS SUPPLY DATA'!$W:$W,'CT capacity tracker'!L$1,'ESS SUPPLY DATA'!$AO:$AO,"cosco")+SUMIFS('ESS SUPPLY DATA'!$U:$U,'ESS SUPPLY DATA'!$AF:$AF,'CT capacity tracker'!$B80,'ESS SUPPLY DATA'!$AE:$AE,'CT capacity tracker'!$A$51,'ESS SUPPLY DATA'!$W:$W,'CT capacity tracker'!L$1,'ESS SUPPLY DATA'!$AO:$AO,"other")</f>
        <v>0</v>
      </c>
      <c r="M83" s="504">
        <f>SUMIFS('PV SUPPLY DATA'!$X:$X,'PV SUPPLY DATA'!$AH:$AH,'CT capacity tracker'!$B80,'PV SUPPLY DATA'!$AG:$AG,'CT capacity tracker'!$A$51,'PV SUPPLY DATA'!$Y:$Y,M$1,'PV SUPPLY DATA'!$AQ:$AQ,"cosco")+SUMIFS('PV SUPPLY DATA'!$X:$X,'PV SUPPLY DATA'!$AH:$AH,'CT capacity tracker'!$B80,'PV SUPPLY DATA'!$AG:$AG,'CT capacity tracker'!$A$51,'PV SUPPLY DATA'!$Y:$Y,M$1,'PV SUPPLY DATA'!$AQ:$AQ,"other")+SUMIFS('ESS SUPPLY DATA'!$U:$U,'ESS SUPPLY DATA'!$AF:$AF,'CT capacity tracker'!$B80,'ESS SUPPLY DATA'!$AE:$AE,'CT capacity tracker'!$A$51,'ESS SUPPLY DATA'!$W:$W,'CT capacity tracker'!M$1,'ESS SUPPLY DATA'!$AO:$AO,"cosco")+SUMIFS('ESS SUPPLY DATA'!$U:$U,'ESS SUPPLY DATA'!$AF:$AF,'CT capacity tracker'!$B80,'ESS SUPPLY DATA'!$AE:$AE,'CT capacity tracker'!$A$51,'ESS SUPPLY DATA'!$W:$W,'CT capacity tracker'!M$1,'ESS SUPPLY DATA'!$AO:$AO,"other")</f>
        <v>0</v>
      </c>
      <c r="N83" s="504">
        <f>SUMIFS('PV SUPPLY DATA'!$X:$X,'PV SUPPLY DATA'!$AH:$AH,'CT capacity tracker'!$B80,'PV SUPPLY DATA'!$AG:$AG,'CT capacity tracker'!$A$51,'PV SUPPLY DATA'!$Y:$Y,N$1,'PV SUPPLY DATA'!$AQ:$AQ,"cosco")+SUMIFS('PV SUPPLY DATA'!$X:$X,'PV SUPPLY DATA'!$AH:$AH,'CT capacity tracker'!$B80,'PV SUPPLY DATA'!$AG:$AG,'CT capacity tracker'!$A$51,'PV SUPPLY DATA'!$Y:$Y,N$1,'PV SUPPLY DATA'!$AQ:$AQ,"other")+SUMIFS('ESS SUPPLY DATA'!$U:$U,'ESS SUPPLY DATA'!$AF:$AF,'CT capacity tracker'!$B80,'ESS SUPPLY DATA'!$AE:$AE,'CT capacity tracker'!$A$51,'ESS SUPPLY DATA'!$W:$W,'CT capacity tracker'!N$1,'ESS SUPPLY DATA'!$AO:$AO,"cosco")+SUMIFS('ESS SUPPLY DATA'!$U:$U,'ESS SUPPLY DATA'!$AF:$AF,'CT capacity tracker'!$B80,'ESS SUPPLY DATA'!$AE:$AE,'CT capacity tracker'!$A$51,'ESS SUPPLY DATA'!$W:$W,'CT capacity tracker'!N$1,'ESS SUPPLY DATA'!$AO:$AO,"other")</f>
        <v>0</v>
      </c>
      <c r="O83" s="504">
        <f>SUMIFS('PV SUPPLY DATA'!$X:$X,'PV SUPPLY DATA'!$AH:$AH,'CT capacity tracker'!$B80,'PV SUPPLY DATA'!$AG:$AG,'CT capacity tracker'!$A$51,'PV SUPPLY DATA'!$Y:$Y,O$1,'PV SUPPLY DATA'!$AQ:$AQ,"cosco")+SUMIFS('PV SUPPLY DATA'!$X:$X,'PV SUPPLY DATA'!$AH:$AH,'CT capacity tracker'!$B80,'PV SUPPLY DATA'!$AG:$AG,'CT capacity tracker'!$A$51,'PV SUPPLY DATA'!$Y:$Y,O$1,'PV SUPPLY DATA'!$AQ:$AQ,"other")+SUMIFS('ESS SUPPLY DATA'!$U:$U,'ESS SUPPLY DATA'!$AF:$AF,'CT capacity tracker'!$B80,'ESS SUPPLY DATA'!$AE:$AE,'CT capacity tracker'!$A$51,'ESS SUPPLY DATA'!$W:$W,'CT capacity tracker'!O$1,'ESS SUPPLY DATA'!$AO:$AO,"cosco")+SUMIFS('ESS SUPPLY DATA'!$U:$U,'ESS SUPPLY DATA'!$AF:$AF,'CT capacity tracker'!$B80,'ESS SUPPLY DATA'!$AE:$AE,'CT capacity tracker'!$A$51,'ESS SUPPLY DATA'!$W:$W,'CT capacity tracker'!O$1,'ESS SUPPLY DATA'!$AO:$AO,"other")</f>
        <v>0</v>
      </c>
      <c r="P83" s="504">
        <f>SUMIFS('PV SUPPLY DATA'!$X:$X,'PV SUPPLY DATA'!$AH:$AH,'CT capacity tracker'!$B80,'PV SUPPLY DATA'!$AG:$AG,'CT capacity tracker'!$A$51,'PV SUPPLY DATA'!$Y:$Y,P$1,'PV SUPPLY DATA'!$AQ:$AQ,"cosco")+SUMIFS('PV SUPPLY DATA'!$X:$X,'PV SUPPLY DATA'!$AH:$AH,'CT capacity tracker'!$B80,'PV SUPPLY DATA'!$AG:$AG,'CT capacity tracker'!$A$51,'PV SUPPLY DATA'!$Y:$Y,P$1,'PV SUPPLY DATA'!$AQ:$AQ,"other")+SUMIFS('ESS SUPPLY DATA'!$U:$U,'ESS SUPPLY DATA'!$AF:$AF,'CT capacity tracker'!$B80,'ESS SUPPLY DATA'!$AE:$AE,'CT capacity tracker'!$A$51,'ESS SUPPLY DATA'!$W:$W,'CT capacity tracker'!P$1,'ESS SUPPLY DATA'!$AO:$AO,"cosco")+SUMIFS('ESS SUPPLY DATA'!$U:$U,'ESS SUPPLY DATA'!$AF:$AF,'CT capacity tracker'!$B80,'ESS SUPPLY DATA'!$AE:$AE,'CT capacity tracker'!$A$51,'ESS SUPPLY DATA'!$W:$W,'CT capacity tracker'!P$1,'ESS SUPPLY DATA'!$AO:$AO,"other")</f>
        <v>0</v>
      </c>
      <c r="Q83" s="504">
        <f>SUMIFS('PV SUPPLY DATA'!$X:$X,'PV SUPPLY DATA'!$AH:$AH,'CT capacity tracker'!$B80,'PV SUPPLY DATA'!$AG:$AG,'CT capacity tracker'!$A$51,'PV SUPPLY DATA'!$Y:$Y,Q$1,'PV SUPPLY DATA'!$AQ:$AQ,"cosco")+SUMIFS('PV SUPPLY DATA'!$X:$X,'PV SUPPLY DATA'!$AH:$AH,'CT capacity tracker'!$B80,'PV SUPPLY DATA'!$AG:$AG,'CT capacity tracker'!$A$51,'PV SUPPLY DATA'!$Y:$Y,Q$1,'PV SUPPLY DATA'!$AQ:$AQ,"other")+SUMIFS('ESS SUPPLY DATA'!$U:$U,'ESS SUPPLY DATA'!$AF:$AF,'CT capacity tracker'!$B80,'ESS SUPPLY DATA'!$AE:$AE,'CT capacity tracker'!$A$51,'ESS SUPPLY DATA'!$W:$W,'CT capacity tracker'!Q$1,'ESS SUPPLY DATA'!$AO:$AO,"cosco")+SUMIFS('ESS SUPPLY DATA'!$U:$U,'ESS SUPPLY DATA'!$AF:$AF,'CT capacity tracker'!$B80,'ESS SUPPLY DATA'!$AE:$AE,'CT capacity tracker'!$A$51,'ESS SUPPLY DATA'!$W:$W,'CT capacity tracker'!Q$1,'ESS SUPPLY DATA'!$AO:$AO,"other")</f>
        <v>0</v>
      </c>
      <c r="R83" s="504">
        <f>SUMIFS('PV SUPPLY DATA'!$X:$X,'PV SUPPLY DATA'!$AH:$AH,'CT capacity tracker'!$B80,'PV SUPPLY DATA'!$AG:$AG,'CT capacity tracker'!$A$51,'PV SUPPLY DATA'!$Y:$Y,R$1,'PV SUPPLY DATA'!$AQ:$AQ,"cosco")+SUMIFS('PV SUPPLY DATA'!$X:$X,'PV SUPPLY DATA'!$AH:$AH,'CT capacity tracker'!$B80,'PV SUPPLY DATA'!$AG:$AG,'CT capacity tracker'!$A$51,'PV SUPPLY DATA'!$Y:$Y,R$1,'PV SUPPLY DATA'!$AQ:$AQ,"other")+SUMIFS('ESS SUPPLY DATA'!$U:$U,'ESS SUPPLY DATA'!$AF:$AF,'CT capacity tracker'!$B80,'ESS SUPPLY DATA'!$AE:$AE,'CT capacity tracker'!$A$51,'ESS SUPPLY DATA'!$W:$W,'CT capacity tracker'!R$1,'ESS SUPPLY DATA'!$AO:$AO,"cosco")+SUMIFS('ESS SUPPLY DATA'!$U:$U,'ESS SUPPLY DATA'!$AF:$AF,'CT capacity tracker'!$B80,'ESS SUPPLY DATA'!$AE:$AE,'CT capacity tracker'!$A$51,'ESS SUPPLY DATA'!$W:$W,'CT capacity tracker'!R$1,'ESS SUPPLY DATA'!$AO:$AO,"other")</f>
        <v>0</v>
      </c>
      <c r="S83" s="504">
        <f>SUMIFS('PV SUPPLY DATA'!$X:$X,'PV SUPPLY DATA'!$AH:$AH,'CT capacity tracker'!$B80,'PV SUPPLY DATA'!$AG:$AG,'CT capacity tracker'!$A$51,'PV SUPPLY DATA'!$Y:$Y,S$1,'PV SUPPLY DATA'!$AQ:$AQ,"cosco")+SUMIFS('PV SUPPLY DATA'!$X:$X,'PV SUPPLY DATA'!$AH:$AH,'CT capacity tracker'!$B80,'PV SUPPLY DATA'!$AG:$AG,'CT capacity tracker'!$A$51,'PV SUPPLY DATA'!$Y:$Y,S$1,'PV SUPPLY DATA'!$AQ:$AQ,"other")+SUMIFS('ESS SUPPLY DATA'!$U:$U,'ESS SUPPLY DATA'!$AF:$AF,'CT capacity tracker'!$B80,'ESS SUPPLY DATA'!$AE:$AE,'CT capacity tracker'!$A$51,'ESS SUPPLY DATA'!$W:$W,'CT capacity tracker'!S$1,'ESS SUPPLY DATA'!$AO:$AO,"cosco")+SUMIFS('ESS SUPPLY DATA'!$U:$U,'ESS SUPPLY DATA'!$AF:$AF,'CT capacity tracker'!$B80,'ESS SUPPLY DATA'!$AE:$AE,'CT capacity tracker'!$A$51,'ESS SUPPLY DATA'!$W:$W,'CT capacity tracker'!S$1,'ESS SUPPLY DATA'!$AO:$AO,"other")</f>
        <v>0</v>
      </c>
      <c r="T83" s="504">
        <f>SUMIFS('PV SUPPLY DATA'!$X:$X,'PV SUPPLY DATA'!$AH:$AH,'CT capacity tracker'!$B80,'PV SUPPLY DATA'!$AG:$AG,'CT capacity tracker'!$A$51,'PV SUPPLY DATA'!$Y:$Y,T$1,'PV SUPPLY DATA'!$AQ:$AQ,"cosco")+SUMIFS('PV SUPPLY DATA'!$X:$X,'PV SUPPLY DATA'!$AH:$AH,'CT capacity tracker'!$B80,'PV SUPPLY DATA'!$AG:$AG,'CT capacity tracker'!$A$51,'PV SUPPLY DATA'!$Y:$Y,T$1,'PV SUPPLY DATA'!$AQ:$AQ,"other")+SUMIFS('ESS SUPPLY DATA'!$U:$U,'ESS SUPPLY DATA'!$AF:$AF,'CT capacity tracker'!$B80,'ESS SUPPLY DATA'!$AE:$AE,'CT capacity tracker'!$A$51,'ESS SUPPLY DATA'!$W:$W,'CT capacity tracker'!T$1,'ESS SUPPLY DATA'!$AO:$AO,"cosco")+SUMIFS('ESS SUPPLY DATA'!$U:$U,'ESS SUPPLY DATA'!$AF:$AF,'CT capacity tracker'!$B80,'ESS SUPPLY DATA'!$AE:$AE,'CT capacity tracker'!$A$51,'ESS SUPPLY DATA'!$W:$W,'CT capacity tracker'!T$1,'ESS SUPPLY DATA'!$AO:$AO,"other")</f>
        <v>0</v>
      </c>
      <c r="U83" s="504">
        <f>SUMIFS('PV SUPPLY DATA'!$X:$X,'PV SUPPLY DATA'!$AH:$AH,'CT capacity tracker'!$B80,'PV SUPPLY DATA'!$AG:$AG,'CT capacity tracker'!$A$51,'PV SUPPLY DATA'!$Y:$Y,U$1,'PV SUPPLY DATA'!$AQ:$AQ,"cosco")+SUMIFS('PV SUPPLY DATA'!$X:$X,'PV SUPPLY DATA'!$AH:$AH,'CT capacity tracker'!$B80,'PV SUPPLY DATA'!$AG:$AG,'CT capacity tracker'!$A$51,'PV SUPPLY DATA'!$Y:$Y,U$1,'PV SUPPLY DATA'!$AQ:$AQ,"other")+SUMIFS('ESS SUPPLY DATA'!$U:$U,'ESS SUPPLY DATA'!$AF:$AF,'CT capacity tracker'!$B80,'ESS SUPPLY DATA'!$AE:$AE,'CT capacity tracker'!$A$51,'ESS SUPPLY DATA'!$W:$W,'CT capacity tracker'!U$1,'ESS SUPPLY DATA'!$AO:$AO,"cosco")+SUMIFS('ESS SUPPLY DATA'!$U:$U,'ESS SUPPLY DATA'!$AF:$AF,'CT capacity tracker'!$B80,'ESS SUPPLY DATA'!$AE:$AE,'CT capacity tracker'!$A$51,'ESS SUPPLY DATA'!$W:$W,'CT capacity tracker'!U$1,'ESS SUPPLY DATA'!$AO:$AO,"other")</f>
        <v>0</v>
      </c>
      <c r="V83" s="504">
        <f>SUMIFS('PV SUPPLY DATA'!$X:$X,'PV SUPPLY DATA'!$AH:$AH,'CT capacity tracker'!$B80,'PV SUPPLY DATA'!$AG:$AG,'CT capacity tracker'!$A$51,'PV SUPPLY DATA'!$Y:$Y,V$1,'PV SUPPLY DATA'!$AQ:$AQ,"cosco")+SUMIFS('PV SUPPLY DATA'!$X:$X,'PV SUPPLY DATA'!$AH:$AH,'CT capacity tracker'!$B80,'PV SUPPLY DATA'!$AG:$AG,'CT capacity tracker'!$A$51,'PV SUPPLY DATA'!$Y:$Y,V$1,'PV SUPPLY DATA'!$AQ:$AQ,"other")+SUMIFS('ESS SUPPLY DATA'!$U:$U,'ESS SUPPLY DATA'!$AF:$AF,'CT capacity tracker'!$B80,'ESS SUPPLY DATA'!$AE:$AE,'CT capacity tracker'!$A$51,'ESS SUPPLY DATA'!$W:$W,'CT capacity tracker'!V$1,'ESS SUPPLY DATA'!$AO:$AO,"cosco")+SUMIFS('ESS SUPPLY DATA'!$U:$U,'ESS SUPPLY DATA'!$AF:$AF,'CT capacity tracker'!$B80,'ESS SUPPLY DATA'!$AE:$AE,'CT capacity tracker'!$A$51,'ESS SUPPLY DATA'!$W:$W,'CT capacity tracker'!V$1,'ESS SUPPLY DATA'!$AO:$AO,"other")</f>
        <v>0</v>
      </c>
      <c r="W83" s="504">
        <f>SUMIFS('PV SUPPLY DATA'!$X:$X,'PV SUPPLY DATA'!$AH:$AH,'CT capacity tracker'!$B80,'PV SUPPLY DATA'!$AG:$AG,'CT capacity tracker'!$A$51,'PV SUPPLY DATA'!$Y:$Y,W$1,'PV SUPPLY DATA'!$AQ:$AQ,"cosco")+SUMIFS('PV SUPPLY DATA'!$X:$X,'PV SUPPLY DATA'!$AH:$AH,'CT capacity tracker'!$B80,'PV SUPPLY DATA'!$AG:$AG,'CT capacity tracker'!$A$51,'PV SUPPLY DATA'!$Y:$Y,W$1,'PV SUPPLY DATA'!$AQ:$AQ,"other")+SUMIFS('ESS SUPPLY DATA'!$U:$U,'ESS SUPPLY DATA'!$AF:$AF,'CT capacity tracker'!$B80,'ESS SUPPLY DATA'!$AE:$AE,'CT capacity tracker'!$A$51,'ESS SUPPLY DATA'!$W:$W,'CT capacity tracker'!W$1,'ESS SUPPLY DATA'!$AO:$AO,"cosco")+SUMIFS('ESS SUPPLY DATA'!$U:$U,'ESS SUPPLY DATA'!$AF:$AF,'CT capacity tracker'!$B80,'ESS SUPPLY DATA'!$AE:$AE,'CT capacity tracker'!$A$51,'ESS SUPPLY DATA'!$W:$W,'CT capacity tracker'!W$1,'ESS SUPPLY DATA'!$AO:$AO,"other")</f>
        <v>0</v>
      </c>
      <c r="X83" s="504">
        <f>SUMIFS('PV SUPPLY DATA'!$X:$X,'PV SUPPLY DATA'!$AH:$AH,'CT capacity tracker'!$B80,'PV SUPPLY DATA'!$AG:$AG,'CT capacity tracker'!$A$51,'PV SUPPLY DATA'!$Y:$Y,X$1,'PV SUPPLY DATA'!$AQ:$AQ,"cosco")+SUMIFS('PV SUPPLY DATA'!$X:$X,'PV SUPPLY DATA'!$AH:$AH,'CT capacity tracker'!$B80,'PV SUPPLY DATA'!$AG:$AG,'CT capacity tracker'!$A$51,'PV SUPPLY DATA'!$Y:$Y,X$1,'PV SUPPLY DATA'!$AQ:$AQ,"other")+SUMIFS('ESS SUPPLY DATA'!$U:$U,'ESS SUPPLY DATA'!$AF:$AF,'CT capacity tracker'!$B80,'ESS SUPPLY DATA'!$AE:$AE,'CT capacity tracker'!$A$51,'ESS SUPPLY DATA'!$W:$W,'CT capacity tracker'!X$1,'ESS SUPPLY DATA'!$AO:$AO,"cosco")+SUMIFS('ESS SUPPLY DATA'!$U:$U,'ESS SUPPLY DATA'!$AF:$AF,'CT capacity tracker'!$B80,'ESS SUPPLY DATA'!$AE:$AE,'CT capacity tracker'!$A$51,'ESS SUPPLY DATA'!$W:$W,'CT capacity tracker'!X$1,'ESS SUPPLY DATA'!$AO:$AO,"other")</f>
        <v>0</v>
      </c>
      <c r="Y83" s="504">
        <f>SUMIFS('PV SUPPLY DATA'!$X:$X,'PV SUPPLY DATA'!$AH:$AH,'CT capacity tracker'!$B80,'PV SUPPLY DATA'!$AG:$AG,'CT capacity tracker'!$A$51,'PV SUPPLY DATA'!$Y:$Y,Y$1,'PV SUPPLY DATA'!$AQ:$AQ,"cosco")+SUMIFS('PV SUPPLY DATA'!$X:$X,'PV SUPPLY DATA'!$AH:$AH,'CT capacity tracker'!$B80,'PV SUPPLY DATA'!$AG:$AG,'CT capacity tracker'!$A$51,'PV SUPPLY DATA'!$Y:$Y,Y$1,'PV SUPPLY DATA'!$AQ:$AQ,"other")+SUMIFS('ESS SUPPLY DATA'!$U:$U,'ESS SUPPLY DATA'!$AF:$AF,'CT capacity tracker'!$B80,'ESS SUPPLY DATA'!$AE:$AE,'CT capacity tracker'!$A$51,'ESS SUPPLY DATA'!$W:$W,'CT capacity tracker'!Y$1,'ESS SUPPLY DATA'!$AO:$AO,"cosco")+SUMIFS('ESS SUPPLY DATA'!$U:$U,'ESS SUPPLY DATA'!$AF:$AF,'CT capacity tracker'!$B80,'ESS SUPPLY DATA'!$AE:$AE,'CT capacity tracker'!$A$51,'ESS SUPPLY DATA'!$W:$W,'CT capacity tracker'!Y$1,'ESS SUPPLY DATA'!$AO:$AO,"other")</f>
        <v>0</v>
      </c>
      <c r="Z83" s="504">
        <f>SUMIFS('PV SUPPLY DATA'!$X:$X,'PV SUPPLY DATA'!$AH:$AH,'CT capacity tracker'!$B80,'PV SUPPLY DATA'!$AG:$AG,'CT capacity tracker'!$A$51,'PV SUPPLY DATA'!$Y:$Y,Z$1,'PV SUPPLY DATA'!$AQ:$AQ,"cosco")+SUMIFS('PV SUPPLY DATA'!$X:$X,'PV SUPPLY DATA'!$AH:$AH,'CT capacity tracker'!$B80,'PV SUPPLY DATA'!$AG:$AG,'CT capacity tracker'!$A$51,'PV SUPPLY DATA'!$Y:$Y,Z$1,'PV SUPPLY DATA'!$AQ:$AQ,"other")+SUMIFS('ESS SUPPLY DATA'!$U:$U,'ESS SUPPLY DATA'!$AF:$AF,'CT capacity tracker'!$B80,'ESS SUPPLY DATA'!$AE:$AE,'CT capacity tracker'!$A$51,'ESS SUPPLY DATA'!$W:$W,'CT capacity tracker'!Z$1,'ESS SUPPLY DATA'!$AO:$AO,"cosco")+SUMIFS('ESS SUPPLY DATA'!$U:$U,'ESS SUPPLY DATA'!$AF:$AF,'CT capacity tracker'!$B80,'ESS SUPPLY DATA'!$AE:$AE,'CT capacity tracker'!$A$51,'ESS SUPPLY DATA'!$W:$W,'CT capacity tracker'!Z$1,'ESS SUPPLY DATA'!$AO:$AO,"other")</f>
        <v>0</v>
      </c>
      <c r="AA83" s="504">
        <f>SUMIFS('PV SUPPLY DATA'!$X:$X,'PV SUPPLY DATA'!$AH:$AH,'CT capacity tracker'!$B80,'PV SUPPLY DATA'!$AG:$AG,'CT capacity tracker'!$A$51,'PV SUPPLY DATA'!$Y:$Y,AA$1,'PV SUPPLY DATA'!$AQ:$AQ,"cosco")+SUMIFS('PV SUPPLY DATA'!$X:$X,'PV SUPPLY DATA'!$AH:$AH,'CT capacity tracker'!$B80,'PV SUPPLY DATA'!$AG:$AG,'CT capacity tracker'!$A$51,'PV SUPPLY DATA'!$Y:$Y,AA$1,'PV SUPPLY DATA'!$AQ:$AQ,"other")+SUMIFS('ESS SUPPLY DATA'!$U:$U,'ESS SUPPLY DATA'!$AF:$AF,'CT capacity tracker'!$B80,'ESS SUPPLY DATA'!$AE:$AE,'CT capacity tracker'!$A$51,'ESS SUPPLY DATA'!$W:$W,'CT capacity tracker'!AA$1,'ESS SUPPLY DATA'!$AO:$AO,"cosco")+SUMIFS('ESS SUPPLY DATA'!$U:$U,'ESS SUPPLY DATA'!$AF:$AF,'CT capacity tracker'!$B80,'ESS SUPPLY DATA'!$AE:$AE,'CT capacity tracker'!$A$51,'ESS SUPPLY DATA'!$W:$W,'CT capacity tracker'!AA$1,'ESS SUPPLY DATA'!$AO:$AO,"other")</f>
        <v>3</v>
      </c>
      <c r="AB83" s="504">
        <f>SUMIFS('PV SUPPLY DATA'!$X:$X,'PV SUPPLY DATA'!$AH:$AH,'CT capacity tracker'!$B80,'PV SUPPLY DATA'!$AG:$AG,'CT capacity tracker'!$A$51,'PV SUPPLY DATA'!$Y:$Y,AB$1,'PV SUPPLY DATA'!$AQ:$AQ,"cosco")+SUMIFS('PV SUPPLY DATA'!$X:$X,'PV SUPPLY DATA'!$AH:$AH,'CT capacity tracker'!$B80,'PV SUPPLY DATA'!$AG:$AG,'CT capacity tracker'!$A$51,'PV SUPPLY DATA'!$Y:$Y,AB$1,'PV SUPPLY DATA'!$AQ:$AQ,"other")+SUMIFS('ESS SUPPLY DATA'!$U:$U,'ESS SUPPLY DATA'!$AF:$AF,'CT capacity tracker'!$B80,'ESS SUPPLY DATA'!$AE:$AE,'CT capacity tracker'!$A$51,'ESS SUPPLY DATA'!$W:$W,'CT capacity tracker'!AB$1,'ESS SUPPLY DATA'!$AO:$AO,"cosco")+SUMIFS('ESS SUPPLY DATA'!$U:$U,'ESS SUPPLY DATA'!$AF:$AF,'CT capacity tracker'!$B80,'ESS SUPPLY DATA'!$AE:$AE,'CT capacity tracker'!$A$51,'ESS SUPPLY DATA'!$W:$W,'CT capacity tracker'!AB$1,'ESS SUPPLY DATA'!$AO:$AO,"other")</f>
        <v>4</v>
      </c>
      <c r="AC83" s="504">
        <f>SUMIFS('PV SUPPLY DATA'!$X:$X,'PV SUPPLY DATA'!$AH:$AH,'CT capacity tracker'!$B80,'PV SUPPLY DATA'!$AG:$AG,'CT capacity tracker'!$A$51,'PV SUPPLY DATA'!$Y:$Y,AC$1,'PV SUPPLY DATA'!$AQ:$AQ,"cosco")+SUMIFS('PV SUPPLY DATA'!$X:$X,'PV SUPPLY DATA'!$AH:$AH,'CT capacity tracker'!$B80,'PV SUPPLY DATA'!$AG:$AG,'CT capacity tracker'!$A$51,'PV SUPPLY DATA'!$Y:$Y,AC$1,'PV SUPPLY DATA'!$AQ:$AQ,"other")+SUMIFS('ESS SUPPLY DATA'!$U:$U,'ESS SUPPLY DATA'!$AF:$AF,'CT capacity tracker'!$B80,'ESS SUPPLY DATA'!$AE:$AE,'CT capacity tracker'!$A$51,'ESS SUPPLY DATA'!$W:$W,'CT capacity tracker'!AC$1,'ESS SUPPLY DATA'!$AO:$AO,"cosco")+SUMIFS('ESS SUPPLY DATA'!$U:$U,'ESS SUPPLY DATA'!$AF:$AF,'CT capacity tracker'!$B80,'ESS SUPPLY DATA'!$AE:$AE,'CT capacity tracker'!$A$51,'ESS SUPPLY DATA'!$W:$W,'CT capacity tracker'!AC$1,'ESS SUPPLY DATA'!$AO:$AO,"other")</f>
        <v>0</v>
      </c>
      <c r="AD83" s="504">
        <f>SUMIFS('PV SUPPLY DATA'!$X:$X,'PV SUPPLY DATA'!$AH:$AH,'CT capacity tracker'!$B80,'PV SUPPLY DATA'!$AG:$AG,'CT capacity tracker'!$A$51,'PV SUPPLY DATA'!$Y:$Y,AD$1,'PV SUPPLY DATA'!$AQ:$AQ,"cosco")+SUMIFS('PV SUPPLY DATA'!$X:$X,'PV SUPPLY DATA'!$AH:$AH,'CT capacity tracker'!$B80,'PV SUPPLY DATA'!$AG:$AG,'CT capacity tracker'!$A$51,'PV SUPPLY DATA'!$Y:$Y,AD$1,'PV SUPPLY DATA'!$AQ:$AQ,"other")+SUMIFS('ESS SUPPLY DATA'!$U:$U,'ESS SUPPLY DATA'!$AF:$AF,'CT capacity tracker'!$B80,'ESS SUPPLY DATA'!$AE:$AE,'CT capacity tracker'!$A$51,'ESS SUPPLY DATA'!$W:$W,'CT capacity tracker'!AD$1,'ESS SUPPLY DATA'!$AO:$AO,"cosco")+SUMIFS('ESS SUPPLY DATA'!$U:$U,'ESS SUPPLY DATA'!$AF:$AF,'CT capacity tracker'!$B80,'ESS SUPPLY DATA'!$AE:$AE,'CT capacity tracker'!$A$51,'ESS SUPPLY DATA'!$W:$W,'CT capacity tracker'!AD$1,'ESS SUPPLY DATA'!$AO:$AO,"other")</f>
        <v>0</v>
      </c>
      <c r="AE83" s="504">
        <f>SUMIFS('PV SUPPLY DATA'!$X:$X,'PV SUPPLY DATA'!$AH:$AH,'CT capacity tracker'!$B80,'PV SUPPLY DATA'!$AG:$AG,'CT capacity tracker'!$A$51,'PV SUPPLY DATA'!$Y:$Y,AE$1,'PV SUPPLY DATA'!$AQ:$AQ,"cosco")+SUMIFS('PV SUPPLY DATA'!$X:$X,'PV SUPPLY DATA'!$AH:$AH,'CT capacity tracker'!$B80,'PV SUPPLY DATA'!$AG:$AG,'CT capacity tracker'!$A$51,'PV SUPPLY DATA'!$Y:$Y,AE$1,'PV SUPPLY DATA'!$AQ:$AQ,"other")+SUMIFS('ESS SUPPLY DATA'!$U:$U,'ESS SUPPLY DATA'!$AF:$AF,'CT capacity tracker'!$B80,'ESS SUPPLY DATA'!$AE:$AE,'CT capacity tracker'!$A$51,'ESS SUPPLY DATA'!$W:$W,'CT capacity tracker'!AE$1,'ESS SUPPLY DATA'!$AO:$AO,"cosco")+SUMIFS('ESS SUPPLY DATA'!$U:$U,'ESS SUPPLY DATA'!$AF:$AF,'CT capacity tracker'!$B80,'ESS SUPPLY DATA'!$AE:$AE,'CT capacity tracker'!$A$51,'ESS SUPPLY DATA'!$W:$W,'CT capacity tracker'!AE$1,'ESS SUPPLY DATA'!$AO:$AO,"other")</f>
        <v>0</v>
      </c>
      <c r="AF83" s="504">
        <f>SUMIFS('PV SUPPLY DATA'!$X:$X,'PV SUPPLY DATA'!$AH:$AH,'CT capacity tracker'!$B80,'PV SUPPLY DATA'!$AG:$AG,'CT capacity tracker'!$A$51,'PV SUPPLY DATA'!$Y:$Y,AF$1,'PV SUPPLY DATA'!$AQ:$AQ,"cosco")+SUMIFS('PV SUPPLY DATA'!$X:$X,'PV SUPPLY DATA'!$AH:$AH,'CT capacity tracker'!$B80,'PV SUPPLY DATA'!$AG:$AG,'CT capacity tracker'!$A$51,'PV SUPPLY DATA'!$Y:$Y,AF$1,'PV SUPPLY DATA'!$AQ:$AQ,"other")+SUMIFS('ESS SUPPLY DATA'!$U:$U,'ESS SUPPLY DATA'!$AF:$AF,'CT capacity tracker'!$B80,'ESS SUPPLY DATA'!$AE:$AE,'CT capacity tracker'!$A$51,'ESS SUPPLY DATA'!$W:$W,'CT capacity tracker'!AF$1,'ESS SUPPLY DATA'!$AO:$AO,"cosco")+SUMIFS('ESS SUPPLY DATA'!$U:$U,'ESS SUPPLY DATA'!$AF:$AF,'CT capacity tracker'!$B80,'ESS SUPPLY DATA'!$AE:$AE,'CT capacity tracker'!$A$51,'ESS SUPPLY DATA'!$W:$W,'CT capacity tracker'!AF$1,'ESS SUPPLY DATA'!$AO:$AO,"other")</f>
        <v>0</v>
      </c>
      <c r="AG83" s="504">
        <f>SUMIFS('PV SUPPLY DATA'!$X:$X,'PV SUPPLY DATA'!$AH:$AH,'CT capacity tracker'!$B80,'PV SUPPLY DATA'!$AG:$AG,'CT capacity tracker'!$A$51,'PV SUPPLY DATA'!$Y:$Y,AG$1,'PV SUPPLY DATA'!$AQ:$AQ,"cosco")+SUMIFS('PV SUPPLY DATA'!$X:$X,'PV SUPPLY DATA'!$AH:$AH,'CT capacity tracker'!$B80,'PV SUPPLY DATA'!$AG:$AG,'CT capacity tracker'!$A$51,'PV SUPPLY DATA'!$Y:$Y,AG$1,'PV SUPPLY DATA'!$AQ:$AQ,"other")+SUMIFS('ESS SUPPLY DATA'!$U:$U,'ESS SUPPLY DATA'!$AF:$AF,'CT capacity tracker'!$B80,'ESS SUPPLY DATA'!$AE:$AE,'CT capacity tracker'!$A$51,'ESS SUPPLY DATA'!$W:$W,'CT capacity tracker'!AG$1,'ESS SUPPLY DATA'!$AO:$AO,"cosco")+SUMIFS('ESS SUPPLY DATA'!$U:$U,'ESS SUPPLY DATA'!$AF:$AF,'CT capacity tracker'!$B80,'ESS SUPPLY DATA'!$AE:$AE,'CT capacity tracker'!$A$51,'ESS SUPPLY DATA'!$W:$W,'CT capacity tracker'!AG$1,'ESS SUPPLY DATA'!$AO:$AO,"other")</f>
        <v>0</v>
      </c>
      <c r="AH83" s="504">
        <f>SUMIFS('PV SUPPLY DATA'!$X:$X,'PV SUPPLY DATA'!$AH:$AH,'CT capacity tracker'!$B80,'PV SUPPLY DATA'!$AG:$AG,'CT capacity tracker'!$A$51,'PV SUPPLY DATA'!$Y:$Y,AH$1,'PV SUPPLY DATA'!$AQ:$AQ,"cosco")+SUMIFS('PV SUPPLY DATA'!$X:$X,'PV SUPPLY DATA'!$AH:$AH,'CT capacity tracker'!$B80,'PV SUPPLY DATA'!$AG:$AG,'CT capacity tracker'!$A$51,'PV SUPPLY DATA'!$Y:$Y,AH$1,'PV SUPPLY DATA'!$AQ:$AQ,"other")+SUMIFS('ESS SUPPLY DATA'!$U:$U,'ESS SUPPLY DATA'!$AF:$AF,'CT capacity tracker'!$B80,'ESS SUPPLY DATA'!$AE:$AE,'CT capacity tracker'!$A$51,'ESS SUPPLY DATA'!$W:$W,'CT capacity tracker'!AH$1,'ESS SUPPLY DATA'!$AO:$AO,"cosco")+SUMIFS('ESS SUPPLY DATA'!$U:$U,'ESS SUPPLY DATA'!$AF:$AF,'CT capacity tracker'!$B80,'ESS SUPPLY DATA'!$AE:$AE,'CT capacity tracker'!$A$51,'ESS SUPPLY DATA'!$W:$W,'CT capacity tracker'!AH$1,'ESS SUPPLY DATA'!$AO:$AO,"other")</f>
        <v>0</v>
      </c>
      <c r="AI83" s="504">
        <f>SUMIFS('PV SUPPLY DATA'!$X:$X,'PV SUPPLY DATA'!$AH:$AH,'CT capacity tracker'!$B80,'PV SUPPLY DATA'!$AG:$AG,'CT capacity tracker'!$A$51,'PV SUPPLY DATA'!$Y:$Y,AI$1,'PV SUPPLY DATA'!$AQ:$AQ,"cosco")+SUMIFS('PV SUPPLY DATA'!$X:$X,'PV SUPPLY DATA'!$AH:$AH,'CT capacity tracker'!$B80,'PV SUPPLY DATA'!$AG:$AG,'CT capacity tracker'!$A$51,'PV SUPPLY DATA'!$Y:$Y,AI$1,'PV SUPPLY DATA'!$AQ:$AQ,"other")+SUMIFS('ESS SUPPLY DATA'!$U:$U,'ESS SUPPLY DATA'!$AF:$AF,'CT capacity tracker'!$B80,'ESS SUPPLY DATA'!$AE:$AE,'CT capacity tracker'!$A$51,'ESS SUPPLY DATA'!$W:$W,'CT capacity tracker'!AI$1,'ESS SUPPLY DATA'!$AO:$AO,"cosco")+SUMIFS('ESS SUPPLY DATA'!$U:$U,'ESS SUPPLY DATA'!$AF:$AF,'CT capacity tracker'!$B80,'ESS SUPPLY DATA'!$AE:$AE,'CT capacity tracker'!$A$51,'ESS SUPPLY DATA'!$W:$W,'CT capacity tracker'!AI$1,'ESS SUPPLY DATA'!$AO:$AO,"other")</f>
        <v>0</v>
      </c>
      <c r="AJ83" s="504">
        <f>SUMIFS('PV SUPPLY DATA'!$X:$X,'PV SUPPLY DATA'!$AH:$AH,'CT capacity tracker'!$B80,'PV SUPPLY DATA'!$AG:$AG,'CT capacity tracker'!$A$51,'PV SUPPLY DATA'!$Y:$Y,AJ$1,'PV SUPPLY DATA'!$AQ:$AQ,"cosco")+SUMIFS('PV SUPPLY DATA'!$X:$X,'PV SUPPLY DATA'!$AH:$AH,'CT capacity tracker'!$B80,'PV SUPPLY DATA'!$AG:$AG,'CT capacity tracker'!$A$51,'PV SUPPLY DATA'!$Y:$Y,AJ$1,'PV SUPPLY DATA'!$AQ:$AQ,"other")+SUMIFS('ESS SUPPLY DATA'!$U:$U,'ESS SUPPLY DATA'!$AF:$AF,'CT capacity tracker'!$B80,'ESS SUPPLY DATA'!$AE:$AE,'CT capacity tracker'!$A$51,'ESS SUPPLY DATA'!$W:$W,'CT capacity tracker'!AJ$1,'ESS SUPPLY DATA'!$AO:$AO,"cosco")+SUMIFS('ESS SUPPLY DATA'!$U:$U,'ESS SUPPLY DATA'!$AF:$AF,'CT capacity tracker'!$B80,'ESS SUPPLY DATA'!$AE:$AE,'CT capacity tracker'!$A$51,'ESS SUPPLY DATA'!$W:$W,'CT capacity tracker'!AJ$1,'ESS SUPPLY DATA'!$AO:$AO,"other")</f>
        <v>0</v>
      </c>
      <c r="AK83" s="511"/>
      <c r="AL83" s="511"/>
      <c r="AM83" s="696">
        <f>SUM(E83:X83)</f>
        <v>0</v>
      </c>
      <c r="AN83" s="503"/>
      <c r="AO83" s="506"/>
      <c r="AP83" s="506"/>
      <c r="AQ83" s="506"/>
      <c r="AR83" s="506"/>
      <c r="AS83" s="506"/>
      <c r="AT83" s="506"/>
    </row>
    <row r="84" spans="1:46" ht="13">
      <c r="A84" s="1517"/>
      <c r="B84" s="1516" t="s">
        <v>124</v>
      </c>
      <c r="C84" s="503" t="s">
        <v>4400</v>
      </c>
      <c r="D84" s="504">
        <f>SUMIFS('PV SUPPLY DATA'!$X:$X,'PV SUPPLY DATA'!$AH:$AH,'CT capacity tracker'!$B84,'PV SUPPLY DATA'!$AG:$AG,'CT capacity tracker'!$A$1,'PV SUPPLY DATA'!$Z:$Z,'CT capacity tracker'!D$1)+SUMIFS('ESS SUPPLY DATA'!$U:$U,'ESS SUPPLY DATA'!$AF:$AF,'CT capacity tracker'!$B84,'ESS SUPPLY DATA'!$AE:$AE,'CT capacity tracker'!$A$1,'ESS SUPPLY DATA'!$X:$X,'CT capacity tracker'!D$1)</f>
        <v>23</v>
      </c>
      <c r="E84" s="504">
        <f>SUMIFS('PV SUPPLY DATA'!$X:$X,'PV SUPPLY DATA'!$AH:$AH,'CT capacity tracker'!$B84,'PV SUPPLY DATA'!$AG:$AG,$A$51,'PV SUPPLY DATA'!$Y:$Y,'CT capacity tracker'!E$1)+SUMIFS('ESS SUPPLY DATA'!$U:$U,'ESS SUPPLY DATA'!$AF:$AF,'CT capacity tracker'!$B84,'ESS SUPPLY DATA'!$AE:$AE,'CT capacity tracker'!$A$51,'ESS SUPPLY DATA'!$W:$W,'CT capacity tracker'!E$1)</f>
        <v>0</v>
      </c>
      <c r="F84" s="504">
        <f>SUMIFS('PV SUPPLY DATA'!$X:$X,'PV SUPPLY DATA'!$AH:$AH,'CT capacity tracker'!$B84,'PV SUPPLY DATA'!$AG:$AG,$A$51,'PV SUPPLY DATA'!$Y:$Y,'CT capacity tracker'!F$1)+SUMIFS('ESS SUPPLY DATA'!$U:$U,'ESS SUPPLY DATA'!$AF:$AF,'CT capacity tracker'!$B84,'ESS SUPPLY DATA'!$AE:$AE,'CT capacity tracker'!$A$51,'ESS SUPPLY DATA'!$W:$W,'CT capacity tracker'!F$1)</f>
        <v>0</v>
      </c>
      <c r="G84" s="504">
        <f>SUMIFS('PV SUPPLY DATA'!$X:$X,'PV SUPPLY DATA'!$AH:$AH,'CT capacity tracker'!$B84,'PV SUPPLY DATA'!$AG:$AG,$A$51,'PV SUPPLY DATA'!$Y:$Y,'CT capacity tracker'!G$1)+SUMIFS('ESS SUPPLY DATA'!$U:$U,'ESS SUPPLY DATA'!$AF:$AF,'CT capacity tracker'!$B84,'ESS SUPPLY DATA'!$AE:$AE,'CT capacity tracker'!$A$51,'ESS SUPPLY DATA'!$W:$W,'CT capacity tracker'!G$1)</f>
        <v>0</v>
      </c>
      <c r="H84" s="504">
        <f>SUMIFS('PV SUPPLY DATA'!$X:$X,'PV SUPPLY DATA'!$AH:$AH,'CT capacity tracker'!$B84,'PV SUPPLY DATA'!$AG:$AG,$A$51,'PV SUPPLY DATA'!$Y:$Y,'CT capacity tracker'!H$1)+SUMIFS('ESS SUPPLY DATA'!$U:$U,'ESS SUPPLY DATA'!$AF:$AF,'CT capacity tracker'!$B84,'ESS SUPPLY DATA'!$AE:$AE,'CT capacity tracker'!$A$51,'ESS SUPPLY DATA'!$W:$W,'CT capacity tracker'!H$1)</f>
        <v>2</v>
      </c>
      <c r="I84" s="504">
        <f>SUMIFS('PV SUPPLY DATA'!$X:$X,'PV SUPPLY DATA'!$AH:$AH,'CT capacity tracker'!$B84,'PV SUPPLY DATA'!$AG:$AG,$A$51,'PV SUPPLY DATA'!$Y:$Y,'CT capacity tracker'!I$1)+SUMIFS('ESS SUPPLY DATA'!$U:$U,'ESS SUPPLY DATA'!$AF:$AF,'CT capacity tracker'!$B84,'ESS SUPPLY DATA'!$AE:$AE,'CT capacity tracker'!$A$51,'ESS SUPPLY DATA'!$W:$W,'CT capacity tracker'!I$1)</f>
        <v>0</v>
      </c>
      <c r="J84" s="504">
        <f>SUMIFS('PV SUPPLY DATA'!$X:$X,'PV SUPPLY DATA'!$AH:$AH,'CT capacity tracker'!$B84,'PV SUPPLY DATA'!$AG:$AG,$A$51,'PV SUPPLY DATA'!$Y:$Y,'CT capacity tracker'!J$1)+SUMIFS('ESS SUPPLY DATA'!$U:$U,'ESS SUPPLY DATA'!$AF:$AF,'CT capacity tracker'!$B84,'ESS SUPPLY DATA'!$AE:$AE,'CT capacity tracker'!$A$51,'ESS SUPPLY DATA'!$W:$W,'CT capacity tracker'!J$1)</f>
        <v>0</v>
      </c>
      <c r="K84" s="504">
        <f>SUMIFS('PV SUPPLY DATA'!$X:$X,'PV SUPPLY DATA'!$AH:$AH,'CT capacity tracker'!$B84,'PV SUPPLY DATA'!$AG:$AG,$A$51,'PV SUPPLY DATA'!$Y:$Y,'CT capacity tracker'!K$1)+SUMIFS('ESS SUPPLY DATA'!$U:$U,'ESS SUPPLY DATA'!$AF:$AF,'CT capacity tracker'!$B84,'ESS SUPPLY DATA'!$AE:$AE,'CT capacity tracker'!$A$51,'ESS SUPPLY DATA'!$W:$W,'CT capacity tracker'!K$1)</f>
        <v>0</v>
      </c>
      <c r="L84" s="504">
        <f>SUMIFS('PV SUPPLY DATA'!$X:$X,'PV SUPPLY DATA'!$AH:$AH,'CT capacity tracker'!$B84,'PV SUPPLY DATA'!$AG:$AG,$A$51,'PV SUPPLY DATA'!$Y:$Y,'CT capacity tracker'!L$1)+SUMIFS('ESS SUPPLY DATA'!$U:$U,'ESS SUPPLY DATA'!$AF:$AF,'CT capacity tracker'!$B84,'ESS SUPPLY DATA'!$AE:$AE,'CT capacity tracker'!$A$51,'ESS SUPPLY DATA'!$W:$W,'CT capacity tracker'!L$1)</f>
        <v>0</v>
      </c>
      <c r="M84" s="504">
        <f>SUMIFS('PV SUPPLY DATA'!$X:$X,'PV SUPPLY DATA'!$AH:$AH,'CT capacity tracker'!$B84,'PV SUPPLY DATA'!$AG:$AG,$A$51,'PV SUPPLY DATA'!$Y:$Y,'CT capacity tracker'!M$1)+SUMIFS('ESS SUPPLY DATA'!$U:$U,'ESS SUPPLY DATA'!$AF:$AF,'CT capacity tracker'!$B84,'ESS SUPPLY DATA'!$AE:$AE,'CT capacity tracker'!$A$51,'ESS SUPPLY DATA'!$W:$W,'CT capacity tracker'!M$1)</f>
        <v>0</v>
      </c>
      <c r="N84" s="504">
        <f>SUMIFS('PV SUPPLY DATA'!$X:$X,'PV SUPPLY DATA'!$AH:$AH,'CT capacity tracker'!$B84,'PV SUPPLY DATA'!$AG:$AG,$A$51,'PV SUPPLY DATA'!$Y:$Y,'CT capacity tracker'!N$1)+SUMIFS('ESS SUPPLY DATA'!$U:$U,'ESS SUPPLY DATA'!$AF:$AF,'CT capacity tracker'!$B84,'ESS SUPPLY DATA'!$AE:$AE,'CT capacity tracker'!$A$51,'ESS SUPPLY DATA'!$W:$W,'CT capacity tracker'!N$1)</f>
        <v>0</v>
      </c>
      <c r="O84" s="504">
        <f>SUMIFS('PV SUPPLY DATA'!$X:$X,'PV SUPPLY DATA'!$AH:$AH,'CT capacity tracker'!$B84,'PV SUPPLY DATA'!$AG:$AG,$A$51,'PV SUPPLY DATA'!$Y:$Y,'CT capacity tracker'!O$1)+SUMIFS('ESS SUPPLY DATA'!$U:$U,'ESS SUPPLY DATA'!$AF:$AF,'CT capacity tracker'!$B84,'ESS SUPPLY DATA'!$AE:$AE,'CT capacity tracker'!$A$51,'ESS SUPPLY DATA'!$W:$W,'CT capacity tracker'!O$1)</f>
        <v>0</v>
      </c>
      <c r="P84" s="504">
        <f>SUMIFS('PV SUPPLY DATA'!$X:$X,'PV SUPPLY DATA'!$AH:$AH,'CT capacity tracker'!$B84,'PV SUPPLY DATA'!$AG:$AG,$A$51,'PV SUPPLY DATA'!$Y:$Y,'CT capacity tracker'!P$1)+SUMIFS('ESS SUPPLY DATA'!$U:$U,'ESS SUPPLY DATA'!$AF:$AF,'CT capacity tracker'!$B84,'ESS SUPPLY DATA'!$AE:$AE,'CT capacity tracker'!$A$51,'ESS SUPPLY DATA'!$W:$W,'CT capacity tracker'!P$1)</f>
        <v>0</v>
      </c>
      <c r="Q84" s="504">
        <f>SUMIFS('PV SUPPLY DATA'!$X:$X,'PV SUPPLY DATA'!$AH:$AH,'CT capacity tracker'!$B84,'PV SUPPLY DATA'!$AG:$AG,$A$51,'PV SUPPLY DATA'!$Y:$Y,'CT capacity tracker'!Q$1)+SUMIFS('ESS SUPPLY DATA'!$U:$U,'ESS SUPPLY DATA'!$AF:$AF,'CT capacity tracker'!$B84,'ESS SUPPLY DATA'!$AE:$AE,'CT capacity tracker'!$A$51,'ESS SUPPLY DATA'!$W:$W,'CT capacity tracker'!Q$1)</f>
        <v>0</v>
      </c>
      <c r="R84" s="504">
        <f>SUMIFS('PV SUPPLY DATA'!$X:$X,'PV SUPPLY DATA'!$AH:$AH,'CT capacity tracker'!$B84,'PV SUPPLY DATA'!$AG:$AG,$A$51,'PV SUPPLY DATA'!$Y:$Y,'CT capacity tracker'!R$1)+SUMIFS('ESS SUPPLY DATA'!$U:$U,'ESS SUPPLY DATA'!$AF:$AF,'CT capacity tracker'!$B84,'ESS SUPPLY DATA'!$AE:$AE,'CT capacity tracker'!$A$51,'ESS SUPPLY DATA'!$W:$W,'CT capacity tracker'!R$1)</f>
        <v>0</v>
      </c>
      <c r="S84" s="504">
        <f>SUMIFS('PV SUPPLY DATA'!$X:$X,'PV SUPPLY DATA'!$AH:$AH,'CT capacity tracker'!$B84,'PV SUPPLY DATA'!$AG:$AG,$A$51,'PV SUPPLY DATA'!$Y:$Y,'CT capacity tracker'!S$1)+SUMIFS('ESS SUPPLY DATA'!$U:$U,'ESS SUPPLY DATA'!$AF:$AF,'CT capacity tracker'!$B84,'ESS SUPPLY DATA'!$AE:$AE,'CT capacity tracker'!$A$51,'ESS SUPPLY DATA'!$W:$W,'CT capacity tracker'!S$1)</f>
        <v>0</v>
      </c>
      <c r="T84" s="504">
        <f>SUMIFS('PV SUPPLY DATA'!$X:$X,'PV SUPPLY DATA'!$AH:$AH,'CT capacity tracker'!$B84,'PV SUPPLY DATA'!$AG:$AG,$A$51,'PV SUPPLY DATA'!$Y:$Y,'CT capacity tracker'!T$1)+SUMIFS('ESS SUPPLY DATA'!$U:$U,'ESS SUPPLY DATA'!$AF:$AF,'CT capacity tracker'!$B84,'ESS SUPPLY DATA'!$AE:$AE,'CT capacity tracker'!$A$51,'ESS SUPPLY DATA'!$W:$W,'CT capacity tracker'!T$1)</f>
        <v>0</v>
      </c>
      <c r="U84" s="504">
        <f>SUMIFS('PV SUPPLY DATA'!$X:$X,'PV SUPPLY DATA'!$AH:$AH,'CT capacity tracker'!$B84,'PV SUPPLY DATA'!$AG:$AG,$A$51,'PV SUPPLY DATA'!$Y:$Y,'CT capacity tracker'!U$1)+SUMIFS('ESS SUPPLY DATA'!$U:$U,'ESS SUPPLY DATA'!$AF:$AF,'CT capacity tracker'!$B84,'ESS SUPPLY DATA'!$AE:$AE,'CT capacity tracker'!$A$51,'ESS SUPPLY DATA'!$W:$W,'CT capacity tracker'!U$1)</f>
        <v>0</v>
      </c>
      <c r="V84" s="504">
        <f>SUMIFS('PV SUPPLY DATA'!$X:$X,'PV SUPPLY DATA'!$AH:$AH,'CT capacity tracker'!$B84,'PV SUPPLY DATA'!$AG:$AG,$A$51,'PV SUPPLY DATA'!$Y:$Y,'CT capacity tracker'!V$1)+SUMIFS('ESS SUPPLY DATA'!$U:$U,'ESS SUPPLY DATA'!$AF:$AF,'CT capacity tracker'!$B84,'ESS SUPPLY DATA'!$AE:$AE,'CT capacity tracker'!$A$51,'ESS SUPPLY DATA'!$W:$W,'CT capacity tracker'!V$1)</f>
        <v>0</v>
      </c>
      <c r="W84" s="504">
        <f>SUMIFS('PV SUPPLY DATA'!$X:$X,'PV SUPPLY DATA'!$AH:$AH,'CT capacity tracker'!$B84,'PV SUPPLY DATA'!$AG:$AG,$A$51,'PV SUPPLY DATA'!$Y:$Y,'CT capacity tracker'!W$1)+SUMIFS('ESS SUPPLY DATA'!$U:$U,'ESS SUPPLY DATA'!$AF:$AF,'CT capacity tracker'!$B84,'ESS SUPPLY DATA'!$AE:$AE,'CT capacity tracker'!$A$51,'ESS SUPPLY DATA'!$W:$W,'CT capacity tracker'!W$1)</f>
        <v>0</v>
      </c>
      <c r="X84" s="504">
        <f>SUMIFS('PV SUPPLY DATA'!$X:$X,'PV SUPPLY DATA'!$AH:$AH,'CT capacity tracker'!$B84,'PV SUPPLY DATA'!$AG:$AG,$A$51,'PV SUPPLY DATA'!$Y:$Y,'CT capacity tracker'!X$1)+SUMIFS('ESS SUPPLY DATA'!$U:$U,'ESS SUPPLY DATA'!$AF:$AF,'CT capacity tracker'!$B84,'ESS SUPPLY DATA'!$AE:$AE,'CT capacity tracker'!$A$51,'ESS SUPPLY DATA'!$W:$W,'CT capacity tracker'!X$1)</f>
        <v>0</v>
      </c>
      <c r="Y84" s="504">
        <f>SUMIFS('PV SUPPLY DATA'!$X:$X,'PV SUPPLY DATA'!$AH:$AH,'CT capacity tracker'!$B84,'PV SUPPLY DATA'!$AG:$AG,$A$51,'PV SUPPLY DATA'!$Y:$Y,'CT capacity tracker'!Y$1)+SUMIFS('ESS SUPPLY DATA'!$U:$U,'ESS SUPPLY DATA'!$AF:$AF,'CT capacity tracker'!$B84,'ESS SUPPLY DATA'!$AE:$AE,'CT capacity tracker'!$A$51,'ESS SUPPLY DATA'!$W:$W,'CT capacity tracker'!Y$1)</f>
        <v>0</v>
      </c>
      <c r="Z84" s="504">
        <f>SUMIFS('PV SUPPLY DATA'!$X:$X,'PV SUPPLY DATA'!$AH:$AH,'CT capacity tracker'!$B84,'PV SUPPLY DATA'!$AG:$AG,$A$51,'PV SUPPLY DATA'!$Y:$Y,'CT capacity tracker'!Z$1)+SUMIFS('ESS SUPPLY DATA'!$U:$U,'ESS SUPPLY DATA'!$AF:$AF,'CT capacity tracker'!$B84,'ESS SUPPLY DATA'!$AE:$AE,'CT capacity tracker'!$A$51,'ESS SUPPLY DATA'!$W:$W,'CT capacity tracker'!Z$1)</f>
        <v>0</v>
      </c>
      <c r="AA84" s="504">
        <f>SUMIFS('PV SUPPLY DATA'!$X:$X,'PV SUPPLY DATA'!$AH:$AH,'CT capacity tracker'!$B84,'PV SUPPLY DATA'!$AG:$AG,$A$51,'PV SUPPLY DATA'!$Y:$Y,'CT capacity tracker'!AA$1)+SUMIFS('ESS SUPPLY DATA'!$U:$U,'ESS SUPPLY DATA'!$AF:$AF,'CT capacity tracker'!$B84,'ESS SUPPLY DATA'!$AE:$AE,'CT capacity tracker'!$A$51,'ESS SUPPLY DATA'!$W:$W,'CT capacity tracker'!AA$1)</f>
        <v>0</v>
      </c>
      <c r="AB84" s="504">
        <f>SUMIFS('PV SUPPLY DATA'!$X:$X,'PV SUPPLY DATA'!$AH:$AH,'CT capacity tracker'!$B84,'PV SUPPLY DATA'!$AG:$AG,$A$51,'PV SUPPLY DATA'!$Y:$Y,'CT capacity tracker'!AB$1)+SUMIFS('ESS SUPPLY DATA'!$U:$U,'ESS SUPPLY DATA'!$AF:$AF,'CT capacity tracker'!$B84,'ESS SUPPLY DATA'!$AE:$AE,'CT capacity tracker'!$A$51,'ESS SUPPLY DATA'!$W:$W,'CT capacity tracker'!AB$1)</f>
        <v>0</v>
      </c>
      <c r="AC84" s="504">
        <f>SUMIFS('PV SUPPLY DATA'!$X:$X,'PV SUPPLY DATA'!$AH:$AH,'CT capacity tracker'!$B84,'PV SUPPLY DATA'!$AG:$AG,$A$51,'PV SUPPLY DATA'!$Y:$Y,'CT capacity tracker'!AC$1)+SUMIFS('ESS SUPPLY DATA'!$U:$U,'ESS SUPPLY DATA'!$AF:$AF,'CT capacity tracker'!$B84,'ESS SUPPLY DATA'!$AE:$AE,'CT capacity tracker'!$A$51,'ESS SUPPLY DATA'!$W:$W,'CT capacity tracker'!AC$1)</f>
        <v>0</v>
      </c>
      <c r="AD84" s="504">
        <f>SUMIFS('PV SUPPLY DATA'!$X:$X,'PV SUPPLY DATA'!$AH:$AH,'CT capacity tracker'!$B84,'PV SUPPLY DATA'!$AG:$AG,$A$51,'PV SUPPLY DATA'!$Y:$Y,'CT capacity tracker'!AD$1)+SUMIFS('ESS SUPPLY DATA'!$U:$U,'ESS SUPPLY DATA'!$AF:$AF,'CT capacity tracker'!$B84,'ESS SUPPLY DATA'!$AE:$AE,'CT capacity tracker'!$A$51,'ESS SUPPLY DATA'!$W:$W,'CT capacity tracker'!AD$1)</f>
        <v>0</v>
      </c>
      <c r="AE84" s="504">
        <f>SUMIFS('PV SUPPLY DATA'!$X:$X,'PV SUPPLY DATA'!$AH:$AH,'CT capacity tracker'!$B84,'PV SUPPLY DATA'!$AG:$AG,$A$51,'PV SUPPLY DATA'!$Y:$Y,'CT capacity tracker'!AE$1)+SUMIFS('ESS SUPPLY DATA'!$U:$U,'ESS SUPPLY DATA'!$AF:$AF,'CT capacity tracker'!$B84,'ESS SUPPLY DATA'!$AE:$AE,'CT capacity tracker'!$A$51,'ESS SUPPLY DATA'!$W:$W,'CT capacity tracker'!AE$1)</f>
        <v>0</v>
      </c>
      <c r="AF84" s="504">
        <f>SUMIFS('PV SUPPLY DATA'!$X:$X,'PV SUPPLY DATA'!$AH:$AH,'CT capacity tracker'!$B84,'PV SUPPLY DATA'!$AG:$AG,$A$51,'PV SUPPLY DATA'!$Y:$Y,'CT capacity tracker'!AF$1)+SUMIFS('ESS SUPPLY DATA'!$U:$U,'ESS SUPPLY DATA'!$AF:$AF,'CT capacity tracker'!$B84,'ESS SUPPLY DATA'!$AE:$AE,'CT capacity tracker'!$A$51,'ESS SUPPLY DATA'!$W:$W,'CT capacity tracker'!AF$1)</f>
        <v>0</v>
      </c>
      <c r="AG84" s="504">
        <f>SUMIFS('PV SUPPLY DATA'!$X:$X,'PV SUPPLY DATA'!$AH:$AH,'CT capacity tracker'!$B84,'PV SUPPLY DATA'!$AG:$AG,$A$51,'PV SUPPLY DATA'!$Y:$Y,'CT capacity tracker'!AG$1)+SUMIFS('ESS SUPPLY DATA'!$U:$U,'ESS SUPPLY DATA'!$AF:$AF,'CT capacity tracker'!$B84,'ESS SUPPLY DATA'!$AE:$AE,'CT capacity tracker'!$A$51,'ESS SUPPLY DATA'!$W:$W,'CT capacity tracker'!AG$1)</f>
        <v>0</v>
      </c>
      <c r="AH84" s="504">
        <f>SUMIFS('PV SUPPLY DATA'!$X:$X,'PV SUPPLY DATA'!$AH:$AH,'CT capacity tracker'!$B84,'PV SUPPLY DATA'!$AG:$AG,$A$51,'PV SUPPLY DATA'!$Y:$Y,'CT capacity tracker'!AH$1)+SUMIFS('ESS SUPPLY DATA'!$U:$U,'ESS SUPPLY DATA'!$AF:$AF,'CT capacity tracker'!$B84,'ESS SUPPLY DATA'!$AE:$AE,'CT capacity tracker'!$A$51,'ESS SUPPLY DATA'!$W:$W,'CT capacity tracker'!AH$1)</f>
        <v>0</v>
      </c>
      <c r="AI84" s="504">
        <f>SUMIFS('PV SUPPLY DATA'!$X:$X,'PV SUPPLY DATA'!$AH:$AH,'CT capacity tracker'!$B84,'PV SUPPLY DATA'!$AG:$AG,$A$51,'PV SUPPLY DATA'!$Y:$Y,'CT capacity tracker'!AI$1)+SUMIFS('ESS SUPPLY DATA'!$U:$U,'ESS SUPPLY DATA'!$AF:$AF,'CT capacity tracker'!$B84,'ESS SUPPLY DATA'!$AE:$AE,'CT capacity tracker'!$A$51,'ESS SUPPLY DATA'!$W:$W,'CT capacity tracker'!AI$1)</f>
        <v>0</v>
      </c>
      <c r="AJ84" s="504">
        <f>SUMIFS('PV SUPPLY DATA'!$X:$X,'PV SUPPLY DATA'!$AH:$AH,'CT capacity tracker'!$B84,'PV SUPPLY DATA'!$AG:$AG,$A$51,'PV SUPPLY DATA'!$Y:$Y,'CT capacity tracker'!AJ$1)+SUMIFS('ESS SUPPLY DATA'!$U:$U,'ESS SUPPLY DATA'!$AF:$AF,'CT capacity tracker'!$B84,'ESS SUPPLY DATA'!$AE:$AE,'CT capacity tracker'!$A$51,'ESS SUPPLY DATA'!$W:$W,'CT capacity tracker'!AJ$1)</f>
        <v>0</v>
      </c>
      <c r="AK84" s="505" t="s">
        <v>197</v>
      </c>
      <c r="AL84" s="505" t="s">
        <v>197</v>
      </c>
      <c r="AM84" s="696">
        <f>SUM(E84:X84)</f>
        <v>2</v>
      </c>
      <c r="AN84" s="503" t="s">
        <v>197</v>
      </c>
      <c r="AO84" s="506"/>
      <c r="AP84" s="506">
        <f t="shared" si="58"/>
        <v>2</v>
      </c>
      <c r="AQ84" s="506"/>
      <c r="AR84" s="506"/>
      <c r="AS84" s="506"/>
      <c r="AT84" s="506"/>
    </row>
    <row r="85" spans="1:46" ht="13">
      <c r="A85" s="1517"/>
      <c r="B85" s="1517"/>
      <c r="C85" s="509" t="s">
        <v>4401</v>
      </c>
      <c r="D85" s="509"/>
      <c r="E85" s="510">
        <v>1</v>
      </c>
      <c r="F85" s="510">
        <v>7</v>
      </c>
      <c r="G85" s="510">
        <v>2</v>
      </c>
      <c r="H85" s="510">
        <v>2</v>
      </c>
      <c r="I85" s="510">
        <v>0</v>
      </c>
      <c r="J85" s="510"/>
      <c r="K85" s="510"/>
      <c r="L85" s="510"/>
      <c r="M85" s="510"/>
      <c r="N85" s="510"/>
      <c r="O85" s="510"/>
      <c r="P85" s="510"/>
      <c r="Q85" s="510"/>
      <c r="R85" s="510"/>
      <c r="S85" s="510"/>
      <c r="T85" s="510"/>
      <c r="U85" s="510"/>
      <c r="V85" s="510"/>
      <c r="W85" s="510"/>
      <c r="X85" s="510"/>
      <c r="Y85" s="510"/>
      <c r="Z85" s="510"/>
      <c r="AA85" s="510"/>
      <c r="AB85" s="510">
        <v>0</v>
      </c>
      <c r="AC85" s="510">
        <v>0</v>
      </c>
      <c r="AD85" s="510">
        <v>0</v>
      </c>
      <c r="AE85" s="510">
        <v>0</v>
      </c>
      <c r="AF85" s="510">
        <v>0</v>
      </c>
      <c r="AG85" s="510">
        <v>0</v>
      </c>
      <c r="AH85" s="510">
        <v>0</v>
      </c>
      <c r="AI85" s="510">
        <v>0</v>
      </c>
      <c r="AJ85" s="510">
        <v>0</v>
      </c>
      <c r="AK85" s="505" t="s">
        <v>197</v>
      </c>
      <c r="AL85" s="505" t="s">
        <v>197</v>
      </c>
      <c r="AM85" s="696"/>
      <c r="AN85" s="503" t="s">
        <v>197</v>
      </c>
      <c r="AO85" s="506"/>
      <c r="AP85" s="506">
        <f t="shared" si="58"/>
        <v>4</v>
      </c>
      <c r="AQ85" s="506"/>
      <c r="AR85" s="506"/>
      <c r="AS85" s="506"/>
      <c r="AT85" s="506"/>
    </row>
    <row r="86" spans="1:46" ht="13">
      <c r="A86" s="1517"/>
      <c r="B86" s="1517"/>
      <c r="C86" s="520" t="s">
        <v>4402</v>
      </c>
      <c r="D86" s="522"/>
      <c r="E86" s="522">
        <f t="shared" ref="E86:X86" si="63">E85-E84</f>
        <v>1</v>
      </c>
      <c r="F86" s="522">
        <f t="shared" si="63"/>
        <v>7</v>
      </c>
      <c r="G86" s="522">
        <f t="shared" si="63"/>
        <v>2</v>
      </c>
      <c r="H86" s="522">
        <f t="shared" si="63"/>
        <v>0</v>
      </c>
      <c r="I86" s="522">
        <f t="shared" si="63"/>
        <v>0</v>
      </c>
      <c r="J86" s="522">
        <f t="shared" si="63"/>
        <v>0</v>
      </c>
      <c r="K86" s="522">
        <f t="shared" si="63"/>
        <v>0</v>
      </c>
      <c r="L86" s="522">
        <f t="shared" si="63"/>
        <v>0</v>
      </c>
      <c r="M86" s="522">
        <f t="shared" si="63"/>
        <v>0</v>
      </c>
      <c r="N86" s="522">
        <f t="shared" si="63"/>
        <v>0</v>
      </c>
      <c r="O86" s="522">
        <f t="shared" si="63"/>
        <v>0</v>
      </c>
      <c r="P86" s="522">
        <f t="shared" si="63"/>
        <v>0</v>
      </c>
      <c r="Q86" s="522">
        <f t="shared" si="63"/>
        <v>0</v>
      </c>
      <c r="R86" s="522">
        <f t="shared" si="63"/>
        <v>0</v>
      </c>
      <c r="S86" s="522">
        <f t="shared" si="63"/>
        <v>0</v>
      </c>
      <c r="T86" s="522">
        <f t="shared" si="63"/>
        <v>0</v>
      </c>
      <c r="U86" s="522">
        <f t="shared" si="63"/>
        <v>0</v>
      </c>
      <c r="V86" s="522">
        <f t="shared" si="63"/>
        <v>0</v>
      </c>
      <c r="W86" s="522">
        <f t="shared" si="63"/>
        <v>0</v>
      </c>
      <c r="X86" s="522">
        <f t="shared" si="63"/>
        <v>0</v>
      </c>
      <c r="Y86" s="522">
        <f t="shared" ref="Y86:AJ86" si="64">Y85-Y84</f>
        <v>0</v>
      </c>
      <c r="Z86" s="522">
        <f t="shared" si="64"/>
        <v>0</v>
      </c>
      <c r="AA86" s="522">
        <f t="shared" si="64"/>
        <v>0</v>
      </c>
      <c r="AB86" s="522">
        <f t="shared" si="64"/>
        <v>0</v>
      </c>
      <c r="AC86" s="522">
        <f t="shared" si="64"/>
        <v>0</v>
      </c>
      <c r="AD86" s="522">
        <f t="shared" si="64"/>
        <v>0</v>
      </c>
      <c r="AE86" s="522">
        <f t="shared" si="64"/>
        <v>0</v>
      </c>
      <c r="AF86" s="522">
        <f t="shared" si="64"/>
        <v>0</v>
      </c>
      <c r="AG86" s="522">
        <f t="shared" si="64"/>
        <v>0</v>
      </c>
      <c r="AH86" s="522">
        <f t="shared" si="64"/>
        <v>0</v>
      </c>
      <c r="AI86" s="522">
        <f t="shared" si="64"/>
        <v>0</v>
      </c>
      <c r="AJ86" s="522">
        <f t="shared" si="64"/>
        <v>0</v>
      </c>
      <c r="AK86" s="511">
        <f>SUMIF($E86:$X86,"&gt;0")</f>
        <v>10</v>
      </c>
      <c r="AL86" s="511">
        <f>SUMIF($E86:$X86,"&lt;0")</f>
        <v>0</v>
      </c>
      <c r="AM86" s="696"/>
      <c r="AN86" s="503"/>
      <c r="AO86" s="506"/>
      <c r="AP86" s="506">
        <f t="shared" si="58"/>
        <v>2</v>
      </c>
      <c r="AQ86" s="506"/>
      <c r="AR86" s="506"/>
      <c r="AS86" s="506"/>
      <c r="AT86" s="506"/>
    </row>
    <row r="87" spans="1:46" ht="13">
      <c r="A87" s="1517"/>
      <c r="B87" s="1518"/>
      <c r="C87" s="503" t="s">
        <v>4403</v>
      </c>
      <c r="D87" s="522"/>
      <c r="E87" s="504">
        <f>SUMIFS('PV SUPPLY DATA'!$X:$X,'PV SUPPLY DATA'!$AH:$AH,'CT capacity tracker'!$B84,'PV SUPPLY DATA'!$AG:$AG,'CT capacity tracker'!$A$51,'PV SUPPLY DATA'!$Y:$Y,E$1,'PV SUPPLY DATA'!$AQ:$AQ,"cosco")+SUMIFS('PV SUPPLY DATA'!$X:$X,'PV SUPPLY DATA'!$AH:$AH,'CT capacity tracker'!$B84,'PV SUPPLY DATA'!$AG:$AG,'CT capacity tracker'!$A$51,'PV SUPPLY DATA'!$Y:$Y,E$1,'PV SUPPLY DATA'!$AQ:$AQ,"other")+SUMIFS('ESS SUPPLY DATA'!$U:$U,'ESS SUPPLY DATA'!$AF:$AF,'CT capacity tracker'!$B84,'ESS SUPPLY DATA'!$AE:$AE,'CT capacity tracker'!$A$51,'ESS SUPPLY DATA'!$W:$W,'CT capacity tracker'!E$1,'ESS SUPPLY DATA'!$AO:$AO,"cosco")+SUMIFS('ESS SUPPLY DATA'!$U:$U,'ESS SUPPLY DATA'!$AF:$AF,'CT capacity tracker'!$B84,'ESS SUPPLY DATA'!$AE:$AE,'CT capacity tracker'!$A$51,'ESS SUPPLY DATA'!$W:$W,'CT capacity tracker'!E$1,'ESS SUPPLY DATA'!$AO:$AO,"other")</f>
        <v>0</v>
      </c>
      <c r="F87" s="504">
        <f>SUMIFS('PV SUPPLY DATA'!$X:$X,'PV SUPPLY DATA'!$AH:$AH,'CT capacity tracker'!$B84,'PV SUPPLY DATA'!$AG:$AG,'CT capacity tracker'!$A$51,'PV SUPPLY DATA'!$Y:$Y,F$1,'PV SUPPLY DATA'!$AQ:$AQ,"cosco")+SUMIFS('PV SUPPLY DATA'!$X:$X,'PV SUPPLY DATA'!$AH:$AH,'CT capacity tracker'!$B84,'PV SUPPLY DATA'!$AG:$AG,'CT capacity tracker'!$A$51,'PV SUPPLY DATA'!$Y:$Y,F$1,'PV SUPPLY DATA'!$AQ:$AQ,"other")+SUMIFS('ESS SUPPLY DATA'!$U:$U,'ESS SUPPLY DATA'!$AF:$AF,'CT capacity tracker'!$B84,'ESS SUPPLY DATA'!$AE:$AE,'CT capacity tracker'!$A$51,'ESS SUPPLY DATA'!$W:$W,'CT capacity tracker'!F$1,'ESS SUPPLY DATA'!$AO:$AO,"cosco")+SUMIFS('ESS SUPPLY DATA'!$U:$U,'ESS SUPPLY DATA'!$AF:$AF,'CT capacity tracker'!$B84,'ESS SUPPLY DATA'!$AE:$AE,'CT capacity tracker'!$A$51,'ESS SUPPLY DATA'!$W:$W,'CT capacity tracker'!F$1,'ESS SUPPLY DATA'!$AO:$AO,"other")</f>
        <v>0</v>
      </c>
      <c r="G87" s="504">
        <f>SUMIFS('PV SUPPLY DATA'!$X:$X,'PV SUPPLY DATA'!$AH:$AH,'CT capacity tracker'!$B84,'PV SUPPLY DATA'!$AG:$AG,'CT capacity tracker'!$A$51,'PV SUPPLY DATA'!$Y:$Y,G$1,'PV SUPPLY DATA'!$AQ:$AQ,"cosco")+SUMIFS('PV SUPPLY DATA'!$X:$X,'PV SUPPLY DATA'!$AH:$AH,'CT capacity tracker'!$B84,'PV SUPPLY DATA'!$AG:$AG,'CT capacity tracker'!$A$51,'PV SUPPLY DATA'!$Y:$Y,G$1,'PV SUPPLY DATA'!$AQ:$AQ,"other")+SUMIFS('ESS SUPPLY DATA'!$U:$U,'ESS SUPPLY DATA'!$AF:$AF,'CT capacity tracker'!$B84,'ESS SUPPLY DATA'!$AE:$AE,'CT capacity tracker'!$A$51,'ESS SUPPLY DATA'!$W:$W,'CT capacity tracker'!G$1,'ESS SUPPLY DATA'!$AO:$AO,"cosco")+SUMIFS('ESS SUPPLY DATA'!$U:$U,'ESS SUPPLY DATA'!$AF:$AF,'CT capacity tracker'!$B84,'ESS SUPPLY DATA'!$AE:$AE,'CT capacity tracker'!$A$51,'ESS SUPPLY DATA'!$W:$W,'CT capacity tracker'!G$1,'ESS SUPPLY DATA'!$AO:$AO,"other")</f>
        <v>0</v>
      </c>
      <c r="H87" s="504">
        <f>SUMIFS('PV SUPPLY DATA'!$X:$X,'PV SUPPLY DATA'!$AH:$AH,'CT capacity tracker'!$B84,'PV SUPPLY DATA'!$AG:$AG,'CT capacity tracker'!$A$51,'PV SUPPLY DATA'!$Y:$Y,H$1,'PV SUPPLY DATA'!$AQ:$AQ,"cosco")+SUMIFS('PV SUPPLY DATA'!$X:$X,'PV SUPPLY DATA'!$AH:$AH,'CT capacity tracker'!$B84,'PV SUPPLY DATA'!$AG:$AG,'CT capacity tracker'!$A$51,'PV SUPPLY DATA'!$Y:$Y,H$1,'PV SUPPLY DATA'!$AQ:$AQ,"other")+SUMIFS('ESS SUPPLY DATA'!$U:$U,'ESS SUPPLY DATA'!$AF:$AF,'CT capacity tracker'!$B84,'ESS SUPPLY DATA'!$AE:$AE,'CT capacity tracker'!$A$51,'ESS SUPPLY DATA'!$W:$W,'CT capacity tracker'!H$1,'ESS SUPPLY DATA'!$AO:$AO,"cosco")+SUMIFS('ESS SUPPLY DATA'!$U:$U,'ESS SUPPLY DATA'!$AF:$AF,'CT capacity tracker'!$B84,'ESS SUPPLY DATA'!$AE:$AE,'CT capacity tracker'!$A$51,'ESS SUPPLY DATA'!$W:$W,'CT capacity tracker'!H$1,'ESS SUPPLY DATA'!$AO:$AO,"other")</f>
        <v>2</v>
      </c>
      <c r="I87" s="504">
        <f>SUMIFS('PV SUPPLY DATA'!$X:$X,'PV SUPPLY DATA'!$AH:$AH,'CT capacity tracker'!$B84,'PV SUPPLY DATA'!$AG:$AG,'CT capacity tracker'!$A$51,'PV SUPPLY DATA'!$Y:$Y,I$1,'PV SUPPLY DATA'!$AQ:$AQ,"cosco")+SUMIFS('PV SUPPLY DATA'!$X:$X,'PV SUPPLY DATA'!$AH:$AH,'CT capacity tracker'!$B84,'PV SUPPLY DATA'!$AG:$AG,'CT capacity tracker'!$A$51,'PV SUPPLY DATA'!$Y:$Y,I$1,'PV SUPPLY DATA'!$AQ:$AQ,"other")+SUMIFS('ESS SUPPLY DATA'!$U:$U,'ESS SUPPLY DATA'!$AF:$AF,'CT capacity tracker'!$B84,'ESS SUPPLY DATA'!$AE:$AE,'CT capacity tracker'!$A$51,'ESS SUPPLY DATA'!$W:$W,'CT capacity tracker'!I$1,'ESS SUPPLY DATA'!$AO:$AO,"cosco")+SUMIFS('ESS SUPPLY DATA'!$U:$U,'ESS SUPPLY DATA'!$AF:$AF,'CT capacity tracker'!$B84,'ESS SUPPLY DATA'!$AE:$AE,'CT capacity tracker'!$A$51,'ESS SUPPLY DATA'!$W:$W,'CT capacity tracker'!I$1,'ESS SUPPLY DATA'!$AO:$AO,"other")</f>
        <v>0</v>
      </c>
      <c r="J87" s="504">
        <f>SUMIFS('PV SUPPLY DATA'!$X:$X,'PV SUPPLY DATA'!$AH:$AH,'CT capacity tracker'!$B84,'PV SUPPLY DATA'!$AG:$AG,'CT capacity tracker'!$A$51,'PV SUPPLY DATA'!$Y:$Y,J$1,'PV SUPPLY DATA'!$AQ:$AQ,"cosco")+SUMIFS('PV SUPPLY DATA'!$X:$X,'PV SUPPLY DATA'!$AH:$AH,'CT capacity tracker'!$B84,'PV SUPPLY DATA'!$AG:$AG,'CT capacity tracker'!$A$51,'PV SUPPLY DATA'!$Y:$Y,J$1,'PV SUPPLY DATA'!$AQ:$AQ,"other")+SUMIFS('ESS SUPPLY DATA'!$U:$U,'ESS SUPPLY DATA'!$AF:$AF,'CT capacity tracker'!$B84,'ESS SUPPLY DATA'!$AE:$AE,'CT capacity tracker'!$A$51,'ESS SUPPLY DATA'!$W:$W,'CT capacity tracker'!J$1,'ESS SUPPLY DATA'!$AO:$AO,"cosco")+SUMIFS('ESS SUPPLY DATA'!$U:$U,'ESS SUPPLY DATA'!$AF:$AF,'CT capacity tracker'!$B84,'ESS SUPPLY DATA'!$AE:$AE,'CT capacity tracker'!$A$51,'ESS SUPPLY DATA'!$W:$W,'CT capacity tracker'!J$1,'ESS SUPPLY DATA'!$AO:$AO,"other")</f>
        <v>0</v>
      </c>
      <c r="K87" s="504">
        <f>SUMIFS('PV SUPPLY DATA'!$X:$X,'PV SUPPLY DATA'!$AH:$AH,'CT capacity tracker'!$B84,'PV SUPPLY DATA'!$AG:$AG,'CT capacity tracker'!$A$51,'PV SUPPLY DATA'!$Y:$Y,K$1,'PV SUPPLY DATA'!$AQ:$AQ,"cosco")+SUMIFS('PV SUPPLY DATA'!$X:$X,'PV SUPPLY DATA'!$AH:$AH,'CT capacity tracker'!$B84,'PV SUPPLY DATA'!$AG:$AG,'CT capacity tracker'!$A$51,'PV SUPPLY DATA'!$Y:$Y,K$1,'PV SUPPLY DATA'!$AQ:$AQ,"other")+SUMIFS('ESS SUPPLY DATA'!$U:$U,'ESS SUPPLY DATA'!$AF:$AF,'CT capacity tracker'!$B84,'ESS SUPPLY DATA'!$AE:$AE,'CT capacity tracker'!$A$51,'ESS SUPPLY DATA'!$W:$W,'CT capacity tracker'!K$1,'ESS SUPPLY DATA'!$AO:$AO,"cosco")+SUMIFS('ESS SUPPLY DATA'!$U:$U,'ESS SUPPLY DATA'!$AF:$AF,'CT capacity tracker'!$B84,'ESS SUPPLY DATA'!$AE:$AE,'CT capacity tracker'!$A$51,'ESS SUPPLY DATA'!$W:$W,'CT capacity tracker'!K$1,'ESS SUPPLY DATA'!$AO:$AO,"other")</f>
        <v>0</v>
      </c>
      <c r="L87" s="504">
        <f>SUMIFS('PV SUPPLY DATA'!$X:$X,'PV SUPPLY DATA'!$AH:$AH,'CT capacity tracker'!$B84,'PV SUPPLY DATA'!$AG:$AG,'CT capacity tracker'!$A$51,'PV SUPPLY DATA'!$Y:$Y,L$1,'PV SUPPLY DATA'!$AQ:$AQ,"cosco")+SUMIFS('PV SUPPLY DATA'!$X:$X,'PV SUPPLY DATA'!$AH:$AH,'CT capacity tracker'!$B84,'PV SUPPLY DATA'!$AG:$AG,'CT capacity tracker'!$A$51,'PV SUPPLY DATA'!$Y:$Y,L$1,'PV SUPPLY DATA'!$AQ:$AQ,"other")+SUMIFS('ESS SUPPLY DATA'!$U:$U,'ESS SUPPLY DATA'!$AF:$AF,'CT capacity tracker'!$B84,'ESS SUPPLY DATA'!$AE:$AE,'CT capacity tracker'!$A$51,'ESS SUPPLY DATA'!$W:$W,'CT capacity tracker'!L$1,'ESS SUPPLY DATA'!$AO:$AO,"cosco")+SUMIFS('ESS SUPPLY DATA'!$U:$U,'ESS SUPPLY DATA'!$AF:$AF,'CT capacity tracker'!$B84,'ESS SUPPLY DATA'!$AE:$AE,'CT capacity tracker'!$A$51,'ESS SUPPLY DATA'!$W:$W,'CT capacity tracker'!L$1,'ESS SUPPLY DATA'!$AO:$AO,"other")</f>
        <v>0</v>
      </c>
      <c r="M87" s="504">
        <f>SUMIFS('PV SUPPLY DATA'!$X:$X,'PV SUPPLY DATA'!$AH:$AH,'CT capacity tracker'!$B84,'PV SUPPLY DATA'!$AG:$AG,'CT capacity tracker'!$A$51,'PV SUPPLY DATA'!$Y:$Y,M$1,'PV SUPPLY DATA'!$AQ:$AQ,"cosco")+SUMIFS('PV SUPPLY DATA'!$X:$X,'PV SUPPLY DATA'!$AH:$AH,'CT capacity tracker'!$B84,'PV SUPPLY DATA'!$AG:$AG,'CT capacity tracker'!$A$51,'PV SUPPLY DATA'!$Y:$Y,M$1,'PV SUPPLY DATA'!$AQ:$AQ,"other")+SUMIFS('ESS SUPPLY DATA'!$U:$U,'ESS SUPPLY DATA'!$AF:$AF,'CT capacity tracker'!$B84,'ESS SUPPLY DATA'!$AE:$AE,'CT capacity tracker'!$A$51,'ESS SUPPLY DATA'!$W:$W,'CT capacity tracker'!M$1,'ESS SUPPLY DATA'!$AO:$AO,"cosco")+SUMIFS('ESS SUPPLY DATA'!$U:$U,'ESS SUPPLY DATA'!$AF:$AF,'CT capacity tracker'!$B84,'ESS SUPPLY DATA'!$AE:$AE,'CT capacity tracker'!$A$51,'ESS SUPPLY DATA'!$W:$W,'CT capacity tracker'!M$1,'ESS SUPPLY DATA'!$AO:$AO,"other")</f>
        <v>0</v>
      </c>
      <c r="N87" s="504">
        <f>SUMIFS('PV SUPPLY DATA'!$X:$X,'PV SUPPLY DATA'!$AH:$AH,'CT capacity tracker'!$B84,'PV SUPPLY DATA'!$AG:$AG,'CT capacity tracker'!$A$51,'PV SUPPLY DATA'!$Y:$Y,N$1,'PV SUPPLY DATA'!$AQ:$AQ,"cosco")+SUMIFS('PV SUPPLY DATA'!$X:$X,'PV SUPPLY DATA'!$AH:$AH,'CT capacity tracker'!$B84,'PV SUPPLY DATA'!$AG:$AG,'CT capacity tracker'!$A$51,'PV SUPPLY DATA'!$Y:$Y,N$1,'PV SUPPLY DATA'!$AQ:$AQ,"other")+SUMIFS('ESS SUPPLY DATA'!$U:$U,'ESS SUPPLY DATA'!$AF:$AF,'CT capacity tracker'!$B84,'ESS SUPPLY DATA'!$AE:$AE,'CT capacity tracker'!$A$51,'ESS SUPPLY DATA'!$W:$W,'CT capacity tracker'!N$1,'ESS SUPPLY DATA'!$AO:$AO,"cosco")+SUMIFS('ESS SUPPLY DATA'!$U:$U,'ESS SUPPLY DATA'!$AF:$AF,'CT capacity tracker'!$B84,'ESS SUPPLY DATA'!$AE:$AE,'CT capacity tracker'!$A$51,'ESS SUPPLY DATA'!$W:$W,'CT capacity tracker'!N$1,'ESS SUPPLY DATA'!$AO:$AO,"other")</f>
        <v>0</v>
      </c>
      <c r="O87" s="504">
        <f>SUMIFS('PV SUPPLY DATA'!$X:$X,'PV SUPPLY DATA'!$AH:$AH,'CT capacity tracker'!$B84,'PV SUPPLY DATA'!$AG:$AG,'CT capacity tracker'!$A$51,'PV SUPPLY DATA'!$Y:$Y,O$1,'PV SUPPLY DATA'!$AQ:$AQ,"cosco")+SUMIFS('PV SUPPLY DATA'!$X:$X,'PV SUPPLY DATA'!$AH:$AH,'CT capacity tracker'!$B84,'PV SUPPLY DATA'!$AG:$AG,'CT capacity tracker'!$A$51,'PV SUPPLY DATA'!$Y:$Y,O$1,'PV SUPPLY DATA'!$AQ:$AQ,"other")+SUMIFS('ESS SUPPLY DATA'!$U:$U,'ESS SUPPLY DATA'!$AF:$AF,'CT capacity tracker'!$B84,'ESS SUPPLY DATA'!$AE:$AE,'CT capacity tracker'!$A$51,'ESS SUPPLY DATA'!$W:$W,'CT capacity tracker'!O$1,'ESS SUPPLY DATA'!$AO:$AO,"cosco")+SUMIFS('ESS SUPPLY DATA'!$U:$U,'ESS SUPPLY DATA'!$AF:$AF,'CT capacity tracker'!$B84,'ESS SUPPLY DATA'!$AE:$AE,'CT capacity tracker'!$A$51,'ESS SUPPLY DATA'!$W:$W,'CT capacity tracker'!O$1,'ESS SUPPLY DATA'!$AO:$AO,"other")</f>
        <v>0</v>
      </c>
      <c r="P87" s="504">
        <f>SUMIFS('PV SUPPLY DATA'!$X:$X,'PV SUPPLY DATA'!$AH:$AH,'CT capacity tracker'!$B84,'PV SUPPLY DATA'!$AG:$AG,'CT capacity tracker'!$A$51,'PV SUPPLY DATA'!$Y:$Y,P$1,'PV SUPPLY DATA'!$AQ:$AQ,"cosco")+SUMIFS('PV SUPPLY DATA'!$X:$X,'PV SUPPLY DATA'!$AH:$AH,'CT capacity tracker'!$B84,'PV SUPPLY DATA'!$AG:$AG,'CT capacity tracker'!$A$51,'PV SUPPLY DATA'!$Y:$Y,P$1,'PV SUPPLY DATA'!$AQ:$AQ,"other")+SUMIFS('ESS SUPPLY DATA'!$U:$U,'ESS SUPPLY DATA'!$AF:$AF,'CT capacity tracker'!$B84,'ESS SUPPLY DATA'!$AE:$AE,'CT capacity tracker'!$A$51,'ESS SUPPLY DATA'!$W:$W,'CT capacity tracker'!P$1,'ESS SUPPLY DATA'!$AO:$AO,"cosco")+SUMIFS('ESS SUPPLY DATA'!$U:$U,'ESS SUPPLY DATA'!$AF:$AF,'CT capacity tracker'!$B84,'ESS SUPPLY DATA'!$AE:$AE,'CT capacity tracker'!$A$51,'ESS SUPPLY DATA'!$W:$W,'CT capacity tracker'!P$1,'ESS SUPPLY DATA'!$AO:$AO,"other")</f>
        <v>0</v>
      </c>
      <c r="Q87" s="504">
        <f>SUMIFS('PV SUPPLY DATA'!$X:$X,'PV SUPPLY DATA'!$AH:$AH,'CT capacity tracker'!$B84,'PV SUPPLY DATA'!$AG:$AG,'CT capacity tracker'!$A$51,'PV SUPPLY DATA'!$Y:$Y,Q$1,'PV SUPPLY DATA'!$AQ:$AQ,"cosco")+SUMIFS('PV SUPPLY DATA'!$X:$X,'PV SUPPLY DATA'!$AH:$AH,'CT capacity tracker'!$B84,'PV SUPPLY DATA'!$AG:$AG,'CT capacity tracker'!$A$51,'PV SUPPLY DATA'!$Y:$Y,Q$1,'PV SUPPLY DATA'!$AQ:$AQ,"other")+SUMIFS('ESS SUPPLY DATA'!$U:$U,'ESS SUPPLY DATA'!$AF:$AF,'CT capacity tracker'!$B84,'ESS SUPPLY DATA'!$AE:$AE,'CT capacity tracker'!$A$51,'ESS SUPPLY DATA'!$W:$W,'CT capacity tracker'!Q$1,'ESS SUPPLY DATA'!$AO:$AO,"cosco")+SUMIFS('ESS SUPPLY DATA'!$U:$U,'ESS SUPPLY DATA'!$AF:$AF,'CT capacity tracker'!$B84,'ESS SUPPLY DATA'!$AE:$AE,'CT capacity tracker'!$A$51,'ESS SUPPLY DATA'!$W:$W,'CT capacity tracker'!Q$1,'ESS SUPPLY DATA'!$AO:$AO,"other")</f>
        <v>0</v>
      </c>
      <c r="R87" s="504">
        <f>SUMIFS('PV SUPPLY DATA'!$X:$X,'PV SUPPLY DATA'!$AH:$AH,'CT capacity tracker'!$B84,'PV SUPPLY DATA'!$AG:$AG,'CT capacity tracker'!$A$51,'PV SUPPLY DATA'!$Y:$Y,R$1,'PV SUPPLY DATA'!$AQ:$AQ,"cosco")+SUMIFS('PV SUPPLY DATA'!$X:$X,'PV SUPPLY DATA'!$AH:$AH,'CT capacity tracker'!$B84,'PV SUPPLY DATA'!$AG:$AG,'CT capacity tracker'!$A$51,'PV SUPPLY DATA'!$Y:$Y,R$1,'PV SUPPLY DATA'!$AQ:$AQ,"other")+SUMIFS('ESS SUPPLY DATA'!$U:$U,'ESS SUPPLY DATA'!$AF:$AF,'CT capacity tracker'!$B84,'ESS SUPPLY DATA'!$AE:$AE,'CT capacity tracker'!$A$51,'ESS SUPPLY DATA'!$W:$W,'CT capacity tracker'!R$1,'ESS SUPPLY DATA'!$AO:$AO,"cosco")+SUMIFS('ESS SUPPLY DATA'!$U:$U,'ESS SUPPLY DATA'!$AF:$AF,'CT capacity tracker'!$B84,'ESS SUPPLY DATA'!$AE:$AE,'CT capacity tracker'!$A$51,'ESS SUPPLY DATA'!$W:$W,'CT capacity tracker'!R$1,'ESS SUPPLY DATA'!$AO:$AO,"other")</f>
        <v>0</v>
      </c>
      <c r="S87" s="504">
        <f>SUMIFS('PV SUPPLY DATA'!$X:$X,'PV SUPPLY DATA'!$AH:$AH,'CT capacity tracker'!$B84,'PV SUPPLY DATA'!$AG:$AG,'CT capacity tracker'!$A$51,'PV SUPPLY DATA'!$Y:$Y,S$1,'PV SUPPLY DATA'!$AQ:$AQ,"cosco")+SUMIFS('PV SUPPLY DATA'!$X:$X,'PV SUPPLY DATA'!$AH:$AH,'CT capacity tracker'!$B84,'PV SUPPLY DATA'!$AG:$AG,'CT capacity tracker'!$A$51,'PV SUPPLY DATA'!$Y:$Y,S$1,'PV SUPPLY DATA'!$AQ:$AQ,"other")+SUMIFS('ESS SUPPLY DATA'!$U:$U,'ESS SUPPLY DATA'!$AF:$AF,'CT capacity tracker'!$B84,'ESS SUPPLY DATA'!$AE:$AE,'CT capacity tracker'!$A$51,'ESS SUPPLY DATA'!$W:$W,'CT capacity tracker'!S$1,'ESS SUPPLY DATA'!$AO:$AO,"cosco")+SUMIFS('ESS SUPPLY DATA'!$U:$U,'ESS SUPPLY DATA'!$AF:$AF,'CT capacity tracker'!$B84,'ESS SUPPLY DATA'!$AE:$AE,'CT capacity tracker'!$A$51,'ESS SUPPLY DATA'!$W:$W,'CT capacity tracker'!S$1,'ESS SUPPLY DATA'!$AO:$AO,"other")</f>
        <v>0</v>
      </c>
      <c r="T87" s="504">
        <f>SUMIFS('PV SUPPLY DATA'!$X:$X,'PV SUPPLY DATA'!$AH:$AH,'CT capacity tracker'!$B84,'PV SUPPLY DATA'!$AG:$AG,'CT capacity tracker'!$A$51,'PV SUPPLY DATA'!$Y:$Y,T$1,'PV SUPPLY DATA'!$AQ:$AQ,"cosco")+SUMIFS('PV SUPPLY DATA'!$X:$X,'PV SUPPLY DATA'!$AH:$AH,'CT capacity tracker'!$B84,'PV SUPPLY DATA'!$AG:$AG,'CT capacity tracker'!$A$51,'PV SUPPLY DATA'!$Y:$Y,T$1,'PV SUPPLY DATA'!$AQ:$AQ,"other")+SUMIFS('ESS SUPPLY DATA'!$U:$U,'ESS SUPPLY DATA'!$AF:$AF,'CT capacity tracker'!$B84,'ESS SUPPLY DATA'!$AE:$AE,'CT capacity tracker'!$A$51,'ESS SUPPLY DATA'!$W:$W,'CT capacity tracker'!T$1,'ESS SUPPLY DATA'!$AO:$AO,"cosco")+SUMIFS('ESS SUPPLY DATA'!$U:$U,'ESS SUPPLY DATA'!$AF:$AF,'CT capacity tracker'!$B84,'ESS SUPPLY DATA'!$AE:$AE,'CT capacity tracker'!$A$51,'ESS SUPPLY DATA'!$W:$W,'CT capacity tracker'!T$1,'ESS SUPPLY DATA'!$AO:$AO,"other")</f>
        <v>0</v>
      </c>
      <c r="U87" s="504">
        <f>SUMIFS('PV SUPPLY DATA'!$X:$X,'PV SUPPLY DATA'!$AH:$AH,'CT capacity tracker'!$B84,'PV SUPPLY DATA'!$AG:$AG,'CT capacity tracker'!$A$51,'PV SUPPLY DATA'!$Y:$Y,U$1,'PV SUPPLY DATA'!$AQ:$AQ,"cosco")+SUMIFS('PV SUPPLY DATA'!$X:$X,'PV SUPPLY DATA'!$AH:$AH,'CT capacity tracker'!$B84,'PV SUPPLY DATA'!$AG:$AG,'CT capacity tracker'!$A$51,'PV SUPPLY DATA'!$Y:$Y,U$1,'PV SUPPLY DATA'!$AQ:$AQ,"other")+SUMIFS('ESS SUPPLY DATA'!$U:$U,'ESS SUPPLY DATA'!$AF:$AF,'CT capacity tracker'!$B84,'ESS SUPPLY DATA'!$AE:$AE,'CT capacity tracker'!$A$51,'ESS SUPPLY DATA'!$W:$W,'CT capacity tracker'!U$1,'ESS SUPPLY DATA'!$AO:$AO,"cosco")+SUMIFS('ESS SUPPLY DATA'!$U:$U,'ESS SUPPLY DATA'!$AF:$AF,'CT capacity tracker'!$B84,'ESS SUPPLY DATA'!$AE:$AE,'CT capacity tracker'!$A$51,'ESS SUPPLY DATA'!$W:$W,'CT capacity tracker'!U$1,'ESS SUPPLY DATA'!$AO:$AO,"other")</f>
        <v>0</v>
      </c>
      <c r="V87" s="504">
        <f>SUMIFS('PV SUPPLY DATA'!$X:$X,'PV SUPPLY DATA'!$AH:$AH,'CT capacity tracker'!$B84,'PV SUPPLY DATA'!$AG:$AG,'CT capacity tracker'!$A$51,'PV SUPPLY DATA'!$Y:$Y,V$1,'PV SUPPLY DATA'!$AQ:$AQ,"cosco")+SUMIFS('PV SUPPLY DATA'!$X:$X,'PV SUPPLY DATA'!$AH:$AH,'CT capacity tracker'!$B84,'PV SUPPLY DATA'!$AG:$AG,'CT capacity tracker'!$A$51,'PV SUPPLY DATA'!$Y:$Y,V$1,'PV SUPPLY DATA'!$AQ:$AQ,"other")+SUMIFS('ESS SUPPLY DATA'!$U:$U,'ESS SUPPLY DATA'!$AF:$AF,'CT capacity tracker'!$B84,'ESS SUPPLY DATA'!$AE:$AE,'CT capacity tracker'!$A$51,'ESS SUPPLY DATA'!$W:$W,'CT capacity tracker'!V$1,'ESS SUPPLY DATA'!$AO:$AO,"cosco")+SUMIFS('ESS SUPPLY DATA'!$U:$U,'ESS SUPPLY DATA'!$AF:$AF,'CT capacity tracker'!$B84,'ESS SUPPLY DATA'!$AE:$AE,'CT capacity tracker'!$A$51,'ESS SUPPLY DATA'!$W:$W,'CT capacity tracker'!V$1,'ESS SUPPLY DATA'!$AO:$AO,"other")</f>
        <v>0</v>
      </c>
      <c r="W87" s="504">
        <f>SUMIFS('PV SUPPLY DATA'!$X:$X,'PV SUPPLY DATA'!$AH:$AH,'CT capacity tracker'!$B84,'PV SUPPLY DATA'!$AG:$AG,'CT capacity tracker'!$A$51,'PV SUPPLY DATA'!$Y:$Y,W$1,'PV SUPPLY DATA'!$AQ:$AQ,"cosco")+SUMIFS('PV SUPPLY DATA'!$X:$X,'PV SUPPLY DATA'!$AH:$AH,'CT capacity tracker'!$B84,'PV SUPPLY DATA'!$AG:$AG,'CT capacity tracker'!$A$51,'PV SUPPLY DATA'!$Y:$Y,W$1,'PV SUPPLY DATA'!$AQ:$AQ,"other")+SUMIFS('ESS SUPPLY DATA'!$U:$U,'ESS SUPPLY DATA'!$AF:$AF,'CT capacity tracker'!$B84,'ESS SUPPLY DATA'!$AE:$AE,'CT capacity tracker'!$A$51,'ESS SUPPLY DATA'!$W:$W,'CT capacity tracker'!W$1,'ESS SUPPLY DATA'!$AO:$AO,"cosco")+SUMIFS('ESS SUPPLY DATA'!$U:$U,'ESS SUPPLY DATA'!$AF:$AF,'CT capacity tracker'!$B84,'ESS SUPPLY DATA'!$AE:$AE,'CT capacity tracker'!$A$51,'ESS SUPPLY DATA'!$W:$W,'CT capacity tracker'!W$1,'ESS SUPPLY DATA'!$AO:$AO,"other")</f>
        <v>0</v>
      </c>
      <c r="X87" s="504">
        <f>SUMIFS('PV SUPPLY DATA'!$X:$X,'PV SUPPLY DATA'!$AH:$AH,'CT capacity tracker'!$B84,'PV SUPPLY DATA'!$AG:$AG,'CT capacity tracker'!$A$51,'PV SUPPLY DATA'!$Y:$Y,X$1,'PV SUPPLY DATA'!$AQ:$AQ,"cosco")+SUMIFS('PV SUPPLY DATA'!$X:$X,'PV SUPPLY DATA'!$AH:$AH,'CT capacity tracker'!$B84,'PV SUPPLY DATA'!$AG:$AG,'CT capacity tracker'!$A$51,'PV SUPPLY DATA'!$Y:$Y,X$1,'PV SUPPLY DATA'!$AQ:$AQ,"other")+SUMIFS('ESS SUPPLY DATA'!$U:$U,'ESS SUPPLY DATA'!$AF:$AF,'CT capacity tracker'!$B84,'ESS SUPPLY DATA'!$AE:$AE,'CT capacity tracker'!$A$51,'ESS SUPPLY DATA'!$W:$W,'CT capacity tracker'!X$1,'ESS SUPPLY DATA'!$AO:$AO,"cosco")+SUMIFS('ESS SUPPLY DATA'!$U:$U,'ESS SUPPLY DATA'!$AF:$AF,'CT capacity tracker'!$B84,'ESS SUPPLY DATA'!$AE:$AE,'CT capacity tracker'!$A$51,'ESS SUPPLY DATA'!$W:$W,'CT capacity tracker'!X$1,'ESS SUPPLY DATA'!$AO:$AO,"other")</f>
        <v>0</v>
      </c>
      <c r="Y87" s="504">
        <f>SUMIFS('PV SUPPLY DATA'!$X:$X,'PV SUPPLY DATA'!$AH:$AH,'CT capacity tracker'!$B84,'PV SUPPLY DATA'!$AG:$AG,'CT capacity tracker'!$A$51,'PV SUPPLY DATA'!$Y:$Y,Y$1,'PV SUPPLY DATA'!$AQ:$AQ,"cosco")+SUMIFS('PV SUPPLY DATA'!$X:$X,'PV SUPPLY DATA'!$AH:$AH,'CT capacity tracker'!$B84,'PV SUPPLY DATA'!$AG:$AG,'CT capacity tracker'!$A$51,'PV SUPPLY DATA'!$Y:$Y,Y$1,'PV SUPPLY DATA'!$AQ:$AQ,"other")+SUMIFS('ESS SUPPLY DATA'!$U:$U,'ESS SUPPLY DATA'!$AF:$AF,'CT capacity tracker'!$B84,'ESS SUPPLY DATA'!$AE:$AE,'CT capacity tracker'!$A$51,'ESS SUPPLY DATA'!$W:$W,'CT capacity tracker'!Y$1,'ESS SUPPLY DATA'!$AO:$AO,"cosco")+SUMIFS('ESS SUPPLY DATA'!$U:$U,'ESS SUPPLY DATA'!$AF:$AF,'CT capacity tracker'!$B84,'ESS SUPPLY DATA'!$AE:$AE,'CT capacity tracker'!$A$51,'ESS SUPPLY DATA'!$W:$W,'CT capacity tracker'!Y$1,'ESS SUPPLY DATA'!$AO:$AO,"other")</f>
        <v>0</v>
      </c>
      <c r="Z87" s="504">
        <f>SUMIFS('PV SUPPLY DATA'!$X:$X,'PV SUPPLY DATA'!$AH:$AH,'CT capacity tracker'!$B84,'PV SUPPLY DATA'!$AG:$AG,'CT capacity tracker'!$A$51,'PV SUPPLY DATA'!$Y:$Y,Z$1,'PV SUPPLY DATA'!$AQ:$AQ,"cosco")+SUMIFS('PV SUPPLY DATA'!$X:$X,'PV SUPPLY DATA'!$AH:$AH,'CT capacity tracker'!$B84,'PV SUPPLY DATA'!$AG:$AG,'CT capacity tracker'!$A$51,'PV SUPPLY DATA'!$Y:$Y,Z$1,'PV SUPPLY DATA'!$AQ:$AQ,"other")+SUMIFS('ESS SUPPLY DATA'!$U:$U,'ESS SUPPLY DATA'!$AF:$AF,'CT capacity tracker'!$B84,'ESS SUPPLY DATA'!$AE:$AE,'CT capacity tracker'!$A$51,'ESS SUPPLY DATA'!$W:$W,'CT capacity tracker'!Z$1,'ESS SUPPLY DATA'!$AO:$AO,"cosco")+SUMIFS('ESS SUPPLY DATA'!$U:$U,'ESS SUPPLY DATA'!$AF:$AF,'CT capacity tracker'!$B84,'ESS SUPPLY DATA'!$AE:$AE,'CT capacity tracker'!$A$51,'ESS SUPPLY DATA'!$W:$W,'CT capacity tracker'!Z$1,'ESS SUPPLY DATA'!$AO:$AO,"other")</f>
        <v>0</v>
      </c>
      <c r="AA87" s="504">
        <f>SUMIFS('PV SUPPLY DATA'!$X:$X,'PV SUPPLY DATA'!$AH:$AH,'CT capacity tracker'!$B84,'PV SUPPLY DATA'!$AG:$AG,'CT capacity tracker'!$A$51,'PV SUPPLY DATA'!$Y:$Y,AA$1,'PV SUPPLY DATA'!$AQ:$AQ,"cosco")+SUMIFS('PV SUPPLY DATA'!$X:$X,'PV SUPPLY DATA'!$AH:$AH,'CT capacity tracker'!$B84,'PV SUPPLY DATA'!$AG:$AG,'CT capacity tracker'!$A$51,'PV SUPPLY DATA'!$Y:$Y,AA$1,'PV SUPPLY DATA'!$AQ:$AQ,"other")+SUMIFS('ESS SUPPLY DATA'!$U:$U,'ESS SUPPLY DATA'!$AF:$AF,'CT capacity tracker'!$B84,'ESS SUPPLY DATA'!$AE:$AE,'CT capacity tracker'!$A$51,'ESS SUPPLY DATA'!$W:$W,'CT capacity tracker'!AA$1,'ESS SUPPLY DATA'!$AO:$AO,"cosco")+SUMIFS('ESS SUPPLY DATA'!$U:$U,'ESS SUPPLY DATA'!$AF:$AF,'CT capacity tracker'!$B84,'ESS SUPPLY DATA'!$AE:$AE,'CT capacity tracker'!$A$51,'ESS SUPPLY DATA'!$W:$W,'CT capacity tracker'!AA$1,'ESS SUPPLY DATA'!$AO:$AO,"other")</f>
        <v>0</v>
      </c>
      <c r="AB87" s="504">
        <f>SUMIFS('PV SUPPLY DATA'!$X:$X,'PV SUPPLY DATA'!$AH:$AH,'CT capacity tracker'!$B84,'PV SUPPLY DATA'!$AG:$AG,'CT capacity tracker'!$A$51,'PV SUPPLY DATA'!$Y:$Y,AB$1,'PV SUPPLY DATA'!$AQ:$AQ,"cosco")+SUMIFS('PV SUPPLY DATA'!$X:$X,'PV SUPPLY DATA'!$AH:$AH,'CT capacity tracker'!$B84,'PV SUPPLY DATA'!$AG:$AG,'CT capacity tracker'!$A$51,'PV SUPPLY DATA'!$Y:$Y,AB$1,'PV SUPPLY DATA'!$AQ:$AQ,"other")+SUMIFS('ESS SUPPLY DATA'!$U:$U,'ESS SUPPLY DATA'!$AF:$AF,'CT capacity tracker'!$B84,'ESS SUPPLY DATA'!$AE:$AE,'CT capacity tracker'!$A$51,'ESS SUPPLY DATA'!$W:$W,'CT capacity tracker'!AB$1,'ESS SUPPLY DATA'!$AO:$AO,"cosco")+SUMIFS('ESS SUPPLY DATA'!$U:$U,'ESS SUPPLY DATA'!$AF:$AF,'CT capacity tracker'!$B84,'ESS SUPPLY DATA'!$AE:$AE,'CT capacity tracker'!$A$51,'ESS SUPPLY DATA'!$W:$W,'CT capacity tracker'!AB$1,'ESS SUPPLY DATA'!$AO:$AO,"other")</f>
        <v>0</v>
      </c>
      <c r="AC87" s="504">
        <f>SUMIFS('PV SUPPLY DATA'!$X:$X,'PV SUPPLY DATA'!$AH:$AH,'CT capacity tracker'!$B84,'PV SUPPLY DATA'!$AG:$AG,'CT capacity tracker'!$A$51,'PV SUPPLY DATA'!$Y:$Y,AC$1,'PV SUPPLY DATA'!$AQ:$AQ,"cosco")+SUMIFS('PV SUPPLY DATA'!$X:$X,'PV SUPPLY DATA'!$AH:$AH,'CT capacity tracker'!$B84,'PV SUPPLY DATA'!$AG:$AG,'CT capacity tracker'!$A$51,'PV SUPPLY DATA'!$Y:$Y,AC$1,'PV SUPPLY DATA'!$AQ:$AQ,"other")+SUMIFS('ESS SUPPLY DATA'!$U:$U,'ESS SUPPLY DATA'!$AF:$AF,'CT capacity tracker'!$B84,'ESS SUPPLY DATA'!$AE:$AE,'CT capacity tracker'!$A$51,'ESS SUPPLY DATA'!$W:$W,'CT capacity tracker'!AC$1,'ESS SUPPLY DATA'!$AO:$AO,"cosco")+SUMIFS('ESS SUPPLY DATA'!$U:$U,'ESS SUPPLY DATA'!$AF:$AF,'CT capacity tracker'!$B84,'ESS SUPPLY DATA'!$AE:$AE,'CT capacity tracker'!$A$51,'ESS SUPPLY DATA'!$W:$W,'CT capacity tracker'!AC$1,'ESS SUPPLY DATA'!$AO:$AO,"other")</f>
        <v>0</v>
      </c>
      <c r="AD87" s="504">
        <f>SUMIFS('PV SUPPLY DATA'!$X:$X,'PV SUPPLY DATA'!$AH:$AH,'CT capacity tracker'!$B84,'PV SUPPLY DATA'!$AG:$AG,'CT capacity tracker'!$A$51,'PV SUPPLY DATA'!$Y:$Y,AD$1,'PV SUPPLY DATA'!$AQ:$AQ,"cosco")+SUMIFS('PV SUPPLY DATA'!$X:$X,'PV SUPPLY DATA'!$AH:$AH,'CT capacity tracker'!$B84,'PV SUPPLY DATA'!$AG:$AG,'CT capacity tracker'!$A$51,'PV SUPPLY DATA'!$Y:$Y,AD$1,'PV SUPPLY DATA'!$AQ:$AQ,"other")+SUMIFS('ESS SUPPLY DATA'!$U:$U,'ESS SUPPLY DATA'!$AF:$AF,'CT capacity tracker'!$B84,'ESS SUPPLY DATA'!$AE:$AE,'CT capacity tracker'!$A$51,'ESS SUPPLY DATA'!$W:$W,'CT capacity tracker'!AD$1,'ESS SUPPLY DATA'!$AO:$AO,"cosco")+SUMIFS('ESS SUPPLY DATA'!$U:$U,'ESS SUPPLY DATA'!$AF:$AF,'CT capacity tracker'!$B84,'ESS SUPPLY DATA'!$AE:$AE,'CT capacity tracker'!$A$51,'ESS SUPPLY DATA'!$W:$W,'CT capacity tracker'!AD$1,'ESS SUPPLY DATA'!$AO:$AO,"other")</f>
        <v>0</v>
      </c>
      <c r="AE87" s="504">
        <f>SUMIFS('PV SUPPLY DATA'!$X:$X,'PV SUPPLY DATA'!$AH:$AH,'CT capacity tracker'!$B84,'PV SUPPLY DATA'!$AG:$AG,'CT capacity tracker'!$A$51,'PV SUPPLY DATA'!$Y:$Y,AE$1,'PV SUPPLY DATA'!$AQ:$AQ,"cosco")+SUMIFS('PV SUPPLY DATA'!$X:$X,'PV SUPPLY DATA'!$AH:$AH,'CT capacity tracker'!$B84,'PV SUPPLY DATA'!$AG:$AG,'CT capacity tracker'!$A$51,'PV SUPPLY DATA'!$Y:$Y,AE$1,'PV SUPPLY DATA'!$AQ:$AQ,"other")+SUMIFS('ESS SUPPLY DATA'!$U:$U,'ESS SUPPLY DATA'!$AF:$AF,'CT capacity tracker'!$B84,'ESS SUPPLY DATA'!$AE:$AE,'CT capacity tracker'!$A$51,'ESS SUPPLY DATA'!$W:$W,'CT capacity tracker'!AE$1,'ESS SUPPLY DATA'!$AO:$AO,"cosco")+SUMIFS('ESS SUPPLY DATA'!$U:$U,'ESS SUPPLY DATA'!$AF:$AF,'CT capacity tracker'!$B84,'ESS SUPPLY DATA'!$AE:$AE,'CT capacity tracker'!$A$51,'ESS SUPPLY DATA'!$W:$W,'CT capacity tracker'!AE$1,'ESS SUPPLY DATA'!$AO:$AO,"other")</f>
        <v>0</v>
      </c>
      <c r="AF87" s="504">
        <f>SUMIFS('PV SUPPLY DATA'!$X:$X,'PV SUPPLY DATA'!$AH:$AH,'CT capacity tracker'!$B84,'PV SUPPLY DATA'!$AG:$AG,'CT capacity tracker'!$A$51,'PV SUPPLY DATA'!$Y:$Y,AF$1,'PV SUPPLY DATA'!$AQ:$AQ,"cosco")+SUMIFS('PV SUPPLY DATA'!$X:$X,'PV SUPPLY DATA'!$AH:$AH,'CT capacity tracker'!$B84,'PV SUPPLY DATA'!$AG:$AG,'CT capacity tracker'!$A$51,'PV SUPPLY DATA'!$Y:$Y,AF$1,'PV SUPPLY DATA'!$AQ:$AQ,"other")+SUMIFS('ESS SUPPLY DATA'!$U:$U,'ESS SUPPLY DATA'!$AF:$AF,'CT capacity tracker'!$B84,'ESS SUPPLY DATA'!$AE:$AE,'CT capacity tracker'!$A$51,'ESS SUPPLY DATA'!$W:$W,'CT capacity tracker'!AF$1,'ESS SUPPLY DATA'!$AO:$AO,"cosco")+SUMIFS('ESS SUPPLY DATA'!$U:$U,'ESS SUPPLY DATA'!$AF:$AF,'CT capacity tracker'!$B84,'ESS SUPPLY DATA'!$AE:$AE,'CT capacity tracker'!$A$51,'ESS SUPPLY DATA'!$W:$W,'CT capacity tracker'!AF$1,'ESS SUPPLY DATA'!$AO:$AO,"other")</f>
        <v>0</v>
      </c>
      <c r="AG87" s="504">
        <f>SUMIFS('PV SUPPLY DATA'!$X:$X,'PV SUPPLY DATA'!$AH:$AH,'CT capacity tracker'!$B84,'PV SUPPLY DATA'!$AG:$AG,'CT capacity tracker'!$A$51,'PV SUPPLY DATA'!$Y:$Y,AG$1,'PV SUPPLY DATA'!$AQ:$AQ,"cosco")+SUMIFS('PV SUPPLY DATA'!$X:$X,'PV SUPPLY DATA'!$AH:$AH,'CT capacity tracker'!$B84,'PV SUPPLY DATA'!$AG:$AG,'CT capacity tracker'!$A$51,'PV SUPPLY DATA'!$Y:$Y,AG$1,'PV SUPPLY DATA'!$AQ:$AQ,"other")+SUMIFS('ESS SUPPLY DATA'!$U:$U,'ESS SUPPLY DATA'!$AF:$AF,'CT capacity tracker'!$B84,'ESS SUPPLY DATA'!$AE:$AE,'CT capacity tracker'!$A$51,'ESS SUPPLY DATA'!$W:$W,'CT capacity tracker'!AG$1,'ESS SUPPLY DATA'!$AO:$AO,"cosco")+SUMIFS('ESS SUPPLY DATA'!$U:$U,'ESS SUPPLY DATA'!$AF:$AF,'CT capacity tracker'!$B84,'ESS SUPPLY DATA'!$AE:$AE,'CT capacity tracker'!$A$51,'ESS SUPPLY DATA'!$W:$W,'CT capacity tracker'!AG$1,'ESS SUPPLY DATA'!$AO:$AO,"other")</f>
        <v>0</v>
      </c>
      <c r="AH87" s="504">
        <f>SUMIFS('PV SUPPLY DATA'!$X:$X,'PV SUPPLY DATA'!$AH:$AH,'CT capacity tracker'!$B84,'PV SUPPLY DATA'!$AG:$AG,'CT capacity tracker'!$A$51,'PV SUPPLY DATA'!$Y:$Y,AH$1,'PV SUPPLY DATA'!$AQ:$AQ,"cosco")+SUMIFS('PV SUPPLY DATA'!$X:$X,'PV SUPPLY DATA'!$AH:$AH,'CT capacity tracker'!$B84,'PV SUPPLY DATA'!$AG:$AG,'CT capacity tracker'!$A$51,'PV SUPPLY DATA'!$Y:$Y,AH$1,'PV SUPPLY DATA'!$AQ:$AQ,"other")+SUMIFS('ESS SUPPLY DATA'!$U:$U,'ESS SUPPLY DATA'!$AF:$AF,'CT capacity tracker'!$B84,'ESS SUPPLY DATA'!$AE:$AE,'CT capacity tracker'!$A$51,'ESS SUPPLY DATA'!$W:$W,'CT capacity tracker'!AH$1,'ESS SUPPLY DATA'!$AO:$AO,"cosco")+SUMIFS('ESS SUPPLY DATA'!$U:$U,'ESS SUPPLY DATA'!$AF:$AF,'CT capacity tracker'!$B84,'ESS SUPPLY DATA'!$AE:$AE,'CT capacity tracker'!$A$51,'ESS SUPPLY DATA'!$W:$W,'CT capacity tracker'!AH$1,'ESS SUPPLY DATA'!$AO:$AO,"other")</f>
        <v>0</v>
      </c>
      <c r="AI87" s="504">
        <f>SUMIFS('PV SUPPLY DATA'!$X:$X,'PV SUPPLY DATA'!$AH:$AH,'CT capacity tracker'!$B84,'PV SUPPLY DATA'!$AG:$AG,'CT capacity tracker'!$A$51,'PV SUPPLY DATA'!$Y:$Y,AI$1,'PV SUPPLY DATA'!$AQ:$AQ,"cosco")+SUMIFS('PV SUPPLY DATA'!$X:$X,'PV SUPPLY DATA'!$AH:$AH,'CT capacity tracker'!$B84,'PV SUPPLY DATA'!$AG:$AG,'CT capacity tracker'!$A$51,'PV SUPPLY DATA'!$Y:$Y,AI$1,'PV SUPPLY DATA'!$AQ:$AQ,"other")+SUMIFS('ESS SUPPLY DATA'!$U:$U,'ESS SUPPLY DATA'!$AF:$AF,'CT capacity tracker'!$B84,'ESS SUPPLY DATA'!$AE:$AE,'CT capacity tracker'!$A$51,'ESS SUPPLY DATA'!$W:$W,'CT capacity tracker'!AI$1,'ESS SUPPLY DATA'!$AO:$AO,"cosco")+SUMIFS('ESS SUPPLY DATA'!$U:$U,'ESS SUPPLY DATA'!$AF:$AF,'CT capacity tracker'!$B84,'ESS SUPPLY DATA'!$AE:$AE,'CT capacity tracker'!$A$51,'ESS SUPPLY DATA'!$W:$W,'CT capacity tracker'!AI$1,'ESS SUPPLY DATA'!$AO:$AO,"other")</f>
        <v>0</v>
      </c>
      <c r="AJ87" s="504">
        <f>SUMIFS('PV SUPPLY DATA'!$X:$X,'PV SUPPLY DATA'!$AH:$AH,'CT capacity tracker'!$B84,'PV SUPPLY DATA'!$AG:$AG,'CT capacity tracker'!$A$51,'PV SUPPLY DATA'!$Y:$Y,AJ$1,'PV SUPPLY DATA'!$AQ:$AQ,"cosco")+SUMIFS('PV SUPPLY DATA'!$X:$X,'PV SUPPLY DATA'!$AH:$AH,'CT capacity tracker'!$B84,'PV SUPPLY DATA'!$AG:$AG,'CT capacity tracker'!$A$51,'PV SUPPLY DATA'!$Y:$Y,AJ$1,'PV SUPPLY DATA'!$AQ:$AQ,"other")+SUMIFS('ESS SUPPLY DATA'!$U:$U,'ESS SUPPLY DATA'!$AF:$AF,'CT capacity tracker'!$B84,'ESS SUPPLY DATA'!$AE:$AE,'CT capacity tracker'!$A$51,'ESS SUPPLY DATA'!$W:$W,'CT capacity tracker'!AJ$1,'ESS SUPPLY DATA'!$AO:$AO,"cosco")+SUMIFS('ESS SUPPLY DATA'!$U:$U,'ESS SUPPLY DATA'!$AF:$AF,'CT capacity tracker'!$B84,'ESS SUPPLY DATA'!$AE:$AE,'CT capacity tracker'!$A$51,'ESS SUPPLY DATA'!$W:$W,'CT capacity tracker'!AJ$1,'ESS SUPPLY DATA'!$AO:$AO,"other")</f>
        <v>0</v>
      </c>
      <c r="AK87" s="511"/>
      <c r="AL87" s="511"/>
      <c r="AM87" s="696">
        <f>SUM(E87:X87)</f>
        <v>2</v>
      </c>
      <c r="AN87" s="503"/>
      <c r="AO87" s="506"/>
      <c r="AP87" s="506"/>
      <c r="AQ87" s="506"/>
      <c r="AR87" s="506"/>
      <c r="AS87" s="506"/>
      <c r="AT87" s="506"/>
    </row>
    <row r="88" spans="1:46" ht="13">
      <c r="A88" s="1517"/>
      <c r="B88" s="1516" t="s">
        <v>1561</v>
      </c>
      <c r="C88" s="503" t="s">
        <v>4400</v>
      </c>
      <c r="D88" s="504">
        <f>SUMIFS('PV SUPPLY DATA'!$X:$X,'PV SUPPLY DATA'!$AH:$AH,'CT capacity tracker'!$B88,'PV SUPPLY DATA'!$AG:$AG,'CT capacity tracker'!$A$1,'PV SUPPLY DATA'!$Z:$Z,'CT capacity tracker'!D$1)+SUMIFS('ESS SUPPLY DATA'!$U:$U,'ESS SUPPLY DATA'!$AF:$AF,'CT capacity tracker'!$B88,'ESS SUPPLY DATA'!$AE:$AE,'CT capacity tracker'!$A$1,'ESS SUPPLY DATA'!$X:$X,'CT capacity tracker'!D$1)</f>
        <v>6</v>
      </c>
      <c r="E88" s="504">
        <f>SUMIFS('PV SUPPLY DATA'!$X:$X,'PV SUPPLY DATA'!$AH:$AH,'CT capacity tracker'!$B88,'PV SUPPLY DATA'!$AG:$AG,$A$51,'PV SUPPLY DATA'!$Y:$Y,'CT capacity tracker'!E$1)+SUMIFS('ESS SUPPLY DATA'!$U:$U,'ESS SUPPLY DATA'!$AF:$AF,'CT capacity tracker'!$B88,'ESS SUPPLY DATA'!$AE:$AE,'CT capacity tracker'!$A$51,'ESS SUPPLY DATA'!$W:$W,'CT capacity tracker'!E$1)</f>
        <v>0</v>
      </c>
      <c r="F88" s="504">
        <f>SUMIFS('PV SUPPLY DATA'!$X:$X,'PV SUPPLY DATA'!$AH:$AH,'CT capacity tracker'!$B88,'PV SUPPLY DATA'!$AG:$AG,$A$51,'PV SUPPLY DATA'!$Y:$Y,'CT capacity tracker'!F$1)+SUMIFS('ESS SUPPLY DATA'!$U:$U,'ESS SUPPLY DATA'!$AF:$AF,'CT capacity tracker'!$B88,'ESS SUPPLY DATA'!$AE:$AE,'CT capacity tracker'!$A$51,'ESS SUPPLY DATA'!$W:$W,'CT capacity tracker'!F$1)</f>
        <v>0</v>
      </c>
      <c r="G88" s="504">
        <f>SUMIFS('PV SUPPLY DATA'!$X:$X,'PV SUPPLY DATA'!$AH:$AH,'CT capacity tracker'!$B88,'PV SUPPLY DATA'!$AG:$AG,$A$51,'PV SUPPLY DATA'!$Y:$Y,'CT capacity tracker'!G$1)+SUMIFS('ESS SUPPLY DATA'!$U:$U,'ESS SUPPLY DATA'!$AF:$AF,'CT capacity tracker'!$B88,'ESS SUPPLY DATA'!$AE:$AE,'CT capacity tracker'!$A$51,'ESS SUPPLY DATA'!$W:$W,'CT capacity tracker'!G$1)</f>
        <v>0</v>
      </c>
      <c r="H88" s="504">
        <f>SUMIFS('PV SUPPLY DATA'!$X:$X,'PV SUPPLY DATA'!$AH:$AH,'CT capacity tracker'!$B88,'PV SUPPLY DATA'!$AG:$AG,$A$51,'PV SUPPLY DATA'!$Y:$Y,'CT capacity tracker'!H$1)+SUMIFS('ESS SUPPLY DATA'!$U:$U,'ESS SUPPLY DATA'!$AF:$AF,'CT capacity tracker'!$B88,'ESS SUPPLY DATA'!$AE:$AE,'CT capacity tracker'!$A$51,'ESS SUPPLY DATA'!$W:$W,'CT capacity tracker'!H$1)</f>
        <v>0</v>
      </c>
      <c r="I88" s="504">
        <f>SUMIFS('PV SUPPLY DATA'!$X:$X,'PV SUPPLY DATA'!$AH:$AH,'CT capacity tracker'!$B88,'PV SUPPLY DATA'!$AG:$AG,$A$51,'PV SUPPLY DATA'!$Y:$Y,'CT capacity tracker'!I$1)+SUMIFS('ESS SUPPLY DATA'!$U:$U,'ESS SUPPLY DATA'!$AF:$AF,'CT capacity tracker'!$B88,'ESS SUPPLY DATA'!$AE:$AE,'CT capacity tracker'!$A$51,'ESS SUPPLY DATA'!$W:$W,'CT capacity tracker'!I$1)</f>
        <v>0</v>
      </c>
      <c r="J88" s="504">
        <f>SUMIFS('PV SUPPLY DATA'!$X:$X,'PV SUPPLY DATA'!$AH:$AH,'CT capacity tracker'!$B88,'PV SUPPLY DATA'!$AG:$AG,$A$51,'PV SUPPLY DATA'!$Y:$Y,'CT capacity tracker'!J$1)+SUMIFS('ESS SUPPLY DATA'!$U:$U,'ESS SUPPLY DATA'!$AF:$AF,'CT capacity tracker'!$B88,'ESS SUPPLY DATA'!$AE:$AE,'CT capacity tracker'!$A$51,'ESS SUPPLY DATA'!$W:$W,'CT capacity tracker'!J$1)</f>
        <v>0</v>
      </c>
      <c r="K88" s="504">
        <f>SUMIFS('PV SUPPLY DATA'!$X:$X,'PV SUPPLY DATA'!$AH:$AH,'CT capacity tracker'!$B88,'PV SUPPLY DATA'!$AG:$AG,$A$51,'PV SUPPLY DATA'!$Y:$Y,'CT capacity tracker'!K$1)+SUMIFS('ESS SUPPLY DATA'!$U:$U,'ESS SUPPLY DATA'!$AF:$AF,'CT capacity tracker'!$B88,'ESS SUPPLY DATA'!$AE:$AE,'CT capacity tracker'!$A$51,'ESS SUPPLY DATA'!$W:$W,'CT capacity tracker'!K$1)</f>
        <v>1</v>
      </c>
      <c r="L88" s="504">
        <f>SUMIFS('PV SUPPLY DATA'!$X:$X,'PV SUPPLY DATA'!$AH:$AH,'CT capacity tracker'!$B88,'PV SUPPLY DATA'!$AG:$AG,$A$51,'PV SUPPLY DATA'!$Y:$Y,'CT capacity tracker'!L$1)+SUMIFS('ESS SUPPLY DATA'!$U:$U,'ESS SUPPLY DATA'!$AF:$AF,'CT capacity tracker'!$B88,'ESS SUPPLY DATA'!$AE:$AE,'CT capacity tracker'!$A$51,'ESS SUPPLY DATA'!$W:$W,'CT capacity tracker'!L$1)</f>
        <v>0</v>
      </c>
      <c r="M88" s="504">
        <f>SUMIFS('PV SUPPLY DATA'!$X:$X,'PV SUPPLY DATA'!$AH:$AH,'CT capacity tracker'!$B88,'PV SUPPLY DATA'!$AG:$AG,$A$51,'PV SUPPLY DATA'!$Y:$Y,'CT capacity tracker'!M$1)+SUMIFS('ESS SUPPLY DATA'!$U:$U,'ESS SUPPLY DATA'!$AF:$AF,'CT capacity tracker'!$B88,'ESS SUPPLY DATA'!$AE:$AE,'CT capacity tracker'!$A$51,'ESS SUPPLY DATA'!$W:$W,'CT capacity tracker'!M$1)</f>
        <v>2</v>
      </c>
      <c r="N88" s="504">
        <f>SUMIFS('PV SUPPLY DATA'!$X:$X,'PV SUPPLY DATA'!$AH:$AH,'CT capacity tracker'!$B88,'PV SUPPLY DATA'!$AG:$AG,$A$51,'PV SUPPLY DATA'!$Y:$Y,'CT capacity tracker'!N$1)+SUMIFS('ESS SUPPLY DATA'!$U:$U,'ESS SUPPLY DATA'!$AF:$AF,'CT capacity tracker'!$B88,'ESS SUPPLY DATA'!$AE:$AE,'CT capacity tracker'!$A$51,'ESS SUPPLY DATA'!$W:$W,'CT capacity tracker'!N$1)</f>
        <v>5</v>
      </c>
      <c r="O88" s="504">
        <f>SUMIFS('PV SUPPLY DATA'!$X:$X,'PV SUPPLY DATA'!$AH:$AH,'CT capacity tracker'!$B88,'PV SUPPLY DATA'!$AG:$AG,$A$51,'PV SUPPLY DATA'!$Y:$Y,'CT capacity tracker'!O$1)+SUMIFS('ESS SUPPLY DATA'!$U:$U,'ESS SUPPLY DATA'!$AF:$AF,'CT capacity tracker'!$B88,'ESS SUPPLY DATA'!$AE:$AE,'CT capacity tracker'!$A$51,'ESS SUPPLY DATA'!$W:$W,'CT capacity tracker'!O$1)</f>
        <v>1</v>
      </c>
      <c r="P88" s="504">
        <f>SUMIFS('PV SUPPLY DATA'!$X:$X,'PV SUPPLY DATA'!$AH:$AH,'CT capacity tracker'!$B88,'PV SUPPLY DATA'!$AG:$AG,$A$51,'PV SUPPLY DATA'!$Y:$Y,'CT capacity tracker'!P$1)+SUMIFS('ESS SUPPLY DATA'!$U:$U,'ESS SUPPLY DATA'!$AF:$AF,'CT capacity tracker'!$B88,'ESS SUPPLY DATA'!$AE:$AE,'CT capacity tracker'!$A$51,'ESS SUPPLY DATA'!$W:$W,'CT capacity tracker'!P$1)</f>
        <v>4</v>
      </c>
      <c r="Q88" s="504">
        <f>SUMIFS('PV SUPPLY DATA'!$X:$X,'PV SUPPLY DATA'!$AH:$AH,'CT capacity tracker'!$B88,'PV SUPPLY DATA'!$AG:$AG,$A$51,'PV SUPPLY DATA'!$Y:$Y,'CT capacity tracker'!Q$1)+SUMIFS('ESS SUPPLY DATA'!$U:$U,'ESS SUPPLY DATA'!$AF:$AF,'CT capacity tracker'!$B88,'ESS SUPPLY DATA'!$AE:$AE,'CT capacity tracker'!$A$51,'ESS SUPPLY DATA'!$W:$W,'CT capacity tracker'!Q$1)</f>
        <v>0</v>
      </c>
      <c r="R88" s="504">
        <f>SUMIFS('PV SUPPLY DATA'!$X:$X,'PV SUPPLY DATA'!$AH:$AH,'CT capacity tracker'!$B88,'PV SUPPLY DATA'!$AG:$AG,$A$51,'PV SUPPLY DATA'!$Y:$Y,'CT capacity tracker'!R$1)+SUMIFS('ESS SUPPLY DATA'!$U:$U,'ESS SUPPLY DATA'!$AF:$AF,'CT capacity tracker'!$B88,'ESS SUPPLY DATA'!$AE:$AE,'CT capacity tracker'!$A$51,'ESS SUPPLY DATA'!$W:$W,'CT capacity tracker'!R$1)</f>
        <v>0</v>
      </c>
      <c r="S88" s="504">
        <f>SUMIFS('PV SUPPLY DATA'!$X:$X,'PV SUPPLY DATA'!$AH:$AH,'CT capacity tracker'!$B88,'PV SUPPLY DATA'!$AG:$AG,$A$51,'PV SUPPLY DATA'!$Y:$Y,'CT capacity tracker'!S$1)+SUMIFS('ESS SUPPLY DATA'!$U:$U,'ESS SUPPLY DATA'!$AF:$AF,'CT capacity tracker'!$B88,'ESS SUPPLY DATA'!$AE:$AE,'CT capacity tracker'!$A$51,'ESS SUPPLY DATA'!$W:$W,'CT capacity tracker'!S$1)</f>
        <v>0</v>
      </c>
      <c r="T88" s="504">
        <f>SUMIFS('PV SUPPLY DATA'!$X:$X,'PV SUPPLY DATA'!$AH:$AH,'CT capacity tracker'!$B88,'PV SUPPLY DATA'!$AG:$AG,$A$51,'PV SUPPLY DATA'!$Y:$Y,'CT capacity tracker'!T$1)+SUMIFS('ESS SUPPLY DATA'!$U:$U,'ESS SUPPLY DATA'!$AF:$AF,'CT capacity tracker'!$B88,'ESS SUPPLY DATA'!$AE:$AE,'CT capacity tracker'!$A$51,'ESS SUPPLY DATA'!$W:$W,'CT capacity tracker'!T$1)</f>
        <v>0</v>
      </c>
      <c r="U88" s="504">
        <f>SUMIFS('PV SUPPLY DATA'!$X:$X,'PV SUPPLY DATA'!$AH:$AH,'CT capacity tracker'!$B88,'PV SUPPLY DATA'!$AG:$AG,$A$51,'PV SUPPLY DATA'!$Y:$Y,'CT capacity tracker'!U$1)+SUMIFS('ESS SUPPLY DATA'!$U:$U,'ESS SUPPLY DATA'!$AF:$AF,'CT capacity tracker'!$B88,'ESS SUPPLY DATA'!$AE:$AE,'CT capacity tracker'!$A$51,'ESS SUPPLY DATA'!$W:$W,'CT capacity tracker'!U$1)</f>
        <v>0</v>
      </c>
      <c r="V88" s="504">
        <f>SUMIFS('PV SUPPLY DATA'!$X:$X,'PV SUPPLY DATA'!$AH:$AH,'CT capacity tracker'!$B88,'PV SUPPLY DATA'!$AG:$AG,$A$51,'PV SUPPLY DATA'!$Y:$Y,'CT capacity tracker'!V$1)+SUMIFS('ESS SUPPLY DATA'!$U:$U,'ESS SUPPLY DATA'!$AF:$AF,'CT capacity tracker'!$B88,'ESS SUPPLY DATA'!$AE:$AE,'CT capacity tracker'!$A$51,'ESS SUPPLY DATA'!$W:$W,'CT capacity tracker'!V$1)</f>
        <v>0</v>
      </c>
      <c r="W88" s="504">
        <f>SUMIFS('PV SUPPLY DATA'!$X:$X,'PV SUPPLY DATA'!$AH:$AH,'CT capacity tracker'!$B88,'PV SUPPLY DATA'!$AG:$AG,$A$51,'PV SUPPLY DATA'!$Y:$Y,'CT capacity tracker'!W$1)+SUMIFS('ESS SUPPLY DATA'!$U:$U,'ESS SUPPLY DATA'!$AF:$AF,'CT capacity tracker'!$B88,'ESS SUPPLY DATA'!$AE:$AE,'CT capacity tracker'!$A$51,'ESS SUPPLY DATA'!$W:$W,'CT capacity tracker'!W$1)</f>
        <v>0</v>
      </c>
      <c r="X88" s="504">
        <f>SUMIFS('PV SUPPLY DATA'!$X:$X,'PV SUPPLY DATA'!$AH:$AH,'CT capacity tracker'!$B88,'PV SUPPLY DATA'!$AG:$AG,$A$51,'PV SUPPLY DATA'!$Y:$Y,'CT capacity tracker'!X$1)+SUMIFS('ESS SUPPLY DATA'!$U:$U,'ESS SUPPLY DATA'!$AF:$AF,'CT capacity tracker'!$B88,'ESS SUPPLY DATA'!$AE:$AE,'CT capacity tracker'!$A$51,'ESS SUPPLY DATA'!$W:$W,'CT capacity tracker'!X$1)</f>
        <v>0</v>
      </c>
      <c r="Y88" s="504">
        <f>SUMIFS('PV SUPPLY DATA'!$X:$X,'PV SUPPLY DATA'!$AH:$AH,'CT capacity tracker'!$B88,'PV SUPPLY DATA'!$AG:$AG,$A$51,'PV SUPPLY DATA'!$Y:$Y,'CT capacity tracker'!Y$1)+SUMIFS('ESS SUPPLY DATA'!$U:$U,'ESS SUPPLY DATA'!$AF:$AF,'CT capacity tracker'!$B88,'ESS SUPPLY DATA'!$AE:$AE,'CT capacity tracker'!$A$51,'ESS SUPPLY DATA'!$W:$W,'CT capacity tracker'!Y$1)</f>
        <v>0</v>
      </c>
      <c r="Z88" s="504">
        <f>SUMIFS('PV SUPPLY DATA'!$X:$X,'PV SUPPLY DATA'!$AH:$AH,'CT capacity tracker'!$B88,'PV SUPPLY DATA'!$AG:$AG,$A$51,'PV SUPPLY DATA'!$Y:$Y,'CT capacity tracker'!Z$1)+SUMIFS('ESS SUPPLY DATA'!$U:$U,'ESS SUPPLY DATA'!$AF:$AF,'CT capacity tracker'!$B88,'ESS SUPPLY DATA'!$AE:$AE,'CT capacity tracker'!$A$51,'ESS SUPPLY DATA'!$W:$W,'CT capacity tracker'!Z$1)</f>
        <v>0</v>
      </c>
      <c r="AA88" s="504">
        <f>SUMIFS('PV SUPPLY DATA'!$X:$X,'PV SUPPLY DATA'!$AH:$AH,'CT capacity tracker'!$B88,'PV SUPPLY DATA'!$AG:$AG,$A$51,'PV SUPPLY DATA'!$Y:$Y,'CT capacity tracker'!AA$1)+SUMIFS('ESS SUPPLY DATA'!$U:$U,'ESS SUPPLY DATA'!$AF:$AF,'CT capacity tracker'!$B88,'ESS SUPPLY DATA'!$AE:$AE,'CT capacity tracker'!$A$51,'ESS SUPPLY DATA'!$W:$W,'CT capacity tracker'!AA$1)</f>
        <v>0</v>
      </c>
      <c r="AB88" s="504">
        <f>SUMIFS('PV SUPPLY DATA'!$X:$X,'PV SUPPLY DATA'!$AH:$AH,'CT capacity tracker'!$B88,'PV SUPPLY DATA'!$AG:$AG,$A$51,'PV SUPPLY DATA'!$Y:$Y,'CT capacity tracker'!AB$1)+SUMIFS('ESS SUPPLY DATA'!$U:$U,'ESS SUPPLY DATA'!$AF:$AF,'CT capacity tracker'!$B88,'ESS SUPPLY DATA'!$AE:$AE,'CT capacity tracker'!$A$51,'ESS SUPPLY DATA'!$W:$W,'CT capacity tracker'!AB$1)</f>
        <v>0</v>
      </c>
      <c r="AC88" s="504">
        <f>SUMIFS('PV SUPPLY DATA'!$X:$X,'PV SUPPLY DATA'!$AH:$AH,'CT capacity tracker'!$B88,'PV SUPPLY DATA'!$AG:$AG,$A$51,'PV SUPPLY DATA'!$Y:$Y,'CT capacity tracker'!AC$1)+SUMIFS('ESS SUPPLY DATA'!$U:$U,'ESS SUPPLY DATA'!$AF:$AF,'CT capacity tracker'!$B88,'ESS SUPPLY DATA'!$AE:$AE,'CT capacity tracker'!$A$51,'ESS SUPPLY DATA'!$W:$W,'CT capacity tracker'!AC$1)</f>
        <v>0</v>
      </c>
      <c r="AD88" s="504">
        <f>SUMIFS('PV SUPPLY DATA'!$X:$X,'PV SUPPLY DATA'!$AH:$AH,'CT capacity tracker'!$B88,'PV SUPPLY DATA'!$AG:$AG,$A$51,'PV SUPPLY DATA'!$Y:$Y,'CT capacity tracker'!AD$1)+SUMIFS('ESS SUPPLY DATA'!$U:$U,'ESS SUPPLY DATA'!$AF:$AF,'CT capacity tracker'!$B88,'ESS SUPPLY DATA'!$AE:$AE,'CT capacity tracker'!$A$51,'ESS SUPPLY DATA'!$W:$W,'CT capacity tracker'!AD$1)</f>
        <v>0</v>
      </c>
      <c r="AE88" s="504">
        <f>SUMIFS('PV SUPPLY DATA'!$X:$X,'PV SUPPLY DATA'!$AH:$AH,'CT capacity tracker'!$B88,'PV SUPPLY DATA'!$AG:$AG,$A$51,'PV SUPPLY DATA'!$Y:$Y,'CT capacity tracker'!AE$1)+SUMIFS('ESS SUPPLY DATA'!$U:$U,'ESS SUPPLY DATA'!$AF:$AF,'CT capacity tracker'!$B88,'ESS SUPPLY DATA'!$AE:$AE,'CT capacity tracker'!$A$51,'ESS SUPPLY DATA'!$W:$W,'CT capacity tracker'!AE$1)</f>
        <v>0</v>
      </c>
      <c r="AF88" s="504">
        <f>SUMIFS('PV SUPPLY DATA'!$X:$X,'PV SUPPLY DATA'!$AH:$AH,'CT capacity tracker'!$B88,'PV SUPPLY DATA'!$AG:$AG,$A$51,'PV SUPPLY DATA'!$Y:$Y,'CT capacity tracker'!AF$1)+SUMIFS('ESS SUPPLY DATA'!$U:$U,'ESS SUPPLY DATA'!$AF:$AF,'CT capacity tracker'!$B88,'ESS SUPPLY DATA'!$AE:$AE,'CT capacity tracker'!$A$51,'ESS SUPPLY DATA'!$W:$W,'CT capacity tracker'!AF$1)</f>
        <v>0</v>
      </c>
      <c r="AG88" s="504">
        <f>SUMIFS('PV SUPPLY DATA'!$X:$X,'PV SUPPLY DATA'!$AH:$AH,'CT capacity tracker'!$B88,'PV SUPPLY DATA'!$AG:$AG,$A$51,'PV SUPPLY DATA'!$Y:$Y,'CT capacity tracker'!AG$1)+SUMIFS('ESS SUPPLY DATA'!$U:$U,'ESS SUPPLY DATA'!$AF:$AF,'CT capacity tracker'!$B88,'ESS SUPPLY DATA'!$AE:$AE,'CT capacity tracker'!$A$51,'ESS SUPPLY DATA'!$W:$W,'CT capacity tracker'!AG$1)</f>
        <v>0</v>
      </c>
      <c r="AH88" s="504">
        <f>SUMIFS('PV SUPPLY DATA'!$X:$X,'PV SUPPLY DATA'!$AH:$AH,'CT capacity tracker'!$B88,'PV SUPPLY DATA'!$AG:$AG,$A$51,'PV SUPPLY DATA'!$Y:$Y,'CT capacity tracker'!AH$1)+SUMIFS('ESS SUPPLY DATA'!$U:$U,'ESS SUPPLY DATA'!$AF:$AF,'CT capacity tracker'!$B88,'ESS SUPPLY DATA'!$AE:$AE,'CT capacity tracker'!$A$51,'ESS SUPPLY DATA'!$W:$W,'CT capacity tracker'!AH$1)</f>
        <v>0</v>
      </c>
      <c r="AI88" s="504">
        <f>SUMIFS('PV SUPPLY DATA'!$X:$X,'PV SUPPLY DATA'!$AH:$AH,'CT capacity tracker'!$B88,'PV SUPPLY DATA'!$AG:$AG,$A$51,'PV SUPPLY DATA'!$Y:$Y,'CT capacity tracker'!AI$1)+SUMIFS('ESS SUPPLY DATA'!$U:$U,'ESS SUPPLY DATA'!$AF:$AF,'CT capacity tracker'!$B88,'ESS SUPPLY DATA'!$AE:$AE,'CT capacity tracker'!$A$51,'ESS SUPPLY DATA'!$W:$W,'CT capacity tracker'!AI$1)</f>
        <v>0</v>
      </c>
      <c r="AJ88" s="504">
        <f>SUMIFS('PV SUPPLY DATA'!$X:$X,'PV SUPPLY DATA'!$AH:$AH,'CT capacity tracker'!$B88,'PV SUPPLY DATA'!$AG:$AG,$A$51,'PV SUPPLY DATA'!$Y:$Y,'CT capacity tracker'!AJ$1)+SUMIFS('ESS SUPPLY DATA'!$U:$U,'ESS SUPPLY DATA'!$AF:$AF,'CT capacity tracker'!$B88,'ESS SUPPLY DATA'!$AE:$AE,'CT capacity tracker'!$A$51,'ESS SUPPLY DATA'!$W:$W,'CT capacity tracker'!AJ$1)</f>
        <v>0</v>
      </c>
      <c r="AK88" s="505" t="s">
        <v>197</v>
      </c>
      <c r="AL88" s="505" t="s">
        <v>197</v>
      </c>
      <c r="AM88" s="696">
        <f>SUM(E88:X88)</f>
        <v>13</v>
      </c>
      <c r="AN88" s="503" t="s">
        <v>197</v>
      </c>
      <c r="AO88" s="506"/>
      <c r="AP88" s="506">
        <f t="shared" si="58"/>
        <v>0</v>
      </c>
      <c r="AQ88" s="506"/>
      <c r="AR88" s="506"/>
      <c r="AS88" s="506"/>
      <c r="AT88" s="506"/>
    </row>
    <row r="89" spans="1:46" ht="13">
      <c r="A89" s="1517"/>
      <c r="B89" s="1517"/>
      <c r="C89" s="509" t="s">
        <v>4401</v>
      </c>
      <c r="D89" s="509"/>
      <c r="E89" s="510"/>
      <c r="F89" s="510"/>
      <c r="G89" s="510"/>
      <c r="H89" s="510"/>
      <c r="I89" s="510"/>
      <c r="J89" s="510"/>
      <c r="K89" s="510">
        <v>1</v>
      </c>
      <c r="L89" s="510">
        <v>1</v>
      </c>
      <c r="M89" s="510">
        <v>1</v>
      </c>
      <c r="N89" s="510">
        <v>0</v>
      </c>
      <c r="O89" s="510">
        <v>4</v>
      </c>
      <c r="P89" s="510">
        <v>4</v>
      </c>
      <c r="Q89" s="510">
        <v>1</v>
      </c>
      <c r="R89" s="510">
        <v>0</v>
      </c>
      <c r="S89" s="510">
        <v>1</v>
      </c>
      <c r="T89" s="510">
        <v>0</v>
      </c>
      <c r="U89" s="510">
        <v>0</v>
      </c>
      <c r="V89" s="510">
        <v>0</v>
      </c>
      <c r="W89" s="510"/>
      <c r="X89" s="510"/>
      <c r="Y89" s="510"/>
      <c r="Z89" s="510"/>
      <c r="AA89" s="510"/>
      <c r="AB89" s="510">
        <v>0</v>
      </c>
      <c r="AC89" s="510">
        <v>0</v>
      </c>
      <c r="AD89" s="510">
        <v>0</v>
      </c>
      <c r="AE89" s="510">
        <v>0</v>
      </c>
      <c r="AF89" s="510">
        <v>0</v>
      </c>
      <c r="AG89" s="510">
        <v>0</v>
      </c>
      <c r="AH89" s="510">
        <v>0</v>
      </c>
      <c r="AI89" s="510">
        <v>0</v>
      </c>
      <c r="AJ89" s="510">
        <v>0</v>
      </c>
      <c r="AK89" s="505" t="s">
        <v>197</v>
      </c>
      <c r="AL89" s="505" t="s">
        <v>197</v>
      </c>
      <c r="AM89" s="696"/>
      <c r="AN89" s="503" t="s">
        <v>197</v>
      </c>
      <c r="AO89" s="506"/>
      <c r="AP89" s="506">
        <f t="shared" si="58"/>
        <v>0</v>
      </c>
      <c r="AQ89" s="506"/>
      <c r="AR89" s="506"/>
      <c r="AS89" s="506"/>
      <c r="AT89" s="506"/>
    </row>
    <row r="90" spans="1:46" ht="13">
      <c r="A90" s="1517"/>
      <c r="B90" s="1517"/>
      <c r="C90" s="520" t="s">
        <v>4402</v>
      </c>
      <c r="D90" s="522"/>
      <c r="E90" s="522">
        <f>E89-E88</f>
        <v>0</v>
      </c>
      <c r="F90" s="522">
        <f t="shared" ref="F90:X90" si="65">F89-F88</f>
        <v>0</v>
      </c>
      <c r="G90" s="522">
        <f t="shared" si="65"/>
        <v>0</v>
      </c>
      <c r="H90" s="522">
        <f t="shared" si="65"/>
        <v>0</v>
      </c>
      <c r="I90" s="522">
        <f t="shared" si="65"/>
        <v>0</v>
      </c>
      <c r="J90" s="522">
        <f t="shared" si="65"/>
        <v>0</v>
      </c>
      <c r="K90" s="522">
        <f t="shared" si="65"/>
        <v>0</v>
      </c>
      <c r="L90" s="522">
        <f t="shared" si="65"/>
        <v>1</v>
      </c>
      <c r="M90" s="522">
        <f t="shared" si="65"/>
        <v>-1</v>
      </c>
      <c r="N90" s="522">
        <f t="shared" si="65"/>
        <v>-5</v>
      </c>
      <c r="O90" s="522">
        <f t="shared" si="65"/>
        <v>3</v>
      </c>
      <c r="P90" s="522">
        <f t="shared" si="65"/>
        <v>0</v>
      </c>
      <c r="Q90" s="522">
        <f t="shared" si="65"/>
        <v>1</v>
      </c>
      <c r="R90" s="522">
        <f t="shared" si="65"/>
        <v>0</v>
      </c>
      <c r="S90" s="522">
        <f t="shared" si="65"/>
        <v>1</v>
      </c>
      <c r="T90" s="522">
        <f t="shared" si="65"/>
        <v>0</v>
      </c>
      <c r="U90" s="522">
        <f t="shared" si="65"/>
        <v>0</v>
      </c>
      <c r="V90" s="522">
        <f t="shared" si="65"/>
        <v>0</v>
      </c>
      <c r="W90" s="522">
        <f t="shared" si="65"/>
        <v>0</v>
      </c>
      <c r="X90" s="522">
        <f t="shared" si="65"/>
        <v>0</v>
      </c>
      <c r="Y90" s="522">
        <f t="shared" ref="Y90:AJ90" si="66">Y89-Y88</f>
        <v>0</v>
      </c>
      <c r="Z90" s="522">
        <f t="shared" si="66"/>
        <v>0</v>
      </c>
      <c r="AA90" s="522">
        <f t="shared" si="66"/>
        <v>0</v>
      </c>
      <c r="AB90" s="522">
        <f t="shared" si="66"/>
        <v>0</v>
      </c>
      <c r="AC90" s="522">
        <f t="shared" si="66"/>
        <v>0</v>
      </c>
      <c r="AD90" s="522">
        <f t="shared" si="66"/>
        <v>0</v>
      </c>
      <c r="AE90" s="522">
        <f t="shared" si="66"/>
        <v>0</v>
      </c>
      <c r="AF90" s="522">
        <f t="shared" si="66"/>
        <v>0</v>
      </c>
      <c r="AG90" s="522">
        <f t="shared" si="66"/>
        <v>0</v>
      </c>
      <c r="AH90" s="522">
        <f t="shared" si="66"/>
        <v>0</v>
      </c>
      <c r="AI90" s="522">
        <f t="shared" si="66"/>
        <v>0</v>
      </c>
      <c r="AJ90" s="522">
        <f t="shared" si="66"/>
        <v>0</v>
      </c>
      <c r="AK90" s="511">
        <f>SUMIF($E90:$X90,"&gt;0")</f>
        <v>6</v>
      </c>
      <c r="AL90" s="511">
        <f>SUMIF($E90:$X90,"&lt;0")</f>
        <v>-6</v>
      </c>
      <c r="AM90" s="696"/>
      <c r="AN90" s="503" t="s">
        <v>197</v>
      </c>
      <c r="AO90" s="506"/>
      <c r="AP90" s="506">
        <f t="shared" si="58"/>
        <v>0</v>
      </c>
      <c r="AQ90" s="506"/>
      <c r="AR90" s="506"/>
      <c r="AS90" s="506"/>
      <c r="AT90" s="506"/>
    </row>
    <row r="91" spans="1:46" ht="13">
      <c r="A91" s="1518"/>
      <c r="B91" s="1518"/>
      <c r="C91" s="503" t="s">
        <v>4403</v>
      </c>
      <c r="D91" s="522"/>
      <c r="E91" s="504">
        <f>SUMIFS('PV SUPPLY DATA'!$X:$X,'PV SUPPLY DATA'!$AH:$AH,'CT capacity tracker'!$B88,'PV SUPPLY DATA'!$AG:$AG,'CT capacity tracker'!$A$51,'PV SUPPLY DATA'!$Y:$Y,E$1,'PV SUPPLY DATA'!$AQ:$AQ,"cosco")+SUMIFS('PV SUPPLY DATA'!$X:$X,'PV SUPPLY DATA'!$AH:$AH,'CT capacity tracker'!$B88,'PV SUPPLY DATA'!$AG:$AG,'CT capacity tracker'!$A$51,'PV SUPPLY DATA'!$Y:$Y,E$1,'PV SUPPLY DATA'!$AQ:$AQ,"other")+SUMIFS('ESS SUPPLY DATA'!$U:$U,'ESS SUPPLY DATA'!$AF:$AF,'CT capacity tracker'!$B88,'ESS SUPPLY DATA'!$AE:$AE,'CT capacity tracker'!$A$51,'ESS SUPPLY DATA'!$W:$W,'CT capacity tracker'!E$1,'ESS SUPPLY DATA'!$AO:$AO,"cosco")+SUMIFS('ESS SUPPLY DATA'!$U:$U,'ESS SUPPLY DATA'!$AF:$AF,'CT capacity tracker'!$B88,'ESS SUPPLY DATA'!$AE:$AE,'CT capacity tracker'!$A$51,'ESS SUPPLY DATA'!$W:$W,'CT capacity tracker'!E$1,'ESS SUPPLY DATA'!$AO:$AO,"other")</f>
        <v>0</v>
      </c>
      <c r="F91" s="504">
        <f>SUMIFS('PV SUPPLY DATA'!$X:$X,'PV SUPPLY DATA'!$AH:$AH,'CT capacity tracker'!$B88,'PV SUPPLY DATA'!$AG:$AG,'CT capacity tracker'!$A$51,'PV SUPPLY DATA'!$Y:$Y,F$1,'PV SUPPLY DATA'!$AQ:$AQ,"cosco")+SUMIFS('PV SUPPLY DATA'!$X:$X,'PV SUPPLY DATA'!$AH:$AH,'CT capacity tracker'!$B88,'PV SUPPLY DATA'!$AG:$AG,'CT capacity tracker'!$A$51,'PV SUPPLY DATA'!$Y:$Y,F$1,'PV SUPPLY DATA'!$AQ:$AQ,"other")+SUMIFS('ESS SUPPLY DATA'!$U:$U,'ESS SUPPLY DATA'!$AF:$AF,'CT capacity tracker'!$B88,'ESS SUPPLY DATA'!$AE:$AE,'CT capacity tracker'!$A$51,'ESS SUPPLY DATA'!$W:$W,'CT capacity tracker'!F$1,'ESS SUPPLY DATA'!$AO:$AO,"cosco")+SUMIFS('ESS SUPPLY DATA'!$U:$U,'ESS SUPPLY DATA'!$AF:$AF,'CT capacity tracker'!$B88,'ESS SUPPLY DATA'!$AE:$AE,'CT capacity tracker'!$A$51,'ESS SUPPLY DATA'!$W:$W,'CT capacity tracker'!F$1,'ESS SUPPLY DATA'!$AO:$AO,"other")</f>
        <v>0</v>
      </c>
      <c r="G91" s="504">
        <f>SUMIFS('PV SUPPLY DATA'!$X:$X,'PV SUPPLY DATA'!$AH:$AH,'CT capacity tracker'!$B88,'PV SUPPLY DATA'!$AG:$AG,'CT capacity tracker'!$A$51,'PV SUPPLY DATA'!$Y:$Y,G$1,'PV SUPPLY DATA'!$AQ:$AQ,"cosco")+SUMIFS('PV SUPPLY DATA'!$X:$X,'PV SUPPLY DATA'!$AH:$AH,'CT capacity tracker'!$B88,'PV SUPPLY DATA'!$AG:$AG,'CT capacity tracker'!$A$51,'PV SUPPLY DATA'!$Y:$Y,G$1,'PV SUPPLY DATA'!$AQ:$AQ,"other")+SUMIFS('ESS SUPPLY DATA'!$U:$U,'ESS SUPPLY DATA'!$AF:$AF,'CT capacity tracker'!$B88,'ESS SUPPLY DATA'!$AE:$AE,'CT capacity tracker'!$A$51,'ESS SUPPLY DATA'!$W:$W,'CT capacity tracker'!G$1,'ESS SUPPLY DATA'!$AO:$AO,"cosco")+SUMIFS('ESS SUPPLY DATA'!$U:$U,'ESS SUPPLY DATA'!$AF:$AF,'CT capacity tracker'!$B88,'ESS SUPPLY DATA'!$AE:$AE,'CT capacity tracker'!$A$51,'ESS SUPPLY DATA'!$W:$W,'CT capacity tracker'!G$1,'ESS SUPPLY DATA'!$AO:$AO,"other")</f>
        <v>0</v>
      </c>
      <c r="H91" s="504">
        <f>SUMIFS('PV SUPPLY DATA'!$X:$X,'PV SUPPLY DATA'!$AH:$AH,'CT capacity tracker'!$B88,'PV SUPPLY DATA'!$AG:$AG,'CT capacity tracker'!$A$51,'PV SUPPLY DATA'!$Y:$Y,H$1,'PV SUPPLY DATA'!$AQ:$AQ,"cosco")+SUMIFS('PV SUPPLY DATA'!$X:$X,'PV SUPPLY DATA'!$AH:$AH,'CT capacity tracker'!$B88,'PV SUPPLY DATA'!$AG:$AG,'CT capacity tracker'!$A$51,'PV SUPPLY DATA'!$Y:$Y,H$1,'PV SUPPLY DATA'!$AQ:$AQ,"other")+SUMIFS('ESS SUPPLY DATA'!$U:$U,'ESS SUPPLY DATA'!$AF:$AF,'CT capacity tracker'!$B88,'ESS SUPPLY DATA'!$AE:$AE,'CT capacity tracker'!$A$51,'ESS SUPPLY DATA'!$W:$W,'CT capacity tracker'!H$1,'ESS SUPPLY DATA'!$AO:$AO,"cosco")+SUMIFS('ESS SUPPLY DATA'!$U:$U,'ESS SUPPLY DATA'!$AF:$AF,'CT capacity tracker'!$B88,'ESS SUPPLY DATA'!$AE:$AE,'CT capacity tracker'!$A$51,'ESS SUPPLY DATA'!$W:$W,'CT capacity tracker'!H$1,'ESS SUPPLY DATA'!$AO:$AO,"other")</f>
        <v>0</v>
      </c>
      <c r="I91" s="504">
        <f>SUMIFS('PV SUPPLY DATA'!$X:$X,'PV SUPPLY DATA'!$AH:$AH,'CT capacity tracker'!$B88,'PV SUPPLY DATA'!$AG:$AG,'CT capacity tracker'!$A$51,'PV SUPPLY DATA'!$Y:$Y,I$1,'PV SUPPLY DATA'!$AQ:$AQ,"cosco")+SUMIFS('PV SUPPLY DATA'!$X:$X,'PV SUPPLY DATA'!$AH:$AH,'CT capacity tracker'!$B88,'PV SUPPLY DATA'!$AG:$AG,'CT capacity tracker'!$A$51,'PV SUPPLY DATA'!$Y:$Y,I$1,'PV SUPPLY DATA'!$AQ:$AQ,"other")+SUMIFS('ESS SUPPLY DATA'!$U:$U,'ESS SUPPLY DATA'!$AF:$AF,'CT capacity tracker'!$B88,'ESS SUPPLY DATA'!$AE:$AE,'CT capacity tracker'!$A$51,'ESS SUPPLY DATA'!$W:$W,'CT capacity tracker'!I$1,'ESS SUPPLY DATA'!$AO:$AO,"cosco")+SUMIFS('ESS SUPPLY DATA'!$U:$U,'ESS SUPPLY DATA'!$AF:$AF,'CT capacity tracker'!$B88,'ESS SUPPLY DATA'!$AE:$AE,'CT capacity tracker'!$A$51,'ESS SUPPLY DATA'!$W:$W,'CT capacity tracker'!I$1,'ESS SUPPLY DATA'!$AO:$AO,"other")</f>
        <v>0</v>
      </c>
      <c r="J91" s="504">
        <f>SUMIFS('PV SUPPLY DATA'!$X:$X,'PV SUPPLY DATA'!$AH:$AH,'CT capacity tracker'!$B88,'PV SUPPLY DATA'!$AG:$AG,'CT capacity tracker'!$A$51,'PV SUPPLY DATA'!$Y:$Y,J$1,'PV SUPPLY DATA'!$AQ:$AQ,"cosco")+SUMIFS('PV SUPPLY DATA'!$X:$X,'PV SUPPLY DATA'!$AH:$AH,'CT capacity tracker'!$B88,'PV SUPPLY DATA'!$AG:$AG,'CT capacity tracker'!$A$51,'PV SUPPLY DATA'!$Y:$Y,J$1,'PV SUPPLY DATA'!$AQ:$AQ,"other")+SUMIFS('ESS SUPPLY DATA'!$U:$U,'ESS SUPPLY DATA'!$AF:$AF,'CT capacity tracker'!$B88,'ESS SUPPLY DATA'!$AE:$AE,'CT capacity tracker'!$A$51,'ESS SUPPLY DATA'!$W:$W,'CT capacity tracker'!J$1,'ESS SUPPLY DATA'!$AO:$AO,"cosco")+SUMIFS('ESS SUPPLY DATA'!$U:$U,'ESS SUPPLY DATA'!$AF:$AF,'CT capacity tracker'!$B88,'ESS SUPPLY DATA'!$AE:$AE,'CT capacity tracker'!$A$51,'ESS SUPPLY DATA'!$W:$W,'CT capacity tracker'!J$1,'ESS SUPPLY DATA'!$AO:$AO,"other")</f>
        <v>0</v>
      </c>
      <c r="K91" s="504">
        <f>SUMIFS('PV SUPPLY DATA'!$X:$X,'PV SUPPLY DATA'!$AH:$AH,'CT capacity tracker'!$B88,'PV SUPPLY DATA'!$AG:$AG,'CT capacity tracker'!$A$51,'PV SUPPLY DATA'!$Y:$Y,K$1,'PV SUPPLY DATA'!$AQ:$AQ,"cosco")+SUMIFS('PV SUPPLY DATA'!$X:$X,'PV SUPPLY DATA'!$AH:$AH,'CT capacity tracker'!$B88,'PV SUPPLY DATA'!$AG:$AG,'CT capacity tracker'!$A$51,'PV SUPPLY DATA'!$Y:$Y,K$1,'PV SUPPLY DATA'!$AQ:$AQ,"other")+SUMIFS('ESS SUPPLY DATA'!$U:$U,'ESS SUPPLY DATA'!$AF:$AF,'CT capacity tracker'!$B88,'ESS SUPPLY DATA'!$AE:$AE,'CT capacity tracker'!$A$51,'ESS SUPPLY DATA'!$W:$W,'CT capacity tracker'!K$1,'ESS SUPPLY DATA'!$AO:$AO,"cosco")+SUMIFS('ESS SUPPLY DATA'!$U:$U,'ESS SUPPLY DATA'!$AF:$AF,'CT capacity tracker'!$B88,'ESS SUPPLY DATA'!$AE:$AE,'CT capacity tracker'!$A$51,'ESS SUPPLY DATA'!$W:$W,'CT capacity tracker'!K$1,'ESS SUPPLY DATA'!$AO:$AO,"other")</f>
        <v>1</v>
      </c>
      <c r="L91" s="504">
        <f>SUMIFS('PV SUPPLY DATA'!$X:$X,'PV SUPPLY DATA'!$AH:$AH,'CT capacity tracker'!$B88,'PV SUPPLY DATA'!$AG:$AG,'CT capacity tracker'!$A$51,'PV SUPPLY DATA'!$Y:$Y,L$1,'PV SUPPLY DATA'!$AQ:$AQ,"cosco")+SUMIFS('PV SUPPLY DATA'!$X:$X,'PV SUPPLY DATA'!$AH:$AH,'CT capacity tracker'!$B88,'PV SUPPLY DATA'!$AG:$AG,'CT capacity tracker'!$A$51,'PV SUPPLY DATA'!$Y:$Y,L$1,'PV SUPPLY DATA'!$AQ:$AQ,"other")+SUMIFS('ESS SUPPLY DATA'!$U:$U,'ESS SUPPLY DATA'!$AF:$AF,'CT capacity tracker'!$B88,'ESS SUPPLY DATA'!$AE:$AE,'CT capacity tracker'!$A$51,'ESS SUPPLY DATA'!$W:$W,'CT capacity tracker'!L$1,'ESS SUPPLY DATA'!$AO:$AO,"cosco")+SUMIFS('ESS SUPPLY DATA'!$U:$U,'ESS SUPPLY DATA'!$AF:$AF,'CT capacity tracker'!$B88,'ESS SUPPLY DATA'!$AE:$AE,'CT capacity tracker'!$A$51,'ESS SUPPLY DATA'!$W:$W,'CT capacity tracker'!L$1,'ESS SUPPLY DATA'!$AO:$AO,"other")</f>
        <v>0</v>
      </c>
      <c r="M91" s="504">
        <f>SUMIFS('PV SUPPLY DATA'!$X:$X,'PV SUPPLY DATA'!$AH:$AH,'CT capacity tracker'!$B88,'PV SUPPLY DATA'!$AG:$AG,'CT capacity tracker'!$A$51,'PV SUPPLY DATA'!$Y:$Y,M$1,'PV SUPPLY DATA'!$AQ:$AQ,"cosco")+SUMIFS('PV SUPPLY DATA'!$X:$X,'PV SUPPLY DATA'!$AH:$AH,'CT capacity tracker'!$B88,'PV SUPPLY DATA'!$AG:$AG,'CT capacity tracker'!$A$51,'PV SUPPLY DATA'!$Y:$Y,M$1,'PV SUPPLY DATA'!$AQ:$AQ,"other")+SUMIFS('ESS SUPPLY DATA'!$U:$U,'ESS SUPPLY DATA'!$AF:$AF,'CT capacity tracker'!$B88,'ESS SUPPLY DATA'!$AE:$AE,'CT capacity tracker'!$A$51,'ESS SUPPLY DATA'!$W:$W,'CT capacity tracker'!M$1,'ESS SUPPLY DATA'!$AO:$AO,"cosco")+SUMIFS('ESS SUPPLY DATA'!$U:$U,'ESS SUPPLY DATA'!$AF:$AF,'CT capacity tracker'!$B88,'ESS SUPPLY DATA'!$AE:$AE,'CT capacity tracker'!$A$51,'ESS SUPPLY DATA'!$W:$W,'CT capacity tracker'!M$1,'ESS SUPPLY DATA'!$AO:$AO,"other")</f>
        <v>2</v>
      </c>
      <c r="N91" s="504">
        <f>SUMIFS('PV SUPPLY DATA'!$X:$X,'PV SUPPLY DATA'!$AH:$AH,'CT capacity tracker'!$B88,'PV SUPPLY DATA'!$AG:$AG,'CT capacity tracker'!$A$51,'PV SUPPLY DATA'!$Y:$Y,N$1,'PV SUPPLY DATA'!$AQ:$AQ,"cosco")+SUMIFS('PV SUPPLY DATA'!$X:$X,'PV SUPPLY DATA'!$AH:$AH,'CT capacity tracker'!$B88,'PV SUPPLY DATA'!$AG:$AG,'CT capacity tracker'!$A$51,'PV SUPPLY DATA'!$Y:$Y,N$1,'PV SUPPLY DATA'!$AQ:$AQ,"other")+SUMIFS('ESS SUPPLY DATA'!$U:$U,'ESS SUPPLY DATA'!$AF:$AF,'CT capacity tracker'!$B88,'ESS SUPPLY DATA'!$AE:$AE,'CT capacity tracker'!$A$51,'ESS SUPPLY DATA'!$W:$W,'CT capacity tracker'!N$1,'ESS SUPPLY DATA'!$AO:$AO,"cosco")+SUMIFS('ESS SUPPLY DATA'!$U:$U,'ESS SUPPLY DATA'!$AF:$AF,'CT capacity tracker'!$B88,'ESS SUPPLY DATA'!$AE:$AE,'CT capacity tracker'!$A$51,'ESS SUPPLY DATA'!$W:$W,'CT capacity tracker'!N$1,'ESS SUPPLY DATA'!$AO:$AO,"other")</f>
        <v>5</v>
      </c>
      <c r="O91" s="504">
        <f>SUMIFS('PV SUPPLY DATA'!$X:$X,'PV SUPPLY DATA'!$AH:$AH,'CT capacity tracker'!$B88,'PV SUPPLY DATA'!$AG:$AG,'CT capacity tracker'!$A$51,'PV SUPPLY DATA'!$Y:$Y,O$1,'PV SUPPLY DATA'!$AQ:$AQ,"cosco")+SUMIFS('PV SUPPLY DATA'!$X:$X,'PV SUPPLY DATA'!$AH:$AH,'CT capacity tracker'!$B88,'PV SUPPLY DATA'!$AG:$AG,'CT capacity tracker'!$A$51,'PV SUPPLY DATA'!$Y:$Y,O$1,'PV SUPPLY DATA'!$AQ:$AQ,"other")+SUMIFS('ESS SUPPLY DATA'!$U:$U,'ESS SUPPLY DATA'!$AF:$AF,'CT capacity tracker'!$B88,'ESS SUPPLY DATA'!$AE:$AE,'CT capacity tracker'!$A$51,'ESS SUPPLY DATA'!$W:$W,'CT capacity tracker'!O$1,'ESS SUPPLY DATA'!$AO:$AO,"cosco")+SUMIFS('ESS SUPPLY DATA'!$U:$U,'ESS SUPPLY DATA'!$AF:$AF,'CT capacity tracker'!$B88,'ESS SUPPLY DATA'!$AE:$AE,'CT capacity tracker'!$A$51,'ESS SUPPLY DATA'!$W:$W,'CT capacity tracker'!O$1,'ESS SUPPLY DATA'!$AO:$AO,"other")</f>
        <v>1</v>
      </c>
      <c r="P91" s="504">
        <f>SUMIFS('PV SUPPLY DATA'!$X:$X,'PV SUPPLY DATA'!$AH:$AH,'CT capacity tracker'!$B88,'PV SUPPLY DATA'!$AG:$AG,'CT capacity tracker'!$A$51,'PV SUPPLY DATA'!$Y:$Y,P$1,'PV SUPPLY DATA'!$AQ:$AQ,"cosco")+SUMIFS('PV SUPPLY DATA'!$X:$X,'PV SUPPLY DATA'!$AH:$AH,'CT capacity tracker'!$B88,'PV SUPPLY DATA'!$AG:$AG,'CT capacity tracker'!$A$51,'PV SUPPLY DATA'!$Y:$Y,P$1,'PV SUPPLY DATA'!$AQ:$AQ,"other")+SUMIFS('ESS SUPPLY DATA'!$U:$U,'ESS SUPPLY DATA'!$AF:$AF,'CT capacity tracker'!$B88,'ESS SUPPLY DATA'!$AE:$AE,'CT capacity tracker'!$A$51,'ESS SUPPLY DATA'!$W:$W,'CT capacity tracker'!P$1,'ESS SUPPLY DATA'!$AO:$AO,"cosco")+SUMIFS('ESS SUPPLY DATA'!$U:$U,'ESS SUPPLY DATA'!$AF:$AF,'CT capacity tracker'!$B88,'ESS SUPPLY DATA'!$AE:$AE,'CT capacity tracker'!$A$51,'ESS SUPPLY DATA'!$W:$W,'CT capacity tracker'!P$1,'ESS SUPPLY DATA'!$AO:$AO,"other")</f>
        <v>4</v>
      </c>
      <c r="Q91" s="504">
        <f>SUMIFS('PV SUPPLY DATA'!$X:$X,'PV SUPPLY DATA'!$AH:$AH,'CT capacity tracker'!$B88,'PV SUPPLY DATA'!$AG:$AG,'CT capacity tracker'!$A$51,'PV SUPPLY DATA'!$Y:$Y,Q$1,'PV SUPPLY DATA'!$AQ:$AQ,"cosco")+SUMIFS('PV SUPPLY DATA'!$X:$X,'PV SUPPLY DATA'!$AH:$AH,'CT capacity tracker'!$B88,'PV SUPPLY DATA'!$AG:$AG,'CT capacity tracker'!$A$51,'PV SUPPLY DATA'!$Y:$Y,Q$1,'PV SUPPLY DATA'!$AQ:$AQ,"other")+SUMIFS('ESS SUPPLY DATA'!$U:$U,'ESS SUPPLY DATA'!$AF:$AF,'CT capacity tracker'!$B88,'ESS SUPPLY DATA'!$AE:$AE,'CT capacity tracker'!$A$51,'ESS SUPPLY DATA'!$W:$W,'CT capacity tracker'!Q$1,'ESS SUPPLY DATA'!$AO:$AO,"cosco")+SUMIFS('ESS SUPPLY DATA'!$U:$U,'ESS SUPPLY DATA'!$AF:$AF,'CT capacity tracker'!$B88,'ESS SUPPLY DATA'!$AE:$AE,'CT capacity tracker'!$A$51,'ESS SUPPLY DATA'!$W:$W,'CT capacity tracker'!Q$1,'ESS SUPPLY DATA'!$AO:$AO,"other")</f>
        <v>0</v>
      </c>
      <c r="R91" s="504">
        <f>SUMIFS('PV SUPPLY DATA'!$X:$X,'PV SUPPLY DATA'!$AH:$AH,'CT capacity tracker'!$B88,'PV SUPPLY DATA'!$AG:$AG,'CT capacity tracker'!$A$51,'PV SUPPLY DATA'!$Y:$Y,R$1,'PV SUPPLY DATA'!$AQ:$AQ,"cosco")+SUMIFS('PV SUPPLY DATA'!$X:$X,'PV SUPPLY DATA'!$AH:$AH,'CT capacity tracker'!$B88,'PV SUPPLY DATA'!$AG:$AG,'CT capacity tracker'!$A$51,'PV SUPPLY DATA'!$Y:$Y,R$1,'PV SUPPLY DATA'!$AQ:$AQ,"other")+SUMIFS('ESS SUPPLY DATA'!$U:$U,'ESS SUPPLY DATA'!$AF:$AF,'CT capacity tracker'!$B88,'ESS SUPPLY DATA'!$AE:$AE,'CT capacity tracker'!$A$51,'ESS SUPPLY DATA'!$W:$W,'CT capacity tracker'!R$1,'ESS SUPPLY DATA'!$AO:$AO,"cosco")+SUMIFS('ESS SUPPLY DATA'!$U:$U,'ESS SUPPLY DATA'!$AF:$AF,'CT capacity tracker'!$B88,'ESS SUPPLY DATA'!$AE:$AE,'CT capacity tracker'!$A$51,'ESS SUPPLY DATA'!$W:$W,'CT capacity tracker'!R$1,'ESS SUPPLY DATA'!$AO:$AO,"other")</f>
        <v>0</v>
      </c>
      <c r="S91" s="504">
        <f>SUMIFS('PV SUPPLY DATA'!$X:$X,'PV SUPPLY DATA'!$AH:$AH,'CT capacity tracker'!$B88,'PV SUPPLY DATA'!$AG:$AG,'CT capacity tracker'!$A$51,'PV SUPPLY DATA'!$Y:$Y,S$1,'PV SUPPLY DATA'!$AQ:$AQ,"cosco")+SUMIFS('PV SUPPLY DATA'!$X:$X,'PV SUPPLY DATA'!$AH:$AH,'CT capacity tracker'!$B88,'PV SUPPLY DATA'!$AG:$AG,'CT capacity tracker'!$A$51,'PV SUPPLY DATA'!$Y:$Y,S$1,'PV SUPPLY DATA'!$AQ:$AQ,"other")+SUMIFS('ESS SUPPLY DATA'!$U:$U,'ESS SUPPLY DATA'!$AF:$AF,'CT capacity tracker'!$B88,'ESS SUPPLY DATA'!$AE:$AE,'CT capacity tracker'!$A$51,'ESS SUPPLY DATA'!$W:$W,'CT capacity tracker'!S$1,'ESS SUPPLY DATA'!$AO:$AO,"cosco")+SUMIFS('ESS SUPPLY DATA'!$U:$U,'ESS SUPPLY DATA'!$AF:$AF,'CT capacity tracker'!$B88,'ESS SUPPLY DATA'!$AE:$AE,'CT capacity tracker'!$A$51,'ESS SUPPLY DATA'!$W:$W,'CT capacity tracker'!S$1,'ESS SUPPLY DATA'!$AO:$AO,"other")</f>
        <v>0</v>
      </c>
      <c r="T91" s="504">
        <f>SUMIFS('PV SUPPLY DATA'!$X:$X,'PV SUPPLY DATA'!$AH:$AH,'CT capacity tracker'!$B88,'PV SUPPLY DATA'!$AG:$AG,'CT capacity tracker'!$A$51,'PV SUPPLY DATA'!$Y:$Y,T$1,'PV SUPPLY DATA'!$AQ:$AQ,"cosco")+SUMIFS('PV SUPPLY DATA'!$X:$X,'PV SUPPLY DATA'!$AH:$AH,'CT capacity tracker'!$B88,'PV SUPPLY DATA'!$AG:$AG,'CT capacity tracker'!$A$51,'PV SUPPLY DATA'!$Y:$Y,T$1,'PV SUPPLY DATA'!$AQ:$AQ,"other")+SUMIFS('ESS SUPPLY DATA'!$U:$U,'ESS SUPPLY DATA'!$AF:$AF,'CT capacity tracker'!$B88,'ESS SUPPLY DATA'!$AE:$AE,'CT capacity tracker'!$A$51,'ESS SUPPLY DATA'!$W:$W,'CT capacity tracker'!T$1,'ESS SUPPLY DATA'!$AO:$AO,"cosco")+SUMIFS('ESS SUPPLY DATA'!$U:$U,'ESS SUPPLY DATA'!$AF:$AF,'CT capacity tracker'!$B88,'ESS SUPPLY DATA'!$AE:$AE,'CT capacity tracker'!$A$51,'ESS SUPPLY DATA'!$W:$W,'CT capacity tracker'!T$1,'ESS SUPPLY DATA'!$AO:$AO,"other")</f>
        <v>0</v>
      </c>
      <c r="U91" s="504">
        <f>SUMIFS('PV SUPPLY DATA'!$X:$X,'PV SUPPLY DATA'!$AH:$AH,'CT capacity tracker'!$B88,'PV SUPPLY DATA'!$AG:$AG,'CT capacity tracker'!$A$51,'PV SUPPLY DATA'!$Y:$Y,U$1,'PV SUPPLY DATA'!$AQ:$AQ,"cosco")+SUMIFS('PV SUPPLY DATA'!$X:$X,'PV SUPPLY DATA'!$AH:$AH,'CT capacity tracker'!$B88,'PV SUPPLY DATA'!$AG:$AG,'CT capacity tracker'!$A$51,'PV SUPPLY DATA'!$Y:$Y,U$1,'PV SUPPLY DATA'!$AQ:$AQ,"other")+SUMIFS('ESS SUPPLY DATA'!$U:$U,'ESS SUPPLY DATA'!$AF:$AF,'CT capacity tracker'!$B88,'ESS SUPPLY DATA'!$AE:$AE,'CT capacity tracker'!$A$51,'ESS SUPPLY DATA'!$W:$W,'CT capacity tracker'!U$1,'ESS SUPPLY DATA'!$AO:$AO,"cosco")+SUMIFS('ESS SUPPLY DATA'!$U:$U,'ESS SUPPLY DATA'!$AF:$AF,'CT capacity tracker'!$B88,'ESS SUPPLY DATA'!$AE:$AE,'CT capacity tracker'!$A$51,'ESS SUPPLY DATA'!$W:$W,'CT capacity tracker'!U$1,'ESS SUPPLY DATA'!$AO:$AO,"other")</f>
        <v>0</v>
      </c>
      <c r="V91" s="504">
        <f>SUMIFS('PV SUPPLY DATA'!$X:$X,'PV SUPPLY DATA'!$AH:$AH,'CT capacity tracker'!$B88,'PV SUPPLY DATA'!$AG:$AG,'CT capacity tracker'!$A$51,'PV SUPPLY DATA'!$Y:$Y,V$1,'PV SUPPLY DATA'!$AQ:$AQ,"cosco")+SUMIFS('PV SUPPLY DATA'!$X:$X,'PV SUPPLY DATA'!$AH:$AH,'CT capacity tracker'!$B88,'PV SUPPLY DATA'!$AG:$AG,'CT capacity tracker'!$A$51,'PV SUPPLY DATA'!$Y:$Y,V$1,'PV SUPPLY DATA'!$AQ:$AQ,"other")+SUMIFS('ESS SUPPLY DATA'!$U:$U,'ESS SUPPLY DATA'!$AF:$AF,'CT capacity tracker'!$B88,'ESS SUPPLY DATA'!$AE:$AE,'CT capacity tracker'!$A$51,'ESS SUPPLY DATA'!$W:$W,'CT capacity tracker'!V$1,'ESS SUPPLY DATA'!$AO:$AO,"cosco")+SUMIFS('ESS SUPPLY DATA'!$U:$U,'ESS SUPPLY DATA'!$AF:$AF,'CT capacity tracker'!$B88,'ESS SUPPLY DATA'!$AE:$AE,'CT capacity tracker'!$A$51,'ESS SUPPLY DATA'!$W:$W,'CT capacity tracker'!V$1,'ESS SUPPLY DATA'!$AO:$AO,"other")</f>
        <v>0</v>
      </c>
      <c r="W91" s="504">
        <f>SUMIFS('PV SUPPLY DATA'!$X:$X,'PV SUPPLY DATA'!$AH:$AH,'CT capacity tracker'!$B88,'PV SUPPLY DATA'!$AG:$AG,'CT capacity tracker'!$A$51,'PV SUPPLY DATA'!$Y:$Y,W$1,'PV SUPPLY DATA'!$AQ:$AQ,"cosco")+SUMIFS('PV SUPPLY DATA'!$X:$X,'PV SUPPLY DATA'!$AH:$AH,'CT capacity tracker'!$B88,'PV SUPPLY DATA'!$AG:$AG,'CT capacity tracker'!$A$51,'PV SUPPLY DATA'!$Y:$Y,W$1,'PV SUPPLY DATA'!$AQ:$AQ,"other")+SUMIFS('ESS SUPPLY DATA'!$U:$U,'ESS SUPPLY DATA'!$AF:$AF,'CT capacity tracker'!$B88,'ESS SUPPLY DATA'!$AE:$AE,'CT capacity tracker'!$A$51,'ESS SUPPLY DATA'!$W:$W,'CT capacity tracker'!W$1,'ESS SUPPLY DATA'!$AO:$AO,"cosco")+SUMIFS('ESS SUPPLY DATA'!$U:$U,'ESS SUPPLY DATA'!$AF:$AF,'CT capacity tracker'!$B88,'ESS SUPPLY DATA'!$AE:$AE,'CT capacity tracker'!$A$51,'ESS SUPPLY DATA'!$W:$W,'CT capacity tracker'!W$1,'ESS SUPPLY DATA'!$AO:$AO,"other")</f>
        <v>0</v>
      </c>
      <c r="X91" s="504">
        <f>SUMIFS('PV SUPPLY DATA'!$X:$X,'PV SUPPLY DATA'!$AH:$AH,'CT capacity tracker'!$B88,'PV SUPPLY DATA'!$AG:$AG,'CT capacity tracker'!$A$51,'PV SUPPLY DATA'!$Y:$Y,X$1,'PV SUPPLY DATA'!$AQ:$AQ,"cosco")+SUMIFS('PV SUPPLY DATA'!$X:$X,'PV SUPPLY DATA'!$AH:$AH,'CT capacity tracker'!$B88,'PV SUPPLY DATA'!$AG:$AG,'CT capacity tracker'!$A$51,'PV SUPPLY DATA'!$Y:$Y,X$1,'PV SUPPLY DATA'!$AQ:$AQ,"other")+SUMIFS('ESS SUPPLY DATA'!$U:$U,'ESS SUPPLY DATA'!$AF:$AF,'CT capacity tracker'!$B88,'ESS SUPPLY DATA'!$AE:$AE,'CT capacity tracker'!$A$51,'ESS SUPPLY DATA'!$W:$W,'CT capacity tracker'!X$1,'ESS SUPPLY DATA'!$AO:$AO,"cosco")+SUMIFS('ESS SUPPLY DATA'!$U:$U,'ESS SUPPLY DATA'!$AF:$AF,'CT capacity tracker'!$B88,'ESS SUPPLY DATA'!$AE:$AE,'CT capacity tracker'!$A$51,'ESS SUPPLY DATA'!$W:$W,'CT capacity tracker'!X$1,'ESS SUPPLY DATA'!$AO:$AO,"other")</f>
        <v>0</v>
      </c>
      <c r="Y91" s="504">
        <f>SUMIFS('PV SUPPLY DATA'!$X:$X,'PV SUPPLY DATA'!$AH:$AH,'CT capacity tracker'!$B88,'PV SUPPLY DATA'!$AG:$AG,'CT capacity tracker'!$A$51,'PV SUPPLY DATA'!$Y:$Y,Y$1,'PV SUPPLY DATA'!$AQ:$AQ,"cosco")+SUMIFS('PV SUPPLY DATA'!$X:$X,'PV SUPPLY DATA'!$AH:$AH,'CT capacity tracker'!$B88,'PV SUPPLY DATA'!$AG:$AG,'CT capacity tracker'!$A$51,'PV SUPPLY DATA'!$Y:$Y,Y$1,'PV SUPPLY DATA'!$AQ:$AQ,"other")+SUMIFS('ESS SUPPLY DATA'!$U:$U,'ESS SUPPLY DATA'!$AF:$AF,'CT capacity tracker'!$B88,'ESS SUPPLY DATA'!$AE:$AE,'CT capacity tracker'!$A$51,'ESS SUPPLY DATA'!$W:$W,'CT capacity tracker'!Y$1,'ESS SUPPLY DATA'!$AO:$AO,"cosco")+SUMIFS('ESS SUPPLY DATA'!$U:$U,'ESS SUPPLY DATA'!$AF:$AF,'CT capacity tracker'!$B88,'ESS SUPPLY DATA'!$AE:$AE,'CT capacity tracker'!$A$51,'ESS SUPPLY DATA'!$W:$W,'CT capacity tracker'!Y$1,'ESS SUPPLY DATA'!$AO:$AO,"other")</f>
        <v>0</v>
      </c>
      <c r="Z91" s="504">
        <f>SUMIFS('PV SUPPLY DATA'!$X:$X,'PV SUPPLY DATA'!$AH:$AH,'CT capacity tracker'!$B88,'PV SUPPLY DATA'!$AG:$AG,'CT capacity tracker'!$A$51,'PV SUPPLY DATA'!$Y:$Y,Z$1,'PV SUPPLY DATA'!$AQ:$AQ,"cosco")+SUMIFS('PV SUPPLY DATA'!$X:$X,'PV SUPPLY DATA'!$AH:$AH,'CT capacity tracker'!$B88,'PV SUPPLY DATA'!$AG:$AG,'CT capacity tracker'!$A$51,'PV SUPPLY DATA'!$Y:$Y,Z$1,'PV SUPPLY DATA'!$AQ:$AQ,"other")+SUMIFS('ESS SUPPLY DATA'!$U:$U,'ESS SUPPLY DATA'!$AF:$AF,'CT capacity tracker'!$B88,'ESS SUPPLY DATA'!$AE:$AE,'CT capacity tracker'!$A$51,'ESS SUPPLY DATA'!$W:$W,'CT capacity tracker'!Z$1,'ESS SUPPLY DATA'!$AO:$AO,"cosco")+SUMIFS('ESS SUPPLY DATA'!$U:$U,'ESS SUPPLY DATA'!$AF:$AF,'CT capacity tracker'!$B88,'ESS SUPPLY DATA'!$AE:$AE,'CT capacity tracker'!$A$51,'ESS SUPPLY DATA'!$W:$W,'CT capacity tracker'!Z$1,'ESS SUPPLY DATA'!$AO:$AO,"other")</f>
        <v>0</v>
      </c>
      <c r="AA91" s="504">
        <f>SUMIFS('PV SUPPLY DATA'!$X:$X,'PV SUPPLY DATA'!$AH:$AH,'CT capacity tracker'!$B88,'PV SUPPLY DATA'!$AG:$AG,'CT capacity tracker'!$A$51,'PV SUPPLY DATA'!$Y:$Y,AA$1,'PV SUPPLY DATA'!$AQ:$AQ,"cosco")+SUMIFS('PV SUPPLY DATA'!$X:$X,'PV SUPPLY DATA'!$AH:$AH,'CT capacity tracker'!$B88,'PV SUPPLY DATA'!$AG:$AG,'CT capacity tracker'!$A$51,'PV SUPPLY DATA'!$Y:$Y,AA$1,'PV SUPPLY DATA'!$AQ:$AQ,"other")+SUMIFS('ESS SUPPLY DATA'!$U:$U,'ESS SUPPLY DATA'!$AF:$AF,'CT capacity tracker'!$B88,'ESS SUPPLY DATA'!$AE:$AE,'CT capacity tracker'!$A$51,'ESS SUPPLY DATA'!$W:$W,'CT capacity tracker'!AA$1,'ESS SUPPLY DATA'!$AO:$AO,"cosco")+SUMIFS('ESS SUPPLY DATA'!$U:$U,'ESS SUPPLY DATA'!$AF:$AF,'CT capacity tracker'!$B88,'ESS SUPPLY DATA'!$AE:$AE,'CT capacity tracker'!$A$51,'ESS SUPPLY DATA'!$W:$W,'CT capacity tracker'!AA$1,'ESS SUPPLY DATA'!$AO:$AO,"other")</f>
        <v>0</v>
      </c>
      <c r="AB91" s="504">
        <f>SUMIFS('PV SUPPLY DATA'!$X:$X,'PV SUPPLY DATA'!$AH:$AH,'CT capacity tracker'!$B88,'PV SUPPLY DATA'!$AG:$AG,'CT capacity tracker'!$A$51,'PV SUPPLY DATA'!$Y:$Y,AB$1,'PV SUPPLY DATA'!$AQ:$AQ,"cosco")+SUMIFS('PV SUPPLY DATA'!$X:$X,'PV SUPPLY DATA'!$AH:$AH,'CT capacity tracker'!$B88,'PV SUPPLY DATA'!$AG:$AG,'CT capacity tracker'!$A$51,'PV SUPPLY DATA'!$Y:$Y,AB$1,'PV SUPPLY DATA'!$AQ:$AQ,"other")+SUMIFS('ESS SUPPLY DATA'!$U:$U,'ESS SUPPLY DATA'!$AF:$AF,'CT capacity tracker'!$B88,'ESS SUPPLY DATA'!$AE:$AE,'CT capacity tracker'!$A$51,'ESS SUPPLY DATA'!$W:$W,'CT capacity tracker'!AB$1,'ESS SUPPLY DATA'!$AO:$AO,"cosco")+SUMIFS('ESS SUPPLY DATA'!$U:$U,'ESS SUPPLY DATA'!$AF:$AF,'CT capacity tracker'!$B88,'ESS SUPPLY DATA'!$AE:$AE,'CT capacity tracker'!$A$51,'ESS SUPPLY DATA'!$W:$W,'CT capacity tracker'!AB$1,'ESS SUPPLY DATA'!$AO:$AO,"other")</f>
        <v>0</v>
      </c>
      <c r="AC91" s="504">
        <f>SUMIFS('PV SUPPLY DATA'!$X:$X,'PV SUPPLY DATA'!$AH:$AH,'CT capacity tracker'!$B88,'PV SUPPLY DATA'!$AG:$AG,'CT capacity tracker'!$A$51,'PV SUPPLY DATA'!$Y:$Y,AC$1,'PV SUPPLY DATA'!$AQ:$AQ,"cosco")+SUMIFS('PV SUPPLY DATA'!$X:$X,'PV SUPPLY DATA'!$AH:$AH,'CT capacity tracker'!$B88,'PV SUPPLY DATA'!$AG:$AG,'CT capacity tracker'!$A$51,'PV SUPPLY DATA'!$Y:$Y,AC$1,'PV SUPPLY DATA'!$AQ:$AQ,"other")+SUMIFS('ESS SUPPLY DATA'!$U:$U,'ESS SUPPLY DATA'!$AF:$AF,'CT capacity tracker'!$B88,'ESS SUPPLY DATA'!$AE:$AE,'CT capacity tracker'!$A$51,'ESS SUPPLY DATA'!$W:$W,'CT capacity tracker'!AC$1,'ESS SUPPLY DATA'!$AO:$AO,"cosco")+SUMIFS('ESS SUPPLY DATA'!$U:$U,'ESS SUPPLY DATA'!$AF:$AF,'CT capacity tracker'!$B88,'ESS SUPPLY DATA'!$AE:$AE,'CT capacity tracker'!$A$51,'ESS SUPPLY DATA'!$W:$W,'CT capacity tracker'!AC$1,'ESS SUPPLY DATA'!$AO:$AO,"other")</f>
        <v>0</v>
      </c>
      <c r="AD91" s="504">
        <f>SUMIFS('PV SUPPLY DATA'!$X:$X,'PV SUPPLY DATA'!$AH:$AH,'CT capacity tracker'!$B88,'PV SUPPLY DATA'!$AG:$AG,'CT capacity tracker'!$A$51,'PV SUPPLY DATA'!$Y:$Y,AD$1,'PV SUPPLY DATA'!$AQ:$AQ,"cosco")+SUMIFS('PV SUPPLY DATA'!$X:$X,'PV SUPPLY DATA'!$AH:$AH,'CT capacity tracker'!$B88,'PV SUPPLY DATA'!$AG:$AG,'CT capacity tracker'!$A$51,'PV SUPPLY DATA'!$Y:$Y,AD$1,'PV SUPPLY DATA'!$AQ:$AQ,"other")+SUMIFS('ESS SUPPLY DATA'!$U:$U,'ESS SUPPLY DATA'!$AF:$AF,'CT capacity tracker'!$B88,'ESS SUPPLY DATA'!$AE:$AE,'CT capacity tracker'!$A$51,'ESS SUPPLY DATA'!$W:$W,'CT capacity tracker'!AD$1,'ESS SUPPLY DATA'!$AO:$AO,"cosco")+SUMIFS('ESS SUPPLY DATA'!$U:$U,'ESS SUPPLY DATA'!$AF:$AF,'CT capacity tracker'!$B88,'ESS SUPPLY DATA'!$AE:$AE,'CT capacity tracker'!$A$51,'ESS SUPPLY DATA'!$W:$W,'CT capacity tracker'!AD$1,'ESS SUPPLY DATA'!$AO:$AO,"other")</f>
        <v>0</v>
      </c>
      <c r="AE91" s="504">
        <f>SUMIFS('PV SUPPLY DATA'!$X:$X,'PV SUPPLY DATA'!$AH:$AH,'CT capacity tracker'!$B88,'PV SUPPLY DATA'!$AG:$AG,'CT capacity tracker'!$A$51,'PV SUPPLY DATA'!$Y:$Y,AE$1,'PV SUPPLY DATA'!$AQ:$AQ,"cosco")+SUMIFS('PV SUPPLY DATA'!$X:$X,'PV SUPPLY DATA'!$AH:$AH,'CT capacity tracker'!$B88,'PV SUPPLY DATA'!$AG:$AG,'CT capacity tracker'!$A$51,'PV SUPPLY DATA'!$Y:$Y,AE$1,'PV SUPPLY DATA'!$AQ:$AQ,"other")+SUMIFS('ESS SUPPLY DATA'!$U:$U,'ESS SUPPLY DATA'!$AF:$AF,'CT capacity tracker'!$B88,'ESS SUPPLY DATA'!$AE:$AE,'CT capacity tracker'!$A$51,'ESS SUPPLY DATA'!$W:$W,'CT capacity tracker'!AE$1,'ESS SUPPLY DATA'!$AO:$AO,"cosco")+SUMIFS('ESS SUPPLY DATA'!$U:$U,'ESS SUPPLY DATA'!$AF:$AF,'CT capacity tracker'!$B88,'ESS SUPPLY DATA'!$AE:$AE,'CT capacity tracker'!$A$51,'ESS SUPPLY DATA'!$W:$W,'CT capacity tracker'!AE$1,'ESS SUPPLY DATA'!$AO:$AO,"other")</f>
        <v>0</v>
      </c>
      <c r="AF91" s="504">
        <f>SUMIFS('PV SUPPLY DATA'!$X:$X,'PV SUPPLY DATA'!$AH:$AH,'CT capacity tracker'!$B88,'PV SUPPLY DATA'!$AG:$AG,'CT capacity tracker'!$A$51,'PV SUPPLY DATA'!$Y:$Y,AF$1,'PV SUPPLY DATA'!$AQ:$AQ,"cosco")+SUMIFS('PV SUPPLY DATA'!$X:$X,'PV SUPPLY DATA'!$AH:$AH,'CT capacity tracker'!$B88,'PV SUPPLY DATA'!$AG:$AG,'CT capacity tracker'!$A$51,'PV SUPPLY DATA'!$Y:$Y,AF$1,'PV SUPPLY DATA'!$AQ:$AQ,"other")+SUMIFS('ESS SUPPLY DATA'!$U:$U,'ESS SUPPLY DATA'!$AF:$AF,'CT capacity tracker'!$B88,'ESS SUPPLY DATA'!$AE:$AE,'CT capacity tracker'!$A$51,'ESS SUPPLY DATA'!$W:$W,'CT capacity tracker'!AF$1,'ESS SUPPLY DATA'!$AO:$AO,"cosco")+SUMIFS('ESS SUPPLY DATA'!$U:$U,'ESS SUPPLY DATA'!$AF:$AF,'CT capacity tracker'!$B88,'ESS SUPPLY DATA'!$AE:$AE,'CT capacity tracker'!$A$51,'ESS SUPPLY DATA'!$W:$W,'CT capacity tracker'!AF$1,'ESS SUPPLY DATA'!$AO:$AO,"other")</f>
        <v>0</v>
      </c>
      <c r="AG91" s="504">
        <f>SUMIFS('PV SUPPLY DATA'!$X:$X,'PV SUPPLY DATA'!$AH:$AH,'CT capacity tracker'!$B88,'PV SUPPLY DATA'!$AG:$AG,'CT capacity tracker'!$A$51,'PV SUPPLY DATA'!$Y:$Y,AG$1,'PV SUPPLY DATA'!$AQ:$AQ,"cosco")+SUMIFS('PV SUPPLY DATA'!$X:$X,'PV SUPPLY DATA'!$AH:$AH,'CT capacity tracker'!$B88,'PV SUPPLY DATA'!$AG:$AG,'CT capacity tracker'!$A$51,'PV SUPPLY DATA'!$Y:$Y,AG$1,'PV SUPPLY DATA'!$AQ:$AQ,"other")+SUMIFS('ESS SUPPLY DATA'!$U:$U,'ESS SUPPLY DATA'!$AF:$AF,'CT capacity tracker'!$B88,'ESS SUPPLY DATA'!$AE:$AE,'CT capacity tracker'!$A$51,'ESS SUPPLY DATA'!$W:$W,'CT capacity tracker'!AG$1,'ESS SUPPLY DATA'!$AO:$AO,"cosco")+SUMIFS('ESS SUPPLY DATA'!$U:$U,'ESS SUPPLY DATA'!$AF:$AF,'CT capacity tracker'!$B88,'ESS SUPPLY DATA'!$AE:$AE,'CT capacity tracker'!$A$51,'ESS SUPPLY DATA'!$W:$W,'CT capacity tracker'!AG$1,'ESS SUPPLY DATA'!$AO:$AO,"other")</f>
        <v>0</v>
      </c>
      <c r="AH91" s="504">
        <f>SUMIFS('PV SUPPLY DATA'!$X:$X,'PV SUPPLY DATA'!$AH:$AH,'CT capacity tracker'!$B88,'PV SUPPLY DATA'!$AG:$AG,'CT capacity tracker'!$A$51,'PV SUPPLY DATA'!$Y:$Y,AH$1,'PV SUPPLY DATA'!$AQ:$AQ,"cosco")+SUMIFS('PV SUPPLY DATA'!$X:$X,'PV SUPPLY DATA'!$AH:$AH,'CT capacity tracker'!$B88,'PV SUPPLY DATA'!$AG:$AG,'CT capacity tracker'!$A$51,'PV SUPPLY DATA'!$Y:$Y,AH$1,'PV SUPPLY DATA'!$AQ:$AQ,"other")+SUMIFS('ESS SUPPLY DATA'!$U:$U,'ESS SUPPLY DATA'!$AF:$AF,'CT capacity tracker'!$B88,'ESS SUPPLY DATA'!$AE:$AE,'CT capacity tracker'!$A$51,'ESS SUPPLY DATA'!$W:$W,'CT capacity tracker'!AH$1,'ESS SUPPLY DATA'!$AO:$AO,"cosco")+SUMIFS('ESS SUPPLY DATA'!$U:$U,'ESS SUPPLY DATA'!$AF:$AF,'CT capacity tracker'!$B88,'ESS SUPPLY DATA'!$AE:$AE,'CT capacity tracker'!$A$51,'ESS SUPPLY DATA'!$W:$W,'CT capacity tracker'!AH$1,'ESS SUPPLY DATA'!$AO:$AO,"other")</f>
        <v>0</v>
      </c>
      <c r="AI91" s="504">
        <f>SUMIFS('PV SUPPLY DATA'!$X:$X,'PV SUPPLY DATA'!$AH:$AH,'CT capacity tracker'!$B88,'PV SUPPLY DATA'!$AG:$AG,'CT capacity tracker'!$A$51,'PV SUPPLY DATA'!$Y:$Y,AI$1,'PV SUPPLY DATA'!$AQ:$AQ,"cosco")+SUMIFS('PV SUPPLY DATA'!$X:$X,'PV SUPPLY DATA'!$AH:$AH,'CT capacity tracker'!$B88,'PV SUPPLY DATA'!$AG:$AG,'CT capacity tracker'!$A$51,'PV SUPPLY DATA'!$Y:$Y,AI$1,'PV SUPPLY DATA'!$AQ:$AQ,"other")+SUMIFS('ESS SUPPLY DATA'!$U:$U,'ESS SUPPLY DATA'!$AF:$AF,'CT capacity tracker'!$B88,'ESS SUPPLY DATA'!$AE:$AE,'CT capacity tracker'!$A$51,'ESS SUPPLY DATA'!$W:$W,'CT capacity tracker'!AI$1,'ESS SUPPLY DATA'!$AO:$AO,"cosco")+SUMIFS('ESS SUPPLY DATA'!$U:$U,'ESS SUPPLY DATA'!$AF:$AF,'CT capacity tracker'!$B88,'ESS SUPPLY DATA'!$AE:$AE,'CT capacity tracker'!$A$51,'ESS SUPPLY DATA'!$W:$W,'CT capacity tracker'!AI$1,'ESS SUPPLY DATA'!$AO:$AO,"other")</f>
        <v>0</v>
      </c>
      <c r="AJ91" s="504">
        <f>SUMIFS('PV SUPPLY DATA'!$X:$X,'PV SUPPLY DATA'!$AH:$AH,'CT capacity tracker'!$B88,'PV SUPPLY DATA'!$AG:$AG,'CT capacity tracker'!$A$51,'PV SUPPLY DATA'!$Y:$Y,AJ$1,'PV SUPPLY DATA'!$AQ:$AQ,"cosco")+SUMIFS('PV SUPPLY DATA'!$X:$X,'PV SUPPLY DATA'!$AH:$AH,'CT capacity tracker'!$B88,'PV SUPPLY DATA'!$AG:$AG,'CT capacity tracker'!$A$51,'PV SUPPLY DATA'!$Y:$Y,AJ$1,'PV SUPPLY DATA'!$AQ:$AQ,"other")+SUMIFS('ESS SUPPLY DATA'!$U:$U,'ESS SUPPLY DATA'!$AF:$AF,'CT capacity tracker'!$B88,'ESS SUPPLY DATA'!$AE:$AE,'CT capacity tracker'!$A$51,'ESS SUPPLY DATA'!$W:$W,'CT capacity tracker'!AJ$1,'ESS SUPPLY DATA'!$AO:$AO,"cosco")+SUMIFS('ESS SUPPLY DATA'!$U:$U,'ESS SUPPLY DATA'!$AF:$AF,'CT capacity tracker'!$B88,'ESS SUPPLY DATA'!$AE:$AE,'CT capacity tracker'!$A$51,'ESS SUPPLY DATA'!$W:$W,'CT capacity tracker'!AJ$1,'ESS SUPPLY DATA'!$AO:$AO,"other")</f>
        <v>0</v>
      </c>
      <c r="AK91" s="511"/>
      <c r="AL91" s="511"/>
      <c r="AM91" s="696">
        <f>SUM(E91:X91)</f>
        <v>13</v>
      </c>
      <c r="AN91" s="503"/>
      <c r="AO91" s="506"/>
      <c r="AP91" s="506"/>
      <c r="AQ91" s="506"/>
      <c r="AR91" s="506"/>
      <c r="AS91" s="506"/>
      <c r="AT91" s="506"/>
    </row>
    <row r="92" spans="1:46" ht="14.25" customHeight="1">
      <c r="A92" s="1510" t="s">
        <v>4408</v>
      </c>
      <c r="B92" s="1511"/>
      <c r="C92" s="514" t="s">
        <v>4400</v>
      </c>
      <c r="D92" s="515">
        <f t="shared" ref="D92:X92" si="67">D76+D80++D84+D88</f>
        <v>118</v>
      </c>
      <c r="E92" s="515">
        <f t="shared" si="67"/>
        <v>0</v>
      </c>
      <c r="F92" s="515">
        <f t="shared" si="67"/>
        <v>0</v>
      </c>
      <c r="G92" s="515">
        <f t="shared" si="67"/>
        <v>0</v>
      </c>
      <c r="H92" s="515">
        <f t="shared" si="67"/>
        <v>7</v>
      </c>
      <c r="I92" s="515">
        <f t="shared" si="67"/>
        <v>7</v>
      </c>
      <c r="J92" s="515">
        <f t="shared" si="67"/>
        <v>6</v>
      </c>
      <c r="K92" s="515">
        <f t="shared" si="67"/>
        <v>1</v>
      </c>
      <c r="L92" s="515">
        <f t="shared" si="67"/>
        <v>6</v>
      </c>
      <c r="M92" s="515">
        <f t="shared" si="67"/>
        <v>8</v>
      </c>
      <c r="N92" s="515">
        <f t="shared" si="67"/>
        <v>6</v>
      </c>
      <c r="O92" s="515">
        <f t="shared" si="67"/>
        <v>13</v>
      </c>
      <c r="P92" s="515">
        <f t="shared" si="67"/>
        <v>5</v>
      </c>
      <c r="Q92" s="515">
        <f t="shared" si="67"/>
        <v>2</v>
      </c>
      <c r="R92" s="515">
        <f t="shared" si="67"/>
        <v>4</v>
      </c>
      <c r="S92" s="515">
        <f t="shared" si="67"/>
        <v>8</v>
      </c>
      <c r="T92" s="515">
        <f t="shared" si="67"/>
        <v>11</v>
      </c>
      <c r="U92" s="515">
        <f t="shared" si="67"/>
        <v>7</v>
      </c>
      <c r="V92" s="515">
        <f t="shared" si="67"/>
        <v>0</v>
      </c>
      <c r="W92" s="515">
        <f t="shared" si="67"/>
        <v>11</v>
      </c>
      <c r="X92" s="515">
        <f t="shared" si="67"/>
        <v>0</v>
      </c>
      <c r="Y92" s="515">
        <f t="shared" ref="Y92:AB95" si="68">Y76+Y80++Y84+Y88</f>
        <v>5</v>
      </c>
      <c r="Z92" s="515">
        <f t="shared" si="68"/>
        <v>0</v>
      </c>
      <c r="AA92" s="515">
        <f t="shared" si="68"/>
        <v>3</v>
      </c>
      <c r="AB92" s="515">
        <f t="shared" si="68"/>
        <v>4</v>
      </c>
      <c r="AC92" s="515">
        <f t="shared" ref="AC92:AJ92" si="69">AC76+AC80++AC84+AC88</f>
        <v>4</v>
      </c>
      <c r="AD92" s="515">
        <f t="shared" si="69"/>
        <v>2</v>
      </c>
      <c r="AE92" s="515">
        <f t="shared" si="69"/>
        <v>26</v>
      </c>
      <c r="AF92" s="515">
        <f t="shared" si="69"/>
        <v>22.45</v>
      </c>
      <c r="AG92" s="515">
        <f t="shared" si="69"/>
        <v>20.75</v>
      </c>
      <c r="AH92" s="515">
        <f t="shared" si="69"/>
        <v>10</v>
      </c>
      <c r="AI92" s="515">
        <f t="shared" si="69"/>
        <v>0</v>
      </c>
      <c r="AJ92" s="515">
        <f t="shared" si="69"/>
        <v>0</v>
      </c>
      <c r="AK92" s="505" t="s">
        <v>197</v>
      </c>
      <c r="AL92" s="505" t="s">
        <v>197</v>
      </c>
      <c r="AM92" s="697">
        <f>SUM(E92:X92)</f>
        <v>102</v>
      </c>
      <c r="AN92" s="503" t="s">
        <v>197</v>
      </c>
      <c r="AO92" s="696">
        <f>SUM(T92:X92)</f>
        <v>29</v>
      </c>
      <c r="AP92" s="506">
        <f t="shared" si="58"/>
        <v>20</v>
      </c>
      <c r="AQ92" s="506"/>
      <c r="AR92" s="506"/>
      <c r="AS92" s="506"/>
      <c r="AT92" s="506"/>
    </row>
    <row r="93" spans="1:46" ht="13">
      <c r="A93" s="1512"/>
      <c r="B93" s="1513"/>
      <c r="C93" s="516" t="s">
        <v>4401</v>
      </c>
      <c r="D93" s="515"/>
      <c r="E93" s="515">
        <f t="shared" ref="E93:X93" si="70">E77+E81++E85+E89</f>
        <v>7</v>
      </c>
      <c r="F93" s="515">
        <f t="shared" si="70"/>
        <v>7</v>
      </c>
      <c r="G93" s="515">
        <f t="shared" si="70"/>
        <v>7</v>
      </c>
      <c r="H93" s="515">
        <f t="shared" si="70"/>
        <v>7</v>
      </c>
      <c r="I93" s="515">
        <f t="shared" si="70"/>
        <v>7</v>
      </c>
      <c r="J93" s="515">
        <f t="shared" si="70"/>
        <v>6</v>
      </c>
      <c r="K93" s="515">
        <f t="shared" si="70"/>
        <v>1</v>
      </c>
      <c r="L93" s="515">
        <f t="shared" si="70"/>
        <v>7</v>
      </c>
      <c r="M93" s="515">
        <f t="shared" si="70"/>
        <v>7</v>
      </c>
      <c r="N93" s="515">
        <f t="shared" si="70"/>
        <v>0</v>
      </c>
      <c r="O93" s="515">
        <f t="shared" si="70"/>
        <v>7</v>
      </c>
      <c r="P93" s="515">
        <f t="shared" si="70"/>
        <v>5</v>
      </c>
      <c r="Q93" s="515">
        <f t="shared" si="70"/>
        <v>7</v>
      </c>
      <c r="R93" s="515">
        <f t="shared" si="70"/>
        <v>6</v>
      </c>
      <c r="S93" s="515">
        <f t="shared" si="70"/>
        <v>7</v>
      </c>
      <c r="T93" s="515">
        <f t="shared" si="70"/>
        <v>6</v>
      </c>
      <c r="U93" s="515">
        <f t="shared" si="70"/>
        <v>6</v>
      </c>
      <c r="V93" s="515">
        <f t="shared" si="70"/>
        <v>2</v>
      </c>
      <c r="W93" s="515">
        <f>W77+W81++W85+W89</f>
        <v>7</v>
      </c>
      <c r="X93" s="515">
        <f t="shared" si="70"/>
        <v>7</v>
      </c>
      <c r="Y93" s="515">
        <f t="shared" si="68"/>
        <v>5</v>
      </c>
      <c r="Z93" s="515">
        <f t="shared" si="68"/>
        <v>7</v>
      </c>
      <c r="AA93" s="515">
        <f t="shared" si="68"/>
        <v>7</v>
      </c>
      <c r="AB93" s="515">
        <f t="shared" si="68"/>
        <v>1</v>
      </c>
      <c r="AC93" s="515"/>
      <c r="AD93" s="515"/>
      <c r="AE93" s="515"/>
      <c r="AF93" s="515"/>
      <c r="AG93" s="515"/>
      <c r="AH93" s="515"/>
      <c r="AI93" s="515"/>
      <c r="AJ93" s="515"/>
      <c r="AK93" s="505" t="s">
        <v>197</v>
      </c>
      <c r="AL93" s="505" t="s">
        <v>197</v>
      </c>
      <c r="AM93" s="505"/>
      <c r="AN93" s="503" t="s">
        <v>197</v>
      </c>
      <c r="AO93" s="506"/>
      <c r="AP93" s="506">
        <f t="shared" si="58"/>
        <v>27</v>
      </c>
      <c r="AQ93" s="506"/>
      <c r="AR93" s="506"/>
      <c r="AS93" s="506"/>
      <c r="AT93" s="506"/>
    </row>
    <row r="94" spans="1:46" ht="13">
      <c r="A94" s="1512"/>
      <c r="B94" s="1513"/>
      <c r="C94" s="521" t="s">
        <v>4402</v>
      </c>
      <c r="D94" s="523"/>
      <c r="E94" s="523">
        <f t="shared" ref="E94:S94" si="71">E78+E82++E86+E90</f>
        <v>7</v>
      </c>
      <c r="F94" s="523">
        <f t="shared" si="71"/>
        <v>7</v>
      </c>
      <c r="G94" s="523">
        <f t="shared" si="71"/>
        <v>7</v>
      </c>
      <c r="H94" s="523">
        <f t="shared" si="71"/>
        <v>0</v>
      </c>
      <c r="I94" s="523">
        <f t="shared" si="71"/>
        <v>0</v>
      </c>
      <c r="J94" s="523">
        <f t="shared" si="71"/>
        <v>0</v>
      </c>
      <c r="K94" s="523">
        <f t="shared" si="71"/>
        <v>0</v>
      </c>
      <c r="L94" s="523">
        <f t="shared" si="71"/>
        <v>1</v>
      </c>
      <c r="M94" s="523">
        <f t="shared" si="71"/>
        <v>-1</v>
      </c>
      <c r="N94" s="523">
        <f t="shared" si="71"/>
        <v>-6</v>
      </c>
      <c r="O94" s="523">
        <f t="shared" si="71"/>
        <v>-6</v>
      </c>
      <c r="P94" s="523">
        <f t="shared" si="71"/>
        <v>0</v>
      </c>
      <c r="Q94" s="523">
        <f t="shared" si="71"/>
        <v>5</v>
      </c>
      <c r="R94" s="523">
        <f t="shared" si="71"/>
        <v>2</v>
      </c>
      <c r="S94" s="523">
        <f t="shared" si="71"/>
        <v>-1</v>
      </c>
      <c r="T94" s="523">
        <f>T78+T82++T86+T90</f>
        <v>-5</v>
      </c>
      <c r="U94" s="523">
        <f t="shared" ref="U94:X94" si="72">U78+U82++U86+U90</f>
        <v>-1</v>
      </c>
      <c r="V94" s="523">
        <f t="shared" si="72"/>
        <v>2</v>
      </c>
      <c r="W94" s="523">
        <f t="shared" si="72"/>
        <v>-4</v>
      </c>
      <c r="X94" s="523">
        <f t="shared" si="72"/>
        <v>7</v>
      </c>
      <c r="Y94" s="523">
        <f t="shared" si="68"/>
        <v>0</v>
      </c>
      <c r="Z94" s="523">
        <f t="shared" si="68"/>
        <v>7</v>
      </c>
      <c r="AA94" s="523">
        <f t="shared" si="68"/>
        <v>4</v>
      </c>
      <c r="AB94" s="523">
        <f t="shared" si="68"/>
        <v>-3</v>
      </c>
      <c r="AC94" s="523"/>
      <c r="AD94" s="523"/>
      <c r="AE94" s="523"/>
      <c r="AF94" s="523"/>
      <c r="AG94" s="523"/>
      <c r="AH94" s="523"/>
      <c r="AI94" s="523"/>
      <c r="AJ94" s="523"/>
      <c r="AK94" s="511">
        <f>SUMIF($E94:$X94,"&gt;0")</f>
        <v>38</v>
      </c>
      <c r="AL94" s="511">
        <f>SUMIF($E94:$X94,"&lt;0")</f>
        <v>-24</v>
      </c>
      <c r="AM94" s="511"/>
      <c r="AN94" s="503" t="s">
        <v>197</v>
      </c>
      <c r="AO94" s="506"/>
      <c r="AP94" s="517">
        <f t="shared" si="58"/>
        <v>7</v>
      </c>
      <c r="AQ94" s="506"/>
      <c r="AR94" s="506"/>
      <c r="AS94" s="506"/>
      <c r="AT94" s="506"/>
    </row>
    <row r="95" spans="1:46" ht="13">
      <c r="A95" s="1514"/>
      <c r="B95" s="1515"/>
      <c r="C95" s="514" t="s">
        <v>4403</v>
      </c>
      <c r="D95" s="523"/>
      <c r="E95" s="523">
        <f>E79+E83++E87+E91</f>
        <v>0</v>
      </c>
      <c r="F95" s="523">
        <f t="shared" ref="F95:X95" si="73">F79+F83++F87+F91</f>
        <v>0</v>
      </c>
      <c r="G95" s="523">
        <f t="shared" si="73"/>
        <v>0</v>
      </c>
      <c r="H95" s="523">
        <f t="shared" si="73"/>
        <v>7</v>
      </c>
      <c r="I95" s="523">
        <f t="shared" si="73"/>
        <v>7</v>
      </c>
      <c r="J95" s="523">
        <f t="shared" si="73"/>
        <v>6</v>
      </c>
      <c r="K95" s="523">
        <f t="shared" si="73"/>
        <v>1</v>
      </c>
      <c r="L95" s="523">
        <f t="shared" si="73"/>
        <v>6</v>
      </c>
      <c r="M95" s="523">
        <f t="shared" si="73"/>
        <v>8</v>
      </c>
      <c r="N95" s="523">
        <f t="shared" si="73"/>
        <v>6</v>
      </c>
      <c r="O95" s="523">
        <f>O79+O83++O87+O91</f>
        <v>13</v>
      </c>
      <c r="P95" s="523">
        <f t="shared" si="73"/>
        <v>5</v>
      </c>
      <c r="Q95" s="523">
        <f t="shared" si="73"/>
        <v>2</v>
      </c>
      <c r="R95" s="523">
        <f t="shared" si="73"/>
        <v>4</v>
      </c>
      <c r="S95" s="523">
        <f t="shared" si="73"/>
        <v>8</v>
      </c>
      <c r="T95" s="523">
        <f t="shared" si="73"/>
        <v>11</v>
      </c>
      <c r="U95" s="523">
        <f t="shared" si="73"/>
        <v>7</v>
      </c>
      <c r="V95" s="523">
        <f t="shared" si="73"/>
        <v>0</v>
      </c>
      <c r="W95" s="523">
        <f t="shared" si="73"/>
        <v>11</v>
      </c>
      <c r="X95" s="523">
        <f t="shared" si="73"/>
        <v>0</v>
      </c>
      <c r="Y95" s="523">
        <f t="shared" si="68"/>
        <v>5</v>
      </c>
      <c r="Z95" s="523">
        <f t="shared" si="68"/>
        <v>0</v>
      </c>
      <c r="AA95" s="523">
        <f t="shared" si="68"/>
        <v>3</v>
      </c>
      <c r="AB95" s="523">
        <f t="shared" si="68"/>
        <v>4</v>
      </c>
      <c r="AC95" s="523">
        <f t="shared" ref="AC95:AJ95" si="74">AC79+AC83++AC87+AC91</f>
        <v>4</v>
      </c>
      <c r="AD95" s="523">
        <f t="shared" si="74"/>
        <v>2</v>
      </c>
      <c r="AE95" s="523">
        <f t="shared" si="74"/>
        <v>0</v>
      </c>
      <c r="AF95" s="523">
        <f t="shared" si="74"/>
        <v>0</v>
      </c>
      <c r="AG95" s="523">
        <f t="shared" si="74"/>
        <v>0</v>
      </c>
      <c r="AH95" s="523">
        <f t="shared" si="74"/>
        <v>0</v>
      </c>
      <c r="AI95" s="523">
        <f t="shared" si="74"/>
        <v>0</v>
      </c>
      <c r="AJ95" s="523">
        <f t="shared" si="74"/>
        <v>0</v>
      </c>
      <c r="AK95" s="511"/>
      <c r="AL95" s="511"/>
      <c r="AM95" s="697">
        <f>SUM(E95:X95)</f>
        <v>102</v>
      </c>
      <c r="AN95" s="503"/>
      <c r="AO95" s="696">
        <f>SUM(T95:W95)</f>
        <v>29</v>
      </c>
      <c r="AP95" s="693"/>
      <c r="AQ95" s="506"/>
      <c r="AR95" s="506"/>
      <c r="AS95" s="506"/>
      <c r="AT95" s="506"/>
    </row>
    <row r="96" spans="1:46" ht="13">
      <c r="A96" s="1509" t="s">
        <v>4398</v>
      </c>
      <c r="B96" s="1509"/>
      <c r="C96" s="503" t="s">
        <v>197</v>
      </c>
      <c r="D96" s="503"/>
      <c r="E96" s="503"/>
      <c r="F96" s="503"/>
      <c r="G96" s="503"/>
      <c r="H96" s="503"/>
      <c r="I96" s="503"/>
      <c r="J96" s="503"/>
      <c r="K96" s="503"/>
      <c r="L96" s="503"/>
      <c r="M96" s="503"/>
      <c r="N96" s="503"/>
      <c r="O96" s="503"/>
      <c r="P96" s="503"/>
      <c r="Q96" s="503"/>
      <c r="R96" s="503"/>
      <c r="S96" s="503"/>
      <c r="T96" s="503"/>
      <c r="U96" s="503"/>
      <c r="V96" s="503"/>
      <c r="W96" s="503"/>
      <c r="X96" s="503"/>
      <c r="Y96" s="503"/>
      <c r="Z96" s="503"/>
      <c r="AA96" s="503"/>
      <c r="AB96" s="503"/>
      <c r="AC96" s="503"/>
      <c r="AD96" s="503"/>
      <c r="AE96" s="503"/>
      <c r="AF96" s="503"/>
      <c r="AG96" s="503"/>
      <c r="AH96" s="503"/>
      <c r="AI96" s="503"/>
      <c r="AJ96" s="503"/>
      <c r="AK96" s="503" t="s">
        <v>197</v>
      </c>
      <c r="AL96" s="503" t="s">
        <v>197</v>
      </c>
      <c r="AM96" s="503"/>
      <c r="AN96" s="503" t="s">
        <v>197</v>
      </c>
      <c r="AO96" s="506"/>
      <c r="AP96" s="506"/>
      <c r="AQ96" s="506"/>
      <c r="AR96" s="506"/>
      <c r="AS96" s="506"/>
      <c r="AT96" s="506"/>
    </row>
    <row r="97" spans="1:46" ht="26">
      <c r="A97" s="496" t="s">
        <v>1525</v>
      </c>
      <c r="B97" s="496"/>
      <c r="C97" s="496" t="s">
        <v>197</v>
      </c>
      <c r="D97" s="496" t="s">
        <v>951</v>
      </c>
      <c r="E97" s="496" t="s">
        <v>4363</v>
      </c>
      <c r="F97" s="496" t="s">
        <v>4364</v>
      </c>
      <c r="G97" s="496" t="s">
        <v>4365</v>
      </c>
      <c r="H97" s="496" t="s">
        <v>4366</v>
      </c>
      <c r="I97" s="496" t="s">
        <v>4367</v>
      </c>
      <c r="J97" s="497" t="s">
        <v>4368</v>
      </c>
      <c r="K97" s="496" t="s">
        <v>4369</v>
      </c>
      <c r="L97" s="496" t="s">
        <v>4370</v>
      </c>
      <c r="M97" s="496" t="s">
        <v>4371</v>
      </c>
      <c r="N97" s="496" t="s">
        <v>4372</v>
      </c>
      <c r="O97" s="496" t="s">
        <v>4373</v>
      </c>
      <c r="P97" s="496" t="s">
        <v>4374</v>
      </c>
      <c r="Q97" s="496" t="s">
        <v>4375</v>
      </c>
      <c r="R97" s="496" t="s">
        <v>4376</v>
      </c>
      <c r="S97" s="496" t="s">
        <v>4377</v>
      </c>
      <c r="T97" s="496" t="s">
        <v>4378</v>
      </c>
      <c r="U97" s="496" t="s">
        <v>4379</v>
      </c>
      <c r="V97" s="496" t="s">
        <v>4380</v>
      </c>
      <c r="W97" s="496" t="s">
        <v>4381</v>
      </c>
      <c r="X97" s="496" t="s">
        <v>4382</v>
      </c>
      <c r="Y97" s="496" t="s">
        <v>4383</v>
      </c>
      <c r="Z97" s="496" t="s">
        <v>4384</v>
      </c>
      <c r="AA97" s="496" t="s">
        <v>4385</v>
      </c>
      <c r="AB97" s="496" t="s">
        <v>4386</v>
      </c>
      <c r="AC97" s="496"/>
      <c r="AD97" s="496"/>
      <c r="AE97" s="496"/>
      <c r="AF97" s="496"/>
      <c r="AG97" s="496"/>
      <c r="AH97" s="496"/>
      <c r="AI97" s="496"/>
      <c r="AJ97" s="496"/>
      <c r="AK97" s="498" t="s">
        <v>4395</v>
      </c>
      <c r="AL97" s="499" t="s">
        <v>4396</v>
      </c>
      <c r="AM97" s="500" t="s">
        <v>4397</v>
      </c>
      <c r="AN97" s="500" t="s">
        <v>4398</v>
      </c>
      <c r="AO97" s="501"/>
      <c r="AP97" s="501" t="s">
        <v>4399</v>
      </c>
      <c r="AQ97" s="501"/>
      <c r="AR97" s="501"/>
      <c r="AS97" s="501"/>
      <c r="AT97" s="501"/>
    </row>
    <row r="98" spans="1:46" ht="13">
      <c r="A98" s="1516" t="s">
        <v>109</v>
      </c>
      <c r="B98" s="1516" t="s">
        <v>456</v>
      </c>
      <c r="C98" s="503" t="s">
        <v>4400</v>
      </c>
      <c r="D98" s="504">
        <f>SUMIFS('PV SUPPLY DATA'!$X:$X,'PV SUPPLY DATA'!$AH:$AH,'CT capacity tracker'!$B98,'PV SUPPLY DATA'!$AG:$AG,'CT capacity tracker'!$A$97,'PV SUPPLY DATA'!$Y:$Y,'CT capacity tracker'!D$1)</f>
        <v>0</v>
      </c>
      <c r="E98" s="504">
        <f>SUMIFS('PV SUPPLY DATA'!$X:$X,'PV SUPPLY DATA'!$Y:$Y,'CT capacity tracker'!E$1,'PV SUPPLY DATA'!$AG:$AG,'CT capacity tracker'!$A$97,'PV SUPPLY DATA'!$AH:$AH,'CT capacity tracker'!$B$98)</f>
        <v>0</v>
      </c>
      <c r="F98" s="504">
        <f>SUMIFS('PV SUPPLY DATA'!$X:$X,'PV SUPPLY DATA'!$Y:$Y,'CT capacity tracker'!F$1,'PV SUPPLY DATA'!$AG:$AG,'CT capacity tracker'!$A$97,'PV SUPPLY DATA'!$AH:$AH,'CT capacity tracker'!$B$98)</f>
        <v>0</v>
      </c>
      <c r="G98" s="504">
        <f>SUMIFS('PV SUPPLY DATA'!$X:$X,'PV SUPPLY DATA'!$Y:$Y,'CT capacity tracker'!G$1,'PV SUPPLY DATA'!$AG:$AG,'CT capacity tracker'!$A$97,'PV SUPPLY DATA'!$AH:$AH,'CT capacity tracker'!$B$98)</f>
        <v>0</v>
      </c>
      <c r="H98" s="504">
        <f>SUMIFS('PV SUPPLY DATA'!$X:$X,'PV SUPPLY DATA'!$Y:$Y,'CT capacity tracker'!H$1,'PV SUPPLY DATA'!$AG:$AG,'CT capacity tracker'!$A$97,'PV SUPPLY DATA'!$AH:$AH,'CT capacity tracker'!$B$98)</f>
        <v>0</v>
      </c>
      <c r="I98" s="504">
        <f>SUMIFS('PV SUPPLY DATA'!$X:$X,'PV SUPPLY DATA'!$Y:$Y,'CT capacity tracker'!I$1,'PV SUPPLY DATA'!$AG:$AG,'CT capacity tracker'!$A$97,'PV SUPPLY DATA'!$AH:$AH,'CT capacity tracker'!$B$98)</f>
        <v>0</v>
      </c>
      <c r="J98" s="504">
        <f>SUMIFS('PV SUPPLY DATA'!$X:$X,'PV SUPPLY DATA'!$Y:$Y,'CT capacity tracker'!J$1,'PV SUPPLY DATA'!$AG:$AG,'CT capacity tracker'!$A$97,'PV SUPPLY DATA'!$AH:$AH,'CT capacity tracker'!$B$98)</f>
        <v>0</v>
      </c>
      <c r="K98" s="504">
        <f>SUMIFS('PV SUPPLY DATA'!$X:$X,'PV SUPPLY DATA'!$Y:$Y,'CT capacity tracker'!K$1,'PV SUPPLY DATA'!$AG:$AG,'CT capacity tracker'!$A$97,'PV SUPPLY DATA'!$AH:$AH,'CT capacity tracker'!$B$98)</f>
        <v>0</v>
      </c>
      <c r="L98" s="504">
        <f>SUMIFS('PV SUPPLY DATA'!$X:$X,'PV SUPPLY DATA'!$Y:$Y,'CT capacity tracker'!L$1,'PV SUPPLY DATA'!$AG:$AG,'CT capacity tracker'!$A$97,'PV SUPPLY DATA'!$AH:$AH,'CT capacity tracker'!$B$98)</f>
        <v>0</v>
      </c>
      <c r="M98" s="504">
        <f>SUMIFS('PV SUPPLY DATA'!$X:$X,'PV SUPPLY DATA'!$Y:$Y,'CT capacity tracker'!M$1,'PV SUPPLY DATA'!$AG:$AG,'CT capacity tracker'!$A$97,'PV SUPPLY DATA'!$AH:$AH,'CT capacity tracker'!$B$98)</f>
        <v>0</v>
      </c>
      <c r="N98" s="504">
        <f>SUMIFS('PV SUPPLY DATA'!$X:$X,'PV SUPPLY DATA'!$Y:$Y,'CT capacity tracker'!N$1,'PV SUPPLY DATA'!$AG:$AG,'CT capacity tracker'!$A$97,'PV SUPPLY DATA'!$AH:$AH,'CT capacity tracker'!$B$98)</f>
        <v>0</v>
      </c>
      <c r="O98" s="504">
        <f>SUMIFS('PV SUPPLY DATA'!$X:$X,'PV SUPPLY DATA'!$Y:$Y,'CT capacity tracker'!O$1,'PV SUPPLY DATA'!$AG:$AG,'CT capacity tracker'!$A$97,'PV SUPPLY DATA'!$AH:$AH,'CT capacity tracker'!$B$98)</f>
        <v>2</v>
      </c>
      <c r="P98" s="504">
        <f>SUMIFS('PV SUPPLY DATA'!$X:$X,'PV SUPPLY DATA'!$Y:$Y,'CT capacity tracker'!P$1,'PV SUPPLY DATA'!$AG:$AG,'CT capacity tracker'!$A$97,'PV SUPPLY DATA'!$AH:$AH,'CT capacity tracker'!$B$98)</f>
        <v>1</v>
      </c>
      <c r="Q98" s="504">
        <f>SUMIFS('PV SUPPLY DATA'!$X:$X,'PV SUPPLY DATA'!$Y:$Y,'CT capacity tracker'!Q$1,'PV SUPPLY DATA'!$AG:$AG,'CT capacity tracker'!$A$97,'PV SUPPLY DATA'!$AH:$AH,'CT capacity tracker'!$B$98)</f>
        <v>12</v>
      </c>
      <c r="R98" s="504">
        <f>SUMIFS('PV SUPPLY DATA'!$X:$X,'PV SUPPLY DATA'!$Y:$Y,'CT capacity tracker'!R$1,'PV SUPPLY DATA'!$AG:$AG,'CT capacity tracker'!$A$97,'PV SUPPLY DATA'!$AH:$AH,'CT capacity tracker'!$B$98)</f>
        <v>5</v>
      </c>
      <c r="S98" s="504">
        <f>SUMIFS('PV SUPPLY DATA'!$X:$X,'PV SUPPLY DATA'!$Y:$Y,'CT capacity tracker'!S$1,'PV SUPPLY DATA'!$AG:$AG,'CT capacity tracker'!$A$97,'PV SUPPLY DATA'!$AH:$AH,'CT capacity tracker'!$B$98)</f>
        <v>0</v>
      </c>
      <c r="T98" s="504">
        <f>SUMIFS('PV SUPPLY DATA'!$X:$X,'PV SUPPLY DATA'!$Y:$Y,'CT capacity tracker'!T$1,'PV SUPPLY DATA'!$AG:$AG,'CT capacity tracker'!$A$97,'PV SUPPLY DATA'!$AH:$AH,'CT capacity tracker'!$B$98)</f>
        <v>0</v>
      </c>
      <c r="U98" s="504">
        <f>SUMIFS('PV SUPPLY DATA'!$X:$X,'PV SUPPLY DATA'!$Y:$Y,'CT capacity tracker'!U$1,'PV SUPPLY DATA'!$AG:$AG,'CT capacity tracker'!$A$97,'PV SUPPLY DATA'!$AH:$AH,'CT capacity tracker'!$B$98)</f>
        <v>0</v>
      </c>
      <c r="V98" s="504">
        <f>SUMIFS('PV SUPPLY DATA'!$X:$X,'PV SUPPLY DATA'!$Y:$Y,'CT capacity tracker'!V$1,'PV SUPPLY DATA'!$AG:$AG,'CT capacity tracker'!$A$97,'PV SUPPLY DATA'!$AH:$AH,'CT capacity tracker'!$B$98)</f>
        <v>2</v>
      </c>
      <c r="W98" s="504">
        <f>SUMIFS('PV SUPPLY DATA'!$X:$X,'PV SUPPLY DATA'!$Y:$Y,'CT capacity tracker'!W$1,'PV SUPPLY DATA'!$AG:$AG,'CT capacity tracker'!$A$97,'PV SUPPLY DATA'!$AH:$AH,'CT capacity tracker'!$B$98)</f>
        <v>0</v>
      </c>
      <c r="X98" s="504">
        <f>SUMIFS('PV SUPPLY DATA'!$X:$X,'PV SUPPLY DATA'!$Y:$Y,'CT capacity tracker'!X$1,'PV SUPPLY DATA'!$AG:$AG,'CT capacity tracker'!$A$97,'PV SUPPLY DATA'!$AH:$AH,'CT capacity tracker'!$B$98)</f>
        <v>0</v>
      </c>
      <c r="Y98" s="504">
        <f>SUMIFS('PV SUPPLY DATA'!$X:$X,'PV SUPPLY DATA'!$Y:$Y,'CT capacity tracker'!Y$1,'PV SUPPLY DATA'!$AG:$AG,'CT capacity tracker'!$A$97,'PV SUPPLY DATA'!$AH:$AH,'CT capacity tracker'!$B$98)</f>
        <v>0</v>
      </c>
      <c r="Z98" s="504">
        <f>SUMIFS('PV SUPPLY DATA'!$X:$X,'PV SUPPLY DATA'!$Y:$Y,'CT capacity tracker'!Z$1,'PV SUPPLY DATA'!$AG:$AG,'CT capacity tracker'!$A$97,'PV SUPPLY DATA'!$AH:$AH,'CT capacity tracker'!$B$98)</f>
        <v>2</v>
      </c>
      <c r="AA98" s="504">
        <f>SUMIFS('PV SUPPLY DATA'!$X:$X,'PV SUPPLY DATA'!$Y:$Y,'CT capacity tracker'!AA$1,'PV SUPPLY DATA'!$AG:$AG,'CT capacity tracker'!$A$97,'PV SUPPLY DATA'!$AH:$AH,'CT capacity tracker'!$B$98)</f>
        <v>2</v>
      </c>
      <c r="AB98" s="504">
        <f>SUMIFS('PV SUPPLY DATA'!$X:$X,'PV SUPPLY DATA'!$Y:$Y,'CT capacity tracker'!AB$1,'PV SUPPLY DATA'!$AG:$AG,'CT capacity tracker'!$A$97,'PV SUPPLY DATA'!$AH:$AH,'CT capacity tracker'!$B$98)</f>
        <v>2</v>
      </c>
      <c r="AC98" s="504">
        <f>SUMIFS('PV SUPPLY DATA'!$X:$X,'PV SUPPLY DATA'!$Y:$Y,'CT capacity tracker'!AC$1,'PV SUPPLY DATA'!$AG:$AG,'CT capacity tracker'!$A$97,'PV SUPPLY DATA'!$AH:$AH,'CT capacity tracker'!$B$98)</f>
        <v>0</v>
      </c>
      <c r="AD98" s="504">
        <f>SUMIFS('PV SUPPLY DATA'!$X:$X,'PV SUPPLY DATA'!$Y:$Y,'CT capacity tracker'!AD$1,'PV SUPPLY DATA'!$AG:$AG,'CT capacity tracker'!$A$97,'PV SUPPLY DATA'!$AH:$AH,'CT capacity tracker'!$B$98)</f>
        <v>2</v>
      </c>
      <c r="AE98" s="504">
        <f>SUMIFS('PV SUPPLY DATA'!$X:$X,'PV SUPPLY DATA'!$Y:$Y,'CT capacity tracker'!AE$1,'PV SUPPLY DATA'!$AG:$AG,'CT capacity tracker'!$A$97,'PV SUPPLY DATA'!$AH:$AH,'CT capacity tracker'!$B$98)</f>
        <v>0</v>
      </c>
      <c r="AF98" s="504">
        <f>SUMIFS('PV SUPPLY DATA'!$X:$X,'PV SUPPLY DATA'!$Y:$Y,'CT capacity tracker'!AF$1,'PV SUPPLY DATA'!$AG:$AG,'CT capacity tracker'!$A$97,'PV SUPPLY DATA'!$AH:$AH,'CT capacity tracker'!$B$98)</f>
        <v>0</v>
      </c>
      <c r="AG98" s="504">
        <f>SUMIFS('PV SUPPLY DATA'!$X:$X,'PV SUPPLY DATA'!$Y:$Y,'CT capacity tracker'!AG$1,'PV SUPPLY DATA'!$AG:$AG,'CT capacity tracker'!$A$97,'PV SUPPLY DATA'!$AH:$AH,'CT capacity tracker'!$B$98)</f>
        <v>0</v>
      </c>
      <c r="AH98" s="504">
        <f>SUMIFS('PV SUPPLY DATA'!$X:$X,'PV SUPPLY DATA'!$Y:$Y,'CT capacity tracker'!AH$1,'PV SUPPLY DATA'!$AG:$AG,'CT capacity tracker'!$A$97,'PV SUPPLY DATA'!$AH:$AH,'CT capacity tracker'!$B$98)</f>
        <v>0</v>
      </c>
      <c r="AI98" s="504">
        <f>SUMIFS('PV SUPPLY DATA'!$X:$X,'PV SUPPLY DATA'!$Y:$Y,'CT capacity tracker'!AI$1,'PV SUPPLY DATA'!$AG:$AG,'CT capacity tracker'!$A$97,'PV SUPPLY DATA'!$AH:$AH,'CT capacity tracker'!$B$98)</f>
        <v>0</v>
      </c>
      <c r="AJ98" s="504">
        <f>SUMIFS('PV SUPPLY DATA'!$X:$X,'PV SUPPLY DATA'!$Y:$Y,'CT capacity tracker'!AJ$1,'PV SUPPLY DATA'!$AG:$AG,'CT capacity tracker'!$A$97,'PV SUPPLY DATA'!$AH:$AH,'CT capacity tracker'!$B$98)</f>
        <v>0</v>
      </c>
      <c r="AK98" s="505" t="s">
        <v>197</v>
      </c>
      <c r="AL98" s="505" t="s">
        <v>197</v>
      </c>
      <c r="AM98" s="696">
        <f>SUM(E98:X98)</f>
        <v>22</v>
      </c>
      <c r="AN98" s="503" t="s">
        <v>197</v>
      </c>
      <c r="AO98" s="506"/>
      <c r="AP98" s="506"/>
      <c r="AQ98" s="506"/>
      <c r="AR98" s="506"/>
      <c r="AS98" s="506"/>
      <c r="AT98" s="506"/>
    </row>
    <row r="99" spans="1:46" ht="13">
      <c r="A99" s="1517"/>
      <c r="B99" s="1517"/>
      <c r="C99" s="509" t="s">
        <v>4401</v>
      </c>
      <c r="D99" s="509"/>
      <c r="E99" s="510"/>
      <c r="F99" s="510"/>
      <c r="G99" s="510"/>
      <c r="H99" s="510"/>
      <c r="I99" s="510"/>
      <c r="J99" s="510"/>
      <c r="K99" s="510"/>
      <c r="L99" s="510"/>
      <c r="M99" s="510">
        <v>2</v>
      </c>
      <c r="N99" s="510">
        <v>0</v>
      </c>
      <c r="O99" s="510">
        <v>2</v>
      </c>
      <c r="P99" s="510">
        <v>0</v>
      </c>
      <c r="Q99" s="510">
        <v>1</v>
      </c>
      <c r="R99" s="510">
        <v>2</v>
      </c>
      <c r="S99" s="510">
        <f>2+2</f>
        <v>4</v>
      </c>
      <c r="T99" s="510"/>
      <c r="U99" s="510">
        <v>2</v>
      </c>
      <c r="V99" s="510">
        <v>2</v>
      </c>
      <c r="W99" s="510">
        <v>2</v>
      </c>
      <c r="X99" s="510">
        <v>0</v>
      </c>
      <c r="Y99" s="510">
        <v>2</v>
      </c>
      <c r="Z99" s="510">
        <v>2</v>
      </c>
      <c r="AA99" s="510">
        <v>2</v>
      </c>
      <c r="AB99" s="510">
        <v>2</v>
      </c>
      <c r="AC99" s="510">
        <v>2</v>
      </c>
      <c r="AD99" s="510">
        <v>2</v>
      </c>
      <c r="AE99" s="510">
        <v>0</v>
      </c>
      <c r="AF99" s="510">
        <v>2</v>
      </c>
      <c r="AG99" s="510"/>
      <c r="AH99" s="510"/>
      <c r="AI99" s="510"/>
      <c r="AJ99" s="510"/>
      <c r="AK99" s="505" t="s">
        <v>197</v>
      </c>
      <c r="AL99" s="505" t="s">
        <v>197</v>
      </c>
      <c r="AM99" s="696"/>
      <c r="AN99" s="503" t="s">
        <v>197</v>
      </c>
      <c r="AO99" s="506"/>
      <c r="AP99" s="506"/>
      <c r="AQ99" s="506"/>
      <c r="AR99" s="506" t="s">
        <v>197</v>
      </c>
      <c r="AS99" s="506" t="s">
        <v>197</v>
      </c>
      <c r="AT99" s="506" t="s">
        <v>197</v>
      </c>
    </row>
    <row r="100" spans="1:46" ht="13">
      <c r="A100" s="1517"/>
      <c r="B100" s="1517"/>
      <c r="C100" s="520" t="s">
        <v>4402</v>
      </c>
      <c r="D100" s="522"/>
      <c r="E100" s="522">
        <f>E99-E98</f>
        <v>0</v>
      </c>
      <c r="F100" s="522">
        <f t="shared" ref="F100:X100" si="75">F99-F98</f>
        <v>0</v>
      </c>
      <c r="G100" s="522">
        <f t="shared" si="75"/>
        <v>0</v>
      </c>
      <c r="H100" s="522">
        <f t="shared" si="75"/>
        <v>0</v>
      </c>
      <c r="I100" s="522">
        <f t="shared" si="75"/>
        <v>0</v>
      </c>
      <c r="J100" s="522">
        <f t="shared" si="75"/>
        <v>0</v>
      </c>
      <c r="K100" s="522">
        <f t="shared" si="75"/>
        <v>0</v>
      </c>
      <c r="L100" s="522">
        <f t="shared" si="75"/>
        <v>0</v>
      </c>
      <c r="M100" s="522">
        <f t="shared" si="75"/>
        <v>2</v>
      </c>
      <c r="N100" s="522">
        <f t="shared" si="75"/>
        <v>0</v>
      </c>
      <c r="O100" s="522">
        <f t="shared" si="75"/>
        <v>0</v>
      </c>
      <c r="P100" s="522">
        <f t="shared" si="75"/>
        <v>-1</v>
      </c>
      <c r="Q100" s="522">
        <f t="shared" si="75"/>
        <v>-11</v>
      </c>
      <c r="R100" s="522">
        <f t="shared" si="75"/>
        <v>-3</v>
      </c>
      <c r="S100" s="522">
        <f t="shared" si="75"/>
        <v>4</v>
      </c>
      <c r="T100" s="522">
        <f t="shared" si="75"/>
        <v>0</v>
      </c>
      <c r="U100" s="522">
        <f t="shared" si="75"/>
        <v>2</v>
      </c>
      <c r="V100" s="522">
        <f t="shared" si="75"/>
        <v>0</v>
      </c>
      <c r="W100" s="522">
        <f t="shared" si="75"/>
        <v>2</v>
      </c>
      <c r="X100" s="522">
        <f t="shared" si="75"/>
        <v>0</v>
      </c>
      <c r="Y100" s="522">
        <f t="shared" ref="Y100:AJ100" si="76">Y99-Y98</f>
        <v>2</v>
      </c>
      <c r="Z100" s="522">
        <f t="shared" si="76"/>
        <v>0</v>
      </c>
      <c r="AA100" s="522">
        <f t="shared" si="76"/>
        <v>0</v>
      </c>
      <c r="AB100" s="522">
        <f t="shared" si="76"/>
        <v>0</v>
      </c>
      <c r="AC100" s="522">
        <f t="shared" si="76"/>
        <v>2</v>
      </c>
      <c r="AD100" s="522">
        <f t="shared" si="76"/>
        <v>0</v>
      </c>
      <c r="AE100" s="522">
        <f t="shared" si="76"/>
        <v>0</v>
      </c>
      <c r="AF100" s="522">
        <f t="shared" si="76"/>
        <v>2</v>
      </c>
      <c r="AG100" s="522">
        <f t="shared" si="76"/>
        <v>0</v>
      </c>
      <c r="AH100" s="522">
        <f t="shared" si="76"/>
        <v>0</v>
      </c>
      <c r="AI100" s="522">
        <f t="shared" si="76"/>
        <v>0</v>
      </c>
      <c r="AJ100" s="522">
        <f t="shared" si="76"/>
        <v>0</v>
      </c>
      <c r="AK100" s="511">
        <f>SUMIF($E100:$X100,"&gt;0")</f>
        <v>10</v>
      </c>
      <c r="AL100" s="511">
        <f>SUMIF($E100:$X100,"&lt;0")</f>
        <v>-15</v>
      </c>
      <c r="AM100" s="696"/>
      <c r="AN100" s="503" t="s">
        <v>4409</v>
      </c>
      <c r="AO100" s="506"/>
      <c r="AP100" s="534">
        <f>SUM(G100:J100)</f>
        <v>0</v>
      </c>
      <c r="AQ100" s="506"/>
      <c r="AR100" s="506" t="s">
        <v>197</v>
      </c>
      <c r="AS100" s="506" t="s">
        <v>197</v>
      </c>
      <c r="AT100" s="506" t="s">
        <v>197</v>
      </c>
    </row>
    <row r="101" spans="1:46" ht="13">
      <c r="A101" s="1517"/>
      <c r="B101" s="1518"/>
      <c r="C101" s="503" t="s">
        <v>4403</v>
      </c>
      <c r="D101" s="522"/>
      <c r="E101" s="504">
        <f>SUMIFS('PV SUPPLY DATA'!$X:$X,'PV SUPPLY DATA'!$AH:$AH,'CT capacity tracker'!$B98,'PV SUPPLY DATA'!$AG:$AG,'CT capacity tracker'!$A$97,'PV SUPPLY DATA'!$Y:$Y,E$1,'PV SUPPLY DATA'!$AQ:$AQ,"cosco")+SUMIFS('PV SUPPLY DATA'!$X:$X,'PV SUPPLY DATA'!$AH:$AH,'CT capacity tracker'!$B98,'PV SUPPLY DATA'!$AG:$AG,'CT capacity tracker'!$A$97,'PV SUPPLY DATA'!$Y:$Y,E$1,'PV SUPPLY DATA'!$AQ:$AQ,"other")+SUMIFS('ESS SUPPLY DATA'!$U:$U,'ESS SUPPLY DATA'!$AF:$AF,'CT capacity tracker'!$B98,'ESS SUPPLY DATA'!$AE:$AE,'CT capacity tracker'!$A$97,'ESS SUPPLY DATA'!$W:$W,'CT capacity tracker'!E$1,'ESS SUPPLY DATA'!$AO:$AO,"cosco")+SUMIFS('ESS SUPPLY DATA'!$U:$U,'ESS SUPPLY DATA'!$AF:$AF,'CT capacity tracker'!$B98,'ESS SUPPLY DATA'!$AE:$AE,'CT capacity tracker'!$A$97,'ESS SUPPLY DATA'!$W:$W,'CT capacity tracker'!E$1,'ESS SUPPLY DATA'!$AO:$AO,"other")</f>
        <v>0</v>
      </c>
      <c r="F101" s="504">
        <f>SUMIFS('PV SUPPLY DATA'!$X:$X,'PV SUPPLY DATA'!$AH:$AH,'CT capacity tracker'!$B98,'PV SUPPLY DATA'!$AG:$AG,'CT capacity tracker'!$A$97,'PV SUPPLY DATA'!$Y:$Y,F$1,'PV SUPPLY DATA'!$AQ:$AQ,"cosco")+SUMIFS('PV SUPPLY DATA'!$X:$X,'PV SUPPLY DATA'!$AH:$AH,'CT capacity tracker'!$B98,'PV SUPPLY DATA'!$AG:$AG,'CT capacity tracker'!$A$97,'PV SUPPLY DATA'!$Y:$Y,F$1,'PV SUPPLY DATA'!$AQ:$AQ,"other")+SUMIFS('ESS SUPPLY DATA'!$U:$U,'ESS SUPPLY DATA'!$AF:$AF,'CT capacity tracker'!$B98,'ESS SUPPLY DATA'!$AE:$AE,'CT capacity tracker'!$A$97,'ESS SUPPLY DATA'!$W:$W,'CT capacity tracker'!F$1,'ESS SUPPLY DATA'!$AO:$AO,"cosco")+SUMIFS('ESS SUPPLY DATA'!$U:$U,'ESS SUPPLY DATA'!$AF:$AF,'CT capacity tracker'!$B98,'ESS SUPPLY DATA'!$AE:$AE,'CT capacity tracker'!$A$97,'ESS SUPPLY DATA'!$W:$W,'CT capacity tracker'!F$1,'ESS SUPPLY DATA'!$AO:$AO,"other")</f>
        <v>0</v>
      </c>
      <c r="G101" s="504">
        <f>SUMIFS('PV SUPPLY DATA'!$X:$X,'PV SUPPLY DATA'!$AH:$AH,'CT capacity tracker'!$B98,'PV SUPPLY DATA'!$AG:$AG,'CT capacity tracker'!$A$97,'PV SUPPLY DATA'!$Y:$Y,G$1,'PV SUPPLY DATA'!$AQ:$AQ,"cosco")+SUMIFS('PV SUPPLY DATA'!$X:$X,'PV SUPPLY DATA'!$AH:$AH,'CT capacity tracker'!$B98,'PV SUPPLY DATA'!$AG:$AG,'CT capacity tracker'!$A$97,'PV SUPPLY DATA'!$Y:$Y,G$1,'PV SUPPLY DATA'!$AQ:$AQ,"other")+SUMIFS('ESS SUPPLY DATA'!$U:$U,'ESS SUPPLY DATA'!$AF:$AF,'CT capacity tracker'!$B98,'ESS SUPPLY DATA'!$AE:$AE,'CT capacity tracker'!$A$97,'ESS SUPPLY DATA'!$W:$W,'CT capacity tracker'!G$1,'ESS SUPPLY DATA'!$AO:$AO,"cosco")+SUMIFS('ESS SUPPLY DATA'!$U:$U,'ESS SUPPLY DATA'!$AF:$AF,'CT capacity tracker'!$B98,'ESS SUPPLY DATA'!$AE:$AE,'CT capacity tracker'!$A$97,'ESS SUPPLY DATA'!$W:$W,'CT capacity tracker'!G$1,'ESS SUPPLY DATA'!$AO:$AO,"other")</f>
        <v>0</v>
      </c>
      <c r="H101" s="504">
        <f>SUMIFS('PV SUPPLY DATA'!$X:$X,'PV SUPPLY DATA'!$AH:$AH,'CT capacity tracker'!$B98,'PV SUPPLY DATA'!$AG:$AG,'CT capacity tracker'!$A$97,'PV SUPPLY DATA'!$Y:$Y,H$1,'PV SUPPLY DATA'!$AQ:$AQ,"cosco")+SUMIFS('PV SUPPLY DATA'!$X:$X,'PV SUPPLY DATA'!$AH:$AH,'CT capacity tracker'!$B98,'PV SUPPLY DATA'!$AG:$AG,'CT capacity tracker'!$A$97,'PV SUPPLY DATA'!$Y:$Y,H$1,'PV SUPPLY DATA'!$AQ:$AQ,"other")+SUMIFS('ESS SUPPLY DATA'!$U:$U,'ESS SUPPLY DATA'!$AF:$AF,'CT capacity tracker'!$B98,'ESS SUPPLY DATA'!$AE:$AE,'CT capacity tracker'!$A$97,'ESS SUPPLY DATA'!$W:$W,'CT capacity tracker'!H$1,'ESS SUPPLY DATA'!$AO:$AO,"cosco")+SUMIFS('ESS SUPPLY DATA'!$U:$U,'ESS SUPPLY DATA'!$AF:$AF,'CT capacity tracker'!$B98,'ESS SUPPLY DATA'!$AE:$AE,'CT capacity tracker'!$A$97,'ESS SUPPLY DATA'!$W:$W,'CT capacity tracker'!H$1,'ESS SUPPLY DATA'!$AO:$AO,"other")</f>
        <v>0</v>
      </c>
      <c r="I101" s="504">
        <f>SUMIFS('PV SUPPLY DATA'!$X:$X,'PV SUPPLY DATA'!$AH:$AH,'CT capacity tracker'!$B98,'PV SUPPLY DATA'!$AG:$AG,'CT capacity tracker'!$A$97,'PV SUPPLY DATA'!$Y:$Y,I$1,'PV SUPPLY DATA'!$AQ:$AQ,"cosco")+SUMIFS('PV SUPPLY DATA'!$X:$X,'PV SUPPLY DATA'!$AH:$AH,'CT capacity tracker'!$B98,'PV SUPPLY DATA'!$AG:$AG,'CT capacity tracker'!$A$97,'PV SUPPLY DATA'!$Y:$Y,I$1,'PV SUPPLY DATA'!$AQ:$AQ,"other")+SUMIFS('ESS SUPPLY DATA'!$U:$U,'ESS SUPPLY DATA'!$AF:$AF,'CT capacity tracker'!$B98,'ESS SUPPLY DATA'!$AE:$AE,'CT capacity tracker'!$A$97,'ESS SUPPLY DATA'!$W:$W,'CT capacity tracker'!I$1,'ESS SUPPLY DATA'!$AO:$AO,"cosco")+SUMIFS('ESS SUPPLY DATA'!$U:$U,'ESS SUPPLY DATA'!$AF:$AF,'CT capacity tracker'!$B98,'ESS SUPPLY DATA'!$AE:$AE,'CT capacity tracker'!$A$97,'ESS SUPPLY DATA'!$W:$W,'CT capacity tracker'!I$1,'ESS SUPPLY DATA'!$AO:$AO,"other")</f>
        <v>0</v>
      </c>
      <c r="J101" s="504">
        <f>SUMIFS('PV SUPPLY DATA'!$X:$X,'PV SUPPLY DATA'!$AH:$AH,'CT capacity tracker'!$B98,'PV SUPPLY DATA'!$AG:$AG,'CT capacity tracker'!$A$97,'PV SUPPLY DATA'!$Y:$Y,J$1,'PV SUPPLY DATA'!$AQ:$AQ,"cosco")+SUMIFS('PV SUPPLY DATA'!$X:$X,'PV SUPPLY DATA'!$AH:$AH,'CT capacity tracker'!$B98,'PV SUPPLY DATA'!$AG:$AG,'CT capacity tracker'!$A$97,'PV SUPPLY DATA'!$Y:$Y,J$1,'PV SUPPLY DATA'!$AQ:$AQ,"other")+SUMIFS('ESS SUPPLY DATA'!$U:$U,'ESS SUPPLY DATA'!$AF:$AF,'CT capacity tracker'!$B98,'ESS SUPPLY DATA'!$AE:$AE,'CT capacity tracker'!$A$97,'ESS SUPPLY DATA'!$W:$W,'CT capacity tracker'!J$1,'ESS SUPPLY DATA'!$AO:$AO,"cosco")+SUMIFS('ESS SUPPLY DATA'!$U:$U,'ESS SUPPLY DATA'!$AF:$AF,'CT capacity tracker'!$B98,'ESS SUPPLY DATA'!$AE:$AE,'CT capacity tracker'!$A$97,'ESS SUPPLY DATA'!$W:$W,'CT capacity tracker'!J$1,'ESS SUPPLY DATA'!$AO:$AO,"other")</f>
        <v>0</v>
      </c>
      <c r="K101" s="504">
        <f>SUMIFS('PV SUPPLY DATA'!$X:$X,'PV SUPPLY DATA'!$AH:$AH,'CT capacity tracker'!$B98,'PV SUPPLY DATA'!$AG:$AG,'CT capacity tracker'!$A$97,'PV SUPPLY DATA'!$Y:$Y,K$1,'PV SUPPLY DATA'!$AQ:$AQ,"cosco")+SUMIFS('PV SUPPLY DATA'!$X:$X,'PV SUPPLY DATA'!$AH:$AH,'CT capacity tracker'!$B98,'PV SUPPLY DATA'!$AG:$AG,'CT capacity tracker'!$A$97,'PV SUPPLY DATA'!$Y:$Y,K$1,'PV SUPPLY DATA'!$AQ:$AQ,"other")+SUMIFS('ESS SUPPLY DATA'!$U:$U,'ESS SUPPLY DATA'!$AF:$AF,'CT capacity tracker'!$B98,'ESS SUPPLY DATA'!$AE:$AE,'CT capacity tracker'!$A$97,'ESS SUPPLY DATA'!$W:$W,'CT capacity tracker'!K$1,'ESS SUPPLY DATA'!$AO:$AO,"cosco")+SUMIFS('ESS SUPPLY DATA'!$U:$U,'ESS SUPPLY DATA'!$AF:$AF,'CT capacity tracker'!$B98,'ESS SUPPLY DATA'!$AE:$AE,'CT capacity tracker'!$A$97,'ESS SUPPLY DATA'!$W:$W,'CT capacity tracker'!K$1,'ESS SUPPLY DATA'!$AO:$AO,"other")</f>
        <v>0</v>
      </c>
      <c r="L101" s="504">
        <f>SUMIFS('PV SUPPLY DATA'!$X:$X,'PV SUPPLY DATA'!$AH:$AH,'CT capacity tracker'!$B98,'PV SUPPLY DATA'!$AG:$AG,'CT capacity tracker'!$A$97,'PV SUPPLY DATA'!$Y:$Y,L$1,'PV SUPPLY DATA'!$AQ:$AQ,"cosco")+SUMIFS('PV SUPPLY DATA'!$X:$X,'PV SUPPLY DATA'!$AH:$AH,'CT capacity tracker'!$B98,'PV SUPPLY DATA'!$AG:$AG,'CT capacity tracker'!$A$97,'PV SUPPLY DATA'!$Y:$Y,L$1,'PV SUPPLY DATA'!$AQ:$AQ,"other")+SUMIFS('ESS SUPPLY DATA'!$U:$U,'ESS SUPPLY DATA'!$AF:$AF,'CT capacity tracker'!$B98,'ESS SUPPLY DATA'!$AE:$AE,'CT capacity tracker'!$A$97,'ESS SUPPLY DATA'!$W:$W,'CT capacity tracker'!L$1,'ESS SUPPLY DATA'!$AO:$AO,"cosco")+SUMIFS('ESS SUPPLY DATA'!$U:$U,'ESS SUPPLY DATA'!$AF:$AF,'CT capacity tracker'!$B98,'ESS SUPPLY DATA'!$AE:$AE,'CT capacity tracker'!$A$97,'ESS SUPPLY DATA'!$W:$W,'CT capacity tracker'!L$1,'ESS SUPPLY DATA'!$AO:$AO,"other")</f>
        <v>0</v>
      </c>
      <c r="M101" s="504">
        <f>SUMIFS('PV SUPPLY DATA'!$X:$X,'PV SUPPLY DATA'!$AH:$AH,'CT capacity tracker'!$B98,'PV SUPPLY DATA'!$AG:$AG,'CT capacity tracker'!$A$97,'PV SUPPLY DATA'!$Y:$Y,M$1,'PV SUPPLY DATA'!$AQ:$AQ,"cosco")+SUMIFS('PV SUPPLY DATA'!$X:$X,'PV SUPPLY DATA'!$AH:$AH,'CT capacity tracker'!$B98,'PV SUPPLY DATA'!$AG:$AG,'CT capacity tracker'!$A$97,'PV SUPPLY DATA'!$Y:$Y,M$1,'PV SUPPLY DATA'!$AQ:$AQ,"other")+SUMIFS('ESS SUPPLY DATA'!$U:$U,'ESS SUPPLY DATA'!$AF:$AF,'CT capacity tracker'!$B98,'ESS SUPPLY DATA'!$AE:$AE,'CT capacity tracker'!$A$97,'ESS SUPPLY DATA'!$W:$W,'CT capacity tracker'!M$1,'ESS SUPPLY DATA'!$AO:$AO,"cosco")+SUMIFS('ESS SUPPLY DATA'!$U:$U,'ESS SUPPLY DATA'!$AF:$AF,'CT capacity tracker'!$B98,'ESS SUPPLY DATA'!$AE:$AE,'CT capacity tracker'!$A$97,'ESS SUPPLY DATA'!$W:$W,'CT capacity tracker'!M$1,'ESS SUPPLY DATA'!$AO:$AO,"other")</f>
        <v>0</v>
      </c>
      <c r="N101" s="504">
        <f>SUMIFS('PV SUPPLY DATA'!$X:$X,'PV SUPPLY DATA'!$AH:$AH,'CT capacity tracker'!$B98,'PV SUPPLY DATA'!$AG:$AG,'CT capacity tracker'!$A$97,'PV SUPPLY DATA'!$Y:$Y,N$1,'PV SUPPLY DATA'!$AQ:$AQ,"cosco")+SUMIFS('PV SUPPLY DATA'!$X:$X,'PV SUPPLY DATA'!$AH:$AH,'CT capacity tracker'!$B98,'PV SUPPLY DATA'!$AG:$AG,'CT capacity tracker'!$A$97,'PV SUPPLY DATA'!$Y:$Y,N$1,'PV SUPPLY DATA'!$AQ:$AQ,"other")+SUMIFS('ESS SUPPLY DATA'!$U:$U,'ESS SUPPLY DATA'!$AF:$AF,'CT capacity tracker'!$B98,'ESS SUPPLY DATA'!$AE:$AE,'CT capacity tracker'!$A$97,'ESS SUPPLY DATA'!$W:$W,'CT capacity tracker'!N$1,'ESS SUPPLY DATA'!$AO:$AO,"cosco")+SUMIFS('ESS SUPPLY DATA'!$U:$U,'ESS SUPPLY DATA'!$AF:$AF,'CT capacity tracker'!$B98,'ESS SUPPLY DATA'!$AE:$AE,'CT capacity tracker'!$A$97,'ESS SUPPLY DATA'!$W:$W,'CT capacity tracker'!N$1,'ESS SUPPLY DATA'!$AO:$AO,"other")</f>
        <v>0</v>
      </c>
      <c r="O101" s="504">
        <f>SUMIFS('PV SUPPLY DATA'!$X:$X,'PV SUPPLY DATA'!$AH:$AH,'CT capacity tracker'!$B98,'PV SUPPLY DATA'!$AG:$AG,'CT capacity tracker'!$A$97,'PV SUPPLY DATA'!$Y:$Y,O$1,'PV SUPPLY DATA'!$AQ:$AQ,"cosco")+SUMIFS('PV SUPPLY DATA'!$X:$X,'PV SUPPLY DATA'!$AH:$AH,'CT capacity tracker'!$B98,'PV SUPPLY DATA'!$AG:$AG,'CT capacity tracker'!$A$97,'PV SUPPLY DATA'!$Y:$Y,O$1,'PV SUPPLY DATA'!$AQ:$AQ,"other")+SUMIFS('ESS SUPPLY DATA'!$U:$U,'ESS SUPPLY DATA'!$AF:$AF,'CT capacity tracker'!$B98,'ESS SUPPLY DATA'!$AE:$AE,'CT capacity tracker'!$A$97,'ESS SUPPLY DATA'!$W:$W,'CT capacity tracker'!O$1,'ESS SUPPLY DATA'!$AO:$AO,"cosco")+SUMIFS('ESS SUPPLY DATA'!$U:$U,'ESS SUPPLY DATA'!$AF:$AF,'CT capacity tracker'!$B98,'ESS SUPPLY DATA'!$AE:$AE,'CT capacity tracker'!$A$97,'ESS SUPPLY DATA'!$W:$W,'CT capacity tracker'!O$1,'ESS SUPPLY DATA'!$AO:$AO,"other")</f>
        <v>2</v>
      </c>
      <c r="P101" s="504">
        <f>SUMIFS('PV SUPPLY DATA'!$X:$X,'PV SUPPLY DATA'!$AH:$AH,'CT capacity tracker'!$B98,'PV SUPPLY DATA'!$AG:$AG,'CT capacity tracker'!$A$97,'PV SUPPLY DATA'!$Y:$Y,P$1,'PV SUPPLY DATA'!$AQ:$AQ,"cosco")+SUMIFS('PV SUPPLY DATA'!$X:$X,'PV SUPPLY DATA'!$AH:$AH,'CT capacity tracker'!$B98,'PV SUPPLY DATA'!$AG:$AG,'CT capacity tracker'!$A$97,'PV SUPPLY DATA'!$Y:$Y,P$1,'PV SUPPLY DATA'!$AQ:$AQ,"other")+SUMIFS('ESS SUPPLY DATA'!$U:$U,'ESS SUPPLY DATA'!$AF:$AF,'CT capacity tracker'!$B98,'ESS SUPPLY DATA'!$AE:$AE,'CT capacity tracker'!$A$97,'ESS SUPPLY DATA'!$W:$W,'CT capacity tracker'!P$1,'ESS SUPPLY DATA'!$AO:$AO,"cosco")+SUMIFS('ESS SUPPLY DATA'!$U:$U,'ESS SUPPLY DATA'!$AF:$AF,'CT capacity tracker'!$B98,'ESS SUPPLY DATA'!$AE:$AE,'CT capacity tracker'!$A$97,'ESS SUPPLY DATA'!$W:$W,'CT capacity tracker'!P$1,'ESS SUPPLY DATA'!$AO:$AO,"other")</f>
        <v>1</v>
      </c>
      <c r="Q101" s="504">
        <f>SUMIFS('PV SUPPLY DATA'!$X:$X,'PV SUPPLY DATA'!$AH:$AH,'CT capacity tracker'!$B98,'PV SUPPLY DATA'!$AG:$AG,'CT capacity tracker'!$A$97,'PV SUPPLY DATA'!$Y:$Y,Q$1,'PV SUPPLY DATA'!$AQ:$AQ,"cosco")+SUMIFS('PV SUPPLY DATA'!$X:$X,'PV SUPPLY DATA'!$AH:$AH,'CT capacity tracker'!$B98,'PV SUPPLY DATA'!$AG:$AG,'CT capacity tracker'!$A$97,'PV SUPPLY DATA'!$Y:$Y,Q$1,'PV SUPPLY DATA'!$AQ:$AQ,"other")+SUMIFS('ESS SUPPLY DATA'!$U:$U,'ESS SUPPLY DATA'!$AF:$AF,'CT capacity tracker'!$B98,'ESS SUPPLY DATA'!$AE:$AE,'CT capacity tracker'!$A$97,'ESS SUPPLY DATA'!$W:$W,'CT capacity tracker'!Q$1,'ESS SUPPLY DATA'!$AO:$AO,"cosco")+SUMIFS('ESS SUPPLY DATA'!$U:$U,'ESS SUPPLY DATA'!$AF:$AF,'CT capacity tracker'!$B98,'ESS SUPPLY DATA'!$AE:$AE,'CT capacity tracker'!$A$97,'ESS SUPPLY DATA'!$W:$W,'CT capacity tracker'!Q$1,'ESS SUPPLY DATA'!$AO:$AO,"other")</f>
        <v>12</v>
      </c>
      <c r="R101" s="504">
        <f>SUMIFS('PV SUPPLY DATA'!$X:$X,'PV SUPPLY DATA'!$AH:$AH,'CT capacity tracker'!$B98,'PV SUPPLY DATA'!$AG:$AG,'CT capacity tracker'!$A$97,'PV SUPPLY DATA'!$Y:$Y,R$1,'PV SUPPLY DATA'!$AQ:$AQ,"cosco")+SUMIFS('PV SUPPLY DATA'!$X:$X,'PV SUPPLY DATA'!$AH:$AH,'CT capacity tracker'!$B98,'PV SUPPLY DATA'!$AG:$AG,'CT capacity tracker'!$A$97,'PV SUPPLY DATA'!$Y:$Y,R$1,'PV SUPPLY DATA'!$AQ:$AQ,"other")+SUMIFS('ESS SUPPLY DATA'!$U:$U,'ESS SUPPLY DATA'!$AF:$AF,'CT capacity tracker'!$B98,'ESS SUPPLY DATA'!$AE:$AE,'CT capacity tracker'!$A$97,'ESS SUPPLY DATA'!$W:$W,'CT capacity tracker'!R$1,'ESS SUPPLY DATA'!$AO:$AO,"cosco")+SUMIFS('ESS SUPPLY DATA'!$U:$U,'ESS SUPPLY DATA'!$AF:$AF,'CT capacity tracker'!$B98,'ESS SUPPLY DATA'!$AE:$AE,'CT capacity tracker'!$A$97,'ESS SUPPLY DATA'!$W:$W,'CT capacity tracker'!R$1,'ESS SUPPLY DATA'!$AO:$AO,"other")</f>
        <v>5</v>
      </c>
      <c r="S101" s="504">
        <f>SUMIFS('PV SUPPLY DATA'!$X:$X,'PV SUPPLY DATA'!$AH:$AH,'CT capacity tracker'!$B98,'PV SUPPLY DATA'!$AG:$AG,'CT capacity tracker'!$A$97,'PV SUPPLY DATA'!$Y:$Y,S$1,'PV SUPPLY DATA'!$AQ:$AQ,"cosco")+SUMIFS('PV SUPPLY DATA'!$X:$X,'PV SUPPLY DATA'!$AH:$AH,'CT capacity tracker'!$B98,'PV SUPPLY DATA'!$AG:$AG,'CT capacity tracker'!$A$97,'PV SUPPLY DATA'!$Y:$Y,S$1,'PV SUPPLY DATA'!$AQ:$AQ,"other")+SUMIFS('ESS SUPPLY DATA'!$U:$U,'ESS SUPPLY DATA'!$AF:$AF,'CT capacity tracker'!$B98,'ESS SUPPLY DATA'!$AE:$AE,'CT capacity tracker'!$A$97,'ESS SUPPLY DATA'!$W:$W,'CT capacity tracker'!S$1,'ESS SUPPLY DATA'!$AO:$AO,"cosco")+SUMIFS('ESS SUPPLY DATA'!$U:$U,'ESS SUPPLY DATA'!$AF:$AF,'CT capacity tracker'!$B98,'ESS SUPPLY DATA'!$AE:$AE,'CT capacity tracker'!$A$97,'ESS SUPPLY DATA'!$W:$W,'CT capacity tracker'!S$1,'ESS SUPPLY DATA'!$AO:$AO,"other")</f>
        <v>0</v>
      </c>
      <c r="T101" s="504">
        <f>SUMIFS('PV SUPPLY DATA'!$X:$X,'PV SUPPLY DATA'!$AH:$AH,'CT capacity tracker'!$B98,'PV SUPPLY DATA'!$AG:$AG,'CT capacity tracker'!$A$97,'PV SUPPLY DATA'!$Y:$Y,T$1,'PV SUPPLY DATA'!$AQ:$AQ,"cosco")+SUMIFS('PV SUPPLY DATA'!$X:$X,'PV SUPPLY DATA'!$AH:$AH,'CT capacity tracker'!$B98,'PV SUPPLY DATA'!$AG:$AG,'CT capacity tracker'!$A$97,'PV SUPPLY DATA'!$Y:$Y,T$1,'PV SUPPLY DATA'!$AQ:$AQ,"other")+SUMIFS('ESS SUPPLY DATA'!$U:$U,'ESS SUPPLY DATA'!$AF:$AF,'CT capacity tracker'!$B98,'ESS SUPPLY DATA'!$AE:$AE,'CT capacity tracker'!$A$97,'ESS SUPPLY DATA'!$W:$W,'CT capacity tracker'!T$1,'ESS SUPPLY DATA'!$AO:$AO,"cosco")+SUMIFS('ESS SUPPLY DATA'!$U:$U,'ESS SUPPLY DATA'!$AF:$AF,'CT capacity tracker'!$B98,'ESS SUPPLY DATA'!$AE:$AE,'CT capacity tracker'!$A$97,'ESS SUPPLY DATA'!$W:$W,'CT capacity tracker'!T$1,'ESS SUPPLY DATA'!$AO:$AO,"other")</f>
        <v>0</v>
      </c>
      <c r="U101" s="504">
        <f>SUMIFS('PV SUPPLY DATA'!$X:$X,'PV SUPPLY DATA'!$AH:$AH,'CT capacity tracker'!$B98,'PV SUPPLY DATA'!$AG:$AG,'CT capacity tracker'!$A$97,'PV SUPPLY DATA'!$Y:$Y,U$1,'PV SUPPLY DATA'!$AQ:$AQ,"cosco")+SUMIFS('PV SUPPLY DATA'!$X:$X,'PV SUPPLY DATA'!$AH:$AH,'CT capacity tracker'!$B98,'PV SUPPLY DATA'!$AG:$AG,'CT capacity tracker'!$A$97,'PV SUPPLY DATA'!$Y:$Y,U$1,'PV SUPPLY DATA'!$AQ:$AQ,"other")+SUMIFS('ESS SUPPLY DATA'!$U:$U,'ESS SUPPLY DATA'!$AF:$AF,'CT capacity tracker'!$B98,'ESS SUPPLY DATA'!$AE:$AE,'CT capacity tracker'!$A$97,'ESS SUPPLY DATA'!$W:$W,'CT capacity tracker'!U$1,'ESS SUPPLY DATA'!$AO:$AO,"cosco")+SUMIFS('ESS SUPPLY DATA'!$U:$U,'ESS SUPPLY DATA'!$AF:$AF,'CT capacity tracker'!$B98,'ESS SUPPLY DATA'!$AE:$AE,'CT capacity tracker'!$A$97,'ESS SUPPLY DATA'!$W:$W,'CT capacity tracker'!U$1,'ESS SUPPLY DATA'!$AO:$AO,"other")</f>
        <v>0</v>
      </c>
      <c r="V101" s="504">
        <f>SUMIFS('PV SUPPLY DATA'!$X:$X,'PV SUPPLY DATA'!$AH:$AH,'CT capacity tracker'!$B98,'PV SUPPLY DATA'!$AG:$AG,'CT capacity tracker'!$A$97,'PV SUPPLY DATA'!$Y:$Y,V$1,'PV SUPPLY DATA'!$AQ:$AQ,"cosco")+SUMIFS('PV SUPPLY DATA'!$X:$X,'PV SUPPLY DATA'!$AH:$AH,'CT capacity tracker'!$B98,'PV SUPPLY DATA'!$AG:$AG,'CT capacity tracker'!$A$97,'PV SUPPLY DATA'!$Y:$Y,V$1,'PV SUPPLY DATA'!$AQ:$AQ,"other")+SUMIFS('ESS SUPPLY DATA'!$U:$U,'ESS SUPPLY DATA'!$AF:$AF,'CT capacity tracker'!$B98,'ESS SUPPLY DATA'!$AE:$AE,'CT capacity tracker'!$A$97,'ESS SUPPLY DATA'!$W:$W,'CT capacity tracker'!V$1,'ESS SUPPLY DATA'!$AO:$AO,"cosco")+SUMIFS('ESS SUPPLY DATA'!$U:$U,'ESS SUPPLY DATA'!$AF:$AF,'CT capacity tracker'!$B98,'ESS SUPPLY DATA'!$AE:$AE,'CT capacity tracker'!$A$97,'ESS SUPPLY DATA'!$W:$W,'CT capacity tracker'!V$1,'ESS SUPPLY DATA'!$AO:$AO,"other")</f>
        <v>2</v>
      </c>
      <c r="W101" s="504">
        <f>SUMIFS('PV SUPPLY DATA'!$X:$X,'PV SUPPLY DATA'!$AH:$AH,'CT capacity tracker'!$B98,'PV SUPPLY DATA'!$AG:$AG,'CT capacity tracker'!$A$97,'PV SUPPLY DATA'!$Y:$Y,W$1,'PV SUPPLY DATA'!$AQ:$AQ,"cosco")+SUMIFS('PV SUPPLY DATA'!$X:$X,'PV SUPPLY DATA'!$AH:$AH,'CT capacity tracker'!$B98,'PV SUPPLY DATA'!$AG:$AG,'CT capacity tracker'!$A$97,'PV SUPPLY DATA'!$Y:$Y,W$1,'PV SUPPLY DATA'!$AQ:$AQ,"other")+SUMIFS('ESS SUPPLY DATA'!$U:$U,'ESS SUPPLY DATA'!$AF:$AF,'CT capacity tracker'!$B98,'ESS SUPPLY DATA'!$AE:$AE,'CT capacity tracker'!$A$97,'ESS SUPPLY DATA'!$W:$W,'CT capacity tracker'!W$1,'ESS SUPPLY DATA'!$AO:$AO,"cosco")+SUMIFS('ESS SUPPLY DATA'!$U:$U,'ESS SUPPLY DATA'!$AF:$AF,'CT capacity tracker'!$B98,'ESS SUPPLY DATA'!$AE:$AE,'CT capacity tracker'!$A$97,'ESS SUPPLY DATA'!$W:$W,'CT capacity tracker'!W$1,'ESS SUPPLY DATA'!$AO:$AO,"other")</f>
        <v>0</v>
      </c>
      <c r="X101" s="504">
        <f>SUMIFS('PV SUPPLY DATA'!$X:$X,'PV SUPPLY DATA'!$AH:$AH,'CT capacity tracker'!$B98,'PV SUPPLY DATA'!$AG:$AG,'CT capacity tracker'!$A$97,'PV SUPPLY DATA'!$Y:$Y,X$1,'PV SUPPLY DATA'!$AQ:$AQ,"cosco")+SUMIFS('PV SUPPLY DATA'!$X:$X,'PV SUPPLY DATA'!$AH:$AH,'CT capacity tracker'!$B98,'PV SUPPLY DATA'!$AG:$AG,'CT capacity tracker'!$A$97,'PV SUPPLY DATA'!$Y:$Y,X$1,'PV SUPPLY DATA'!$AQ:$AQ,"other")+SUMIFS('ESS SUPPLY DATA'!$U:$U,'ESS SUPPLY DATA'!$AF:$AF,'CT capacity tracker'!$B98,'ESS SUPPLY DATA'!$AE:$AE,'CT capacity tracker'!$A$97,'ESS SUPPLY DATA'!$W:$W,'CT capacity tracker'!X$1,'ESS SUPPLY DATA'!$AO:$AO,"cosco")+SUMIFS('ESS SUPPLY DATA'!$U:$U,'ESS SUPPLY DATA'!$AF:$AF,'CT capacity tracker'!$B98,'ESS SUPPLY DATA'!$AE:$AE,'CT capacity tracker'!$A$97,'ESS SUPPLY DATA'!$W:$W,'CT capacity tracker'!X$1,'ESS SUPPLY DATA'!$AO:$AO,"other")</f>
        <v>0</v>
      </c>
      <c r="Y101" s="504">
        <f>SUMIFS('PV SUPPLY DATA'!$X:$X,'PV SUPPLY DATA'!$AH:$AH,'CT capacity tracker'!$B98,'PV SUPPLY DATA'!$AG:$AG,'CT capacity tracker'!$A$97,'PV SUPPLY DATA'!$Y:$Y,Y$1,'PV SUPPLY DATA'!$AQ:$AQ,"cosco")+SUMIFS('PV SUPPLY DATA'!$X:$X,'PV SUPPLY DATA'!$AH:$AH,'CT capacity tracker'!$B98,'PV SUPPLY DATA'!$AG:$AG,'CT capacity tracker'!$A$97,'PV SUPPLY DATA'!$Y:$Y,Y$1,'PV SUPPLY DATA'!$AQ:$AQ,"other")+SUMIFS('ESS SUPPLY DATA'!$U:$U,'ESS SUPPLY DATA'!$AF:$AF,'CT capacity tracker'!$B98,'ESS SUPPLY DATA'!$AE:$AE,'CT capacity tracker'!$A$97,'ESS SUPPLY DATA'!$W:$W,'CT capacity tracker'!Y$1,'ESS SUPPLY DATA'!$AO:$AO,"cosco")+SUMIFS('ESS SUPPLY DATA'!$U:$U,'ESS SUPPLY DATA'!$AF:$AF,'CT capacity tracker'!$B98,'ESS SUPPLY DATA'!$AE:$AE,'CT capacity tracker'!$A$97,'ESS SUPPLY DATA'!$W:$W,'CT capacity tracker'!Y$1,'ESS SUPPLY DATA'!$AO:$AO,"other")</f>
        <v>0</v>
      </c>
      <c r="Z101" s="504">
        <f>SUMIFS('PV SUPPLY DATA'!$X:$X,'PV SUPPLY DATA'!$AH:$AH,'CT capacity tracker'!$B98,'PV SUPPLY DATA'!$AG:$AG,'CT capacity tracker'!$A$97,'PV SUPPLY DATA'!$Y:$Y,Z$1,'PV SUPPLY DATA'!$AQ:$AQ,"cosco")+SUMIFS('PV SUPPLY DATA'!$X:$X,'PV SUPPLY DATA'!$AH:$AH,'CT capacity tracker'!$B98,'PV SUPPLY DATA'!$AG:$AG,'CT capacity tracker'!$A$97,'PV SUPPLY DATA'!$Y:$Y,Z$1,'PV SUPPLY DATA'!$AQ:$AQ,"other")+SUMIFS('ESS SUPPLY DATA'!$U:$U,'ESS SUPPLY DATA'!$AF:$AF,'CT capacity tracker'!$B98,'ESS SUPPLY DATA'!$AE:$AE,'CT capacity tracker'!$A$97,'ESS SUPPLY DATA'!$W:$W,'CT capacity tracker'!Z$1,'ESS SUPPLY DATA'!$AO:$AO,"cosco")+SUMIFS('ESS SUPPLY DATA'!$U:$U,'ESS SUPPLY DATA'!$AF:$AF,'CT capacity tracker'!$B98,'ESS SUPPLY DATA'!$AE:$AE,'CT capacity tracker'!$A$97,'ESS SUPPLY DATA'!$W:$W,'CT capacity tracker'!Z$1,'ESS SUPPLY DATA'!$AO:$AO,"other")</f>
        <v>2</v>
      </c>
      <c r="AA101" s="504">
        <f>SUMIFS('PV SUPPLY DATA'!$X:$X,'PV SUPPLY DATA'!$AH:$AH,'CT capacity tracker'!$B98,'PV SUPPLY DATA'!$AG:$AG,'CT capacity tracker'!$A$97,'PV SUPPLY DATA'!$Y:$Y,AA$1,'PV SUPPLY DATA'!$AQ:$AQ,"cosco")+SUMIFS('PV SUPPLY DATA'!$X:$X,'PV SUPPLY DATA'!$AH:$AH,'CT capacity tracker'!$B98,'PV SUPPLY DATA'!$AG:$AG,'CT capacity tracker'!$A$97,'PV SUPPLY DATA'!$Y:$Y,AA$1,'PV SUPPLY DATA'!$AQ:$AQ,"other")+SUMIFS('ESS SUPPLY DATA'!$U:$U,'ESS SUPPLY DATA'!$AF:$AF,'CT capacity tracker'!$B98,'ESS SUPPLY DATA'!$AE:$AE,'CT capacity tracker'!$A$97,'ESS SUPPLY DATA'!$W:$W,'CT capacity tracker'!AA$1,'ESS SUPPLY DATA'!$AO:$AO,"cosco")+SUMIFS('ESS SUPPLY DATA'!$U:$U,'ESS SUPPLY DATA'!$AF:$AF,'CT capacity tracker'!$B98,'ESS SUPPLY DATA'!$AE:$AE,'CT capacity tracker'!$A$97,'ESS SUPPLY DATA'!$W:$W,'CT capacity tracker'!AA$1,'ESS SUPPLY DATA'!$AO:$AO,"other")</f>
        <v>2</v>
      </c>
      <c r="AB101" s="504">
        <f>SUMIFS('PV SUPPLY DATA'!$X:$X,'PV SUPPLY DATA'!$AH:$AH,'CT capacity tracker'!$B98,'PV SUPPLY DATA'!$AG:$AG,'CT capacity tracker'!$A$97,'PV SUPPLY DATA'!$Y:$Y,AB$1,'PV SUPPLY DATA'!$AQ:$AQ,"cosco")+SUMIFS('PV SUPPLY DATA'!$X:$X,'PV SUPPLY DATA'!$AH:$AH,'CT capacity tracker'!$B98,'PV SUPPLY DATA'!$AG:$AG,'CT capacity tracker'!$A$97,'PV SUPPLY DATA'!$Y:$Y,AB$1,'PV SUPPLY DATA'!$AQ:$AQ,"other")+SUMIFS('ESS SUPPLY DATA'!$U:$U,'ESS SUPPLY DATA'!$AF:$AF,'CT capacity tracker'!$B98,'ESS SUPPLY DATA'!$AE:$AE,'CT capacity tracker'!$A$97,'ESS SUPPLY DATA'!$W:$W,'CT capacity tracker'!AB$1,'ESS SUPPLY DATA'!$AO:$AO,"cosco")+SUMIFS('ESS SUPPLY DATA'!$U:$U,'ESS SUPPLY DATA'!$AF:$AF,'CT capacity tracker'!$B98,'ESS SUPPLY DATA'!$AE:$AE,'CT capacity tracker'!$A$97,'ESS SUPPLY DATA'!$W:$W,'CT capacity tracker'!AB$1,'ESS SUPPLY DATA'!$AO:$AO,"other")</f>
        <v>2</v>
      </c>
      <c r="AC101" s="504">
        <f>SUMIFS('PV SUPPLY DATA'!$X:$X,'PV SUPPLY DATA'!$AH:$AH,'CT capacity tracker'!$B98,'PV SUPPLY DATA'!$AG:$AG,'CT capacity tracker'!$A$97,'PV SUPPLY DATA'!$Y:$Y,AC$1,'PV SUPPLY DATA'!$AQ:$AQ,"cosco")+SUMIFS('PV SUPPLY DATA'!$X:$X,'PV SUPPLY DATA'!$AH:$AH,'CT capacity tracker'!$B98,'PV SUPPLY DATA'!$AG:$AG,'CT capacity tracker'!$A$97,'PV SUPPLY DATA'!$Y:$Y,AC$1,'PV SUPPLY DATA'!$AQ:$AQ,"other")+SUMIFS('ESS SUPPLY DATA'!$U:$U,'ESS SUPPLY DATA'!$AF:$AF,'CT capacity tracker'!$B98,'ESS SUPPLY DATA'!$AE:$AE,'CT capacity tracker'!$A$97,'ESS SUPPLY DATA'!$W:$W,'CT capacity tracker'!AC$1,'ESS SUPPLY DATA'!$AO:$AO,"cosco")+SUMIFS('ESS SUPPLY DATA'!$U:$U,'ESS SUPPLY DATA'!$AF:$AF,'CT capacity tracker'!$B98,'ESS SUPPLY DATA'!$AE:$AE,'CT capacity tracker'!$A$97,'ESS SUPPLY DATA'!$W:$W,'CT capacity tracker'!AC$1,'ESS SUPPLY DATA'!$AO:$AO,"other")</f>
        <v>0</v>
      </c>
      <c r="AD101" s="504">
        <f>SUMIFS('PV SUPPLY DATA'!$X:$X,'PV SUPPLY DATA'!$AH:$AH,'CT capacity tracker'!$B98,'PV SUPPLY DATA'!$AG:$AG,'CT capacity tracker'!$A$97,'PV SUPPLY DATA'!$Y:$Y,AD$1,'PV SUPPLY DATA'!$AQ:$AQ,"cosco")+SUMIFS('PV SUPPLY DATA'!$X:$X,'PV SUPPLY DATA'!$AH:$AH,'CT capacity tracker'!$B98,'PV SUPPLY DATA'!$AG:$AG,'CT capacity tracker'!$A$97,'PV SUPPLY DATA'!$Y:$Y,AD$1,'PV SUPPLY DATA'!$AQ:$AQ,"other")+SUMIFS('ESS SUPPLY DATA'!$U:$U,'ESS SUPPLY DATA'!$AF:$AF,'CT capacity tracker'!$B98,'ESS SUPPLY DATA'!$AE:$AE,'CT capacity tracker'!$A$97,'ESS SUPPLY DATA'!$W:$W,'CT capacity tracker'!AD$1,'ESS SUPPLY DATA'!$AO:$AO,"cosco")+SUMIFS('ESS SUPPLY DATA'!$U:$U,'ESS SUPPLY DATA'!$AF:$AF,'CT capacity tracker'!$B98,'ESS SUPPLY DATA'!$AE:$AE,'CT capacity tracker'!$A$97,'ESS SUPPLY DATA'!$W:$W,'CT capacity tracker'!AD$1,'ESS SUPPLY DATA'!$AO:$AO,"other")</f>
        <v>0</v>
      </c>
      <c r="AE101" s="504">
        <f>SUMIFS('PV SUPPLY DATA'!$X:$X,'PV SUPPLY DATA'!$AH:$AH,'CT capacity tracker'!$B98,'PV SUPPLY DATA'!$AG:$AG,'CT capacity tracker'!$A$97,'PV SUPPLY DATA'!$Y:$Y,AE$1,'PV SUPPLY DATA'!$AQ:$AQ,"cosco")+SUMIFS('PV SUPPLY DATA'!$X:$X,'PV SUPPLY DATA'!$AH:$AH,'CT capacity tracker'!$B98,'PV SUPPLY DATA'!$AG:$AG,'CT capacity tracker'!$A$97,'PV SUPPLY DATA'!$Y:$Y,AE$1,'PV SUPPLY DATA'!$AQ:$AQ,"other")+SUMIFS('ESS SUPPLY DATA'!$U:$U,'ESS SUPPLY DATA'!$AF:$AF,'CT capacity tracker'!$B98,'ESS SUPPLY DATA'!$AE:$AE,'CT capacity tracker'!$A$97,'ESS SUPPLY DATA'!$W:$W,'CT capacity tracker'!AE$1,'ESS SUPPLY DATA'!$AO:$AO,"cosco")+SUMIFS('ESS SUPPLY DATA'!$U:$U,'ESS SUPPLY DATA'!$AF:$AF,'CT capacity tracker'!$B98,'ESS SUPPLY DATA'!$AE:$AE,'CT capacity tracker'!$A$97,'ESS SUPPLY DATA'!$W:$W,'CT capacity tracker'!AE$1,'ESS SUPPLY DATA'!$AO:$AO,"other")</f>
        <v>0</v>
      </c>
      <c r="AF101" s="504">
        <f>SUMIFS('PV SUPPLY DATA'!$X:$X,'PV SUPPLY DATA'!$AH:$AH,'CT capacity tracker'!$B98,'PV SUPPLY DATA'!$AG:$AG,'CT capacity tracker'!$A$97,'PV SUPPLY DATA'!$Y:$Y,AF$1,'PV SUPPLY DATA'!$AQ:$AQ,"cosco")+SUMIFS('PV SUPPLY DATA'!$X:$X,'PV SUPPLY DATA'!$AH:$AH,'CT capacity tracker'!$B98,'PV SUPPLY DATA'!$AG:$AG,'CT capacity tracker'!$A$97,'PV SUPPLY DATA'!$Y:$Y,AF$1,'PV SUPPLY DATA'!$AQ:$AQ,"other")+SUMIFS('ESS SUPPLY DATA'!$U:$U,'ESS SUPPLY DATA'!$AF:$AF,'CT capacity tracker'!$B98,'ESS SUPPLY DATA'!$AE:$AE,'CT capacity tracker'!$A$97,'ESS SUPPLY DATA'!$W:$W,'CT capacity tracker'!AF$1,'ESS SUPPLY DATA'!$AO:$AO,"cosco")+SUMIFS('ESS SUPPLY DATA'!$U:$U,'ESS SUPPLY DATA'!$AF:$AF,'CT capacity tracker'!$B98,'ESS SUPPLY DATA'!$AE:$AE,'CT capacity tracker'!$A$97,'ESS SUPPLY DATA'!$W:$W,'CT capacity tracker'!AF$1,'ESS SUPPLY DATA'!$AO:$AO,"other")</f>
        <v>0</v>
      </c>
      <c r="AG101" s="504">
        <f>SUMIFS('PV SUPPLY DATA'!$X:$X,'PV SUPPLY DATA'!$AH:$AH,'CT capacity tracker'!$B98,'PV SUPPLY DATA'!$AG:$AG,'CT capacity tracker'!$A$97,'PV SUPPLY DATA'!$Y:$Y,AG$1,'PV SUPPLY DATA'!$AQ:$AQ,"cosco")+SUMIFS('PV SUPPLY DATA'!$X:$X,'PV SUPPLY DATA'!$AH:$AH,'CT capacity tracker'!$B98,'PV SUPPLY DATA'!$AG:$AG,'CT capacity tracker'!$A$97,'PV SUPPLY DATA'!$Y:$Y,AG$1,'PV SUPPLY DATA'!$AQ:$AQ,"other")+SUMIFS('ESS SUPPLY DATA'!$U:$U,'ESS SUPPLY DATA'!$AF:$AF,'CT capacity tracker'!$B98,'ESS SUPPLY DATA'!$AE:$AE,'CT capacity tracker'!$A$97,'ESS SUPPLY DATA'!$W:$W,'CT capacity tracker'!AG$1,'ESS SUPPLY DATA'!$AO:$AO,"cosco")+SUMIFS('ESS SUPPLY DATA'!$U:$U,'ESS SUPPLY DATA'!$AF:$AF,'CT capacity tracker'!$B98,'ESS SUPPLY DATA'!$AE:$AE,'CT capacity tracker'!$A$97,'ESS SUPPLY DATA'!$W:$W,'CT capacity tracker'!AG$1,'ESS SUPPLY DATA'!$AO:$AO,"other")</f>
        <v>0</v>
      </c>
      <c r="AH101" s="504">
        <f>SUMIFS('PV SUPPLY DATA'!$X:$X,'PV SUPPLY DATA'!$AH:$AH,'CT capacity tracker'!$B98,'PV SUPPLY DATA'!$AG:$AG,'CT capacity tracker'!$A$97,'PV SUPPLY DATA'!$Y:$Y,AH$1,'PV SUPPLY DATA'!$AQ:$AQ,"cosco")+SUMIFS('PV SUPPLY DATA'!$X:$X,'PV SUPPLY DATA'!$AH:$AH,'CT capacity tracker'!$B98,'PV SUPPLY DATA'!$AG:$AG,'CT capacity tracker'!$A$97,'PV SUPPLY DATA'!$Y:$Y,AH$1,'PV SUPPLY DATA'!$AQ:$AQ,"other")+SUMIFS('ESS SUPPLY DATA'!$U:$U,'ESS SUPPLY DATA'!$AF:$AF,'CT capacity tracker'!$B98,'ESS SUPPLY DATA'!$AE:$AE,'CT capacity tracker'!$A$97,'ESS SUPPLY DATA'!$W:$W,'CT capacity tracker'!AH$1,'ESS SUPPLY DATA'!$AO:$AO,"cosco")+SUMIFS('ESS SUPPLY DATA'!$U:$U,'ESS SUPPLY DATA'!$AF:$AF,'CT capacity tracker'!$B98,'ESS SUPPLY DATA'!$AE:$AE,'CT capacity tracker'!$A$97,'ESS SUPPLY DATA'!$W:$W,'CT capacity tracker'!AH$1,'ESS SUPPLY DATA'!$AO:$AO,"other")</f>
        <v>0</v>
      </c>
      <c r="AI101" s="504">
        <f>SUMIFS('PV SUPPLY DATA'!$X:$X,'PV SUPPLY DATA'!$AH:$AH,'CT capacity tracker'!$B98,'PV SUPPLY DATA'!$AG:$AG,'CT capacity tracker'!$A$97,'PV SUPPLY DATA'!$Y:$Y,AI$1,'PV SUPPLY DATA'!$AQ:$AQ,"cosco")+SUMIFS('PV SUPPLY DATA'!$X:$X,'PV SUPPLY DATA'!$AH:$AH,'CT capacity tracker'!$B98,'PV SUPPLY DATA'!$AG:$AG,'CT capacity tracker'!$A$97,'PV SUPPLY DATA'!$Y:$Y,AI$1,'PV SUPPLY DATA'!$AQ:$AQ,"other")+SUMIFS('ESS SUPPLY DATA'!$U:$U,'ESS SUPPLY DATA'!$AF:$AF,'CT capacity tracker'!$B98,'ESS SUPPLY DATA'!$AE:$AE,'CT capacity tracker'!$A$97,'ESS SUPPLY DATA'!$W:$W,'CT capacity tracker'!AI$1,'ESS SUPPLY DATA'!$AO:$AO,"cosco")+SUMIFS('ESS SUPPLY DATA'!$U:$U,'ESS SUPPLY DATA'!$AF:$AF,'CT capacity tracker'!$B98,'ESS SUPPLY DATA'!$AE:$AE,'CT capacity tracker'!$A$97,'ESS SUPPLY DATA'!$W:$W,'CT capacity tracker'!AI$1,'ESS SUPPLY DATA'!$AO:$AO,"other")</f>
        <v>0</v>
      </c>
      <c r="AJ101" s="504">
        <f>SUMIFS('PV SUPPLY DATA'!$X:$X,'PV SUPPLY DATA'!$AH:$AH,'CT capacity tracker'!$B98,'PV SUPPLY DATA'!$AG:$AG,'CT capacity tracker'!$A$97,'PV SUPPLY DATA'!$Y:$Y,AJ$1,'PV SUPPLY DATA'!$AQ:$AQ,"cosco")+SUMIFS('PV SUPPLY DATA'!$X:$X,'PV SUPPLY DATA'!$AH:$AH,'CT capacity tracker'!$B98,'PV SUPPLY DATA'!$AG:$AG,'CT capacity tracker'!$A$97,'PV SUPPLY DATA'!$Y:$Y,AJ$1,'PV SUPPLY DATA'!$AQ:$AQ,"other")+SUMIFS('ESS SUPPLY DATA'!$U:$U,'ESS SUPPLY DATA'!$AF:$AF,'CT capacity tracker'!$B98,'ESS SUPPLY DATA'!$AE:$AE,'CT capacity tracker'!$A$97,'ESS SUPPLY DATA'!$W:$W,'CT capacity tracker'!AJ$1,'ESS SUPPLY DATA'!$AO:$AO,"cosco")+SUMIFS('ESS SUPPLY DATA'!$U:$U,'ESS SUPPLY DATA'!$AF:$AF,'CT capacity tracker'!$B98,'ESS SUPPLY DATA'!$AE:$AE,'CT capacity tracker'!$A$97,'ESS SUPPLY DATA'!$W:$W,'CT capacity tracker'!AJ$1,'ESS SUPPLY DATA'!$AO:$AO,"other")</f>
        <v>0</v>
      </c>
      <c r="AK101" s="511"/>
      <c r="AL101" s="511"/>
      <c r="AM101" s="696">
        <f>SUM(E101:X101)</f>
        <v>22</v>
      </c>
      <c r="AN101" s="503"/>
      <c r="AO101" s="506"/>
      <c r="AP101" s="534"/>
      <c r="AQ101" s="506"/>
      <c r="AR101" s="506"/>
      <c r="AS101" s="506"/>
      <c r="AT101" s="506"/>
    </row>
    <row r="102" spans="1:46" ht="13">
      <c r="A102" s="1517"/>
      <c r="B102" s="1516" t="s">
        <v>105</v>
      </c>
      <c r="C102" s="503" t="s">
        <v>4400</v>
      </c>
      <c r="D102" s="504">
        <f>SUMIFS('PV SUPPLY DATA'!$X:$X,'PV SUPPLY DATA'!$AH:$AH,'CT capacity tracker'!$B102,'PV SUPPLY DATA'!$AG:$AG,'CT capacity tracker'!$A$97,'PV SUPPLY DATA'!$Y:$Y,'CT capacity tracker'!D$1)</f>
        <v>0</v>
      </c>
      <c r="E102" s="504">
        <f>SUMIFS('PV SUPPLY DATA'!$X:$X,'PV SUPPLY DATA'!$Y:$Y,'CT capacity tracker'!E$1,'PV SUPPLY DATA'!$AG:$AG,'CT capacity tracker'!$A$97,'PV SUPPLY DATA'!$AH:$AH,'CT capacity tracker'!$B$102)</f>
        <v>0</v>
      </c>
      <c r="F102" s="504">
        <f>SUMIFS('PV SUPPLY DATA'!$X:$X,'PV SUPPLY DATA'!$Y:$Y,'CT capacity tracker'!F$1,'PV SUPPLY DATA'!$AG:$AG,'CT capacity tracker'!$A$97,'PV SUPPLY DATA'!$AH:$AH,'CT capacity tracker'!$B$102)</f>
        <v>0</v>
      </c>
      <c r="G102" s="504">
        <f>SUMIFS('PV SUPPLY DATA'!$X:$X,'PV SUPPLY DATA'!$Y:$Y,'CT capacity tracker'!G$1,'PV SUPPLY DATA'!$AG:$AG,'CT capacity tracker'!$A$97,'PV SUPPLY DATA'!$AH:$AH,'CT capacity tracker'!$B$102)</f>
        <v>0</v>
      </c>
      <c r="H102" s="504">
        <f>SUMIFS('PV SUPPLY DATA'!$X:$X,'PV SUPPLY DATA'!$Y:$Y,'CT capacity tracker'!H$1,'PV SUPPLY DATA'!$AG:$AG,'CT capacity tracker'!$A$97,'PV SUPPLY DATA'!$AH:$AH,'CT capacity tracker'!$B$102)</f>
        <v>0</v>
      </c>
      <c r="I102" s="504">
        <f>SUMIFS('PV SUPPLY DATA'!$X:$X,'PV SUPPLY DATA'!$Y:$Y,'CT capacity tracker'!I$1,'PV SUPPLY DATA'!$AG:$AG,'CT capacity tracker'!$A$97,'PV SUPPLY DATA'!$AH:$AH,'CT capacity tracker'!$B$102)</f>
        <v>0</v>
      </c>
      <c r="J102" s="504">
        <f>SUMIFS('PV SUPPLY DATA'!$X:$X,'PV SUPPLY DATA'!$Y:$Y,'CT capacity tracker'!J$1,'PV SUPPLY DATA'!$AG:$AG,'CT capacity tracker'!$A$97,'PV SUPPLY DATA'!$AH:$AH,'CT capacity tracker'!$B$102)</f>
        <v>0</v>
      </c>
      <c r="K102" s="504">
        <f>SUMIFS('PV SUPPLY DATA'!$X:$X,'PV SUPPLY DATA'!$Y:$Y,'CT capacity tracker'!K$1,'PV SUPPLY DATA'!$AG:$AG,'CT capacity tracker'!$A$97,'PV SUPPLY DATA'!$AH:$AH,'CT capacity tracker'!$B$102)</f>
        <v>0</v>
      </c>
      <c r="L102" s="504">
        <f>SUMIFS('PV SUPPLY DATA'!$X:$X,'PV SUPPLY DATA'!$Y:$Y,'CT capacity tracker'!L$1,'PV SUPPLY DATA'!$AG:$AG,'CT capacity tracker'!$A$97,'PV SUPPLY DATA'!$AH:$AH,'CT capacity tracker'!$B$102)</f>
        <v>0</v>
      </c>
      <c r="M102" s="504">
        <f>SUMIFS('PV SUPPLY DATA'!$X:$X,'PV SUPPLY DATA'!$Y:$Y,'CT capacity tracker'!M$1,'PV SUPPLY DATA'!$AG:$AG,'CT capacity tracker'!$A$97,'PV SUPPLY DATA'!$AH:$AH,'CT capacity tracker'!$B$102)</f>
        <v>9</v>
      </c>
      <c r="N102" s="504">
        <f>SUMIFS('PV SUPPLY DATA'!$X:$X,'PV SUPPLY DATA'!$Y:$Y,'CT capacity tracker'!N$1,'PV SUPPLY DATA'!$AG:$AG,'CT capacity tracker'!$A$97,'PV SUPPLY DATA'!$AH:$AH,'CT capacity tracker'!$B$102)</f>
        <v>6</v>
      </c>
      <c r="O102" s="504">
        <f>SUMIFS('PV SUPPLY DATA'!$X:$X,'PV SUPPLY DATA'!$Y:$Y,'CT capacity tracker'!O$1,'PV SUPPLY DATA'!$AG:$AG,'CT capacity tracker'!$A$97,'PV SUPPLY DATA'!$AH:$AH,'CT capacity tracker'!$B$102)</f>
        <v>0</v>
      </c>
      <c r="P102" s="504">
        <f>SUMIFS('PV SUPPLY DATA'!$X:$X,'PV SUPPLY DATA'!$Y:$Y,'CT capacity tracker'!P$1,'PV SUPPLY DATA'!$AG:$AG,'CT capacity tracker'!$A$97,'PV SUPPLY DATA'!$AH:$AH,'CT capacity tracker'!$B$102)</f>
        <v>4</v>
      </c>
      <c r="Q102" s="504">
        <f>SUMIFS('PV SUPPLY DATA'!$X:$X,'PV SUPPLY DATA'!$Y:$Y,'CT capacity tracker'!Q$1,'PV SUPPLY DATA'!$AG:$AG,'CT capacity tracker'!$A$97,'PV SUPPLY DATA'!$AH:$AH,'CT capacity tracker'!$B$102)</f>
        <v>10</v>
      </c>
      <c r="R102" s="504">
        <f>SUMIFS('PV SUPPLY DATA'!$X:$X,'PV SUPPLY DATA'!$Y:$Y,'CT capacity tracker'!R$1,'PV SUPPLY DATA'!$AG:$AG,'CT capacity tracker'!$A$97,'PV SUPPLY DATA'!$AH:$AH,'CT capacity tracker'!$B$102)</f>
        <v>0</v>
      </c>
      <c r="S102" s="504">
        <f>SUMIFS('PV SUPPLY DATA'!$X:$X,'PV SUPPLY DATA'!$Y:$Y,'CT capacity tracker'!S$1,'PV SUPPLY DATA'!$AG:$AG,'CT capacity tracker'!$A$97,'PV SUPPLY DATA'!$AH:$AH,'CT capacity tracker'!$B$102)</f>
        <v>0</v>
      </c>
      <c r="T102" s="504">
        <f>SUMIFS('PV SUPPLY DATA'!$X:$X,'PV SUPPLY DATA'!$Y:$Y,'CT capacity tracker'!T$1,'PV SUPPLY DATA'!$AG:$AG,'CT capacity tracker'!$A$97,'PV SUPPLY DATA'!$AH:$AH,'CT capacity tracker'!$B$102)</f>
        <v>6</v>
      </c>
      <c r="U102" s="504">
        <f>SUMIFS('PV SUPPLY DATA'!$X:$X,'PV SUPPLY DATA'!$Y:$Y,'CT capacity tracker'!U$1,'PV SUPPLY DATA'!$AG:$AG,'CT capacity tracker'!$A$97,'PV SUPPLY DATA'!$AH:$AH,'CT capacity tracker'!$B$102)</f>
        <v>4</v>
      </c>
      <c r="V102" s="504">
        <f>SUMIFS('PV SUPPLY DATA'!$X:$X,'PV SUPPLY DATA'!$Y:$Y,'CT capacity tracker'!V$1,'PV SUPPLY DATA'!$AG:$AG,'CT capacity tracker'!$A$97,'PV SUPPLY DATA'!$AH:$AH,'CT capacity tracker'!$B$102)</f>
        <v>10</v>
      </c>
      <c r="W102" s="504">
        <f>SUMIFS('PV SUPPLY DATA'!$X:$X,'PV SUPPLY DATA'!$Y:$Y,'CT capacity tracker'!W$1,'PV SUPPLY DATA'!$AG:$AG,'CT capacity tracker'!$A$97,'PV SUPPLY DATA'!$AH:$AH,'CT capacity tracker'!$B$102)</f>
        <v>4</v>
      </c>
      <c r="X102" s="504">
        <f>SUMIFS('PV SUPPLY DATA'!$X:$X,'PV SUPPLY DATA'!$Y:$Y,'CT capacity tracker'!X$1,'PV SUPPLY DATA'!$AG:$AG,'CT capacity tracker'!$A$97,'PV SUPPLY DATA'!$AH:$AH,'CT capacity tracker'!$B$102)</f>
        <v>2</v>
      </c>
      <c r="Y102" s="504">
        <f>SUMIFS('PV SUPPLY DATA'!$X:$X,'PV SUPPLY DATA'!$Y:$Y,'CT capacity tracker'!Y$1,'PV SUPPLY DATA'!$AG:$AG,'CT capacity tracker'!$A$97,'PV SUPPLY DATA'!$AH:$AH,'CT capacity tracker'!$B$102)</f>
        <v>0</v>
      </c>
      <c r="Z102" s="504">
        <f>SUMIFS('PV SUPPLY DATA'!$X:$X,'PV SUPPLY DATA'!$Y:$Y,'CT capacity tracker'!Z$1,'PV SUPPLY DATA'!$AG:$AG,'CT capacity tracker'!$A$97,'PV SUPPLY DATA'!$AH:$AH,'CT capacity tracker'!$B$102)</f>
        <v>10</v>
      </c>
      <c r="AA102" s="504">
        <f>SUMIFS('PV SUPPLY DATA'!$X:$X,'PV SUPPLY DATA'!$Y:$Y,'CT capacity tracker'!AA$1,'PV SUPPLY DATA'!$AG:$AG,'CT capacity tracker'!$A$97,'PV SUPPLY DATA'!$AH:$AH,'CT capacity tracker'!$B$102)</f>
        <v>21</v>
      </c>
      <c r="AB102" s="504">
        <f>SUMIFS('PV SUPPLY DATA'!$X:$X,'PV SUPPLY DATA'!$Y:$Y,'CT capacity tracker'!AB$1,'PV SUPPLY DATA'!$AG:$AG,'CT capacity tracker'!$A$97,'PV SUPPLY DATA'!$AH:$AH,'CT capacity tracker'!$B$102)</f>
        <v>8</v>
      </c>
      <c r="AC102" s="504">
        <f>SUMIFS('PV SUPPLY DATA'!$X:$X,'PV SUPPLY DATA'!$Y:$Y,'CT capacity tracker'!AC$1,'PV SUPPLY DATA'!$AG:$AG,'CT capacity tracker'!$A$97,'PV SUPPLY DATA'!$AH:$AH,'CT capacity tracker'!$B$102)</f>
        <v>0</v>
      </c>
      <c r="AD102" s="504">
        <f>SUMIFS('PV SUPPLY DATA'!$X:$X,'PV SUPPLY DATA'!$Y:$Y,'CT capacity tracker'!AD$1,'PV SUPPLY DATA'!$AG:$AG,'CT capacity tracker'!$A$97,'PV SUPPLY DATA'!$AH:$AH,'CT capacity tracker'!$B$102)</f>
        <v>0</v>
      </c>
      <c r="AE102" s="504">
        <f>SUMIFS('PV SUPPLY DATA'!$X:$X,'PV SUPPLY DATA'!$Y:$Y,'CT capacity tracker'!AE$1,'PV SUPPLY DATA'!$AG:$AG,'CT capacity tracker'!$A$97,'PV SUPPLY DATA'!$AH:$AH,'CT capacity tracker'!$B$102)</f>
        <v>0</v>
      </c>
      <c r="AF102" s="504">
        <f>SUMIFS('PV SUPPLY DATA'!$X:$X,'PV SUPPLY DATA'!$Y:$Y,'CT capacity tracker'!AF$1,'PV SUPPLY DATA'!$AG:$AG,'CT capacity tracker'!$A$97,'PV SUPPLY DATA'!$AH:$AH,'CT capacity tracker'!$B$102)</f>
        <v>0</v>
      </c>
      <c r="AG102" s="504">
        <f>SUMIFS('PV SUPPLY DATA'!$X:$X,'PV SUPPLY DATA'!$Y:$Y,'CT capacity tracker'!AG$1,'PV SUPPLY DATA'!$AG:$AG,'CT capacity tracker'!$A$97,'PV SUPPLY DATA'!$AH:$AH,'CT capacity tracker'!$B$102)</f>
        <v>0</v>
      </c>
      <c r="AH102" s="504">
        <f>SUMIFS('PV SUPPLY DATA'!$X:$X,'PV SUPPLY DATA'!$Y:$Y,'CT capacity tracker'!AH$1,'PV SUPPLY DATA'!$AG:$AG,'CT capacity tracker'!$A$97,'PV SUPPLY DATA'!$AH:$AH,'CT capacity tracker'!$B$102)</f>
        <v>0</v>
      </c>
      <c r="AI102" s="504">
        <f>SUMIFS('PV SUPPLY DATA'!$X:$X,'PV SUPPLY DATA'!$Y:$Y,'CT capacity tracker'!AI$1,'PV SUPPLY DATA'!$AG:$AG,'CT capacity tracker'!$A$97,'PV SUPPLY DATA'!$AH:$AH,'CT capacity tracker'!$B$102)</f>
        <v>0</v>
      </c>
      <c r="AJ102" s="504">
        <f>SUMIFS('PV SUPPLY DATA'!$X:$X,'PV SUPPLY DATA'!$Y:$Y,'CT capacity tracker'!AJ$1,'PV SUPPLY DATA'!$AG:$AG,'CT capacity tracker'!$A$97,'PV SUPPLY DATA'!$AH:$AH,'CT capacity tracker'!$B$102)</f>
        <v>0</v>
      </c>
      <c r="AK102" s="505" t="s">
        <v>197</v>
      </c>
      <c r="AL102" s="505" t="s">
        <v>197</v>
      </c>
      <c r="AM102" s="696">
        <f>SUM(E102:X102)</f>
        <v>55</v>
      </c>
      <c r="AN102" s="503" t="s">
        <v>197</v>
      </c>
      <c r="AO102" s="506"/>
      <c r="AP102" s="506">
        <f t="shared" ref="AP102:AP142" si="77">SUM(G102:J102)</f>
        <v>0</v>
      </c>
      <c r="AQ102" s="506"/>
      <c r="AR102" s="506" t="s">
        <v>197</v>
      </c>
      <c r="AS102" s="506" t="s">
        <v>197</v>
      </c>
      <c r="AT102" s="506" t="s">
        <v>197</v>
      </c>
    </row>
    <row r="103" spans="1:46" ht="13">
      <c r="A103" s="1517"/>
      <c r="B103" s="1517"/>
      <c r="C103" s="509" t="s">
        <v>4401</v>
      </c>
      <c r="D103" s="509"/>
      <c r="E103" s="510"/>
      <c r="F103" s="510"/>
      <c r="G103" s="510"/>
      <c r="H103" s="510"/>
      <c r="I103" s="510"/>
      <c r="J103" s="510"/>
      <c r="K103" s="510"/>
      <c r="L103" s="510"/>
      <c r="M103" s="510">
        <v>3</v>
      </c>
      <c r="N103" s="510">
        <v>5</v>
      </c>
      <c r="O103" s="510">
        <v>8</v>
      </c>
      <c r="P103" s="510">
        <v>8</v>
      </c>
      <c r="Q103" s="510">
        <v>3</v>
      </c>
      <c r="R103" s="510">
        <v>3</v>
      </c>
      <c r="S103" s="510">
        <v>8</v>
      </c>
      <c r="T103" s="510">
        <v>8</v>
      </c>
      <c r="U103" s="510">
        <v>8</v>
      </c>
      <c r="V103" s="510">
        <v>8</v>
      </c>
      <c r="W103" s="510">
        <v>2</v>
      </c>
      <c r="X103" s="510">
        <v>5</v>
      </c>
      <c r="Y103" s="510">
        <v>5</v>
      </c>
      <c r="Z103" s="510">
        <v>8</v>
      </c>
      <c r="AA103" s="510">
        <v>8</v>
      </c>
      <c r="AB103" s="510">
        <v>3</v>
      </c>
      <c r="AC103" s="510">
        <v>8</v>
      </c>
      <c r="AD103" s="510">
        <v>8</v>
      </c>
      <c r="AE103" s="510">
        <v>8</v>
      </c>
      <c r="AF103" s="510">
        <v>8</v>
      </c>
      <c r="AG103" s="510"/>
      <c r="AH103" s="510"/>
      <c r="AI103" s="510"/>
      <c r="AJ103" s="510"/>
      <c r="AK103" s="505" t="s">
        <v>197</v>
      </c>
      <c r="AL103" s="505" t="s">
        <v>197</v>
      </c>
      <c r="AM103" s="696"/>
      <c r="AN103" s="503" t="s">
        <v>197</v>
      </c>
      <c r="AO103" s="506"/>
      <c r="AP103" s="506">
        <f t="shared" si="77"/>
        <v>0</v>
      </c>
      <c r="AQ103" s="506"/>
      <c r="AR103" s="506" t="s">
        <v>197</v>
      </c>
      <c r="AS103" s="506" t="s">
        <v>197</v>
      </c>
      <c r="AT103" s="506" t="s">
        <v>197</v>
      </c>
    </row>
    <row r="104" spans="1:46" ht="13">
      <c r="A104" s="1517"/>
      <c r="B104" s="1517"/>
      <c r="C104" s="520" t="s">
        <v>4402</v>
      </c>
      <c r="D104" s="522"/>
      <c r="E104" s="522">
        <f>E103-E102</f>
        <v>0</v>
      </c>
      <c r="F104" s="522">
        <f t="shared" ref="F104:X104" si="78">F103-F102</f>
        <v>0</v>
      </c>
      <c r="G104" s="522">
        <f t="shared" si="78"/>
        <v>0</v>
      </c>
      <c r="H104" s="522">
        <f t="shared" si="78"/>
        <v>0</v>
      </c>
      <c r="I104" s="522">
        <f t="shared" si="78"/>
        <v>0</v>
      </c>
      <c r="J104" s="522">
        <f t="shared" si="78"/>
        <v>0</v>
      </c>
      <c r="K104" s="522">
        <f t="shared" si="78"/>
        <v>0</v>
      </c>
      <c r="L104" s="522">
        <f t="shared" si="78"/>
        <v>0</v>
      </c>
      <c r="M104" s="522">
        <f t="shared" si="78"/>
        <v>-6</v>
      </c>
      <c r="N104" s="522">
        <f t="shared" si="78"/>
        <v>-1</v>
      </c>
      <c r="O104" s="522">
        <f t="shared" si="78"/>
        <v>8</v>
      </c>
      <c r="P104" s="522">
        <f t="shared" si="78"/>
        <v>4</v>
      </c>
      <c r="Q104" s="522">
        <f t="shared" si="78"/>
        <v>-7</v>
      </c>
      <c r="R104" s="522">
        <f t="shared" si="78"/>
        <v>3</v>
      </c>
      <c r="S104" s="522">
        <f t="shared" si="78"/>
        <v>8</v>
      </c>
      <c r="T104" s="522">
        <f t="shared" si="78"/>
        <v>2</v>
      </c>
      <c r="U104" s="522">
        <f t="shared" si="78"/>
        <v>4</v>
      </c>
      <c r="V104" s="522">
        <f t="shared" si="78"/>
        <v>-2</v>
      </c>
      <c r="W104" s="522">
        <f t="shared" si="78"/>
        <v>-2</v>
      </c>
      <c r="X104" s="522">
        <f t="shared" si="78"/>
        <v>3</v>
      </c>
      <c r="Y104" s="522">
        <f t="shared" ref="Y104:AJ104" si="79">Y103-Y102</f>
        <v>5</v>
      </c>
      <c r="Z104" s="522">
        <f t="shared" si="79"/>
        <v>-2</v>
      </c>
      <c r="AA104" s="522">
        <f t="shared" si="79"/>
        <v>-13</v>
      </c>
      <c r="AB104" s="522">
        <f t="shared" si="79"/>
        <v>-5</v>
      </c>
      <c r="AC104" s="522">
        <f t="shared" si="79"/>
        <v>8</v>
      </c>
      <c r="AD104" s="522">
        <f t="shared" si="79"/>
        <v>8</v>
      </c>
      <c r="AE104" s="522">
        <f t="shared" si="79"/>
        <v>8</v>
      </c>
      <c r="AF104" s="522">
        <f t="shared" si="79"/>
        <v>8</v>
      </c>
      <c r="AG104" s="522">
        <f t="shared" si="79"/>
        <v>0</v>
      </c>
      <c r="AH104" s="522">
        <f t="shared" si="79"/>
        <v>0</v>
      </c>
      <c r="AI104" s="522">
        <f t="shared" si="79"/>
        <v>0</v>
      </c>
      <c r="AJ104" s="522">
        <f t="shared" si="79"/>
        <v>0</v>
      </c>
      <c r="AK104" s="511">
        <f>SUMIF($E104:$X104,"&gt;0")</f>
        <v>32</v>
      </c>
      <c r="AL104" s="511">
        <f>SUMIF($E104:$X104,"&lt;0")</f>
        <v>-18</v>
      </c>
      <c r="AM104" s="696"/>
      <c r="AN104" s="503"/>
      <c r="AO104" s="506"/>
      <c r="AP104" s="506">
        <f t="shared" si="77"/>
        <v>0</v>
      </c>
      <c r="AQ104" s="506"/>
      <c r="AR104" s="506" t="s">
        <v>197</v>
      </c>
      <c r="AS104" s="506" t="s">
        <v>197</v>
      </c>
      <c r="AT104" s="506" t="s">
        <v>197</v>
      </c>
    </row>
    <row r="105" spans="1:46" ht="13">
      <c r="A105" s="1517"/>
      <c r="B105" s="1518"/>
      <c r="C105" s="503" t="s">
        <v>4403</v>
      </c>
      <c r="D105" s="522"/>
      <c r="E105" s="504">
        <f>SUMIFS('PV SUPPLY DATA'!$X:$X,'PV SUPPLY DATA'!$AH:$AH,'CT capacity tracker'!$B102,'PV SUPPLY DATA'!$AG:$AG,'CT capacity tracker'!$A$97,'PV SUPPLY DATA'!$Y:$Y,E$1,'PV SUPPLY DATA'!$AQ:$AQ,"cosco")+SUMIFS('PV SUPPLY DATA'!$X:$X,'PV SUPPLY DATA'!$AH:$AH,'CT capacity tracker'!$B102,'PV SUPPLY DATA'!$AG:$AG,'CT capacity tracker'!$A$97,'PV SUPPLY DATA'!$Y:$Y,E$1,'PV SUPPLY DATA'!$AQ:$AQ,"other")+SUMIFS('ESS SUPPLY DATA'!$U:$U,'ESS SUPPLY DATA'!$AF:$AF,'CT capacity tracker'!$B102,'ESS SUPPLY DATA'!$AE:$AE,'CT capacity tracker'!$A$97,'ESS SUPPLY DATA'!$W:$W,'CT capacity tracker'!E$1,'ESS SUPPLY DATA'!$AO:$AO,"cosco")+SUMIFS('ESS SUPPLY DATA'!$U:$U,'ESS SUPPLY DATA'!$AF:$AF,'CT capacity tracker'!$B102,'ESS SUPPLY DATA'!$AE:$AE,'CT capacity tracker'!$A$97,'ESS SUPPLY DATA'!$W:$W,'CT capacity tracker'!E$1,'ESS SUPPLY DATA'!$AO:$AO,"other")</f>
        <v>0</v>
      </c>
      <c r="F105" s="504">
        <f>SUMIFS('PV SUPPLY DATA'!$X:$X,'PV SUPPLY DATA'!$AH:$AH,'CT capacity tracker'!$B102,'PV SUPPLY DATA'!$AG:$AG,'CT capacity tracker'!$A$97,'PV SUPPLY DATA'!$Y:$Y,F$1,'PV SUPPLY DATA'!$AQ:$AQ,"cosco")+SUMIFS('PV SUPPLY DATA'!$X:$X,'PV SUPPLY DATA'!$AH:$AH,'CT capacity tracker'!$B102,'PV SUPPLY DATA'!$AG:$AG,'CT capacity tracker'!$A$97,'PV SUPPLY DATA'!$Y:$Y,F$1,'PV SUPPLY DATA'!$AQ:$AQ,"other")+SUMIFS('ESS SUPPLY DATA'!$U:$U,'ESS SUPPLY DATA'!$AF:$AF,'CT capacity tracker'!$B102,'ESS SUPPLY DATA'!$AE:$AE,'CT capacity tracker'!$A$97,'ESS SUPPLY DATA'!$W:$W,'CT capacity tracker'!F$1,'ESS SUPPLY DATA'!$AO:$AO,"cosco")+SUMIFS('ESS SUPPLY DATA'!$U:$U,'ESS SUPPLY DATA'!$AF:$AF,'CT capacity tracker'!$B102,'ESS SUPPLY DATA'!$AE:$AE,'CT capacity tracker'!$A$97,'ESS SUPPLY DATA'!$W:$W,'CT capacity tracker'!F$1,'ESS SUPPLY DATA'!$AO:$AO,"other")</f>
        <v>0</v>
      </c>
      <c r="G105" s="504">
        <f>SUMIFS('PV SUPPLY DATA'!$X:$X,'PV SUPPLY DATA'!$AH:$AH,'CT capacity tracker'!$B102,'PV SUPPLY DATA'!$AG:$AG,'CT capacity tracker'!$A$97,'PV SUPPLY DATA'!$Y:$Y,G$1,'PV SUPPLY DATA'!$AQ:$AQ,"cosco")+SUMIFS('PV SUPPLY DATA'!$X:$X,'PV SUPPLY DATA'!$AH:$AH,'CT capacity tracker'!$B102,'PV SUPPLY DATA'!$AG:$AG,'CT capacity tracker'!$A$97,'PV SUPPLY DATA'!$Y:$Y,G$1,'PV SUPPLY DATA'!$AQ:$AQ,"other")+SUMIFS('ESS SUPPLY DATA'!$U:$U,'ESS SUPPLY DATA'!$AF:$AF,'CT capacity tracker'!$B102,'ESS SUPPLY DATA'!$AE:$AE,'CT capacity tracker'!$A$97,'ESS SUPPLY DATA'!$W:$W,'CT capacity tracker'!G$1,'ESS SUPPLY DATA'!$AO:$AO,"cosco")+SUMIFS('ESS SUPPLY DATA'!$U:$U,'ESS SUPPLY DATA'!$AF:$AF,'CT capacity tracker'!$B102,'ESS SUPPLY DATA'!$AE:$AE,'CT capacity tracker'!$A$97,'ESS SUPPLY DATA'!$W:$W,'CT capacity tracker'!G$1,'ESS SUPPLY DATA'!$AO:$AO,"other")</f>
        <v>0</v>
      </c>
      <c r="H105" s="504">
        <f>SUMIFS('PV SUPPLY DATA'!$X:$X,'PV SUPPLY DATA'!$AH:$AH,'CT capacity tracker'!$B102,'PV SUPPLY DATA'!$AG:$AG,'CT capacity tracker'!$A$97,'PV SUPPLY DATA'!$Y:$Y,H$1,'PV SUPPLY DATA'!$AQ:$AQ,"cosco")+SUMIFS('PV SUPPLY DATA'!$X:$X,'PV SUPPLY DATA'!$AH:$AH,'CT capacity tracker'!$B102,'PV SUPPLY DATA'!$AG:$AG,'CT capacity tracker'!$A$97,'PV SUPPLY DATA'!$Y:$Y,H$1,'PV SUPPLY DATA'!$AQ:$AQ,"other")+SUMIFS('ESS SUPPLY DATA'!$U:$U,'ESS SUPPLY DATA'!$AF:$AF,'CT capacity tracker'!$B102,'ESS SUPPLY DATA'!$AE:$AE,'CT capacity tracker'!$A$97,'ESS SUPPLY DATA'!$W:$W,'CT capacity tracker'!H$1,'ESS SUPPLY DATA'!$AO:$AO,"cosco")+SUMIFS('ESS SUPPLY DATA'!$U:$U,'ESS SUPPLY DATA'!$AF:$AF,'CT capacity tracker'!$B102,'ESS SUPPLY DATA'!$AE:$AE,'CT capacity tracker'!$A$97,'ESS SUPPLY DATA'!$W:$W,'CT capacity tracker'!H$1,'ESS SUPPLY DATA'!$AO:$AO,"other")</f>
        <v>0</v>
      </c>
      <c r="I105" s="504">
        <f>SUMIFS('PV SUPPLY DATA'!$X:$X,'PV SUPPLY DATA'!$AH:$AH,'CT capacity tracker'!$B102,'PV SUPPLY DATA'!$AG:$AG,'CT capacity tracker'!$A$97,'PV SUPPLY DATA'!$Y:$Y,I$1,'PV SUPPLY DATA'!$AQ:$AQ,"cosco")+SUMIFS('PV SUPPLY DATA'!$X:$X,'PV SUPPLY DATA'!$AH:$AH,'CT capacity tracker'!$B102,'PV SUPPLY DATA'!$AG:$AG,'CT capacity tracker'!$A$97,'PV SUPPLY DATA'!$Y:$Y,I$1,'PV SUPPLY DATA'!$AQ:$AQ,"other")+SUMIFS('ESS SUPPLY DATA'!$U:$U,'ESS SUPPLY DATA'!$AF:$AF,'CT capacity tracker'!$B102,'ESS SUPPLY DATA'!$AE:$AE,'CT capacity tracker'!$A$97,'ESS SUPPLY DATA'!$W:$W,'CT capacity tracker'!I$1,'ESS SUPPLY DATA'!$AO:$AO,"cosco")+SUMIFS('ESS SUPPLY DATA'!$U:$U,'ESS SUPPLY DATA'!$AF:$AF,'CT capacity tracker'!$B102,'ESS SUPPLY DATA'!$AE:$AE,'CT capacity tracker'!$A$97,'ESS SUPPLY DATA'!$W:$W,'CT capacity tracker'!I$1,'ESS SUPPLY DATA'!$AO:$AO,"other")</f>
        <v>0</v>
      </c>
      <c r="J105" s="504">
        <f>SUMIFS('PV SUPPLY DATA'!$X:$X,'PV SUPPLY DATA'!$AH:$AH,'CT capacity tracker'!$B102,'PV SUPPLY DATA'!$AG:$AG,'CT capacity tracker'!$A$97,'PV SUPPLY DATA'!$Y:$Y,J$1,'PV SUPPLY DATA'!$AQ:$AQ,"cosco")+SUMIFS('PV SUPPLY DATA'!$X:$X,'PV SUPPLY DATA'!$AH:$AH,'CT capacity tracker'!$B102,'PV SUPPLY DATA'!$AG:$AG,'CT capacity tracker'!$A$97,'PV SUPPLY DATA'!$Y:$Y,J$1,'PV SUPPLY DATA'!$AQ:$AQ,"other")+SUMIFS('ESS SUPPLY DATA'!$U:$U,'ESS SUPPLY DATA'!$AF:$AF,'CT capacity tracker'!$B102,'ESS SUPPLY DATA'!$AE:$AE,'CT capacity tracker'!$A$97,'ESS SUPPLY DATA'!$W:$W,'CT capacity tracker'!J$1,'ESS SUPPLY DATA'!$AO:$AO,"cosco")+SUMIFS('ESS SUPPLY DATA'!$U:$U,'ESS SUPPLY DATA'!$AF:$AF,'CT capacity tracker'!$B102,'ESS SUPPLY DATA'!$AE:$AE,'CT capacity tracker'!$A$97,'ESS SUPPLY DATA'!$W:$W,'CT capacity tracker'!J$1,'ESS SUPPLY DATA'!$AO:$AO,"other")</f>
        <v>0</v>
      </c>
      <c r="K105" s="504">
        <f>SUMIFS('PV SUPPLY DATA'!$X:$X,'PV SUPPLY DATA'!$AH:$AH,'CT capacity tracker'!$B102,'PV SUPPLY DATA'!$AG:$AG,'CT capacity tracker'!$A$97,'PV SUPPLY DATA'!$Y:$Y,K$1,'PV SUPPLY DATA'!$AQ:$AQ,"cosco")+SUMIFS('PV SUPPLY DATA'!$X:$X,'PV SUPPLY DATA'!$AH:$AH,'CT capacity tracker'!$B102,'PV SUPPLY DATA'!$AG:$AG,'CT capacity tracker'!$A$97,'PV SUPPLY DATA'!$Y:$Y,K$1,'PV SUPPLY DATA'!$AQ:$AQ,"other")+SUMIFS('ESS SUPPLY DATA'!$U:$U,'ESS SUPPLY DATA'!$AF:$AF,'CT capacity tracker'!$B102,'ESS SUPPLY DATA'!$AE:$AE,'CT capacity tracker'!$A$97,'ESS SUPPLY DATA'!$W:$W,'CT capacity tracker'!K$1,'ESS SUPPLY DATA'!$AO:$AO,"cosco")+SUMIFS('ESS SUPPLY DATA'!$U:$U,'ESS SUPPLY DATA'!$AF:$AF,'CT capacity tracker'!$B102,'ESS SUPPLY DATA'!$AE:$AE,'CT capacity tracker'!$A$97,'ESS SUPPLY DATA'!$W:$W,'CT capacity tracker'!K$1,'ESS SUPPLY DATA'!$AO:$AO,"other")</f>
        <v>0</v>
      </c>
      <c r="L105" s="504">
        <f>SUMIFS('PV SUPPLY DATA'!$X:$X,'PV SUPPLY DATA'!$AH:$AH,'CT capacity tracker'!$B102,'PV SUPPLY DATA'!$AG:$AG,'CT capacity tracker'!$A$97,'PV SUPPLY DATA'!$Y:$Y,L$1,'PV SUPPLY DATA'!$AQ:$AQ,"cosco")+SUMIFS('PV SUPPLY DATA'!$X:$X,'PV SUPPLY DATA'!$AH:$AH,'CT capacity tracker'!$B102,'PV SUPPLY DATA'!$AG:$AG,'CT capacity tracker'!$A$97,'PV SUPPLY DATA'!$Y:$Y,L$1,'PV SUPPLY DATA'!$AQ:$AQ,"other")+SUMIFS('ESS SUPPLY DATA'!$U:$U,'ESS SUPPLY DATA'!$AF:$AF,'CT capacity tracker'!$B102,'ESS SUPPLY DATA'!$AE:$AE,'CT capacity tracker'!$A$97,'ESS SUPPLY DATA'!$W:$W,'CT capacity tracker'!L$1,'ESS SUPPLY DATA'!$AO:$AO,"cosco")+SUMIFS('ESS SUPPLY DATA'!$U:$U,'ESS SUPPLY DATA'!$AF:$AF,'CT capacity tracker'!$B102,'ESS SUPPLY DATA'!$AE:$AE,'CT capacity tracker'!$A$97,'ESS SUPPLY DATA'!$W:$W,'CT capacity tracker'!L$1,'ESS SUPPLY DATA'!$AO:$AO,"other")</f>
        <v>0</v>
      </c>
      <c r="M105" s="504">
        <f>SUMIFS('PV SUPPLY DATA'!$X:$X,'PV SUPPLY DATA'!$AH:$AH,'CT capacity tracker'!$B102,'PV SUPPLY DATA'!$AG:$AG,'CT capacity tracker'!$A$97,'PV SUPPLY DATA'!$Y:$Y,M$1,'PV SUPPLY DATA'!$AQ:$AQ,"cosco")+SUMIFS('PV SUPPLY DATA'!$X:$X,'PV SUPPLY DATA'!$AH:$AH,'CT capacity tracker'!$B102,'PV SUPPLY DATA'!$AG:$AG,'CT capacity tracker'!$A$97,'PV SUPPLY DATA'!$Y:$Y,M$1,'PV SUPPLY DATA'!$AQ:$AQ,"other")+SUMIFS('ESS SUPPLY DATA'!$U:$U,'ESS SUPPLY DATA'!$AF:$AF,'CT capacity tracker'!$B102,'ESS SUPPLY DATA'!$AE:$AE,'CT capacity tracker'!$A$97,'ESS SUPPLY DATA'!$W:$W,'CT capacity tracker'!M$1,'ESS SUPPLY DATA'!$AO:$AO,"cosco")+SUMIFS('ESS SUPPLY DATA'!$U:$U,'ESS SUPPLY DATA'!$AF:$AF,'CT capacity tracker'!$B102,'ESS SUPPLY DATA'!$AE:$AE,'CT capacity tracker'!$A$97,'ESS SUPPLY DATA'!$W:$W,'CT capacity tracker'!M$1,'ESS SUPPLY DATA'!$AO:$AO,"other")</f>
        <v>9</v>
      </c>
      <c r="N105" s="504">
        <f>SUMIFS('PV SUPPLY DATA'!$X:$X,'PV SUPPLY DATA'!$AH:$AH,'CT capacity tracker'!$B102,'PV SUPPLY DATA'!$AG:$AG,'CT capacity tracker'!$A$97,'PV SUPPLY DATA'!$Y:$Y,N$1,'PV SUPPLY DATA'!$AQ:$AQ,"cosco")+SUMIFS('PV SUPPLY DATA'!$X:$X,'PV SUPPLY DATA'!$AH:$AH,'CT capacity tracker'!$B102,'PV SUPPLY DATA'!$AG:$AG,'CT capacity tracker'!$A$97,'PV SUPPLY DATA'!$Y:$Y,N$1,'PV SUPPLY DATA'!$AQ:$AQ,"other")+SUMIFS('ESS SUPPLY DATA'!$U:$U,'ESS SUPPLY DATA'!$AF:$AF,'CT capacity tracker'!$B102,'ESS SUPPLY DATA'!$AE:$AE,'CT capacity tracker'!$A$97,'ESS SUPPLY DATA'!$W:$W,'CT capacity tracker'!N$1,'ESS SUPPLY DATA'!$AO:$AO,"cosco")+SUMIFS('ESS SUPPLY DATA'!$U:$U,'ESS SUPPLY DATA'!$AF:$AF,'CT capacity tracker'!$B102,'ESS SUPPLY DATA'!$AE:$AE,'CT capacity tracker'!$A$97,'ESS SUPPLY DATA'!$W:$W,'CT capacity tracker'!N$1,'ESS SUPPLY DATA'!$AO:$AO,"other")</f>
        <v>6</v>
      </c>
      <c r="O105" s="504">
        <f>SUMIFS('PV SUPPLY DATA'!$X:$X,'PV SUPPLY DATA'!$AH:$AH,'CT capacity tracker'!$B102,'PV SUPPLY DATA'!$AG:$AG,'CT capacity tracker'!$A$97,'PV SUPPLY DATA'!$Y:$Y,O$1,'PV SUPPLY DATA'!$AQ:$AQ,"cosco")+SUMIFS('PV SUPPLY DATA'!$X:$X,'PV SUPPLY DATA'!$AH:$AH,'CT capacity tracker'!$B102,'PV SUPPLY DATA'!$AG:$AG,'CT capacity tracker'!$A$97,'PV SUPPLY DATA'!$Y:$Y,O$1,'PV SUPPLY DATA'!$AQ:$AQ,"other")+SUMIFS('ESS SUPPLY DATA'!$U:$U,'ESS SUPPLY DATA'!$AF:$AF,'CT capacity tracker'!$B102,'ESS SUPPLY DATA'!$AE:$AE,'CT capacity tracker'!$A$97,'ESS SUPPLY DATA'!$W:$W,'CT capacity tracker'!O$1,'ESS SUPPLY DATA'!$AO:$AO,"cosco")+SUMIFS('ESS SUPPLY DATA'!$U:$U,'ESS SUPPLY DATA'!$AF:$AF,'CT capacity tracker'!$B102,'ESS SUPPLY DATA'!$AE:$AE,'CT capacity tracker'!$A$97,'ESS SUPPLY DATA'!$W:$W,'CT capacity tracker'!O$1,'ESS SUPPLY DATA'!$AO:$AO,"other")</f>
        <v>0</v>
      </c>
      <c r="P105" s="504">
        <f>SUMIFS('PV SUPPLY DATA'!$X:$X,'PV SUPPLY DATA'!$AH:$AH,'CT capacity tracker'!$B102,'PV SUPPLY DATA'!$AG:$AG,'CT capacity tracker'!$A$97,'PV SUPPLY DATA'!$Y:$Y,P$1,'PV SUPPLY DATA'!$AQ:$AQ,"cosco")+SUMIFS('PV SUPPLY DATA'!$X:$X,'PV SUPPLY DATA'!$AH:$AH,'CT capacity tracker'!$B102,'PV SUPPLY DATA'!$AG:$AG,'CT capacity tracker'!$A$97,'PV SUPPLY DATA'!$Y:$Y,P$1,'PV SUPPLY DATA'!$AQ:$AQ,"other")+SUMIFS('ESS SUPPLY DATA'!$U:$U,'ESS SUPPLY DATA'!$AF:$AF,'CT capacity tracker'!$B102,'ESS SUPPLY DATA'!$AE:$AE,'CT capacity tracker'!$A$97,'ESS SUPPLY DATA'!$W:$W,'CT capacity tracker'!P$1,'ESS SUPPLY DATA'!$AO:$AO,"cosco")+SUMIFS('ESS SUPPLY DATA'!$U:$U,'ESS SUPPLY DATA'!$AF:$AF,'CT capacity tracker'!$B102,'ESS SUPPLY DATA'!$AE:$AE,'CT capacity tracker'!$A$97,'ESS SUPPLY DATA'!$W:$W,'CT capacity tracker'!P$1,'ESS SUPPLY DATA'!$AO:$AO,"other")</f>
        <v>4</v>
      </c>
      <c r="Q105" s="504">
        <f>SUMIFS('PV SUPPLY DATA'!$X:$X,'PV SUPPLY DATA'!$AH:$AH,'CT capacity tracker'!$B102,'PV SUPPLY DATA'!$AG:$AG,'CT capacity tracker'!$A$97,'PV SUPPLY DATA'!$Y:$Y,Q$1,'PV SUPPLY DATA'!$AQ:$AQ,"cosco")+SUMIFS('PV SUPPLY DATA'!$X:$X,'PV SUPPLY DATA'!$AH:$AH,'CT capacity tracker'!$B102,'PV SUPPLY DATA'!$AG:$AG,'CT capacity tracker'!$A$97,'PV SUPPLY DATA'!$Y:$Y,Q$1,'PV SUPPLY DATA'!$AQ:$AQ,"other")+SUMIFS('ESS SUPPLY DATA'!$U:$U,'ESS SUPPLY DATA'!$AF:$AF,'CT capacity tracker'!$B102,'ESS SUPPLY DATA'!$AE:$AE,'CT capacity tracker'!$A$97,'ESS SUPPLY DATA'!$W:$W,'CT capacity tracker'!Q$1,'ESS SUPPLY DATA'!$AO:$AO,"cosco")+SUMIFS('ESS SUPPLY DATA'!$U:$U,'ESS SUPPLY DATA'!$AF:$AF,'CT capacity tracker'!$B102,'ESS SUPPLY DATA'!$AE:$AE,'CT capacity tracker'!$A$97,'ESS SUPPLY DATA'!$W:$W,'CT capacity tracker'!Q$1,'ESS SUPPLY DATA'!$AO:$AO,"other")</f>
        <v>10</v>
      </c>
      <c r="R105" s="504">
        <f>SUMIFS('PV SUPPLY DATA'!$X:$X,'PV SUPPLY DATA'!$AH:$AH,'CT capacity tracker'!$B102,'PV SUPPLY DATA'!$AG:$AG,'CT capacity tracker'!$A$97,'PV SUPPLY DATA'!$Y:$Y,R$1,'PV SUPPLY DATA'!$AQ:$AQ,"cosco")+SUMIFS('PV SUPPLY DATA'!$X:$X,'PV SUPPLY DATA'!$AH:$AH,'CT capacity tracker'!$B102,'PV SUPPLY DATA'!$AG:$AG,'CT capacity tracker'!$A$97,'PV SUPPLY DATA'!$Y:$Y,R$1,'PV SUPPLY DATA'!$AQ:$AQ,"other")+SUMIFS('ESS SUPPLY DATA'!$U:$U,'ESS SUPPLY DATA'!$AF:$AF,'CT capacity tracker'!$B102,'ESS SUPPLY DATA'!$AE:$AE,'CT capacity tracker'!$A$97,'ESS SUPPLY DATA'!$W:$W,'CT capacity tracker'!R$1,'ESS SUPPLY DATA'!$AO:$AO,"cosco")+SUMIFS('ESS SUPPLY DATA'!$U:$U,'ESS SUPPLY DATA'!$AF:$AF,'CT capacity tracker'!$B102,'ESS SUPPLY DATA'!$AE:$AE,'CT capacity tracker'!$A$97,'ESS SUPPLY DATA'!$W:$W,'CT capacity tracker'!R$1,'ESS SUPPLY DATA'!$AO:$AO,"other")</f>
        <v>0</v>
      </c>
      <c r="S105" s="504">
        <f>SUMIFS('PV SUPPLY DATA'!$X:$X,'PV SUPPLY DATA'!$AH:$AH,'CT capacity tracker'!$B102,'PV SUPPLY DATA'!$AG:$AG,'CT capacity tracker'!$A$97,'PV SUPPLY DATA'!$Y:$Y,S$1,'PV SUPPLY DATA'!$AQ:$AQ,"cosco")+SUMIFS('PV SUPPLY DATA'!$X:$X,'PV SUPPLY DATA'!$AH:$AH,'CT capacity tracker'!$B102,'PV SUPPLY DATA'!$AG:$AG,'CT capacity tracker'!$A$97,'PV SUPPLY DATA'!$Y:$Y,S$1,'PV SUPPLY DATA'!$AQ:$AQ,"other")+SUMIFS('ESS SUPPLY DATA'!$U:$U,'ESS SUPPLY DATA'!$AF:$AF,'CT capacity tracker'!$B102,'ESS SUPPLY DATA'!$AE:$AE,'CT capacity tracker'!$A$97,'ESS SUPPLY DATA'!$W:$W,'CT capacity tracker'!S$1,'ESS SUPPLY DATA'!$AO:$AO,"cosco")+SUMIFS('ESS SUPPLY DATA'!$U:$U,'ESS SUPPLY DATA'!$AF:$AF,'CT capacity tracker'!$B102,'ESS SUPPLY DATA'!$AE:$AE,'CT capacity tracker'!$A$97,'ESS SUPPLY DATA'!$W:$W,'CT capacity tracker'!S$1,'ESS SUPPLY DATA'!$AO:$AO,"other")</f>
        <v>0</v>
      </c>
      <c r="T105" s="504">
        <f>SUMIFS('PV SUPPLY DATA'!$X:$X,'PV SUPPLY DATA'!$AH:$AH,'CT capacity tracker'!$B102,'PV SUPPLY DATA'!$AG:$AG,'CT capacity tracker'!$A$97,'PV SUPPLY DATA'!$Y:$Y,T$1,'PV SUPPLY DATA'!$AQ:$AQ,"cosco")+SUMIFS('PV SUPPLY DATA'!$X:$X,'PV SUPPLY DATA'!$AH:$AH,'CT capacity tracker'!$B102,'PV SUPPLY DATA'!$AG:$AG,'CT capacity tracker'!$A$97,'PV SUPPLY DATA'!$Y:$Y,T$1,'PV SUPPLY DATA'!$AQ:$AQ,"other")+SUMIFS('ESS SUPPLY DATA'!$U:$U,'ESS SUPPLY DATA'!$AF:$AF,'CT capacity tracker'!$B102,'ESS SUPPLY DATA'!$AE:$AE,'CT capacity tracker'!$A$97,'ESS SUPPLY DATA'!$W:$W,'CT capacity tracker'!T$1,'ESS SUPPLY DATA'!$AO:$AO,"cosco")+SUMIFS('ESS SUPPLY DATA'!$U:$U,'ESS SUPPLY DATA'!$AF:$AF,'CT capacity tracker'!$B102,'ESS SUPPLY DATA'!$AE:$AE,'CT capacity tracker'!$A$97,'ESS SUPPLY DATA'!$W:$W,'CT capacity tracker'!T$1,'ESS SUPPLY DATA'!$AO:$AO,"other")</f>
        <v>6</v>
      </c>
      <c r="U105" s="504">
        <f>SUMIFS('PV SUPPLY DATA'!$X:$X,'PV SUPPLY DATA'!$AH:$AH,'CT capacity tracker'!$B102,'PV SUPPLY DATA'!$AG:$AG,'CT capacity tracker'!$A$97,'PV SUPPLY DATA'!$Y:$Y,U$1,'PV SUPPLY DATA'!$AQ:$AQ,"cosco")+SUMIFS('PV SUPPLY DATA'!$X:$X,'PV SUPPLY DATA'!$AH:$AH,'CT capacity tracker'!$B102,'PV SUPPLY DATA'!$AG:$AG,'CT capacity tracker'!$A$97,'PV SUPPLY DATA'!$Y:$Y,U$1,'PV SUPPLY DATA'!$AQ:$AQ,"other")+SUMIFS('ESS SUPPLY DATA'!$U:$U,'ESS SUPPLY DATA'!$AF:$AF,'CT capacity tracker'!$B102,'ESS SUPPLY DATA'!$AE:$AE,'CT capacity tracker'!$A$97,'ESS SUPPLY DATA'!$W:$W,'CT capacity tracker'!U$1,'ESS SUPPLY DATA'!$AO:$AO,"cosco")+SUMIFS('ESS SUPPLY DATA'!$U:$U,'ESS SUPPLY DATA'!$AF:$AF,'CT capacity tracker'!$B102,'ESS SUPPLY DATA'!$AE:$AE,'CT capacity tracker'!$A$97,'ESS SUPPLY DATA'!$W:$W,'CT capacity tracker'!U$1,'ESS SUPPLY DATA'!$AO:$AO,"other")</f>
        <v>4</v>
      </c>
      <c r="V105" s="504">
        <f>SUMIFS('PV SUPPLY DATA'!$X:$X,'PV SUPPLY DATA'!$AH:$AH,'CT capacity tracker'!$B102,'PV SUPPLY DATA'!$AG:$AG,'CT capacity tracker'!$A$97,'PV SUPPLY DATA'!$Y:$Y,V$1,'PV SUPPLY DATA'!$AQ:$AQ,"cosco")+SUMIFS('PV SUPPLY DATA'!$X:$X,'PV SUPPLY DATA'!$AH:$AH,'CT capacity tracker'!$B102,'PV SUPPLY DATA'!$AG:$AG,'CT capacity tracker'!$A$97,'PV SUPPLY DATA'!$Y:$Y,V$1,'PV SUPPLY DATA'!$AQ:$AQ,"other")+SUMIFS('ESS SUPPLY DATA'!$U:$U,'ESS SUPPLY DATA'!$AF:$AF,'CT capacity tracker'!$B102,'ESS SUPPLY DATA'!$AE:$AE,'CT capacity tracker'!$A$97,'ESS SUPPLY DATA'!$W:$W,'CT capacity tracker'!V$1,'ESS SUPPLY DATA'!$AO:$AO,"cosco")+SUMIFS('ESS SUPPLY DATA'!$U:$U,'ESS SUPPLY DATA'!$AF:$AF,'CT capacity tracker'!$B102,'ESS SUPPLY DATA'!$AE:$AE,'CT capacity tracker'!$A$97,'ESS SUPPLY DATA'!$W:$W,'CT capacity tracker'!V$1,'ESS SUPPLY DATA'!$AO:$AO,"other")</f>
        <v>10</v>
      </c>
      <c r="W105" s="504">
        <f>SUMIFS('PV SUPPLY DATA'!$X:$X,'PV SUPPLY DATA'!$AH:$AH,'CT capacity tracker'!$B102,'PV SUPPLY DATA'!$AG:$AG,'CT capacity tracker'!$A$97,'PV SUPPLY DATA'!$Y:$Y,W$1,'PV SUPPLY DATA'!$AQ:$AQ,"cosco")+SUMIFS('PV SUPPLY DATA'!$X:$X,'PV SUPPLY DATA'!$AH:$AH,'CT capacity tracker'!$B102,'PV SUPPLY DATA'!$AG:$AG,'CT capacity tracker'!$A$97,'PV SUPPLY DATA'!$Y:$Y,W$1,'PV SUPPLY DATA'!$AQ:$AQ,"other")+SUMIFS('ESS SUPPLY DATA'!$U:$U,'ESS SUPPLY DATA'!$AF:$AF,'CT capacity tracker'!$B102,'ESS SUPPLY DATA'!$AE:$AE,'CT capacity tracker'!$A$97,'ESS SUPPLY DATA'!$W:$W,'CT capacity tracker'!W$1,'ESS SUPPLY DATA'!$AO:$AO,"cosco")+SUMIFS('ESS SUPPLY DATA'!$U:$U,'ESS SUPPLY DATA'!$AF:$AF,'CT capacity tracker'!$B102,'ESS SUPPLY DATA'!$AE:$AE,'CT capacity tracker'!$A$97,'ESS SUPPLY DATA'!$W:$W,'CT capacity tracker'!W$1,'ESS SUPPLY DATA'!$AO:$AO,"other")</f>
        <v>4</v>
      </c>
      <c r="X105" s="504">
        <f>SUMIFS('PV SUPPLY DATA'!$X:$X,'PV SUPPLY DATA'!$AH:$AH,'CT capacity tracker'!$B102,'PV SUPPLY DATA'!$AG:$AG,'CT capacity tracker'!$A$97,'PV SUPPLY DATA'!$Y:$Y,X$1,'PV SUPPLY DATA'!$AQ:$AQ,"cosco")+SUMIFS('PV SUPPLY DATA'!$X:$X,'PV SUPPLY DATA'!$AH:$AH,'CT capacity tracker'!$B102,'PV SUPPLY DATA'!$AG:$AG,'CT capacity tracker'!$A$97,'PV SUPPLY DATA'!$Y:$Y,X$1,'PV SUPPLY DATA'!$AQ:$AQ,"other")+SUMIFS('ESS SUPPLY DATA'!$U:$U,'ESS SUPPLY DATA'!$AF:$AF,'CT capacity tracker'!$B102,'ESS SUPPLY DATA'!$AE:$AE,'CT capacity tracker'!$A$97,'ESS SUPPLY DATA'!$W:$W,'CT capacity tracker'!X$1,'ESS SUPPLY DATA'!$AO:$AO,"cosco")+SUMIFS('ESS SUPPLY DATA'!$U:$U,'ESS SUPPLY DATA'!$AF:$AF,'CT capacity tracker'!$B102,'ESS SUPPLY DATA'!$AE:$AE,'CT capacity tracker'!$A$97,'ESS SUPPLY DATA'!$W:$W,'CT capacity tracker'!X$1,'ESS SUPPLY DATA'!$AO:$AO,"other")</f>
        <v>2</v>
      </c>
      <c r="Y105" s="504">
        <f>SUMIFS('PV SUPPLY DATA'!$X:$X,'PV SUPPLY DATA'!$AH:$AH,'CT capacity tracker'!$B102,'PV SUPPLY DATA'!$AG:$AG,'CT capacity tracker'!$A$97,'PV SUPPLY DATA'!$Y:$Y,Y$1,'PV SUPPLY DATA'!$AQ:$AQ,"cosco")+SUMIFS('PV SUPPLY DATA'!$X:$X,'PV SUPPLY DATA'!$AH:$AH,'CT capacity tracker'!$B102,'PV SUPPLY DATA'!$AG:$AG,'CT capacity tracker'!$A$97,'PV SUPPLY DATA'!$Y:$Y,Y$1,'PV SUPPLY DATA'!$AQ:$AQ,"other")+SUMIFS('ESS SUPPLY DATA'!$U:$U,'ESS SUPPLY DATA'!$AF:$AF,'CT capacity tracker'!$B102,'ESS SUPPLY DATA'!$AE:$AE,'CT capacity tracker'!$A$97,'ESS SUPPLY DATA'!$W:$W,'CT capacity tracker'!Y$1,'ESS SUPPLY DATA'!$AO:$AO,"cosco")+SUMIFS('ESS SUPPLY DATA'!$U:$U,'ESS SUPPLY DATA'!$AF:$AF,'CT capacity tracker'!$B102,'ESS SUPPLY DATA'!$AE:$AE,'CT capacity tracker'!$A$97,'ESS SUPPLY DATA'!$W:$W,'CT capacity tracker'!Y$1,'ESS SUPPLY DATA'!$AO:$AO,"other")</f>
        <v>0</v>
      </c>
      <c r="Z105" s="504">
        <f>SUMIFS('PV SUPPLY DATA'!$X:$X,'PV SUPPLY DATA'!$AH:$AH,'CT capacity tracker'!$B102,'PV SUPPLY DATA'!$AG:$AG,'CT capacity tracker'!$A$97,'PV SUPPLY DATA'!$Y:$Y,Z$1,'PV SUPPLY DATA'!$AQ:$AQ,"cosco")+SUMIFS('PV SUPPLY DATA'!$X:$X,'PV SUPPLY DATA'!$AH:$AH,'CT capacity tracker'!$B102,'PV SUPPLY DATA'!$AG:$AG,'CT capacity tracker'!$A$97,'PV SUPPLY DATA'!$Y:$Y,Z$1,'PV SUPPLY DATA'!$AQ:$AQ,"other")+SUMIFS('ESS SUPPLY DATA'!$U:$U,'ESS SUPPLY DATA'!$AF:$AF,'CT capacity tracker'!$B102,'ESS SUPPLY DATA'!$AE:$AE,'CT capacity tracker'!$A$97,'ESS SUPPLY DATA'!$W:$W,'CT capacity tracker'!Z$1,'ESS SUPPLY DATA'!$AO:$AO,"cosco")+SUMIFS('ESS SUPPLY DATA'!$U:$U,'ESS SUPPLY DATA'!$AF:$AF,'CT capacity tracker'!$B102,'ESS SUPPLY DATA'!$AE:$AE,'CT capacity tracker'!$A$97,'ESS SUPPLY DATA'!$W:$W,'CT capacity tracker'!Z$1,'ESS SUPPLY DATA'!$AO:$AO,"other")</f>
        <v>10</v>
      </c>
      <c r="AA105" s="504">
        <f>SUMIFS('PV SUPPLY DATA'!$X:$X,'PV SUPPLY DATA'!$AH:$AH,'CT capacity tracker'!$B102,'PV SUPPLY DATA'!$AG:$AG,'CT capacity tracker'!$A$97,'PV SUPPLY DATA'!$Y:$Y,AA$1,'PV SUPPLY DATA'!$AQ:$AQ,"cosco")+SUMIFS('PV SUPPLY DATA'!$X:$X,'PV SUPPLY DATA'!$AH:$AH,'CT capacity tracker'!$B102,'PV SUPPLY DATA'!$AG:$AG,'CT capacity tracker'!$A$97,'PV SUPPLY DATA'!$Y:$Y,AA$1,'PV SUPPLY DATA'!$AQ:$AQ,"other")+SUMIFS('ESS SUPPLY DATA'!$U:$U,'ESS SUPPLY DATA'!$AF:$AF,'CT capacity tracker'!$B102,'ESS SUPPLY DATA'!$AE:$AE,'CT capacity tracker'!$A$97,'ESS SUPPLY DATA'!$W:$W,'CT capacity tracker'!AA$1,'ESS SUPPLY DATA'!$AO:$AO,"cosco")+SUMIFS('ESS SUPPLY DATA'!$U:$U,'ESS SUPPLY DATA'!$AF:$AF,'CT capacity tracker'!$B102,'ESS SUPPLY DATA'!$AE:$AE,'CT capacity tracker'!$A$97,'ESS SUPPLY DATA'!$W:$W,'CT capacity tracker'!AA$1,'ESS SUPPLY DATA'!$AO:$AO,"other")</f>
        <v>21</v>
      </c>
      <c r="AB105" s="504">
        <f>SUMIFS('PV SUPPLY DATA'!$X:$X,'PV SUPPLY DATA'!$AH:$AH,'CT capacity tracker'!$B102,'PV SUPPLY DATA'!$AG:$AG,'CT capacity tracker'!$A$97,'PV SUPPLY DATA'!$Y:$Y,AB$1,'PV SUPPLY DATA'!$AQ:$AQ,"cosco")+SUMIFS('PV SUPPLY DATA'!$X:$X,'PV SUPPLY DATA'!$AH:$AH,'CT capacity tracker'!$B102,'PV SUPPLY DATA'!$AG:$AG,'CT capacity tracker'!$A$97,'PV SUPPLY DATA'!$Y:$Y,AB$1,'PV SUPPLY DATA'!$AQ:$AQ,"other")+SUMIFS('ESS SUPPLY DATA'!$U:$U,'ESS SUPPLY DATA'!$AF:$AF,'CT capacity tracker'!$B102,'ESS SUPPLY DATA'!$AE:$AE,'CT capacity tracker'!$A$97,'ESS SUPPLY DATA'!$W:$W,'CT capacity tracker'!AB$1,'ESS SUPPLY DATA'!$AO:$AO,"cosco")+SUMIFS('ESS SUPPLY DATA'!$U:$U,'ESS SUPPLY DATA'!$AF:$AF,'CT capacity tracker'!$B102,'ESS SUPPLY DATA'!$AE:$AE,'CT capacity tracker'!$A$97,'ESS SUPPLY DATA'!$W:$W,'CT capacity tracker'!AB$1,'ESS SUPPLY DATA'!$AO:$AO,"other")</f>
        <v>3</v>
      </c>
      <c r="AC105" s="504">
        <f>SUMIFS('PV SUPPLY DATA'!$X:$X,'PV SUPPLY DATA'!$AH:$AH,'CT capacity tracker'!$B102,'PV SUPPLY DATA'!$AG:$AG,'CT capacity tracker'!$A$97,'PV SUPPLY DATA'!$Y:$Y,AC$1,'PV SUPPLY DATA'!$AQ:$AQ,"cosco")+SUMIFS('PV SUPPLY DATA'!$X:$X,'PV SUPPLY DATA'!$AH:$AH,'CT capacity tracker'!$B102,'PV SUPPLY DATA'!$AG:$AG,'CT capacity tracker'!$A$97,'PV SUPPLY DATA'!$Y:$Y,AC$1,'PV SUPPLY DATA'!$AQ:$AQ,"other")+SUMIFS('ESS SUPPLY DATA'!$U:$U,'ESS SUPPLY DATA'!$AF:$AF,'CT capacity tracker'!$B102,'ESS SUPPLY DATA'!$AE:$AE,'CT capacity tracker'!$A$97,'ESS SUPPLY DATA'!$W:$W,'CT capacity tracker'!AC$1,'ESS SUPPLY DATA'!$AO:$AO,"cosco")+SUMIFS('ESS SUPPLY DATA'!$U:$U,'ESS SUPPLY DATA'!$AF:$AF,'CT capacity tracker'!$B102,'ESS SUPPLY DATA'!$AE:$AE,'CT capacity tracker'!$A$97,'ESS SUPPLY DATA'!$W:$W,'CT capacity tracker'!AC$1,'ESS SUPPLY DATA'!$AO:$AO,"other")</f>
        <v>0</v>
      </c>
      <c r="AD105" s="504">
        <f>SUMIFS('PV SUPPLY DATA'!$X:$X,'PV SUPPLY DATA'!$AH:$AH,'CT capacity tracker'!$B102,'PV SUPPLY DATA'!$AG:$AG,'CT capacity tracker'!$A$97,'PV SUPPLY DATA'!$Y:$Y,AD$1,'PV SUPPLY DATA'!$AQ:$AQ,"cosco")+SUMIFS('PV SUPPLY DATA'!$X:$X,'PV SUPPLY DATA'!$AH:$AH,'CT capacity tracker'!$B102,'PV SUPPLY DATA'!$AG:$AG,'CT capacity tracker'!$A$97,'PV SUPPLY DATA'!$Y:$Y,AD$1,'PV SUPPLY DATA'!$AQ:$AQ,"other")+SUMIFS('ESS SUPPLY DATA'!$U:$U,'ESS SUPPLY DATA'!$AF:$AF,'CT capacity tracker'!$B102,'ESS SUPPLY DATA'!$AE:$AE,'CT capacity tracker'!$A$97,'ESS SUPPLY DATA'!$W:$W,'CT capacity tracker'!AD$1,'ESS SUPPLY DATA'!$AO:$AO,"cosco")+SUMIFS('ESS SUPPLY DATA'!$U:$U,'ESS SUPPLY DATA'!$AF:$AF,'CT capacity tracker'!$B102,'ESS SUPPLY DATA'!$AE:$AE,'CT capacity tracker'!$A$97,'ESS SUPPLY DATA'!$W:$W,'CT capacity tracker'!AD$1,'ESS SUPPLY DATA'!$AO:$AO,"other")</f>
        <v>0</v>
      </c>
      <c r="AE105" s="504">
        <f>SUMIFS('PV SUPPLY DATA'!$X:$X,'PV SUPPLY DATA'!$AH:$AH,'CT capacity tracker'!$B102,'PV SUPPLY DATA'!$AG:$AG,'CT capacity tracker'!$A$97,'PV SUPPLY DATA'!$Y:$Y,AE$1,'PV SUPPLY DATA'!$AQ:$AQ,"cosco")+SUMIFS('PV SUPPLY DATA'!$X:$X,'PV SUPPLY DATA'!$AH:$AH,'CT capacity tracker'!$B102,'PV SUPPLY DATA'!$AG:$AG,'CT capacity tracker'!$A$97,'PV SUPPLY DATA'!$Y:$Y,AE$1,'PV SUPPLY DATA'!$AQ:$AQ,"other")+SUMIFS('ESS SUPPLY DATA'!$U:$U,'ESS SUPPLY DATA'!$AF:$AF,'CT capacity tracker'!$B102,'ESS SUPPLY DATA'!$AE:$AE,'CT capacity tracker'!$A$97,'ESS SUPPLY DATA'!$W:$W,'CT capacity tracker'!AE$1,'ESS SUPPLY DATA'!$AO:$AO,"cosco")+SUMIFS('ESS SUPPLY DATA'!$U:$U,'ESS SUPPLY DATA'!$AF:$AF,'CT capacity tracker'!$B102,'ESS SUPPLY DATA'!$AE:$AE,'CT capacity tracker'!$A$97,'ESS SUPPLY DATA'!$W:$W,'CT capacity tracker'!AE$1,'ESS SUPPLY DATA'!$AO:$AO,"other")</f>
        <v>0</v>
      </c>
      <c r="AF105" s="504">
        <f>SUMIFS('PV SUPPLY DATA'!$X:$X,'PV SUPPLY DATA'!$AH:$AH,'CT capacity tracker'!$B102,'PV SUPPLY DATA'!$AG:$AG,'CT capacity tracker'!$A$97,'PV SUPPLY DATA'!$Y:$Y,AF$1,'PV SUPPLY DATA'!$AQ:$AQ,"cosco")+SUMIFS('PV SUPPLY DATA'!$X:$X,'PV SUPPLY DATA'!$AH:$AH,'CT capacity tracker'!$B102,'PV SUPPLY DATA'!$AG:$AG,'CT capacity tracker'!$A$97,'PV SUPPLY DATA'!$Y:$Y,AF$1,'PV SUPPLY DATA'!$AQ:$AQ,"other")+SUMIFS('ESS SUPPLY DATA'!$U:$U,'ESS SUPPLY DATA'!$AF:$AF,'CT capacity tracker'!$B102,'ESS SUPPLY DATA'!$AE:$AE,'CT capacity tracker'!$A$97,'ESS SUPPLY DATA'!$W:$W,'CT capacity tracker'!AF$1,'ESS SUPPLY DATA'!$AO:$AO,"cosco")+SUMIFS('ESS SUPPLY DATA'!$U:$U,'ESS SUPPLY DATA'!$AF:$AF,'CT capacity tracker'!$B102,'ESS SUPPLY DATA'!$AE:$AE,'CT capacity tracker'!$A$97,'ESS SUPPLY DATA'!$W:$W,'CT capacity tracker'!AF$1,'ESS SUPPLY DATA'!$AO:$AO,"other")</f>
        <v>0</v>
      </c>
      <c r="AG105" s="504">
        <f>SUMIFS('PV SUPPLY DATA'!$X:$X,'PV SUPPLY DATA'!$AH:$AH,'CT capacity tracker'!$B102,'PV SUPPLY DATA'!$AG:$AG,'CT capacity tracker'!$A$97,'PV SUPPLY DATA'!$Y:$Y,AG$1,'PV SUPPLY DATA'!$AQ:$AQ,"cosco")+SUMIFS('PV SUPPLY DATA'!$X:$X,'PV SUPPLY DATA'!$AH:$AH,'CT capacity tracker'!$B102,'PV SUPPLY DATA'!$AG:$AG,'CT capacity tracker'!$A$97,'PV SUPPLY DATA'!$Y:$Y,AG$1,'PV SUPPLY DATA'!$AQ:$AQ,"other")+SUMIFS('ESS SUPPLY DATA'!$U:$U,'ESS SUPPLY DATA'!$AF:$AF,'CT capacity tracker'!$B102,'ESS SUPPLY DATA'!$AE:$AE,'CT capacity tracker'!$A$97,'ESS SUPPLY DATA'!$W:$W,'CT capacity tracker'!AG$1,'ESS SUPPLY DATA'!$AO:$AO,"cosco")+SUMIFS('ESS SUPPLY DATA'!$U:$U,'ESS SUPPLY DATA'!$AF:$AF,'CT capacity tracker'!$B102,'ESS SUPPLY DATA'!$AE:$AE,'CT capacity tracker'!$A$97,'ESS SUPPLY DATA'!$W:$W,'CT capacity tracker'!AG$1,'ESS SUPPLY DATA'!$AO:$AO,"other")</f>
        <v>0</v>
      </c>
      <c r="AH105" s="504">
        <f>SUMIFS('PV SUPPLY DATA'!$X:$X,'PV SUPPLY DATA'!$AH:$AH,'CT capacity tracker'!$B102,'PV SUPPLY DATA'!$AG:$AG,'CT capacity tracker'!$A$97,'PV SUPPLY DATA'!$Y:$Y,AH$1,'PV SUPPLY DATA'!$AQ:$AQ,"cosco")+SUMIFS('PV SUPPLY DATA'!$X:$X,'PV SUPPLY DATA'!$AH:$AH,'CT capacity tracker'!$B102,'PV SUPPLY DATA'!$AG:$AG,'CT capacity tracker'!$A$97,'PV SUPPLY DATA'!$Y:$Y,AH$1,'PV SUPPLY DATA'!$AQ:$AQ,"other")+SUMIFS('ESS SUPPLY DATA'!$U:$U,'ESS SUPPLY DATA'!$AF:$AF,'CT capacity tracker'!$B102,'ESS SUPPLY DATA'!$AE:$AE,'CT capacity tracker'!$A$97,'ESS SUPPLY DATA'!$W:$W,'CT capacity tracker'!AH$1,'ESS SUPPLY DATA'!$AO:$AO,"cosco")+SUMIFS('ESS SUPPLY DATA'!$U:$U,'ESS SUPPLY DATA'!$AF:$AF,'CT capacity tracker'!$B102,'ESS SUPPLY DATA'!$AE:$AE,'CT capacity tracker'!$A$97,'ESS SUPPLY DATA'!$W:$W,'CT capacity tracker'!AH$1,'ESS SUPPLY DATA'!$AO:$AO,"other")</f>
        <v>0</v>
      </c>
      <c r="AI105" s="504">
        <f>SUMIFS('PV SUPPLY DATA'!$X:$X,'PV SUPPLY DATA'!$AH:$AH,'CT capacity tracker'!$B102,'PV SUPPLY DATA'!$AG:$AG,'CT capacity tracker'!$A$97,'PV SUPPLY DATA'!$Y:$Y,AI$1,'PV SUPPLY DATA'!$AQ:$AQ,"cosco")+SUMIFS('PV SUPPLY DATA'!$X:$X,'PV SUPPLY DATA'!$AH:$AH,'CT capacity tracker'!$B102,'PV SUPPLY DATA'!$AG:$AG,'CT capacity tracker'!$A$97,'PV SUPPLY DATA'!$Y:$Y,AI$1,'PV SUPPLY DATA'!$AQ:$AQ,"other")+SUMIFS('ESS SUPPLY DATA'!$U:$U,'ESS SUPPLY DATA'!$AF:$AF,'CT capacity tracker'!$B102,'ESS SUPPLY DATA'!$AE:$AE,'CT capacity tracker'!$A$97,'ESS SUPPLY DATA'!$W:$W,'CT capacity tracker'!AI$1,'ESS SUPPLY DATA'!$AO:$AO,"cosco")+SUMIFS('ESS SUPPLY DATA'!$U:$U,'ESS SUPPLY DATA'!$AF:$AF,'CT capacity tracker'!$B102,'ESS SUPPLY DATA'!$AE:$AE,'CT capacity tracker'!$A$97,'ESS SUPPLY DATA'!$W:$W,'CT capacity tracker'!AI$1,'ESS SUPPLY DATA'!$AO:$AO,"other")</f>
        <v>0</v>
      </c>
      <c r="AJ105" s="504">
        <f>SUMIFS('PV SUPPLY DATA'!$X:$X,'PV SUPPLY DATA'!$AH:$AH,'CT capacity tracker'!$B102,'PV SUPPLY DATA'!$AG:$AG,'CT capacity tracker'!$A$97,'PV SUPPLY DATA'!$Y:$Y,AJ$1,'PV SUPPLY DATA'!$AQ:$AQ,"cosco")+SUMIFS('PV SUPPLY DATA'!$X:$X,'PV SUPPLY DATA'!$AH:$AH,'CT capacity tracker'!$B102,'PV SUPPLY DATA'!$AG:$AG,'CT capacity tracker'!$A$97,'PV SUPPLY DATA'!$Y:$Y,AJ$1,'PV SUPPLY DATA'!$AQ:$AQ,"other")+SUMIFS('ESS SUPPLY DATA'!$U:$U,'ESS SUPPLY DATA'!$AF:$AF,'CT capacity tracker'!$B102,'ESS SUPPLY DATA'!$AE:$AE,'CT capacity tracker'!$A$97,'ESS SUPPLY DATA'!$W:$W,'CT capacity tracker'!AJ$1,'ESS SUPPLY DATA'!$AO:$AO,"cosco")+SUMIFS('ESS SUPPLY DATA'!$U:$U,'ESS SUPPLY DATA'!$AF:$AF,'CT capacity tracker'!$B102,'ESS SUPPLY DATA'!$AE:$AE,'CT capacity tracker'!$A$97,'ESS SUPPLY DATA'!$W:$W,'CT capacity tracker'!AJ$1,'ESS SUPPLY DATA'!$AO:$AO,"other")</f>
        <v>0</v>
      </c>
      <c r="AK105" s="511"/>
      <c r="AL105" s="511"/>
      <c r="AM105" s="696">
        <f>SUM(E105:X105)</f>
        <v>55</v>
      </c>
      <c r="AN105" s="503"/>
      <c r="AO105" s="506"/>
      <c r="AP105" s="506"/>
      <c r="AQ105" s="506"/>
      <c r="AR105" s="506"/>
      <c r="AS105" s="506"/>
      <c r="AT105" s="506"/>
    </row>
    <row r="106" spans="1:46" ht="13">
      <c r="A106" s="1517"/>
      <c r="B106" s="1516" t="s">
        <v>356</v>
      </c>
      <c r="C106" s="503" t="s">
        <v>4400</v>
      </c>
      <c r="D106" s="504">
        <f>SUMIFS('PV SUPPLY DATA'!$X:$X,'PV SUPPLY DATA'!$AH:$AH,'CT capacity tracker'!$B106,'PV SUPPLY DATA'!$AG:$AG,'CT capacity tracker'!$A$97,'PV SUPPLY DATA'!$Y:$Y,'CT capacity tracker'!D$1)</f>
        <v>0</v>
      </c>
      <c r="E106" s="504">
        <f>SUMIFS('PV SUPPLY DATA'!$X:$X,'PV SUPPLY DATA'!$Y:$Y,'CT capacity tracker'!E$1,'PV SUPPLY DATA'!$AG:$AG,'CT capacity tracker'!$A$97,'PV SUPPLY DATA'!$AH:$AH,'CT capacity tracker'!$B$106)</f>
        <v>0</v>
      </c>
      <c r="F106" s="504">
        <f>SUMIFS('PV SUPPLY DATA'!$X:$X,'PV SUPPLY DATA'!$Y:$Y,'CT capacity tracker'!F$1,'PV SUPPLY DATA'!$AG:$AG,'CT capacity tracker'!$A$97,'PV SUPPLY DATA'!$AH:$AH,'CT capacity tracker'!$B$106)</f>
        <v>0</v>
      </c>
      <c r="G106" s="504">
        <f>SUMIFS('PV SUPPLY DATA'!$X:$X,'PV SUPPLY DATA'!$Y:$Y,'CT capacity tracker'!G$1,'PV SUPPLY DATA'!$AG:$AG,'CT capacity tracker'!$A$97,'PV SUPPLY DATA'!$AH:$AH,'CT capacity tracker'!$B$106)</f>
        <v>0</v>
      </c>
      <c r="H106" s="504">
        <f>SUMIFS('PV SUPPLY DATA'!$X:$X,'PV SUPPLY DATA'!$Y:$Y,'CT capacity tracker'!H$1,'PV SUPPLY DATA'!$AG:$AG,'CT capacity tracker'!$A$97,'PV SUPPLY DATA'!$AH:$AH,'CT capacity tracker'!$B$106)</f>
        <v>0</v>
      </c>
      <c r="I106" s="504">
        <f>SUMIFS('PV SUPPLY DATA'!$X:$X,'PV SUPPLY DATA'!$Y:$Y,'CT capacity tracker'!I$1,'PV SUPPLY DATA'!$AG:$AG,'CT capacity tracker'!$A$97,'PV SUPPLY DATA'!$AH:$AH,'CT capacity tracker'!$B$106)</f>
        <v>0</v>
      </c>
      <c r="J106" s="504">
        <f>SUMIFS('PV SUPPLY DATA'!$X:$X,'PV SUPPLY DATA'!$Y:$Y,'CT capacity tracker'!J$1,'PV SUPPLY DATA'!$AG:$AG,'CT capacity tracker'!$A$97,'PV SUPPLY DATA'!$AH:$AH,'CT capacity tracker'!$B$106)</f>
        <v>0</v>
      </c>
      <c r="K106" s="504">
        <f>SUMIFS('PV SUPPLY DATA'!$X:$X,'PV SUPPLY DATA'!$Y:$Y,'CT capacity tracker'!K$1,'PV SUPPLY DATA'!$AG:$AG,'CT capacity tracker'!$A$97,'PV SUPPLY DATA'!$AH:$AH,'CT capacity tracker'!$B$106)</f>
        <v>0</v>
      </c>
      <c r="L106" s="504">
        <f>SUMIFS('PV SUPPLY DATA'!$X:$X,'PV SUPPLY DATA'!$Y:$Y,'CT capacity tracker'!L$1,'PV SUPPLY DATA'!$AG:$AG,'CT capacity tracker'!$A$97,'PV SUPPLY DATA'!$AH:$AH,'CT capacity tracker'!$B$106)</f>
        <v>0</v>
      </c>
      <c r="M106" s="504">
        <f>SUMIFS('PV SUPPLY DATA'!$X:$X,'PV SUPPLY DATA'!$Y:$Y,'CT capacity tracker'!M$1,'PV SUPPLY DATA'!$AG:$AG,'CT capacity tracker'!$A$97,'PV SUPPLY DATA'!$AH:$AH,'CT capacity tracker'!$B$106)</f>
        <v>0</v>
      </c>
      <c r="N106" s="504">
        <f>SUMIFS('PV SUPPLY DATA'!$X:$X,'PV SUPPLY DATA'!$Y:$Y,'CT capacity tracker'!N$1,'PV SUPPLY DATA'!$AG:$AG,'CT capacity tracker'!$A$97,'PV SUPPLY DATA'!$AH:$AH,'CT capacity tracker'!$B$106)</f>
        <v>0</v>
      </c>
      <c r="O106" s="504">
        <f>SUMIFS('PV SUPPLY DATA'!$X:$X,'PV SUPPLY DATA'!$Y:$Y,'CT capacity tracker'!O$1,'PV SUPPLY DATA'!$AG:$AG,'CT capacity tracker'!$A$97,'PV SUPPLY DATA'!$AH:$AH,'CT capacity tracker'!$B$106)</f>
        <v>0</v>
      </c>
      <c r="P106" s="504">
        <f>SUMIFS('PV SUPPLY DATA'!$X:$X,'PV SUPPLY DATA'!$Y:$Y,'CT capacity tracker'!P$1,'PV SUPPLY DATA'!$AG:$AG,'CT capacity tracker'!$A$97,'PV SUPPLY DATA'!$AH:$AH,'CT capacity tracker'!$B$106)</f>
        <v>0</v>
      </c>
      <c r="Q106" s="504">
        <f>SUMIFS('PV SUPPLY DATA'!$X:$X,'PV SUPPLY DATA'!$Y:$Y,'CT capacity tracker'!Q$1,'PV SUPPLY DATA'!$AG:$AG,'CT capacity tracker'!$A$97,'PV SUPPLY DATA'!$AH:$AH,'CT capacity tracker'!$B$106)</f>
        <v>0</v>
      </c>
      <c r="R106" s="504">
        <f>SUMIFS('PV SUPPLY DATA'!$X:$X,'PV SUPPLY DATA'!$Y:$Y,'CT capacity tracker'!R$1,'PV SUPPLY DATA'!$AG:$AG,'CT capacity tracker'!$A$97,'PV SUPPLY DATA'!$AH:$AH,'CT capacity tracker'!$B$106)</f>
        <v>0</v>
      </c>
      <c r="S106" s="504">
        <f>SUMIFS('PV SUPPLY DATA'!$X:$X,'PV SUPPLY DATA'!$Y:$Y,'CT capacity tracker'!S$1,'PV SUPPLY DATA'!$AG:$AG,'CT capacity tracker'!$A$97,'PV SUPPLY DATA'!$AH:$AH,'CT capacity tracker'!$B$106)</f>
        <v>0</v>
      </c>
      <c r="T106" s="504">
        <f>SUMIFS('PV SUPPLY DATA'!$X:$X,'PV SUPPLY DATA'!$Y:$Y,'CT capacity tracker'!T$1,'PV SUPPLY DATA'!$AG:$AG,'CT capacity tracker'!$A$97,'PV SUPPLY DATA'!$AH:$AH,'CT capacity tracker'!$B$106)</f>
        <v>0</v>
      </c>
      <c r="U106" s="504">
        <f>SUMIFS('PV SUPPLY DATA'!$X:$X,'PV SUPPLY DATA'!$Y:$Y,'CT capacity tracker'!U$1,'PV SUPPLY DATA'!$AG:$AG,'CT capacity tracker'!$A$97,'PV SUPPLY DATA'!$AH:$AH,'CT capacity tracker'!$B$106)</f>
        <v>0</v>
      </c>
      <c r="V106" s="504">
        <f>SUMIFS('PV SUPPLY DATA'!$X:$X,'PV SUPPLY DATA'!$Y:$Y,'CT capacity tracker'!V$1,'PV SUPPLY DATA'!$AG:$AG,'CT capacity tracker'!$A$97,'PV SUPPLY DATA'!$AH:$AH,'CT capacity tracker'!$B$106)</f>
        <v>0</v>
      </c>
      <c r="W106" s="504">
        <f>SUMIFS('PV SUPPLY DATA'!$X:$X,'PV SUPPLY DATA'!$Y:$Y,'CT capacity tracker'!W$1,'PV SUPPLY DATA'!$AG:$AG,'CT capacity tracker'!$A$97,'PV SUPPLY DATA'!$AH:$AH,'CT capacity tracker'!$B$106)</f>
        <v>0</v>
      </c>
      <c r="X106" s="504">
        <f>SUMIFS('PV SUPPLY DATA'!$X:$X,'PV SUPPLY DATA'!$Y:$Y,'CT capacity tracker'!X$1,'PV SUPPLY DATA'!$AG:$AG,'CT capacity tracker'!$A$97,'PV SUPPLY DATA'!$AH:$AH,'CT capacity tracker'!$B$106)</f>
        <v>0</v>
      </c>
      <c r="Y106" s="504">
        <f>SUMIFS('PV SUPPLY DATA'!$X:$X,'PV SUPPLY DATA'!$Y:$Y,'CT capacity tracker'!Y$1,'PV SUPPLY DATA'!$AG:$AG,'CT capacity tracker'!$A$97,'PV SUPPLY DATA'!$AH:$AH,'CT capacity tracker'!$B$106)</f>
        <v>0</v>
      </c>
      <c r="Z106" s="504">
        <f>SUMIFS('PV SUPPLY DATA'!$X:$X,'PV SUPPLY DATA'!$Y:$Y,'CT capacity tracker'!Z$1,'PV SUPPLY DATA'!$AG:$AG,'CT capacity tracker'!$A$97,'PV SUPPLY DATA'!$AH:$AH,'CT capacity tracker'!$B$106)</f>
        <v>0</v>
      </c>
      <c r="AA106" s="504">
        <f>SUMIFS('PV SUPPLY DATA'!$X:$X,'PV SUPPLY DATA'!$Y:$Y,'CT capacity tracker'!AA$1,'PV SUPPLY DATA'!$AG:$AG,'CT capacity tracker'!$A$97,'PV SUPPLY DATA'!$AH:$AH,'CT capacity tracker'!$B$106)</f>
        <v>0</v>
      </c>
      <c r="AB106" s="504">
        <f>SUMIFS('PV SUPPLY DATA'!$X:$X,'PV SUPPLY DATA'!$Y:$Y,'CT capacity tracker'!AB$1,'PV SUPPLY DATA'!$AG:$AG,'CT capacity tracker'!$A$97,'PV SUPPLY DATA'!$AH:$AH,'CT capacity tracker'!$B$106)</f>
        <v>0</v>
      </c>
      <c r="AC106" s="504">
        <f>SUMIFS('PV SUPPLY DATA'!$X:$X,'PV SUPPLY DATA'!$Y:$Y,'CT capacity tracker'!AC$1,'PV SUPPLY DATA'!$AG:$AG,'CT capacity tracker'!$A$97,'PV SUPPLY DATA'!$AH:$AH,'CT capacity tracker'!$B$106)</f>
        <v>0</v>
      </c>
      <c r="AD106" s="504">
        <f>SUMIFS('PV SUPPLY DATA'!$X:$X,'PV SUPPLY DATA'!$Y:$Y,'CT capacity tracker'!AD$1,'PV SUPPLY DATA'!$AG:$AG,'CT capacity tracker'!$A$97,'PV SUPPLY DATA'!$AH:$AH,'CT capacity tracker'!$B$106)</f>
        <v>0</v>
      </c>
      <c r="AE106" s="504">
        <f>SUMIFS('PV SUPPLY DATA'!$X:$X,'PV SUPPLY DATA'!$Y:$Y,'CT capacity tracker'!AE$1,'PV SUPPLY DATA'!$AG:$AG,'CT capacity tracker'!$A$97,'PV SUPPLY DATA'!$AH:$AH,'CT capacity tracker'!$B$106)</f>
        <v>0</v>
      </c>
      <c r="AF106" s="504">
        <f>SUMIFS('PV SUPPLY DATA'!$X:$X,'PV SUPPLY DATA'!$Y:$Y,'CT capacity tracker'!AF$1,'PV SUPPLY DATA'!$AG:$AG,'CT capacity tracker'!$A$97,'PV SUPPLY DATA'!$AH:$AH,'CT capacity tracker'!$B$106)</f>
        <v>0</v>
      </c>
      <c r="AG106" s="504">
        <f>SUMIFS('PV SUPPLY DATA'!$X:$X,'PV SUPPLY DATA'!$Y:$Y,'CT capacity tracker'!AG$1,'PV SUPPLY DATA'!$AG:$AG,'CT capacity tracker'!$A$97,'PV SUPPLY DATA'!$AH:$AH,'CT capacity tracker'!$B$106)</f>
        <v>0</v>
      </c>
      <c r="AH106" s="504">
        <f>SUMIFS('PV SUPPLY DATA'!$X:$X,'PV SUPPLY DATA'!$Y:$Y,'CT capacity tracker'!AH$1,'PV SUPPLY DATA'!$AG:$AG,'CT capacity tracker'!$A$97,'PV SUPPLY DATA'!$AH:$AH,'CT capacity tracker'!$B$106)</f>
        <v>0</v>
      </c>
      <c r="AI106" s="504">
        <f>SUMIFS('PV SUPPLY DATA'!$X:$X,'PV SUPPLY DATA'!$Y:$Y,'CT capacity tracker'!AI$1,'PV SUPPLY DATA'!$AG:$AG,'CT capacity tracker'!$A$97,'PV SUPPLY DATA'!$AH:$AH,'CT capacity tracker'!$B$106)</f>
        <v>0</v>
      </c>
      <c r="AJ106" s="504">
        <f>SUMIFS('PV SUPPLY DATA'!$X:$X,'PV SUPPLY DATA'!$Y:$Y,'CT capacity tracker'!AJ$1,'PV SUPPLY DATA'!$AG:$AG,'CT capacity tracker'!$A$97,'PV SUPPLY DATA'!$AH:$AH,'CT capacity tracker'!$B$106)</f>
        <v>0</v>
      </c>
      <c r="AK106" s="505" t="s">
        <v>197</v>
      </c>
      <c r="AL106" s="505" t="s">
        <v>197</v>
      </c>
      <c r="AM106" s="696">
        <f>SUM(E106:X106)</f>
        <v>0</v>
      </c>
      <c r="AN106" s="503" t="s">
        <v>197</v>
      </c>
      <c r="AO106" s="506"/>
      <c r="AP106" s="506">
        <f t="shared" si="77"/>
        <v>0</v>
      </c>
      <c r="AQ106" s="506"/>
      <c r="AR106" s="506" t="s">
        <v>197</v>
      </c>
      <c r="AS106" s="506" t="s">
        <v>197</v>
      </c>
      <c r="AT106" s="506" t="s">
        <v>197</v>
      </c>
    </row>
    <row r="107" spans="1:46" ht="13">
      <c r="A107" s="1517"/>
      <c r="B107" s="1517"/>
      <c r="C107" s="509" t="s">
        <v>4401</v>
      </c>
      <c r="D107" s="509"/>
      <c r="E107" s="512"/>
      <c r="F107" s="512"/>
      <c r="G107" s="512"/>
      <c r="H107" s="512"/>
      <c r="I107" s="513"/>
      <c r="J107" s="512"/>
      <c r="K107" s="513"/>
      <c r="L107" s="513"/>
      <c r="M107" s="513"/>
      <c r="N107" s="513"/>
      <c r="O107" s="513"/>
      <c r="P107" s="513"/>
      <c r="Q107" s="513"/>
      <c r="R107" s="513"/>
      <c r="S107" s="513"/>
      <c r="T107" s="513"/>
      <c r="U107" s="513"/>
      <c r="V107" s="513"/>
      <c r="W107" s="513"/>
      <c r="X107" s="513"/>
      <c r="Y107" s="513"/>
      <c r="Z107" s="513"/>
      <c r="AA107" s="513"/>
      <c r="AB107" s="513"/>
      <c r="AC107" s="513"/>
      <c r="AD107" s="513"/>
      <c r="AE107" s="513"/>
      <c r="AF107" s="513"/>
      <c r="AG107" s="513"/>
      <c r="AH107" s="513"/>
      <c r="AI107" s="513"/>
      <c r="AJ107" s="513"/>
      <c r="AK107" s="505" t="s">
        <v>197</v>
      </c>
      <c r="AL107" s="505" t="s">
        <v>197</v>
      </c>
      <c r="AM107" s="696"/>
      <c r="AN107" s="503" t="s">
        <v>197</v>
      </c>
      <c r="AO107" s="506"/>
      <c r="AP107" s="506">
        <f t="shared" si="77"/>
        <v>0</v>
      </c>
      <c r="AQ107" s="506"/>
      <c r="AR107" s="506" t="s">
        <v>197</v>
      </c>
      <c r="AS107" s="506" t="s">
        <v>197</v>
      </c>
      <c r="AT107" s="506" t="s">
        <v>197</v>
      </c>
    </row>
    <row r="108" spans="1:46" ht="13">
      <c r="A108" s="1517"/>
      <c r="B108" s="1517"/>
      <c r="C108" s="520" t="s">
        <v>4402</v>
      </c>
      <c r="D108" s="522"/>
      <c r="E108" s="522">
        <f>E107-E106</f>
        <v>0</v>
      </c>
      <c r="F108" s="522">
        <f t="shared" ref="F108:X108" si="80">F107-F106</f>
        <v>0</v>
      </c>
      <c r="G108" s="522">
        <f t="shared" si="80"/>
        <v>0</v>
      </c>
      <c r="H108" s="522">
        <f t="shared" si="80"/>
        <v>0</v>
      </c>
      <c r="I108" s="522">
        <f t="shared" si="80"/>
        <v>0</v>
      </c>
      <c r="J108" s="522">
        <f t="shared" si="80"/>
        <v>0</v>
      </c>
      <c r="K108" s="522">
        <f t="shared" si="80"/>
        <v>0</v>
      </c>
      <c r="L108" s="522">
        <f t="shared" si="80"/>
        <v>0</v>
      </c>
      <c r="M108" s="522">
        <f t="shared" si="80"/>
        <v>0</v>
      </c>
      <c r="N108" s="522">
        <f t="shared" si="80"/>
        <v>0</v>
      </c>
      <c r="O108" s="522">
        <f t="shared" si="80"/>
        <v>0</v>
      </c>
      <c r="P108" s="522">
        <f t="shared" si="80"/>
        <v>0</v>
      </c>
      <c r="Q108" s="522">
        <f t="shared" si="80"/>
        <v>0</v>
      </c>
      <c r="R108" s="522">
        <f t="shared" si="80"/>
        <v>0</v>
      </c>
      <c r="S108" s="522">
        <f t="shared" si="80"/>
        <v>0</v>
      </c>
      <c r="T108" s="522">
        <f t="shared" si="80"/>
        <v>0</v>
      </c>
      <c r="U108" s="522">
        <f t="shared" si="80"/>
        <v>0</v>
      </c>
      <c r="V108" s="522">
        <f t="shared" si="80"/>
        <v>0</v>
      </c>
      <c r="W108" s="522">
        <f t="shared" si="80"/>
        <v>0</v>
      </c>
      <c r="X108" s="522">
        <f t="shared" si="80"/>
        <v>0</v>
      </c>
      <c r="Y108" s="522">
        <f t="shared" ref="Y108:AJ108" si="81">Y107-Y106</f>
        <v>0</v>
      </c>
      <c r="Z108" s="522">
        <f t="shared" si="81"/>
        <v>0</v>
      </c>
      <c r="AA108" s="522">
        <f t="shared" si="81"/>
        <v>0</v>
      </c>
      <c r="AB108" s="522">
        <f t="shared" si="81"/>
        <v>0</v>
      </c>
      <c r="AC108" s="522">
        <f t="shared" si="81"/>
        <v>0</v>
      </c>
      <c r="AD108" s="522">
        <f t="shared" si="81"/>
        <v>0</v>
      </c>
      <c r="AE108" s="522">
        <f t="shared" si="81"/>
        <v>0</v>
      </c>
      <c r="AF108" s="522">
        <f t="shared" si="81"/>
        <v>0</v>
      </c>
      <c r="AG108" s="522">
        <f t="shared" si="81"/>
        <v>0</v>
      </c>
      <c r="AH108" s="522">
        <f t="shared" si="81"/>
        <v>0</v>
      </c>
      <c r="AI108" s="522">
        <f t="shared" si="81"/>
        <v>0</v>
      </c>
      <c r="AJ108" s="522">
        <f t="shared" si="81"/>
        <v>0</v>
      </c>
      <c r="AK108" s="511">
        <f>SUMIF($E108:$X108,"&gt;0")</f>
        <v>0</v>
      </c>
      <c r="AL108" s="511">
        <f>SUMIF($E108:$X108,"&lt;0")</f>
        <v>0</v>
      </c>
      <c r="AM108" s="696"/>
      <c r="AN108" s="503" t="s">
        <v>197</v>
      </c>
      <c r="AO108" s="506"/>
      <c r="AP108" s="506">
        <f t="shared" si="77"/>
        <v>0</v>
      </c>
      <c r="AQ108" s="506"/>
      <c r="AR108" s="506" t="s">
        <v>197</v>
      </c>
      <c r="AS108" s="506" t="s">
        <v>197</v>
      </c>
      <c r="AT108" s="506" t="s">
        <v>197</v>
      </c>
    </row>
    <row r="109" spans="1:46" ht="13">
      <c r="A109" s="1517"/>
      <c r="B109" s="1518"/>
      <c r="C109" s="503" t="s">
        <v>4403</v>
      </c>
      <c r="D109" s="522"/>
      <c r="E109" s="504">
        <f>SUMIFS('PV SUPPLY DATA'!$X:$X,'PV SUPPLY DATA'!$AH:$AH,'CT capacity tracker'!$B106,'PV SUPPLY DATA'!$AG:$AG,'CT capacity tracker'!$A$97,'PV SUPPLY DATA'!$Y:$Y,E$1,'PV SUPPLY DATA'!$AQ:$AQ,"cosco")+SUMIFS('PV SUPPLY DATA'!$X:$X,'PV SUPPLY DATA'!$AH:$AH,'CT capacity tracker'!$B106,'PV SUPPLY DATA'!$AG:$AG,'CT capacity tracker'!$A$97,'PV SUPPLY DATA'!$Y:$Y,E$1,'PV SUPPLY DATA'!$AQ:$AQ,"other")+SUMIFS('ESS SUPPLY DATA'!$U:$U,'ESS SUPPLY DATA'!$AF:$AF,'CT capacity tracker'!$B106,'ESS SUPPLY DATA'!$AE:$AE,'CT capacity tracker'!$A$97,'ESS SUPPLY DATA'!$W:$W,'CT capacity tracker'!E$1,'ESS SUPPLY DATA'!$AO:$AO,"cosco")+SUMIFS('ESS SUPPLY DATA'!$U:$U,'ESS SUPPLY DATA'!$AF:$AF,'CT capacity tracker'!$B106,'ESS SUPPLY DATA'!$AE:$AE,'CT capacity tracker'!$A$97,'ESS SUPPLY DATA'!$W:$W,'CT capacity tracker'!E$1,'ESS SUPPLY DATA'!$AO:$AO,"other")</f>
        <v>0</v>
      </c>
      <c r="F109" s="504">
        <f>SUMIFS('PV SUPPLY DATA'!$X:$X,'PV SUPPLY DATA'!$AH:$AH,'CT capacity tracker'!$B106,'PV SUPPLY DATA'!$AG:$AG,'CT capacity tracker'!$A$97,'PV SUPPLY DATA'!$Y:$Y,F$1,'PV SUPPLY DATA'!$AQ:$AQ,"cosco")+SUMIFS('PV SUPPLY DATA'!$X:$X,'PV SUPPLY DATA'!$AH:$AH,'CT capacity tracker'!$B106,'PV SUPPLY DATA'!$AG:$AG,'CT capacity tracker'!$A$97,'PV SUPPLY DATA'!$Y:$Y,F$1,'PV SUPPLY DATA'!$AQ:$AQ,"other")+SUMIFS('ESS SUPPLY DATA'!$U:$U,'ESS SUPPLY DATA'!$AF:$AF,'CT capacity tracker'!$B106,'ESS SUPPLY DATA'!$AE:$AE,'CT capacity tracker'!$A$97,'ESS SUPPLY DATA'!$W:$W,'CT capacity tracker'!F$1,'ESS SUPPLY DATA'!$AO:$AO,"cosco")+SUMIFS('ESS SUPPLY DATA'!$U:$U,'ESS SUPPLY DATA'!$AF:$AF,'CT capacity tracker'!$B106,'ESS SUPPLY DATA'!$AE:$AE,'CT capacity tracker'!$A$97,'ESS SUPPLY DATA'!$W:$W,'CT capacity tracker'!F$1,'ESS SUPPLY DATA'!$AO:$AO,"other")</f>
        <v>0</v>
      </c>
      <c r="G109" s="504">
        <f>SUMIFS('PV SUPPLY DATA'!$X:$X,'PV SUPPLY DATA'!$AH:$AH,'CT capacity tracker'!$B106,'PV SUPPLY DATA'!$AG:$AG,'CT capacity tracker'!$A$97,'PV SUPPLY DATA'!$Y:$Y,G$1,'PV SUPPLY DATA'!$AQ:$AQ,"cosco")+SUMIFS('PV SUPPLY DATA'!$X:$X,'PV SUPPLY DATA'!$AH:$AH,'CT capacity tracker'!$B106,'PV SUPPLY DATA'!$AG:$AG,'CT capacity tracker'!$A$97,'PV SUPPLY DATA'!$Y:$Y,G$1,'PV SUPPLY DATA'!$AQ:$AQ,"other")+SUMIFS('ESS SUPPLY DATA'!$U:$U,'ESS SUPPLY DATA'!$AF:$AF,'CT capacity tracker'!$B106,'ESS SUPPLY DATA'!$AE:$AE,'CT capacity tracker'!$A$97,'ESS SUPPLY DATA'!$W:$W,'CT capacity tracker'!G$1,'ESS SUPPLY DATA'!$AO:$AO,"cosco")+SUMIFS('ESS SUPPLY DATA'!$U:$U,'ESS SUPPLY DATA'!$AF:$AF,'CT capacity tracker'!$B106,'ESS SUPPLY DATA'!$AE:$AE,'CT capacity tracker'!$A$97,'ESS SUPPLY DATA'!$W:$W,'CT capacity tracker'!G$1,'ESS SUPPLY DATA'!$AO:$AO,"other")</f>
        <v>0</v>
      </c>
      <c r="H109" s="504">
        <f>SUMIFS('PV SUPPLY DATA'!$X:$X,'PV SUPPLY DATA'!$AH:$AH,'CT capacity tracker'!$B106,'PV SUPPLY DATA'!$AG:$AG,'CT capacity tracker'!$A$97,'PV SUPPLY DATA'!$Y:$Y,H$1,'PV SUPPLY DATA'!$AQ:$AQ,"cosco")+SUMIFS('PV SUPPLY DATA'!$X:$X,'PV SUPPLY DATA'!$AH:$AH,'CT capacity tracker'!$B106,'PV SUPPLY DATA'!$AG:$AG,'CT capacity tracker'!$A$97,'PV SUPPLY DATA'!$Y:$Y,H$1,'PV SUPPLY DATA'!$AQ:$AQ,"other")+SUMIFS('ESS SUPPLY DATA'!$U:$U,'ESS SUPPLY DATA'!$AF:$AF,'CT capacity tracker'!$B106,'ESS SUPPLY DATA'!$AE:$AE,'CT capacity tracker'!$A$97,'ESS SUPPLY DATA'!$W:$W,'CT capacity tracker'!H$1,'ESS SUPPLY DATA'!$AO:$AO,"cosco")+SUMIFS('ESS SUPPLY DATA'!$U:$U,'ESS SUPPLY DATA'!$AF:$AF,'CT capacity tracker'!$B106,'ESS SUPPLY DATA'!$AE:$AE,'CT capacity tracker'!$A$97,'ESS SUPPLY DATA'!$W:$W,'CT capacity tracker'!H$1,'ESS SUPPLY DATA'!$AO:$AO,"other")</f>
        <v>0</v>
      </c>
      <c r="I109" s="504">
        <f>SUMIFS('PV SUPPLY DATA'!$X:$X,'PV SUPPLY DATA'!$AH:$AH,'CT capacity tracker'!$B106,'PV SUPPLY DATA'!$AG:$AG,'CT capacity tracker'!$A$97,'PV SUPPLY DATA'!$Y:$Y,I$1,'PV SUPPLY DATA'!$AQ:$AQ,"cosco")+SUMIFS('PV SUPPLY DATA'!$X:$X,'PV SUPPLY DATA'!$AH:$AH,'CT capacity tracker'!$B106,'PV SUPPLY DATA'!$AG:$AG,'CT capacity tracker'!$A$97,'PV SUPPLY DATA'!$Y:$Y,I$1,'PV SUPPLY DATA'!$AQ:$AQ,"other")+SUMIFS('ESS SUPPLY DATA'!$U:$U,'ESS SUPPLY DATA'!$AF:$AF,'CT capacity tracker'!$B106,'ESS SUPPLY DATA'!$AE:$AE,'CT capacity tracker'!$A$97,'ESS SUPPLY DATA'!$W:$W,'CT capacity tracker'!I$1,'ESS SUPPLY DATA'!$AO:$AO,"cosco")+SUMIFS('ESS SUPPLY DATA'!$U:$U,'ESS SUPPLY DATA'!$AF:$AF,'CT capacity tracker'!$B106,'ESS SUPPLY DATA'!$AE:$AE,'CT capacity tracker'!$A$97,'ESS SUPPLY DATA'!$W:$W,'CT capacity tracker'!I$1,'ESS SUPPLY DATA'!$AO:$AO,"other")</f>
        <v>0</v>
      </c>
      <c r="J109" s="504">
        <f>SUMIFS('PV SUPPLY DATA'!$X:$X,'PV SUPPLY DATA'!$AH:$AH,'CT capacity tracker'!$B106,'PV SUPPLY DATA'!$AG:$AG,'CT capacity tracker'!$A$97,'PV SUPPLY DATA'!$Y:$Y,J$1,'PV SUPPLY DATA'!$AQ:$AQ,"cosco")+SUMIFS('PV SUPPLY DATA'!$X:$X,'PV SUPPLY DATA'!$AH:$AH,'CT capacity tracker'!$B106,'PV SUPPLY DATA'!$AG:$AG,'CT capacity tracker'!$A$97,'PV SUPPLY DATA'!$Y:$Y,J$1,'PV SUPPLY DATA'!$AQ:$AQ,"other")+SUMIFS('ESS SUPPLY DATA'!$U:$U,'ESS SUPPLY DATA'!$AF:$AF,'CT capacity tracker'!$B106,'ESS SUPPLY DATA'!$AE:$AE,'CT capacity tracker'!$A$97,'ESS SUPPLY DATA'!$W:$W,'CT capacity tracker'!J$1,'ESS SUPPLY DATA'!$AO:$AO,"cosco")+SUMIFS('ESS SUPPLY DATA'!$U:$U,'ESS SUPPLY DATA'!$AF:$AF,'CT capacity tracker'!$B106,'ESS SUPPLY DATA'!$AE:$AE,'CT capacity tracker'!$A$97,'ESS SUPPLY DATA'!$W:$W,'CT capacity tracker'!J$1,'ESS SUPPLY DATA'!$AO:$AO,"other")</f>
        <v>0</v>
      </c>
      <c r="K109" s="504">
        <f>SUMIFS('PV SUPPLY DATA'!$X:$X,'PV SUPPLY DATA'!$AH:$AH,'CT capacity tracker'!$B106,'PV SUPPLY DATA'!$AG:$AG,'CT capacity tracker'!$A$97,'PV SUPPLY DATA'!$Y:$Y,K$1,'PV SUPPLY DATA'!$AQ:$AQ,"cosco")+SUMIFS('PV SUPPLY DATA'!$X:$X,'PV SUPPLY DATA'!$AH:$AH,'CT capacity tracker'!$B106,'PV SUPPLY DATA'!$AG:$AG,'CT capacity tracker'!$A$97,'PV SUPPLY DATA'!$Y:$Y,K$1,'PV SUPPLY DATA'!$AQ:$AQ,"other")+SUMIFS('ESS SUPPLY DATA'!$U:$U,'ESS SUPPLY DATA'!$AF:$AF,'CT capacity tracker'!$B106,'ESS SUPPLY DATA'!$AE:$AE,'CT capacity tracker'!$A$97,'ESS SUPPLY DATA'!$W:$W,'CT capacity tracker'!K$1,'ESS SUPPLY DATA'!$AO:$AO,"cosco")+SUMIFS('ESS SUPPLY DATA'!$U:$U,'ESS SUPPLY DATA'!$AF:$AF,'CT capacity tracker'!$B106,'ESS SUPPLY DATA'!$AE:$AE,'CT capacity tracker'!$A$97,'ESS SUPPLY DATA'!$W:$W,'CT capacity tracker'!K$1,'ESS SUPPLY DATA'!$AO:$AO,"other")</f>
        <v>0</v>
      </c>
      <c r="L109" s="504">
        <f>SUMIFS('PV SUPPLY DATA'!$X:$X,'PV SUPPLY DATA'!$AH:$AH,'CT capacity tracker'!$B106,'PV SUPPLY DATA'!$AG:$AG,'CT capacity tracker'!$A$97,'PV SUPPLY DATA'!$Y:$Y,L$1,'PV SUPPLY DATA'!$AQ:$AQ,"cosco")+SUMIFS('PV SUPPLY DATA'!$X:$X,'PV SUPPLY DATA'!$AH:$AH,'CT capacity tracker'!$B106,'PV SUPPLY DATA'!$AG:$AG,'CT capacity tracker'!$A$97,'PV SUPPLY DATA'!$Y:$Y,L$1,'PV SUPPLY DATA'!$AQ:$AQ,"other")+SUMIFS('ESS SUPPLY DATA'!$U:$U,'ESS SUPPLY DATA'!$AF:$AF,'CT capacity tracker'!$B106,'ESS SUPPLY DATA'!$AE:$AE,'CT capacity tracker'!$A$97,'ESS SUPPLY DATA'!$W:$W,'CT capacity tracker'!L$1,'ESS SUPPLY DATA'!$AO:$AO,"cosco")+SUMIFS('ESS SUPPLY DATA'!$U:$U,'ESS SUPPLY DATA'!$AF:$AF,'CT capacity tracker'!$B106,'ESS SUPPLY DATA'!$AE:$AE,'CT capacity tracker'!$A$97,'ESS SUPPLY DATA'!$W:$W,'CT capacity tracker'!L$1,'ESS SUPPLY DATA'!$AO:$AO,"other")</f>
        <v>0</v>
      </c>
      <c r="M109" s="504">
        <f>SUMIFS('PV SUPPLY DATA'!$X:$X,'PV SUPPLY DATA'!$AH:$AH,'CT capacity tracker'!$B106,'PV SUPPLY DATA'!$AG:$AG,'CT capacity tracker'!$A$97,'PV SUPPLY DATA'!$Y:$Y,M$1,'PV SUPPLY DATA'!$AQ:$AQ,"cosco")+SUMIFS('PV SUPPLY DATA'!$X:$X,'PV SUPPLY DATA'!$AH:$AH,'CT capacity tracker'!$B106,'PV SUPPLY DATA'!$AG:$AG,'CT capacity tracker'!$A$97,'PV SUPPLY DATA'!$Y:$Y,M$1,'PV SUPPLY DATA'!$AQ:$AQ,"other")+SUMIFS('ESS SUPPLY DATA'!$U:$U,'ESS SUPPLY DATA'!$AF:$AF,'CT capacity tracker'!$B106,'ESS SUPPLY DATA'!$AE:$AE,'CT capacity tracker'!$A$97,'ESS SUPPLY DATA'!$W:$W,'CT capacity tracker'!M$1,'ESS SUPPLY DATA'!$AO:$AO,"cosco")+SUMIFS('ESS SUPPLY DATA'!$U:$U,'ESS SUPPLY DATA'!$AF:$AF,'CT capacity tracker'!$B106,'ESS SUPPLY DATA'!$AE:$AE,'CT capacity tracker'!$A$97,'ESS SUPPLY DATA'!$W:$W,'CT capacity tracker'!M$1,'ESS SUPPLY DATA'!$AO:$AO,"other")</f>
        <v>0</v>
      </c>
      <c r="N109" s="504">
        <f>SUMIFS('PV SUPPLY DATA'!$X:$X,'PV SUPPLY DATA'!$AH:$AH,'CT capacity tracker'!$B106,'PV SUPPLY DATA'!$AG:$AG,'CT capacity tracker'!$A$97,'PV SUPPLY DATA'!$Y:$Y,N$1,'PV SUPPLY DATA'!$AQ:$AQ,"cosco")+SUMIFS('PV SUPPLY DATA'!$X:$X,'PV SUPPLY DATA'!$AH:$AH,'CT capacity tracker'!$B106,'PV SUPPLY DATA'!$AG:$AG,'CT capacity tracker'!$A$97,'PV SUPPLY DATA'!$Y:$Y,N$1,'PV SUPPLY DATA'!$AQ:$AQ,"other")+SUMIFS('ESS SUPPLY DATA'!$U:$U,'ESS SUPPLY DATA'!$AF:$AF,'CT capacity tracker'!$B106,'ESS SUPPLY DATA'!$AE:$AE,'CT capacity tracker'!$A$97,'ESS SUPPLY DATA'!$W:$W,'CT capacity tracker'!N$1,'ESS SUPPLY DATA'!$AO:$AO,"cosco")+SUMIFS('ESS SUPPLY DATA'!$U:$U,'ESS SUPPLY DATA'!$AF:$AF,'CT capacity tracker'!$B106,'ESS SUPPLY DATA'!$AE:$AE,'CT capacity tracker'!$A$97,'ESS SUPPLY DATA'!$W:$W,'CT capacity tracker'!N$1,'ESS SUPPLY DATA'!$AO:$AO,"other")</f>
        <v>0</v>
      </c>
      <c r="O109" s="504">
        <f>SUMIFS('PV SUPPLY DATA'!$X:$X,'PV SUPPLY DATA'!$AH:$AH,'CT capacity tracker'!$B106,'PV SUPPLY DATA'!$AG:$AG,'CT capacity tracker'!$A$97,'PV SUPPLY DATA'!$Y:$Y,O$1,'PV SUPPLY DATA'!$AQ:$AQ,"cosco")+SUMIFS('PV SUPPLY DATA'!$X:$X,'PV SUPPLY DATA'!$AH:$AH,'CT capacity tracker'!$B106,'PV SUPPLY DATA'!$AG:$AG,'CT capacity tracker'!$A$97,'PV SUPPLY DATA'!$Y:$Y,O$1,'PV SUPPLY DATA'!$AQ:$AQ,"other")+SUMIFS('ESS SUPPLY DATA'!$U:$U,'ESS SUPPLY DATA'!$AF:$AF,'CT capacity tracker'!$B106,'ESS SUPPLY DATA'!$AE:$AE,'CT capacity tracker'!$A$97,'ESS SUPPLY DATA'!$W:$W,'CT capacity tracker'!O$1,'ESS SUPPLY DATA'!$AO:$AO,"cosco")+SUMIFS('ESS SUPPLY DATA'!$U:$U,'ESS SUPPLY DATA'!$AF:$AF,'CT capacity tracker'!$B106,'ESS SUPPLY DATA'!$AE:$AE,'CT capacity tracker'!$A$97,'ESS SUPPLY DATA'!$W:$W,'CT capacity tracker'!O$1,'ESS SUPPLY DATA'!$AO:$AO,"other")</f>
        <v>0</v>
      </c>
      <c r="P109" s="504">
        <f>SUMIFS('PV SUPPLY DATA'!$X:$X,'PV SUPPLY DATA'!$AH:$AH,'CT capacity tracker'!$B106,'PV SUPPLY DATA'!$AG:$AG,'CT capacity tracker'!$A$97,'PV SUPPLY DATA'!$Y:$Y,P$1,'PV SUPPLY DATA'!$AQ:$AQ,"cosco")+SUMIFS('PV SUPPLY DATA'!$X:$X,'PV SUPPLY DATA'!$AH:$AH,'CT capacity tracker'!$B106,'PV SUPPLY DATA'!$AG:$AG,'CT capacity tracker'!$A$97,'PV SUPPLY DATA'!$Y:$Y,P$1,'PV SUPPLY DATA'!$AQ:$AQ,"other")+SUMIFS('ESS SUPPLY DATA'!$U:$U,'ESS SUPPLY DATA'!$AF:$AF,'CT capacity tracker'!$B106,'ESS SUPPLY DATA'!$AE:$AE,'CT capacity tracker'!$A$97,'ESS SUPPLY DATA'!$W:$W,'CT capacity tracker'!P$1,'ESS SUPPLY DATA'!$AO:$AO,"cosco")+SUMIFS('ESS SUPPLY DATA'!$U:$U,'ESS SUPPLY DATA'!$AF:$AF,'CT capacity tracker'!$B106,'ESS SUPPLY DATA'!$AE:$AE,'CT capacity tracker'!$A$97,'ESS SUPPLY DATA'!$W:$W,'CT capacity tracker'!P$1,'ESS SUPPLY DATA'!$AO:$AO,"other")</f>
        <v>0</v>
      </c>
      <c r="Q109" s="504">
        <f>SUMIFS('PV SUPPLY DATA'!$X:$X,'PV SUPPLY DATA'!$AH:$AH,'CT capacity tracker'!$B106,'PV SUPPLY DATA'!$AG:$AG,'CT capacity tracker'!$A$97,'PV SUPPLY DATA'!$Y:$Y,Q$1,'PV SUPPLY DATA'!$AQ:$AQ,"cosco")+SUMIFS('PV SUPPLY DATA'!$X:$X,'PV SUPPLY DATA'!$AH:$AH,'CT capacity tracker'!$B106,'PV SUPPLY DATA'!$AG:$AG,'CT capacity tracker'!$A$97,'PV SUPPLY DATA'!$Y:$Y,Q$1,'PV SUPPLY DATA'!$AQ:$AQ,"other")+SUMIFS('ESS SUPPLY DATA'!$U:$U,'ESS SUPPLY DATA'!$AF:$AF,'CT capacity tracker'!$B106,'ESS SUPPLY DATA'!$AE:$AE,'CT capacity tracker'!$A$97,'ESS SUPPLY DATA'!$W:$W,'CT capacity tracker'!Q$1,'ESS SUPPLY DATA'!$AO:$AO,"cosco")+SUMIFS('ESS SUPPLY DATA'!$U:$U,'ESS SUPPLY DATA'!$AF:$AF,'CT capacity tracker'!$B106,'ESS SUPPLY DATA'!$AE:$AE,'CT capacity tracker'!$A$97,'ESS SUPPLY DATA'!$W:$W,'CT capacity tracker'!Q$1,'ESS SUPPLY DATA'!$AO:$AO,"other")</f>
        <v>0</v>
      </c>
      <c r="R109" s="504">
        <f>SUMIFS('PV SUPPLY DATA'!$X:$X,'PV SUPPLY DATA'!$AH:$AH,'CT capacity tracker'!$B106,'PV SUPPLY DATA'!$AG:$AG,'CT capacity tracker'!$A$97,'PV SUPPLY DATA'!$Y:$Y,R$1,'PV SUPPLY DATA'!$AQ:$AQ,"cosco")+SUMIFS('PV SUPPLY DATA'!$X:$X,'PV SUPPLY DATA'!$AH:$AH,'CT capacity tracker'!$B106,'PV SUPPLY DATA'!$AG:$AG,'CT capacity tracker'!$A$97,'PV SUPPLY DATA'!$Y:$Y,R$1,'PV SUPPLY DATA'!$AQ:$AQ,"other")+SUMIFS('ESS SUPPLY DATA'!$U:$U,'ESS SUPPLY DATA'!$AF:$AF,'CT capacity tracker'!$B106,'ESS SUPPLY DATA'!$AE:$AE,'CT capacity tracker'!$A$97,'ESS SUPPLY DATA'!$W:$W,'CT capacity tracker'!R$1,'ESS SUPPLY DATA'!$AO:$AO,"cosco")+SUMIFS('ESS SUPPLY DATA'!$U:$U,'ESS SUPPLY DATA'!$AF:$AF,'CT capacity tracker'!$B106,'ESS SUPPLY DATA'!$AE:$AE,'CT capacity tracker'!$A$97,'ESS SUPPLY DATA'!$W:$W,'CT capacity tracker'!R$1,'ESS SUPPLY DATA'!$AO:$AO,"other")</f>
        <v>0</v>
      </c>
      <c r="S109" s="504">
        <f>SUMIFS('PV SUPPLY DATA'!$X:$X,'PV SUPPLY DATA'!$AH:$AH,'CT capacity tracker'!$B106,'PV SUPPLY DATA'!$AG:$AG,'CT capacity tracker'!$A$97,'PV SUPPLY DATA'!$Y:$Y,S$1,'PV SUPPLY DATA'!$AQ:$AQ,"cosco")+SUMIFS('PV SUPPLY DATA'!$X:$X,'PV SUPPLY DATA'!$AH:$AH,'CT capacity tracker'!$B106,'PV SUPPLY DATA'!$AG:$AG,'CT capacity tracker'!$A$97,'PV SUPPLY DATA'!$Y:$Y,S$1,'PV SUPPLY DATA'!$AQ:$AQ,"other")+SUMIFS('ESS SUPPLY DATA'!$U:$U,'ESS SUPPLY DATA'!$AF:$AF,'CT capacity tracker'!$B106,'ESS SUPPLY DATA'!$AE:$AE,'CT capacity tracker'!$A$97,'ESS SUPPLY DATA'!$W:$W,'CT capacity tracker'!S$1,'ESS SUPPLY DATA'!$AO:$AO,"cosco")+SUMIFS('ESS SUPPLY DATA'!$U:$U,'ESS SUPPLY DATA'!$AF:$AF,'CT capacity tracker'!$B106,'ESS SUPPLY DATA'!$AE:$AE,'CT capacity tracker'!$A$97,'ESS SUPPLY DATA'!$W:$W,'CT capacity tracker'!S$1,'ESS SUPPLY DATA'!$AO:$AO,"other")</f>
        <v>0</v>
      </c>
      <c r="T109" s="504">
        <f>SUMIFS('PV SUPPLY DATA'!$X:$X,'PV SUPPLY DATA'!$AH:$AH,'CT capacity tracker'!$B106,'PV SUPPLY DATA'!$AG:$AG,'CT capacity tracker'!$A$97,'PV SUPPLY DATA'!$Y:$Y,T$1,'PV SUPPLY DATA'!$AQ:$AQ,"cosco")+SUMIFS('PV SUPPLY DATA'!$X:$X,'PV SUPPLY DATA'!$AH:$AH,'CT capacity tracker'!$B106,'PV SUPPLY DATA'!$AG:$AG,'CT capacity tracker'!$A$97,'PV SUPPLY DATA'!$Y:$Y,T$1,'PV SUPPLY DATA'!$AQ:$AQ,"other")+SUMIFS('ESS SUPPLY DATA'!$U:$U,'ESS SUPPLY DATA'!$AF:$AF,'CT capacity tracker'!$B106,'ESS SUPPLY DATA'!$AE:$AE,'CT capacity tracker'!$A$97,'ESS SUPPLY DATA'!$W:$W,'CT capacity tracker'!T$1,'ESS SUPPLY DATA'!$AO:$AO,"cosco")+SUMIFS('ESS SUPPLY DATA'!$U:$U,'ESS SUPPLY DATA'!$AF:$AF,'CT capacity tracker'!$B106,'ESS SUPPLY DATA'!$AE:$AE,'CT capacity tracker'!$A$97,'ESS SUPPLY DATA'!$W:$W,'CT capacity tracker'!T$1,'ESS SUPPLY DATA'!$AO:$AO,"other")</f>
        <v>0</v>
      </c>
      <c r="U109" s="504">
        <f>SUMIFS('PV SUPPLY DATA'!$X:$X,'PV SUPPLY DATA'!$AH:$AH,'CT capacity tracker'!$B106,'PV SUPPLY DATA'!$AG:$AG,'CT capacity tracker'!$A$97,'PV SUPPLY DATA'!$Y:$Y,U$1,'PV SUPPLY DATA'!$AQ:$AQ,"cosco")+SUMIFS('PV SUPPLY DATA'!$X:$X,'PV SUPPLY DATA'!$AH:$AH,'CT capacity tracker'!$B106,'PV SUPPLY DATA'!$AG:$AG,'CT capacity tracker'!$A$97,'PV SUPPLY DATA'!$Y:$Y,U$1,'PV SUPPLY DATA'!$AQ:$AQ,"other")+SUMIFS('ESS SUPPLY DATA'!$U:$U,'ESS SUPPLY DATA'!$AF:$AF,'CT capacity tracker'!$B106,'ESS SUPPLY DATA'!$AE:$AE,'CT capacity tracker'!$A$97,'ESS SUPPLY DATA'!$W:$W,'CT capacity tracker'!U$1,'ESS SUPPLY DATA'!$AO:$AO,"cosco")+SUMIFS('ESS SUPPLY DATA'!$U:$U,'ESS SUPPLY DATA'!$AF:$AF,'CT capacity tracker'!$B106,'ESS SUPPLY DATA'!$AE:$AE,'CT capacity tracker'!$A$97,'ESS SUPPLY DATA'!$W:$W,'CT capacity tracker'!U$1,'ESS SUPPLY DATA'!$AO:$AO,"other")</f>
        <v>0</v>
      </c>
      <c r="V109" s="504">
        <f>SUMIFS('PV SUPPLY DATA'!$X:$X,'PV SUPPLY DATA'!$AH:$AH,'CT capacity tracker'!$B106,'PV SUPPLY DATA'!$AG:$AG,'CT capacity tracker'!$A$97,'PV SUPPLY DATA'!$Y:$Y,V$1,'PV SUPPLY DATA'!$AQ:$AQ,"cosco")+SUMIFS('PV SUPPLY DATA'!$X:$X,'PV SUPPLY DATA'!$AH:$AH,'CT capacity tracker'!$B106,'PV SUPPLY DATA'!$AG:$AG,'CT capacity tracker'!$A$97,'PV SUPPLY DATA'!$Y:$Y,V$1,'PV SUPPLY DATA'!$AQ:$AQ,"other")+SUMIFS('ESS SUPPLY DATA'!$U:$U,'ESS SUPPLY DATA'!$AF:$AF,'CT capacity tracker'!$B106,'ESS SUPPLY DATA'!$AE:$AE,'CT capacity tracker'!$A$97,'ESS SUPPLY DATA'!$W:$W,'CT capacity tracker'!V$1,'ESS SUPPLY DATA'!$AO:$AO,"cosco")+SUMIFS('ESS SUPPLY DATA'!$U:$U,'ESS SUPPLY DATA'!$AF:$AF,'CT capacity tracker'!$B106,'ESS SUPPLY DATA'!$AE:$AE,'CT capacity tracker'!$A$97,'ESS SUPPLY DATA'!$W:$W,'CT capacity tracker'!V$1,'ESS SUPPLY DATA'!$AO:$AO,"other")</f>
        <v>0</v>
      </c>
      <c r="W109" s="504">
        <f>SUMIFS('PV SUPPLY DATA'!$X:$X,'PV SUPPLY DATA'!$AH:$AH,'CT capacity tracker'!$B106,'PV SUPPLY DATA'!$AG:$AG,'CT capacity tracker'!$A$97,'PV SUPPLY DATA'!$Y:$Y,W$1,'PV SUPPLY DATA'!$AQ:$AQ,"cosco")+SUMIFS('PV SUPPLY DATA'!$X:$X,'PV SUPPLY DATA'!$AH:$AH,'CT capacity tracker'!$B106,'PV SUPPLY DATA'!$AG:$AG,'CT capacity tracker'!$A$97,'PV SUPPLY DATA'!$Y:$Y,W$1,'PV SUPPLY DATA'!$AQ:$AQ,"other")+SUMIFS('ESS SUPPLY DATA'!$U:$U,'ESS SUPPLY DATA'!$AF:$AF,'CT capacity tracker'!$B106,'ESS SUPPLY DATA'!$AE:$AE,'CT capacity tracker'!$A$97,'ESS SUPPLY DATA'!$W:$W,'CT capacity tracker'!W$1,'ESS SUPPLY DATA'!$AO:$AO,"cosco")+SUMIFS('ESS SUPPLY DATA'!$U:$U,'ESS SUPPLY DATA'!$AF:$AF,'CT capacity tracker'!$B106,'ESS SUPPLY DATA'!$AE:$AE,'CT capacity tracker'!$A$97,'ESS SUPPLY DATA'!$W:$W,'CT capacity tracker'!W$1,'ESS SUPPLY DATA'!$AO:$AO,"other")</f>
        <v>0</v>
      </c>
      <c r="X109" s="504">
        <f>SUMIFS('PV SUPPLY DATA'!$X:$X,'PV SUPPLY DATA'!$AH:$AH,'CT capacity tracker'!$B106,'PV SUPPLY DATA'!$AG:$AG,'CT capacity tracker'!$A$97,'PV SUPPLY DATA'!$Y:$Y,X$1,'PV SUPPLY DATA'!$AQ:$AQ,"cosco")+SUMIFS('PV SUPPLY DATA'!$X:$X,'PV SUPPLY DATA'!$AH:$AH,'CT capacity tracker'!$B106,'PV SUPPLY DATA'!$AG:$AG,'CT capacity tracker'!$A$97,'PV SUPPLY DATA'!$Y:$Y,X$1,'PV SUPPLY DATA'!$AQ:$AQ,"other")+SUMIFS('ESS SUPPLY DATA'!$U:$U,'ESS SUPPLY DATA'!$AF:$AF,'CT capacity tracker'!$B106,'ESS SUPPLY DATA'!$AE:$AE,'CT capacity tracker'!$A$97,'ESS SUPPLY DATA'!$W:$W,'CT capacity tracker'!X$1,'ESS SUPPLY DATA'!$AO:$AO,"cosco")+SUMIFS('ESS SUPPLY DATA'!$U:$U,'ESS SUPPLY DATA'!$AF:$AF,'CT capacity tracker'!$B106,'ESS SUPPLY DATA'!$AE:$AE,'CT capacity tracker'!$A$97,'ESS SUPPLY DATA'!$W:$W,'CT capacity tracker'!X$1,'ESS SUPPLY DATA'!$AO:$AO,"other")</f>
        <v>0</v>
      </c>
      <c r="Y109" s="504">
        <f>SUMIFS('PV SUPPLY DATA'!$X:$X,'PV SUPPLY DATA'!$AH:$AH,'CT capacity tracker'!$B106,'PV SUPPLY DATA'!$AG:$AG,'CT capacity tracker'!$A$97,'PV SUPPLY DATA'!$Y:$Y,Y$1,'PV SUPPLY DATA'!$AQ:$AQ,"cosco")+SUMIFS('PV SUPPLY DATA'!$X:$X,'PV SUPPLY DATA'!$AH:$AH,'CT capacity tracker'!$B106,'PV SUPPLY DATA'!$AG:$AG,'CT capacity tracker'!$A$97,'PV SUPPLY DATA'!$Y:$Y,Y$1,'PV SUPPLY DATA'!$AQ:$AQ,"other")+SUMIFS('ESS SUPPLY DATA'!$U:$U,'ESS SUPPLY DATA'!$AF:$AF,'CT capacity tracker'!$B106,'ESS SUPPLY DATA'!$AE:$AE,'CT capacity tracker'!$A$97,'ESS SUPPLY DATA'!$W:$W,'CT capacity tracker'!Y$1,'ESS SUPPLY DATA'!$AO:$AO,"cosco")+SUMIFS('ESS SUPPLY DATA'!$U:$U,'ESS SUPPLY DATA'!$AF:$AF,'CT capacity tracker'!$B106,'ESS SUPPLY DATA'!$AE:$AE,'CT capacity tracker'!$A$97,'ESS SUPPLY DATA'!$W:$W,'CT capacity tracker'!Y$1,'ESS SUPPLY DATA'!$AO:$AO,"other")</f>
        <v>0</v>
      </c>
      <c r="Z109" s="504">
        <f>SUMIFS('PV SUPPLY DATA'!$X:$X,'PV SUPPLY DATA'!$AH:$AH,'CT capacity tracker'!$B106,'PV SUPPLY DATA'!$AG:$AG,'CT capacity tracker'!$A$97,'PV SUPPLY DATA'!$Y:$Y,Z$1,'PV SUPPLY DATA'!$AQ:$AQ,"cosco")+SUMIFS('PV SUPPLY DATA'!$X:$X,'PV SUPPLY DATA'!$AH:$AH,'CT capacity tracker'!$B106,'PV SUPPLY DATA'!$AG:$AG,'CT capacity tracker'!$A$97,'PV SUPPLY DATA'!$Y:$Y,Z$1,'PV SUPPLY DATA'!$AQ:$AQ,"other")+SUMIFS('ESS SUPPLY DATA'!$U:$U,'ESS SUPPLY DATA'!$AF:$AF,'CT capacity tracker'!$B106,'ESS SUPPLY DATA'!$AE:$AE,'CT capacity tracker'!$A$97,'ESS SUPPLY DATA'!$W:$W,'CT capacity tracker'!Z$1,'ESS SUPPLY DATA'!$AO:$AO,"cosco")+SUMIFS('ESS SUPPLY DATA'!$U:$U,'ESS SUPPLY DATA'!$AF:$AF,'CT capacity tracker'!$B106,'ESS SUPPLY DATA'!$AE:$AE,'CT capacity tracker'!$A$97,'ESS SUPPLY DATA'!$W:$W,'CT capacity tracker'!Z$1,'ESS SUPPLY DATA'!$AO:$AO,"other")</f>
        <v>0</v>
      </c>
      <c r="AA109" s="504">
        <f>SUMIFS('PV SUPPLY DATA'!$X:$X,'PV SUPPLY DATA'!$AH:$AH,'CT capacity tracker'!$B106,'PV SUPPLY DATA'!$AG:$AG,'CT capacity tracker'!$A$97,'PV SUPPLY DATA'!$Y:$Y,AA$1,'PV SUPPLY DATA'!$AQ:$AQ,"cosco")+SUMIFS('PV SUPPLY DATA'!$X:$X,'PV SUPPLY DATA'!$AH:$AH,'CT capacity tracker'!$B106,'PV SUPPLY DATA'!$AG:$AG,'CT capacity tracker'!$A$97,'PV SUPPLY DATA'!$Y:$Y,AA$1,'PV SUPPLY DATA'!$AQ:$AQ,"other")+SUMIFS('ESS SUPPLY DATA'!$U:$U,'ESS SUPPLY DATA'!$AF:$AF,'CT capacity tracker'!$B106,'ESS SUPPLY DATA'!$AE:$AE,'CT capacity tracker'!$A$97,'ESS SUPPLY DATA'!$W:$W,'CT capacity tracker'!AA$1,'ESS SUPPLY DATA'!$AO:$AO,"cosco")+SUMIFS('ESS SUPPLY DATA'!$U:$U,'ESS SUPPLY DATA'!$AF:$AF,'CT capacity tracker'!$B106,'ESS SUPPLY DATA'!$AE:$AE,'CT capacity tracker'!$A$97,'ESS SUPPLY DATA'!$W:$W,'CT capacity tracker'!AA$1,'ESS SUPPLY DATA'!$AO:$AO,"other")</f>
        <v>0</v>
      </c>
      <c r="AB109" s="504">
        <f>SUMIFS('PV SUPPLY DATA'!$X:$X,'PV SUPPLY DATA'!$AH:$AH,'CT capacity tracker'!$B106,'PV SUPPLY DATA'!$AG:$AG,'CT capacity tracker'!$A$97,'PV SUPPLY DATA'!$Y:$Y,AB$1,'PV SUPPLY DATA'!$AQ:$AQ,"cosco")+SUMIFS('PV SUPPLY DATA'!$X:$X,'PV SUPPLY DATA'!$AH:$AH,'CT capacity tracker'!$B106,'PV SUPPLY DATA'!$AG:$AG,'CT capacity tracker'!$A$97,'PV SUPPLY DATA'!$Y:$Y,AB$1,'PV SUPPLY DATA'!$AQ:$AQ,"other")+SUMIFS('ESS SUPPLY DATA'!$U:$U,'ESS SUPPLY DATA'!$AF:$AF,'CT capacity tracker'!$B106,'ESS SUPPLY DATA'!$AE:$AE,'CT capacity tracker'!$A$97,'ESS SUPPLY DATA'!$W:$W,'CT capacity tracker'!AB$1,'ESS SUPPLY DATA'!$AO:$AO,"cosco")+SUMIFS('ESS SUPPLY DATA'!$U:$U,'ESS SUPPLY DATA'!$AF:$AF,'CT capacity tracker'!$B106,'ESS SUPPLY DATA'!$AE:$AE,'CT capacity tracker'!$A$97,'ESS SUPPLY DATA'!$W:$W,'CT capacity tracker'!AB$1,'ESS SUPPLY DATA'!$AO:$AO,"other")</f>
        <v>0</v>
      </c>
      <c r="AC109" s="504">
        <f>SUMIFS('PV SUPPLY DATA'!$X:$X,'PV SUPPLY DATA'!$AH:$AH,'CT capacity tracker'!$B106,'PV SUPPLY DATA'!$AG:$AG,'CT capacity tracker'!$A$97,'PV SUPPLY DATA'!$Y:$Y,AC$1,'PV SUPPLY DATA'!$AQ:$AQ,"cosco")+SUMIFS('PV SUPPLY DATA'!$X:$X,'PV SUPPLY DATA'!$AH:$AH,'CT capacity tracker'!$B106,'PV SUPPLY DATA'!$AG:$AG,'CT capacity tracker'!$A$97,'PV SUPPLY DATA'!$Y:$Y,AC$1,'PV SUPPLY DATA'!$AQ:$AQ,"other")+SUMIFS('ESS SUPPLY DATA'!$U:$U,'ESS SUPPLY DATA'!$AF:$AF,'CT capacity tracker'!$B106,'ESS SUPPLY DATA'!$AE:$AE,'CT capacity tracker'!$A$97,'ESS SUPPLY DATA'!$W:$W,'CT capacity tracker'!AC$1,'ESS SUPPLY DATA'!$AO:$AO,"cosco")+SUMIFS('ESS SUPPLY DATA'!$U:$U,'ESS SUPPLY DATA'!$AF:$AF,'CT capacity tracker'!$B106,'ESS SUPPLY DATA'!$AE:$AE,'CT capacity tracker'!$A$97,'ESS SUPPLY DATA'!$W:$W,'CT capacity tracker'!AC$1,'ESS SUPPLY DATA'!$AO:$AO,"other")</f>
        <v>0</v>
      </c>
      <c r="AD109" s="504">
        <f>SUMIFS('PV SUPPLY DATA'!$X:$X,'PV SUPPLY DATA'!$AH:$AH,'CT capacity tracker'!$B106,'PV SUPPLY DATA'!$AG:$AG,'CT capacity tracker'!$A$97,'PV SUPPLY DATA'!$Y:$Y,AD$1,'PV SUPPLY DATA'!$AQ:$AQ,"cosco")+SUMIFS('PV SUPPLY DATA'!$X:$X,'PV SUPPLY DATA'!$AH:$AH,'CT capacity tracker'!$B106,'PV SUPPLY DATA'!$AG:$AG,'CT capacity tracker'!$A$97,'PV SUPPLY DATA'!$Y:$Y,AD$1,'PV SUPPLY DATA'!$AQ:$AQ,"other")+SUMIFS('ESS SUPPLY DATA'!$U:$U,'ESS SUPPLY DATA'!$AF:$AF,'CT capacity tracker'!$B106,'ESS SUPPLY DATA'!$AE:$AE,'CT capacity tracker'!$A$97,'ESS SUPPLY DATA'!$W:$W,'CT capacity tracker'!AD$1,'ESS SUPPLY DATA'!$AO:$AO,"cosco")+SUMIFS('ESS SUPPLY DATA'!$U:$U,'ESS SUPPLY DATA'!$AF:$AF,'CT capacity tracker'!$B106,'ESS SUPPLY DATA'!$AE:$AE,'CT capacity tracker'!$A$97,'ESS SUPPLY DATA'!$W:$W,'CT capacity tracker'!AD$1,'ESS SUPPLY DATA'!$AO:$AO,"other")</f>
        <v>0</v>
      </c>
      <c r="AE109" s="504">
        <f>SUMIFS('PV SUPPLY DATA'!$X:$X,'PV SUPPLY DATA'!$AH:$AH,'CT capacity tracker'!$B106,'PV SUPPLY DATA'!$AG:$AG,'CT capacity tracker'!$A$97,'PV SUPPLY DATA'!$Y:$Y,AE$1,'PV SUPPLY DATA'!$AQ:$AQ,"cosco")+SUMIFS('PV SUPPLY DATA'!$X:$X,'PV SUPPLY DATA'!$AH:$AH,'CT capacity tracker'!$B106,'PV SUPPLY DATA'!$AG:$AG,'CT capacity tracker'!$A$97,'PV SUPPLY DATA'!$Y:$Y,AE$1,'PV SUPPLY DATA'!$AQ:$AQ,"other")+SUMIFS('ESS SUPPLY DATA'!$U:$U,'ESS SUPPLY DATA'!$AF:$AF,'CT capacity tracker'!$B106,'ESS SUPPLY DATA'!$AE:$AE,'CT capacity tracker'!$A$97,'ESS SUPPLY DATA'!$W:$W,'CT capacity tracker'!AE$1,'ESS SUPPLY DATA'!$AO:$AO,"cosco")+SUMIFS('ESS SUPPLY DATA'!$U:$U,'ESS SUPPLY DATA'!$AF:$AF,'CT capacity tracker'!$B106,'ESS SUPPLY DATA'!$AE:$AE,'CT capacity tracker'!$A$97,'ESS SUPPLY DATA'!$W:$W,'CT capacity tracker'!AE$1,'ESS SUPPLY DATA'!$AO:$AO,"other")</f>
        <v>0</v>
      </c>
      <c r="AF109" s="504">
        <f>SUMIFS('PV SUPPLY DATA'!$X:$X,'PV SUPPLY DATA'!$AH:$AH,'CT capacity tracker'!$B106,'PV SUPPLY DATA'!$AG:$AG,'CT capacity tracker'!$A$97,'PV SUPPLY DATA'!$Y:$Y,AF$1,'PV SUPPLY DATA'!$AQ:$AQ,"cosco")+SUMIFS('PV SUPPLY DATA'!$X:$X,'PV SUPPLY DATA'!$AH:$AH,'CT capacity tracker'!$B106,'PV SUPPLY DATA'!$AG:$AG,'CT capacity tracker'!$A$97,'PV SUPPLY DATA'!$Y:$Y,AF$1,'PV SUPPLY DATA'!$AQ:$AQ,"other")+SUMIFS('ESS SUPPLY DATA'!$U:$U,'ESS SUPPLY DATA'!$AF:$AF,'CT capacity tracker'!$B106,'ESS SUPPLY DATA'!$AE:$AE,'CT capacity tracker'!$A$97,'ESS SUPPLY DATA'!$W:$W,'CT capacity tracker'!AF$1,'ESS SUPPLY DATA'!$AO:$AO,"cosco")+SUMIFS('ESS SUPPLY DATA'!$U:$U,'ESS SUPPLY DATA'!$AF:$AF,'CT capacity tracker'!$B106,'ESS SUPPLY DATA'!$AE:$AE,'CT capacity tracker'!$A$97,'ESS SUPPLY DATA'!$W:$W,'CT capacity tracker'!AF$1,'ESS SUPPLY DATA'!$AO:$AO,"other")</f>
        <v>0</v>
      </c>
      <c r="AG109" s="504">
        <f>SUMIFS('PV SUPPLY DATA'!$X:$X,'PV SUPPLY DATA'!$AH:$AH,'CT capacity tracker'!$B106,'PV SUPPLY DATA'!$AG:$AG,'CT capacity tracker'!$A$97,'PV SUPPLY DATA'!$Y:$Y,AG$1,'PV SUPPLY DATA'!$AQ:$AQ,"cosco")+SUMIFS('PV SUPPLY DATA'!$X:$X,'PV SUPPLY DATA'!$AH:$AH,'CT capacity tracker'!$B106,'PV SUPPLY DATA'!$AG:$AG,'CT capacity tracker'!$A$97,'PV SUPPLY DATA'!$Y:$Y,AG$1,'PV SUPPLY DATA'!$AQ:$AQ,"other")+SUMIFS('ESS SUPPLY DATA'!$U:$U,'ESS SUPPLY DATA'!$AF:$AF,'CT capacity tracker'!$B106,'ESS SUPPLY DATA'!$AE:$AE,'CT capacity tracker'!$A$97,'ESS SUPPLY DATA'!$W:$W,'CT capacity tracker'!AG$1,'ESS SUPPLY DATA'!$AO:$AO,"cosco")+SUMIFS('ESS SUPPLY DATA'!$U:$U,'ESS SUPPLY DATA'!$AF:$AF,'CT capacity tracker'!$B106,'ESS SUPPLY DATA'!$AE:$AE,'CT capacity tracker'!$A$97,'ESS SUPPLY DATA'!$W:$W,'CT capacity tracker'!AG$1,'ESS SUPPLY DATA'!$AO:$AO,"other")</f>
        <v>0</v>
      </c>
      <c r="AH109" s="504">
        <f>SUMIFS('PV SUPPLY DATA'!$X:$X,'PV SUPPLY DATA'!$AH:$AH,'CT capacity tracker'!$B106,'PV SUPPLY DATA'!$AG:$AG,'CT capacity tracker'!$A$97,'PV SUPPLY DATA'!$Y:$Y,AH$1,'PV SUPPLY DATA'!$AQ:$AQ,"cosco")+SUMIFS('PV SUPPLY DATA'!$X:$X,'PV SUPPLY DATA'!$AH:$AH,'CT capacity tracker'!$B106,'PV SUPPLY DATA'!$AG:$AG,'CT capacity tracker'!$A$97,'PV SUPPLY DATA'!$Y:$Y,AH$1,'PV SUPPLY DATA'!$AQ:$AQ,"other")+SUMIFS('ESS SUPPLY DATA'!$U:$U,'ESS SUPPLY DATA'!$AF:$AF,'CT capacity tracker'!$B106,'ESS SUPPLY DATA'!$AE:$AE,'CT capacity tracker'!$A$97,'ESS SUPPLY DATA'!$W:$W,'CT capacity tracker'!AH$1,'ESS SUPPLY DATA'!$AO:$AO,"cosco")+SUMIFS('ESS SUPPLY DATA'!$U:$U,'ESS SUPPLY DATA'!$AF:$AF,'CT capacity tracker'!$B106,'ESS SUPPLY DATA'!$AE:$AE,'CT capacity tracker'!$A$97,'ESS SUPPLY DATA'!$W:$W,'CT capacity tracker'!AH$1,'ESS SUPPLY DATA'!$AO:$AO,"other")</f>
        <v>0</v>
      </c>
      <c r="AI109" s="504">
        <f>SUMIFS('PV SUPPLY DATA'!$X:$X,'PV SUPPLY DATA'!$AH:$AH,'CT capacity tracker'!$B106,'PV SUPPLY DATA'!$AG:$AG,'CT capacity tracker'!$A$97,'PV SUPPLY DATA'!$Y:$Y,AI$1,'PV SUPPLY DATA'!$AQ:$AQ,"cosco")+SUMIFS('PV SUPPLY DATA'!$X:$X,'PV SUPPLY DATA'!$AH:$AH,'CT capacity tracker'!$B106,'PV SUPPLY DATA'!$AG:$AG,'CT capacity tracker'!$A$97,'PV SUPPLY DATA'!$Y:$Y,AI$1,'PV SUPPLY DATA'!$AQ:$AQ,"other")+SUMIFS('ESS SUPPLY DATA'!$U:$U,'ESS SUPPLY DATA'!$AF:$AF,'CT capacity tracker'!$B106,'ESS SUPPLY DATA'!$AE:$AE,'CT capacity tracker'!$A$97,'ESS SUPPLY DATA'!$W:$W,'CT capacity tracker'!AI$1,'ESS SUPPLY DATA'!$AO:$AO,"cosco")+SUMIFS('ESS SUPPLY DATA'!$U:$U,'ESS SUPPLY DATA'!$AF:$AF,'CT capacity tracker'!$B106,'ESS SUPPLY DATA'!$AE:$AE,'CT capacity tracker'!$A$97,'ESS SUPPLY DATA'!$W:$W,'CT capacity tracker'!AI$1,'ESS SUPPLY DATA'!$AO:$AO,"other")</f>
        <v>0</v>
      </c>
      <c r="AJ109" s="504">
        <f>SUMIFS('PV SUPPLY DATA'!$X:$X,'PV SUPPLY DATA'!$AH:$AH,'CT capacity tracker'!$B106,'PV SUPPLY DATA'!$AG:$AG,'CT capacity tracker'!$A$97,'PV SUPPLY DATA'!$Y:$Y,AJ$1,'PV SUPPLY DATA'!$AQ:$AQ,"cosco")+SUMIFS('PV SUPPLY DATA'!$X:$X,'PV SUPPLY DATA'!$AH:$AH,'CT capacity tracker'!$B106,'PV SUPPLY DATA'!$AG:$AG,'CT capacity tracker'!$A$97,'PV SUPPLY DATA'!$Y:$Y,AJ$1,'PV SUPPLY DATA'!$AQ:$AQ,"other")+SUMIFS('ESS SUPPLY DATA'!$U:$U,'ESS SUPPLY DATA'!$AF:$AF,'CT capacity tracker'!$B106,'ESS SUPPLY DATA'!$AE:$AE,'CT capacity tracker'!$A$97,'ESS SUPPLY DATA'!$W:$W,'CT capacity tracker'!AJ$1,'ESS SUPPLY DATA'!$AO:$AO,"cosco")+SUMIFS('ESS SUPPLY DATA'!$U:$U,'ESS SUPPLY DATA'!$AF:$AF,'CT capacity tracker'!$B106,'ESS SUPPLY DATA'!$AE:$AE,'CT capacity tracker'!$A$97,'ESS SUPPLY DATA'!$W:$W,'CT capacity tracker'!AJ$1,'ESS SUPPLY DATA'!$AO:$AO,"other")</f>
        <v>0</v>
      </c>
      <c r="AK109" s="511"/>
      <c r="AL109" s="511"/>
      <c r="AM109" s="696">
        <f>SUM(E109:X109)</f>
        <v>0</v>
      </c>
      <c r="AN109" s="503"/>
      <c r="AO109" s="506"/>
      <c r="AP109" s="506"/>
      <c r="AQ109" s="506"/>
      <c r="AR109" s="506"/>
      <c r="AS109" s="506"/>
      <c r="AT109" s="506"/>
    </row>
    <row r="110" spans="1:46" ht="12.75" customHeight="1">
      <c r="A110" s="1517"/>
      <c r="B110" s="1516" t="s">
        <v>541</v>
      </c>
      <c r="C110" s="503" t="s">
        <v>4400</v>
      </c>
      <c r="D110" s="504">
        <f>SUMIFS('PV SUPPLY DATA'!$X:$X,'PV SUPPLY DATA'!$AH:$AH,'CT capacity tracker'!$B110,'PV SUPPLY DATA'!$AG:$AG,'CT capacity tracker'!$A$97,'PV SUPPLY DATA'!$Y:$Y,'CT capacity tracker'!D$1)</f>
        <v>0</v>
      </c>
      <c r="E110" s="504">
        <f>SUMIFS('PV SUPPLY DATA'!$X:$X,'PV SUPPLY DATA'!$Y:$Y,'CT capacity tracker'!E$1,'PV SUPPLY DATA'!$AG:$AG,'CT capacity tracker'!$A$97,'PV SUPPLY DATA'!$AH:$AH,'CT capacity tracker'!$B$114)</f>
        <v>0</v>
      </c>
      <c r="F110" s="504">
        <f>SUMIFS('PV SUPPLY DATA'!$X:$X,'PV SUPPLY DATA'!$Y:$Y,'CT capacity tracker'!F$1,'PV SUPPLY DATA'!$AG:$AG,'CT capacity tracker'!$A$97,'PV SUPPLY DATA'!$AH:$AH,'CT capacity tracker'!$B$114)</f>
        <v>0</v>
      </c>
      <c r="G110" s="504">
        <f>SUMIFS('PV SUPPLY DATA'!$X:$X,'PV SUPPLY DATA'!$Y:$Y,'CT capacity tracker'!G$1,'PV SUPPLY DATA'!$AG:$AG,'CT capacity tracker'!$A$97,'PV SUPPLY DATA'!$AH:$AH,'CT capacity tracker'!$B$114)</f>
        <v>0</v>
      </c>
      <c r="H110" s="504">
        <f>SUMIFS('PV SUPPLY DATA'!$X:$X,'PV SUPPLY DATA'!$Y:$Y,'CT capacity tracker'!H$1,'PV SUPPLY DATA'!$AG:$AG,'CT capacity tracker'!$A$97,'PV SUPPLY DATA'!$AH:$AH,'CT capacity tracker'!$B$114)</f>
        <v>0</v>
      </c>
      <c r="I110" s="504">
        <f>SUMIFS('PV SUPPLY DATA'!$X:$X,'PV SUPPLY DATA'!$Y:$Y,'CT capacity tracker'!I$1,'PV SUPPLY DATA'!$AG:$AG,'CT capacity tracker'!$A$97,'PV SUPPLY DATA'!$AH:$AH,'CT capacity tracker'!$B$114)</f>
        <v>0</v>
      </c>
      <c r="J110" s="504">
        <f>SUMIFS('PV SUPPLY DATA'!$X:$X,'PV SUPPLY DATA'!$Y:$Y,'CT capacity tracker'!J$1,'PV SUPPLY DATA'!$AG:$AG,'CT capacity tracker'!$A$97,'PV SUPPLY DATA'!$AH:$AH,'CT capacity tracker'!$B$114)</f>
        <v>9</v>
      </c>
      <c r="K110" s="504">
        <f>SUMIFS('PV SUPPLY DATA'!$X:$X,'PV SUPPLY DATA'!$Y:$Y,'CT capacity tracker'!K$1,'PV SUPPLY DATA'!$AG:$AG,'CT capacity tracker'!$A$97,'PV SUPPLY DATA'!$AH:$AH,'CT capacity tracker'!$B$114)</f>
        <v>0</v>
      </c>
      <c r="L110" s="504">
        <f>SUMIFS('PV SUPPLY DATA'!$X:$X,'PV SUPPLY DATA'!$Y:$Y,'CT capacity tracker'!L$1,'PV SUPPLY DATA'!$AG:$AG,'CT capacity tracker'!$A$97,'PV SUPPLY DATA'!$AH:$AH,'CT capacity tracker'!$B$114)</f>
        <v>0</v>
      </c>
      <c r="M110" s="504">
        <f>SUMIFS('PV SUPPLY DATA'!$X:$X,'PV SUPPLY DATA'!$Y:$Y,'CT capacity tracker'!M$1,'PV SUPPLY DATA'!$AG:$AG,'CT capacity tracker'!$A$97,'PV SUPPLY DATA'!$AH:$AH,'CT capacity tracker'!$B$114)</f>
        <v>0</v>
      </c>
      <c r="N110" s="504">
        <f>SUMIFS('PV SUPPLY DATA'!$X:$X,'PV SUPPLY DATA'!$Y:$Y,'CT capacity tracker'!N$1,'PV SUPPLY DATA'!$AG:$AG,'CT capacity tracker'!$A$97,'PV SUPPLY DATA'!$AH:$AH,'CT capacity tracker'!$B$114)</f>
        <v>0</v>
      </c>
      <c r="O110" s="504">
        <f>SUMIFS('PV SUPPLY DATA'!$X:$X,'PV SUPPLY DATA'!$Y:$Y,'CT capacity tracker'!O$1,'PV SUPPLY DATA'!$AG:$AG,'CT capacity tracker'!$A$97,'PV SUPPLY DATA'!$AH:$AH,'CT capacity tracker'!$B$110)</f>
        <v>0</v>
      </c>
      <c r="P110" s="504">
        <f>SUMIFS('PV SUPPLY DATA'!$X:$X,'PV SUPPLY DATA'!$Y:$Y,'CT capacity tracker'!P$1,'PV SUPPLY DATA'!$AG:$AG,'CT capacity tracker'!$A$97,'PV SUPPLY DATA'!$AH:$AH,'CT capacity tracker'!$B$110)</f>
        <v>0</v>
      </c>
      <c r="Q110" s="504">
        <f>SUMIFS('PV SUPPLY DATA'!$X:$X,'PV SUPPLY DATA'!$Y:$Y,'CT capacity tracker'!Q$1,'PV SUPPLY DATA'!$AG:$AG,'CT capacity tracker'!$A$97,'PV SUPPLY DATA'!$AH:$AH,'CT capacity tracker'!$B$110)</f>
        <v>5</v>
      </c>
      <c r="R110" s="504">
        <f>SUMIFS('PV SUPPLY DATA'!$X:$X,'PV SUPPLY DATA'!$Y:$Y,'CT capacity tracker'!R$1,'PV SUPPLY DATA'!$AG:$AG,'CT capacity tracker'!$A$97,'PV SUPPLY DATA'!$AH:$AH,'CT capacity tracker'!$B$110)</f>
        <v>6</v>
      </c>
      <c r="S110" s="504">
        <f>SUMIFS('PV SUPPLY DATA'!$X:$X,'PV SUPPLY DATA'!$Y:$Y,'CT capacity tracker'!S$1,'PV SUPPLY DATA'!$AG:$AG,'CT capacity tracker'!$A$97,'PV SUPPLY DATA'!$AH:$AH,'CT capacity tracker'!$B$110)</f>
        <v>0</v>
      </c>
      <c r="T110" s="504">
        <f>SUMIFS('PV SUPPLY DATA'!$X:$X,'PV SUPPLY DATA'!$Y:$Y,'CT capacity tracker'!T$1,'PV SUPPLY DATA'!$AG:$AG,'CT capacity tracker'!$A$97,'PV SUPPLY DATA'!$AH:$AH,'CT capacity tracker'!$B$110)</f>
        <v>0</v>
      </c>
      <c r="U110" s="504">
        <f>SUMIFS('PV SUPPLY DATA'!$X:$X,'PV SUPPLY DATA'!$Y:$Y,'CT capacity tracker'!U$1,'PV SUPPLY DATA'!$AG:$AG,'CT capacity tracker'!$A$97,'PV SUPPLY DATA'!$AH:$AH,'CT capacity tracker'!$B$110)</f>
        <v>0</v>
      </c>
      <c r="V110" s="504">
        <f>SUMIFS('PV SUPPLY DATA'!$X:$X,'PV SUPPLY DATA'!$Y:$Y,'CT capacity tracker'!V$1,'PV SUPPLY DATA'!$AG:$AG,'CT capacity tracker'!$A$97,'PV SUPPLY DATA'!$AH:$AH,'CT capacity tracker'!$B$110)</f>
        <v>0</v>
      </c>
      <c r="W110" s="504">
        <f>SUMIFS('PV SUPPLY DATA'!$X:$X,'PV SUPPLY DATA'!$Y:$Y,'CT capacity tracker'!W$1,'PV SUPPLY DATA'!$AG:$AG,'CT capacity tracker'!$A$97,'PV SUPPLY DATA'!$AH:$AH,'CT capacity tracker'!$B$110)</f>
        <v>0</v>
      </c>
      <c r="X110" s="504">
        <f>SUMIFS('PV SUPPLY DATA'!$X:$X,'PV SUPPLY DATA'!$Y:$Y,'CT capacity tracker'!X$1,'PV SUPPLY DATA'!$AG:$AG,'CT capacity tracker'!$A$97,'PV SUPPLY DATA'!$AH:$AH,'CT capacity tracker'!$B$110)</f>
        <v>0</v>
      </c>
      <c r="Y110" s="504">
        <f>SUMIFS('PV SUPPLY DATA'!$X:$X,'PV SUPPLY DATA'!$Y:$Y,'CT capacity tracker'!Y$1,'PV SUPPLY DATA'!$AG:$AG,'CT capacity tracker'!$A$97,'PV SUPPLY DATA'!$AH:$AH,'CT capacity tracker'!$B$110)</f>
        <v>0</v>
      </c>
      <c r="Z110" s="504">
        <f>SUMIFS('PV SUPPLY DATA'!$X:$X,'PV SUPPLY DATA'!$Y:$Y,'CT capacity tracker'!Z$1,'PV SUPPLY DATA'!$AG:$AG,'CT capacity tracker'!$A$97,'PV SUPPLY DATA'!$AH:$AH,'CT capacity tracker'!$B$110)</f>
        <v>0</v>
      </c>
      <c r="AA110" s="504">
        <f>SUMIFS('PV SUPPLY DATA'!$X:$X,'PV SUPPLY DATA'!$Y:$Y,'CT capacity tracker'!AA$1,'PV SUPPLY DATA'!$AG:$AG,'CT capacity tracker'!$A$97,'PV SUPPLY DATA'!$AH:$AH,'CT capacity tracker'!$B$110)</f>
        <v>0</v>
      </c>
      <c r="AB110" s="504">
        <f>SUMIFS('PV SUPPLY DATA'!$X:$X,'PV SUPPLY DATA'!$Y:$Y,'CT capacity tracker'!AB$1,'PV SUPPLY DATA'!$AG:$AG,'CT capacity tracker'!$A$97,'PV SUPPLY DATA'!$AH:$AH,'CT capacity tracker'!$B$110)</f>
        <v>0</v>
      </c>
      <c r="AC110" s="504">
        <f>SUMIFS('PV SUPPLY DATA'!$X:$X,'PV SUPPLY DATA'!$Y:$Y,'CT capacity tracker'!AC$1,'PV SUPPLY DATA'!$AG:$AG,'CT capacity tracker'!$A$97,'PV SUPPLY DATA'!$AH:$AH,'CT capacity tracker'!$B$110)</f>
        <v>0</v>
      </c>
      <c r="AD110" s="504">
        <f>SUMIFS('PV SUPPLY DATA'!$X:$X,'PV SUPPLY DATA'!$Y:$Y,'CT capacity tracker'!AD$1,'PV SUPPLY DATA'!$AG:$AG,'CT capacity tracker'!$A$97,'PV SUPPLY DATA'!$AH:$AH,'CT capacity tracker'!$B$110)</f>
        <v>0</v>
      </c>
      <c r="AE110" s="504">
        <f>SUMIFS('PV SUPPLY DATA'!$X:$X,'PV SUPPLY DATA'!$Y:$Y,'CT capacity tracker'!AE$1,'PV SUPPLY DATA'!$AG:$AG,'CT capacity tracker'!$A$97,'PV SUPPLY DATA'!$AH:$AH,'CT capacity tracker'!$B$110)</f>
        <v>0</v>
      </c>
      <c r="AF110" s="504">
        <f>SUMIFS('PV SUPPLY DATA'!$X:$X,'PV SUPPLY DATA'!$Y:$Y,'CT capacity tracker'!AF$1,'PV SUPPLY DATA'!$AG:$AG,'CT capacity tracker'!$A$97,'PV SUPPLY DATA'!$AH:$AH,'CT capacity tracker'!$B$110)</f>
        <v>0</v>
      </c>
      <c r="AG110" s="504">
        <f>SUMIFS('PV SUPPLY DATA'!$X:$X,'PV SUPPLY DATA'!$Y:$Y,'CT capacity tracker'!AG$1,'PV SUPPLY DATA'!$AG:$AG,'CT capacity tracker'!$A$97,'PV SUPPLY DATA'!$AH:$AH,'CT capacity tracker'!$B$110)</f>
        <v>0</v>
      </c>
      <c r="AH110" s="504">
        <f>SUMIFS('PV SUPPLY DATA'!$X:$X,'PV SUPPLY DATA'!$Y:$Y,'CT capacity tracker'!AH$1,'PV SUPPLY DATA'!$AG:$AG,'CT capacity tracker'!$A$97,'PV SUPPLY DATA'!$AH:$AH,'CT capacity tracker'!$B$110)</f>
        <v>0</v>
      </c>
      <c r="AI110" s="504">
        <f>SUMIFS('PV SUPPLY DATA'!$X:$X,'PV SUPPLY DATA'!$Y:$Y,'CT capacity tracker'!AI$1,'PV SUPPLY DATA'!$AG:$AG,'CT capacity tracker'!$A$97,'PV SUPPLY DATA'!$AH:$AH,'CT capacity tracker'!$B$110)</f>
        <v>0</v>
      </c>
      <c r="AJ110" s="504">
        <f>SUMIFS('PV SUPPLY DATA'!$X:$X,'PV SUPPLY DATA'!$Y:$Y,'CT capacity tracker'!AJ$1,'PV SUPPLY DATA'!$AG:$AG,'CT capacity tracker'!$A$97,'PV SUPPLY DATA'!$AH:$AH,'CT capacity tracker'!$B$110)</f>
        <v>0</v>
      </c>
      <c r="AK110" s="505" t="s">
        <v>197</v>
      </c>
      <c r="AL110" s="505" t="s">
        <v>197</v>
      </c>
      <c r="AM110" s="696">
        <f>SUM(E110:X110)</f>
        <v>20</v>
      </c>
      <c r="AN110" s="503" t="s">
        <v>197</v>
      </c>
      <c r="AO110" s="506"/>
      <c r="AP110" s="506">
        <f>SUM(G110:J110)</f>
        <v>9</v>
      </c>
      <c r="AQ110" s="506"/>
      <c r="AR110" s="506"/>
      <c r="AS110" s="506"/>
      <c r="AT110" s="506"/>
    </row>
    <row r="111" spans="1:46" ht="12.75" customHeight="1">
      <c r="A111" s="1517"/>
      <c r="B111" s="1517"/>
      <c r="C111" s="509" t="s">
        <v>4401</v>
      </c>
      <c r="D111" s="509"/>
      <c r="E111" s="512"/>
      <c r="F111" s="512"/>
      <c r="G111" s="512"/>
      <c r="H111" s="512"/>
      <c r="I111" s="513"/>
      <c r="J111" s="512"/>
      <c r="K111" s="513"/>
      <c r="L111" s="513"/>
      <c r="M111" s="513"/>
      <c r="N111" s="513"/>
      <c r="O111" s="513"/>
      <c r="P111" s="513"/>
      <c r="Q111" s="513">
        <v>6</v>
      </c>
      <c r="R111" s="513">
        <v>5</v>
      </c>
      <c r="S111" s="513"/>
      <c r="T111" s="513"/>
      <c r="U111" s="513"/>
      <c r="V111" s="513"/>
      <c r="W111" s="513"/>
      <c r="X111" s="513"/>
      <c r="Y111" s="513"/>
      <c r="Z111" s="513"/>
      <c r="AA111" s="513"/>
      <c r="AB111" s="513"/>
      <c r="AC111" s="513"/>
      <c r="AD111" s="513"/>
      <c r="AE111" s="513"/>
      <c r="AF111" s="513"/>
      <c r="AG111" s="513"/>
      <c r="AH111" s="513"/>
      <c r="AI111" s="513"/>
      <c r="AJ111" s="513"/>
      <c r="AK111" s="505" t="s">
        <v>197</v>
      </c>
      <c r="AL111" s="505" t="s">
        <v>197</v>
      </c>
      <c r="AM111" s="696"/>
      <c r="AN111" s="503" t="s">
        <v>197</v>
      </c>
      <c r="AO111" s="506"/>
      <c r="AP111" s="506">
        <f>SUM(G111:J111)</f>
        <v>0</v>
      </c>
      <c r="AQ111" s="506"/>
      <c r="AR111" s="506"/>
      <c r="AS111" s="506"/>
      <c r="AT111" s="506"/>
    </row>
    <row r="112" spans="1:46" ht="12.75" customHeight="1">
      <c r="A112" s="1517"/>
      <c r="B112" s="1517"/>
      <c r="C112" s="520" t="s">
        <v>4402</v>
      </c>
      <c r="D112" s="522"/>
      <c r="E112" s="522">
        <f t="shared" ref="E112:X112" si="82">E111-E110</f>
        <v>0</v>
      </c>
      <c r="F112" s="522">
        <f t="shared" si="82"/>
        <v>0</v>
      </c>
      <c r="G112" s="522">
        <f t="shared" si="82"/>
        <v>0</v>
      </c>
      <c r="H112" s="522">
        <f t="shared" si="82"/>
        <v>0</v>
      </c>
      <c r="I112" s="522">
        <f t="shared" si="82"/>
        <v>0</v>
      </c>
      <c r="J112" s="522">
        <f t="shared" si="82"/>
        <v>-9</v>
      </c>
      <c r="K112" s="522">
        <f t="shared" si="82"/>
        <v>0</v>
      </c>
      <c r="L112" s="522">
        <f t="shared" si="82"/>
        <v>0</v>
      </c>
      <c r="M112" s="522">
        <f t="shared" si="82"/>
        <v>0</v>
      </c>
      <c r="N112" s="522">
        <f t="shared" si="82"/>
        <v>0</v>
      </c>
      <c r="O112" s="522">
        <f t="shared" si="82"/>
        <v>0</v>
      </c>
      <c r="P112" s="522">
        <f t="shared" si="82"/>
        <v>0</v>
      </c>
      <c r="Q112" s="522">
        <f t="shared" si="82"/>
        <v>1</v>
      </c>
      <c r="R112" s="522">
        <f t="shared" si="82"/>
        <v>-1</v>
      </c>
      <c r="S112" s="522">
        <f t="shared" si="82"/>
        <v>0</v>
      </c>
      <c r="T112" s="522">
        <f t="shared" si="82"/>
        <v>0</v>
      </c>
      <c r="U112" s="522">
        <f t="shared" si="82"/>
        <v>0</v>
      </c>
      <c r="V112" s="522">
        <f t="shared" si="82"/>
        <v>0</v>
      </c>
      <c r="W112" s="522">
        <f t="shared" si="82"/>
        <v>0</v>
      </c>
      <c r="X112" s="522">
        <f t="shared" si="82"/>
        <v>0</v>
      </c>
      <c r="Y112" s="522">
        <f t="shared" ref="Y112:AJ112" si="83">Y111-Y110</f>
        <v>0</v>
      </c>
      <c r="Z112" s="522">
        <f t="shared" si="83"/>
        <v>0</v>
      </c>
      <c r="AA112" s="522">
        <f t="shared" si="83"/>
        <v>0</v>
      </c>
      <c r="AB112" s="522">
        <f t="shared" si="83"/>
        <v>0</v>
      </c>
      <c r="AC112" s="522">
        <f t="shared" si="83"/>
        <v>0</v>
      </c>
      <c r="AD112" s="522">
        <f t="shared" si="83"/>
        <v>0</v>
      </c>
      <c r="AE112" s="522">
        <f t="shared" si="83"/>
        <v>0</v>
      </c>
      <c r="AF112" s="522">
        <f t="shared" si="83"/>
        <v>0</v>
      </c>
      <c r="AG112" s="522">
        <f t="shared" si="83"/>
        <v>0</v>
      </c>
      <c r="AH112" s="522">
        <f t="shared" si="83"/>
        <v>0</v>
      </c>
      <c r="AI112" s="522">
        <f t="shared" si="83"/>
        <v>0</v>
      </c>
      <c r="AJ112" s="522">
        <f t="shared" si="83"/>
        <v>0</v>
      </c>
      <c r="AK112" s="511">
        <f>SUMIF($E112:$X112,"&gt;0")</f>
        <v>1</v>
      </c>
      <c r="AL112" s="511">
        <f>SUMIF($E112:$X112,"&lt;0")</f>
        <v>-10</v>
      </c>
      <c r="AM112" s="696"/>
      <c r="AN112" s="503" t="s">
        <v>197</v>
      </c>
      <c r="AO112" s="506"/>
      <c r="AP112" s="506">
        <f>SUM(G112:J112)</f>
        <v>-9</v>
      </c>
      <c r="AQ112" s="506"/>
      <c r="AR112" s="506"/>
      <c r="AS112" s="506"/>
      <c r="AT112" s="506"/>
    </row>
    <row r="113" spans="1:46" ht="12.75" customHeight="1">
      <c r="A113" s="1517"/>
      <c r="B113" s="1518"/>
      <c r="C113" s="503" t="s">
        <v>4403</v>
      </c>
      <c r="D113" s="522"/>
      <c r="E113" s="504">
        <f>SUMIFS('PV SUPPLY DATA'!$X:$X,'PV SUPPLY DATA'!$AH:$AH,'CT capacity tracker'!$B110,'PV SUPPLY DATA'!$AG:$AG,'CT capacity tracker'!$A$97,'PV SUPPLY DATA'!$Y:$Y,E$1,'PV SUPPLY DATA'!$AQ:$AQ,"cosco")+SUMIFS('PV SUPPLY DATA'!$X:$X,'PV SUPPLY DATA'!$AH:$AH,'CT capacity tracker'!$B110,'PV SUPPLY DATA'!$AG:$AG,'CT capacity tracker'!$A$97,'PV SUPPLY DATA'!$Y:$Y,E$1,'PV SUPPLY DATA'!$AQ:$AQ,"other")+SUMIFS('ESS SUPPLY DATA'!$U:$U,'ESS SUPPLY DATA'!$AF:$AF,'CT capacity tracker'!$B110,'ESS SUPPLY DATA'!$AE:$AE,'CT capacity tracker'!$A$97,'ESS SUPPLY DATA'!$W:$W,'CT capacity tracker'!E$1,'ESS SUPPLY DATA'!$AO:$AO,"cosco")+SUMIFS('ESS SUPPLY DATA'!$U:$U,'ESS SUPPLY DATA'!$AF:$AF,'CT capacity tracker'!$B110,'ESS SUPPLY DATA'!$AE:$AE,'CT capacity tracker'!$A$97,'ESS SUPPLY DATA'!$W:$W,'CT capacity tracker'!E$1,'ESS SUPPLY DATA'!$AO:$AO,"other")</f>
        <v>0</v>
      </c>
      <c r="F113" s="504">
        <f>SUMIFS('PV SUPPLY DATA'!$X:$X,'PV SUPPLY DATA'!$AH:$AH,'CT capacity tracker'!$B110,'PV SUPPLY DATA'!$AG:$AG,'CT capacity tracker'!$A$97,'PV SUPPLY DATA'!$Y:$Y,F$1,'PV SUPPLY DATA'!$AQ:$AQ,"cosco")+SUMIFS('PV SUPPLY DATA'!$X:$X,'PV SUPPLY DATA'!$AH:$AH,'CT capacity tracker'!$B110,'PV SUPPLY DATA'!$AG:$AG,'CT capacity tracker'!$A$97,'PV SUPPLY DATA'!$Y:$Y,F$1,'PV SUPPLY DATA'!$AQ:$AQ,"other")+SUMIFS('ESS SUPPLY DATA'!$U:$U,'ESS SUPPLY DATA'!$AF:$AF,'CT capacity tracker'!$B110,'ESS SUPPLY DATA'!$AE:$AE,'CT capacity tracker'!$A$97,'ESS SUPPLY DATA'!$W:$W,'CT capacity tracker'!F$1,'ESS SUPPLY DATA'!$AO:$AO,"cosco")+SUMIFS('ESS SUPPLY DATA'!$U:$U,'ESS SUPPLY DATA'!$AF:$AF,'CT capacity tracker'!$B110,'ESS SUPPLY DATA'!$AE:$AE,'CT capacity tracker'!$A$97,'ESS SUPPLY DATA'!$W:$W,'CT capacity tracker'!F$1,'ESS SUPPLY DATA'!$AO:$AO,"other")</f>
        <v>0</v>
      </c>
      <c r="G113" s="504">
        <f>SUMIFS('PV SUPPLY DATA'!$X:$X,'PV SUPPLY DATA'!$AH:$AH,'CT capacity tracker'!$B110,'PV SUPPLY DATA'!$AG:$AG,'CT capacity tracker'!$A$97,'PV SUPPLY DATA'!$Y:$Y,G$1,'PV SUPPLY DATA'!$AQ:$AQ,"cosco")+SUMIFS('PV SUPPLY DATA'!$X:$X,'PV SUPPLY DATA'!$AH:$AH,'CT capacity tracker'!$B110,'PV SUPPLY DATA'!$AG:$AG,'CT capacity tracker'!$A$97,'PV SUPPLY DATA'!$Y:$Y,G$1,'PV SUPPLY DATA'!$AQ:$AQ,"other")+SUMIFS('ESS SUPPLY DATA'!$U:$U,'ESS SUPPLY DATA'!$AF:$AF,'CT capacity tracker'!$B110,'ESS SUPPLY DATA'!$AE:$AE,'CT capacity tracker'!$A$97,'ESS SUPPLY DATA'!$W:$W,'CT capacity tracker'!G$1,'ESS SUPPLY DATA'!$AO:$AO,"cosco")+SUMIFS('ESS SUPPLY DATA'!$U:$U,'ESS SUPPLY DATA'!$AF:$AF,'CT capacity tracker'!$B110,'ESS SUPPLY DATA'!$AE:$AE,'CT capacity tracker'!$A$97,'ESS SUPPLY DATA'!$W:$W,'CT capacity tracker'!G$1,'ESS SUPPLY DATA'!$AO:$AO,"other")</f>
        <v>0</v>
      </c>
      <c r="H113" s="504">
        <f>SUMIFS('PV SUPPLY DATA'!$X:$X,'PV SUPPLY DATA'!$AH:$AH,'CT capacity tracker'!$B110,'PV SUPPLY DATA'!$AG:$AG,'CT capacity tracker'!$A$97,'PV SUPPLY DATA'!$Y:$Y,H$1,'PV SUPPLY DATA'!$AQ:$AQ,"cosco")+SUMIFS('PV SUPPLY DATA'!$X:$X,'PV SUPPLY DATA'!$AH:$AH,'CT capacity tracker'!$B110,'PV SUPPLY DATA'!$AG:$AG,'CT capacity tracker'!$A$97,'PV SUPPLY DATA'!$Y:$Y,H$1,'PV SUPPLY DATA'!$AQ:$AQ,"other")+SUMIFS('ESS SUPPLY DATA'!$U:$U,'ESS SUPPLY DATA'!$AF:$AF,'CT capacity tracker'!$B110,'ESS SUPPLY DATA'!$AE:$AE,'CT capacity tracker'!$A$97,'ESS SUPPLY DATA'!$W:$W,'CT capacity tracker'!H$1,'ESS SUPPLY DATA'!$AO:$AO,"cosco")+SUMIFS('ESS SUPPLY DATA'!$U:$U,'ESS SUPPLY DATA'!$AF:$AF,'CT capacity tracker'!$B110,'ESS SUPPLY DATA'!$AE:$AE,'CT capacity tracker'!$A$97,'ESS SUPPLY DATA'!$W:$W,'CT capacity tracker'!H$1,'ESS SUPPLY DATA'!$AO:$AO,"other")</f>
        <v>0</v>
      </c>
      <c r="I113" s="504">
        <f>SUMIFS('PV SUPPLY DATA'!$X:$X,'PV SUPPLY DATA'!$AH:$AH,'CT capacity tracker'!$B110,'PV SUPPLY DATA'!$AG:$AG,'CT capacity tracker'!$A$97,'PV SUPPLY DATA'!$Y:$Y,I$1,'PV SUPPLY DATA'!$AQ:$AQ,"cosco")+SUMIFS('PV SUPPLY DATA'!$X:$X,'PV SUPPLY DATA'!$AH:$AH,'CT capacity tracker'!$B110,'PV SUPPLY DATA'!$AG:$AG,'CT capacity tracker'!$A$97,'PV SUPPLY DATA'!$Y:$Y,I$1,'PV SUPPLY DATA'!$AQ:$AQ,"other")+SUMIFS('ESS SUPPLY DATA'!$U:$U,'ESS SUPPLY DATA'!$AF:$AF,'CT capacity tracker'!$B110,'ESS SUPPLY DATA'!$AE:$AE,'CT capacity tracker'!$A$97,'ESS SUPPLY DATA'!$W:$W,'CT capacity tracker'!I$1,'ESS SUPPLY DATA'!$AO:$AO,"cosco")+SUMIFS('ESS SUPPLY DATA'!$U:$U,'ESS SUPPLY DATA'!$AF:$AF,'CT capacity tracker'!$B110,'ESS SUPPLY DATA'!$AE:$AE,'CT capacity tracker'!$A$97,'ESS SUPPLY DATA'!$W:$W,'CT capacity tracker'!I$1,'ESS SUPPLY DATA'!$AO:$AO,"other")</f>
        <v>0</v>
      </c>
      <c r="J113" s="504">
        <f>SUMIFS('PV SUPPLY DATA'!$X:$X,'PV SUPPLY DATA'!$AH:$AH,'CT capacity tracker'!$B110,'PV SUPPLY DATA'!$AG:$AG,'CT capacity tracker'!$A$97,'PV SUPPLY DATA'!$Y:$Y,J$1,'PV SUPPLY DATA'!$AQ:$AQ,"cosco")+SUMIFS('PV SUPPLY DATA'!$X:$X,'PV SUPPLY DATA'!$AH:$AH,'CT capacity tracker'!$B110,'PV SUPPLY DATA'!$AG:$AG,'CT capacity tracker'!$A$97,'PV SUPPLY DATA'!$Y:$Y,J$1,'PV SUPPLY DATA'!$AQ:$AQ,"other")+SUMIFS('ESS SUPPLY DATA'!$U:$U,'ESS SUPPLY DATA'!$AF:$AF,'CT capacity tracker'!$B110,'ESS SUPPLY DATA'!$AE:$AE,'CT capacity tracker'!$A$97,'ESS SUPPLY DATA'!$W:$W,'CT capacity tracker'!J$1,'ESS SUPPLY DATA'!$AO:$AO,"cosco")+SUMIFS('ESS SUPPLY DATA'!$U:$U,'ESS SUPPLY DATA'!$AF:$AF,'CT capacity tracker'!$B110,'ESS SUPPLY DATA'!$AE:$AE,'CT capacity tracker'!$A$97,'ESS SUPPLY DATA'!$W:$W,'CT capacity tracker'!J$1,'ESS SUPPLY DATA'!$AO:$AO,"other")</f>
        <v>0</v>
      </c>
      <c r="K113" s="504">
        <f>SUMIFS('PV SUPPLY DATA'!$X:$X,'PV SUPPLY DATA'!$AH:$AH,'CT capacity tracker'!$B110,'PV SUPPLY DATA'!$AG:$AG,'CT capacity tracker'!$A$97,'PV SUPPLY DATA'!$Y:$Y,K$1,'PV SUPPLY DATA'!$AQ:$AQ,"cosco")+SUMIFS('PV SUPPLY DATA'!$X:$X,'PV SUPPLY DATA'!$AH:$AH,'CT capacity tracker'!$B110,'PV SUPPLY DATA'!$AG:$AG,'CT capacity tracker'!$A$97,'PV SUPPLY DATA'!$Y:$Y,K$1,'PV SUPPLY DATA'!$AQ:$AQ,"other")+SUMIFS('ESS SUPPLY DATA'!$U:$U,'ESS SUPPLY DATA'!$AF:$AF,'CT capacity tracker'!$B110,'ESS SUPPLY DATA'!$AE:$AE,'CT capacity tracker'!$A$97,'ESS SUPPLY DATA'!$W:$W,'CT capacity tracker'!K$1,'ESS SUPPLY DATA'!$AO:$AO,"cosco")+SUMIFS('ESS SUPPLY DATA'!$U:$U,'ESS SUPPLY DATA'!$AF:$AF,'CT capacity tracker'!$B110,'ESS SUPPLY DATA'!$AE:$AE,'CT capacity tracker'!$A$97,'ESS SUPPLY DATA'!$W:$W,'CT capacity tracker'!K$1,'ESS SUPPLY DATA'!$AO:$AO,"other")</f>
        <v>0</v>
      </c>
      <c r="L113" s="504">
        <f>SUMIFS('PV SUPPLY DATA'!$X:$X,'PV SUPPLY DATA'!$AH:$AH,'CT capacity tracker'!$B110,'PV SUPPLY DATA'!$AG:$AG,'CT capacity tracker'!$A$97,'PV SUPPLY DATA'!$Y:$Y,L$1,'PV SUPPLY DATA'!$AQ:$AQ,"cosco")+SUMIFS('PV SUPPLY DATA'!$X:$X,'PV SUPPLY DATA'!$AH:$AH,'CT capacity tracker'!$B110,'PV SUPPLY DATA'!$AG:$AG,'CT capacity tracker'!$A$97,'PV SUPPLY DATA'!$Y:$Y,L$1,'PV SUPPLY DATA'!$AQ:$AQ,"other")+SUMIFS('ESS SUPPLY DATA'!$U:$U,'ESS SUPPLY DATA'!$AF:$AF,'CT capacity tracker'!$B110,'ESS SUPPLY DATA'!$AE:$AE,'CT capacity tracker'!$A$97,'ESS SUPPLY DATA'!$W:$W,'CT capacity tracker'!L$1,'ESS SUPPLY DATA'!$AO:$AO,"cosco")+SUMIFS('ESS SUPPLY DATA'!$U:$U,'ESS SUPPLY DATA'!$AF:$AF,'CT capacity tracker'!$B110,'ESS SUPPLY DATA'!$AE:$AE,'CT capacity tracker'!$A$97,'ESS SUPPLY DATA'!$W:$W,'CT capacity tracker'!L$1,'ESS SUPPLY DATA'!$AO:$AO,"other")</f>
        <v>0</v>
      </c>
      <c r="M113" s="504">
        <f>SUMIFS('PV SUPPLY DATA'!$X:$X,'PV SUPPLY DATA'!$AH:$AH,'CT capacity tracker'!$B110,'PV SUPPLY DATA'!$AG:$AG,'CT capacity tracker'!$A$97,'PV SUPPLY DATA'!$Y:$Y,M$1,'PV SUPPLY DATA'!$AQ:$AQ,"cosco")+SUMIFS('PV SUPPLY DATA'!$X:$X,'PV SUPPLY DATA'!$AH:$AH,'CT capacity tracker'!$B110,'PV SUPPLY DATA'!$AG:$AG,'CT capacity tracker'!$A$97,'PV SUPPLY DATA'!$Y:$Y,M$1,'PV SUPPLY DATA'!$AQ:$AQ,"other")+SUMIFS('ESS SUPPLY DATA'!$U:$U,'ESS SUPPLY DATA'!$AF:$AF,'CT capacity tracker'!$B110,'ESS SUPPLY DATA'!$AE:$AE,'CT capacity tracker'!$A$97,'ESS SUPPLY DATA'!$W:$W,'CT capacity tracker'!M$1,'ESS SUPPLY DATA'!$AO:$AO,"cosco")+SUMIFS('ESS SUPPLY DATA'!$U:$U,'ESS SUPPLY DATA'!$AF:$AF,'CT capacity tracker'!$B110,'ESS SUPPLY DATA'!$AE:$AE,'CT capacity tracker'!$A$97,'ESS SUPPLY DATA'!$W:$W,'CT capacity tracker'!M$1,'ESS SUPPLY DATA'!$AO:$AO,"other")</f>
        <v>0</v>
      </c>
      <c r="N113" s="504">
        <f>SUMIFS('PV SUPPLY DATA'!$X:$X,'PV SUPPLY DATA'!$AH:$AH,'CT capacity tracker'!$B110,'PV SUPPLY DATA'!$AG:$AG,'CT capacity tracker'!$A$97,'PV SUPPLY DATA'!$Y:$Y,N$1,'PV SUPPLY DATA'!$AQ:$AQ,"cosco")+SUMIFS('PV SUPPLY DATA'!$X:$X,'PV SUPPLY DATA'!$AH:$AH,'CT capacity tracker'!$B110,'PV SUPPLY DATA'!$AG:$AG,'CT capacity tracker'!$A$97,'PV SUPPLY DATA'!$Y:$Y,N$1,'PV SUPPLY DATA'!$AQ:$AQ,"other")+SUMIFS('ESS SUPPLY DATA'!$U:$U,'ESS SUPPLY DATA'!$AF:$AF,'CT capacity tracker'!$B110,'ESS SUPPLY DATA'!$AE:$AE,'CT capacity tracker'!$A$97,'ESS SUPPLY DATA'!$W:$W,'CT capacity tracker'!N$1,'ESS SUPPLY DATA'!$AO:$AO,"cosco")+SUMIFS('ESS SUPPLY DATA'!$U:$U,'ESS SUPPLY DATA'!$AF:$AF,'CT capacity tracker'!$B110,'ESS SUPPLY DATA'!$AE:$AE,'CT capacity tracker'!$A$97,'ESS SUPPLY DATA'!$W:$W,'CT capacity tracker'!N$1,'ESS SUPPLY DATA'!$AO:$AO,"other")</f>
        <v>0</v>
      </c>
      <c r="O113" s="504">
        <f>SUMIFS('PV SUPPLY DATA'!$X:$X,'PV SUPPLY DATA'!$AH:$AH,'CT capacity tracker'!$B110,'PV SUPPLY DATA'!$AG:$AG,'CT capacity tracker'!$A$97,'PV SUPPLY DATA'!$Y:$Y,O$1,'PV SUPPLY DATA'!$AQ:$AQ,"cosco")+SUMIFS('PV SUPPLY DATA'!$X:$X,'PV SUPPLY DATA'!$AH:$AH,'CT capacity tracker'!$B110,'PV SUPPLY DATA'!$AG:$AG,'CT capacity tracker'!$A$97,'PV SUPPLY DATA'!$Y:$Y,O$1,'PV SUPPLY DATA'!$AQ:$AQ,"other")+SUMIFS('ESS SUPPLY DATA'!$U:$U,'ESS SUPPLY DATA'!$AF:$AF,'CT capacity tracker'!$B110,'ESS SUPPLY DATA'!$AE:$AE,'CT capacity tracker'!$A$97,'ESS SUPPLY DATA'!$W:$W,'CT capacity tracker'!O$1,'ESS SUPPLY DATA'!$AO:$AO,"cosco")+SUMIFS('ESS SUPPLY DATA'!$U:$U,'ESS SUPPLY DATA'!$AF:$AF,'CT capacity tracker'!$B110,'ESS SUPPLY DATA'!$AE:$AE,'CT capacity tracker'!$A$97,'ESS SUPPLY DATA'!$W:$W,'CT capacity tracker'!O$1,'ESS SUPPLY DATA'!$AO:$AO,"other")</f>
        <v>0</v>
      </c>
      <c r="P113" s="504">
        <f>SUMIFS('PV SUPPLY DATA'!$X:$X,'PV SUPPLY DATA'!$AH:$AH,'CT capacity tracker'!$B110,'PV SUPPLY DATA'!$AG:$AG,'CT capacity tracker'!$A$97,'PV SUPPLY DATA'!$Y:$Y,P$1,'PV SUPPLY DATA'!$AQ:$AQ,"cosco")+SUMIFS('PV SUPPLY DATA'!$X:$X,'PV SUPPLY DATA'!$AH:$AH,'CT capacity tracker'!$B110,'PV SUPPLY DATA'!$AG:$AG,'CT capacity tracker'!$A$97,'PV SUPPLY DATA'!$Y:$Y,P$1,'PV SUPPLY DATA'!$AQ:$AQ,"other")+SUMIFS('ESS SUPPLY DATA'!$U:$U,'ESS SUPPLY DATA'!$AF:$AF,'CT capacity tracker'!$B110,'ESS SUPPLY DATA'!$AE:$AE,'CT capacity tracker'!$A$97,'ESS SUPPLY DATA'!$W:$W,'CT capacity tracker'!P$1,'ESS SUPPLY DATA'!$AO:$AO,"cosco")+SUMIFS('ESS SUPPLY DATA'!$U:$U,'ESS SUPPLY DATA'!$AF:$AF,'CT capacity tracker'!$B110,'ESS SUPPLY DATA'!$AE:$AE,'CT capacity tracker'!$A$97,'ESS SUPPLY DATA'!$W:$W,'CT capacity tracker'!P$1,'ESS SUPPLY DATA'!$AO:$AO,"other")</f>
        <v>0</v>
      </c>
      <c r="Q113" s="504">
        <f>SUMIFS('PV SUPPLY DATA'!$X:$X,'PV SUPPLY DATA'!$AH:$AH,'CT capacity tracker'!$B110,'PV SUPPLY DATA'!$AG:$AG,'CT capacity tracker'!$A$97,'PV SUPPLY DATA'!$Y:$Y,Q$1,'PV SUPPLY DATA'!$AQ:$AQ,"cosco")+SUMIFS('PV SUPPLY DATA'!$X:$X,'PV SUPPLY DATA'!$AH:$AH,'CT capacity tracker'!$B110,'PV SUPPLY DATA'!$AG:$AG,'CT capacity tracker'!$A$97,'PV SUPPLY DATA'!$Y:$Y,Q$1,'PV SUPPLY DATA'!$AQ:$AQ,"other")+SUMIFS('ESS SUPPLY DATA'!$U:$U,'ESS SUPPLY DATA'!$AF:$AF,'CT capacity tracker'!$B110,'ESS SUPPLY DATA'!$AE:$AE,'CT capacity tracker'!$A$97,'ESS SUPPLY DATA'!$W:$W,'CT capacity tracker'!Q$1,'ESS SUPPLY DATA'!$AO:$AO,"cosco")+SUMIFS('ESS SUPPLY DATA'!$U:$U,'ESS SUPPLY DATA'!$AF:$AF,'CT capacity tracker'!$B110,'ESS SUPPLY DATA'!$AE:$AE,'CT capacity tracker'!$A$97,'ESS SUPPLY DATA'!$W:$W,'CT capacity tracker'!Q$1,'ESS SUPPLY DATA'!$AO:$AO,"other")</f>
        <v>5</v>
      </c>
      <c r="R113" s="504">
        <f>SUMIFS('PV SUPPLY DATA'!$X:$X,'PV SUPPLY DATA'!$AH:$AH,'CT capacity tracker'!$B110,'PV SUPPLY DATA'!$AG:$AG,'CT capacity tracker'!$A$97,'PV SUPPLY DATA'!$Y:$Y,R$1,'PV SUPPLY DATA'!$AQ:$AQ,"cosco")+SUMIFS('PV SUPPLY DATA'!$X:$X,'PV SUPPLY DATA'!$AH:$AH,'CT capacity tracker'!$B110,'PV SUPPLY DATA'!$AG:$AG,'CT capacity tracker'!$A$97,'PV SUPPLY DATA'!$Y:$Y,R$1,'PV SUPPLY DATA'!$AQ:$AQ,"other")+SUMIFS('ESS SUPPLY DATA'!$U:$U,'ESS SUPPLY DATA'!$AF:$AF,'CT capacity tracker'!$B110,'ESS SUPPLY DATA'!$AE:$AE,'CT capacity tracker'!$A$97,'ESS SUPPLY DATA'!$W:$W,'CT capacity tracker'!R$1,'ESS SUPPLY DATA'!$AO:$AO,"cosco")+SUMIFS('ESS SUPPLY DATA'!$U:$U,'ESS SUPPLY DATA'!$AF:$AF,'CT capacity tracker'!$B110,'ESS SUPPLY DATA'!$AE:$AE,'CT capacity tracker'!$A$97,'ESS SUPPLY DATA'!$W:$W,'CT capacity tracker'!R$1,'ESS SUPPLY DATA'!$AO:$AO,"other")</f>
        <v>6</v>
      </c>
      <c r="S113" s="504">
        <f>SUMIFS('PV SUPPLY DATA'!$X:$X,'PV SUPPLY DATA'!$AH:$AH,'CT capacity tracker'!$B110,'PV SUPPLY DATA'!$AG:$AG,'CT capacity tracker'!$A$97,'PV SUPPLY DATA'!$Y:$Y,S$1,'PV SUPPLY DATA'!$AQ:$AQ,"cosco")+SUMIFS('PV SUPPLY DATA'!$X:$X,'PV SUPPLY DATA'!$AH:$AH,'CT capacity tracker'!$B110,'PV SUPPLY DATA'!$AG:$AG,'CT capacity tracker'!$A$97,'PV SUPPLY DATA'!$Y:$Y,S$1,'PV SUPPLY DATA'!$AQ:$AQ,"other")+SUMIFS('ESS SUPPLY DATA'!$U:$U,'ESS SUPPLY DATA'!$AF:$AF,'CT capacity tracker'!$B110,'ESS SUPPLY DATA'!$AE:$AE,'CT capacity tracker'!$A$97,'ESS SUPPLY DATA'!$W:$W,'CT capacity tracker'!S$1,'ESS SUPPLY DATA'!$AO:$AO,"cosco")+SUMIFS('ESS SUPPLY DATA'!$U:$U,'ESS SUPPLY DATA'!$AF:$AF,'CT capacity tracker'!$B110,'ESS SUPPLY DATA'!$AE:$AE,'CT capacity tracker'!$A$97,'ESS SUPPLY DATA'!$W:$W,'CT capacity tracker'!S$1,'ESS SUPPLY DATA'!$AO:$AO,"other")</f>
        <v>0</v>
      </c>
      <c r="T113" s="504">
        <f>SUMIFS('PV SUPPLY DATA'!$X:$X,'PV SUPPLY DATA'!$AH:$AH,'CT capacity tracker'!$B110,'PV SUPPLY DATA'!$AG:$AG,'CT capacity tracker'!$A$97,'PV SUPPLY DATA'!$Y:$Y,T$1,'PV SUPPLY DATA'!$AQ:$AQ,"cosco")+SUMIFS('PV SUPPLY DATA'!$X:$X,'PV SUPPLY DATA'!$AH:$AH,'CT capacity tracker'!$B110,'PV SUPPLY DATA'!$AG:$AG,'CT capacity tracker'!$A$97,'PV SUPPLY DATA'!$Y:$Y,T$1,'PV SUPPLY DATA'!$AQ:$AQ,"other")+SUMIFS('ESS SUPPLY DATA'!$U:$U,'ESS SUPPLY DATA'!$AF:$AF,'CT capacity tracker'!$B110,'ESS SUPPLY DATA'!$AE:$AE,'CT capacity tracker'!$A$97,'ESS SUPPLY DATA'!$W:$W,'CT capacity tracker'!T$1,'ESS SUPPLY DATA'!$AO:$AO,"cosco")+SUMIFS('ESS SUPPLY DATA'!$U:$U,'ESS SUPPLY DATA'!$AF:$AF,'CT capacity tracker'!$B110,'ESS SUPPLY DATA'!$AE:$AE,'CT capacity tracker'!$A$97,'ESS SUPPLY DATA'!$W:$W,'CT capacity tracker'!T$1,'ESS SUPPLY DATA'!$AO:$AO,"other")</f>
        <v>0</v>
      </c>
      <c r="U113" s="504">
        <f>SUMIFS('PV SUPPLY DATA'!$X:$X,'PV SUPPLY DATA'!$AH:$AH,'CT capacity tracker'!$B110,'PV SUPPLY DATA'!$AG:$AG,'CT capacity tracker'!$A$97,'PV SUPPLY DATA'!$Y:$Y,U$1,'PV SUPPLY DATA'!$AQ:$AQ,"cosco")+SUMIFS('PV SUPPLY DATA'!$X:$X,'PV SUPPLY DATA'!$AH:$AH,'CT capacity tracker'!$B110,'PV SUPPLY DATA'!$AG:$AG,'CT capacity tracker'!$A$97,'PV SUPPLY DATA'!$Y:$Y,U$1,'PV SUPPLY DATA'!$AQ:$AQ,"other")+SUMIFS('ESS SUPPLY DATA'!$U:$U,'ESS SUPPLY DATA'!$AF:$AF,'CT capacity tracker'!$B110,'ESS SUPPLY DATA'!$AE:$AE,'CT capacity tracker'!$A$97,'ESS SUPPLY DATA'!$W:$W,'CT capacity tracker'!U$1,'ESS SUPPLY DATA'!$AO:$AO,"cosco")+SUMIFS('ESS SUPPLY DATA'!$U:$U,'ESS SUPPLY DATA'!$AF:$AF,'CT capacity tracker'!$B110,'ESS SUPPLY DATA'!$AE:$AE,'CT capacity tracker'!$A$97,'ESS SUPPLY DATA'!$W:$W,'CT capacity tracker'!U$1,'ESS SUPPLY DATA'!$AO:$AO,"other")</f>
        <v>0</v>
      </c>
      <c r="V113" s="504">
        <f>SUMIFS('PV SUPPLY DATA'!$X:$X,'PV SUPPLY DATA'!$AH:$AH,'CT capacity tracker'!$B110,'PV SUPPLY DATA'!$AG:$AG,'CT capacity tracker'!$A$97,'PV SUPPLY DATA'!$Y:$Y,V$1,'PV SUPPLY DATA'!$AQ:$AQ,"cosco")+SUMIFS('PV SUPPLY DATA'!$X:$X,'PV SUPPLY DATA'!$AH:$AH,'CT capacity tracker'!$B110,'PV SUPPLY DATA'!$AG:$AG,'CT capacity tracker'!$A$97,'PV SUPPLY DATA'!$Y:$Y,V$1,'PV SUPPLY DATA'!$AQ:$AQ,"other")+SUMIFS('ESS SUPPLY DATA'!$U:$U,'ESS SUPPLY DATA'!$AF:$AF,'CT capacity tracker'!$B110,'ESS SUPPLY DATA'!$AE:$AE,'CT capacity tracker'!$A$97,'ESS SUPPLY DATA'!$W:$W,'CT capacity tracker'!V$1,'ESS SUPPLY DATA'!$AO:$AO,"cosco")+SUMIFS('ESS SUPPLY DATA'!$U:$U,'ESS SUPPLY DATA'!$AF:$AF,'CT capacity tracker'!$B110,'ESS SUPPLY DATA'!$AE:$AE,'CT capacity tracker'!$A$97,'ESS SUPPLY DATA'!$W:$W,'CT capacity tracker'!V$1,'ESS SUPPLY DATA'!$AO:$AO,"other")</f>
        <v>0</v>
      </c>
      <c r="W113" s="504">
        <f>SUMIFS('PV SUPPLY DATA'!$X:$X,'PV SUPPLY DATA'!$AH:$AH,'CT capacity tracker'!$B110,'PV SUPPLY DATA'!$AG:$AG,'CT capacity tracker'!$A$97,'PV SUPPLY DATA'!$Y:$Y,W$1,'PV SUPPLY DATA'!$AQ:$AQ,"cosco")+SUMIFS('PV SUPPLY DATA'!$X:$X,'PV SUPPLY DATA'!$AH:$AH,'CT capacity tracker'!$B110,'PV SUPPLY DATA'!$AG:$AG,'CT capacity tracker'!$A$97,'PV SUPPLY DATA'!$Y:$Y,W$1,'PV SUPPLY DATA'!$AQ:$AQ,"other")+SUMIFS('ESS SUPPLY DATA'!$U:$U,'ESS SUPPLY DATA'!$AF:$AF,'CT capacity tracker'!$B110,'ESS SUPPLY DATA'!$AE:$AE,'CT capacity tracker'!$A$97,'ESS SUPPLY DATA'!$W:$W,'CT capacity tracker'!W$1,'ESS SUPPLY DATA'!$AO:$AO,"cosco")+SUMIFS('ESS SUPPLY DATA'!$U:$U,'ESS SUPPLY DATA'!$AF:$AF,'CT capacity tracker'!$B110,'ESS SUPPLY DATA'!$AE:$AE,'CT capacity tracker'!$A$97,'ESS SUPPLY DATA'!$W:$W,'CT capacity tracker'!W$1,'ESS SUPPLY DATA'!$AO:$AO,"other")</f>
        <v>0</v>
      </c>
      <c r="X113" s="504">
        <f>SUMIFS('PV SUPPLY DATA'!$X:$X,'PV SUPPLY DATA'!$AH:$AH,'CT capacity tracker'!$B110,'PV SUPPLY DATA'!$AG:$AG,'CT capacity tracker'!$A$97,'PV SUPPLY DATA'!$Y:$Y,X$1,'PV SUPPLY DATA'!$AQ:$AQ,"cosco")+SUMIFS('PV SUPPLY DATA'!$X:$X,'PV SUPPLY DATA'!$AH:$AH,'CT capacity tracker'!$B110,'PV SUPPLY DATA'!$AG:$AG,'CT capacity tracker'!$A$97,'PV SUPPLY DATA'!$Y:$Y,X$1,'PV SUPPLY DATA'!$AQ:$AQ,"other")+SUMIFS('ESS SUPPLY DATA'!$U:$U,'ESS SUPPLY DATA'!$AF:$AF,'CT capacity tracker'!$B110,'ESS SUPPLY DATA'!$AE:$AE,'CT capacity tracker'!$A$97,'ESS SUPPLY DATA'!$W:$W,'CT capacity tracker'!X$1,'ESS SUPPLY DATA'!$AO:$AO,"cosco")+SUMIFS('ESS SUPPLY DATA'!$U:$U,'ESS SUPPLY DATA'!$AF:$AF,'CT capacity tracker'!$B110,'ESS SUPPLY DATA'!$AE:$AE,'CT capacity tracker'!$A$97,'ESS SUPPLY DATA'!$W:$W,'CT capacity tracker'!X$1,'ESS SUPPLY DATA'!$AO:$AO,"other")</f>
        <v>0</v>
      </c>
      <c r="Y113" s="504">
        <f>SUMIFS('PV SUPPLY DATA'!$X:$X,'PV SUPPLY DATA'!$AH:$AH,'CT capacity tracker'!$B110,'PV SUPPLY DATA'!$AG:$AG,'CT capacity tracker'!$A$97,'PV SUPPLY DATA'!$Y:$Y,Y$1,'PV SUPPLY DATA'!$AQ:$AQ,"cosco")+SUMIFS('PV SUPPLY DATA'!$X:$X,'PV SUPPLY DATA'!$AH:$AH,'CT capacity tracker'!$B110,'PV SUPPLY DATA'!$AG:$AG,'CT capacity tracker'!$A$97,'PV SUPPLY DATA'!$Y:$Y,Y$1,'PV SUPPLY DATA'!$AQ:$AQ,"other")+SUMIFS('ESS SUPPLY DATA'!$U:$U,'ESS SUPPLY DATA'!$AF:$AF,'CT capacity tracker'!$B110,'ESS SUPPLY DATA'!$AE:$AE,'CT capacity tracker'!$A$97,'ESS SUPPLY DATA'!$W:$W,'CT capacity tracker'!Y$1,'ESS SUPPLY DATA'!$AO:$AO,"cosco")+SUMIFS('ESS SUPPLY DATA'!$U:$U,'ESS SUPPLY DATA'!$AF:$AF,'CT capacity tracker'!$B110,'ESS SUPPLY DATA'!$AE:$AE,'CT capacity tracker'!$A$97,'ESS SUPPLY DATA'!$W:$W,'CT capacity tracker'!Y$1,'ESS SUPPLY DATA'!$AO:$AO,"other")</f>
        <v>0</v>
      </c>
      <c r="Z113" s="504">
        <f>SUMIFS('PV SUPPLY DATA'!$X:$X,'PV SUPPLY DATA'!$AH:$AH,'CT capacity tracker'!$B110,'PV SUPPLY DATA'!$AG:$AG,'CT capacity tracker'!$A$97,'PV SUPPLY DATA'!$Y:$Y,Z$1,'PV SUPPLY DATA'!$AQ:$AQ,"cosco")+SUMIFS('PV SUPPLY DATA'!$X:$X,'PV SUPPLY DATA'!$AH:$AH,'CT capacity tracker'!$B110,'PV SUPPLY DATA'!$AG:$AG,'CT capacity tracker'!$A$97,'PV SUPPLY DATA'!$Y:$Y,Z$1,'PV SUPPLY DATA'!$AQ:$AQ,"other")+SUMIFS('ESS SUPPLY DATA'!$U:$U,'ESS SUPPLY DATA'!$AF:$AF,'CT capacity tracker'!$B110,'ESS SUPPLY DATA'!$AE:$AE,'CT capacity tracker'!$A$97,'ESS SUPPLY DATA'!$W:$W,'CT capacity tracker'!Z$1,'ESS SUPPLY DATA'!$AO:$AO,"cosco")+SUMIFS('ESS SUPPLY DATA'!$U:$U,'ESS SUPPLY DATA'!$AF:$AF,'CT capacity tracker'!$B110,'ESS SUPPLY DATA'!$AE:$AE,'CT capacity tracker'!$A$97,'ESS SUPPLY DATA'!$W:$W,'CT capacity tracker'!Z$1,'ESS SUPPLY DATA'!$AO:$AO,"other")</f>
        <v>0</v>
      </c>
      <c r="AA113" s="504">
        <f>SUMIFS('PV SUPPLY DATA'!$X:$X,'PV SUPPLY DATA'!$AH:$AH,'CT capacity tracker'!$B110,'PV SUPPLY DATA'!$AG:$AG,'CT capacity tracker'!$A$97,'PV SUPPLY DATA'!$Y:$Y,AA$1,'PV SUPPLY DATA'!$AQ:$AQ,"cosco")+SUMIFS('PV SUPPLY DATA'!$X:$X,'PV SUPPLY DATA'!$AH:$AH,'CT capacity tracker'!$B110,'PV SUPPLY DATA'!$AG:$AG,'CT capacity tracker'!$A$97,'PV SUPPLY DATA'!$Y:$Y,AA$1,'PV SUPPLY DATA'!$AQ:$AQ,"other")+SUMIFS('ESS SUPPLY DATA'!$U:$U,'ESS SUPPLY DATA'!$AF:$AF,'CT capacity tracker'!$B110,'ESS SUPPLY DATA'!$AE:$AE,'CT capacity tracker'!$A$97,'ESS SUPPLY DATA'!$W:$W,'CT capacity tracker'!AA$1,'ESS SUPPLY DATA'!$AO:$AO,"cosco")+SUMIFS('ESS SUPPLY DATA'!$U:$U,'ESS SUPPLY DATA'!$AF:$AF,'CT capacity tracker'!$B110,'ESS SUPPLY DATA'!$AE:$AE,'CT capacity tracker'!$A$97,'ESS SUPPLY DATA'!$W:$W,'CT capacity tracker'!AA$1,'ESS SUPPLY DATA'!$AO:$AO,"other")</f>
        <v>0</v>
      </c>
      <c r="AB113" s="504">
        <f>SUMIFS('PV SUPPLY DATA'!$X:$X,'PV SUPPLY DATA'!$AH:$AH,'CT capacity tracker'!$B110,'PV SUPPLY DATA'!$AG:$AG,'CT capacity tracker'!$A$97,'PV SUPPLY DATA'!$Y:$Y,AB$1,'PV SUPPLY DATA'!$AQ:$AQ,"cosco")+SUMIFS('PV SUPPLY DATA'!$X:$X,'PV SUPPLY DATA'!$AH:$AH,'CT capacity tracker'!$B110,'PV SUPPLY DATA'!$AG:$AG,'CT capacity tracker'!$A$97,'PV SUPPLY DATA'!$Y:$Y,AB$1,'PV SUPPLY DATA'!$AQ:$AQ,"other")+SUMIFS('ESS SUPPLY DATA'!$U:$U,'ESS SUPPLY DATA'!$AF:$AF,'CT capacity tracker'!$B110,'ESS SUPPLY DATA'!$AE:$AE,'CT capacity tracker'!$A$97,'ESS SUPPLY DATA'!$W:$W,'CT capacity tracker'!AB$1,'ESS SUPPLY DATA'!$AO:$AO,"cosco")+SUMIFS('ESS SUPPLY DATA'!$U:$U,'ESS SUPPLY DATA'!$AF:$AF,'CT capacity tracker'!$B110,'ESS SUPPLY DATA'!$AE:$AE,'CT capacity tracker'!$A$97,'ESS SUPPLY DATA'!$W:$W,'CT capacity tracker'!AB$1,'ESS SUPPLY DATA'!$AO:$AO,"other")</f>
        <v>0</v>
      </c>
      <c r="AC113" s="504">
        <f>SUMIFS('PV SUPPLY DATA'!$X:$X,'PV SUPPLY DATA'!$AH:$AH,'CT capacity tracker'!$B110,'PV SUPPLY DATA'!$AG:$AG,'CT capacity tracker'!$A$97,'PV SUPPLY DATA'!$Y:$Y,AC$1,'PV SUPPLY DATA'!$AQ:$AQ,"cosco")+SUMIFS('PV SUPPLY DATA'!$X:$X,'PV SUPPLY DATA'!$AH:$AH,'CT capacity tracker'!$B110,'PV SUPPLY DATA'!$AG:$AG,'CT capacity tracker'!$A$97,'PV SUPPLY DATA'!$Y:$Y,AC$1,'PV SUPPLY DATA'!$AQ:$AQ,"other")+SUMIFS('ESS SUPPLY DATA'!$U:$U,'ESS SUPPLY DATA'!$AF:$AF,'CT capacity tracker'!$B110,'ESS SUPPLY DATA'!$AE:$AE,'CT capacity tracker'!$A$97,'ESS SUPPLY DATA'!$W:$W,'CT capacity tracker'!AC$1,'ESS SUPPLY DATA'!$AO:$AO,"cosco")+SUMIFS('ESS SUPPLY DATA'!$U:$U,'ESS SUPPLY DATA'!$AF:$AF,'CT capacity tracker'!$B110,'ESS SUPPLY DATA'!$AE:$AE,'CT capacity tracker'!$A$97,'ESS SUPPLY DATA'!$W:$W,'CT capacity tracker'!AC$1,'ESS SUPPLY DATA'!$AO:$AO,"other")</f>
        <v>0</v>
      </c>
      <c r="AD113" s="504">
        <f>SUMIFS('PV SUPPLY DATA'!$X:$X,'PV SUPPLY DATA'!$AH:$AH,'CT capacity tracker'!$B110,'PV SUPPLY DATA'!$AG:$AG,'CT capacity tracker'!$A$97,'PV SUPPLY DATA'!$Y:$Y,AD$1,'PV SUPPLY DATA'!$AQ:$AQ,"cosco")+SUMIFS('PV SUPPLY DATA'!$X:$X,'PV SUPPLY DATA'!$AH:$AH,'CT capacity tracker'!$B110,'PV SUPPLY DATA'!$AG:$AG,'CT capacity tracker'!$A$97,'PV SUPPLY DATA'!$Y:$Y,AD$1,'PV SUPPLY DATA'!$AQ:$AQ,"other")+SUMIFS('ESS SUPPLY DATA'!$U:$U,'ESS SUPPLY DATA'!$AF:$AF,'CT capacity tracker'!$B110,'ESS SUPPLY DATA'!$AE:$AE,'CT capacity tracker'!$A$97,'ESS SUPPLY DATA'!$W:$W,'CT capacity tracker'!AD$1,'ESS SUPPLY DATA'!$AO:$AO,"cosco")+SUMIFS('ESS SUPPLY DATA'!$U:$U,'ESS SUPPLY DATA'!$AF:$AF,'CT capacity tracker'!$B110,'ESS SUPPLY DATA'!$AE:$AE,'CT capacity tracker'!$A$97,'ESS SUPPLY DATA'!$W:$W,'CT capacity tracker'!AD$1,'ESS SUPPLY DATA'!$AO:$AO,"other")</f>
        <v>0</v>
      </c>
      <c r="AE113" s="504">
        <f>SUMIFS('PV SUPPLY DATA'!$X:$X,'PV SUPPLY DATA'!$AH:$AH,'CT capacity tracker'!$B110,'PV SUPPLY DATA'!$AG:$AG,'CT capacity tracker'!$A$97,'PV SUPPLY DATA'!$Y:$Y,AE$1,'PV SUPPLY DATA'!$AQ:$AQ,"cosco")+SUMIFS('PV SUPPLY DATA'!$X:$X,'PV SUPPLY DATA'!$AH:$AH,'CT capacity tracker'!$B110,'PV SUPPLY DATA'!$AG:$AG,'CT capacity tracker'!$A$97,'PV SUPPLY DATA'!$Y:$Y,AE$1,'PV SUPPLY DATA'!$AQ:$AQ,"other")+SUMIFS('ESS SUPPLY DATA'!$U:$U,'ESS SUPPLY DATA'!$AF:$AF,'CT capacity tracker'!$B110,'ESS SUPPLY DATA'!$AE:$AE,'CT capacity tracker'!$A$97,'ESS SUPPLY DATA'!$W:$W,'CT capacity tracker'!AE$1,'ESS SUPPLY DATA'!$AO:$AO,"cosco")+SUMIFS('ESS SUPPLY DATA'!$U:$U,'ESS SUPPLY DATA'!$AF:$AF,'CT capacity tracker'!$B110,'ESS SUPPLY DATA'!$AE:$AE,'CT capacity tracker'!$A$97,'ESS SUPPLY DATA'!$W:$W,'CT capacity tracker'!AE$1,'ESS SUPPLY DATA'!$AO:$AO,"other")</f>
        <v>0</v>
      </c>
      <c r="AF113" s="504">
        <f>SUMIFS('PV SUPPLY DATA'!$X:$X,'PV SUPPLY DATA'!$AH:$AH,'CT capacity tracker'!$B110,'PV SUPPLY DATA'!$AG:$AG,'CT capacity tracker'!$A$97,'PV SUPPLY DATA'!$Y:$Y,AF$1,'PV SUPPLY DATA'!$AQ:$AQ,"cosco")+SUMIFS('PV SUPPLY DATA'!$X:$X,'PV SUPPLY DATA'!$AH:$AH,'CT capacity tracker'!$B110,'PV SUPPLY DATA'!$AG:$AG,'CT capacity tracker'!$A$97,'PV SUPPLY DATA'!$Y:$Y,AF$1,'PV SUPPLY DATA'!$AQ:$AQ,"other")+SUMIFS('ESS SUPPLY DATA'!$U:$U,'ESS SUPPLY DATA'!$AF:$AF,'CT capacity tracker'!$B110,'ESS SUPPLY DATA'!$AE:$AE,'CT capacity tracker'!$A$97,'ESS SUPPLY DATA'!$W:$W,'CT capacity tracker'!AF$1,'ESS SUPPLY DATA'!$AO:$AO,"cosco")+SUMIFS('ESS SUPPLY DATA'!$U:$U,'ESS SUPPLY DATA'!$AF:$AF,'CT capacity tracker'!$B110,'ESS SUPPLY DATA'!$AE:$AE,'CT capacity tracker'!$A$97,'ESS SUPPLY DATA'!$W:$W,'CT capacity tracker'!AF$1,'ESS SUPPLY DATA'!$AO:$AO,"other")</f>
        <v>0</v>
      </c>
      <c r="AG113" s="504">
        <f>SUMIFS('PV SUPPLY DATA'!$X:$X,'PV SUPPLY DATA'!$AH:$AH,'CT capacity tracker'!$B110,'PV SUPPLY DATA'!$AG:$AG,'CT capacity tracker'!$A$97,'PV SUPPLY DATA'!$Y:$Y,AG$1,'PV SUPPLY DATA'!$AQ:$AQ,"cosco")+SUMIFS('PV SUPPLY DATA'!$X:$X,'PV SUPPLY DATA'!$AH:$AH,'CT capacity tracker'!$B110,'PV SUPPLY DATA'!$AG:$AG,'CT capacity tracker'!$A$97,'PV SUPPLY DATA'!$Y:$Y,AG$1,'PV SUPPLY DATA'!$AQ:$AQ,"other")+SUMIFS('ESS SUPPLY DATA'!$U:$U,'ESS SUPPLY DATA'!$AF:$AF,'CT capacity tracker'!$B110,'ESS SUPPLY DATA'!$AE:$AE,'CT capacity tracker'!$A$97,'ESS SUPPLY DATA'!$W:$W,'CT capacity tracker'!AG$1,'ESS SUPPLY DATA'!$AO:$AO,"cosco")+SUMIFS('ESS SUPPLY DATA'!$U:$U,'ESS SUPPLY DATA'!$AF:$AF,'CT capacity tracker'!$B110,'ESS SUPPLY DATA'!$AE:$AE,'CT capacity tracker'!$A$97,'ESS SUPPLY DATA'!$W:$W,'CT capacity tracker'!AG$1,'ESS SUPPLY DATA'!$AO:$AO,"other")</f>
        <v>0</v>
      </c>
      <c r="AH113" s="504">
        <f>SUMIFS('PV SUPPLY DATA'!$X:$X,'PV SUPPLY DATA'!$AH:$AH,'CT capacity tracker'!$B110,'PV SUPPLY DATA'!$AG:$AG,'CT capacity tracker'!$A$97,'PV SUPPLY DATA'!$Y:$Y,AH$1,'PV SUPPLY DATA'!$AQ:$AQ,"cosco")+SUMIFS('PV SUPPLY DATA'!$X:$X,'PV SUPPLY DATA'!$AH:$AH,'CT capacity tracker'!$B110,'PV SUPPLY DATA'!$AG:$AG,'CT capacity tracker'!$A$97,'PV SUPPLY DATA'!$Y:$Y,AH$1,'PV SUPPLY DATA'!$AQ:$AQ,"other")+SUMIFS('ESS SUPPLY DATA'!$U:$U,'ESS SUPPLY DATA'!$AF:$AF,'CT capacity tracker'!$B110,'ESS SUPPLY DATA'!$AE:$AE,'CT capacity tracker'!$A$97,'ESS SUPPLY DATA'!$W:$W,'CT capacity tracker'!AH$1,'ESS SUPPLY DATA'!$AO:$AO,"cosco")+SUMIFS('ESS SUPPLY DATA'!$U:$U,'ESS SUPPLY DATA'!$AF:$AF,'CT capacity tracker'!$B110,'ESS SUPPLY DATA'!$AE:$AE,'CT capacity tracker'!$A$97,'ESS SUPPLY DATA'!$W:$W,'CT capacity tracker'!AH$1,'ESS SUPPLY DATA'!$AO:$AO,"other")</f>
        <v>0</v>
      </c>
      <c r="AI113" s="504">
        <f>SUMIFS('PV SUPPLY DATA'!$X:$X,'PV SUPPLY DATA'!$AH:$AH,'CT capacity tracker'!$B110,'PV SUPPLY DATA'!$AG:$AG,'CT capacity tracker'!$A$97,'PV SUPPLY DATA'!$Y:$Y,AI$1,'PV SUPPLY DATA'!$AQ:$AQ,"cosco")+SUMIFS('PV SUPPLY DATA'!$X:$X,'PV SUPPLY DATA'!$AH:$AH,'CT capacity tracker'!$B110,'PV SUPPLY DATA'!$AG:$AG,'CT capacity tracker'!$A$97,'PV SUPPLY DATA'!$Y:$Y,AI$1,'PV SUPPLY DATA'!$AQ:$AQ,"other")+SUMIFS('ESS SUPPLY DATA'!$U:$U,'ESS SUPPLY DATA'!$AF:$AF,'CT capacity tracker'!$B110,'ESS SUPPLY DATA'!$AE:$AE,'CT capacity tracker'!$A$97,'ESS SUPPLY DATA'!$W:$W,'CT capacity tracker'!AI$1,'ESS SUPPLY DATA'!$AO:$AO,"cosco")+SUMIFS('ESS SUPPLY DATA'!$U:$U,'ESS SUPPLY DATA'!$AF:$AF,'CT capacity tracker'!$B110,'ESS SUPPLY DATA'!$AE:$AE,'CT capacity tracker'!$A$97,'ESS SUPPLY DATA'!$W:$W,'CT capacity tracker'!AI$1,'ESS SUPPLY DATA'!$AO:$AO,"other")</f>
        <v>0</v>
      </c>
      <c r="AJ113" s="504">
        <f>SUMIFS('PV SUPPLY DATA'!$X:$X,'PV SUPPLY DATA'!$AH:$AH,'CT capacity tracker'!$B110,'PV SUPPLY DATA'!$AG:$AG,'CT capacity tracker'!$A$97,'PV SUPPLY DATA'!$Y:$Y,AJ$1,'PV SUPPLY DATA'!$AQ:$AQ,"cosco")+SUMIFS('PV SUPPLY DATA'!$X:$X,'PV SUPPLY DATA'!$AH:$AH,'CT capacity tracker'!$B110,'PV SUPPLY DATA'!$AG:$AG,'CT capacity tracker'!$A$97,'PV SUPPLY DATA'!$Y:$Y,AJ$1,'PV SUPPLY DATA'!$AQ:$AQ,"other")+SUMIFS('ESS SUPPLY DATA'!$U:$U,'ESS SUPPLY DATA'!$AF:$AF,'CT capacity tracker'!$B110,'ESS SUPPLY DATA'!$AE:$AE,'CT capacity tracker'!$A$97,'ESS SUPPLY DATA'!$W:$W,'CT capacity tracker'!AJ$1,'ESS SUPPLY DATA'!$AO:$AO,"cosco")+SUMIFS('ESS SUPPLY DATA'!$U:$U,'ESS SUPPLY DATA'!$AF:$AF,'CT capacity tracker'!$B110,'ESS SUPPLY DATA'!$AE:$AE,'CT capacity tracker'!$A$97,'ESS SUPPLY DATA'!$W:$W,'CT capacity tracker'!AJ$1,'ESS SUPPLY DATA'!$AO:$AO,"other")</f>
        <v>0</v>
      </c>
      <c r="AK113" s="511"/>
      <c r="AL113" s="511"/>
      <c r="AM113" s="696">
        <f>SUM(E113:X113)</f>
        <v>11</v>
      </c>
      <c r="AN113" s="503"/>
      <c r="AO113" s="506"/>
      <c r="AP113" s="506"/>
      <c r="AQ113" s="506"/>
      <c r="AR113" s="506"/>
      <c r="AS113" s="506"/>
      <c r="AT113" s="506"/>
    </row>
    <row r="114" spans="1:46" ht="13">
      <c r="A114" s="1517"/>
      <c r="B114" s="1516" t="s">
        <v>888</v>
      </c>
      <c r="C114" s="503" t="s">
        <v>4400</v>
      </c>
      <c r="D114" s="504">
        <f>SUMIFS('PV SUPPLY DATA'!$X:$X,'PV SUPPLY DATA'!$AH:$AH,'CT capacity tracker'!$B114,'PV SUPPLY DATA'!$AG:$AG,'CT capacity tracker'!$A$97,'PV SUPPLY DATA'!$Y:$Y,'CT capacity tracker'!D$1)</f>
        <v>0</v>
      </c>
      <c r="E114" s="504">
        <f>SUMIFS('PV SUPPLY DATA'!$X:$X,'PV SUPPLY DATA'!$Y:$Y,'CT capacity tracker'!E$1,'PV SUPPLY DATA'!$AG:$AG,'CT capacity tracker'!$A$97,'PV SUPPLY DATA'!$AH:$AH,'CT capacity tracker'!$B$114)</f>
        <v>0</v>
      </c>
      <c r="F114" s="504">
        <f>SUMIFS('PV SUPPLY DATA'!$X:$X,'PV SUPPLY DATA'!$Y:$Y,'CT capacity tracker'!F$1,'PV SUPPLY DATA'!$AG:$AG,'CT capacity tracker'!$A$97,'PV SUPPLY DATA'!$AH:$AH,'CT capacity tracker'!$B$114)</f>
        <v>0</v>
      </c>
      <c r="G114" s="504">
        <f>SUMIFS('PV SUPPLY DATA'!$X:$X,'PV SUPPLY DATA'!$Y:$Y,'CT capacity tracker'!G$1,'PV SUPPLY DATA'!$AG:$AG,'CT capacity tracker'!$A$97,'PV SUPPLY DATA'!$AH:$AH,'CT capacity tracker'!$B$114)</f>
        <v>0</v>
      </c>
      <c r="H114" s="504">
        <f>SUMIFS('PV SUPPLY DATA'!$X:$X,'PV SUPPLY DATA'!$Y:$Y,'CT capacity tracker'!H$1,'PV SUPPLY DATA'!$AG:$AG,'CT capacity tracker'!$A$97,'PV SUPPLY DATA'!$AH:$AH,'CT capacity tracker'!$B$114)</f>
        <v>0</v>
      </c>
      <c r="I114" s="504">
        <f>SUMIFS('PV SUPPLY DATA'!$X:$X,'PV SUPPLY DATA'!$Y:$Y,'CT capacity tracker'!I$1,'PV SUPPLY DATA'!$AG:$AG,'CT capacity tracker'!$A$97,'PV SUPPLY DATA'!$AH:$AH,'CT capacity tracker'!$B$114)</f>
        <v>0</v>
      </c>
      <c r="J114" s="504">
        <f>SUMIFS('PV SUPPLY DATA'!$X:$X,'PV SUPPLY DATA'!$Y:$Y,'CT capacity tracker'!J$1,'PV SUPPLY DATA'!$AG:$AG,'CT capacity tracker'!$A$97,'PV SUPPLY DATA'!$AH:$AH,'CT capacity tracker'!$B$114)</f>
        <v>9</v>
      </c>
      <c r="K114" s="504">
        <f>SUMIFS('PV SUPPLY DATA'!$X:$X,'PV SUPPLY DATA'!$Y:$Y,'CT capacity tracker'!K$1,'PV SUPPLY DATA'!$AG:$AG,'CT capacity tracker'!$A$97,'PV SUPPLY DATA'!$AH:$AH,'CT capacity tracker'!$B$114)</f>
        <v>0</v>
      </c>
      <c r="L114" s="504">
        <f>SUMIFS('PV SUPPLY DATA'!$X:$X,'PV SUPPLY DATA'!$Y:$Y,'CT capacity tracker'!L$1,'PV SUPPLY DATA'!$AG:$AG,'CT capacity tracker'!$A$97,'PV SUPPLY DATA'!$AH:$AH,'CT capacity tracker'!$B$114)</f>
        <v>0</v>
      </c>
      <c r="M114" s="504">
        <f>SUMIFS('PV SUPPLY DATA'!$X:$X,'PV SUPPLY DATA'!$Y:$Y,'CT capacity tracker'!M$1,'PV SUPPLY DATA'!$AG:$AG,'CT capacity tracker'!$A$97,'PV SUPPLY DATA'!$AH:$AH,'CT capacity tracker'!$B$114)</f>
        <v>0</v>
      </c>
      <c r="N114" s="504">
        <f>SUMIFS('PV SUPPLY DATA'!$X:$X,'PV SUPPLY DATA'!$Y:$Y,'CT capacity tracker'!N$1,'PV SUPPLY DATA'!$AG:$AG,'CT capacity tracker'!$A$97,'PV SUPPLY DATA'!$AH:$AH,'CT capacity tracker'!$B$114)</f>
        <v>0</v>
      </c>
      <c r="O114" s="504">
        <f>SUMIFS('PV SUPPLY DATA'!$X:$X,'PV SUPPLY DATA'!$Y:$Y,'CT capacity tracker'!O$1,'PV SUPPLY DATA'!$AG:$AG,'CT capacity tracker'!$A$97,'PV SUPPLY DATA'!$AH:$AH,'CT capacity tracker'!$B$114)</f>
        <v>0</v>
      </c>
      <c r="P114" s="504">
        <f>SUMIFS('PV SUPPLY DATA'!$X:$X,'PV SUPPLY DATA'!$Y:$Y,'CT capacity tracker'!P$1,'PV SUPPLY DATA'!$AG:$AG,'CT capacity tracker'!$A$97,'PV SUPPLY DATA'!$AH:$AH,'CT capacity tracker'!$B$114)</f>
        <v>0</v>
      </c>
      <c r="Q114" s="504">
        <f>SUMIFS('PV SUPPLY DATA'!$X:$X,'PV SUPPLY DATA'!$Y:$Y,'CT capacity tracker'!Q$1,'PV SUPPLY DATA'!$AG:$AG,'CT capacity tracker'!$A$97,'PV SUPPLY DATA'!$AH:$AH,'CT capacity tracker'!$B$114)</f>
        <v>0</v>
      </c>
      <c r="R114" s="504">
        <f>SUMIFS('PV SUPPLY DATA'!$X:$X,'PV SUPPLY DATA'!$Y:$Y,'CT capacity tracker'!R$1,'PV SUPPLY DATA'!$AG:$AG,'CT capacity tracker'!$A$97,'PV SUPPLY DATA'!$AH:$AH,'CT capacity tracker'!$B$114)</f>
        <v>0</v>
      </c>
      <c r="S114" s="504">
        <f>SUMIFS('PV SUPPLY DATA'!$X:$X,'PV SUPPLY DATA'!$Y:$Y,'CT capacity tracker'!S$1,'PV SUPPLY DATA'!$AG:$AG,'CT capacity tracker'!$A$97,'PV SUPPLY DATA'!$AH:$AH,'CT capacity tracker'!$B$114)</f>
        <v>0</v>
      </c>
      <c r="T114" s="504">
        <f>SUMIFS('PV SUPPLY DATA'!$X:$X,'PV SUPPLY DATA'!$Y:$Y,'CT capacity tracker'!T$1,'PV SUPPLY DATA'!$AG:$AG,'CT capacity tracker'!$A$97,'PV SUPPLY DATA'!$AH:$AH,'CT capacity tracker'!$B$114)</f>
        <v>2</v>
      </c>
      <c r="U114" s="504">
        <f>SUMIFS('PV SUPPLY DATA'!$X:$X,'PV SUPPLY DATA'!$Y:$Y,'CT capacity tracker'!U$1,'PV SUPPLY DATA'!$AG:$AG,'CT capacity tracker'!$A$97,'PV SUPPLY DATA'!$AH:$AH,'CT capacity tracker'!$B$114)</f>
        <v>0</v>
      </c>
      <c r="V114" s="504">
        <f>SUMIFS('PV SUPPLY DATA'!$X:$X,'PV SUPPLY DATA'!$Y:$Y,'CT capacity tracker'!V$1,'PV SUPPLY DATA'!$AG:$AG,'CT capacity tracker'!$A$97,'PV SUPPLY DATA'!$AH:$AH,'CT capacity tracker'!$B$114)</f>
        <v>0</v>
      </c>
      <c r="W114" s="504">
        <f>SUMIFS('PV SUPPLY DATA'!$X:$X,'PV SUPPLY DATA'!$Y:$Y,'CT capacity tracker'!W$1,'PV SUPPLY DATA'!$AG:$AG,'CT capacity tracker'!$A$97,'PV SUPPLY DATA'!$AH:$AH,'CT capacity tracker'!$B$114)</f>
        <v>0</v>
      </c>
      <c r="X114" s="504">
        <f>SUMIFS('PV SUPPLY DATA'!$X:$X,'PV SUPPLY DATA'!$Y:$Y,'CT capacity tracker'!X$1,'PV SUPPLY DATA'!$AG:$AG,'CT capacity tracker'!$A$97,'PV SUPPLY DATA'!$AH:$AH,'CT capacity tracker'!$B$114)</f>
        <v>0</v>
      </c>
      <c r="Y114" s="504">
        <f>SUMIFS('PV SUPPLY DATA'!$X:$X,'PV SUPPLY DATA'!$Y:$Y,'CT capacity tracker'!Y$1,'PV SUPPLY DATA'!$AG:$AG,'CT capacity tracker'!$A$97,'PV SUPPLY DATA'!$AH:$AH,'CT capacity tracker'!$B$114)</f>
        <v>0</v>
      </c>
      <c r="Z114" s="504">
        <f>SUMIFS('PV SUPPLY DATA'!$X:$X,'PV SUPPLY DATA'!$Y:$Y,'CT capacity tracker'!Z$1,'PV SUPPLY DATA'!$AG:$AG,'CT capacity tracker'!$A$97,'PV SUPPLY DATA'!$AH:$AH,'CT capacity tracker'!$B$114)</f>
        <v>0</v>
      </c>
      <c r="AA114" s="504">
        <f>SUMIFS('PV SUPPLY DATA'!$X:$X,'PV SUPPLY DATA'!$Y:$Y,'CT capacity tracker'!AA$1,'PV SUPPLY DATA'!$AG:$AG,'CT capacity tracker'!$A$97,'PV SUPPLY DATA'!$AH:$AH,'CT capacity tracker'!$B$114)</f>
        <v>0</v>
      </c>
      <c r="AB114" s="504">
        <f>SUMIFS('PV SUPPLY DATA'!$X:$X,'PV SUPPLY DATA'!$Y:$Y,'CT capacity tracker'!AB$1,'PV SUPPLY DATA'!$AG:$AG,'CT capacity tracker'!$A$97,'PV SUPPLY DATA'!$AH:$AH,'CT capacity tracker'!$B$114)</f>
        <v>0</v>
      </c>
      <c r="AC114" s="504">
        <f>SUMIFS('PV SUPPLY DATA'!$X:$X,'PV SUPPLY DATA'!$Y:$Y,'CT capacity tracker'!AC$1,'PV SUPPLY DATA'!$AG:$AG,'CT capacity tracker'!$A$97,'PV SUPPLY DATA'!$AH:$AH,'CT capacity tracker'!$B$114)</f>
        <v>0</v>
      </c>
      <c r="AD114" s="504">
        <f>SUMIFS('PV SUPPLY DATA'!$X:$X,'PV SUPPLY DATA'!$Y:$Y,'CT capacity tracker'!AD$1,'PV SUPPLY DATA'!$AG:$AG,'CT capacity tracker'!$A$97,'PV SUPPLY DATA'!$AH:$AH,'CT capacity tracker'!$B$114)</f>
        <v>0</v>
      </c>
      <c r="AE114" s="504">
        <f>SUMIFS('PV SUPPLY DATA'!$X:$X,'PV SUPPLY DATA'!$Y:$Y,'CT capacity tracker'!AE$1,'PV SUPPLY DATA'!$AG:$AG,'CT capacity tracker'!$A$97,'PV SUPPLY DATA'!$AH:$AH,'CT capacity tracker'!$B$114)</f>
        <v>0</v>
      </c>
      <c r="AF114" s="504">
        <f>SUMIFS('PV SUPPLY DATA'!$X:$X,'PV SUPPLY DATA'!$Y:$Y,'CT capacity tracker'!AF$1,'PV SUPPLY DATA'!$AG:$AG,'CT capacity tracker'!$A$97,'PV SUPPLY DATA'!$AH:$AH,'CT capacity tracker'!$B$114)</f>
        <v>0</v>
      </c>
      <c r="AG114" s="504">
        <f>SUMIFS('PV SUPPLY DATA'!$X:$X,'PV SUPPLY DATA'!$Y:$Y,'CT capacity tracker'!AG$1,'PV SUPPLY DATA'!$AG:$AG,'CT capacity tracker'!$A$97,'PV SUPPLY DATA'!$AH:$AH,'CT capacity tracker'!$B$114)</f>
        <v>0</v>
      </c>
      <c r="AH114" s="504">
        <f>SUMIFS('PV SUPPLY DATA'!$X:$X,'PV SUPPLY DATA'!$Y:$Y,'CT capacity tracker'!AH$1,'PV SUPPLY DATA'!$AG:$AG,'CT capacity tracker'!$A$97,'PV SUPPLY DATA'!$AH:$AH,'CT capacity tracker'!$B$114)</f>
        <v>0</v>
      </c>
      <c r="AI114" s="504">
        <f>SUMIFS('PV SUPPLY DATA'!$X:$X,'PV SUPPLY DATA'!$Y:$Y,'CT capacity tracker'!AI$1,'PV SUPPLY DATA'!$AG:$AG,'CT capacity tracker'!$A$97,'PV SUPPLY DATA'!$AH:$AH,'CT capacity tracker'!$B$114)</f>
        <v>0</v>
      </c>
      <c r="AJ114" s="504">
        <f>SUMIFS('PV SUPPLY DATA'!$X:$X,'PV SUPPLY DATA'!$Y:$Y,'CT capacity tracker'!AJ$1,'PV SUPPLY DATA'!$AG:$AG,'CT capacity tracker'!$A$97,'PV SUPPLY DATA'!$AH:$AH,'CT capacity tracker'!$B$114)</f>
        <v>0</v>
      </c>
      <c r="AK114" s="505" t="s">
        <v>197</v>
      </c>
      <c r="AL114" s="505" t="s">
        <v>197</v>
      </c>
      <c r="AM114" s="696">
        <f>SUM(E114:X114)</f>
        <v>11</v>
      </c>
      <c r="AN114" s="503" t="s">
        <v>197</v>
      </c>
      <c r="AO114" s="506"/>
      <c r="AP114" s="506">
        <f t="shared" si="77"/>
        <v>9</v>
      </c>
      <c r="AQ114" s="506"/>
      <c r="AR114" s="506"/>
      <c r="AS114" s="506"/>
      <c r="AT114" s="506"/>
    </row>
    <row r="115" spans="1:46" ht="13">
      <c r="A115" s="1517"/>
      <c r="B115" s="1517"/>
      <c r="C115" s="509" t="s">
        <v>4401</v>
      </c>
      <c r="D115" s="509"/>
      <c r="E115" s="512"/>
      <c r="F115" s="512"/>
      <c r="G115" s="512"/>
      <c r="H115" s="512"/>
      <c r="I115" s="513"/>
      <c r="J115" s="512"/>
      <c r="K115" s="513"/>
      <c r="L115" s="513"/>
      <c r="M115" s="513"/>
      <c r="N115" s="513"/>
      <c r="O115" s="513"/>
      <c r="P115" s="513"/>
      <c r="Q115" s="513"/>
      <c r="R115" s="513"/>
      <c r="S115" s="513"/>
      <c r="T115" s="513">
        <v>2</v>
      </c>
      <c r="U115" s="513"/>
      <c r="V115" s="513"/>
      <c r="W115" s="513"/>
      <c r="X115" s="513"/>
      <c r="Y115" s="513"/>
      <c r="Z115" s="513"/>
      <c r="AA115" s="513"/>
      <c r="AB115" s="513"/>
      <c r="AC115" s="513"/>
      <c r="AD115" s="513"/>
      <c r="AE115" s="513"/>
      <c r="AF115" s="513"/>
      <c r="AG115" s="513"/>
      <c r="AH115" s="513"/>
      <c r="AI115" s="513"/>
      <c r="AJ115" s="513"/>
      <c r="AK115" s="505" t="s">
        <v>197</v>
      </c>
      <c r="AL115" s="505" t="s">
        <v>197</v>
      </c>
      <c r="AM115" s="696"/>
      <c r="AN115" s="503" t="s">
        <v>197</v>
      </c>
      <c r="AO115" s="506"/>
      <c r="AP115" s="506">
        <f t="shared" si="77"/>
        <v>0</v>
      </c>
      <c r="AQ115" s="506"/>
      <c r="AR115" s="506"/>
      <c r="AS115" s="506"/>
      <c r="AT115" s="506"/>
    </row>
    <row r="116" spans="1:46" ht="13">
      <c r="A116" s="1517"/>
      <c r="B116" s="1517"/>
      <c r="C116" s="520" t="s">
        <v>4402</v>
      </c>
      <c r="D116" s="522"/>
      <c r="E116" s="522">
        <f>E115-E114</f>
        <v>0</v>
      </c>
      <c r="F116" s="522">
        <f t="shared" ref="F116:X116" si="84">F115-F114</f>
        <v>0</v>
      </c>
      <c r="G116" s="522">
        <f t="shared" si="84"/>
        <v>0</v>
      </c>
      <c r="H116" s="522">
        <f t="shared" si="84"/>
        <v>0</v>
      </c>
      <c r="I116" s="522">
        <f t="shared" si="84"/>
        <v>0</v>
      </c>
      <c r="J116" s="522">
        <f t="shared" si="84"/>
        <v>-9</v>
      </c>
      <c r="K116" s="522">
        <f t="shared" si="84"/>
        <v>0</v>
      </c>
      <c r="L116" s="522">
        <f t="shared" si="84"/>
        <v>0</v>
      </c>
      <c r="M116" s="522">
        <f t="shared" si="84"/>
        <v>0</v>
      </c>
      <c r="N116" s="522">
        <f t="shared" si="84"/>
        <v>0</v>
      </c>
      <c r="O116" s="522">
        <f t="shared" si="84"/>
        <v>0</v>
      </c>
      <c r="P116" s="522">
        <f t="shared" si="84"/>
        <v>0</v>
      </c>
      <c r="Q116" s="522">
        <f t="shared" si="84"/>
        <v>0</v>
      </c>
      <c r="R116" s="522">
        <f t="shared" si="84"/>
        <v>0</v>
      </c>
      <c r="S116" s="522">
        <f t="shared" si="84"/>
        <v>0</v>
      </c>
      <c r="T116" s="522">
        <f t="shared" si="84"/>
        <v>0</v>
      </c>
      <c r="U116" s="522">
        <f t="shared" si="84"/>
        <v>0</v>
      </c>
      <c r="V116" s="522">
        <f t="shared" si="84"/>
        <v>0</v>
      </c>
      <c r="W116" s="522">
        <f t="shared" si="84"/>
        <v>0</v>
      </c>
      <c r="X116" s="522">
        <f t="shared" si="84"/>
        <v>0</v>
      </c>
      <c r="Y116" s="522">
        <f t="shared" ref="Y116:AJ116" si="85">Y115-Y114</f>
        <v>0</v>
      </c>
      <c r="Z116" s="522">
        <f t="shared" si="85"/>
        <v>0</v>
      </c>
      <c r="AA116" s="522">
        <f t="shared" si="85"/>
        <v>0</v>
      </c>
      <c r="AB116" s="522">
        <f t="shared" si="85"/>
        <v>0</v>
      </c>
      <c r="AC116" s="522">
        <f t="shared" si="85"/>
        <v>0</v>
      </c>
      <c r="AD116" s="522">
        <f t="shared" si="85"/>
        <v>0</v>
      </c>
      <c r="AE116" s="522">
        <f t="shared" si="85"/>
        <v>0</v>
      </c>
      <c r="AF116" s="522">
        <f t="shared" si="85"/>
        <v>0</v>
      </c>
      <c r="AG116" s="522">
        <f t="shared" si="85"/>
        <v>0</v>
      </c>
      <c r="AH116" s="522">
        <f t="shared" si="85"/>
        <v>0</v>
      </c>
      <c r="AI116" s="522">
        <f t="shared" si="85"/>
        <v>0</v>
      </c>
      <c r="AJ116" s="522">
        <f t="shared" si="85"/>
        <v>0</v>
      </c>
      <c r="AK116" s="511">
        <f>SUMIF($E116:$X116,"&gt;0")</f>
        <v>0</v>
      </c>
      <c r="AL116" s="511">
        <f>SUMIF($E116:$X116,"&lt;0")</f>
        <v>-9</v>
      </c>
      <c r="AM116" s="696"/>
      <c r="AN116" s="503" t="s">
        <v>197</v>
      </c>
      <c r="AO116" s="506"/>
      <c r="AP116" s="506">
        <f t="shared" si="77"/>
        <v>-9</v>
      </c>
      <c r="AQ116" s="506"/>
      <c r="AR116" s="506"/>
      <c r="AS116" s="506"/>
      <c r="AT116" s="506"/>
    </row>
    <row r="117" spans="1:46" ht="13">
      <c r="A117" s="1518"/>
      <c r="B117" s="1518"/>
      <c r="C117" s="503" t="s">
        <v>4403</v>
      </c>
      <c r="D117" s="522"/>
      <c r="E117" s="504">
        <f>SUMIFS('PV SUPPLY DATA'!$X:$X,'PV SUPPLY DATA'!$AH:$AH,'CT capacity tracker'!$B114,'PV SUPPLY DATA'!$AG:$AG,'CT capacity tracker'!$A$97,'PV SUPPLY DATA'!$Y:$Y,E$1,'PV SUPPLY DATA'!$AQ:$AQ,"cosco")+SUMIFS('PV SUPPLY DATA'!$X:$X,'PV SUPPLY DATA'!$AH:$AH,'CT capacity tracker'!$B114,'PV SUPPLY DATA'!$AG:$AG,'CT capacity tracker'!$A$97,'PV SUPPLY DATA'!$Y:$Y,E$1,'PV SUPPLY DATA'!$AQ:$AQ,"other")+SUMIFS('ESS SUPPLY DATA'!$U:$U,'ESS SUPPLY DATA'!$AF:$AF,'CT capacity tracker'!$B114,'ESS SUPPLY DATA'!$AE:$AE,'CT capacity tracker'!$A$97,'ESS SUPPLY DATA'!$W:$W,'CT capacity tracker'!E$1,'ESS SUPPLY DATA'!$AO:$AO,"cosco")+SUMIFS('ESS SUPPLY DATA'!$U:$U,'ESS SUPPLY DATA'!$AF:$AF,'CT capacity tracker'!$B114,'ESS SUPPLY DATA'!$AE:$AE,'CT capacity tracker'!$A$97,'ESS SUPPLY DATA'!$W:$W,'CT capacity tracker'!E$1,'ESS SUPPLY DATA'!$AO:$AO,"other")</f>
        <v>0</v>
      </c>
      <c r="F117" s="504">
        <f>SUMIFS('PV SUPPLY DATA'!$X:$X,'PV SUPPLY DATA'!$AH:$AH,'CT capacity tracker'!$B114,'PV SUPPLY DATA'!$AG:$AG,'CT capacity tracker'!$A$97,'PV SUPPLY DATA'!$Y:$Y,F$1,'PV SUPPLY DATA'!$AQ:$AQ,"cosco")+SUMIFS('PV SUPPLY DATA'!$X:$X,'PV SUPPLY DATA'!$AH:$AH,'CT capacity tracker'!$B114,'PV SUPPLY DATA'!$AG:$AG,'CT capacity tracker'!$A$97,'PV SUPPLY DATA'!$Y:$Y,F$1,'PV SUPPLY DATA'!$AQ:$AQ,"other")+SUMIFS('ESS SUPPLY DATA'!$U:$U,'ESS SUPPLY DATA'!$AF:$AF,'CT capacity tracker'!$B114,'ESS SUPPLY DATA'!$AE:$AE,'CT capacity tracker'!$A$97,'ESS SUPPLY DATA'!$W:$W,'CT capacity tracker'!F$1,'ESS SUPPLY DATA'!$AO:$AO,"cosco")+SUMIFS('ESS SUPPLY DATA'!$U:$U,'ESS SUPPLY DATA'!$AF:$AF,'CT capacity tracker'!$B114,'ESS SUPPLY DATA'!$AE:$AE,'CT capacity tracker'!$A$97,'ESS SUPPLY DATA'!$W:$W,'CT capacity tracker'!F$1,'ESS SUPPLY DATA'!$AO:$AO,"other")</f>
        <v>0</v>
      </c>
      <c r="G117" s="504">
        <f>SUMIFS('PV SUPPLY DATA'!$X:$X,'PV SUPPLY DATA'!$AH:$AH,'CT capacity tracker'!$B114,'PV SUPPLY DATA'!$AG:$AG,'CT capacity tracker'!$A$97,'PV SUPPLY DATA'!$Y:$Y,G$1,'PV SUPPLY DATA'!$AQ:$AQ,"cosco")+SUMIFS('PV SUPPLY DATA'!$X:$X,'PV SUPPLY DATA'!$AH:$AH,'CT capacity tracker'!$B114,'PV SUPPLY DATA'!$AG:$AG,'CT capacity tracker'!$A$97,'PV SUPPLY DATA'!$Y:$Y,G$1,'PV SUPPLY DATA'!$AQ:$AQ,"other")+SUMIFS('ESS SUPPLY DATA'!$U:$U,'ESS SUPPLY DATA'!$AF:$AF,'CT capacity tracker'!$B114,'ESS SUPPLY DATA'!$AE:$AE,'CT capacity tracker'!$A$97,'ESS SUPPLY DATA'!$W:$W,'CT capacity tracker'!G$1,'ESS SUPPLY DATA'!$AO:$AO,"cosco")+SUMIFS('ESS SUPPLY DATA'!$U:$U,'ESS SUPPLY DATA'!$AF:$AF,'CT capacity tracker'!$B114,'ESS SUPPLY DATA'!$AE:$AE,'CT capacity tracker'!$A$97,'ESS SUPPLY DATA'!$W:$W,'CT capacity tracker'!G$1,'ESS SUPPLY DATA'!$AO:$AO,"other")</f>
        <v>0</v>
      </c>
      <c r="H117" s="504">
        <f>SUMIFS('PV SUPPLY DATA'!$X:$X,'PV SUPPLY DATA'!$AH:$AH,'CT capacity tracker'!$B114,'PV SUPPLY DATA'!$AG:$AG,'CT capacity tracker'!$A$97,'PV SUPPLY DATA'!$Y:$Y,H$1,'PV SUPPLY DATA'!$AQ:$AQ,"cosco")+SUMIFS('PV SUPPLY DATA'!$X:$X,'PV SUPPLY DATA'!$AH:$AH,'CT capacity tracker'!$B114,'PV SUPPLY DATA'!$AG:$AG,'CT capacity tracker'!$A$97,'PV SUPPLY DATA'!$Y:$Y,H$1,'PV SUPPLY DATA'!$AQ:$AQ,"other")+SUMIFS('ESS SUPPLY DATA'!$U:$U,'ESS SUPPLY DATA'!$AF:$AF,'CT capacity tracker'!$B114,'ESS SUPPLY DATA'!$AE:$AE,'CT capacity tracker'!$A$97,'ESS SUPPLY DATA'!$W:$W,'CT capacity tracker'!H$1,'ESS SUPPLY DATA'!$AO:$AO,"cosco")+SUMIFS('ESS SUPPLY DATA'!$U:$U,'ESS SUPPLY DATA'!$AF:$AF,'CT capacity tracker'!$B114,'ESS SUPPLY DATA'!$AE:$AE,'CT capacity tracker'!$A$97,'ESS SUPPLY DATA'!$W:$W,'CT capacity tracker'!H$1,'ESS SUPPLY DATA'!$AO:$AO,"other")</f>
        <v>0</v>
      </c>
      <c r="I117" s="504">
        <f>SUMIFS('PV SUPPLY DATA'!$X:$X,'PV SUPPLY DATA'!$AH:$AH,'CT capacity tracker'!$B114,'PV SUPPLY DATA'!$AG:$AG,'CT capacity tracker'!$A$97,'PV SUPPLY DATA'!$Y:$Y,I$1,'PV SUPPLY DATA'!$AQ:$AQ,"cosco")+SUMIFS('PV SUPPLY DATA'!$X:$X,'PV SUPPLY DATA'!$AH:$AH,'CT capacity tracker'!$B114,'PV SUPPLY DATA'!$AG:$AG,'CT capacity tracker'!$A$97,'PV SUPPLY DATA'!$Y:$Y,I$1,'PV SUPPLY DATA'!$AQ:$AQ,"other")+SUMIFS('ESS SUPPLY DATA'!$U:$U,'ESS SUPPLY DATA'!$AF:$AF,'CT capacity tracker'!$B114,'ESS SUPPLY DATA'!$AE:$AE,'CT capacity tracker'!$A$97,'ESS SUPPLY DATA'!$W:$W,'CT capacity tracker'!I$1,'ESS SUPPLY DATA'!$AO:$AO,"cosco")+SUMIFS('ESS SUPPLY DATA'!$U:$U,'ESS SUPPLY DATA'!$AF:$AF,'CT capacity tracker'!$B114,'ESS SUPPLY DATA'!$AE:$AE,'CT capacity tracker'!$A$97,'ESS SUPPLY DATA'!$W:$W,'CT capacity tracker'!I$1,'ESS SUPPLY DATA'!$AO:$AO,"other")</f>
        <v>0</v>
      </c>
      <c r="J117" s="504">
        <f>SUMIFS('PV SUPPLY DATA'!$X:$X,'PV SUPPLY DATA'!$AH:$AH,'CT capacity tracker'!$B114,'PV SUPPLY DATA'!$AG:$AG,'CT capacity tracker'!$A$97,'PV SUPPLY DATA'!$Y:$Y,J$1,'PV SUPPLY DATA'!$AQ:$AQ,"cosco")+SUMIFS('PV SUPPLY DATA'!$X:$X,'PV SUPPLY DATA'!$AH:$AH,'CT capacity tracker'!$B114,'PV SUPPLY DATA'!$AG:$AG,'CT capacity tracker'!$A$97,'PV SUPPLY DATA'!$Y:$Y,J$1,'PV SUPPLY DATA'!$AQ:$AQ,"other")+SUMIFS('ESS SUPPLY DATA'!$U:$U,'ESS SUPPLY DATA'!$AF:$AF,'CT capacity tracker'!$B114,'ESS SUPPLY DATA'!$AE:$AE,'CT capacity tracker'!$A$97,'ESS SUPPLY DATA'!$W:$W,'CT capacity tracker'!J$1,'ESS SUPPLY DATA'!$AO:$AO,"cosco")+SUMIFS('ESS SUPPLY DATA'!$U:$U,'ESS SUPPLY DATA'!$AF:$AF,'CT capacity tracker'!$B114,'ESS SUPPLY DATA'!$AE:$AE,'CT capacity tracker'!$A$97,'ESS SUPPLY DATA'!$W:$W,'CT capacity tracker'!J$1,'ESS SUPPLY DATA'!$AO:$AO,"other")</f>
        <v>9</v>
      </c>
      <c r="K117" s="504">
        <f>SUMIFS('PV SUPPLY DATA'!$X:$X,'PV SUPPLY DATA'!$AH:$AH,'CT capacity tracker'!$B114,'PV SUPPLY DATA'!$AG:$AG,'CT capacity tracker'!$A$97,'PV SUPPLY DATA'!$Y:$Y,K$1,'PV SUPPLY DATA'!$AQ:$AQ,"cosco")+SUMIFS('PV SUPPLY DATA'!$X:$X,'PV SUPPLY DATA'!$AH:$AH,'CT capacity tracker'!$B114,'PV SUPPLY DATA'!$AG:$AG,'CT capacity tracker'!$A$97,'PV SUPPLY DATA'!$Y:$Y,K$1,'PV SUPPLY DATA'!$AQ:$AQ,"other")+SUMIFS('ESS SUPPLY DATA'!$U:$U,'ESS SUPPLY DATA'!$AF:$AF,'CT capacity tracker'!$B114,'ESS SUPPLY DATA'!$AE:$AE,'CT capacity tracker'!$A$97,'ESS SUPPLY DATA'!$W:$W,'CT capacity tracker'!K$1,'ESS SUPPLY DATA'!$AO:$AO,"cosco")+SUMIFS('ESS SUPPLY DATA'!$U:$U,'ESS SUPPLY DATA'!$AF:$AF,'CT capacity tracker'!$B114,'ESS SUPPLY DATA'!$AE:$AE,'CT capacity tracker'!$A$97,'ESS SUPPLY DATA'!$W:$W,'CT capacity tracker'!K$1,'ESS SUPPLY DATA'!$AO:$AO,"other")</f>
        <v>0</v>
      </c>
      <c r="L117" s="504">
        <f>SUMIFS('PV SUPPLY DATA'!$X:$X,'PV SUPPLY DATA'!$AH:$AH,'CT capacity tracker'!$B114,'PV SUPPLY DATA'!$AG:$AG,'CT capacity tracker'!$A$97,'PV SUPPLY DATA'!$Y:$Y,L$1,'PV SUPPLY DATA'!$AQ:$AQ,"cosco")+SUMIFS('PV SUPPLY DATA'!$X:$X,'PV SUPPLY DATA'!$AH:$AH,'CT capacity tracker'!$B114,'PV SUPPLY DATA'!$AG:$AG,'CT capacity tracker'!$A$97,'PV SUPPLY DATA'!$Y:$Y,L$1,'PV SUPPLY DATA'!$AQ:$AQ,"other")+SUMIFS('ESS SUPPLY DATA'!$U:$U,'ESS SUPPLY DATA'!$AF:$AF,'CT capacity tracker'!$B114,'ESS SUPPLY DATA'!$AE:$AE,'CT capacity tracker'!$A$97,'ESS SUPPLY DATA'!$W:$W,'CT capacity tracker'!L$1,'ESS SUPPLY DATA'!$AO:$AO,"cosco")+SUMIFS('ESS SUPPLY DATA'!$U:$U,'ESS SUPPLY DATA'!$AF:$AF,'CT capacity tracker'!$B114,'ESS SUPPLY DATA'!$AE:$AE,'CT capacity tracker'!$A$97,'ESS SUPPLY DATA'!$W:$W,'CT capacity tracker'!L$1,'ESS SUPPLY DATA'!$AO:$AO,"other")</f>
        <v>0</v>
      </c>
      <c r="M117" s="504">
        <f>SUMIFS('PV SUPPLY DATA'!$X:$X,'PV SUPPLY DATA'!$AH:$AH,'CT capacity tracker'!$B114,'PV SUPPLY DATA'!$AG:$AG,'CT capacity tracker'!$A$97,'PV SUPPLY DATA'!$Y:$Y,M$1,'PV SUPPLY DATA'!$AQ:$AQ,"cosco")+SUMIFS('PV SUPPLY DATA'!$X:$X,'PV SUPPLY DATA'!$AH:$AH,'CT capacity tracker'!$B114,'PV SUPPLY DATA'!$AG:$AG,'CT capacity tracker'!$A$97,'PV SUPPLY DATA'!$Y:$Y,M$1,'PV SUPPLY DATA'!$AQ:$AQ,"other")+SUMIFS('ESS SUPPLY DATA'!$U:$U,'ESS SUPPLY DATA'!$AF:$AF,'CT capacity tracker'!$B114,'ESS SUPPLY DATA'!$AE:$AE,'CT capacity tracker'!$A$97,'ESS SUPPLY DATA'!$W:$W,'CT capacity tracker'!M$1,'ESS SUPPLY DATA'!$AO:$AO,"cosco")+SUMIFS('ESS SUPPLY DATA'!$U:$U,'ESS SUPPLY DATA'!$AF:$AF,'CT capacity tracker'!$B114,'ESS SUPPLY DATA'!$AE:$AE,'CT capacity tracker'!$A$97,'ESS SUPPLY DATA'!$W:$W,'CT capacity tracker'!M$1,'ESS SUPPLY DATA'!$AO:$AO,"other")</f>
        <v>0</v>
      </c>
      <c r="N117" s="504">
        <f>SUMIFS('PV SUPPLY DATA'!$X:$X,'PV SUPPLY DATA'!$AH:$AH,'CT capacity tracker'!$B114,'PV SUPPLY DATA'!$AG:$AG,'CT capacity tracker'!$A$97,'PV SUPPLY DATA'!$Y:$Y,N$1,'PV SUPPLY DATA'!$AQ:$AQ,"cosco")+SUMIFS('PV SUPPLY DATA'!$X:$X,'PV SUPPLY DATA'!$AH:$AH,'CT capacity tracker'!$B114,'PV SUPPLY DATA'!$AG:$AG,'CT capacity tracker'!$A$97,'PV SUPPLY DATA'!$Y:$Y,N$1,'PV SUPPLY DATA'!$AQ:$AQ,"other")+SUMIFS('ESS SUPPLY DATA'!$U:$U,'ESS SUPPLY DATA'!$AF:$AF,'CT capacity tracker'!$B114,'ESS SUPPLY DATA'!$AE:$AE,'CT capacity tracker'!$A$97,'ESS SUPPLY DATA'!$W:$W,'CT capacity tracker'!N$1,'ESS SUPPLY DATA'!$AO:$AO,"cosco")+SUMIFS('ESS SUPPLY DATA'!$U:$U,'ESS SUPPLY DATA'!$AF:$AF,'CT capacity tracker'!$B114,'ESS SUPPLY DATA'!$AE:$AE,'CT capacity tracker'!$A$97,'ESS SUPPLY DATA'!$W:$W,'CT capacity tracker'!N$1,'ESS SUPPLY DATA'!$AO:$AO,"other")</f>
        <v>0</v>
      </c>
      <c r="O117" s="504">
        <f>SUMIFS('PV SUPPLY DATA'!$X:$X,'PV SUPPLY DATA'!$AH:$AH,'CT capacity tracker'!$B114,'PV SUPPLY DATA'!$AG:$AG,'CT capacity tracker'!$A$97,'PV SUPPLY DATA'!$Y:$Y,O$1,'PV SUPPLY DATA'!$AQ:$AQ,"cosco")+SUMIFS('PV SUPPLY DATA'!$X:$X,'PV SUPPLY DATA'!$AH:$AH,'CT capacity tracker'!$B114,'PV SUPPLY DATA'!$AG:$AG,'CT capacity tracker'!$A$97,'PV SUPPLY DATA'!$Y:$Y,O$1,'PV SUPPLY DATA'!$AQ:$AQ,"other")+SUMIFS('ESS SUPPLY DATA'!$U:$U,'ESS SUPPLY DATA'!$AF:$AF,'CT capacity tracker'!$B114,'ESS SUPPLY DATA'!$AE:$AE,'CT capacity tracker'!$A$97,'ESS SUPPLY DATA'!$W:$W,'CT capacity tracker'!O$1,'ESS SUPPLY DATA'!$AO:$AO,"cosco")+SUMIFS('ESS SUPPLY DATA'!$U:$U,'ESS SUPPLY DATA'!$AF:$AF,'CT capacity tracker'!$B114,'ESS SUPPLY DATA'!$AE:$AE,'CT capacity tracker'!$A$97,'ESS SUPPLY DATA'!$W:$W,'CT capacity tracker'!O$1,'ESS SUPPLY DATA'!$AO:$AO,"other")</f>
        <v>0</v>
      </c>
      <c r="P117" s="504">
        <f>SUMIFS('PV SUPPLY DATA'!$X:$X,'PV SUPPLY DATA'!$AH:$AH,'CT capacity tracker'!$B114,'PV SUPPLY DATA'!$AG:$AG,'CT capacity tracker'!$A$97,'PV SUPPLY DATA'!$Y:$Y,P$1,'PV SUPPLY DATA'!$AQ:$AQ,"cosco")+SUMIFS('PV SUPPLY DATA'!$X:$X,'PV SUPPLY DATA'!$AH:$AH,'CT capacity tracker'!$B114,'PV SUPPLY DATA'!$AG:$AG,'CT capacity tracker'!$A$97,'PV SUPPLY DATA'!$Y:$Y,P$1,'PV SUPPLY DATA'!$AQ:$AQ,"other")+SUMIFS('ESS SUPPLY DATA'!$U:$U,'ESS SUPPLY DATA'!$AF:$AF,'CT capacity tracker'!$B114,'ESS SUPPLY DATA'!$AE:$AE,'CT capacity tracker'!$A$97,'ESS SUPPLY DATA'!$W:$W,'CT capacity tracker'!P$1,'ESS SUPPLY DATA'!$AO:$AO,"cosco")+SUMIFS('ESS SUPPLY DATA'!$U:$U,'ESS SUPPLY DATA'!$AF:$AF,'CT capacity tracker'!$B114,'ESS SUPPLY DATA'!$AE:$AE,'CT capacity tracker'!$A$97,'ESS SUPPLY DATA'!$W:$W,'CT capacity tracker'!P$1,'ESS SUPPLY DATA'!$AO:$AO,"other")</f>
        <v>0</v>
      </c>
      <c r="Q117" s="504">
        <f>SUMIFS('PV SUPPLY DATA'!$X:$X,'PV SUPPLY DATA'!$AH:$AH,'CT capacity tracker'!$B114,'PV SUPPLY DATA'!$AG:$AG,'CT capacity tracker'!$A$97,'PV SUPPLY DATA'!$Y:$Y,Q$1,'PV SUPPLY DATA'!$AQ:$AQ,"cosco")+SUMIFS('PV SUPPLY DATA'!$X:$X,'PV SUPPLY DATA'!$AH:$AH,'CT capacity tracker'!$B114,'PV SUPPLY DATA'!$AG:$AG,'CT capacity tracker'!$A$97,'PV SUPPLY DATA'!$Y:$Y,Q$1,'PV SUPPLY DATA'!$AQ:$AQ,"other")+SUMIFS('ESS SUPPLY DATA'!$U:$U,'ESS SUPPLY DATA'!$AF:$AF,'CT capacity tracker'!$B114,'ESS SUPPLY DATA'!$AE:$AE,'CT capacity tracker'!$A$97,'ESS SUPPLY DATA'!$W:$W,'CT capacity tracker'!Q$1,'ESS SUPPLY DATA'!$AO:$AO,"cosco")+SUMIFS('ESS SUPPLY DATA'!$U:$U,'ESS SUPPLY DATA'!$AF:$AF,'CT capacity tracker'!$B114,'ESS SUPPLY DATA'!$AE:$AE,'CT capacity tracker'!$A$97,'ESS SUPPLY DATA'!$W:$W,'CT capacity tracker'!Q$1,'ESS SUPPLY DATA'!$AO:$AO,"other")</f>
        <v>0</v>
      </c>
      <c r="R117" s="504">
        <f>SUMIFS('PV SUPPLY DATA'!$X:$X,'PV SUPPLY DATA'!$AH:$AH,'CT capacity tracker'!$B114,'PV SUPPLY DATA'!$AG:$AG,'CT capacity tracker'!$A$97,'PV SUPPLY DATA'!$Y:$Y,R$1,'PV SUPPLY DATA'!$AQ:$AQ,"cosco")+SUMIFS('PV SUPPLY DATA'!$X:$X,'PV SUPPLY DATA'!$AH:$AH,'CT capacity tracker'!$B114,'PV SUPPLY DATA'!$AG:$AG,'CT capacity tracker'!$A$97,'PV SUPPLY DATA'!$Y:$Y,R$1,'PV SUPPLY DATA'!$AQ:$AQ,"other")+SUMIFS('ESS SUPPLY DATA'!$U:$U,'ESS SUPPLY DATA'!$AF:$AF,'CT capacity tracker'!$B114,'ESS SUPPLY DATA'!$AE:$AE,'CT capacity tracker'!$A$97,'ESS SUPPLY DATA'!$W:$W,'CT capacity tracker'!R$1,'ESS SUPPLY DATA'!$AO:$AO,"cosco")+SUMIFS('ESS SUPPLY DATA'!$U:$U,'ESS SUPPLY DATA'!$AF:$AF,'CT capacity tracker'!$B114,'ESS SUPPLY DATA'!$AE:$AE,'CT capacity tracker'!$A$97,'ESS SUPPLY DATA'!$W:$W,'CT capacity tracker'!R$1,'ESS SUPPLY DATA'!$AO:$AO,"other")</f>
        <v>0</v>
      </c>
      <c r="S117" s="504">
        <f>SUMIFS('PV SUPPLY DATA'!$X:$X,'PV SUPPLY DATA'!$AH:$AH,'CT capacity tracker'!$B114,'PV SUPPLY DATA'!$AG:$AG,'CT capacity tracker'!$A$97,'PV SUPPLY DATA'!$Y:$Y,S$1,'PV SUPPLY DATA'!$AQ:$AQ,"cosco")+SUMIFS('PV SUPPLY DATA'!$X:$X,'PV SUPPLY DATA'!$AH:$AH,'CT capacity tracker'!$B114,'PV SUPPLY DATA'!$AG:$AG,'CT capacity tracker'!$A$97,'PV SUPPLY DATA'!$Y:$Y,S$1,'PV SUPPLY DATA'!$AQ:$AQ,"other")+SUMIFS('ESS SUPPLY DATA'!$U:$U,'ESS SUPPLY DATA'!$AF:$AF,'CT capacity tracker'!$B114,'ESS SUPPLY DATA'!$AE:$AE,'CT capacity tracker'!$A$97,'ESS SUPPLY DATA'!$W:$W,'CT capacity tracker'!S$1,'ESS SUPPLY DATA'!$AO:$AO,"cosco")+SUMIFS('ESS SUPPLY DATA'!$U:$U,'ESS SUPPLY DATA'!$AF:$AF,'CT capacity tracker'!$B114,'ESS SUPPLY DATA'!$AE:$AE,'CT capacity tracker'!$A$97,'ESS SUPPLY DATA'!$W:$W,'CT capacity tracker'!S$1,'ESS SUPPLY DATA'!$AO:$AO,"other")</f>
        <v>0</v>
      </c>
      <c r="T117" s="504">
        <f>SUMIFS('PV SUPPLY DATA'!$X:$X,'PV SUPPLY DATA'!$AH:$AH,'CT capacity tracker'!$B114,'PV SUPPLY DATA'!$AG:$AG,'CT capacity tracker'!$A$97,'PV SUPPLY DATA'!$Y:$Y,T$1,'PV SUPPLY DATA'!$AQ:$AQ,"cosco")+SUMIFS('PV SUPPLY DATA'!$X:$X,'PV SUPPLY DATA'!$AH:$AH,'CT capacity tracker'!$B114,'PV SUPPLY DATA'!$AG:$AG,'CT capacity tracker'!$A$97,'PV SUPPLY DATA'!$Y:$Y,T$1,'PV SUPPLY DATA'!$AQ:$AQ,"other")+SUMIFS('ESS SUPPLY DATA'!$U:$U,'ESS SUPPLY DATA'!$AF:$AF,'CT capacity tracker'!$B114,'ESS SUPPLY DATA'!$AE:$AE,'CT capacity tracker'!$A$97,'ESS SUPPLY DATA'!$W:$W,'CT capacity tracker'!T$1,'ESS SUPPLY DATA'!$AO:$AO,"cosco")+SUMIFS('ESS SUPPLY DATA'!$U:$U,'ESS SUPPLY DATA'!$AF:$AF,'CT capacity tracker'!$B114,'ESS SUPPLY DATA'!$AE:$AE,'CT capacity tracker'!$A$97,'ESS SUPPLY DATA'!$W:$W,'CT capacity tracker'!T$1,'ESS SUPPLY DATA'!$AO:$AO,"other")</f>
        <v>2</v>
      </c>
      <c r="U117" s="504">
        <f>SUMIFS('PV SUPPLY DATA'!$X:$X,'PV SUPPLY DATA'!$AH:$AH,'CT capacity tracker'!$B114,'PV SUPPLY DATA'!$AG:$AG,'CT capacity tracker'!$A$97,'PV SUPPLY DATA'!$Y:$Y,U$1,'PV SUPPLY DATA'!$AQ:$AQ,"cosco")+SUMIFS('PV SUPPLY DATA'!$X:$X,'PV SUPPLY DATA'!$AH:$AH,'CT capacity tracker'!$B114,'PV SUPPLY DATA'!$AG:$AG,'CT capacity tracker'!$A$97,'PV SUPPLY DATA'!$Y:$Y,U$1,'PV SUPPLY DATA'!$AQ:$AQ,"other")+SUMIFS('ESS SUPPLY DATA'!$U:$U,'ESS SUPPLY DATA'!$AF:$AF,'CT capacity tracker'!$B114,'ESS SUPPLY DATA'!$AE:$AE,'CT capacity tracker'!$A$97,'ESS SUPPLY DATA'!$W:$W,'CT capacity tracker'!U$1,'ESS SUPPLY DATA'!$AO:$AO,"cosco")+SUMIFS('ESS SUPPLY DATA'!$U:$U,'ESS SUPPLY DATA'!$AF:$AF,'CT capacity tracker'!$B114,'ESS SUPPLY DATA'!$AE:$AE,'CT capacity tracker'!$A$97,'ESS SUPPLY DATA'!$W:$W,'CT capacity tracker'!U$1,'ESS SUPPLY DATA'!$AO:$AO,"other")</f>
        <v>0</v>
      </c>
      <c r="V117" s="504">
        <f>SUMIFS('PV SUPPLY DATA'!$X:$X,'PV SUPPLY DATA'!$AH:$AH,'CT capacity tracker'!$B114,'PV SUPPLY DATA'!$AG:$AG,'CT capacity tracker'!$A$97,'PV SUPPLY DATA'!$Y:$Y,V$1,'PV SUPPLY DATA'!$AQ:$AQ,"cosco")+SUMIFS('PV SUPPLY DATA'!$X:$X,'PV SUPPLY DATA'!$AH:$AH,'CT capacity tracker'!$B114,'PV SUPPLY DATA'!$AG:$AG,'CT capacity tracker'!$A$97,'PV SUPPLY DATA'!$Y:$Y,V$1,'PV SUPPLY DATA'!$AQ:$AQ,"other")+SUMIFS('ESS SUPPLY DATA'!$U:$U,'ESS SUPPLY DATA'!$AF:$AF,'CT capacity tracker'!$B114,'ESS SUPPLY DATA'!$AE:$AE,'CT capacity tracker'!$A$97,'ESS SUPPLY DATA'!$W:$W,'CT capacity tracker'!V$1,'ESS SUPPLY DATA'!$AO:$AO,"cosco")+SUMIFS('ESS SUPPLY DATA'!$U:$U,'ESS SUPPLY DATA'!$AF:$AF,'CT capacity tracker'!$B114,'ESS SUPPLY DATA'!$AE:$AE,'CT capacity tracker'!$A$97,'ESS SUPPLY DATA'!$W:$W,'CT capacity tracker'!V$1,'ESS SUPPLY DATA'!$AO:$AO,"other")</f>
        <v>0</v>
      </c>
      <c r="W117" s="504">
        <f>SUMIFS('PV SUPPLY DATA'!$X:$X,'PV SUPPLY DATA'!$AH:$AH,'CT capacity tracker'!$B114,'PV SUPPLY DATA'!$AG:$AG,'CT capacity tracker'!$A$97,'PV SUPPLY DATA'!$Y:$Y,W$1,'PV SUPPLY DATA'!$AQ:$AQ,"cosco")+SUMIFS('PV SUPPLY DATA'!$X:$X,'PV SUPPLY DATA'!$AH:$AH,'CT capacity tracker'!$B114,'PV SUPPLY DATA'!$AG:$AG,'CT capacity tracker'!$A$97,'PV SUPPLY DATA'!$Y:$Y,W$1,'PV SUPPLY DATA'!$AQ:$AQ,"other")+SUMIFS('ESS SUPPLY DATA'!$U:$U,'ESS SUPPLY DATA'!$AF:$AF,'CT capacity tracker'!$B114,'ESS SUPPLY DATA'!$AE:$AE,'CT capacity tracker'!$A$97,'ESS SUPPLY DATA'!$W:$W,'CT capacity tracker'!W$1,'ESS SUPPLY DATA'!$AO:$AO,"cosco")+SUMIFS('ESS SUPPLY DATA'!$U:$U,'ESS SUPPLY DATA'!$AF:$AF,'CT capacity tracker'!$B114,'ESS SUPPLY DATA'!$AE:$AE,'CT capacity tracker'!$A$97,'ESS SUPPLY DATA'!$W:$W,'CT capacity tracker'!W$1,'ESS SUPPLY DATA'!$AO:$AO,"other")</f>
        <v>0</v>
      </c>
      <c r="X117" s="504">
        <f>SUMIFS('PV SUPPLY DATA'!$X:$X,'PV SUPPLY DATA'!$AH:$AH,'CT capacity tracker'!$B114,'PV SUPPLY DATA'!$AG:$AG,'CT capacity tracker'!$A$97,'PV SUPPLY DATA'!$Y:$Y,X$1,'PV SUPPLY DATA'!$AQ:$AQ,"cosco")+SUMIFS('PV SUPPLY DATA'!$X:$X,'PV SUPPLY DATA'!$AH:$AH,'CT capacity tracker'!$B114,'PV SUPPLY DATA'!$AG:$AG,'CT capacity tracker'!$A$97,'PV SUPPLY DATA'!$Y:$Y,X$1,'PV SUPPLY DATA'!$AQ:$AQ,"other")+SUMIFS('ESS SUPPLY DATA'!$U:$U,'ESS SUPPLY DATA'!$AF:$AF,'CT capacity tracker'!$B114,'ESS SUPPLY DATA'!$AE:$AE,'CT capacity tracker'!$A$97,'ESS SUPPLY DATA'!$W:$W,'CT capacity tracker'!X$1,'ESS SUPPLY DATA'!$AO:$AO,"cosco")+SUMIFS('ESS SUPPLY DATA'!$U:$U,'ESS SUPPLY DATA'!$AF:$AF,'CT capacity tracker'!$B114,'ESS SUPPLY DATA'!$AE:$AE,'CT capacity tracker'!$A$97,'ESS SUPPLY DATA'!$W:$W,'CT capacity tracker'!X$1,'ESS SUPPLY DATA'!$AO:$AO,"other")</f>
        <v>0</v>
      </c>
      <c r="Y117" s="504">
        <f>SUMIFS('PV SUPPLY DATA'!$X:$X,'PV SUPPLY DATA'!$AH:$AH,'CT capacity tracker'!$B114,'PV SUPPLY DATA'!$AG:$AG,'CT capacity tracker'!$A$97,'PV SUPPLY DATA'!$Y:$Y,Y$1,'PV SUPPLY DATA'!$AQ:$AQ,"cosco")+SUMIFS('PV SUPPLY DATA'!$X:$X,'PV SUPPLY DATA'!$AH:$AH,'CT capacity tracker'!$B114,'PV SUPPLY DATA'!$AG:$AG,'CT capacity tracker'!$A$97,'PV SUPPLY DATA'!$Y:$Y,Y$1,'PV SUPPLY DATA'!$AQ:$AQ,"other")+SUMIFS('ESS SUPPLY DATA'!$U:$U,'ESS SUPPLY DATA'!$AF:$AF,'CT capacity tracker'!$B114,'ESS SUPPLY DATA'!$AE:$AE,'CT capacity tracker'!$A$97,'ESS SUPPLY DATA'!$W:$W,'CT capacity tracker'!Y$1,'ESS SUPPLY DATA'!$AO:$AO,"cosco")+SUMIFS('ESS SUPPLY DATA'!$U:$U,'ESS SUPPLY DATA'!$AF:$AF,'CT capacity tracker'!$B114,'ESS SUPPLY DATA'!$AE:$AE,'CT capacity tracker'!$A$97,'ESS SUPPLY DATA'!$W:$W,'CT capacity tracker'!Y$1,'ESS SUPPLY DATA'!$AO:$AO,"other")</f>
        <v>0</v>
      </c>
      <c r="Z117" s="504">
        <f>SUMIFS('PV SUPPLY DATA'!$X:$X,'PV SUPPLY DATA'!$AH:$AH,'CT capacity tracker'!$B114,'PV SUPPLY DATA'!$AG:$AG,'CT capacity tracker'!$A$97,'PV SUPPLY DATA'!$Y:$Y,Z$1,'PV SUPPLY DATA'!$AQ:$AQ,"cosco")+SUMIFS('PV SUPPLY DATA'!$X:$X,'PV SUPPLY DATA'!$AH:$AH,'CT capacity tracker'!$B114,'PV SUPPLY DATA'!$AG:$AG,'CT capacity tracker'!$A$97,'PV SUPPLY DATA'!$Y:$Y,Z$1,'PV SUPPLY DATA'!$AQ:$AQ,"other")+SUMIFS('ESS SUPPLY DATA'!$U:$U,'ESS SUPPLY DATA'!$AF:$AF,'CT capacity tracker'!$B114,'ESS SUPPLY DATA'!$AE:$AE,'CT capacity tracker'!$A$97,'ESS SUPPLY DATA'!$W:$W,'CT capacity tracker'!Z$1,'ESS SUPPLY DATA'!$AO:$AO,"cosco")+SUMIFS('ESS SUPPLY DATA'!$U:$U,'ESS SUPPLY DATA'!$AF:$AF,'CT capacity tracker'!$B114,'ESS SUPPLY DATA'!$AE:$AE,'CT capacity tracker'!$A$97,'ESS SUPPLY DATA'!$W:$W,'CT capacity tracker'!Z$1,'ESS SUPPLY DATA'!$AO:$AO,"other")</f>
        <v>0</v>
      </c>
      <c r="AA117" s="504">
        <f>SUMIFS('PV SUPPLY DATA'!$X:$X,'PV SUPPLY DATA'!$AH:$AH,'CT capacity tracker'!$B114,'PV SUPPLY DATA'!$AG:$AG,'CT capacity tracker'!$A$97,'PV SUPPLY DATA'!$Y:$Y,AA$1,'PV SUPPLY DATA'!$AQ:$AQ,"cosco")+SUMIFS('PV SUPPLY DATA'!$X:$X,'PV SUPPLY DATA'!$AH:$AH,'CT capacity tracker'!$B114,'PV SUPPLY DATA'!$AG:$AG,'CT capacity tracker'!$A$97,'PV SUPPLY DATA'!$Y:$Y,AA$1,'PV SUPPLY DATA'!$AQ:$AQ,"other")+SUMIFS('ESS SUPPLY DATA'!$U:$U,'ESS SUPPLY DATA'!$AF:$AF,'CT capacity tracker'!$B114,'ESS SUPPLY DATA'!$AE:$AE,'CT capacity tracker'!$A$97,'ESS SUPPLY DATA'!$W:$W,'CT capacity tracker'!AA$1,'ESS SUPPLY DATA'!$AO:$AO,"cosco")+SUMIFS('ESS SUPPLY DATA'!$U:$U,'ESS SUPPLY DATA'!$AF:$AF,'CT capacity tracker'!$B114,'ESS SUPPLY DATA'!$AE:$AE,'CT capacity tracker'!$A$97,'ESS SUPPLY DATA'!$W:$W,'CT capacity tracker'!AA$1,'ESS SUPPLY DATA'!$AO:$AO,"other")</f>
        <v>0</v>
      </c>
      <c r="AB117" s="504">
        <f>SUMIFS('PV SUPPLY DATA'!$X:$X,'PV SUPPLY DATA'!$AH:$AH,'CT capacity tracker'!$B114,'PV SUPPLY DATA'!$AG:$AG,'CT capacity tracker'!$A$97,'PV SUPPLY DATA'!$Y:$Y,AB$1,'PV SUPPLY DATA'!$AQ:$AQ,"cosco")+SUMIFS('PV SUPPLY DATA'!$X:$X,'PV SUPPLY DATA'!$AH:$AH,'CT capacity tracker'!$B114,'PV SUPPLY DATA'!$AG:$AG,'CT capacity tracker'!$A$97,'PV SUPPLY DATA'!$Y:$Y,AB$1,'PV SUPPLY DATA'!$AQ:$AQ,"other")+SUMIFS('ESS SUPPLY DATA'!$U:$U,'ESS SUPPLY DATA'!$AF:$AF,'CT capacity tracker'!$B114,'ESS SUPPLY DATA'!$AE:$AE,'CT capacity tracker'!$A$97,'ESS SUPPLY DATA'!$W:$W,'CT capacity tracker'!AB$1,'ESS SUPPLY DATA'!$AO:$AO,"cosco")+SUMIFS('ESS SUPPLY DATA'!$U:$U,'ESS SUPPLY DATA'!$AF:$AF,'CT capacity tracker'!$B114,'ESS SUPPLY DATA'!$AE:$AE,'CT capacity tracker'!$A$97,'ESS SUPPLY DATA'!$W:$W,'CT capacity tracker'!AB$1,'ESS SUPPLY DATA'!$AO:$AO,"other")</f>
        <v>0</v>
      </c>
      <c r="AC117" s="504">
        <f>SUMIFS('PV SUPPLY DATA'!$X:$X,'PV SUPPLY DATA'!$AH:$AH,'CT capacity tracker'!$B114,'PV SUPPLY DATA'!$AG:$AG,'CT capacity tracker'!$A$97,'PV SUPPLY DATA'!$Y:$Y,AC$1,'PV SUPPLY DATA'!$AQ:$AQ,"cosco")+SUMIFS('PV SUPPLY DATA'!$X:$X,'PV SUPPLY DATA'!$AH:$AH,'CT capacity tracker'!$B114,'PV SUPPLY DATA'!$AG:$AG,'CT capacity tracker'!$A$97,'PV SUPPLY DATA'!$Y:$Y,AC$1,'PV SUPPLY DATA'!$AQ:$AQ,"other")+SUMIFS('ESS SUPPLY DATA'!$U:$U,'ESS SUPPLY DATA'!$AF:$AF,'CT capacity tracker'!$B114,'ESS SUPPLY DATA'!$AE:$AE,'CT capacity tracker'!$A$97,'ESS SUPPLY DATA'!$W:$W,'CT capacity tracker'!AC$1,'ESS SUPPLY DATA'!$AO:$AO,"cosco")+SUMIFS('ESS SUPPLY DATA'!$U:$U,'ESS SUPPLY DATA'!$AF:$AF,'CT capacity tracker'!$B114,'ESS SUPPLY DATA'!$AE:$AE,'CT capacity tracker'!$A$97,'ESS SUPPLY DATA'!$W:$W,'CT capacity tracker'!AC$1,'ESS SUPPLY DATA'!$AO:$AO,"other")</f>
        <v>0</v>
      </c>
      <c r="AD117" s="504">
        <f>SUMIFS('PV SUPPLY DATA'!$X:$X,'PV SUPPLY DATA'!$AH:$AH,'CT capacity tracker'!$B114,'PV SUPPLY DATA'!$AG:$AG,'CT capacity tracker'!$A$97,'PV SUPPLY DATA'!$Y:$Y,AD$1,'PV SUPPLY DATA'!$AQ:$AQ,"cosco")+SUMIFS('PV SUPPLY DATA'!$X:$X,'PV SUPPLY DATA'!$AH:$AH,'CT capacity tracker'!$B114,'PV SUPPLY DATA'!$AG:$AG,'CT capacity tracker'!$A$97,'PV SUPPLY DATA'!$Y:$Y,AD$1,'PV SUPPLY DATA'!$AQ:$AQ,"other")+SUMIFS('ESS SUPPLY DATA'!$U:$U,'ESS SUPPLY DATA'!$AF:$AF,'CT capacity tracker'!$B114,'ESS SUPPLY DATA'!$AE:$AE,'CT capacity tracker'!$A$97,'ESS SUPPLY DATA'!$W:$W,'CT capacity tracker'!AD$1,'ESS SUPPLY DATA'!$AO:$AO,"cosco")+SUMIFS('ESS SUPPLY DATA'!$U:$U,'ESS SUPPLY DATA'!$AF:$AF,'CT capacity tracker'!$B114,'ESS SUPPLY DATA'!$AE:$AE,'CT capacity tracker'!$A$97,'ESS SUPPLY DATA'!$W:$W,'CT capacity tracker'!AD$1,'ESS SUPPLY DATA'!$AO:$AO,"other")</f>
        <v>0</v>
      </c>
      <c r="AE117" s="504">
        <f>SUMIFS('PV SUPPLY DATA'!$X:$X,'PV SUPPLY DATA'!$AH:$AH,'CT capacity tracker'!$B114,'PV SUPPLY DATA'!$AG:$AG,'CT capacity tracker'!$A$97,'PV SUPPLY DATA'!$Y:$Y,AE$1,'PV SUPPLY DATA'!$AQ:$AQ,"cosco")+SUMIFS('PV SUPPLY DATA'!$X:$X,'PV SUPPLY DATA'!$AH:$AH,'CT capacity tracker'!$B114,'PV SUPPLY DATA'!$AG:$AG,'CT capacity tracker'!$A$97,'PV SUPPLY DATA'!$Y:$Y,AE$1,'PV SUPPLY DATA'!$AQ:$AQ,"other")+SUMIFS('ESS SUPPLY DATA'!$U:$U,'ESS SUPPLY DATA'!$AF:$AF,'CT capacity tracker'!$B114,'ESS SUPPLY DATA'!$AE:$AE,'CT capacity tracker'!$A$97,'ESS SUPPLY DATA'!$W:$W,'CT capacity tracker'!AE$1,'ESS SUPPLY DATA'!$AO:$AO,"cosco")+SUMIFS('ESS SUPPLY DATA'!$U:$U,'ESS SUPPLY DATA'!$AF:$AF,'CT capacity tracker'!$B114,'ESS SUPPLY DATA'!$AE:$AE,'CT capacity tracker'!$A$97,'ESS SUPPLY DATA'!$W:$W,'CT capacity tracker'!AE$1,'ESS SUPPLY DATA'!$AO:$AO,"other")</f>
        <v>0</v>
      </c>
      <c r="AF117" s="504">
        <f>SUMIFS('PV SUPPLY DATA'!$X:$X,'PV SUPPLY DATA'!$AH:$AH,'CT capacity tracker'!$B114,'PV SUPPLY DATA'!$AG:$AG,'CT capacity tracker'!$A$97,'PV SUPPLY DATA'!$Y:$Y,AF$1,'PV SUPPLY DATA'!$AQ:$AQ,"cosco")+SUMIFS('PV SUPPLY DATA'!$X:$X,'PV SUPPLY DATA'!$AH:$AH,'CT capacity tracker'!$B114,'PV SUPPLY DATA'!$AG:$AG,'CT capacity tracker'!$A$97,'PV SUPPLY DATA'!$Y:$Y,AF$1,'PV SUPPLY DATA'!$AQ:$AQ,"other")+SUMIFS('ESS SUPPLY DATA'!$U:$U,'ESS SUPPLY DATA'!$AF:$AF,'CT capacity tracker'!$B114,'ESS SUPPLY DATA'!$AE:$AE,'CT capacity tracker'!$A$97,'ESS SUPPLY DATA'!$W:$W,'CT capacity tracker'!AF$1,'ESS SUPPLY DATA'!$AO:$AO,"cosco")+SUMIFS('ESS SUPPLY DATA'!$U:$U,'ESS SUPPLY DATA'!$AF:$AF,'CT capacity tracker'!$B114,'ESS SUPPLY DATA'!$AE:$AE,'CT capacity tracker'!$A$97,'ESS SUPPLY DATA'!$W:$W,'CT capacity tracker'!AF$1,'ESS SUPPLY DATA'!$AO:$AO,"other")</f>
        <v>0</v>
      </c>
      <c r="AG117" s="504">
        <f>SUMIFS('PV SUPPLY DATA'!$X:$X,'PV SUPPLY DATA'!$AH:$AH,'CT capacity tracker'!$B114,'PV SUPPLY DATA'!$AG:$AG,'CT capacity tracker'!$A$97,'PV SUPPLY DATA'!$Y:$Y,AG$1,'PV SUPPLY DATA'!$AQ:$AQ,"cosco")+SUMIFS('PV SUPPLY DATA'!$X:$X,'PV SUPPLY DATA'!$AH:$AH,'CT capacity tracker'!$B114,'PV SUPPLY DATA'!$AG:$AG,'CT capacity tracker'!$A$97,'PV SUPPLY DATA'!$Y:$Y,AG$1,'PV SUPPLY DATA'!$AQ:$AQ,"other")+SUMIFS('ESS SUPPLY DATA'!$U:$U,'ESS SUPPLY DATA'!$AF:$AF,'CT capacity tracker'!$B114,'ESS SUPPLY DATA'!$AE:$AE,'CT capacity tracker'!$A$97,'ESS SUPPLY DATA'!$W:$W,'CT capacity tracker'!AG$1,'ESS SUPPLY DATA'!$AO:$AO,"cosco")+SUMIFS('ESS SUPPLY DATA'!$U:$U,'ESS SUPPLY DATA'!$AF:$AF,'CT capacity tracker'!$B114,'ESS SUPPLY DATA'!$AE:$AE,'CT capacity tracker'!$A$97,'ESS SUPPLY DATA'!$W:$W,'CT capacity tracker'!AG$1,'ESS SUPPLY DATA'!$AO:$AO,"other")</f>
        <v>0</v>
      </c>
      <c r="AH117" s="504">
        <f>SUMIFS('PV SUPPLY DATA'!$X:$X,'PV SUPPLY DATA'!$AH:$AH,'CT capacity tracker'!$B114,'PV SUPPLY DATA'!$AG:$AG,'CT capacity tracker'!$A$97,'PV SUPPLY DATA'!$Y:$Y,AH$1,'PV SUPPLY DATA'!$AQ:$AQ,"cosco")+SUMIFS('PV SUPPLY DATA'!$X:$X,'PV SUPPLY DATA'!$AH:$AH,'CT capacity tracker'!$B114,'PV SUPPLY DATA'!$AG:$AG,'CT capacity tracker'!$A$97,'PV SUPPLY DATA'!$Y:$Y,AH$1,'PV SUPPLY DATA'!$AQ:$AQ,"other")+SUMIFS('ESS SUPPLY DATA'!$U:$U,'ESS SUPPLY DATA'!$AF:$AF,'CT capacity tracker'!$B114,'ESS SUPPLY DATA'!$AE:$AE,'CT capacity tracker'!$A$97,'ESS SUPPLY DATA'!$W:$W,'CT capacity tracker'!AH$1,'ESS SUPPLY DATA'!$AO:$AO,"cosco")+SUMIFS('ESS SUPPLY DATA'!$U:$U,'ESS SUPPLY DATA'!$AF:$AF,'CT capacity tracker'!$B114,'ESS SUPPLY DATA'!$AE:$AE,'CT capacity tracker'!$A$97,'ESS SUPPLY DATA'!$W:$W,'CT capacity tracker'!AH$1,'ESS SUPPLY DATA'!$AO:$AO,"other")</f>
        <v>0</v>
      </c>
      <c r="AI117" s="504">
        <f>SUMIFS('PV SUPPLY DATA'!$X:$X,'PV SUPPLY DATA'!$AH:$AH,'CT capacity tracker'!$B114,'PV SUPPLY DATA'!$AG:$AG,'CT capacity tracker'!$A$97,'PV SUPPLY DATA'!$Y:$Y,AI$1,'PV SUPPLY DATA'!$AQ:$AQ,"cosco")+SUMIFS('PV SUPPLY DATA'!$X:$X,'PV SUPPLY DATA'!$AH:$AH,'CT capacity tracker'!$B114,'PV SUPPLY DATA'!$AG:$AG,'CT capacity tracker'!$A$97,'PV SUPPLY DATA'!$Y:$Y,AI$1,'PV SUPPLY DATA'!$AQ:$AQ,"other")+SUMIFS('ESS SUPPLY DATA'!$U:$U,'ESS SUPPLY DATA'!$AF:$AF,'CT capacity tracker'!$B114,'ESS SUPPLY DATA'!$AE:$AE,'CT capacity tracker'!$A$97,'ESS SUPPLY DATA'!$W:$W,'CT capacity tracker'!AI$1,'ESS SUPPLY DATA'!$AO:$AO,"cosco")+SUMIFS('ESS SUPPLY DATA'!$U:$U,'ESS SUPPLY DATA'!$AF:$AF,'CT capacity tracker'!$B114,'ESS SUPPLY DATA'!$AE:$AE,'CT capacity tracker'!$A$97,'ESS SUPPLY DATA'!$W:$W,'CT capacity tracker'!AI$1,'ESS SUPPLY DATA'!$AO:$AO,"other")</f>
        <v>0</v>
      </c>
      <c r="AJ117" s="504">
        <f>SUMIFS('PV SUPPLY DATA'!$X:$X,'PV SUPPLY DATA'!$AH:$AH,'CT capacity tracker'!$B114,'PV SUPPLY DATA'!$AG:$AG,'CT capacity tracker'!$A$97,'PV SUPPLY DATA'!$Y:$Y,AJ$1,'PV SUPPLY DATA'!$AQ:$AQ,"cosco")+SUMIFS('PV SUPPLY DATA'!$X:$X,'PV SUPPLY DATA'!$AH:$AH,'CT capacity tracker'!$B114,'PV SUPPLY DATA'!$AG:$AG,'CT capacity tracker'!$A$97,'PV SUPPLY DATA'!$Y:$Y,AJ$1,'PV SUPPLY DATA'!$AQ:$AQ,"other")+SUMIFS('ESS SUPPLY DATA'!$U:$U,'ESS SUPPLY DATA'!$AF:$AF,'CT capacity tracker'!$B114,'ESS SUPPLY DATA'!$AE:$AE,'CT capacity tracker'!$A$97,'ESS SUPPLY DATA'!$W:$W,'CT capacity tracker'!AJ$1,'ESS SUPPLY DATA'!$AO:$AO,"cosco")+SUMIFS('ESS SUPPLY DATA'!$U:$U,'ESS SUPPLY DATA'!$AF:$AF,'CT capacity tracker'!$B114,'ESS SUPPLY DATA'!$AE:$AE,'CT capacity tracker'!$A$97,'ESS SUPPLY DATA'!$W:$W,'CT capacity tracker'!AJ$1,'ESS SUPPLY DATA'!$AO:$AO,"other")</f>
        <v>0</v>
      </c>
      <c r="AK117" s="511"/>
      <c r="AL117" s="511"/>
      <c r="AM117" s="696">
        <f>SUM(E117:X117)</f>
        <v>11</v>
      </c>
      <c r="AN117" s="503"/>
      <c r="AO117" s="506"/>
      <c r="AP117" s="506"/>
      <c r="AQ117" s="506"/>
      <c r="AR117" s="506"/>
      <c r="AS117" s="506"/>
      <c r="AT117" s="506"/>
    </row>
    <row r="118" spans="1:46" ht="14.25" customHeight="1">
      <c r="A118" s="1510" t="s">
        <v>4410</v>
      </c>
      <c r="B118" s="1511"/>
      <c r="C118" s="514" t="s">
        <v>4400</v>
      </c>
      <c r="D118" s="515">
        <f>D98+D102++D106+D114+D110</f>
        <v>0</v>
      </c>
      <c r="E118" s="515">
        <f t="shared" ref="E118:N118" si="86">E98+E102++E106+E114</f>
        <v>0</v>
      </c>
      <c r="F118" s="515">
        <f t="shared" si="86"/>
        <v>0</v>
      </c>
      <c r="G118" s="515">
        <f t="shared" si="86"/>
        <v>0</v>
      </c>
      <c r="H118" s="515">
        <f t="shared" si="86"/>
        <v>0</v>
      </c>
      <c r="I118" s="515">
        <f t="shared" si="86"/>
        <v>0</v>
      </c>
      <c r="J118" s="515">
        <f t="shared" si="86"/>
        <v>9</v>
      </c>
      <c r="K118" s="515">
        <f t="shared" si="86"/>
        <v>0</v>
      </c>
      <c r="L118" s="515">
        <f t="shared" si="86"/>
        <v>0</v>
      </c>
      <c r="M118" s="515">
        <f t="shared" si="86"/>
        <v>9</v>
      </c>
      <c r="N118" s="515">
        <f t="shared" si="86"/>
        <v>6</v>
      </c>
      <c r="O118" s="515">
        <f t="shared" ref="O118:X118" si="87">O98+O102+O110+O106+O114</f>
        <v>2</v>
      </c>
      <c r="P118" s="515">
        <f t="shared" si="87"/>
        <v>5</v>
      </c>
      <c r="Q118" s="515">
        <f t="shared" si="87"/>
        <v>27</v>
      </c>
      <c r="R118" s="515">
        <f t="shared" si="87"/>
        <v>11</v>
      </c>
      <c r="S118" s="515">
        <f t="shared" si="87"/>
        <v>0</v>
      </c>
      <c r="T118" s="515">
        <f t="shared" si="87"/>
        <v>8</v>
      </c>
      <c r="U118" s="515">
        <f t="shared" si="87"/>
        <v>4</v>
      </c>
      <c r="V118" s="515">
        <f t="shared" si="87"/>
        <v>12</v>
      </c>
      <c r="W118" s="515">
        <f t="shared" si="87"/>
        <v>4</v>
      </c>
      <c r="X118" s="515">
        <f t="shared" si="87"/>
        <v>2</v>
      </c>
      <c r="Y118" s="515">
        <f t="shared" ref="Y118:AB121" si="88">Y98+Y102+Y110+Y106+Y114</f>
        <v>0</v>
      </c>
      <c r="Z118" s="515">
        <f t="shared" si="88"/>
        <v>12</v>
      </c>
      <c r="AA118" s="515">
        <f t="shared" si="88"/>
        <v>23</v>
      </c>
      <c r="AB118" s="515">
        <f t="shared" si="88"/>
        <v>10</v>
      </c>
      <c r="AC118" s="515">
        <f t="shared" ref="AC118:AJ118" si="89">AC98+AC102+AC110+AC106+AC114</f>
        <v>0</v>
      </c>
      <c r="AD118" s="515">
        <f t="shared" si="89"/>
        <v>2</v>
      </c>
      <c r="AE118" s="515">
        <f t="shared" si="89"/>
        <v>0</v>
      </c>
      <c r="AF118" s="515">
        <f t="shared" si="89"/>
        <v>0</v>
      </c>
      <c r="AG118" s="515">
        <f t="shared" si="89"/>
        <v>0</v>
      </c>
      <c r="AH118" s="515">
        <f t="shared" si="89"/>
        <v>0</v>
      </c>
      <c r="AI118" s="515">
        <f t="shared" si="89"/>
        <v>0</v>
      </c>
      <c r="AJ118" s="515">
        <f t="shared" si="89"/>
        <v>0</v>
      </c>
      <c r="AK118" s="505" t="s">
        <v>197</v>
      </c>
      <c r="AL118" s="505" t="s">
        <v>197</v>
      </c>
      <c r="AM118" s="697">
        <f>SUM(E118:X118)</f>
        <v>99</v>
      </c>
      <c r="AN118" s="503" t="s">
        <v>197</v>
      </c>
      <c r="AO118" s="696">
        <f>SUM(T118:X118)</f>
        <v>30</v>
      </c>
      <c r="AP118" s="506">
        <f t="shared" si="77"/>
        <v>9</v>
      </c>
      <c r="AQ118" s="506"/>
      <c r="AR118" s="506"/>
      <c r="AS118" s="506"/>
      <c r="AT118" s="506"/>
    </row>
    <row r="119" spans="1:46" ht="13">
      <c r="A119" s="1512"/>
      <c r="B119" s="1513"/>
      <c r="C119" s="516" t="s">
        <v>4401</v>
      </c>
      <c r="D119" s="515"/>
      <c r="E119" s="515">
        <f t="shared" ref="E119:N119" si="90">E99+E103++E107+E115</f>
        <v>0</v>
      </c>
      <c r="F119" s="515">
        <f t="shared" si="90"/>
        <v>0</v>
      </c>
      <c r="G119" s="515">
        <f t="shared" si="90"/>
        <v>0</v>
      </c>
      <c r="H119" s="515">
        <f t="shared" si="90"/>
        <v>0</v>
      </c>
      <c r="I119" s="515">
        <f t="shared" si="90"/>
        <v>0</v>
      </c>
      <c r="J119" s="515">
        <f t="shared" si="90"/>
        <v>0</v>
      </c>
      <c r="K119" s="515">
        <f t="shared" si="90"/>
        <v>0</v>
      </c>
      <c r="L119" s="515">
        <f t="shared" si="90"/>
        <v>0</v>
      </c>
      <c r="M119" s="515">
        <f t="shared" si="90"/>
        <v>5</v>
      </c>
      <c r="N119" s="515">
        <f t="shared" si="90"/>
        <v>5</v>
      </c>
      <c r="O119" s="515">
        <f t="shared" ref="O119:X119" si="91">O99+O103+O111+O107+O115</f>
        <v>10</v>
      </c>
      <c r="P119" s="515">
        <f t="shared" si="91"/>
        <v>8</v>
      </c>
      <c r="Q119" s="515">
        <f>Q99+Q103+Q111+Q107+Q115</f>
        <v>10</v>
      </c>
      <c r="R119" s="515">
        <f t="shared" si="91"/>
        <v>10</v>
      </c>
      <c r="S119" s="515">
        <f t="shared" si="91"/>
        <v>12</v>
      </c>
      <c r="T119" s="515">
        <f t="shared" si="91"/>
        <v>10</v>
      </c>
      <c r="U119" s="515">
        <f t="shared" si="91"/>
        <v>10</v>
      </c>
      <c r="V119" s="515">
        <f t="shared" si="91"/>
        <v>10</v>
      </c>
      <c r="W119" s="515">
        <f t="shared" si="91"/>
        <v>4</v>
      </c>
      <c r="X119" s="515">
        <f t="shared" si="91"/>
        <v>5</v>
      </c>
      <c r="Y119" s="515">
        <f t="shared" si="88"/>
        <v>7</v>
      </c>
      <c r="Z119" s="515">
        <f t="shared" si="88"/>
        <v>10</v>
      </c>
      <c r="AA119" s="515">
        <f t="shared" si="88"/>
        <v>10</v>
      </c>
      <c r="AB119" s="515">
        <f t="shared" si="88"/>
        <v>5</v>
      </c>
      <c r="AC119" s="515"/>
      <c r="AD119" s="515"/>
      <c r="AE119" s="515"/>
      <c r="AF119" s="515"/>
      <c r="AG119" s="515"/>
      <c r="AH119" s="515"/>
      <c r="AI119" s="515"/>
      <c r="AJ119" s="515"/>
      <c r="AK119" s="505" t="s">
        <v>197</v>
      </c>
      <c r="AL119" s="505" t="s">
        <v>197</v>
      </c>
      <c r="AM119" s="505"/>
      <c r="AN119" s="503" t="s">
        <v>197</v>
      </c>
      <c r="AO119" s="506"/>
      <c r="AP119" s="506">
        <f t="shared" si="77"/>
        <v>0</v>
      </c>
      <c r="AQ119" s="506"/>
      <c r="AR119" s="506"/>
      <c r="AS119" s="506"/>
      <c r="AT119" s="506"/>
    </row>
    <row r="120" spans="1:46" ht="13">
      <c r="A120" s="1512"/>
      <c r="B120" s="1513"/>
      <c r="C120" s="521" t="s">
        <v>4402</v>
      </c>
      <c r="D120" s="523"/>
      <c r="E120" s="523">
        <f t="shared" ref="E120:J120" si="92">E100+E104++E108+E116</f>
        <v>0</v>
      </c>
      <c r="F120" s="523">
        <f t="shared" si="92"/>
        <v>0</v>
      </c>
      <c r="G120" s="523">
        <f t="shared" si="92"/>
        <v>0</v>
      </c>
      <c r="H120" s="523">
        <f t="shared" si="92"/>
        <v>0</v>
      </c>
      <c r="I120" s="523">
        <f t="shared" si="92"/>
        <v>0</v>
      </c>
      <c r="J120" s="523">
        <f t="shared" si="92"/>
        <v>-9</v>
      </c>
      <c r="K120" s="523">
        <f>K100+K104+K108+K116</f>
        <v>0</v>
      </c>
      <c r="L120" s="523">
        <f>L100+L104+L108+L116</f>
        <v>0</v>
      </c>
      <c r="M120" s="523">
        <f t="shared" ref="M120:N120" si="93">M100+M104++M108+M116</f>
        <v>-4</v>
      </c>
      <c r="N120" s="523">
        <f t="shared" si="93"/>
        <v>-1</v>
      </c>
      <c r="O120" s="523">
        <f t="shared" ref="O120:X120" si="94">O100+O104+O112+O108+O116</f>
        <v>8</v>
      </c>
      <c r="P120" s="523">
        <f t="shared" si="94"/>
        <v>3</v>
      </c>
      <c r="Q120" s="523">
        <f t="shared" si="94"/>
        <v>-17</v>
      </c>
      <c r="R120" s="523">
        <f t="shared" si="94"/>
        <v>-1</v>
      </c>
      <c r="S120" s="523">
        <f t="shared" si="94"/>
        <v>12</v>
      </c>
      <c r="T120" s="523">
        <f t="shared" si="94"/>
        <v>2</v>
      </c>
      <c r="U120" s="523">
        <f t="shared" si="94"/>
        <v>6</v>
      </c>
      <c r="V120" s="523">
        <f t="shared" si="94"/>
        <v>-2</v>
      </c>
      <c r="W120" s="523">
        <f t="shared" si="94"/>
        <v>0</v>
      </c>
      <c r="X120" s="523">
        <f t="shared" si="94"/>
        <v>3</v>
      </c>
      <c r="Y120" s="523">
        <f t="shared" si="88"/>
        <v>7</v>
      </c>
      <c r="Z120" s="523">
        <f t="shared" si="88"/>
        <v>-2</v>
      </c>
      <c r="AA120" s="523">
        <f t="shared" si="88"/>
        <v>-13</v>
      </c>
      <c r="AB120" s="523">
        <f t="shared" si="88"/>
        <v>-5</v>
      </c>
      <c r="AC120" s="523"/>
      <c r="AD120" s="523"/>
      <c r="AE120" s="523"/>
      <c r="AF120" s="523"/>
      <c r="AG120" s="523"/>
      <c r="AH120" s="523"/>
      <c r="AI120" s="523"/>
      <c r="AJ120" s="523"/>
      <c r="AK120" s="511">
        <f>SUMIF($E120:$X120,"&gt;0")</f>
        <v>34</v>
      </c>
      <c r="AL120" s="511">
        <f>SUMIF($E120:$X120,"&lt;0")</f>
        <v>-34</v>
      </c>
      <c r="AM120" s="511"/>
      <c r="AN120" s="503" t="s">
        <v>197</v>
      </c>
      <c r="AO120" s="506"/>
      <c r="AP120" s="517">
        <f t="shared" si="77"/>
        <v>-9</v>
      </c>
      <c r="AQ120" s="506"/>
      <c r="AR120" s="506"/>
      <c r="AS120" s="506"/>
      <c r="AT120" s="506"/>
    </row>
    <row r="121" spans="1:46" ht="13">
      <c r="A121" s="1514"/>
      <c r="B121" s="1515"/>
      <c r="C121" s="514" t="s">
        <v>4403</v>
      </c>
      <c r="D121" s="523"/>
      <c r="E121" s="523">
        <f>E101+E105++E109+E117</f>
        <v>0</v>
      </c>
      <c r="F121" s="523">
        <f t="shared" ref="F121:N121" si="95">F101+F105++F109+F117</f>
        <v>0</v>
      </c>
      <c r="G121" s="523">
        <f t="shared" si="95"/>
        <v>0</v>
      </c>
      <c r="H121" s="523">
        <f t="shared" si="95"/>
        <v>0</v>
      </c>
      <c r="I121" s="523">
        <f t="shared" si="95"/>
        <v>0</v>
      </c>
      <c r="J121" s="523">
        <f t="shared" si="95"/>
        <v>9</v>
      </c>
      <c r="K121" s="523">
        <f t="shared" si="95"/>
        <v>0</v>
      </c>
      <c r="L121" s="523">
        <f t="shared" si="95"/>
        <v>0</v>
      </c>
      <c r="M121" s="523">
        <f t="shared" si="95"/>
        <v>9</v>
      </c>
      <c r="N121" s="523">
        <f t="shared" si="95"/>
        <v>6</v>
      </c>
      <c r="O121" s="523">
        <f t="shared" ref="O121:X121" si="96">O101+O105+O113+O109+O117</f>
        <v>2</v>
      </c>
      <c r="P121" s="523">
        <f t="shared" si="96"/>
        <v>5</v>
      </c>
      <c r="Q121" s="523">
        <f t="shared" si="96"/>
        <v>27</v>
      </c>
      <c r="R121" s="523">
        <f t="shared" si="96"/>
        <v>11</v>
      </c>
      <c r="S121" s="523">
        <f t="shared" si="96"/>
        <v>0</v>
      </c>
      <c r="T121" s="523">
        <f t="shared" si="96"/>
        <v>8</v>
      </c>
      <c r="U121" s="523">
        <f t="shared" si="96"/>
        <v>4</v>
      </c>
      <c r="V121" s="523">
        <f t="shared" si="96"/>
        <v>12</v>
      </c>
      <c r="W121" s="523">
        <f t="shared" si="96"/>
        <v>4</v>
      </c>
      <c r="X121" s="523">
        <f t="shared" si="96"/>
        <v>2</v>
      </c>
      <c r="Y121" s="523">
        <f t="shared" si="88"/>
        <v>0</v>
      </c>
      <c r="Z121" s="523">
        <f t="shared" si="88"/>
        <v>12</v>
      </c>
      <c r="AA121" s="523">
        <f t="shared" si="88"/>
        <v>23</v>
      </c>
      <c r="AB121" s="523">
        <f t="shared" si="88"/>
        <v>5</v>
      </c>
      <c r="AC121" s="523">
        <f t="shared" ref="AC121:AJ121" si="97">AC101+AC105+AC113+AC109+AC117</f>
        <v>0</v>
      </c>
      <c r="AD121" s="523">
        <f t="shared" si="97"/>
        <v>0</v>
      </c>
      <c r="AE121" s="523">
        <f t="shared" si="97"/>
        <v>0</v>
      </c>
      <c r="AF121" s="523">
        <f t="shared" si="97"/>
        <v>0</v>
      </c>
      <c r="AG121" s="523">
        <f t="shared" si="97"/>
        <v>0</v>
      </c>
      <c r="AH121" s="523">
        <f t="shared" si="97"/>
        <v>0</v>
      </c>
      <c r="AI121" s="523">
        <f t="shared" si="97"/>
        <v>0</v>
      </c>
      <c r="AJ121" s="523">
        <f t="shared" si="97"/>
        <v>0</v>
      </c>
      <c r="AK121" s="511"/>
      <c r="AL121" s="511"/>
      <c r="AM121" s="697">
        <f>SUM(E121:X121)</f>
        <v>99</v>
      </c>
      <c r="AN121" s="503"/>
      <c r="AO121" s="696">
        <f>SUM(T121:W121)</f>
        <v>28</v>
      </c>
      <c r="AP121" s="693"/>
      <c r="AQ121" s="506"/>
      <c r="AR121" s="506"/>
      <c r="AS121" s="506"/>
      <c r="AT121" s="506"/>
    </row>
    <row r="122" spans="1:46" ht="13">
      <c r="A122" s="1516" t="s">
        <v>86</v>
      </c>
      <c r="B122" s="1516" t="s">
        <v>78</v>
      </c>
      <c r="C122" s="503" t="s">
        <v>4400</v>
      </c>
      <c r="D122" s="504">
        <f>SUMIFS('PV SUPPLY DATA'!$X:$X,'PV SUPPLY DATA'!$AH:$AH,'CT capacity tracker'!$B122,'PV SUPPLY DATA'!$AG:$AG,'CT capacity tracker'!$A$97,'PV SUPPLY DATA'!$Y:$Y,'CT capacity tracker'!D$1)</f>
        <v>0</v>
      </c>
      <c r="E122" s="504">
        <f>SUMIFS('PV SUPPLY DATA'!$X:$X,'PV SUPPLY DATA'!$Y:$Y,'CT capacity tracker'!E$1,'PV SUPPLY DATA'!$AG:$AG,'CT capacity tracker'!$A$97,'PV SUPPLY DATA'!$AH:$AH,'CT capacity tracker'!$B$122)</f>
        <v>0</v>
      </c>
      <c r="F122" s="504">
        <f>SUMIFS('PV SUPPLY DATA'!$X:$X,'PV SUPPLY DATA'!$Y:$Y,'CT capacity tracker'!F$1,'PV SUPPLY DATA'!$AG:$AG,'CT capacity tracker'!$A$97,'PV SUPPLY DATA'!$AH:$AH,'CT capacity tracker'!$B$122)</f>
        <v>0</v>
      </c>
      <c r="G122" s="504">
        <f>SUMIFS('PV SUPPLY DATA'!$X:$X,'PV SUPPLY DATA'!$Y:$Y,'CT capacity tracker'!G$1,'PV SUPPLY DATA'!$AG:$AG,'CT capacity tracker'!$A$97,'PV SUPPLY DATA'!$AH:$AH,'CT capacity tracker'!$B$122)</f>
        <v>0</v>
      </c>
      <c r="H122" s="504">
        <f>SUMIFS('PV SUPPLY DATA'!$X:$X,'PV SUPPLY DATA'!$Y:$Y,'CT capacity tracker'!H$1,'PV SUPPLY DATA'!$AG:$AG,'CT capacity tracker'!$A$97,'PV SUPPLY DATA'!$AH:$AH,'CT capacity tracker'!$B$122)</f>
        <v>0</v>
      </c>
      <c r="I122" s="504">
        <f>SUMIFS('PV SUPPLY DATA'!$X:$X,'PV SUPPLY DATA'!$Y:$Y,'CT capacity tracker'!I$1,'PV SUPPLY DATA'!$AG:$AG,'CT capacity tracker'!$A$97,'PV SUPPLY DATA'!$AH:$AH,'CT capacity tracker'!$B$122)</f>
        <v>0</v>
      </c>
      <c r="J122" s="504">
        <f>SUMIFS('PV SUPPLY DATA'!$X:$X,'PV SUPPLY DATA'!$Y:$Y,'CT capacity tracker'!J$1,'PV SUPPLY DATA'!$AG:$AG,'CT capacity tracker'!$A$97,'PV SUPPLY DATA'!$AH:$AH,'CT capacity tracker'!$B$122)</f>
        <v>0</v>
      </c>
      <c r="K122" s="504">
        <f>SUMIFS('PV SUPPLY DATA'!$X:$X,'PV SUPPLY DATA'!$Y:$Y,'CT capacity tracker'!K$1,'PV SUPPLY DATA'!$AG:$AG,'CT capacity tracker'!$A$97,'PV SUPPLY DATA'!$AH:$AH,'CT capacity tracker'!$B$122)</f>
        <v>0</v>
      </c>
      <c r="L122" s="504">
        <f>SUMIFS('PV SUPPLY DATA'!$X:$X,'PV SUPPLY DATA'!$Y:$Y,'CT capacity tracker'!L$1,'PV SUPPLY DATA'!$AG:$AG,'CT capacity tracker'!$A$97,'PV SUPPLY DATA'!$AH:$AH,'CT capacity tracker'!$B$122)</f>
        <v>0</v>
      </c>
      <c r="M122" s="504">
        <f>SUMIFS('PV SUPPLY DATA'!$X:$X,'PV SUPPLY DATA'!$Y:$Y,'CT capacity tracker'!M$1,'PV SUPPLY DATA'!$AG:$AG,'CT capacity tracker'!$A$97,'PV SUPPLY DATA'!$AH:$AH,'CT capacity tracker'!$B$122)</f>
        <v>0</v>
      </c>
      <c r="N122" s="504">
        <f>SUMIFS('PV SUPPLY DATA'!$X:$X,'PV SUPPLY DATA'!$Y:$Y,'CT capacity tracker'!N$1,'PV SUPPLY DATA'!$AG:$AG,'CT capacity tracker'!$A$97,'PV SUPPLY DATA'!$AH:$AH,'CT capacity tracker'!$B$122)</f>
        <v>6</v>
      </c>
      <c r="O122" s="504">
        <f>SUMIFS('PV SUPPLY DATA'!$X:$X,'PV SUPPLY DATA'!$Y:$Y,'CT capacity tracker'!O$1,'PV SUPPLY DATA'!$AG:$AG,'CT capacity tracker'!$A$97,'PV SUPPLY DATA'!$AH:$AH,'CT capacity tracker'!$B$122)</f>
        <v>2</v>
      </c>
      <c r="P122" s="504">
        <f>SUMIFS('PV SUPPLY DATA'!$X:$X,'PV SUPPLY DATA'!$Y:$Y,'CT capacity tracker'!P$1,'PV SUPPLY DATA'!$AG:$AG,'CT capacity tracker'!$A$97,'PV SUPPLY DATA'!$AH:$AH,'CT capacity tracker'!$B$122)</f>
        <v>2</v>
      </c>
      <c r="Q122" s="504">
        <f>SUMIFS('PV SUPPLY DATA'!$X:$X,'PV SUPPLY DATA'!$Y:$Y,'CT capacity tracker'!Q$1,'PV SUPPLY DATA'!$AG:$AG,'CT capacity tracker'!$A$97,'PV SUPPLY DATA'!$AH:$AH,'CT capacity tracker'!$B$122)</f>
        <v>1</v>
      </c>
      <c r="R122" s="504">
        <f>SUMIFS('PV SUPPLY DATA'!$X:$X,'PV SUPPLY DATA'!$Y:$Y,'CT capacity tracker'!R$1,'PV SUPPLY DATA'!$AG:$AG,'CT capacity tracker'!$A$97,'PV SUPPLY DATA'!$AH:$AH,'CT capacity tracker'!$B$122)</f>
        <v>1</v>
      </c>
      <c r="S122" s="504">
        <f>SUMIFS('PV SUPPLY DATA'!$X:$X,'PV SUPPLY DATA'!$Y:$Y,'CT capacity tracker'!S$1,'PV SUPPLY DATA'!$AG:$AG,'CT capacity tracker'!$A$97,'PV SUPPLY DATA'!$AH:$AH,'CT capacity tracker'!$B$122)</f>
        <v>2</v>
      </c>
      <c r="T122" s="504">
        <f>SUMIFS('PV SUPPLY DATA'!$X:$X,'PV SUPPLY DATA'!$Y:$Y,'CT capacity tracker'!T$1,'PV SUPPLY DATA'!$AG:$AG,'CT capacity tracker'!$A$97,'PV SUPPLY DATA'!$AH:$AH,'CT capacity tracker'!$B$122)</f>
        <v>1</v>
      </c>
      <c r="U122" s="504">
        <f>SUMIFS('PV SUPPLY DATA'!$X:$X,'PV SUPPLY DATA'!$Y:$Y,'CT capacity tracker'!U$1,'PV SUPPLY DATA'!$AG:$AG,'CT capacity tracker'!$A$97,'PV SUPPLY DATA'!$AH:$AH,'CT capacity tracker'!$B$122)</f>
        <v>1</v>
      </c>
      <c r="V122" s="504">
        <f>SUMIFS('PV SUPPLY DATA'!$X:$X,'PV SUPPLY DATA'!$Y:$Y,'CT capacity tracker'!V$1,'PV SUPPLY DATA'!$AG:$AG,'CT capacity tracker'!$A$97,'PV SUPPLY DATA'!$AH:$AH,'CT capacity tracker'!$B$122)</f>
        <v>0</v>
      </c>
      <c r="W122" s="504">
        <f>SUMIFS('PV SUPPLY DATA'!$X:$X,'PV SUPPLY DATA'!$Y:$Y,'CT capacity tracker'!W$1,'PV SUPPLY DATA'!$AG:$AG,'CT capacity tracker'!$A$97,'PV SUPPLY DATA'!$AH:$AH,'CT capacity tracker'!$B$122)</f>
        <v>2</v>
      </c>
      <c r="X122" s="504">
        <f>SUMIFS('PV SUPPLY DATA'!$X:$X,'PV SUPPLY DATA'!$Y:$Y,'CT capacity tracker'!X$1,'PV SUPPLY DATA'!$AG:$AG,'CT capacity tracker'!$A$97,'PV SUPPLY DATA'!$AH:$AH,'CT capacity tracker'!$B$122)</f>
        <v>0</v>
      </c>
      <c r="Y122" s="504">
        <f>SUMIFS('PV SUPPLY DATA'!$X:$X,'PV SUPPLY DATA'!$Y:$Y,'CT capacity tracker'!Y$1,'PV SUPPLY DATA'!$AG:$AG,'CT capacity tracker'!$A$97,'PV SUPPLY DATA'!$AH:$AH,'CT capacity tracker'!$B$122)</f>
        <v>2</v>
      </c>
      <c r="Z122" s="504">
        <f>SUMIFS('PV SUPPLY DATA'!$X:$X,'PV SUPPLY DATA'!$Y:$Y,'CT capacity tracker'!Z$1,'PV SUPPLY DATA'!$AG:$AG,'CT capacity tracker'!$A$97,'PV SUPPLY DATA'!$AH:$AH,'CT capacity tracker'!$B$122)</f>
        <v>0</v>
      </c>
      <c r="AA122" s="504">
        <f>SUMIFS('PV SUPPLY DATA'!$X:$X,'PV SUPPLY DATA'!$Y:$Y,'CT capacity tracker'!AA$1,'PV SUPPLY DATA'!$AG:$AG,'CT capacity tracker'!$A$97,'PV SUPPLY DATA'!$AH:$AH,'CT capacity tracker'!$B$122)</f>
        <v>0</v>
      </c>
      <c r="AB122" s="504">
        <f>SUMIFS('PV SUPPLY DATA'!$X:$X,'PV SUPPLY DATA'!$Y:$Y,'CT capacity tracker'!AB$1,'PV SUPPLY DATA'!$AG:$AG,'CT capacity tracker'!$A$97,'PV SUPPLY DATA'!$AH:$AH,'CT capacity tracker'!$B$122)</f>
        <v>1</v>
      </c>
      <c r="AC122" s="504">
        <f>SUMIFS('PV SUPPLY DATA'!$X:$X,'PV SUPPLY DATA'!$Y:$Y,'CT capacity tracker'!AC$1,'PV SUPPLY DATA'!$AG:$AG,'CT capacity tracker'!$A$97,'PV SUPPLY DATA'!$AH:$AH,'CT capacity tracker'!$B$122)</f>
        <v>0</v>
      </c>
      <c r="AD122" s="504">
        <f>SUMIFS('PV SUPPLY DATA'!$X:$X,'PV SUPPLY DATA'!$Y:$Y,'CT capacity tracker'!AD$1,'PV SUPPLY DATA'!$AG:$AG,'CT capacity tracker'!$A$97,'PV SUPPLY DATA'!$AH:$AH,'CT capacity tracker'!$B$122)</f>
        <v>0</v>
      </c>
      <c r="AE122" s="504">
        <f>SUMIFS('PV SUPPLY DATA'!$X:$X,'PV SUPPLY DATA'!$Y:$Y,'CT capacity tracker'!AE$1,'PV SUPPLY DATA'!$AG:$AG,'CT capacity tracker'!$A$97,'PV SUPPLY DATA'!$AH:$AH,'CT capacity tracker'!$B$122)</f>
        <v>0</v>
      </c>
      <c r="AF122" s="504">
        <f>SUMIFS('PV SUPPLY DATA'!$X:$X,'PV SUPPLY DATA'!$Y:$Y,'CT capacity tracker'!AF$1,'PV SUPPLY DATA'!$AG:$AG,'CT capacity tracker'!$A$97,'PV SUPPLY DATA'!$AH:$AH,'CT capacity tracker'!$B$122)</f>
        <v>0</v>
      </c>
      <c r="AG122" s="504">
        <f>SUMIFS('PV SUPPLY DATA'!$X:$X,'PV SUPPLY DATA'!$Y:$Y,'CT capacity tracker'!AG$1,'PV SUPPLY DATA'!$AG:$AG,'CT capacity tracker'!$A$97,'PV SUPPLY DATA'!$AH:$AH,'CT capacity tracker'!$B$122)</f>
        <v>0</v>
      </c>
      <c r="AH122" s="504">
        <f>SUMIFS('PV SUPPLY DATA'!$X:$X,'PV SUPPLY DATA'!$Y:$Y,'CT capacity tracker'!AH$1,'PV SUPPLY DATA'!$AG:$AG,'CT capacity tracker'!$A$97,'PV SUPPLY DATA'!$AH:$AH,'CT capacity tracker'!$B$122)</f>
        <v>0</v>
      </c>
      <c r="AI122" s="504">
        <f>SUMIFS('PV SUPPLY DATA'!$X:$X,'PV SUPPLY DATA'!$Y:$Y,'CT capacity tracker'!AI$1,'PV SUPPLY DATA'!$AG:$AG,'CT capacity tracker'!$A$97,'PV SUPPLY DATA'!$AH:$AH,'CT capacity tracker'!$B$122)</f>
        <v>0</v>
      </c>
      <c r="AJ122" s="504">
        <f>SUMIFS('PV SUPPLY DATA'!$X:$X,'PV SUPPLY DATA'!$Y:$Y,'CT capacity tracker'!AJ$1,'PV SUPPLY DATA'!$AG:$AG,'CT capacity tracker'!$A$97,'PV SUPPLY DATA'!$AH:$AH,'CT capacity tracker'!$B$122)</f>
        <v>0</v>
      </c>
      <c r="AK122" s="505" t="s">
        <v>197</v>
      </c>
      <c r="AL122" s="505" t="s">
        <v>197</v>
      </c>
      <c r="AM122" s="696">
        <f>SUM(E122:X122)</f>
        <v>18</v>
      </c>
      <c r="AN122" s="503" t="s">
        <v>197</v>
      </c>
      <c r="AO122" s="506"/>
      <c r="AP122" s="506">
        <f t="shared" si="77"/>
        <v>0</v>
      </c>
      <c r="AQ122" s="506"/>
      <c r="AR122" s="506"/>
      <c r="AS122" s="506"/>
      <c r="AT122" s="506"/>
    </row>
    <row r="123" spans="1:46" ht="13">
      <c r="A123" s="1517"/>
      <c r="B123" s="1517"/>
      <c r="C123" s="509" t="s">
        <v>4401</v>
      </c>
      <c r="D123" s="509"/>
      <c r="E123" s="510"/>
      <c r="F123" s="510"/>
      <c r="G123" s="510"/>
      <c r="H123" s="510"/>
      <c r="I123" s="510"/>
      <c r="J123" s="510"/>
      <c r="K123" s="510"/>
      <c r="L123" s="510"/>
      <c r="M123" s="510">
        <v>1</v>
      </c>
      <c r="N123" s="510">
        <v>2</v>
      </c>
      <c r="O123" s="510">
        <v>2</v>
      </c>
      <c r="P123" s="510">
        <v>1</v>
      </c>
      <c r="Q123" s="510">
        <v>2</v>
      </c>
      <c r="R123" s="510">
        <v>1</v>
      </c>
      <c r="S123" s="510">
        <v>2</v>
      </c>
      <c r="T123" s="510">
        <v>1</v>
      </c>
      <c r="U123" s="510">
        <v>2</v>
      </c>
      <c r="V123" s="510">
        <v>2</v>
      </c>
      <c r="W123" s="510">
        <v>2</v>
      </c>
      <c r="X123" s="510">
        <v>1</v>
      </c>
      <c r="Y123" s="513">
        <v>1</v>
      </c>
      <c r="Z123" s="513">
        <v>2</v>
      </c>
      <c r="AA123" s="513">
        <v>2</v>
      </c>
      <c r="AB123" s="513">
        <v>0</v>
      </c>
      <c r="AC123" s="513"/>
      <c r="AD123" s="513"/>
      <c r="AE123" s="513"/>
      <c r="AF123" s="513"/>
      <c r="AG123" s="513"/>
      <c r="AH123" s="513"/>
      <c r="AI123" s="513"/>
      <c r="AJ123" s="513"/>
      <c r="AK123" s="505" t="s">
        <v>197</v>
      </c>
      <c r="AL123" s="505" t="s">
        <v>197</v>
      </c>
      <c r="AM123" s="696"/>
      <c r="AN123" s="503" t="s">
        <v>197</v>
      </c>
      <c r="AO123" s="506"/>
      <c r="AP123" s="506">
        <f t="shared" si="77"/>
        <v>0</v>
      </c>
      <c r="AQ123" s="506"/>
      <c r="AR123" s="506"/>
      <c r="AS123" s="506"/>
      <c r="AT123" s="506"/>
    </row>
    <row r="124" spans="1:46" ht="13">
      <c r="A124" s="1517"/>
      <c r="B124" s="1517"/>
      <c r="C124" s="520" t="s">
        <v>4402</v>
      </c>
      <c r="D124" s="522"/>
      <c r="E124" s="522">
        <f>E123-E122</f>
        <v>0</v>
      </c>
      <c r="F124" s="522">
        <f t="shared" ref="F124:X124" si="98">F123-F122</f>
        <v>0</v>
      </c>
      <c r="G124" s="522">
        <f t="shared" si="98"/>
        <v>0</v>
      </c>
      <c r="H124" s="522">
        <f t="shared" si="98"/>
        <v>0</v>
      </c>
      <c r="I124" s="522">
        <f t="shared" si="98"/>
        <v>0</v>
      </c>
      <c r="J124" s="522">
        <f t="shared" si="98"/>
        <v>0</v>
      </c>
      <c r="K124" s="522">
        <f t="shared" si="98"/>
        <v>0</v>
      </c>
      <c r="L124" s="522">
        <f t="shared" si="98"/>
        <v>0</v>
      </c>
      <c r="M124" s="522">
        <f t="shared" si="98"/>
        <v>1</v>
      </c>
      <c r="N124" s="522">
        <f t="shared" si="98"/>
        <v>-4</v>
      </c>
      <c r="O124" s="522">
        <f t="shared" si="98"/>
        <v>0</v>
      </c>
      <c r="P124" s="522">
        <f t="shared" si="98"/>
        <v>-1</v>
      </c>
      <c r="Q124" s="522">
        <f t="shared" si="98"/>
        <v>1</v>
      </c>
      <c r="R124" s="522">
        <f t="shared" si="98"/>
        <v>0</v>
      </c>
      <c r="S124" s="522">
        <f t="shared" si="98"/>
        <v>0</v>
      </c>
      <c r="T124" s="522">
        <f t="shared" si="98"/>
        <v>0</v>
      </c>
      <c r="U124" s="522">
        <f t="shared" si="98"/>
        <v>1</v>
      </c>
      <c r="V124" s="522">
        <f t="shared" si="98"/>
        <v>2</v>
      </c>
      <c r="W124" s="522">
        <f t="shared" si="98"/>
        <v>0</v>
      </c>
      <c r="X124" s="522">
        <f t="shared" si="98"/>
        <v>1</v>
      </c>
      <c r="Y124" s="522">
        <f t="shared" ref="Y124:AJ124" si="99">Y123-Y122</f>
        <v>-1</v>
      </c>
      <c r="Z124" s="522">
        <f t="shared" si="99"/>
        <v>2</v>
      </c>
      <c r="AA124" s="522">
        <f t="shared" si="99"/>
        <v>2</v>
      </c>
      <c r="AB124" s="522">
        <f t="shared" si="99"/>
        <v>-1</v>
      </c>
      <c r="AC124" s="522">
        <f t="shared" si="99"/>
        <v>0</v>
      </c>
      <c r="AD124" s="522">
        <f t="shared" si="99"/>
        <v>0</v>
      </c>
      <c r="AE124" s="522">
        <f t="shared" si="99"/>
        <v>0</v>
      </c>
      <c r="AF124" s="522">
        <f t="shared" si="99"/>
        <v>0</v>
      </c>
      <c r="AG124" s="522">
        <f t="shared" si="99"/>
        <v>0</v>
      </c>
      <c r="AH124" s="522">
        <f t="shared" si="99"/>
        <v>0</v>
      </c>
      <c r="AI124" s="522">
        <f t="shared" si="99"/>
        <v>0</v>
      </c>
      <c r="AJ124" s="522">
        <f t="shared" si="99"/>
        <v>0</v>
      </c>
      <c r="AK124" s="511">
        <f>SUMIF($E124:$X124,"&gt;0")</f>
        <v>6</v>
      </c>
      <c r="AL124" s="511">
        <f>SUMIF($E124:$X124,"&lt;0")</f>
        <v>-5</v>
      </c>
      <c r="AM124" s="696"/>
      <c r="AN124" s="503"/>
      <c r="AO124" s="506"/>
      <c r="AP124" s="506">
        <f t="shared" si="77"/>
        <v>0</v>
      </c>
      <c r="AQ124" s="506"/>
      <c r="AR124" s="506"/>
      <c r="AS124" s="506"/>
      <c r="AT124" s="506"/>
    </row>
    <row r="125" spans="1:46" ht="13">
      <c r="A125" s="1517"/>
      <c r="B125" s="1518"/>
      <c r="C125" s="503" t="s">
        <v>4403</v>
      </c>
      <c r="D125" s="522"/>
      <c r="E125" s="504">
        <f>SUMIFS('PV SUPPLY DATA'!$X:$X,'PV SUPPLY DATA'!$AH:$AH,'CT capacity tracker'!$B122,'PV SUPPLY DATA'!$AG:$AG,'CT capacity tracker'!$A$97,'PV SUPPLY DATA'!$Y:$Y,E$1,'PV SUPPLY DATA'!$AQ:$AQ,"cosco")+SUMIFS('PV SUPPLY DATA'!$X:$X,'PV SUPPLY DATA'!$AH:$AH,'CT capacity tracker'!$B122,'PV SUPPLY DATA'!$AG:$AG,'CT capacity tracker'!$A$97,'PV SUPPLY DATA'!$Y:$Y,E$1,'PV SUPPLY DATA'!$AQ:$AQ,"other")+SUMIFS('ESS SUPPLY DATA'!$U:$U,'ESS SUPPLY DATA'!$AF:$AF,'CT capacity tracker'!$B122,'ESS SUPPLY DATA'!$AE:$AE,'CT capacity tracker'!$A$97,'ESS SUPPLY DATA'!$W:$W,'CT capacity tracker'!E$1,'ESS SUPPLY DATA'!$AO:$AO,"cosco")+SUMIFS('ESS SUPPLY DATA'!$U:$U,'ESS SUPPLY DATA'!$AF:$AF,'CT capacity tracker'!$B122,'ESS SUPPLY DATA'!$AE:$AE,'CT capacity tracker'!$A$97,'ESS SUPPLY DATA'!$W:$W,'CT capacity tracker'!E$1,'ESS SUPPLY DATA'!$AO:$AO,"other")</f>
        <v>0</v>
      </c>
      <c r="F125" s="504">
        <f>SUMIFS('PV SUPPLY DATA'!$X:$X,'PV SUPPLY DATA'!$AH:$AH,'CT capacity tracker'!$B122,'PV SUPPLY DATA'!$AG:$AG,'CT capacity tracker'!$A$97,'PV SUPPLY DATA'!$Y:$Y,F$1,'PV SUPPLY DATA'!$AQ:$AQ,"cosco")+SUMIFS('PV SUPPLY DATA'!$X:$X,'PV SUPPLY DATA'!$AH:$AH,'CT capacity tracker'!$B122,'PV SUPPLY DATA'!$AG:$AG,'CT capacity tracker'!$A$97,'PV SUPPLY DATA'!$Y:$Y,F$1,'PV SUPPLY DATA'!$AQ:$AQ,"other")+SUMIFS('ESS SUPPLY DATA'!$U:$U,'ESS SUPPLY DATA'!$AF:$AF,'CT capacity tracker'!$B122,'ESS SUPPLY DATA'!$AE:$AE,'CT capacity tracker'!$A$97,'ESS SUPPLY DATA'!$W:$W,'CT capacity tracker'!F$1,'ESS SUPPLY DATA'!$AO:$AO,"cosco")+SUMIFS('ESS SUPPLY DATA'!$U:$U,'ESS SUPPLY DATA'!$AF:$AF,'CT capacity tracker'!$B122,'ESS SUPPLY DATA'!$AE:$AE,'CT capacity tracker'!$A$97,'ESS SUPPLY DATA'!$W:$W,'CT capacity tracker'!F$1,'ESS SUPPLY DATA'!$AO:$AO,"other")</f>
        <v>0</v>
      </c>
      <c r="G125" s="504">
        <f>SUMIFS('PV SUPPLY DATA'!$X:$X,'PV SUPPLY DATA'!$AH:$AH,'CT capacity tracker'!$B122,'PV SUPPLY DATA'!$AG:$AG,'CT capacity tracker'!$A$97,'PV SUPPLY DATA'!$Y:$Y,G$1,'PV SUPPLY DATA'!$AQ:$AQ,"cosco")+SUMIFS('PV SUPPLY DATA'!$X:$X,'PV SUPPLY DATA'!$AH:$AH,'CT capacity tracker'!$B122,'PV SUPPLY DATA'!$AG:$AG,'CT capacity tracker'!$A$97,'PV SUPPLY DATA'!$Y:$Y,G$1,'PV SUPPLY DATA'!$AQ:$AQ,"other")+SUMIFS('ESS SUPPLY DATA'!$U:$U,'ESS SUPPLY DATA'!$AF:$AF,'CT capacity tracker'!$B122,'ESS SUPPLY DATA'!$AE:$AE,'CT capacity tracker'!$A$97,'ESS SUPPLY DATA'!$W:$W,'CT capacity tracker'!G$1,'ESS SUPPLY DATA'!$AO:$AO,"cosco")+SUMIFS('ESS SUPPLY DATA'!$U:$U,'ESS SUPPLY DATA'!$AF:$AF,'CT capacity tracker'!$B122,'ESS SUPPLY DATA'!$AE:$AE,'CT capacity tracker'!$A$97,'ESS SUPPLY DATA'!$W:$W,'CT capacity tracker'!G$1,'ESS SUPPLY DATA'!$AO:$AO,"other")</f>
        <v>0</v>
      </c>
      <c r="H125" s="504">
        <f>SUMIFS('PV SUPPLY DATA'!$X:$X,'PV SUPPLY DATA'!$AH:$AH,'CT capacity tracker'!$B122,'PV SUPPLY DATA'!$AG:$AG,'CT capacity tracker'!$A$97,'PV SUPPLY DATA'!$Y:$Y,H$1,'PV SUPPLY DATA'!$AQ:$AQ,"cosco")+SUMIFS('PV SUPPLY DATA'!$X:$X,'PV SUPPLY DATA'!$AH:$AH,'CT capacity tracker'!$B122,'PV SUPPLY DATA'!$AG:$AG,'CT capacity tracker'!$A$97,'PV SUPPLY DATA'!$Y:$Y,H$1,'PV SUPPLY DATA'!$AQ:$AQ,"other")+SUMIFS('ESS SUPPLY DATA'!$U:$U,'ESS SUPPLY DATA'!$AF:$AF,'CT capacity tracker'!$B122,'ESS SUPPLY DATA'!$AE:$AE,'CT capacity tracker'!$A$97,'ESS SUPPLY DATA'!$W:$W,'CT capacity tracker'!H$1,'ESS SUPPLY DATA'!$AO:$AO,"cosco")+SUMIFS('ESS SUPPLY DATA'!$U:$U,'ESS SUPPLY DATA'!$AF:$AF,'CT capacity tracker'!$B122,'ESS SUPPLY DATA'!$AE:$AE,'CT capacity tracker'!$A$97,'ESS SUPPLY DATA'!$W:$W,'CT capacity tracker'!H$1,'ESS SUPPLY DATA'!$AO:$AO,"other")</f>
        <v>0</v>
      </c>
      <c r="I125" s="504">
        <f>SUMIFS('PV SUPPLY DATA'!$X:$X,'PV SUPPLY DATA'!$AH:$AH,'CT capacity tracker'!$B122,'PV SUPPLY DATA'!$AG:$AG,'CT capacity tracker'!$A$97,'PV SUPPLY DATA'!$Y:$Y,I$1,'PV SUPPLY DATA'!$AQ:$AQ,"cosco")+SUMIFS('PV SUPPLY DATA'!$X:$X,'PV SUPPLY DATA'!$AH:$AH,'CT capacity tracker'!$B122,'PV SUPPLY DATA'!$AG:$AG,'CT capacity tracker'!$A$97,'PV SUPPLY DATA'!$Y:$Y,I$1,'PV SUPPLY DATA'!$AQ:$AQ,"other")+SUMIFS('ESS SUPPLY DATA'!$U:$U,'ESS SUPPLY DATA'!$AF:$AF,'CT capacity tracker'!$B122,'ESS SUPPLY DATA'!$AE:$AE,'CT capacity tracker'!$A$97,'ESS SUPPLY DATA'!$W:$W,'CT capacity tracker'!I$1,'ESS SUPPLY DATA'!$AO:$AO,"cosco")+SUMIFS('ESS SUPPLY DATA'!$U:$U,'ESS SUPPLY DATA'!$AF:$AF,'CT capacity tracker'!$B122,'ESS SUPPLY DATA'!$AE:$AE,'CT capacity tracker'!$A$97,'ESS SUPPLY DATA'!$W:$W,'CT capacity tracker'!I$1,'ESS SUPPLY DATA'!$AO:$AO,"other")</f>
        <v>0</v>
      </c>
      <c r="J125" s="504">
        <f>SUMIFS('PV SUPPLY DATA'!$X:$X,'PV SUPPLY DATA'!$AH:$AH,'CT capacity tracker'!$B122,'PV SUPPLY DATA'!$AG:$AG,'CT capacity tracker'!$A$97,'PV SUPPLY DATA'!$Y:$Y,J$1,'PV SUPPLY DATA'!$AQ:$AQ,"cosco")+SUMIFS('PV SUPPLY DATA'!$X:$X,'PV SUPPLY DATA'!$AH:$AH,'CT capacity tracker'!$B122,'PV SUPPLY DATA'!$AG:$AG,'CT capacity tracker'!$A$97,'PV SUPPLY DATA'!$Y:$Y,J$1,'PV SUPPLY DATA'!$AQ:$AQ,"other")+SUMIFS('ESS SUPPLY DATA'!$U:$U,'ESS SUPPLY DATA'!$AF:$AF,'CT capacity tracker'!$B122,'ESS SUPPLY DATA'!$AE:$AE,'CT capacity tracker'!$A$97,'ESS SUPPLY DATA'!$W:$W,'CT capacity tracker'!J$1,'ESS SUPPLY DATA'!$AO:$AO,"cosco")+SUMIFS('ESS SUPPLY DATA'!$U:$U,'ESS SUPPLY DATA'!$AF:$AF,'CT capacity tracker'!$B122,'ESS SUPPLY DATA'!$AE:$AE,'CT capacity tracker'!$A$97,'ESS SUPPLY DATA'!$W:$W,'CT capacity tracker'!J$1,'ESS SUPPLY DATA'!$AO:$AO,"other")</f>
        <v>0</v>
      </c>
      <c r="K125" s="504">
        <f>SUMIFS('PV SUPPLY DATA'!$X:$X,'PV SUPPLY DATA'!$AH:$AH,'CT capacity tracker'!$B122,'PV SUPPLY DATA'!$AG:$AG,'CT capacity tracker'!$A$97,'PV SUPPLY DATA'!$Y:$Y,K$1,'PV SUPPLY DATA'!$AQ:$AQ,"cosco")+SUMIFS('PV SUPPLY DATA'!$X:$X,'PV SUPPLY DATA'!$AH:$AH,'CT capacity tracker'!$B122,'PV SUPPLY DATA'!$AG:$AG,'CT capacity tracker'!$A$97,'PV SUPPLY DATA'!$Y:$Y,K$1,'PV SUPPLY DATA'!$AQ:$AQ,"other")+SUMIFS('ESS SUPPLY DATA'!$U:$U,'ESS SUPPLY DATA'!$AF:$AF,'CT capacity tracker'!$B122,'ESS SUPPLY DATA'!$AE:$AE,'CT capacity tracker'!$A$97,'ESS SUPPLY DATA'!$W:$W,'CT capacity tracker'!K$1,'ESS SUPPLY DATA'!$AO:$AO,"cosco")+SUMIFS('ESS SUPPLY DATA'!$U:$U,'ESS SUPPLY DATA'!$AF:$AF,'CT capacity tracker'!$B122,'ESS SUPPLY DATA'!$AE:$AE,'CT capacity tracker'!$A$97,'ESS SUPPLY DATA'!$W:$W,'CT capacity tracker'!K$1,'ESS SUPPLY DATA'!$AO:$AO,"other")</f>
        <v>0</v>
      </c>
      <c r="L125" s="504">
        <f>SUMIFS('PV SUPPLY DATA'!$X:$X,'PV SUPPLY DATA'!$AH:$AH,'CT capacity tracker'!$B122,'PV SUPPLY DATA'!$AG:$AG,'CT capacity tracker'!$A$97,'PV SUPPLY DATA'!$Y:$Y,L$1,'PV SUPPLY DATA'!$AQ:$AQ,"cosco")+SUMIFS('PV SUPPLY DATA'!$X:$X,'PV SUPPLY DATA'!$AH:$AH,'CT capacity tracker'!$B122,'PV SUPPLY DATA'!$AG:$AG,'CT capacity tracker'!$A$97,'PV SUPPLY DATA'!$Y:$Y,L$1,'PV SUPPLY DATA'!$AQ:$AQ,"other")+SUMIFS('ESS SUPPLY DATA'!$U:$U,'ESS SUPPLY DATA'!$AF:$AF,'CT capacity tracker'!$B122,'ESS SUPPLY DATA'!$AE:$AE,'CT capacity tracker'!$A$97,'ESS SUPPLY DATA'!$W:$W,'CT capacity tracker'!L$1,'ESS SUPPLY DATA'!$AO:$AO,"cosco")+SUMIFS('ESS SUPPLY DATA'!$U:$U,'ESS SUPPLY DATA'!$AF:$AF,'CT capacity tracker'!$B122,'ESS SUPPLY DATA'!$AE:$AE,'CT capacity tracker'!$A$97,'ESS SUPPLY DATA'!$W:$W,'CT capacity tracker'!L$1,'ESS SUPPLY DATA'!$AO:$AO,"other")</f>
        <v>0</v>
      </c>
      <c r="M125" s="504">
        <f>SUMIFS('PV SUPPLY DATA'!$X:$X,'PV SUPPLY DATA'!$AH:$AH,'CT capacity tracker'!$B122,'PV SUPPLY DATA'!$AG:$AG,'CT capacity tracker'!$A$97,'PV SUPPLY DATA'!$Y:$Y,M$1,'PV SUPPLY DATA'!$AQ:$AQ,"cosco")+SUMIFS('PV SUPPLY DATA'!$X:$X,'PV SUPPLY DATA'!$AH:$AH,'CT capacity tracker'!$B122,'PV SUPPLY DATA'!$AG:$AG,'CT capacity tracker'!$A$97,'PV SUPPLY DATA'!$Y:$Y,M$1,'PV SUPPLY DATA'!$AQ:$AQ,"other")+SUMIFS('ESS SUPPLY DATA'!$U:$U,'ESS SUPPLY DATA'!$AF:$AF,'CT capacity tracker'!$B122,'ESS SUPPLY DATA'!$AE:$AE,'CT capacity tracker'!$A$97,'ESS SUPPLY DATA'!$W:$W,'CT capacity tracker'!M$1,'ESS SUPPLY DATA'!$AO:$AO,"cosco")+SUMIFS('ESS SUPPLY DATA'!$U:$U,'ESS SUPPLY DATA'!$AF:$AF,'CT capacity tracker'!$B122,'ESS SUPPLY DATA'!$AE:$AE,'CT capacity tracker'!$A$97,'ESS SUPPLY DATA'!$W:$W,'CT capacity tracker'!M$1,'ESS SUPPLY DATA'!$AO:$AO,"other")</f>
        <v>0</v>
      </c>
      <c r="N125" s="504">
        <f>SUMIFS('PV SUPPLY DATA'!$X:$X,'PV SUPPLY DATA'!$AH:$AH,'CT capacity tracker'!$B122,'PV SUPPLY DATA'!$AG:$AG,'CT capacity tracker'!$A$97,'PV SUPPLY DATA'!$Y:$Y,N$1,'PV SUPPLY DATA'!$AQ:$AQ,"cosco")+SUMIFS('PV SUPPLY DATA'!$X:$X,'PV SUPPLY DATA'!$AH:$AH,'CT capacity tracker'!$B122,'PV SUPPLY DATA'!$AG:$AG,'CT capacity tracker'!$A$97,'PV SUPPLY DATA'!$Y:$Y,N$1,'PV SUPPLY DATA'!$AQ:$AQ,"other")+SUMIFS('ESS SUPPLY DATA'!$U:$U,'ESS SUPPLY DATA'!$AF:$AF,'CT capacity tracker'!$B122,'ESS SUPPLY DATA'!$AE:$AE,'CT capacity tracker'!$A$97,'ESS SUPPLY DATA'!$W:$W,'CT capacity tracker'!N$1,'ESS SUPPLY DATA'!$AO:$AO,"cosco")+SUMIFS('ESS SUPPLY DATA'!$U:$U,'ESS SUPPLY DATA'!$AF:$AF,'CT capacity tracker'!$B122,'ESS SUPPLY DATA'!$AE:$AE,'CT capacity tracker'!$A$97,'ESS SUPPLY DATA'!$W:$W,'CT capacity tracker'!N$1,'ESS SUPPLY DATA'!$AO:$AO,"other")</f>
        <v>6</v>
      </c>
      <c r="O125" s="504">
        <f>SUMIFS('PV SUPPLY DATA'!$X:$X,'PV SUPPLY DATA'!$AH:$AH,'CT capacity tracker'!$B122,'PV SUPPLY DATA'!$AG:$AG,'CT capacity tracker'!$A$97,'PV SUPPLY DATA'!$Y:$Y,O$1,'PV SUPPLY DATA'!$AQ:$AQ,"cosco")+SUMIFS('PV SUPPLY DATA'!$X:$X,'PV SUPPLY DATA'!$AH:$AH,'CT capacity tracker'!$B122,'PV SUPPLY DATA'!$AG:$AG,'CT capacity tracker'!$A$97,'PV SUPPLY DATA'!$Y:$Y,O$1,'PV SUPPLY DATA'!$AQ:$AQ,"other")+SUMIFS('ESS SUPPLY DATA'!$U:$U,'ESS SUPPLY DATA'!$AF:$AF,'CT capacity tracker'!$B122,'ESS SUPPLY DATA'!$AE:$AE,'CT capacity tracker'!$A$97,'ESS SUPPLY DATA'!$W:$W,'CT capacity tracker'!O$1,'ESS SUPPLY DATA'!$AO:$AO,"cosco")+SUMIFS('ESS SUPPLY DATA'!$U:$U,'ESS SUPPLY DATA'!$AF:$AF,'CT capacity tracker'!$B122,'ESS SUPPLY DATA'!$AE:$AE,'CT capacity tracker'!$A$97,'ESS SUPPLY DATA'!$W:$W,'CT capacity tracker'!O$1,'ESS SUPPLY DATA'!$AO:$AO,"other")</f>
        <v>2</v>
      </c>
      <c r="P125" s="504">
        <f>SUMIFS('PV SUPPLY DATA'!$X:$X,'PV SUPPLY DATA'!$AH:$AH,'CT capacity tracker'!$B122,'PV SUPPLY DATA'!$AG:$AG,'CT capacity tracker'!$A$97,'PV SUPPLY DATA'!$Y:$Y,P$1,'PV SUPPLY DATA'!$AQ:$AQ,"cosco")+SUMIFS('PV SUPPLY DATA'!$X:$X,'PV SUPPLY DATA'!$AH:$AH,'CT capacity tracker'!$B122,'PV SUPPLY DATA'!$AG:$AG,'CT capacity tracker'!$A$97,'PV SUPPLY DATA'!$Y:$Y,P$1,'PV SUPPLY DATA'!$AQ:$AQ,"other")+SUMIFS('ESS SUPPLY DATA'!$U:$U,'ESS SUPPLY DATA'!$AF:$AF,'CT capacity tracker'!$B122,'ESS SUPPLY DATA'!$AE:$AE,'CT capacity tracker'!$A$97,'ESS SUPPLY DATA'!$W:$W,'CT capacity tracker'!P$1,'ESS SUPPLY DATA'!$AO:$AO,"cosco")+SUMIFS('ESS SUPPLY DATA'!$U:$U,'ESS SUPPLY DATA'!$AF:$AF,'CT capacity tracker'!$B122,'ESS SUPPLY DATA'!$AE:$AE,'CT capacity tracker'!$A$97,'ESS SUPPLY DATA'!$W:$W,'CT capacity tracker'!P$1,'ESS SUPPLY DATA'!$AO:$AO,"other")</f>
        <v>2</v>
      </c>
      <c r="Q125" s="504">
        <f>SUMIFS('PV SUPPLY DATA'!$X:$X,'PV SUPPLY DATA'!$AH:$AH,'CT capacity tracker'!$B122,'PV SUPPLY DATA'!$AG:$AG,'CT capacity tracker'!$A$97,'PV SUPPLY DATA'!$Y:$Y,Q$1,'PV SUPPLY DATA'!$AQ:$AQ,"cosco")+SUMIFS('PV SUPPLY DATA'!$X:$X,'PV SUPPLY DATA'!$AH:$AH,'CT capacity tracker'!$B122,'PV SUPPLY DATA'!$AG:$AG,'CT capacity tracker'!$A$97,'PV SUPPLY DATA'!$Y:$Y,Q$1,'PV SUPPLY DATA'!$AQ:$AQ,"other")+SUMIFS('ESS SUPPLY DATA'!$U:$U,'ESS SUPPLY DATA'!$AF:$AF,'CT capacity tracker'!$B122,'ESS SUPPLY DATA'!$AE:$AE,'CT capacity tracker'!$A$97,'ESS SUPPLY DATA'!$W:$W,'CT capacity tracker'!Q$1,'ESS SUPPLY DATA'!$AO:$AO,"cosco")+SUMIFS('ESS SUPPLY DATA'!$U:$U,'ESS SUPPLY DATA'!$AF:$AF,'CT capacity tracker'!$B122,'ESS SUPPLY DATA'!$AE:$AE,'CT capacity tracker'!$A$97,'ESS SUPPLY DATA'!$W:$W,'CT capacity tracker'!Q$1,'ESS SUPPLY DATA'!$AO:$AO,"other")</f>
        <v>1</v>
      </c>
      <c r="R125" s="504">
        <f>SUMIFS('PV SUPPLY DATA'!$X:$X,'PV SUPPLY DATA'!$AH:$AH,'CT capacity tracker'!$B122,'PV SUPPLY DATA'!$AG:$AG,'CT capacity tracker'!$A$97,'PV SUPPLY DATA'!$Y:$Y,R$1,'PV SUPPLY DATA'!$AQ:$AQ,"cosco")+SUMIFS('PV SUPPLY DATA'!$X:$X,'PV SUPPLY DATA'!$AH:$AH,'CT capacity tracker'!$B122,'PV SUPPLY DATA'!$AG:$AG,'CT capacity tracker'!$A$97,'PV SUPPLY DATA'!$Y:$Y,R$1,'PV SUPPLY DATA'!$AQ:$AQ,"other")+SUMIFS('ESS SUPPLY DATA'!$U:$U,'ESS SUPPLY DATA'!$AF:$AF,'CT capacity tracker'!$B122,'ESS SUPPLY DATA'!$AE:$AE,'CT capacity tracker'!$A$97,'ESS SUPPLY DATA'!$W:$W,'CT capacity tracker'!R$1,'ESS SUPPLY DATA'!$AO:$AO,"cosco")+SUMIFS('ESS SUPPLY DATA'!$U:$U,'ESS SUPPLY DATA'!$AF:$AF,'CT capacity tracker'!$B122,'ESS SUPPLY DATA'!$AE:$AE,'CT capacity tracker'!$A$97,'ESS SUPPLY DATA'!$W:$W,'CT capacity tracker'!R$1,'ESS SUPPLY DATA'!$AO:$AO,"other")</f>
        <v>1</v>
      </c>
      <c r="S125" s="504">
        <f>SUMIFS('PV SUPPLY DATA'!$X:$X,'PV SUPPLY DATA'!$AH:$AH,'CT capacity tracker'!$B122,'PV SUPPLY DATA'!$AG:$AG,'CT capacity tracker'!$A$97,'PV SUPPLY DATA'!$Y:$Y,S$1,'PV SUPPLY DATA'!$AQ:$AQ,"cosco")+SUMIFS('PV SUPPLY DATA'!$X:$X,'PV SUPPLY DATA'!$AH:$AH,'CT capacity tracker'!$B122,'PV SUPPLY DATA'!$AG:$AG,'CT capacity tracker'!$A$97,'PV SUPPLY DATA'!$Y:$Y,S$1,'PV SUPPLY DATA'!$AQ:$AQ,"other")+SUMIFS('ESS SUPPLY DATA'!$U:$U,'ESS SUPPLY DATA'!$AF:$AF,'CT capacity tracker'!$B122,'ESS SUPPLY DATA'!$AE:$AE,'CT capacity tracker'!$A$97,'ESS SUPPLY DATA'!$W:$W,'CT capacity tracker'!S$1,'ESS SUPPLY DATA'!$AO:$AO,"cosco")+SUMIFS('ESS SUPPLY DATA'!$U:$U,'ESS SUPPLY DATA'!$AF:$AF,'CT capacity tracker'!$B122,'ESS SUPPLY DATA'!$AE:$AE,'CT capacity tracker'!$A$97,'ESS SUPPLY DATA'!$W:$W,'CT capacity tracker'!S$1,'ESS SUPPLY DATA'!$AO:$AO,"other")</f>
        <v>2</v>
      </c>
      <c r="T125" s="504">
        <f>SUMIFS('PV SUPPLY DATA'!$X:$X,'PV SUPPLY DATA'!$AH:$AH,'CT capacity tracker'!$B122,'PV SUPPLY DATA'!$AG:$AG,'CT capacity tracker'!$A$97,'PV SUPPLY DATA'!$Y:$Y,T$1,'PV SUPPLY DATA'!$AQ:$AQ,"cosco")+SUMIFS('PV SUPPLY DATA'!$X:$X,'PV SUPPLY DATA'!$AH:$AH,'CT capacity tracker'!$B122,'PV SUPPLY DATA'!$AG:$AG,'CT capacity tracker'!$A$97,'PV SUPPLY DATA'!$Y:$Y,T$1,'PV SUPPLY DATA'!$AQ:$AQ,"other")+SUMIFS('ESS SUPPLY DATA'!$U:$U,'ESS SUPPLY DATA'!$AF:$AF,'CT capacity tracker'!$B122,'ESS SUPPLY DATA'!$AE:$AE,'CT capacity tracker'!$A$97,'ESS SUPPLY DATA'!$W:$W,'CT capacity tracker'!T$1,'ESS SUPPLY DATA'!$AO:$AO,"cosco")+SUMIFS('ESS SUPPLY DATA'!$U:$U,'ESS SUPPLY DATA'!$AF:$AF,'CT capacity tracker'!$B122,'ESS SUPPLY DATA'!$AE:$AE,'CT capacity tracker'!$A$97,'ESS SUPPLY DATA'!$W:$W,'CT capacity tracker'!T$1,'ESS SUPPLY DATA'!$AO:$AO,"other")</f>
        <v>1</v>
      </c>
      <c r="U125" s="504">
        <f>SUMIFS('PV SUPPLY DATA'!$X:$X,'PV SUPPLY DATA'!$AH:$AH,'CT capacity tracker'!$B122,'PV SUPPLY DATA'!$AG:$AG,'CT capacity tracker'!$A$97,'PV SUPPLY DATA'!$Y:$Y,U$1,'PV SUPPLY DATA'!$AQ:$AQ,"cosco")+SUMIFS('PV SUPPLY DATA'!$X:$X,'PV SUPPLY DATA'!$AH:$AH,'CT capacity tracker'!$B122,'PV SUPPLY DATA'!$AG:$AG,'CT capacity tracker'!$A$97,'PV SUPPLY DATA'!$Y:$Y,U$1,'PV SUPPLY DATA'!$AQ:$AQ,"other")+SUMIFS('ESS SUPPLY DATA'!$U:$U,'ESS SUPPLY DATA'!$AF:$AF,'CT capacity tracker'!$B122,'ESS SUPPLY DATA'!$AE:$AE,'CT capacity tracker'!$A$97,'ESS SUPPLY DATA'!$W:$W,'CT capacity tracker'!U$1,'ESS SUPPLY DATA'!$AO:$AO,"cosco")+SUMIFS('ESS SUPPLY DATA'!$U:$U,'ESS SUPPLY DATA'!$AF:$AF,'CT capacity tracker'!$B122,'ESS SUPPLY DATA'!$AE:$AE,'CT capacity tracker'!$A$97,'ESS SUPPLY DATA'!$W:$W,'CT capacity tracker'!U$1,'ESS SUPPLY DATA'!$AO:$AO,"other")</f>
        <v>1</v>
      </c>
      <c r="V125" s="504">
        <f>SUMIFS('PV SUPPLY DATA'!$X:$X,'PV SUPPLY DATA'!$AH:$AH,'CT capacity tracker'!$B122,'PV SUPPLY DATA'!$AG:$AG,'CT capacity tracker'!$A$97,'PV SUPPLY DATA'!$Y:$Y,V$1,'PV SUPPLY DATA'!$AQ:$AQ,"cosco")+SUMIFS('PV SUPPLY DATA'!$X:$X,'PV SUPPLY DATA'!$AH:$AH,'CT capacity tracker'!$B122,'PV SUPPLY DATA'!$AG:$AG,'CT capacity tracker'!$A$97,'PV SUPPLY DATA'!$Y:$Y,V$1,'PV SUPPLY DATA'!$AQ:$AQ,"other")+SUMIFS('ESS SUPPLY DATA'!$U:$U,'ESS SUPPLY DATA'!$AF:$AF,'CT capacity tracker'!$B122,'ESS SUPPLY DATA'!$AE:$AE,'CT capacity tracker'!$A$97,'ESS SUPPLY DATA'!$W:$W,'CT capacity tracker'!V$1,'ESS SUPPLY DATA'!$AO:$AO,"cosco")+SUMIFS('ESS SUPPLY DATA'!$U:$U,'ESS SUPPLY DATA'!$AF:$AF,'CT capacity tracker'!$B122,'ESS SUPPLY DATA'!$AE:$AE,'CT capacity tracker'!$A$97,'ESS SUPPLY DATA'!$W:$W,'CT capacity tracker'!V$1,'ESS SUPPLY DATA'!$AO:$AO,"other")</f>
        <v>0</v>
      </c>
      <c r="W125" s="504">
        <f>SUMIFS('PV SUPPLY DATA'!$X:$X,'PV SUPPLY DATA'!$AH:$AH,'CT capacity tracker'!$B122,'PV SUPPLY DATA'!$AG:$AG,'CT capacity tracker'!$A$97,'PV SUPPLY DATA'!$Y:$Y,W$1,'PV SUPPLY DATA'!$AQ:$AQ,"cosco")+SUMIFS('PV SUPPLY DATA'!$X:$X,'PV SUPPLY DATA'!$AH:$AH,'CT capacity tracker'!$B122,'PV SUPPLY DATA'!$AG:$AG,'CT capacity tracker'!$A$97,'PV SUPPLY DATA'!$Y:$Y,W$1,'PV SUPPLY DATA'!$AQ:$AQ,"other")+SUMIFS('ESS SUPPLY DATA'!$U:$U,'ESS SUPPLY DATA'!$AF:$AF,'CT capacity tracker'!$B122,'ESS SUPPLY DATA'!$AE:$AE,'CT capacity tracker'!$A$97,'ESS SUPPLY DATA'!$W:$W,'CT capacity tracker'!W$1,'ESS SUPPLY DATA'!$AO:$AO,"cosco")+SUMIFS('ESS SUPPLY DATA'!$U:$U,'ESS SUPPLY DATA'!$AF:$AF,'CT capacity tracker'!$B122,'ESS SUPPLY DATA'!$AE:$AE,'CT capacity tracker'!$A$97,'ESS SUPPLY DATA'!$W:$W,'CT capacity tracker'!W$1,'ESS SUPPLY DATA'!$AO:$AO,"other")</f>
        <v>2</v>
      </c>
      <c r="X125" s="504">
        <f>SUMIFS('PV SUPPLY DATA'!$X:$X,'PV SUPPLY DATA'!$AH:$AH,'CT capacity tracker'!$B122,'PV SUPPLY DATA'!$AG:$AG,'CT capacity tracker'!$A$97,'PV SUPPLY DATA'!$Y:$Y,X$1,'PV SUPPLY DATA'!$AQ:$AQ,"cosco")+SUMIFS('PV SUPPLY DATA'!$X:$X,'PV SUPPLY DATA'!$AH:$AH,'CT capacity tracker'!$B122,'PV SUPPLY DATA'!$AG:$AG,'CT capacity tracker'!$A$97,'PV SUPPLY DATA'!$Y:$Y,X$1,'PV SUPPLY DATA'!$AQ:$AQ,"other")+SUMIFS('ESS SUPPLY DATA'!$U:$U,'ESS SUPPLY DATA'!$AF:$AF,'CT capacity tracker'!$B122,'ESS SUPPLY DATA'!$AE:$AE,'CT capacity tracker'!$A$97,'ESS SUPPLY DATA'!$W:$W,'CT capacity tracker'!X$1,'ESS SUPPLY DATA'!$AO:$AO,"cosco")+SUMIFS('ESS SUPPLY DATA'!$U:$U,'ESS SUPPLY DATA'!$AF:$AF,'CT capacity tracker'!$B122,'ESS SUPPLY DATA'!$AE:$AE,'CT capacity tracker'!$A$97,'ESS SUPPLY DATA'!$W:$W,'CT capacity tracker'!X$1,'ESS SUPPLY DATA'!$AO:$AO,"other")</f>
        <v>0</v>
      </c>
      <c r="Y125" s="504">
        <f>SUMIFS('PV SUPPLY DATA'!$X:$X,'PV SUPPLY DATA'!$AH:$AH,'CT capacity tracker'!$B122,'PV SUPPLY DATA'!$AG:$AG,'CT capacity tracker'!$A$97,'PV SUPPLY DATA'!$Y:$Y,Y$1,'PV SUPPLY DATA'!$AQ:$AQ,"cosco")+SUMIFS('PV SUPPLY DATA'!$X:$X,'PV SUPPLY DATA'!$AH:$AH,'CT capacity tracker'!$B122,'PV SUPPLY DATA'!$AG:$AG,'CT capacity tracker'!$A$97,'PV SUPPLY DATA'!$Y:$Y,Y$1,'PV SUPPLY DATA'!$AQ:$AQ,"other")+SUMIFS('ESS SUPPLY DATA'!$U:$U,'ESS SUPPLY DATA'!$AF:$AF,'CT capacity tracker'!$B122,'ESS SUPPLY DATA'!$AE:$AE,'CT capacity tracker'!$A$97,'ESS SUPPLY DATA'!$W:$W,'CT capacity tracker'!Y$1,'ESS SUPPLY DATA'!$AO:$AO,"cosco")+SUMIFS('ESS SUPPLY DATA'!$U:$U,'ESS SUPPLY DATA'!$AF:$AF,'CT capacity tracker'!$B122,'ESS SUPPLY DATA'!$AE:$AE,'CT capacity tracker'!$A$97,'ESS SUPPLY DATA'!$W:$W,'CT capacity tracker'!Y$1,'ESS SUPPLY DATA'!$AO:$AO,"other")</f>
        <v>2</v>
      </c>
      <c r="Z125" s="504">
        <f>SUMIFS('PV SUPPLY DATA'!$X:$X,'PV SUPPLY DATA'!$AH:$AH,'CT capacity tracker'!$B122,'PV SUPPLY DATA'!$AG:$AG,'CT capacity tracker'!$A$97,'PV SUPPLY DATA'!$Y:$Y,Z$1,'PV SUPPLY DATA'!$AQ:$AQ,"cosco")+SUMIFS('PV SUPPLY DATA'!$X:$X,'PV SUPPLY DATA'!$AH:$AH,'CT capacity tracker'!$B122,'PV SUPPLY DATA'!$AG:$AG,'CT capacity tracker'!$A$97,'PV SUPPLY DATA'!$Y:$Y,Z$1,'PV SUPPLY DATA'!$AQ:$AQ,"other")+SUMIFS('ESS SUPPLY DATA'!$U:$U,'ESS SUPPLY DATA'!$AF:$AF,'CT capacity tracker'!$B122,'ESS SUPPLY DATA'!$AE:$AE,'CT capacity tracker'!$A$97,'ESS SUPPLY DATA'!$W:$W,'CT capacity tracker'!Z$1,'ESS SUPPLY DATA'!$AO:$AO,"cosco")+SUMIFS('ESS SUPPLY DATA'!$U:$U,'ESS SUPPLY DATA'!$AF:$AF,'CT capacity tracker'!$B122,'ESS SUPPLY DATA'!$AE:$AE,'CT capacity tracker'!$A$97,'ESS SUPPLY DATA'!$W:$W,'CT capacity tracker'!Z$1,'ESS SUPPLY DATA'!$AO:$AO,"other")</f>
        <v>0</v>
      </c>
      <c r="AA125" s="504">
        <f>SUMIFS('PV SUPPLY DATA'!$X:$X,'PV SUPPLY DATA'!$AH:$AH,'CT capacity tracker'!$B122,'PV SUPPLY DATA'!$AG:$AG,'CT capacity tracker'!$A$97,'PV SUPPLY DATA'!$Y:$Y,AA$1,'PV SUPPLY DATA'!$AQ:$AQ,"cosco")+SUMIFS('PV SUPPLY DATA'!$X:$X,'PV SUPPLY DATA'!$AH:$AH,'CT capacity tracker'!$B122,'PV SUPPLY DATA'!$AG:$AG,'CT capacity tracker'!$A$97,'PV SUPPLY DATA'!$Y:$Y,AA$1,'PV SUPPLY DATA'!$AQ:$AQ,"other")+SUMIFS('ESS SUPPLY DATA'!$U:$U,'ESS SUPPLY DATA'!$AF:$AF,'CT capacity tracker'!$B122,'ESS SUPPLY DATA'!$AE:$AE,'CT capacity tracker'!$A$97,'ESS SUPPLY DATA'!$W:$W,'CT capacity tracker'!AA$1,'ESS SUPPLY DATA'!$AO:$AO,"cosco")+SUMIFS('ESS SUPPLY DATA'!$U:$U,'ESS SUPPLY DATA'!$AF:$AF,'CT capacity tracker'!$B122,'ESS SUPPLY DATA'!$AE:$AE,'CT capacity tracker'!$A$97,'ESS SUPPLY DATA'!$W:$W,'CT capacity tracker'!AA$1,'ESS SUPPLY DATA'!$AO:$AO,"other")</f>
        <v>0</v>
      </c>
      <c r="AB125" s="504">
        <f>SUMIFS('PV SUPPLY DATA'!$X:$X,'PV SUPPLY DATA'!$AH:$AH,'CT capacity tracker'!$B122,'PV SUPPLY DATA'!$AG:$AG,'CT capacity tracker'!$A$97,'PV SUPPLY DATA'!$Y:$Y,AB$1,'PV SUPPLY DATA'!$AQ:$AQ,"cosco")+SUMIFS('PV SUPPLY DATA'!$X:$X,'PV SUPPLY DATA'!$AH:$AH,'CT capacity tracker'!$B122,'PV SUPPLY DATA'!$AG:$AG,'CT capacity tracker'!$A$97,'PV SUPPLY DATA'!$Y:$Y,AB$1,'PV SUPPLY DATA'!$AQ:$AQ,"other")+SUMIFS('ESS SUPPLY DATA'!$U:$U,'ESS SUPPLY DATA'!$AF:$AF,'CT capacity tracker'!$B122,'ESS SUPPLY DATA'!$AE:$AE,'CT capacity tracker'!$A$97,'ESS SUPPLY DATA'!$W:$W,'CT capacity tracker'!AB$1,'ESS SUPPLY DATA'!$AO:$AO,"cosco")+SUMIFS('ESS SUPPLY DATA'!$U:$U,'ESS SUPPLY DATA'!$AF:$AF,'CT capacity tracker'!$B122,'ESS SUPPLY DATA'!$AE:$AE,'CT capacity tracker'!$A$97,'ESS SUPPLY DATA'!$W:$W,'CT capacity tracker'!AB$1,'ESS SUPPLY DATA'!$AO:$AO,"other")</f>
        <v>1</v>
      </c>
      <c r="AC125" s="504">
        <f>SUMIFS('PV SUPPLY DATA'!$X:$X,'PV SUPPLY DATA'!$AH:$AH,'CT capacity tracker'!$B122,'PV SUPPLY DATA'!$AG:$AG,'CT capacity tracker'!$A$97,'PV SUPPLY DATA'!$Y:$Y,AC$1,'PV SUPPLY DATA'!$AQ:$AQ,"cosco")+SUMIFS('PV SUPPLY DATA'!$X:$X,'PV SUPPLY DATA'!$AH:$AH,'CT capacity tracker'!$B122,'PV SUPPLY DATA'!$AG:$AG,'CT capacity tracker'!$A$97,'PV SUPPLY DATA'!$Y:$Y,AC$1,'PV SUPPLY DATA'!$AQ:$AQ,"other")+SUMIFS('ESS SUPPLY DATA'!$U:$U,'ESS SUPPLY DATA'!$AF:$AF,'CT capacity tracker'!$B122,'ESS SUPPLY DATA'!$AE:$AE,'CT capacity tracker'!$A$97,'ESS SUPPLY DATA'!$W:$W,'CT capacity tracker'!AC$1,'ESS SUPPLY DATA'!$AO:$AO,"cosco")+SUMIFS('ESS SUPPLY DATA'!$U:$U,'ESS SUPPLY DATA'!$AF:$AF,'CT capacity tracker'!$B122,'ESS SUPPLY DATA'!$AE:$AE,'CT capacity tracker'!$A$97,'ESS SUPPLY DATA'!$W:$W,'CT capacity tracker'!AC$1,'ESS SUPPLY DATA'!$AO:$AO,"other")</f>
        <v>0</v>
      </c>
      <c r="AD125" s="504">
        <f>SUMIFS('PV SUPPLY DATA'!$X:$X,'PV SUPPLY DATA'!$AH:$AH,'CT capacity tracker'!$B122,'PV SUPPLY DATA'!$AG:$AG,'CT capacity tracker'!$A$97,'PV SUPPLY DATA'!$Y:$Y,AD$1,'PV SUPPLY DATA'!$AQ:$AQ,"cosco")+SUMIFS('PV SUPPLY DATA'!$X:$X,'PV SUPPLY DATA'!$AH:$AH,'CT capacity tracker'!$B122,'PV SUPPLY DATA'!$AG:$AG,'CT capacity tracker'!$A$97,'PV SUPPLY DATA'!$Y:$Y,AD$1,'PV SUPPLY DATA'!$AQ:$AQ,"other")+SUMIFS('ESS SUPPLY DATA'!$U:$U,'ESS SUPPLY DATA'!$AF:$AF,'CT capacity tracker'!$B122,'ESS SUPPLY DATA'!$AE:$AE,'CT capacity tracker'!$A$97,'ESS SUPPLY DATA'!$W:$W,'CT capacity tracker'!AD$1,'ESS SUPPLY DATA'!$AO:$AO,"cosco")+SUMIFS('ESS SUPPLY DATA'!$U:$U,'ESS SUPPLY DATA'!$AF:$AF,'CT capacity tracker'!$B122,'ESS SUPPLY DATA'!$AE:$AE,'CT capacity tracker'!$A$97,'ESS SUPPLY DATA'!$W:$W,'CT capacity tracker'!AD$1,'ESS SUPPLY DATA'!$AO:$AO,"other")</f>
        <v>0</v>
      </c>
      <c r="AE125" s="504">
        <f>SUMIFS('PV SUPPLY DATA'!$X:$X,'PV SUPPLY DATA'!$AH:$AH,'CT capacity tracker'!$B122,'PV SUPPLY DATA'!$AG:$AG,'CT capacity tracker'!$A$97,'PV SUPPLY DATA'!$Y:$Y,AE$1,'PV SUPPLY DATA'!$AQ:$AQ,"cosco")+SUMIFS('PV SUPPLY DATA'!$X:$X,'PV SUPPLY DATA'!$AH:$AH,'CT capacity tracker'!$B122,'PV SUPPLY DATA'!$AG:$AG,'CT capacity tracker'!$A$97,'PV SUPPLY DATA'!$Y:$Y,AE$1,'PV SUPPLY DATA'!$AQ:$AQ,"other")+SUMIFS('ESS SUPPLY DATA'!$U:$U,'ESS SUPPLY DATA'!$AF:$AF,'CT capacity tracker'!$B122,'ESS SUPPLY DATA'!$AE:$AE,'CT capacity tracker'!$A$97,'ESS SUPPLY DATA'!$W:$W,'CT capacity tracker'!AE$1,'ESS SUPPLY DATA'!$AO:$AO,"cosco")+SUMIFS('ESS SUPPLY DATA'!$U:$U,'ESS SUPPLY DATA'!$AF:$AF,'CT capacity tracker'!$B122,'ESS SUPPLY DATA'!$AE:$AE,'CT capacity tracker'!$A$97,'ESS SUPPLY DATA'!$W:$W,'CT capacity tracker'!AE$1,'ESS SUPPLY DATA'!$AO:$AO,"other")</f>
        <v>0</v>
      </c>
      <c r="AF125" s="504">
        <f>SUMIFS('PV SUPPLY DATA'!$X:$X,'PV SUPPLY DATA'!$AH:$AH,'CT capacity tracker'!$B122,'PV SUPPLY DATA'!$AG:$AG,'CT capacity tracker'!$A$97,'PV SUPPLY DATA'!$Y:$Y,AF$1,'PV SUPPLY DATA'!$AQ:$AQ,"cosco")+SUMIFS('PV SUPPLY DATA'!$X:$X,'PV SUPPLY DATA'!$AH:$AH,'CT capacity tracker'!$B122,'PV SUPPLY DATA'!$AG:$AG,'CT capacity tracker'!$A$97,'PV SUPPLY DATA'!$Y:$Y,AF$1,'PV SUPPLY DATA'!$AQ:$AQ,"other")+SUMIFS('ESS SUPPLY DATA'!$U:$U,'ESS SUPPLY DATA'!$AF:$AF,'CT capacity tracker'!$B122,'ESS SUPPLY DATA'!$AE:$AE,'CT capacity tracker'!$A$97,'ESS SUPPLY DATA'!$W:$W,'CT capacity tracker'!AF$1,'ESS SUPPLY DATA'!$AO:$AO,"cosco")+SUMIFS('ESS SUPPLY DATA'!$U:$U,'ESS SUPPLY DATA'!$AF:$AF,'CT capacity tracker'!$B122,'ESS SUPPLY DATA'!$AE:$AE,'CT capacity tracker'!$A$97,'ESS SUPPLY DATA'!$W:$W,'CT capacity tracker'!AF$1,'ESS SUPPLY DATA'!$AO:$AO,"other")</f>
        <v>0</v>
      </c>
      <c r="AG125" s="504">
        <f>SUMIFS('PV SUPPLY DATA'!$X:$X,'PV SUPPLY DATA'!$AH:$AH,'CT capacity tracker'!$B122,'PV SUPPLY DATA'!$AG:$AG,'CT capacity tracker'!$A$97,'PV SUPPLY DATA'!$Y:$Y,AG$1,'PV SUPPLY DATA'!$AQ:$AQ,"cosco")+SUMIFS('PV SUPPLY DATA'!$X:$X,'PV SUPPLY DATA'!$AH:$AH,'CT capacity tracker'!$B122,'PV SUPPLY DATA'!$AG:$AG,'CT capacity tracker'!$A$97,'PV SUPPLY DATA'!$Y:$Y,AG$1,'PV SUPPLY DATA'!$AQ:$AQ,"other")+SUMIFS('ESS SUPPLY DATA'!$U:$U,'ESS SUPPLY DATA'!$AF:$AF,'CT capacity tracker'!$B122,'ESS SUPPLY DATA'!$AE:$AE,'CT capacity tracker'!$A$97,'ESS SUPPLY DATA'!$W:$W,'CT capacity tracker'!AG$1,'ESS SUPPLY DATA'!$AO:$AO,"cosco")+SUMIFS('ESS SUPPLY DATA'!$U:$U,'ESS SUPPLY DATA'!$AF:$AF,'CT capacity tracker'!$B122,'ESS SUPPLY DATA'!$AE:$AE,'CT capacity tracker'!$A$97,'ESS SUPPLY DATA'!$W:$W,'CT capacity tracker'!AG$1,'ESS SUPPLY DATA'!$AO:$AO,"other")</f>
        <v>0</v>
      </c>
      <c r="AH125" s="504">
        <f>SUMIFS('PV SUPPLY DATA'!$X:$X,'PV SUPPLY DATA'!$AH:$AH,'CT capacity tracker'!$B122,'PV SUPPLY DATA'!$AG:$AG,'CT capacity tracker'!$A$97,'PV SUPPLY DATA'!$Y:$Y,AH$1,'PV SUPPLY DATA'!$AQ:$AQ,"cosco")+SUMIFS('PV SUPPLY DATA'!$X:$X,'PV SUPPLY DATA'!$AH:$AH,'CT capacity tracker'!$B122,'PV SUPPLY DATA'!$AG:$AG,'CT capacity tracker'!$A$97,'PV SUPPLY DATA'!$Y:$Y,AH$1,'PV SUPPLY DATA'!$AQ:$AQ,"other")+SUMIFS('ESS SUPPLY DATA'!$U:$U,'ESS SUPPLY DATA'!$AF:$AF,'CT capacity tracker'!$B122,'ESS SUPPLY DATA'!$AE:$AE,'CT capacity tracker'!$A$97,'ESS SUPPLY DATA'!$W:$W,'CT capacity tracker'!AH$1,'ESS SUPPLY DATA'!$AO:$AO,"cosco")+SUMIFS('ESS SUPPLY DATA'!$U:$U,'ESS SUPPLY DATA'!$AF:$AF,'CT capacity tracker'!$B122,'ESS SUPPLY DATA'!$AE:$AE,'CT capacity tracker'!$A$97,'ESS SUPPLY DATA'!$W:$W,'CT capacity tracker'!AH$1,'ESS SUPPLY DATA'!$AO:$AO,"other")</f>
        <v>0</v>
      </c>
      <c r="AI125" s="504">
        <f>SUMIFS('PV SUPPLY DATA'!$X:$X,'PV SUPPLY DATA'!$AH:$AH,'CT capacity tracker'!$B122,'PV SUPPLY DATA'!$AG:$AG,'CT capacity tracker'!$A$97,'PV SUPPLY DATA'!$Y:$Y,AI$1,'PV SUPPLY DATA'!$AQ:$AQ,"cosco")+SUMIFS('PV SUPPLY DATA'!$X:$X,'PV SUPPLY DATA'!$AH:$AH,'CT capacity tracker'!$B122,'PV SUPPLY DATA'!$AG:$AG,'CT capacity tracker'!$A$97,'PV SUPPLY DATA'!$Y:$Y,AI$1,'PV SUPPLY DATA'!$AQ:$AQ,"other")+SUMIFS('ESS SUPPLY DATA'!$U:$U,'ESS SUPPLY DATA'!$AF:$AF,'CT capacity tracker'!$B122,'ESS SUPPLY DATA'!$AE:$AE,'CT capacity tracker'!$A$97,'ESS SUPPLY DATA'!$W:$W,'CT capacity tracker'!AI$1,'ESS SUPPLY DATA'!$AO:$AO,"cosco")+SUMIFS('ESS SUPPLY DATA'!$U:$U,'ESS SUPPLY DATA'!$AF:$AF,'CT capacity tracker'!$B122,'ESS SUPPLY DATA'!$AE:$AE,'CT capacity tracker'!$A$97,'ESS SUPPLY DATA'!$W:$W,'CT capacity tracker'!AI$1,'ESS SUPPLY DATA'!$AO:$AO,"other")</f>
        <v>0</v>
      </c>
      <c r="AJ125" s="504">
        <f>SUMIFS('PV SUPPLY DATA'!$X:$X,'PV SUPPLY DATA'!$AH:$AH,'CT capacity tracker'!$B122,'PV SUPPLY DATA'!$AG:$AG,'CT capacity tracker'!$A$97,'PV SUPPLY DATA'!$Y:$Y,AJ$1,'PV SUPPLY DATA'!$AQ:$AQ,"cosco")+SUMIFS('PV SUPPLY DATA'!$X:$X,'PV SUPPLY DATA'!$AH:$AH,'CT capacity tracker'!$B122,'PV SUPPLY DATA'!$AG:$AG,'CT capacity tracker'!$A$97,'PV SUPPLY DATA'!$Y:$Y,AJ$1,'PV SUPPLY DATA'!$AQ:$AQ,"other")+SUMIFS('ESS SUPPLY DATA'!$U:$U,'ESS SUPPLY DATA'!$AF:$AF,'CT capacity tracker'!$B122,'ESS SUPPLY DATA'!$AE:$AE,'CT capacity tracker'!$A$97,'ESS SUPPLY DATA'!$W:$W,'CT capacity tracker'!AJ$1,'ESS SUPPLY DATA'!$AO:$AO,"cosco")+SUMIFS('ESS SUPPLY DATA'!$U:$U,'ESS SUPPLY DATA'!$AF:$AF,'CT capacity tracker'!$B122,'ESS SUPPLY DATA'!$AE:$AE,'CT capacity tracker'!$A$97,'ESS SUPPLY DATA'!$W:$W,'CT capacity tracker'!AJ$1,'ESS SUPPLY DATA'!$AO:$AO,"other")</f>
        <v>0</v>
      </c>
      <c r="AK125" s="511"/>
      <c r="AL125" s="511"/>
      <c r="AM125" s="696">
        <f>SUM(E125:X125)</f>
        <v>18</v>
      </c>
      <c r="AN125" s="503"/>
      <c r="AO125" s="506"/>
      <c r="AP125" s="506"/>
      <c r="AQ125" s="506"/>
      <c r="AR125" s="506"/>
      <c r="AS125" s="506"/>
      <c r="AT125" s="506"/>
    </row>
    <row r="126" spans="1:46" ht="13">
      <c r="A126" s="1517"/>
      <c r="B126" s="1516" t="s">
        <v>314</v>
      </c>
      <c r="C126" s="503" t="s">
        <v>4400</v>
      </c>
      <c r="D126" s="504">
        <f>SUMIFS('PV SUPPLY DATA'!$X:$X,'PV SUPPLY DATA'!$AH:$AH,'CT capacity tracker'!$B126,'PV SUPPLY DATA'!$AG:$AG,'CT capacity tracker'!$A$97,'PV SUPPLY DATA'!$Y:$Y,'CT capacity tracker'!D$1)</f>
        <v>0</v>
      </c>
      <c r="E126" s="504">
        <f>SUMIFS('PV SUPPLY DATA'!$X:$X,'PV SUPPLY DATA'!$Y:$Y,'CT capacity tracker'!E$1,'PV SUPPLY DATA'!$AG:$AG,'CT capacity tracker'!$A$97,'PV SUPPLY DATA'!$AH:$AH,'CT capacity tracker'!$B$126)</f>
        <v>0</v>
      </c>
      <c r="F126" s="504">
        <f>SUMIFS('PV SUPPLY DATA'!$X:$X,'PV SUPPLY DATA'!$Y:$Y,'CT capacity tracker'!F$1,'PV SUPPLY DATA'!$AG:$AG,'CT capacity tracker'!$A$97,'PV SUPPLY DATA'!$AH:$AH,'CT capacity tracker'!$B$126)</f>
        <v>0</v>
      </c>
      <c r="G126" s="504">
        <f>SUMIFS('PV SUPPLY DATA'!$X:$X,'PV SUPPLY DATA'!$Y:$Y,'CT capacity tracker'!G$1,'PV SUPPLY DATA'!$AG:$AG,'CT capacity tracker'!$A$97,'PV SUPPLY DATA'!$AH:$AH,'CT capacity tracker'!$B$126)</f>
        <v>0</v>
      </c>
      <c r="H126" s="504">
        <f>SUMIFS('PV SUPPLY DATA'!$X:$X,'PV SUPPLY DATA'!$Y:$Y,'CT capacity tracker'!H$1,'PV SUPPLY DATA'!$AG:$AG,'CT capacity tracker'!$A$97,'PV SUPPLY DATA'!$AH:$AH,'CT capacity tracker'!$B$126)</f>
        <v>0</v>
      </c>
      <c r="I126" s="504">
        <f>SUMIFS('PV SUPPLY DATA'!$X:$X,'PV SUPPLY DATA'!$Y:$Y,'CT capacity tracker'!I$1,'PV SUPPLY DATA'!$AG:$AG,'CT capacity tracker'!$A$97,'PV SUPPLY DATA'!$AH:$AH,'CT capacity tracker'!$B$126)</f>
        <v>0</v>
      </c>
      <c r="J126" s="504">
        <f>SUMIFS('PV SUPPLY DATA'!$X:$X,'PV SUPPLY DATA'!$Y:$Y,'CT capacity tracker'!J$1,'PV SUPPLY DATA'!$AG:$AG,'CT capacity tracker'!$A$97,'PV SUPPLY DATA'!$AH:$AH,'CT capacity tracker'!$B$126)</f>
        <v>0</v>
      </c>
      <c r="K126" s="504">
        <f>SUMIFS('PV SUPPLY DATA'!$X:$X,'PV SUPPLY DATA'!$Y:$Y,'CT capacity tracker'!K$1,'PV SUPPLY DATA'!$AG:$AG,'CT capacity tracker'!$A$97,'PV SUPPLY DATA'!$AH:$AH,'CT capacity tracker'!$B$126)</f>
        <v>0</v>
      </c>
      <c r="L126" s="504">
        <f>SUMIFS('PV SUPPLY DATA'!$X:$X,'PV SUPPLY DATA'!$Y:$Y,'CT capacity tracker'!L$1,'PV SUPPLY DATA'!$AG:$AG,'CT capacity tracker'!$A$97,'PV SUPPLY DATA'!$AH:$AH,'CT capacity tracker'!$B$126)</f>
        <v>0</v>
      </c>
      <c r="M126" s="504">
        <f>SUMIFS('PV SUPPLY DATA'!$X:$X,'PV SUPPLY DATA'!$Y:$Y,'CT capacity tracker'!M$1,'PV SUPPLY DATA'!$AG:$AG,'CT capacity tracker'!$A$97,'PV SUPPLY DATA'!$AH:$AH,'CT capacity tracker'!$B$126)</f>
        <v>0</v>
      </c>
      <c r="N126" s="504">
        <f>SUMIFS('PV SUPPLY DATA'!$X:$X,'PV SUPPLY DATA'!$Y:$Y,'CT capacity tracker'!N$1,'PV SUPPLY DATA'!$AG:$AG,'CT capacity tracker'!$A$97,'PV SUPPLY DATA'!$AH:$AH,'CT capacity tracker'!$B$126)</f>
        <v>0</v>
      </c>
      <c r="O126" s="504">
        <f>SUMIFS('PV SUPPLY DATA'!$X:$X,'PV SUPPLY DATA'!$Y:$Y,'CT capacity tracker'!O$1,'PV SUPPLY DATA'!$AG:$AG,'CT capacity tracker'!$A$97,'PV SUPPLY DATA'!$AH:$AH,'CT capacity tracker'!$B$126)</f>
        <v>0</v>
      </c>
      <c r="P126" s="504">
        <f>SUMIFS('PV SUPPLY DATA'!$X:$X,'PV SUPPLY DATA'!$Y:$Y,'CT capacity tracker'!P$1,'PV SUPPLY DATA'!$AG:$AG,'CT capacity tracker'!$A$97,'PV SUPPLY DATA'!$AH:$AH,'CT capacity tracker'!$B$126)</f>
        <v>0</v>
      </c>
      <c r="Q126" s="504">
        <f>SUMIFS('PV SUPPLY DATA'!$X:$X,'PV SUPPLY DATA'!$Y:$Y,'CT capacity tracker'!Q$1,'PV SUPPLY DATA'!$AG:$AG,'CT capacity tracker'!$A$97,'PV SUPPLY DATA'!$AH:$AH,'CT capacity tracker'!$B$126)</f>
        <v>0</v>
      </c>
      <c r="R126" s="504">
        <f>SUMIFS('PV SUPPLY DATA'!$X:$X,'PV SUPPLY DATA'!$Y:$Y,'CT capacity tracker'!R$1,'PV SUPPLY DATA'!$AG:$AG,'CT capacity tracker'!$A$97,'PV SUPPLY DATA'!$AH:$AH,'CT capacity tracker'!$B$126)</f>
        <v>1</v>
      </c>
      <c r="S126" s="504">
        <f>SUMIFS('PV SUPPLY DATA'!$X:$X,'PV SUPPLY DATA'!$Y:$Y,'CT capacity tracker'!S$1,'PV SUPPLY DATA'!$AG:$AG,'CT capacity tracker'!$A$97,'PV SUPPLY DATA'!$AH:$AH,'CT capacity tracker'!$B$126)</f>
        <v>0</v>
      </c>
      <c r="T126" s="504">
        <f>SUMIFS('PV SUPPLY DATA'!$X:$X,'PV SUPPLY DATA'!$Y:$Y,'CT capacity tracker'!T$1,'PV SUPPLY DATA'!$AG:$AG,'CT capacity tracker'!$A$97,'PV SUPPLY DATA'!$AH:$AH,'CT capacity tracker'!$B$126)</f>
        <v>0</v>
      </c>
      <c r="U126" s="504">
        <f>SUMIFS('PV SUPPLY DATA'!$X:$X,'PV SUPPLY DATA'!$Y:$Y,'CT capacity tracker'!U$1,'PV SUPPLY DATA'!$AG:$AG,'CT capacity tracker'!$A$97,'PV SUPPLY DATA'!$AH:$AH,'CT capacity tracker'!$B$126)</f>
        <v>0</v>
      </c>
      <c r="V126" s="504">
        <f>SUMIFS('PV SUPPLY DATA'!$X:$X,'PV SUPPLY DATA'!$Y:$Y,'CT capacity tracker'!V$1,'PV SUPPLY DATA'!$AG:$AG,'CT capacity tracker'!$A$97,'PV SUPPLY DATA'!$AH:$AH,'CT capacity tracker'!$B$126)</f>
        <v>0</v>
      </c>
      <c r="W126" s="504">
        <f>SUMIFS('PV SUPPLY DATA'!$X:$X,'PV SUPPLY DATA'!$Y:$Y,'CT capacity tracker'!W$1,'PV SUPPLY DATA'!$AG:$AG,'CT capacity tracker'!$A$97,'PV SUPPLY DATA'!$AH:$AH,'CT capacity tracker'!$B$126)</f>
        <v>0</v>
      </c>
      <c r="X126" s="504">
        <f>SUMIFS('PV SUPPLY DATA'!$X:$X,'PV SUPPLY DATA'!$Y:$Y,'CT capacity tracker'!X$1,'PV SUPPLY DATA'!$AG:$AG,'CT capacity tracker'!$A$97,'PV SUPPLY DATA'!$AH:$AH,'CT capacity tracker'!$B$126)</f>
        <v>3</v>
      </c>
      <c r="Y126" s="504">
        <f>SUMIFS('PV SUPPLY DATA'!$X:$X,'PV SUPPLY DATA'!$Y:$Y,'CT capacity tracker'!Y$1,'PV SUPPLY DATA'!$AG:$AG,'CT capacity tracker'!$A$97,'PV SUPPLY DATA'!$AH:$AH,'CT capacity tracker'!$B$126)</f>
        <v>0</v>
      </c>
      <c r="Z126" s="504">
        <f>SUMIFS('PV SUPPLY DATA'!$X:$X,'PV SUPPLY DATA'!$Y:$Y,'CT capacity tracker'!Z$1,'PV SUPPLY DATA'!$AG:$AG,'CT capacity tracker'!$A$97,'PV SUPPLY DATA'!$AH:$AH,'CT capacity tracker'!$B$126)</f>
        <v>4</v>
      </c>
      <c r="AA126" s="504">
        <f>SUMIFS('PV SUPPLY DATA'!$X:$X,'PV SUPPLY DATA'!$Y:$Y,'CT capacity tracker'!AA$1,'PV SUPPLY DATA'!$AG:$AG,'CT capacity tracker'!$A$97,'PV SUPPLY DATA'!$AH:$AH,'CT capacity tracker'!$B$126)</f>
        <v>0</v>
      </c>
      <c r="AB126" s="504">
        <f>SUMIFS('PV SUPPLY DATA'!$X:$X,'PV SUPPLY DATA'!$Y:$Y,'CT capacity tracker'!AB$1,'PV SUPPLY DATA'!$AG:$AG,'CT capacity tracker'!$A$97,'PV SUPPLY DATA'!$AH:$AH,'CT capacity tracker'!$B$126)</f>
        <v>4</v>
      </c>
      <c r="AC126" s="504">
        <f>SUMIFS('PV SUPPLY DATA'!$X:$X,'PV SUPPLY DATA'!$Y:$Y,'CT capacity tracker'!AC$1,'PV SUPPLY DATA'!$AG:$AG,'CT capacity tracker'!$A$97,'PV SUPPLY DATA'!$AH:$AH,'CT capacity tracker'!$B$126)</f>
        <v>0</v>
      </c>
      <c r="AD126" s="504">
        <f>SUMIFS('PV SUPPLY DATA'!$X:$X,'PV SUPPLY DATA'!$Y:$Y,'CT capacity tracker'!AD$1,'PV SUPPLY DATA'!$AG:$AG,'CT capacity tracker'!$A$97,'PV SUPPLY DATA'!$AH:$AH,'CT capacity tracker'!$B$126)</f>
        <v>0</v>
      </c>
      <c r="AE126" s="504">
        <f>SUMIFS('PV SUPPLY DATA'!$X:$X,'PV SUPPLY DATA'!$Y:$Y,'CT capacity tracker'!AE$1,'PV SUPPLY DATA'!$AG:$AG,'CT capacity tracker'!$A$97,'PV SUPPLY DATA'!$AH:$AH,'CT capacity tracker'!$B$126)</f>
        <v>0</v>
      </c>
      <c r="AF126" s="504">
        <f>SUMIFS('PV SUPPLY DATA'!$X:$X,'PV SUPPLY DATA'!$Y:$Y,'CT capacity tracker'!AF$1,'PV SUPPLY DATA'!$AG:$AG,'CT capacity tracker'!$A$97,'PV SUPPLY DATA'!$AH:$AH,'CT capacity tracker'!$B$126)</f>
        <v>0</v>
      </c>
      <c r="AG126" s="504">
        <f>SUMIFS('PV SUPPLY DATA'!$X:$X,'PV SUPPLY DATA'!$Y:$Y,'CT capacity tracker'!AG$1,'PV SUPPLY DATA'!$AG:$AG,'CT capacity tracker'!$A$97,'PV SUPPLY DATA'!$AH:$AH,'CT capacity tracker'!$B$126)</f>
        <v>0</v>
      </c>
      <c r="AH126" s="504">
        <f>SUMIFS('PV SUPPLY DATA'!$X:$X,'PV SUPPLY DATA'!$Y:$Y,'CT capacity tracker'!AH$1,'PV SUPPLY DATA'!$AG:$AG,'CT capacity tracker'!$A$97,'PV SUPPLY DATA'!$AH:$AH,'CT capacity tracker'!$B$126)</f>
        <v>0</v>
      </c>
      <c r="AI126" s="504">
        <f>SUMIFS('PV SUPPLY DATA'!$X:$X,'PV SUPPLY DATA'!$Y:$Y,'CT capacity tracker'!AI$1,'PV SUPPLY DATA'!$AG:$AG,'CT capacity tracker'!$A$97,'PV SUPPLY DATA'!$AH:$AH,'CT capacity tracker'!$B$126)</f>
        <v>0</v>
      </c>
      <c r="AJ126" s="504">
        <f>SUMIFS('PV SUPPLY DATA'!$X:$X,'PV SUPPLY DATA'!$Y:$Y,'CT capacity tracker'!AJ$1,'PV SUPPLY DATA'!$AG:$AG,'CT capacity tracker'!$A$97,'PV SUPPLY DATA'!$AH:$AH,'CT capacity tracker'!$B$126)</f>
        <v>0</v>
      </c>
      <c r="AK126" s="505" t="s">
        <v>197</v>
      </c>
      <c r="AL126" s="505" t="s">
        <v>197</v>
      </c>
      <c r="AM126" s="696">
        <f>SUM(E126:X126)</f>
        <v>4</v>
      </c>
      <c r="AN126" s="503" t="s">
        <v>197</v>
      </c>
      <c r="AO126" s="506"/>
      <c r="AP126" s="506">
        <f t="shared" si="77"/>
        <v>0</v>
      </c>
      <c r="AQ126" s="506"/>
      <c r="AR126" s="506"/>
      <c r="AS126" s="506"/>
      <c r="AT126" s="506"/>
    </row>
    <row r="127" spans="1:46" ht="13">
      <c r="A127" s="1517"/>
      <c r="B127" s="1517"/>
      <c r="C127" s="509" t="s">
        <v>4401</v>
      </c>
      <c r="D127" s="509"/>
      <c r="E127" s="510"/>
      <c r="F127" s="510"/>
      <c r="G127" s="510"/>
      <c r="H127" s="510"/>
      <c r="I127" s="510"/>
      <c r="J127" s="510"/>
      <c r="K127" s="510"/>
      <c r="L127" s="510"/>
      <c r="M127" s="510"/>
      <c r="N127" s="510"/>
      <c r="O127" s="510"/>
      <c r="P127" s="510"/>
      <c r="Q127" s="510"/>
      <c r="R127" s="510"/>
      <c r="S127" s="510"/>
      <c r="T127" s="510"/>
      <c r="U127" s="510"/>
      <c r="V127" s="510"/>
      <c r="W127" s="510">
        <v>1</v>
      </c>
      <c r="X127" s="510"/>
      <c r="Y127" s="510">
        <v>1</v>
      </c>
      <c r="Z127" s="510"/>
      <c r="AA127" s="510"/>
      <c r="AB127" s="510">
        <v>2</v>
      </c>
      <c r="AC127" s="510">
        <v>0</v>
      </c>
      <c r="AD127" s="510">
        <v>2</v>
      </c>
      <c r="AE127" s="510">
        <v>0</v>
      </c>
      <c r="AF127" s="510"/>
      <c r="AG127" s="510"/>
      <c r="AH127" s="510"/>
      <c r="AI127" s="510"/>
      <c r="AJ127" s="510"/>
      <c r="AK127" s="505" t="s">
        <v>197</v>
      </c>
      <c r="AL127" s="505" t="s">
        <v>197</v>
      </c>
      <c r="AM127" s="696"/>
      <c r="AN127" s="503" t="s">
        <v>197</v>
      </c>
      <c r="AO127" s="506"/>
      <c r="AP127" s="506">
        <f t="shared" si="77"/>
        <v>0</v>
      </c>
      <c r="AQ127" s="506"/>
      <c r="AR127" s="506"/>
      <c r="AS127" s="506"/>
      <c r="AT127" s="506"/>
    </row>
    <row r="128" spans="1:46" ht="13">
      <c r="A128" s="1517"/>
      <c r="B128" s="1517"/>
      <c r="C128" s="520" t="s">
        <v>4402</v>
      </c>
      <c r="D128" s="522"/>
      <c r="E128" s="522">
        <f>E127-E126</f>
        <v>0</v>
      </c>
      <c r="F128" s="522">
        <f t="shared" ref="F128:X128" si="100">F127-F126</f>
        <v>0</v>
      </c>
      <c r="G128" s="522">
        <f t="shared" si="100"/>
        <v>0</v>
      </c>
      <c r="H128" s="522">
        <f t="shared" si="100"/>
        <v>0</v>
      </c>
      <c r="I128" s="522">
        <f t="shared" si="100"/>
        <v>0</v>
      </c>
      <c r="J128" s="522">
        <f t="shared" si="100"/>
        <v>0</v>
      </c>
      <c r="K128" s="522">
        <f t="shared" si="100"/>
        <v>0</v>
      </c>
      <c r="L128" s="522">
        <f t="shared" si="100"/>
        <v>0</v>
      </c>
      <c r="M128" s="522">
        <f t="shared" si="100"/>
        <v>0</v>
      </c>
      <c r="N128" s="522">
        <f t="shared" si="100"/>
        <v>0</v>
      </c>
      <c r="O128" s="522">
        <f t="shared" si="100"/>
        <v>0</v>
      </c>
      <c r="P128" s="522">
        <f t="shared" si="100"/>
        <v>0</v>
      </c>
      <c r="Q128" s="522">
        <f t="shared" si="100"/>
        <v>0</v>
      </c>
      <c r="R128" s="522">
        <f t="shared" si="100"/>
        <v>-1</v>
      </c>
      <c r="S128" s="522">
        <f t="shared" si="100"/>
        <v>0</v>
      </c>
      <c r="T128" s="522">
        <f t="shared" si="100"/>
        <v>0</v>
      </c>
      <c r="U128" s="522">
        <f t="shared" si="100"/>
        <v>0</v>
      </c>
      <c r="V128" s="522">
        <f t="shared" si="100"/>
        <v>0</v>
      </c>
      <c r="W128" s="522">
        <f t="shared" si="100"/>
        <v>1</v>
      </c>
      <c r="X128" s="522">
        <f t="shared" si="100"/>
        <v>-3</v>
      </c>
      <c r="Y128" s="522">
        <f t="shared" ref="Y128:AJ128" si="101">Y127-Y126</f>
        <v>1</v>
      </c>
      <c r="Z128" s="522">
        <f t="shared" si="101"/>
        <v>-4</v>
      </c>
      <c r="AA128" s="522">
        <f t="shared" si="101"/>
        <v>0</v>
      </c>
      <c r="AB128" s="522">
        <f t="shared" si="101"/>
        <v>-2</v>
      </c>
      <c r="AC128" s="522">
        <f>AC127-AC126</f>
        <v>0</v>
      </c>
      <c r="AD128" s="522">
        <f t="shared" si="101"/>
        <v>2</v>
      </c>
      <c r="AE128" s="522">
        <f t="shared" si="101"/>
        <v>0</v>
      </c>
      <c r="AF128" s="522">
        <f t="shared" si="101"/>
        <v>0</v>
      </c>
      <c r="AG128" s="522">
        <f t="shared" si="101"/>
        <v>0</v>
      </c>
      <c r="AH128" s="522">
        <f t="shared" si="101"/>
        <v>0</v>
      </c>
      <c r="AI128" s="522">
        <f t="shared" si="101"/>
        <v>0</v>
      </c>
      <c r="AJ128" s="522">
        <f t="shared" si="101"/>
        <v>0</v>
      </c>
      <c r="AK128" s="511">
        <f>SUMIF($E128:$X128,"&gt;0")</f>
        <v>1</v>
      </c>
      <c r="AL128" s="511">
        <f>SUMIF($E128:$X128,"&lt;0")</f>
        <v>-4</v>
      </c>
      <c r="AM128" s="696"/>
      <c r="AN128" s="503" t="s">
        <v>197</v>
      </c>
      <c r="AO128" s="506"/>
      <c r="AP128" s="506">
        <f t="shared" si="77"/>
        <v>0</v>
      </c>
      <c r="AQ128" s="506"/>
      <c r="AR128" s="506"/>
      <c r="AS128" s="506"/>
      <c r="AT128" s="506"/>
    </row>
    <row r="129" spans="1:46" ht="13">
      <c r="A129" s="1517"/>
      <c r="B129" s="1518"/>
      <c r="C129" s="503" t="s">
        <v>4403</v>
      </c>
      <c r="D129" s="522"/>
      <c r="E129" s="504">
        <f>SUMIFS('PV SUPPLY DATA'!$X:$X,'PV SUPPLY DATA'!$AH:$AH,'CT capacity tracker'!$B126,'PV SUPPLY DATA'!$AG:$AG,'CT capacity tracker'!$A$97,'PV SUPPLY DATA'!$Y:$Y,E$1,'PV SUPPLY DATA'!$AQ:$AQ,"cosco")+SUMIFS('PV SUPPLY DATA'!$X:$X,'PV SUPPLY DATA'!$AH:$AH,'CT capacity tracker'!$B126,'PV SUPPLY DATA'!$AG:$AG,'CT capacity tracker'!$A$97,'PV SUPPLY DATA'!$Y:$Y,E$1,'PV SUPPLY DATA'!$AQ:$AQ,"other")+SUMIFS('ESS SUPPLY DATA'!$U:$U,'ESS SUPPLY DATA'!$AF:$AF,'CT capacity tracker'!$B126,'ESS SUPPLY DATA'!$AE:$AE,'CT capacity tracker'!$A$97,'ESS SUPPLY DATA'!$W:$W,'CT capacity tracker'!E$1,'ESS SUPPLY DATA'!$AO:$AO,"cosco")+SUMIFS('ESS SUPPLY DATA'!$U:$U,'ESS SUPPLY DATA'!$AF:$AF,'CT capacity tracker'!$B126,'ESS SUPPLY DATA'!$AE:$AE,'CT capacity tracker'!$A$97,'ESS SUPPLY DATA'!$W:$W,'CT capacity tracker'!E$1,'ESS SUPPLY DATA'!$AO:$AO,"other")</f>
        <v>0</v>
      </c>
      <c r="F129" s="504">
        <f>SUMIFS('PV SUPPLY DATA'!$X:$X,'PV SUPPLY DATA'!$AH:$AH,'CT capacity tracker'!$B126,'PV SUPPLY DATA'!$AG:$AG,'CT capacity tracker'!$A$97,'PV SUPPLY DATA'!$Y:$Y,F$1,'PV SUPPLY DATA'!$AQ:$AQ,"cosco")+SUMIFS('PV SUPPLY DATA'!$X:$X,'PV SUPPLY DATA'!$AH:$AH,'CT capacity tracker'!$B126,'PV SUPPLY DATA'!$AG:$AG,'CT capacity tracker'!$A$97,'PV SUPPLY DATA'!$Y:$Y,F$1,'PV SUPPLY DATA'!$AQ:$AQ,"other")+SUMIFS('ESS SUPPLY DATA'!$U:$U,'ESS SUPPLY DATA'!$AF:$AF,'CT capacity tracker'!$B126,'ESS SUPPLY DATA'!$AE:$AE,'CT capacity tracker'!$A$97,'ESS SUPPLY DATA'!$W:$W,'CT capacity tracker'!F$1,'ESS SUPPLY DATA'!$AO:$AO,"cosco")+SUMIFS('ESS SUPPLY DATA'!$U:$U,'ESS SUPPLY DATA'!$AF:$AF,'CT capacity tracker'!$B126,'ESS SUPPLY DATA'!$AE:$AE,'CT capacity tracker'!$A$97,'ESS SUPPLY DATA'!$W:$W,'CT capacity tracker'!F$1,'ESS SUPPLY DATA'!$AO:$AO,"other")</f>
        <v>0</v>
      </c>
      <c r="G129" s="504">
        <f>SUMIFS('PV SUPPLY DATA'!$X:$X,'PV SUPPLY DATA'!$AH:$AH,'CT capacity tracker'!$B126,'PV SUPPLY DATA'!$AG:$AG,'CT capacity tracker'!$A$97,'PV SUPPLY DATA'!$Y:$Y,G$1,'PV SUPPLY DATA'!$AQ:$AQ,"cosco")+SUMIFS('PV SUPPLY DATA'!$X:$X,'PV SUPPLY DATA'!$AH:$AH,'CT capacity tracker'!$B126,'PV SUPPLY DATA'!$AG:$AG,'CT capacity tracker'!$A$97,'PV SUPPLY DATA'!$Y:$Y,G$1,'PV SUPPLY DATA'!$AQ:$AQ,"other")+SUMIFS('ESS SUPPLY DATA'!$U:$U,'ESS SUPPLY DATA'!$AF:$AF,'CT capacity tracker'!$B126,'ESS SUPPLY DATA'!$AE:$AE,'CT capacity tracker'!$A$97,'ESS SUPPLY DATA'!$W:$W,'CT capacity tracker'!G$1,'ESS SUPPLY DATA'!$AO:$AO,"cosco")+SUMIFS('ESS SUPPLY DATA'!$U:$U,'ESS SUPPLY DATA'!$AF:$AF,'CT capacity tracker'!$B126,'ESS SUPPLY DATA'!$AE:$AE,'CT capacity tracker'!$A$97,'ESS SUPPLY DATA'!$W:$W,'CT capacity tracker'!G$1,'ESS SUPPLY DATA'!$AO:$AO,"other")</f>
        <v>0</v>
      </c>
      <c r="H129" s="504">
        <f>SUMIFS('PV SUPPLY DATA'!$X:$X,'PV SUPPLY DATA'!$AH:$AH,'CT capacity tracker'!$B126,'PV SUPPLY DATA'!$AG:$AG,'CT capacity tracker'!$A$97,'PV SUPPLY DATA'!$Y:$Y,H$1,'PV SUPPLY DATA'!$AQ:$AQ,"cosco")+SUMIFS('PV SUPPLY DATA'!$X:$X,'PV SUPPLY DATA'!$AH:$AH,'CT capacity tracker'!$B126,'PV SUPPLY DATA'!$AG:$AG,'CT capacity tracker'!$A$97,'PV SUPPLY DATA'!$Y:$Y,H$1,'PV SUPPLY DATA'!$AQ:$AQ,"other")+SUMIFS('ESS SUPPLY DATA'!$U:$U,'ESS SUPPLY DATA'!$AF:$AF,'CT capacity tracker'!$B126,'ESS SUPPLY DATA'!$AE:$AE,'CT capacity tracker'!$A$97,'ESS SUPPLY DATA'!$W:$W,'CT capacity tracker'!H$1,'ESS SUPPLY DATA'!$AO:$AO,"cosco")+SUMIFS('ESS SUPPLY DATA'!$U:$U,'ESS SUPPLY DATA'!$AF:$AF,'CT capacity tracker'!$B126,'ESS SUPPLY DATA'!$AE:$AE,'CT capacity tracker'!$A$97,'ESS SUPPLY DATA'!$W:$W,'CT capacity tracker'!H$1,'ESS SUPPLY DATA'!$AO:$AO,"other")</f>
        <v>0</v>
      </c>
      <c r="I129" s="504">
        <f>SUMIFS('PV SUPPLY DATA'!$X:$X,'PV SUPPLY DATA'!$AH:$AH,'CT capacity tracker'!$B126,'PV SUPPLY DATA'!$AG:$AG,'CT capacity tracker'!$A$97,'PV SUPPLY DATA'!$Y:$Y,I$1,'PV SUPPLY DATA'!$AQ:$AQ,"cosco")+SUMIFS('PV SUPPLY DATA'!$X:$X,'PV SUPPLY DATA'!$AH:$AH,'CT capacity tracker'!$B126,'PV SUPPLY DATA'!$AG:$AG,'CT capacity tracker'!$A$97,'PV SUPPLY DATA'!$Y:$Y,I$1,'PV SUPPLY DATA'!$AQ:$AQ,"other")+SUMIFS('ESS SUPPLY DATA'!$U:$U,'ESS SUPPLY DATA'!$AF:$AF,'CT capacity tracker'!$B126,'ESS SUPPLY DATA'!$AE:$AE,'CT capacity tracker'!$A$97,'ESS SUPPLY DATA'!$W:$W,'CT capacity tracker'!I$1,'ESS SUPPLY DATA'!$AO:$AO,"cosco")+SUMIFS('ESS SUPPLY DATA'!$U:$U,'ESS SUPPLY DATA'!$AF:$AF,'CT capacity tracker'!$B126,'ESS SUPPLY DATA'!$AE:$AE,'CT capacity tracker'!$A$97,'ESS SUPPLY DATA'!$W:$W,'CT capacity tracker'!I$1,'ESS SUPPLY DATA'!$AO:$AO,"other")</f>
        <v>0</v>
      </c>
      <c r="J129" s="504">
        <f>SUMIFS('PV SUPPLY DATA'!$X:$X,'PV SUPPLY DATA'!$AH:$AH,'CT capacity tracker'!$B126,'PV SUPPLY DATA'!$AG:$AG,'CT capacity tracker'!$A$97,'PV SUPPLY DATA'!$Y:$Y,J$1,'PV SUPPLY DATA'!$AQ:$AQ,"cosco")+SUMIFS('PV SUPPLY DATA'!$X:$X,'PV SUPPLY DATA'!$AH:$AH,'CT capacity tracker'!$B126,'PV SUPPLY DATA'!$AG:$AG,'CT capacity tracker'!$A$97,'PV SUPPLY DATA'!$Y:$Y,J$1,'PV SUPPLY DATA'!$AQ:$AQ,"other")+SUMIFS('ESS SUPPLY DATA'!$U:$U,'ESS SUPPLY DATA'!$AF:$AF,'CT capacity tracker'!$B126,'ESS SUPPLY DATA'!$AE:$AE,'CT capacity tracker'!$A$97,'ESS SUPPLY DATA'!$W:$W,'CT capacity tracker'!J$1,'ESS SUPPLY DATA'!$AO:$AO,"cosco")+SUMIFS('ESS SUPPLY DATA'!$U:$U,'ESS SUPPLY DATA'!$AF:$AF,'CT capacity tracker'!$B126,'ESS SUPPLY DATA'!$AE:$AE,'CT capacity tracker'!$A$97,'ESS SUPPLY DATA'!$W:$W,'CT capacity tracker'!J$1,'ESS SUPPLY DATA'!$AO:$AO,"other")</f>
        <v>0</v>
      </c>
      <c r="K129" s="504">
        <f>SUMIFS('PV SUPPLY DATA'!$X:$X,'PV SUPPLY DATA'!$AH:$AH,'CT capacity tracker'!$B126,'PV SUPPLY DATA'!$AG:$AG,'CT capacity tracker'!$A$97,'PV SUPPLY DATA'!$Y:$Y,K$1,'PV SUPPLY DATA'!$AQ:$AQ,"cosco")+SUMIFS('PV SUPPLY DATA'!$X:$X,'PV SUPPLY DATA'!$AH:$AH,'CT capacity tracker'!$B126,'PV SUPPLY DATA'!$AG:$AG,'CT capacity tracker'!$A$97,'PV SUPPLY DATA'!$Y:$Y,K$1,'PV SUPPLY DATA'!$AQ:$AQ,"other")+SUMIFS('ESS SUPPLY DATA'!$U:$U,'ESS SUPPLY DATA'!$AF:$AF,'CT capacity tracker'!$B126,'ESS SUPPLY DATA'!$AE:$AE,'CT capacity tracker'!$A$97,'ESS SUPPLY DATA'!$W:$W,'CT capacity tracker'!K$1,'ESS SUPPLY DATA'!$AO:$AO,"cosco")+SUMIFS('ESS SUPPLY DATA'!$U:$U,'ESS SUPPLY DATA'!$AF:$AF,'CT capacity tracker'!$B126,'ESS SUPPLY DATA'!$AE:$AE,'CT capacity tracker'!$A$97,'ESS SUPPLY DATA'!$W:$W,'CT capacity tracker'!K$1,'ESS SUPPLY DATA'!$AO:$AO,"other")</f>
        <v>0</v>
      </c>
      <c r="L129" s="504">
        <f>SUMIFS('PV SUPPLY DATA'!$X:$X,'PV SUPPLY DATA'!$AH:$AH,'CT capacity tracker'!$B126,'PV SUPPLY DATA'!$AG:$AG,'CT capacity tracker'!$A$97,'PV SUPPLY DATA'!$Y:$Y,L$1,'PV SUPPLY DATA'!$AQ:$AQ,"cosco")+SUMIFS('PV SUPPLY DATA'!$X:$X,'PV SUPPLY DATA'!$AH:$AH,'CT capacity tracker'!$B126,'PV SUPPLY DATA'!$AG:$AG,'CT capacity tracker'!$A$97,'PV SUPPLY DATA'!$Y:$Y,L$1,'PV SUPPLY DATA'!$AQ:$AQ,"other")+SUMIFS('ESS SUPPLY DATA'!$U:$U,'ESS SUPPLY DATA'!$AF:$AF,'CT capacity tracker'!$B126,'ESS SUPPLY DATA'!$AE:$AE,'CT capacity tracker'!$A$97,'ESS SUPPLY DATA'!$W:$W,'CT capacity tracker'!L$1,'ESS SUPPLY DATA'!$AO:$AO,"cosco")+SUMIFS('ESS SUPPLY DATA'!$U:$U,'ESS SUPPLY DATA'!$AF:$AF,'CT capacity tracker'!$B126,'ESS SUPPLY DATA'!$AE:$AE,'CT capacity tracker'!$A$97,'ESS SUPPLY DATA'!$W:$W,'CT capacity tracker'!L$1,'ESS SUPPLY DATA'!$AO:$AO,"other")</f>
        <v>0</v>
      </c>
      <c r="M129" s="504">
        <f>SUMIFS('PV SUPPLY DATA'!$X:$X,'PV SUPPLY DATA'!$AH:$AH,'CT capacity tracker'!$B126,'PV SUPPLY DATA'!$AG:$AG,'CT capacity tracker'!$A$97,'PV SUPPLY DATA'!$Y:$Y,M$1,'PV SUPPLY DATA'!$AQ:$AQ,"cosco")+SUMIFS('PV SUPPLY DATA'!$X:$X,'PV SUPPLY DATA'!$AH:$AH,'CT capacity tracker'!$B126,'PV SUPPLY DATA'!$AG:$AG,'CT capacity tracker'!$A$97,'PV SUPPLY DATA'!$Y:$Y,M$1,'PV SUPPLY DATA'!$AQ:$AQ,"other")+SUMIFS('ESS SUPPLY DATA'!$U:$U,'ESS SUPPLY DATA'!$AF:$AF,'CT capacity tracker'!$B126,'ESS SUPPLY DATA'!$AE:$AE,'CT capacity tracker'!$A$97,'ESS SUPPLY DATA'!$W:$W,'CT capacity tracker'!M$1,'ESS SUPPLY DATA'!$AO:$AO,"cosco")+SUMIFS('ESS SUPPLY DATA'!$U:$U,'ESS SUPPLY DATA'!$AF:$AF,'CT capacity tracker'!$B126,'ESS SUPPLY DATA'!$AE:$AE,'CT capacity tracker'!$A$97,'ESS SUPPLY DATA'!$W:$W,'CT capacity tracker'!M$1,'ESS SUPPLY DATA'!$AO:$AO,"other")</f>
        <v>0</v>
      </c>
      <c r="N129" s="504">
        <f>SUMIFS('PV SUPPLY DATA'!$X:$X,'PV SUPPLY DATA'!$AH:$AH,'CT capacity tracker'!$B126,'PV SUPPLY DATA'!$AG:$AG,'CT capacity tracker'!$A$97,'PV SUPPLY DATA'!$Y:$Y,N$1,'PV SUPPLY DATA'!$AQ:$AQ,"cosco")+SUMIFS('PV SUPPLY DATA'!$X:$X,'PV SUPPLY DATA'!$AH:$AH,'CT capacity tracker'!$B126,'PV SUPPLY DATA'!$AG:$AG,'CT capacity tracker'!$A$97,'PV SUPPLY DATA'!$Y:$Y,N$1,'PV SUPPLY DATA'!$AQ:$AQ,"other")+SUMIFS('ESS SUPPLY DATA'!$U:$U,'ESS SUPPLY DATA'!$AF:$AF,'CT capacity tracker'!$B126,'ESS SUPPLY DATA'!$AE:$AE,'CT capacity tracker'!$A$97,'ESS SUPPLY DATA'!$W:$W,'CT capacity tracker'!N$1,'ESS SUPPLY DATA'!$AO:$AO,"cosco")+SUMIFS('ESS SUPPLY DATA'!$U:$U,'ESS SUPPLY DATA'!$AF:$AF,'CT capacity tracker'!$B126,'ESS SUPPLY DATA'!$AE:$AE,'CT capacity tracker'!$A$97,'ESS SUPPLY DATA'!$W:$W,'CT capacity tracker'!N$1,'ESS SUPPLY DATA'!$AO:$AO,"other")</f>
        <v>0</v>
      </c>
      <c r="O129" s="504">
        <f>SUMIFS('PV SUPPLY DATA'!$X:$X,'PV SUPPLY DATA'!$AH:$AH,'CT capacity tracker'!$B126,'PV SUPPLY DATA'!$AG:$AG,'CT capacity tracker'!$A$97,'PV SUPPLY DATA'!$Y:$Y,O$1,'PV SUPPLY DATA'!$AQ:$AQ,"cosco")+SUMIFS('PV SUPPLY DATA'!$X:$X,'PV SUPPLY DATA'!$AH:$AH,'CT capacity tracker'!$B126,'PV SUPPLY DATA'!$AG:$AG,'CT capacity tracker'!$A$97,'PV SUPPLY DATA'!$Y:$Y,O$1,'PV SUPPLY DATA'!$AQ:$AQ,"other")+SUMIFS('ESS SUPPLY DATA'!$U:$U,'ESS SUPPLY DATA'!$AF:$AF,'CT capacity tracker'!$B126,'ESS SUPPLY DATA'!$AE:$AE,'CT capacity tracker'!$A$97,'ESS SUPPLY DATA'!$W:$W,'CT capacity tracker'!O$1,'ESS SUPPLY DATA'!$AO:$AO,"cosco")+SUMIFS('ESS SUPPLY DATA'!$U:$U,'ESS SUPPLY DATA'!$AF:$AF,'CT capacity tracker'!$B126,'ESS SUPPLY DATA'!$AE:$AE,'CT capacity tracker'!$A$97,'ESS SUPPLY DATA'!$W:$W,'CT capacity tracker'!O$1,'ESS SUPPLY DATA'!$AO:$AO,"other")</f>
        <v>0</v>
      </c>
      <c r="P129" s="504">
        <f>SUMIFS('PV SUPPLY DATA'!$X:$X,'PV SUPPLY DATA'!$AH:$AH,'CT capacity tracker'!$B126,'PV SUPPLY DATA'!$AG:$AG,'CT capacity tracker'!$A$97,'PV SUPPLY DATA'!$Y:$Y,P$1,'PV SUPPLY DATA'!$AQ:$AQ,"cosco")+SUMIFS('PV SUPPLY DATA'!$X:$X,'PV SUPPLY DATA'!$AH:$AH,'CT capacity tracker'!$B126,'PV SUPPLY DATA'!$AG:$AG,'CT capacity tracker'!$A$97,'PV SUPPLY DATA'!$Y:$Y,P$1,'PV SUPPLY DATA'!$AQ:$AQ,"other")+SUMIFS('ESS SUPPLY DATA'!$U:$U,'ESS SUPPLY DATA'!$AF:$AF,'CT capacity tracker'!$B126,'ESS SUPPLY DATA'!$AE:$AE,'CT capacity tracker'!$A$97,'ESS SUPPLY DATA'!$W:$W,'CT capacity tracker'!P$1,'ESS SUPPLY DATA'!$AO:$AO,"cosco")+SUMIFS('ESS SUPPLY DATA'!$U:$U,'ESS SUPPLY DATA'!$AF:$AF,'CT capacity tracker'!$B126,'ESS SUPPLY DATA'!$AE:$AE,'CT capacity tracker'!$A$97,'ESS SUPPLY DATA'!$W:$W,'CT capacity tracker'!P$1,'ESS SUPPLY DATA'!$AO:$AO,"other")</f>
        <v>0</v>
      </c>
      <c r="Q129" s="504">
        <f>SUMIFS('PV SUPPLY DATA'!$X:$X,'PV SUPPLY DATA'!$AH:$AH,'CT capacity tracker'!$B126,'PV SUPPLY DATA'!$AG:$AG,'CT capacity tracker'!$A$97,'PV SUPPLY DATA'!$Y:$Y,Q$1,'PV SUPPLY DATA'!$AQ:$AQ,"cosco")+SUMIFS('PV SUPPLY DATA'!$X:$X,'PV SUPPLY DATA'!$AH:$AH,'CT capacity tracker'!$B126,'PV SUPPLY DATA'!$AG:$AG,'CT capacity tracker'!$A$97,'PV SUPPLY DATA'!$Y:$Y,Q$1,'PV SUPPLY DATA'!$AQ:$AQ,"other")+SUMIFS('ESS SUPPLY DATA'!$U:$U,'ESS SUPPLY DATA'!$AF:$AF,'CT capacity tracker'!$B126,'ESS SUPPLY DATA'!$AE:$AE,'CT capacity tracker'!$A$97,'ESS SUPPLY DATA'!$W:$W,'CT capacity tracker'!Q$1,'ESS SUPPLY DATA'!$AO:$AO,"cosco")+SUMIFS('ESS SUPPLY DATA'!$U:$U,'ESS SUPPLY DATA'!$AF:$AF,'CT capacity tracker'!$B126,'ESS SUPPLY DATA'!$AE:$AE,'CT capacity tracker'!$A$97,'ESS SUPPLY DATA'!$W:$W,'CT capacity tracker'!Q$1,'ESS SUPPLY DATA'!$AO:$AO,"other")</f>
        <v>0</v>
      </c>
      <c r="R129" s="504">
        <f>SUMIFS('PV SUPPLY DATA'!$X:$X,'PV SUPPLY DATA'!$AH:$AH,'CT capacity tracker'!$B126,'PV SUPPLY DATA'!$AG:$AG,'CT capacity tracker'!$A$97,'PV SUPPLY DATA'!$Y:$Y,R$1,'PV SUPPLY DATA'!$AQ:$AQ,"cosco")+SUMIFS('PV SUPPLY DATA'!$X:$X,'PV SUPPLY DATA'!$AH:$AH,'CT capacity tracker'!$B126,'PV SUPPLY DATA'!$AG:$AG,'CT capacity tracker'!$A$97,'PV SUPPLY DATA'!$Y:$Y,R$1,'PV SUPPLY DATA'!$AQ:$AQ,"other")+SUMIFS('ESS SUPPLY DATA'!$U:$U,'ESS SUPPLY DATA'!$AF:$AF,'CT capacity tracker'!$B126,'ESS SUPPLY DATA'!$AE:$AE,'CT capacity tracker'!$A$97,'ESS SUPPLY DATA'!$W:$W,'CT capacity tracker'!R$1,'ESS SUPPLY DATA'!$AO:$AO,"cosco")+SUMIFS('ESS SUPPLY DATA'!$U:$U,'ESS SUPPLY DATA'!$AF:$AF,'CT capacity tracker'!$B126,'ESS SUPPLY DATA'!$AE:$AE,'CT capacity tracker'!$A$97,'ESS SUPPLY DATA'!$W:$W,'CT capacity tracker'!R$1,'ESS SUPPLY DATA'!$AO:$AO,"other")</f>
        <v>1</v>
      </c>
      <c r="S129" s="504">
        <f>SUMIFS('PV SUPPLY DATA'!$X:$X,'PV SUPPLY DATA'!$AH:$AH,'CT capacity tracker'!$B126,'PV SUPPLY DATA'!$AG:$AG,'CT capacity tracker'!$A$97,'PV SUPPLY DATA'!$Y:$Y,S$1,'PV SUPPLY DATA'!$AQ:$AQ,"cosco")+SUMIFS('PV SUPPLY DATA'!$X:$X,'PV SUPPLY DATA'!$AH:$AH,'CT capacity tracker'!$B126,'PV SUPPLY DATA'!$AG:$AG,'CT capacity tracker'!$A$97,'PV SUPPLY DATA'!$Y:$Y,S$1,'PV SUPPLY DATA'!$AQ:$AQ,"other")+SUMIFS('ESS SUPPLY DATA'!$U:$U,'ESS SUPPLY DATA'!$AF:$AF,'CT capacity tracker'!$B126,'ESS SUPPLY DATA'!$AE:$AE,'CT capacity tracker'!$A$97,'ESS SUPPLY DATA'!$W:$W,'CT capacity tracker'!S$1,'ESS SUPPLY DATA'!$AO:$AO,"cosco")+SUMIFS('ESS SUPPLY DATA'!$U:$U,'ESS SUPPLY DATA'!$AF:$AF,'CT capacity tracker'!$B126,'ESS SUPPLY DATA'!$AE:$AE,'CT capacity tracker'!$A$97,'ESS SUPPLY DATA'!$W:$W,'CT capacity tracker'!S$1,'ESS SUPPLY DATA'!$AO:$AO,"other")</f>
        <v>0</v>
      </c>
      <c r="T129" s="504">
        <f>SUMIFS('PV SUPPLY DATA'!$X:$X,'PV SUPPLY DATA'!$AH:$AH,'CT capacity tracker'!$B126,'PV SUPPLY DATA'!$AG:$AG,'CT capacity tracker'!$A$97,'PV SUPPLY DATA'!$Y:$Y,T$1,'PV SUPPLY DATA'!$AQ:$AQ,"cosco")+SUMIFS('PV SUPPLY DATA'!$X:$X,'PV SUPPLY DATA'!$AH:$AH,'CT capacity tracker'!$B126,'PV SUPPLY DATA'!$AG:$AG,'CT capacity tracker'!$A$97,'PV SUPPLY DATA'!$Y:$Y,T$1,'PV SUPPLY DATA'!$AQ:$AQ,"other")+SUMIFS('ESS SUPPLY DATA'!$U:$U,'ESS SUPPLY DATA'!$AF:$AF,'CT capacity tracker'!$B126,'ESS SUPPLY DATA'!$AE:$AE,'CT capacity tracker'!$A$97,'ESS SUPPLY DATA'!$W:$W,'CT capacity tracker'!T$1,'ESS SUPPLY DATA'!$AO:$AO,"cosco")+SUMIFS('ESS SUPPLY DATA'!$U:$U,'ESS SUPPLY DATA'!$AF:$AF,'CT capacity tracker'!$B126,'ESS SUPPLY DATA'!$AE:$AE,'CT capacity tracker'!$A$97,'ESS SUPPLY DATA'!$W:$W,'CT capacity tracker'!T$1,'ESS SUPPLY DATA'!$AO:$AO,"other")</f>
        <v>0</v>
      </c>
      <c r="U129" s="504">
        <f>SUMIFS('PV SUPPLY DATA'!$X:$X,'PV SUPPLY DATA'!$AH:$AH,'CT capacity tracker'!$B126,'PV SUPPLY DATA'!$AG:$AG,'CT capacity tracker'!$A$97,'PV SUPPLY DATA'!$Y:$Y,U$1,'PV SUPPLY DATA'!$AQ:$AQ,"cosco")+SUMIFS('PV SUPPLY DATA'!$X:$X,'PV SUPPLY DATA'!$AH:$AH,'CT capacity tracker'!$B126,'PV SUPPLY DATA'!$AG:$AG,'CT capacity tracker'!$A$97,'PV SUPPLY DATA'!$Y:$Y,U$1,'PV SUPPLY DATA'!$AQ:$AQ,"other")+SUMIFS('ESS SUPPLY DATA'!$U:$U,'ESS SUPPLY DATA'!$AF:$AF,'CT capacity tracker'!$B126,'ESS SUPPLY DATA'!$AE:$AE,'CT capacity tracker'!$A$97,'ESS SUPPLY DATA'!$W:$W,'CT capacity tracker'!U$1,'ESS SUPPLY DATA'!$AO:$AO,"cosco")+SUMIFS('ESS SUPPLY DATA'!$U:$U,'ESS SUPPLY DATA'!$AF:$AF,'CT capacity tracker'!$B126,'ESS SUPPLY DATA'!$AE:$AE,'CT capacity tracker'!$A$97,'ESS SUPPLY DATA'!$W:$W,'CT capacity tracker'!U$1,'ESS SUPPLY DATA'!$AO:$AO,"other")</f>
        <v>0</v>
      </c>
      <c r="V129" s="504">
        <f>SUMIFS('PV SUPPLY DATA'!$X:$X,'PV SUPPLY DATA'!$AH:$AH,'CT capacity tracker'!$B126,'PV SUPPLY DATA'!$AG:$AG,'CT capacity tracker'!$A$97,'PV SUPPLY DATA'!$Y:$Y,V$1,'PV SUPPLY DATA'!$AQ:$AQ,"cosco")+SUMIFS('PV SUPPLY DATA'!$X:$X,'PV SUPPLY DATA'!$AH:$AH,'CT capacity tracker'!$B126,'PV SUPPLY DATA'!$AG:$AG,'CT capacity tracker'!$A$97,'PV SUPPLY DATA'!$Y:$Y,V$1,'PV SUPPLY DATA'!$AQ:$AQ,"other")+SUMIFS('ESS SUPPLY DATA'!$U:$U,'ESS SUPPLY DATA'!$AF:$AF,'CT capacity tracker'!$B126,'ESS SUPPLY DATA'!$AE:$AE,'CT capacity tracker'!$A$97,'ESS SUPPLY DATA'!$W:$W,'CT capacity tracker'!V$1,'ESS SUPPLY DATA'!$AO:$AO,"cosco")+SUMIFS('ESS SUPPLY DATA'!$U:$U,'ESS SUPPLY DATA'!$AF:$AF,'CT capacity tracker'!$B126,'ESS SUPPLY DATA'!$AE:$AE,'CT capacity tracker'!$A$97,'ESS SUPPLY DATA'!$W:$W,'CT capacity tracker'!V$1,'ESS SUPPLY DATA'!$AO:$AO,"other")</f>
        <v>0</v>
      </c>
      <c r="W129" s="504">
        <f>SUMIFS('PV SUPPLY DATA'!$X:$X,'PV SUPPLY DATA'!$AH:$AH,'CT capacity tracker'!$B126,'PV SUPPLY DATA'!$AG:$AG,'CT capacity tracker'!$A$97,'PV SUPPLY DATA'!$Y:$Y,W$1,'PV SUPPLY DATA'!$AQ:$AQ,"cosco")+SUMIFS('PV SUPPLY DATA'!$X:$X,'PV SUPPLY DATA'!$AH:$AH,'CT capacity tracker'!$B126,'PV SUPPLY DATA'!$AG:$AG,'CT capacity tracker'!$A$97,'PV SUPPLY DATA'!$Y:$Y,W$1,'PV SUPPLY DATA'!$AQ:$AQ,"other")+SUMIFS('ESS SUPPLY DATA'!$U:$U,'ESS SUPPLY DATA'!$AF:$AF,'CT capacity tracker'!$B126,'ESS SUPPLY DATA'!$AE:$AE,'CT capacity tracker'!$A$97,'ESS SUPPLY DATA'!$W:$W,'CT capacity tracker'!W$1,'ESS SUPPLY DATA'!$AO:$AO,"cosco")+SUMIFS('ESS SUPPLY DATA'!$U:$U,'ESS SUPPLY DATA'!$AF:$AF,'CT capacity tracker'!$B126,'ESS SUPPLY DATA'!$AE:$AE,'CT capacity tracker'!$A$97,'ESS SUPPLY DATA'!$W:$W,'CT capacity tracker'!W$1,'ESS SUPPLY DATA'!$AO:$AO,"other")</f>
        <v>0</v>
      </c>
      <c r="X129" s="504">
        <f>SUMIFS('PV SUPPLY DATA'!$X:$X,'PV SUPPLY DATA'!$AH:$AH,'CT capacity tracker'!$B126,'PV SUPPLY DATA'!$AG:$AG,'CT capacity tracker'!$A$97,'PV SUPPLY DATA'!$Y:$Y,X$1,'PV SUPPLY DATA'!$AQ:$AQ,"cosco")+SUMIFS('PV SUPPLY DATA'!$X:$X,'PV SUPPLY DATA'!$AH:$AH,'CT capacity tracker'!$B126,'PV SUPPLY DATA'!$AG:$AG,'CT capacity tracker'!$A$97,'PV SUPPLY DATA'!$Y:$Y,X$1,'PV SUPPLY DATA'!$AQ:$AQ,"other")+SUMIFS('ESS SUPPLY DATA'!$U:$U,'ESS SUPPLY DATA'!$AF:$AF,'CT capacity tracker'!$B126,'ESS SUPPLY DATA'!$AE:$AE,'CT capacity tracker'!$A$97,'ESS SUPPLY DATA'!$W:$W,'CT capacity tracker'!X$1,'ESS SUPPLY DATA'!$AO:$AO,"cosco")+SUMIFS('ESS SUPPLY DATA'!$U:$U,'ESS SUPPLY DATA'!$AF:$AF,'CT capacity tracker'!$B126,'ESS SUPPLY DATA'!$AE:$AE,'CT capacity tracker'!$A$97,'ESS SUPPLY DATA'!$W:$W,'CT capacity tracker'!X$1,'ESS SUPPLY DATA'!$AO:$AO,"other")</f>
        <v>3</v>
      </c>
      <c r="Y129" s="504">
        <f>SUMIFS('PV SUPPLY DATA'!$X:$X,'PV SUPPLY DATA'!$AH:$AH,'CT capacity tracker'!$B126,'PV SUPPLY DATA'!$AG:$AG,'CT capacity tracker'!$A$97,'PV SUPPLY DATA'!$Y:$Y,Y$1,'PV SUPPLY DATA'!$AQ:$AQ,"cosco")+SUMIFS('PV SUPPLY DATA'!$X:$X,'PV SUPPLY DATA'!$AH:$AH,'CT capacity tracker'!$B126,'PV SUPPLY DATA'!$AG:$AG,'CT capacity tracker'!$A$97,'PV SUPPLY DATA'!$Y:$Y,Y$1,'PV SUPPLY DATA'!$AQ:$AQ,"other")+SUMIFS('ESS SUPPLY DATA'!$U:$U,'ESS SUPPLY DATA'!$AF:$AF,'CT capacity tracker'!$B126,'ESS SUPPLY DATA'!$AE:$AE,'CT capacity tracker'!$A$97,'ESS SUPPLY DATA'!$W:$W,'CT capacity tracker'!Y$1,'ESS SUPPLY DATA'!$AO:$AO,"cosco")+SUMIFS('ESS SUPPLY DATA'!$U:$U,'ESS SUPPLY DATA'!$AF:$AF,'CT capacity tracker'!$B126,'ESS SUPPLY DATA'!$AE:$AE,'CT capacity tracker'!$A$97,'ESS SUPPLY DATA'!$W:$W,'CT capacity tracker'!Y$1,'ESS SUPPLY DATA'!$AO:$AO,"other")</f>
        <v>0</v>
      </c>
      <c r="Z129" s="504">
        <f>SUMIFS('PV SUPPLY DATA'!$X:$X,'PV SUPPLY DATA'!$AH:$AH,'CT capacity tracker'!$B126,'PV SUPPLY DATA'!$AG:$AG,'CT capacity tracker'!$A$97,'PV SUPPLY DATA'!$Y:$Y,Z$1,'PV SUPPLY DATA'!$AQ:$AQ,"cosco")+SUMIFS('PV SUPPLY DATA'!$X:$X,'PV SUPPLY DATA'!$AH:$AH,'CT capacity tracker'!$B126,'PV SUPPLY DATA'!$AG:$AG,'CT capacity tracker'!$A$97,'PV SUPPLY DATA'!$Y:$Y,Z$1,'PV SUPPLY DATA'!$AQ:$AQ,"other")+SUMIFS('ESS SUPPLY DATA'!$U:$U,'ESS SUPPLY DATA'!$AF:$AF,'CT capacity tracker'!$B126,'ESS SUPPLY DATA'!$AE:$AE,'CT capacity tracker'!$A$97,'ESS SUPPLY DATA'!$W:$W,'CT capacity tracker'!Z$1,'ESS SUPPLY DATA'!$AO:$AO,"cosco")+SUMIFS('ESS SUPPLY DATA'!$U:$U,'ESS SUPPLY DATA'!$AF:$AF,'CT capacity tracker'!$B126,'ESS SUPPLY DATA'!$AE:$AE,'CT capacity tracker'!$A$97,'ESS SUPPLY DATA'!$W:$W,'CT capacity tracker'!Z$1,'ESS SUPPLY DATA'!$AO:$AO,"other")</f>
        <v>4</v>
      </c>
      <c r="AA129" s="504">
        <f>SUMIFS('PV SUPPLY DATA'!$X:$X,'PV SUPPLY DATA'!$AH:$AH,'CT capacity tracker'!$B126,'PV SUPPLY DATA'!$AG:$AG,'CT capacity tracker'!$A$97,'PV SUPPLY DATA'!$Y:$Y,AA$1,'PV SUPPLY DATA'!$AQ:$AQ,"cosco")+SUMIFS('PV SUPPLY DATA'!$X:$X,'PV SUPPLY DATA'!$AH:$AH,'CT capacity tracker'!$B126,'PV SUPPLY DATA'!$AG:$AG,'CT capacity tracker'!$A$97,'PV SUPPLY DATA'!$Y:$Y,AA$1,'PV SUPPLY DATA'!$AQ:$AQ,"other")+SUMIFS('ESS SUPPLY DATA'!$U:$U,'ESS SUPPLY DATA'!$AF:$AF,'CT capacity tracker'!$B126,'ESS SUPPLY DATA'!$AE:$AE,'CT capacity tracker'!$A$97,'ESS SUPPLY DATA'!$W:$W,'CT capacity tracker'!AA$1,'ESS SUPPLY DATA'!$AO:$AO,"cosco")+SUMIFS('ESS SUPPLY DATA'!$U:$U,'ESS SUPPLY DATA'!$AF:$AF,'CT capacity tracker'!$B126,'ESS SUPPLY DATA'!$AE:$AE,'CT capacity tracker'!$A$97,'ESS SUPPLY DATA'!$W:$W,'CT capacity tracker'!AA$1,'ESS SUPPLY DATA'!$AO:$AO,"other")</f>
        <v>0</v>
      </c>
      <c r="AB129" s="504">
        <f>SUMIFS('PV SUPPLY DATA'!$X:$X,'PV SUPPLY DATA'!$AH:$AH,'CT capacity tracker'!$B126,'PV SUPPLY DATA'!$AG:$AG,'CT capacity tracker'!$A$97,'PV SUPPLY DATA'!$Y:$Y,AB$1,'PV SUPPLY DATA'!$AQ:$AQ,"cosco")+SUMIFS('PV SUPPLY DATA'!$X:$X,'PV SUPPLY DATA'!$AH:$AH,'CT capacity tracker'!$B126,'PV SUPPLY DATA'!$AG:$AG,'CT capacity tracker'!$A$97,'PV SUPPLY DATA'!$Y:$Y,AB$1,'PV SUPPLY DATA'!$AQ:$AQ,"other")+SUMIFS('ESS SUPPLY DATA'!$U:$U,'ESS SUPPLY DATA'!$AF:$AF,'CT capacity tracker'!$B126,'ESS SUPPLY DATA'!$AE:$AE,'CT capacity tracker'!$A$97,'ESS SUPPLY DATA'!$W:$W,'CT capacity tracker'!AB$1,'ESS SUPPLY DATA'!$AO:$AO,"cosco")+SUMIFS('ESS SUPPLY DATA'!$U:$U,'ESS SUPPLY DATA'!$AF:$AF,'CT capacity tracker'!$B126,'ESS SUPPLY DATA'!$AE:$AE,'CT capacity tracker'!$A$97,'ESS SUPPLY DATA'!$W:$W,'CT capacity tracker'!AB$1,'ESS SUPPLY DATA'!$AO:$AO,"other")</f>
        <v>4</v>
      </c>
      <c r="AC129" s="504">
        <f>SUMIFS('PV SUPPLY DATA'!$X:$X,'PV SUPPLY DATA'!$AH:$AH,'CT capacity tracker'!$B126,'PV SUPPLY DATA'!$AG:$AG,'CT capacity tracker'!$A$97,'PV SUPPLY DATA'!$Y:$Y,AC$1,'PV SUPPLY DATA'!$AQ:$AQ,"cosco")+SUMIFS('PV SUPPLY DATA'!$X:$X,'PV SUPPLY DATA'!$AH:$AH,'CT capacity tracker'!$B126,'PV SUPPLY DATA'!$AG:$AG,'CT capacity tracker'!$A$97,'PV SUPPLY DATA'!$Y:$Y,AC$1,'PV SUPPLY DATA'!$AQ:$AQ,"other")+SUMIFS('ESS SUPPLY DATA'!$U:$U,'ESS SUPPLY DATA'!$AF:$AF,'CT capacity tracker'!$B126,'ESS SUPPLY DATA'!$AE:$AE,'CT capacity tracker'!$A$97,'ESS SUPPLY DATA'!$W:$W,'CT capacity tracker'!AC$1,'ESS SUPPLY DATA'!$AO:$AO,"cosco")+SUMIFS('ESS SUPPLY DATA'!$U:$U,'ESS SUPPLY DATA'!$AF:$AF,'CT capacity tracker'!$B126,'ESS SUPPLY DATA'!$AE:$AE,'CT capacity tracker'!$A$97,'ESS SUPPLY DATA'!$W:$W,'CT capacity tracker'!AC$1,'ESS SUPPLY DATA'!$AO:$AO,"other")</f>
        <v>0</v>
      </c>
      <c r="AD129" s="504">
        <f>SUMIFS('PV SUPPLY DATA'!$X:$X,'PV SUPPLY DATA'!$AH:$AH,'CT capacity tracker'!$B126,'PV SUPPLY DATA'!$AG:$AG,'CT capacity tracker'!$A$97,'PV SUPPLY DATA'!$Y:$Y,AD$1,'PV SUPPLY DATA'!$AQ:$AQ,"cosco")+SUMIFS('PV SUPPLY DATA'!$X:$X,'PV SUPPLY DATA'!$AH:$AH,'CT capacity tracker'!$B126,'PV SUPPLY DATA'!$AG:$AG,'CT capacity tracker'!$A$97,'PV SUPPLY DATA'!$Y:$Y,AD$1,'PV SUPPLY DATA'!$AQ:$AQ,"other")+SUMIFS('ESS SUPPLY DATA'!$U:$U,'ESS SUPPLY DATA'!$AF:$AF,'CT capacity tracker'!$B126,'ESS SUPPLY DATA'!$AE:$AE,'CT capacity tracker'!$A$97,'ESS SUPPLY DATA'!$W:$W,'CT capacity tracker'!AD$1,'ESS SUPPLY DATA'!$AO:$AO,"cosco")+SUMIFS('ESS SUPPLY DATA'!$U:$U,'ESS SUPPLY DATA'!$AF:$AF,'CT capacity tracker'!$B126,'ESS SUPPLY DATA'!$AE:$AE,'CT capacity tracker'!$A$97,'ESS SUPPLY DATA'!$W:$W,'CT capacity tracker'!AD$1,'ESS SUPPLY DATA'!$AO:$AO,"other")</f>
        <v>0</v>
      </c>
      <c r="AE129" s="504">
        <f>SUMIFS('PV SUPPLY DATA'!$X:$X,'PV SUPPLY DATA'!$AH:$AH,'CT capacity tracker'!$B126,'PV SUPPLY DATA'!$AG:$AG,'CT capacity tracker'!$A$97,'PV SUPPLY DATA'!$Y:$Y,AE$1,'PV SUPPLY DATA'!$AQ:$AQ,"cosco")+SUMIFS('PV SUPPLY DATA'!$X:$X,'PV SUPPLY DATA'!$AH:$AH,'CT capacity tracker'!$B126,'PV SUPPLY DATA'!$AG:$AG,'CT capacity tracker'!$A$97,'PV SUPPLY DATA'!$Y:$Y,AE$1,'PV SUPPLY DATA'!$AQ:$AQ,"other")+SUMIFS('ESS SUPPLY DATA'!$U:$U,'ESS SUPPLY DATA'!$AF:$AF,'CT capacity tracker'!$B126,'ESS SUPPLY DATA'!$AE:$AE,'CT capacity tracker'!$A$97,'ESS SUPPLY DATA'!$W:$W,'CT capacity tracker'!AE$1,'ESS SUPPLY DATA'!$AO:$AO,"cosco")+SUMIFS('ESS SUPPLY DATA'!$U:$U,'ESS SUPPLY DATA'!$AF:$AF,'CT capacity tracker'!$B126,'ESS SUPPLY DATA'!$AE:$AE,'CT capacity tracker'!$A$97,'ESS SUPPLY DATA'!$W:$W,'CT capacity tracker'!AE$1,'ESS SUPPLY DATA'!$AO:$AO,"other")</f>
        <v>0</v>
      </c>
      <c r="AF129" s="504">
        <f>SUMIFS('PV SUPPLY DATA'!$X:$X,'PV SUPPLY DATA'!$AH:$AH,'CT capacity tracker'!$B126,'PV SUPPLY DATA'!$AG:$AG,'CT capacity tracker'!$A$97,'PV SUPPLY DATA'!$Y:$Y,AF$1,'PV SUPPLY DATA'!$AQ:$AQ,"cosco")+SUMIFS('PV SUPPLY DATA'!$X:$X,'PV SUPPLY DATA'!$AH:$AH,'CT capacity tracker'!$B126,'PV SUPPLY DATA'!$AG:$AG,'CT capacity tracker'!$A$97,'PV SUPPLY DATA'!$Y:$Y,AF$1,'PV SUPPLY DATA'!$AQ:$AQ,"other")+SUMIFS('ESS SUPPLY DATA'!$U:$U,'ESS SUPPLY DATA'!$AF:$AF,'CT capacity tracker'!$B126,'ESS SUPPLY DATA'!$AE:$AE,'CT capacity tracker'!$A$97,'ESS SUPPLY DATA'!$W:$W,'CT capacity tracker'!AF$1,'ESS SUPPLY DATA'!$AO:$AO,"cosco")+SUMIFS('ESS SUPPLY DATA'!$U:$U,'ESS SUPPLY DATA'!$AF:$AF,'CT capacity tracker'!$B126,'ESS SUPPLY DATA'!$AE:$AE,'CT capacity tracker'!$A$97,'ESS SUPPLY DATA'!$W:$W,'CT capacity tracker'!AF$1,'ESS SUPPLY DATA'!$AO:$AO,"other")</f>
        <v>0</v>
      </c>
      <c r="AG129" s="504">
        <f>SUMIFS('PV SUPPLY DATA'!$X:$X,'PV SUPPLY DATA'!$AH:$AH,'CT capacity tracker'!$B126,'PV SUPPLY DATA'!$AG:$AG,'CT capacity tracker'!$A$97,'PV SUPPLY DATA'!$Y:$Y,AG$1,'PV SUPPLY DATA'!$AQ:$AQ,"cosco")+SUMIFS('PV SUPPLY DATA'!$X:$X,'PV SUPPLY DATA'!$AH:$AH,'CT capacity tracker'!$B126,'PV SUPPLY DATA'!$AG:$AG,'CT capacity tracker'!$A$97,'PV SUPPLY DATA'!$Y:$Y,AG$1,'PV SUPPLY DATA'!$AQ:$AQ,"other")+SUMIFS('ESS SUPPLY DATA'!$U:$U,'ESS SUPPLY DATA'!$AF:$AF,'CT capacity tracker'!$B126,'ESS SUPPLY DATA'!$AE:$AE,'CT capacity tracker'!$A$97,'ESS SUPPLY DATA'!$W:$W,'CT capacity tracker'!AG$1,'ESS SUPPLY DATA'!$AO:$AO,"cosco")+SUMIFS('ESS SUPPLY DATA'!$U:$U,'ESS SUPPLY DATA'!$AF:$AF,'CT capacity tracker'!$B126,'ESS SUPPLY DATA'!$AE:$AE,'CT capacity tracker'!$A$97,'ESS SUPPLY DATA'!$W:$W,'CT capacity tracker'!AG$1,'ESS SUPPLY DATA'!$AO:$AO,"other")</f>
        <v>0</v>
      </c>
      <c r="AH129" s="504">
        <f>SUMIFS('PV SUPPLY DATA'!$X:$X,'PV SUPPLY DATA'!$AH:$AH,'CT capacity tracker'!$B126,'PV SUPPLY DATA'!$AG:$AG,'CT capacity tracker'!$A$97,'PV SUPPLY DATA'!$Y:$Y,AH$1,'PV SUPPLY DATA'!$AQ:$AQ,"cosco")+SUMIFS('PV SUPPLY DATA'!$X:$X,'PV SUPPLY DATA'!$AH:$AH,'CT capacity tracker'!$B126,'PV SUPPLY DATA'!$AG:$AG,'CT capacity tracker'!$A$97,'PV SUPPLY DATA'!$Y:$Y,AH$1,'PV SUPPLY DATA'!$AQ:$AQ,"other")+SUMIFS('ESS SUPPLY DATA'!$U:$U,'ESS SUPPLY DATA'!$AF:$AF,'CT capacity tracker'!$B126,'ESS SUPPLY DATA'!$AE:$AE,'CT capacity tracker'!$A$97,'ESS SUPPLY DATA'!$W:$W,'CT capacity tracker'!AH$1,'ESS SUPPLY DATA'!$AO:$AO,"cosco")+SUMIFS('ESS SUPPLY DATA'!$U:$U,'ESS SUPPLY DATA'!$AF:$AF,'CT capacity tracker'!$B126,'ESS SUPPLY DATA'!$AE:$AE,'CT capacity tracker'!$A$97,'ESS SUPPLY DATA'!$W:$W,'CT capacity tracker'!AH$1,'ESS SUPPLY DATA'!$AO:$AO,"other")</f>
        <v>0</v>
      </c>
      <c r="AI129" s="504">
        <f>SUMIFS('PV SUPPLY DATA'!$X:$X,'PV SUPPLY DATA'!$AH:$AH,'CT capacity tracker'!$B126,'PV SUPPLY DATA'!$AG:$AG,'CT capacity tracker'!$A$97,'PV SUPPLY DATA'!$Y:$Y,AI$1,'PV SUPPLY DATA'!$AQ:$AQ,"cosco")+SUMIFS('PV SUPPLY DATA'!$X:$X,'PV SUPPLY DATA'!$AH:$AH,'CT capacity tracker'!$B126,'PV SUPPLY DATA'!$AG:$AG,'CT capacity tracker'!$A$97,'PV SUPPLY DATA'!$Y:$Y,AI$1,'PV SUPPLY DATA'!$AQ:$AQ,"other")+SUMIFS('ESS SUPPLY DATA'!$U:$U,'ESS SUPPLY DATA'!$AF:$AF,'CT capacity tracker'!$B126,'ESS SUPPLY DATA'!$AE:$AE,'CT capacity tracker'!$A$97,'ESS SUPPLY DATA'!$W:$W,'CT capacity tracker'!AI$1,'ESS SUPPLY DATA'!$AO:$AO,"cosco")+SUMIFS('ESS SUPPLY DATA'!$U:$U,'ESS SUPPLY DATA'!$AF:$AF,'CT capacity tracker'!$B126,'ESS SUPPLY DATA'!$AE:$AE,'CT capacity tracker'!$A$97,'ESS SUPPLY DATA'!$W:$W,'CT capacity tracker'!AI$1,'ESS SUPPLY DATA'!$AO:$AO,"other")</f>
        <v>0</v>
      </c>
      <c r="AJ129" s="504">
        <f>SUMIFS('PV SUPPLY DATA'!$X:$X,'PV SUPPLY DATA'!$AH:$AH,'CT capacity tracker'!$B126,'PV SUPPLY DATA'!$AG:$AG,'CT capacity tracker'!$A$97,'PV SUPPLY DATA'!$Y:$Y,AJ$1,'PV SUPPLY DATA'!$AQ:$AQ,"cosco")+SUMIFS('PV SUPPLY DATA'!$X:$X,'PV SUPPLY DATA'!$AH:$AH,'CT capacity tracker'!$B126,'PV SUPPLY DATA'!$AG:$AG,'CT capacity tracker'!$A$97,'PV SUPPLY DATA'!$Y:$Y,AJ$1,'PV SUPPLY DATA'!$AQ:$AQ,"other")+SUMIFS('ESS SUPPLY DATA'!$U:$U,'ESS SUPPLY DATA'!$AF:$AF,'CT capacity tracker'!$B126,'ESS SUPPLY DATA'!$AE:$AE,'CT capacity tracker'!$A$97,'ESS SUPPLY DATA'!$W:$W,'CT capacity tracker'!AJ$1,'ESS SUPPLY DATA'!$AO:$AO,"cosco")+SUMIFS('ESS SUPPLY DATA'!$U:$U,'ESS SUPPLY DATA'!$AF:$AF,'CT capacity tracker'!$B126,'ESS SUPPLY DATA'!$AE:$AE,'CT capacity tracker'!$A$97,'ESS SUPPLY DATA'!$W:$W,'CT capacity tracker'!AJ$1,'ESS SUPPLY DATA'!$AO:$AO,"other")</f>
        <v>0</v>
      </c>
      <c r="AK129" s="511"/>
      <c r="AL129" s="511"/>
      <c r="AM129" s="696">
        <f>SUM(E129:X129)</f>
        <v>4</v>
      </c>
      <c r="AN129" s="503"/>
      <c r="AO129" s="506"/>
      <c r="AP129" s="506"/>
      <c r="AQ129" s="506"/>
      <c r="AR129" s="506"/>
      <c r="AS129" s="506"/>
      <c r="AT129" s="506"/>
    </row>
    <row r="130" spans="1:46" ht="13">
      <c r="A130" s="1517"/>
      <c r="B130" s="1516" t="s">
        <v>1561</v>
      </c>
      <c r="C130" s="503" t="s">
        <v>4400</v>
      </c>
      <c r="D130" s="504">
        <f>SUMIFS('PV SUPPLY DATA'!$X:$X,'PV SUPPLY DATA'!$AH:$AH,'CT capacity tracker'!$B130,'PV SUPPLY DATA'!$AG:$AG,'CT capacity tracker'!$A$97,'PV SUPPLY DATA'!$Y:$Y,'CT capacity tracker'!D$1)</f>
        <v>0</v>
      </c>
      <c r="E130" s="504">
        <f>SUMIFS('PV SUPPLY DATA'!$X:$X,'PV SUPPLY DATA'!$Y:$Y,'CT capacity tracker'!E$1,'PV SUPPLY DATA'!$AG:$AG,'CT capacity tracker'!$A$97,'PV SUPPLY DATA'!$AH:$AH,'CT capacity tracker'!$B$130)</f>
        <v>0</v>
      </c>
      <c r="F130" s="504">
        <f>SUMIFS('PV SUPPLY DATA'!$X:$X,'PV SUPPLY DATA'!$Y:$Y,'CT capacity tracker'!F$1,'PV SUPPLY DATA'!$AG:$AG,'CT capacity tracker'!$A$97,'PV SUPPLY DATA'!$AH:$AH,'CT capacity tracker'!$B$130)</f>
        <v>0</v>
      </c>
      <c r="G130" s="504">
        <f>SUMIFS('PV SUPPLY DATA'!$X:$X,'PV SUPPLY DATA'!$Y:$Y,'CT capacity tracker'!G$1,'PV SUPPLY DATA'!$AG:$AG,'CT capacity tracker'!$A$97,'PV SUPPLY DATA'!$AH:$AH,'CT capacity tracker'!$B$130)</f>
        <v>0</v>
      </c>
      <c r="H130" s="504">
        <f>SUMIFS('PV SUPPLY DATA'!$X:$X,'PV SUPPLY DATA'!$Y:$Y,'CT capacity tracker'!H$1,'PV SUPPLY DATA'!$AG:$AG,'CT capacity tracker'!$A$97,'PV SUPPLY DATA'!$AH:$AH,'CT capacity tracker'!$B$130)</f>
        <v>0</v>
      </c>
      <c r="I130" s="504">
        <f>SUMIFS('PV SUPPLY DATA'!$X:$X,'PV SUPPLY DATA'!$Y:$Y,'CT capacity tracker'!I$1,'PV SUPPLY DATA'!$AG:$AG,'CT capacity tracker'!$A$97,'PV SUPPLY DATA'!$AH:$AH,'CT capacity tracker'!$B$130)</f>
        <v>0</v>
      </c>
      <c r="J130" s="504">
        <f>SUMIFS('PV SUPPLY DATA'!$X:$X,'PV SUPPLY DATA'!$Y:$Y,'CT capacity tracker'!J$1,'PV SUPPLY DATA'!$AG:$AG,'CT capacity tracker'!$A$97,'PV SUPPLY DATA'!$AH:$AH,'CT capacity tracker'!$B$130)</f>
        <v>0</v>
      </c>
      <c r="K130" s="504">
        <f>SUMIFS('PV SUPPLY DATA'!$X:$X,'PV SUPPLY DATA'!$Y:$Y,'CT capacity tracker'!K$1,'PV SUPPLY DATA'!$AG:$AG,'CT capacity tracker'!$A$97,'PV SUPPLY DATA'!$AH:$AH,'CT capacity tracker'!$B$130)</f>
        <v>0</v>
      </c>
      <c r="L130" s="504">
        <f>SUMIFS('PV SUPPLY DATA'!$X:$X,'PV SUPPLY DATA'!$Y:$Y,'CT capacity tracker'!L$1,'PV SUPPLY DATA'!$AG:$AG,'CT capacity tracker'!$A$97,'PV SUPPLY DATA'!$AH:$AH,'CT capacity tracker'!$B$130)</f>
        <v>0</v>
      </c>
      <c r="M130" s="504">
        <f>SUMIFS('PV SUPPLY DATA'!$X:$X,'PV SUPPLY DATA'!$Y:$Y,'CT capacity tracker'!M$1,'PV SUPPLY DATA'!$AG:$AG,'CT capacity tracker'!$A$97,'PV SUPPLY DATA'!$AH:$AH,'CT capacity tracker'!$B$130)</f>
        <v>0</v>
      </c>
      <c r="N130" s="504">
        <f>SUMIFS('PV SUPPLY DATA'!$X:$X,'PV SUPPLY DATA'!$Y:$Y,'CT capacity tracker'!N$1,'PV SUPPLY DATA'!$AG:$AG,'CT capacity tracker'!$A$97,'PV SUPPLY DATA'!$AH:$AH,'CT capacity tracker'!$B$130)</f>
        <v>0</v>
      </c>
      <c r="O130" s="504">
        <f>SUMIFS('PV SUPPLY DATA'!$X:$X,'PV SUPPLY DATA'!$Y:$Y,'CT capacity tracker'!O$1,'PV SUPPLY DATA'!$AG:$AG,'CT capacity tracker'!$A$97,'PV SUPPLY DATA'!$AH:$AH,'CT capacity tracker'!$B$130)</f>
        <v>0</v>
      </c>
      <c r="P130" s="504">
        <f>SUMIFS('PV SUPPLY DATA'!$X:$X,'PV SUPPLY DATA'!$Y:$Y,'CT capacity tracker'!P$1,'PV SUPPLY DATA'!$AG:$AG,'CT capacity tracker'!$A$97,'PV SUPPLY DATA'!$AH:$AH,'CT capacity tracker'!$B$130)</f>
        <v>0</v>
      </c>
      <c r="Q130" s="504">
        <f>SUMIFS('PV SUPPLY DATA'!$X:$X,'PV SUPPLY DATA'!$Y:$Y,'CT capacity tracker'!Q$1,'PV SUPPLY DATA'!$AG:$AG,'CT capacity tracker'!$A$97,'PV SUPPLY DATA'!$AH:$AH,'CT capacity tracker'!$B$130)</f>
        <v>1</v>
      </c>
      <c r="R130" s="504">
        <f>SUMIFS('PV SUPPLY DATA'!$X:$X,'PV SUPPLY DATA'!$Y:$Y,'CT capacity tracker'!R$1,'PV SUPPLY DATA'!$AG:$AG,'CT capacity tracker'!$A$97,'PV SUPPLY DATA'!$AH:$AH,'CT capacity tracker'!$B$130)</f>
        <v>2</v>
      </c>
      <c r="S130" s="504">
        <f>SUMIFS('PV SUPPLY DATA'!$X:$X,'PV SUPPLY DATA'!$Y:$Y,'CT capacity tracker'!S$1,'PV SUPPLY DATA'!$AG:$AG,'CT capacity tracker'!$A$97,'PV SUPPLY DATA'!$AH:$AH,'CT capacity tracker'!$B$130)</f>
        <v>0</v>
      </c>
      <c r="T130" s="504">
        <f>SUMIFS('PV SUPPLY DATA'!$X:$X,'PV SUPPLY DATA'!$Y:$Y,'CT capacity tracker'!T$1,'PV SUPPLY DATA'!$AG:$AG,'CT capacity tracker'!$A$97,'PV SUPPLY DATA'!$AH:$AH,'CT capacity tracker'!$B$130)</f>
        <v>0</v>
      </c>
      <c r="U130" s="504">
        <f>SUMIFS('PV SUPPLY DATA'!$X:$X,'PV SUPPLY DATA'!$Y:$Y,'CT capacity tracker'!U$1,'PV SUPPLY DATA'!$AG:$AG,'CT capacity tracker'!$A$97,'PV SUPPLY DATA'!$AH:$AH,'CT capacity tracker'!$B$130)</f>
        <v>0</v>
      </c>
      <c r="V130" s="504">
        <f>SUMIFS('PV SUPPLY DATA'!$X:$X,'PV SUPPLY DATA'!$Y:$Y,'CT capacity tracker'!V$1,'PV SUPPLY DATA'!$AG:$AG,'CT capacity tracker'!$A$97,'PV SUPPLY DATA'!$AH:$AH,'CT capacity tracker'!$B$130)</f>
        <v>0</v>
      </c>
      <c r="W130" s="504">
        <f>SUMIFS('PV SUPPLY DATA'!$X:$X,'PV SUPPLY DATA'!$Y:$Y,'CT capacity tracker'!W$1,'PV SUPPLY DATA'!$AG:$AG,'CT capacity tracker'!$A$97,'PV SUPPLY DATA'!$AH:$AH,'CT capacity tracker'!$B$130)</f>
        <v>0</v>
      </c>
      <c r="X130" s="504">
        <f>SUMIFS('PV SUPPLY DATA'!$X:$X,'PV SUPPLY DATA'!$Y:$Y,'CT capacity tracker'!X$1,'PV SUPPLY DATA'!$AG:$AG,'CT capacity tracker'!$A$97,'PV SUPPLY DATA'!$AH:$AH,'CT capacity tracker'!$B$130)</f>
        <v>0</v>
      </c>
      <c r="Y130" s="504">
        <f>SUMIFS('PV SUPPLY DATA'!$X:$X,'PV SUPPLY DATA'!$Y:$Y,'CT capacity tracker'!Y$1,'PV SUPPLY DATA'!$AG:$AG,'CT capacity tracker'!$A$97,'PV SUPPLY DATA'!$AH:$AH,'CT capacity tracker'!$B$130)</f>
        <v>0</v>
      </c>
      <c r="Z130" s="504">
        <f>SUMIFS('PV SUPPLY DATA'!$X:$X,'PV SUPPLY DATA'!$Y:$Y,'CT capacity tracker'!Z$1,'PV SUPPLY DATA'!$AG:$AG,'CT capacity tracker'!$A$97,'PV SUPPLY DATA'!$AH:$AH,'CT capacity tracker'!$B$130)</f>
        <v>0</v>
      </c>
      <c r="AA130" s="504">
        <f>SUMIFS('PV SUPPLY DATA'!$X:$X,'PV SUPPLY DATA'!$Y:$Y,'CT capacity tracker'!AA$1,'PV SUPPLY DATA'!$AG:$AG,'CT capacity tracker'!$A$97,'PV SUPPLY DATA'!$AH:$AH,'CT capacity tracker'!$B$130)</f>
        <v>0</v>
      </c>
      <c r="AB130" s="504">
        <f>SUMIFS('PV SUPPLY DATA'!$X:$X,'PV SUPPLY DATA'!$Y:$Y,'CT capacity tracker'!AB$1,'PV SUPPLY DATA'!$AG:$AG,'CT capacity tracker'!$A$97,'PV SUPPLY DATA'!$AH:$AH,'CT capacity tracker'!$B$130)</f>
        <v>0</v>
      </c>
      <c r="AC130" s="504">
        <f>SUMIFS('PV SUPPLY DATA'!$X:$X,'PV SUPPLY DATA'!$Y:$Y,'CT capacity tracker'!AC$1,'PV SUPPLY DATA'!$AG:$AG,'CT capacity tracker'!$A$97,'PV SUPPLY DATA'!$AH:$AH,'CT capacity tracker'!$B$130)</f>
        <v>0</v>
      </c>
      <c r="AD130" s="504">
        <f>SUMIFS('PV SUPPLY DATA'!$X:$X,'PV SUPPLY DATA'!$Y:$Y,'CT capacity tracker'!AD$1,'PV SUPPLY DATA'!$AG:$AG,'CT capacity tracker'!$A$97,'PV SUPPLY DATA'!$AH:$AH,'CT capacity tracker'!$B$130)</f>
        <v>0</v>
      </c>
      <c r="AE130" s="504">
        <f>SUMIFS('PV SUPPLY DATA'!$X:$X,'PV SUPPLY DATA'!$Y:$Y,'CT capacity tracker'!AE$1,'PV SUPPLY DATA'!$AG:$AG,'CT capacity tracker'!$A$97,'PV SUPPLY DATA'!$AH:$AH,'CT capacity tracker'!$B$130)</f>
        <v>0</v>
      </c>
      <c r="AF130" s="504">
        <f>SUMIFS('PV SUPPLY DATA'!$X:$X,'PV SUPPLY DATA'!$Y:$Y,'CT capacity tracker'!AF$1,'PV SUPPLY DATA'!$AG:$AG,'CT capacity tracker'!$A$97,'PV SUPPLY DATA'!$AH:$AH,'CT capacity tracker'!$B$130)</f>
        <v>0</v>
      </c>
      <c r="AG130" s="504">
        <f>SUMIFS('PV SUPPLY DATA'!$X:$X,'PV SUPPLY DATA'!$Y:$Y,'CT capacity tracker'!AG$1,'PV SUPPLY DATA'!$AG:$AG,'CT capacity tracker'!$A$97,'PV SUPPLY DATA'!$AH:$AH,'CT capacity tracker'!$B$130)</f>
        <v>0</v>
      </c>
      <c r="AH130" s="504">
        <f>SUMIFS('PV SUPPLY DATA'!$X:$X,'PV SUPPLY DATA'!$Y:$Y,'CT capacity tracker'!AH$1,'PV SUPPLY DATA'!$AG:$AG,'CT capacity tracker'!$A$97,'PV SUPPLY DATA'!$AH:$AH,'CT capacity tracker'!$B$130)</f>
        <v>0</v>
      </c>
      <c r="AI130" s="504">
        <f>SUMIFS('PV SUPPLY DATA'!$X:$X,'PV SUPPLY DATA'!$Y:$Y,'CT capacity tracker'!AI$1,'PV SUPPLY DATA'!$AG:$AG,'CT capacity tracker'!$A$97,'PV SUPPLY DATA'!$AH:$AH,'CT capacity tracker'!$B$130)</f>
        <v>0</v>
      </c>
      <c r="AJ130" s="504">
        <f>SUMIFS('PV SUPPLY DATA'!$X:$X,'PV SUPPLY DATA'!$Y:$Y,'CT capacity tracker'!AJ$1,'PV SUPPLY DATA'!$AG:$AG,'CT capacity tracker'!$A$97,'PV SUPPLY DATA'!$AH:$AH,'CT capacity tracker'!$B$130)</f>
        <v>0</v>
      </c>
      <c r="AK130" s="505" t="s">
        <v>197</v>
      </c>
      <c r="AL130" s="505" t="s">
        <v>197</v>
      </c>
      <c r="AM130" s="696">
        <f>SUM(E130:X130)</f>
        <v>3</v>
      </c>
      <c r="AN130" s="503" t="s">
        <v>197</v>
      </c>
      <c r="AO130" s="506"/>
      <c r="AP130" s="506">
        <f t="shared" si="77"/>
        <v>0</v>
      </c>
      <c r="AQ130" s="506"/>
      <c r="AR130" s="506"/>
      <c r="AS130" s="506"/>
      <c r="AT130" s="506"/>
    </row>
    <row r="131" spans="1:46" ht="13">
      <c r="A131" s="1517"/>
      <c r="B131" s="1517"/>
      <c r="C131" s="509" t="s">
        <v>4401</v>
      </c>
      <c r="D131" s="509"/>
      <c r="E131" s="510"/>
      <c r="F131" s="510"/>
      <c r="G131" s="510"/>
      <c r="H131" s="510"/>
      <c r="I131" s="510"/>
      <c r="J131" s="510"/>
      <c r="K131" s="510"/>
      <c r="L131" s="510"/>
      <c r="M131" s="510"/>
      <c r="N131" s="510">
        <v>0</v>
      </c>
      <c r="O131" s="510"/>
      <c r="P131" s="510">
        <v>1</v>
      </c>
      <c r="Q131" s="510">
        <v>1</v>
      </c>
      <c r="R131" s="510">
        <v>1</v>
      </c>
      <c r="S131" s="510"/>
      <c r="T131" s="510"/>
      <c r="U131" s="510">
        <v>1</v>
      </c>
      <c r="V131" s="510">
        <v>1</v>
      </c>
      <c r="W131" s="510"/>
      <c r="X131" s="510"/>
      <c r="Y131" s="510">
        <v>0</v>
      </c>
      <c r="Z131" s="510">
        <v>1</v>
      </c>
      <c r="AA131" s="510">
        <v>1</v>
      </c>
      <c r="AB131" s="510">
        <v>0</v>
      </c>
      <c r="AC131" s="510"/>
      <c r="AD131" s="510"/>
      <c r="AE131" s="510"/>
      <c r="AF131" s="510"/>
      <c r="AG131" s="510"/>
      <c r="AH131" s="510"/>
      <c r="AI131" s="510"/>
      <c r="AJ131" s="510"/>
      <c r="AK131" s="505" t="s">
        <v>197</v>
      </c>
      <c r="AL131" s="505" t="s">
        <v>197</v>
      </c>
      <c r="AM131" s="696"/>
      <c r="AN131" s="503" t="s">
        <v>197</v>
      </c>
      <c r="AO131" s="506"/>
      <c r="AP131" s="506">
        <f t="shared" si="77"/>
        <v>0</v>
      </c>
      <c r="AQ131" s="506"/>
      <c r="AR131" s="506"/>
      <c r="AS131" s="506"/>
      <c r="AT131" s="506"/>
    </row>
    <row r="132" spans="1:46" ht="13">
      <c r="A132" s="1517"/>
      <c r="B132" s="1517"/>
      <c r="C132" s="520" t="s">
        <v>4402</v>
      </c>
      <c r="D132" s="522"/>
      <c r="E132" s="522">
        <f>E131-E130</f>
        <v>0</v>
      </c>
      <c r="F132" s="522">
        <f t="shared" ref="F132:X132" si="102">F131-F130</f>
        <v>0</v>
      </c>
      <c r="G132" s="522">
        <f t="shared" si="102"/>
        <v>0</v>
      </c>
      <c r="H132" s="522">
        <f t="shared" si="102"/>
        <v>0</v>
      </c>
      <c r="I132" s="522">
        <f t="shared" si="102"/>
        <v>0</v>
      </c>
      <c r="J132" s="522">
        <f t="shared" si="102"/>
        <v>0</v>
      </c>
      <c r="K132" s="522">
        <f t="shared" si="102"/>
        <v>0</v>
      </c>
      <c r="L132" s="522">
        <f t="shared" si="102"/>
        <v>0</v>
      </c>
      <c r="M132" s="522">
        <f t="shared" si="102"/>
        <v>0</v>
      </c>
      <c r="N132" s="522">
        <f t="shared" si="102"/>
        <v>0</v>
      </c>
      <c r="O132" s="522">
        <f t="shared" si="102"/>
        <v>0</v>
      </c>
      <c r="P132" s="522">
        <f t="shared" si="102"/>
        <v>1</v>
      </c>
      <c r="Q132" s="522">
        <f t="shared" si="102"/>
        <v>0</v>
      </c>
      <c r="R132" s="522">
        <f t="shared" si="102"/>
        <v>-1</v>
      </c>
      <c r="S132" s="522">
        <f t="shared" si="102"/>
        <v>0</v>
      </c>
      <c r="T132" s="522">
        <f t="shared" si="102"/>
        <v>0</v>
      </c>
      <c r="U132" s="522">
        <f t="shared" si="102"/>
        <v>1</v>
      </c>
      <c r="V132" s="522">
        <f t="shared" si="102"/>
        <v>1</v>
      </c>
      <c r="W132" s="522">
        <f t="shared" si="102"/>
        <v>0</v>
      </c>
      <c r="X132" s="522">
        <f t="shared" si="102"/>
        <v>0</v>
      </c>
      <c r="Y132" s="522">
        <f t="shared" ref="Y132:AJ132" si="103">Y131-Y130</f>
        <v>0</v>
      </c>
      <c r="Z132" s="522">
        <f t="shared" si="103"/>
        <v>1</v>
      </c>
      <c r="AA132" s="522">
        <f t="shared" si="103"/>
        <v>1</v>
      </c>
      <c r="AB132" s="522">
        <f t="shared" si="103"/>
        <v>0</v>
      </c>
      <c r="AC132" s="522">
        <f t="shared" si="103"/>
        <v>0</v>
      </c>
      <c r="AD132" s="522">
        <f t="shared" si="103"/>
        <v>0</v>
      </c>
      <c r="AE132" s="522">
        <f t="shared" si="103"/>
        <v>0</v>
      </c>
      <c r="AF132" s="522">
        <f t="shared" si="103"/>
        <v>0</v>
      </c>
      <c r="AG132" s="522">
        <f t="shared" si="103"/>
        <v>0</v>
      </c>
      <c r="AH132" s="522">
        <f t="shared" si="103"/>
        <v>0</v>
      </c>
      <c r="AI132" s="522">
        <f t="shared" si="103"/>
        <v>0</v>
      </c>
      <c r="AJ132" s="522">
        <f t="shared" si="103"/>
        <v>0</v>
      </c>
      <c r="AK132" s="511">
        <f>SUMIF($E132:$X132,"&gt;0")</f>
        <v>3</v>
      </c>
      <c r="AL132" s="511">
        <f>SUMIF($E132:$X132,"&lt;0")</f>
        <v>-1</v>
      </c>
      <c r="AM132" s="696"/>
      <c r="AN132" s="503"/>
      <c r="AO132" s="506"/>
      <c r="AP132" s="506">
        <f t="shared" si="77"/>
        <v>0</v>
      </c>
      <c r="AQ132" s="506"/>
      <c r="AR132" s="506"/>
      <c r="AS132" s="506"/>
      <c r="AT132" s="506"/>
    </row>
    <row r="133" spans="1:46" ht="13">
      <c r="A133" s="1517"/>
      <c r="B133" s="1518"/>
      <c r="C133" s="503" t="s">
        <v>4403</v>
      </c>
      <c r="D133" s="522"/>
      <c r="E133" s="504">
        <f>SUMIFS('PV SUPPLY DATA'!$X:$X,'PV SUPPLY DATA'!$AH:$AH,'CT capacity tracker'!$B130,'PV SUPPLY DATA'!$AG:$AG,'CT capacity tracker'!$A$97,'PV SUPPLY DATA'!$Y:$Y,E$1,'PV SUPPLY DATA'!$AQ:$AQ,"cosco")+SUMIFS('PV SUPPLY DATA'!$X:$X,'PV SUPPLY DATA'!$AH:$AH,'CT capacity tracker'!$B130,'PV SUPPLY DATA'!$AG:$AG,'CT capacity tracker'!$A$97,'PV SUPPLY DATA'!$Y:$Y,E$1,'PV SUPPLY DATA'!$AQ:$AQ,"other")+SUMIFS('ESS SUPPLY DATA'!$U:$U,'ESS SUPPLY DATA'!$AF:$AF,'CT capacity tracker'!$B130,'ESS SUPPLY DATA'!$AE:$AE,'CT capacity tracker'!$A$97,'ESS SUPPLY DATA'!$W:$W,'CT capacity tracker'!E$1,'ESS SUPPLY DATA'!$AO:$AO,"cosco")+SUMIFS('ESS SUPPLY DATA'!$U:$U,'ESS SUPPLY DATA'!$AF:$AF,'CT capacity tracker'!$B130,'ESS SUPPLY DATA'!$AE:$AE,'CT capacity tracker'!$A$97,'ESS SUPPLY DATA'!$W:$W,'CT capacity tracker'!E$1,'ESS SUPPLY DATA'!$AO:$AO,"other")</f>
        <v>0</v>
      </c>
      <c r="F133" s="504">
        <f>SUMIFS('PV SUPPLY DATA'!$X:$X,'PV SUPPLY DATA'!$AH:$AH,'CT capacity tracker'!$B130,'PV SUPPLY DATA'!$AG:$AG,'CT capacity tracker'!$A$97,'PV SUPPLY DATA'!$Y:$Y,F$1,'PV SUPPLY DATA'!$AQ:$AQ,"cosco")+SUMIFS('PV SUPPLY DATA'!$X:$X,'PV SUPPLY DATA'!$AH:$AH,'CT capacity tracker'!$B130,'PV SUPPLY DATA'!$AG:$AG,'CT capacity tracker'!$A$97,'PV SUPPLY DATA'!$Y:$Y,F$1,'PV SUPPLY DATA'!$AQ:$AQ,"other")+SUMIFS('ESS SUPPLY DATA'!$U:$U,'ESS SUPPLY DATA'!$AF:$AF,'CT capacity tracker'!$B130,'ESS SUPPLY DATA'!$AE:$AE,'CT capacity tracker'!$A$97,'ESS SUPPLY DATA'!$W:$W,'CT capacity tracker'!F$1,'ESS SUPPLY DATA'!$AO:$AO,"cosco")+SUMIFS('ESS SUPPLY DATA'!$U:$U,'ESS SUPPLY DATA'!$AF:$AF,'CT capacity tracker'!$B130,'ESS SUPPLY DATA'!$AE:$AE,'CT capacity tracker'!$A$97,'ESS SUPPLY DATA'!$W:$W,'CT capacity tracker'!F$1,'ESS SUPPLY DATA'!$AO:$AO,"other")</f>
        <v>0</v>
      </c>
      <c r="G133" s="504">
        <f>SUMIFS('PV SUPPLY DATA'!$X:$X,'PV SUPPLY DATA'!$AH:$AH,'CT capacity tracker'!$B130,'PV SUPPLY DATA'!$AG:$AG,'CT capacity tracker'!$A$97,'PV SUPPLY DATA'!$Y:$Y,G$1,'PV SUPPLY DATA'!$AQ:$AQ,"cosco")+SUMIFS('PV SUPPLY DATA'!$X:$X,'PV SUPPLY DATA'!$AH:$AH,'CT capacity tracker'!$B130,'PV SUPPLY DATA'!$AG:$AG,'CT capacity tracker'!$A$97,'PV SUPPLY DATA'!$Y:$Y,G$1,'PV SUPPLY DATA'!$AQ:$AQ,"other")+SUMIFS('ESS SUPPLY DATA'!$U:$U,'ESS SUPPLY DATA'!$AF:$AF,'CT capacity tracker'!$B130,'ESS SUPPLY DATA'!$AE:$AE,'CT capacity tracker'!$A$97,'ESS SUPPLY DATA'!$W:$W,'CT capacity tracker'!G$1,'ESS SUPPLY DATA'!$AO:$AO,"cosco")+SUMIFS('ESS SUPPLY DATA'!$U:$U,'ESS SUPPLY DATA'!$AF:$AF,'CT capacity tracker'!$B130,'ESS SUPPLY DATA'!$AE:$AE,'CT capacity tracker'!$A$97,'ESS SUPPLY DATA'!$W:$W,'CT capacity tracker'!G$1,'ESS SUPPLY DATA'!$AO:$AO,"other")</f>
        <v>0</v>
      </c>
      <c r="H133" s="504">
        <f>SUMIFS('PV SUPPLY DATA'!$X:$X,'PV SUPPLY DATA'!$AH:$AH,'CT capacity tracker'!$B130,'PV SUPPLY DATA'!$AG:$AG,'CT capacity tracker'!$A$97,'PV SUPPLY DATA'!$Y:$Y,H$1,'PV SUPPLY DATA'!$AQ:$AQ,"cosco")+SUMIFS('PV SUPPLY DATA'!$X:$X,'PV SUPPLY DATA'!$AH:$AH,'CT capacity tracker'!$B130,'PV SUPPLY DATA'!$AG:$AG,'CT capacity tracker'!$A$97,'PV SUPPLY DATA'!$Y:$Y,H$1,'PV SUPPLY DATA'!$AQ:$AQ,"other")+SUMIFS('ESS SUPPLY DATA'!$U:$U,'ESS SUPPLY DATA'!$AF:$AF,'CT capacity tracker'!$B130,'ESS SUPPLY DATA'!$AE:$AE,'CT capacity tracker'!$A$97,'ESS SUPPLY DATA'!$W:$W,'CT capacity tracker'!H$1,'ESS SUPPLY DATA'!$AO:$AO,"cosco")+SUMIFS('ESS SUPPLY DATA'!$U:$U,'ESS SUPPLY DATA'!$AF:$AF,'CT capacity tracker'!$B130,'ESS SUPPLY DATA'!$AE:$AE,'CT capacity tracker'!$A$97,'ESS SUPPLY DATA'!$W:$W,'CT capacity tracker'!H$1,'ESS SUPPLY DATA'!$AO:$AO,"other")</f>
        <v>0</v>
      </c>
      <c r="I133" s="504">
        <f>SUMIFS('PV SUPPLY DATA'!$X:$X,'PV SUPPLY DATA'!$AH:$AH,'CT capacity tracker'!$B130,'PV SUPPLY DATA'!$AG:$AG,'CT capacity tracker'!$A$97,'PV SUPPLY DATA'!$Y:$Y,I$1,'PV SUPPLY DATA'!$AQ:$AQ,"cosco")+SUMIFS('PV SUPPLY DATA'!$X:$X,'PV SUPPLY DATA'!$AH:$AH,'CT capacity tracker'!$B130,'PV SUPPLY DATA'!$AG:$AG,'CT capacity tracker'!$A$97,'PV SUPPLY DATA'!$Y:$Y,I$1,'PV SUPPLY DATA'!$AQ:$AQ,"other")+SUMIFS('ESS SUPPLY DATA'!$U:$U,'ESS SUPPLY DATA'!$AF:$AF,'CT capacity tracker'!$B130,'ESS SUPPLY DATA'!$AE:$AE,'CT capacity tracker'!$A$97,'ESS SUPPLY DATA'!$W:$W,'CT capacity tracker'!I$1,'ESS SUPPLY DATA'!$AO:$AO,"cosco")+SUMIFS('ESS SUPPLY DATA'!$U:$U,'ESS SUPPLY DATA'!$AF:$AF,'CT capacity tracker'!$B130,'ESS SUPPLY DATA'!$AE:$AE,'CT capacity tracker'!$A$97,'ESS SUPPLY DATA'!$W:$W,'CT capacity tracker'!I$1,'ESS SUPPLY DATA'!$AO:$AO,"other")</f>
        <v>0</v>
      </c>
      <c r="J133" s="504">
        <f>SUMIFS('PV SUPPLY DATA'!$X:$X,'PV SUPPLY DATA'!$AH:$AH,'CT capacity tracker'!$B130,'PV SUPPLY DATA'!$AG:$AG,'CT capacity tracker'!$A$97,'PV SUPPLY DATA'!$Y:$Y,J$1,'PV SUPPLY DATA'!$AQ:$AQ,"cosco")+SUMIFS('PV SUPPLY DATA'!$X:$X,'PV SUPPLY DATA'!$AH:$AH,'CT capacity tracker'!$B130,'PV SUPPLY DATA'!$AG:$AG,'CT capacity tracker'!$A$97,'PV SUPPLY DATA'!$Y:$Y,J$1,'PV SUPPLY DATA'!$AQ:$AQ,"other")+SUMIFS('ESS SUPPLY DATA'!$U:$U,'ESS SUPPLY DATA'!$AF:$AF,'CT capacity tracker'!$B130,'ESS SUPPLY DATA'!$AE:$AE,'CT capacity tracker'!$A$97,'ESS SUPPLY DATA'!$W:$W,'CT capacity tracker'!J$1,'ESS SUPPLY DATA'!$AO:$AO,"cosco")+SUMIFS('ESS SUPPLY DATA'!$U:$U,'ESS SUPPLY DATA'!$AF:$AF,'CT capacity tracker'!$B130,'ESS SUPPLY DATA'!$AE:$AE,'CT capacity tracker'!$A$97,'ESS SUPPLY DATA'!$W:$W,'CT capacity tracker'!J$1,'ESS SUPPLY DATA'!$AO:$AO,"other")</f>
        <v>0</v>
      </c>
      <c r="K133" s="504">
        <f>SUMIFS('PV SUPPLY DATA'!$X:$X,'PV SUPPLY DATA'!$AH:$AH,'CT capacity tracker'!$B130,'PV SUPPLY DATA'!$AG:$AG,'CT capacity tracker'!$A$97,'PV SUPPLY DATA'!$Y:$Y,K$1,'PV SUPPLY DATA'!$AQ:$AQ,"cosco")+SUMIFS('PV SUPPLY DATA'!$X:$X,'PV SUPPLY DATA'!$AH:$AH,'CT capacity tracker'!$B130,'PV SUPPLY DATA'!$AG:$AG,'CT capacity tracker'!$A$97,'PV SUPPLY DATA'!$Y:$Y,K$1,'PV SUPPLY DATA'!$AQ:$AQ,"other")+SUMIFS('ESS SUPPLY DATA'!$U:$U,'ESS SUPPLY DATA'!$AF:$AF,'CT capacity tracker'!$B130,'ESS SUPPLY DATA'!$AE:$AE,'CT capacity tracker'!$A$97,'ESS SUPPLY DATA'!$W:$W,'CT capacity tracker'!K$1,'ESS SUPPLY DATA'!$AO:$AO,"cosco")+SUMIFS('ESS SUPPLY DATA'!$U:$U,'ESS SUPPLY DATA'!$AF:$AF,'CT capacity tracker'!$B130,'ESS SUPPLY DATA'!$AE:$AE,'CT capacity tracker'!$A$97,'ESS SUPPLY DATA'!$W:$W,'CT capacity tracker'!K$1,'ESS SUPPLY DATA'!$AO:$AO,"other")</f>
        <v>0</v>
      </c>
      <c r="L133" s="504">
        <f>SUMIFS('PV SUPPLY DATA'!$X:$X,'PV SUPPLY DATA'!$AH:$AH,'CT capacity tracker'!$B130,'PV SUPPLY DATA'!$AG:$AG,'CT capacity tracker'!$A$97,'PV SUPPLY DATA'!$Y:$Y,L$1,'PV SUPPLY DATA'!$AQ:$AQ,"cosco")+SUMIFS('PV SUPPLY DATA'!$X:$X,'PV SUPPLY DATA'!$AH:$AH,'CT capacity tracker'!$B130,'PV SUPPLY DATA'!$AG:$AG,'CT capacity tracker'!$A$97,'PV SUPPLY DATA'!$Y:$Y,L$1,'PV SUPPLY DATA'!$AQ:$AQ,"other")+SUMIFS('ESS SUPPLY DATA'!$U:$U,'ESS SUPPLY DATA'!$AF:$AF,'CT capacity tracker'!$B130,'ESS SUPPLY DATA'!$AE:$AE,'CT capacity tracker'!$A$97,'ESS SUPPLY DATA'!$W:$W,'CT capacity tracker'!L$1,'ESS SUPPLY DATA'!$AO:$AO,"cosco")+SUMIFS('ESS SUPPLY DATA'!$U:$U,'ESS SUPPLY DATA'!$AF:$AF,'CT capacity tracker'!$B130,'ESS SUPPLY DATA'!$AE:$AE,'CT capacity tracker'!$A$97,'ESS SUPPLY DATA'!$W:$W,'CT capacity tracker'!L$1,'ESS SUPPLY DATA'!$AO:$AO,"other")</f>
        <v>0</v>
      </c>
      <c r="M133" s="504">
        <f>SUMIFS('PV SUPPLY DATA'!$X:$X,'PV SUPPLY DATA'!$AH:$AH,'CT capacity tracker'!$B130,'PV SUPPLY DATA'!$AG:$AG,'CT capacity tracker'!$A$97,'PV SUPPLY DATA'!$Y:$Y,M$1,'PV SUPPLY DATA'!$AQ:$AQ,"cosco")+SUMIFS('PV SUPPLY DATA'!$X:$X,'PV SUPPLY DATA'!$AH:$AH,'CT capacity tracker'!$B130,'PV SUPPLY DATA'!$AG:$AG,'CT capacity tracker'!$A$97,'PV SUPPLY DATA'!$Y:$Y,M$1,'PV SUPPLY DATA'!$AQ:$AQ,"other")+SUMIFS('ESS SUPPLY DATA'!$U:$U,'ESS SUPPLY DATA'!$AF:$AF,'CT capacity tracker'!$B130,'ESS SUPPLY DATA'!$AE:$AE,'CT capacity tracker'!$A$97,'ESS SUPPLY DATA'!$W:$W,'CT capacity tracker'!M$1,'ESS SUPPLY DATA'!$AO:$AO,"cosco")+SUMIFS('ESS SUPPLY DATA'!$U:$U,'ESS SUPPLY DATA'!$AF:$AF,'CT capacity tracker'!$B130,'ESS SUPPLY DATA'!$AE:$AE,'CT capacity tracker'!$A$97,'ESS SUPPLY DATA'!$W:$W,'CT capacity tracker'!M$1,'ESS SUPPLY DATA'!$AO:$AO,"other")</f>
        <v>0</v>
      </c>
      <c r="N133" s="504">
        <f>SUMIFS('PV SUPPLY DATA'!$X:$X,'PV SUPPLY DATA'!$AH:$AH,'CT capacity tracker'!$B130,'PV SUPPLY DATA'!$AG:$AG,'CT capacity tracker'!$A$97,'PV SUPPLY DATA'!$Y:$Y,N$1,'PV SUPPLY DATA'!$AQ:$AQ,"cosco")+SUMIFS('PV SUPPLY DATA'!$X:$X,'PV SUPPLY DATA'!$AH:$AH,'CT capacity tracker'!$B130,'PV SUPPLY DATA'!$AG:$AG,'CT capacity tracker'!$A$97,'PV SUPPLY DATA'!$Y:$Y,N$1,'PV SUPPLY DATA'!$AQ:$AQ,"other")+SUMIFS('ESS SUPPLY DATA'!$U:$U,'ESS SUPPLY DATA'!$AF:$AF,'CT capacity tracker'!$B130,'ESS SUPPLY DATA'!$AE:$AE,'CT capacity tracker'!$A$97,'ESS SUPPLY DATA'!$W:$W,'CT capacity tracker'!N$1,'ESS SUPPLY DATA'!$AO:$AO,"cosco")+SUMIFS('ESS SUPPLY DATA'!$U:$U,'ESS SUPPLY DATA'!$AF:$AF,'CT capacity tracker'!$B130,'ESS SUPPLY DATA'!$AE:$AE,'CT capacity tracker'!$A$97,'ESS SUPPLY DATA'!$W:$W,'CT capacity tracker'!N$1,'ESS SUPPLY DATA'!$AO:$AO,"other")</f>
        <v>0</v>
      </c>
      <c r="O133" s="504">
        <f>SUMIFS('PV SUPPLY DATA'!$X:$X,'PV SUPPLY DATA'!$AH:$AH,'CT capacity tracker'!$B130,'PV SUPPLY DATA'!$AG:$AG,'CT capacity tracker'!$A$97,'PV SUPPLY DATA'!$Y:$Y,O$1,'PV SUPPLY DATA'!$AQ:$AQ,"cosco")+SUMIFS('PV SUPPLY DATA'!$X:$X,'PV SUPPLY DATA'!$AH:$AH,'CT capacity tracker'!$B130,'PV SUPPLY DATA'!$AG:$AG,'CT capacity tracker'!$A$97,'PV SUPPLY DATA'!$Y:$Y,O$1,'PV SUPPLY DATA'!$AQ:$AQ,"other")+SUMIFS('ESS SUPPLY DATA'!$U:$U,'ESS SUPPLY DATA'!$AF:$AF,'CT capacity tracker'!$B130,'ESS SUPPLY DATA'!$AE:$AE,'CT capacity tracker'!$A$97,'ESS SUPPLY DATA'!$W:$W,'CT capacity tracker'!O$1,'ESS SUPPLY DATA'!$AO:$AO,"cosco")+SUMIFS('ESS SUPPLY DATA'!$U:$U,'ESS SUPPLY DATA'!$AF:$AF,'CT capacity tracker'!$B130,'ESS SUPPLY DATA'!$AE:$AE,'CT capacity tracker'!$A$97,'ESS SUPPLY DATA'!$W:$W,'CT capacity tracker'!O$1,'ESS SUPPLY DATA'!$AO:$AO,"other")</f>
        <v>0</v>
      </c>
      <c r="P133" s="504">
        <f>SUMIFS('PV SUPPLY DATA'!$X:$X,'PV SUPPLY DATA'!$AH:$AH,'CT capacity tracker'!$B130,'PV SUPPLY DATA'!$AG:$AG,'CT capacity tracker'!$A$97,'PV SUPPLY DATA'!$Y:$Y,P$1,'PV SUPPLY DATA'!$AQ:$AQ,"cosco")+SUMIFS('PV SUPPLY DATA'!$X:$X,'PV SUPPLY DATA'!$AH:$AH,'CT capacity tracker'!$B130,'PV SUPPLY DATA'!$AG:$AG,'CT capacity tracker'!$A$97,'PV SUPPLY DATA'!$Y:$Y,P$1,'PV SUPPLY DATA'!$AQ:$AQ,"other")+SUMIFS('ESS SUPPLY DATA'!$U:$U,'ESS SUPPLY DATA'!$AF:$AF,'CT capacity tracker'!$B130,'ESS SUPPLY DATA'!$AE:$AE,'CT capacity tracker'!$A$97,'ESS SUPPLY DATA'!$W:$W,'CT capacity tracker'!P$1,'ESS SUPPLY DATA'!$AO:$AO,"cosco")+SUMIFS('ESS SUPPLY DATA'!$U:$U,'ESS SUPPLY DATA'!$AF:$AF,'CT capacity tracker'!$B130,'ESS SUPPLY DATA'!$AE:$AE,'CT capacity tracker'!$A$97,'ESS SUPPLY DATA'!$W:$W,'CT capacity tracker'!P$1,'ESS SUPPLY DATA'!$AO:$AO,"other")</f>
        <v>0</v>
      </c>
      <c r="Q133" s="504">
        <f>SUMIFS('PV SUPPLY DATA'!$X:$X,'PV SUPPLY DATA'!$AH:$AH,'CT capacity tracker'!$B130,'PV SUPPLY DATA'!$AG:$AG,'CT capacity tracker'!$A$97,'PV SUPPLY DATA'!$Y:$Y,Q$1,'PV SUPPLY DATA'!$AQ:$AQ,"cosco")+SUMIFS('PV SUPPLY DATA'!$X:$X,'PV SUPPLY DATA'!$AH:$AH,'CT capacity tracker'!$B130,'PV SUPPLY DATA'!$AG:$AG,'CT capacity tracker'!$A$97,'PV SUPPLY DATA'!$Y:$Y,Q$1,'PV SUPPLY DATA'!$AQ:$AQ,"other")+SUMIFS('ESS SUPPLY DATA'!$U:$U,'ESS SUPPLY DATA'!$AF:$AF,'CT capacity tracker'!$B130,'ESS SUPPLY DATA'!$AE:$AE,'CT capacity tracker'!$A$97,'ESS SUPPLY DATA'!$W:$W,'CT capacity tracker'!Q$1,'ESS SUPPLY DATA'!$AO:$AO,"cosco")+SUMIFS('ESS SUPPLY DATA'!$U:$U,'ESS SUPPLY DATA'!$AF:$AF,'CT capacity tracker'!$B130,'ESS SUPPLY DATA'!$AE:$AE,'CT capacity tracker'!$A$97,'ESS SUPPLY DATA'!$W:$W,'CT capacity tracker'!Q$1,'ESS SUPPLY DATA'!$AO:$AO,"other")</f>
        <v>1</v>
      </c>
      <c r="R133" s="504">
        <f>SUMIFS('PV SUPPLY DATA'!$X:$X,'PV SUPPLY DATA'!$AH:$AH,'CT capacity tracker'!$B130,'PV SUPPLY DATA'!$AG:$AG,'CT capacity tracker'!$A$97,'PV SUPPLY DATA'!$Y:$Y,R$1,'PV SUPPLY DATA'!$AQ:$AQ,"cosco")+SUMIFS('PV SUPPLY DATA'!$X:$X,'PV SUPPLY DATA'!$AH:$AH,'CT capacity tracker'!$B130,'PV SUPPLY DATA'!$AG:$AG,'CT capacity tracker'!$A$97,'PV SUPPLY DATA'!$Y:$Y,R$1,'PV SUPPLY DATA'!$AQ:$AQ,"other")+SUMIFS('ESS SUPPLY DATA'!$U:$U,'ESS SUPPLY DATA'!$AF:$AF,'CT capacity tracker'!$B130,'ESS SUPPLY DATA'!$AE:$AE,'CT capacity tracker'!$A$97,'ESS SUPPLY DATA'!$W:$W,'CT capacity tracker'!R$1,'ESS SUPPLY DATA'!$AO:$AO,"cosco")+SUMIFS('ESS SUPPLY DATA'!$U:$U,'ESS SUPPLY DATA'!$AF:$AF,'CT capacity tracker'!$B130,'ESS SUPPLY DATA'!$AE:$AE,'CT capacity tracker'!$A$97,'ESS SUPPLY DATA'!$W:$W,'CT capacity tracker'!R$1,'ESS SUPPLY DATA'!$AO:$AO,"other")</f>
        <v>2</v>
      </c>
      <c r="S133" s="504">
        <f>SUMIFS('PV SUPPLY DATA'!$X:$X,'PV SUPPLY DATA'!$AH:$AH,'CT capacity tracker'!$B130,'PV SUPPLY DATA'!$AG:$AG,'CT capacity tracker'!$A$97,'PV SUPPLY DATA'!$Y:$Y,S$1,'PV SUPPLY DATA'!$AQ:$AQ,"cosco")+SUMIFS('PV SUPPLY DATA'!$X:$X,'PV SUPPLY DATA'!$AH:$AH,'CT capacity tracker'!$B130,'PV SUPPLY DATA'!$AG:$AG,'CT capacity tracker'!$A$97,'PV SUPPLY DATA'!$Y:$Y,S$1,'PV SUPPLY DATA'!$AQ:$AQ,"other")+SUMIFS('ESS SUPPLY DATA'!$U:$U,'ESS SUPPLY DATA'!$AF:$AF,'CT capacity tracker'!$B130,'ESS SUPPLY DATA'!$AE:$AE,'CT capacity tracker'!$A$97,'ESS SUPPLY DATA'!$W:$W,'CT capacity tracker'!S$1,'ESS SUPPLY DATA'!$AO:$AO,"cosco")+SUMIFS('ESS SUPPLY DATA'!$U:$U,'ESS SUPPLY DATA'!$AF:$AF,'CT capacity tracker'!$B130,'ESS SUPPLY DATA'!$AE:$AE,'CT capacity tracker'!$A$97,'ESS SUPPLY DATA'!$W:$W,'CT capacity tracker'!S$1,'ESS SUPPLY DATA'!$AO:$AO,"other")</f>
        <v>0</v>
      </c>
      <c r="T133" s="504">
        <f>SUMIFS('PV SUPPLY DATA'!$X:$X,'PV SUPPLY DATA'!$AH:$AH,'CT capacity tracker'!$B130,'PV SUPPLY DATA'!$AG:$AG,'CT capacity tracker'!$A$97,'PV SUPPLY DATA'!$Y:$Y,T$1,'PV SUPPLY DATA'!$AQ:$AQ,"cosco")+SUMIFS('PV SUPPLY DATA'!$X:$X,'PV SUPPLY DATA'!$AH:$AH,'CT capacity tracker'!$B130,'PV SUPPLY DATA'!$AG:$AG,'CT capacity tracker'!$A$97,'PV SUPPLY DATA'!$Y:$Y,T$1,'PV SUPPLY DATA'!$AQ:$AQ,"other")+SUMIFS('ESS SUPPLY DATA'!$U:$U,'ESS SUPPLY DATA'!$AF:$AF,'CT capacity tracker'!$B130,'ESS SUPPLY DATA'!$AE:$AE,'CT capacity tracker'!$A$97,'ESS SUPPLY DATA'!$W:$W,'CT capacity tracker'!T$1,'ESS SUPPLY DATA'!$AO:$AO,"cosco")+SUMIFS('ESS SUPPLY DATA'!$U:$U,'ESS SUPPLY DATA'!$AF:$AF,'CT capacity tracker'!$B130,'ESS SUPPLY DATA'!$AE:$AE,'CT capacity tracker'!$A$97,'ESS SUPPLY DATA'!$W:$W,'CT capacity tracker'!T$1,'ESS SUPPLY DATA'!$AO:$AO,"other")</f>
        <v>0</v>
      </c>
      <c r="U133" s="504">
        <f>SUMIFS('PV SUPPLY DATA'!$X:$X,'PV SUPPLY DATA'!$AH:$AH,'CT capacity tracker'!$B130,'PV SUPPLY DATA'!$AG:$AG,'CT capacity tracker'!$A$97,'PV SUPPLY DATA'!$Y:$Y,U$1,'PV SUPPLY DATA'!$AQ:$AQ,"cosco")+SUMIFS('PV SUPPLY DATA'!$X:$X,'PV SUPPLY DATA'!$AH:$AH,'CT capacity tracker'!$B130,'PV SUPPLY DATA'!$AG:$AG,'CT capacity tracker'!$A$97,'PV SUPPLY DATA'!$Y:$Y,U$1,'PV SUPPLY DATA'!$AQ:$AQ,"other")+SUMIFS('ESS SUPPLY DATA'!$U:$U,'ESS SUPPLY DATA'!$AF:$AF,'CT capacity tracker'!$B130,'ESS SUPPLY DATA'!$AE:$AE,'CT capacity tracker'!$A$97,'ESS SUPPLY DATA'!$W:$W,'CT capacity tracker'!U$1,'ESS SUPPLY DATA'!$AO:$AO,"cosco")+SUMIFS('ESS SUPPLY DATA'!$U:$U,'ESS SUPPLY DATA'!$AF:$AF,'CT capacity tracker'!$B130,'ESS SUPPLY DATA'!$AE:$AE,'CT capacity tracker'!$A$97,'ESS SUPPLY DATA'!$W:$W,'CT capacity tracker'!U$1,'ESS SUPPLY DATA'!$AO:$AO,"other")</f>
        <v>0</v>
      </c>
      <c r="V133" s="504">
        <f>SUMIFS('PV SUPPLY DATA'!$X:$X,'PV SUPPLY DATA'!$AH:$AH,'CT capacity tracker'!$B130,'PV SUPPLY DATA'!$AG:$AG,'CT capacity tracker'!$A$97,'PV SUPPLY DATA'!$Y:$Y,V$1,'PV SUPPLY DATA'!$AQ:$AQ,"cosco")+SUMIFS('PV SUPPLY DATA'!$X:$X,'PV SUPPLY DATA'!$AH:$AH,'CT capacity tracker'!$B130,'PV SUPPLY DATA'!$AG:$AG,'CT capacity tracker'!$A$97,'PV SUPPLY DATA'!$Y:$Y,V$1,'PV SUPPLY DATA'!$AQ:$AQ,"other")+SUMIFS('ESS SUPPLY DATA'!$U:$U,'ESS SUPPLY DATA'!$AF:$AF,'CT capacity tracker'!$B130,'ESS SUPPLY DATA'!$AE:$AE,'CT capacity tracker'!$A$97,'ESS SUPPLY DATA'!$W:$W,'CT capacity tracker'!V$1,'ESS SUPPLY DATA'!$AO:$AO,"cosco")+SUMIFS('ESS SUPPLY DATA'!$U:$U,'ESS SUPPLY DATA'!$AF:$AF,'CT capacity tracker'!$B130,'ESS SUPPLY DATA'!$AE:$AE,'CT capacity tracker'!$A$97,'ESS SUPPLY DATA'!$W:$W,'CT capacity tracker'!V$1,'ESS SUPPLY DATA'!$AO:$AO,"other")</f>
        <v>0</v>
      </c>
      <c r="W133" s="504">
        <f>SUMIFS('PV SUPPLY DATA'!$X:$X,'PV SUPPLY DATA'!$AH:$AH,'CT capacity tracker'!$B130,'PV SUPPLY DATA'!$AG:$AG,'CT capacity tracker'!$A$97,'PV SUPPLY DATA'!$Y:$Y,W$1,'PV SUPPLY DATA'!$AQ:$AQ,"cosco")+SUMIFS('PV SUPPLY DATA'!$X:$X,'PV SUPPLY DATA'!$AH:$AH,'CT capacity tracker'!$B130,'PV SUPPLY DATA'!$AG:$AG,'CT capacity tracker'!$A$97,'PV SUPPLY DATA'!$Y:$Y,W$1,'PV SUPPLY DATA'!$AQ:$AQ,"other")+SUMIFS('ESS SUPPLY DATA'!$U:$U,'ESS SUPPLY DATA'!$AF:$AF,'CT capacity tracker'!$B130,'ESS SUPPLY DATA'!$AE:$AE,'CT capacity tracker'!$A$97,'ESS SUPPLY DATA'!$W:$W,'CT capacity tracker'!W$1,'ESS SUPPLY DATA'!$AO:$AO,"cosco")+SUMIFS('ESS SUPPLY DATA'!$U:$U,'ESS SUPPLY DATA'!$AF:$AF,'CT capacity tracker'!$B130,'ESS SUPPLY DATA'!$AE:$AE,'CT capacity tracker'!$A$97,'ESS SUPPLY DATA'!$W:$W,'CT capacity tracker'!W$1,'ESS SUPPLY DATA'!$AO:$AO,"other")</f>
        <v>0</v>
      </c>
      <c r="X133" s="504">
        <f>SUMIFS('PV SUPPLY DATA'!$X:$X,'PV SUPPLY DATA'!$AH:$AH,'CT capacity tracker'!$B130,'PV SUPPLY DATA'!$AG:$AG,'CT capacity tracker'!$A$97,'PV SUPPLY DATA'!$Y:$Y,X$1,'PV SUPPLY DATA'!$AQ:$AQ,"cosco")+SUMIFS('PV SUPPLY DATA'!$X:$X,'PV SUPPLY DATA'!$AH:$AH,'CT capacity tracker'!$B130,'PV SUPPLY DATA'!$AG:$AG,'CT capacity tracker'!$A$97,'PV SUPPLY DATA'!$Y:$Y,X$1,'PV SUPPLY DATA'!$AQ:$AQ,"other")+SUMIFS('ESS SUPPLY DATA'!$U:$U,'ESS SUPPLY DATA'!$AF:$AF,'CT capacity tracker'!$B130,'ESS SUPPLY DATA'!$AE:$AE,'CT capacity tracker'!$A$97,'ESS SUPPLY DATA'!$W:$W,'CT capacity tracker'!X$1,'ESS SUPPLY DATA'!$AO:$AO,"cosco")+SUMIFS('ESS SUPPLY DATA'!$U:$U,'ESS SUPPLY DATA'!$AF:$AF,'CT capacity tracker'!$B130,'ESS SUPPLY DATA'!$AE:$AE,'CT capacity tracker'!$A$97,'ESS SUPPLY DATA'!$W:$W,'CT capacity tracker'!X$1,'ESS SUPPLY DATA'!$AO:$AO,"other")</f>
        <v>0</v>
      </c>
      <c r="Y133" s="504">
        <f>SUMIFS('PV SUPPLY DATA'!$X:$X,'PV SUPPLY DATA'!$AH:$AH,'CT capacity tracker'!$B130,'PV SUPPLY DATA'!$AG:$AG,'CT capacity tracker'!$A$97,'PV SUPPLY DATA'!$Y:$Y,Y$1,'PV SUPPLY DATA'!$AQ:$AQ,"cosco")+SUMIFS('PV SUPPLY DATA'!$X:$X,'PV SUPPLY DATA'!$AH:$AH,'CT capacity tracker'!$B130,'PV SUPPLY DATA'!$AG:$AG,'CT capacity tracker'!$A$97,'PV SUPPLY DATA'!$Y:$Y,Y$1,'PV SUPPLY DATA'!$AQ:$AQ,"other")+SUMIFS('ESS SUPPLY DATA'!$U:$U,'ESS SUPPLY DATA'!$AF:$AF,'CT capacity tracker'!$B130,'ESS SUPPLY DATA'!$AE:$AE,'CT capacity tracker'!$A$97,'ESS SUPPLY DATA'!$W:$W,'CT capacity tracker'!Y$1,'ESS SUPPLY DATA'!$AO:$AO,"cosco")+SUMIFS('ESS SUPPLY DATA'!$U:$U,'ESS SUPPLY DATA'!$AF:$AF,'CT capacity tracker'!$B130,'ESS SUPPLY DATA'!$AE:$AE,'CT capacity tracker'!$A$97,'ESS SUPPLY DATA'!$W:$W,'CT capacity tracker'!Y$1,'ESS SUPPLY DATA'!$AO:$AO,"other")</f>
        <v>0</v>
      </c>
      <c r="Z133" s="504">
        <f>SUMIFS('PV SUPPLY DATA'!$X:$X,'PV SUPPLY DATA'!$AH:$AH,'CT capacity tracker'!$B130,'PV SUPPLY DATA'!$AG:$AG,'CT capacity tracker'!$A$97,'PV SUPPLY DATA'!$Y:$Y,Z$1,'PV SUPPLY DATA'!$AQ:$AQ,"cosco")+SUMIFS('PV SUPPLY DATA'!$X:$X,'PV SUPPLY DATA'!$AH:$AH,'CT capacity tracker'!$B130,'PV SUPPLY DATA'!$AG:$AG,'CT capacity tracker'!$A$97,'PV SUPPLY DATA'!$Y:$Y,Z$1,'PV SUPPLY DATA'!$AQ:$AQ,"other")+SUMIFS('ESS SUPPLY DATA'!$U:$U,'ESS SUPPLY DATA'!$AF:$AF,'CT capacity tracker'!$B130,'ESS SUPPLY DATA'!$AE:$AE,'CT capacity tracker'!$A$97,'ESS SUPPLY DATA'!$W:$W,'CT capacity tracker'!Z$1,'ESS SUPPLY DATA'!$AO:$AO,"cosco")+SUMIFS('ESS SUPPLY DATA'!$U:$U,'ESS SUPPLY DATA'!$AF:$AF,'CT capacity tracker'!$B130,'ESS SUPPLY DATA'!$AE:$AE,'CT capacity tracker'!$A$97,'ESS SUPPLY DATA'!$W:$W,'CT capacity tracker'!Z$1,'ESS SUPPLY DATA'!$AO:$AO,"other")</f>
        <v>0</v>
      </c>
      <c r="AA133" s="504">
        <f>SUMIFS('PV SUPPLY DATA'!$X:$X,'PV SUPPLY DATA'!$AH:$AH,'CT capacity tracker'!$B130,'PV SUPPLY DATA'!$AG:$AG,'CT capacity tracker'!$A$97,'PV SUPPLY DATA'!$Y:$Y,AA$1,'PV SUPPLY DATA'!$AQ:$AQ,"cosco")+SUMIFS('PV SUPPLY DATA'!$X:$X,'PV SUPPLY DATA'!$AH:$AH,'CT capacity tracker'!$B130,'PV SUPPLY DATA'!$AG:$AG,'CT capacity tracker'!$A$97,'PV SUPPLY DATA'!$Y:$Y,AA$1,'PV SUPPLY DATA'!$AQ:$AQ,"other")+SUMIFS('ESS SUPPLY DATA'!$U:$U,'ESS SUPPLY DATA'!$AF:$AF,'CT capacity tracker'!$B130,'ESS SUPPLY DATA'!$AE:$AE,'CT capacity tracker'!$A$97,'ESS SUPPLY DATA'!$W:$W,'CT capacity tracker'!AA$1,'ESS SUPPLY DATA'!$AO:$AO,"cosco")+SUMIFS('ESS SUPPLY DATA'!$U:$U,'ESS SUPPLY DATA'!$AF:$AF,'CT capacity tracker'!$B130,'ESS SUPPLY DATA'!$AE:$AE,'CT capacity tracker'!$A$97,'ESS SUPPLY DATA'!$W:$W,'CT capacity tracker'!AA$1,'ESS SUPPLY DATA'!$AO:$AO,"other")</f>
        <v>0</v>
      </c>
      <c r="AB133" s="504">
        <f>SUMIFS('PV SUPPLY DATA'!$X:$X,'PV SUPPLY DATA'!$AH:$AH,'CT capacity tracker'!$B130,'PV SUPPLY DATA'!$AG:$AG,'CT capacity tracker'!$A$97,'PV SUPPLY DATA'!$Y:$Y,AB$1,'PV SUPPLY DATA'!$AQ:$AQ,"cosco")+SUMIFS('PV SUPPLY DATA'!$X:$X,'PV SUPPLY DATA'!$AH:$AH,'CT capacity tracker'!$B130,'PV SUPPLY DATA'!$AG:$AG,'CT capacity tracker'!$A$97,'PV SUPPLY DATA'!$Y:$Y,AB$1,'PV SUPPLY DATA'!$AQ:$AQ,"other")+SUMIFS('ESS SUPPLY DATA'!$U:$U,'ESS SUPPLY DATA'!$AF:$AF,'CT capacity tracker'!$B130,'ESS SUPPLY DATA'!$AE:$AE,'CT capacity tracker'!$A$97,'ESS SUPPLY DATA'!$W:$W,'CT capacity tracker'!AB$1,'ESS SUPPLY DATA'!$AO:$AO,"cosco")+SUMIFS('ESS SUPPLY DATA'!$U:$U,'ESS SUPPLY DATA'!$AF:$AF,'CT capacity tracker'!$B130,'ESS SUPPLY DATA'!$AE:$AE,'CT capacity tracker'!$A$97,'ESS SUPPLY DATA'!$W:$W,'CT capacity tracker'!AB$1,'ESS SUPPLY DATA'!$AO:$AO,"other")</f>
        <v>0</v>
      </c>
      <c r="AC133" s="504">
        <f>SUMIFS('PV SUPPLY DATA'!$X:$X,'PV SUPPLY DATA'!$AH:$AH,'CT capacity tracker'!$B130,'PV SUPPLY DATA'!$AG:$AG,'CT capacity tracker'!$A$97,'PV SUPPLY DATA'!$Y:$Y,AC$1,'PV SUPPLY DATA'!$AQ:$AQ,"cosco")+SUMIFS('PV SUPPLY DATA'!$X:$X,'PV SUPPLY DATA'!$AH:$AH,'CT capacity tracker'!$B130,'PV SUPPLY DATA'!$AG:$AG,'CT capacity tracker'!$A$97,'PV SUPPLY DATA'!$Y:$Y,AC$1,'PV SUPPLY DATA'!$AQ:$AQ,"other")+SUMIFS('ESS SUPPLY DATA'!$U:$U,'ESS SUPPLY DATA'!$AF:$AF,'CT capacity tracker'!$B130,'ESS SUPPLY DATA'!$AE:$AE,'CT capacity tracker'!$A$97,'ESS SUPPLY DATA'!$W:$W,'CT capacity tracker'!AC$1,'ESS SUPPLY DATA'!$AO:$AO,"cosco")+SUMIFS('ESS SUPPLY DATA'!$U:$U,'ESS SUPPLY DATA'!$AF:$AF,'CT capacity tracker'!$B130,'ESS SUPPLY DATA'!$AE:$AE,'CT capacity tracker'!$A$97,'ESS SUPPLY DATA'!$W:$W,'CT capacity tracker'!AC$1,'ESS SUPPLY DATA'!$AO:$AO,"other")</f>
        <v>0</v>
      </c>
      <c r="AD133" s="504">
        <f>SUMIFS('PV SUPPLY DATA'!$X:$X,'PV SUPPLY DATA'!$AH:$AH,'CT capacity tracker'!$B130,'PV SUPPLY DATA'!$AG:$AG,'CT capacity tracker'!$A$97,'PV SUPPLY DATA'!$Y:$Y,AD$1,'PV SUPPLY DATA'!$AQ:$AQ,"cosco")+SUMIFS('PV SUPPLY DATA'!$X:$X,'PV SUPPLY DATA'!$AH:$AH,'CT capacity tracker'!$B130,'PV SUPPLY DATA'!$AG:$AG,'CT capacity tracker'!$A$97,'PV SUPPLY DATA'!$Y:$Y,AD$1,'PV SUPPLY DATA'!$AQ:$AQ,"other")+SUMIFS('ESS SUPPLY DATA'!$U:$U,'ESS SUPPLY DATA'!$AF:$AF,'CT capacity tracker'!$B130,'ESS SUPPLY DATA'!$AE:$AE,'CT capacity tracker'!$A$97,'ESS SUPPLY DATA'!$W:$W,'CT capacity tracker'!AD$1,'ESS SUPPLY DATA'!$AO:$AO,"cosco")+SUMIFS('ESS SUPPLY DATA'!$U:$U,'ESS SUPPLY DATA'!$AF:$AF,'CT capacity tracker'!$B130,'ESS SUPPLY DATA'!$AE:$AE,'CT capacity tracker'!$A$97,'ESS SUPPLY DATA'!$W:$W,'CT capacity tracker'!AD$1,'ESS SUPPLY DATA'!$AO:$AO,"other")</f>
        <v>0</v>
      </c>
      <c r="AE133" s="504">
        <f>SUMIFS('PV SUPPLY DATA'!$X:$X,'PV SUPPLY DATA'!$AH:$AH,'CT capacity tracker'!$B130,'PV SUPPLY DATA'!$AG:$AG,'CT capacity tracker'!$A$97,'PV SUPPLY DATA'!$Y:$Y,AE$1,'PV SUPPLY DATA'!$AQ:$AQ,"cosco")+SUMIFS('PV SUPPLY DATA'!$X:$X,'PV SUPPLY DATA'!$AH:$AH,'CT capacity tracker'!$B130,'PV SUPPLY DATA'!$AG:$AG,'CT capacity tracker'!$A$97,'PV SUPPLY DATA'!$Y:$Y,AE$1,'PV SUPPLY DATA'!$AQ:$AQ,"other")+SUMIFS('ESS SUPPLY DATA'!$U:$U,'ESS SUPPLY DATA'!$AF:$AF,'CT capacity tracker'!$B130,'ESS SUPPLY DATA'!$AE:$AE,'CT capacity tracker'!$A$97,'ESS SUPPLY DATA'!$W:$W,'CT capacity tracker'!AE$1,'ESS SUPPLY DATA'!$AO:$AO,"cosco")+SUMIFS('ESS SUPPLY DATA'!$U:$U,'ESS SUPPLY DATA'!$AF:$AF,'CT capacity tracker'!$B130,'ESS SUPPLY DATA'!$AE:$AE,'CT capacity tracker'!$A$97,'ESS SUPPLY DATA'!$W:$W,'CT capacity tracker'!AE$1,'ESS SUPPLY DATA'!$AO:$AO,"other")</f>
        <v>0</v>
      </c>
      <c r="AF133" s="504">
        <f>SUMIFS('PV SUPPLY DATA'!$X:$X,'PV SUPPLY DATA'!$AH:$AH,'CT capacity tracker'!$B130,'PV SUPPLY DATA'!$AG:$AG,'CT capacity tracker'!$A$97,'PV SUPPLY DATA'!$Y:$Y,AF$1,'PV SUPPLY DATA'!$AQ:$AQ,"cosco")+SUMIFS('PV SUPPLY DATA'!$X:$X,'PV SUPPLY DATA'!$AH:$AH,'CT capacity tracker'!$B130,'PV SUPPLY DATA'!$AG:$AG,'CT capacity tracker'!$A$97,'PV SUPPLY DATA'!$Y:$Y,AF$1,'PV SUPPLY DATA'!$AQ:$AQ,"other")+SUMIFS('ESS SUPPLY DATA'!$U:$U,'ESS SUPPLY DATA'!$AF:$AF,'CT capacity tracker'!$B130,'ESS SUPPLY DATA'!$AE:$AE,'CT capacity tracker'!$A$97,'ESS SUPPLY DATA'!$W:$W,'CT capacity tracker'!AF$1,'ESS SUPPLY DATA'!$AO:$AO,"cosco")+SUMIFS('ESS SUPPLY DATA'!$U:$U,'ESS SUPPLY DATA'!$AF:$AF,'CT capacity tracker'!$B130,'ESS SUPPLY DATA'!$AE:$AE,'CT capacity tracker'!$A$97,'ESS SUPPLY DATA'!$W:$W,'CT capacity tracker'!AF$1,'ESS SUPPLY DATA'!$AO:$AO,"other")</f>
        <v>0</v>
      </c>
      <c r="AG133" s="504">
        <f>SUMIFS('PV SUPPLY DATA'!$X:$X,'PV SUPPLY DATA'!$AH:$AH,'CT capacity tracker'!$B130,'PV SUPPLY DATA'!$AG:$AG,'CT capacity tracker'!$A$97,'PV SUPPLY DATA'!$Y:$Y,AG$1,'PV SUPPLY DATA'!$AQ:$AQ,"cosco")+SUMIFS('PV SUPPLY DATA'!$X:$X,'PV SUPPLY DATA'!$AH:$AH,'CT capacity tracker'!$B130,'PV SUPPLY DATA'!$AG:$AG,'CT capacity tracker'!$A$97,'PV SUPPLY DATA'!$Y:$Y,AG$1,'PV SUPPLY DATA'!$AQ:$AQ,"other")+SUMIFS('ESS SUPPLY DATA'!$U:$U,'ESS SUPPLY DATA'!$AF:$AF,'CT capacity tracker'!$B130,'ESS SUPPLY DATA'!$AE:$AE,'CT capacity tracker'!$A$97,'ESS SUPPLY DATA'!$W:$W,'CT capacity tracker'!AG$1,'ESS SUPPLY DATA'!$AO:$AO,"cosco")+SUMIFS('ESS SUPPLY DATA'!$U:$U,'ESS SUPPLY DATA'!$AF:$AF,'CT capacity tracker'!$B130,'ESS SUPPLY DATA'!$AE:$AE,'CT capacity tracker'!$A$97,'ESS SUPPLY DATA'!$W:$W,'CT capacity tracker'!AG$1,'ESS SUPPLY DATA'!$AO:$AO,"other")</f>
        <v>0</v>
      </c>
      <c r="AH133" s="504">
        <f>SUMIFS('PV SUPPLY DATA'!$X:$X,'PV SUPPLY DATA'!$AH:$AH,'CT capacity tracker'!$B130,'PV SUPPLY DATA'!$AG:$AG,'CT capacity tracker'!$A$97,'PV SUPPLY DATA'!$Y:$Y,AH$1,'PV SUPPLY DATA'!$AQ:$AQ,"cosco")+SUMIFS('PV SUPPLY DATA'!$X:$X,'PV SUPPLY DATA'!$AH:$AH,'CT capacity tracker'!$B130,'PV SUPPLY DATA'!$AG:$AG,'CT capacity tracker'!$A$97,'PV SUPPLY DATA'!$Y:$Y,AH$1,'PV SUPPLY DATA'!$AQ:$AQ,"other")+SUMIFS('ESS SUPPLY DATA'!$U:$U,'ESS SUPPLY DATA'!$AF:$AF,'CT capacity tracker'!$B130,'ESS SUPPLY DATA'!$AE:$AE,'CT capacity tracker'!$A$97,'ESS SUPPLY DATA'!$W:$W,'CT capacity tracker'!AH$1,'ESS SUPPLY DATA'!$AO:$AO,"cosco")+SUMIFS('ESS SUPPLY DATA'!$U:$U,'ESS SUPPLY DATA'!$AF:$AF,'CT capacity tracker'!$B130,'ESS SUPPLY DATA'!$AE:$AE,'CT capacity tracker'!$A$97,'ESS SUPPLY DATA'!$W:$W,'CT capacity tracker'!AH$1,'ESS SUPPLY DATA'!$AO:$AO,"other")</f>
        <v>0</v>
      </c>
      <c r="AI133" s="504">
        <f>SUMIFS('PV SUPPLY DATA'!$X:$X,'PV SUPPLY DATA'!$AH:$AH,'CT capacity tracker'!$B130,'PV SUPPLY DATA'!$AG:$AG,'CT capacity tracker'!$A$97,'PV SUPPLY DATA'!$Y:$Y,AI$1,'PV SUPPLY DATA'!$AQ:$AQ,"cosco")+SUMIFS('PV SUPPLY DATA'!$X:$X,'PV SUPPLY DATA'!$AH:$AH,'CT capacity tracker'!$B130,'PV SUPPLY DATA'!$AG:$AG,'CT capacity tracker'!$A$97,'PV SUPPLY DATA'!$Y:$Y,AI$1,'PV SUPPLY DATA'!$AQ:$AQ,"other")+SUMIFS('ESS SUPPLY DATA'!$U:$U,'ESS SUPPLY DATA'!$AF:$AF,'CT capacity tracker'!$B130,'ESS SUPPLY DATA'!$AE:$AE,'CT capacity tracker'!$A$97,'ESS SUPPLY DATA'!$W:$W,'CT capacity tracker'!AI$1,'ESS SUPPLY DATA'!$AO:$AO,"cosco")+SUMIFS('ESS SUPPLY DATA'!$U:$U,'ESS SUPPLY DATA'!$AF:$AF,'CT capacity tracker'!$B130,'ESS SUPPLY DATA'!$AE:$AE,'CT capacity tracker'!$A$97,'ESS SUPPLY DATA'!$W:$W,'CT capacity tracker'!AI$1,'ESS SUPPLY DATA'!$AO:$AO,"other")</f>
        <v>0</v>
      </c>
      <c r="AJ133" s="504">
        <f>SUMIFS('PV SUPPLY DATA'!$X:$X,'PV SUPPLY DATA'!$AH:$AH,'CT capacity tracker'!$B130,'PV SUPPLY DATA'!$AG:$AG,'CT capacity tracker'!$A$97,'PV SUPPLY DATA'!$Y:$Y,AJ$1,'PV SUPPLY DATA'!$AQ:$AQ,"cosco")+SUMIFS('PV SUPPLY DATA'!$X:$X,'PV SUPPLY DATA'!$AH:$AH,'CT capacity tracker'!$B130,'PV SUPPLY DATA'!$AG:$AG,'CT capacity tracker'!$A$97,'PV SUPPLY DATA'!$Y:$Y,AJ$1,'PV SUPPLY DATA'!$AQ:$AQ,"other")+SUMIFS('ESS SUPPLY DATA'!$U:$U,'ESS SUPPLY DATA'!$AF:$AF,'CT capacity tracker'!$B130,'ESS SUPPLY DATA'!$AE:$AE,'CT capacity tracker'!$A$97,'ESS SUPPLY DATA'!$W:$W,'CT capacity tracker'!AJ$1,'ESS SUPPLY DATA'!$AO:$AO,"cosco")+SUMIFS('ESS SUPPLY DATA'!$U:$U,'ESS SUPPLY DATA'!$AF:$AF,'CT capacity tracker'!$B130,'ESS SUPPLY DATA'!$AE:$AE,'CT capacity tracker'!$A$97,'ESS SUPPLY DATA'!$W:$W,'CT capacity tracker'!AJ$1,'ESS SUPPLY DATA'!$AO:$AO,"other")</f>
        <v>0</v>
      </c>
      <c r="AK133" s="511"/>
      <c r="AL133" s="511"/>
      <c r="AM133" s="696">
        <f>SUM(E133:X133)</f>
        <v>3</v>
      </c>
      <c r="AN133" s="503"/>
      <c r="AO133" s="506"/>
      <c r="AP133" s="506"/>
      <c r="AQ133" s="506"/>
      <c r="AR133" s="506"/>
      <c r="AS133" s="506"/>
      <c r="AT133" s="506"/>
    </row>
    <row r="134" spans="1:46" ht="13">
      <c r="A134" s="1517"/>
      <c r="B134" s="1516" t="s">
        <v>124</v>
      </c>
      <c r="C134" s="503" t="s">
        <v>4400</v>
      </c>
      <c r="D134" s="504">
        <f>SUMIFS('PV SUPPLY DATA'!$X:$X,'PV SUPPLY DATA'!$AH:$AH,'CT capacity tracker'!$B134,'PV SUPPLY DATA'!$AG:$AG,'CT capacity tracker'!$A$97,'PV SUPPLY DATA'!$Y:$Y,'CT capacity tracker'!D$1)</f>
        <v>0</v>
      </c>
      <c r="E134" s="504">
        <f>SUMIFS('PV SUPPLY DATA'!$X:$X,'PV SUPPLY DATA'!$Y:$Y,'CT capacity tracker'!E$1,'PV SUPPLY DATA'!$AG:$AG,'CT capacity tracker'!$A$97,'PV SUPPLY DATA'!$AH:$AH,'CT capacity tracker'!$B$134)</f>
        <v>0</v>
      </c>
      <c r="F134" s="504">
        <f>SUMIFS('PV SUPPLY DATA'!$X:$X,'PV SUPPLY DATA'!$Y:$Y,'CT capacity tracker'!F$1,'PV SUPPLY DATA'!$AG:$AG,'CT capacity tracker'!$A$97,'PV SUPPLY DATA'!$AH:$AH,'CT capacity tracker'!$B$134)</f>
        <v>0</v>
      </c>
      <c r="G134" s="504">
        <f>SUMIFS('PV SUPPLY DATA'!$X:$X,'PV SUPPLY DATA'!$Y:$Y,'CT capacity tracker'!G$1,'PV SUPPLY DATA'!$AG:$AG,'CT capacity tracker'!$A$97,'PV SUPPLY DATA'!$AH:$AH,'CT capacity tracker'!$B$134)</f>
        <v>0</v>
      </c>
      <c r="H134" s="504">
        <f>SUMIFS('PV SUPPLY DATA'!$X:$X,'PV SUPPLY DATA'!$Y:$Y,'CT capacity tracker'!H$1,'PV SUPPLY DATA'!$AG:$AG,'CT capacity tracker'!$A$97,'PV SUPPLY DATA'!$AH:$AH,'CT capacity tracker'!$B$134)</f>
        <v>0</v>
      </c>
      <c r="I134" s="504">
        <f>SUMIFS('PV SUPPLY DATA'!$X:$X,'PV SUPPLY DATA'!$Y:$Y,'CT capacity tracker'!I$1,'PV SUPPLY DATA'!$AG:$AG,'CT capacity tracker'!$A$97,'PV SUPPLY DATA'!$AH:$AH,'CT capacity tracker'!$B$134)</f>
        <v>0</v>
      </c>
      <c r="J134" s="504">
        <f>SUMIFS('PV SUPPLY DATA'!$X:$X,'PV SUPPLY DATA'!$Y:$Y,'CT capacity tracker'!J$1,'PV SUPPLY DATA'!$AG:$AG,'CT capacity tracker'!$A$97,'PV SUPPLY DATA'!$AH:$AH,'CT capacity tracker'!$B$134)</f>
        <v>0</v>
      </c>
      <c r="K134" s="504">
        <f>SUMIFS('PV SUPPLY DATA'!$X:$X,'PV SUPPLY DATA'!$Y:$Y,'CT capacity tracker'!K$1,'PV SUPPLY DATA'!$AG:$AG,'CT capacity tracker'!$A$97,'PV SUPPLY DATA'!$AH:$AH,'CT capacity tracker'!$B$134)</f>
        <v>0</v>
      </c>
      <c r="L134" s="504">
        <f>SUMIFS('PV SUPPLY DATA'!$X:$X,'PV SUPPLY DATA'!$Y:$Y,'CT capacity tracker'!L$1,'PV SUPPLY DATA'!$AG:$AG,'CT capacity tracker'!$A$97,'PV SUPPLY DATA'!$AH:$AH,'CT capacity tracker'!$B$134)</f>
        <v>0</v>
      </c>
      <c r="M134" s="504">
        <f>SUMIFS('PV SUPPLY DATA'!$X:$X,'PV SUPPLY DATA'!$Y:$Y,'CT capacity tracker'!M$1,'PV SUPPLY DATA'!$AG:$AG,'CT capacity tracker'!$A$97,'PV SUPPLY DATA'!$AH:$AH,'CT capacity tracker'!$B$134)</f>
        <v>1</v>
      </c>
      <c r="N134" s="504">
        <f>SUMIFS('PV SUPPLY DATA'!$X:$X,'PV SUPPLY DATA'!$Y:$Y,'CT capacity tracker'!N$1,'PV SUPPLY DATA'!$AG:$AG,'CT capacity tracker'!$A$97,'PV SUPPLY DATA'!$AH:$AH,'CT capacity tracker'!$B$134)</f>
        <v>0</v>
      </c>
      <c r="O134" s="504">
        <f>SUMIFS('PV SUPPLY DATA'!$X:$X,'PV SUPPLY DATA'!$Y:$Y,'CT capacity tracker'!O$1,'PV SUPPLY DATA'!$AG:$AG,'CT capacity tracker'!$A$97,'PV SUPPLY DATA'!$AH:$AH,'CT capacity tracker'!$B$134)</f>
        <v>1</v>
      </c>
      <c r="P134" s="504">
        <f>SUMIFS('PV SUPPLY DATA'!$X:$X,'PV SUPPLY DATA'!$Y:$Y,'CT capacity tracker'!P$1,'PV SUPPLY DATA'!$AG:$AG,'CT capacity tracker'!$A$97,'PV SUPPLY DATA'!$AH:$AH,'CT capacity tracker'!$B$134)</f>
        <v>0</v>
      </c>
      <c r="Q134" s="504">
        <f>SUMIFS('PV SUPPLY DATA'!$X:$X,'PV SUPPLY DATA'!$Y:$Y,'CT capacity tracker'!Q$1,'PV SUPPLY DATA'!$AG:$AG,'CT capacity tracker'!$A$97,'PV SUPPLY DATA'!$AH:$AH,'CT capacity tracker'!$B$134)</f>
        <v>0</v>
      </c>
      <c r="R134" s="504">
        <f>SUMIFS('PV SUPPLY DATA'!$X:$X,'PV SUPPLY DATA'!$Y:$Y,'CT capacity tracker'!R$1,'PV SUPPLY DATA'!$AG:$AG,'CT capacity tracker'!$A$97,'PV SUPPLY DATA'!$AH:$AH,'CT capacity tracker'!$B$134)</f>
        <v>0</v>
      </c>
      <c r="S134" s="504">
        <f>SUMIFS('PV SUPPLY DATA'!$X:$X,'PV SUPPLY DATA'!$Y:$Y,'CT capacity tracker'!S$1,'PV SUPPLY DATA'!$AG:$AG,'CT capacity tracker'!$A$97,'PV SUPPLY DATA'!$AH:$AH,'CT capacity tracker'!$B$134)</f>
        <v>0</v>
      </c>
      <c r="T134" s="504">
        <f>SUMIFS('PV SUPPLY DATA'!$X:$X,'PV SUPPLY DATA'!$Y:$Y,'CT capacity tracker'!T$1,'PV SUPPLY DATA'!$AG:$AG,'CT capacity tracker'!$A$97,'PV SUPPLY DATA'!$AH:$AH,'CT capacity tracker'!$B$134)</f>
        <v>0</v>
      </c>
      <c r="U134" s="504">
        <f>SUMIFS('PV SUPPLY DATA'!$X:$X,'PV SUPPLY DATA'!$Y:$Y,'CT capacity tracker'!U$1,'PV SUPPLY DATA'!$AG:$AG,'CT capacity tracker'!$A$97,'PV SUPPLY DATA'!$AH:$AH,'CT capacity tracker'!$B$134)</f>
        <v>0</v>
      </c>
      <c r="V134" s="504">
        <f>SUMIFS('PV SUPPLY DATA'!$X:$X,'PV SUPPLY DATA'!$Y:$Y,'CT capacity tracker'!V$1,'PV SUPPLY DATA'!$AG:$AG,'CT capacity tracker'!$A$97,'PV SUPPLY DATA'!$AH:$AH,'CT capacity tracker'!$B$134)</f>
        <v>0</v>
      </c>
      <c r="W134" s="504">
        <f>SUMIFS('PV SUPPLY DATA'!$X:$X,'PV SUPPLY DATA'!$Y:$Y,'CT capacity tracker'!W$1,'PV SUPPLY DATA'!$AG:$AG,'CT capacity tracker'!$A$97,'PV SUPPLY DATA'!$AH:$AH,'CT capacity tracker'!$B$134)</f>
        <v>0</v>
      </c>
      <c r="X134" s="504">
        <f>SUMIFS('PV SUPPLY DATA'!$X:$X,'PV SUPPLY DATA'!$Y:$Y,'CT capacity tracker'!X$1,'PV SUPPLY DATA'!$AG:$AG,'CT capacity tracker'!$A$97,'PV SUPPLY DATA'!$AH:$AH,'CT capacity tracker'!$B$134)</f>
        <v>0</v>
      </c>
      <c r="Y134" s="504">
        <f>SUMIFS('PV SUPPLY DATA'!$X:$X,'PV SUPPLY DATA'!$Y:$Y,'CT capacity tracker'!Y$1,'PV SUPPLY DATA'!$AG:$AG,'CT capacity tracker'!$A$97,'PV SUPPLY DATA'!$AH:$AH,'CT capacity tracker'!$B$134)</f>
        <v>0</v>
      </c>
      <c r="Z134" s="504">
        <f>SUMIFS('PV SUPPLY DATA'!$X:$X,'PV SUPPLY DATA'!$Y:$Y,'CT capacity tracker'!Z$1,'PV SUPPLY DATA'!$AG:$AG,'CT capacity tracker'!$A$97,'PV SUPPLY DATA'!$AH:$AH,'CT capacity tracker'!$B$134)</f>
        <v>0</v>
      </c>
      <c r="AA134" s="504">
        <f>SUMIFS('PV SUPPLY DATA'!$X:$X,'PV SUPPLY DATA'!$Y:$Y,'CT capacity tracker'!AA$1,'PV SUPPLY DATA'!$AG:$AG,'CT capacity tracker'!$A$97,'PV SUPPLY DATA'!$AH:$AH,'CT capacity tracker'!$B$134)</f>
        <v>1</v>
      </c>
      <c r="AB134" s="504">
        <f>SUMIFS('PV SUPPLY DATA'!$X:$X,'PV SUPPLY DATA'!$Y:$Y,'CT capacity tracker'!AB$1,'PV SUPPLY DATA'!$AG:$AG,'CT capacity tracker'!$A$97,'PV SUPPLY DATA'!$AH:$AH,'CT capacity tracker'!$B$134)</f>
        <v>2</v>
      </c>
      <c r="AC134" s="504">
        <f>SUMIFS('PV SUPPLY DATA'!$X:$X,'PV SUPPLY DATA'!$Y:$Y,'CT capacity tracker'!AC$1,'PV SUPPLY DATA'!$AG:$AG,'CT capacity tracker'!$A$97,'PV SUPPLY DATA'!$AH:$AH,'CT capacity tracker'!$B$134)</f>
        <v>0</v>
      </c>
      <c r="AD134" s="504">
        <f>SUMIFS('PV SUPPLY DATA'!$X:$X,'PV SUPPLY DATA'!$Y:$Y,'CT capacity tracker'!AD$1,'PV SUPPLY DATA'!$AG:$AG,'CT capacity tracker'!$A$97,'PV SUPPLY DATA'!$AH:$AH,'CT capacity tracker'!$B$134)</f>
        <v>0</v>
      </c>
      <c r="AE134" s="504">
        <f>SUMIFS('PV SUPPLY DATA'!$X:$X,'PV SUPPLY DATA'!$Y:$Y,'CT capacity tracker'!AE$1,'PV SUPPLY DATA'!$AG:$AG,'CT capacity tracker'!$A$97,'PV SUPPLY DATA'!$AH:$AH,'CT capacity tracker'!$B$134)</f>
        <v>0</v>
      </c>
      <c r="AF134" s="504">
        <f>SUMIFS('PV SUPPLY DATA'!$X:$X,'PV SUPPLY DATA'!$Y:$Y,'CT capacity tracker'!AF$1,'PV SUPPLY DATA'!$AG:$AG,'CT capacity tracker'!$A$97,'PV SUPPLY DATA'!$AH:$AH,'CT capacity tracker'!$B$134)</f>
        <v>0</v>
      </c>
      <c r="AG134" s="504">
        <f>SUMIFS('PV SUPPLY DATA'!$X:$X,'PV SUPPLY DATA'!$Y:$Y,'CT capacity tracker'!AG$1,'PV SUPPLY DATA'!$AG:$AG,'CT capacity tracker'!$A$97,'PV SUPPLY DATA'!$AH:$AH,'CT capacity tracker'!$B$134)</f>
        <v>0</v>
      </c>
      <c r="AH134" s="504">
        <f>SUMIFS('PV SUPPLY DATA'!$X:$X,'PV SUPPLY DATA'!$Y:$Y,'CT capacity tracker'!AH$1,'PV SUPPLY DATA'!$AG:$AG,'CT capacity tracker'!$A$97,'PV SUPPLY DATA'!$AH:$AH,'CT capacity tracker'!$B$134)</f>
        <v>0</v>
      </c>
      <c r="AI134" s="504">
        <f>SUMIFS('PV SUPPLY DATA'!$X:$X,'PV SUPPLY DATA'!$Y:$Y,'CT capacity tracker'!AI$1,'PV SUPPLY DATA'!$AG:$AG,'CT capacity tracker'!$A$97,'PV SUPPLY DATA'!$AH:$AH,'CT capacity tracker'!$B$134)</f>
        <v>0</v>
      </c>
      <c r="AJ134" s="504">
        <f>SUMIFS('PV SUPPLY DATA'!$X:$X,'PV SUPPLY DATA'!$Y:$Y,'CT capacity tracker'!AJ$1,'PV SUPPLY DATA'!$AG:$AG,'CT capacity tracker'!$A$97,'PV SUPPLY DATA'!$AH:$AH,'CT capacity tracker'!$B$134)</f>
        <v>0</v>
      </c>
      <c r="AK134" s="505" t="s">
        <v>197</v>
      </c>
      <c r="AL134" s="505" t="s">
        <v>197</v>
      </c>
      <c r="AM134" s="696">
        <f>SUM(E134:X134)</f>
        <v>2</v>
      </c>
      <c r="AN134" s="503" t="s">
        <v>197</v>
      </c>
      <c r="AO134" s="506"/>
      <c r="AP134" s="506">
        <f t="shared" si="77"/>
        <v>0</v>
      </c>
      <c r="AQ134" s="506"/>
      <c r="AR134" s="506"/>
      <c r="AS134" s="506"/>
      <c r="AT134" s="506"/>
    </row>
    <row r="135" spans="1:46" ht="13">
      <c r="A135" s="1517"/>
      <c r="B135" s="1517"/>
      <c r="C135" s="509" t="s">
        <v>4401</v>
      </c>
      <c r="D135" s="509"/>
      <c r="E135" s="510"/>
      <c r="F135" s="510"/>
      <c r="G135" s="510"/>
      <c r="H135" s="510"/>
      <c r="I135" s="510"/>
      <c r="J135" s="510"/>
      <c r="K135" s="510"/>
      <c r="L135" s="510"/>
      <c r="M135" s="510">
        <v>1</v>
      </c>
      <c r="N135" s="510">
        <v>0</v>
      </c>
      <c r="O135" s="510">
        <v>1</v>
      </c>
      <c r="P135" s="510"/>
      <c r="Q135" s="510"/>
      <c r="R135" s="510"/>
      <c r="S135" s="510">
        <v>0</v>
      </c>
      <c r="T135" s="510"/>
      <c r="U135" s="510"/>
      <c r="V135" s="510"/>
      <c r="W135" s="510"/>
      <c r="X135" s="510"/>
      <c r="Y135" s="510"/>
      <c r="Z135" s="510"/>
      <c r="AA135" s="510"/>
      <c r="AB135" s="510">
        <v>0</v>
      </c>
      <c r="AC135" s="510">
        <v>1</v>
      </c>
      <c r="AD135" s="510">
        <v>0</v>
      </c>
      <c r="AE135" s="510">
        <v>1</v>
      </c>
      <c r="AF135" s="510">
        <v>1</v>
      </c>
      <c r="AG135" s="510"/>
      <c r="AH135" s="510"/>
      <c r="AI135" s="510"/>
      <c r="AJ135" s="510"/>
      <c r="AK135" s="505" t="s">
        <v>197</v>
      </c>
      <c r="AL135" s="505" t="s">
        <v>197</v>
      </c>
      <c r="AM135" s="696"/>
      <c r="AN135" s="503" t="s">
        <v>197</v>
      </c>
      <c r="AO135" s="506"/>
      <c r="AP135" s="506">
        <f t="shared" si="77"/>
        <v>0</v>
      </c>
      <c r="AQ135" s="506"/>
      <c r="AR135" s="506"/>
      <c r="AS135" s="506"/>
      <c r="AT135" s="506"/>
    </row>
    <row r="136" spans="1:46" ht="13">
      <c r="A136" s="1517"/>
      <c r="B136" s="1517"/>
      <c r="C136" s="520" t="s">
        <v>4402</v>
      </c>
      <c r="D136" s="522"/>
      <c r="E136" s="522">
        <f>E135-E134</f>
        <v>0</v>
      </c>
      <c r="F136" s="522">
        <f t="shared" ref="F136:X136" si="104">F135-F134</f>
        <v>0</v>
      </c>
      <c r="G136" s="522">
        <f t="shared" si="104"/>
        <v>0</v>
      </c>
      <c r="H136" s="522">
        <f t="shared" si="104"/>
        <v>0</v>
      </c>
      <c r="I136" s="522">
        <f t="shared" si="104"/>
        <v>0</v>
      </c>
      <c r="J136" s="522">
        <f t="shared" si="104"/>
        <v>0</v>
      </c>
      <c r="K136" s="522">
        <f t="shared" si="104"/>
        <v>0</v>
      </c>
      <c r="L136" s="522">
        <f t="shared" si="104"/>
        <v>0</v>
      </c>
      <c r="M136" s="522">
        <f t="shared" si="104"/>
        <v>0</v>
      </c>
      <c r="N136" s="522">
        <f t="shared" si="104"/>
        <v>0</v>
      </c>
      <c r="O136" s="522">
        <f t="shared" si="104"/>
        <v>0</v>
      </c>
      <c r="P136" s="522">
        <f t="shared" si="104"/>
        <v>0</v>
      </c>
      <c r="Q136" s="522">
        <f t="shared" si="104"/>
        <v>0</v>
      </c>
      <c r="R136" s="522">
        <f t="shared" si="104"/>
        <v>0</v>
      </c>
      <c r="S136" s="522">
        <f t="shared" si="104"/>
        <v>0</v>
      </c>
      <c r="T136" s="522">
        <f t="shared" si="104"/>
        <v>0</v>
      </c>
      <c r="U136" s="522">
        <f t="shared" si="104"/>
        <v>0</v>
      </c>
      <c r="V136" s="522">
        <f t="shared" si="104"/>
        <v>0</v>
      </c>
      <c r="W136" s="522">
        <f t="shared" si="104"/>
        <v>0</v>
      </c>
      <c r="X136" s="522">
        <f t="shared" si="104"/>
        <v>0</v>
      </c>
      <c r="Y136" s="522">
        <f t="shared" ref="Y136:AJ136" si="105">Y135-Y134</f>
        <v>0</v>
      </c>
      <c r="Z136" s="522">
        <f t="shared" si="105"/>
        <v>0</v>
      </c>
      <c r="AA136" s="522">
        <f t="shared" si="105"/>
        <v>-1</v>
      </c>
      <c r="AB136" s="522">
        <f t="shared" si="105"/>
        <v>-2</v>
      </c>
      <c r="AC136" s="522">
        <f t="shared" si="105"/>
        <v>1</v>
      </c>
      <c r="AD136" s="522">
        <f t="shared" si="105"/>
        <v>0</v>
      </c>
      <c r="AE136" s="522">
        <f t="shared" si="105"/>
        <v>1</v>
      </c>
      <c r="AF136" s="522">
        <f t="shared" si="105"/>
        <v>1</v>
      </c>
      <c r="AG136" s="522">
        <f t="shared" si="105"/>
        <v>0</v>
      </c>
      <c r="AH136" s="522">
        <f t="shared" si="105"/>
        <v>0</v>
      </c>
      <c r="AI136" s="522">
        <f t="shared" si="105"/>
        <v>0</v>
      </c>
      <c r="AJ136" s="522">
        <f t="shared" si="105"/>
        <v>0</v>
      </c>
      <c r="AK136" s="511">
        <f>SUMIF($E136:$X136,"&gt;0")</f>
        <v>0</v>
      </c>
      <c r="AL136" s="511">
        <f>SUMIF($E136:$X136,"&lt;0")</f>
        <v>0</v>
      </c>
      <c r="AM136" s="696"/>
      <c r="AN136" s="503" t="s">
        <v>197</v>
      </c>
      <c r="AO136" s="506"/>
      <c r="AP136" s="506">
        <f t="shared" si="77"/>
        <v>0</v>
      </c>
      <c r="AQ136" s="506"/>
      <c r="AR136" s="506"/>
      <c r="AS136" s="506"/>
      <c r="AT136" s="506"/>
    </row>
    <row r="137" spans="1:46" ht="13">
      <c r="A137" s="1518"/>
      <c r="B137" s="1518"/>
      <c r="C137" s="503" t="s">
        <v>4403</v>
      </c>
      <c r="D137" s="522"/>
      <c r="E137" s="504">
        <f>SUMIFS('PV SUPPLY DATA'!$X:$X,'PV SUPPLY DATA'!$AH:$AH,'CT capacity tracker'!$B134,'PV SUPPLY DATA'!$AG:$AG,'CT capacity tracker'!$A$97,'PV SUPPLY DATA'!$Y:$Y,E$1,'PV SUPPLY DATA'!$AQ:$AQ,"cosco")+SUMIFS('PV SUPPLY DATA'!$X:$X,'PV SUPPLY DATA'!$AH:$AH,'CT capacity tracker'!$B134,'PV SUPPLY DATA'!$AG:$AG,'CT capacity tracker'!$A$97,'PV SUPPLY DATA'!$Y:$Y,E$1,'PV SUPPLY DATA'!$AQ:$AQ,"other")+SUMIFS('ESS SUPPLY DATA'!$U:$U,'ESS SUPPLY DATA'!$AF:$AF,'CT capacity tracker'!$B134,'ESS SUPPLY DATA'!$AE:$AE,'CT capacity tracker'!$A$97,'ESS SUPPLY DATA'!$W:$W,'CT capacity tracker'!E$1,'ESS SUPPLY DATA'!$AO:$AO,"cosco")+SUMIFS('ESS SUPPLY DATA'!$U:$U,'ESS SUPPLY DATA'!$AF:$AF,'CT capacity tracker'!$B134,'ESS SUPPLY DATA'!$AE:$AE,'CT capacity tracker'!$A$97,'ESS SUPPLY DATA'!$W:$W,'CT capacity tracker'!E$1,'ESS SUPPLY DATA'!$AO:$AO,"other")</f>
        <v>0</v>
      </c>
      <c r="F137" s="504">
        <f>SUMIFS('PV SUPPLY DATA'!$X:$X,'PV SUPPLY DATA'!$AH:$AH,'CT capacity tracker'!$B134,'PV SUPPLY DATA'!$AG:$AG,'CT capacity tracker'!$A$97,'PV SUPPLY DATA'!$Y:$Y,F$1,'PV SUPPLY DATA'!$AQ:$AQ,"cosco")+SUMIFS('PV SUPPLY DATA'!$X:$X,'PV SUPPLY DATA'!$AH:$AH,'CT capacity tracker'!$B134,'PV SUPPLY DATA'!$AG:$AG,'CT capacity tracker'!$A$97,'PV SUPPLY DATA'!$Y:$Y,F$1,'PV SUPPLY DATA'!$AQ:$AQ,"other")+SUMIFS('ESS SUPPLY DATA'!$U:$U,'ESS SUPPLY DATA'!$AF:$AF,'CT capacity tracker'!$B134,'ESS SUPPLY DATA'!$AE:$AE,'CT capacity tracker'!$A$97,'ESS SUPPLY DATA'!$W:$W,'CT capacity tracker'!F$1,'ESS SUPPLY DATA'!$AO:$AO,"cosco")+SUMIFS('ESS SUPPLY DATA'!$U:$U,'ESS SUPPLY DATA'!$AF:$AF,'CT capacity tracker'!$B134,'ESS SUPPLY DATA'!$AE:$AE,'CT capacity tracker'!$A$97,'ESS SUPPLY DATA'!$W:$W,'CT capacity tracker'!F$1,'ESS SUPPLY DATA'!$AO:$AO,"other")</f>
        <v>0</v>
      </c>
      <c r="G137" s="504">
        <f>SUMIFS('PV SUPPLY DATA'!$X:$X,'PV SUPPLY DATA'!$AH:$AH,'CT capacity tracker'!$B134,'PV SUPPLY DATA'!$AG:$AG,'CT capacity tracker'!$A$97,'PV SUPPLY DATA'!$Y:$Y,G$1,'PV SUPPLY DATA'!$AQ:$AQ,"cosco")+SUMIFS('PV SUPPLY DATA'!$X:$X,'PV SUPPLY DATA'!$AH:$AH,'CT capacity tracker'!$B134,'PV SUPPLY DATA'!$AG:$AG,'CT capacity tracker'!$A$97,'PV SUPPLY DATA'!$Y:$Y,G$1,'PV SUPPLY DATA'!$AQ:$AQ,"other")+SUMIFS('ESS SUPPLY DATA'!$U:$U,'ESS SUPPLY DATA'!$AF:$AF,'CT capacity tracker'!$B134,'ESS SUPPLY DATA'!$AE:$AE,'CT capacity tracker'!$A$97,'ESS SUPPLY DATA'!$W:$W,'CT capacity tracker'!G$1,'ESS SUPPLY DATA'!$AO:$AO,"cosco")+SUMIFS('ESS SUPPLY DATA'!$U:$U,'ESS SUPPLY DATA'!$AF:$AF,'CT capacity tracker'!$B134,'ESS SUPPLY DATA'!$AE:$AE,'CT capacity tracker'!$A$97,'ESS SUPPLY DATA'!$W:$W,'CT capacity tracker'!G$1,'ESS SUPPLY DATA'!$AO:$AO,"other")</f>
        <v>0</v>
      </c>
      <c r="H137" s="504">
        <f>SUMIFS('PV SUPPLY DATA'!$X:$X,'PV SUPPLY DATA'!$AH:$AH,'CT capacity tracker'!$B134,'PV SUPPLY DATA'!$AG:$AG,'CT capacity tracker'!$A$97,'PV SUPPLY DATA'!$Y:$Y,H$1,'PV SUPPLY DATA'!$AQ:$AQ,"cosco")+SUMIFS('PV SUPPLY DATA'!$X:$X,'PV SUPPLY DATA'!$AH:$AH,'CT capacity tracker'!$B134,'PV SUPPLY DATA'!$AG:$AG,'CT capacity tracker'!$A$97,'PV SUPPLY DATA'!$Y:$Y,H$1,'PV SUPPLY DATA'!$AQ:$AQ,"other")+SUMIFS('ESS SUPPLY DATA'!$U:$U,'ESS SUPPLY DATA'!$AF:$AF,'CT capacity tracker'!$B134,'ESS SUPPLY DATA'!$AE:$AE,'CT capacity tracker'!$A$97,'ESS SUPPLY DATA'!$W:$W,'CT capacity tracker'!H$1,'ESS SUPPLY DATA'!$AO:$AO,"cosco")+SUMIFS('ESS SUPPLY DATA'!$U:$U,'ESS SUPPLY DATA'!$AF:$AF,'CT capacity tracker'!$B134,'ESS SUPPLY DATA'!$AE:$AE,'CT capacity tracker'!$A$97,'ESS SUPPLY DATA'!$W:$W,'CT capacity tracker'!H$1,'ESS SUPPLY DATA'!$AO:$AO,"other")</f>
        <v>0</v>
      </c>
      <c r="I137" s="504">
        <f>SUMIFS('PV SUPPLY DATA'!$X:$X,'PV SUPPLY DATA'!$AH:$AH,'CT capacity tracker'!$B134,'PV SUPPLY DATA'!$AG:$AG,'CT capacity tracker'!$A$97,'PV SUPPLY DATA'!$Y:$Y,I$1,'PV SUPPLY DATA'!$AQ:$AQ,"cosco")+SUMIFS('PV SUPPLY DATA'!$X:$X,'PV SUPPLY DATA'!$AH:$AH,'CT capacity tracker'!$B134,'PV SUPPLY DATA'!$AG:$AG,'CT capacity tracker'!$A$97,'PV SUPPLY DATA'!$Y:$Y,I$1,'PV SUPPLY DATA'!$AQ:$AQ,"other")+SUMIFS('ESS SUPPLY DATA'!$U:$U,'ESS SUPPLY DATA'!$AF:$AF,'CT capacity tracker'!$B134,'ESS SUPPLY DATA'!$AE:$AE,'CT capacity tracker'!$A$97,'ESS SUPPLY DATA'!$W:$W,'CT capacity tracker'!I$1,'ESS SUPPLY DATA'!$AO:$AO,"cosco")+SUMIFS('ESS SUPPLY DATA'!$U:$U,'ESS SUPPLY DATA'!$AF:$AF,'CT capacity tracker'!$B134,'ESS SUPPLY DATA'!$AE:$AE,'CT capacity tracker'!$A$97,'ESS SUPPLY DATA'!$W:$W,'CT capacity tracker'!I$1,'ESS SUPPLY DATA'!$AO:$AO,"other")</f>
        <v>0</v>
      </c>
      <c r="J137" s="504">
        <f>SUMIFS('PV SUPPLY DATA'!$X:$X,'PV SUPPLY DATA'!$AH:$AH,'CT capacity tracker'!$B134,'PV SUPPLY DATA'!$AG:$AG,'CT capacity tracker'!$A$97,'PV SUPPLY DATA'!$Y:$Y,J$1,'PV SUPPLY DATA'!$AQ:$AQ,"cosco")+SUMIFS('PV SUPPLY DATA'!$X:$X,'PV SUPPLY DATA'!$AH:$AH,'CT capacity tracker'!$B134,'PV SUPPLY DATA'!$AG:$AG,'CT capacity tracker'!$A$97,'PV SUPPLY DATA'!$Y:$Y,J$1,'PV SUPPLY DATA'!$AQ:$AQ,"other")+SUMIFS('ESS SUPPLY DATA'!$U:$U,'ESS SUPPLY DATA'!$AF:$AF,'CT capacity tracker'!$B134,'ESS SUPPLY DATA'!$AE:$AE,'CT capacity tracker'!$A$97,'ESS SUPPLY DATA'!$W:$W,'CT capacity tracker'!J$1,'ESS SUPPLY DATA'!$AO:$AO,"cosco")+SUMIFS('ESS SUPPLY DATA'!$U:$U,'ESS SUPPLY DATA'!$AF:$AF,'CT capacity tracker'!$B134,'ESS SUPPLY DATA'!$AE:$AE,'CT capacity tracker'!$A$97,'ESS SUPPLY DATA'!$W:$W,'CT capacity tracker'!J$1,'ESS SUPPLY DATA'!$AO:$AO,"other")</f>
        <v>0</v>
      </c>
      <c r="K137" s="504">
        <f>SUMIFS('PV SUPPLY DATA'!$X:$X,'PV SUPPLY DATA'!$AH:$AH,'CT capacity tracker'!$B134,'PV SUPPLY DATA'!$AG:$AG,'CT capacity tracker'!$A$97,'PV SUPPLY DATA'!$Y:$Y,K$1,'PV SUPPLY DATA'!$AQ:$AQ,"cosco")+SUMIFS('PV SUPPLY DATA'!$X:$X,'PV SUPPLY DATA'!$AH:$AH,'CT capacity tracker'!$B134,'PV SUPPLY DATA'!$AG:$AG,'CT capacity tracker'!$A$97,'PV SUPPLY DATA'!$Y:$Y,K$1,'PV SUPPLY DATA'!$AQ:$AQ,"other")+SUMIFS('ESS SUPPLY DATA'!$U:$U,'ESS SUPPLY DATA'!$AF:$AF,'CT capacity tracker'!$B134,'ESS SUPPLY DATA'!$AE:$AE,'CT capacity tracker'!$A$97,'ESS SUPPLY DATA'!$W:$W,'CT capacity tracker'!K$1,'ESS SUPPLY DATA'!$AO:$AO,"cosco")+SUMIFS('ESS SUPPLY DATA'!$U:$U,'ESS SUPPLY DATA'!$AF:$AF,'CT capacity tracker'!$B134,'ESS SUPPLY DATA'!$AE:$AE,'CT capacity tracker'!$A$97,'ESS SUPPLY DATA'!$W:$W,'CT capacity tracker'!K$1,'ESS SUPPLY DATA'!$AO:$AO,"other")</f>
        <v>0</v>
      </c>
      <c r="L137" s="504">
        <f>SUMIFS('PV SUPPLY DATA'!$X:$X,'PV SUPPLY DATA'!$AH:$AH,'CT capacity tracker'!$B134,'PV SUPPLY DATA'!$AG:$AG,'CT capacity tracker'!$A$97,'PV SUPPLY DATA'!$Y:$Y,L$1,'PV SUPPLY DATA'!$AQ:$AQ,"cosco")+SUMIFS('PV SUPPLY DATA'!$X:$X,'PV SUPPLY DATA'!$AH:$AH,'CT capacity tracker'!$B134,'PV SUPPLY DATA'!$AG:$AG,'CT capacity tracker'!$A$97,'PV SUPPLY DATA'!$Y:$Y,L$1,'PV SUPPLY DATA'!$AQ:$AQ,"other")+SUMIFS('ESS SUPPLY DATA'!$U:$U,'ESS SUPPLY DATA'!$AF:$AF,'CT capacity tracker'!$B134,'ESS SUPPLY DATA'!$AE:$AE,'CT capacity tracker'!$A$97,'ESS SUPPLY DATA'!$W:$W,'CT capacity tracker'!L$1,'ESS SUPPLY DATA'!$AO:$AO,"cosco")+SUMIFS('ESS SUPPLY DATA'!$U:$U,'ESS SUPPLY DATA'!$AF:$AF,'CT capacity tracker'!$B134,'ESS SUPPLY DATA'!$AE:$AE,'CT capacity tracker'!$A$97,'ESS SUPPLY DATA'!$W:$W,'CT capacity tracker'!L$1,'ESS SUPPLY DATA'!$AO:$AO,"other")</f>
        <v>0</v>
      </c>
      <c r="M137" s="504">
        <f>SUMIFS('PV SUPPLY DATA'!$X:$X,'PV SUPPLY DATA'!$AH:$AH,'CT capacity tracker'!$B134,'PV SUPPLY DATA'!$AG:$AG,'CT capacity tracker'!$A$97,'PV SUPPLY DATA'!$Y:$Y,M$1,'PV SUPPLY DATA'!$AQ:$AQ,"cosco")+SUMIFS('PV SUPPLY DATA'!$X:$X,'PV SUPPLY DATA'!$AH:$AH,'CT capacity tracker'!$B134,'PV SUPPLY DATA'!$AG:$AG,'CT capacity tracker'!$A$97,'PV SUPPLY DATA'!$Y:$Y,M$1,'PV SUPPLY DATA'!$AQ:$AQ,"other")+SUMIFS('ESS SUPPLY DATA'!$U:$U,'ESS SUPPLY DATA'!$AF:$AF,'CT capacity tracker'!$B134,'ESS SUPPLY DATA'!$AE:$AE,'CT capacity tracker'!$A$97,'ESS SUPPLY DATA'!$W:$W,'CT capacity tracker'!M$1,'ESS SUPPLY DATA'!$AO:$AO,"cosco")+SUMIFS('ESS SUPPLY DATA'!$U:$U,'ESS SUPPLY DATA'!$AF:$AF,'CT capacity tracker'!$B134,'ESS SUPPLY DATA'!$AE:$AE,'CT capacity tracker'!$A$97,'ESS SUPPLY DATA'!$W:$W,'CT capacity tracker'!M$1,'ESS SUPPLY DATA'!$AO:$AO,"other")</f>
        <v>1</v>
      </c>
      <c r="N137" s="504">
        <f>SUMIFS('PV SUPPLY DATA'!$X:$X,'PV SUPPLY DATA'!$AH:$AH,'CT capacity tracker'!$B134,'PV SUPPLY DATA'!$AG:$AG,'CT capacity tracker'!$A$97,'PV SUPPLY DATA'!$Y:$Y,N$1,'PV SUPPLY DATA'!$AQ:$AQ,"cosco")+SUMIFS('PV SUPPLY DATA'!$X:$X,'PV SUPPLY DATA'!$AH:$AH,'CT capacity tracker'!$B134,'PV SUPPLY DATA'!$AG:$AG,'CT capacity tracker'!$A$97,'PV SUPPLY DATA'!$Y:$Y,N$1,'PV SUPPLY DATA'!$AQ:$AQ,"other")+SUMIFS('ESS SUPPLY DATA'!$U:$U,'ESS SUPPLY DATA'!$AF:$AF,'CT capacity tracker'!$B134,'ESS SUPPLY DATA'!$AE:$AE,'CT capacity tracker'!$A$97,'ESS SUPPLY DATA'!$W:$W,'CT capacity tracker'!N$1,'ESS SUPPLY DATA'!$AO:$AO,"cosco")+SUMIFS('ESS SUPPLY DATA'!$U:$U,'ESS SUPPLY DATA'!$AF:$AF,'CT capacity tracker'!$B134,'ESS SUPPLY DATA'!$AE:$AE,'CT capacity tracker'!$A$97,'ESS SUPPLY DATA'!$W:$W,'CT capacity tracker'!N$1,'ESS SUPPLY DATA'!$AO:$AO,"other")</f>
        <v>0</v>
      </c>
      <c r="O137" s="504">
        <f>SUMIFS('PV SUPPLY DATA'!$X:$X,'PV SUPPLY DATA'!$AH:$AH,'CT capacity tracker'!$B134,'PV SUPPLY DATA'!$AG:$AG,'CT capacity tracker'!$A$97,'PV SUPPLY DATA'!$Y:$Y,O$1,'PV SUPPLY DATA'!$AQ:$AQ,"cosco")+SUMIFS('PV SUPPLY DATA'!$X:$X,'PV SUPPLY DATA'!$AH:$AH,'CT capacity tracker'!$B134,'PV SUPPLY DATA'!$AG:$AG,'CT capacity tracker'!$A$97,'PV SUPPLY DATA'!$Y:$Y,O$1,'PV SUPPLY DATA'!$AQ:$AQ,"other")+SUMIFS('ESS SUPPLY DATA'!$U:$U,'ESS SUPPLY DATA'!$AF:$AF,'CT capacity tracker'!$B134,'ESS SUPPLY DATA'!$AE:$AE,'CT capacity tracker'!$A$97,'ESS SUPPLY DATA'!$W:$W,'CT capacity tracker'!O$1,'ESS SUPPLY DATA'!$AO:$AO,"cosco")+SUMIFS('ESS SUPPLY DATA'!$U:$U,'ESS SUPPLY DATA'!$AF:$AF,'CT capacity tracker'!$B134,'ESS SUPPLY DATA'!$AE:$AE,'CT capacity tracker'!$A$97,'ESS SUPPLY DATA'!$W:$W,'CT capacity tracker'!O$1,'ESS SUPPLY DATA'!$AO:$AO,"other")</f>
        <v>1</v>
      </c>
      <c r="P137" s="504">
        <f>SUMIFS('PV SUPPLY DATA'!$X:$X,'PV SUPPLY DATA'!$AH:$AH,'CT capacity tracker'!$B134,'PV SUPPLY DATA'!$AG:$AG,'CT capacity tracker'!$A$97,'PV SUPPLY DATA'!$Y:$Y,P$1,'PV SUPPLY DATA'!$AQ:$AQ,"cosco")+SUMIFS('PV SUPPLY DATA'!$X:$X,'PV SUPPLY DATA'!$AH:$AH,'CT capacity tracker'!$B134,'PV SUPPLY DATA'!$AG:$AG,'CT capacity tracker'!$A$97,'PV SUPPLY DATA'!$Y:$Y,P$1,'PV SUPPLY DATA'!$AQ:$AQ,"other")+SUMIFS('ESS SUPPLY DATA'!$U:$U,'ESS SUPPLY DATA'!$AF:$AF,'CT capacity tracker'!$B134,'ESS SUPPLY DATA'!$AE:$AE,'CT capacity tracker'!$A$97,'ESS SUPPLY DATA'!$W:$W,'CT capacity tracker'!P$1,'ESS SUPPLY DATA'!$AO:$AO,"cosco")+SUMIFS('ESS SUPPLY DATA'!$U:$U,'ESS SUPPLY DATA'!$AF:$AF,'CT capacity tracker'!$B134,'ESS SUPPLY DATA'!$AE:$AE,'CT capacity tracker'!$A$97,'ESS SUPPLY DATA'!$W:$W,'CT capacity tracker'!P$1,'ESS SUPPLY DATA'!$AO:$AO,"other")</f>
        <v>0</v>
      </c>
      <c r="Q137" s="504">
        <f>SUMIFS('PV SUPPLY DATA'!$X:$X,'PV SUPPLY DATA'!$AH:$AH,'CT capacity tracker'!$B134,'PV SUPPLY DATA'!$AG:$AG,'CT capacity tracker'!$A$97,'PV SUPPLY DATA'!$Y:$Y,Q$1,'PV SUPPLY DATA'!$AQ:$AQ,"cosco")+SUMIFS('PV SUPPLY DATA'!$X:$X,'PV SUPPLY DATA'!$AH:$AH,'CT capacity tracker'!$B134,'PV SUPPLY DATA'!$AG:$AG,'CT capacity tracker'!$A$97,'PV SUPPLY DATA'!$Y:$Y,Q$1,'PV SUPPLY DATA'!$AQ:$AQ,"other")+SUMIFS('ESS SUPPLY DATA'!$U:$U,'ESS SUPPLY DATA'!$AF:$AF,'CT capacity tracker'!$B134,'ESS SUPPLY DATA'!$AE:$AE,'CT capacity tracker'!$A$97,'ESS SUPPLY DATA'!$W:$W,'CT capacity tracker'!Q$1,'ESS SUPPLY DATA'!$AO:$AO,"cosco")+SUMIFS('ESS SUPPLY DATA'!$U:$U,'ESS SUPPLY DATA'!$AF:$AF,'CT capacity tracker'!$B134,'ESS SUPPLY DATA'!$AE:$AE,'CT capacity tracker'!$A$97,'ESS SUPPLY DATA'!$W:$W,'CT capacity tracker'!Q$1,'ESS SUPPLY DATA'!$AO:$AO,"other")</f>
        <v>0</v>
      </c>
      <c r="R137" s="504">
        <f>SUMIFS('PV SUPPLY DATA'!$X:$X,'PV SUPPLY DATA'!$AH:$AH,'CT capacity tracker'!$B134,'PV SUPPLY DATA'!$AG:$AG,'CT capacity tracker'!$A$97,'PV SUPPLY DATA'!$Y:$Y,R$1,'PV SUPPLY DATA'!$AQ:$AQ,"cosco")+SUMIFS('PV SUPPLY DATA'!$X:$X,'PV SUPPLY DATA'!$AH:$AH,'CT capacity tracker'!$B134,'PV SUPPLY DATA'!$AG:$AG,'CT capacity tracker'!$A$97,'PV SUPPLY DATA'!$Y:$Y,R$1,'PV SUPPLY DATA'!$AQ:$AQ,"other")+SUMIFS('ESS SUPPLY DATA'!$U:$U,'ESS SUPPLY DATA'!$AF:$AF,'CT capacity tracker'!$B134,'ESS SUPPLY DATA'!$AE:$AE,'CT capacity tracker'!$A$97,'ESS SUPPLY DATA'!$W:$W,'CT capacity tracker'!R$1,'ESS SUPPLY DATA'!$AO:$AO,"cosco")+SUMIFS('ESS SUPPLY DATA'!$U:$U,'ESS SUPPLY DATA'!$AF:$AF,'CT capacity tracker'!$B134,'ESS SUPPLY DATA'!$AE:$AE,'CT capacity tracker'!$A$97,'ESS SUPPLY DATA'!$W:$W,'CT capacity tracker'!R$1,'ESS SUPPLY DATA'!$AO:$AO,"other")</f>
        <v>0</v>
      </c>
      <c r="S137" s="504">
        <f>SUMIFS('PV SUPPLY DATA'!$X:$X,'PV SUPPLY DATA'!$AH:$AH,'CT capacity tracker'!$B134,'PV SUPPLY DATA'!$AG:$AG,'CT capacity tracker'!$A$97,'PV SUPPLY DATA'!$Y:$Y,S$1,'PV SUPPLY DATA'!$AQ:$AQ,"cosco")+SUMIFS('PV SUPPLY DATA'!$X:$X,'PV SUPPLY DATA'!$AH:$AH,'CT capacity tracker'!$B134,'PV SUPPLY DATA'!$AG:$AG,'CT capacity tracker'!$A$97,'PV SUPPLY DATA'!$Y:$Y,S$1,'PV SUPPLY DATA'!$AQ:$AQ,"other")+SUMIFS('ESS SUPPLY DATA'!$U:$U,'ESS SUPPLY DATA'!$AF:$AF,'CT capacity tracker'!$B134,'ESS SUPPLY DATA'!$AE:$AE,'CT capacity tracker'!$A$97,'ESS SUPPLY DATA'!$W:$W,'CT capacity tracker'!S$1,'ESS SUPPLY DATA'!$AO:$AO,"cosco")+SUMIFS('ESS SUPPLY DATA'!$U:$U,'ESS SUPPLY DATA'!$AF:$AF,'CT capacity tracker'!$B134,'ESS SUPPLY DATA'!$AE:$AE,'CT capacity tracker'!$A$97,'ESS SUPPLY DATA'!$W:$W,'CT capacity tracker'!S$1,'ESS SUPPLY DATA'!$AO:$AO,"other")</f>
        <v>0</v>
      </c>
      <c r="T137" s="504">
        <f>SUMIFS('PV SUPPLY DATA'!$X:$X,'PV SUPPLY DATA'!$AH:$AH,'CT capacity tracker'!$B134,'PV SUPPLY DATA'!$AG:$AG,'CT capacity tracker'!$A$97,'PV SUPPLY DATA'!$Y:$Y,T$1,'PV SUPPLY DATA'!$AQ:$AQ,"cosco")+SUMIFS('PV SUPPLY DATA'!$X:$X,'PV SUPPLY DATA'!$AH:$AH,'CT capacity tracker'!$B134,'PV SUPPLY DATA'!$AG:$AG,'CT capacity tracker'!$A$97,'PV SUPPLY DATA'!$Y:$Y,T$1,'PV SUPPLY DATA'!$AQ:$AQ,"other")+SUMIFS('ESS SUPPLY DATA'!$U:$U,'ESS SUPPLY DATA'!$AF:$AF,'CT capacity tracker'!$B134,'ESS SUPPLY DATA'!$AE:$AE,'CT capacity tracker'!$A$97,'ESS SUPPLY DATA'!$W:$W,'CT capacity tracker'!T$1,'ESS SUPPLY DATA'!$AO:$AO,"cosco")+SUMIFS('ESS SUPPLY DATA'!$U:$U,'ESS SUPPLY DATA'!$AF:$AF,'CT capacity tracker'!$B134,'ESS SUPPLY DATA'!$AE:$AE,'CT capacity tracker'!$A$97,'ESS SUPPLY DATA'!$W:$W,'CT capacity tracker'!T$1,'ESS SUPPLY DATA'!$AO:$AO,"other")</f>
        <v>0</v>
      </c>
      <c r="U137" s="504">
        <f>SUMIFS('PV SUPPLY DATA'!$X:$X,'PV SUPPLY DATA'!$AH:$AH,'CT capacity tracker'!$B134,'PV SUPPLY DATA'!$AG:$AG,'CT capacity tracker'!$A$97,'PV SUPPLY DATA'!$Y:$Y,U$1,'PV SUPPLY DATA'!$AQ:$AQ,"cosco")+SUMIFS('PV SUPPLY DATA'!$X:$X,'PV SUPPLY DATA'!$AH:$AH,'CT capacity tracker'!$B134,'PV SUPPLY DATA'!$AG:$AG,'CT capacity tracker'!$A$97,'PV SUPPLY DATA'!$Y:$Y,U$1,'PV SUPPLY DATA'!$AQ:$AQ,"other")+SUMIFS('ESS SUPPLY DATA'!$U:$U,'ESS SUPPLY DATA'!$AF:$AF,'CT capacity tracker'!$B134,'ESS SUPPLY DATA'!$AE:$AE,'CT capacity tracker'!$A$97,'ESS SUPPLY DATA'!$W:$W,'CT capacity tracker'!U$1,'ESS SUPPLY DATA'!$AO:$AO,"cosco")+SUMIFS('ESS SUPPLY DATA'!$U:$U,'ESS SUPPLY DATA'!$AF:$AF,'CT capacity tracker'!$B134,'ESS SUPPLY DATA'!$AE:$AE,'CT capacity tracker'!$A$97,'ESS SUPPLY DATA'!$W:$W,'CT capacity tracker'!U$1,'ESS SUPPLY DATA'!$AO:$AO,"other")</f>
        <v>0</v>
      </c>
      <c r="V137" s="504">
        <f>SUMIFS('PV SUPPLY DATA'!$X:$X,'PV SUPPLY DATA'!$AH:$AH,'CT capacity tracker'!$B134,'PV SUPPLY DATA'!$AG:$AG,'CT capacity tracker'!$A$97,'PV SUPPLY DATA'!$Y:$Y,V$1,'PV SUPPLY DATA'!$AQ:$AQ,"cosco")+SUMIFS('PV SUPPLY DATA'!$X:$X,'PV SUPPLY DATA'!$AH:$AH,'CT capacity tracker'!$B134,'PV SUPPLY DATA'!$AG:$AG,'CT capacity tracker'!$A$97,'PV SUPPLY DATA'!$Y:$Y,V$1,'PV SUPPLY DATA'!$AQ:$AQ,"other")+SUMIFS('ESS SUPPLY DATA'!$U:$U,'ESS SUPPLY DATA'!$AF:$AF,'CT capacity tracker'!$B134,'ESS SUPPLY DATA'!$AE:$AE,'CT capacity tracker'!$A$97,'ESS SUPPLY DATA'!$W:$W,'CT capacity tracker'!V$1,'ESS SUPPLY DATA'!$AO:$AO,"cosco")+SUMIFS('ESS SUPPLY DATA'!$U:$U,'ESS SUPPLY DATA'!$AF:$AF,'CT capacity tracker'!$B134,'ESS SUPPLY DATA'!$AE:$AE,'CT capacity tracker'!$A$97,'ESS SUPPLY DATA'!$W:$W,'CT capacity tracker'!V$1,'ESS SUPPLY DATA'!$AO:$AO,"other")</f>
        <v>0</v>
      </c>
      <c r="W137" s="504">
        <f>SUMIFS('PV SUPPLY DATA'!$X:$X,'PV SUPPLY DATA'!$AH:$AH,'CT capacity tracker'!$B134,'PV SUPPLY DATA'!$AG:$AG,'CT capacity tracker'!$A$97,'PV SUPPLY DATA'!$Y:$Y,W$1,'PV SUPPLY DATA'!$AQ:$AQ,"cosco")+SUMIFS('PV SUPPLY DATA'!$X:$X,'PV SUPPLY DATA'!$AH:$AH,'CT capacity tracker'!$B134,'PV SUPPLY DATA'!$AG:$AG,'CT capacity tracker'!$A$97,'PV SUPPLY DATA'!$Y:$Y,W$1,'PV SUPPLY DATA'!$AQ:$AQ,"other")+SUMIFS('ESS SUPPLY DATA'!$U:$U,'ESS SUPPLY DATA'!$AF:$AF,'CT capacity tracker'!$B134,'ESS SUPPLY DATA'!$AE:$AE,'CT capacity tracker'!$A$97,'ESS SUPPLY DATA'!$W:$W,'CT capacity tracker'!W$1,'ESS SUPPLY DATA'!$AO:$AO,"cosco")+SUMIFS('ESS SUPPLY DATA'!$U:$U,'ESS SUPPLY DATA'!$AF:$AF,'CT capacity tracker'!$B134,'ESS SUPPLY DATA'!$AE:$AE,'CT capacity tracker'!$A$97,'ESS SUPPLY DATA'!$W:$W,'CT capacity tracker'!W$1,'ESS SUPPLY DATA'!$AO:$AO,"other")</f>
        <v>0</v>
      </c>
      <c r="X137" s="504">
        <f>SUMIFS('PV SUPPLY DATA'!$X:$X,'PV SUPPLY DATA'!$AH:$AH,'CT capacity tracker'!$B134,'PV SUPPLY DATA'!$AG:$AG,'CT capacity tracker'!$A$97,'PV SUPPLY DATA'!$Y:$Y,X$1,'PV SUPPLY DATA'!$AQ:$AQ,"cosco")+SUMIFS('PV SUPPLY DATA'!$X:$X,'PV SUPPLY DATA'!$AH:$AH,'CT capacity tracker'!$B134,'PV SUPPLY DATA'!$AG:$AG,'CT capacity tracker'!$A$97,'PV SUPPLY DATA'!$Y:$Y,X$1,'PV SUPPLY DATA'!$AQ:$AQ,"other")+SUMIFS('ESS SUPPLY DATA'!$U:$U,'ESS SUPPLY DATA'!$AF:$AF,'CT capacity tracker'!$B134,'ESS SUPPLY DATA'!$AE:$AE,'CT capacity tracker'!$A$97,'ESS SUPPLY DATA'!$W:$W,'CT capacity tracker'!X$1,'ESS SUPPLY DATA'!$AO:$AO,"cosco")+SUMIFS('ESS SUPPLY DATA'!$U:$U,'ESS SUPPLY DATA'!$AF:$AF,'CT capacity tracker'!$B134,'ESS SUPPLY DATA'!$AE:$AE,'CT capacity tracker'!$A$97,'ESS SUPPLY DATA'!$W:$W,'CT capacity tracker'!X$1,'ESS SUPPLY DATA'!$AO:$AO,"other")</f>
        <v>0</v>
      </c>
      <c r="Y137" s="504">
        <f>SUMIFS('PV SUPPLY DATA'!$X:$X,'PV SUPPLY DATA'!$AH:$AH,'CT capacity tracker'!$B134,'PV SUPPLY DATA'!$AG:$AG,'CT capacity tracker'!$A$97,'PV SUPPLY DATA'!$Y:$Y,Y$1,'PV SUPPLY DATA'!$AQ:$AQ,"cosco")+SUMIFS('PV SUPPLY DATA'!$X:$X,'PV SUPPLY DATA'!$AH:$AH,'CT capacity tracker'!$B134,'PV SUPPLY DATA'!$AG:$AG,'CT capacity tracker'!$A$97,'PV SUPPLY DATA'!$Y:$Y,Y$1,'PV SUPPLY DATA'!$AQ:$AQ,"other")+SUMIFS('ESS SUPPLY DATA'!$U:$U,'ESS SUPPLY DATA'!$AF:$AF,'CT capacity tracker'!$B134,'ESS SUPPLY DATA'!$AE:$AE,'CT capacity tracker'!$A$97,'ESS SUPPLY DATA'!$W:$W,'CT capacity tracker'!Y$1,'ESS SUPPLY DATA'!$AO:$AO,"cosco")+SUMIFS('ESS SUPPLY DATA'!$U:$U,'ESS SUPPLY DATA'!$AF:$AF,'CT capacity tracker'!$B134,'ESS SUPPLY DATA'!$AE:$AE,'CT capacity tracker'!$A$97,'ESS SUPPLY DATA'!$W:$W,'CT capacity tracker'!Y$1,'ESS SUPPLY DATA'!$AO:$AO,"other")</f>
        <v>0</v>
      </c>
      <c r="Z137" s="504">
        <f>SUMIFS('PV SUPPLY DATA'!$X:$X,'PV SUPPLY DATA'!$AH:$AH,'CT capacity tracker'!$B134,'PV SUPPLY DATA'!$AG:$AG,'CT capacity tracker'!$A$97,'PV SUPPLY DATA'!$Y:$Y,Z$1,'PV SUPPLY DATA'!$AQ:$AQ,"cosco")+SUMIFS('PV SUPPLY DATA'!$X:$X,'PV SUPPLY DATA'!$AH:$AH,'CT capacity tracker'!$B134,'PV SUPPLY DATA'!$AG:$AG,'CT capacity tracker'!$A$97,'PV SUPPLY DATA'!$Y:$Y,Z$1,'PV SUPPLY DATA'!$AQ:$AQ,"other")+SUMIFS('ESS SUPPLY DATA'!$U:$U,'ESS SUPPLY DATA'!$AF:$AF,'CT capacity tracker'!$B134,'ESS SUPPLY DATA'!$AE:$AE,'CT capacity tracker'!$A$97,'ESS SUPPLY DATA'!$W:$W,'CT capacity tracker'!Z$1,'ESS SUPPLY DATA'!$AO:$AO,"cosco")+SUMIFS('ESS SUPPLY DATA'!$U:$U,'ESS SUPPLY DATA'!$AF:$AF,'CT capacity tracker'!$B134,'ESS SUPPLY DATA'!$AE:$AE,'CT capacity tracker'!$A$97,'ESS SUPPLY DATA'!$W:$W,'CT capacity tracker'!Z$1,'ESS SUPPLY DATA'!$AO:$AO,"other")</f>
        <v>0</v>
      </c>
      <c r="AA137" s="504">
        <f>SUMIFS('PV SUPPLY DATA'!$X:$X,'PV SUPPLY DATA'!$AH:$AH,'CT capacity tracker'!$B134,'PV SUPPLY DATA'!$AG:$AG,'CT capacity tracker'!$A$97,'PV SUPPLY DATA'!$Y:$Y,AA$1,'PV SUPPLY DATA'!$AQ:$AQ,"cosco")+SUMIFS('PV SUPPLY DATA'!$X:$X,'PV SUPPLY DATA'!$AH:$AH,'CT capacity tracker'!$B134,'PV SUPPLY DATA'!$AG:$AG,'CT capacity tracker'!$A$97,'PV SUPPLY DATA'!$Y:$Y,AA$1,'PV SUPPLY DATA'!$AQ:$AQ,"other")+SUMIFS('ESS SUPPLY DATA'!$U:$U,'ESS SUPPLY DATA'!$AF:$AF,'CT capacity tracker'!$B134,'ESS SUPPLY DATA'!$AE:$AE,'CT capacity tracker'!$A$97,'ESS SUPPLY DATA'!$W:$W,'CT capacity tracker'!AA$1,'ESS SUPPLY DATA'!$AO:$AO,"cosco")+SUMIFS('ESS SUPPLY DATA'!$U:$U,'ESS SUPPLY DATA'!$AF:$AF,'CT capacity tracker'!$B134,'ESS SUPPLY DATA'!$AE:$AE,'CT capacity tracker'!$A$97,'ESS SUPPLY DATA'!$W:$W,'CT capacity tracker'!AA$1,'ESS SUPPLY DATA'!$AO:$AO,"other")</f>
        <v>1</v>
      </c>
      <c r="AB137" s="504">
        <f>SUMIFS('PV SUPPLY DATA'!$X:$X,'PV SUPPLY DATA'!$AH:$AH,'CT capacity tracker'!$B134,'PV SUPPLY DATA'!$AG:$AG,'CT capacity tracker'!$A$97,'PV SUPPLY DATA'!$Y:$Y,AB$1,'PV SUPPLY DATA'!$AQ:$AQ,"cosco")+SUMIFS('PV SUPPLY DATA'!$X:$X,'PV SUPPLY DATA'!$AH:$AH,'CT capacity tracker'!$B134,'PV SUPPLY DATA'!$AG:$AG,'CT capacity tracker'!$A$97,'PV SUPPLY DATA'!$Y:$Y,AB$1,'PV SUPPLY DATA'!$AQ:$AQ,"other")+SUMIFS('ESS SUPPLY DATA'!$U:$U,'ESS SUPPLY DATA'!$AF:$AF,'CT capacity tracker'!$B134,'ESS SUPPLY DATA'!$AE:$AE,'CT capacity tracker'!$A$97,'ESS SUPPLY DATA'!$W:$W,'CT capacity tracker'!AB$1,'ESS SUPPLY DATA'!$AO:$AO,"cosco")+SUMIFS('ESS SUPPLY DATA'!$U:$U,'ESS SUPPLY DATA'!$AF:$AF,'CT capacity tracker'!$B134,'ESS SUPPLY DATA'!$AE:$AE,'CT capacity tracker'!$A$97,'ESS SUPPLY DATA'!$W:$W,'CT capacity tracker'!AB$1,'ESS SUPPLY DATA'!$AO:$AO,"other")</f>
        <v>2</v>
      </c>
      <c r="AC137" s="504">
        <f>SUMIFS('PV SUPPLY DATA'!$X:$X,'PV SUPPLY DATA'!$AH:$AH,'CT capacity tracker'!$B134,'PV SUPPLY DATA'!$AG:$AG,'CT capacity tracker'!$A$97,'PV SUPPLY DATA'!$Y:$Y,AC$1,'PV SUPPLY DATA'!$AQ:$AQ,"cosco")+SUMIFS('PV SUPPLY DATA'!$X:$X,'PV SUPPLY DATA'!$AH:$AH,'CT capacity tracker'!$B134,'PV SUPPLY DATA'!$AG:$AG,'CT capacity tracker'!$A$97,'PV SUPPLY DATA'!$Y:$Y,AC$1,'PV SUPPLY DATA'!$AQ:$AQ,"other")+SUMIFS('ESS SUPPLY DATA'!$U:$U,'ESS SUPPLY DATA'!$AF:$AF,'CT capacity tracker'!$B134,'ESS SUPPLY DATA'!$AE:$AE,'CT capacity tracker'!$A$97,'ESS SUPPLY DATA'!$W:$W,'CT capacity tracker'!AC$1,'ESS SUPPLY DATA'!$AO:$AO,"cosco")+SUMIFS('ESS SUPPLY DATA'!$U:$U,'ESS SUPPLY DATA'!$AF:$AF,'CT capacity tracker'!$B134,'ESS SUPPLY DATA'!$AE:$AE,'CT capacity tracker'!$A$97,'ESS SUPPLY DATA'!$W:$W,'CT capacity tracker'!AC$1,'ESS SUPPLY DATA'!$AO:$AO,"other")</f>
        <v>0</v>
      </c>
      <c r="AD137" s="504">
        <f>SUMIFS('PV SUPPLY DATA'!$X:$X,'PV SUPPLY DATA'!$AH:$AH,'CT capacity tracker'!$B134,'PV SUPPLY DATA'!$AG:$AG,'CT capacity tracker'!$A$97,'PV SUPPLY DATA'!$Y:$Y,AD$1,'PV SUPPLY DATA'!$AQ:$AQ,"cosco")+SUMIFS('PV SUPPLY DATA'!$X:$X,'PV SUPPLY DATA'!$AH:$AH,'CT capacity tracker'!$B134,'PV SUPPLY DATA'!$AG:$AG,'CT capacity tracker'!$A$97,'PV SUPPLY DATA'!$Y:$Y,AD$1,'PV SUPPLY DATA'!$AQ:$AQ,"other")+SUMIFS('ESS SUPPLY DATA'!$U:$U,'ESS SUPPLY DATA'!$AF:$AF,'CT capacity tracker'!$B134,'ESS SUPPLY DATA'!$AE:$AE,'CT capacity tracker'!$A$97,'ESS SUPPLY DATA'!$W:$W,'CT capacity tracker'!AD$1,'ESS SUPPLY DATA'!$AO:$AO,"cosco")+SUMIFS('ESS SUPPLY DATA'!$U:$U,'ESS SUPPLY DATA'!$AF:$AF,'CT capacity tracker'!$B134,'ESS SUPPLY DATA'!$AE:$AE,'CT capacity tracker'!$A$97,'ESS SUPPLY DATA'!$W:$W,'CT capacity tracker'!AD$1,'ESS SUPPLY DATA'!$AO:$AO,"other")</f>
        <v>0</v>
      </c>
      <c r="AE137" s="504">
        <f>SUMIFS('PV SUPPLY DATA'!$X:$X,'PV SUPPLY DATA'!$AH:$AH,'CT capacity tracker'!$B134,'PV SUPPLY DATA'!$AG:$AG,'CT capacity tracker'!$A$97,'PV SUPPLY DATA'!$Y:$Y,AE$1,'PV SUPPLY DATA'!$AQ:$AQ,"cosco")+SUMIFS('PV SUPPLY DATA'!$X:$X,'PV SUPPLY DATA'!$AH:$AH,'CT capacity tracker'!$B134,'PV SUPPLY DATA'!$AG:$AG,'CT capacity tracker'!$A$97,'PV SUPPLY DATA'!$Y:$Y,AE$1,'PV SUPPLY DATA'!$AQ:$AQ,"other")+SUMIFS('ESS SUPPLY DATA'!$U:$U,'ESS SUPPLY DATA'!$AF:$AF,'CT capacity tracker'!$B134,'ESS SUPPLY DATA'!$AE:$AE,'CT capacity tracker'!$A$97,'ESS SUPPLY DATA'!$W:$W,'CT capacity tracker'!AE$1,'ESS SUPPLY DATA'!$AO:$AO,"cosco")+SUMIFS('ESS SUPPLY DATA'!$U:$U,'ESS SUPPLY DATA'!$AF:$AF,'CT capacity tracker'!$B134,'ESS SUPPLY DATA'!$AE:$AE,'CT capacity tracker'!$A$97,'ESS SUPPLY DATA'!$W:$W,'CT capacity tracker'!AE$1,'ESS SUPPLY DATA'!$AO:$AO,"other")</f>
        <v>0</v>
      </c>
      <c r="AF137" s="504">
        <f>SUMIFS('PV SUPPLY DATA'!$X:$X,'PV SUPPLY DATA'!$AH:$AH,'CT capacity tracker'!$B134,'PV SUPPLY DATA'!$AG:$AG,'CT capacity tracker'!$A$97,'PV SUPPLY DATA'!$Y:$Y,AF$1,'PV SUPPLY DATA'!$AQ:$AQ,"cosco")+SUMIFS('PV SUPPLY DATA'!$X:$X,'PV SUPPLY DATA'!$AH:$AH,'CT capacity tracker'!$B134,'PV SUPPLY DATA'!$AG:$AG,'CT capacity tracker'!$A$97,'PV SUPPLY DATA'!$Y:$Y,AF$1,'PV SUPPLY DATA'!$AQ:$AQ,"other")+SUMIFS('ESS SUPPLY DATA'!$U:$U,'ESS SUPPLY DATA'!$AF:$AF,'CT capacity tracker'!$B134,'ESS SUPPLY DATA'!$AE:$AE,'CT capacity tracker'!$A$97,'ESS SUPPLY DATA'!$W:$W,'CT capacity tracker'!AF$1,'ESS SUPPLY DATA'!$AO:$AO,"cosco")+SUMIFS('ESS SUPPLY DATA'!$U:$U,'ESS SUPPLY DATA'!$AF:$AF,'CT capacity tracker'!$B134,'ESS SUPPLY DATA'!$AE:$AE,'CT capacity tracker'!$A$97,'ESS SUPPLY DATA'!$W:$W,'CT capacity tracker'!AF$1,'ESS SUPPLY DATA'!$AO:$AO,"other")</f>
        <v>0</v>
      </c>
      <c r="AG137" s="504">
        <f>SUMIFS('PV SUPPLY DATA'!$X:$X,'PV SUPPLY DATA'!$AH:$AH,'CT capacity tracker'!$B134,'PV SUPPLY DATA'!$AG:$AG,'CT capacity tracker'!$A$97,'PV SUPPLY DATA'!$Y:$Y,AG$1,'PV SUPPLY DATA'!$AQ:$AQ,"cosco")+SUMIFS('PV SUPPLY DATA'!$X:$X,'PV SUPPLY DATA'!$AH:$AH,'CT capacity tracker'!$B134,'PV SUPPLY DATA'!$AG:$AG,'CT capacity tracker'!$A$97,'PV SUPPLY DATA'!$Y:$Y,AG$1,'PV SUPPLY DATA'!$AQ:$AQ,"other")+SUMIFS('ESS SUPPLY DATA'!$U:$U,'ESS SUPPLY DATA'!$AF:$AF,'CT capacity tracker'!$B134,'ESS SUPPLY DATA'!$AE:$AE,'CT capacity tracker'!$A$97,'ESS SUPPLY DATA'!$W:$W,'CT capacity tracker'!AG$1,'ESS SUPPLY DATA'!$AO:$AO,"cosco")+SUMIFS('ESS SUPPLY DATA'!$U:$U,'ESS SUPPLY DATA'!$AF:$AF,'CT capacity tracker'!$B134,'ESS SUPPLY DATA'!$AE:$AE,'CT capacity tracker'!$A$97,'ESS SUPPLY DATA'!$W:$W,'CT capacity tracker'!AG$1,'ESS SUPPLY DATA'!$AO:$AO,"other")</f>
        <v>0</v>
      </c>
      <c r="AH137" s="504">
        <f>SUMIFS('PV SUPPLY DATA'!$X:$X,'PV SUPPLY DATA'!$AH:$AH,'CT capacity tracker'!$B134,'PV SUPPLY DATA'!$AG:$AG,'CT capacity tracker'!$A$97,'PV SUPPLY DATA'!$Y:$Y,AH$1,'PV SUPPLY DATA'!$AQ:$AQ,"cosco")+SUMIFS('PV SUPPLY DATA'!$X:$X,'PV SUPPLY DATA'!$AH:$AH,'CT capacity tracker'!$B134,'PV SUPPLY DATA'!$AG:$AG,'CT capacity tracker'!$A$97,'PV SUPPLY DATA'!$Y:$Y,AH$1,'PV SUPPLY DATA'!$AQ:$AQ,"other")+SUMIFS('ESS SUPPLY DATA'!$U:$U,'ESS SUPPLY DATA'!$AF:$AF,'CT capacity tracker'!$B134,'ESS SUPPLY DATA'!$AE:$AE,'CT capacity tracker'!$A$97,'ESS SUPPLY DATA'!$W:$W,'CT capacity tracker'!AH$1,'ESS SUPPLY DATA'!$AO:$AO,"cosco")+SUMIFS('ESS SUPPLY DATA'!$U:$U,'ESS SUPPLY DATA'!$AF:$AF,'CT capacity tracker'!$B134,'ESS SUPPLY DATA'!$AE:$AE,'CT capacity tracker'!$A$97,'ESS SUPPLY DATA'!$W:$W,'CT capacity tracker'!AH$1,'ESS SUPPLY DATA'!$AO:$AO,"other")</f>
        <v>0</v>
      </c>
      <c r="AI137" s="504">
        <f>SUMIFS('PV SUPPLY DATA'!$X:$X,'PV SUPPLY DATA'!$AH:$AH,'CT capacity tracker'!$B134,'PV SUPPLY DATA'!$AG:$AG,'CT capacity tracker'!$A$97,'PV SUPPLY DATA'!$Y:$Y,AI$1,'PV SUPPLY DATA'!$AQ:$AQ,"cosco")+SUMIFS('PV SUPPLY DATA'!$X:$X,'PV SUPPLY DATA'!$AH:$AH,'CT capacity tracker'!$B134,'PV SUPPLY DATA'!$AG:$AG,'CT capacity tracker'!$A$97,'PV SUPPLY DATA'!$Y:$Y,AI$1,'PV SUPPLY DATA'!$AQ:$AQ,"other")+SUMIFS('ESS SUPPLY DATA'!$U:$U,'ESS SUPPLY DATA'!$AF:$AF,'CT capacity tracker'!$B134,'ESS SUPPLY DATA'!$AE:$AE,'CT capacity tracker'!$A$97,'ESS SUPPLY DATA'!$W:$W,'CT capacity tracker'!AI$1,'ESS SUPPLY DATA'!$AO:$AO,"cosco")+SUMIFS('ESS SUPPLY DATA'!$U:$U,'ESS SUPPLY DATA'!$AF:$AF,'CT capacity tracker'!$B134,'ESS SUPPLY DATA'!$AE:$AE,'CT capacity tracker'!$A$97,'ESS SUPPLY DATA'!$W:$W,'CT capacity tracker'!AI$1,'ESS SUPPLY DATA'!$AO:$AO,"other")</f>
        <v>0</v>
      </c>
      <c r="AJ137" s="504">
        <f>SUMIFS('PV SUPPLY DATA'!$X:$X,'PV SUPPLY DATA'!$AH:$AH,'CT capacity tracker'!$B134,'PV SUPPLY DATA'!$AG:$AG,'CT capacity tracker'!$A$97,'PV SUPPLY DATA'!$Y:$Y,AJ$1,'PV SUPPLY DATA'!$AQ:$AQ,"cosco")+SUMIFS('PV SUPPLY DATA'!$X:$X,'PV SUPPLY DATA'!$AH:$AH,'CT capacity tracker'!$B134,'PV SUPPLY DATA'!$AG:$AG,'CT capacity tracker'!$A$97,'PV SUPPLY DATA'!$Y:$Y,AJ$1,'PV SUPPLY DATA'!$AQ:$AQ,"other")+SUMIFS('ESS SUPPLY DATA'!$U:$U,'ESS SUPPLY DATA'!$AF:$AF,'CT capacity tracker'!$B134,'ESS SUPPLY DATA'!$AE:$AE,'CT capacity tracker'!$A$97,'ESS SUPPLY DATA'!$W:$W,'CT capacity tracker'!AJ$1,'ESS SUPPLY DATA'!$AO:$AO,"cosco")+SUMIFS('ESS SUPPLY DATA'!$U:$U,'ESS SUPPLY DATA'!$AF:$AF,'CT capacity tracker'!$B134,'ESS SUPPLY DATA'!$AE:$AE,'CT capacity tracker'!$A$97,'ESS SUPPLY DATA'!$W:$W,'CT capacity tracker'!AJ$1,'ESS SUPPLY DATA'!$AO:$AO,"other")</f>
        <v>0</v>
      </c>
      <c r="AK137" s="511"/>
      <c r="AL137" s="511"/>
      <c r="AM137" s="696">
        <f>SUM(E137:X137)</f>
        <v>2</v>
      </c>
      <c r="AN137" s="503"/>
      <c r="AO137" s="506"/>
      <c r="AP137" s="506"/>
      <c r="AQ137" s="506"/>
      <c r="AR137" s="506"/>
      <c r="AS137" s="506"/>
      <c r="AT137" s="506"/>
    </row>
    <row r="138" spans="1:46" ht="14.25" customHeight="1">
      <c r="A138" s="1510" t="s">
        <v>4411</v>
      </c>
      <c r="B138" s="1511"/>
      <c r="C138" s="514" t="s">
        <v>4400</v>
      </c>
      <c r="D138" s="515">
        <f t="shared" ref="D138:X138" si="106">D122+D126++D130+D134</f>
        <v>0</v>
      </c>
      <c r="E138" s="515">
        <f t="shared" si="106"/>
        <v>0</v>
      </c>
      <c r="F138" s="515">
        <f t="shared" si="106"/>
        <v>0</v>
      </c>
      <c r="G138" s="515">
        <f t="shared" si="106"/>
        <v>0</v>
      </c>
      <c r="H138" s="515">
        <f t="shared" si="106"/>
        <v>0</v>
      </c>
      <c r="I138" s="515">
        <f t="shared" si="106"/>
        <v>0</v>
      </c>
      <c r="J138" s="515">
        <f t="shared" si="106"/>
        <v>0</v>
      </c>
      <c r="K138" s="515">
        <f t="shared" si="106"/>
        <v>0</v>
      </c>
      <c r="L138" s="515">
        <f t="shared" si="106"/>
        <v>0</v>
      </c>
      <c r="M138" s="515">
        <f t="shared" si="106"/>
        <v>1</v>
      </c>
      <c r="N138" s="515">
        <f t="shared" si="106"/>
        <v>6</v>
      </c>
      <c r="O138" s="515">
        <f>O122+O126++O130+O134</f>
        <v>3</v>
      </c>
      <c r="P138" s="515">
        <f t="shared" si="106"/>
        <v>2</v>
      </c>
      <c r="Q138" s="515">
        <f t="shared" si="106"/>
        <v>2</v>
      </c>
      <c r="R138" s="515">
        <f t="shared" si="106"/>
        <v>4</v>
      </c>
      <c r="S138" s="515">
        <f t="shared" si="106"/>
        <v>2</v>
      </c>
      <c r="T138" s="515">
        <f t="shared" si="106"/>
        <v>1</v>
      </c>
      <c r="U138" s="515">
        <f t="shared" si="106"/>
        <v>1</v>
      </c>
      <c r="V138" s="515">
        <f t="shared" si="106"/>
        <v>0</v>
      </c>
      <c r="W138" s="515">
        <f t="shared" si="106"/>
        <v>2</v>
      </c>
      <c r="X138" s="515">
        <f t="shared" si="106"/>
        <v>3</v>
      </c>
      <c r="Y138" s="515">
        <f t="shared" ref="Y138:AB141" si="107">Y122+Y126++Y130+Y134</f>
        <v>2</v>
      </c>
      <c r="Z138" s="515">
        <f t="shared" si="107"/>
        <v>4</v>
      </c>
      <c r="AA138" s="515">
        <f t="shared" si="107"/>
        <v>1</v>
      </c>
      <c r="AB138" s="515">
        <f t="shared" si="107"/>
        <v>7</v>
      </c>
      <c r="AC138" s="515">
        <f t="shared" ref="AC138:AJ138" si="108">AC122+AC126++AC130+AC134</f>
        <v>0</v>
      </c>
      <c r="AD138" s="515">
        <f t="shared" si="108"/>
        <v>0</v>
      </c>
      <c r="AE138" s="515">
        <f t="shared" si="108"/>
        <v>0</v>
      </c>
      <c r="AF138" s="515">
        <f t="shared" si="108"/>
        <v>0</v>
      </c>
      <c r="AG138" s="515">
        <f t="shared" si="108"/>
        <v>0</v>
      </c>
      <c r="AH138" s="515">
        <f t="shared" si="108"/>
        <v>0</v>
      </c>
      <c r="AI138" s="515">
        <f t="shared" si="108"/>
        <v>0</v>
      </c>
      <c r="AJ138" s="515">
        <f t="shared" si="108"/>
        <v>0</v>
      </c>
      <c r="AK138" s="505" t="s">
        <v>197</v>
      </c>
      <c r="AL138" s="505" t="s">
        <v>197</v>
      </c>
      <c r="AM138" s="697">
        <f>SUM(E138:X138)</f>
        <v>27</v>
      </c>
      <c r="AN138" s="503" t="s">
        <v>197</v>
      </c>
      <c r="AO138" s="696">
        <f>SUM(T138:X138)</f>
        <v>7</v>
      </c>
      <c r="AP138" s="506">
        <f t="shared" si="77"/>
        <v>0</v>
      </c>
      <c r="AQ138" s="506"/>
      <c r="AR138" s="506"/>
      <c r="AS138" s="506"/>
      <c r="AT138" s="506"/>
    </row>
    <row r="139" spans="1:46" ht="13">
      <c r="A139" s="1512"/>
      <c r="B139" s="1513"/>
      <c r="C139" s="516" t="s">
        <v>4401</v>
      </c>
      <c r="D139" s="515"/>
      <c r="E139" s="515">
        <f t="shared" ref="E139:X139" si="109">E123+E127++E131+E135</f>
        <v>0</v>
      </c>
      <c r="F139" s="515">
        <f t="shared" si="109"/>
        <v>0</v>
      </c>
      <c r="G139" s="515">
        <f t="shared" si="109"/>
        <v>0</v>
      </c>
      <c r="H139" s="515">
        <f t="shared" si="109"/>
        <v>0</v>
      </c>
      <c r="I139" s="515">
        <f t="shared" si="109"/>
        <v>0</v>
      </c>
      <c r="J139" s="515">
        <f t="shared" si="109"/>
        <v>0</v>
      </c>
      <c r="K139" s="515">
        <f t="shared" si="109"/>
        <v>0</v>
      </c>
      <c r="L139" s="515">
        <f t="shared" si="109"/>
        <v>0</v>
      </c>
      <c r="M139" s="515">
        <f t="shared" si="109"/>
        <v>2</v>
      </c>
      <c r="N139" s="515">
        <f t="shared" si="109"/>
        <v>2</v>
      </c>
      <c r="O139" s="515">
        <f>O123+O127++O131+O135</f>
        <v>3</v>
      </c>
      <c r="P139" s="515">
        <f t="shared" si="109"/>
        <v>2</v>
      </c>
      <c r="Q139" s="515">
        <f t="shared" si="109"/>
        <v>3</v>
      </c>
      <c r="R139" s="515">
        <f t="shared" si="109"/>
        <v>2</v>
      </c>
      <c r="S139" s="515">
        <f t="shared" si="109"/>
        <v>2</v>
      </c>
      <c r="T139" s="515">
        <f>T123+T127++T131+T135</f>
        <v>1</v>
      </c>
      <c r="U139" s="515">
        <f t="shared" si="109"/>
        <v>3</v>
      </c>
      <c r="V139" s="515">
        <f t="shared" si="109"/>
        <v>3</v>
      </c>
      <c r="W139" s="515">
        <f>W123+W127++W131+W135</f>
        <v>3</v>
      </c>
      <c r="X139" s="515">
        <f t="shared" si="109"/>
        <v>1</v>
      </c>
      <c r="Y139" s="515">
        <f t="shared" si="107"/>
        <v>2</v>
      </c>
      <c r="Z139" s="515">
        <f t="shared" si="107"/>
        <v>3</v>
      </c>
      <c r="AA139" s="515">
        <f t="shared" si="107"/>
        <v>3</v>
      </c>
      <c r="AB139" s="515">
        <f t="shared" si="107"/>
        <v>2</v>
      </c>
      <c r="AC139" s="515"/>
      <c r="AD139" s="515"/>
      <c r="AE139" s="515"/>
      <c r="AF139" s="515"/>
      <c r="AG139" s="515"/>
      <c r="AH139" s="515"/>
      <c r="AI139" s="515"/>
      <c r="AJ139" s="515"/>
      <c r="AK139" s="505" t="s">
        <v>197</v>
      </c>
      <c r="AL139" s="505" t="s">
        <v>197</v>
      </c>
      <c r="AM139" s="505"/>
      <c r="AN139" s="503" t="s">
        <v>197</v>
      </c>
      <c r="AO139" s="506"/>
      <c r="AP139" s="506">
        <f t="shared" si="77"/>
        <v>0</v>
      </c>
      <c r="AQ139" s="506"/>
      <c r="AR139" s="506"/>
      <c r="AS139" s="506"/>
      <c r="AT139" s="506"/>
    </row>
    <row r="140" spans="1:46" ht="13">
      <c r="A140" s="1512"/>
      <c r="B140" s="1513"/>
      <c r="C140" s="521" t="s">
        <v>4402</v>
      </c>
      <c r="D140" s="523"/>
      <c r="E140" s="523">
        <f t="shared" ref="E140:S140" si="110">E124+E128++E132+E136</f>
        <v>0</v>
      </c>
      <c r="F140" s="523">
        <f t="shared" si="110"/>
        <v>0</v>
      </c>
      <c r="G140" s="523">
        <f t="shared" si="110"/>
        <v>0</v>
      </c>
      <c r="H140" s="523">
        <f t="shared" si="110"/>
        <v>0</v>
      </c>
      <c r="I140" s="523">
        <f t="shared" si="110"/>
        <v>0</v>
      </c>
      <c r="J140" s="523">
        <f t="shared" si="110"/>
        <v>0</v>
      </c>
      <c r="K140" s="523">
        <f t="shared" si="110"/>
        <v>0</v>
      </c>
      <c r="L140" s="523">
        <f t="shared" si="110"/>
        <v>0</v>
      </c>
      <c r="M140" s="523">
        <f t="shared" si="110"/>
        <v>1</v>
      </c>
      <c r="N140" s="523">
        <f t="shared" si="110"/>
        <v>-4</v>
      </c>
      <c r="O140" s="523">
        <f t="shared" si="110"/>
        <v>0</v>
      </c>
      <c r="P140" s="523">
        <f t="shared" si="110"/>
        <v>0</v>
      </c>
      <c r="Q140" s="523">
        <f t="shared" si="110"/>
        <v>1</v>
      </c>
      <c r="R140" s="523">
        <f t="shared" si="110"/>
        <v>-2</v>
      </c>
      <c r="S140" s="523">
        <f t="shared" si="110"/>
        <v>0</v>
      </c>
      <c r="T140" s="523">
        <f>T124+T128++T132+T136</f>
        <v>0</v>
      </c>
      <c r="U140" s="523">
        <f t="shared" ref="U140:X140" si="111">U124+U128++U132+U136</f>
        <v>2</v>
      </c>
      <c r="V140" s="523">
        <f t="shared" si="111"/>
        <v>3</v>
      </c>
      <c r="W140" s="523">
        <f t="shared" si="111"/>
        <v>1</v>
      </c>
      <c r="X140" s="523">
        <f t="shared" si="111"/>
        <v>-2</v>
      </c>
      <c r="Y140" s="523">
        <f t="shared" si="107"/>
        <v>0</v>
      </c>
      <c r="Z140" s="523">
        <f t="shared" si="107"/>
        <v>-1</v>
      </c>
      <c r="AA140" s="523">
        <f t="shared" si="107"/>
        <v>2</v>
      </c>
      <c r="AB140" s="523">
        <f t="shared" si="107"/>
        <v>-5</v>
      </c>
      <c r="AC140" s="523"/>
      <c r="AD140" s="523"/>
      <c r="AE140" s="523"/>
      <c r="AF140" s="523"/>
      <c r="AG140" s="523"/>
      <c r="AH140" s="523"/>
      <c r="AI140" s="523"/>
      <c r="AJ140" s="523"/>
      <c r="AK140" s="511">
        <f>SUMIF($E140:$X140,"&gt;0")</f>
        <v>8</v>
      </c>
      <c r="AL140" s="511">
        <f>SUMIF($E140:$X140,"&lt;0")</f>
        <v>-8</v>
      </c>
      <c r="AM140" s="511"/>
      <c r="AN140" s="503" t="s">
        <v>197</v>
      </c>
      <c r="AO140" s="506"/>
      <c r="AP140" s="517">
        <f t="shared" si="77"/>
        <v>0</v>
      </c>
      <c r="AQ140" s="506"/>
      <c r="AR140" s="506"/>
      <c r="AS140" s="506"/>
      <c r="AT140" s="506"/>
    </row>
    <row r="141" spans="1:46" ht="13">
      <c r="A141" s="1514"/>
      <c r="B141" s="1515"/>
      <c r="C141" s="514" t="s">
        <v>4403</v>
      </c>
      <c r="D141" s="523"/>
      <c r="E141" s="515">
        <f>E125+E129++E133+E137</f>
        <v>0</v>
      </c>
      <c r="F141" s="515">
        <f t="shared" ref="F141:X141" si="112">F125+F129++F133+F137</f>
        <v>0</v>
      </c>
      <c r="G141" s="515">
        <f t="shared" si="112"/>
        <v>0</v>
      </c>
      <c r="H141" s="515">
        <f t="shared" si="112"/>
        <v>0</v>
      </c>
      <c r="I141" s="515">
        <f t="shared" si="112"/>
        <v>0</v>
      </c>
      <c r="J141" s="515">
        <f t="shared" si="112"/>
        <v>0</v>
      </c>
      <c r="K141" s="515">
        <f t="shared" si="112"/>
        <v>0</v>
      </c>
      <c r="L141" s="515">
        <f t="shared" si="112"/>
        <v>0</v>
      </c>
      <c r="M141" s="515">
        <f t="shared" si="112"/>
        <v>1</v>
      </c>
      <c r="N141" s="515">
        <f t="shared" si="112"/>
        <v>6</v>
      </c>
      <c r="O141" s="515">
        <f t="shared" si="112"/>
        <v>3</v>
      </c>
      <c r="P141" s="515">
        <f t="shared" si="112"/>
        <v>2</v>
      </c>
      <c r="Q141" s="515">
        <f t="shared" si="112"/>
        <v>2</v>
      </c>
      <c r="R141" s="515">
        <f t="shared" si="112"/>
        <v>4</v>
      </c>
      <c r="S141" s="515">
        <f t="shared" si="112"/>
        <v>2</v>
      </c>
      <c r="T141" s="515">
        <f t="shared" si="112"/>
        <v>1</v>
      </c>
      <c r="U141" s="515">
        <f t="shared" si="112"/>
        <v>1</v>
      </c>
      <c r="V141" s="515">
        <f t="shared" si="112"/>
        <v>0</v>
      </c>
      <c r="W141" s="515">
        <f t="shared" si="112"/>
        <v>2</v>
      </c>
      <c r="X141" s="515">
        <f t="shared" si="112"/>
        <v>3</v>
      </c>
      <c r="Y141" s="515">
        <f t="shared" si="107"/>
        <v>2</v>
      </c>
      <c r="Z141" s="515">
        <f t="shared" si="107"/>
        <v>4</v>
      </c>
      <c r="AA141" s="515">
        <f t="shared" si="107"/>
        <v>1</v>
      </c>
      <c r="AB141" s="515">
        <f t="shared" si="107"/>
        <v>7</v>
      </c>
      <c r="AC141" s="515">
        <f t="shared" ref="AC141:AJ141" si="113">AC125+AC129++AC133+AC137</f>
        <v>0</v>
      </c>
      <c r="AD141" s="515">
        <f t="shared" si="113"/>
        <v>0</v>
      </c>
      <c r="AE141" s="515">
        <f t="shared" si="113"/>
        <v>0</v>
      </c>
      <c r="AF141" s="515">
        <f t="shared" si="113"/>
        <v>0</v>
      </c>
      <c r="AG141" s="515">
        <f t="shared" si="113"/>
        <v>0</v>
      </c>
      <c r="AH141" s="515">
        <f t="shared" si="113"/>
        <v>0</v>
      </c>
      <c r="AI141" s="515">
        <f t="shared" si="113"/>
        <v>0</v>
      </c>
      <c r="AJ141" s="515">
        <f t="shared" si="113"/>
        <v>0</v>
      </c>
      <c r="AK141" s="511"/>
      <c r="AL141" s="511"/>
      <c r="AM141" s="697">
        <f>SUM(E141:X141)</f>
        <v>27</v>
      </c>
      <c r="AN141" s="503"/>
      <c r="AO141" s="696">
        <f>SUM(T141:W141)</f>
        <v>4</v>
      </c>
      <c r="AP141" s="693"/>
      <c r="AQ141" s="506"/>
      <c r="AR141" s="506"/>
      <c r="AS141" s="506"/>
      <c r="AT141" s="506"/>
    </row>
    <row r="142" spans="1:46" ht="13">
      <c r="A142" s="1509" t="s">
        <v>4398</v>
      </c>
      <c r="B142" s="1509"/>
      <c r="C142" s="503" t="s">
        <v>197</v>
      </c>
      <c r="D142" s="503"/>
      <c r="E142" s="508"/>
      <c r="F142" s="508"/>
      <c r="G142" s="508"/>
      <c r="H142" s="508"/>
      <c r="I142" s="508"/>
      <c r="J142" s="508"/>
      <c r="K142" s="508"/>
      <c r="L142" s="508"/>
      <c r="M142" s="508"/>
      <c r="N142" s="508"/>
      <c r="O142" s="508"/>
      <c r="P142" s="508"/>
      <c r="Q142" s="508"/>
      <c r="R142" s="508"/>
      <c r="S142" s="508"/>
      <c r="T142" s="508"/>
      <c r="U142" s="508"/>
      <c r="V142" s="508"/>
      <c r="W142" s="508"/>
      <c r="X142" s="508"/>
      <c r="Y142" s="508"/>
      <c r="Z142" s="508"/>
      <c r="AA142" s="508"/>
      <c r="AB142" s="508"/>
      <c r="AC142" s="508"/>
      <c r="AD142" s="508"/>
      <c r="AE142" s="508"/>
      <c r="AF142" s="508"/>
      <c r="AG142" s="508"/>
      <c r="AH142" s="508"/>
      <c r="AI142" s="508"/>
      <c r="AJ142" s="508"/>
      <c r="AK142" s="518" t="s">
        <v>197</v>
      </c>
      <c r="AL142" s="518" t="s">
        <v>197</v>
      </c>
      <c r="AM142" s="518"/>
      <c r="AN142" s="503" t="s">
        <v>197</v>
      </c>
      <c r="AO142" s="506"/>
      <c r="AP142" s="506">
        <f t="shared" si="77"/>
        <v>0</v>
      </c>
      <c r="AQ142" s="506"/>
      <c r="AR142" s="506"/>
      <c r="AS142" s="506"/>
      <c r="AT142" s="506"/>
    </row>
    <row r="154" spans="2:13" ht="13">
      <c r="B154" s="507" t="s">
        <v>4412</v>
      </c>
      <c r="G154" s="507">
        <f>40-9</f>
        <v>31</v>
      </c>
      <c r="H154" s="507">
        <v>30</v>
      </c>
      <c r="I154" s="507">
        <v>39</v>
      </c>
      <c r="J154" s="507">
        <v>20</v>
      </c>
      <c r="K154" s="507">
        <v>20</v>
      </c>
      <c r="L154" s="507">
        <v>20</v>
      </c>
      <c r="M154" s="507">
        <v>18</v>
      </c>
    </row>
    <row r="155" spans="2:13" ht="13">
      <c r="C155" s="507" t="s">
        <v>4413</v>
      </c>
      <c r="G155" s="507">
        <v>9</v>
      </c>
    </row>
    <row r="156" spans="2:13" ht="13"/>
    <row r="157" spans="2:13" ht="13">
      <c r="B157" s="507" t="s">
        <v>4414</v>
      </c>
      <c r="C157" s="507" t="s">
        <v>4415</v>
      </c>
      <c r="G157" s="507">
        <v>31</v>
      </c>
      <c r="H157" s="507">
        <v>19</v>
      </c>
      <c r="I157" s="507">
        <v>39</v>
      </c>
      <c r="J157" s="507">
        <v>20</v>
      </c>
      <c r="K157" s="507">
        <v>20</v>
      </c>
      <c r="L157" s="507">
        <v>20</v>
      </c>
      <c r="M157" s="507">
        <v>18</v>
      </c>
    </row>
  </sheetData>
  <autoFilter ref="A1:AP142" xr:uid="{B0E0EAF1-7E5F-41A9-BC03-4EEE1EDDD02F}"/>
  <mergeCells count="43">
    <mergeCell ref="A96:B96"/>
    <mergeCell ref="A72:B75"/>
    <mergeCell ref="B76:B79"/>
    <mergeCell ref="B80:B83"/>
    <mergeCell ref="B84:B87"/>
    <mergeCell ref="B88:B91"/>
    <mergeCell ref="A76:A91"/>
    <mergeCell ref="A92:B95"/>
    <mergeCell ref="B64:B67"/>
    <mergeCell ref="A52:A71"/>
    <mergeCell ref="B68:B71"/>
    <mergeCell ref="A22:B25"/>
    <mergeCell ref="B26:B29"/>
    <mergeCell ref="B30:B33"/>
    <mergeCell ref="B34:B37"/>
    <mergeCell ref="B38:B41"/>
    <mergeCell ref="A50:B50"/>
    <mergeCell ref="A46:B49"/>
    <mergeCell ref="B52:B55"/>
    <mergeCell ref="B56:B59"/>
    <mergeCell ref="B60:B63"/>
    <mergeCell ref="B42:B45"/>
    <mergeCell ref="A26:A45"/>
    <mergeCell ref="B2:B5"/>
    <mergeCell ref="B6:B9"/>
    <mergeCell ref="B10:B13"/>
    <mergeCell ref="A2:A21"/>
    <mergeCell ref="B18:B21"/>
    <mergeCell ref="B14:B17"/>
    <mergeCell ref="A98:A117"/>
    <mergeCell ref="B98:B101"/>
    <mergeCell ref="B102:B105"/>
    <mergeCell ref="B106:B109"/>
    <mergeCell ref="B114:B117"/>
    <mergeCell ref="B110:B113"/>
    <mergeCell ref="A142:B142"/>
    <mergeCell ref="A118:B121"/>
    <mergeCell ref="A138:B141"/>
    <mergeCell ref="A122:A137"/>
    <mergeCell ref="B126:B129"/>
    <mergeCell ref="B122:B125"/>
    <mergeCell ref="B130:B133"/>
    <mergeCell ref="B134:B137"/>
  </mergeCells>
  <phoneticPr fontId="64" type="noConversion"/>
  <conditionalFormatting sqref="D9">
    <cfRule type="cellIs" dxfId="166" priority="79" operator="greaterThan">
      <formula>0</formula>
    </cfRule>
    <cfRule type="cellIs" dxfId="165" priority="80" operator="lessThan">
      <formula>0</formula>
    </cfRule>
  </conditionalFormatting>
  <conditionalFormatting sqref="D13">
    <cfRule type="cellIs" dxfId="164" priority="77" operator="greaterThan">
      <formula>0</formula>
    </cfRule>
    <cfRule type="cellIs" dxfId="163" priority="78" operator="lessThan">
      <formula>0</formula>
    </cfRule>
  </conditionalFormatting>
  <conditionalFormatting sqref="D17">
    <cfRule type="cellIs" dxfId="162" priority="23" operator="greaterThan">
      <formula>0</formula>
    </cfRule>
    <cfRule type="cellIs" dxfId="161" priority="24" operator="lessThan">
      <formula>0</formula>
    </cfRule>
  </conditionalFormatting>
  <conditionalFormatting sqref="D21">
    <cfRule type="cellIs" dxfId="160" priority="75" operator="greaterThan">
      <formula>0</formula>
    </cfRule>
    <cfRule type="cellIs" dxfId="159" priority="76" operator="lessThan">
      <formula>0</formula>
    </cfRule>
  </conditionalFormatting>
  <conditionalFormatting sqref="D29">
    <cfRule type="cellIs" dxfId="158" priority="73" operator="greaterThan">
      <formula>0</formula>
    </cfRule>
    <cfRule type="cellIs" dxfId="157" priority="74" operator="lessThan">
      <formula>0</formula>
    </cfRule>
  </conditionalFormatting>
  <conditionalFormatting sqref="D33">
    <cfRule type="cellIs" dxfId="156" priority="71" operator="greaterThan">
      <formula>0</formula>
    </cfRule>
    <cfRule type="cellIs" dxfId="155" priority="72" operator="lessThan">
      <formula>0</formula>
    </cfRule>
  </conditionalFormatting>
  <conditionalFormatting sqref="D37">
    <cfRule type="cellIs" dxfId="154" priority="69" operator="greaterThan">
      <formula>0</formula>
    </cfRule>
    <cfRule type="cellIs" dxfId="153" priority="70" operator="lessThan">
      <formula>0</formula>
    </cfRule>
  </conditionalFormatting>
  <conditionalFormatting sqref="D41 D45">
    <cfRule type="cellIs" dxfId="152" priority="67" operator="greaterThan">
      <formula>0</formula>
    </cfRule>
    <cfRule type="cellIs" dxfId="151" priority="68" operator="lessThan">
      <formula>0</formula>
    </cfRule>
  </conditionalFormatting>
  <conditionalFormatting sqref="D4:AJ4">
    <cfRule type="cellIs" dxfId="150" priority="81" operator="greaterThan">
      <formula>0</formula>
    </cfRule>
    <cfRule type="cellIs" dxfId="149" priority="82" operator="lessThan">
      <formula>0</formula>
    </cfRule>
  </conditionalFormatting>
  <conditionalFormatting sqref="D8:AJ8">
    <cfRule type="cellIs" dxfId="148" priority="17" operator="greaterThan">
      <formula>0</formula>
    </cfRule>
    <cfRule type="cellIs" dxfId="147" priority="18" operator="lessThan">
      <formula>0</formula>
    </cfRule>
  </conditionalFormatting>
  <conditionalFormatting sqref="D12:AJ12">
    <cfRule type="cellIs" dxfId="146" priority="15" operator="greaterThan">
      <formula>0</formula>
    </cfRule>
    <cfRule type="cellIs" dxfId="145" priority="16" operator="lessThan">
      <formula>0</formula>
    </cfRule>
  </conditionalFormatting>
  <conditionalFormatting sqref="D16:AJ16">
    <cfRule type="cellIs" dxfId="144" priority="13" operator="greaterThan">
      <formula>0</formula>
    </cfRule>
    <cfRule type="cellIs" dxfId="143" priority="14" operator="lessThan">
      <formula>0</formula>
    </cfRule>
  </conditionalFormatting>
  <conditionalFormatting sqref="D20:AJ20">
    <cfRule type="cellIs" dxfId="142" priority="11" operator="greaterThan">
      <formula>0</formula>
    </cfRule>
    <cfRule type="cellIs" dxfId="141" priority="12" operator="lessThan">
      <formula>0</formula>
    </cfRule>
  </conditionalFormatting>
  <conditionalFormatting sqref="D28:AJ28">
    <cfRule type="cellIs" dxfId="140" priority="9" operator="greaterThan">
      <formula>0</formula>
    </cfRule>
    <cfRule type="cellIs" dxfId="139" priority="10" operator="lessThan">
      <formula>0</formula>
    </cfRule>
  </conditionalFormatting>
  <conditionalFormatting sqref="D32:AJ32">
    <cfRule type="cellIs" dxfId="138" priority="7" operator="greaterThan">
      <formula>0</formula>
    </cfRule>
    <cfRule type="cellIs" dxfId="137" priority="8" operator="lessThan">
      <formula>0</formula>
    </cfRule>
  </conditionalFormatting>
  <conditionalFormatting sqref="D36:AJ36">
    <cfRule type="cellIs" dxfId="136" priority="5" operator="greaterThan">
      <formula>0</formula>
    </cfRule>
    <cfRule type="cellIs" dxfId="135" priority="6" operator="lessThan">
      <formula>0</formula>
    </cfRule>
  </conditionalFormatting>
  <conditionalFormatting sqref="D40:AJ40">
    <cfRule type="cellIs" dxfId="134" priority="3" operator="greaterThan">
      <formula>0</formula>
    </cfRule>
    <cfRule type="cellIs" dxfId="133" priority="4" operator="lessThan">
      <formula>0</formula>
    </cfRule>
  </conditionalFormatting>
  <conditionalFormatting sqref="D44:AJ44">
    <cfRule type="cellIs" dxfId="132" priority="1" operator="greaterThan">
      <formula>0</formula>
    </cfRule>
    <cfRule type="cellIs" dxfId="131" priority="2" operator="lessThan">
      <formula>0</formula>
    </cfRule>
  </conditionalFormatting>
  <conditionalFormatting sqref="D54:AJ54 D55">
    <cfRule type="cellIs" dxfId="130" priority="65" operator="greaterThan">
      <formula>0</formula>
    </cfRule>
    <cfRule type="cellIs" dxfId="129" priority="66" operator="lessThan">
      <formula>0</formula>
    </cfRule>
  </conditionalFormatting>
  <conditionalFormatting sqref="D58:AJ58 D59">
    <cfRule type="cellIs" dxfId="128" priority="63" operator="greaterThan">
      <formula>0</formula>
    </cfRule>
    <cfRule type="cellIs" dxfId="127" priority="64" operator="lessThan">
      <formula>0</formula>
    </cfRule>
  </conditionalFormatting>
  <conditionalFormatting sqref="D62:AJ62 D63">
    <cfRule type="cellIs" dxfId="126" priority="61" operator="greaterThan">
      <formula>0</formula>
    </cfRule>
    <cfRule type="cellIs" dxfId="125" priority="62" operator="lessThan">
      <formula>0</formula>
    </cfRule>
  </conditionalFormatting>
  <conditionalFormatting sqref="D66:AJ66 D67">
    <cfRule type="cellIs" dxfId="124" priority="59" operator="greaterThan">
      <formula>0</formula>
    </cfRule>
    <cfRule type="cellIs" dxfId="123" priority="60" operator="lessThan">
      <formula>0</formula>
    </cfRule>
  </conditionalFormatting>
  <conditionalFormatting sqref="D70:AJ70 D71">
    <cfRule type="cellIs" dxfId="122" priority="57" operator="greaterThan">
      <formula>0</formula>
    </cfRule>
    <cfRule type="cellIs" dxfId="121" priority="58" operator="lessThan">
      <formula>0</formula>
    </cfRule>
  </conditionalFormatting>
  <conditionalFormatting sqref="D78:AJ78 D79">
    <cfRule type="cellIs" dxfId="120" priority="55" operator="greaterThan">
      <formula>0</formula>
    </cfRule>
    <cfRule type="cellIs" dxfId="119" priority="56" operator="lessThan">
      <formula>0</formula>
    </cfRule>
  </conditionalFormatting>
  <conditionalFormatting sqref="D82:AJ82 D83">
    <cfRule type="cellIs" dxfId="118" priority="53" operator="greaterThan">
      <formula>0</formula>
    </cfRule>
    <cfRule type="cellIs" dxfId="117" priority="54" operator="lessThan">
      <formula>0</formula>
    </cfRule>
  </conditionalFormatting>
  <conditionalFormatting sqref="D86:AJ86 D87">
    <cfRule type="cellIs" dxfId="116" priority="51" operator="greaterThan">
      <formula>0</formula>
    </cfRule>
    <cfRule type="cellIs" dxfId="115" priority="52" operator="lessThan">
      <formula>0</formula>
    </cfRule>
  </conditionalFormatting>
  <conditionalFormatting sqref="D90:AJ90 D91">
    <cfRule type="cellIs" dxfId="114" priority="49" operator="greaterThan">
      <formula>0</formula>
    </cfRule>
    <cfRule type="cellIs" dxfId="113" priority="50" operator="lessThan">
      <formula>0</formula>
    </cfRule>
  </conditionalFormatting>
  <conditionalFormatting sqref="D100:AJ100 D101">
    <cfRule type="cellIs" dxfId="112" priority="47" operator="greaterThan">
      <formula>0</formula>
    </cfRule>
    <cfRule type="cellIs" dxfId="111" priority="48" operator="lessThan">
      <formula>0</formula>
    </cfRule>
  </conditionalFormatting>
  <conditionalFormatting sqref="D104:AJ104 D105">
    <cfRule type="cellIs" dxfId="110" priority="45" operator="greaterThan">
      <formula>0</formula>
    </cfRule>
    <cfRule type="cellIs" dxfId="109" priority="46" operator="lessThan">
      <formula>0</formula>
    </cfRule>
  </conditionalFormatting>
  <conditionalFormatting sqref="D108:AJ108 D109">
    <cfRule type="cellIs" dxfId="108" priority="43" operator="greaterThan">
      <formula>0</formula>
    </cfRule>
    <cfRule type="cellIs" dxfId="107" priority="44" operator="lessThan">
      <formula>0</formula>
    </cfRule>
  </conditionalFormatting>
  <conditionalFormatting sqref="D112:AJ112 D113">
    <cfRule type="cellIs" dxfId="106" priority="20" operator="greaterThan">
      <formula>0</formula>
    </cfRule>
    <cfRule type="cellIs" dxfId="105" priority="21" operator="lessThan">
      <formula>0</formula>
    </cfRule>
  </conditionalFormatting>
  <conditionalFormatting sqref="D116:AJ116 D117">
    <cfRule type="cellIs" dxfId="104" priority="41" operator="greaterThan">
      <formula>0</formula>
    </cfRule>
    <cfRule type="cellIs" dxfId="103" priority="42" operator="lessThan">
      <formula>0</formula>
    </cfRule>
  </conditionalFormatting>
  <conditionalFormatting sqref="D124:AJ124 D125">
    <cfRule type="cellIs" dxfId="102" priority="39" operator="greaterThan">
      <formula>0</formula>
    </cfRule>
    <cfRule type="cellIs" dxfId="101" priority="40" operator="lessThan">
      <formula>0</formula>
    </cfRule>
  </conditionalFormatting>
  <conditionalFormatting sqref="D128:AJ128 D129">
    <cfRule type="cellIs" dxfId="100" priority="37" operator="greaterThan">
      <formula>0</formula>
    </cfRule>
    <cfRule type="cellIs" dxfId="99" priority="38" operator="lessThan">
      <formula>0</formula>
    </cfRule>
  </conditionalFormatting>
  <conditionalFormatting sqref="D132:AJ132 D133">
    <cfRule type="cellIs" dxfId="98" priority="35" operator="greaterThan">
      <formula>0</formula>
    </cfRule>
    <cfRule type="cellIs" dxfId="97" priority="36" operator="lessThan">
      <formula>0</formula>
    </cfRule>
  </conditionalFormatting>
  <conditionalFormatting sqref="D136:AJ136 D137">
    <cfRule type="cellIs" dxfId="96" priority="33" operator="greaterThan">
      <formula>0</formula>
    </cfRule>
    <cfRule type="cellIs" dxfId="95" priority="34" operator="lessThan">
      <formula>0</formula>
    </cfRule>
  </conditionalFormatting>
  <conditionalFormatting sqref="E5:AJ5">
    <cfRule type="expression" dxfId="94" priority="27" stopIfTrue="1">
      <formula>E$2&lt;&gt;E$5</formula>
    </cfRule>
    <cfRule type="expression" dxfId="93" priority="30" stopIfTrue="1">
      <formula>E5&lt;&gt;E2</formula>
    </cfRule>
    <cfRule type="expression" dxfId="92" priority="4813" stopIfTrue="1">
      <formula>E1048573&lt;&gt;E1048570</formula>
    </cfRule>
  </conditionalFormatting>
  <conditionalFormatting sqref="E9:AJ9">
    <cfRule type="expression" dxfId="91" priority="4835" stopIfTrue="1">
      <formula>#REF!&lt;&gt;E1048574</formula>
    </cfRule>
  </conditionalFormatting>
  <conditionalFormatting sqref="E13:AJ13 E21:AJ21 E29:AJ29 E33:AJ33 E37:AJ37 E41:AJ41 E45:AJ45 E55:AJ55 E59:AJ59 E63:AJ63 E67:AJ67 E71:AJ71 E79:AJ79 E83:AJ83 E87:AJ87 E91:AJ91 E109:AJ109">
    <cfRule type="expression" dxfId="90" priority="29" stopIfTrue="1">
      <formula>E13&lt;&gt;E10</formula>
    </cfRule>
  </conditionalFormatting>
  <conditionalFormatting sqref="E13:AJ13">
    <cfRule type="expression" dxfId="89" priority="4836" stopIfTrue="1">
      <formula>#REF!&lt;&gt;#REF!</formula>
    </cfRule>
  </conditionalFormatting>
  <conditionalFormatting sqref="E17:AJ17">
    <cfRule type="expression" dxfId="88" priority="4837" stopIfTrue="1">
      <formula>E17&lt;&gt;E14</formula>
    </cfRule>
    <cfRule type="expression" dxfId="87" priority="4838" stopIfTrue="1">
      <formula>#REF!&lt;&gt;#REF!</formula>
    </cfRule>
  </conditionalFormatting>
  <conditionalFormatting sqref="E21:AJ21">
    <cfRule type="expression" dxfId="86" priority="4831" stopIfTrue="1">
      <formula>#REF!&lt;&gt;#REF!</formula>
    </cfRule>
  </conditionalFormatting>
  <conditionalFormatting sqref="E29:AJ29">
    <cfRule type="expression" dxfId="85" priority="4815" stopIfTrue="1">
      <formula>E5&lt;&gt;E2</formula>
    </cfRule>
  </conditionalFormatting>
  <conditionalFormatting sqref="E101:AJ101 E105:AJ105 E117:AJ117 E125:AJ125 E129:AJ129 E133:AJ133 E137:AJ137">
    <cfRule type="expression" dxfId="84" priority="26" stopIfTrue="1">
      <formula>E101&lt;&gt;E98</formula>
    </cfRule>
  </conditionalFormatting>
  <conditionalFormatting sqref="E113:AJ113">
    <cfRule type="expression" dxfId="83" priority="19" stopIfTrue="1">
      <formula>E113&lt;&gt;E110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92D050"/>
  </sheetPr>
  <dimension ref="A1:CM1443"/>
  <sheetViews>
    <sheetView tabSelected="1" zoomScaleNormal="70" workbookViewId="0">
      <pane ySplit="1" topLeftCell="A1270" activePane="bottomLeft" state="frozen"/>
      <selection pane="bottomLeft" activeCell="E1270" sqref="E1270"/>
    </sheetView>
  </sheetViews>
  <sheetFormatPr defaultColWidth="9.09765625" defaultRowHeight="13" outlineLevelRow="1" outlineLevelCol="1"/>
  <cols>
    <col min="1" max="1" width="12" style="462" customWidth="1"/>
    <col min="2" max="2" width="9.09765625" style="910" customWidth="1"/>
    <col min="3" max="4" width="14.09765625" style="462" customWidth="1"/>
    <col min="5" max="5" width="9.09765625" style="462" customWidth="1"/>
    <col min="6" max="6" width="14.09765625" style="462" customWidth="1"/>
    <col min="7" max="7" width="14.09765625" style="910" customWidth="1"/>
    <col min="8" max="8" width="19" style="910" customWidth="1"/>
    <col min="9" max="9" width="14.09765625" style="910" customWidth="1"/>
    <col min="10" max="10" width="12.8984375" style="440" customWidth="1"/>
    <col min="11" max="14" width="14.09765625" style="440" customWidth="1"/>
    <col min="15" max="15" width="9.09765625" style="430" customWidth="1"/>
    <col min="16" max="16" width="11.59765625" style="440" customWidth="1"/>
    <col min="17" max="17" width="18.69921875" style="440" customWidth="1"/>
    <col min="18" max="18" width="8.8984375" style="430" customWidth="1"/>
    <col min="19" max="19" width="13.59765625" style="430" customWidth="1"/>
    <col min="20" max="20" width="9.09765625" style="440" customWidth="1"/>
    <col min="21" max="21" width="9.09765625" style="1030" customWidth="1"/>
    <col min="22" max="23" width="9.09765625" style="952" customWidth="1"/>
    <col min="24" max="24" width="9.09765625" style="1030" customWidth="1"/>
    <col min="25" max="25" width="9.09765625" style="486" customWidth="1"/>
    <col min="26" max="26" width="12" style="486" customWidth="1"/>
    <col min="27" max="27" width="12.8984375" style="440" customWidth="1"/>
    <col min="28" max="28" width="13.09765625" style="487" customWidth="1"/>
    <col min="29" max="29" width="9.09765625" style="430" customWidth="1"/>
    <col min="30" max="30" width="24.3984375" style="430" bestFit="1" customWidth="1"/>
    <col min="31" max="31" width="9.09765625" style="433" customWidth="1" outlineLevel="1"/>
    <col min="32" max="32" width="15.8984375" style="430" customWidth="1"/>
    <col min="33" max="33" width="9.09765625" style="430" customWidth="1"/>
    <col min="34" max="34" width="9.09765625" style="435" customWidth="1"/>
    <col min="35" max="35" width="9.09765625" style="713" customWidth="1"/>
    <col min="36" max="36" width="9.09765625" style="437" customWidth="1"/>
    <col min="37" max="37" width="9.09765625" style="589" customWidth="1"/>
    <col min="38" max="39" width="9.09765625" style="437" customWidth="1"/>
    <col min="40" max="40" width="9.09765625" style="441" customWidth="1"/>
    <col min="41" max="41" width="9.09765625" style="430" customWidth="1"/>
    <col min="42" max="42" width="21.3984375" style="430" customWidth="1"/>
    <col min="43" max="43" width="9.09765625" style="438" customWidth="1"/>
    <col min="44" max="44" width="16.09765625" style="440" customWidth="1"/>
    <col min="45" max="45" width="20.8984375" style="440" customWidth="1"/>
    <col min="46" max="46" width="21.3984375" style="430" customWidth="1"/>
    <col min="47" max="48" width="9.09765625" style="430" customWidth="1"/>
    <col min="49" max="51" width="9.09765625" style="437" customWidth="1"/>
    <col min="52" max="52" width="9.09765625" style="430" customWidth="1"/>
    <col min="53" max="53" width="9.09765625" style="437" customWidth="1"/>
    <col min="54" max="58" width="9.09765625" style="430" customWidth="1"/>
    <col min="59" max="59" width="11.69921875" bestFit="1" customWidth="1"/>
    <col min="60" max="60" width="8.59765625" bestFit="1" customWidth="1"/>
    <col min="61" max="61" width="30.296875" style="430" bestFit="1" customWidth="1"/>
    <col min="62" max="62" width="9.09765625" style="440" customWidth="1"/>
    <col min="63" max="63" width="9.09765625" style="430" customWidth="1"/>
    <col min="64" max="16384" width="9.09765625" style="430"/>
  </cols>
  <sheetData>
    <row r="1" spans="1:91" s="429" customFormat="1" ht="42" customHeight="1" outlineLevel="1">
      <c r="A1" s="911" t="s">
        <v>0</v>
      </c>
      <c r="B1" s="911" t="s">
        <v>1</v>
      </c>
      <c r="C1" s="1054" t="s">
        <v>2</v>
      </c>
      <c r="D1" s="1055" t="s">
        <v>3</v>
      </c>
      <c r="E1" s="1056" t="s">
        <v>4</v>
      </c>
      <c r="F1" s="1056" t="s">
        <v>5</v>
      </c>
      <c r="G1" s="1056" t="s">
        <v>6</v>
      </c>
      <c r="H1" s="1056" t="s">
        <v>7</v>
      </c>
      <c r="I1" s="1056" t="s">
        <v>8</v>
      </c>
      <c r="J1" s="421" t="s">
        <v>9</v>
      </c>
      <c r="K1" s="421" t="s">
        <v>10</v>
      </c>
      <c r="L1" s="421" t="s">
        <v>11</v>
      </c>
      <c r="M1" s="421" t="s">
        <v>12</v>
      </c>
      <c r="N1" s="418" t="s">
        <v>13</v>
      </c>
      <c r="O1" s="418" t="s">
        <v>14</v>
      </c>
      <c r="P1" s="418" t="s">
        <v>15</v>
      </c>
      <c r="Q1" s="418" t="s">
        <v>16</v>
      </c>
      <c r="R1" s="427" t="s">
        <v>17</v>
      </c>
      <c r="S1" s="427" t="s">
        <v>18</v>
      </c>
      <c r="T1" s="418" t="s">
        <v>19</v>
      </c>
      <c r="U1" s="1061" t="s">
        <v>20</v>
      </c>
      <c r="V1" s="950" t="s">
        <v>21</v>
      </c>
      <c r="W1" s="951" t="s">
        <v>22</v>
      </c>
      <c r="X1" s="1029" t="s">
        <v>23</v>
      </c>
      <c r="Y1" s="418" t="s">
        <v>24</v>
      </c>
      <c r="Z1" s="418" t="s">
        <v>25</v>
      </c>
      <c r="AA1" s="423" t="s">
        <v>26</v>
      </c>
      <c r="AB1" s="424" t="s">
        <v>27</v>
      </c>
      <c r="AC1" s="420" t="s">
        <v>28</v>
      </c>
      <c r="AD1" s="883" t="s">
        <v>29</v>
      </c>
      <c r="AE1" s="418" t="s">
        <v>30</v>
      </c>
      <c r="AF1" s="421" t="s">
        <v>31</v>
      </c>
      <c r="AG1" s="421" t="s">
        <v>32</v>
      </c>
      <c r="AH1" s="421" t="s">
        <v>33</v>
      </c>
      <c r="AI1" s="1387" t="s">
        <v>4416</v>
      </c>
      <c r="AJ1" s="583" t="s">
        <v>35</v>
      </c>
      <c r="AK1" s="584" t="s">
        <v>36</v>
      </c>
      <c r="AL1" s="583" t="s">
        <v>37</v>
      </c>
      <c r="AM1" s="583" t="s">
        <v>38</v>
      </c>
      <c r="AN1" s="583" t="s">
        <v>39</v>
      </c>
      <c r="AO1" s="420" t="s">
        <v>40</v>
      </c>
      <c r="AP1" s="420" t="s">
        <v>41</v>
      </c>
      <c r="AQ1" s="420" t="s">
        <v>42</v>
      </c>
      <c r="AR1" s="420" t="s">
        <v>43</v>
      </c>
      <c r="AS1" s="420" t="s">
        <v>44</v>
      </c>
      <c r="AT1" s="420" t="s">
        <v>45</v>
      </c>
      <c r="AU1" s="542" t="s">
        <v>46</v>
      </c>
      <c r="AV1" s="420" t="s">
        <v>47</v>
      </c>
      <c r="AW1" s="425" t="s">
        <v>48</v>
      </c>
      <c r="AX1" s="425" t="s">
        <v>49</v>
      </c>
      <c r="AY1" s="425" t="s">
        <v>50</v>
      </c>
      <c r="AZ1" s="425" t="s">
        <v>51</v>
      </c>
      <c r="BA1" s="425" t="s">
        <v>52</v>
      </c>
      <c r="BB1" s="426" t="s">
        <v>53</v>
      </c>
      <c r="BC1" s="426" t="s">
        <v>54</v>
      </c>
      <c r="BD1" s="425" t="s">
        <v>55</v>
      </c>
      <c r="BE1" s="427" t="s">
        <v>56</v>
      </c>
      <c r="BF1" s="427" t="s">
        <v>57</v>
      </c>
      <c r="BG1" s="427" t="s">
        <v>58</v>
      </c>
      <c r="BH1" s="428" t="s">
        <v>59</v>
      </c>
      <c r="BI1" s="419" t="s">
        <v>4417</v>
      </c>
    </row>
    <row r="2" spans="1:91" ht="10.5" hidden="1">
      <c r="A2" s="462" t="s">
        <v>60</v>
      </c>
      <c r="B2" s="462" t="s">
        <v>61</v>
      </c>
      <c r="C2" s="462" t="s">
        <v>62</v>
      </c>
      <c r="D2" s="462" t="s">
        <v>63</v>
      </c>
      <c r="E2" s="462" t="s">
        <v>64</v>
      </c>
      <c r="F2" s="462" t="s">
        <v>65</v>
      </c>
      <c r="G2" s="462" t="s">
        <v>66</v>
      </c>
      <c r="H2" s="462" t="s">
        <v>67</v>
      </c>
      <c r="I2" s="439" t="s">
        <v>68</v>
      </c>
      <c r="J2" s="430" t="s">
        <v>69</v>
      </c>
      <c r="K2" s="430"/>
      <c r="L2" s="430"/>
      <c r="M2" s="430" t="s">
        <v>68</v>
      </c>
      <c r="N2" s="432" t="s">
        <v>68</v>
      </c>
      <c r="O2" s="430" t="s">
        <v>70</v>
      </c>
      <c r="P2" s="430" t="s">
        <v>71</v>
      </c>
      <c r="Q2" s="430" t="s">
        <v>72</v>
      </c>
      <c r="R2" s="431" t="s">
        <v>73</v>
      </c>
      <c r="S2" s="442" t="s">
        <v>74</v>
      </c>
      <c r="T2" s="433">
        <v>500</v>
      </c>
      <c r="U2" s="1062">
        <v>2592</v>
      </c>
      <c r="V2" s="434">
        <v>1.296</v>
      </c>
      <c r="W2" s="435">
        <v>72</v>
      </c>
      <c r="X2" s="1015">
        <v>3</v>
      </c>
      <c r="Y2" s="430" t="s">
        <v>75</v>
      </c>
      <c r="Z2" s="430" t="s">
        <v>75</v>
      </c>
      <c r="AA2" s="430"/>
      <c r="AB2" s="437">
        <v>46003</v>
      </c>
      <c r="AC2" s="438">
        <v>50</v>
      </c>
      <c r="AD2" s="439" t="s">
        <v>76</v>
      </c>
      <c r="AE2" s="430">
        <v>371009290</v>
      </c>
      <c r="AF2" s="430" t="s">
        <v>77</v>
      </c>
      <c r="AG2" s="430" t="s">
        <v>61</v>
      </c>
      <c r="AH2" s="430" t="s">
        <v>78</v>
      </c>
      <c r="AI2" s="437">
        <v>46009</v>
      </c>
      <c r="AJ2" s="437">
        <v>46009</v>
      </c>
      <c r="AK2" s="441">
        <v>46012</v>
      </c>
      <c r="AL2" s="437">
        <v>46076</v>
      </c>
      <c r="AM2" s="437">
        <v>46098</v>
      </c>
      <c r="AN2" s="437">
        <v>46099</v>
      </c>
      <c r="AO2" s="430" t="s">
        <v>66</v>
      </c>
      <c r="AP2" s="430" t="s">
        <v>79</v>
      </c>
      <c r="AQ2" s="430" t="s">
        <v>80</v>
      </c>
      <c r="AR2" s="430" t="s">
        <v>81</v>
      </c>
      <c r="AS2" s="430" t="s">
        <v>82</v>
      </c>
      <c r="AT2" s="430" t="s">
        <v>82</v>
      </c>
      <c r="AU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87</v>
      </c>
      <c r="AV2" s="430" t="s">
        <v>83</v>
      </c>
      <c r="AW2" s="437">
        <v>46099</v>
      </c>
      <c r="AX2" s="433" t="s">
        <v>84</v>
      </c>
      <c r="AY2" s="437">
        <v>46112</v>
      </c>
      <c r="AZ2" s="442">
        <v>8</v>
      </c>
      <c r="BA2" s="437">
        <v>46107</v>
      </c>
      <c r="BB2" s="433">
        <v>2026</v>
      </c>
      <c r="BC2" s="430">
        <v>3</v>
      </c>
      <c r="BD2" s="430">
        <v>13</v>
      </c>
      <c r="BE2" s="431">
        <v>36</v>
      </c>
      <c r="BF2" s="431">
        <v>864</v>
      </c>
      <c r="BG2" s="431" t="s">
        <v>85</v>
      </c>
      <c r="BH2" s="431" t="s">
        <v>86</v>
      </c>
      <c r="BI2" s="430" t="s">
        <v>197</v>
      </c>
      <c r="BJ2" s="430" t="s">
        <v>197</v>
      </c>
      <c r="BK2" s="430" t="s">
        <v>197</v>
      </c>
      <c r="BL2" s="430" t="s">
        <v>197</v>
      </c>
      <c r="BM2" s="430" t="s">
        <v>197</v>
      </c>
      <c r="BN2" s="430" t="s">
        <v>197</v>
      </c>
      <c r="BO2" s="430" t="s">
        <v>197</v>
      </c>
      <c r="BP2" s="430" t="s">
        <v>197</v>
      </c>
      <c r="BQ2" s="430" t="s">
        <v>197</v>
      </c>
      <c r="BR2" s="430" t="s">
        <v>197</v>
      </c>
      <c r="BS2" s="430" t="s">
        <v>197</v>
      </c>
      <c r="BT2" s="430" t="s">
        <v>197</v>
      </c>
      <c r="BU2" s="430" t="s">
        <v>197</v>
      </c>
      <c r="BV2" s="430" t="s">
        <v>197</v>
      </c>
      <c r="BW2" s="430" t="s">
        <v>197</v>
      </c>
      <c r="BX2" s="430" t="s">
        <v>197</v>
      </c>
      <c r="BY2" s="430" t="s">
        <v>197</v>
      </c>
      <c r="BZ2" s="430" t="s">
        <v>197</v>
      </c>
      <c r="CA2" s="430" t="s">
        <v>197</v>
      </c>
      <c r="CB2" s="430" t="s">
        <v>197</v>
      </c>
      <c r="CC2" s="430" t="s">
        <v>197</v>
      </c>
      <c r="CD2" s="430" t="s">
        <v>197</v>
      </c>
      <c r="CE2" s="430" t="s">
        <v>197</v>
      </c>
      <c r="CF2" s="430" t="s">
        <v>197</v>
      </c>
      <c r="CG2" s="430" t="s">
        <v>197</v>
      </c>
      <c r="CH2" s="430" t="s">
        <v>197</v>
      </c>
      <c r="CI2" s="430" t="s">
        <v>197</v>
      </c>
      <c r="CJ2" s="430" t="s">
        <v>197</v>
      </c>
      <c r="CK2" s="430" t="s">
        <v>197</v>
      </c>
      <c r="CL2" s="430" t="s">
        <v>197</v>
      </c>
      <c r="CM2" s="430" t="s">
        <v>197</v>
      </c>
    </row>
    <row r="3" spans="1:91" ht="10.5" hidden="1">
      <c r="A3" s="462" t="s">
        <v>87</v>
      </c>
      <c r="B3" s="462" t="s">
        <v>61</v>
      </c>
      <c r="C3" s="462" t="s">
        <v>88</v>
      </c>
      <c r="D3" s="462" t="s">
        <v>63</v>
      </c>
      <c r="E3" s="462" t="s">
        <v>64</v>
      </c>
      <c r="F3" s="462" t="s">
        <v>65</v>
      </c>
      <c r="G3" s="462" t="s">
        <v>66</v>
      </c>
      <c r="H3" s="462" t="s">
        <v>67</v>
      </c>
      <c r="I3" s="439" t="s">
        <v>68</v>
      </c>
      <c r="J3" s="430" t="s">
        <v>89</v>
      </c>
      <c r="K3" s="430" t="s">
        <v>90</v>
      </c>
      <c r="L3" s="430"/>
      <c r="M3" s="430" t="s">
        <v>68</v>
      </c>
      <c r="N3" s="432" t="s">
        <v>68</v>
      </c>
      <c r="O3" s="430" t="s">
        <v>70</v>
      </c>
      <c r="P3" s="430" t="s">
        <v>91</v>
      </c>
      <c r="Q3" s="430" t="s">
        <v>92</v>
      </c>
      <c r="R3" s="431" t="s">
        <v>73</v>
      </c>
      <c r="S3" s="442" t="s">
        <v>74</v>
      </c>
      <c r="T3" s="433">
        <v>450</v>
      </c>
      <c r="U3" s="1062">
        <v>936</v>
      </c>
      <c r="V3" s="434">
        <v>0.42099999999999999</v>
      </c>
      <c r="W3" s="435">
        <v>26</v>
      </c>
      <c r="X3" s="1015">
        <v>1</v>
      </c>
      <c r="Y3" s="430" t="s">
        <v>75</v>
      </c>
      <c r="Z3" s="430" t="s">
        <v>75</v>
      </c>
      <c r="AA3" s="430"/>
      <c r="AB3" s="437">
        <v>46003</v>
      </c>
      <c r="AC3" s="438">
        <v>50</v>
      </c>
      <c r="AD3" s="439" t="s">
        <v>93</v>
      </c>
      <c r="AE3" s="430">
        <v>371009297</v>
      </c>
      <c r="AF3" s="430" t="s">
        <v>77</v>
      </c>
      <c r="AG3" s="430" t="s">
        <v>61</v>
      </c>
      <c r="AH3" s="430" t="s">
        <v>78</v>
      </c>
      <c r="AI3" s="437">
        <v>46009</v>
      </c>
      <c r="AJ3" s="437">
        <v>46009</v>
      </c>
      <c r="AK3" s="441">
        <v>46012</v>
      </c>
      <c r="AL3" s="437">
        <v>46076</v>
      </c>
      <c r="AM3" s="437">
        <v>46098</v>
      </c>
      <c r="AN3" s="437">
        <v>46099</v>
      </c>
      <c r="AO3" s="430" t="s">
        <v>66</v>
      </c>
      <c r="AP3" s="430" t="s">
        <v>79</v>
      </c>
      <c r="AQ3" s="430" t="s">
        <v>80</v>
      </c>
      <c r="AR3" s="430" t="s">
        <v>81</v>
      </c>
      <c r="AS3" s="430" t="s">
        <v>82</v>
      </c>
      <c r="AT3" s="430" t="s">
        <v>82</v>
      </c>
      <c r="AU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87</v>
      </c>
      <c r="AV3" s="430" t="s">
        <v>83</v>
      </c>
      <c r="AW3" s="437">
        <v>46099</v>
      </c>
      <c r="AX3" s="433" t="s">
        <v>84</v>
      </c>
      <c r="AY3" s="437">
        <v>46112</v>
      </c>
      <c r="AZ3" s="442">
        <v>8</v>
      </c>
      <c r="BA3" s="437">
        <v>46107</v>
      </c>
      <c r="BB3" s="433">
        <v>2026</v>
      </c>
      <c r="BC3" s="430">
        <v>3</v>
      </c>
      <c r="BD3" s="430">
        <v>13</v>
      </c>
      <c r="BE3" s="431">
        <v>36</v>
      </c>
      <c r="BF3" s="431">
        <v>936</v>
      </c>
      <c r="BG3" s="431" t="s">
        <v>94</v>
      </c>
      <c r="BH3" s="431" t="s">
        <v>86</v>
      </c>
      <c r="BI3" s="430" t="s">
        <v>197</v>
      </c>
      <c r="BJ3" s="430" t="s">
        <v>197</v>
      </c>
      <c r="BK3" s="430" t="s">
        <v>197</v>
      </c>
      <c r="BL3" s="430" t="s">
        <v>197</v>
      </c>
      <c r="BM3" s="430" t="s">
        <v>197</v>
      </c>
      <c r="BN3" s="430" t="s">
        <v>197</v>
      </c>
      <c r="BO3" s="430" t="s">
        <v>197</v>
      </c>
      <c r="BP3" s="430" t="s">
        <v>197</v>
      </c>
      <c r="BQ3" s="430" t="s">
        <v>197</v>
      </c>
      <c r="BR3" s="430" t="s">
        <v>197</v>
      </c>
      <c r="BS3" s="430" t="s">
        <v>197</v>
      </c>
      <c r="BT3" s="430" t="s">
        <v>197</v>
      </c>
      <c r="BU3" s="430" t="s">
        <v>197</v>
      </c>
      <c r="BV3" s="430" t="s">
        <v>197</v>
      </c>
      <c r="BW3" s="430" t="s">
        <v>197</v>
      </c>
      <c r="BX3" s="430" t="s">
        <v>197</v>
      </c>
      <c r="BY3" s="430" t="s">
        <v>197</v>
      </c>
      <c r="BZ3" s="430" t="s">
        <v>197</v>
      </c>
      <c r="CA3" s="430" t="s">
        <v>197</v>
      </c>
      <c r="CB3" s="430" t="s">
        <v>197</v>
      </c>
      <c r="CC3" s="430" t="s">
        <v>197</v>
      </c>
      <c r="CD3" s="430" t="s">
        <v>197</v>
      </c>
      <c r="CE3" s="430" t="s">
        <v>197</v>
      </c>
      <c r="CF3" s="430" t="s">
        <v>197</v>
      </c>
      <c r="CG3" s="430" t="s">
        <v>197</v>
      </c>
      <c r="CH3" s="430" t="s">
        <v>197</v>
      </c>
      <c r="CI3" s="430" t="s">
        <v>197</v>
      </c>
      <c r="CJ3" s="430" t="s">
        <v>197</v>
      </c>
      <c r="CK3" s="430" t="s">
        <v>197</v>
      </c>
      <c r="CL3" s="430" t="s">
        <v>197</v>
      </c>
      <c r="CM3" s="430" t="s">
        <v>197</v>
      </c>
    </row>
    <row r="4" spans="1:91" ht="10.5" hidden="1">
      <c r="A4" s="462" t="s">
        <v>95</v>
      </c>
      <c r="B4" s="462" t="s">
        <v>61</v>
      </c>
      <c r="C4" s="462" t="s">
        <v>88</v>
      </c>
      <c r="D4" s="462" t="s">
        <v>63</v>
      </c>
      <c r="E4" s="462" t="s">
        <v>64</v>
      </c>
      <c r="F4" s="462" t="s">
        <v>65</v>
      </c>
      <c r="G4" s="462" t="s">
        <v>66</v>
      </c>
      <c r="H4" s="462" t="s">
        <v>67</v>
      </c>
      <c r="I4" s="439" t="s">
        <v>68</v>
      </c>
      <c r="J4" s="430" t="s">
        <v>96</v>
      </c>
      <c r="K4" s="430"/>
      <c r="L4" s="430"/>
      <c r="M4" s="430" t="s">
        <v>68</v>
      </c>
      <c r="N4" s="432" t="s">
        <v>68</v>
      </c>
      <c r="O4" s="430" t="s">
        <v>70</v>
      </c>
      <c r="P4" s="430" t="s">
        <v>91</v>
      </c>
      <c r="Q4" s="430" t="s">
        <v>92</v>
      </c>
      <c r="R4" s="431" t="s">
        <v>73</v>
      </c>
      <c r="S4" s="442" t="s">
        <v>74</v>
      </c>
      <c r="T4" s="433">
        <v>450</v>
      </c>
      <c r="U4" s="1062">
        <v>2808</v>
      </c>
      <c r="V4" s="434">
        <v>1.264</v>
      </c>
      <c r="W4" s="435">
        <v>78</v>
      </c>
      <c r="X4" s="1015">
        <v>3</v>
      </c>
      <c r="Y4" s="430" t="s">
        <v>75</v>
      </c>
      <c r="Z4" s="430" t="s">
        <v>75</v>
      </c>
      <c r="AA4" s="430"/>
      <c r="AB4" s="437">
        <v>46003</v>
      </c>
      <c r="AC4" s="438">
        <v>50</v>
      </c>
      <c r="AD4" s="439" t="s">
        <v>97</v>
      </c>
      <c r="AE4" s="430">
        <v>371009298</v>
      </c>
      <c r="AF4" s="430" t="s">
        <v>77</v>
      </c>
      <c r="AG4" s="430" t="s">
        <v>61</v>
      </c>
      <c r="AH4" s="430" t="s">
        <v>78</v>
      </c>
      <c r="AI4" s="437">
        <v>46009</v>
      </c>
      <c r="AJ4" s="437">
        <v>46009</v>
      </c>
      <c r="AK4" s="441">
        <v>46012</v>
      </c>
      <c r="AL4" s="437">
        <v>46076</v>
      </c>
      <c r="AM4" s="437">
        <v>46098</v>
      </c>
      <c r="AN4" s="437">
        <v>46099</v>
      </c>
      <c r="AO4" s="430" t="s">
        <v>66</v>
      </c>
      <c r="AP4" s="430" t="s">
        <v>79</v>
      </c>
      <c r="AQ4" s="430" t="s">
        <v>80</v>
      </c>
      <c r="AR4" s="430" t="s">
        <v>81</v>
      </c>
      <c r="AS4" s="430" t="s">
        <v>82</v>
      </c>
      <c r="AT4" s="430" t="s">
        <v>82</v>
      </c>
      <c r="AU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87</v>
      </c>
      <c r="AV4" s="430" t="s">
        <v>83</v>
      </c>
      <c r="AW4" s="437">
        <v>46099</v>
      </c>
      <c r="AX4" s="433" t="s">
        <v>84</v>
      </c>
      <c r="AY4" s="437">
        <v>46112</v>
      </c>
      <c r="AZ4" s="442">
        <v>8</v>
      </c>
      <c r="BA4" s="437">
        <v>46107</v>
      </c>
      <c r="BB4" s="433">
        <v>2026</v>
      </c>
      <c r="BC4" s="430">
        <v>3</v>
      </c>
      <c r="BD4" s="430">
        <v>13</v>
      </c>
      <c r="BE4" s="431">
        <v>36</v>
      </c>
      <c r="BF4" s="431">
        <v>936</v>
      </c>
      <c r="BG4" s="431" t="s">
        <v>94</v>
      </c>
      <c r="BH4" s="431" t="s">
        <v>86</v>
      </c>
      <c r="BI4" s="430" t="s">
        <v>197</v>
      </c>
      <c r="BJ4" s="430" t="s">
        <v>197</v>
      </c>
      <c r="BK4" s="430" t="s">
        <v>197</v>
      </c>
      <c r="BL4" s="430" t="s">
        <v>197</v>
      </c>
      <c r="BM4" s="430" t="s">
        <v>197</v>
      </c>
      <c r="BN4" s="430" t="s">
        <v>197</v>
      </c>
      <c r="BO4" s="430" t="s">
        <v>197</v>
      </c>
      <c r="BP4" s="430" t="s">
        <v>197</v>
      </c>
      <c r="BQ4" s="430" t="s">
        <v>197</v>
      </c>
      <c r="BR4" s="430" t="s">
        <v>197</v>
      </c>
      <c r="BS4" s="430" t="s">
        <v>197</v>
      </c>
      <c r="BT4" s="430" t="s">
        <v>197</v>
      </c>
      <c r="BU4" s="430" t="s">
        <v>197</v>
      </c>
      <c r="BV4" s="430" t="s">
        <v>197</v>
      </c>
      <c r="BW4" s="430" t="s">
        <v>197</v>
      </c>
      <c r="BX4" s="430" t="s">
        <v>197</v>
      </c>
      <c r="BY4" s="430" t="s">
        <v>197</v>
      </c>
      <c r="BZ4" s="430" t="s">
        <v>197</v>
      </c>
      <c r="CA4" s="430" t="s">
        <v>197</v>
      </c>
      <c r="CB4" s="430" t="s">
        <v>197</v>
      </c>
      <c r="CC4" s="430" t="s">
        <v>197</v>
      </c>
      <c r="CD4" s="430" t="s">
        <v>197</v>
      </c>
      <c r="CE4" s="430" t="s">
        <v>197</v>
      </c>
      <c r="CF4" s="430" t="s">
        <v>197</v>
      </c>
      <c r="CG4" s="430" t="s">
        <v>197</v>
      </c>
      <c r="CH4" s="430" t="s">
        <v>197</v>
      </c>
      <c r="CI4" s="430" t="s">
        <v>197</v>
      </c>
      <c r="CJ4" s="430" t="s">
        <v>197</v>
      </c>
      <c r="CK4" s="430" t="s">
        <v>197</v>
      </c>
      <c r="CL4" s="430" t="s">
        <v>197</v>
      </c>
      <c r="CM4" s="430" t="s">
        <v>197</v>
      </c>
    </row>
    <row r="5" spans="1:91" ht="10.5" hidden="1">
      <c r="A5" s="462" t="s">
        <v>98</v>
      </c>
      <c r="B5" s="462" t="s">
        <v>61</v>
      </c>
      <c r="C5" s="462" t="s">
        <v>99</v>
      </c>
      <c r="D5" s="462" t="s">
        <v>63</v>
      </c>
      <c r="E5" s="462" t="s">
        <v>64</v>
      </c>
      <c r="F5" s="462" t="s">
        <v>100</v>
      </c>
      <c r="G5" s="462" t="s">
        <v>66</v>
      </c>
      <c r="H5" s="462" t="s">
        <v>67</v>
      </c>
      <c r="I5" s="439" t="s">
        <v>68</v>
      </c>
      <c r="J5" s="430" t="s">
        <v>101</v>
      </c>
      <c r="K5" s="430"/>
      <c r="L5" s="430"/>
      <c r="M5" s="430" t="s">
        <v>68</v>
      </c>
      <c r="N5" s="432" t="s">
        <v>68</v>
      </c>
      <c r="O5" s="430" t="s">
        <v>70</v>
      </c>
      <c r="P5" s="430" t="s">
        <v>102</v>
      </c>
      <c r="Q5" s="430" t="s">
        <v>103</v>
      </c>
      <c r="R5" s="431" t="s">
        <v>73</v>
      </c>
      <c r="S5" s="442" t="s">
        <v>74</v>
      </c>
      <c r="T5" s="433">
        <v>620</v>
      </c>
      <c r="U5" s="1062">
        <v>4320</v>
      </c>
      <c r="V5" s="434">
        <v>2.6779999999999999</v>
      </c>
      <c r="W5" s="435">
        <v>120</v>
      </c>
      <c r="X5" s="1015">
        <v>6</v>
      </c>
      <c r="Y5" s="430" t="s">
        <v>75</v>
      </c>
      <c r="Z5" s="430" t="s">
        <v>75</v>
      </c>
      <c r="AA5" s="430"/>
      <c r="AB5" s="437">
        <v>46000</v>
      </c>
      <c r="AC5" s="438">
        <v>50</v>
      </c>
      <c r="AD5" s="439" t="s">
        <v>104</v>
      </c>
      <c r="AE5" s="430">
        <v>371009291</v>
      </c>
      <c r="AF5" s="430" t="s">
        <v>77</v>
      </c>
      <c r="AG5" s="430" t="s">
        <v>61</v>
      </c>
      <c r="AH5" s="430" t="s">
        <v>105</v>
      </c>
      <c r="AI5" s="437">
        <v>46009</v>
      </c>
      <c r="AJ5" s="437">
        <v>46009</v>
      </c>
      <c r="AK5" s="441">
        <v>46012</v>
      </c>
      <c r="AL5" s="437">
        <v>46061</v>
      </c>
      <c r="AM5" s="437">
        <v>46111</v>
      </c>
      <c r="AN5" s="437">
        <v>46111</v>
      </c>
      <c r="AO5" s="430" t="s">
        <v>66</v>
      </c>
      <c r="AP5" s="430" t="s">
        <v>79</v>
      </c>
      <c r="AQ5" s="430" t="s">
        <v>80</v>
      </c>
      <c r="AR5" s="430" t="s">
        <v>106</v>
      </c>
      <c r="AS5" s="430" t="s">
        <v>107</v>
      </c>
      <c r="AT5" s="430" t="s">
        <v>107</v>
      </c>
      <c r="AU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99</v>
      </c>
      <c r="AV5" s="430" t="s">
        <v>83</v>
      </c>
      <c r="AW5" s="437">
        <v>46111</v>
      </c>
      <c r="AX5" s="433" t="s">
        <v>84</v>
      </c>
      <c r="AY5" s="437">
        <v>46125</v>
      </c>
      <c r="AZ5" s="442">
        <v>7</v>
      </c>
      <c r="BA5" s="437">
        <v>46118</v>
      </c>
      <c r="BB5" s="433">
        <v>2026</v>
      </c>
      <c r="BC5" s="430">
        <v>4</v>
      </c>
      <c r="BD5" s="430">
        <v>15</v>
      </c>
      <c r="BE5" s="431">
        <v>36</v>
      </c>
      <c r="BF5" s="431">
        <v>720</v>
      </c>
      <c r="BG5" s="431" t="s">
        <v>108</v>
      </c>
      <c r="BH5" s="431" t="s">
        <v>109</v>
      </c>
      <c r="BI5" s="430" t="s">
        <v>197</v>
      </c>
      <c r="BJ5" s="430" t="s">
        <v>197</v>
      </c>
      <c r="BK5" s="430" t="s">
        <v>197</v>
      </c>
      <c r="BL5" s="430" t="s">
        <v>197</v>
      </c>
      <c r="BM5" s="430" t="s">
        <v>197</v>
      </c>
      <c r="BN5" s="430" t="s">
        <v>197</v>
      </c>
      <c r="BO5" s="430" t="s">
        <v>197</v>
      </c>
      <c r="BP5" s="430" t="s">
        <v>197</v>
      </c>
      <c r="BQ5" s="430" t="s">
        <v>197</v>
      </c>
      <c r="BR5" s="430" t="s">
        <v>197</v>
      </c>
      <c r="BS5" s="430" t="s">
        <v>197</v>
      </c>
      <c r="BT5" s="430" t="s">
        <v>197</v>
      </c>
      <c r="BU5" s="430" t="s">
        <v>197</v>
      </c>
      <c r="BV5" s="430" t="s">
        <v>197</v>
      </c>
      <c r="BW5" s="430" t="s">
        <v>197</v>
      </c>
      <c r="BX5" s="430" t="s">
        <v>197</v>
      </c>
      <c r="BY5" s="430" t="s">
        <v>197</v>
      </c>
      <c r="BZ5" s="430" t="s">
        <v>197</v>
      </c>
      <c r="CA5" s="430" t="s">
        <v>197</v>
      </c>
      <c r="CB5" s="430" t="s">
        <v>197</v>
      </c>
      <c r="CC5" s="430" t="s">
        <v>197</v>
      </c>
      <c r="CD5" s="430" t="s">
        <v>197</v>
      </c>
      <c r="CE5" s="430" t="s">
        <v>197</v>
      </c>
      <c r="CF5" s="430" t="s">
        <v>197</v>
      </c>
      <c r="CG5" s="430" t="s">
        <v>197</v>
      </c>
      <c r="CH5" s="430" t="s">
        <v>197</v>
      </c>
      <c r="CI5" s="430" t="s">
        <v>197</v>
      </c>
      <c r="CJ5" s="430" t="s">
        <v>197</v>
      </c>
      <c r="CK5" s="430" t="s">
        <v>197</v>
      </c>
      <c r="CL5" s="430" t="s">
        <v>197</v>
      </c>
      <c r="CM5" s="430" t="s">
        <v>197</v>
      </c>
    </row>
    <row r="6" spans="1:91" ht="10.5" hidden="1">
      <c r="A6" s="462" t="s">
        <v>110</v>
      </c>
      <c r="B6" s="462" t="s">
        <v>111</v>
      </c>
      <c r="C6" s="462" t="s">
        <v>112</v>
      </c>
      <c r="D6" s="462" t="s">
        <v>113</v>
      </c>
      <c r="E6" s="462" t="s">
        <v>64</v>
      </c>
      <c r="F6" s="462" t="s">
        <v>114</v>
      </c>
      <c r="G6" s="462" t="s">
        <v>66</v>
      </c>
      <c r="H6" s="462" t="s">
        <v>115</v>
      </c>
      <c r="I6" s="439" t="s">
        <v>68</v>
      </c>
      <c r="J6" s="430" t="s">
        <v>116</v>
      </c>
      <c r="K6" s="430" t="s">
        <v>117</v>
      </c>
      <c r="L6" s="430"/>
      <c r="M6" s="430" t="s">
        <v>68</v>
      </c>
      <c r="N6" s="432" t="s">
        <v>68</v>
      </c>
      <c r="O6" s="430" t="s">
        <v>70</v>
      </c>
      <c r="P6" s="430" t="s">
        <v>118</v>
      </c>
      <c r="Q6" s="430" t="s">
        <v>119</v>
      </c>
      <c r="R6" s="431" t="s">
        <v>73</v>
      </c>
      <c r="S6" s="442" t="s">
        <v>120</v>
      </c>
      <c r="T6" s="433">
        <v>640</v>
      </c>
      <c r="U6" s="1062">
        <v>2304</v>
      </c>
      <c r="V6" s="434">
        <v>1.4750000000000001</v>
      </c>
      <c r="W6" s="435">
        <v>64</v>
      </c>
      <c r="X6" s="1015">
        <v>4</v>
      </c>
      <c r="Y6" s="430" t="s">
        <v>75</v>
      </c>
      <c r="Z6" s="430" t="s">
        <v>75</v>
      </c>
      <c r="AA6" s="430"/>
      <c r="AB6" s="437">
        <v>46015</v>
      </c>
      <c r="AC6" s="438">
        <v>52</v>
      </c>
      <c r="AD6" s="439" t="s">
        <v>121</v>
      </c>
      <c r="AE6" s="430"/>
      <c r="AF6" s="430" t="s">
        <v>122</v>
      </c>
      <c r="AG6" s="430" t="s">
        <v>123</v>
      </c>
      <c r="AH6" s="430" t="s">
        <v>124</v>
      </c>
      <c r="AI6" s="437">
        <v>46020</v>
      </c>
      <c r="AJ6" s="437">
        <v>46030</v>
      </c>
      <c r="AK6" s="441">
        <v>46030</v>
      </c>
      <c r="AL6" s="437">
        <v>46072</v>
      </c>
      <c r="AM6" s="437">
        <v>46092</v>
      </c>
      <c r="AN6" s="437">
        <v>46094</v>
      </c>
      <c r="AO6" s="430" t="s">
        <v>66</v>
      </c>
      <c r="AP6" s="430" t="s">
        <v>125</v>
      </c>
      <c r="AQ6" s="430" t="s">
        <v>80</v>
      </c>
      <c r="AR6" s="430" t="s">
        <v>126</v>
      </c>
      <c r="AS6" s="430" t="s">
        <v>127</v>
      </c>
      <c r="AT6" s="430" t="s">
        <v>127</v>
      </c>
      <c r="AU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</v>
      </c>
      <c r="AW6" s="437">
        <v>46094</v>
      </c>
      <c r="AX6" s="433" t="s">
        <v>84</v>
      </c>
      <c r="AY6" s="437">
        <v>46104</v>
      </c>
      <c r="AZ6" s="442">
        <v>9</v>
      </c>
      <c r="BA6" s="437">
        <v>46103</v>
      </c>
      <c r="BB6" s="433">
        <v>2026</v>
      </c>
      <c r="BC6" s="430">
        <v>3</v>
      </c>
      <c r="BD6" s="430">
        <v>12</v>
      </c>
      <c r="BE6" s="431">
        <v>36</v>
      </c>
      <c r="BF6" s="431">
        <v>576</v>
      </c>
      <c r="BG6" s="431" t="s">
        <v>128</v>
      </c>
      <c r="BH6" s="431" t="s">
        <v>86</v>
      </c>
      <c r="BI6" s="430" t="s">
        <v>197</v>
      </c>
      <c r="BJ6" s="430" t="s">
        <v>197</v>
      </c>
      <c r="BK6" s="430" t="s">
        <v>197</v>
      </c>
      <c r="BL6" s="430" t="s">
        <v>197</v>
      </c>
      <c r="BM6" s="430" t="s">
        <v>197</v>
      </c>
      <c r="BN6" s="430" t="s">
        <v>197</v>
      </c>
      <c r="BO6" s="430" t="s">
        <v>197</v>
      </c>
      <c r="BP6" s="430" t="s">
        <v>197</v>
      </c>
      <c r="BQ6" s="430" t="s">
        <v>197</v>
      </c>
      <c r="BR6" s="430" t="s">
        <v>197</v>
      </c>
      <c r="BS6" s="430" t="s">
        <v>197</v>
      </c>
      <c r="BT6" s="430" t="s">
        <v>197</v>
      </c>
      <c r="BU6" s="430" t="s">
        <v>197</v>
      </c>
      <c r="BV6" s="430" t="s">
        <v>197</v>
      </c>
      <c r="BW6" s="430" t="s">
        <v>197</v>
      </c>
      <c r="BX6" s="430" t="s">
        <v>197</v>
      </c>
      <c r="BY6" s="430" t="s">
        <v>197</v>
      </c>
      <c r="BZ6" s="430" t="s">
        <v>197</v>
      </c>
      <c r="CA6" s="430" t="s">
        <v>197</v>
      </c>
      <c r="CB6" s="430" t="s">
        <v>197</v>
      </c>
      <c r="CC6" s="430" t="s">
        <v>197</v>
      </c>
      <c r="CD6" s="430" t="s">
        <v>197</v>
      </c>
      <c r="CE6" s="430" t="s">
        <v>197</v>
      </c>
      <c r="CF6" s="430" t="s">
        <v>197</v>
      </c>
      <c r="CG6" s="430" t="s">
        <v>197</v>
      </c>
      <c r="CH6" s="430" t="s">
        <v>197</v>
      </c>
      <c r="CI6" s="430" t="s">
        <v>197</v>
      </c>
      <c r="CJ6" s="430" t="s">
        <v>197</v>
      </c>
      <c r="CK6" s="430" t="s">
        <v>197</v>
      </c>
      <c r="CL6" s="430" t="s">
        <v>197</v>
      </c>
      <c r="CM6" s="430" t="s">
        <v>197</v>
      </c>
    </row>
    <row r="7" spans="1:91" ht="10.5" hidden="1">
      <c r="A7" s="462" t="s">
        <v>129</v>
      </c>
      <c r="B7" s="462" t="s">
        <v>111</v>
      </c>
      <c r="C7" s="462" t="s">
        <v>130</v>
      </c>
      <c r="D7" s="462" t="s">
        <v>63</v>
      </c>
      <c r="E7" s="462" t="s">
        <v>64</v>
      </c>
      <c r="F7" s="462" t="s">
        <v>65</v>
      </c>
      <c r="G7" s="462" t="s">
        <v>66</v>
      </c>
      <c r="H7" s="462" t="s">
        <v>67</v>
      </c>
      <c r="I7" s="439" t="s">
        <v>68</v>
      </c>
      <c r="J7" s="430" t="s">
        <v>131</v>
      </c>
      <c r="K7" s="430"/>
      <c r="L7" s="430"/>
      <c r="M7" s="430" t="s">
        <v>68</v>
      </c>
      <c r="N7" s="432" t="s">
        <v>68</v>
      </c>
      <c r="O7" s="430" t="s">
        <v>132</v>
      </c>
      <c r="P7" s="430" t="s">
        <v>133</v>
      </c>
      <c r="Q7" s="430" t="s">
        <v>134</v>
      </c>
      <c r="R7" s="431" t="s">
        <v>73</v>
      </c>
      <c r="S7" s="442" t="s">
        <v>120</v>
      </c>
      <c r="T7" s="433">
        <v>720</v>
      </c>
      <c r="U7" s="1062">
        <v>1782</v>
      </c>
      <c r="V7" s="434">
        <v>1.2829999999999999</v>
      </c>
      <c r="W7" s="435">
        <v>54</v>
      </c>
      <c r="X7" s="1015">
        <v>3</v>
      </c>
      <c r="Y7" s="430" t="s">
        <v>75</v>
      </c>
      <c r="Z7" s="430" t="s">
        <v>75</v>
      </c>
      <c r="AA7" s="430"/>
      <c r="AB7" s="437">
        <v>46012</v>
      </c>
      <c r="AC7" s="438">
        <v>51</v>
      </c>
      <c r="AD7" s="439" t="s">
        <v>135</v>
      </c>
      <c r="AE7" s="430"/>
      <c r="AF7" s="430" t="s">
        <v>122</v>
      </c>
      <c r="AG7" s="430" t="s">
        <v>123</v>
      </c>
      <c r="AH7" s="430" t="s">
        <v>78</v>
      </c>
      <c r="AI7" s="437">
        <v>46020</v>
      </c>
      <c r="AJ7" s="437">
        <v>46030</v>
      </c>
      <c r="AK7" s="441">
        <v>46030</v>
      </c>
      <c r="AL7" s="437">
        <v>46064</v>
      </c>
      <c r="AM7" s="437">
        <v>46098</v>
      </c>
      <c r="AN7" s="437">
        <v>46099</v>
      </c>
      <c r="AO7" s="430" t="s">
        <v>66</v>
      </c>
      <c r="AP7" s="430" t="s">
        <v>125</v>
      </c>
      <c r="AQ7" s="430" t="s">
        <v>80</v>
      </c>
      <c r="AR7" s="430" t="s">
        <v>136</v>
      </c>
      <c r="AS7" s="430" t="s">
        <v>137</v>
      </c>
      <c r="AT7" s="430" t="s">
        <v>137</v>
      </c>
      <c r="AU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69</v>
      </c>
      <c r="AW7" s="437">
        <v>46099</v>
      </c>
      <c r="AX7" s="433" t="s">
        <v>84</v>
      </c>
      <c r="AY7" s="437">
        <v>46112</v>
      </c>
      <c r="AZ7" s="442">
        <v>8</v>
      </c>
      <c r="BA7" s="437">
        <v>46107</v>
      </c>
      <c r="BB7" s="433">
        <v>2026</v>
      </c>
      <c r="BC7" s="430">
        <v>3</v>
      </c>
      <c r="BD7" s="430">
        <v>13</v>
      </c>
      <c r="BE7" s="431">
        <v>33</v>
      </c>
      <c r="BF7" s="431">
        <v>594</v>
      </c>
      <c r="BG7" s="431" t="s">
        <v>108</v>
      </c>
      <c r="BH7" s="431" t="s">
        <v>86</v>
      </c>
      <c r="BI7" s="430" t="s">
        <v>197</v>
      </c>
      <c r="BJ7" s="430" t="s">
        <v>197</v>
      </c>
      <c r="BK7" s="430" t="s">
        <v>197</v>
      </c>
      <c r="BL7" s="430" t="s">
        <v>197</v>
      </c>
      <c r="BM7" s="430" t="s">
        <v>197</v>
      </c>
      <c r="BN7" s="430" t="s">
        <v>197</v>
      </c>
      <c r="BO7" s="430" t="s">
        <v>197</v>
      </c>
      <c r="BP7" s="430" t="s">
        <v>197</v>
      </c>
      <c r="BQ7" s="430" t="s">
        <v>197</v>
      </c>
      <c r="BR7" s="430" t="s">
        <v>197</v>
      </c>
      <c r="BS7" s="430" t="s">
        <v>197</v>
      </c>
      <c r="BT7" s="430" t="s">
        <v>197</v>
      </c>
      <c r="BU7" s="430" t="s">
        <v>197</v>
      </c>
      <c r="BV7" s="430" t="s">
        <v>197</v>
      </c>
      <c r="BW7" s="430" t="s">
        <v>197</v>
      </c>
      <c r="BX7" s="430" t="s">
        <v>197</v>
      </c>
      <c r="BY7" s="430" t="s">
        <v>197</v>
      </c>
      <c r="BZ7" s="430" t="s">
        <v>197</v>
      </c>
      <c r="CA7" s="430" t="s">
        <v>197</v>
      </c>
      <c r="CB7" s="430" t="s">
        <v>197</v>
      </c>
      <c r="CC7" s="430" t="s">
        <v>197</v>
      </c>
      <c r="CD7" s="430" t="s">
        <v>197</v>
      </c>
      <c r="CE7" s="430" t="s">
        <v>197</v>
      </c>
      <c r="CF7" s="430" t="s">
        <v>197</v>
      </c>
      <c r="CG7" s="430" t="s">
        <v>197</v>
      </c>
      <c r="CH7" s="430" t="s">
        <v>197</v>
      </c>
      <c r="CI7" s="430" t="s">
        <v>197</v>
      </c>
      <c r="CJ7" s="430" t="s">
        <v>197</v>
      </c>
      <c r="CK7" s="430" t="s">
        <v>197</v>
      </c>
      <c r="CL7" s="430" t="s">
        <v>197</v>
      </c>
      <c r="CM7" s="430" t="s">
        <v>197</v>
      </c>
    </row>
    <row r="8" spans="1:91" ht="10.5" hidden="1">
      <c r="A8" s="462" t="s">
        <v>138</v>
      </c>
      <c r="B8" s="462" t="s">
        <v>111</v>
      </c>
      <c r="C8" s="462" t="s">
        <v>130</v>
      </c>
      <c r="D8" s="462" t="s">
        <v>63</v>
      </c>
      <c r="E8" s="462" t="s">
        <v>64</v>
      </c>
      <c r="F8" s="462" t="s">
        <v>100</v>
      </c>
      <c r="G8" s="462" t="s">
        <v>66</v>
      </c>
      <c r="H8" s="462" t="s">
        <v>67</v>
      </c>
      <c r="I8" s="439" t="s">
        <v>68</v>
      </c>
      <c r="J8" s="430" t="s">
        <v>101</v>
      </c>
      <c r="K8" s="430"/>
      <c r="L8" s="430"/>
      <c r="M8" s="430" t="s">
        <v>68</v>
      </c>
      <c r="N8" s="432" t="s">
        <v>68</v>
      </c>
      <c r="O8" s="430" t="s">
        <v>132</v>
      </c>
      <c r="P8" s="430" t="s">
        <v>133</v>
      </c>
      <c r="Q8" s="430" t="s">
        <v>134</v>
      </c>
      <c r="R8" s="431" t="s">
        <v>73</v>
      </c>
      <c r="S8" s="442" t="s">
        <v>120</v>
      </c>
      <c r="T8" s="433">
        <v>720</v>
      </c>
      <c r="U8" s="1062">
        <v>1782</v>
      </c>
      <c r="V8" s="434">
        <v>1.2829999999999999</v>
      </c>
      <c r="W8" s="435">
        <v>54</v>
      </c>
      <c r="X8" s="1015">
        <v>3</v>
      </c>
      <c r="Y8" s="430" t="s">
        <v>75</v>
      </c>
      <c r="Z8" s="430" t="s">
        <v>75</v>
      </c>
      <c r="AA8" s="430"/>
      <c r="AB8" s="437">
        <v>46008</v>
      </c>
      <c r="AC8" s="438">
        <v>51</v>
      </c>
      <c r="AD8" s="439" t="s">
        <v>139</v>
      </c>
      <c r="AE8" s="430"/>
      <c r="AF8" s="430" t="s">
        <v>122</v>
      </c>
      <c r="AG8" s="430" t="s">
        <v>123</v>
      </c>
      <c r="AH8" s="430" t="s">
        <v>105</v>
      </c>
      <c r="AI8" s="437">
        <v>46014</v>
      </c>
      <c r="AJ8" s="437">
        <v>46018</v>
      </c>
      <c r="AK8" s="441">
        <v>46017</v>
      </c>
      <c r="AL8" s="437">
        <v>46073</v>
      </c>
      <c r="AM8" s="437">
        <v>46090</v>
      </c>
      <c r="AN8" s="437">
        <v>46090</v>
      </c>
      <c r="AO8" s="430" t="s">
        <v>66</v>
      </c>
      <c r="AP8" s="430" t="s">
        <v>140</v>
      </c>
      <c r="AQ8" s="430" t="s">
        <v>80</v>
      </c>
      <c r="AR8" s="430" t="s">
        <v>141</v>
      </c>
      <c r="AS8" s="430" t="s">
        <v>142</v>
      </c>
      <c r="AT8" s="430" t="s">
        <v>142</v>
      </c>
      <c r="AU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73</v>
      </c>
      <c r="AW8" s="437">
        <v>46090</v>
      </c>
      <c r="AX8" s="433" t="s">
        <v>84</v>
      </c>
      <c r="AY8" s="437">
        <v>46104</v>
      </c>
      <c r="AZ8" s="442">
        <v>7</v>
      </c>
      <c r="BA8" s="437">
        <v>46097</v>
      </c>
      <c r="BB8" s="433">
        <v>2026</v>
      </c>
      <c r="BC8" s="430">
        <v>3</v>
      </c>
      <c r="BD8" s="430">
        <v>12</v>
      </c>
      <c r="BE8" s="431">
        <v>33</v>
      </c>
      <c r="BF8" s="431">
        <v>594</v>
      </c>
      <c r="BG8" s="431" t="s">
        <v>108</v>
      </c>
      <c r="BH8" s="431" t="s">
        <v>109</v>
      </c>
      <c r="BI8" s="430" t="s">
        <v>197</v>
      </c>
      <c r="BJ8" s="430" t="s">
        <v>197</v>
      </c>
      <c r="BK8" s="430" t="s">
        <v>197</v>
      </c>
      <c r="BL8" s="430" t="s">
        <v>197</v>
      </c>
      <c r="BM8" s="430" t="s">
        <v>197</v>
      </c>
      <c r="BN8" s="430" t="s">
        <v>197</v>
      </c>
      <c r="BO8" s="430" t="s">
        <v>197</v>
      </c>
      <c r="BP8" s="430" t="s">
        <v>197</v>
      </c>
      <c r="BQ8" s="430" t="s">
        <v>197</v>
      </c>
      <c r="BR8" s="430" t="s">
        <v>197</v>
      </c>
      <c r="BS8" s="430" t="s">
        <v>197</v>
      </c>
      <c r="BT8" s="430" t="s">
        <v>197</v>
      </c>
      <c r="BU8" s="430" t="s">
        <v>197</v>
      </c>
      <c r="BV8" s="430" t="s">
        <v>197</v>
      </c>
      <c r="BW8" s="430" t="s">
        <v>197</v>
      </c>
      <c r="BX8" s="430" t="s">
        <v>197</v>
      </c>
      <c r="BY8" s="430" t="s">
        <v>197</v>
      </c>
      <c r="BZ8" s="430" t="s">
        <v>197</v>
      </c>
      <c r="CA8" s="430" t="s">
        <v>197</v>
      </c>
      <c r="CB8" s="430" t="s">
        <v>197</v>
      </c>
      <c r="CC8" s="430" t="s">
        <v>197</v>
      </c>
      <c r="CD8" s="430" t="s">
        <v>197</v>
      </c>
      <c r="CE8" s="430" t="s">
        <v>197</v>
      </c>
      <c r="CF8" s="430" t="s">
        <v>197</v>
      </c>
      <c r="CG8" s="430" t="s">
        <v>197</v>
      </c>
      <c r="CH8" s="430" t="s">
        <v>197</v>
      </c>
      <c r="CI8" s="430" t="s">
        <v>197</v>
      </c>
      <c r="CJ8" s="430" t="s">
        <v>197</v>
      </c>
      <c r="CK8" s="430" t="s">
        <v>197</v>
      </c>
      <c r="CL8" s="430" t="s">
        <v>197</v>
      </c>
      <c r="CM8" s="430" t="s">
        <v>197</v>
      </c>
    </row>
    <row r="9" spans="1:91" ht="10.5" hidden="1">
      <c r="A9" s="462" t="s">
        <v>143</v>
      </c>
      <c r="B9" s="462" t="s">
        <v>61</v>
      </c>
      <c r="C9" s="462" t="s">
        <v>88</v>
      </c>
      <c r="D9" s="462" t="s">
        <v>63</v>
      </c>
      <c r="E9" s="462" t="s">
        <v>144</v>
      </c>
      <c r="F9" s="462" t="s">
        <v>145</v>
      </c>
      <c r="G9" s="462" t="s">
        <v>146</v>
      </c>
      <c r="H9" s="462" t="s">
        <v>147</v>
      </c>
      <c r="I9" s="439" t="s">
        <v>68</v>
      </c>
      <c r="J9" s="430" t="s">
        <v>147</v>
      </c>
      <c r="K9" s="430">
        <v>46010731</v>
      </c>
      <c r="L9" s="430"/>
      <c r="M9" s="430" t="s">
        <v>68</v>
      </c>
      <c r="N9" s="432" t="s">
        <v>68</v>
      </c>
      <c r="O9" s="430" t="s">
        <v>70</v>
      </c>
      <c r="P9" s="430" t="s">
        <v>91</v>
      </c>
      <c r="Q9" s="430" t="s">
        <v>92</v>
      </c>
      <c r="R9" s="431" t="s">
        <v>73</v>
      </c>
      <c r="S9" s="442" t="s">
        <v>74</v>
      </c>
      <c r="T9" s="433">
        <v>450</v>
      </c>
      <c r="U9" s="1062">
        <v>936</v>
      </c>
      <c r="V9" s="434">
        <v>0.42099999999999999</v>
      </c>
      <c r="W9" s="435">
        <v>26</v>
      </c>
      <c r="X9" s="1015">
        <v>1</v>
      </c>
      <c r="Y9" s="430" t="s">
        <v>75</v>
      </c>
      <c r="Z9" s="430" t="s">
        <v>75</v>
      </c>
      <c r="AA9" s="430"/>
      <c r="AB9" s="437">
        <v>46009</v>
      </c>
      <c r="AC9" s="438">
        <v>51</v>
      </c>
      <c r="AD9" s="439" t="s">
        <v>148</v>
      </c>
      <c r="AE9" s="430">
        <v>371009343</v>
      </c>
      <c r="AF9" s="430" t="s">
        <v>77</v>
      </c>
      <c r="AG9" s="430" t="s">
        <v>61</v>
      </c>
      <c r="AH9" s="430" t="s">
        <v>78</v>
      </c>
      <c r="AI9" s="437">
        <v>46017</v>
      </c>
      <c r="AJ9" s="437">
        <v>46018</v>
      </c>
      <c r="AK9" s="441">
        <v>46018</v>
      </c>
      <c r="AL9" s="437">
        <v>46077</v>
      </c>
      <c r="AM9" s="437">
        <v>46090</v>
      </c>
      <c r="AN9" s="437">
        <v>46090</v>
      </c>
      <c r="AO9" s="430" t="s">
        <v>146</v>
      </c>
      <c r="AP9" s="430" t="s">
        <v>149</v>
      </c>
      <c r="AQ9" s="430" t="s">
        <v>80</v>
      </c>
      <c r="AR9" s="430" t="s">
        <v>150</v>
      </c>
      <c r="AS9" s="430" t="s">
        <v>151</v>
      </c>
      <c r="AT9" s="430" t="s">
        <v>151</v>
      </c>
      <c r="AU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V9" s="430" t="s">
        <v>83</v>
      </c>
      <c r="AW9" s="437">
        <v>46090</v>
      </c>
      <c r="AX9" s="433" t="s">
        <v>84</v>
      </c>
      <c r="AY9" s="437">
        <v>46026</v>
      </c>
      <c r="AZ9" s="442" t="s">
        <v>152</v>
      </c>
      <c r="BA9" s="437">
        <v>46090</v>
      </c>
      <c r="BB9" s="433">
        <v>2026</v>
      </c>
      <c r="BC9" s="430">
        <v>3</v>
      </c>
      <c r="BD9" s="430">
        <v>11</v>
      </c>
      <c r="BE9" s="431">
        <v>36</v>
      </c>
      <c r="BF9" s="431">
        <v>936</v>
      </c>
      <c r="BG9" s="431" t="s">
        <v>94</v>
      </c>
      <c r="BH9" s="431" t="s">
        <v>86</v>
      </c>
      <c r="BI9" s="430" t="s">
        <v>197</v>
      </c>
      <c r="BJ9" s="430" t="s">
        <v>197</v>
      </c>
      <c r="BK9" s="430" t="s">
        <v>197</v>
      </c>
      <c r="BL9" s="430" t="s">
        <v>197</v>
      </c>
      <c r="BM9" s="430" t="s">
        <v>197</v>
      </c>
      <c r="BN9" s="430" t="s">
        <v>197</v>
      </c>
      <c r="BO9" s="430" t="s">
        <v>197</v>
      </c>
      <c r="BP9" s="430" t="s">
        <v>197</v>
      </c>
      <c r="BQ9" s="430" t="s">
        <v>197</v>
      </c>
      <c r="BR9" s="430" t="s">
        <v>197</v>
      </c>
      <c r="BS9" s="430" t="s">
        <v>197</v>
      </c>
      <c r="BT9" s="430" t="s">
        <v>197</v>
      </c>
      <c r="BU9" s="430" t="s">
        <v>197</v>
      </c>
      <c r="BV9" s="430" t="s">
        <v>197</v>
      </c>
      <c r="BW9" s="430" t="s">
        <v>197</v>
      </c>
      <c r="BX9" s="430" t="s">
        <v>197</v>
      </c>
      <c r="BY9" s="430" t="s">
        <v>197</v>
      </c>
      <c r="BZ9" s="430" t="s">
        <v>197</v>
      </c>
      <c r="CA9" s="430" t="s">
        <v>197</v>
      </c>
      <c r="CB9" s="430" t="s">
        <v>197</v>
      </c>
      <c r="CC9" s="430" t="s">
        <v>197</v>
      </c>
      <c r="CD9" s="430" t="s">
        <v>197</v>
      </c>
      <c r="CE9" s="430" t="s">
        <v>197</v>
      </c>
      <c r="CF9" s="430" t="s">
        <v>197</v>
      </c>
      <c r="CG9" s="430" t="s">
        <v>197</v>
      </c>
      <c r="CH9" s="430" t="s">
        <v>197</v>
      </c>
      <c r="CI9" s="430" t="s">
        <v>197</v>
      </c>
      <c r="CJ9" s="430" t="s">
        <v>197</v>
      </c>
      <c r="CK9" s="430" t="s">
        <v>197</v>
      </c>
      <c r="CL9" s="430" t="s">
        <v>197</v>
      </c>
      <c r="CM9" s="430" t="s">
        <v>197</v>
      </c>
    </row>
    <row r="10" spans="1:91" ht="10.5" hidden="1">
      <c r="A10" s="462" t="s">
        <v>153</v>
      </c>
      <c r="B10" s="462" t="s">
        <v>61</v>
      </c>
      <c r="C10" s="462" t="s">
        <v>88</v>
      </c>
      <c r="D10" s="462" t="s">
        <v>63</v>
      </c>
      <c r="E10" s="462" t="s">
        <v>144</v>
      </c>
      <c r="F10" s="462" t="s">
        <v>145</v>
      </c>
      <c r="G10" s="462" t="s">
        <v>146</v>
      </c>
      <c r="H10" s="462" t="s">
        <v>147</v>
      </c>
      <c r="I10" s="439" t="s">
        <v>68</v>
      </c>
      <c r="J10" s="430" t="s">
        <v>147</v>
      </c>
      <c r="K10" s="430">
        <v>46010817</v>
      </c>
      <c r="L10" s="430"/>
      <c r="M10" s="430" t="s">
        <v>68</v>
      </c>
      <c r="N10" s="432" t="s">
        <v>68</v>
      </c>
      <c r="O10" s="430" t="s">
        <v>70</v>
      </c>
      <c r="P10" s="430" t="s">
        <v>91</v>
      </c>
      <c r="Q10" s="430" t="s">
        <v>92</v>
      </c>
      <c r="R10" s="431" t="s">
        <v>73</v>
      </c>
      <c r="S10" s="442" t="s">
        <v>74</v>
      </c>
      <c r="T10" s="433">
        <v>450</v>
      </c>
      <c r="U10" s="1062">
        <v>936</v>
      </c>
      <c r="V10" s="434">
        <v>0.42099999999999999</v>
      </c>
      <c r="W10" s="435">
        <v>26</v>
      </c>
      <c r="X10" s="1015">
        <v>1</v>
      </c>
      <c r="Y10" s="430" t="s">
        <v>75</v>
      </c>
      <c r="Z10" s="430" t="s">
        <v>75</v>
      </c>
      <c r="AA10" s="430"/>
      <c r="AB10" s="437">
        <v>46009</v>
      </c>
      <c r="AC10" s="438">
        <v>51</v>
      </c>
      <c r="AD10" s="439" t="s">
        <v>154</v>
      </c>
      <c r="AE10" s="430">
        <v>371009344</v>
      </c>
      <c r="AF10" s="430" t="s">
        <v>77</v>
      </c>
      <c r="AG10" s="430" t="s">
        <v>61</v>
      </c>
      <c r="AH10" s="430" t="s">
        <v>78</v>
      </c>
      <c r="AI10" s="437">
        <v>46017</v>
      </c>
      <c r="AJ10" s="437">
        <v>46018</v>
      </c>
      <c r="AK10" s="441">
        <v>46018</v>
      </c>
      <c r="AL10" s="437">
        <v>46077</v>
      </c>
      <c r="AM10" s="437">
        <v>46090</v>
      </c>
      <c r="AN10" s="437">
        <v>46090</v>
      </c>
      <c r="AO10" s="430" t="s">
        <v>146</v>
      </c>
      <c r="AP10" s="430" t="s">
        <v>149</v>
      </c>
      <c r="AQ10" s="430" t="s">
        <v>80</v>
      </c>
      <c r="AR10" s="430" t="s">
        <v>150</v>
      </c>
      <c r="AS10" s="430" t="s">
        <v>151</v>
      </c>
      <c r="AT10" s="430" t="s">
        <v>151</v>
      </c>
      <c r="AU1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V10" s="430" t="s">
        <v>83</v>
      </c>
      <c r="AW10" s="437">
        <v>46090</v>
      </c>
      <c r="AX10" s="433" t="s">
        <v>84</v>
      </c>
      <c r="AY10" s="437">
        <v>46026</v>
      </c>
      <c r="AZ10" s="442" t="s">
        <v>152</v>
      </c>
      <c r="BA10" s="437">
        <v>46090</v>
      </c>
      <c r="BB10" s="433">
        <v>2026</v>
      </c>
      <c r="BC10" s="430">
        <v>3</v>
      </c>
      <c r="BD10" s="430">
        <v>11</v>
      </c>
      <c r="BE10" s="431">
        <v>36</v>
      </c>
      <c r="BF10" s="431">
        <v>936</v>
      </c>
      <c r="BG10" s="431" t="s">
        <v>94</v>
      </c>
      <c r="BH10" s="431" t="s">
        <v>86</v>
      </c>
      <c r="BI10" s="430" t="s">
        <v>197</v>
      </c>
      <c r="BJ10" s="430" t="s">
        <v>197</v>
      </c>
      <c r="BK10" s="430" t="s">
        <v>197</v>
      </c>
      <c r="BL10" s="430" t="s">
        <v>197</v>
      </c>
      <c r="BM10" s="430" t="s">
        <v>197</v>
      </c>
      <c r="BN10" s="430" t="s">
        <v>197</v>
      </c>
      <c r="BO10" s="430" t="s">
        <v>197</v>
      </c>
      <c r="BP10" s="430" t="s">
        <v>197</v>
      </c>
      <c r="BQ10" s="430" t="s">
        <v>197</v>
      </c>
      <c r="BR10" s="430" t="s">
        <v>197</v>
      </c>
      <c r="BS10" s="430" t="s">
        <v>197</v>
      </c>
      <c r="BT10" s="430" t="s">
        <v>197</v>
      </c>
      <c r="BU10" s="430" t="s">
        <v>197</v>
      </c>
      <c r="BV10" s="430" t="s">
        <v>197</v>
      </c>
      <c r="BW10" s="430" t="s">
        <v>197</v>
      </c>
      <c r="BX10" s="430" t="s">
        <v>197</v>
      </c>
      <c r="BY10" s="430" t="s">
        <v>197</v>
      </c>
      <c r="BZ10" s="430" t="s">
        <v>197</v>
      </c>
      <c r="CA10" s="430" t="s">
        <v>197</v>
      </c>
      <c r="CB10" s="430" t="s">
        <v>197</v>
      </c>
      <c r="CC10" s="430" t="s">
        <v>197</v>
      </c>
      <c r="CD10" s="430" t="s">
        <v>197</v>
      </c>
      <c r="CE10" s="430" t="s">
        <v>197</v>
      </c>
      <c r="CF10" s="430" t="s">
        <v>197</v>
      </c>
      <c r="CG10" s="430" t="s">
        <v>197</v>
      </c>
      <c r="CH10" s="430" t="s">
        <v>197</v>
      </c>
      <c r="CI10" s="430" t="s">
        <v>197</v>
      </c>
      <c r="CJ10" s="430" t="s">
        <v>197</v>
      </c>
      <c r="CK10" s="430" t="s">
        <v>197</v>
      </c>
      <c r="CL10" s="430" t="s">
        <v>197</v>
      </c>
      <c r="CM10" s="430" t="s">
        <v>197</v>
      </c>
    </row>
    <row r="11" spans="1:91" ht="10.5" hidden="1">
      <c r="A11" s="462" t="s">
        <v>155</v>
      </c>
      <c r="B11" s="462" t="s">
        <v>61</v>
      </c>
      <c r="C11" s="462" t="s">
        <v>62</v>
      </c>
      <c r="D11" s="462" t="s">
        <v>63</v>
      </c>
      <c r="E11" s="462" t="s">
        <v>144</v>
      </c>
      <c r="F11" s="462" t="s">
        <v>145</v>
      </c>
      <c r="G11" s="462" t="s">
        <v>156</v>
      </c>
      <c r="H11" s="462" t="s">
        <v>157</v>
      </c>
      <c r="I11" s="439" t="s">
        <v>68</v>
      </c>
      <c r="J11" s="430" t="s">
        <v>157</v>
      </c>
      <c r="K11" s="430">
        <v>46011026</v>
      </c>
      <c r="L11" s="430"/>
      <c r="M11" s="430" t="s">
        <v>68</v>
      </c>
      <c r="N11" s="432" t="s">
        <v>68</v>
      </c>
      <c r="O11" s="430" t="s">
        <v>70</v>
      </c>
      <c r="P11" s="430" t="s">
        <v>71</v>
      </c>
      <c r="Q11" s="430" t="s">
        <v>72</v>
      </c>
      <c r="R11" s="431" t="s">
        <v>73</v>
      </c>
      <c r="S11" s="442" t="s">
        <v>74</v>
      </c>
      <c r="T11" s="433">
        <v>500</v>
      </c>
      <c r="U11" s="1062">
        <v>2592</v>
      </c>
      <c r="V11" s="434">
        <v>1.296</v>
      </c>
      <c r="W11" s="435">
        <v>72</v>
      </c>
      <c r="X11" s="1015">
        <v>3</v>
      </c>
      <c r="Y11" s="430" t="s">
        <v>75</v>
      </c>
      <c r="Z11" s="430" t="s">
        <v>75</v>
      </c>
      <c r="AA11" s="430"/>
      <c r="AB11" s="437">
        <v>46011</v>
      </c>
      <c r="AC11" s="438">
        <v>51</v>
      </c>
      <c r="AD11" s="439" t="s">
        <v>158</v>
      </c>
      <c r="AE11" s="430">
        <v>371009338</v>
      </c>
      <c r="AF11" s="430" t="s">
        <v>77</v>
      </c>
      <c r="AG11" s="430" t="s">
        <v>61</v>
      </c>
      <c r="AH11" s="430" t="s">
        <v>159</v>
      </c>
      <c r="AI11" s="437">
        <v>46020</v>
      </c>
      <c r="AJ11" s="437">
        <v>46022</v>
      </c>
      <c r="AK11" s="441">
        <v>46020</v>
      </c>
      <c r="AL11" s="437">
        <v>46088</v>
      </c>
      <c r="AM11" s="437">
        <v>46106</v>
      </c>
      <c r="AN11" s="437">
        <v>46106</v>
      </c>
      <c r="AO11" s="430" t="s">
        <v>156</v>
      </c>
      <c r="AP11" s="430" t="s">
        <v>160</v>
      </c>
      <c r="AQ11" s="430" t="s">
        <v>161</v>
      </c>
      <c r="AR11" s="430">
        <v>46011026</v>
      </c>
      <c r="AS11" s="430">
        <v>1071458212</v>
      </c>
      <c r="AT11" s="430" t="s">
        <v>162</v>
      </c>
      <c r="AU1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86</v>
      </c>
      <c r="AW11" s="437">
        <v>46106</v>
      </c>
      <c r="AX11" s="433" t="s">
        <v>84</v>
      </c>
      <c r="AY11" s="437">
        <v>46026</v>
      </c>
      <c r="AZ11" s="442" t="s">
        <v>152</v>
      </c>
      <c r="BA11" s="437">
        <v>46106</v>
      </c>
      <c r="BB11" s="433">
        <v>2026</v>
      </c>
      <c r="BC11" s="430">
        <v>3</v>
      </c>
      <c r="BD11" s="430">
        <v>13</v>
      </c>
      <c r="BE11" s="431">
        <v>36</v>
      </c>
      <c r="BF11" s="431">
        <v>864</v>
      </c>
      <c r="BG11" s="431" t="s">
        <v>85</v>
      </c>
      <c r="BH11" s="431" t="s">
        <v>109</v>
      </c>
      <c r="BI11" s="430" t="s">
        <v>197</v>
      </c>
      <c r="BJ11" s="430" t="s">
        <v>197</v>
      </c>
      <c r="BK11" s="430" t="s">
        <v>197</v>
      </c>
      <c r="BL11" s="430" t="s">
        <v>197</v>
      </c>
      <c r="BM11" s="430" t="s">
        <v>197</v>
      </c>
      <c r="BN11" s="430" t="s">
        <v>197</v>
      </c>
      <c r="BO11" s="430" t="s">
        <v>197</v>
      </c>
      <c r="BP11" s="430" t="s">
        <v>197</v>
      </c>
      <c r="BQ11" s="430" t="s">
        <v>197</v>
      </c>
      <c r="BR11" s="430" t="s">
        <v>197</v>
      </c>
      <c r="BS11" s="430" t="s">
        <v>197</v>
      </c>
      <c r="BT11" s="430" t="s">
        <v>197</v>
      </c>
      <c r="BU11" s="430" t="s">
        <v>197</v>
      </c>
      <c r="BV11" s="430" t="s">
        <v>197</v>
      </c>
      <c r="BW11" s="430" t="s">
        <v>197</v>
      </c>
      <c r="BX11" s="430" t="s">
        <v>197</v>
      </c>
      <c r="BY11" s="430" t="s">
        <v>197</v>
      </c>
      <c r="BZ11" s="430" t="s">
        <v>197</v>
      </c>
      <c r="CA11" s="430" t="s">
        <v>197</v>
      </c>
      <c r="CB11" s="430" t="s">
        <v>197</v>
      </c>
      <c r="CC11" s="430" t="s">
        <v>197</v>
      </c>
      <c r="CD11" s="430" t="s">
        <v>197</v>
      </c>
      <c r="CE11" s="430" t="s">
        <v>197</v>
      </c>
      <c r="CF11" s="430" t="s">
        <v>197</v>
      </c>
      <c r="CG11" s="430" t="s">
        <v>197</v>
      </c>
      <c r="CH11" s="430" t="s">
        <v>197</v>
      </c>
      <c r="CI11" s="430" t="s">
        <v>197</v>
      </c>
      <c r="CJ11" s="430" t="s">
        <v>197</v>
      </c>
      <c r="CK11" s="430" t="s">
        <v>197</v>
      </c>
      <c r="CL11" s="430" t="s">
        <v>197</v>
      </c>
      <c r="CM11" s="430" t="s">
        <v>197</v>
      </c>
    </row>
    <row r="12" spans="1:91" ht="10.5" hidden="1">
      <c r="A12" s="462" t="s">
        <v>163</v>
      </c>
      <c r="B12" s="462" t="s">
        <v>61</v>
      </c>
      <c r="C12" s="462" t="s">
        <v>99</v>
      </c>
      <c r="D12" s="462" t="s">
        <v>63</v>
      </c>
      <c r="E12" s="462" t="s">
        <v>64</v>
      </c>
      <c r="F12" s="462" t="s">
        <v>100</v>
      </c>
      <c r="G12" s="462" t="s">
        <v>66</v>
      </c>
      <c r="H12" s="462" t="s">
        <v>67</v>
      </c>
      <c r="I12" s="439" t="s">
        <v>68</v>
      </c>
      <c r="J12" s="430" t="s">
        <v>101</v>
      </c>
      <c r="K12" s="430"/>
      <c r="L12" s="430"/>
      <c r="M12" s="430" t="s">
        <v>68</v>
      </c>
      <c r="N12" s="432" t="s">
        <v>68</v>
      </c>
      <c r="O12" s="430" t="s">
        <v>70</v>
      </c>
      <c r="P12" s="430" t="s">
        <v>102</v>
      </c>
      <c r="Q12" s="430" t="s">
        <v>103</v>
      </c>
      <c r="R12" s="431" t="s">
        <v>73</v>
      </c>
      <c r="S12" s="442" t="s">
        <v>74</v>
      </c>
      <c r="T12" s="433">
        <v>620</v>
      </c>
      <c r="U12" s="1062">
        <v>4320</v>
      </c>
      <c r="V12" s="434">
        <v>2.6779999999999999</v>
      </c>
      <c r="W12" s="435">
        <v>120</v>
      </c>
      <c r="X12" s="1015">
        <v>6</v>
      </c>
      <c r="Y12" s="430" t="s">
        <v>75</v>
      </c>
      <c r="Z12" s="430" t="s">
        <v>75</v>
      </c>
      <c r="AA12" s="430"/>
      <c r="AB12" s="437">
        <v>46009</v>
      </c>
      <c r="AC12" s="438">
        <v>51</v>
      </c>
      <c r="AD12" s="439" t="s">
        <v>164</v>
      </c>
      <c r="AE12" s="430"/>
      <c r="AF12" s="430" t="s">
        <v>77</v>
      </c>
      <c r="AG12" s="430" t="s">
        <v>61</v>
      </c>
      <c r="AH12" s="430" t="s">
        <v>105</v>
      </c>
      <c r="AI12" s="437">
        <v>46017</v>
      </c>
      <c r="AJ12" s="437">
        <v>46018</v>
      </c>
      <c r="AK12" s="441">
        <v>46018</v>
      </c>
      <c r="AL12" s="437">
        <v>46078</v>
      </c>
      <c r="AM12" s="437">
        <v>46111</v>
      </c>
      <c r="AN12" s="437">
        <v>46111</v>
      </c>
      <c r="AO12" s="430" t="s">
        <v>66</v>
      </c>
      <c r="AP12" s="430" t="s">
        <v>149</v>
      </c>
      <c r="AQ12" s="430" t="s">
        <v>80</v>
      </c>
      <c r="AR12" s="430" t="s">
        <v>165</v>
      </c>
      <c r="AS12" s="430" t="s">
        <v>166</v>
      </c>
      <c r="AT12" s="430" t="s">
        <v>166</v>
      </c>
      <c r="AU1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93</v>
      </c>
      <c r="AV12" s="430" t="s">
        <v>83</v>
      </c>
      <c r="AW12" s="437">
        <v>46111</v>
      </c>
      <c r="AX12" s="433" t="s">
        <v>84</v>
      </c>
      <c r="AY12" s="437">
        <v>46125</v>
      </c>
      <c r="AZ12" s="442">
        <v>7</v>
      </c>
      <c r="BA12" s="437">
        <v>46118</v>
      </c>
      <c r="BB12" s="433">
        <v>2026</v>
      </c>
      <c r="BC12" s="430">
        <v>4</v>
      </c>
      <c r="BD12" s="430">
        <v>15</v>
      </c>
      <c r="BE12" s="431">
        <v>36</v>
      </c>
      <c r="BF12" s="431">
        <v>720</v>
      </c>
      <c r="BG12" s="431" t="s">
        <v>108</v>
      </c>
      <c r="BH12" s="431" t="s">
        <v>109</v>
      </c>
      <c r="BI12" s="430" t="s">
        <v>197</v>
      </c>
      <c r="BJ12" s="430" t="s">
        <v>197</v>
      </c>
      <c r="BK12" s="430" t="s">
        <v>197</v>
      </c>
      <c r="BL12" s="430" t="s">
        <v>197</v>
      </c>
      <c r="BM12" s="430" t="s">
        <v>197</v>
      </c>
      <c r="BN12" s="430" t="s">
        <v>197</v>
      </c>
      <c r="BO12" s="430" t="s">
        <v>197</v>
      </c>
      <c r="BP12" s="430" t="s">
        <v>197</v>
      </c>
      <c r="BQ12" s="430" t="s">
        <v>197</v>
      </c>
      <c r="BR12" s="430" t="s">
        <v>197</v>
      </c>
      <c r="BS12" s="430" t="s">
        <v>197</v>
      </c>
      <c r="BT12" s="430" t="s">
        <v>197</v>
      </c>
      <c r="BU12" s="430" t="s">
        <v>197</v>
      </c>
      <c r="BV12" s="430" t="s">
        <v>197</v>
      </c>
      <c r="BW12" s="430" t="s">
        <v>197</v>
      </c>
      <c r="BX12" s="430" t="s">
        <v>197</v>
      </c>
      <c r="BY12" s="430" t="s">
        <v>197</v>
      </c>
      <c r="BZ12" s="430" t="s">
        <v>197</v>
      </c>
      <c r="CA12" s="430" t="s">
        <v>197</v>
      </c>
      <c r="CB12" s="430" t="s">
        <v>197</v>
      </c>
      <c r="CC12" s="430" t="s">
        <v>197</v>
      </c>
      <c r="CD12" s="430" t="s">
        <v>197</v>
      </c>
      <c r="CE12" s="430" t="s">
        <v>197</v>
      </c>
      <c r="CF12" s="430" t="s">
        <v>197</v>
      </c>
      <c r="CG12" s="430" t="s">
        <v>197</v>
      </c>
      <c r="CH12" s="430" t="s">
        <v>197</v>
      </c>
      <c r="CI12" s="430" t="s">
        <v>197</v>
      </c>
      <c r="CJ12" s="430" t="s">
        <v>197</v>
      </c>
      <c r="CK12" s="430" t="s">
        <v>197</v>
      </c>
      <c r="CL12" s="430" t="s">
        <v>197</v>
      </c>
      <c r="CM12" s="430" t="s">
        <v>197</v>
      </c>
    </row>
    <row r="13" spans="1:91" ht="10.5" hidden="1">
      <c r="A13" s="462" t="s">
        <v>167</v>
      </c>
      <c r="B13" s="462" t="s">
        <v>111</v>
      </c>
      <c r="C13" s="462" t="s">
        <v>168</v>
      </c>
      <c r="D13" s="462" t="s">
        <v>63</v>
      </c>
      <c r="E13" s="462" t="s">
        <v>64</v>
      </c>
      <c r="F13" s="462" t="s">
        <v>100</v>
      </c>
      <c r="G13" s="462" t="s">
        <v>66</v>
      </c>
      <c r="H13" s="462" t="s">
        <v>67</v>
      </c>
      <c r="I13" s="439" t="s">
        <v>68</v>
      </c>
      <c r="J13" s="430" t="s">
        <v>169</v>
      </c>
      <c r="K13" s="430"/>
      <c r="L13" s="430"/>
      <c r="M13" s="430" t="s">
        <v>68</v>
      </c>
      <c r="N13" s="432" t="s">
        <v>68</v>
      </c>
      <c r="O13" s="430" t="s">
        <v>170</v>
      </c>
      <c r="P13" s="430" t="s">
        <v>171</v>
      </c>
      <c r="Q13" s="430" t="s">
        <v>172</v>
      </c>
      <c r="R13" s="431" t="s">
        <v>73</v>
      </c>
      <c r="S13" s="442" t="s">
        <v>120</v>
      </c>
      <c r="T13" s="433">
        <v>555</v>
      </c>
      <c r="U13" s="1062">
        <v>1320</v>
      </c>
      <c r="V13" s="434">
        <v>0.73299999999999998</v>
      </c>
      <c r="W13" s="435">
        <v>40</v>
      </c>
      <c r="X13" s="1015">
        <v>2</v>
      </c>
      <c r="Y13" s="430" t="s">
        <v>75</v>
      </c>
      <c r="Z13" s="430" t="s">
        <v>75</v>
      </c>
      <c r="AA13" s="430"/>
      <c r="AB13" s="437">
        <v>46013</v>
      </c>
      <c r="AC13" s="438">
        <v>52</v>
      </c>
      <c r="AD13" s="439" t="s">
        <v>173</v>
      </c>
      <c r="AE13" s="430"/>
      <c r="AF13" s="430" t="s">
        <v>122</v>
      </c>
      <c r="AG13" s="430" t="s">
        <v>123</v>
      </c>
      <c r="AH13" s="430" t="s">
        <v>105</v>
      </c>
      <c r="AI13" s="437">
        <v>46021</v>
      </c>
      <c r="AJ13" s="437">
        <v>46031</v>
      </c>
      <c r="AK13" s="441">
        <v>46030</v>
      </c>
      <c r="AL13" s="437">
        <v>46075</v>
      </c>
      <c r="AM13" s="437">
        <v>46111</v>
      </c>
      <c r="AN13" s="437">
        <v>46111</v>
      </c>
      <c r="AO13" s="430" t="s">
        <v>66</v>
      </c>
      <c r="AP13" s="430" t="s">
        <v>174</v>
      </c>
      <c r="AQ13" s="430" t="s">
        <v>80</v>
      </c>
      <c r="AR13" s="430" t="s">
        <v>175</v>
      </c>
      <c r="AS13" s="430" t="s">
        <v>176</v>
      </c>
      <c r="AT13" s="430" t="s">
        <v>176</v>
      </c>
      <c r="AU1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81</v>
      </c>
      <c r="AW13" s="437">
        <v>46111</v>
      </c>
      <c r="AX13" s="433" t="s">
        <v>84</v>
      </c>
      <c r="AY13" s="437">
        <v>46125</v>
      </c>
      <c r="AZ13" s="442">
        <v>7</v>
      </c>
      <c r="BA13" s="437">
        <v>46118</v>
      </c>
      <c r="BB13" s="433">
        <v>2026</v>
      </c>
      <c r="BC13" s="430">
        <v>4</v>
      </c>
      <c r="BD13" s="430">
        <v>15</v>
      </c>
      <c r="BE13" s="431">
        <v>33</v>
      </c>
      <c r="BF13" s="431">
        <v>660</v>
      </c>
      <c r="BG13" s="431" t="s">
        <v>108</v>
      </c>
      <c r="BH13" s="431" t="s">
        <v>109</v>
      </c>
      <c r="BI13" s="430" t="s">
        <v>197</v>
      </c>
      <c r="BJ13" s="430" t="s">
        <v>197</v>
      </c>
      <c r="BK13" s="430" t="s">
        <v>197</v>
      </c>
      <c r="BL13" s="430" t="s">
        <v>197</v>
      </c>
      <c r="BM13" s="430" t="s">
        <v>197</v>
      </c>
      <c r="BN13" s="430" t="s">
        <v>197</v>
      </c>
      <c r="BO13" s="430" t="s">
        <v>197</v>
      </c>
      <c r="BP13" s="430" t="s">
        <v>197</v>
      </c>
      <c r="BQ13" s="430" t="s">
        <v>197</v>
      </c>
      <c r="BR13" s="430" t="s">
        <v>197</v>
      </c>
      <c r="BS13" s="430" t="s">
        <v>197</v>
      </c>
      <c r="BT13" s="430" t="s">
        <v>197</v>
      </c>
      <c r="BU13" s="430" t="s">
        <v>197</v>
      </c>
      <c r="BV13" s="430" t="s">
        <v>197</v>
      </c>
      <c r="BW13" s="430" t="s">
        <v>197</v>
      </c>
      <c r="BX13" s="430" t="s">
        <v>197</v>
      </c>
      <c r="BY13" s="430" t="s">
        <v>197</v>
      </c>
      <c r="BZ13" s="430" t="s">
        <v>197</v>
      </c>
      <c r="CA13" s="430" t="s">
        <v>197</v>
      </c>
      <c r="CB13" s="430" t="s">
        <v>197</v>
      </c>
      <c r="CC13" s="430" t="s">
        <v>197</v>
      </c>
      <c r="CD13" s="430" t="s">
        <v>197</v>
      </c>
      <c r="CE13" s="430" t="s">
        <v>197</v>
      </c>
      <c r="CF13" s="430" t="s">
        <v>197</v>
      </c>
      <c r="CG13" s="430" t="s">
        <v>197</v>
      </c>
      <c r="CH13" s="430" t="s">
        <v>197</v>
      </c>
      <c r="CI13" s="430" t="s">
        <v>197</v>
      </c>
      <c r="CJ13" s="430" t="s">
        <v>197</v>
      </c>
      <c r="CK13" s="430" t="s">
        <v>197</v>
      </c>
      <c r="CL13" s="430" t="s">
        <v>197</v>
      </c>
      <c r="CM13" s="430" t="s">
        <v>197</v>
      </c>
    </row>
    <row r="14" spans="1:91" ht="10.5" hidden="1">
      <c r="A14" s="462" t="s">
        <v>177</v>
      </c>
      <c r="B14" s="462" t="s">
        <v>111</v>
      </c>
      <c r="C14" s="462" t="s">
        <v>112</v>
      </c>
      <c r="D14" s="462" t="s">
        <v>113</v>
      </c>
      <c r="E14" s="462" t="s">
        <v>64</v>
      </c>
      <c r="F14" s="462" t="s">
        <v>114</v>
      </c>
      <c r="G14" s="462" t="s">
        <v>66</v>
      </c>
      <c r="H14" s="462" t="s">
        <v>115</v>
      </c>
      <c r="I14" s="439" t="s">
        <v>68</v>
      </c>
      <c r="J14" s="430" t="s">
        <v>116</v>
      </c>
      <c r="K14" s="430" t="s">
        <v>117</v>
      </c>
      <c r="L14" s="430"/>
      <c r="M14" s="430" t="s">
        <v>68</v>
      </c>
      <c r="N14" s="432" t="s">
        <v>68</v>
      </c>
      <c r="O14" s="430" t="s">
        <v>70</v>
      </c>
      <c r="P14" s="430" t="s">
        <v>118</v>
      </c>
      <c r="Q14" s="430" t="s">
        <v>119</v>
      </c>
      <c r="R14" s="431" t="s">
        <v>73</v>
      </c>
      <c r="S14" s="442" t="s">
        <v>120</v>
      </c>
      <c r="T14" s="433">
        <v>640</v>
      </c>
      <c r="U14" s="1062">
        <v>1152</v>
      </c>
      <c r="V14" s="434">
        <v>0.73699999999999999</v>
      </c>
      <c r="W14" s="435">
        <v>32</v>
      </c>
      <c r="X14" s="1015">
        <v>2</v>
      </c>
      <c r="Y14" s="430" t="s">
        <v>75</v>
      </c>
      <c r="Z14" s="430" t="s">
        <v>75</v>
      </c>
      <c r="AA14" s="430"/>
      <c r="AB14" s="437">
        <v>46018</v>
      </c>
      <c r="AC14" s="438">
        <v>52</v>
      </c>
      <c r="AD14" s="439" t="s">
        <v>178</v>
      </c>
      <c r="AE14" s="430"/>
      <c r="AF14" s="430" t="s">
        <v>122</v>
      </c>
      <c r="AG14" s="430" t="s">
        <v>123</v>
      </c>
      <c r="AH14" s="430" t="s">
        <v>124</v>
      </c>
      <c r="AI14" s="437">
        <v>46021</v>
      </c>
      <c r="AJ14" s="437">
        <v>46031</v>
      </c>
      <c r="AK14" s="441">
        <v>46030</v>
      </c>
      <c r="AL14" s="437">
        <v>46065</v>
      </c>
      <c r="AM14" s="437">
        <v>46088</v>
      </c>
      <c r="AN14" s="437">
        <v>46089</v>
      </c>
      <c r="AO14" s="430" t="s">
        <v>66</v>
      </c>
      <c r="AP14" s="430" t="s">
        <v>174</v>
      </c>
      <c r="AQ14" s="430" t="s">
        <v>80</v>
      </c>
      <c r="AR14" s="430" t="s">
        <v>179</v>
      </c>
      <c r="AS14" s="430" t="s">
        <v>180</v>
      </c>
      <c r="AT14" s="430" t="s">
        <v>180</v>
      </c>
      <c r="AU1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W14" s="437">
        <v>46089</v>
      </c>
      <c r="AX14" s="433" t="s">
        <v>84</v>
      </c>
      <c r="AY14" s="437">
        <v>46100</v>
      </c>
      <c r="AZ14" s="442">
        <v>9</v>
      </c>
      <c r="BA14" s="437">
        <v>46098</v>
      </c>
      <c r="BB14" s="433">
        <v>2026</v>
      </c>
      <c r="BC14" s="430">
        <v>3</v>
      </c>
      <c r="BD14" s="430">
        <v>12</v>
      </c>
      <c r="BE14" s="431">
        <v>36</v>
      </c>
      <c r="BF14" s="431">
        <v>576</v>
      </c>
      <c r="BG14" s="431" t="s">
        <v>128</v>
      </c>
      <c r="BH14" s="431" t="s">
        <v>86</v>
      </c>
      <c r="BI14" s="430" t="s">
        <v>197</v>
      </c>
      <c r="BJ14" s="430" t="s">
        <v>197</v>
      </c>
      <c r="BK14" s="430" t="s">
        <v>197</v>
      </c>
      <c r="BL14" s="430" t="s">
        <v>197</v>
      </c>
      <c r="BM14" s="430" t="s">
        <v>197</v>
      </c>
      <c r="BN14" s="430" t="s">
        <v>197</v>
      </c>
      <c r="BO14" s="430" t="s">
        <v>197</v>
      </c>
      <c r="BP14" s="430" t="s">
        <v>197</v>
      </c>
      <c r="BQ14" s="430" t="s">
        <v>197</v>
      </c>
      <c r="BR14" s="430" t="s">
        <v>197</v>
      </c>
      <c r="BS14" s="430" t="s">
        <v>197</v>
      </c>
      <c r="BT14" s="430" t="s">
        <v>197</v>
      </c>
      <c r="BU14" s="430" t="s">
        <v>197</v>
      </c>
      <c r="BV14" s="430" t="s">
        <v>197</v>
      </c>
      <c r="BW14" s="430" t="s">
        <v>197</v>
      </c>
      <c r="BX14" s="430" t="s">
        <v>197</v>
      </c>
      <c r="BY14" s="430" t="s">
        <v>197</v>
      </c>
      <c r="BZ14" s="430" t="s">
        <v>197</v>
      </c>
      <c r="CA14" s="430" t="s">
        <v>197</v>
      </c>
      <c r="CB14" s="430" t="s">
        <v>197</v>
      </c>
      <c r="CC14" s="430" t="s">
        <v>197</v>
      </c>
      <c r="CD14" s="430" t="s">
        <v>197</v>
      </c>
      <c r="CE14" s="430" t="s">
        <v>197</v>
      </c>
      <c r="CF14" s="430" t="s">
        <v>197</v>
      </c>
      <c r="CG14" s="430" t="s">
        <v>197</v>
      </c>
      <c r="CH14" s="430" t="s">
        <v>197</v>
      </c>
      <c r="CI14" s="430" t="s">
        <v>197</v>
      </c>
      <c r="CJ14" s="430" t="s">
        <v>197</v>
      </c>
      <c r="CK14" s="430" t="s">
        <v>197</v>
      </c>
      <c r="CL14" s="430" t="s">
        <v>197</v>
      </c>
      <c r="CM14" s="430" t="s">
        <v>197</v>
      </c>
    </row>
    <row r="15" spans="1:91" ht="10.5" hidden="1">
      <c r="A15" s="462" t="s">
        <v>181</v>
      </c>
      <c r="B15" s="462" t="s">
        <v>111</v>
      </c>
      <c r="C15" s="462" t="s">
        <v>130</v>
      </c>
      <c r="D15" s="462" t="s">
        <v>63</v>
      </c>
      <c r="E15" s="462" t="s">
        <v>64</v>
      </c>
      <c r="F15" s="462" t="s">
        <v>65</v>
      </c>
      <c r="G15" s="462" t="s">
        <v>66</v>
      </c>
      <c r="H15" s="462" t="s">
        <v>67</v>
      </c>
      <c r="I15" s="439" t="s">
        <v>68</v>
      </c>
      <c r="J15" s="430" t="s">
        <v>131</v>
      </c>
      <c r="K15" s="430"/>
      <c r="L15" s="430"/>
      <c r="M15" s="430" t="s">
        <v>68</v>
      </c>
      <c r="N15" s="432" t="s">
        <v>68</v>
      </c>
      <c r="O15" s="430" t="s">
        <v>132</v>
      </c>
      <c r="P15" s="430" t="s">
        <v>133</v>
      </c>
      <c r="Q15" s="430" t="s">
        <v>134</v>
      </c>
      <c r="R15" s="431" t="s">
        <v>73</v>
      </c>
      <c r="S15" s="442" t="s">
        <v>120</v>
      </c>
      <c r="T15" s="433">
        <v>720</v>
      </c>
      <c r="U15" s="1062">
        <v>4752</v>
      </c>
      <c r="V15" s="434">
        <v>3.4209999999999998</v>
      </c>
      <c r="W15" s="435">
        <v>144</v>
      </c>
      <c r="X15" s="1015">
        <v>8</v>
      </c>
      <c r="Y15" s="430" t="s">
        <v>75</v>
      </c>
      <c r="Z15" s="430" t="s">
        <v>75</v>
      </c>
      <c r="AA15" s="430"/>
      <c r="AB15" s="437">
        <v>46021</v>
      </c>
      <c r="AC15" s="438">
        <v>1</v>
      </c>
      <c r="AD15" s="439" t="s">
        <v>182</v>
      </c>
      <c r="AE15" s="430"/>
      <c r="AF15" s="430" t="s">
        <v>122</v>
      </c>
      <c r="AG15" s="430" t="s">
        <v>123</v>
      </c>
      <c r="AH15" s="430" t="s">
        <v>78</v>
      </c>
      <c r="AI15" s="437">
        <v>46027</v>
      </c>
      <c r="AJ15" s="437">
        <v>46029</v>
      </c>
      <c r="AK15" s="441">
        <v>46030</v>
      </c>
      <c r="AL15" s="437">
        <v>46073</v>
      </c>
      <c r="AM15" s="437">
        <v>46098</v>
      </c>
      <c r="AN15" s="437">
        <v>46099</v>
      </c>
      <c r="AO15" s="430" t="s">
        <v>66</v>
      </c>
      <c r="AP15" s="430" t="s">
        <v>183</v>
      </c>
      <c r="AQ15" s="430" t="s">
        <v>80</v>
      </c>
      <c r="AR15" s="430" t="s">
        <v>184</v>
      </c>
      <c r="AS15" s="430" t="s">
        <v>185</v>
      </c>
      <c r="AT15" s="430" t="s">
        <v>185</v>
      </c>
      <c r="AU1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69</v>
      </c>
      <c r="AW15" s="437">
        <v>46099</v>
      </c>
      <c r="AX15" s="433" t="s">
        <v>84</v>
      </c>
      <c r="AY15" s="437">
        <v>46112</v>
      </c>
      <c r="AZ15" s="442">
        <v>8</v>
      </c>
      <c r="BA15" s="437">
        <v>46107</v>
      </c>
      <c r="BB15" s="433">
        <v>2026</v>
      </c>
      <c r="BC15" s="430">
        <v>3</v>
      </c>
      <c r="BD15" s="430">
        <v>13</v>
      </c>
      <c r="BE15" s="431">
        <v>33</v>
      </c>
      <c r="BF15" s="431">
        <v>594</v>
      </c>
      <c r="BG15" s="431" t="s">
        <v>108</v>
      </c>
      <c r="BH15" s="431" t="s">
        <v>86</v>
      </c>
      <c r="BI15" s="430" t="s">
        <v>197</v>
      </c>
      <c r="BJ15" s="430" t="s">
        <v>197</v>
      </c>
      <c r="BK15" s="430" t="s">
        <v>197</v>
      </c>
      <c r="BL15" s="430" t="s">
        <v>197</v>
      </c>
      <c r="BM15" s="430" t="s">
        <v>197</v>
      </c>
      <c r="BN15" s="430" t="s">
        <v>197</v>
      </c>
      <c r="BO15" s="430" t="s">
        <v>197</v>
      </c>
      <c r="BP15" s="430" t="s">
        <v>197</v>
      </c>
      <c r="BQ15" s="430" t="s">
        <v>197</v>
      </c>
      <c r="BR15" s="430" t="s">
        <v>197</v>
      </c>
      <c r="BS15" s="430" t="s">
        <v>197</v>
      </c>
      <c r="BT15" s="430" t="s">
        <v>197</v>
      </c>
      <c r="BU15" s="430" t="s">
        <v>197</v>
      </c>
      <c r="BV15" s="430" t="s">
        <v>197</v>
      </c>
      <c r="BW15" s="430" t="s">
        <v>197</v>
      </c>
      <c r="BX15" s="430" t="s">
        <v>197</v>
      </c>
      <c r="BY15" s="430" t="s">
        <v>197</v>
      </c>
      <c r="BZ15" s="430" t="s">
        <v>197</v>
      </c>
      <c r="CA15" s="430" t="s">
        <v>197</v>
      </c>
      <c r="CB15" s="430" t="s">
        <v>197</v>
      </c>
      <c r="CC15" s="430" t="s">
        <v>197</v>
      </c>
      <c r="CD15" s="430" t="s">
        <v>197</v>
      </c>
      <c r="CE15" s="430" t="s">
        <v>197</v>
      </c>
      <c r="CF15" s="430" t="s">
        <v>197</v>
      </c>
      <c r="CG15" s="430" t="s">
        <v>197</v>
      </c>
      <c r="CH15" s="430" t="s">
        <v>197</v>
      </c>
      <c r="CI15" s="430" t="s">
        <v>197</v>
      </c>
      <c r="CJ15" s="430" t="s">
        <v>197</v>
      </c>
      <c r="CK15" s="430" t="s">
        <v>197</v>
      </c>
      <c r="CL15" s="430" t="s">
        <v>197</v>
      </c>
      <c r="CM15" s="430" t="s">
        <v>197</v>
      </c>
    </row>
    <row r="16" spans="1:91" ht="10.5" hidden="1">
      <c r="A16" s="462" t="s">
        <v>186</v>
      </c>
      <c r="B16" s="462" t="s">
        <v>111</v>
      </c>
      <c r="C16" s="462" t="s">
        <v>187</v>
      </c>
      <c r="D16" s="462" t="s">
        <v>63</v>
      </c>
      <c r="E16" s="462" t="s">
        <v>64</v>
      </c>
      <c r="F16" s="462" t="s">
        <v>65</v>
      </c>
      <c r="G16" s="462" t="s">
        <v>66</v>
      </c>
      <c r="H16" s="462" t="s">
        <v>67</v>
      </c>
      <c r="I16" s="439" t="s">
        <v>68</v>
      </c>
      <c r="J16" s="430" t="s">
        <v>188</v>
      </c>
      <c r="K16" s="430"/>
      <c r="L16" s="430"/>
      <c r="M16" s="430" t="s">
        <v>68</v>
      </c>
      <c r="N16" s="432" t="s">
        <v>68</v>
      </c>
      <c r="O16" s="430" t="s">
        <v>132</v>
      </c>
      <c r="P16" s="430" t="s">
        <v>189</v>
      </c>
      <c r="Q16" s="430" t="s">
        <v>190</v>
      </c>
      <c r="R16" s="431" t="s">
        <v>73</v>
      </c>
      <c r="S16" s="442" t="s">
        <v>74</v>
      </c>
      <c r="T16" s="433">
        <v>465</v>
      </c>
      <c r="U16" s="1062">
        <v>4320</v>
      </c>
      <c r="V16" s="434">
        <v>2.0089999999999999</v>
      </c>
      <c r="W16" s="435">
        <v>120</v>
      </c>
      <c r="X16" s="1015">
        <v>5</v>
      </c>
      <c r="Y16" s="430" t="s">
        <v>75</v>
      </c>
      <c r="Z16" s="430" t="s">
        <v>75</v>
      </c>
      <c r="AA16" s="430"/>
      <c r="AB16" s="437">
        <v>46021</v>
      </c>
      <c r="AC16" s="438">
        <v>1</v>
      </c>
      <c r="AD16" s="439" t="s">
        <v>191</v>
      </c>
      <c r="AE16" s="430"/>
      <c r="AF16" s="430" t="s">
        <v>122</v>
      </c>
      <c r="AG16" s="430" t="s">
        <v>123</v>
      </c>
      <c r="AH16" s="430" t="s">
        <v>78</v>
      </c>
      <c r="AI16" s="437">
        <v>46027</v>
      </c>
      <c r="AJ16" s="437">
        <v>46029</v>
      </c>
      <c r="AK16" s="441">
        <v>46030</v>
      </c>
      <c r="AL16" s="437">
        <v>46073</v>
      </c>
      <c r="AM16" s="437">
        <v>46098</v>
      </c>
      <c r="AN16" s="437">
        <v>46099</v>
      </c>
      <c r="AO16" s="430" t="s">
        <v>66</v>
      </c>
      <c r="AP16" s="430" t="s">
        <v>183</v>
      </c>
      <c r="AQ16" s="430" t="s">
        <v>80</v>
      </c>
      <c r="AR16" s="430" t="s">
        <v>184</v>
      </c>
      <c r="AS16" s="430" t="s">
        <v>185</v>
      </c>
      <c r="AT16" s="430" t="s">
        <v>185</v>
      </c>
      <c r="AU1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69</v>
      </c>
      <c r="AW16" s="437">
        <v>46099</v>
      </c>
      <c r="AX16" s="433" t="s">
        <v>84</v>
      </c>
      <c r="AY16" s="437">
        <v>46112</v>
      </c>
      <c r="AZ16" s="442">
        <v>8</v>
      </c>
      <c r="BA16" s="437">
        <v>46107</v>
      </c>
      <c r="BB16" s="433">
        <v>2026</v>
      </c>
      <c r="BC16" s="430">
        <v>3</v>
      </c>
      <c r="BD16" s="430">
        <v>13</v>
      </c>
      <c r="BE16" s="431">
        <v>36</v>
      </c>
      <c r="BF16" s="431">
        <v>864</v>
      </c>
      <c r="BG16" s="431" t="s">
        <v>108</v>
      </c>
      <c r="BH16" s="431" t="s">
        <v>86</v>
      </c>
      <c r="BI16" s="430" t="s">
        <v>197</v>
      </c>
      <c r="BJ16" s="430" t="s">
        <v>197</v>
      </c>
      <c r="BK16" s="430" t="s">
        <v>197</v>
      </c>
      <c r="BL16" s="430" t="s">
        <v>197</v>
      </c>
      <c r="BM16" s="430" t="s">
        <v>197</v>
      </c>
      <c r="BN16" s="430" t="s">
        <v>197</v>
      </c>
      <c r="BO16" s="430" t="s">
        <v>197</v>
      </c>
      <c r="BP16" s="430" t="s">
        <v>197</v>
      </c>
      <c r="BQ16" s="430" t="s">
        <v>197</v>
      </c>
      <c r="BR16" s="430" t="s">
        <v>197</v>
      </c>
      <c r="BS16" s="430" t="s">
        <v>197</v>
      </c>
      <c r="BT16" s="430" t="s">
        <v>197</v>
      </c>
      <c r="BU16" s="430" t="s">
        <v>197</v>
      </c>
      <c r="BV16" s="430" t="s">
        <v>197</v>
      </c>
      <c r="BW16" s="430" t="s">
        <v>197</v>
      </c>
      <c r="BX16" s="430" t="s">
        <v>197</v>
      </c>
      <c r="BY16" s="430" t="s">
        <v>197</v>
      </c>
      <c r="BZ16" s="430" t="s">
        <v>197</v>
      </c>
      <c r="CA16" s="430" t="s">
        <v>197</v>
      </c>
      <c r="CB16" s="430" t="s">
        <v>197</v>
      </c>
      <c r="CC16" s="430" t="s">
        <v>197</v>
      </c>
      <c r="CD16" s="430" t="s">
        <v>197</v>
      </c>
      <c r="CE16" s="430" t="s">
        <v>197</v>
      </c>
      <c r="CF16" s="430" t="s">
        <v>197</v>
      </c>
      <c r="CG16" s="430" t="s">
        <v>197</v>
      </c>
      <c r="CH16" s="430" t="s">
        <v>197</v>
      </c>
      <c r="CI16" s="430" t="s">
        <v>197</v>
      </c>
      <c r="CJ16" s="430" t="s">
        <v>197</v>
      </c>
      <c r="CK16" s="430" t="s">
        <v>197</v>
      </c>
      <c r="CL16" s="430" t="s">
        <v>197</v>
      </c>
      <c r="CM16" s="430" t="s">
        <v>197</v>
      </c>
    </row>
    <row r="17" spans="1:91" ht="10.5" hidden="1">
      <c r="A17" s="462" t="s">
        <v>192</v>
      </c>
      <c r="B17" s="462" t="s">
        <v>61</v>
      </c>
      <c r="C17" s="462" t="s">
        <v>193</v>
      </c>
      <c r="D17" s="462" t="s">
        <v>63</v>
      </c>
      <c r="E17" s="462" t="s">
        <v>64</v>
      </c>
      <c r="F17" s="462" t="s">
        <v>100</v>
      </c>
      <c r="G17" s="462" t="s">
        <v>66</v>
      </c>
      <c r="H17" s="462" t="s">
        <v>67</v>
      </c>
      <c r="I17" s="439" t="s">
        <v>68</v>
      </c>
      <c r="J17" s="430" t="s">
        <v>194</v>
      </c>
      <c r="K17" s="430">
        <v>46011059</v>
      </c>
      <c r="L17" s="430"/>
      <c r="M17" s="430" t="s">
        <v>68</v>
      </c>
      <c r="N17" s="432" t="s">
        <v>68</v>
      </c>
      <c r="O17" s="430" t="s">
        <v>70</v>
      </c>
      <c r="P17" s="430" t="s">
        <v>195</v>
      </c>
      <c r="Q17" s="430" t="s">
        <v>196</v>
      </c>
      <c r="R17" s="431" t="s">
        <v>73</v>
      </c>
      <c r="S17" s="442" t="s">
        <v>74</v>
      </c>
      <c r="T17" s="433">
        <v>450</v>
      </c>
      <c r="U17" s="1062">
        <v>1872</v>
      </c>
      <c r="V17" s="434">
        <v>0.84199999999999997</v>
      </c>
      <c r="W17" s="435">
        <v>52</v>
      </c>
      <c r="X17" s="1015">
        <v>2</v>
      </c>
      <c r="Y17" s="430" t="s">
        <v>75</v>
      </c>
      <c r="Z17" s="430" t="s">
        <v>75</v>
      </c>
      <c r="AA17" s="430" t="s">
        <v>197</v>
      </c>
      <c r="AB17" s="437">
        <v>46016</v>
      </c>
      <c r="AC17" s="438">
        <v>52</v>
      </c>
      <c r="AD17" s="439" t="s">
        <v>198</v>
      </c>
      <c r="AE17" s="430" t="s">
        <v>197</v>
      </c>
      <c r="AF17" s="430" t="s">
        <v>77</v>
      </c>
      <c r="AG17" s="430" t="s">
        <v>61</v>
      </c>
      <c r="AH17" s="430" t="s">
        <v>105</v>
      </c>
      <c r="AI17" s="437">
        <v>46027</v>
      </c>
      <c r="AJ17" s="437">
        <v>46027</v>
      </c>
      <c r="AK17" s="441">
        <v>46027</v>
      </c>
      <c r="AL17" s="437">
        <v>46081</v>
      </c>
      <c r="AM17" s="437">
        <v>46094</v>
      </c>
      <c r="AN17" s="437">
        <v>46094</v>
      </c>
      <c r="AO17" s="430" t="s">
        <v>66</v>
      </c>
      <c r="AP17" s="430" t="s">
        <v>199</v>
      </c>
      <c r="AQ17" s="430" t="s">
        <v>80</v>
      </c>
      <c r="AR17" s="430" t="s">
        <v>200</v>
      </c>
      <c r="AS17" s="430" t="s">
        <v>201</v>
      </c>
      <c r="AT17" s="430" t="s">
        <v>201</v>
      </c>
      <c r="AU1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67</v>
      </c>
      <c r="AV17" s="430" t="s">
        <v>83</v>
      </c>
      <c r="AW17" s="437">
        <v>46094</v>
      </c>
      <c r="AX17" s="433" t="s">
        <v>84</v>
      </c>
      <c r="AY17" s="437">
        <v>46097</v>
      </c>
      <c r="AZ17" s="442">
        <v>7</v>
      </c>
      <c r="BA17" s="437">
        <v>46101</v>
      </c>
      <c r="BB17" s="433">
        <v>2026</v>
      </c>
      <c r="BC17" s="430">
        <v>3</v>
      </c>
      <c r="BD17" s="430">
        <v>12</v>
      </c>
      <c r="BE17" s="431">
        <v>36</v>
      </c>
      <c r="BF17" s="431">
        <v>936</v>
      </c>
      <c r="BG17" s="431" t="s">
        <v>85</v>
      </c>
      <c r="BH17" s="431" t="s">
        <v>109</v>
      </c>
      <c r="BI17" s="430" t="s">
        <v>197</v>
      </c>
      <c r="BJ17" s="430" t="s">
        <v>197</v>
      </c>
      <c r="BK17" s="430" t="s">
        <v>197</v>
      </c>
      <c r="BL17" s="430" t="s">
        <v>197</v>
      </c>
      <c r="BM17" s="430" t="s">
        <v>197</v>
      </c>
      <c r="BN17" s="430" t="s">
        <v>197</v>
      </c>
      <c r="BO17" s="430" t="s">
        <v>197</v>
      </c>
      <c r="BP17" s="430" t="s">
        <v>197</v>
      </c>
      <c r="BQ17" s="430" t="s">
        <v>197</v>
      </c>
      <c r="BR17" s="430" t="s">
        <v>197</v>
      </c>
      <c r="BS17" s="430" t="s">
        <v>197</v>
      </c>
      <c r="BT17" s="430" t="s">
        <v>197</v>
      </c>
      <c r="BU17" s="430" t="s">
        <v>197</v>
      </c>
      <c r="BV17" s="430" t="s">
        <v>197</v>
      </c>
      <c r="BW17" s="430" t="s">
        <v>197</v>
      </c>
      <c r="BX17" s="430" t="s">
        <v>197</v>
      </c>
      <c r="BY17" s="430" t="s">
        <v>197</v>
      </c>
      <c r="BZ17" s="430" t="s">
        <v>197</v>
      </c>
      <c r="CA17" s="430" t="s">
        <v>197</v>
      </c>
      <c r="CB17" s="430" t="s">
        <v>197</v>
      </c>
      <c r="CC17" s="430" t="s">
        <v>197</v>
      </c>
      <c r="CD17" s="430" t="s">
        <v>197</v>
      </c>
      <c r="CE17" s="430" t="s">
        <v>197</v>
      </c>
      <c r="CF17" s="430" t="s">
        <v>197</v>
      </c>
      <c r="CG17" s="430" t="s">
        <v>197</v>
      </c>
      <c r="CH17" s="430" t="s">
        <v>197</v>
      </c>
      <c r="CI17" s="430" t="s">
        <v>197</v>
      </c>
      <c r="CJ17" s="430" t="s">
        <v>197</v>
      </c>
      <c r="CK17" s="430" t="s">
        <v>197</v>
      </c>
      <c r="CL17" s="430" t="s">
        <v>197</v>
      </c>
      <c r="CM17" s="430" t="s">
        <v>197</v>
      </c>
    </row>
    <row r="18" spans="1:91" ht="10.5" hidden="1">
      <c r="A18" s="462" t="s">
        <v>202</v>
      </c>
      <c r="B18" s="462" t="s">
        <v>61</v>
      </c>
      <c r="C18" s="462" t="s">
        <v>203</v>
      </c>
      <c r="D18" s="462" t="s">
        <v>63</v>
      </c>
      <c r="E18" s="462" t="s">
        <v>64</v>
      </c>
      <c r="F18" s="462" t="s">
        <v>65</v>
      </c>
      <c r="G18" s="462" t="s">
        <v>66</v>
      </c>
      <c r="H18" s="462" t="s">
        <v>67</v>
      </c>
      <c r="I18" s="439" t="s">
        <v>68</v>
      </c>
      <c r="J18" s="430" t="s">
        <v>96</v>
      </c>
      <c r="K18" s="430"/>
      <c r="L18" s="430"/>
      <c r="M18" s="430" t="s">
        <v>68</v>
      </c>
      <c r="N18" s="432" t="s">
        <v>68</v>
      </c>
      <c r="O18" s="430" t="s">
        <v>70</v>
      </c>
      <c r="P18" s="430" t="s">
        <v>204</v>
      </c>
      <c r="Q18" s="430" t="s">
        <v>205</v>
      </c>
      <c r="R18" s="431" t="s">
        <v>73</v>
      </c>
      <c r="S18" s="442" t="s">
        <v>74</v>
      </c>
      <c r="T18" s="433">
        <v>455</v>
      </c>
      <c r="U18" s="1062">
        <v>5616</v>
      </c>
      <c r="V18" s="434">
        <v>2.5550000000000002</v>
      </c>
      <c r="W18" s="435">
        <v>156</v>
      </c>
      <c r="X18" s="1015">
        <v>6</v>
      </c>
      <c r="Y18" s="430" t="s">
        <v>75</v>
      </c>
      <c r="Z18" s="430" t="s">
        <v>75</v>
      </c>
      <c r="AA18" s="430" t="s">
        <v>197</v>
      </c>
      <c r="AB18" s="437">
        <v>46016</v>
      </c>
      <c r="AC18" s="438">
        <v>52</v>
      </c>
      <c r="AD18" s="439" t="s">
        <v>206</v>
      </c>
      <c r="AE18" s="430" t="s">
        <v>197</v>
      </c>
      <c r="AF18" s="430" t="s">
        <v>77</v>
      </c>
      <c r="AG18" s="430" t="s">
        <v>61</v>
      </c>
      <c r="AH18" s="430" t="s">
        <v>78</v>
      </c>
      <c r="AI18" s="437">
        <v>46027</v>
      </c>
      <c r="AJ18" s="437">
        <v>46027</v>
      </c>
      <c r="AK18" s="441">
        <v>46027</v>
      </c>
      <c r="AL18" s="437">
        <v>46090</v>
      </c>
      <c r="AM18" s="437">
        <v>46101</v>
      </c>
      <c r="AN18" s="437">
        <v>46102</v>
      </c>
      <c r="AO18" s="430" t="s">
        <v>66</v>
      </c>
      <c r="AP18" s="430" t="s">
        <v>199</v>
      </c>
      <c r="AQ18" s="430" t="s">
        <v>80</v>
      </c>
      <c r="AR18" s="430" t="s">
        <v>207</v>
      </c>
      <c r="AS18" s="430" t="s">
        <v>208</v>
      </c>
      <c r="AT18" s="430" t="s">
        <v>208</v>
      </c>
      <c r="AU1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75</v>
      </c>
      <c r="AV18" s="430" t="s">
        <v>83</v>
      </c>
      <c r="AW18" s="437">
        <v>46102</v>
      </c>
      <c r="AX18" s="433" t="s">
        <v>84</v>
      </c>
      <c r="AY18" s="437">
        <v>46115</v>
      </c>
      <c r="AZ18" s="442">
        <v>8</v>
      </c>
      <c r="BA18" s="437">
        <v>46110</v>
      </c>
      <c r="BB18" s="433">
        <v>2026</v>
      </c>
      <c r="BC18" s="430">
        <v>3</v>
      </c>
      <c r="BD18" s="430">
        <v>13</v>
      </c>
      <c r="BE18" s="431">
        <v>36</v>
      </c>
      <c r="BF18" s="431">
        <v>936</v>
      </c>
      <c r="BG18" s="431" t="s">
        <v>94</v>
      </c>
      <c r="BH18" s="431" t="s">
        <v>86</v>
      </c>
      <c r="BI18" s="430" t="s">
        <v>197</v>
      </c>
      <c r="BJ18" s="430" t="s">
        <v>197</v>
      </c>
      <c r="BK18" s="430" t="s">
        <v>197</v>
      </c>
      <c r="BL18" s="430" t="s">
        <v>197</v>
      </c>
      <c r="BM18" s="430" t="s">
        <v>197</v>
      </c>
      <c r="BN18" s="430" t="s">
        <v>197</v>
      </c>
      <c r="BO18" s="430" t="s">
        <v>197</v>
      </c>
      <c r="BP18" s="430" t="s">
        <v>197</v>
      </c>
      <c r="BQ18" s="430" t="s">
        <v>197</v>
      </c>
      <c r="BR18" s="430" t="s">
        <v>197</v>
      </c>
      <c r="BS18" s="430" t="s">
        <v>197</v>
      </c>
      <c r="BT18" s="430" t="s">
        <v>197</v>
      </c>
      <c r="BU18" s="430" t="s">
        <v>197</v>
      </c>
      <c r="BV18" s="430" t="s">
        <v>197</v>
      </c>
      <c r="BW18" s="430" t="s">
        <v>197</v>
      </c>
      <c r="BX18" s="430" t="s">
        <v>197</v>
      </c>
      <c r="BY18" s="430" t="s">
        <v>197</v>
      </c>
      <c r="BZ18" s="430" t="s">
        <v>197</v>
      </c>
      <c r="CA18" s="430" t="s">
        <v>197</v>
      </c>
      <c r="CB18" s="430" t="s">
        <v>197</v>
      </c>
      <c r="CC18" s="430" t="s">
        <v>197</v>
      </c>
      <c r="CD18" s="430" t="s">
        <v>197</v>
      </c>
      <c r="CE18" s="430" t="s">
        <v>197</v>
      </c>
      <c r="CF18" s="430" t="s">
        <v>197</v>
      </c>
      <c r="CG18" s="430" t="s">
        <v>197</v>
      </c>
      <c r="CH18" s="430" t="s">
        <v>197</v>
      </c>
      <c r="CI18" s="430" t="s">
        <v>197</v>
      </c>
      <c r="CJ18" s="430" t="s">
        <v>197</v>
      </c>
      <c r="CK18" s="430" t="s">
        <v>197</v>
      </c>
      <c r="CL18" s="430" t="s">
        <v>197</v>
      </c>
      <c r="CM18" s="430" t="s">
        <v>197</v>
      </c>
    </row>
    <row r="19" spans="1:91" ht="10.5" hidden="1">
      <c r="A19" s="462" t="s">
        <v>209</v>
      </c>
      <c r="B19" s="462" t="s">
        <v>111</v>
      </c>
      <c r="C19" s="462" t="s">
        <v>168</v>
      </c>
      <c r="D19" s="462" t="s">
        <v>63</v>
      </c>
      <c r="E19" s="462" t="s">
        <v>64</v>
      </c>
      <c r="F19" s="462" t="s">
        <v>100</v>
      </c>
      <c r="G19" s="462" t="s">
        <v>66</v>
      </c>
      <c r="H19" s="462" t="s">
        <v>67</v>
      </c>
      <c r="I19" s="439" t="s">
        <v>68</v>
      </c>
      <c r="J19" s="430" t="s">
        <v>96</v>
      </c>
      <c r="K19" s="430"/>
      <c r="L19" s="430"/>
      <c r="M19" s="430" t="s">
        <v>68</v>
      </c>
      <c r="N19" s="432" t="s">
        <v>68</v>
      </c>
      <c r="O19" s="430" t="s">
        <v>170</v>
      </c>
      <c r="P19" s="430" t="s">
        <v>171</v>
      </c>
      <c r="Q19" s="430" t="s">
        <v>172</v>
      </c>
      <c r="R19" s="431" t="s">
        <v>73</v>
      </c>
      <c r="S19" s="442" t="s">
        <v>120</v>
      </c>
      <c r="T19" s="433">
        <v>555</v>
      </c>
      <c r="U19" s="1062">
        <v>660</v>
      </c>
      <c r="V19" s="434">
        <v>0.36599999999999999</v>
      </c>
      <c r="W19" s="435">
        <v>20</v>
      </c>
      <c r="X19" s="1015">
        <v>1</v>
      </c>
      <c r="Y19" s="430" t="s">
        <v>75</v>
      </c>
      <c r="Z19" s="430" t="s">
        <v>75</v>
      </c>
      <c r="AA19" s="430"/>
      <c r="AB19" s="437">
        <v>46028</v>
      </c>
      <c r="AC19" s="438">
        <v>2</v>
      </c>
      <c r="AD19" s="439" t="s">
        <v>210</v>
      </c>
      <c r="AE19" s="430"/>
      <c r="AF19" s="430" t="s">
        <v>122</v>
      </c>
      <c r="AG19" s="430" t="s">
        <v>123</v>
      </c>
      <c r="AH19" s="430" t="s">
        <v>105</v>
      </c>
      <c r="AI19" s="437">
        <v>46031</v>
      </c>
      <c r="AJ19" s="437">
        <v>46036</v>
      </c>
      <c r="AK19" s="441">
        <v>46035</v>
      </c>
      <c r="AL19" s="437">
        <v>46069</v>
      </c>
      <c r="AM19" s="437">
        <v>46087</v>
      </c>
      <c r="AN19" s="437">
        <v>46087</v>
      </c>
      <c r="AO19" s="430" t="s">
        <v>66</v>
      </c>
      <c r="AP19" s="430" t="s">
        <v>211</v>
      </c>
      <c r="AQ19" s="430" t="s">
        <v>80</v>
      </c>
      <c r="AR19" s="430" t="s">
        <v>212</v>
      </c>
      <c r="AS19" s="430" t="s">
        <v>213</v>
      </c>
      <c r="AT19" s="430" t="s">
        <v>213</v>
      </c>
      <c r="AU1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</v>
      </c>
      <c r="AW19" s="437">
        <v>46087</v>
      </c>
      <c r="AX19" s="433" t="s">
        <v>84</v>
      </c>
      <c r="AY19" s="437">
        <v>46101</v>
      </c>
      <c r="AZ19" s="442">
        <v>7</v>
      </c>
      <c r="BA19" s="437">
        <v>46094</v>
      </c>
      <c r="BB19" s="433">
        <v>2026</v>
      </c>
      <c r="BC19" s="430">
        <v>3</v>
      </c>
      <c r="BD19" s="430">
        <v>11</v>
      </c>
      <c r="BE19" s="431">
        <v>33</v>
      </c>
      <c r="BF19" s="431">
        <v>660</v>
      </c>
      <c r="BG19" s="431" t="s">
        <v>108</v>
      </c>
      <c r="BH19" s="431" t="s">
        <v>109</v>
      </c>
      <c r="BI19" s="430" t="s">
        <v>197</v>
      </c>
      <c r="BJ19" s="430" t="s">
        <v>197</v>
      </c>
      <c r="BK19" s="430" t="s">
        <v>197</v>
      </c>
      <c r="BL19" s="430" t="s">
        <v>197</v>
      </c>
      <c r="BM19" s="430" t="s">
        <v>197</v>
      </c>
      <c r="BN19" s="430" t="s">
        <v>197</v>
      </c>
      <c r="BO19" s="430" t="s">
        <v>197</v>
      </c>
      <c r="BP19" s="430" t="s">
        <v>197</v>
      </c>
      <c r="BQ19" s="430" t="s">
        <v>197</v>
      </c>
      <c r="BR19" s="430" t="s">
        <v>197</v>
      </c>
      <c r="BS19" s="430" t="s">
        <v>197</v>
      </c>
      <c r="BT19" s="430" t="s">
        <v>197</v>
      </c>
      <c r="BU19" s="430" t="s">
        <v>197</v>
      </c>
      <c r="BV19" s="430" t="s">
        <v>197</v>
      </c>
      <c r="BW19" s="430" t="s">
        <v>197</v>
      </c>
      <c r="BX19" s="430" t="s">
        <v>197</v>
      </c>
      <c r="BY19" s="430" t="s">
        <v>197</v>
      </c>
      <c r="BZ19" s="430" t="s">
        <v>197</v>
      </c>
      <c r="CA19" s="430" t="s">
        <v>197</v>
      </c>
      <c r="CB19" s="430" t="s">
        <v>197</v>
      </c>
      <c r="CC19" s="430" t="s">
        <v>197</v>
      </c>
      <c r="CD19" s="430" t="s">
        <v>197</v>
      </c>
      <c r="CE19" s="430" t="s">
        <v>197</v>
      </c>
      <c r="CF19" s="430" t="s">
        <v>197</v>
      </c>
      <c r="CG19" s="430" t="s">
        <v>197</v>
      </c>
      <c r="CH19" s="430" t="s">
        <v>197</v>
      </c>
      <c r="CI19" s="430" t="s">
        <v>197</v>
      </c>
      <c r="CJ19" s="430" t="s">
        <v>197</v>
      </c>
      <c r="CK19" s="430" t="s">
        <v>197</v>
      </c>
      <c r="CL19" s="430" t="s">
        <v>197</v>
      </c>
      <c r="CM19" s="430" t="s">
        <v>197</v>
      </c>
    </row>
    <row r="20" spans="1:91" ht="10.5" hidden="1">
      <c r="A20" s="462" t="s">
        <v>214</v>
      </c>
      <c r="B20" s="462" t="s">
        <v>111</v>
      </c>
      <c r="C20" s="462" t="s">
        <v>215</v>
      </c>
      <c r="D20" s="462" t="s">
        <v>113</v>
      </c>
      <c r="E20" s="462" t="s">
        <v>64</v>
      </c>
      <c r="F20" s="462" t="s">
        <v>100</v>
      </c>
      <c r="G20" s="462" t="s">
        <v>66</v>
      </c>
      <c r="H20" s="462" t="s">
        <v>67</v>
      </c>
      <c r="I20" s="439" t="s">
        <v>68</v>
      </c>
      <c r="J20" s="430" t="s">
        <v>216</v>
      </c>
      <c r="K20" s="430" t="s">
        <v>217</v>
      </c>
      <c r="L20" s="430"/>
      <c r="M20" s="430" t="s">
        <v>68</v>
      </c>
      <c r="N20" s="432" t="s">
        <v>68</v>
      </c>
      <c r="O20" s="430" t="s">
        <v>70</v>
      </c>
      <c r="P20" s="430" t="s">
        <v>218</v>
      </c>
      <c r="Q20" s="430" t="s">
        <v>219</v>
      </c>
      <c r="R20" s="431" t="s">
        <v>73</v>
      </c>
      <c r="S20" s="442" t="s">
        <v>120</v>
      </c>
      <c r="T20" s="433">
        <v>625</v>
      </c>
      <c r="U20" s="1062">
        <v>2880</v>
      </c>
      <c r="V20" s="434">
        <v>1.8</v>
      </c>
      <c r="W20" s="435">
        <v>80</v>
      </c>
      <c r="X20" s="1015">
        <v>4</v>
      </c>
      <c r="Y20" s="430" t="s">
        <v>75</v>
      </c>
      <c r="Z20" s="430" t="s">
        <v>75</v>
      </c>
      <c r="AA20" s="430"/>
      <c r="AB20" s="437">
        <v>46028</v>
      </c>
      <c r="AC20" s="438">
        <v>2</v>
      </c>
      <c r="AD20" s="439" t="s">
        <v>220</v>
      </c>
      <c r="AE20" s="430"/>
      <c r="AF20" s="430" t="s">
        <v>122</v>
      </c>
      <c r="AG20" s="430" t="s">
        <v>123</v>
      </c>
      <c r="AH20" s="430" t="s">
        <v>105</v>
      </c>
      <c r="AI20" s="437">
        <v>46033</v>
      </c>
      <c r="AJ20" s="437">
        <v>46033</v>
      </c>
      <c r="AK20" s="441">
        <v>46032</v>
      </c>
      <c r="AL20" s="437">
        <v>46070</v>
      </c>
      <c r="AM20" s="437">
        <v>46074</v>
      </c>
      <c r="AN20" s="437">
        <v>46078</v>
      </c>
      <c r="AO20" s="430" t="s">
        <v>66</v>
      </c>
      <c r="AP20" s="430" t="s">
        <v>221</v>
      </c>
      <c r="AQ20" s="430" t="s">
        <v>161</v>
      </c>
      <c r="AR20" s="430" t="s">
        <v>222</v>
      </c>
      <c r="AS20" s="430" t="s">
        <v>223</v>
      </c>
      <c r="AT20" s="430" t="s">
        <v>223</v>
      </c>
      <c r="AU2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20" s="437">
        <v>46078</v>
      </c>
      <c r="AX20" s="433" t="s">
        <v>84</v>
      </c>
      <c r="AY20" s="437">
        <v>46090</v>
      </c>
      <c r="AZ20" s="442">
        <v>7</v>
      </c>
      <c r="BA20" s="437">
        <v>46085</v>
      </c>
      <c r="BB20" s="433">
        <v>2026</v>
      </c>
      <c r="BC20" s="430">
        <v>3</v>
      </c>
      <c r="BD20" s="430">
        <v>10</v>
      </c>
      <c r="BE20" s="431">
        <v>36</v>
      </c>
      <c r="BF20" s="431">
        <v>720</v>
      </c>
      <c r="BG20" s="431" t="s">
        <v>128</v>
      </c>
      <c r="BH20" s="431" t="s">
        <v>109</v>
      </c>
      <c r="BI20" s="430" t="s">
        <v>197</v>
      </c>
      <c r="BJ20" s="430" t="s">
        <v>197</v>
      </c>
      <c r="BK20" s="430" t="s">
        <v>197</v>
      </c>
      <c r="BL20" s="430" t="s">
        <v>197</v>
      </c>
      <c r="BM20" s="430" t="s">
        <v>197</v>
      </c>
      <c r="BN20" s="430" t="s">
        <v>197</v>
      </c>
      <c r="BO20" s="430" t="s">
        <v>197</v>
      </c>
      <c r="BP20" s="430" t="s">
        <v>197</v>
      </c>
      <c r="BQ20" s="430" t="s">
        <v>197</v>
      </c>
      <c r="BR20" s="430" t="s">
        <v>197</v>
      </c>
      <c r="BS20" s="430" t="s">
        <v>197</v>
      </c>
      <c r="BT20" s="430" t="s">
        <v>197</v>
      </c>
      <c r="BU20" s="430" t="s">
        <v>197</v>
      </c>
      <c r="BV20" s="430" t="s">
        <v>197</v>
      </c>
      <c r="BW20" s="430" t="s">
        <v>197</v>
      </c>
      <c r="BX20" s="430" t="s">
        <v>197</v>
      </c>
      <c r="BY20" s="430" t="s">
        <v>197</v>
      </c>
      <c r="BZ20" s="430" t="s">
        <v>197</v>
      </c>
      <c r="CA20" s="430" t="s">
        <v>197</v>
      </c>
      <c r="CB20" s="430" t="s">
        <v>197</v>
      </c>
      <c r="CC20" s="430" t="s">
        <v>197</v>
      </c>
      <c r="CD20" s="430" t="s">
        <v>197</v>
      </c>
      <c r="CE20" s="430" t="s">
        <v>197</v>
      </c>
      <c r="CF20" s="430" t="s">
        <v>197</v>
      </c>
      <c r="CG20" s="430" t="s">
        <v>197</v>
      </c>
      <c r="CH20" s="430" t="s">
        <v>197</v>
      </c>
      <c r="CI20" s="430" t="s">
        <v>197</v>
      </c>
      <c r="CJ20" s="430" t="s">
        <v>197</v>
      </c>
      <c r="CK20" s="430" t="s">
        <v>197</v>
      </c>
      <c r="CL20" s="430" t="s">
        <v>197</v>
      </c>
      <c r="CM20" s="430" t="s">
        <v>197</v>
      </c>
    </row>
    <row r="21" spans="1:91" ht="10.5" hidden="1">
      <c r="A21" s="462" t="s">
        <v>224</v>
      </c>
      <c r="B21" s="462" t="s">
        <v>111</v>
      </c>
      <c r="C21" s="462" t="s">
        <v>215</v>
      </c>
      <c r="D21" s="462" t="s">
        <v>113</v>
      </c>
      <c r="E21" s="462" t="s">
        <v>64</v>
      </c>
      <c r="F21" s="462" t="s">
        <v>100</v>
      </c>
      <c r="G21" s="462" t="s">
        <v>66</v>
      </c>
      <c r="H21" s="462" t="s">
        <v>67</v>
      </c>
      <c r="I21" s="439" t="s">
        <v>68</v>
      </c>
      <c r="J21" s="430" t="s">
        <v>216</v>
      </c>
      <c r="K21" s="430" t="s">
        <v>217</v>
      </c>
      <c r="L21" s="430"/>
      <c r="M21" s="430" t="s">
        <v>68</v>
      </c>
      <c r="N21" s="432" t="s">
        <v>68</v>
      </c>
      <c r="O21" s="430" t="s">
        <v>70</v>
      </c>
      <c r="P21" s="430" t="s">
        <v>218</v>
      </c>
      <c r="Q21" s="430" t="s">
        <v>219</v>
      </c>
      <c r="R21" s="431" t="s">
        <v>73</v>
      </c>
      <c r="S21" s="442" t="s">
        <v>120</v>
      </c>
      <c r="T21" s="433">
        <v>625</v>
      </c>
      <c r="U21" s="1062">
        <v>5040</v>
      </c>
      <c r="V21" s="434">
        <v>3.15</v>
      </c>
      <c r="W21" s="435">
        <v>140</v>
      </c>
      <c r="X21" s="1015">
        <v>7</v>
      </c>
      <c r="Y21" s="430" t="s">
        <v>75</v>
      </c>
      <c r="Z21" s="430" t="s">
        <v>75</v>
      </c>
      <c r="AA21" s="430"/>
      <c r="AB21" s="437">
        <v>46028</v>
      </c>
      <c r="AC21" s="438">
        <v>2</v>
      </c>
      <c r="AD21" s="439" t="s">
        <v>225</v>
      </c>
      <c r="AE21" s="430"/>
      <c r="AF21" s="430" t="s">
        <v>122</v>
      </c>
      <c r="AG21" s="430" t="s">
        <v>123</v>
      </c>
      <c r="AH21" s="430" t="s">
        <v>105</v>
      </c>
      <c r="AI21" s="437">
        <v>46033</v>
      </c>
      <c r="AJ21" s="437">
        <v>46033</v>
      </c>
      <c r="AK21" s="441">
        <v>46032</v>
      </c>
      <c r="AL21" s="437">
        <v>46070</v>
      </c>
      <c r="AM21" s="437">
        <v>46074</v>
      </c>
      <c r="AN21" s="437">
        <v>46078</v>
      </c>
      <c r="AO21" s="430" t="s">
        <v>66</v>
      </c>
      <c r="AP21" s="430" t="s">
        <v>221</v>
      </c>
      <c r="AQ21" s="430" t="s">
        <v>161</v>
      </c>
      <c r="AR21" s="430" t="s">
        <v>222</v>
      </c>
      <c r="AS21" s="430" t="s">
        <v>223</v>
      </c>
      <c r="AT21" s="430" t="s">
        <v>223</v>
      </c>
      <c r="AU2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21" s="437">
        <v>46078</v>
      </c>
      <c r="AX21" s="433" t="s">
        <v>84</v>
      </c>
      <c r="AY21" s="437">
        <v>46090</v>
      </c>
      <c r="AZ21" s="442">
        <v>7</v>
      </c>
      <c r="BA21" s="437">
        <v>46085</v>
      </c>
      <c r="BB21" s="433">
        <v>2026</v>
      </c>
      <c r="BC21" s="430">
        <v>3</v>
      </c>
      <c r="BD21" s="430">
        <v>10</v>
      </c>
      <c r="BE21" s="431">
        <v>36</v>
      </c>
      <c r="BF21" s="431">
        <v>720</v>
      </c>
      <c r="BG21" s="431" t="s">
        <v>128</v>
      </c>
      <c r="BH21" s="431" t="s">
        <v>109</v>
      </c>
      <c r="BI21" s="430" t="s">
        <v>197</v>
      </c>
      <c r="BJ21" s="430" t="s">
        <v>197</v>
      </c>
      <c r="BK21" s="430" t="s">
        <v>197</v>
      </c>
      <c r="BL21" s="430" t="s">
        <v>197</v>
      </c>
      <c r="BM21" s="430" t="s">
        <v>197</v>
      </c>
      <c r="BN21" s="430" t="s">
        <v>197</v>
      </c>
      <c r="BO21" s="430" t="s">
        <v>197</v>
      </c>
      <c r="BP21" s="430" t="s">
        <v>197</v>
      </c>
      <c r="BQ21" s="430" t="s">
        <v>197</v>
      </c>
      <c r="BR21" s="430" t="s">
        <v>197</v>
      </c>
      <c r="BS21" s="430" t="s">
        <v>197</v>
      </c>
      <c r="BT21" s="430" t="s">
        <v>197</v>
      </c>
      <c r="BU21" s="430" t="s">
        <v>197</v>
      </c>
      <c r="BV21" s="430" t="s">
        <v>197</v>
      </c>
      <c r="BW21" s="430" t="s">
        <v>197</v>
      </c>
      <c r="BX21" s="430" t="s">
        <v>197</v>
      </c>
      <c r="BY21" s="430" t="s">
        <v>197</v>
      </c>
      <c r="BZ21" s="430" t="s">
        <v>197</v>
      </c>
      <c r="CA21" s="430" t="s">
        <v>197</v>
      </c>
      <c r="CB21" s="430" t="s">
        <v>197</v>
      </c>
      <c r="CC21" s="430" t="s">
        <v>197</v>
      </c>
      <c r="CD21" s="430" t="s">
        <v>197</v>
      </c>
      <c r="CE21" s="430" t="s">
        <v>197</v>
      </c>
      <c r="CF21" s="430" t="s">
        <v>197</v>
      </c>
      <c r="CG21" s="430" t="s">
        <v>197</v>
      </c>
      <c r="CH21" s="430" t="s">
        <v>197</v>
      </c>
      <c r="CI21" s="430" t="s">
        <v>197</v>
      </c>
      <c r="CJ21" s="430" t="s">
        <v>197</v>
      </c>
      <c r="CK21" s="430" t="s">
        <v>197</v>
      </c>
      <c r="CL21" s="430" t="s">
        <v>197</v>
      </c>
      <c r="CM21" s="430" t="s">
        <v>197</v>
      </c>
    </row>
    <row r="22" spans="1:91" ht="10.5" hidden="1">
      <c r="A22" s="462" t="s">
        <v>226</v>
      </c>
      <c r="B22" s="462" t="s">
        <v>111</v>
      </c>
      <c r="C22" s="462" t="s">
        <v>168</v>
      </c>
      <c r="D22" s="462" t="s">
        <v>63</v>
      </c>
      <c r="E22" s="462" t="s">
        <v>64</v>
      </c>
      <c r="F22" s="462" t="s">
        <v>65</v>
      </c>
      <c r="G22" s="462" t="s">
        <v>66</v>
      </c>
      <c r="H22" s="462" t="s">
        <v>67</v>
      </c>
      <c r="I22" s="439" t="s">
        <v>68</v>
      </c>
      <c r="J22" s="430" t="s">
        <v>96</v>
      </c>
      <c r="K22" s="430"/>
      <c r="L22" s="430"/>
      <c r="M22" s="430" t="s">
        <v>68</v>
      </c>
      <c r="N22" s="432" t="s">
        <v>68</v>
      </c>
      <c r="O22" s="430" t="s">
        <v>170</v>
      </c>
      <c r="P22" s="430" t="s">
        <v>171</v>
      </c>
      <c r="Q22" s="430" t="s">
        <v>172</v>
      </c>
      <c r="R22" s="431" t="s">
        <v>73</v>
      </c>
      <c r="S22" s="442" t="s">
        <v>120</v>
      </c>
      <c r="T22" s="433">
        <v>555</v>
      </c>
      <c r="U22" s="1062">
        <v>1320</v>
      </c>
      <c r="V22" s="434">
        <v>0.73299999999999998</v>
      </c>
      <c r="W22" s="435">
        <v>40</v>
      </c>
      <c r="X22" s="1015">
        <v>2</v>
      </c>
      <c r="Y22" s="430" t="s">
        <v>75</v>
      </c>
      <c r="Z22" s="430" t="s">
        <v>75</v>
      </c>
      <c r="AA22" s="430"/>
      <c r="AB22" s="437">
        <v>46024</v>
      </c>
      <c r="AC22" s="438">
        <v>1</v>
      </c>
      <c r="AD22" s="439" t="s">
        <v>227</v>
      </c>
      <c r="AE22" s="430"/>
      <c r="AF22" s="430" t="s">
        <v>122</v>
      </c>
      <c r="AG22" s="430" t="s">
        <v>123</v>
      </c>
      <c r="AH22" s="430" t="s">
        <v>78</v>
      </c>
      <c r="AI22" s="437">
        <v>46028</v>
      </c>
      <c r="AJ22" s="437">
        <v>46029</v>
      </c>
      <c r="AK22" s="441">
        <v>46029</v>
      </c>
      <c r="AL22" s="437">
        <v>46077</v>
      </c>
      <c r="AM22" s="437">
        <v>46083</v>
      </c>
      <c r="AN22" s="437">
        <v>46083</v>
      </c>
      <c r="AO22" s="430" t="s">
        <v>66</v>
      </c>
      <c r="AP22" s="430" t="s">
        <v>228</v>
      </c>
      <c r="AQ22" s="430" t="s">
        <v>80</v>
      </c>
      <c r="AR22" s="430" t="s">
        <v>229</v>
      </c>
      <c r="AS22" s="430" t="s">
        <v>230</v>
      </c>
      <c r="AT22" s="430" t="s">
        <v>230</v>
      </c>
      <c r="AU2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</v>
      </c>
      <c r="AW22" s="437">
        <v>46083</v>
      </c>
      <c r="AX22" s="433" t="s">
        <v>84</v>
      </c>
      <c r="AY22" s="437">
        <v>46097</v>
      </c>
      <c r="AZ22" s="442">
        <v>8</v>
      </c>
      <c r="BA22" s="437">
        <v>46091</v>
      </c>
      <c r="BB22" s="433">
        <v>2026</v>
      </c>
      <c r="BC22" s="430">
        <v>3</v>
      </c>
      <c r="BD22" s="430">
        <v>11</v>
      </c>
      <c r="BE22" s="431">
        <v>33</v>
      </c>
      <c r="BF22" s="431">
        <v>660</v>
      </c>
      <c r="BG22" s="431" t="s">
        <v>108</v>
      </c>
      <c r="BH22" s="431" t="s">
        <v>86</v>
      </c>
      <c r="BI22" s="430" t="s">
        <v>197</v>
      </c>
      <c r="BJ22" s="430" t="s">
        <v>197</v>
      </c>
      <c r="BK22" s="430" t="s">
        <v>197</v>
      </c>
      <c r="BL22" s="430" t="s">
        <v>197</v>
      </c>
      <c r="BM22" s="430" t="s">
        <v>197</v>
      </c>
      <c r="BN22" s="430" t="s">
        <v>197</v>
      </c>
      <c r="BO22" s="430" t="s">
        <v>197</v>
      </c>
      <c r="BP22" s="430" t="s">
        <v>197</v>
      </c>
      <c r="BQ22" s="430" t="s">
        <v>197</v>
      </c>
      <c r="BR22" s="430" t="s">
        <v>197</v>
      </c>
      <c r="BS22" s="430" t="s">
        <v>197</v>
      </c>
      <c r="BT22" s="430" t="s">
        <v>197</v>
      </c>
      <c r="BU22" s="430" t="s">
        <v>197</v>
      </c>
      <c r="BV22" s="430" t="s">
        <v>197</v>
      </c>
      <c r="BW22" s="430" t="s">
        <v>197</v>
      </c>
      <c r="BX22" s="430" t="s">
        <v>197</v>
      </c>
      <c r="BY22" s="430" t="s">
        <v>197</v>
      </c>
      <c r="BZ22" s="430" t="s">
        <v>197</v>
      </c>
      <c r="CA22" s="430" t="s">
        <v>197</v>
      </c>
      <c r="CB22" s="430" t="s">
        <v>197</v>
      </c>
      <c r="CC22" s="430" t="s">
        <v>197</v>
      </c>
      <c r="CD22" s="430" t="s">
        <v>197</v>
      </c>
      <c r="CE22" s="430" t="s">
        <v>197</v>
      </c>
      <c r="CF22" s="430" t="s">
        <v>197</v>
      </c>
      <c r="CG22" s="430" t="s">
        <v>197</v>
      </c>
      <c r="CH22" s="430" t="s">
        <v>197</v>
      </c>
      <c r="CI22" s="430" t="s">
        <v>197</v>
      </c>
      <c r="CJ22" s="430" t="s">
        <v>197</v>
      </c>
      <c r="CK22" s="430" t="s">
        <v>197</v>
      </c>
      <c r="CL22" s="430" t="s">
        <v>197</v>
      </c>
      <c r="CM22" s="430" t="s">
        <v>197</v>
      </c>
    </row>
    <row r="23" spans="1:91" ht="10.5" hidden="1">
      <c r="A23" s="462" t="s">
        <v>231</v>
      </c>
      <c r="B23" s="462" t="s">
        <v>111</v>
      </c>
      <c r="C23" s="462" t="s">
        <v>168</v>
      </c>
      <c r="D23" s="462" t="s">
        <v>63</v>
      </c>
      <c r="E23" s="462" t="s">
        <v>64</v>
      </c>
      <c r="F23" s="462" t="s">
        <v>65</v>
      </c>
      <c r="G23" s="462" t="s">
        <v>66</v>
      </c>
      <c r="H23" s="462" t="s">
        <v>67</v>
      </c>
      <c r="I23" s="439" t="s">
        <v>68</v>
      </c>
      <c r="J23" s="430" t="s">
        <v>232</v>
      </c>
      <c r="K23" s="430"/>
      <c r="L23" s="430"/>
      <c r="M23" s="430" t="s">
        <v>68</v>
      </c>
      <c r="N23" s="432" t="s">
        <v>68</v>
      </c>
      <c r="O23" s="430" t="s">
        <v>170</v>
      </c>
      <c r="P23" s="430" t="s">
        <v>171</v>
      </c>
      <c r="Q23" s="430" t="s">
        <v>172</v>
      </c>
      <c r="R23" s="431" t="s">
        <v>73</v>
      </c>
      <c r="S23" s="442" t="s">
        <v>120</v>
      </c>
      <c r="T23" s="433">
        <v>555</v>
      </c>
      <c r="U23" s="1062">
        <v>1320</v>
      </c>
      <c r="V23" s="434">
        <v>0.73299999999999998</v>
      </c>
      <c r="W23" s="435">
        <v>40</v>
      </c>
      <c r="X23" s="1015">
        <v>2</v>
      </c>
      <c r="Y23" s="430" t="s">
        <v>75</v>
      </c>
      <c r="Z23" s="430" t="s">
        <v>75</v>
      </c>
      <c r="AA23" s="430"/>
      <c r="AB23" s="437">
        <v>46024</v>
      </c>
      <c r="AC23" s="438">
        <v>1</v>
      </c>
      <c r="AD23" s="439" t="s">
        <v>233</v>
      </c>
      <c r="AE23" s="430"/>
      <c r="AF23" s="430" t="s">
        <v>122</v>
      </c>
      <c r="AG23" s="430" t="s">
        <v>123</v>
      </c>
      <c r="AH23" s="430" t="s">
        <v>78</v>
      </c>
      <c r="AI23" s="437">
        <v>46028</v>
      </c>
      <c r="AJ23" s="437">
        <v>46029</v>
      </c>
      <c r="AK23" s="441">
        <v>46029</v>
      </c>
      <c r="AL23" s="437">
        <v>46077</v>
      </c>
      <c r="AM23" s="437">
        <v>46083</v>
      </c>
      <c r="AN23" s="437">
        <v>46083</v>
      </c>
      <c r="AO23" s="430" t="s">
        <v>66</v>
      </c>
      <c r="AP23" s="430" t="s">
        <v>234</v>
      </c>
      <c r="AQ23" s="430" t="s">
        <v>80</v>
      </c>
      <c r="AR23" s="430" t="s">
        <v>229</v>
      </c>
      <c r="AS23" s="430" t="s">
        <v>230</v>
      </c>
      <c r="AT23" s="430" t="s">
        <v>230</v>
      </c>
      <c r="AU2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</v>
      </c>
      <c r="AW23" s="437">
        <v>46083</v>
      </c>
      <c r="AX23" s="433" t="s">
        <v>84</v>
      </c>
      <c r="AY23" s="437">
        <v>46097</v>
      </c>
      <c r="AZ23" s="442">
        <v>8</v>
      </c>
      <c r="BA23" s="437">
        <v>46091</v>
      </c>
      <c r="BB23" s="433">
        <v>2026</v>
      </c>
      <c r="BC23" s="430">
        <v>3</v>
      </c>
      <c r="BD23" s="430">
        <v>11</v>
      </c>
      <c r="BE23" s="431">
        <v>33</v>
      </c>
      <c r="BF23" s="431">
        <v>660</v>
      </c>
      <c r="BG23" s="431" t="s">
        <v>108</v>
      </c>
      <c r="BH23" s="431" t="s">
        <v>86</v>
      </c>
      <c r="BI23" s="430" t="s">
        <v>197</v>
      </c>
      <c r="BJ23" s="430" t="s">
        <v>197</v>
      </c>
      <c r="BK23" s="430" t="s">
        <v>197</v>
      </c>
      <c r="BL23" s="430" t="s">
        <v>197</v>
      </c>
      <c r="BM23" s="430" t="s">
        <v>197</v>
      </c>
      <c r="BN23" s="430" t="s">
        <v>197</v>
      </c>
      <c r="BO23" s="430" t="s">
        <v>197</v>
      </c>
      <c r="BP23" s="430" t="s">
        <v>197</v>
      </c>
      <c r="BQ23" s="430" t="s">
        <v>197</v>
      </c>
      <c r="BR23" s="430" t="s">
        <v>197</v>
      </c>
      <c r="BS23" s="430" t="s">
        <v>197</v>
      </c>
      <c r="BT23" s="430" t="s">
        <v>197</v>
      </c>
      <c r="BU23" s="430" t="s">
        <v>197</v>
      </c>
      <c r="BV23" s="430" t="s">
        <v>197</v>
      </c>
      <c r="BW23" s="430" t="s">
        <v>197</v>
      </c>
      <c r="BX23" s="430" t="s">
        <v>197</v>
      </c>
      <c r="BY23" s="430" t="s">
        <v>197</v>
      </c>
      <c r="BZ23" s="430" t="s">
        <v>197</v>
      </c>
      <c r="CA23" s="430" t="s">
        <v>197</v>
      </c>
      <c r="CB23" s="430" t="s">
        <v>197</v>
      </c>
      <c r="CC23" s="430" t="s">
        <v>197</v>
      </c>
      <c r="CD23" s="430" t="s">
        <v>197</v>
      </c>
      <c r="CE23" s="430" t="s">
        <v>197</v>
      </c>
      <c r="CF23" s="430" t="s">
        <v>197</v>
      </c>
      <c r="CG23" s="430" t="s">
        <v>197</v>
      </c>
      <c r="CH23" s="430" t="s">
        <v>197</v>
      </c>
      <c r="CI23" s="430" t="s">
        <v>197</v>
      </c>
      <c r="CJ23" s="430" t="s">
        <v>197</v>
      </c>
      <c r="CK23" s="430" t="s">
        <v>197</v>
      </c>
      <c r="CL23" s="430" t="s">
        <v>197</v>
      </c>
      <c r="CM23" s="430" t="s">
        <v>197</v>
      </c>
    </row>
    <row r="24" spans="1:91" ht="10.5" hidden="1">
      <c r="A24" s="462" t="s">
        <v>235</v>
      </c>
      <c r="B24" s="462" t="s">
        <v>111</v>
      </c>
      <c r="C24" s="462" t="s">
        <v>112</v>
      </c>
      <c r="D24" s="462" t="s">
        <v>113</v>
      </c>
      <c r="E24" s="462" t="s">
        <v>64</v>
      </c>
      <c r="F24" s="462" t="s">
        <v>114</v>
      </c>
      <c r="G24" s="462" t="s">
        <v>66</v>
      </c>
      <c r="H24" s="462" t="s">
        <v>115</v>
      </c>
      <c r="I24" s="439" t="s">
        <v>68</v>
      </c>
      <c r="J24" s="430" t="s">
        <v>116</v>
      </c>
      <c r="K24" s="430" t="s">
        <v>117</v>
      </c>
      <c r="L24" s="430"/>
      <c r="M24" s="430" t="s">
        <v>68</v>
      </c>
      <c r="N24" s="432" t="s">
        <v>68</v>
      </c>
      <c r="O24" s="430" t="s">
        <v>70</v>
      </c>
      <c r="P24" s="430" t="s">
        <v>118</v>
      </c>
      <c r="Q24" s="430" t="s">
        <v>119</v>
      </c>
      <c r="R24" s="431" t="s">
        <v>73</v>
      </c>
      <c r="S24" s="442" t="s">
        <v>120</v>
      </c>
      <c r="T24" s="433">
        <v>640</v>
      </c>
      <c r="U24" s="1062">
        <v>1152</v>
      </c>
      <c r="V24" s="434">
        <v>0.73699999999999999</v>
      </c>
      <c r="W24" s="435">
        <v>32</v>
      </c>
      <c r="X24" s="1015">
        <v>2</v>
      </c>
      <c r="Y24" s="430" t="s">
        <v>75</v>
      </c>
      <c r="Z24" s="430" t="s">
        <v>75</v>
      </c>
      <c r="AA24" s="430"/>
      <c r="AB24" s="437">
        <v>46024</v>
      </c>
      <c r="AC24" s="438">
        <v>1</v>
      </c>
      <c r="AD24" s="439" t="s">
        <v>236</v>
      </c>
      <c r="AE24" s="430"/>
      <c r="AF24" s="430" t="s">
        <v>122</v>
      </c>
      <c r="AG24" s="430" t="s">
        <v>123</v>
      </c>
      <c r="AH24" s="430" t="s">
        <v>124</v>
      </c>
      <c r="AI24" s="437">
        <v>46028</v>
      </c>
      <c r="AJ24" s="437">
        <v>46029</v>
      </c>
      <c r="AK24" s="441">
        <v>46029</v>
      </c>
      <c r="AL24" s="437">
        <v>46072</v>
      </c>
      <c r="AM24" s="437">
        <v>46072</v>
      </c>
      <c r="AN24" s="437">
        <v>46075</v>
      </c>
      <c r="AO24" s="430" t="s">
        <v>66</v>
      </c>
      <c r="AP24" s="430" t="s">
        <v>228</v>
      </c>
      <c r="AQ24" s="430" t="s">
        <v>80</v>
      </c>
      <c r="AR24" s="430" t="s">
        <v>237</v>
      </c>
      <c r="AS24" s="430" t="s">
        <v>238</v>
      </c>
      <c r="AT24" s="430" t="s">
        <v>238</v>
      </c>
      <c r="AU2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24" s="437">
        <v>46075</v>
      </c>
      <c r="AX24" s="433" t="s">
        <v>84</v>
      </c>
      <c r="AY24" s="437">
        <v>46086</v>
      </c>
      <c r="AZ24" s="442">
        <v>9</v>
      </c>
      <c r="BA24" s="437">
        <v>46084</v>
      </c>
      <c r="BB24" s="433">
        <v>2026</v>
      </c>
      <c r="BC24" s="430">
        <v>3</v>
      </c>
      <c r="BD24" s="430">
        <v>10</v>
      </c>
      <c r="BE24" s="431">
        <v>36</v>
      </c>
      <c r="BF24" s="431">
        <v>576</v>
      </c>
      <c r="BG24" s="431" t="s">
        <v>128</v>
      </c>
      <c r="BH24" s="431" t="s">
        <v>86</v>
      </c>
      <c r="BI24" s="430" t="s">
        <v>197</v>
      </c>
      <c r="BJ24" s="430" t="s">
        <v>197</v>
      </c>
      <c r="BK24" s="430" t="s">
        <v>197</v>
      </c>
      <c r="BL24" s="430" t="s">
        <v>197</v>
      </c>
      <c r="BM24" s="430" t="s">
        <v>197</v>
      </c>
      <c r="BN24" s="430" t="s">
        <v>197</v>
      </c>
      <c r="BO24" s="430" t="s">
        <v>197</v>
      </c>
      <c r="BP24" s="430" t="s">
        <v>197</v>
      </c>
      <c r="BQ24" s="430" t="s">
        <v>197</v>
      </c>
      <c r="BR24" s="430" t="s">
        <v>197</v>
      </c>
      <c r="BS24" s="430" t="s">
        <v>197</v>
      </c>
      <c r="BT24" s="430" t="s">
        <v>197</v>
      </c>
      <c r="BU24" s="430" t="s">
        <v>197</v>
      </c>
      <c r="BV24" s="430" t="s">
        <v>197</v>
      </c>
      <c r="BW24" s="430" t="s">
        <v>197</v>
      </c>
      <c r="BX24" s="430" t="s">
        <v>197</v>
      </c>
      <c r="BY24" s="430" t="s">
        <v>197</v>
      </c>
      <c r="BZ24" s="430" t="s">
        <v>197</v>
      </c>
      <c r="CA24" s="430" t="s">
        <v>197</v>
      </c>
      <c r="CB24" s="430" t="s">
        <v>197</v>
      </c>
      <c r="CC24" s="430" t="s">
        <v>197</v>
      </c>
      <c r="CD24" s="430" t="s">
        <v>197</v>
      </c>
      <c r="CE24" s="430" t="s">
        <v>197</v>
      </c>
      <c r="CF24" s="430" t="s">
        <v>197</v>
      </c>
      <c r="CG24" s="430" t="s">
        <v>197</v>
      </c>
      <c r="CH24" s="430" t="s">
        <v>197</v>
      </c>
      <c r="CI24" s="430" t="s">
        <v>197</v>
      </c>
      <c r="CJ24" s="430" t="s">
        <v>197</v>
      </c>
      <c r="CK24" s="430" t="s">
        <v>197</v>
      </c>
      <c r="CL24" s="430" t="s">
        <v>197</v>
      </c>
      <c r="CM24" s="430" t="s">
        <v>197</v>
      </c>
    </row>
    <row r="25" spans="1:91" ht="10.5" hidden="1">
      <c r="A25" s="462" t="s">
        <v>239</v>
      </c>
      <c r="B25" s="462" t="s">
        <v>111</v>
      </c>
      <c r="C25" s="462" t="s">
        <v>112</v>
      </c>
      <c r="D25" s="462" t="s">
        <v>113</v>
      </c>
      <c r="E25" s="462" t="s">
        <v>64</v>
      </c>
      <c r="F25" s="462" t="s">
        <v>114</v>
      </c>
      <c r="G25" s="462" t="s">
        <v>66</v>
      </c>
      <c r="H25" s="462" t="s">
        <v>115</v>
      </c>
      <c r="I25" s="439" t="s">
        <v>68</v>
      </c>
      <c r="J25" s="430" t="s">
        <v>116</v>
      </c>
      <c r="K25" s="430" t="s">
        <v>117</v>
      </c>
      <c r="L25" s="430"/>
      <c r="M25" s="430" t="s">
        <v>68</v>
      </c>
      <c r="N25" s="432" t="s">
        <v>68</v>
      </c>
      <c r="O25" s="430" t="s">
        <v>70</v>
      </c>
      <c r="P25" s="430" t="s">
        <v>118</v>
      </c>
      <c r="Q25" s="430" t="s">
        <v>119</v>
      </c>
      <c r="R25" s="431" t="s">
        <v>73</v>
      </c>
      <c r="S25" s="442" t="s">
        <v>120</v>
      </c>
      <c r="T25" s="433">
        <v>640</v>
      </c>
      <c r="U25" s="1062">
        <v>967</v>
      </c>
      <c r="V25" s="434">
        <v>0.61899999999999999</v>
      </c>
      <c r="W25" s="435">
        <v>26.9</v>
      </c>
      <c r="X25" s="1015">
        <v>1.7</v>
      </c>
      <c r="Y25" s="430" t="s">
        <v>75</v>
      </c>
      <c r="Z25" s="430" t="s">
        <v>75</v>
      </c>
      <c r="AA25" s="430"/>
      <c r="AB25" s="437">
        <v>46027</v>
      </c>
      <c r="AC25" s="438">
        <v>2</v>
      </c>
      <c r="AD25" s="439" t="s">
        <v>240</v>
      </c>
      <c r="AE25" s="430"/>
      <c r="AF25" s="430" t="s">
        <v>122</v>
      </c>
      <c r="AG25" s="430" t="s">
        <v>123</v>
      </c>
      <c r="AH25" s="430" t="s">
        <v>124</v>
      </c>
      <c r="AI25" s="437">
        <v>46032</v>
      </c>
      <c r="AJ25" s="437">
        <v>46035</v>
      </c>
      <c r="AK25" s="441">
        <v>46035</v>
      </c>
      <c r="AL25" s="437">
        <v>46072</v>
      </c>
      <c r="AM25" s="437">
        <v>46076</v>
      </c>
      <c r="AN25" s="437">
        <v>46078</v>
      </c>
      <c r="AO25" s="430" t="s">
        <v>66</v>
      </c>
      <c r="AP25" s="430" t="s">
        <v>241</v>
      </c>
      <c r="AQ25" s="430" t="s">
        <v>80</v>
      </c>
      <c r="AR25" s="430" t="s">
        <v>242</v>
      </c>
      <c r="AS25" s="430" t="s">
        <v>243</v>
      </c>
      <c r="AT25" s="430" t="s">
        <v>243</v>
      </c>
      <c r="AU2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</v>
      </c>
      <c r="AW25" s="437">
        <v>46078</v>
      </c>
      <c r="AX25" s="433" t="s">
        <v>84</v>
      </c>
      <c r="AY25" s="437">
        <v>46092</v>
      </c>
      <c r="AZ25" s="442">
        <v>9</v>
      </c>
      <c r="BA25" s="437">
        <v>46087</v>
      </c>
      <c r="BB25" s="433">
        <v>2026</v>
      </c>
      <c r="BC25" s="430">
        <v>3</v>
      </c>
      <c r="BD25" s="430">
        <v>10</v>
      </c>
      <c r="BE25" s="431">
        <v>36</v>
      </c>
      <c r="BF25" s="431">
        <v>576</v>
      </c>
      <c r="BG25" s="431" t="s">
        <v>128</v>
      </c>
      <c r="BH25" s="431" t="s">
        <v>86</v>
      </c>
      <c r="BI25" s="430" t="s">
        <v>197</v>
      </c>
      <c r="BJ25" s="430" t="s">
        <v>197</v>
      </c>
      <c r="BK25" s="430" t="s">
        <v>197</v>
      </c>
      <c r="BL25" s="430" t="s">
        <v>197</v>
      </c>
      <c r="BM25" s="430" t="s">
        <v>197</v>
      </c>
      <c r="BN25" s="430" t="s">
        <v>197</v>
      </c>
      <c r="BO25" s="430" t="s">
        <v>197</v>
      </c>
      <c r="BP25" s="430" t="s">
        <v>197</v>
      </c>
      <c r="BQ25" s="430" t="s">
        <v>197</v>
      </c>
      <c r="BR25" s="430" t="s">
        <v>197</v>
      </c>
      <c r="BS25" s="430" t="s">
        <v>197</v>
      </c>
      <c r="BT25" s="430" t="s">
        <v>197</v>
      </c>
      <c r="BU25" s="430" t="s">
        <v>197</v>
      </c>
      <c r="BV25" s="430" t="s">
        <v>197</v>
      </c>
      <c r="BW25" s="430" t="s">
        <v>197</v>
      </c>
      <c r="BX25" s="430" t="s">
        <v>197</v>
      </c>
      <c r="BY25" s="430" t="s">
        <v>197</v>
      </c>
      <c r="BZ25" s="430" t="s">
        <v>197</v>
      </c>
      <c r="CA25" s="430" t="s">
        <v>197</v>
      </c>
      <c r="CB25" s="430" t="s">
        <v>197</v>
      </c>
      <c r="CC25" s="430" t="s">
        <v>197</v>
      </c>
      <c r="CD25" s="430" t="s">
        <v>197</v>
      </c>
      <c r="CE25" s="430" t="s">
        <v>197</v>
      </c>
      <c r="CF25" s="430" t="s">
        <v>197</v>
      </c>
      <c r="CG25" s="430" t="s">
        <v>197</v>
      </c>
      <c r="CH25" s="430" t="s">
        <v>197</v>
      </c>
      <c r="CI25" s="430" t="s">
        <v>197</v>
      </c>
      <c r="CJ25" s="430" t="s">
        <v>197</v>
      </c>
      <c r="CK25" s="430" t="s">
        <v>197</v>
      </c>
      <c r="CL25" s="430" t="s">
        <v>197</v>
      </c>
      <c r="CM25" s="430" t="s">
        <v>197</v>
      </c>
    </row>
    <row r="26" spans="1:91" ht="10.5" hidden="1">
      <c r="A26" s="462" t="s">
        <v>244</v>
      </c>
      <c r="B26" s="462" t="s">
        <v>111</v>
      </c>
      <c r="C26" s="462" t="s">
        <v>112</v>
      </c>
      <c r="D26" s="462" t="s">
        <v>113</v>
      </c>
      <c r="E26" s="462" t="s">
        <v>64</v>
      </c>
      <c r="F26" s="462" t="s">
        <v>114</v>
      </c>
      <c r="G26" s="462" t="s">
        <v>66</v>
      </c>
      <c r="H26" s="462" t="s">
        <v>115</v>
      </c>
      <c r="I26" s="439" t="s">
        <v>68</v>
      </c>
      <c r="J26" s="430" t="s">
        <v>116</v>
      </c>
      <c r="K26" s="430" t="s">
        <v>117</v>
      </c>
      <c r="L26" s="430"/>
      <c r="M26" s="430" t="s">
        <v>68</v>
      </c>
      <c r="N26" s="432" t="s">
        <v>68</v>
      </c>
      <c r="O26" s="430" t="s">
        <v>70</v>
      </c>
      <c r="P26" s="430" t="s">
        <v>118</v>
      </c>
      <c r="Q26" s="430" t="s">
        <v>119</v>
      </c>
      <c r="R26" s="431" t="s">
        <v>73</v>
      </c>
      <c r="S26" s="442" t="s">
        <v>120</v>
      </c>
      <c r="T26" s="433">
        <v>640</v>
      </c>
      <c r="U26" s="1062">
        <v>761</v>
      </c>
      <c r="V26" s="434">
        <v>0.48699999999999999</v>
      </c>
      <c r="W26" s="435">
        <v>21.1</v>
      </c>
      <c r="X26" s="1015">
        <v>1.3</v>
      </c>
      <c r="Y26" s="430" t="s">
        <v>75</v>
      </c>
      <c r="Z26" s="430" t="s">
        <v>75</v>
      </c>
      <c r="AA26" s="430"/>
      <c r="AB26" s="437">
        <v>46027</v>
      </c>
      <c r="AC26" s="438">
        <v>2</v>
      </c>
      <c r="AD26" s="439" t="s">
        <v>240</v>
      </c>
      <c r="AE26" s="430"/>
      <c r="AF26" s="430" t="s">
        <v>122</v>
      </c>
      <c r="AG26" s="430" t="s">
        <v>123</v>
      </c>
      <c r="AH26" s="430" t="s">
        <v>124</v>
      </c>
      <c r="AI26" s="437">
        <v>46032</v>
      </c>
      <c r="AJ26" s="437">
        <v>46035</v>
      </c>
      <c r="AK26" s="441">
        <v>46035</v>
      </c>
      <c r="AL26" s="437">
        <v>46072</v>
      </c>
      <c r="AM26" s="437">
        <v>46076</v>
      </c>
      <c r="AN26" s="437">
        <v>46078</v>
      </c>
      <c r="AO26" s="430" t="s">
        <v>66</v>
      </c>
      <c r="AP26" s="430" t="s">
        <v>241</v>
      </c>
      <c r="AQ26" s="430" t="s">
        <v>80</v>
      </c>
      <c r="AR26" s="430" t="s">
        <v>242</v>
      </c>
      <c r="AS26" s="430" t="s">
        <v>243</v>
      </c>
      <c r="AT26" s="430" t="s">
        <v>243</v>
      </c>
      <c r="AU2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</v>
      </c>
      <c r="AW26" s="437">
        <v>46078</v>
      </c>
      <c r="AX26" s="433" t="s">
        <v>84</v>
      </c>
      <c r="AY26" s="437">
        <v>46092</v>
      </c>
      <c r="AZ26" s="442">
        <v>9</v>
      </c>
      <c r="BA26" s="437">
        <v>46087</v>
      </c>
      <c r="BB26" s="433">
        <v>2026</v>
      </c>
      <c r="BC26" s="430">
        <v>3</v>
      </c>
      <c r="BD26" s="430">
        <v>10</v>
      </c>
      <c r="BE26" s="431">
        <v>36</v>
      </c>
      <c r="BF26" s="431">
        <v>576</v>
      </c>
      <c r="BG26" s="431" t="s">
        <v>128</v>
      </c>
      <c r="BH26" s="431" t="s">
        <v>86</v>
      </c>
      <c r="BI26" s="430" t="s">
        <v>197</v>
      </c>
      <c r="BJ26" s="430" t="s">
        <v>197</v>
      </c>
      <c r="BK26" s="430" t="s">
        <v>197</v>
      </c>
      <c r="BL26" s="430" t="s">
        <v>197</v>
      </c>
      <c r="BM26" s="430" t="s">
        <v>197</v>
      </c>
      <c r="BN26" s="430" t="s">
        <v>197</v>
      </c>
      <c r="BO26" s="430" t="s">
        <v>197</v>
      </c>
      <c r="BP26" s="430" t="s">
        <v>197</v>
      </c>
      <c r="BQ26" s="430" t="s">
        <v>197</v>
      </c>
      <c r="BR26" s="430" t="s">
        <v>197</v>
      </c>
      <c r="BS26" s="430" t="s">
        <v>197</v>
      </c>
      <c r="BT26" s="430" t="s">
        <v>197</v>
      </c>
      <c r="BU26" s="430" t="s">
        <v>197</v>
      </c>
      <c r="BV26" s="430" t="s">
        <v>197</v>
      </c>
      <c r="BW26" s="430" t="s">
        <v>197</v>
      </c>
      <c r="BX26" s="430" t="s">
        <v>197</v>
      </c>
      <c r="BY26" s="430" t="s">
        <v>197</v>
      </c>
      <c r="BZ26" s="430" t="s">
        <v>197</v>
      </c>
      <c r="CA26" s="430" t="s">
        <v>197</v>
      </c>
      <c r="CB26" s="430" t="s">
        <v>197</v>
      </c>
      <c r="CC26" s="430" t="s">
        <v>197</v>
      </c>
      <c r="CD26" s="430" t="s">
        <v>197</v>
      </c>
      <c r="CE26" s="430" t="s">
        <v>197</v>
      </c>
      <c r="CF26" s="430" t="s">
        <v>197</v>
      </c>
      <c r="CG26" s="430" t="s">
        <v>197</v>
      </c>
      <c r="CH26" s="430" t="s">
        <v>197</v>
      </c>
      <c r="CI26" s="430" t="s">
        <v>197</v>
      </c>
      <c r="CJ26" s="430" t="s">
        <v>197</v>
      </c>
      <c r="CK26" s="430" t="s">
        <v>197</v>
      </c>
      <c r="CL26" s="430" t="s">
        <v>197</v>
      </c>
      <c r="CM26" s="430" t="s">
        <v>197</v>
      </c>
    </row>
    <row r="27" spans="1:91" ht="10.5" hidden="1">
      <c r="A27" s="462" t="s">
        <v>245</v>
      </c>
      <c r="B27" s="462" t="s">
        <v>111</v>
      </c>
      <c r="C27" s="462" t="s">
        <v>112</v>
      </c>
      <c r="D27" s="462" t="s">
        <v>113</v>
      </c>
      <c r="E27" s="462" t="s">
        <v>64</v>
      </c>
      <c r="F27" s="462" t="s">
        <v>114</v>
      </c>
      <c r="G27" s="462" t="s">
        <v>66</v>
      </c>
      <c r="H27" s="462" t="s">
        <v>115</v>
      </c>
      <c r="I27" s="439" t="s">
        <v>68</v>
      </c>
      <c r="J27" s="430" t="s">
        <v>116</v>
      </c>
      <c r="K27" s="430" t="s">
        <v>117</v>
      </c>
      <c r="L27" s="430"/>
      <c r="M27" s="430" t="s">
        <v>68</v>
      </c>
      <c r="N27" s="432" t="s">
        <v>68</v>
      </c>
      <c r="O27" s="430" t="s">
        <v>70</v>
      </c>
      <c r="P27" s="430" t="s">
        <v>118</v>
      </c>
      <c r="Q27" s="430" t="s">
        <v>119</v>
      </c>
      <c r="R27" s="431" t="s">
        <v>73</v>
      </c>
      <c r="S27" s="442" t="s">
        <v>120</v>
      </c>
      <c r="T27" s="433">
        <v>640</v>
      </c>
      <c r="U27" s="1062">
        <v>1728</v>
      </c>
      <c r="V27" s="434">
        <v>1.1060000000000001</v>
      </c>
      <c r="W27" s="435">
        <v>48</v>
      </c>
      <c r="X27" s="1015">
        <v>3</v>
      </c>
      <c r="Y27" s="430" t="s">
        <v>75</v>
      </c>
      <c r="Z27" s="430" t="s">
        <v>75</v>
      </c>
      <c r="AA27" s="430"/>
      <c r="AB27" s="437">
        <v>46026</v>
      </c>
      <c r="AC27" s="438">
        <v>1</v>
      </c>
      <c r="AD27" s="439" t="s">
        <v>246</v>
      </c>
      <c r="AE27" s="430"/>
      <c r="AF27" s="430" t="s">
        <v>122</v>
      </c>
      <c r="AG27" s="430" t="s">
        <v>123</v>
      </c>
      <c r="AH27" s="430" t="s">
        <v>124</v>
      </c>
      <c r="AI27" s="437">
        <v>46031</v>
      </c>
      <c r="AK27" s="441">
        <v>46030</v>
      </c>
      <c r="AL27" s="437">
        <v>46086</v>
      </c>
      <c r="AM27" s="437">
        <v>46088</v>
      </c>
      <c r="AN27" s="437">
        <v>46089</v>
      </c>
      <c r="AO27" s="430" t="s">
        <v>66</v>
      </c>
      <c r="AP27" s="430" t="s">
        <v>247</v>
      </c>
      <c r="AQ27" s="430" t="s">
        <v>80</v>
      </c>
      <c r="AR27" s="430" t="s">
        <v>248</v>
      </c>
      <c r="AS27" s="430" t="s">
        <v>249</v>
      </c>
      <c r="AT27" s="430" t="s">
        <v>249</v>
      </c>
      <c r="AU2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W27" s="437">
        <v>46089</v>
      </c>
      <c r="AX27" s="433" t="s">
        <v>84</v>
      </c>
      <c r="AY27" s="437">
        <v>46100</v>
      </c>
      <c r="AZ27" s="442">
        <v>9</v>
      </c>
      <c r="BA27" s="437">
        <v>46098</v>
      </c>
      <c r="BB27" s="433">
        <v>2026</v>
      </c>
      <c r="BC27" s="430">
        <v>3</v>
      </c>
      <c r="BD27" s="430">
        <v>12</v>
      </c>
      <c r="BE27" s="431">
        <v>36</v>
      </c>
      <c r="BF27" s="431">
        <v>576</v>
      </c>
      <c r="BG27" s="431" t="s">
        <v>128</v>
      </c>
      <c r="BH27" s="431" t="s">
        <v>86</v>
      </c>
      <c r="BI27" s="430" t="s">
        <v>197</v>
      </c>
      <c r="BJ27" s="430" t="s">
        <v>197</v>
      </c>
      <c r="BK27" s="430" t="s">
        <v>197</v>
      </c>
      <c r="BL27" s="430" t="s">
        <v>197</v>
      </c>
      <c r="BM27" s="430" t="s">
        <v>197</v>
      </c>
      <c r="BN27" s="430" t="s">
        <v>197</v>
      </c>
      <c r="BO27" s="430" t="s">
        <v>197</v>
      </c>
      <c r="BP27" s="430" t="s">
        <v>197</v>
      </c>
      <c r="BQ27" s="430" t="s">
        <v>197</v>
      </c>
      <c r="BR27" s="430" t="s">
        <v>197</v>
      </c>
      <c r="BS27" s="430" t="s">
        <v>197</v>
      </c>
      <c r="BT27" s="430" t="s">
        <v>197</v>
      </c>
      <c r="BU27" s="430" t="s">
        <v>197</v>
      </c>
      <c r="BV27" s="430" t="s">
        <v>197</v>
      </c>
      <c r="BW27" s="430" t="s">
        <v>197</v>
      </c>
      <c r="BX27" s="430" t="s">
        <v>197</v>
      </c>
      <c r="BY27" s="430" t="s">
        <v>197</v>
      </c>
      <c r="BZ27" s="430" t="s">
        <v>197</v>
      </c>
      <c r="CA27" s="430" t="s">
        <v>197</v>
      </c>
      <c r="CB27" s="430" t="s">
        <v>197</v>
      </c>
      <c r="CC27" s="430" t="s">
        <v>197</v>
      </c>
      <c r="CD27" s="430" t="s">
        <v>197</v>
      </c>
      <c r="CE27" s="430" t="s">
        <v>197</v>
      </c>
      <c r="CF27" s="430" t="s">
        <v>197</v>
      </c>
      <c r="CG27" s="430" t="s">
        <v>197</v>
      </c>
      <c r="CH27" s="430" t="s">
        <v>197</v>
      </c>
      <c r="CI27" s="430" t="s">
        <v>197</v>
      </c>
      <c r="CJ27" s="430" t="s">
        <v>197</v>
      </c>
      <c r="CK27" s="430" t="s">
        <v>197</v>
      </c>
      <c r="CL27" s="430" t="s">
        <v>197</v>
      </c>
      <c r="CM27" s="430" t="s">
        <v>197</v>
      </c>
    </row>
    <row r="28" spans="1:91" ht="10.5" hidden="1">
      <c r="A28" s="462" t="s">
        <v>250</v>
      </c>
      <c r="B28" s="462" t="s">
        <v>111</v>
      </c>
      <c r="C28" s="462" t="s">
        <v>187</v>
      </c>
      <c r="D28" s="462" t="s">
        <v>63</v>
      </c>
      <c r="E28" s="462" t="s">
        <v>64</v>
      </c>
      <c r="F28" s="462" t="s">
        <v>65</v>
      </c>
      <c r="G28" s="462" t="s">
        <v>66</v>
      </c>
      <c r="H28" s="462" t="s">
        <v>67</v>
      </c>
      <c r="I28" s="439" t="s">
        <v>68</v>
      </c>
      <c r="J28" s="430" t="s">
        <v>188</v>
      </c>
      <c r="K28" s="430"/>
      <c r="L28" s="430"/>
      <c r="M28" s="430" t="s">
        <v>68</v>
      </c>
      <c r="N28" s="432" t="s">
        <v>68</v>
      </c>
      <c r="O28" s="430" t="s">
        <v>132</v>
      </c>
      <c r="P28" s="430" t="s">
        <v>189</v>
      </c>
      <c r="Q28" s="430" t="s">
        <v>190</v>
      </c>
      <c r="R28" s="431" t="s">
        <v>73</v>
      </c>
      <c r="S28" s="442" t="s">
        <v>74</v>
      </c>
      <c r="T28" s="433">
        <v>465</v>
      </c>
      <c r="U28" s="1062">
        <v>1728</v>
      </c>
      <c r="V28" s="434">
        <v>0.80400000000000005</v>
      </c>
      <c r="W28" s="435">
        <v>48</v>
      </c>
      <c r="X28" s="1015">
        <v>2</v>
      </c>
      <c r="Y28" s="430" t="s">
        <v>75</v>
      </c>
      <c r="Z28" s="430" t="s">
        <v>75</v>
      </c>
      <c r="AA28" s="430"/>
      <c r="AB28" s="437">
        <v>46026</v>
      </c>
      <c r="AC28" s="438">
        <v>1</v>
      </c>
      <c r="AD28" s="439" t="s">
        <v>251</v>
      </c>
      <c r="AE28" s="430"/>
      <c r="AF28" s="430" t="s">
        <v>122</v>
      </c>
      <c r="AG28" s="430" t="s">
        <v>123</v>
      </c>
      <c r="AH28" s="430" t="s">
        <v>78</v>
      </c>
      <c r="AI28" s="437">
        <v>46031</v>
      </c>
      <c r="AK28" s="441">
        <v>46030</v>
      </c>
      <c r="AL28" s="437">
        <v>46078</v>
      </c>
      <c r="AM28" s="437">
        <v>46083</v>
      </c>
      <c r="AN28" s="437">
        <v>46084</v>
      </c>
      <c r="AO28" s="430" t="s">
        <v>66</v>
      </c>
      <c r="AP28" s="430" t="s">
        <v>247</v>
      </c>
      <c r="AQ28" s="430" t="s">
        <v>80</v>
      </c>
      <c r="AR28" s="430" t="s">
        <v>252</v>
      </c>
      <c r="AS28" s="430" t="s">
        <v>253</v>
      </c>
      <c r="AT28" s="430" t="s">
        <v>253</v>
      </c>
      <c r="AU2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</v>
      </c>
      <c r="AW28" s="437">
        <v>46084</v>
      </c>
      <c r="AX28" s="433" t="s">
        <v>84</v>
      </c>
      <c r="AY28" s="437">
        <v>46097</v>
      </c>
      <c r="AZ28" s="442">
        <v>8</v>
      </c>
      <c r="BA28" s="437">
        <v>46092</v>
      </c>
      <c r="BB28" s="433">
        <v>2026</v>
      </c>
      <c r="BC28" s="430">
        <v>3</v>
      </c>
      <c r="BD28" s="430">
        <v>11</v>
      </c>
      <c r="BE28" s="431">
        <v>36</v>
      </c>
      <c r="BF28" s="431">
        <v>864</v>
      </c>
      <c r="BG28" s="431" t="s">
        <v>108</v>
      </c>
      <c r="BH28" s="431" t="s">
        <v>86</v>
      </c>
      <c r="BI28" s="430" t="s">
        <v>197</v>
      </c>
      <c r="BJ28" s="430" t="s">
        <v>197</v>
      </c>
      <c r="BK28" s="430" t="s">
        <v>197</v>
      </c>
      <c r="BL28" s="430" t="s">
        <v>197</v>
      </c>
      <c r="BM28" s="430" t="s">
        <v>197</v>
      </c>
      <c r="BN28" s="430" t="s">
        <v>197</v>
      </c>
      <c r="BO28" s="430" t="s">
        <v>197</v>
      </c>
      <c r="BP28" s="430" t="s">
        <v>197</v>
      </c>
      <c r="BQ28" s="430" t="s">
        <v>197</v>
      </c>
      <c r="BR28" s="430" t="s">
        <v>197</v>
      </c>
      <c r="BS28" s="430" t="s">
        <v>197</v>
      </c>
      <c r="BT28" s="430" t="s">
        <v>197</v>
      </c>
      <c r="BU28" s="430" t="s">
        <v>197</v>
      </c>
      <c r="BV28" s="430" t="s">
        <v>197</v>
      </c>
      <c r="BW28" s="430" t="s">
        <v>197</v>
      </c>
      <c r="BX28" s="430" t="s">
        <v>197</v>
      </c>
      <c r="BY28" s="430" t="s">
        <v>197</v>
      </c>
      <c r="BZ28" s="430" t="s">
        <v>197</v>
      </c>
      <c r="CA28" s="430" t="s">
        <v>197</v>
      </c>
      <c r="CB28" s="430" t="s">
        <v>197</v>
      </c>
      <c r="CC28" s="430" t="s">
        <v>197</v>
      </c>
      <c r="CD28" s="430" t="s">
        <v>197</v>
      </c>
      <c r="CE28" s="430" t="s">
        <v>197</v>
      </c>
      <c r="CF28" s="430" t="s">
        <v>197</v>
      </c>
      <c r="CG28" s="430" t="s">
        <v>197</v>
      </c>
      <c r="CH28" s="430" t="s">
        <v>197</v>
      </c>
      <c r="CI28" s="430" t="s">
        <v>197</v>
      </c>
      <c r="CJ28" s="430" t="s">
        <v>197</v>
      </c>
      <c r="CK28" s="430" t="s">
        <v>197</v>
      </c>
      <c r="CL28" s="430" t="s">
        <v>197</v>
      </c>
      <c r="CM28" s="430" t="s">
        <v>197</v>
      </c>
    </row>
    <row r="29" spans="1:91" ht="10.5" hidden="1">
      <c r="A29" s="462" t="s">
        <v>254</v>
      </c>
      <c r="B29" s="462" t="s">
        <v>111</v>
      </c>
      <c r="C29" s="462" t="s">
        <v>187</v>
      </c>
      <c r="D29" s="462" t="s">
        <v>63</v>
      </c>
      <c r="E29" s="462" t="s">
        <v>64</v>
      </c>
      <c r="F29" s="462" t="s">
        <v>100</v>
      </c>
      <c r="G29" s="462" t="s">
        <v>66</v>
      </c>
      <c r="H29" s="462" t="s">
        <v>67</v>
      </c>
      <c r="I29" s="439" t="s">
        <v>68</v>
      </c>
      <c r="J29" s="430" t="s">
        <v>101</v>
      </c>
      <c r="K29" s="430"/>
      <c r="L29" s="430"/>
      <c r="M29" s="430" t="s">
        <v>68</v>
      </c>
      <c r="N29" s="432" t="s">
        <v>68</v>
      </c>
      <c r="O29" s="430" t="s">
        <v>132</v>
      </c>
      <c r="P29" s="430" t="s">
        <v>189</v>
      </c>
      <c r="Q29" s="430" t="s">
        <v>190</v>
      </c>
      <c r="R29" s="431" t="s">
        <v>73</v>
      </c>
      <c r="S29" s="442" t="s">
        <v>74</v>
      </c>
      <c r="T29" s="433">
        <v>465</v>
      </c>
      <c r="U29" s="1062">
        <v>864</v>
      </c>
      <c r="V29" s="434">
        <v>0.40200000000000002</v>
      </c>
      <c r="W29" s="435">
        <v>24</v>
      </c>
      <c r="X29" s="1015">
        <v>1</v>
      </c>
      <c r="Y29" s="430" t="s">
        <v>75</v>
      </c>
      <c r="Z29" s="430" t="s">
        <v>75</v>
      </c>
      <c r="AA29" s="430"/>
      <c r="AB29" s="437">
        <v>46026</v>
      </c>
      <c r="AC29" s="438">
        <v>1</v>
      </c>
      <c r="AD29" s="439" t="s">
        <v>255</v>
      </c>
      <c r="AE29" s="430"/>
      <c r="AF29" s="430" t="s">
        <v>122</v>
      </c>
      <c r="AG29" s="430" t="s">
        <v>123</v>
      </c>
      <c r="AH29" s="430" t="s">
        <v>105</v>
      </c>
      <c r="AI29" s="437">
        <v>46031</v>
      </c>
      <c r="AK29" s="441">
        <v>46030</v>
      </c>
      <c r="AL29" s="437">
        <v>46080</v>
      </c>
      <c r="AM29" s="437">
        <v>46111</v>
      </c>
      <c r="AN29" s="437">
        <v>46111</v>
      </c>
      <c r="AO29" s="430" t="s">
        <v>66</v>
      </c>
      <c r="AP29" s="430" t="s">
        <v>247</v>
      </c>
      <c r="AQ29" s="430" t="s">
        <v>80</v>
      </c>
      <c r="AR29" s="430" t="s">
        <v>256</v>
      </c>
      <c r="AS29" s="430" t="s">
        <v>257</v>
      </c>
      <c r="AT29" s="430" t="s">
        <v>257</v>
      </c>
      <c r="AU2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81</v>
      </c>
      <c r="AW29" s="437">
        <v>46111</v>
      </c>
      <c r="AX29" s="433" t="s">
        <v>84</v>
      </c>
      <c r="AY29" s="437">
        <v>46146</v>
      </c>
      <c r="AZ29" s="442">
        <v>7</v>
      </c>
      <c r="BA29" s="437">
        <v>46118</v>
      </c>
      <c r="BB29" s="433">
        <v>2026</v>
      </c>
      <c r="BC29" s="430">
        <v>4</v>
      </c>
      <c r="BD29" s="430">
        <v>15</v>
      </c>
      <c r="BE29" s="431">
        <v>36</v>
      </c>
      <c r="BF29" s="431">
        <v>864</v>
      </c>
      <c r="BG29" s="431" t="s">
        <v>108</v>
      </c>
      <c r="BH29" s="431" t="s">
        <v>109</v>
      </c>
      <c r="BI29" s="430" t="s">
        <v>197</v>
      </c>
      <c r="BJ29" s="430" t="s">
        <v>197</v>
      </c>
      <c r="BK29" s="430" t="s">
        <v>197</v>
      </c>
      <c r="BL29" s="430" t="s">
        <v>197</v>
      </c>
      <c r="BM29" s="430" t="s">
        <v>197</v>
      </c>
      <c r="BN29" s="430" t="s">
        <v>197</v>
      </c>
      <c r="BO29" s="430" t="s">
        <v>197</v>
      </c>
      <c r="BP29" s="430" t="s">
        <v>197</v>
      </c>
      <c r="BQ29" s="430" t="s">
        <v>197</v>
      </c>
      <c r="BR29" s="430" t="s">
        <v>197</v>
      </c>
      <c r="BS29" s="430" t="s">
        <v>197</v>
      </c>
      <c r="BT29" s="430" t="s">
        <v>197</v>
      </c>
      <c r="BU29" s="430" t="s">
        <v>197</v>
      </c>
      <c r="BV29" s="430" t="s">
        <v>197</v>
      </c>
      <c r="BW29" s="430" t="s">
        <v>197</v>
      </c>
      <c r="BX29" s="430" t="s">
        <v>197</v>
      </c>
      <c r="BY29" s="430" t="s">
        <v>197</v>
      </c>
      <c r="BZ29" s="430" t="s">
        <v>197</v>
      </c>
      <c r="CA29" s="430" t="s">
        <v>197</v>
      </c>
      <c r="CB29" s="430" t="s">
        <v>197</v>
      </c>
      <c r="CC29" s="430" t="s">
        <v>197</v>
      </c>
      <c r="CD29" s="430" t="s">
        <v>197</v>
      </c>
      <c r="CE29" s="430" t="s">
        <v>197</v>
      </c>
      <c r="CF29" s="430" t="s">
        <v>197</v>
      </c>
      <c r="CG29" s="430" t="s">
        <v>197</v>
      </c>
      <c r="CH29" s="430" t="s">
        <v>197</v>
      </c>
      <c r="CI29" s="430" t="s">
        <v>197</v>
      </c>
      <c r="CJ29" s="430" t="s">
        <v>197</v>
      </c>
      <c r="CK29" s="430" t="s">
        <v>197</v>
      </c>
      <c r="CL29" s="430" t="s">
        <v>197</v>
      </c>
      <c r="CM29" s="430" t="s">
        <v>197</v>
      </c>
    </row>
    <row r="30" spans="1:91" ht="10.5" hidden="1">
      <c r="A30" s="462" t="s">
        <v>258</v>
      </c>
      <c r="B30" s="462" t="s">
        <v>111</v>
      </c>
      <c r="C30" s="462" t="s">
        <v>168</v>
      </c>
      <c r="D30" s="462" t="s">
        <v>63</v>
      </c>
      <c r="E30" s="462" t="s">
        <v>64</v>
      </c>
      <c r="F30" s="462" t="s">
        <v>100</v>
      </c>
      <c r="G30" s="462" t="s">
        <v>66</v>
      </c>
      <c r="H30" s="462" t="s">
        <v>67</v>
      </c>
      <c r="I30" s="439" t="s">
        <v>68</v>
      </c>
      <c r="J30" s="430" t="s">
        <v>169</v>
      </c>
      <c r="K30" s="430"/>
      <c r="L30" s="430"/>
      <c r="M30" s="430" t="s">
        <v>68</v>
      </c>
      <c r="N30" s="432" t="s">
        <v>68</v>
      </c>
      <c r="O30" s="430" t="s">
        <v>170</v>
      </c>
      <c r="P30" s="430" t="s">
        <v>171</v>
      </c>
      <c r="Q30" s="430" t="s">
        <v>172</v>
      </c>
      <c r="R30" s="431" t="s">
        <v>73</v>
      </c>
      <c r="S30" s="442" t="s">
        <v>120</v>
      </c>
      <c r="T30" s="433">
        <v>555</v>
      </c>
      <c r="U30" s="1062">
        <v>660</v>
      </c>
      <c r="V30" s="434">
        <v>0.36599999999999999</v>
      </c>
      <c r="W30" s="435">
        <v>20</v>
      </c>
      <c r="X30" s="1015">
        <v>1</v>
      </c>
      <c r="Y30" s="430" t="s">
        <v>75</v>
      </c>
      <c r="Z30" s="430" t="s">
        <v>75</v>
      </c>
      <c r="AA30" s="430"/>
      <c r="AB30" s="437">
        <v>46026</v>
      </c>
      <c r="AC30" s="438">
        <v>1</v>
      </c>
      <c r="AD30" s="439" t="s">
        <v>259</v>
      </c>
      <c r="AE30" s="430"/>
      <c r="AF30" s="430" t="s">
        <v>122</v>
      </c>
      <c r="AG30" s="430" t="s">
        <v>123</v>
      </c>
      <c r="AH30" s="430" t="s">
        <v>105</v>
      </c>
      <c r="AI30" s="437">
        <v>46031</v>
      </c>
      <c r="AK30" s="441">
        <v>46030</v>
      </c>
      <c r="AL30" s="437">
        <v>46080</v>
      </c>
      <c r="AM30" s="437">
        <v>46111</v>
      </c>
      <c r="AN30" s="437">
        <v>46111</v>
      </c>
      <c r="AO30" s="430" t="s">
        <v>66</v>
      </c>
      <c r="AP30" s="430" t="s">
        <v>247</v>
      </c>
      <c r="AQ30" s="430" t="s">
        <v>80</v>
      </c>
      <c r="AR30" s="430" t="s">
        <v>256</v>
      </c>
      <c r="AS30" s="430" t="s">
        <v>257</v>
      </c>
      <c r="AT30" s="430" t="s">
        <v>257</v>
      </c>
      <c r="AU3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81</v>
      </c>
      <c r="AW30" s="437">
        <v>46111</v>
      </c>
      <c r="AX30" s="433" t="s">
        <v>84</v>
      </c>
      <c r="AY30" s="437">
        <v>46125</v>
      </c>
      <c r="AZ30" s="442">
        <v>7</v>
      </c>
      <c r="BA30" s="437">
        <v>46118</v>
      </c>
      <c r="BB30" s="433">
        <v>2026</v>
      </c>
      <c r="BC30" s="430">
        <v>4</v>
      </c>
      <c r="BD30" s="430">
        <v>15</v>
      </c>
      <c r="BE30" s="431">
        <v>33</v>
      </c>
      <c r="BF30" s="431">
        <v>660</v>
      </c>
      <c r="BG30" s="431" t="s">
        <v>108</v>
      </c>
      <c r="BH30" s="431" t="s">
        <v>109</v>
      </c>
      <c r="BI30" s="430" t="s">
        <v>197</v>
      </c>
      <c r="BJ30" s="430" t="s">
        <v>197</v>
      </c>
      <c r="BK30" s="430" t="s">
        <v>197</v>
      </c>
      <c r="BL30" s="430" t="s">
        <v>197</v>
      </c>
      <c r="BM30" s="430" t="s">
        <v>197</v>
      </c>
      <c r="BN30" s="430" t="s">
        <v>197</v>
      </c>
      <c r="BO30" s="430" t="s">
        <v>197</v>
      </c>
      <c r="BP30" s="430" t="s">
        <v>197</v>
      </c>
      <c r="BQ30" s="430" t="s">
        <v>197</v>
      </c>
      <c r="BR30" s="430" t="s">
        <v>197</v>
      </c>
      <c r="BS30" s="430" t="s">
        <v>197</v>
      </c>
      <c r="BT30" s="430" t="s">
        <v>197</v>
      </c>
      <c r="BU30" s="430" t="s">
        <v>197</v>
      </c>
      <c r="BV30" s="430" t="s">
        <v>197</v>
      </c>
      <c r="BW30" s="430" t="s">
        <v>197</v>
      </c>
      <c r="BX30" s="430" t="s">
        <v>197</v>
      </c>
      <c r="BY30" s="430" t="s">
        <v>197</v>
      </c>
      <c r="BZ30" s="430" t="s">
        <v>197</v>
      </c>
      <c r="CA30" s="430" t="s">
        <v>197</v>
      </c>
      <c r="CB30" s="430" t="s">
        <v>197</v>
      </c>
      <c r="CC30" s="430" t="s">
        <v>197</v>
      </c>
      <c r="CD30" s="430" t="s">
        <v>197</v>
      </c>
      <c r="CE30" s="430" t="s">
        <v>197</v>
      </c>
      <c r="CF30" s="430" t="s">
        <v>197</v>
      </c>
      <c r="CG30" s="430" t="s">
        <v>197</v>
      </c>
      <c r="CH30" s="430" t="s">
        <v>197</v>
      </c>
      <c r="CI30" s="430" t="s">
        <v>197</v>
      </c>
      <c r="CJ30" s="430" t="s">
        <v>197</v>
      </c>
      <c r="CK30" s="430" t="s">
        <v>197</v>
      </c>
      <c r="CL30" s="430" t="s">
        <v>197</v>
      </c>
      <c r="CM30" s="430" t="s">
        <v>197</v>
      </c>
    </row>
    <row r="31" spans="1:91" ht="10.5" hidden="1">
      <c r="A31" s="462" t="s">
        <v>260</v>
      </c>
      <c r="B31" s="462" t="s">
        <v>111</v>
      </c>
      <c r="C31" s="462" t="s">
        <v>168</v>
      </c>
      <c r="D31" s="462" t="s">
        <v>63</v>
      </c>
      <c r="E31" s="462" t="s">
        <v>64</v>
      </c>
      <c r="F31" s="462" t="s">
        <v>100</v>
      </c>
      <c r="G31" s="462" t="s">
        <v>66</v>
      </c>
      <c r="H31" s="462" t="s">
        <v>67</v>
      </c>
      <c r="I31" s="439" t="s">
        <v>68</v>
      </c>
      <c r="J31" s="430" t="s">
        <v>96</v>
      </c>
      <c r="K31" s="430"/>
      <c r="L31" s="430"/>
      <c r="M31" s="430" t="s">
        <v>68</v>
      </c>
      <c r="N31" s="432" t="s">
        <v>68</v>
      </c>
      <c r="O31" s="430" t="s">
        <v>170</v>
      </c>
      <c r="P31" s="430" t="s">
        <v>171</v>
      </c>
      <c r="Q31" s="430" t="s">
        <v>172</v>
      </c>
      <c r="R31" s="431" t="s">
        <v>73</v>
      </c>
      <c r="S31" s="442" t="s">
        <v>120</v>
      </c>
      <c r="T31" s="433">
        <v>555</v>
      </c>
      <c r="U31" s="1062">
        <v>1320</v>
      </c>
      <c r="V31" s="434">
        <v>0.73299999999999998</v>
      </c>
      <c r="W31" s="435">
        <v>40</v>
      </c>
      <c r="X31" s="1015">
        <v>2</v>
      </c>
      <c r="Y31" s="430" t="s">
        <v>75</v>
      </c>
      <c r="Z31" s="430" t="s">
        <v>75</v>
      </c>
      <c r="AA31" s="430"/>
      <c r="AB31" s="437">
        <v>46029</v>
      </c>
      <c r="AC31" s="438">
        <v>2</v>
      </c>
      <c r="AD31" s="439" t="s">
        <v>261</v>
      </c>
      <c r="AE31" s="430"/>
      <c r="AF31" s="430" t="s">
        <v>122</v>
      </c>
      <c r="AG31" s="430" t="s">
        <v>123</v>
      </c>
      <c r="AH31" s="430" t="s">
        <v>105</v>
      </c>
      <c r="AI31" s="437">
        <v>46035</v>
      </c>
      <c r="AJ31" s="437">
        <v>46037</v>
      </c>
      <c r="AK31" s="441">
        <v>46037</v>
      </c>
      <c r="AL31" s="437">
        <v>46071</v>
      </c>
      <c r="AM31" s="437">
        <v>46083</v>
      </c>
      <c r="AN31" s="437">
        <v>46083</v>
      </c>
      <c r="AO31" s="430" t="s">
        <v>66</v>
      </c>
      <c r="AP31" s="430" t="s">
        <v>262</v>
      </c>
      <c r="AQ31" s="430" t="s">
        <v>80</v>
      </c>
      <c r="AR31" s="430" t="s">
        <v>263</v>
      </c>
      <c r="AS31" s="430" t="s">
        <v>264</v>
      </c>
      <c r="AT31" s="430" t="s">
        <v>264</v>
      </c>
      <c r="AU3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31" s="437">
        <v>46083</v>
      </c>
      <c r="AX31" s="433" t="s">
        <v>84</v>
      </c>
      <c r="AY31" s="437">
        <v>46097</v>
      </c>
      <c r="AZ31" s="442">
        <v>7</v>
      </c>
      <c r="BA31" s="437">
        <v>46090</v>
      </c>
      <c r="BB31" s="433">
        <v>2026</v>
      </c>
      <c r="BC31" s="430">
        <v>3</v>
      </c>
      <c r="BD31" s="430">
        <v>11</v>
      </c>
      <c r="BE31" s="431">
        <v>33</v>
      </c>
      <c r="BF31" s="431">
        <v>660</v>
      </c>
      <c r="BG31" s="431" t="s">
        <v>108</v>
      </c>
      <c r="BH31" s="431" t="s">
        <v>109</v>
      </c>
      <c r="BI31" s="430" t="s">
        <v>197</v>
      </c>
      <c r="BJ31" s="430" t="s">
        <v>197</v>
      </c>
      <c r="BK31" s="430" t="s">
        <v>197</v>
      </c>
      <c r="BL31" s="430" t="s">
        <v>197</v>
      </c>
      <c r="BM31" s="430" t="s">
        <v>197</v>
      </c>
      <c r="BN31" s="430" t="s">
        <v>197</v>
      </c>
      <c r="BO31" s="430" t="s">
        <v>197</v>
      </c>
      <c r="BP31" s="430" t="s">
        <v>197</v>
      </c>
      <c r="BQ31" s="430" t="s">
        <v>197</v>
      </c>
      <c r="BR31" s="430" t="s">
        <v>197</v>
      </c>
      <c r="BS31" s="430" t="s">
        <v>197</v>
      </c>
      <c r="BT31" s="430" t="s">
        <v>197</v>
      </c>
      <c r="BU31" s="430" t="s">
        <v>197</v>
      </c>
      <c r="BV31" s="430" t="s">
        <v>197</v>
      </c>
      <c r="BW31" s="430" t="s">
        <v>197</v>
      </c>
      <c r="BX31" s="430" t="s">
        <v>197</v>
      </c>
      <c r="BY31" s="430" t="s">
        <v>197</v>
      </c>
      <c r="BZ31" s="430" t="s">
        <v>197</v>
      </c>
      <c r="CA31" s="430" t="s">
        <v>197</v>
      </c>
      <c r="CB31" s="430" t="s">
        <v>197</v>
      </c>
      <c r="CC31" s="430" t="s">
        <v>197</v>
      </c>
      <c r="CD31" s="430" t="s">
        <v>197</v>
      </c>
      <c r="CE31" s="430" t="s">
        <v>197</v>
      </c>
      <c r="CF31" s="430" t="s">
        <v>197</v>
      </c>
      <c r="CG31" s="430" t="s">
        <v>197</v>
      </c>
      <c r="CH31" s="430" t="s">
        <v>197</v>
      </c>
      <c r="CI31" s="430" t="s">
        <v>197</v>
      </c>
      <c r="CJ31" s="430" t="s">
        <v>197</v>
      </c>
      <c r="CK31" s="430" t="s">
        <v>197</v>
      </c>
      <c r="CL31" s="430" t="s">
        <v>197</v>
      </c>
      <c r="CM31" s="430" t="s">
        <v>197</v>
      </c>
    </row>
    <row r="32" spans="1:91" ht="10.5" hidden="1">
      <c r="A32" s="462" t="s">
        <v>265</v>
      </c>
      <c r="B32" s="462" t="s">
        <v>111</v>
      </c>
      <c r="C32" s="462" t="s">
        <v>112</v>
      </c>
      <c r="D32" s="462" t="s">
        <v>113</v>
      </c>
      <c r="E32" s="462" t="s">
        <v>64</v>
      </c>
      <c r="F32" s="462" t="s">
        <v>114</v>
      </c>
      <c r="G32" s="462" t="s">
        <v>66</v>
      </c>
      <c r="H32" s="462" t="s">
        <v>115</v>
      </c>
      <c r="I32" s="439" t="s">
        <v>68</v>
      </c>
      <c r="J32" s="430" t="s">
        <v>116</v>
      </c>
      <c r="K32" s="430" t="s">
        <v>266</v>
      </c>
      <c r="L32" s="430"/>
      <c r="M32" s="430" t="s">
        <v>68</v>
      </c>
      <c r="N32" s="432" t="s">
        <v>68</v>
      </c>
      <c r="O32" s="430" t="s">
        <v>70</v>
      </c>
      <c r="P32" s="430" t="s">
        <v>118</v>
      </c>
      <c r="Q32" s="430" t="s">
        <v>119</v>
      </c>
      <c r="R32" s="431" t="s">
        <v>73</v>
      </c>
      <c r="S32" s="442" t="s">
        <v>120</v>
      </c>
      <c r="T32" s="433">
        <v>640</v>
      </c>
      <c r="U32" s="1062">
        <v>1152</v>
      </c>
      <c r="V32" s="434">
        <v>0.73699999999999999</v>
      </c>
      <c r="W32" s="435">
        <v>32</v>
      </c>
      <c r="X32" s="1015">
        <v>2</v>
      </c>
      <c r="Y32" s="430" t="s">
        <v>75</v>
      </c>
      <c r="Z32" s="430" t="s">
        <v>75</v>
      </c>
      <c r="AA32" s="430"/>
      <c r="AB32" s="437">
        <v>46034</v>
      </c>
      <c r="AC32" s="438">
        <v>3</v>
      </c>
      <c r="AD32" s="439" t="s">
        <v>267</v>
      </c>
      <c r="AE32" s="430"/>
      <c r="AF32" s="430" t="s">
        <v>122</v>
      </c>
      <c r="AG32" s="430" t="s">
        <v>123</v>
      </c>
      <c r="AH32" s="430" t="s">
        <v>124</v>
      </c>
      <c r="AI32" s="437">
        <v>46042</v>
      </c>
      <c r="AJ32" s="437">
        <v>46044</v>
      </c>
      <c r="AK32" s="441">
        <v>46044</v>
      </c>
      <c r="AL32" s="437">
        <v>46081</v>
      </c>
      <c r="AM32" s="437">
        <v>46083</v>
      </c>
      <c r="AN32" s="437">
        <v>46084</v>
      </c>
      <c r="AO32" s="430" t="s">
        <v>66</v>
      </c>
      <c r="AP32" s="430" t="s">
        <v>268</v>
      </c>
      <c r="AQ32" s="430" t="s">
        <v>80</v>
      </c>
      <c r="AR32" s="430" t="s">
        <v>269</v>
      </c>
      <c r="AS32" s="430" t="s">
        <v>270</v>
      </c>
      <c r="AT32" s="430" t="s">
        <v>270</v>
      </c>
      <c r="AU3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W32" s="437">
        <v>46084</v>
      </c>
      <c r="AX32" s="433" t="s">
        <v>84</v>
      </c>
      <c r="AY32" s="437">
        <v>46095</v>
      </c>
      <c r="AZ32" s="442">
        <v>9</v>
      </c>
      <c r="BA32" s="437">
        <v>46093</v>
      </c>
      <c r="BB32" s="433">
        <v>2026</v>
      </c>
      <c r="BC32" s="430">
        <v>3</v>
      </c>
      <c r="BD32" s="430">
        <v>11</v>
      </c>
      <c r="BE32" s="431">
        <v>36</v>
      </c>
      <c r="BF32" s="431">
        <v>576</v>
      </c>
      <c r="BG32" s="431" t="s">
        <v>128</v>
      </c>
      <c r="BH32" s="431" t="s">
        <v>86</v>
      </c>
      <c r="BI32" s="430" t="s">
        <v>197</v>
      </c>
      <c r="BJ32" s="430" t="s">
        <v>197</v>
      </c>
      <c r="BK32" s="430" t="s">
        <v>197</v>
      </c>
      <c r="BL32" s="430" t="s">
        <v>197</v>
      </c>
      <c r="BM32" s="430" t="s">
        <v>197</v>
      </c>
      <c r="BN32" s="430" t="s">
        <v>197</v>
      </c>
      <c r="BO32" s="430" t="s">
        <v>197</v>
      </c>
      <c r="BP32" s="430" t="s">
        <v>197</v>
      </c>
      <c r="BQ32" s="430" t="s">
        <v>197</v>
      </c>
      <c r="BR32" s="430" t="s">
        <v>197</v>
      </c>
      <c r="BS32" s="430" t="s">
        <v>197</v>
      </c>
      <c r="BT32" s="430" t="s">
        <v>197</v>
      </c>
      <c r="BU32" s="430" t="s">
        <v>197</v>
      </c>
      <c r="BV32" s="430" t="s">
        <v>197</v>
      </c>
      <c r="BW32" s="430" t="s">
        <v>197</v>
      </c>
      <c r="BX32" s="430" t="s">
        <v>197</v>
      </c>
      <c r="BY32" s="430" t="s">
        <v>197</v>
      </c>
      <c r="BZ32" s="430" t="s">
        <v>197</v>
      </c>
      <c r="CA32" s="430" t="s">
        <v>197</v>
      </c>
      <c r="CB32" s="430" t="s">
        <v>197</v>
      </c>
      <c r="CC32" s="430" t="s">
        <v>197</v>
      </c>
      <c r="CD32" s="430" t="s">
        <v>197</v>
      </c>
      <c r="CE32" s="430" t="s">
        <v>197</v>
      </c>
      <c r="CF32" s="430" t="s">
        <v>197</v>
      </c>
      <c r="CG32" s="430" t="s">
        <v>197</v>
      </c>
      <c r="CH32" s="430" t="s">
        <v>197</v>
      </c>
      <c r="CI32" s="430" t="s">
        <v>197</v>
      </c>
      <c r="CJ32" s="430" t="s">
        <v>197</v>
      </c>
      <c r="CK32" s="430" t="s">
        <v>197</v>
      </c>
      <c r="CL32" s="430" t="s">
        <v>197</v>
      </c>
      <c r="CM32" s="430" t="s">
        <v>197</v>
      </c>
    </row>
    <row r="33" spans="1:91" ht="10.5" hidden="1">
      <c r="A33" s="462" t="s">
        <v>271</v>
      </c>
      <c r="B33" s="462" t="s">
        <v>111</v>
      </c>
      <c r="C33" s="462" t="s">
        <v>112</v>
      </c>
      <c r="D33" s="462" t="s">
        <v>113</v>
      </c>
      <c r="E33" s="462" t="s">
        <v>64</v>
      </c>
      <c r="F33" s="462" t="s">
        <v>114</v>
      </c>
      <c r="G33" s="462" t="s">
        <v>66</v>
      </c>
      <c r="H33" s="462" t="s">
        <v>115</v>
      </c>
      <c r="I33" s="439" t="s">
        <v>68</v>
      </c>
      <c r="J33" s="430" t="s">
        <v>116</v>
      </c>
      <c r="K33" s="430" t="s">
        <v>117</v>
      </c>
      <c r="L33" s="430"/>
      <c r="M33" s="430" t="s">
        <v>68</v>
      </c>
      <c r="N33" s="432" t="s">
        <v>68</v>
      </c>
      <c r="O33" s="430" t="s">
        <v>70</v>
      </c>
      <c r="P33" s="430" t="s">
        <v>118</v>
      </c>
      <c r="Q33" s="430" t="s">
        <v>119</v>
      </c>
      <c r="R33" s="431" t="s">
        <v>73</v>
      </c>
      <c r="S33" s="442" t="s">
        <v>120</v>
      </c>
      <c r="T33" s="433">
        <v>640</v>
      </c>
      <c r="U33" s="1062">
        <v>2124</v>
      </c>
      <c r="V33" s="434">
        <v>1.359</v>
      </c>
      <c r="W33" s="435">
        <v>59</v>
      </c>
      <c r="X33" s="1015">
        <v>3.7</v>
      </c>
      <c r="Y33" s="430" t="s">
        <v>75</v>
      </c>
      <c r="Z33" s="430" t="s">
        <v>75</v>
      </c>
      <c r="AA33" s="430"/>
      <c r="AB33" s="437">
        <v>46029</v>
      </c>
      <c r="AC33" s="438">
        <v>2</v>
      </c>
      <c r="AD33" s="439" t="s">
        <v>272</v>
      </c>
      <c r="AE33" s="430"/>
      <c r="AF33" s="430" t="s">
        <v>122</v>
      </c>
      <c r="AG33" s="430" t="s">
        <v>123</v>
      </c>
      <c r="AH33" s="430" t="s">
        <v>124</v>
      </c>
      <c r="AI33" s="437">
        <v>46035</v>
      </c>
      <c r="AJ33" s="437">
        <v>46041</v>
      </c>
      <c r="AK33" s="441">
        <v>46041</v>
      </c>
      <c r="AL33" s="437">
        <v>46079</v>
      </c>
      <c r="AM33" s="437">
        <v>46079</v>
      </c>
      <c r="AN33" s="437">
        <v>46079</v>
      </c>
      <c r="AO33" s="430" t="s">
        <v>66</v>
      </c>
      <c r="AP33" s="430" t="s">
        <v>273</v>
      </c>
      <c r="AQ33" s="430" t="s">
        <v>80</v>
      </c>
      <c r="AR33" s="430" t="s">
        <v>274</v>
      </c>
      <c r="AS33" s="430" t="s">
        <v>275</v>
      </c>
      <c r="AT33" s="430" t="s">
        <v>275</v>
      </c>
      <c r="AU3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</v>
      </c>
      <c r="AW33" s="437">
        <v>46079</v>
      </c>
      <c r="AX33" s="433" t="s">
        <v>84</v>
      </c>
      <c r="AY33" s="437">
        <v>46093</v>
      </c>
      <c r="AZ33" s="442">
        <v>9</v>
      </c>
      <c r="BA33" s="437">
        <v>46088</v>
      </c>
      <c r="BB33" s="433">
        <v>2026</v>
      </c>
      <c r="BC33" s="430">
        <v>3</v>
      </c>
      <c r="BD33" s="430">
        <v>10</v>
      </c>
      <c r="BE33" s="431">
        <v>36</v>
      </c>
      <c r="BF33" s="431">
        <v>576</v>
      </c>
      <c r="BG33" s="431" t="s">
        <v>128</v>
      </c>
      <c r="BH33" s="431" t="s">
        <v>86</v>
      </c>
      <c r="BI33" s="430" t="s">
        <v>197</v>
      </c>
      <c r="BJ33" s="430" t="s">
        <v>197</v>
      </c>
      <c r="BK33" s="430" t="s">
        <v>197</v>
      </c>
      <c r="BL33" s="430" t="s">
        <v>197</v>
      </c>
      <c r="BM33" s="430" t="s">
        <v>197</v>
      </c>
      <c r="BN33" s="430" t="s">
        <v>197</v>
      </c>
      <c r="BO33" s="430" t="s">
        <v>197</v>
      </c>
      <c r="BP33" s="430" t="s">
        <v>197</v>
      </c>
      <c r="BQ33" s="430" t="s">
        <v>197</v>
      </c>
      <c r="BR33" s="430" t="s">
        <v>197</v>
      </c>
      <c r="BS33" s="430" t="s">
        <v>197</v>
      </c>
      <c r="BT33" s="430" t="s">
        <v>197</v>
      </c>
      <c r="BU33" s="430" t="s">
        <v>197</v>
      </c>
      <c r="BV33" s="430" t="s">
        <v>197</v>
      </c>
      <c r="BW33" s="430" t="s">
        <v>197</v>
      </c>
      <c r="BX33" s="430" t="s">
        <v>197</v>
      </c>
      <c r="BY33" s="430" t="s">
        <v>197</v>
      </c>
      <c r="BZ33" s="430" t="s">
        <v>197</v>
      </c>
      <c r="CA33" s="430" t="s">
        <v>197</v>
      </c>
      <c r="CB33" s="430" t="s">
        <v>197</v>
      </c>
      <c r="CC33" s="430" t="s">
        <v>197</v>
      </c>
      <c r="CD33" s="430" t="s">
        <v>197</v>
      </c>
      <c r="CE33" s="430" t="s">
        <v>197</v>
      </c>
      <c r="CF33" s="430" t="s">
        <v>197</v>
      </c>
      <c r="CG33" s="430" t="s">
        <v>197</v>
      </c>
      <c r="CH33" s="430" t="s">
        <v>197</v>
      </c>
      <c r="CI33" s="430" t="s">
        <v>197</v>
      </c>
      <c r="CJ33" s="430" t="s">
        <v>197</v>
      </c>
      <c r="CK33" s="430" t="s">
        <v>197</v>
      </c>
      <c r="CL33" s="430" t="s">
        <v>197</v>
      </c>
      <c r="CM33" s="430" t="s">
        <v>197</v>
      </c>
    </row>
    <row r="34" spans="1:91" ht="10.5" hidden="1">
      <c r="A34" s="462" t="s">
        <v>276</v>
      </c>
      <c r="B34" s="462" t="s">
        <v>111</v>
      </c>
      <c r="C34" s="462" t="s">
        <v>112</v>
      </c>
      <c r="D34" s="462" t="s">
        <v>113</v>
      </c>
      <c r="E34" s="462" t="s">
        <v>64</v>
      </c>
      <c r="F34" s="462" t="s">
        <v>114</v>
      </c>
      <c r="G34" s="462" t="s">
        <v>66</v>
      </c>
      <c r="H34" s="462" t="s">
        <v>115</v>
      </c>
      <c r="I34" s="439" t="s">
        <v>68</v>
      </c>
      <c r="J34" s="430" t="s">
        <v>116</v>
      </c>
      <c r="K34" s="430" t="s">
        <v>266</v>
      </c>
      <c r="L34" s="430"/>
      <c r="M34" s="430" t="s">
        <v>68</v>
      </c>
      <c r="N34" s="432" t="s">
        <v>68</v>
      </c>
      <c r="O34" s="430" t="s">
        <v>70</v>
      </c>
      <c r="P34" s="430" t="s">
        <v>118</v>
      </c>
      <c r="Q34" s="430" t="s">
        <v>119</v>
      </c>
      <c r="R34" s="431" t="s">
        <v>73</v>
      </c>
      <c r="S34" s="442" t="s">
        <v>120</v>
      </c>
      <c r="T34" s="433">
        <v>640</v>
      </c>
      <c r="U34" s="1062">
        <v>180</v>
      </c>
      <c r="V34" s="434">
        <v>0.115</v>
      </c>
      <c r="W34" s="435">
        <v>5</v>
      </c>
      <c r="X34" s="1015">
        <v>0.3</v>
      </c>
      <c r="Y34" s="430" t="s">
        <v>75</v>
      </c>
      <c r="Z34" s="430" t="s">
        <v>75</v>
      </c>
      <c r="AA34" s="430"/>
      <c r="AB34" s="437">
        <v>46029</v>
      </c>
      <c r="AC34" s="438">
        <v>2</v>
      </c>
      <c r="AD34" s="439" t="s">
        <v>277</v>
      </c>
      <c r="AE34" s="430"/>
      <c r="AF34" s="430" t="s">
        <v>122</v>
      </c>
      <c r="AG34" s="430" t="s">
        <v>123</v>
      </c>
      <c r="AH34" s="430" t="s">
        <v>124</v>
      </c>
      <c r="AI34" s="437">
        <v>46035</v>
      </c>
      <c r="AJ34" s="437">
        <v>46041</v>
      </c>
      <c r="AK34" s="441">
        <v>46041</v>
      </c>
      <c r="AL34" s="437">
        <v>46079</v>
      </c>
      <c r="AM34" s="437">
        <v>46079</v>
      </c>
      <c r="AN34" s="437">
        <v>46079</v>
      </c>
      <c r="AO34" s="430" t="s">
        <v>66</v>
      </c>
      <c r="AP34" s="430" t="s">
        <v>273</v>
      </c>
      <c r="AQ34" s="430" t="s">
        <v>80</v>
      </c>
      <c r="AR34" s="430" t="s">
        <v>274</v>
      </c>
      <c r="AS34" s="430" t="s">
        <v>275</v>
      </c>
      <c r="AT34" s="430" t="s">
        <v>275</v>
      </c>
      <c r="AU3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</v>
      </c>
      <c r="AW34" s="437">
        <v>46079</v>
      </c>
      <c r="AX34" s="433" t="s">
        <v>84</v>
      </c>
      <c r="AY34" s="437">
        <v>46093</v>
      </c>
      <c r="AZ34" s="442">
        <v>9</v>
      </c>
      <c r="BA34" s="437">
        <v>46088</v>
      </c>
      <c r="BB34" s="433">
        <v>2026</v>
      </c>
      <c r="BC34" s="430">
        <v>3</v>
      </c>
      <c r="BD34" s="430">
        <v>10</v>
      </c>
      <c r="BE34" s="431">
        <v>36</v>
      </c>
      <c r="BF34" s="431">
        <v>576</v>
      </c>
      <c r="BG34" s="431" t="s">
        <v>128</v>
      </c>
      <c r="BH34" s="431" t="s">
        <v>86</v>
      </c>
      <c r="BI34" s="430" t="s">
        <v>197</v>
      </c>
      <c r="BJ34" s="430" t="s">
        <v>197</v>
      </c>
      <c r="BK34" s="430" t="s">
        <v>197</v>
      </c>
      <c r="BL34" s="430" t="s">
        <v>197</v>
      </c>
      <c r="BM34" s="430" t="s">
        <v>197</v>
      </c>
      <c r="BN34" s="430" t="s">
        <v>197</v>
      </c>
      <c r="BO34" s="430" t="s">
        <v>197</v>
      </c>
      <c r="BP34" s="430" t="s">
        <v>197</v>
      </c>
      <c r="BQ34" s="430" t="s">
        <v>197</v>
      </c>
      <c r="BR34" s="430" t="s">
        <v>197</v>
      </c>
      <c r="BS34" s="430" t="s">
        <v>197</v>
      </c>
      <c r="BT34" s="430" t="s">
        <v>197</v>
      </c>
      <c r="BU34" s="430" t="s">
        <v>197</v>
      </c>
      <c r="BV34" s="430" t="s">
        <v>197</v>
      </c>
      <c r="BW34" s="430" t="s">
        <v>197</v>
      </c>
      <c r="BX34" s="430" t="s">
        <v>197</v>
      </c>
      <c r="BY34" s="430" t="s">
        <v>197</v>
      </c>
      <c r="BZ34" s="430" t="s">
        <v>197</v>
      </c>
      <c r="CA34" s="430" t="s">
        <v>197</v>
      </c>
      <c r="CB34" s="430" t="s">
        <v>197</v>
      </c>
      <c r="CC34" s="430" t="s">
        <v>197</v>
      </c>
      <c r="CD34" s="430" t="s">
        <v>197</v>
      </c>
      <c r="CE34" s="430" t="s">
        <v>197</v>
      </c>
      <c r="CF34" s="430" t="s">
        <v>197</v>
      </c>
      <c r="CG34" s="430" t="s">
        <v>197</v>
      </c>
      <c r="CH34" s="430" t="s">
        <v>197</v>
      </c>
      <c r="CI34" s="430" t="s">
        <v>197</v>
      </c>
      <c r="CJ34" s="430" t="s">
        <v>197</v>
      </c>
      <c r="CK34" s="430" t="s">
        <v>197</v>
      </c>
      <c r="CL34" s="430" t="s">
        <v>197</v>
      </c>
      <c r="CM34" s="430" t="s">
        <v>197</v>
      </c>
    </row>
    <row r="35" spans="1:91" ht="10.5" hidden="1">
      <c r="A35" s="462" t="s">
        <v>278</v>
      </c>
      <c r="B35" s="462" t="s">
        <v>111</v>
      </c>
      <c r="C35" s="462" t="s">
        <v>112</v>
      </c>
      <c r="D35" s="462" t="s">
        <v>113</v>
      </c>
      <c r="E35" s="462" t="s">
        <v>64</v>
      </c>
      <c r="F35" s="462" t="s">
        <v>114</v>
      </c>
      <c r="G35" s="462" t="s">
        <v>66</v>
      </c>
      <c r="H35" s="462" t="s">
        <v>115</v>
      </c>
      <c r="I35" s="439" t="s">
        <v>68</v>
      </c>
      <c r="J35" s="430" t="s">
        <v>116</v>
      </c>
      <c r="K35" s="430" t="s">
        <v>266</v>
      </c>
      <c r="L35" s="430"/>
      <c r="M35" s="430" t="s">
        <v>68</v>
      </c>
      <c r="N35" s="432" t="s">
        <v>68</v>
      </c>
      <c r="O35" s="430" t="s">
        <v>70</v>
      </c>
      <c r="P35" s="430" t="s">
        <v>118</v>
      </c>
      <c r="Q35" s="430" t="s">
        <v>119</v>
      </c>
      <c r="R35" s="431" t="s">
        <v>73</v>
      </c>
      <c r="S35" s="442" t="s">
        <v>120</v>
      </c>
      <c r="T35" s="433">
        <v>640</v>
      </c>
      <c r="U35" s="1062">
        <v>1152</v>
      </c>
      <c r="V35" s="434">
        <v>0.73699999999999999</v>
      </c>
      <c r="W35" s="435">
        <v>32</v>
      </c>
      <c r="X35" s="1015">
        <v>2</v>
      </c>
      <c r="Y35" s="430" t="s">
        <v>75</v>
      </c>
      <c r="Z35" s="430" t="s">
        <v>75</v>
      </c>
      <c r="AA35" s="430"/>
      <c r="AB35" s="437">
        <v>46029</v>
      </c>
      <c r="AC35" s="438">
        <v>2</v>
      </c>
      <c r="AD35" s="439" t="s">
        <v>279</v>
      </c>
      <c r="AE35" s="430"/>
      <c r="AF35" s="430" t="s">
        <v>122</v>
      </c>
      <c r="AG35" s="430" t="s">
        <v>123</v>
      </c>
      <c r="AH35" s="430" t="s">
        <v>124</v>
      </c>
      <c r="AI35" s="437">
        <v>46035</v>
      </c>
      <c r="AJ35" s="437">
        <v>46041</v>
      </c>
      <c r="AK35" s="441">
        <v>46041</v>
      </c>
      <c r="AL35" s="437">
        <v>46079</v>
      </c>
      <c r="AM35" s="437">
        <v>46079</v>
      </c>
      <c r="AN35" s="437">
        <v>46079</v>
      </c>
      <c r="AO35" s="430" t="s">
        <v>66</v>
      </c>
      <c r="AP35" s="430" t="s">
        <v>273</v>
      </c>
      <c r="AQ35" s="430" t="s">
        <v>80</v>
      </c>
      <c r="AR35" s="430" t="s">
        <v>274</v>
      </c>
      <c r="AS35" s="430" t="s">
        <v>275</v>
      </c>
      <c r="AT35" s="430" t="s">
        <v>275</v>
      </c>
      <c r="AU3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</v>
      </c>
      <c r="AW35" s="437">
        <v>46079</v>
      </c>
      <c r="AX35" s="433" t="s">
        <v>84</v>
      </c>
      <c r="AY35" s="437">
        <v>46093</v>
      </c>
      <c r="AZ35" s="442">
        <v>9</v>
      </c>
      <c r="BA35" s="437">
        <v>46088</v>
      </c>
      <c r="BB35" s="433">
        <v>2026</v>
      </c>
      <c r="BC35" s="430">
        <v>3</v>
      </c>
      <c r="BD35" s="430">
        <v>10</v>
      </c>
      <c r="BE35" s="431">
        <v>36</v>
      </c>
      <c r="BF35" s="431">
        <v>576</v>
      </c>
      <c r="BG35" s="431" t="s">
        <v>128</v>
      </c>
      <c r="BH35" s="431" t="s">
        <v>86</v>
      </c>
      <c r="BI35" s="430" t="s">
        <v>197</v>
      </c>
      <c r="BJ35" s="430" t="s">
        <v>197</v>
      </c>
      <c r="BK35" s="430" t="s">
        <v>197</v>
      </c>
      <c r="BL35" s="430" t="s">
        <v>197</v>
      </c>
      <c r="BM35" s="430" t="s">
        <v>197</v>
      </c>
      <c r="BN35" s="430" t="s">
        <v>197</v>
      </c>
      <c r="BO35" s="430" t="s">
        <v>197</v>
      </c>
      <c r="BP35" s="430" t="s">
        <v>197</v>
      </c>
      <c r="BQ35" s="430" t="s">
        <v>197</v>
      </c>
      <c r="BR35" s="430" t="s">
        <v>197</v>
      </c>
      <c r="BS35" s="430" t="s">
        <v>197</v>
      </c>
      <c r="BT35" s="430" t="s">
        <v>197</v>
      </c>
      <c r="BU35" s="430" t="s">
        <v>197</v>
      </c>
      <c r="BV35" s="430" t="s">
        <v>197</v>
      </c>
      <c r="BW35" s="430" t="s">
        <v>197</v>
      </c>
      <c r="BX35" s="430" t="s">
        <v>197</v>
      </c>
      <c r="BY35" s="430" t="s">
        <v>197</v>
      </c>
      <c r="BZ35" s="430" t="s">
        <v>197</v>
      </c>
      <c r="CA35" s="430" t="s">
        <v>197</v>
      </c>
      <c r="CB35" s="430" t="s">
        <v>197</v>
      </c>
      <c r="CC35" s="430" t="s">
        <v>197</v>
      </c>
      <c r="CD35" s="430" t="s">
        <v>197</v>
      </c>
      <c r="CE35" s="430" t="s">
        <v>197</v>
      </c>
      <c r="CF35" s="430" t="s">
        <v>197</v>
      </c>
      <c r="CG35" s="430" t="s">
        <v>197</v>
      </c>
      <c r="CH35" s="430" t="s">
        <v>197</v>
      </c>
      <c r="CI35" s="430" t="s">
        <v>197</v>
      </c>
      <c r="CJ35" s="430" t="s">
        <v>197</v>
      </c>
      <c r="CK35" s="430" t="s">
        <v>197</v>
      </c>
      <c r="CL35" s="430" t="s">
        <v>197</v>
      </c>
      <c r="CM35" s="430" t="s">
        <v>197</v>
      </c>
    </row>
    <row r="36" spans="1:91" ht="10.5" hidden="1">
      <c r="A36" s="462" t="s">
        <v>280</v>
      </c>
      <c r="B36" s="462" t="s">
        <v>281</v>
      </c>
      <c r="C36" s="462" t="s">
        <v>282</v>
      </c>
      <c r="D36" s="462" t="s">
        <v>63</v>
      </c>
      <c r="E36" s="462" t="s">
        <v>64</v>
      </c>
      <c r="F36" s="462" t="s">
        <v>100</v>
      </c>
      <c r="G36" s="462" t="s">
        <v>66</v>
      </c>
      <c r="H36" s="462" t="s">
        <v>67</v>
      </c>
      <c r="I36" s="439" t="s">
        <v>68</v>
      </c>
      <c r="J36" s="430" t="s">
        <v>283</v>
      </c>
      <c r="K36" s="430"/>
      <c r="L36" s="430"/>
      <c r="M36" s="430" t="s">
        <v>68</v>
      </c>
      <c r="N36" s="432" t="s">
        <v>68</v>
      </c>
      <c r="O36" s="430" t="s">
        <v>284</v>
      </c>
      <c r="P36" s="430" t="s">
        <v>285</v>
      </c>
      <c r="Q36" s="430" t="s">
        <v>286</v>
      </c>
      <c r="R36" s="431" t="s">
        <v>73</v>
      </c>
      <c r="S36" s="442" t="s">
        <v>120</v>
      </c>
      <c r="T36" s="433">
        <v>460</v>
      </c>
      <c r="U36" s="1062">
        <v>962</v>
      </c>
      <c r="V36" s="434">
        <v>0.443</v>
      </c>
      <c r="W36" s="435">
        <v>26</v>
      </c>
      <c r="X36" s="1015">
        <v>1</v>
      </c>
      <c r="Y36" s="430" t="s">
        <v>75</v>
      </c>
      <c r="Z36" s="430" t="s">
        <v>75</v>
      </c>
      <c r="AA36" s="430"/>
      <c r="AB36" s="437">
        <v>46030</v>
      </c>
      <c r="AC36" s="438">
        <v>2</v>
      </c>
      <c r="AD36" s="439" t="s">
        <v>287</v>
      </c>
      <c r="AE36" s="430"/>
      <c r="AF36" s="430" t="s">
        <v>288</v>
      </c>
      <c r="AG36" s="430" t="s">
        <v>289</v>
      </c>
      <c r="AH36" s="430" t="s">
        <v>105</v>
      </c>
      <c r="AI36" s="437">
        <v>46038</v>
      </c>
      <c r="AJ36" s="437">
        <v>46041</v>
      </c>
      <c r="AK36" s="441">
        <v>46041</v>
      </c>
      <c r="AL36" s="437">
        <v>46069</v>
      </c>
      <c r="AM36" s="437">
        <v>46087</v>
      </c>
      <c r="AN36" s="437">
        <v>46087</v>
      </c>
      <c r="AO36" s="430" t="s">
        <v>66</v>
      </c>
      <c r="AP36" s="430" t="s">
        <v>211</v>
      </c>
      <c r="AQ36" s="430" t="s">
        <v>80</v>
      </c>
      <c r="AR36" s="430" t="s">
        <v>290</v>
      </c>
      <c r="AS36" s="430" t="s">
        <v>291</v>
      </c>
      <c r="AT36" s="430" t="s">
        <v>291</v>
      </c>
      <c r="AU3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V36" s="430" t="s">
        <v>83</v>
      </c>
      <c r="AW36" s="437">
        <v>46087</v>
      </c>
      <c r="AX36" s="433" t="s">
        <v>84</v>
      </c>
      <c r="AY36" s="437">
        <v>46094</v>
      </c>
      <c r="AZ36" s="442">
        <v>7</v>
      </c>
      <c r="BA36" s="437">
        <v>46094</v>
      </c>
      <c r="BB36" s="433">
        <v>2026</v>
      </c>
      <c r="BC36" s="430">
        <v>3</v>
      </c>
      <c r="BD36" s="430">
        <v>11</v>
      </c>
      <c r="BE36" s="431">
        <v>37</v>
      </c>
      <c r="BF36" s="431">
        <v>962</v>
      </c>
      <c r="BG36" s="431" t="s">
        <v>85</v>
      </c>
      <c r="BH36" s="431" t="s">
        <v>109</v>
      </c>
      <c r="BI36" s="430" t="s">
        <v>197</v>
      </c>
      <c r="BJ36" s="430" t="s">
        <v>197</v>
      </c>
      <c r="BK36" s="430" t="s">
        <v>197</v>
      </c>
      <c r="BL36" s="430" t="s">
        <v>197</v>
      </c>
      <c r="BM36" s="430" t="s">
        <v>197</v>
      </c>
      <c r="BN36" s="430" t="s">
        <v>197</v>
      </c>
      <c r="BO36" s="430" t="s">
        <v>197</v>
      </c>
      <c r="BP36" s="430" t="s">
        <v>197</v>
      </c>
      <c r="BQ36" s="430" t="s">
        <v>197</v>
      </c>
      <c r="BR36" s="430" t="s">
        <v>197</v>
      </c>
      <c r="BS36" s="430" t="s">
        <v>197</v>
      </c>
      <c r="BT36" s="430" t="s">
        <v>197</v>
      </c>
      <c r="BU36" s="430" t="s">
        <v>197</v>
      </c>
      <c r="BV36" s="430" t="s">
        <v>197</v>
      </c>
      <c r="BW36" s="430" t="s">
        <v>197</v>
      </c>
      <c r="BX36" s="430" t="s">
        <v>197</v>
      </c>
      <c r="BY36" s="430" t="s">
        <v>197</v>
      </c>
      <c r="BZ36" s="430" t="s">
        <v>197</v>
      </c>
      <c r="CA36" s="430" t="s">
        <v>197</v>
      </c>
      <c r="CB36" s="430" t="s">
        <v>197</v>
      </c>
      <c r="CC36" s="430" t="s">
        <v>197</v>
      </c>
      <c r="CD36" s="430" t="s">
        <v>197</v>
      </c>
      <c r="CE36" s="430" t="s">
        <v>197</v>
      </c>
      <c r="CF36" s="430" t="s">
        <v>197</v>
      </c>
      <c r="CG36" s="430" t="s">
        <v>197</v>
      </c>
      <c r="CH36" s="430" t="s">
        <v>197</v>
      </c>
      <c r="CI36" s="430" t="s">
        <v>197</v>
      </c>
      <c r="CJ36" s="430" t="s">
        <v>197</v>
      </c>
      <c r="CK36" s="430" t="s">
        <v>197</v>
      </c>
      <c r="CL36" s="430" t="s">
        <v>197</v>
      </c>
      <c r="CM36" s="430" t="s">
        <v>197</v>
      </c>
    </row>
    <row r="37" spans="1:91" ht="10.5" hidden="1">
      <c r="A37" s="462" t="s">
        <v>292</v>
      </c>
      <c r="B37" s="462" t="s">
        <v>281</v>
      </c>
      <c r="C37" s="462" t="s">
        <v>282</v>
      </c>
      <c r="D37" s="462" t="s">
        <v>63</v>
      </c>
      <c r="E37" s="462" t="s">
        <v>64</v>
      </c>
      <c r="F37" s="462" t="s">
        <v>100</v>
      </c>
      <c r="G37" s="462" t="s">
        <v>66</v>
      </c>
      <c r="H37" s="462" t="s">
        <v>67</v>
      </c>
      <c r="I37" s="439" t="s">
        <v>68</v>
      </c>
      <c r="J37" s="430" t="s">
        <v>293</v>
      </c>
      <c r="K37" s="430"/>
      <c r="L37" s="430"/>
      <c r="M37" s="430" t="s">
        <v>68</v>
      </c>
      <c r="N37" s="432" t="s">
        <v>68</v>
      </c>
      <c r="O37" s="430" t="s">
        <v>284</v>
      </c>
      <c r="P37" s="430" t="s">
        <v>285</v>
      </c>
      <c r="Q37" s="430" t="s">
        <v>286</v>
      </c>
      <c r="R37" s="431" t="s">
        <v>73</v>
      </c>
      <c r="S37" s="442" t="s">
        <v>120</v>
      </c>
      <c r="T37" s="433">
        <v>460</v>
      </c>
      <c r="U37" s="1062">
        <v>4810</v>
      </c>
      <c r="V37" s="434">
        <v>2.2130000000000001</v>
      </c>
      <c r="W37" s="435">
        <v>130</v>
      </c>
      <c r="X37" s="1015">
        <v>5</v>
      </c>
      <c r="Y37" s="430" t="s">
        <v>75</v>
      </c>
      <c r="Z37" s="430" t="s">
        <v>75</v>
      </c>
      <c r="AA37" s="430"/>
      <c r="AB37" s="437">
        <v>46030</v>
      </c>
      <c r="AC37" s="438">
        <v>2</v>
      </c>
      <c r="AD37" s="439" t="s">
        <v>294</v>
      </c>
      <c r="AE37" s="430"/>
      <c r="AF37" s="430" t="s">
        <v>288</v>
      </c>
      <c r="AG37" s="430" t="s">
        <v>289</v>
      </c>
      <c r="AH37" s="430" t="s">
        <v>105</v>
      </c>
      <c r="AI37" s="437">
        <v>46038</v>
      </c>
      <c r="AJ37" s="437">
        <v>46041</v>
      </c>
      <c r="AK37" s="441">
        <v>46041</v>
      </c>
      <c r="AL37" s="437">
        <v>46069</v>
      </c>
      <c r="AM37" s="437">
        <v>46087</v>
      </c>
      <c r="AN37" s="437">
        <v>46087</v>
      </c>
      <c r="AO37" s="430" t="s">
        <v>66</v>
      </c>
      <c r="AP37" s="430" t="s">
        <v>211</v>
      </c>
      <c r="AQ37" s="430" t="s">
        <v>80</v>
      </c>
      <c r="AR37" s="430" t="s">
        <v>290</v>
      </c>
      <c r="AS37" s="430" t="s">
        <v>291</v>
      </c>
      <c r="AT37" s="430" t="s">
        <v>291</v>
      </c>
      <c r="AU3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V37" s="430" t="s">
        <v>83</v>
      </c>
      <c r="AW37" s="437">
        <v>46087</v>
      </c>
      <c r="AX37" s="433" t="s">
        <v>84</v>
      </c>
      <c r="AY37" s="437">
        <v>46094</v>
      </c>
      <c r="AZ37" s="442">
        <v>7</v>
      </c>
      <c r="BA37" s="437">
        <v>46094</v>
      </c>
      <c r="BB37" s="433">
        <v>2026</v>
      </c>
      <c r="BC37" s="430">
        <v>3</v>
      </c>
      <c r="BD37" s="430">
        <v>11</v>
      </c>
      <c r="BE37" s="431">
        <v>37</v>
      </c>
      <c r="BF37" s="431">
        <v>962</v>
      </c>
      <c r="BG37" s="431" t="s">
        <v>85</v>
      </c>
      <c r="BH37" s="431" t="s">
        <v>109</v>
      </c>
      <c r="BI37" s="430" t="s">
        <v>197</v>
      </c>
      <c r="BJ37" s="430" t="s">
        <v>197</v>
      </c>
      <c r="BK37" s="430" t="s">
        <v>197</v>
      </c>
      <c r="BL37" s="430" t="s">
        <v>197</v>
      </c>
      <c r="BM37" s="430" t="s">
        <v>197</v>
      </c>
      <c r="BN37" s="430" t="s">
        <v>197</v>
      </c>
      <c r="BO37" s="430" t="s">
        <v>197</v>
      </c>
      <c r="BP37" s="430" t="s">
        <v>197</v>
      </c>
      <c r="BQ37" s="430" t="s">
        <v>197</v>
      </c>
      <c r="BR37" s="430" t="s">
        <v>197</v>
      </c>
      <c r="BS37" s="430" t="s">
        <v>197</v>
      </c>
      <c r="BT37" s="430" t="s">
        <v>197</v>
      </c>
      <c r="BU37" s="430" t="s">
        <v>197</v>
      </c>
      <c r="BV37" s="430" t="s">
        <v>197</v>
      </c>
      <c r="BW37" s="430" t="s">
        <v>197</v>
      </c>
      <c r="BX37" s="430" t="s">
        <v>197</v>
      </c>
      <c r="BY37" s="430" t="s">
        <v>197</v>
      </c>
      <c r="BZ37" s="430" t="s">
        <v>197</v>
      </c>
      <c r="CA37" s="430" t="s">
        <v>197</v>
      </c>
      <c r="CB37" s="430" t="s">
        <v>197</v>
      </c>
      <c r="CC37" s="430" t="s">
        <v>197</v>
      </c>
      <c r="CD37" s="430" t="s">
        <v>197</v>
      </c>
      <c r="CE37" s="430" t="s">
        <v>197</v>
      </c>
      <c r="CF37" s="430" t="s">
        <v>197</v>
      </c>
      <c r="CG37" s="430" t="s">
        <v>197</v>
      </c>
      <c r="CH37" s="430" t="s">
        <v>197</v>
      </c>
      <c r="CI37" s="430" t="s">
        <v>197</v>
      </c>
      <c r="CJ37" s="430" t="s">
        <v>197</v>
      </c>
      <c r="CK37" s="430" t="s">
        <v>197</v>
      </c>
      <c r="CL37" s="430" t="s">
        <v>197</v>
      </c>
      <c r="CM37" s="430" t="s">
        <v>197</v>
      </c>
    </row>
    <row r="38" spans="1:91" ht="10.5" hidden="1">
      <c r="A38" s="462" t="s">
        <v>295</v>
      </c>
      <c r="B38" s="462" t="s">
        <v>296</v>
      </c>
      <c r="C38" s="462" t="s">
        <v>297</v>
      </c>
      <c r="D38" s="462" t="s">
        <v>63</v>
      </c>
      <c r="E38" s="462" t="s">
        <v>64</v>
      </c>
      <c r="F38" s="462" t="s">
        <v>100</v>
      </c>
      <c r="G38" s="462" t="s">
        <v>66</v>
      </c>
      <c r="H38" s="462" t="s">
        <v>67</v>
      </c>
      <c r="I38" s="439" t="s">
        <v>68</v>
      </c>
      <c r="J38" s="430" t="s">
        <v>96</v>
      </c>
      <c r="K38" s="430"/>
      <c r="L38" s="430"/>
      <c r="M38" s="430" t="s">
        <v>68</v>
      </c>
      <c r="N38" s="432" t="s">
        <v>68</v>
      </c>
      <c r="O38" s="430" t="s">
        <v>298</v>
      </c>
      <c r="P38" s="430" t="s">
        <v>299</v>
      </c>
      <c r="Q38" s="430" t="s">
        <v>300</v>
      </c>
      <c r="R38" s="431" t="s">
        <v>73</v>
      </c>
      <c r="S38" s="442" t="s">
        <v>74</v>
      </c>
      <c r="T38" s="433">
        <v>480</v>
      </c>
      <c r="U38" s="1062">
        <v>1924</v>
      </c>
      <c r="V38" s="434">
        <v>0.92400000000000004</v>
      </c>
      <c r="W38" s="435">
        <v>52</v>
      </c>
      <c r="X38" s="1015">
        <v>2</v>
      </c>
      <c r="Y38" s="430" t="s">
        <v>75</v>
      </c>
      <c r="Z38" s="430" t="s">
        <v>75</v>
      </c>
      <c r="AA38" s="430"/>
      <c r="AB38" s="437">
        <v>46031</v>
      </c>
      <c r="AC38" s="438">
        <v>2</v>
      </c>
      <c r="AD38" s="439" t="s">
        <v>301</v>
      </c>
      <c r="AE38" s="430"/>
      <c r="AF38" s="430" t="s">
        <v>288</v>
      </c>
      <c r="AG38" s="430" t="s">
        <v>289</v>
      </c>
      <c r="AH38" s="430" t="s">
        <v>105</v>
      </c>
      <c r="AI38" s="437">
        <v>46038</v>
      </c>
      <c r="AJ38" s="437">
        <v>46041</v>
      </c>
      <c r="AK38" s="441">
        <v>46041</v>
      </c>
      <c r="AL38" s="437">
        <v>46069</v>
      </c>
      <c r="AM38" s="437">
        <v>46087</v>
      </c>
      <c r="AN38" s="437">
        <v>46087</v>
      </c>
      <c r="AO38" s="430" t="s">
        <v>66</v>
      </c>
      <c r="AP38" s="430" t="s">
        <v>211</v>
      </c>
      <c r="AQ38" s="430" t="s">
        <v>80</v>
      </c>
      <c r="AR38" s="430" t="s">
        <v>302</v>
      </c>
      <c r="AS38" s="430" t="s">
        <v>303</v>
      </c>
      <c r="AT38" s="430" t="s">
        <v>303</v>
      </c>
      <c r="AU3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V38" s="430" t="s">
        <v>83</v>
      </c>
      <c r="AW38" s="437">
        <v>46087</v>
      </c>
      <c r="AX38" s="433" t="s">
        <v>84</v>
      </c>
      <c r="AY38" s="437">
        <v>46101</v>
      </c>
      <c r="AZ38" s="442">
        <v>7</v>
      </c>
      <c r="BA38" s="437">
        <v>46094</v>
      </c>
      <c r="BB38" s="433">
        <v>2026</v>
      </c>
      <c r="BC38" s="430">
        <v>3</v>
      </c>
      <c r="BD38" s="430">
        <v>11</v>
      </c>
      <c r="BE38" s="431">
        <v>37</v>
      </c>
      <c r="BF38" s="431">
        <v>962</v>
      </c>
      <c r="BG38" s="431" t="s">
        <v>85</v>
      </c>
      <c r="BH38" s="431" t="s">
        <v>109</v>
      </c>
      <c r="BI38" s="430" t="s">
        <v>197</v>
      </c>
      <c r="BJ38" s="430" t="s">
        <v>197</v>
      </c>
      <c r="BK38" s="430" t="s">
        <v>197</v>
      </c>
      <c r="BL38" s="430" t="s">
        <v>197</v>
      </c>
      <c r="BM38" s="430" t="s">
        <v>197</v>
      </c>
      <c r="BN38" s="430" t="s">
        <v>197</v>
      </c>
      <c r="BO38" s="430" t="s">
        <v>197</v>
      </c>
      <c r="BP38" s="430" t="s">
        <v>197</v>
      </c>
      <c r="BQ38" s="430" t="s">
        <v>197</v>
      </c>
      <c r="BR38" s="430" t="s">
        <v>197</v>
      </c>
      <c r="BS38" s="430" t="s">
        <v>197</v>
      </c>
      <c r="BT38" s="430" t="s">
        <v>197</v>
      </c>
      <c r="BU38" s="430" t="s">
        <v>197</v>
      </c>
      <c r="BV38" s="430" t="s">
        <v>197</v>
      </c>
      <c r="BW38" s="430" t="s">
        <v>197</v>
      </c>
      <c r="BX38" s="430" t="s">
        <v>197</v>
      </c>
      <c r="BY38" s="430" t="s">
        <v>197</v>
      </c>
      <c r="BZ38" s="430" t="s">
        <v>197</v>
      </c>
      <c r="CA38" s="430" t="s">
        <v>197</v>
      </c>
      <c r="CB38" s="430" t="s">
        <v>197</v>
      </c>
      <c r="CC38" s="430" t="s">
        <v>197</v>
      </c>
      <c r="CD38" s="430" t="s">
        <v>197</v>
      </c>
      <c r="CE38" s="430" t="s">
        <v>197</v>
      </c>
      <c r="CF38" s="430" t="s">
        <v>197</v>
      </c>
      <c r="CG38" s="430" t="s">
        <v>197</v>
      </c>
      <c r="CH38" s="430" t="s">
        <v>197</v>
      </c>
      <c r="CI38" s="430" t="s">
        <v>197</v>
      </c>
      <c r="CJ38" s="430" t="s">
        <v>197</v>
      </c>
      <c r="CK38" s="430" t="s">
        <v>197</v>
      </c>
      <c r="CL38" s="430" t="s">
        <v>197</v>
      </c>
      <c r="CM38" s="430" t="s">
        <v>197</v>
      </c>
    </row>
    <row r="39" spans="1:91" ht="10.5" hidden="1">
      <c r="A39" s="462" t="s">
        <v>304</v>
      </c>
      <c r="B39" s="462" t="s">
        <v>296</v>
      </c>
      <c r="C39" s="462" t="s">
        <v>305</v>
      </c>
      <c r="D39" s="462" t="s">
        <v>63</v>
      </c>
      <c r="E39" s="462" t="s">
        <v>64</v>
      </c>
      <c r="F39" s="462" t="s">
        <v>100</v>
      </c>
      <c r="G39" s="462" t="s">
        <v>66</v>
      </c>
      <c r="H39" s="462" t="s">
        <v>67</v>
      </c>
      <c r="I39" s="439" t="s">
        <v>68</v>
      </c>
      <c r="J39" s="430" t="s">
        <v>96</v>
      </c>
      <c r="K39" s="430"/>
      <c r="L39" s="430"/>
      <c r="M39" s="430" t="s">
        <v>68</v>
      </c>
      <c r="N39" s="432" t="s">
        <v>68</v>
      </c>
      <c r="O39" s="430" t="s">
        <v>298</v>
      </c>
      <c r="P39" s="430" t="s">
        <v>306</v>
      </c>
      <c r="Q39" s="430" t="s">
        <v>307</v>
      </c>
      <c r="R39" s="431" t="s">
        <v>73</v>
      </c>
      <c r="S39" s="442" t="s">
        <v>74</v>
      </c>
      <c r="T39" s="433">
        <v>485</v>
      </c>
      <c r="U39" s="1062">
        <v>2886</v>
      </c>
      <c r="V39" s="434">
        <v>1.4</v>
      </c>
      <c r="W39" s="435">
        <v>78</v>
      </c>
      <c r="X39" s="1015">
        <v>3</v>
      </c>
      <c r="Y39" s="430" t="s">
        <v>75</v>
      </c>
      <c r="Z39" s="430" t="s">
        <v>75</v>
      </c>
      <c r="AA39" s="430"/>
      <c r="AB39" s="437">
        <v>46031</v>
      </c>
      <c r="AC39" s="438">
        <v>2</v>
      </c>
      <c r="AD39" s="439" t="s">
        <v>308</v>
      </c>
      <c r="AE39" s="430"/>
      <c r="AF39" s="430" t="s">
        <v>288</v>
      </c>
      <c r="AG39" s="430" t="s">
        <v>289</v>
      </c>
      <c r="AH39" s="430" t="s">
        <v>105</v>
      </c>
      <c r="AI39" s="437">
        <v>46038</v>
      </c>
      <c r="AJ39" s="437">
        <v>46041</v>
      </c>
      <c r="AK39" s="441">
        <v>46041</v>
      </c>
      <c r="AL39" s="437">
        <v>46069</v>
      </c>
      <c r="AM39" s="437">
        <v>46087</v>
      </c>
      <c r="AN39" s="437">
        <v>46087</v>
      </c>
      <c r="AO39" s="430" t="s">
        <v>66</v>
      </c>
      <c r="AP39" s="430" t="s">
        <v>211</v>
      </c>
      <c r="AQ39" s="430" t="s">
        <v>80</v>
      </c>
      <c r="AR39" s="430" t="s">
        <v>302</v>
      </c>
      <c r="AS39" s="430" t="s">
        <v>303</v>
      </c>
      <c r="AT39" s="430" t="s">
        <v>303</v>
      </c>
      <c r="AU3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V39" s="430" t="s">
        <v>83</v>
      </c>
      <c r="AW39" s="437">
        <v>46087</v>
      </c>
      <c r="AX39" s="433" t="s">
        <v>84</v>
      </c>
      <c r="AY39" s="437">
        <v>46101</v>
      </c>
      <c r="AZ39" s="442">
        <v>7</v>
      </c>
      <c r="BA39" s="437">
        <v>46094</v>
      </c>
      <c r="BB39" s="433">
        <v>2026</v>
      </c>
      <c r="BC39" s="430">
        <v>3</v>
      </c>
      <c r="BD39" s="430">
        <v>11</v>
      </c>
      <c r="BE39" s="431">
        <v>37</v>
      </c>
      <c r="BF39" s="431">
        <v>962</v>
      </c>
      <c r="BG39" s="431" t="s">
        <v>85</v>
      </c>
      <c r="BH39" s="431" t="s">
        <v>109</v>
      </c>
      <c r="BI39" s="430" t="s">
        <v>197</v>
      </c>
      <c r="BJ39" s="430" t="s">
        <v>197</v>
      </c>
      <c r="BK39" s="430" t="s">
        <v>197</v>
      </c>
      <c r="BL39" s="430" t="s">
        <v>197</v>
      </c>
      <c r="BM39" s="430" t="s">
        <v>197</v>
      </c>
      <c r="BN39" s="430" t="s">
        <v>197</v>
      </c>
      <c r="BO39" s="430" t="s">
        <v>197</v>
      </c>
      <c r="BP39" s="430" t="s">
        <v>197</v>
      </c>
      <c r="BQ39" s="430" t="s">
        <v>197</v>
      </c>
      <c r="BR39" s="430" t="s">
        <v>197</v>
      </c>
      <c r="BS39" s="430" t="s">
        <v>197</v>
      </c>
      <c r="BT39" s="430" t="s">
        <v>197</v>
      </c>
      <c r="BU39" s="430" t="s">
        <v>197</v>
      </c>
      <c r="BV39" s="430" t="s">
        <v>197</v>
      </c>
      <c r="BW39" s="430" t="s">
        <v>197</v>
      </c>
      <c r="BX39" s="430" t="s">
        <v>197</v>
      </c>
      <c r="BY39" s="430" t="s">
        <v>197</v>
      </c>
      <c r="BZ39" s="430" t="s">
        <v>197</v>
      </c>
      <c r="CA39" s="430" t="s">
        <v>197</v>
      </c>
      <c r="CB39" s="430" t="s">
        <v>197</v>
      </c>
      <c r="CC39" s="430" t="s">
        <v>197</v>
      </c>
      <c r="CD39" s="430" t="s">
        <v>197</v>
      </c>
      <c r="CE39" s="430" t="s">
        <v>197</v>
      </c>
      <c r="CF39" s="430" t="s">
        <v>197</v>
      </c>
      <c r="CG39" s="430" t="s">
        <v>197</v>
      </c>
      <c r="CH39" s="430" t="s">
        <v>197</v>
      </c>
      <c r="CI39" s="430" t="s">
        <v>197</v>
      </c>
      <c r="CJ39" s="430" t="s">
        <v>197</v>
      </c>
      <c r="CK39" s="430" t="s">
        <v>197</v>
      </c>
      <c r="CL39" s="430" t="s">
        <v>197</v>
      </c>
      <c r="CM39" s="430" t="s">
        <v>197</v>
      </c>
    </row>
    <row r="40" spans="1:91" ht="10.5" hidden="1">
      <c r="A40" s="462" t="s">
        <v>309</v>
      </c>
      <c r="B40" s="462" t="s">
        <v>296</v>
      </c>
      <c r="C40" s="462" t="s">
        <v>297</v>
      </c>
      <c r="D40" s="462" t="s">
        <v>63</v>
      </c>
      <c r="E40" s="462" t="s">
        <v>64</v>
      </c>
      <c r="F40" s="462" t="s">
        <v>310</v>
      </c>
      <c r="G40" s="462" t="s">
        <v>66</v>
      </c>
      <c r="H40" s="462" t="s">
        <v>311</v>
      </c>
      <c r="I40" s="439" t="s">
        <v>68</v>
      </c>
      <c r="J40" s="430" t="s">
        <v>312</v>
      </c>
      <c r="K40" s="430"/>
      <c r="L40" s="430"/>
      <c r="M40" s="430" t="s">
        <v>68</v>
      </c>
      <c r="N40" s="432" t="s">
        <v>68</v>
      </c>
      <c r="O40" s="430" t="s">
        <v>298</v>
      </c>
      <c r="P40" s="430" t="s">
        <v>299</v>
      </c>
      <c r="Q40" s="430" t="s">
        <v>300</v>
      </c>
      <c r="R40" s="431" t="s">
        <v>73</v>
      </c>
      <c r="S40" s="442" t="s">
        <v>74</v>
      </c>
      <c r="T40" s="433">
        <v>480</v>
      </c>
      <c r="U40" s="1062">
        <v>1924</v>
      </c>
      <c r="V40" s="434">
        <v>0.92400000000000004</v>
      </c>
      <c r="W40" s="435">
        <v>52</v>
      </c>
      <c r="X40" s="1015">
        <v>2</v>
      </c>
      <c r="Y40" s="430" t="s">
        <v>75</v>
      </c>
      <c r="Z40" s="430" t="s">
        <v>75</v>
      </c>
      <c r="AA40" s="430"/>
      <c r="AB40" s="437">
        <v>46034</v>
      </c>
      <c r="AC40" s="438">
        <v>3</v>
      </c>
      <c r="AD40" s="439" t="s">
        <v>313</v>
      </c>
      <c r="AE40" s="430"/>
      <c r="AF40" s="430" t="s">
        <v>288</v>
      </c>
      <c r="AG40" s="430" t="s">
        <v>289</v>
      </c>
      <c r="AH40" s="430" t="s">
        <v>314</v>
      </c>
      <c r="AI40" s="437">
        <v>46037</v>
      </c>
      <c r="AJ40" s="437">
        <v>46037</v>
      </c>
      <c r="AK40" s="441">
        <v>46038</v>
      </c>
      <c r="AL40" s="437">
        <v>46078</v>
      </c>
      <c r="AM40" s="437">
        <v>46078</v>
      </c>
      <c r="AN40" s="437">
        <v>46078</v>
      </c>
      <c r="AO40" s="430" t="s">
        <v>66</v>
      </c>
      <c r="AP40" s="430" t="s">
        <v>247</v>
      </c>
      <c r="AQ40" s="430" t="s">
        <v>80</v>
      </c>
      <c r="AR40" s="430" t="s">
        <v>315</v>
      </c>
      <c r="AS40" s="430" t="s">
        <v>316</v>
      </c>
      <c r="AT40" s="430" t="s">
        <v>316</v>
      </c>
      <c r="AU4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V40" s="430" t="s">
        <v>83</v>
      </c>
      <c r="AW40" s="437">
        <v>46078</v>
      </c>
      <c r="AX40" s="433" t="s">
        <v>84</v>
      </c>
      <c r="AY40" s="437">
        <v>46092</v>
      </c>
      <c r="AZ40" s="442">
        <v>13</v>
      </c>
      <c r="BA40" s="437">
        <v>46091</v>
      </c>
      <c r="BB40" s="433">
        <v>2026</v>
      </c>
      <c r="BC40" s="430">
        <v>3</v>
      </c>
      <c r="BD40" s="430">
        <v>11</v>
      </c>
      <c r="BE40" s="431">
        <v>37</v>
      </c>
      <c r="BF40" s="431">
        <v>962</v>
      </c>
      <c r="BG40" s="431" t="s">
        <v>85</v>
      </c>
      <c r="BH40" s="431" t="s">
        <v>86</v>
      </c>
      <c r="BI40" s="430" t="s">
        <v>197</v>
      </c>
      <c r="BJ40" s="430" t="s">
        <v>197</v>
      </c>
      <c r="BK40" s="430" t="s">
        <v>197</v>
      </c>
      <c r="BL40" s="430" t="s">
        <v>197</v>
      </c>
      <c r="BM40" s="430" t="s">
        <v>197</v>
      </c>
      <c r="BN40" s="430" t="s">
        <v>197</v>
      </c>
      <c r="BO40" s="430" t="s">
        <v>197</v>
      </c>
      <c r="BP40" s="430" t="s">
        <v>197</v>
      </c>
      <c r="BQ40" s="430" t="s">
        <v>197</v>
      </c>
      <c r="BR40" s="430" t="s">
        <v>197</v>
      </c>
      <c r="BS40" s="430" t="s">
        <v>197</v>
      </c>
      <c r="BT40" s="430" t="s">
        <v>197</v>
      </c>
      <c r="BU40" s="430" t="s">
        <v>197</v>
      </c>
      <c r="BV40" s="430" t="s">
        <v>197</v>
      </c>
      <c r="BW40" s="430" t="s">
        <v>197</v>
      </c>
      <c r="BX40" s="430" t="s">
        <v>197</v>
      </c>
      <c r="BY40" s="430" t="s">
        <v>197</v>
      </c>
      <c r="BZ40" s="430" t="s">
        <v>197</v>
      </c>
      <c r="CA40" s="430" t="s">
        <v>197</v>
      </c>
      <c r="CB40" s="430" t="s">
        <v>197</v>
      </c>
      <c r="CC40" s="430" t="s">
        <v>197</v>
      </c>
      <c r="CD40" s="430" t="s">
        <v>197</v>
      </c>
      <c r="CE40" s="430" t="s">
        <v>197</v>
      </c>
      <c r="CF40" s="430" t="s">
        <v>197</v>
      </c>
      <c r="CG40" s="430" t="s">
        <v>197</v>
      </c>
      <c r="CH40" s="430" t="s">
        <v>197</v>
      </c>
      <c r="CI40" s="430" t="s">
        <v>197</v>
      </c>
      <c r="CJ40" s="430" t="s">
        <v>197</v>
      </c>
      <c r="CK40" s="430" t="s">
        <v>197</v>
      </c>
      <c r="CL40" s="430" t="s">
        <v>197</v>
      </c>
      <c r="CM40" s="430" t="s">
        <v>197</v>
      </c>
    </row>
    <row r="41" spans="1:91" ht="10.5" hidden="1">
      <c r="A41" s="462" t="s">
        <v>317</v>
      </c>
      <c r="B41" s="462" t="s">
        <v>296</v>
      </c>
      <c r="C41" s="462" t="s">
        <v>305</v>
      </c>
      <c r="D41" s="462" t="s">
        <v>63</v>
      </c>
      <c r="E41" s="462" t="s">
        <v>64</v>
      </c>
      <c r="F41" s="462" t="s">
        <v>310</v>
      </c>
      <c r="G41" s="462" t="s">
        <v>66</v>
      </c>
      <c r="H41" s="462" t="s">
        <v>311</v>
      </c>
      <c r="I41" s="439" t="s">
        <v>68</v>
      </c>
      <c r="J41" s="430" t="s">
        <v>312</v>
      </c>
      <c r="K41" s="430"/>
      <c r="L41" s="430"/>
      <c r="M41" s="430" t="s">
        <v>68</v>
      </c>
      <c r="N41" s="432" t="s">
        <v>68</v>
      </c>
      <c r="O41" s="430" t="s">
        <v>298</v>
      </c>
      <c r="P41" s="430" t="s">
        <v>306</v>
      </c>
      <c r="Q41" s="430" t="s">
        <v>307</v>
      </c>
      <c r="R41" s="431" t="s">
        <v>73</v>
      </c>
      <c r="S41" s="442" t="s">
        <v>74</v>
      </c>
      <c r="T41" s="433">
        <v>485</v>
      </c>
      <c r="U41" s="1062">
        <v>1924</v>
      </c>
      <c r="V41" s="434">
        <v>0.93300000000000005</v>
      </c>
      <c r="W41" s="435">
        <v>52</v>
      </c>
      <c r="X41" s="1015">
        <v>2</v>
      </c>
      <c r="Y41" s="430" t="s">
        <v>75</v>
      </c>
      <c r="Z41" s="430" t="s">
        <v>75</v>
      </c>
      <c r="AA41" s="430"/>
      <c r="AB41" s="437">
        <v>46034</v>
      </c>
      <c r="AC41" s="438">
        <v>3</v>
      </c>
      <c r="AD41" s="439" t="s">
        <v>318</v>
      </c>
      <c r="AE41" s="430"/>
      <c r="AF41" s="430" t="s">
        <v>288</v>
      </c>
      <c r="AG41" s="430" t="s">
        <v>289</v>
      </c>
      <c r="AH41" s="430" t="s">
        <v>314</v>
      </c>
      <c r="AI41" s="437">
        <v>46037</v>
      </c>
      <c r="AJ41" s="437">
        <v>46037</v>
      </c>
      <c r="AK41" s="441">
        <v>46038</v>
      </c>
      <c r="AL41" s="437">
        <v>46078</v>
      </c>
      <c r="AM41" s="437">
        <v>46078</v>
      </c>
      <c r="AN41" s="437">
        <v>46078</v>
      </c>
      <c r="AO41" s="430" t="s">
        <v>66</v>
      </c>
      <c r="AP41" s="430" t="s">
        <v>247</v>
      </c>
      <c r="AQ41" s="430" t="s">
        <v>80</v>
      </c>
      <c r="AR41" s="430" t="s">
        <v>315</v>
      </c>
      <c r="AS41" s="430" t="s">
        <v>316</v>
      </c>
      <c r="AT41" s="430" t="s">
        <v>316</v>
      </c>
      <c r="AU4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V41" s="430" t="s">
        <v>83</v>
      </c>
      <c r="AW41" s="437">
        <v>46078</v>
      </c>
      <c r="AX41" s="433" t="s">
        <v>84</v>
      </c>
      <c r="AY41" s="437">
        <v>46092</v>
      </c>
      <c r="AZ41" s="442">
        <v>13</v>
      </c>
      <c r="BA41" s="437">
        <v>46091</v>
      </c>
      <c r="BB41" s="433">
        <v>2026</v>
      </c>
      <c r="BC41" s="430">
        <v>3</v>
      </c>
      <c r="BD41" s="430">
        <v>11</v>
      </c>
      <c r="BE41" s="431">
        <v>37</v>
      </c>
      <c r="BF41" s="431">
        <v>962</v>
      </c>
      <c r="BG41" s="431" t="s">
        <v>85</v>
      </c>
      <c r="BH41" s="431" t="s">
        <v>86</v>
      </c>
      <c r="BI41" s="430" t="s">
        <v>197</v>
      </c>
      <c r="BJ41" s="430" t="s">
        <v>197</v>
      </c>
      <c r="BK41" s="430" t="s">
        <v>197</v>
      </c>
      <c r="BL41" s="430" t="s">
        <v>197</v>
      </c>
      <c r="BM41" s="430" t="s">
        <v>197</v>
      </c>
      <c r="BN41" s="430" t="s">
        <v>197</v>
      </c>
      <c r="BO41" s="430" t="s">
        <v>197</v>
      </c>
      <c r="BP41" s="430" t="s">
        <v>197</v>
      </c>
      <c r="BQ41" s="430" t="s">
        <v>197</v>
      </c>
      <c r="BR41" s="430" t="s">
        <v>197</v>
      </c>
      <c r="BS41" s="430" t="s">
        <v>197</v>
      </c>
      <c r="BT41" s="430" t="s">
        <v>197</v>
      </c>
      <c r="BU41" s="430" t="s">
        <v>197</v>
      </c>
      <c r="BV41" s="430" t="s">
        <v>197</v>
      </c>
      <c r="BW41" s="430" t="s">
        <v>197</v>
      </c>
      <c r="BX41" s="430" t="s">
        <v>197</v>
      </c>
      <c r="BY41" s="430" t="s">
        <v>197</v>
      </c>
      <c r="BZ41" s="430" t="s">
        <v>197</v>
      </c>
      <c r="CA41" s="430" t="s">
        <v>197</v>
      </c>
      <c r="CB41" s="430" t="s">
        <v>197</v>
      </c>
      <c r="CC41" s="430" t="s">
        <v>197</v>
      </c>
      <c r="CD41" s="430" t="s">
        <v>197</v>
      </c>
      <c r="CE41" s="430" t="s">
        <v>197</v>
      </c>
      <c r="CF41" s="430" t="s">
        <v>197</v>
      </c>
      <c r="CG41" s="430" t="s">
        <v>197</v>
      </c>
      <c r="CH41" s="430" t="s">
        <v>197</v>
      </c>
      <c r="CI41" s="430" t="s">
        <v>197</v>
      </c>
      <c r="CJ41" s="430" t="s">
        <v>197</v>
      </c>
      <c r="CK41" s="430" t="s">
        <v>197</v>
      </c>
      <c r="CL41" s="430" t="s">
        <v>197</v>
      </c>
      <c r="CM41" s="430" t="s">
        <v>197</v>
      </c>
    </row>
    <row r="42" spans="1:91" ht="10.5" hidden="1">
      <c r="A42" s="462" t="s">
        <v>319</v>
      </c>
      <c r="B42" s="462" t="s">
        <v>296</v>
      </c>
      <c r="C42" s="462" t="s">
        <v>305</v>
      </c>
      <c r="D42" s="462" t="s">
        <v>63</v>
      </c>
      <c r="E42" s="462" t="s">
        <v>64</v>
      </c>
      <c r="F42" s="462" t="s">
        <v>100</v>
      </c>
      <c r="G42" s="462" t="s">
        <v>66</v>
      </c>
      <c r="H42" s="462" t="s">
        <v>67</v>
      </c>
      <c r="I42" s="439" t="s">
        <v>68</v>
      </c>
      <c r="J42" s="430" t="s">
        <v>169</v>
      </c>
      <c r="K42" s="430"/>
      <c r="L42" s="430"/>
      <c r="M42" s="430" t="s">
        <v>68</v>
      </c>
      <c r="N42" s="432" t="s">
        <v>68</v>
      </c>
      <c r="O42" s="430" t="s">
        <v>298</v>
      </c>
      <c r="P42" s="430" t="s">
        <v>306</v>
      </c>
      <c r="Q42" s="430" t="s">
        <v>307</v>
      </c>
      <c r="R42" s="431" t="s">
        <v>73</v>
      </c>
      <c r="S42" s="442" t="s">
        <v>74</v>
      </c>
      <c r="T42" s="433">
        <v>485</v>
      </c>
      <c r="U42" s="1062">
        <v>962</v>
      </c>
      <c r="V42" s="434">
        <v>0.46700000000000003</v>
      </c>
      <c r="W42" s="435">
        <v>26</v>
      </c>
      <c r="X42" s="1015">
        <v>1</v>
      </c>
      <c r="Y42" s="430" t="s">
        <v>75</v>
      </c>
      <c r="Z42" s="430" t="s">
        <v>75</v>
      </c>
      <c r="AA42" s="430"/>
      <c r="AB42" s="437">
        <v>46031</v>
      </c>
      <c r="AC42" s="438">
        <v>2</v>
      </c>
      <c r="AD42" s="439" t="s">
        <v>320</v>
      </c>
      <c r="AE42" s="430"/>
      <c r="AF42" s="430" t="s">
        <v>288</v>
      </c>
      <c r="AG42" s="430" t="s">
        <v>289</v>
      </c>
      <c r="AH42" s="430" t="s">
        <v>105</v>
      </c>
      <c r="AI42" s="437">
        <v>46041</v>
      </c>
      <c r="AJ42" s="437">
        <v>46042</v>
      </c>
      <c r="AK42" s="441">
        <v>46042</v>
      </c>
      <c r="AL42" s="437">
        <v>46090</v>
      </c>
      <c r="AM42" s="437">
        <v>46111</v>
      </c>
      <c r="AN42" s="437">
        <v>46111</v>
      </c>
      <c r="AO42" s="430" t="s">
        <v>66</v>
      </c>
      <c r="AP42" s="430" t="s">
        <v>241</v>
      </c>
      <c r="AQ42" s="430" t="s">
        <v>80</v>
      </c>
      <c r="AR42" s="430" t="s">
        <v>321</v>
      </c>
      <c r="AS42" s="430" t="s">
        <v>322</v>
      </c>
      <c r="AT42" s="430" t="s">
        <v>322</v>
      </c>
      <c r="AU4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69</v>
      </c>
      <c r="AW42" s="437">
        <v>46111</v>
      </c>
      <c r="AX42" s="433" t="s">
        <v>84</v>
      </c>
      <c r="AY42" s="437">
        <v>46125</v>
      </c>
      <c r="AZ42" s="442">
        <v>7</v>
      </c>
      <c r="BA42" s="437">
        <v>46118</v>
      </c>
      <c r="BB42" s="433">
        <v>2026</v>
      </c>
      <c r="BC42" s="430">
        <v>4</v>
      </c>
      <c r="BD42" s="430">
        <v>15</v>
      </c>
      <c r="BE42" s="431">
        <v>37</v>
      </c>
      <c r="BF42" s="431">
        <v>962</v>
      </c>
      <c r="BG42" s="431" t="s">
        <v>85</v>
      </c>
      <c r="BH42" s="431" t="s">
        <v>109</v>
      </c>
      <c r="BI42" s="430" t="s">
        <v>197</v>
      </c>
      <c r="BJ42" s="430" t="s">
        <v>197</v>
      </c>
      <c r="BK42" s="430" t="s">
        <v>197</v>
      </c>
      <c r="BL42" s="430" t="s">
        <v>197</v>
      </c>
      <c r="BM42" s="430" t="s">
        <v>197</v>
      </c>
      <c r="BN42" s="430" t="s">
        <v>197</v>
      </c>
      <c r="BO42" s="430" t="s">
        <v>197</v>
      </c>
      <c r="BP42" s="430" t="s">
        <v>197</v>
      </c>
      <c r="BQ42" s="430" t="s">
        <v>197</v>
      </c>
      <c r="BR42" s="430" t="s">
        <v>197</v>
      </c>
      <c r="BS42" s="430" t="s">
        <v>197</v>
      </c>
      <c r="BT42" s="430" t="s">
        <v>197</v>
      </c>
      <c r="BU42" s="430" t="s">
        <v>197</v>
      </c>
      <c r="BV42" s="430" t="s">
        <v>197</v>
      </c>
      <c r="BW42" s="430" t="s">
        <v>197</v>
      </c>
      <c r="BX42" s="430" t="s">
        <v>197</v>
      </c>
      <c r="BY42" s="430" t="s">
        <v>197</v>
      </c>
      <c r="BZ42" s="430" t="s">
        <v>197</v>
      </c>
      <c r="CA42" s="430" t="s">
        <v>197</v>
      </c>
      <c r="CB42" s="430" t="s">
        <v>197</v>
      </c>
      <c r="CC42" s="430" t="s">
        <v>197</v>
      </c>
      <c r="CD42" s="430" t="s">
        <v>197</v>
      </c>
      <c r="CE42" s="430" t="s">
        <v>197</v>
      </c>
      <c r="CF42" s="430" t="s">
        <v>197</v>
      </c>
      <c r="CG42" s="430" t="s">
        <v>197</v>
      </c>
      <c r="CH42" s="430" t="s">
        <v>197</v>
      </c>
      <c r="CI42" s="430" t="s">
        <v>197</v>
      </c>
      <c r="CJ42" s="430" t="s">
        <v>197</v>
      </c>
      <c r="CK42" s="430" t="s">
        <v>197</v>
      </c>
      <c r="CL42" s="430" t="s">
        <v>197</v>
      </c>
      <c r="CM42" s="430" t="s">
        <v>197</v>
      </c>
    </row>
    <row r="43" spans="1:91" ht="10.5" hidden="1">
      <c r="A43" s="462" t="s">
        <v>323</v>
      </c>
      <c r="B43" s="462" t="s">
        <v>296</v>
      </c>
      <c r="C43" s="462" t="s">
        <v>297</v>
      </c>
      <c r="D43" s="462" t="s">
        <v>63</v>
      </c>
      <c r="E43" s="462" t="s">
        <v>64</v>
      </c>
      <c r="F43" s="462" t="s">
        <v>100</v>
      </c>
      <c r="G43" s="462" t="s">
        <v>66</v>
      </c>
      <c r="H43" s="462" t="s">
        <v>67</v>
      </c>
      <c r="I43" s="439" t="s">
        <v>68</v>
      </c>
      <c r="J43" s="430" t="s">
        <v>169</v>
      </c>
      <c r="K43" s="430"/>
      <c r="L43" s="430"/>
      <c r="M43" s="430" t="s">
        <v>68</v>
      </c>
      <c r="N43" s="432" t="s">
        <v>68</v>
      </c>
      <c r="O43" s="430" t="s">
        <v>298</v>
      </c>
      <c r="P43" s="430" t="s">
        <v>299</v>
      </c>
      <c r="Q43" s="430" t="s">
        <v>300</v>
      </c>
      <c r="R43" s="431" t="s">
        <v>73</v>
      </c>
      <c r="S43" s="442" t="s">
        <v>74</v>
      </c>
      <c r="T43" s="433">
        <v>480</v>
      </c>
      <c r="U43" s="1062">
        <v>962</v>
      </c>
      <c r="V43" s="434">
        <v>0.46200000000000002</v>
      </c>
      <c r="W43" s="435">
        <v>26</v>
      </c>
      <c r="X43" s="1015">
        <v>1</v>
      </c>
      <c r="Y43" s="430" t="s">
        <v>75</v>
      </c>
      <c r="Z43" s="430" t="s">
        <v>75</v>
      </c>
      <c r="AA43" s="430"/>
      <c r="AB43" s="437">
        <v>46031</v>
      </c>
      <c r="AC43" s="438">
        <v>2</v>
      </c>
      <c r="AD43" s="439" t="s">
        <v>324</v>
      </c>
      <c r="AE43" s="430"/>
      <c r="AF43" s="430" t="s">
        <v>288</v>
      </c>
      <c r="AG43" s="430" t="s">
        <v>289</v>
      </c>
      <c r="AH43" s="430" t="s">
        <v>105</v>
      </c>
      <c r="AI43" s="437">
        <v>46041</v>
      </c>
      <c r="AJ43" s="437">
        <v>46042</v>
      </c>
      <c r="AK43" s="441">
        <v>46042</v>
      </c>
      <c r="AL43" s="437">
        <v>46090</v>
      </c>
      <c r="AM43" s="437">
        <v>46111</v>
      </c>
      <c r="AN43" s="437">
        <v>46111</v>
      </c>
      <c r="AO43" s="430" t="s">
        <v>66</v>
      </c>
      <c r="AP43" s="430" t="s">
        <v>241</v>
      </c>
      <c r="AQ43" s="430" t="s">
        <v>80</v>
      </c>
      <c r="AR43" s="430" t="s">
        <v>321</v>
      </c>
      <c r="AS43" s="430" t="s">
        <v>322</v>
      </c>
      <c r="AT43" s="430" t="s">
        <v>322</v>
      </c>
      <c r="AU4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69</v>
      </c>
      <c r="AW43" s="437">
        <v>46111</v>
      </c>
      <c r="AX43" s="433" t="s">
        <v>84</v>
      </c>
      <c r="AY43" s="437">
        <v>46125</v>
      </c>
      <c r="AZ43" s="442">
        <v>7</v>
      </c>
      <c r="BA43" s="437">
        <v>46118</v>
      </c>
      <c r="BB43" s="433">
        <v>2026</v>
      </c>
      <c r="BC43" s="430">
        <v>4</v>
      </c>
      <c r="BD43" s="430">
        <v>15</v>
      </c>
      <c r="BE43" s="431">
        <v>37</v>
      </c>
      <c r="BF43" s="431">
        <v>962</v>
      </c>
      <c r="BG43" s="431" t="s">
        <v>85</v>
      </c>
      <c r="BH43" s="431" t="s">
        <v>109</v>
      </c>
      <c r="BI43" s="430" t="s">
        <v>197</v>
      </c>
      <c r="BJ43" s="430" t="s">
        <v>197</v>
      </c>
      <c r="BK43" s="430" t="s">
        <v>197</v>
      </c>
      <c r="BL43" s="430" t="s">
        <v>197</v>
      </c>
      <c r="BM43" s="430" t="s">
        <v>197</v>
      </c>
      <c r="BN43" s="430" t="s">
        <v>197</v>
      </c>
      <c r="BO43" s="430" t="s">
        <v>197</v>
      </c>
      <c r="BP43" s="430" t="s">
        <v>197</v>
      </c>
      <c r="BQ43" s="430" t="s">
        <v>197</v>
      </c>
      <c r="BR43" s="430" t="s">
        <v>197</v>
      </c>
      <c r="BS43" s="430" t="s">
        <v>197</v>
      </c>
      <c r="BT43" s="430" t="s">
        <v>197</v>
      </c>
      <c r="BU43" s="430" t="s">
        <v>197</v>
      </c>
      <c r="BV43" s="430" t="s">
        <v>197</v>
      </c>
      <c r="BW43" s="430" t="s">
        <v>197</v>
      </c>
      <c r="BX43" s="430" t="s">
        <v>197</v>
      </c>
      <c r="BY43" s="430" t="s">
        <v>197</v>
      </c>
      <c r="BZ43" s="430" t="s">
        <v>197</v>
      </c>
      <c r="CA43" s="430" t="s">
        <v>197</v>
      </c>
      <c r="CB43" s="430" t="s">
        <v>197</v>
      </c>
      <c r="CC43" s="430" t="s">
        <v>197</v>
      </c>
      <c r="CD43" s="430" t="s">
        <v>197</v>
      </c>
      <c r="CE43" s="430" t="s">
        <v>197</v>
      </c>
      <c r="CF43" s="430" t="s">
        <v>197</v>
      </c>
      <c r="CG43" s="430" t="s">
        <v>197</v>
      </c>
      <c r="CH43" s="430" t="s">
        <v>197</v>
      </c>
      <c r="CI43" s="430" t="s">
        <v>197</v>
      </c>
      <c r="CJ43" s="430" t="s">
        <v>197</v>
      </c>
      <c r="CK43" s="430" t="s">
        <v>197</v>
      </c>
      <c r="CL43" s="430" t="s">
        <v>197</v>
      </c>
      <c r="CM43" s="430" t="s">
        <v>197</v>
      </c>
    </row>
    <row r="44" spans="1:91" ht="10.5" hidden="1">
      <c r="A44" s="462" t="s">
        <v>325</v>
      </c>
      <c r="B44" s="462" t="s">
        <v>61</v>
      </c>
      <c r="C44" s="462" t="s">
        <v>326</v>
      </c>
      <c r="D44" s="462" t="s">
        <v>113</v>
      </c>
      <c r="E44" s="462" t="s">
        <v>64</v>
      </c>
      <c r="F44" s="462" t="s">
        <v>100</v>
      </c>
      <c r="G44" s="462" t="s">
        <v>66</v>
      </c>
      <c r="H44" s="462" t="s">
        <v>67</v>
      </c>
      <c r="I44" s="439" t="s">
        <v>68</v>
      </c>
      <c r="J44" s="430" t="s">
        <v>327</v>
      </c>
      <c r="K44" s="430" t="s">
        <v>328</v>
      </c>
      <c r="L44" s="430"/>
      <c r="M44" s="430" t="s">
        <v>68</v>
      </c>
      <c r="N44" s="432" t="s">
        <v>68</v>
      </c>
      <c r="O44" s="430" t="s">
        <v>70</v>
      </c>
      <c r="P44" s="430" t="s">
        <v>329</v>
      </c>
      <c r="Q44" s="430" t="s">
        <v>330</v>
      </c>
      <c r="R44" s="431" t="s">
        <v>331</v>
      </c>
      <c r="S44" s="442" t="s">
        <v>120</v>
      </c>
      <c r="T44" s="433">
        <v>625</v>
      </c>
      <c r="U44" s="1062">
        <v>7200</v>
      </c>
      <c r="V44" s="434">
        <v>4.5</v>
      </c>
      <c r="W44" s="435">
        <v>200</v>
      </c>
      <c r="X44" s="1015">
        <v>10</v>
      </c>
      <c r="Y44" s="430" t="s">
        <v>75</v>
      </c>
      <c r="Z44" s="430" t="s">
        <v>75</v>
      </c>
      <c r="AA44" s="430"/>
      <c r="AB44" s="437">
        <v>46030</v>
      </c>
      <c r="AC44" s="438">
        <v>2</v>
      </c>
      <c r="AD44" s="439" t="s">
        <v>332</v>
      </c>
      <c r="AE44" s="430"/>
      <c r="AF44" s="430" t="s">
        <v>77</v>
      </c>
      <c r="AG44" s="430" t="s">
        <v>61</v>
      </c>
      <c r="AH44" s="430" t="s">
        <v>105</v>
      </c>
      <c r="AI44" s="437">
        <v>46036</v>
      </c>
      <c r="AJ44" s="437">
        <v>46038</v>
      </c>
      <c r="AK44" s="441">
        <v>46038</v>
      </c>
      <c r="AL44" s="437">
        <v>46077</v>
      </c>
      <c r="AM44" s="437">
        <v>46094</v>
      </c>
      <c r="AN44" s="437">
        <v>46094</v>
      </c>
      <c r="AO44" s="430" t="s">
        <v>66</v>
      </c>
      <c r="AP44" s="430" t="s">
        <v>333</v>
      </c>
      <c r="AQ44" s="430" t="s">
        <v>161</v>
      </c>
      <c r="AR44" s="430" t="s">
        <v>334</v>
      </c>
      <c r="AS44" s="430" t="s">
        <v>335</v>
      </c>
      <c r="AT44" s="430" t="s">
        <v>335</v>
      </c>
      <c r="AU4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W44" s="437">
        <v>46094</v>
      </c>
      <c r="AX44" s="433" t="s">
        <v>84</v>
      </c>
      <c r="AY44" s="437">
        <v>46104</v>
      </c>
      <c r="AZ44" s="442">
        <v>7</v>
      </c>
      <c r="BA44" s="437">
        <v>46101</v>
      </c>
      <c r="BB44" s="433">
        <v>2026</v>
      </c>
      <c r="BC44" s="430">
        <v>3</v>
      </c>
      <c r="BD44" s="430">
        <v>12</v>
      </c>
      <c r="BE44" s="431">
        <v>36</v>
      </c>
      <c r="BF44" s="431">
        <v>720</v>
      </c>
      <c r="BG44" s="431" t="s">
        <v>128</v>
      </c>
      <c r="BH44" s="431" t="s">
        <v>109</v>
      </c>
      <c r="BI44" s="430" t="s">
        <v>197</v>
      </c>
      <c r="BJ44" s="430" t="s">
        <v>197</v>
      </c>
      <c r="BK44" s="430" t="s">
        <v>197</v>
      </c>
      <c r="BL44" s="430" t="s">
        <v>197</v>
      </c>
      <c r="BM44" s="430" t="s">
        <v>197</v>
      </c>
      <c r="BN44" s="430" t="s">
        <v>197</v>
      </c>
      <c r="BO44" s="430" t="s">
        <v>197</v>
      </c>
      <c r="BP44" s="430" t="s">
        <v>197</v>
      </c>
      <c r="BQ44" s="430" t="s">
        <v>197</v>
      </c>
      <c r="BR44" s="430" t="s">
        <v>197</v>
      </c>
      <c r="BS44" s="430" t="s">
        <v>197</v>
      </c>
      <c r="BT44" s="430" t="s">
        <v>197</v>
      </c>
      <c r="BU44" s="430" t="s">
        <v>197</v>
      </c>
      <c r="BV44" s="430" t="s">
        <v>197</v>
      </c>
      <c r="BW44" s="430" t="s">
        <v>197</v>
      </c>
      <c r="BX44" s="430" t="s">
        <v>197</v>
      </c>
      <c r="BY44" s="430" t="s">
        <v>197</v>
      </c>
      <c r="BZ44" s="430" t="s">
        <v>197</v>
      </c>
      <c r="CA44" s="430" t="s">
        <v>197</v>
      </c>
      <c r="CB44" s="430" t="s">
        <v>197</v>
      </c>
      <c r="CC44" s="430" t="s">
        <v>197</v>
      </c>
      <c r="CD44" s="430" t="s">
        <v>197</v>
      </c>
      <c r="CE44" s="430" t="s">
        <v>197</v>
      </c>
      <c r="CF44" s="430" t="s">
        <v>197</v>
      </c>
      <c r="CG44" s="430" t="s">
        <v>197</v>
      </c>
      <c r="CH44" s="430" t="s">
        <v>197</v>
      </c>
      <c r="CI44" s="430" t="s">
        <v>197</v>
      </c>
      <c r="CJ44" s="430" t="s">
        <v>197</v>
      </c>
      <c r="CK44" s="430" t="s">
        <v>197</v>
      </c>
      <c r="CL44" s="430" t="s">
        <v>197</v>
      </c>
      <c r="CM44" s="430" t="s">
        <v>197</v>
      </c>
    </row>
    <row r="45" spans="1:91" ht="10.5" hidden="1">
      <c r="A45" s="462" t="s">
        <v>336</v>
      </c>
      <c r="B45" s="462" t="s">
        <v>61</v>
      </c>
      <c r="C45" s="462" t="s">
        <v>193</v>
      </c>
      <c r="D45" s="462" t="s">
        <v>63</v>
      </c>
      <c r="E45" s="462" t="s">
        <v>64</v>
      </c>
      <c r="F45" s="462" t="s">
        <v>100</v>
      </c>
      <c r="G45" s="462" t="s">
        <v>66</v>
      </c>
      <c r="H45" s="462" t="s">
        <v>67</v>
      </c>
      <c r="I45" s="439" t="s">
        <v>68</v>
      </c>
      <c r="J45" s="430" t="s">
        <v>283</v>
      </c>
      <c r="K45" s="430"/>
      <c r="L45" s="430"/>
      <c r="M45" s="430" t="s">
        <v>68</v>
      </c>
      <c r="N45" s="432" t="s">
        <v>68</v>
      </c>
      <c r="O45" s="430" t="s">
        <v>70</v>
      </c>
      <c r="P45" s="430" t="s">
        <v>195</v>
      </c>
      <c r="Q45" s="430" t="s">
        <v>196</v>
      </c>
      <c r="R45" s="431" t="s">
        <v>73</v>
      </c>
      <c r="S45" s="442" t="s">
        <v>74</v>
      </c>
      <c r="T45" s="433">
        <v>450</v>
      </c>
      <c r="U45" s="1062">
        <v>936</v>
      </c>
      <c r="V45" s="434">
        <v>0.42099999999999999</v>
      </c>
      <c r="W45" s="435">
        <v>26</v>
      </c>
      <c r="X45" s="1015">
        <v>1</v>
      </c>
      <c r="Y45" s="430" t="s">
        <v>75</v>
      </c>
      <c r="Z45" s="430" t="s">
        <v>75</v>
      </c>
      <c r="AA45" s="430"/>
      <c r="AB45" s="437">
        <v>46030</v>
      </c>
      <c r="AC45" s="438">
        <v>2</v>
      </c>
      <c r="AD45" s="439" t="s">
        <v>337</v>
      </c>
      <c r="AE45" s="430"/>
      <c r="AF45" s="430" t="s">
        <v>77</v>
      </c>
      <c r="AG45" s="430" t="s">
        <v>61</v>
      </c>
      <c r="AH45" s="430" t="s">
        <v>105</v>
      </c>
      <c r="AI45" s="437">
        <v>46036</v>
      </c>
      <c r="AJ45" s="437">
        <v>46038</v>
      </c>
      <c r="AK45" s="441">
        <v>46038</v>
      </c>
      <c r="AL45" s="437">
        <v>46077</v>
      </c>
      <c r="AM45" s="437">
        <v>46094</v>
      </c>
      <c r="AN45" s="437">
        <v>46094</v>
      </c>
      <c r="AO45" s="430" t="s">
        <v>66</v>
      </c>
      <c r="AP45" s="430" t="s">
        <v>338</v>
      </c>
      <c r="AQ45" s="430" t="s">
        <v>80</v>
      </c>
      <c r="AR45" s="430" t="s">
        <v>339</v>
      </c>
      <c r="AS45" s="430" t="s">
        <v>340</v>
      </c>
      <c r="AT45" s="430" t="s">
        <v>340</v>
      </c>
      <c r="AU4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W45" s="437">
        <v>46094</v>
      </c>
      <c r="AX45" s="433" t="s">
        <v>84</v>
      </c>
      <c r="AY45" s="437">
        <v>46107</v>
      </c>
      <c r="AZ45" s="442">
        <v>7</v>
      </c>
      <c r="BA45" s="437">
        <v>46101</v>
      </c>
      <c r="BB45" s="433">
        <v>2026</v>
      </c>
      <c r="BC45" s="430">
        <v>3</v>
      </c>
      <c r="BD45" s="430">
        <v>12</v>
      </c>
      <c r="BE45" s="431">
        <v>36</v>
      </c>
      <c r="BF45" s="431">
        <v>936</v>
      </c>
      <c r="BG45" s="431" t="s">
        <v>85</v>
      </c>
      <c r="BH45" s="431" t="s">
        <v>109</v>
      </c>
      <c r="BI45" s="430" t="s">
        <v>197</v>
      </c>
      <c r="BJ45" s="430" t="s">
        <v>197</v>
      </c>
      <c r="BK45" s="430" t="s">
        <v>197</v>
      </c>
      <c r="BL45" s="430" t="s">
        <v>197</v>
      </c>
      <c r="BM45" s="430" t="s">
        <v>197</v>
      </c>
      <c r="BN45" s="430" t="s">
        <v>197</v>
      </c>
      <c r="BO45" s="430" t="s">
        <v>197</v>
      </c>
      <c r="BP45" s="430" t="s">
        <v>197</v>
      </c>
      <c r="BQ45" s="430" t="s">
        <v>197</v>
      </c>
      <c r="BR45" s="430" t="s">
        <v>197</v>
      </c>
      <c r="BS45" s="430" t="s">
        <v>197</v>
      </c>
      <c r="BT45" s="430" t="s">
        <v>197</v>
      </c>
      <c r="BU45" s="430" t="s">
        <v>197</v>
      </c>
      <c r="BV45" s="430" t="s">
        <v>197</v>
      </c>
      <c r="BW45" s="430" t="s">
        <v>197</v>
      </c>
      <c r="BX45" s="430" t="s">
        <v>197</v>
      </c>
      <c r="BY45" s="430" t="s">
        <v>197</v>
      </c>
      <c r="BZ45" s="430" t="s">
        <v>197</v>
      </c>
      <c r="CA45" s="430" t="s">
        <v>197</v>
      </c>
      <c r="CB45" s="430" t="s">
        <v>197</v>
      </c>
      <c r="CC45" s="430" t="s">
        <v>197</v>
      </c>
      <c r="CD45" s="430" t="s">
        <v>197</v>
      </c>
      <c r="CE45" s="430" t="s">
        <v>197</v>
      </c>
      <c r="CF45" s="430" t="s">
        <v>197</v>
      </c>
      <c r="CG45" s="430" t="s">
        <v>197</v>
      </c>
      <c r="CH45" s="430" t="s">
        <v>197</v>
      </c>
      <c r="CI45" s="430" t="s">
        <v>197</v>
      </c>
      <c r="CJ45" s="430" t="s">
        <v>197</v>
      </c>
      <c r="CK45" s="430" t="s">
        <v>197</v>
      </c>
      <c r="CL45" s="430" t="s">
        <v>197</v>
      </c>
      <c r="CM45" s="430" t="s">
        <v>197</v>
      </c>
    </row>
    <row r="46" spans="1:91" ht="10.5" hidden="1">
      <c r="A46" s="462" t="s">
        <v>341</v>
      </c>
      <c r="B46" s="462" t="s">
        <v>61</v>
      </c>
      <c r="C46" s="462" t="s">
        <v>326</v>
      </c>
      <c r="D46" s="462" t="s">
        <v>113</v>
      </c>
      <c r="E46" s="462" t="s">
        <v>64</v>
      </c>
      <c r="F46" s="462" t="s">
        <v>100</v>
      </c>
      <c r="G46" s="462" t="s">
        <v>66</v>
      </c>
      <c r="H46" s="462" t="s">
        <v>67</v>
      </c>
      <c r="I46" s="439" t="s">
        <v>68</v>
      </c>
      <c r="J46" s="430" t="s">
        <v>327</v>
      </c>
      <c r="K46" s="430" t="s">
        <v>328</v>
      </c>
      <c r="L46" s="430"/>
      <c r="M46" s="430" t="s">
        <v>68</v>
      </c>
      <c r="N46" s="432" t="s">
        <v>68</v>
      </c>
      <c r="O46" s="430" t="s">
        <v>70</v>
      </c>
      <c r="P46" s="430" t="s">
        <v>329</v>
      </c>
      <c r="Q46" s="430" t="s">
        <v>330</v>
      </c>
      <c r="R46" s="431" t="s">
        <v>331</v>
      </c>
      <c r="S46" s="442" t="s">
        <v>120</v>
      </c>
      <c r="T46" s="433">
        <v>625</v>
      </c>
      <c r="U46" s="1062">
        <v>7200</v>
      </c>
      <c r="V46" s="434">
        <v>4.5</v>
      </c>
      <c r="W46" s="435">
        <v>200</v>
      </c>
      <c r="X46" s="1015">
        <v>10</v>
      </c>
      <c r="Y46" s="430" t="s">
        <v>75</v>
      </c>
      <c r="Z46" s="430" t="s">
        <v>75</v>
      </c>
      <c r="AA46" s="430"/>
      <c r="AB46" s="437">
        <v>46026</v>
      </c>
      <c r="AC46" s="438">
        <v>1</v>
      </c>
      <c r="AD46" s="439" t="s">
        <v>342</v>
      </c>
      <c r="AE46" s="430"/>
      <c r="AF46" s="430" t="s">
        <v>77</v>
      </c>
      <c r="AG46" s="430" t="s">
        <v>61</v>
      </c>
      <c r="AH46" s="430" t="s">
        <v>105</v>
      </c>
      <c r="AI46" s="437">
        <v>46036</v>
      </c>
      <c r="AJ46" s="437">
        <v>46038</v>
      </c>
      <c r="AK46" s="441">
        <v>46038</v>
      </c>
      <c r="AL46" s="437">
        <v>46077</v>
      </c>
      <c r="AM46" s="437">
        <v>46094</v>
      </c>
      <c r="AN46" s="437">
        <v>46094</v>
      </c>
      <c r="AO46" s="430" t="s">
        <v>66</v>
      </c>
      <c r="AP46" s="430" t="s">
        <v>333</v>
      </c>
      <c r="AQ46" s="430" t="s">
        <v>161</v>
      </c>
      <c r="AR46" s="430" t="s">
        <v>343</v>
      </c>
      <c r="AS46" s="430" t="s">
        <v>344</v>
      </c>
      <c r="AT46" s="430" t="s">
        <v>344</v>
      </c>
      <c r="AU4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W46" s="437">
        <v>46094</v>
      </c>
      <c r="AX46" s="433" t="s">
        <v>84</v>
      </c>
      <c r="AY46" s="437">
        <v>46107</v>
      </c>
      <c r="AZ46" s="442">
        <v>7</v>
      </c>
      <c r="BA46" s="437">
        <v>46101</v>
      </c>
      <c r="BB46" s="433">
        <v>2026</v>
      </c>
      <c r="BC46" s="430">
        <v>3</v>
      </c>
      <c r="BD46" s="430">
        <v>12</v>
      </c>
      <c r="BE46" s="431">
        <v>36</v>
      </c>
      <c r="BF46" s="431">
        <v>720</v>
      </c>
      <c r="BG46" s="431" t="s">
        <v>128</v>
      </c>
      <c r="BH46" s="431" t="s">
        <v>109</v>
      </c>
      <c r="BI46" s="430" t="s">
        <v>197</v>
      </c>
      <c r="BJ46" s="430" t="s">
        <v>197</v>
      </c>
      <c r="BK46" s="430" t="s">
        <v>197</v>
      </c>
      <c r="BL46" s="430" t="s">
        <v>197</v>
      </c>
      <c r="BM46" s="430" t="s">
        <v>197</v>
      </c>
      <c r="BN46" s="430" t="s">
        <v>197</v>
      </c>
      <c r="BO46" s="430" t="s">
        <v>197</v>
      </c>
      <c r="BP46" s="430" t="s">
        <v>197</v>
      </c>
      <c r="BQ46" s="430" t="s">
        <v>197</v>
      </c>
      <c r="BR46" s="430" t="s">
        <v>197</v>
      </c>
      <c r="BS46" s="430" t="s">
        <v>197</v>
      </c>
      <c r="BT46" s="430" t="s">
        <v>197</v>
      </c>
      <c r="BU46" s="430" t="s">
        <v>197</v>
      </c>
      <c r="BV46" s="430" t="s">
        <v>197</v>
      </c>
      <c r="BW46" s="430" t="s">
        <v>197</v>
      </c>
      <c r="BX46" s="430" t="s">
        <v>197</v>
      </c>
      <c r="BY46" s="430" t="s">
        <v>197</v>
      </c>
      <c r="BZ46" s="430" t="s">
        <v>197</v>
      </c>
      <c r="CA46" s="430" t="s">
        <v>197</v>
      </c>
      <c r="CB46" s="430" t="s">
        <v>197</v>
      </c>
      <c r="CC46" s="430" t="s">
        <v>197</v>
      </c>
      <c r="CD46" s="430" t="s">
        <v>197</v>
      </c>
      <c r="CE46" s="430" t="s">
        <v>197</v>
      </c>
      <c r="CF46" s="430" t="s">
        <v>197</v>
      </c>
      <c r="CG46" s="430" t="s">
        <v>197</v>
      </c>
      <c r="CH46" s="430" t="s">
        <v>197</v>
      </c>
      <c r="CI46" s="430" t="s">
        <v>197</v>
      </c>
      <c r="CJ46" s="430" t="s">
        <v>197</v>
      </c>
      <c r="CK46" s="430" t="s">
        <v>197</v>
      </c>
      <c r="CL46" s="430" t="s">
        <v>197</v>
      </c>
      <c r="CM46" s="430" t="s">
        <v>197</v>
      </c>
    </row>
    <row r="47" spans="1:91" ht="10.5" hidden="1">
      <c r="A47" s="462" t="s">
        <v>345</v>
      </c>
      <c r="B47" s="462" t="s">
        <v>61</v>
      </c>
      <c r="C47" s="462" t="s">
        <v>62</v>
      </c>
      <c r="D47" s="462" t="s">
        <v>63</v>
      </c>
      <c r="E47" s="462" t="s">
        <v>144</v>
      </c>
      <c r="F47" s="462" t="s">
        <v>145</v>
      </c>
      <c r="G47" s="462" t="s">
        <v>146</v>
      </c>
      <c r="H47" s="462" t="s">
        <v>147</v>
      </c>
      <c r="I47" s="439" t="s">
        <v>68</v>
      </c>
      <c r="J47" s="430" t="s">
        <v>147</v>
      </c>
      <c r="K47" s="430" t="s">
        <v>346</v>
      </c>
      <c r="L47" s="430"/>
      <c r="M47" s="430" t="s">
        <v>68</v>
      </c>
      <c r="N47" s="432" t="s">
        <v>68</v>
      </c>
      <c r="O47" s="430" t="s">
        <v>70</v>
      </c>
      <c r="P47" s="430" t="s">
        <v>71</v>
      </c>
      <c r="Q47" s="430" t="s">
        <v>72</v>
      </c>
      <c r="R47" s="431" t="s">
        <v>73</v>
      </c>
      <c r="S47" s="442" t="s">
        <v>74</v>
      </c>
      <c r="T47" s="433">
        <v>500</v>
      </c>
      <c r="U47" s="1062">
        <v>864</v>
      </c>
      <c r="V47" s="434">
        <v>0.432</v>
      </c>
      <c r="W47" s="435">
        <v>24</v>
      </c>
      <c r="X47" s="1015">
        <v>1</v>
      </c>
      <c r="Y47" s="430" t="s">
        <v>75</v>
      </c>
      <c r="Z47" s="430" t="s">
        <v>75</v>
      </c>
      <c r="AA47" s="430"/>
      <c r="AB47" s="437">
        <v>46027</v>
      </c>
      <c r="AC47" s="438">
        <v>2</v>
      </c>
      <c r="AD47" s="439" t="s">
        <v>347</v>
      </c>
      <c r="AE47" s="430"/>
      <c r="AF47" s="430" t="s">
        <v>77</v>
      </c>
      <c r="AG47" s="430" t="s">
        <v>61</v>
      </c>
      <c r="AH47" s="430" t="s">
        <v>78</v>
      </c>
      <c r="AI47" s="437">
        <v>46032</v>
      </c>
      <c r="AJ47" s="437">
        <v>46034</v>
      </c>
      <c r="AK47" s="441">
        <v>46034</v>
      </c>
      <c r="AL47" s="437">
        <v>46091</v>
      </c>
      <c r="AM47" s="437">
        <v>46095</v>
      </c>
      <c r="AN47" s="437">
        <v>46096</v>
      </c>
      <c r="AO47" s="430" t="s">
        <v>146</v>
      </c>
      <c r="AP47" s="430" t="s">
        <v>348</v>
      </c>
      <c r="AQ47" s="430" t="s">
        <v>80</v>
      </c>
      <c r="AR47" s="430" t="s">
        <v>349</v>
      </c>
      <c r="AS47" s="430" t="s">
        <v>350</v>
      </c>
      <c r="AT47" s="430" t="s">
        <v>350</v>
      </c>
      <c r="AU4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62</v>
      </c>
      <c r="AW47" s="437">
        <v>46096</v>
      </c>
      <c r="AX47" s="433" t="s">
        <v>84</v>
      </c>
      <c r="AY47" s="437">
        <v>46105</v>
      </c>
      <c r="AZ47" s="442" t="s">
        <v>152</v>
      </c>
      <c r="BA47" s="437">
        <v>46096</v>
      </c>
      <c r="BB47" s="433">
        <v>2026</v>
      </c>
      <c r="BC47" s="430">
        <v>3</v>
      </c>
      <c r="BD47" s="430">
        <v>11</v>
      </c>
      <c r="BE47" s="431">
        <v>36</v>
      </c>
      <c r="BF47" s="431">
        <v>864</v>
      </c>
      <c r="BG47" s="431" t="s">
        <v>85</v>
      </c>
      <c r="BH47" s="431" t="s">
        <v>86</v>
      </c>
      <c r="BI47" s="430" t="s">
        <v>197</v>
      </c>
      <c r="BJ47" s="430" t="s">
        <v>197</v>
      </c>
      <c r="BK47" s="430" t="s">
        <v>197</v>
      </c>
      <c r="BL47" s="430" t="s">
        <v>197</v>
      </c>
      <c r="BM47" s="430" t="s">
        <v>197</v>
      </c>
      <c r="BN47" s="430" t="s">
        <v>197</v>
      </c>
      <c r="BO47" s="430" t="s">
        <v>197</v>
      </c>
      <c r="BP47" s="430" t="s">
        <v>197</v>
      </c>
      <c r="BQ47" s="430" t="s">
        <v>197</v>
      </c>
      <c r="BR47" s="430" t="s">
        <v>197</v>
      </c>
      <c r="BS47" s="430" t="s">
        <v>197</v>
      </c>
      <c r="BT47" s="430" t="s">
        <v>197</v>
      </c>
      <c r="BU47" s="430" t="s">
        <v>197</v>
      </c>
      <c r="BV47" s="430" t="s">
        <v>197</v>
      </c>
      <c r="BW47" s="430" t="s">
        <v>197</v>
      </c>
      <c r="BX47" s="430" t="s">
        <v>197</v>
      </c>
      <c r="BY47" s="430" t="s">
        <v>197</v>
      </c>
      <c r="BZ47" s="430" t="s">
        <v>197</v>
      </c>
      <c r="CA47" s="430" t="s">
        <v>197</v>
      </c>
      <c r="CB47" s="430" t="s">
        <v>197</v>
      </c>
      <c r="CC47" s="430" t="s">
        <v>197</v>
      </c>
      <c r="CD47" s="430" t="s">
        <v>197</v>
      </c>
      <c r="CE47" s="430" t="s">
        <v>197</v>
      </c>
      <c r="CF47" s="430" t="s">
        <v>197</v>
      </c>
      <c r="CG47" s="430" t="s">
        <v>197</v>
      </c>
      <c r="CH47" s="430" t="s">
        <v>197</v>
      </c>
      <c r="CI47" s="430" t="s">
        <v>197</v>
      </c>
      <c r="CJ47" s="430" t="s">
        <v>197</v>
      </c>
      <c r="CK47" s="430" t="s">
        <v>197</v>
      </c>
      <c r="CL47" s="430" t="s">
        <v>197</v>
      </c>
      <c r="CM47" s="430" t="s">
        <v>197</v>
      </c>
    </row>
    <row r="48" spans="1:91" ht="10.5" hidden="1">
      <c r="A48" s="462" t="s">
        <v>351</v>
      </c>
      <c r="B48" s="462" t="s">
        <v>111</v>
      </c>
      <c r="C48" s="462" t="s">
        <v>352</v>
      </c>
      <c r="D48" s="462" t="s">
        <v>113</v>
      </c>
      <c r="E48" s="462" t="s">
        <v>64</v>
      </c>
      <c r="F48" s="462" t="s">
        <v>65</v>
      </c>
      <c r="G48" s="462" t="s">
        <v>66</v>
      </c>
      <c r="H48" s="462" t="s">
        <v>67</v>
      </c>
      <c r="I48" s="439" t="s">
        <v>68</v>
      </c>
      <c r="J48" s="430" t="s">
        <v>353</v>
      </c>
      <c r="K48" s="430" t="s">
        <v>354</v>
      </c>
      <c r="L48" s="430"/>
      <c r="M48" s="430" t="s">
        <v>68</v>
      </c>
      <c r="N48" s="432" t="s">
        <v>68</v>
      </c>
      <c r="O48" s="430" t="s">
        <v>70</v>
      </c>
      <c r="P48" s="430" t="s">
        <v>218</v>
      </c>
      <c r="Q48" s="430" t="s">
        <v>219</v>
      </c>
      <c r="R48" s="431" t="s">
        <v>73</v>
      </c>
      <c r="S48" s="442" t="s">
        <v>120</v>
      </c>
      <c r="T48" s="433">
        <v>625</v>
      </c>
      <c r="U48" s="1062">
        <v>2880</v>
      </c>
      <c r="V48" s="434">
        <v>1.8</v>
      </c>
      <c r="W48" s="435">
        <v>80</v>
      </c>
      <c r="X48" s="1015">
        <v>4</v>
      </c>
      <c r="Y48" s="430" t="s">
        <v>75</v>
      </c>
      <c r="Z48" s="430" t="s">
        <v>75</v>
      </c>
      <c r="AA48" s="430"/>
      <c r="AB48" s="437">
        <v>46035</v>
      </c>
      <c r="AC48" s="438">
        <v>3</v>
      </c>
      <c r="AD48" s="439" t="s">
        <v>355</v>
      </c>
      <c r="AE48" s="430"/>
      <c r="AF48" s="430" t="s">
        <v>122</v>
      </c>
      <c r="AG48" s="430" t="s">
        <v>123</v>
      </c>
      <c r="AH48" s="430" t="s">
        <v>356</v>
      </c>
      <c r="AI48" s="437">
        <v>46040</v>
      </c>
      <c r="AJ48" s="437">
        <v>46045</v>
      </c>
      <c r="AK48" s="441">
        <v>46043</v>
      </c>
      <c r="AL48" s="437">
        <v>46077</v>
      </c>
      <c r="AM48" s="437">
        <v>46077</v>
      </c>
      <c r="AN48" s="437">
        <v>46079</v>
      </c>
      <c r="AO48" s="430" t="s">
        <v>66</v>
      </c>
      <c r="AP48" s="430" t="s">
        <v>357</v>
      </c>
      <c r="AQ48" s="430" t="s">
        <v>161</v>
      </c>
      <c r="AR48" s="430" t="s">
        <v>358</v>
      </c>
      <c r="AS48" s="430" t="s">
        <v>359</v>
      </c>
      <c r="AT48" s="430" t="s">
        <v>359</v>
      </c>
      <c r="AU4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36</v>
      </c>
      <c r="AW48" s="437">
        <v>46079</v>
      </c>
      <c r="AX48" s="433" t="s">
        <v>84</v>
      </c>
      <c r="AY48" s="437">
        <v>46091</v>
      </c>
      <c r="AZ48" s="442">
        <v>8</v>
      </c>
      <c r="BA48" s="437">
        <v>46087</v>
      </c>
      <c r="BB48" s="433">
        <v>2026</v>
      </c>
      <c r="BC48" s="430">
        <v>3</v>
      </c>
      <c r="BD48" s="430">
        <v>10</v>
      </c>
      <c r="BE48" s="431">
        <v>36</v>
      </c>
      <c r="BF48" s="431">
        <v>720</v>
      </c>
      <c r="BG48" s="431" t="s">
        <v>128</v>
      </c>
      <c r="BH48" s="431" t="s">
        <v>109</v>
      </c>
      <c r="BI48" s="430" t="s">
        <v>197</v>
      </c>
      <c r="BJ48" s="430" t="s">
        <v>197</v>
      </c>
      <c r="BK48" s="430" t="s">
        <v>197</v>
      </c>
      <c r="BL48" s="430" t="s">
        <v>197</v>
      </c>
      <c r="BM48" s="430" t="s">
        <v>197</v>
      </c>
      <c r="BN48" s="430" t="s">
        <v>197</v>
      </c>
      <c r="BO48" s="430" t="s">
        <v>197</v>
      </c>
      <c r="BP48" s="430" t="s">
        <v>197</v>
      </c>
      <c r="BQ48" s="430" t="s">
        <v>197</v>
      </c>
      <c r="BR48" s="430" t="s">
        <v>197</v>
      </c>
      <c r="BS48" s="430" t="s">
        <v>197</v>
      </c>
      <c r="BT48" s="430" t="s">
        <v>197</v>
      </c>
      <c r="BU48" s="430" t="s">
        <v>197</v>
      </c>
      <c r="BV48" s="430" t="s">
        <v>197</v>
      </c>
      <c r="BW48" s="430" t="s">
        <v>197</v>
      </c>
      <c r="BX48" s="430" t="s">
        <v>197</v>
      </c>
      <c r="BY48" s="430" t="s">
        <v>197</v>
      </c>
      <c r="BZ48" s="430" t="s">
        <v>197</v>
      </c>
      <c r="CA48" s="430" t="s">
        <v>197</v>
      </c>
      <c r="CB48" s="430" t="s">
        <v>197</v>
      </c>
      <c r="CC48" s="430" t="s">
        <v>197</v>
      </c>
      <c r="CD48" s="430" t="s">
        <v>197</v>
      </c>
      <c r="CE48" s="430" t="s">
        <v>197</v>
      </c>
      <c r="CF48" s="430" t="s">
        <v>197</v>
      </c>
      <c r="CG48" s="430" t="s">
        <v>197</v>
      </c>
      <c r="CH48" s="430" t="s">
        <v>197</v>
      </c>
      <c r="CI48" s="430" t="s">
        <v>197</v>
      </c>
      <c r="CJ48" s="430" t="s">
        <v>197</v>
      </c>
      <c r="CK48" s="430" t="s">
        <v>197</v>
      </c>
      <c r="CL48" s="430" t="s">
        <v>197</v>
      </c>
      <c r="CM48" s="430" t="s">
        <v>197</v>
      </c>
    </row>
    <row r="49" spans="1:91" ht="10.5" hidden="1">
      <c r="A49" s="462" t="s">
        <v>360</v>
      </c>
      <c r="B49" s="462" t="s">
        <v>111</v>
      </c>
      <c r="C49" s="462" t="s">
        <v>215</v>
      </c>
      <c r="D49" s="462" t="s">
        <v>113</v>
      </c>
      <c r="E49" s="462" t="s">
        <v>64</v>
      </c>
      <c r="F49" s="462" t="s">
        <v>65</v>
      </c>
      <c r="G49" s="462" t="s">
        <v>66</v>
      </c>
      <c r="H49" s="462" t="s">
        <v>67</v>
      </c>
      <c r="I49" s="439" t="s">
        <v>68</v>
      </c>
      <c r="J49" s="430" t="s">
        <v>353</v>
      </c>
      <c r="K49" s="430" t="s">
        <v>354</v>
      </c>
      <c r="L49" s="430"/>
      <c r="M49" s="430" t="s">
        <v>68</v>
      </c>
      <c r="N49" s="432" t="s">
        <v>68</v>
      </c>
      <c r="O49" s="430" t="s">
        <v>70</v>
      </c>
      <c r="P49" s="430" t="s">
        <v>218</v>
      </c>
      <c r="Q49" s="430" t="s">
        <v>219</v>
      </c>
      <c r="R49" s="431" t="s">
        <v>73</v>
      </c>
      <c r="S49" s="442" t="s">
        <v>120</v>
      </c>
      <c r="T49" s="433">
        <v>625</v>
      </c>
      <c r="U49" s="1062">
        <v>1440</v>
      </c>
      <c r="V49" s="434">
        <v>0.9</v>
      </c>
      <c r="W49" s="435">
        <v>40</v>
      </c>
      <c r="X49" s="1015">
        <v>2</v>
      </c>
      <c r="Y49" s="430" t="s">
        <v>75</v>
      </c>
      <c r="Z49" s="430" t="s">
        <v>75</v>
      </c>
      <c r="AA49" s="430"/>
      <c r="AB49" s="437">
        <v>46035</v>
      </c>
      <c r="AC49" s="438">
        <v>3</v>
      </c>
      <c r="AD49" s="439" t="s">
        <v>361</v>
      </c>
      <c r="AE49" s="430"/>
      <c r="AF49" s="430" t="s">
        <v>122</v>
      </c>
      <c r="AG49" s="430" t="s">
        <v>123</v>
      </c>
      <c r="AH49" s="430" t="s">
        <v>356</v>
      </c>
      <c r="AI49" s="437">
        <v>46040</v>
      </c>
      <c r="AJ49" s="437">
        <v>46045</v>
      </c>
      <c r="AK49" s="441">
        <v>46043</v>
      </c>
      <c r="AL49" s="437">
        <v>46077</v>
      </c>
      <c r="AM49" s="437">
        <v>46077</v>
      </c>
      <c r="AN49" s="437">
        <v>46079</v>
      </c>
      <c r="AO49" s="430" t="s">
        <v>66</v>
      </c>
      <c r="AP49" s="430" t="s">
        <v>357</v>
      </c>
      <c r="AQ49" s="430" t="s">
        <v>161</v>
      </c>
      <c r="AR49" s="430" t="s">
        <v>358</v>
      </c>
      <c r="AS49" s="430" t="s">
        <v>359</v>
      </c>
      <c r="AT49" s="430" t="s">
        <v>359</v>
      </c>
      <c r="AU4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36</v>
      </c>
      <c r="AW49" s="437">
        <v>46079</v>
      </c>
      <c r="AX49" s="433" t="s">
        <v>84</v>
      </c>
      <c r="AY49" s="437">
        <v>46091</v>
      </c>
      <c r="AZ49" s="442">
        <v>8</v>
      </c>
      <c r="BA49" s="437">
        <v>46087</v>
      </c>
      <c r="BB49" s="433">
        <v>2026</v>
      </c>
      <c r="BC49" s="430">
        <v>3</v>
      </c>
      <c r="BD49" s="430">
        <v>10</v>
      </c>
      <c r="BE49" s="431">
        <v>36</v>
      </c>
      <c r="BF49" s="431">
        <v>720</v>
      </c>
      <c r="BG49" s="431" t="s">
        <v>128</v>
      </c>
      <c r="BH49" s="431" t="s">
        <v>109</v>
      </c>
      <c r="BI49" s="430" t="s">
        <v>197</v>
      </c>
      <c r="BJ49" s="430" t="s">
        <v>197</v>
      </c>
      <c r="BK49" s="430" t="s">
        <v>197</v>
      </c>
      <c r="BL49" s="430" t="s">
        <v>197</v>
      </c>
      <c r="BM49" s="430" t="s">
        <v>197</v>
      </c>
      <c r="BN49" s="430" t="s">
        <v>197</v>
      </c>
      <c r="BO49" s="430" t="s">
        <v>197</v>
      </c>
      <c r="BP49" s="430" t="s">
        <v>197</v>
      </c>
      <c r="BQ49" s="430" t="s">
        <v>197</v>
      </c>
      <c r="BR49" s="430" t="s">
        <v>197</v>
      </c>
      <c r="BS49" s="430" t="s">
        <v>197</v>
      </c>
      <c r="BT49" s="430" t="s">
        <v>197</v>
      </c>
      <c r="BU49" s="430" t="s">
        <v>197</v>
      </c>
      <c r="BV49" s="430" t="s">
        <v>197</v>
      </c>
      <c r="BW49" s="430" t="s">
        <v>197</v>
      </c>
      <c r="BX49" s="430" t="s">
        <v>197</v>
      </c>
      <c r="BY49" s="430" t="s">
        <v>197</v>
      </c>
      <c r="BZ49" s="430" t="s">
        <v>197</v>
      </c>
      <c r="CA49" s="430" t="s">
        <v>197</v>
      </c>
      <c r="CB49" s="430" t="s">
        <v>197</v>
      </c>
      <c r="CC49" s="430" t="s">
        <v>197</v>
      </c>
      <c r="CD49" s="430" t="s">
        <v>197</v>
      </c>
      <c r="CE49" s="430" t="s">
        <v>197</v>
      </c>
      <c r="CF49" s="430" t="s">
        <v>197</v>
      </c>
      <c r="CG49" s="430" t="s">
        <v>197</v>
      </c>
      <c r="CH49" s="430" t="s">
        <v>197</v>
      </c>
      <c r="CI49" s="430" t="s">
        <v>197</v>
      </c>
      <c r="CJ49" s="430" t="s">
        <v>197</v>
      </c>
      <c r="CK49" s="430" t="s">
        <v>197</v>
      </c>
      <c r="CL49" s="430" t="s">
        <v>197</v>
      </c>
      <c r="CM49" s="430" t="s">
        <v>197</v>
      </c>
    </row>
    <row r="50" spans="1:91" ht="10.5" hidden="1">
      <c r="A50" s="462" t="s">
        <v>362</v>
      </c>
      <c r="B50" s="462" t="s">
        <v>111</v>
      </c>
      <c r="C50" s="462" t="s">
        <v>215</v>
      </c>
      <c r="D50" s="462" t="s">
        <v>113</v>
      </c>
      <c r="E50" s="462" t="s">
        <v>64</v>
      </c>
      <c r="F50" s="462" t="s">
        <v>65</v>
      </c>
      <c r="G50" s="462" t="s">
        <v>66</v>
      </c>
      <c r="H50" s="462" t="s">
        <v>67</v>
      </c>
      <c r="I50" s="439" t="s">
        <v>68</v>
      </c>
      <c r="J50" s="430" t="s">
        <v>363</v>
      </c>
      <c r="K50" s="430" t="s">
        <v>364</v>
      </c>
      <c r="L50" s="430"/>
      <c r="M50" s="430" t="s">
        <v>68</v>
      </c>
      <c r="N50" s="432" t="s">
        <v>68</v>
      </c>
      <c r="O50" s="430" t="s">
        <v>70</v>
      </c>
      <c r="P50" s="430" t="s">
        <v>218</v>
      </c>
      <c r="Q50" s="430" t="s">
        <v>219</v>
      </c>
      <c r="R50" s="431" t="s">
        <v>73</v>
      </c>
      <c r="S50" s="442" t="s">
        <v>120</v>
      </c>
      <c r="T50" s="433">
        <v>625</v>
      </c>
      <c r="U50" s="1062">
        <v>2880</v>
      </c>
      <c r="V50" s="434">
        <v>1.8</v>
      </c>
      <c r="W50" s="435">
        <v>80</v>
      </c>
      <c r="X50" s="1015">
        <v>4</v>
      </c>
      <c r="Y50" s="430" t="s">
        <v>75</v>
      </c>
      <c r="Z50" s="430" t="s">
        <v>75</v>
      </c>
      <c r="AA50" s="430"/>
      <c r="AB50" s="437">
        <v>46035</v>
      </c>
      <c r="AC50" s="438">
        <v>3</v>
      </c>
      <c r="AD50" s="439" t="s">
        <v>365</v>
      </c>
      <c r="AE50" s="430"/>
      <c r="AF50" s="430" t="s">
        <v>122</v>
      </c>
      <c r="AG50" s="430" t="s">
        <v>123</v>
      </c>
      <c r="AH50" s="430" t="s">
        <v>356</v>
      </c>
      <c r="AI50" s="437">
        <v>46040</v>
      </c>
      <c r="AJ50" s="437">
        <v>46045</v>
      </c>
      <c r="AK50" s="441">
        <v>46043</v>
      </c>
      <c r="AL50" s="437">
        <v>46077</v>
      </c>
      <c r="AM50" s="437">
        <v>46077</v>
      </c>
      <c r="AN50" s="437">
        <v>46079</v>
      </c>
      <c r="AO50" s="430" t="s">
        <v>66</v>
      </c>
      <c r="AP50" s="430" t="s">
        <v>357</v>
      </c>
      <c r="AQ50" s="430" t="s">
        <v>161</v>
      </c>
      <c r="AR50" s="430" t="s">
        <v>358</v>
      </c>
      <c r="AS50" s="430" t="s">
        <v>359</v>
      </c>
      <c r="AT50" s="430" t="s">
        <v>359</v>
      </c>
      <c r="AU5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36</v>
      </c>
      <c r="AW50" s="437">
        <v>46079</v>
      </c>
      <c r="AX50" s="433" t="s">
        <v>84</v>
      </c>
      <c r="AY50" s="437">
        <v>46091</v>
      </c>
      <c r="AZ50" s="442">
        <v>8</v>
      </c>
      <c r="BA50" s="437">
        <v>46087</v>
      </c>
      <c r="BB50" s="433">
        <v>2026</v>
      </c>
      <c r="BC50" s="430">
        <v>3</v>
      </c>
      <c r="BD50" s="430">
        <v>10</v>
      </c>
      <c r="BE50" s="431">
        <v>36</v>
      </c>
      <c r="BF50" s="431">
        <v>720</v>
      </c>
      <c r="BG50" s="431" t="s">
        <v>128</v>
      </c>
      <c r="BH50" s="431" t="s">
        <v>109</v>
      </c>
      <c r="BI50" s="430" t="s">
        <v>197</v>
      </c>
      <c r="BJ50" s="430" t="s">
        <v>197</v>
      </c>
      <c r="BK50" s="430" t="s">
        <v>197</v>
      </c>
      <c r="BL50" s="430" t="s">
        <v>197</v>
      </c>
      <c r="BM50" s="430" t="s">
        <v>197</v>
      </c>
      <c r="BN50" s="430" t="s">
        <v>197</v>
      </c>
      <c r="BO50" s="430" t="s">
        <v>197</v>
      </c>
      <c r="BP50" s="430" t="s">
        <v>197</v>
      </c>
      <c r="BQ50" s="430" t="s">
        <v>197</v>
      </c>
      <c r="BR50" s="430" t="s">
        <v>197</v>
      </c>
      <c r="BS50" s="430" t="s">
        <v>197</v>
      </c>
      <c r="BT50" s="430" t="s">
        <v>197</v>
      </c>
      <c r="BU50" s="430" t="s">
        <v>197</v>
      </c>
      <c r="BV50" s="430" t="s">
        <v>197</v>
      </c>
      <c r="BW50" s="430" t="s">
        <v>197</v>
      </c>
      <c r="BX50" s="430" t="s">
        <v>197</v>
      </c>
      <c r="BY50" s="430" t="s">
        <v>197</v>
      </c>
      <c r="BZ50" s="430" t="s">
        <v>197</v>
      </c>
      <c r="CA50" s="430" t="s">
        <v>197</v>
      </c>
      <c r="CB50" s="430" t="s">
        <v>197</v>
      </c>
      <c r="CC50" s="430" t="s">
        <v>197</v>
      </c>
      <c r="CD50" s="430" t="s">
        <v>197</v>
      </c>
      <c r="CE50" s="430" t="s">
        <v>197</v>
      </c>
      <c r="CF50" s="430" t="s">
        <v>197</v>
      </c>
      <c r="CG50" s="430" t="s">
        <v>197</v>
      </c>
      <c r="CH50" s="430" t="s">
        <v>197</v>
      </c>
      <c r="CI50" s="430" t="s">
        <v>197</v>
      </c>
      <c r="CJ50" s="430" t="s">
        <v>197</v>
      </c>
      <c r="CK50" s="430" t="s">
        <v>197</v>
      </c>
      <c r="CL50" s="430" t="s">
        <v>197</v>
      </c>
      <c r="CM50" s="430" t="s">
        <v>197</v>
      </c>
    </row>
    <row r="51" spans="1:91" ht="10.5" hidden="1">
      <c r="A51" s="462" t="s">
        <v>366</v>
      </c>
      <c r="B51" s="462" t="s">
        <v>111</v>
      </c>
      <c r="C51" s="462" t="s">
        <v>215</v>
      </c>
      <c r="D51" s="462" t="s">
        <v>113</v>
      </c>
      <c r="E51" s="462" t="s">
        <v>64</v>
      </c>
      <c r="F51" s="462" t="s">
        <v>65</v>
      </c>
      <c r="G51" s="462" t="s">
        <v>66</v>
      </c>
      <c r="H51" s="462" t="s">
        <v>67</v>
      </c>
      <c r="I51" s="439" t="s">
        <v>68</v>
      </c>
      <c r="J51" s="430" t="s">
        <v>363</v>
      </c>
      <c r="K51" s="430" t="s">
        <v>364</v>
      </c>
      <c r="L51" s="430"/>
      <c r="M51" s="430" t="s">
        <v>68</v>
      </c>
      <c r="N51" s="432" t="s">
        <v>68</v>
      </c>
      <c r="O51" s="430" t="s">
        <v>70</v>
      </c>
      <c r="P51" s="430" t="s">
        <v>218</v>
      </c>
      <c r="Q51" s="430" t="s">
        <v>219</v>
      </c>
      <c r="R51" s="431" t="s">
        <v>73</v>
      </c>
      <c r="S51" s="442" t="s">
        <v>120</v>
      </c>
      <c r="T51" s="433">
        <v>625</v>
      </c>
      <c r="U51" s="1062">
        <v>1440</v>
      </c>
      <c r="V51" s="434">
        <v>0.9</v>
      </c>
      <c r="W51" s="435">
        <v>40</v>
      </c>
      <c r="X51" s="1015">
        <v>2</v>
      </c>
      <c r="Y51" s="430" t="s">
        <v>75</v>
      </c>
      <c r="Z51" s="430" t="s">
        <v>75</v>
      </c>
      <c r="AA51" s="430"/>
      <c r="AB51" s="437">
        <v>46035</v>
      </c>
      <c r="AC51" s="438">
        <v>3</v>
      </c>
      <c r="AD51" s="439" t="s">
        <v>367</v>
      </c>
      <c r="AE51" s="430"/>
      <c r="AF51" s="430" t="s">
        <v>122</v>
      </c>
      <c r="AG51" s="430" t="s">
        <v>123</v>
      </c>
      <c r="AH51" s="430" t="s">
        <v>356</v>
      </c>
      <c r="AI51" s="437">
        <v>46040</v>
      </c>
      <c r="AJ51" s="437">
        <v>46045</v>
      </c>
      <c r="AK51" s="441">
        <v>46043</v>
      </c>
      <c r="AL51" s="437">
        <v>46077</v>
      </c>
      <c r="AM51" s="437">
        <v>46077</v>
      </c>
      <c r="AN51" s="437">
        <v>46079</v>
      </c>
      <c r="AO51" s="430" t="s">
        <v>66</v>
      </c>
      <c r="AP51" s="430" t="s">
        <v>357</v>
      </c>
      <c r="AQ51" s="430" t="s">
        <v>161</v>
      </c>
      <c r="AR51" s="430" t="s">
        <v>358</v>
      </c>
      <c r="AS51" s="430" t="s">
        <v>359</v>
      </c>
      <c r="AT51" s="430" t="s">
        <v>359</v>
      </c>
      <c r="AU5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36</v>
      </c>
      <c r="AW51" s="437">
        <v>46079</v>
      </c>
      <c r="AX51" s="433" t="s">
        <v>84</v>
      </c>
      <c r="AY51" s="437">
        <v>46091</v>
      </c>
      <c r="AZ51" s="442">
        <v>8</v>
      </c>
      <c r="BA51" s="437">
        <v>46087</v>
      </c>
      <c r="BB51" s="433">
        <v>2026</v>
      </c>
      <c r="BC51" s="430">
        <v>3</v>
      </c>
      <c r="BD51" s="430">
        <v>10</v>
      </c>
      <c r="BE51" s="431">
        <v>36</v>
      </c>
      <c r="BF51" s="431">
        <v>720</v>
      </c>
      <c r="BG51" s="431" t="s">
        <v>128</v>
      </c>
      <c r="BH51" s="431" t="s">
        <v>109</v>
      </c>
      <c r="BI51" s="430" t="s">
        <v>197</v>
      </c>
      <c r="BJ51" s="430" t="s">
        <v>197</v>
      </c>
      <c r="BK51" s="430" t="s">
        <v>197</v>
      </c>
      <c r="BL51" s="430" t="s">
        <v>197</v>
      </c>
      <c r="BM51" s="430" t="s">
        <v>197</v>
      </c>
      <c r="BN51" s="430" t="s">
        <v>197</v>
      </c>
      <c r="BO51" s="430" t="s">
        <v>197</v>
      </c>
      <c r="BP51" s="430" t="s">
        <v>197</v>
      </c>
      <c r="BQ51" s="430" t="s">
        <v>197</v>
      </c>
      <c r="BR51" s="430" t="s">
        <v>197</v>
      </c>
      <c r="BS51" s="430" t="s">
        <v>197</v>
      </c>
      <c r="BT51" s="430" t="s">
        <v>197</v>
      </c>
      <c r="BU51" s="430" t="s">
        <v>197</v>
      </c>
      <c r="BV51" s="430" t="s">
        <v>197</v>
      </c>
      <c r="BW51" s="430" t="s">
        <v>197</v>
      </c>
      <c r="BX51" s="430" t="s">
        <v>197</v>
      </c>
      <c r="BY51" s="430" t="s">
        <v>197</v>
      </c>
      <c r="BZ51" s="430" t="s">
        <v>197</v>
      </c>
      <c r="CA51" s="430" t="s">
        <v>197</v>
      </c>
      <c r="CB51" s="430" t="s">
        <v>197</v>
      </c>
      <c r="CC51" s="430" t="s">
        <v>197</v>
      </c>
      <c r="CD51" s="430" t="s">
        <v>197</v>
      </c>
      <c r="CE51" s="430" t="s">
        <v>197</v>
      </c>
      <c r="CF51" s="430" t="s">
        <v>197</v>
      </c>
      <c r="CG51" s="430" t="s">
        <v>197</v>
      </c>
      <c r="CH51" s="430" t="s">
        <v>197</v>
      </c>
      <c r="CI51" s="430" t="s">
        <v>197</v>
      </c>
      <c r="CJ51" s="430" t="s">
        <v>197</v>
      </c>
      <c r="CK51" s="430" t="s">
        <v>197</v>
      </c>
      <c r="CL51" s="430" t="s">
        <v>197</v>
      </c>
      <c r="CM51" s="430" t="s">
        <v>197</v>
      </c>
    </row>
    <row r="52" spans="1:91" ht="10.5" hidden="1">
      <c r="A52" s="462" t="s">
        <v>368</v>
      </c>
      <c r="B52" s="462" t="s">
        <v>111</v>
      </c>
      <c r="C52" s="462" t="s">
        <v>215</v>
      </c>
      <c r="D52" s="462" t="s">
        <v>113</v>
      </c>
      <c r="E52" s="462" t="s">
        <v>64</v>
      </c>
      <c r="F52" s="462" t="s">
        <v>65</v>
      </c>
      <c r="G52" s="462" t="s">
        <v>66</v>
      </c>
      <c r="H52" s="462" t="s">
        <v>67</v>
      </c>
      <c r="I52" s="439" t="s">
        <v>68</v>
      </c>
      <c r="J52" s="430" t="s">
        <v>216</v>
      </c>
      <c r="K52" s="430" t="s">
        <v>217</v>
      </c>
      <c r="L52" s="430"/>
      <c r="M52" s="430" t="s">
        <v>68</v>
      </c>
      <c r="N52" s="432" t="s">
        <v>68</v>
      </c>
      <c r="O52" s="430" t="s">
        <v>70</v>
      </c>
      <c r="P52" s="430" t="s">
        <v>218</v>
      </c>
      <c r="Q52" s="430" t="s">
        <v>219</v>
      </c>
      <c r="R52" s="431" t="s">
        <v>73</v>
      </c>
      <c r="S52" s="442" t="s">
        <v>120</v>
      </c>
      <c r="T52" s="433">
        <v>625</v>
      </c>
      <c r="U52" s="1062">
        <v>72</v>
      </c>
      <c r="V52" s="434">
        <v>4.4999999999999998E-2</v>
      </c>
      <c r="W52" s="435">
        <v>2</v>
      </c>
      <c r="X52" s="1015">
        <v>0.1</v>
      </c>
      <c r="Y52" s="430" t="s">
        <v>75</v>
      </c>
      <c r="Z52" s="430" t="s">
        <v>75</v>
      </c>
      <c r="AA52" s="430"/>
      <c r="AB52" s="437">
        <v>46035</v>
      </c>
      <c r="AC52" s="438">
        <v>3</v>
      </c>
      <c r="AD52" s="439" t="s">
        <v>369</v>
      </c>
      <c r="AE52" s="430"/>
      <c r="AF52" s="430" t="s">
        <v>122</v>
      </c>
      <c r="AG52" s="430" t="s">
        <v>123</v>
      </c>
      <c r="AH52" s="430" t="s">
        <v>356</v>
      </c>
      <c r="AI52" s="437">
        <v>46040</v>
      </c>
      <c r="AJ52" s="437">
        <v>46043</v>
      </c>
      <c r="AK52" s="441">
        <v>46043</v>
      </c>
      <c r="AL52" s="437">
        <v>46077</v>
      </c>
      <c r="AM52" s="437">
        <v>46077</v>
      </c>
      <c r="AN52" s="437">
        <v>46078</v>
      </c>
      <c r="AO52" s="430" t="s">
        <v>66</v>
      </c>
      <c r="AP52" s="430" t="s">
        <v>370</v>
      </c>
      <c r="AQ52" s="430" t="s">
        <v>80</v>
      </c>
      <c r="AR52" s="430" t="s">
        <v>371</v>
      </c>
      <c r="AS52" s="430" t="s">
        <v>372</v>
      </c>
      <c r="AT52" s="430" t="s">
        <v>372</v>
      </c>
      <c r="AU5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35</v>
      </c>
      <c r="AW52" s="437">
        <v>46078</v>
      </c>
      <c r="AX52" s="433" t="s">
        <v>84</v>
      </c>
      <c r="AY52" s="437">
        <v>46091</v>
      </c>
      <c r="AZ52" s="442">
        <v>8</v>
      </c>
      <c r="BA52" s="437">
        <v>46086</v>
      </c>
      <c r="BB52" s="433">
        <v>2026</v>
      </c>
      <c r="BC52" s="430">
        <v>3</v>
      </c>
      <c r="BD52" s="430">
        <v>10</v>
      </c>
      <c r="BE52" s="431">
        <v>36</v>
      </c>
      <c r="BF52" s="431">
        <v>720</v>
      </c>
      <c r="BG52" s="431" t="s">
        <v>128</v>
      </c>
      <c r="BH52" s="431" t="s">
        <v>109</v>
      </c>
      <c r="BI52" s="430" t="s">
        <v>197</v>
      </c>
      <c r="BJ52" s="430" t="s">
        <v>197</v>
      </c>
      <c r="BK52" s="430" t="s">
        <v>197</v>
      </c>
      <c r="BL52" s="430" t="s">
        <v>197</v>
      </c>
      <c r="BM52" s="430" t="s">
        <v>197</v>
      </c>
      <c r="BN52" s="430" t="s">
        <v>197</v>
      </c>
      <c r="BO52" s="430" t="s">
        <v>197</v>
      </c>
      <c r="BP52" s="430" t="s">
        <v>197</v>
      </c>
      <c r="BQ52" s="430" t="s">
        <v>197</v>
      </c>
      <c r="BR52" s="430" t="s">
        <v>197</v>
      </c>
      <c r="BS52" s="430" t="s">
        <v>197</v>
      </c>
      <c r="BT52" s="430" t="s">
        <v>197</v>
      </c>
      <c r="BU52" s="430" t="s">
        <v>197</v>
      </c>
      <c r="BV52" s="430" t="s">
        <v>197</v>
      </c>
      <c r="BW52" s="430" t="s">
        <v>197</v>
      </c>
      <c r="BX52" s="430" t="s">
        <v>197</v>
      </c>
      <c r="BY52" s="430" t="s">
        <v>197</v>
      </c>
      <c r="BZ52" s="430" t="s">
        <v>197</v>
      </c>
      <c r="CA52" s="430" t="s">
        <v>197</v>
      </c>
      <c r="CB52" s="430" t="s">
        <v>197</v>
      </c>
      <c r="CC52" s="430" t="s">
        <v>197</v>
      </c>
      <c r="CD52" s="430" t="s">
        <v>197</v>
      </c>
      <c r="CE52" s="430" t="s">
        <v>197</v>
      </c>
      <c r="CF52" s="430" t="s">
        <v>197</v>
      </c>
      <c r="CG52" s="430" t="s">
        <v>197</v>
      </c>
      <c r="CH52" s="430" t="s">
        <v>197</v>
      </c>
      <c r="CI52" s="430" t="s">
        <v>197</v>
      </c>
      <c r="CJ52" s="430" t="s">
        <v>197</v>
      </c>
      <c r="CK52" s="430" t="s">
        <v>197</v>
      </c>
      <c r="CL52" s="430" t="s">
        <v>197</v>
      </c>
      <c r="CM52" s="430" t="s">
        <v>197</v>
      </c>
    </row>
    <row r="53" spans="1:91" ht="10.5" hidden="1">
      <c r="A53" s="462" t="s">
        <v>373</v>
      </c>
      <c r="B53" s="462" t="s">
        <v>111</v>
      </c>
      <c r="C53" s="462" t="s">
        <v>215</v>
      </c>
      <c r="D53" s="462" t="s">
        <v>113</v>
      </c>
      <c r="E53" s="462" t="s">
        <v>64</v>
      </c>
      <c r="F53" s="462" t="s">
        <v>65</v>
      </c>
      <c r="G53" s="462" t="s">
        <v>66</v>
      </c>
      <c r="H53" s="462" t="s">
        <v>67</v>
      </c>
      <c r="I53" s="439" t="s">
        <v>68</v>
      </c>
      <c r="J53" s="430" t="s">
        <v>363</v>
      </c>
      <c r="K53" s="430" t="s">
        <v>364</v>
      </c>
      <c r="L53" s="430"/>
      <c r="M53" s="430" t="s">
        <v>68</v>
      </c>
      <c r="N53" s="432" t="s">
        <v>68</v>
      </c>
      <c r="O53" s="430" t="s">
        <v>70</v>
      </c>
      <c r="P53" s="430" t="s">
        <v>218</v>
      </c>
      <c r="Q53" s="430" t="s">
        <v>219</v>
      </c>
      <c r="R53" s="431" t="s">
        <v>73</v>
      </c>
      <c r="S53" s="442" t="s">
        <v>120</v>
      </c>
      <c r="T53" s="433">
        <v>625</v>
      </c>
      <c r="U53" s="1062">
        <v>324</v>
      </c>
      <c r="V53" s="434">
        <v>0.20300000000000001</v>
      </c>
      <c r="W53" s="435">
        <v>9</v>
      </c>
      <c r="X53" s="1015">
        <v>0.5</v>
      </c>
      <c r="Y53" s="430" t="s">
        <v>75</v>
      </c>
      <c r="Z53" s="430" t="s">
        <v>75</v>
      </c>
      <c r="AA53" s="430"/>
      <c r="AB53" s="437">
        <v>46035</v>
      </c>
      <c r="AC53" s="438">
        <v>3</v>
      </c>
      <c r="AD53" s="439" t="s">
        <v>374</v>
      </c>
      <c r="AE53" s="430"/>
      <c r="AF53" s="430" t="s">
        <v>122</v>
      </c>
      <c r="AG53" s="430" t="s">
        <v>123</v>
      </c>
      <c r="AH53" s="430" t="s">
        <v>356</v>
      </c>
      <c r="AI53" s="437">
        <v>46040</v>
      </c>
      <c r="AJ53" s="437">
        <v>46043</v>
      </c>
      <c r="AK53" s="441">
        <v>46043</v>
      </c>
      <c r="AL53" s="437">
        <v>46077</v>
      </c>
      <c r="AM53" s="437">
        <v>46077</v>
      </c>
      <c r="AN53" s="437">
        <v>46078</v>
      </c>
      <c r="AO53" s="430" t="s">
        <v>66</v>
      </c>
      <c r="AP53" s="430" t="s">
        <v>370</v>
      </c>
      <c r="AQ53" s="430" t="s">
        <v>80</v>
      </c>
      <c r="AR53" s="430" t="s">
        <v>371</v>
      </c>
      <c r="AS53" s="430" t="s">
        <v>372</v>
      </c>
      <c r="AT53" s="430" t="s">
        <v>372</v>
      </c>
      <c r="AU5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35</v>
      </c>
      <c r="AW53" s="437">
        <v>46078</v>
      </c>
      <c r="AX53" s="433" t="s">
        <v>84</v>
      </c>
      <c r="AY53" s="437">
        <v>46091</v>
      </c>
      <c r="AZ53" s="442">
        <v>8</v>
      </c>
      <c r="BA53" s="437">
        <v>46086</v>
      </c>
      <c r="BB53" s="433">
        <v>2026</v>
      </c>
      <c r="BC53" s="430">
        <v>3</v>
      </c>
      <c r="BD53" s="430">
        <v>10</v>
      </c>
      <c r="BE53" s="431">
        <v>36</v>
      </c>
      <c r="BF53" s="431">
        <v>720</v>
      </c>
      <c r="BG53" s="431" t="s">
        <v>128</v>
      </c>
      <c r="BH53" s="431" t="s">
        <v>109</v>
      </c>
      <c r="BI53" s="430" t="s">
        <v>197</v>
      </c>
      <c r="BJ53" s="430" t="s">
        <v>197</v>
      </c>
      <c r="BK53" s="430" t="s">
        <v>197</v>
      </c>
      <c r="BL53" s="430" t="s">
        <v>197</v>
      </c>
      <c r="BM53" s="430" t="s">
        <v>197</v>
      </c>
      <c r="BN53" s="430" t="s">
        <v>197</v>
      </c>
      <c r="BO53" s="430" t="s">
        <v>197</v>
      </c>
      <c r="BP53" s="430" t="s">
        <v>197</v>
      </c>
      <c r="BQ53" s="430" t="s">
        <v>197</v>
      </c>
      <c r="BR53" s="430" t="s">
        <v>197</v>
      </c>
      <c r="BS53" s="430" t="s">
        <v>197</v>
      </c>
      <c r="BT53" s="430" t="s">
        <v>197</v>
      </c>
      <c r="BU53" s="430" t="s">
        <v>197</v>
      </c>
      <c r="BV53" s="430" t="s">
        <v>197</v>
      </c>
      <c r="BW53" s="430" t="s">
        <v>197</v>
      </c>
      <c r="BX53" s="430" t="s">
        <v>197</v>
      </c>
      <c r="BY53" s="430" t="s">
        <v>197</v>
      </c>
      <c r="BZ53" s="430" t="s">
        <v>197</v>
      </c>
      <c r="CA53" s="430" t="s">
        <v>197</v>
      </c>
      <c r="CB53" s="430" t="s">
        <v>197</v>
      </c>
      <c r="CC53" s="430" t="s">
        <v>197</v>
      </c>
      <c r="CD53" s="430" t="s">
        <v>197</v>
      </c>
      <c r="CE53" s="430" t="s">
        <v>197</v>
      </c>
      <c r="CF53" s="430" t="s">
        <v>197</v>
      </c>
      <c r="CG53" s="430" t="s">
        <v>197</v>
      </c>
      <c r="CH53" s="430" t="s">
        <v>197</v>
      </c>
      <c r="CI53" s="430" t="s">
        <v>197</v>
      </c>
      <c r="CJ53" s="430" t="s">
        <v>197</v>
      </c>
      <c r="CK53" s="430" t="s">
        <v>197</v>
      </c>
      <c r="CL53" s="430" t="s">
        <v>197</v>
      </c>
      <c r="CM53" s="430" t="s">
        <v>197</v>
      </c>
    </row>
    <row r="54" spans="1:91" ht="10.5" hidden="1">
      <c r="A54" s="462" t="s">
        <v>375</v>
      </c>
      <c r="B54" s="462" t="s">
        <v>111</v>
      </c>
      <c r="C54" s="462" t="s">
        <v>376</v>
      </c>
      <c r="D54" s="462" t="s">
        <v>113</v>
      </c>
      <c r="E54" s="462" t="s">
        <v>64</v>
      </c>
      <c r="F54" s="462" t="s">
        <v>65</v>
      </c>
      <c r="G54" s="462" t="s">
        <v>66</v>
      </c>
      <c r="H54" s="462" t="s">
        <v>67</v>
      </c>
      <c r="I54" s="439" t="s">
        <v>68</v>
      </c>
      <c r="J54" s="430" t="s">
        <v>377</v>
      </c>
      <c r="K54" s="430" t="s">
        <v>328</v>
      </c>
      <c r="L54" s="430"/>
      <c r="M54" s="430" t="s">
        <v>68</v>
      </c>
      <c r="N54" s="432" t="s">
        <v>68</v>
      </c>
      <c r="O54" s="430" t="s">
        <v>70</v>
      </c>
      <c r="P54" s="430" t="s">
        <v>378</v>
      </c>
      <c r="Q54" s="430" t="s">
        <v>379</v>
      </c>
      <c r="R54" s="431" t="s">
        <v>73</v>
      </c>
      <c r="S54" s="442" t="s">
        <v>120</v>
      </c>
      <c r="T54" s="433">
        <v>620</v>
      </c>
      <c r="U54" s="1062">
        <v>324</v>
      </c>
      <c r="V54" s="434">
        <v>0.20100000000000001</v>
      </c>
      <c r="W54" s="435">
        <v>9</v>
      </c>
      <c r="X54" s="1015">
        <v>0.5</v>
      </c>
      <c r="Y54" s="430" t="s">
        <v>75</v>
      </c>
      <c r="Z54" s="430" t="s">
        <v>75</v>
      </c>
      <c r="AA54" s="430"/>
      <c r="AB54" s="437">
        <v>46035</v>
      </c>
      <c r="AC54" s="438">
        <v>3</v>
      </c>
      <c r="AD54" s="439" t="s">
        <v>380</v>
      </c>
      <c r="AE54" s="430"/>
      <c r="AF54" s="430" t="s">
        <v>122</v>
      </c>
      <c r="AG54" s="430" t="s">
        <v>123</v>
      </c>
      <c r="AH54" s="430" t="s">
        <v>356</v>
      </c>
      <c r="AI54" s="437">
        <v>46040</v>
      </c>
      <c r="AJ54" s="437">
        <v>46043</v>
      </c>
      <c r="AK54" s="441">
        <v>46043</v>
      </c>
      <c r="AL54" s="437">
        <v>46077</v>
      </c>
      <c r="AM54" s="437">
        <v>46077</v>
      </c>
      <c r="AN54" s="437">
        <v>46078</v>
      </c>
      <c r="AO54" s="430" t="s">
        <v>66</v>
      </c>
      <c r="AP54" s="430" t="s">
        <v>370</v>
      </c>
      <c r="AQ54" s="430" t="s">
        <v>80</v>
      </c>
      <c r="AR54" s="430" t="s">
        <v>371</v>
      </c>
      <c r="AS54" s="430" t="s">
        <v>372</v>
      </c>
      <c r="AT54" s="430" t="s">
        <v>372</v>
      </c>
      <c r="AU5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35</v>
      </c>
      <c r="AW54" s="437">
        <v>46078</v>
      </c>
      <c r="AX54" s="433" t="s">
        <v>84</v>
      </c>
      <c r="AY54" s="437">
        <v>46091</v>
      </c>
      <c r="AZ54" s="442">
        <v>8</v>
      </c>
      <c r="BA54" s="437">
        <v>46086</v>
      </c>
      <c r="BB54" s="433">
        <v>2026</v>
      </c>
      <c r="BC54" s="430">
        <v>3</v>
      </c>
      <c r="BD54" s="430">
        <v>10</v>
      </c>
      <c r="BE54" s="431">
        <v>36</v>
      </c>
      <c r="BF54" s="431">
        <v>720</v>
      </c>
      <c r="BG54" s="431" t="s">
        <v>128</v>
      </c>
      <c r="BH54" s="431" t="s">
        <v>109</v>
      </c>
      <c r="BI54" s="430" t="s">
        <v>197</v>
      </c>
      <c r="BJ54" s="430" t="s">
        <v>197</v>
      </c>
      <c r="BK54" s="430" t="s">
        <v>197</v>
      </c>
      <c r="BL54" s="430" t="s">
        <v>197</v>
      </c>
      <c r="BM54" s="430" t="s">
        <v>197</v>
      </c>
      <c r="BN54" s="430" t="s">
        <v>197</v>
      </c>
      <c r="BO54" s="430" t="s">
        <v>197</v>
      </c>
      <c r="BP54" s="430" t="s">
        <v>197</v>
      </c>
      <c r="BQ54" s="430" t="s">
        <v>197</v>
      </c>
      <c r="BR54" s="430" t="s">
        <v>197</v>
      </c>
      <c r="BS54" s="430" t="s">
        <v>197</v>
      </c>
      <c r="BT54" s="430" t="s">
        <v>197</v>
      </c>
      <c r="BU54" s="430" t="s">
        <v>197</v>
      </c>
      <c r="BV54" s="430" t="s">
        <v>197</v>
      </c>
      <c r="BW54" s="430" t="s">
        <v>197</v>
      </c>
      <c r="BX54" s="430" t="s">
        <v>197</v>
      </c>
      <c r="BY54" s="430" t="s">
        <v>197</v>
      </c>
      <c r="BZ54" s="430" t="s">
        <v>197</v>
      </c>
      <c r="CA54" s="430" t="s">
        <v>197</v>
      </c>
      <c r="CB54" s="430" t="s">
        <v>197</v>
      </c>
      <c r="CC54" s="430" t="s">
        <v>197</v>
      </c>
      <c r="CD54" s="430" t="s">
        <v>197</v>
      </c>
      <c r="CE54" s="430" t="s">
        <v>197</v>
      </c>
      <c r="CF54" s="430" t="s">
        <v>197</v>
      </c>
      <c r="CG54" s="430" t="s">
        <v>197</v>
      </c>
      <c r="CH54" s="430" t="s">
        <v>197</v>
      </c>
      <c r="CI54" s="430" t="s">
        <v>197</v>
      </c>
      <c r="CJ54" s="430" t="s">
        <v>197</v>
      </c>
      <c r="CK54" s="430" t="s">
        <v>197</v>
      </c>
      <c r="CL54" s="430" t="s">
        <v>197</v>
      </c>
      <c r="CM54" s="430" t="s">
        <v>197</v>
      </c>
    </row>
    <row r="55" spans="1:91" ht="10.5" hidden="1">
      <c r="A55" s="462" t="s">
        <v>381</v>
      </c>
      <c r="B55" s="462" t="s">
        <v>111</v>
      </c>
      <c r="C55" s="462" t="s">
        <v>187</v>
      </c>
      <c r="D55" s="462" t="s">
        <v>63</v>
      </c>
      <c r="E55" s="462" t="s">
        <v>64</v>
      </c>
      <c r="F55" s="462" t="s">
        <v>65</v>
      </c>
      <c r="G55" s="462" t="s">
        <v>66</v>
      </c>
      <c r="H55" s="462" t="s">
        <v>67</v>
      </c>
      <c r="I55" s="439" t="s">
        <v>68</v>
      </c>
      <c r="J55" s="430" t="s">
        <v>188</v>
      </c>
      <c r="K55" s="430"/>
      <c r="L55" s="430"/>
      <c r="M55" s="430" t="s">
        <v>68</v>
      </c>
      <c r="N55" s="432" t="s">
        <v>68</v>
      </c>
      <c r="O55" s="430" t="s">
        <v>132</v>
      </c>
      <c r="P55" s="430" t="s">
        <v>189</v>
      </c>
      <c r="Q55" s="430" t="s">
        <v>190</v>
      </c>
      <c r="R55" s="431" t="s">
        <v>73</v>
      </c>
      <c r="S55" s="442" t="s">
        <v>74</v>
      </c>
      <c r="T55" s="433">
        <v>465</v>
      </c>
      <c r="U55" s="1062">
        <v>1728</v>
      </c>
      <c r="V55" s="434">
        <v>0.80400000000000005</v>
      </c>
      <c r="W55" s="435">
        <v>48</v>
      </c>
      <c r="X55" s="1015">
        <v>2</v>
      </c>
      <c r="Y55" s="430" t="s">
        <v>75</v>
      </c>
      <c r="Z55" s="430" t="s">
        <v>75</v>
      </c>
      <c r="AA55" s="430"/>
      <c r="AB55" s="437">
        <v>46033</v>
      </c>
      <c r="AC55" s="438">
        <v>2</v>
      </c>
      <c r="AD55" s="439" t="s">
        <v>382</v>
      </c>
      <c r="AE55" s="430"/>
      <c r="AF55" s="430" t="s">
        <v>122</v>
      </c>
      <c r="AG55" s="430" t="s">
        <v>123</v>
      </c>
      <c r="AH55" s="430" t="s">
        <v>78</v>
      </c>
      <c r="AI55" s="437">
        <v>46042</v>
      </c>
      <c r="AJ55" s="437">
        <v>46044</v>
      </c>
      <c r="AK55" s="441">
        <v>46044</v>
      </c>
      <c r="AL55" s="437">
        <v>46085</v>
      </c>
      <c r="AM55" s="437">
        <v>46101</v>
      </c>
      <c r="AN55" s="437">
        <v>46102</v>
      </c>
      <c r="AO55" s="430" t="s">
        <v>66</v>
      </c>
      <c r="AP55" s="430" t="s">
        <v>383</v>
      </c>
      <c r="AQ55" s="430" t="s">
        <v>80</v>
      </c>
      <c r="AR55" s="430" t="s">
        <v>384</v>
      </c>
      <c r="AS55" s="430" t="s">
        <v>385</v>
      </c>
      <c r="AT55" s="430" t="s">
        <v>385</v>
      </c>
      <c r="AU5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W55" s="437">
        <v>46102</v>
      </c>
      <c r="AX55" s="433" t="s">
        <v>84</v>
      </c>
      <c r="AY55" s="437">
        <v>46115</v>
      </c>
      <c r="AZ55" s="442">
        <v>8</v>
      </c>
      <c r="BA55" s="437">
        <v>46110</v>
      </c>
      <c r="BB55" s="433">
        <v>2026</v>
      </c>
      <c r="BC55" s="430">
        <v>3</v>
      </c>
      <c r="BD55" s="430">
        <v>13</v>
      </c>
      <c r="BE55" s="431">
        <v>36</v>
      </c>
      <c r="BF55" s="431">
        <v>864</v>
      </c>
      <c r="BG55" s="431" t="s">
        <v>108</v>
      </c>
      <c r="BH55" s="431" t="s">
        <v>86</v>
      </c>
      <c r="BI55" s="430" t="s">
        <v>197</v>
      </c>
      <c r="BJ55" s="430" t="s">
        <v>197</v>
      </c>
      <c r="BK55" s="430" t="s">
        <v>197</v>
      </c>
      <c r="BL55" s="430" t="s">
        <v>197</v>
      </c>
      <c r="BM55" s="430" t="s">
        <v>197</v>
      </c>
      <c r="BN55" s="430" t="s">
        <v>197</v>
      </c>
      <c r="BO55" s="430" t="s">
        <v>197</v>
      </c>
      <c r="BP55" s="430" t="s">
        <v>197</v>
      </c>
      <c r="BQ55" s="430" t="s">
        <v>197</v>
      </c>
      <c r="BR55" s="430" t="s">
        <v>197</v>
      </c>
      <c r="BS55" s="430" t="s">
        <v>197</v>
      </c>
      <c r="BT55" s="430" t="s">
        <v>197</v>
      </c>
      <c r="BU55" s="430" t="s">
        <v>197</v>
      </c>
      <c r="BV55" s="430" t="s">
        <v>197</v>
      </c>
      <c r="BW55" s="430" t="s">
        <v>197</v>
      </c>
      <c r="BX55" s="430" t="s">
        <v>197</v>
      </c>
      <c r="BY55" s="430" t="s">
        <v>197</v>
      </c>
      <c r="BZ55" s="430" t="s">
        <v>197</v>
      </c>
      <c r="CA55" s="430" t="s">
        <v>197</v>
      </c>
      <c r="CB55" s="430" t="s">
        <v>197</v>
      </c>
      <c r="CC55" s="430" t="s">
        <v>197</v>
      </c>
      <c r="CD55" s="430" t="s">
        <v>197</v>
      </c>
      <c r="CE55" s="430" t="s">
        <v>197</v>
      </c>
      <c r="CF55" s="430" t="s">
        <v>197</v>
      </c>
      <c r="CG55" s="430" t="s">
        <v>197</v>
      </c>
      <c r="CH55" s="430" t="s">
        <v>197</v>
      </c>
      <c r="CI55" s="430" t="s">
        <v>197</v>
      </c>
      <c r="CJ55" s="430" t="s">
        <v>197</v>
      </c>
      <c r="CK55" s="430" t="s">
        <v>197</v>
      </c>
      <c r="CL55" s="430" t="s">
        <v>197</v>
      </c>
      <c r="CM55" s="430" t="s">
        <v>197</v>
      </c>
    </row>
    <row r="56" spans="1:91" ht="10.5" hidden="1">
      <c r="A56" s="462" t="s">
        <v>386</v>
      </c>
      <c r="B56" s="462" t="s">
        <v>111</v>
      </c>
      <c r="C56" s="462" t="s">
        <v>387</v>
      </c>
      <c r="D56" s="462" t="s">
        <v>63</v>
      </c>
      <c r="E56" s="462" t="s">
        <v>64</v>
      </c>
      <c r="F56" s="462" t="s">
        <v>65</v>
      </c>
      <c r="G56" s="462" t="s">
        <v>66</v>
      </c>
      <c r="H56" s="462" t="s">
        <v>67</v>
      </c>
      <c r="I56" s="439" t="s">
        <v>68</v>
      </c>
      <c r="J56" s="430" t="s">
        <v>188</v>
      </c>
      <c r="K56" s="430"/>
      <c r="L56" s="430"/>
      <c r="M56" s="430" t="s">
        <v>68</v>
      </c>
      <c r="N56" s="432" t="s">
        <v>68</v>
      </c>
      <c r="O56" s="430" t="s">
        <v>132</v>
      </c>
      <c r="P56" s="430" t="s">
        <v>189</v>
      </c>
      <c r="Q56" s="430" t="s">
        <v>190</v>
      </c>
      <c r="R56" s="431" t="s">
        <v>73</v>
      </c>
      <c r="S56" s="442" t="s">
        <v>74</v>
      </c>
      <c r="T56" s="433">
        <v>465</v>
      </c>
      <c r="U56" s="1062">
        <v>2592</v>
      </c>
      <c r="V56" s="434">
        <v>1.2050000000000001</v>
      </c>
      <c r="W56" s="435">
        <v>72</v>
      </c>
      <c r="X56" s="1015">
        <v>3</v>
      </c>
      <c r="Y56" s="430" t="s">
        <v>75</v>
      </c>
      <c r="Z56" s="430" t="s">
        <v>75</v>
      </c>
      <c r="AA56" s="430"/>
      <c r="AB56" s="437">
        <v>46033</v>
      </c>
      <c r="AC56" s="438">
        <v>2</v>
      </c>
      <c r="AD56" s="439" t="s">
        <v>388</v>
      </c>
      <c r="AE56" s="430"/>
      <c r="AF56" s="430" t="s">
        <v>122</v>
      </c>
      <c r="AG56" s="430" t="s">
        <v>123</v>
      </c>
      <c r="AH56" s="430" t="s">
        <v>78</v>
      </c>
      <c r="AI56" s="437">
        <v>46042</v>
      </c>
      <c r="AJ56" s="437">
        <v>46044</v>
      </c>
      <c r="AK56" s="441">
        <v>46044</v>
      </c>
      <c r="AL56" s="437">
        <v>46085</v>
      </c>
      <c r="AM56" s="437">
        <v>46101</v>
      </c>
      <c r="AN56" s="437">
        <v>46102</v>
      </c>
      <c r="AO56" s="430" t="s">
        <v>66</v>
      </c>
      <c r="AP56" s="430" t="s">
        <v>383</v>
      </c>
      <c r="AQ56" s="430" t="s">
        <v>80</v>
      </c>
      <c r="AR56" s="430" t="s">
        <v>384</v>
      </c>
      <c r="AS56" s="430" t="s">
        <v>385</v>
      </c>
      <c r="AT56" s="430" t="s">
        <v>385</v>
      </c>
      <c r="AU5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W56" s="437">
        <v>46102</v>
      </c>
      <c r="AX56" s="433" t="s">
        <v>84</v>
      </c>
      <c r="AY56" s="437">
        <v>46115</v>
      </c>
      <c r="AZ56" s="442">
        <v>8</v>
      </c>
      <c r="BA56" s="437">
        <v>46110</v>
      </c>
      <c r="BB56" s="433">
        <v>2026</v>
      </c>
      <c r="BC56" s="430">
        <v>3</v>
      </c>
      <c r="BD56" s="430">
        <v>13</v>
      </c>
      <c r="BE56" s="431">
        <v>36</v>
      </c>
      <c r="BF56" s="431">
        <v>864</v>
      </c>
      <c r="BG56" s="431" t="s">
        <v>108</v>
      </c>
      <c r="BH56" s="431" t="s">
        <v>86</v>
      </c>
      <c r="BI56" s="430" t="s">
        <v>197</v>
      </c>
      <c r="BJ56" s="430" t="s">
        <v>197</v>
      </c>
      <c r="BK56" s="430" t="s">
        <v>197</v>
      </c>
      <c r="BL56" s="430" t="s">
        <v>197</v>
      </c>
      <c r="BM56" s="430" t="s">
        <v>197</v>
      </c>
      <c r="BN56" s="430" t="s">
        <v>197</v>
      </c>
      <c r="BO56" s="430" t="s">
        <v>197</v>
      </c>
      <c r="BP56" s="430" t="s">
        <v>197</v>
      </c>
      <c r="BQ56" s="430" t="s">
        <v>197</v>
      </c>
      <c r="BR56" s="430" t="s">
        <v>197</v>
      </c>
      <c r="BS56" s="430" t="s">
        <v>197</v>
      </c>
      <c r="BT56" s="430" t="s">
        <v>197</v>
      </c>
      <c r="BU56" s="430" t="s">
        <v>197</v>
      </c>
      <c r="BV56" s="430" t="s">
        <v>197</v>
      </c>
      <c r="BW56" s="430" t="s">
        <v>197</v>
      </c>
      <c r="BX56" s="430" t="s">
        <v>197</v>
      </c>
      <c r="BY56" s="430" t="s">
        <v>197</v>
      </c>
      <c r="BZ56" s="430" t="s">
        <v>197</v>
      </c>
      <c r="CA56" s="430" t="s">
        <v>197</v>
      </c>
      <c r="CB56" s="430" t="s">
        <v>197</v>
      </c>
      <c r="CC56" s="430" t="s">
        <v>197</v>
      </c>
      <c r="CD56" s="430" t="s">
        <v>197</v>
      </c>
      <c r="CE56" s="430" t="s">
        <v>197</v>
      </c>
      <c r="CF56" s="430" t="s">
        <v>197</v>
      </c>
      <c r="CG56" s="430" t="s">
        <v>197</v>
      </c>
      <c r="CH56" s="430" t="s">
        <v>197</v>
      </c>
      <c r="CI56" s="430" t="s">
        <v>197</v>
      </c>
      <c r="CJ56" s="430" t="s">
        <v>197</v>
      </c>
      <c r="CK56" s="430" t="s">
        <v>197</v>
      </c>
      <c r="CL56" s="430" t="s">
        <v>197</v>
      </c>
      <c r="CM56" s="430" t="s">
        <v>197</v>
      </c>
    </row>
    <row r="57" spans="1:91" ht="10.5" hidden="1">
      <c r="A57" s="462" t="s">
        <v>389</v>
      </c>
      <c r="B57" s="462" t="s">
        <v>111</v>
      </c>
      <c r="C57" s="462" t="s">
        <v>387</v>
      </c>
      <c r="D57" s="462" t="s">
        <v>63</v>
      </c>
      <c r="E57" s="462" t="s">
        <v>64</v>
      </c>
      <c r="F57" s="462" t="s">
        <v>65</v>
      </c>
      <c r="G57" s="462" t="s">
        <v>66</v>
      </c>
      <c r="H57" s="462" t="s">
        <v>67</v>
      </c>
      <c r="I57" s="439" t="s">
        <v>68</v>
      </c>
      <c r="J57" s="430" t="s">
        <v>188</v>
      </c>
      <c r="K57" s="430"/>
      <c r="L57" s="430"/>
      <c r="M57" s="430" t="s">
        <v>68</v>
      </c>
      <c r="N57" s="432" t="s">
        <v>68</v>
      </c>
      <c r="O57" s="430" t="s">
        <v>132</v>
      </c>
      <c r="P57" s="430" t="s">
        <v>189</v>
      </c>
      <c r="Q57" s="430" t="s">
        <v>190</v>
      </c>
      <c r="R57" s="431" t="s">
        <v>73</v>
      </c>
      <c r="S57" s="442" t="s">
        <v>74</v>
      </c>
      <c r="T57" s="433">
        <v>465</v>
      </c>
      <c r="U57" s="1062">
        <v>1728</v>
      </c>
      <c r="V57" s="434">
        <v>0.80400000000000005</v>
      </c>
      <c r="W57" s="435">
        <v>48</v>
      </c>
      <c r="X57" s="1015">
        <v>2</v>
      </c>
      <c r="Y57" s="430" t="s">
        <v>75</v>
      </c>
      <c r="Z57" s="430" t="s">
        <v>75</v>
      </c>
      <c r="AA57" s="430"/>
      <c r="AB57" s="437">
        <v>46033</v>
      </c>
      <c r="AC57" s="438">
        <v>2</v>
      </c>
      <c r="AD57" s="439" t="s">
        <v>390</v>
      </c>
      <c r="AE57" s="430"/>
      <c r="AF57" s="430" t="s">
        <v>122</v>
      </c>
      <c r="AG57" s="430" t="s">
        <v>123</v>
      </c>
      <c r="AH57" s="430" t="s">
        <v>78</v>
      </c>
      <c r="AI57" s="437">
        <v>46042</v>
      </c>
      <c r="AJ57" s="437">
        <v>46044</v>
      </c>
      <c r="AK57" s="441">
        <v>46044</v>
      </c>
      <c r="AL57" s="437">
        <v>46085</v>
      </c>
      <c r="AM57" s="437">
        <v>46101</v>
      </c>
      <c r="AN57" s="437">
        <v>46102</v>
      </c>
      <c r="AO57" s="430" t="s">
        <v>66</v>
      </c>
      <c r="AP57" s="430" t="s">
        <v>383</v>
      </c>
      <c r="AQ57" s="430" t="s">
        <v>80</v>
      </c>
      <c r="AR57" s="430" t="s">
        <v>384</v>
      </c>
      <c r="AS57" s="430" t="s">
        <v>385</v>
      </c>
      <c r="AT57" s="430" t="s">
        <v>385</v>
      </c>
      <c r="AU5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W57" s="437">
        <v>46102</v>
      </c>
      <c r="AX57" s="433" t="s">
        <v>84</v>
      </c>
      <c r="AY57" s="437">
        <v>46115</v>
      </c>
      <c r="AZ57" s="442">
        <v>8</v>
      </c>
      <c r="BA57" s="437">
        <v>46110</v>
      </c>
      <c r="BB57" s="433">
        <v>2026</v>
      </c>
      <c r="BC57" s="430">
        <v>3</v>
      </c>
      <c r="BD57" s="430">
        <v>13</v>
      </c>
      <c r="BE57" s="431">
        <v>36</v>
      </c>
      <c r="BF57" s="431">
        <v>864</v>
      </c>
      <c r="BG57" s="431" t="s">
        <v>108</v>
      </c>
      <c r="BH57" s="431" t="s">
        <v>86</v>
      </c>
      <c r="BI57" s="430" t="s">
        <v>197</v>
      </c>
      <c r="BJ57" s="430" t="s">
        <v>197</v>
      </c>
      <c r="BK57" s="430" t="s">
        <v>197</v>
      </c>
      <c r="BL57" s="430" t="s">
        <v>197</v>
      </c>
      <c r="BM57" s="430" t="s">
        <v>197</v>
      </c>
      <c r="BN57" s="430" t="s">
        <v>197</v>
      </c>
      <c r="BO57" s="430" t="s">
        <v>197</v>
      </c>
      <c r="BP57" s="430" t="s">
        <v>197</v>
      </c>
      <c r="BQ57" s="430" t="s">
        <v>197</v>
      </c>
      <c r="BR57" s="430" t="s">
        <v>197</v>
      </c>
      <c r="BS57" s="430" t="s">
        <v>197</v>
      </c>
      <c r="BT57" s="430" t="s">
        <v>197</v>
      </c>
      <c r="BU57" s="430" t="s">
        <v>197</v>
      </c>
      <c r="BV57" s="430" t="s">
        <v>197</v>
      </c>
      <c r="BW57" s="430" t="s">
        <v>197</v>
      </c>
      <c r="BX57" s="430" t="s">
        <v>197</v>
      </c>
      <c r="BY57" s="430" t="s">
        <v>197</v>
      </c>
      <c r="BZ57" s="430" t="s">
        <v>197</v>
      </c>
      <c r="CA57" s="430" t="s">
        <v>197</v>
      </c>
      <c r="CB57" s="430" t="s">
        <v>197</v>
      </c>
      <c r="CC57" s="430" t="s">
        <v>197</v>
      </c>
      <c r="CD57" s="430" t="s">
        <v>197</v>
      </c>
      <c r="CE57" s="430" t="s">
        <v>197</v>
      </c>
      <c r="CF57" s="430" t="s">
        <v>197</v>
      </c>
      <c r="CG57" s="430" t="s">
        <v>197</v>
      </c>
      <c r="CH57" s="430" t="s">
        <v>197</v>
      </c>
      <c r="CI57" s="430" t="s">
        <v>197</v>
      </c>
      <c r="CJ57" s="430" t="s">
        <v>197</v>
      </c>
      <c r="CK57" s="430" t="s">
        <v>197</v>
      </c>
      <c r="CL57" s="430" t="s">
        <v>197</v>
      </c>
      <c r="CM57" s="430" t="s">
        <v>197</v>
      </c>
    </row>
    <row r="58" spans="1:91" ht="10.5" hidden="1">
      <c r="A58" s="462" t="s">
        <v>391</v>
      </c>
      <c r="B58" s="462" t="s">
        <v>111</v>
      </c>
      <c r="C58" s="462" t="s">
        <v>187</v>
      </c>
      <c r="D58" s="462" t="s">
        <v>63</v>
      </c>
      <c r="E58" s="462" t="s">
        <v>64</v>
      </c>
      <c r="F58" s="462" t="s">
        <v>100</v>
      </c>
      <c r="G58" s="462" t="s">
        <v>66</v>
      </c>
      <c r="H58" s="462" t="s">
        <v>67</v>
      </c>
      <c r="I58" s="439" t="s">
        <v>68</v>
      </c>
      <c r="J58" s="430" t="s">
        <v>101</v>
      </c>
      <c r="K58" s="430"/>
      <c r="L58" s="430"/>
      <c r="M58" s="430" t="s">
        <v>68</v>
      </c>
      <c r="N58" s="432" t="s">
        <v>68</v>
      </c>
      <c r="O58" s="430" t="s">
        <v>132</v>
      </c>
      <c r="P58" s="430" t="s">
        <v>189</v>
      </c>
      <c r="Q58" s="430" t="s">
        <v>190</v>
      </c>
      <c r="R58" s="431" t="s">
        <v>73</v>
      </c>
      <c r="S58" s="442" t="s">
        <v>74</v>
      </c>
      <c r="T58" s="433">
        <v>465</v>
      </c>
      <c r="U58" s="1062">
        <v>1728</v>
      </c>
      <c r="V58" s="434">
        <v>0.80400000000000005</v>
      </c>
      <c r="W58" s="435">
        <v>48</v>
      </c>
      <c r="X58" s="1015">
        <v>2</v>
      </c>
      <c r="Y58" s="430" t="s">
        <v>75</v>
      </c>
      <c r="Z58" s="430" t="s">
        <v>75</v>
      </c>
      <c r="AA58" s="430"/>
      <c r="AB58" s="437">
        <v>46039</v>
      </c>
      <c r="AC58" s="438">
        <v>3</v>
      </c>
      <c r="AD58" s="439" t="s">
        <v>392</v>
      </c>
      <c r="AE58" s="430"/>
      <c r="AF58" s="430" t="s">
        <v>122</v>
      </c>
      <c r="AG58" s="430" t="s">
        <v>123</v>
      </c>
      <c r="AH58" s="430" t="s">
        <v>105</v>
      </c>
      <c r="AI58" s="437">
        <v>46045</v>
      </c>
      <c r="AJ58" s="437">
        <v>46047</v>
      </c>
      <c r="AK58" s="441">
        <v>46047</v>
      </c>
      <c r="AL58" s="437">
        <v>46096</v>
      </c>
      <c r="AM58" s="437">
        <v>46111</v>
      </c>
      <c r="AN58" s="437">
        <v>46116</v>
      </c>
      <c r="AO58" s="430" t="s">
        <v>66</v>
      </c>
      <c r="AP58" s="430" t="s">
        <v>393</v>
      </c>
      <c r="AQ58" s="430" t="s">
        <v>80</v>
      </c>
      <c r="AR58" s="430" t="s">
        <v>394</v>
      </c>
      <c r="AS58" s="430" t="s">
        <v>395</v>
      </c>
      <c r="AT58" s="430" t="s">
        <v>395</v>
      </c>
      <c r="AU5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69</v>
      </c>
      <c r="AW58" s="437">
        <v>46116</v>
      </c>
      <c r="AX58" s="433" t="s">
        <v>84</v>
      </c>
      <c r="AY58" s="437">
        <v>46129</v>
      </c>
      <c r="AZ58" s="442">
        <v>7</v>
      </c>
      <c r="BA58" s="437">
        <v>46123</v>
      </c>
      <c r="BB58" s="433">
        <v>2026</v>
      </c>
      <c r="BC58" s="430">
        <v>4</v>
      </c>
      <c r="BD58" s="430">
        <v>15</v>
      </c>
      <c r="BE58" s="431">
        <v>36</v>
      </c>
      <c r="BF58" s="431">
        <v>864</v>
      </c>
      <c r="BG58" s="431" t="s">
        <v>108</v>
      </c>
      <c r="BH58" s="431" t="s">
        <v>109</v>
      </c>
      <c r="BI58" s="430" t="s">
        <v>197</v>
      </c>
      <c r="BJ58" s="430" t="s">
        <v>197</v>
      </c>
      <c r="BK58" s="430" t="s">
        <v>197</v>
      </c>
      <c r="BL58" s="430" t="s">
        <v>197</v>
      </c>
      <c r="BM58" s="430" t="s">
        <v>197</v>
      </c>
      <c r="BN58" s="430" t="s">
        <v>197</v>
      </c>
      <c r="BO58" s="430" t="s">
        <v>197</v>
      </c>
      <c r="BP58" s="430" t="s">
        <v>197</v>
      </c>
      <c r="BQ58" s="430" t="s">
        <v>197</v>
      </c>
      <c r="BR58" s="430" t="s">
        <v>197</v>
      </c>
      <c r="BS58" s="430" t="s">
        <v>197</v>
      </c>
      <c r="BT58" s="430" t="s">
        <v>197</v>
      </c>
      <c r="BU58" s="430" t="s">
        <v>197</v>
      </c>
      <c r="BV58" s="430" t="s">
        <v>197</v>
      </c>
      <c r="BW58" s="430" t="s">
        <v>197</v>
      </c>
      <c r="BX58" s="430" t="s">
        <v>197</v>
      </c>
      <c r="BY58" s="430" t="s">
        <v>197</v>
      </c>
      <c r="BZ58" s="430" t="s">
        <v>197</v>
      </c>
      <c r="CA58" s="430" t="s">
        <v>197</v>
      </c>
      <c r="CB58" s="430" t="s">
        <v>197</v>
      </c>
      <c r="CC58" s="430" t="s">
        <v>197</v>
      </c>
      <c r="CD58" s="430" t="s">
        <v>197</v>
      </c>
      <c r="CE58" s="430" t="s">
        <v>197</v>
      </c>
      <c r="CF58" s="430" t="s">
        <v>197</v>
      </c>
      <c r="CG58" s="430" t="s">
        <v>197</v>
      </c>
      <c r="CH58" s="430" t="s">
        <v>197</v>
      </c>
      <c r="CI58" s="430" t="s">
        <v>197</v>
      </c>
      <c r="CJ58" s="430" t="s">
        <v>197</v>
      </c>
      <c r="CK58" s="430" t="s">
        <v>197</v>
      </c>
      <c r="CL58" s="430" t="s">
        <v>197</v>
      </c>
      <c r="CM58" s="430" t="s">
        <v>197</v>
      </c>
    </row>
    <row r="59" spans="1:91" ht="10.5" hidden="1">
      <c r="A59" s="462" t="s">
        <v>396</v>
      </c>
      <c r="B59" s="462" t="s">
        <v>111</v>
      </c>
      <c r="C59" s="462" t="s">
        <v>112</v>
      </c>
      <c r="D59" s="462" t="s">
        <v>113</v>
      </c>
      <c r="E59" s="462" t="s">
        <v>64</v>
      </c>
      <c r="F59" s="462" t="s">
        <v>114</v>
      </c>
      <c r="G59" s="462" t="s">
        <v>66</v>
      </c>
      <c r="H59" s="462" t="s">
        <v>115</v>
      </c>
      <c r="I59" s="439" t="s">
        <v>68</v>
      </c>
      <c r="J59" s="430" t="s">
        <v>116</v>
      </c>
      <c r="K59" s="430" t="s">
        <v>266</v>
      </c>
      <c r="L59" s="430"/>
      <c r="M59" s="430" t="s">
        <v>68</v>
      </c>
      <c r="N59" s="432" t="s">
        <v>68</v>
      </c>
      <c r="O59" s="430" t="s">
        <v>70</v>
      </c>
      <c r="P59" s="430" t="s">
        <v>118</v>
      </c>
      <c r="Q59" s="430" t="s">
        <v>119</v>
      </c>
      <c r="R59" s="431" t="s">
        <v>73</v>
      </c>
      <c r="S59" s="442" t="s">
        <v>120</v>
      </c>
      <c r="T59" s="433">
        <v>640</v>
      </c>
      <c r="U59" s="1062">
        <v>1152</v>
      </c>
      <c r="V59" s="434">
        <v>0.73699999999999999</v>
      </c>
      <c r="W59" s="435">
        <v>32</v>
      </c>
      <c r="X59" s="1015">
        <v>2</v>
      </c>
      <c r="Y59" s="430" t="s">
        <v>75</v>
      </c>
      <c r="Z59" s="430" t="s">
        <v>75</v>
      </c>
      <c r="AA59" s="430"/>
      <c r="AB59" s="437">
        <v>46039</v>
      </c>
      <c r="AC59" s="438">
        <v>3</v>
      </c>
      <c r="AD59" s="439" t="s">
        <v>397</v>
      </c>
      <c r="AE59" s="430"/>
      <c r="AF59" s="430" t="s">
        <v>122</v>
      </c>
      <c r="AG59" s="430" t="s">
        <v>123</v>
      </c>
      <c r="AH59" s="430" t="s">
        <v>124</v>
      </c>
      <c r="AI59" s="437">
        <v>46043</v>
      </c>
      <c r="AJ59" s="437">
        <v>46046</v>
      </c>
      <c r="AK59" s="441">
        <v>46046</v>
      </c>
      <c r="AL59" s="437">
        <v>46081</v>
      </c>
      <c r="AM59" s="437">
        <v>46091</v>
      </c>
      <c r="AN59" s="437">
        <v>46092</v>
      </c>
      <c r="AO59" s="430" t="s">
        <v>66</v>
      </c>
      <c r="AP59" s="430" t="s">
        <v>398</v>
      </c>
      <c r="AQ59" s="430" t="s">
        <v>161</v>
      </c>
      <c r="AR59" s="430" t="s">
        <v>399</v>
      </c>
      <c r="AS59" s="430">
        <v>263794612</v>
      </c>
      <c r="AT59" s="430">
        <v>263794612</v>
      </c>
      <c r="AU5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59" s="437">
        <v>46092</v>
      </c>
      <c r="AX59" s="433" t="s">
        <v>84</v>
      </c>
      <c r="AY59" s="437">
        <v>46097</v>
      </c>
      <c r="AZ59" s="442">
        <v>9</v>
      </c>
      <c r="BA59" s="437">
        <v>46101</v>
      </c>
      <c r="BB59" s="433">
        <v>2026</v>
      </c>
      <c r="BC59" s="430">
        <v>3</v>
      </c>
      <c r="BD59" s="430">
        <v>12</v>
      </c>
      <c r="BE59" s="431">
        <v>36</v>
      </c>
      <c r="BF59" s="431">
        <v>576</v>
      </c>
      <c r="BG59" s="431" t="s">
        <v>128</v>
      </c>
      <c r="BH59" s="431" t="s">
        <v>86</v>
      </c>
      <c r="BI59" s="430" t="s">
        <v>197</v>
      </c>
      <c r="BJ59" s="430" t="s">
        <v>197</v>
      </c>
      <c r="BK59" s="430" t="s">
        <v>197</v>
      </c>
      <c r="BL59" s="430" t="s">
        <v>197</v>
      </c>
      <c r="BM59" s="430" t="s">
        <v>197</v>
      </c>
      <c r="BN59" s="430" t="s">
        <v>197</v>
      </c>
      <c r="BO59" s="430" t="s">
        <v>197</v>
      </c>
      <c r="BP59" s="430" t="s">
        <v>197</v>
      </c>
      <c r="BQ59" s="430" t="s">
        <v>197</v>
      </c>
      <c r="BR59" s="430" t="s">
        <v>197</v>
      </c>
      <c r="BS59" s="430" t="s">
        <v>197</v>
      </c>
      <c r="BT59" s="430" t="s">
        <v>197</v>
      </c>
      <c r="BU59" s="430" t="s">
        <v>197</v>
      </c>
      <c r="BV59" s="430" t="s">
        <v>197</v>
      </c>
      <c r="BW59" s="430" t="s">
        <v>197</v>
      </c>
      <c r="BX59" s="430" t="s">
        <v>197</v>
      </c>
      <c r="BY59" s="430" t="s">
        <v>197</v>
      </c>
      <c r="BZ59" s="430" t="s">
        <v>197</v>
      </c>
      <c r="CA59" s="430" t="s">
        <v>197</v>
      </c>
      <c r="CB59" s="430" t="s">
        <v>197</v>
      </c>
      <c r="CC59" s="430" t="s">
        <v>197</v>
      </c>
      <c r="CD59" s="430" t="s">
        <v>197</v>
      </c>
      <c r="CE59" s="430" t="s">
        <v>197</v>
      </c>
      <c r="CF59" s="430" t="s">
        <v>197</v>
      </c>
      <c r="CG59" s="430" t="s">
        <v>197</v>
      </c>
      <c r="CH59" s="430" t="s">
        <v>197</v>
      </c>
      <c r="CI59" s="430" t="s">
        <v>197</v>
      </c>
      <c r="CJ59" s="430" t="s">
        <v>197</v>
      </c>
      <c r="CK59" s="430" t="s">
        <v>197</v>
      </c>
      <c r="CL59" s="430" t="s">
        <v>197</v>
      </c>
      <c r="CM59" s="430" t="s">
        <v>197</v>
      </c>
    </row>
    <row r="60" spans="1:91" ht="10.5" hidden="1">
      <c r="A60" s="462" t="s">
        <v>400</v>
      </c>
      <c r="B60" s="462" t="s">
        <v>111</v>
      </c>
      <c r="C60" s="462" t="s">
        <v>401</v>
      </c>
      <c r="D60" s="462" t="s">
        <v>63</v>
      </c>
      <c r="E60" s="462" t="s">
        <v>144</v>
      </c>
      <c r="F60" s="462" t="s">
        <v>145</v>
      </c>
      <c r="G60" s="462" t="s">
        <v>402</v>
      </c>
      <c r="H60" s="462" t="s">
        <v>403</v>
      </c>
      <c r="I60" s="439" t="s">
        <v>68</v>
      </c>
      <c r="J60" s="430" t="s">
        <v>404</v>
      </c>
      <c r="K60" s="430"/>
      <c r="L60" s="430"/>
      <c r="M60" s="430" t="s">
        <v>68</v>
      </c>
      <c r="N60" s="432" t="s">
        <v>68</v>
      </c>
      <c r="O60" s="430" t="s">
        <v>132</v>
      </c>
      <c r="P60" s="430" t="s">
        <v>405</v>
      </c>
      <c r="Q60" s="430" t="s">
        <v>406</v>
      </c>
      <c r="R60" s="431" t="s">
        <v>73</v>
      </c>
      <c r="S60" s="442" t="s">
        <v>120</v>
      </c>
      <c r="T60" s="433">
        <v>510</v>
      </c>
      <c r="U60" s="1062">
        <v>2376</v>
      </c>
      <c r="V60" s="434">
        <v>1.212</v>
      </c>
      <c r="W60" s="435">
        <v>66</v>
      </c>
      <c r="X60" s="1015">
        <v>3</v>
      </c>
      <c r="Y60" s="430" t="s">
        <v>75</v>
      </c>
      <c r="Z60" s="430" t="s">
        <v>75</v>
      </c>
      <c r="AA60" s="430"/>
      <c r="AB60" s="437">
        <v>46035</v>
      </c>
      <c r="AC60" s="438">
        <v>3</v>
      </c>
      <c r="AD60" s="439" t="s">
        <v>407</v>
      </c>
      <c r="AE60" s="430"/>
      <c r="AF60" s="430" t="s">
        <v>122</v>
      </c>
      <c r="AG60" s="430" t="s">
        <v>123</v>
      </c>
      <c r="AH60" s="430" t="s">
        <v>124</v>
      </c>
      <c r="AI60" s="437">
        <v>46042</v>
      </c>
      <c r="AJ60" s="437">
        <v>46041</v>
      </c>
      <c r="AK60" s="441">
        <v>46041</v>
      </c>
      <c r="AL60" s="437">
        <v>46086</v>
      </c>
      <c r="AM60" s="437">
        <v>46079</v>
      </c>
      <c r="AN60" s="437">
        <v>46079</v>
      </c>
      <c r="AO60" s="430" t="s">
        <v>402</v>
      </c>
      <c r="AP60" s="430" t="s">
        <v>408</v>
      </c>
      <c r="AQ60" s="430" t="s">
        <v>80</v>
      </c>
      <c r="AR60" s="430" t="s">
        <v>409</v>
      </c>
      <c r="AS60" s="430" t="s">
        <v>410</v>
      </c>
      <c r="AT60" s="430" t="s">
        <v>410</v>
      </c>
      <c r="AU6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</v>
      </c>
      <c r="AW60" s="437">
        <v>46079</v>
      </c>
      <c r="AX60" s="433" t="s">
        <v>84</v>
      </c>
      <c r="AY60" s="437">
        <v>46086</v>
      </c>
      <c r="AZ60" s="442" t="s">
        <v>152</v>
      </c>
      <c r="BA60" s="437">
        <v>46079</v>
      </c>
      <c r="BB60" s="433">
        <v>2026</v>
      </c>
      <c r="BC60" s="430">
        <v>2</v>
      </c>
      <c r="BD60" s="430">
        <v>9</v>
      </c>
      <c r="BE60" s="431">
        <v>36</v>
      </c>
      <c r="BF60" s="431">
        <v>792</v>
      </c>
      <c r="BG60" s="431" t="s">
        <v>108</v>
      </c>
      <c r="BH60" s="431" t="s">
        <v>86</v>
      </c>
      <c r="BI60" s="430" t="s">
        <v>197</v>
      </c>
      <c r="BJ60" s="430" t="s">
        <v>197</v>
      </c>
      <c r="BK60" s="430" t="s">
        <v>197</v>
      </c>
      <c r="BL60" s="430" t="s">
        <v>197</v>
      </c>
      <c r="BM60" s="430" t="s">
        <v>197</v>
      </c>
      <c r="BN60" s="430" t="s">
        <v>197</v>
      </c>
      <c r="BO60" s="430" t="s">
        <v>197</v>
      </c>
      <c r="BP60" s="430" t="s">
        <v>197</v>
      </c>
      <c r="BQ60" s="430" t="s">
        <v>197</v>
      </c>
      <c r="BR60" s="430" t="s">
        <v>197</v>
      </c>
      <c r="BS60" s="430" t="s">
        <v>197</v>
      </c>
      <c r="BT60" s="430" t="s">
        <v>197</v>
      </c>
      <c r="BU60" s="430" t="s">
        <v>197</v>
      </c>
      <c r="BV60" s="430" t="s">
        <v>197</v>
      </c>
      <c r="BW60" s="430" t="s">
        <v>197</v>
      </c>
      <c r="BX60" s="430" t="s">
        <v>197</v>
      </c>
      <c r="BY60" s="430" t="s">
        <v>197</v>
      </c>
      <c r="BZ60" s="430" t="s">
        <v>197</v>
      </c>
      <c r="CA60" s="430" t="s">
        <v>197</v>
      </c>
      <c r="CB60" s="430" t="s">
        <v>197</v>
      </c>
      <c r="CC60" s="430" t="s">
        <v>197</v>
      </c>
      <c r="CD60" s="430" t="s">
        <v>197</v>
      </c>
      <c r="CE60" s="430" t="s">
        <v>197</v>
      </c>
      <c r="CF60" s="430" t="s">
        <v>197</v>
      </c>
      <c r="CG60" s="430" t="s">
        <v>197</v>
      </c>
      <c r="CH60" s="430" t="s">
        <v>197</v>
      </c>
      <c r="CI60" s="430" t="s">
        <v>197</v>
      </c>
      <c r="CJ60" s="430" t="s">
        <v>197</v>
      </c>
      <c r="CK60" s="430" t="s">
        <v>197</v>
      </c>
      <c r="CL60" s="430" t="s">
        <v>197</v>
      </c>
      <c r="CM60" s="430" t="s">
        <v>197</v>
      </c>
    </row>
    <row r="61" spans="1:91" ht="10.5" hidden="1">
      <c r="A61" s="462" t="s">
        <v>411</v>
      </c>
      <c r="B61" s="462" t="s">
        <v>111</v>
      </c>
      <c r="C61" s="462" t="s">
        <v>168</v>
      </c>
      <c r="D61" s="462" t="s">
        <v>63</v>
      </c>
      <c r="E61" s="462" t="s">
        <v>64</v>
      </c>
      <c r="F61" s="462" t="s">
        <v>65</v>
      </c>
      <c r="G61" s="462" t="s">
        <v>66</v>
      </c>
      <c r="H61" s="462" t="s">
        <v>67</v>
      </c>
      <c r="I61" s="439" t="s">
        <v>68</v>
      </c>
      <c r="J61" s="430" t="s">
        <v>232</v>
      </c>
      <c r="K61" s="430"/>
      <c r="L61" s="430"/>
      <c r="M61" s="430" t="s">
        <v>68</v>
      </c>
      <c r="N61" s="432" t="s">
        <v>68</v>
      </c>
      <c r="O61" s="430" t="s">
        <v>170</v>
      </c>
      <c r="P61" s="430" t="s">
        <v>171</v>
      </c>
      <c r="Q61" s="430" t="s">
        <v>172</v>
      </c>
      <c r="R61" s="431" t="s">
        <v>73</v>
      </c>
      <c r="S61" s="442" t="s">
        <v>120</v>
      </c>
      <c r="T61" s="433">
        <v>555</v>
      </c>
      <c r="U61" s="1062">
        <v>660</v>
      </c>
      <c r="V61" s="434">
        <v>0.36599999999999999</v>
      </c>
      <c r="W61" s="435">
        <v>20</v>
      </c>
      <c r="X61" s="1015">
        <v>1</v>
      </c>
      <c r="Y61" s="430" t="s">
        <v>75</v>
      </c>
      <c r="Z61" s="430" t="s">
        <v>75</v>
      </c>
      <c r="AA61" s="430"/>
      <c r="AB61" s="437">
        <v>46035</v>
      </c>
      <c r="AC61" s="438">
        <v>3</v>
      </c>
      <c r="AD61" s="439" t="s">
        <v>412</v>
      </c>
      <c r="AE61" s="430"/>
      <c r="AF61" s="430" t="s">
        <v>122</v>
      </c>
      <c r="AG61" s="430" t="s">
        <v>123</v>
      </c>
      <c r="AH61" s="430" t="s">
        <v>78</v>
      </c>
      <c r="AI61" s="437">
        <v>46042</v>
      </c>
      <c r="AJ61" s="437">
        <v>46041</v>
      </c>
      <c r="AK61" s="441">
        <v>46041</v>
      </c>
      <c r="AL61" s="437">
        <v>46091</v>
      </c>
      <c r="AM61" s="437">
        <v>46090</v>
      </c>
      <c r="AN61" s="437">
        <v>46090</v>
      </c>
      <c r="AO61" s="430" t="s">
        <v>66</v>
      </c>
      <c r="AP61" s="430" t="s">
        <v>408</v>
      </c>
      <c r="AQ61" s="430" t="s">
        <v>80</v>
      </c>
      <c r="AR61" s="430" t="s">
        <v>413</v>
      </c>
      <c r="AS61" s="430" t="s">
        <v>414</v>
      </c>
      <c r="AT61" s="430" t="s">
        <v>414</v>
      </c>
      <c r="AU6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W61" s="437">
        <v>46090</v>
      </c>
      <c r="AX61" s="433" t="s">
        <v>84</v>
      </c>
      <c r="AY61" s="437">
        <v>46104</v>
      </c>
      <c r="AZ61" s="442">
        <v>8</v>
      </c>
      <c r="BA61" s="437">
        <v>46098</v>
      </c>
      <c r="BB61" s="433">
        <v>2026</v>
      </c>
      <c r="BC61" s="430">
        <v>3</v>
      </c>
      <c r="BD61" s="430">
        <v>12</v>
      </c>
      <c r="BE61" s="431">
        <v>33</v>
      </c>
      <c r="BF61" s="431">
        <v>660</v>
      </c>
      <c r="BG61" s="431" t="s">
        <v>108</v>
      </c>
      <c r="BH61" s="431" t="s">
        <v>86</v>
      </c>
      <c r="BI61" s="430" t="s">
        <v>197</v>
      </c>
      <c r="BJ61" s="430" t="s">
        <v>197</v>
      </c>
      <c r="BK61" s="430" t="s">
        <v>197</v>
      </c>
      <c r="BL61" s="430" t="s">
        <v>197</v>
      </c>
      <c r="BM61" s="430" t="s">
        <v>197</v>
      </c>
      <c r="BN61" s="430" t="s">
        <v>197</v>
      </c>
      <c r="BO61" s="430" t="s">
        <v>197</v>
      </c>
      <c r="BP61" s="430" t="s">
        <v>197</v>
      </c>
      <c r="BQ61" s="430" t="s">
        <v>197</v>
      </c>
      <c r="BR61" s="430" t="s">
        <v>197</v>
      </c>
      <c r="BS61" s="430" t="s">
        <v>197</v>
      </c>
      <c r="BT61" s="430" t="s">
        <v>197</v>
      </c>
      <c r="BU61" s="430" t="s">
        <v>197</v>
      </c>
      <c r="BV61" s="430" t="s">
        <v>197</v>
      </c>
      <c r="BW61" s="430" t="s">
        <v>197</v>
      </c>
      <c r="BX61" s="430" t="s">
        <v>197</v>
      </c>
      <c r="BY61" s="430" t="s">
        <v>197</v>
      </c>
      <c r="BZ61" s="430" t="s">
        <v>197</v>
      </c>
      <c r="CA61" s="430" t="s">
        <v>197</v>
      </c>
      <c r="CB61" s="430" t="s">
        <v>197</v>
      </c>
      <c r="CC61" s="430" t="s">
        <v>197</v>
      </c>
      <c r="CD61" s="430" t="s">
        <v>197</v>
      </c>
      <c r="CE61" s="430" t="s">
        <v>197</v>
      </c>
      <c r="CF61" s="430" t="s">
        <v>197</v>
      </c>
      <c r="CG61" s="430" t="s">
        <v>197</v>
      </c>
      <c r="CH61" s="430" t="s">
        <v>197</v>
      </c>
      <c r="CI61" s="430" t="s">
        <v>197</v>
      </c>
      <c r="CJ61" s="430" t="s">
        <v>197</v>
      </c>
      <c r="CK61" s="430" t="s">
        <v>197</v>
      </c>
      <c r="CL61" s="430" t="s">
        <v>197</v>
      </c>
      <c r="CM61" s="430" t="s">
        <v>197</v>
      </c>
    </row>
    <row r="62" spans="1:91" ht="10.5" hidden="1">
      <c r="A62" s="462" t="s">
        <v>415</v>
      </c>
      <c r="B62" s="462" t="s">
        <v>111</v>
      </c>
      <c r="C62" s="462" t="s">
        <v>168</v>
      </c>
      <c r="D62" s="462" t="s">
        <v>63</v>
      </c>
      <c r="E62" s="462" t="s">
        <v>64</v>
      </c>
      <c r="F62" s="462" t="s">
        <v>65</v>
      </c>
      <c r="G62" s="462" t="s">
        <v>66</v>
      </c>
      <c r="H62" s="462" t="s">
        <v>67</v>
      </c>
      <c r="I62" s="439" t="s">
        <v>68</v>
      </c>
      <c r="J62" s="430" t="s">
        <v>232</v>
      </c>
      <c r="K62" s="430"/>
      <c r="L62" s="430"/>
      <c r="M62" s="430" t="s">
        <v>68</v>
      </c>
      <c r="N62" s="432" t="s">
        <v>68</v>
      </c>
      <c r="O62" s="430" t="s">
        <v>170</v>
      </c>
      <c r="P62" s="430" t="s">
        <v>171</v>
      </c>
      <c r="Q62" s="430" t="s">
        <v>172</v>
      </c>
      <c r="R62" s="431" t="s">
        <v>73</v>
      </c>
      <c r="S62" s="442" t="s">
        <v>120</v>
      </c>
      <c r="T62" s="433">
        <v>555</v>
      </c>
      <c r="U62" s="1062">
        <v>1320</v>
      </c>
      <c r="V62" s="434">
        <v>0.73299999999999998</v>
      </c>
      <c r="W62" s="435">
        <v>40</v>
      </c>
      <c r="X62" s="1015">
        <v>2</v>
      </c>
      <c r="Y62" s="430" t="s">
        <v>75</v>
      </c>
      <c r="Z62" s="430" t="s">
        <v>75</v>
      </c>
      <c r="AA62" s="430"/>
      <c r="AB62" s="437">
        <v>46035</v>
      </c>
      <c r="AC62" s="438">
        <v>3</v>
      </c>
      <c r="AD62" s="439" t="s">
        <v>416</v>
      </c>
      <c r="AE62" s="430"/>
      <c r="AF62" s="430" t="s">
        <v>122</v>
      </c>
      <c r="AG62" s="430" t="s">
        <v>123</v>
      </c>
      <c r="AH62" s="430" t="s">
        <v>78</v>
      </c>
      <c r="AI62" s="437">
        <v>46042</v>
      </c>
      <c r="AJ62" s="437">
        <v>46041</v>
      </c>
      <c r="AK62" s="441">
        <v>46041</v>
      </c>
      <c r="AL62" s="437">
        <v>46091</v>
      </c>
      <c r="AM62" s="437">
        <v>46090</v>
      </c>
      <c r="AN62" s="437">
        <v>46090</v>
      </c>
      <c r="AO62" s="430" t="s">
        <v>66</v>
      </c>
      <c r="AP62" s="430" t="s">
        <v>408</v>
      </c>
      <c r="AQ62" s="430" t="s">
        <v>80</v>
      </c>
      <c r="AR62" s="430" t="s">
        <v>413</v>
      </c>
      <c r="AS62" s="430" t="s">
        <v>414</v>
      </c>
      <c r="AT62" s="430" t="s">
        <v>414</v>
      </c>
      <c r="AU6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W62" s="437">
        <v>46090</v>
      </c>
      <c r="AX62" s="433" t="s">
        <v>84</v>
      </c>
      <c r="AY62" s="437">
        <v>46104</v>
      </c>
      <c r="AZ62" s="442">
        <v>8</v>
      </c>
      <c r="BA62" s="437">
        <v>46098</v>
      </c>
      <c r="BB62" s="433">
        <v>2026</v>
      </c>
      <c r="BC62" s="430">
        <v>3</v>
      </c>
      <c r="BD62" s="430">
        <v>12</v>
      </c>
      <c r="BE62" s="431">
        <v>33</v>
      </c>
      <c r="BF62" s="431">
        <v>660</v>
      </c>
      <c r="BG62" s="431" t="s">
        <v>108</v>
      </c>
      <c r="BH62" s="431" t="s">
        <v>86</v>
      </c>
      <c r="BI62" s="430" t="s">
        <v>197</v>
      </c>
      <c r="BJ62" s="430" t="s">
        <v>197</v>
      </c>
      <c r="BK62" s="430" t="s">
        <v>197</v>
      </c>
      <c r="BL62" s="430" t="s">
        <v>197</v>
      </c>
      <c r="BM62" s="430" t="s">
        <v>197</v>
      </c>
      <c r="BN62" s="430" t="s">
        <v>197</v>
      </c>
      <c r="BO62" s="430" t="s">
        <v>197</v>
      </c>
      <c r="BP62" s="430" t="s">
        <v>197</v>
      </c>
      <c r="BQ62" s="430" t="s">
        <v>197</v>
      </c>
      <c r="BR62" s="430" t="s">
        <v>197</v>
      </c>
      <c r="BS62" s="430" t="s">
        <v>197</v>
      </c>
      <c r="BT62" s="430" t="s">
        <v>197</v>
      </c>
      <c r="BU62" s="430" t="s">
        <v>197</v>
      </c>
      <c r="BV62" s="430" t="s">
        <v>197</v>
      </c>
      <c r="BW62" s="430" t="s">
        <v>197</v>
      </c>
      <c r="BX62" s="430" t="s">
        <v>197</v>
      </c>
      <c r="BY62" s="430" t="s">
        <v>197</v>
      </c>
      <c r="BZ62" s="430" t="s">
        <v>197</v>
      </c>
      <c r="CA62" s="430" t="s">
        <v>197</v>
      </c>
      <c r="CB62" s="430" t="s">
        <v>197</v>
      </c>
      <c r="CC62" s="430" t="s">
        <v>197</v>
      </c>
      <c r="CD62" s="430" t="s">
        <v>197</v>
      </c>
      <c r="CE62" s="430" t="s">
        <v>197</v>
      </c>
      <c r="CF62" s="430" t="s">
        <v>197</v>
      </c>
      <c r="CG62" s="430" t="s">
        <v>197</v>
      </c>
      <c r="CH62" s="430" t="s">
        <v>197</v>
      </c>
      <c r="CI62" s="430" t="s">
        <v>197</v>
      </c>
      <c r="CJ62" s="430" t="s">
        <v>197</v>
      </c>
      <c r="CK62" s="430" t="s">
        <v>197</v>
      </c>
      <c r="CL62" s="430" t="s">
        <v>197</v>
      </c>
      <c r="CM62" s="430" t="s">
        <v>197</v>
      </c>
    </row>
    <row r="63" spans="1:91" ht="10.5" hidden="1">
      <c r="A63" s="462" t="s">
        <v>417</v>
      </c>
      <c r="B63" s="462" t="s">
        <v>61</v>
      </c>
      <c r="C63" s="462" t="s">
        <v>418</v>
      </c>
      <c r="D63" s="462" t="s">
        <v>63</v>
      </c>
      <c r="E63" s="462" t="s">
        <v>64</v>
      </c>
      <c r="F63" s="462" t="s">
        <v>100</v>
      </c>
      <c r="G63" s="462" t="s">
        <v>66</v>
      </c>
      <c r="H63" s="462" t="s">
        <v>67</v>
      </c>
      <c r="I63" s="439" t="s">
        <v>68</v>
      </c>
      <c r="J63" s="430" t="s">
        <v>419</v>
      </c>
      <c r="K63" s="430"/>
      <c r="L63" s="430"/>
      <c r="M63" s="430" t="s">
        <v>68</v>
      </c>
      <c r="N63" s="432" t="s">
        <v>68</v>
      </c>
      <c r="O63" s="430" t="s">
        <v>70</v>
      </c>
      <c r="P63" s="430" t="s">
        <v>420</v>
      </c>
      <c r="Q63" s="430" t="s">
        <v>421</v>
      </c>
      <c r="R63" s="431" t="s">
        <v>73</v>
      </c>
      <c r="S63" s="442" t="s">
        <v>120</v>
      </c>
      <c r="T63" s="433">
        <v>505</v>
      </c>
      <c r="U63" s="1062">
        <v>1728</v>
      </c>
      <c r="V63" s="434">
        <v>0.873</v>
      </c>
      <c r="W63" s="435">
        <v>48</v>
      </c>
      <c r="X63" s="1015">
        <v>2</v>
      </c>
      <c r="Y63" s="430" t="s">
        <v>75</v>
      </c>
      <c r="Z63" s="430" t="s">
        <v>75</v>
      </c>
      <c r="AA63" s="430"/>
      <c r="AB63" s="437">
        <v>46031</v>
      </c>
      <c r="AC63" s="438">
        <v>2</v>
      </c>
      <c r="AD63" s="439" t="s">
        <v>422</v>
      </c>
      <c r="AE63" s="430"/>
      <c r="AF63" s="430" t="s">
        <v>77</v>
      </c>
      <c r="AG63" s="430" t="s">
        <v>61</v>
      </c>
      <c r="AH63" s="430" t="s">
        <v>105</v>
      </c>
      <c r="AI63" s="437">
        <v>46036</v>
      </c>
      <c r="AJ63" s="437">
        <v>46038</v>
      </c>
      <c r="AK63" s="441">
        <v>46038</v>
      </c>
      <c r="AL63" s="437">
        <v>46077</v>
      </c>
      <c r="AM63" s="437">
        <v>46094</v>
      </c>
      <c r="AN63" s="437">
        <v>46094</v>
      </c>
      <c r="AO63" s="430" t="s">
        <v>66</v>
      </c>
      <c r="AP63" s="430" t="s">
        <v>338</v>
      </c>
      <c r="AQ63" s="430" t="s">
        <v>80</v>
      </c>
      <c r="AR63" s="430" t="s">
        <v>423</v>
      </c>
      <c r="AS63" s="430" t="s">
        <v>424</v>
      </c>
      <c r="AT63" s="430" t="s">
        <v>424</v>
      </c>
      <c r="AU6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W63" s="437">
        <v>46094</v>
      </c>
      <c r="AX63" s="433" t="s">
        <v>84</v>
      </c>
      <c r="AY63" s="437">
        <v>46104</v>
      </c>
      <c r="AZ63" s="442">
        <v>7</v>
      </c>
      <c r="BA63" s="437">
        <v>46101</v>
      </c>
      <c r="BB63" s="433">
        <v>2026</v>
      </c>
      <c r="BC63" s="430">
        <v>3</v>
      </c>
      <c r="BD63" s="430">
        <v>12</v>
      </c>
      <c r="BE63" s="431">
        <v>36</v>
      </c>
      <c r="BF63" s="431">
        <v>864</v>
      </c>
      <c r="BG63" s="431" t="s">
        <v>85</v>
      </c>
      <c r="BH63" s="431" t="s">
        <v>109</v>
      </c>
      <c r="BI63" s="430" t="s">
        <v>197</v>
      </c>
      <c r="BJ63" s="430" t="s">
        <v>197</v>
      </c>
      <c r="BK63" s="430" t="s">
        <v>197</v>
      </c>
      <c r="BL63" s="430" t="s">
        <v>197</v>
      </c>
      <c r="BM63" s="430" t="s">
        <v>197</v>
      </c>
      <c r="BN63" s="430" t="s">
        <v>197</v>
      </c>
      <c r="BO63" s="430" t="s">
        <v>197</v>
      </c>
      <c r="BP63" s="430" t="s">
        <v>197</v>
      </c>
      <c r="BQ63" s="430" t="s">
        <v>197</v>
      </c>
      <c r="BR63" s="430" t="s">
        <v>197</v>
      </c>
      <c r="BS63" s="430" t="s">
        <v>197</v>
      </c>
      <c r="BT63" s="430" t="s">
        <v>197</v>
      </c>
      <c r="BU63" s="430" t="s">
        <v>197</v>
      </c>
      <c r="BV63" s="430" t="s">
        <v>197</v>
      </c>
      <c r="BW63" s="430" t="s">
        <v>197</v>
      </c>
      <c r="BX63" s="430" t="s">
        <v>197</v>
      </c>
      <c r="BY63" s="430" t="s">
        <v>197</v>
      </c>
      <c r="BZ63" s="430" t="s">
        <v>197</v>
      </c>
      <c r="CA63" s="430" t="s">
        <v>197</v>
      </c>
      <c r="CB63" s="430" t="s">
        <v>197</v>
      </c>
      <c r="CC63" s="430" t="s">
        <v>197</v>
      </c>
      <c r="CD63" s="430" t="s">
        <v>197</v>
      </c>
      <c r="CE63" s="430" t="s">
        <v>197</v>
      </c>
      <c r="CF63" s="430" t="s">
        <v>197</v>
      </c>
      <c r="CG63" s="430" t="s">
        <v>197</v>
      </c>
      <c r="CH63" s="430" t="s">
        <v>197</v>
      </c>
      <c r="CI63" s="430" t="s">
        <v>197</v>
      </c>
      <c r="CJ63" s="430" t="s">
        <v>197</v>
      </c>
      <c r="CK63" s="430" t="s">
        <v>197</v>
      </c>
      <c r="CL63" s="430" t="s">
        <v>197</v>
      </c>
      <c r="CM63" s="430" t="s">
        <v>197</v>
      </c>
    </row>
    <row r="64" spans="1:91" ht="10.5" hidden="1">
      <c r="A64" s="462" t="s">
        <v>425</v>
      </c>
      <c r="B64" s="462" t="s">
        <v>61</v>
      </c>
      <c r="C64" s="462" t="s">
        <v>326</v>
      </c>
      <c r="D64" s="462" t="s">
        <v>113</v>
      </c>
      <c r="E64" s="462" t="s">
        <v>64</v>
      </c>
      <c r="F64" s="462" t="s">
        <v>100</v>
      </c>
      <c r="G64" s="462" t="s">
        <v>66</v>
      </c>
      <c r="H64" s="462" t="s">
        <v>67</v>
      </c>
      <c r="I64" s="439" t="s">
        <v>68</v>
      </c>
      <c r="J64" s="430" t="s">
        <v>327</v>
      </c>
      <c r="K64" s="430" t="s">
        <v>328</v>
      </c>
      <c r="L64" s="430"/>
      <c r="M64" s="430" t="s">
        <v>68</v>
      </c>
      <c r="N64" s="432" t="s">
        <v>68</v>
      </c>
      <c r="O64" s="430" t="s">
        <v>70</v>
      </c>
      <c r="P64" s="430" t="s">
        <v>329</v>
      </c>
      <c r="Q64" s="430" t="s">
        <v>330</v>
      </c>
      <c r="R64" s="431" t="s">
        <v>331</v>
      </c>
      <c r="S64" s="442" t="s">
        <v>120</v>
      </c>
      <c r="T64" s="433">
        <v>625</v>
      </c>
      <c r="U64" s="1062">
        <v>7200</v>
      </c>
      <c r="V64" s="434">
        <v>4.5</v>
      </c>
      <c r="W64" s="435">
        <v>200</v>
      </c>
      <c r="X64" s="1015">
        <v>10</v>
      </c>
      <c r="Y64" s="430" t="s">
        <v>75</v>
      </c>
      <c r="Z64" s="430" t="s">
        <v>75</v>
      </c>
      <c r="AA64" s="430"/>
      <c r="AB64" s="437">
        <v>46034</v>
      </c>
      <c r="AC64" s="438">
        <v>3</v>
      </c>
      <c r="AD64" s="439" t="s">
        <v>426</v>
      </c>
      <c r="AE64" s="430"/>
      <c r="AF64" s="430" t="s">
        <v>77</v>
      </c>
      <c r="AG64" s="430" t="s">
        <v>61</v>
      </c>
      <c r="AH64" s="430" t="s">
        <v>105</v>
      </c>
      <c r="AI64" s="437">
        <v>46040</v>
      </c>
      <c r="AJ64" s="437">
        <v>46040</v>
      </c>
      <c r="AK64" s="441">
        <v>46040</v>
      </c>
      <c r="AL64" s="437">
        <v>46084</v>
      </c>
      <c r="AM64" s="437">
        <v>46103</v>
      </c>
      <c r="AN64" s="437">
        <v>46103</v>
      </c>
      <c r="AO64" s="430" t="s">
        <v>66</v>
      </c>
      <c r="AP64" s="430" t="s">
        <v>427</v>
      </c>
      <c r="AQ64" s="430" t="s">
        <v>161</v>
      </c>
      <c r="AR64" s="430" t="s">
        <v>428</v>
      </c>
      <c r="AS64" s="430" t="s">
        <v>429</v>
      </c>
      <c r="AT64" s="430" t="s">
        <v>429</v>
      </c>
      <c r="AU6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63</v>
      </c>
      <c r="AW64" s="437">
        <v>46103</v>
      </c>
      <c r="AX64" s="433" t="s">
        <v>84</v>
      </c>
      <c r="AY64" s="437">
        <v>46118</v>
      </c>
      <c r="AZ64" s="442">
        <v>7</v>
      </c>
      <c r="BA64" s="437">
        <v>46110</v>
      </c>
      <c r="BB64" s="433">
        <v>2026</v>
      </c>
      <c r="BC64" s="430">
        <v>3</v>
      </c>
      <c r="BD64" s="430">
        <v>13</v>
      </c>
      <c r="BE64" s="431">
        <v>36</v>
      </c>
      <c r="BF64" s="431">
        <v>720</v>
      </c>
      <c r="BG64" s="431" t="s">
        <v>128</v>
      </c>
      <c r="BH64" s="431" t="s">
        <v>109</v>
      </c>
      <c r="BI64" s="430" t="s">
        <v>197</v>
      </c>
      <c r="BJ64" s="430" t="s">
        <v>197</v>
      </c>
      <c r="BK64" s="430" t="s">
        <v>197</v>
      </c>
      <c r="BL64" s="430" t="s">
        <v>197</v>
      </c>
      <c r="BM64" s="430" t="s">
        <v>197</v>
      </c>
      <c r="BN64" s="430" t="s">
        <v>197</v>
      </c>
      <c r="BO64" s="430" t="s">
        <v>197</v>
      </c>
      <c r="BP64" s="430" t="s">
        <v>197</v>
      </c>
      <c r="BQ64" s="430" t="s">
        <v>197</v>
      </c>
      <c r="BR64" s="430" t="s">
        <v>197</v>
      </c>
      <c r="BS64" s="430" t="s">
        <v>197</v>
      </c>
      <c r="BT64" s="430" t="s">
        <v>197</v>
      </c>
      <c r="BU64" s="430" t="s">
        <v>197</v>
      </c>
      <c r="BV64" s="430" t="s">
        <v>197</v>
      </c>
      <c r="BW64" s="430" t="s">
        <v>197</v>
      </c>
      <c r="BX64" s="430" t="s">
        <v>197</v>
      </c>
      <c r="BY64" s="430" t="s">
        <v>197</v>
      </c>
      <c r="BZ64" s="430" t="s">
        <v>197</v>
      </c>
      <c r="CA64" s="430" t="s">
        <v>197</v>
      </c>
      <c r="CB64" s="430" t="s">
        <v>197</v>
      </c>
      <c r="CC64" s="430" t="s">
        <v>197</v>
      </c>
      <c r="CD64" s="430" t="s">
        <v>197</v>
      </c>
      <c r="CE64" s="430" t="s">
        <v>197</v>
      </c>
      <c r="CF64" s="430" t="s">
        <v>197</v>
      </c>
      <c r="CG64" s="430" t="s">
        <v>197</v>
      </c>
      <c r="CH64" s="430" t="s">
        <v>197</v>
      </c>
      <c r="CI64" s="430" t="s">
        <v>197</v>
      </c>
      <c r="CJ64" s="430" t="s">
        <v>197</v>
      </c>
      <c r="CK64" s="430" t="s">
        <v>197</v>
      </c>
      <c r="CL64" s="430" t="s">
        <v>197</v>
      </c>
      <c r="CM64" s="430" t="s">
        <v>197</v>
      </c>
    </row>
    <row r="65" spans="1:91" ht="10.5" hidden="1">
      <c r="A65" s="462" t="s">
        <v>430</v>
      </c>
      <c r="B65" s="462" t="s">
        <v>111</v>
      </c>
      <c r="C65" s="462" t="s">
        <v>352</v>
      </c>
      <c r="D65" s="462" t="s">
        <v>113</v>
      </c>
      <c r="E65" s="462" t="s">
        <v>64</v>
      </c>
      <c r="F65" s="462" t="s">
        <v>65</v>
      </c>
      <c r="G65" s="462" t="s">
        <v>66</v>
      </c>
      <c r="H65" s="462" t="s">
        <v>67</v>
      </c>
      <c r="I65" s="439" t="s">
        <v>68</v>
      </c>
      <c r="J65" s="430" t="s">
        <v>353</v>
      </c>
      <c r="K65" s="430" t="s">
        <v>354</v>
      </c>
      <c r="L65" s="430"/>
      <c r="M65" s="430" t="s">
        <v>68</v>
      </c>
      <c r="N65" s="432" t="s">
        <v>68</v>
      </c>
      <c r="O65" s="430" t="s">
        <v>70</v>
      </c>
      <c r="P65" s="430" t="s">
        <v>218</v>
      </c>
      <c r="Q65" s="430" t="s">
        <v>219</v>
      </c>
      <c r="R65" s="431" t="s">
        <v>73</v>
      </c>
      <c r="S65" s="442" t="s">
        <v>120</v>
      </c>
      <c r="T65" s="433">
        <v>625</v>
      </c>
      <c r="U65" s="1062">
        <v>2880</v>
      </c>
      <c r="V65" s="434">
        <v>1.8</v>
      </c>
      <c r="W65" s="435">
        <v>80</v>
      </c>
      <c r="X65" s="1015">
        <v>4</v>
      </c>
      <c r="Y65" s="430" t="s">
        <v>75</v>
      </c>
      <c r="Z65" s="430" t="s">
        <v>75</v>
      </c>
      <c r="AA65" s="430"/>
      <c r="AB65" s="437">
        <v>46041</v>
      </c>
      <c r="AC65" s="438">
        <v>4</v>
      </c>
      <c r="AD65" s="439" t="s">
        <v>431</v>
      </c>
      <c r="AE65" s="430"/>
      <c r="AF65" s="430" t="s">
        <v>122</v>
      </c>
      <c r="AG65" s="430" t="s">
        <v>123</v>
      </c>
      <c r="AH65" s="430" t="s">
        <v>356</v>
      </c>
      <c r="AI65" s="437">
        <v>46047</v>
      </c>
      <c r="AJ65" s="437">
        <v>46045</v>
      </c>
      <c r="AK65" s="441">
        <v>46045</v>
      </c>
      <c r="AL65" s="437">
        <v>46084</v>
      </c>
      <c r="AM65" s="437">
        <v>46092</v>
      </c>
      <c r="AN65" s="437">
        <v>46092</v>
      </c>
      <c r="AO65" s="430" t="s">
        <v>66</v>
      </c>
      <c r="AP65" s="430" t="s">
        <v>432</v>
      </c>
      <c r="AQ65" s="430" t="s">
        <v>161</v>
      </c>
      <c r="AR65" s="430" t="s">
        <v>433</v>
      </c>
      <c r="AS65" s="430" t="s">
        <v>434</v>
      </c>
      <c r="AT65" s="430" t="s">
        <v>434</v>
      </c>
      <c r="AU6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65" s="437">
        <v>46092</v>
      </c>
      <c r="AX65" s="433" t="s">
        <v>84</v>
      </c>
      <c r="AY65" s="437">
        <v>46105</v>
      </c>
      <c r="AZ65" s="442">
        <v>8</v>
      </c>
      <c r="BA65" s="437">
        <v>46100</v>
      </c>
      <c r="BB65" s="433">
        <v>2026</v>
      </c>
      <c r="BC65" s="430">
        <v>3</v>
      </c>
      <c r="BD65" s="430">
        <v>12</v>
      </c>
      <c r="BE65" s="431">
        <v>36</v>
      </c>
      <c r="BF65" s="431">
        <v>720</v>
      </c>
      <c r="BG65" s="431" t="s">
        <v>128</v>
      </c>
      <c r="BH65" s="431" t="s">
        <v>109</v>
      </c>
      <c r="BI65" s="430" t="s">
        <v>197</v>
      </c>
      <c r="BJ65" s="430" t="s">
        <v>197</v>
      </c>
      <c r="BK65" s="430" t="s">
        <v>197</v>
      </c>
      <c r="BL65" s="430" t="s">
        <v>197</v>
      </c>
      <c r="BM65" s="430" t="s">
        <v>197</v>
      </c>
      <c r="BN65" s="430" t="s">
        <v>197</v>
      </c>
      <c r="BO65" s="430" t="s">
        <v>197</v>
      </c>
      <c r="BP65" s="430" t="s">
        <v>197</v>
      </c>
      <c r="BQ65" s="430" t="s">
        <v>197</v>
      </c>
      <c r="BR65" s="430" t="s">
        <v>197</v>
      </c>
      <c r="BS65" s="430" t="s">
        <v>197</v>
      </c>
      <c r="BT65" s="430" t="s">
        <v>197</v>
      </c>
      <c r="BU65" s="430" t="s">
        <v>197</v>
      </c>
      <c r="BV65" s="430" t="s">
        <v>197</v>
      </c>
      <c r="BW65" s="430" t="s">
        <v>197</v>
      </c>
      <c r="BX65" s="430" t="s">
        <v>197</v>
      </c>
      <c r="BY65" s="430" t="s">
        <v>197</v>
      </c>
      <c r="BZ65" s="430" t="s">
        <v>197</v>
      </c>
      <c r="CA65" s="430" t="s">
        <v>197</v>
      </c>
      <c r="CB65" s="430" t="s">
        <v>197</v>
      </c>
      <c r="CC65" s="430" t="s">
        <v>197</v>
      </c>
      <c r="CD65" s="430" t="s">
        <v>197</v>
      </c>
      <c r="CE65" s="430" t="s">
        <v>197</v>
      </c>
      <c r="CF65" s="430" t="s">
        <v>197</v>
      </c>
      <c r="CG65" s="430" t="s">
        <v>197</v>
      </c>
      <c r="CH65" s="430" t="s">
        <v>197</v>
      </c>
      <c r="CI65" s="430" t="s">
        <v>197</v>
      </c>
      <c r="CJ65" s="430" t="s">
        <v>197</v>
      </c>
      <c r="CK65" s="430" t="s">
        <v>197</v>
      </c>
      <c r="CL65" s="430" t="s">
        <v>197</v>
      </c>
      <c r="CM65" s="430" t="s">
        <v>197</v>
      </c>
    </row>
    <row r="66" spans="1:91" ht="10.5" hidden="1">
      <c r="A66" s="462" t="s">
        <v>435</v>
      </c>
      <c r="B66" s="462" t="s">
        <v>111</v>
      </c>
      <c r="C66" s="462" t="s">
        <v>352</v>
      </c>
      <c r="D66" s="462" t="s">
        <v>113</v>
      </c>
      <c r="E66" s="462" t="s">
        <v>64</v>
      </c>
      <c r="F66" s="462" t="s">
        <v>65</v>
      </c>
      <c r="G66" s="462" t="s">
        <v>66</v>
      </c>
      <c r="H66" s="462" t="s">
        <v>67</v>
      </c>
      <c r="I66" s="439" t="s">
        <v>68</v>
      </c>
      <c r="J66" s="430" t="s">
        <v>353</v>
      </c>
      <c r="K66" s="430" t="s">
        <v>354</v>
      </c>
      <c r="L66" s="430"/>
      <c r="M66" s="430" t="s">
        <v>68</v>
      </c>
      <c r="N66" s="432" t="s">
        <v>68</v>
      </c>
      <c r="O66" s="430" t="s">
        <v>70</v>
      </c>
      <c r="P66" s="430" t="s">
        <v>218</v>
      </c>
      <c r="Q66" s="430" t="s">
        <v>219</v>
      </c>
      <c r="R66" s="431" t="s">
        <v>73</v>
      </c>
      <c r="S66" s="442" t="s">
        <v>120</v>
      </c>
      <c r="T66" s="433">
        <v>625</v>
      </c>
      <c r="U66" s="1062">
        <v>1440</v>
      </c>
      <c r="V66" s="434">
        <v>0.9</v>
      </c>
      <c r="W66" s="435">
        <v>40</v>
      </c>
      <c r="X66" s="1015">
        <v>2</v>
      </c>
      <c r="Y66" s="430" t="s">
        <v>75</v>
      </c>
      <c r="Z66" s="430" t="s">
        <v>75</v>
      </c>
      <c r="AA66" s="430"/>
      <c r="AB66" s="437">
        <v>46041</v>
      </c>
      <c r="AC66" s="438">
        <v>4</v>
      </c>
      <c r="AD66" s="439" t="s">
        <v>436</v>
      </c>
      <c r="AE66" s="430"/>
      <c r="AF66" s="430" t="s">
        <v>122</v>
      </c>
      <c r="AG66" s="430" t="s">
        <v>123</v>
      </c>
      <c r="AH66" s="430" t="s">
        <v>356</v>
      </c>
      <c r="AI66" s="437">
        <v>46047</v>
      </c>
      <c r="AJ66" s="437">
        <v>46045</v>
      </c>
      <c r="AK66" s="441">
        <v>46045</v>
      </c>
      <c r="AL66" s="437">
        <v>46084</v>
      </c>
      <c r="AM66" s="437">
        <v>46092</v>
      </c>
      <c r="AN66" s="437">
        <v>46092</v>
      </c>
      <c r="AO66" s="430" t="s">
        <v>66</v>
      </c>
      <c r="AP66" s="430" t="s">
        <v>432</v>
      </c>
      <c r="AQ66" s="430" t="s">
        <v>161</v>
      </c>
      <c r="AR66" s="430" t="s">
        <v>433</v>
      </c>
      <c r="AS66" s="430" t="s">
        <v>434</v>
      </c>
      <c r="AT66" s="430" t="s">
        <v>434</v>
      </c>
      <c r="AU6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66" s="437">
        <v>46092</v>
      </c>
      <c r="AX66" s="433" t="s">
        <v>84</v>
      </c>
      <c r="AY66" s="437">
        <v>46105</v>
      </c>
      <c r="AZ66" s="442">
        <v>8</v>
      </c>
      <c r="BA66" s="437">
        <v>46100</v>
      </c>
      <c r="BB66" s="433">
        <v>2026</v>
      </c>
      <c r="BC66" s="430">
        <v>3</v>
      </c>
      <c r="BD66" s="430">
        <v>12</v>
      </c>
      <c r="BE66" s="431">
        <v>36</v>
      </c>
      <c r="BF66" s="431">
        <v>720</v>
      </c>
      <c r="BG66" s="431" t="s">
        <v>128</v>
      </c>
      <c r="BH66" s="431" t="s">
        <v>109</v>
      </c>
      <c r="BI66" s="430" t="s">
        <v>197</v>
      </c>
      <c r="BJ66" s="430" t="s">
        <v>197</v>
      </c>
      <c r="BK66" s="430" t="s">
        <v>197</v>
      </c>
      <c r="BL66" s="430" t="s">
        <v>197</v>
      </c>
      <c r="BM66" s="430" t="s">
        <v>197</v>
      </c>
      <c r="BN66" s="430" t="s">
        <v>197</v>
      </c>
      <c r="BO66" s="430" t="s">
        <v>197</v>
      </c>
      <c r="BP66" s="430" t="s">
        <v>197</v>
      </c>
      <c r="BQ66" s="430" t="s">
        <v>197</v>
      </c>
      <c r="BR66" s="430" t="s">
        <v>197</v>
      </c>
      <c r="BS66" s="430" t="s">
        <v>197</v>
      </c>
      <c r="BT66" s="430" t="s">
        <v>197</v>
      </c>
      <c r="BU66" s="430" t="s">
        <v>197</v>
      </c>
      <c r="BV66" s="430" t="s">
        <v>197</v>
      </c>
      <c r="BW66" s="430" t="s">
        <v>197</v>
      </c>
      <c r="BX66" s="430" t="s">
        <v>197</v>
      </c>
      <c r="BY66" s="430" t="s">
        <v>197</v>
      </c>
      <c r="BZ66" s="430" t="s">
        <v>197</v>
      </c>
      <c r="CA66" s="430" t="s">
        <v>197</v>
      </c>
      <c r="CB66" s="430" t="s">
        <v>197</v>
      </c>
      <c r="CC66" s="430" t="s">
        <v>197</v>
      </c>
      <c r="CD66" s="430" t="s">
        <v>197</v>
      </c>
      <c r="CE66" s="430" t="s">
        <v>197</v>
      </c>
      <c r="CF66" s="430" t="s">
        <v>197</v>
      </c>
      <c r="CG66" s="430" t="s">
        <v>197</v>
      </c>
      <c r="CH66" s="430" t="s">
        <v>197</v>
      </c>
      <c r="CI66" s="430" t="s">
        <v>197</v>
      </c>
      <c r="CJ66" s="430" t="s">
        <v>197</v>
      </c>
      <c r="CK66" s="430" t="s">
        <v>197</v>
      </c>
      <c r="CL66" s="430" t="s">
        <v>197</v>
      </c>
      <c r="CM66" s="430" t="s">
        <v>197</v>
      </c>
    </row>
    <row r="67" spans="1:91" ht="10.5" hidden="1">
      <c r="A67" s="462" t="s">
        <v>437</v>
      </c>
      <c r="B67" s="462" t="s">
        <v>111</v>
      </c>
      <c r="C67" s="462" t="s">
        <v>215</v>
      </c>
      <c r="D67" s="462" t="s">
        <v>113</v>
      </c>
      <c r="E67" s="462" t="s">
        <v>64</v>
      </c>
      <c r="F67" s="462" t="s">
        <v>65</v>
      </c>
      <c r="G67" s="462" t="s">
        <v>66</v>
      </c>
      <c r="H67" s="462" t="s">
        <v>67</v>
      </c>
      <c r="I67" s="439" t="s">
        <v>68</v>
      </c>
      <c r="J67" s="430" t="s">
        <v>353</v>
      </c>
      <c r="K67" s="430" t="s">
        <v>438</v>
      </c>
      <c r="L67" s="430"/>
      <c r="M67" s="430" t="s">
        <v>68</v>
      </c>
      <c r="N67" s="432" t="s">
        <v>68</v>
      </c>
      <c r="O67" s="430" t="s">
        <v>70</v>
      </c>
      <c r="P67" s="430" t="s">
        <v>218</v>
      </c>
      <c r="Q67" s="430" t="s">
        <v>219</v>
      </c>
      <c r="R67" s="431" t="s">
        <v>73</v>
      </c>
      <c r="S67" s="442" t="s">
        <v>120</v>
      </c>
      <c r="T67" s="433">
        <v>625</v>
      </c>
      <c r="U67" s="1062">
        <v>2592</v>
      </c>
      <c r="V67" s="434">
        <v>1.62</v>
      </c>
      <c r="W67" s="435">
        <v>72</v>
      </c>
      <c r="X67" s="1015">
        <v>3.6</v>
      </c>
      <c r="Y67" s="430" t="s">
        <v>75</v>
      </c>
      <c r="Z67" s="430" t="s">
        <v>75</v>
      </c>
      <c r="AA67" s="430"/>
      <c r="AB67" s="437">
        <v>46041</v>
      </c>
      <c r="AC67" s="438">
        <v>4</v>
      </c>
      <c r="AD67" s="439" t="s">
        <v>439</v>
      </c>
      <c r="AE67" s="430"/>
      <c r="AF67" s="430" t="s">
        <v>122</v>
      </c>
      <c r="AG67" s="430" t="s">
        <v>123</v>
      </c>
      <c r="AH67" s="430" t="s">
        <v>356</v>
      </c>
      <c r="AI67" s="437">
        <v>46047</v>
      </c>
      <c r="AJ67" s="437">
        <v>46045</v>
      </c>
      <c r="AK67" s="441">
        <v>46045</v>
      </c>
      <c r="AL67" s="437">
        <v>46084</v>
      </c>
      <c r="AM67" s="437">
        <v>46092</v>
      </c>
      <c r="AN67" s="437">
        <v>46092</v>
      </c>
      <c r="AO67" s="430" t="s">
        <v>66</v>
      </c>
      <c r="AP67" s="430" t="s">
        <v>432</v>
      </c>
      <c r="AQ67" s="430" t="s">
        <v>161</v>
      </c>
      <c r="AR67" s="430" t="s">
        <v>433</v>
      </c>
      <c r="AS67" s="430" t="s">
        <v>434</v>
      </c>
      <c r="AT67" s="430" t="s">
        <v>434</v>
      </c>
      <c r="AU6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67" s="437">
        <v>46092</v>
      </c>
      <c r="AX67" s="433" t="s">
        <v>84</v>
      </c>
      <c r="AY67" s="437">
        <v>46105</v>
      </c>
      <c r="AZ67" s="442">
        <v>8</v>
      </c>
      <c r="BA67" s="437">
        <v>46100</v>
      </c>
      <c r="BB67" s="433">
        <v>2026</v>
      </c>
      <c r="BC67" s="430">
        <v>3</v>
      </c>
      <c r="BD67" s="430">
        <v>12</v>
      </c>
      <c r="BE67" s="431">
        <v>36</v>
      </c>
      <c r="BF67" s="431">
        <v>720</v>
      </c>
      <c r="BG67" s="431" t="s">
        <v>128</v>
      </c>
      <c r="BH67" s="431" t="s">
        <v>109</v>
      </c>
      <c r="BI67" s="430" t="s">
        <v>197</v>
      </c>
      <c r="BJ67" s="430" t="s">
        <v>197</v>
      </c>
      <c r="BK67" s="430" t="s">
        <v>197</v>
      </c>
      <c r="BL67" s="430" t="s">
        <v>197</v>
      </c>
      <c r="BM67" s="430" t="s">
        <v>197</v>
      </c>
      <c r="BN67" s="430" t="s">
        <v>197</v>
      </c>
      <c r="BO67" s="430" t="s">
        <v>197</v>
      </c>
      <c r="BP67" s="430" t="s">
        <v>197</v>
      </c>
      <c r="BQ67" s="430" t="s">
        <v>197</v>
      </c>
      <c r="BR67" s="430" t="s">
        <v>197</v>
      </c>
      <c r="BS67" s="430" t="s">
        <v>197</v>
      </c>
      <c r="BT67" s="430" t="s">
        <v>197</v>
      </c>
      <c r="BU67" s="430" t="s">
        <v>197</v>
      </c>
      <c r="BV67" s="430" t="s">
        <v>197</v>
      </c>
      <c r="BW67" s="430" t="s">
        <v>197</v>
      </c>
      <c r="BX67" s="430" t="s">
        <v>197</v>
      </c>
      <c r="BY67" s="430" t="s">
        <v>197</v>
      </c>
      <c r="BZ67" s="430" t="s">
        <v>197</v>
      </c>
      <c r="CA67" s="430" t="s">
        <v>197</v>
      </c>
      <c r="CB67" s="430" t="s">
        <v>197</v>
      </c>
      <c r="CC67" s="430" t="s">
        <v>197</v>
      </c>
      <c r="CD67" s="430" t="s">
        <v>197</v>
      </c>
      <c r="CE67" s="430" t="s">
        <v>197</v>
      </c>
      <c r="CF67" s="430" t="s">
        <v>197</v>
      </c>
      <c r="CG67" s="430" t="s">
        <v>197</v>
      </c>
      <c r="CH67" s="430" t="s">
        <v>197</v>
      </c>
      <c r="CI67" s="430" t="s">
        <v>197</v>
      </c>
      <c r="CJ67" s="430" t="s">
        <v>197</v>
      </c>
      <c r="CK67" s="430" t="s">
        <v>197</v>
      </c>
      <c r="CL67" s="430" t="s">
        <v>197</v>
      </c>
      <c r="CM67" s="430" t="s">
        <v>197</v>
      </c>
    </row>
    <row r="68" spans="1:91" ht="10.5" hidden="1">
      <c r="A68" s="462" t="s">
        <v>440</v>
      </c>
      <c r="B68" s="462" t="s">
        <v>111</v>
      </c>
      <c r="C68" s="462" t="s">
        <v>352</v>
      </c>
      <c r="D68" s="462" t="s">
        <v>113</v>
      </c>
      <c r="E68" s="462" t="s">
        <v>64</v>
      </c>
      <c r="F68" s="462" t="s">
        <v>65</v>
      </c>
      <c r="G68" s="462" t="s">
        <v>66</v>
      </c>
      <c r="H68" s="462" t="s">
        <v>67</v>
      </c>
      <c r="I68" s="439" t="s">
        <v>68</v>
      </c>
      <c r="J68" s="430" t="s">
        <v>353</v>
      </c>
      <c r="K68" s="430" t="s">
        <v>438</v>
      </c>
      <c r="L68" s="430"/>
      <c r="M68" s="430" t="s">
        <v>68</v>
      </c>
      <c r="N68" s="432" t="s">
        <v>68</v>
      </c>
      <c r="O68" s="430" t="s">
        <v>70</v>
      </c>
      <c r="P68" s="430" t="s">
        <v>218</v>
      </c>
      <c r="Q68" s="430" t="s">
        <v>219</v>
      </c>
      <c r="R68" s="431" t="s">
        <v>73</v>
      </c>
      <c r="S68" s="442" t="s">
        <v>120</v>
      </c>
      <c r="T68" s="433">
        <v>625</v>
      </c>
      <c r="U68" s="1062">
        <v>72</v>
      </c>
      <c r="V68" s="434">
        <v>4.4999999999999998E-2</v>
      </c>
      <c r="W68" s="435">
        <v>2</v>
      </c>
      <c r="X68" s="1015">
        <v>0.1</v>
      </c>
      <c r="Y68" s="430" t="s">
        <v>75</v>
      </c>
      <c r="Z68" s="430" t="s">
        <v>75</v>
      </c>
      <c r="AA68" s="430"/>
      <c r="AB68" s="437">
        <v>46041</v>
      </c>
      <c r="AC68" s="438">
        <v>4</v>
      </c>
      <c r="AD68" s="439" t="s">
        <v>441</v>
      </c>
      <c r="AE68" s="430"/>
      <c r="AF68" s="430" t="s">
        <v>122</v>
      </c>
      <c r="AG68" s="430" t="s">
        <v>123</v>
      </c>
      <c r="AH68" s="430" t="s">
        <v>356</v>
      </c>
      <c r="AI68" s="437">
        <v>45682</v>
      </c>
      <c r="AJ68" s="437">
        <v>46045</v>
      </c>
      <c r="AK68" s="441">
        <v>46045</v>
      </c>
      <c r="AL68" s="437">
        <v>46084</v>
      </c>
      <c r="AM68" s="437">
        <v>46092</v>
      </c>
      <c r="AN68" s="437">
        <v>46092</v>
      </c>
      <c r="AO68" s="430" t="s">
        <v>66</v>
      </c>
      <c r="AP68" s="430" t="s">
        <v>442</v>
      </c>
      <c r="AQ68" s="430" t="s">
        <v>161</v>
      </c>
      <c r="AR68" s="430" t="s">
        <v>433</v>
      </c>
      <c r="AS68" s="430" t="s">
        <v>434</v>
      </c>
      <c r="AT68" s="430" t="s">
        <v>434</v>
      </c>
      <c r="AU6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68" s="437">
        <v>46092</v>
      </c>
      <c r="AX68" s="433" t="s">
        <v>84</v>
      </c>
      <c r="AY68" s="437">
        <v>46105</v>
      </c>
      <c r="AZ68" s="442">
        <v>8</v>
      </c>
      <c r="BA68" s="437">
        <v>46100</v>
      </c>
      <c r="BB68" s="433">
        <v>2026</v>
      </c>
      <c r="BC68" s="430">
        <v>3</v>
      </c>
      <c r="BD68" s="430">
        <v>12</v>
      </c>
      <c r="BE68" s="431">
        <v>36</v>
      </c>
      <c r="BF68" s="431">
        <v>720</v>
      </c>
      <c r="BG68" s="431" t="s">
        <v>128</v>
      </c>
      <c r="BH68" s="431" t="s">
        <v>109</v>
      </c>
      <c r="BI68" s="430" t="s">
        <v>197</v>
      </c>
      <c r="BJ68" s="430" t="s">
        <v>197</v>
      </c>
      <c r="BK68" s="430" t="s">
        <v>197</v>
      </c>
      <c r="BL68" s="430" t="s">
        <v>197</v>
      </c>
      <c r="BM68" s="430" t="s">
        <v>197</v>
      </c>
      <c r="BN68" s="430" t="s">
        <v>197</v>
      </c>
      <c r="BO68" s="430" t="s">
        <v>197</v>
      </c>
      <c r="BP68" s="430" t="s">
        <v>197</v>
      </c>
      <c r="BQ68" s="430" t="s">
        <v>197</v>
      </c>
      <c r="BR68" s="430" t="s">
        <v>197</v>
      </c>
      <c r="BS68" s="430" t="s">
        <v>197</v>
      </c>
      <c r="BT68" s="430" t="s">
        <v>197</v>
      </c>
      <c r="BU68" s="430" t="s">
        <v>197</v>
      </c>
      <c r="BV68" s="430" t="s">
        <v>197</v>
      </c>
      <c r="BW68" s="430" t="s">
        <v>197</v>
      </c>
      <c r="BX68" s="430" t="s">
        <v>197</v>
      </c>
      <c r="BY68" s="430" t="s">
        <v>197</v>
      </c>
      <c r="BZ68" s="430" t="s">
        <v>197</v>
      </c>
      <c r="CA68" s="430" t="s">
        <v>197</v>
      </c>
      <c r="CB68" s="430" t="s">
        <v>197</v>
      </c>
      <c r="CC68" s="430" t="s">
        <v>197</v>
      </c>
      <c r="CD68" s="430" t="s">
        <v>197</v>
      </c>
      <c r="CE68" s="430" t="s">
        <v>197</v>
      </c>
      <c r="CF68" s="430" t="s">
        <v>197</v>
      </c>
      <c r="CG68" s="430" t="s">
        <v>197</v>
      </c>
      <c r="CH68" s="430" t="s">
        <v>197</v>
      </c>
      <c r="CI68" s="430" t="s">
        <v>197</v>
      </c>
      <c r="CJ68" s="430" t="s">
        <v>197</v>
      </c>
      <c r="CK68" s="430" t="s">
        <v>197</v>
      </c>
      <c r="CL68" s="430" t="s">
        <v>197</v>
      </c>
      <c r="CM68" s="430" t="s">
        <v>197</v>
      </c>
    </row>
    <row r="69" spans="1:91" ht="10.5" hidden="1">
      <c r="A69" s="462" t="s">
        <v>443</v>
      </c>
      <c r="B69" s="462" t="s">
        <v>111</v>
      </c>
      <c r="C69" s="462" t="s">
        <v>376</v>
      </c>
      <c r="D69" s="462" t="s">
        <v>113</v>
      </c>
      <c r="E69" s="462" t="s">
        <v>64</v>
      </c>
      <c r="F69" s="462" t="s">
        <v>65</v>
      </c>
      <c r="G69" s="462" t="s">
        <v>66</v>
      </c>
      <c r="H69" s="462" t="s">
        <v>67</v>
      </c>
      <c r="I69" s="439" t="s">
        <v>68</v>
      </c>
      <c r="J69" s="430" t="s">
        <v>377</v>
      </c>
      <c r="K69" s="430" t="s">
        <v>328</v>
      </c>
      <c r="L69" s="430"/>
      <c r="M69" s="430" t="s">
        <v>68</v>
      </c>
      <c r="N69" s="432" t="s">
        <v>68</v>
      </c>
      <c r="O69" s="430" t="s">
        <v>70</v>
      </c>
      <c r="P69" s="430" t="s">
        <v>378</v>
      </c>
      <c r="Q69" s="430" t="s">
        <v>379</v>
      </c>
      <c r="R69" s="431" t="s">
        <v>73</v>
      </c>
      <c r="S69" s="442" t="s">
        <v>120</v>
      </c>
      <c r="T69" s="433">
        <v>620</v>
      </c>
      <c r="U69" s="1062">
        <v>216</v>
      </c>
      <c r="V69" s="434">
        <v>0.13400000000000001</v>
      </c>
      <c r="W69" s="435">
        <v>6</v>
      </c>
      <c r="X69" s="1015">
        <v>0.3</v>
      </c>
      <c r="Y69" s="430" t="s">
        <v>75</v>
      </c>
      <c r="Z69" s="430" t="s">
        <v>75</v>
      </c>
      <c r="AA69" s="430"/>
      <c r="AB69" s="437">
        <v>46041</v>
      </c>
      <c r="AC69" s="438">
        <v>4</v>
      </c>
      <c r="AD69" s="439" t="s">
        <v>444</v>
      </c>
      <c r="AE69" s="430"/>
      <c r="AF69" s="430" t="s">
        <v>122</v>
      </c>
      <c r="AG69" s="430" t="s">
        <v>123</v>
      </c>
      <c r="AH69" s="430" t="s">
        <v>356</v>
      </c>
      <c r="AI69" s="437">
        <v>45682</v>
      </c>
      <c r="AJ69" s="437">
        <v>46045</v>
      </c>
      <c r="AK69" s="441">
        <v>46045</v>
      </c>
      <c r="AL69" s="437">
        <v>46084</v>
      </c>
      <c r="AM69" s="437">
        <v>46092</v>
      </c>
      <c r="AN69" s="437">
        <v>46092</v>
      </c>
      <c r="AO69" s="430" t="s">
        <v>66</v>
      </c>
      <c r="AP69" s="430" t="s">
        <v>442</v>
      </c>
      <c r="AQ69" s="430" t="s">
        <v>161</v>
      </c>
      <c r="AR69" s="430" t="s">
        <v>433</v>
      </c>
      <c r="AS69" s="430" t="s">
        <v>434</v>
      </c>
      <c r="AT69" s="430" t="s">
        <v>434</v>
      </c>
      <c r="AU6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69" s="437">
        <v>46092</v>
      </c>
      <c r="AX69" s="433" t="s">
        <v>84</v>
      </c>
      <c r="AY69" s="437">
        <v>46105</v>
      </c>
      <c r="AZ69" s="442">
        <v>8</v>
      </c>
      <c r="BA69" s="437">
        <v>46100</v>
      </c>
      <c r="BB69" s="433">
        <v>2026</v>
      </c>
      <c r="BC69" s="430">
        <v>3</v>
      </c>
      <c r="BD69" s="430">
        <v>12</v>
      </c>
      <c r="BE69" s="431">
        <v>36</v>
      </c>
      <c r="BF69" s="431">
        <v>720</v>
      </c>
      <c r="BG69" s="431" t="s">
        <v>128</v>
      </c>
      <c r="BH69" s="431" t="s">
        <v>109</v>
      </c>
      <c r="BI69" s="430" t="s">
        <v>197</v>
      </c>
      <c r="BJ69" s="430" t="s">
        <v>197</v>
      </c>
      <c r="BK69" s="430" t="s">
        <v>197</v>
      </c>
      <c r="BL69" s="430" t="s">
        <v>197</v>
      </c>
      <c r="BM69" s="430" t="s">
        <v>197</v>
      </c>
      <c r="BN69" s="430" t="s">
        <v>197</v>
      </c>
      <c r="BO69" s="430" t="s">
        <v>197</v>
      </c>
      <c r="BP69" s="430" t="s">
        <v>197</v>
      </c>
      <c r="BQ69" s="430" t="s">
        <v>197</v>
      </c>
      <c r="BR69" s="430" t="s">
        <v>197</v>
      </c>
      <c r="BS69" s="430" t="s">
        <v>197</v>
      </c>
      <c r="BT69" s="430" t="s">
        <v>197</v>
      </c>
      <c r="BU69" s="430" t="s">
        <v>197</v>
      </c>
      <c r="BV69" s="430" t="s">
        <v>197</v>
      </c>
      <c r="BW69" s="430" t="s">
        <v>197</v>
      </c>
      <c r="BX69" s="430" t="s">
        <v>197</v>
      </c>
      <c r="BY69" s="430" t="s">
        <v>197</v>
      </c>
      <c r="BZ69" s="430" t="s">
        <v>197</v>
      </c>
      <c r="CA69" s="430" t="s">
        <v>197</v>
      </c>
      <c r="CB69" s="430" t="s">
        <v>197</v>
      </c>
      <c r="CC69" s="430" t="s">
        <v>197</v>
      </c>
      <c r="CD69" s="430" t="s">
        <v>197</v>
      </c>
      <c r="CE69" s="430" t="s">
        <v>197</v>
      </c>
      <c r="CF69" s="430" t="s">
        <v>197</v>
      </c>
      <c r="CG69" s="430" t="s">
        <v>197</v>
      </c>
      <c r="CH69" s="430" t="s">
        <v>197</v>
      </c>
      <c r="CI69" s="430" t="s">
        <v>197</v>
      </c>
      <c r="CJ69" s="430" t="s">
        <v>197</v>
      </c>
      <c r="CK69" s="430" t="s">
        <v>197</v>
      </c>
      <c r="CL69" s="430" t="s">
        <v>197</v>
      </c>
      <c r="CM69" s="430" t="s">
        <v>197</v>
      </c>
    </row>
    <row r="70" spans="1:91" ht="10.5" hidden="1">
      <c r="A70" s="462" t="s">
        <v>352</v>
      </c>
      <c r="B70" s="462" t="s">
        <v>111</v>
      </c>
      <c r="C70" s="462" t="s">
        <v>203</v>
      </c>
      <c r="D70" s="462" t="s">
        <v>113</v>
      </c>
      <c r="E70" s="462" t="s">
        <v>64</v>
      </c>
      <c r="F70" s="462" t="s">
        <v>65</v>
      </c>
      <c r="G70" s="462" t="s">
        <v>66</v>
      </c>
      <c r="H70" s="462" t="s">
        <v>67</v>
      </c>
      <c r="I70" s="439" t="s">
        <v>68</v>
      </c>
      <c r="J70" s="430" t="s">
        <v>353</v>
      </c>
      <c r="K70" s="430" t="s">
        <v>438</v>
      </c>
      <c r="L70" s="430"/>
      <c r="M70" s="430" t="s">
        <v>68</v>
      </c>
      <c r="N70" s="432" t="s">
        <v>68</v>
      </c>
      <c r="O70" s="430" t="s">
        <v>70</v>
      </c>
      <c r="P70" s="430" t="s">
        <v>218</v>
      </c>
      <c r="Q70" s="430" t="s">
        <v>219</v>
      </c>
      <c r="R70" s="431" t="s">
        <v>73</v>
      </c>
      <c r="S70" s="442" t="s">
        <v>120</v>
      </c>
      <c r="T70" s="433">
        <v>625</v>
      </c>
      <c r="U70" s="1062">
        <v>720</v>
      </c>
      <c r="V70" s="434">
        <v>0.45</v>
      </c>
      <c r="W70" s="435">
        <v>20</v>
      </c>
      <c r="X70" s="1015">
        <v>1</v>
      </c>
      <c r="Y70" s="430" t="s">
        <v>75</v>
      </c>
      <c r="Z70" s="430" t="s">
        <v>75</v>
      </c>
      <c r="AA70" s="430"/>
      <c r="AB70" s="437">
        <v>46041</v>
      </c>
      <c r="AC70" s="438">
        <v>4</v>
      </c>
      <c r="AD70" s="439" t="s">
        <v>445</v>
      </c>
      <c r="AE70" s="430"/>
      <c r="AF70" s="430" t="s">
        <v>122</v>
      </c>
      <c r="AG70" s="430" t="s">
        <v>123</v>
      </c>
      <c r="AH70" s="430" t="s">
        <v>356</v>
      </c>
      <c r="AI70" s="437">
        <v>45682</v>
      </c>
      <c r="AJ70" s="437">
        <v>46045</v>
      </c>
      <c r="AK70" s="441">
        <v>46045</v>
      </c>
      <c r="AL70" s="437">
        <v>46084</v>
      </c>
      <c r="AM70" s="437">
        <v>46086</v>
      </c>
      <c r="AN70" s="437">
        <v>46086</v>
      </c>
      <c r="AO70" s="430" t="s">
        <v>66</v>
      </c>
      <c r="AP70" s="430" t="s">
        <v>442</v>
      </c>
      <c r="AQ70" s="430" t="s">
        <v>80</v>
      </c>
      <c r="AR70" s="430" t="s">
        <v>446</v>
      </c>
      <c r="AS70" s="430" t="s">
        <v>447</v>
      </c>
      <c r="AT70" s="430" t="s">
        <v>447</v>
      </c>
      <c r="AU7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W70" s="437">
        <v>46086</v>
      </c>
      <c r="AX70" s="433" t="s">
        <v>84</v>
      </c>
      <c r="AY70" s="437">
        <v>46099</v>
      </c>
      <c r="AZ70" s="442">
        <v>8</v>
      </c>
      <c r="BA70" s="437">
        <v>46094</v>
      </c>
      <c r="BB70" s="433">
        <v>2026</v>
      </c>
      <c r="BC70" s="430">
        <v>3</v>
      </c>
      <c r="BD70" s="430">
        <v>11</v>
      </c>
      <c r="BE70" s="431">
        <v>36</v>
      </c>
      <c r="BF70" s="431">
        <v>720</v>
      </c>
      <c r="BG70" s="431" t="s">
        <v>128</v>
      </c>
      <c r="BH70" s="431" t="s">
        <v>109</v>
      </c>
      <c r="BI70" s="430" t="s">
        <v>197</v>
      </c>
      <c r="BJ70" s="430" t="s">
        <v>197</v>
      </c>
      <c r="BK70" s="430" t="s">
        <v>197</v>
      </c>
      <c r="BL70" s="430" t="s">
        <v>197</v>
      </c>
      <c r="BM70" s="430" t="s">
        <v>197</v>
      </c>
      <c r="BN70" s="430" t="s">
        <v>197</v>
      </c>
      <c r="BO70" s="430" t="s">
        <v>197</v>
      </c>
      <c r="BP70" s="430" t="s">
        <v>197</v>
      </c>
      <c r="BQ70" s="430" t="s">
        <v>197</v>
      </c>
      <c r="BR70" s="430" t="s">
        <v>197</v>
      </c>
      <c r="BS70" s="430" t="s">
        <v>197</v>
      </c>
      <c r="BT70" s="430" t="s">
        <v>197</v>
      </c>
      <c r="BU70" s="430" t="s">
        <v>197</v>
      </c>
      <c r="BV70" s="430" t="s">
        <v>197</v>
      </c>
      <c r="BW70" s="430" t="s">
        <v>197</v>
      </c>
      <c r="BX70" s="430" t="s">
        <v>197</v>
      </c>
      <c r="BY70" s="430" t="s">
        <v>197</v>
      </c>
      <c r="BZ70" s="430" t="s">
        <v>197</v>
      </c>
      <c r="CA70" s="430" t="s">
        <v>197</v>
      </c>
      <c r="CB70" s="430" t="s">
        <v>197</v>
      </c>
      <c r="CC70" s="430" t="s">
        <v>197</v>
      </c>
      <c r="CD70" s="430" t="s">
        <v>197</v>
      </c>
      <c r="CE70" s="430" t="s">
        <v>197</v>
      </c>
      <c r="CF70" s="430" t="s">
        <v>197</v>
      </c>
      <c r="CG70" s="430" t="s">
        <v>197</v>
      </c>
      <c r="CH70" s="430" t="s">
        <v>197</v>
      </c>
      <c r="CI70" s="430" t="s">
        <v>197</v>
      </c>
      <c r="CJ70" s="430" t="s">
        <v>197</v>
      </c>
      <c r="CK70" s="430" t="s">
        <v>197</v>
      </c>
      <c r="CL70" s="430" t="s">
        <v>197</v>
      </c>
      <c r="CM70" s="430" t="s">
        <v>197</v>
      </c>
    </row>
    <row r="71" spans="1:91" ht="10.5" hidden="1">
      <c r="A71" s="462" t="s">
        <v>448</v>
      </c>
      <c r="B71" s="462" t="s">
        <v>111</v>
      </c>
      <c r="C71" s="462" t="s">
        <v>449</v>
      </c>
      <c r="D71" s="462" t="s">
        <v>63</v>
      </c>
      <c r="E71" s="462" t="s">
        <v>64</v>
      </c>
      <c r="F71" s="462" t="s">
        <v>450</v>
      </c>
      <c r="G71" s="462" t="s">
        <v>66</v>
      </c>
      <c r="H71" s="462" t="s">
        <v>451</v>
      </c>
      <c r="I71" s="439" t="s">
        <v>68</v>
      </c>
      <c r="J71" s="430" t="s">
        <v>452</v>
      </c>
      <c r="K71" s="430">
        <v>20519249</v>
      </c>
      <c r="L71" s="430"/>
      <c r="M71" s="430" t="s">
        <v>68</v>
      </c>
      <c r="N71" s="432" t="s">
        <v>68</v>
      </c>
      <c r="O71" s="430" t="s">
        <v>132</v>
      </c>
      <c r="P71" s="430" t="s">
        <v>453</v>
      </c>
      <c r="Q71" s="430" t="s">
        <v>454</v>
      </c>
      <c r="R71" s="431" t="s">
        <v>73</v>
      </c>
      <c r="S71" s="442" t="s">
        <v>74</v>
      </c>
      <c r="T71" s="433">
        <v>460</v>
      </c>
      <c r="U71" s="1062">
        <v>1728</v>
      </c>
      <c r="V71" s="434">
        <v>0.79500000000000004</v>
      </c>
      <c r="W71" s="435">
        <v>48</v>
      </c>
      <c r="X71" s="1015">
        <v>2</v>
      </c>
      <c r="Y71" s="430" t="s">
        <v>75</v>
      </c>
      <c r="Z71" s="430" t="s">
        <v>75</v>
      </c>
      <c r="AA71" s="430"/>
      <c r="AB71" s="437">
        <v>46042</v>
      </c>
      <c r="AC71" s="438">
        <v>4</v>
      </c>
      <c r="AD71" s="439" t="s">
        <v>455</v>
      </c>
      <c r="AE71" s="430"/>
      <c r="AF71" s="430" t="s">
        <v>122</v>
      </c>
      <c r="AG71" s="430" t="s">
        <v>123</v>
      </c>
      <c r="AH71" s="430" t="s">
        <v>456</v>
      </c>
      <c r="AI71" s="437">
        <v>46050</v>
      </c>
      <c r="AJ71" s="437">
        <v>46053</v>
      </c>
      <c r="AK71" s="441">
        <v>46053</v>
      </c>
      <c r="AL71" s="437">
        <v>46089</v>
      </c>
      <c r="AM71" s="437">
        <v>46108</v>
      </c>
      <c r="AN71" s="437">
        <v>46108</v>
      </c>
      <c r="AO71" s="430" t="s">
        <v>66</v>
      </c>
      <c r="AP71" s="430" t="s">
        <v>457</v>
      </c>
      <c r="AQ71" s="430" t="s">
        <v>80</v>
      </c>
      <c r="AR71" s="430" t="s">
        <v>458</v>
      </c>
      <c r="AS71" s="430" t="s">
        <v>459</v>
      </c>
      <c r="AT71" s="430" t="s">
        <v>459</v>
      </c>
      <c r="AU7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55</v>
      </c>
      <c r="AW71" s="437">
        <v>46108</v>
      </c>
      <c r="AX71" s="433" t="s">
        <v>84</v>
      </c>
      <c r="AY71" s="437">
        <v>46120</v>
      </c>
      <c r="AZ71" s="442">
        <v>7</v>
      </c>
      <c r="BA71" s="437">
        <v>46115</v>
      </c>
      <c r="BB71" s="433">
        <v>2026</v>
      </c>
      <c r="BC71" s="430">
        <v>4</v>
      </c>
      <c r="BD71" s="430">
        <v>14</v>
      </c>
      <c r="BE71" s="431">
        <v>36</v>
      </c>
      <c r="BF71" s="431">
        <v>864</v>
      </c>
      <c r="BG71" s="431" t="s">
        <v>108</v>
      </c>
      <c r="BH71" s="431" t="s">
        <v>109</v>
      </c>
      <c r="BI71" s="430" t="s">
        <v>197</v>
      </c>
      <c r="BJ71" s="430" t="s">
        <v>197</v>
      </c>
      <c r="BK71" s="430" t="s">
        <v>197</v>
      </c>
      <c r="BL71" s="430" t="s">
        <v>197</v>
      </c>
      <c r="BM71" s="430" t="s">
        <v>197</v>
      </c>
      <c r="BN71" s="430" t="s">
        <v>197</v>
      </c>
      <c r="BO71" s="430" t="s">
        <v>197</v>
      </c>
      <c r="BP71" s="430" t="s">
        <v>197</v>
      </c>
      <c r="BQ71" s="430" t="s">
        <v>197</v>
      </c>
      <c r="BR71" s="430" t="s">
        <v>197</v>
      </c>
      <c r="BS71" s="430" t="s">
        <v>197</v>
      </c>
      <c r="BT71" s="430" t="s">
        <v>197</v>
      </c>
      <c r="BU71" s="430" t="s">
        <v>197</v>
      </c>
      <c r="BV71" s="430" t="s">
        <v>197</v>
      </c>
      <c r="BW71" s="430" t="s">
        <v>197</v>
      </c>
      <c r="BX71" s="430" t="s">
        <v>197</v>
      </c>
      <c r="BY71" s="430" t="s">
        <v>197</v>
      </c>
      <c r="BZ71" s="430" t="s">
        <v>197</v>
      </c>
      <c r="CA71" s="430" t="s">
        <v>197</v>
      </c>
      <c r="CB71" s="430" t="s">
        <v>197</v>
      </c>
      <c r="CC71" s="430" t="s">
        <v>197</v>
      </c>
      <c r="CD71" s="430" t="s">
        <v>197</v>
      </c>
      <c r="CE71" s="430" t="s">
        <v>197</v>
      </c>
      <c r="CF71" s="430" t="s">
        <v>197</v>
      </c>
      <c r="CG71" s="430" t="s">
        <v>197</v>
      </c>
      <c r="CH71" s="430" t="s">
        <v>197</v>
      </c>
      <c r="CI71" s="430" t="s">
        <v>197</v>
      </c>
      <c r="CJ71" s="430" t="s">
        <v>197</v>
      </c>
      <c r="CK71" s="430" t="s">
        <v>197</v>
      </c>
      <c r="CL71" s="430" t="s">
        <v>197</v>
      </c>
      <c r="CM71" s="430" t="s">
        <v>197</v>
      </c>
    </row>
    <row r="72" spans="1:91" ht="10.5" hidden="1">
      <c r="A72" s="462" t="s">
        <v>460</v>
      </c>
      <c r="B72" s="462" t="s">
        <v>111</v>
      </c>
      <c r="C72" s="462" t="s">
        <v>461</v>
      </c>
      <c r="D72" s="462" t="s">
        <v>63</v>
      </c>
      <c r="E72" s="462" t="s">
        <v>64</v>
      </c>
      <c r="F72" s="462" t="s">
        <v>65</v>
      </c>
      <c r="G72" s="462" t="s">
        <v>66</v>
      </c>
      <c r="H72" s="462" t="s">
        <v>67</v>
      </c>
      <c r="I72" s="439" t="s">
        <v>68</v>
      </c>
      <c r="J72" s="430" t="s">
        <v>232</v>
      </c>
      <c r="K72" s="430"/>
      <c r="L72" s="430"/>
      <c r="M72" s="430" t="s">
        <v>68</v>
      </c>
      <c r="N72" s="432" t="s">
        <v>68</v>
      </c>
      <c r="O72" s="430" t="s">
        <v>170</v>
      </c>
      <c r="P72" s="430" t="s">
        <v>462</v>
      </c>
      <c r="Q72" s="430" t="s">
        <v>463</v>
      </c>
      <c r="R72" s="431" t="s">
        <v>73</v>
      </c>
      <c r="S72" s="442" t="s">
        <v>464</v>
      </c>
      <c r="T72" s="433">
        <v>550</v>
      </c>
      <c r="U72" s="1062">
        <v>660</v>
      </c>
      <c r="V72" s="434">
        <v>0.36299999999999999</v>
      </c>
      <c r="W72" s="435">
        <v>20</v>
      </c>
      <c r="X72" s="1015">
        <v>1</v>
      </c>
      <c r="Y72" s="430" t="s">
        <v>75</v>
      </c>
      <c r="Z72" s="430" t="s">
        <v>75</v>
      </c>
      <c r="AA72" s="430"/>
      <c r="AB72" s="437">
        <v>46044</v>
      </c>
      <c r="AC72" s="438">
        <v>4</v>
      </c>
      <c r="AD72" s="439" t="s">
        <v>465</v>
      </c>
      <c r="AE72" s="430"/>
      <c r="AF72" s="430" t="s">
        <v>122</v>
      </c>
      <c r="AG72" s="430" t="s">
        <v>123</v>
      </c>
      <c r="AH72" s="430" t="s">
        <v>78</v>
      </c>
      <c r="AI72" s="437">
        <v>46049</v>
      </c>
      <c r="AJ72" s="437">
        <v>46055</v>
      </c>
      <c r="AK72" s="441">
        <v>46056</v>
      </c>
      <c r="AL72" s="437">
        <v>46098</v>
      </c>
      <c r="AM72" s="437">
        <v>46101</v>
      </c>
      <c r="AN72" s="437">
        <v>46103</v>
      </c>
      <c r="AO72" s="430" t="s">
        <v>66</v>
      </c>
      <c r="AP72" s="430" t="s">
        <v>466</v>
      </c>
      <c r="AQ72" s="430" t="s">
        <v>80</v>
      </c>
      <c r="AR72" s="430" t="s">
        <v>467</v>
      </c>
      <c r="AS72" s="430" t="s">
        <v>468</v>
      </c>
      <c r="AT72" s="430" t="s">
        <v>468</v>
      </c>
      <c r="AU7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72" s="437">
        <v>46103</v>
      </c>
      <c r="AX72" s="433" t="s">
        <v>84</v>
      </c>
      <c r="AY72" s="437">
        <v>46115</v>
      </c>
      <c r="AZ72" s="442">
        <v>8</v>
      </c>
      <c r="BA72" s="437">
        <v>46111</v>
      </c>
      <c r="BB72" s="433">
        <v>2026</v>
      </c>
      <c r="BC72" s="430">
        <v>3</v>
      </c>
      <c r="BD72" s="430">
        <v>14</v>
      </c>
      <c r="BE72" s="431">
        <v>33</v>
      </c>
      <c r="BF72" s="431">
        <v>660</v>
      </c>
      <c r="BG72" s="431" t="s">
        <v>108</v>
      </c>
      <c r="BH72" s="431" t="s">
        <v>86</v>
      </c>
      <c r="BI72" s="430" t="s">
        <v>197</v>
      </c>
      <c r="BJ72" s="430" t="s">
        <v>197</v>
      </c>
      <c r="BK72" s="430" t="s">
        <v>197</v>
      </c>
      <c r="BL72" s="430" t="s">
        <v>197</v>
      </c>
      <c r="BM72" s="430" t="s">
        <v>197</v>
      </c>
      <c r="BN72" s="430" t="s">
        <v>197</v>
      </c>
      <c r="BO72" s="430" t="s">
        <v>197</v>
      </c>
      <c r="BP72" s="430" t="s">
        <v>197</v>
      </c>
      <c r="BQ72" s="430" t="s">
        <v>197</v>
      </c>
      <c r="BR72" s="430" t="s">
        <v>197</v>
      </c>
      <c r="BS72" s="430" t="s">
        <v>197</v>
      </c>
      <c r="BT72" s="430" t="s">
        <v>197</v>
      </c>
      <c r="BU72" s="430" t="s">
        <v>197</v>
      </c>
      <c r="BV72" s="430" t="s">
        <v>197</v>
      </c>
      <c r="BW72" s="430" t="s">
        <v>197</v>
      </c>
      <c r="BX72" s="430" t="s">
        <v>197</v>
      </c>
      <c r="BY72" s="430" t="s">
        <v>197</v>
      </c>
      <c r="BZ72" s="430" t="s">
        <v>197</v>
      </c>
      <c r="CA72" s="430" t="s">
        <v>197</v>
      </c>
      <c r="CB72" s="430" t="s">
        <v>197</v>
      </c>
      <c r="CC72" s="430" t="s">
        <v>197</v>
      </c>
      <c r="CD72" s="430" t="s">
        <v>197</v>
      </c>
      <c r="CE72" s="430" t="s">
        <v>197</v>
      </c>
      <c r="CF72" s="430" t="s">
        <v>197</v>
      </c>
      <c r="CG72" s="430" t="s">
        <v>197</v>
      </c>
      <c r="CH72" s="430" t="s">
        <v>197</v>
      </c>
      <c r="CI72" s="430" t="s">
        <v>197</v>
      </c>
      <c r="CJ72" s="430" t="s">
        <v>197</v>
      </c>
      <c r="CK72" s="430" t="s">
        <v>197</v>
      </c>
      <c r="CL72" s="430" t="s">
        <v>197</v>
      </c>
      <c r="CM72" s="430" t="s">
        <v>197</v>
      </c>
    </row>
    <row r="73" spans="1:91" ht="10.5" hidden="1">
      <c r="A73" s="462" t="s">
        <v>469</v>
      </c>
      <c r="B73" s="462" t="s">
        <v>111</v>
      </c>
      <c r="C73" s="462" t="s">
        <v>461</v>
      </c>
      <c r="D73" s="462" t="s">
        <v>63</v>
      </c>
      <c r="E73" s="462" t="s">
        <v>64</v>
      </c>
      <c r="F73" s="462" t="s">
        <v>65</v>
      </c>
      <c r="G73" s="462" t="s">
        <v>66</v>
      </c>
      <c r="H73" s="462" t="s">
        <v>67</v>
      </c>
      <c r="I73" s="439" t="s">
        <v>68</v>
      </c>
      <c r="J73" s="430" t="s">
        <v>232</v>
      </c>
      <c r="K73" s="430"/>
      <c r="L73" s="430"/>
      <c r="M73" s="430" t="s">
        <v>68</v>
      </c>
      <c r="N73" s="432" t="s">
        <v>68</v>
      </c>
      <c r="O73" s="430" t="s">
        <v>170</v>
      </c>
      <c r="P73" s="430" t="s">
        <v>462</v>
      </c>
      <c r="Q73" s="430" t="s">
        <v>463</v>
      </c>
      <c r="R73" s="431" t="s">
        <v>73</v>
      </c>
      <c r="S73" s="442" t="s">
        <v>464</v>
      </c>
      <c r="T73" s="433">
        <v>550</v>
      </c>
      <c r="U73" s="1062">
        <v>1320</v>
      </c>
      <c r="V73" s="434">
        <v>0.72599999999999998</v>
      </c>
      <c r="W73" s="435">
        <v>40</v>
      </c>
      <c r="X73" s="1015">
        <v>2</v>
      </c>
      <c r="Y73" s="430" t="s">
        <v>75</v>
      </c>
      <c r="Z73" s="430" t="s">
        <v>75</v>
      </c>
      <c r="AA73" s="430"/>
      <c r="AB73" s="437">
        <v>46044</v>
      </c>
      <c r="AC73" s="438">
        <v>4</v>
      </c>
      <c r="AD73" s="439" t="s">
        <v>470</v>
      </c>
      <c r="AE73" s="430"/>
      <c r="AF73" s="430" t="s">
        <v>122</v>
      </c>
      <c r="AG73" s="430" t="s">
        <v>123</v>
      </c>
      <c r="AH73" s="430" t="s">
        <v>78</v>
      </c>
      <c r="AI73" s="437">
        <v>46049</v>
      </c>
      <c r="AJ73" s="437">
        <v>46055</v>
      </c>
      <c r="AK73" s="441">
        <v>46056</v>
      </c>
      <c r="AL73" s="437">
        <v>46098</v>
      </c>
      <c r="AM73" s="437">
        <v>46101</v>
      </c>
      <c r="AN73" s="437">
        <v>46103</v>
      </c>
      <c r="AO73" s="430" t="s">
        <v>66</v>
      </c>
      <c r="AP73" s="430" t="s">
        <v>466</v>
      </c>
      <c r="AQ73" s="430" t="s">
        <v>80</v>
      </c>
      <c r="AR73" s="430" t="s">
        <v>467</v>
      </c>
      <c r="AS73" s="430" t="s">
        <v>468</v>
      </c>
      <c r="AT73" s="430" t="s">
        <v>468</v>
      </c>
      <c r="AU7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73" s="437">
        <v>46103</v>
      </c>
      <c r="AX73" s="433" t="s">
        <v>84</v>
      </c>
      <c r="AY73" s="437">
        <v>46115</v>
      </c>
      <c r="AZ73" s="442">
        <v>8</v>
      </c>
      <c r="BA73" s="437">
        <v>46111</v>
      </c>
      <c r="BB73" s="433">
        <v>2026</v>
      </c>
      <c r="BC73" s="430">
        <v>3</v>
      </c>
      <c r="BD73" s="430">
        <v>14</v>
      </c>
      <c r="BE73" s="431">
        <v>33</v>
      </c>
      <c r="BF73" s="431">
        <v>660</v>
      </c>
      <c r="BG73" s="431" t="s">
        <v>108</v>
      </c>
      <c r="BH73" s="431" t="s">
        <v>86</v>
      </c>
      <c r="BI73" s="430" t="s">
        <v>197</v>
      </c>
      <c r="BJ73" s="430" t="s">
        <v>197</v>
      </c>
      <c r="BK73" s="430" t="s">
        <v>197</v>
      </c>
      <c r="BL73" s="430" t="s">
        <v>197</v>
      </c>
      <c r="BM73" s="430" t="s">
        <v>197</v>
      </c>
      <c r="BN73" s="430" t="s">
        <v>197</v>
      </c>
      <c r="BO73" s="430" t="s">
        <v>197</v>
      </c>
      <c r="BP73" s="430" t="s">
        <v>197</v>
      </c>
      <c r="BQ73" s="430" t="s">
        <v>197</v>
      </c>
      <c r="BR73" s="430" t="s">
        <v>197</v>
      </c>
      <c r="BS73" s="430" t="s">
        <v>197</v>
      </c>
      <c r="BT73" s="430" t="s">
        <v>197</v>
      </c>
      <c r="BU73" s="430" t="s">
        <v>197</v>
      </c>
      <c r="BV73" s="430" t="s">
        <v>197</v>
      </c>
      <c r="BW73" s="430" t="s">
        <v>197</v>
      </c>
      <c r="BX73" s="430" t="s">
        <v>197</v>
      </c>
      <c r="BY73" s="430" t="s">
        <v>197</v>
      </c>
      <c r="BZ73" s="430" t="s">
        <v>197</v>
      </c>
      <c r="CA73" s="430" t="s">
        <v>197</v>
      </c>
      <c r="CB73" s="430" t="s">
        <v>197</v>
      </c>
      <c r="CC73" s="430" t="s">
        <v>197</v>
      </c>
      <c r="CD73" s="430" t="s">
        <v>197</v>
      </c>
      <c r="CE73" s="430" t="s">
        <v>197</v>
      </c>
      <c r="CF73" s="430" t="s">
        <v>197</v>
      </c>
      <c r="CG73" s="430" t="s">
        <v>197</v>
      </c>
      <c r="CH73" s="430" t="s">
        <v>197</v>
      </c>
      <c r="CI73" s="430" t="s">
        <v>197</v>
      </c>
      <c r="CJ73" s="430" t="s">
        <v>197</v>
      </c>
      <c r="CK73" s="430" t="s">
        <v>197</v>
      </c>
      <c r="CL73" s="430" t="s">
        <v>197</v>
      </c>
      <c r="CM73" s="430" t="s">
        <v>197</v>
      </c>
    </row>
    <row r="74" spans="1:91" ht="10.5" hidden="1">
      <c r="A74" s="462" t="s">
        <v>471</v>
      </c>
      <c r="B74" s="462" t="s">
        <v>111</v>
      </c>
      <c r="C74" s="462" t="s">
        <v>472</v>
      </c>
      <c r="D74" s="462" t="s">
        <v>63</v>
      </c>
      <c r="E74" s="462" t="s">
        <v>64</v>
      </c>
      <c r="F74" s="462" t="s">
        <v>65</v>
      </c>
      <c r="G74" s="462" t="s">
        <v>66</v>
      </c>
      <c r="H74" s="462" t="s">
        <v>67</v>
      </c>
      <c r="I74" s="439" t="s">
        <v>68</v>
      </c>
      <c r="J74" s="430" t="s">
        <v>232</v>
      </c>
      <c r="K74" s="430"/>
      <c r="L74" s="430"/>
      <c r="M74" s="430" t="s">
        <v>68</v>
      </c>
      <c r="N74" s="432" t="s">
        <v>68</v>
      </c>
      <c r="O74" s="430" t="s">
        <v>473</v>
      </c>
      <c r="P74" s="430" t="s">
        <v>474</v>
      </c>
      <c r="Q74" s="430" t="s">
        <v>475</v>
      </c>
      <c r="R74" s="431" t="s">
        <v>73</v>
      </c>
      <c r="S74" s="442" t="s">
        <v>74</v>
      </c>
      <c r="T74" s="433">
        <v>460</v>
      </c>
      <c r="U74" s="1062">
        <v>2592</v>
      </c>
      <c r="V74" s="434">
        <v>1.1919999999999999</v>
      </c>
      <c r="W74" s="435">
        <v>72</v>
      </c>
      <c r="X74" s="1015">
        <v>3</v>
      </c>
      <c r="Y74" s="430" t="s">
        <v>75</v>
      </c>
      <c r="Z74" s="430" t="s">
        <v>75</v>
      </c>
      <c r="AA74" s="430"/>
      <c r="AB74" s="437">
        <v>46044</v>
      </c>
      <c r="AC74" s="438">
        <v>4</v>
      </c>
      <c r="AD74" s="439" t="s">
        <v>476</v>
      </c>
      <c r="AE74" s="430"/>
      <c r="AF74" s="430" t="s">
        <v>122</v>
      </c>
      <c r="AG74" s="430" t="s">
        <v>123</v>
      </c>
      <c r="AH74" s="430" t="s">
        <v>78</v>
      </c>
      <c r="AI74" s="437">
        <v>46049</v>
      </c>
      <c r="AJ74" s="437">
        <v>46055</v>
      </c>
      <c r="AK74" s="441">
        <v>46056</v>
      </c>
      <c r="AL74" s="437">
        <v>46098</v>
      </c>
      <c r="AM74" s="437">
        <v>46101</v>
      </c>
      <c r="AN74" s="437">
        <v>46103</v>
      </c>
      <c r="AO74" s="430" t="s">
        <v>66</v>
      </c>
      <c r="AP74" s="430" t="s">
        <v>466</v>
      </c>
      <c r="AQ74" s="430" t="s">
        <v>80</v>
      </c>
      <c r="AR74" s="430" t="s">
        <v>467</v>
      </c>
      <c r="AS74" s="430" t="s">
        <v>468</v>
      </c>
      <c r="AT74" s="430" t="s">
        <v>468</v>
      </c>
      <c r="AU7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74" s="437">
        <v>46103</v>
      </c>
      <c r="AX74" s="433" t="s">
        <v>84</v>
      </c>
      <c r="AY74" s="437">
        <v>46115</v>
      </c>
      <c r="AZ74" s="442">
        <v>8</v>
      </c>
      <c r="BA74" s="437">
        <v>46111</v>
      </c>
      <c r="BB74" s="433">
        <v>2026</v>
      </c>
      <c r="BC74" s="430">
        <v>3</v>
      </c>
      <c r="BD74" s="430">
        <v>14</v>
      </c>
      <c r="BE74" s="431">
        <v>36</v>
      </c>
      <c r="BF74" s="431">
        <v>864</v>
      </c>
      <c r="BG74" s="431" t="s">
        <v>85</v>
      </c>
      <c r="BH74" s="431" t="s">
        <v>86</v>
      </c>
      <c r="BI74" s="430" t="s">
        <v>197</v>
      </c>
      <c r="BJ74" s="430" t="s">
        <v>197</v>
      </c>
      <c r="BK74" s="430" t="s">
        <v>197</v>
      </c>
      <c r="BL74" s="430" t="s">
        <v>197</v>
      </c>
      <c r="BM74" s="430" t="s">
        <v>197</v>
      </c>
      <c r="BN74" s="430" t="s">
        <v>197</v>
      </c>
      <c r="BO74" s="430" t="s">
        <v>197</v>
      </c>
      <c r="BP74" s="430" t="s">
        <v>197</v>
      </c>
      <c r="BQ74" s="430" t="s">
        <v>197</v>
      </c>
      <c r="BR74" s="430" t="s">
        <v>197</v>
      </c>
      <c r="BS74" s="430" t="s">
        <v>197</v>
      </c>
      <c r="BT74" s="430" t="s">
        <v>197</v>
      </c>
      <c r="BU74" s="430" t="s">
        <v>197</v>
      </c>
      <c r="BV74" s="430" t="s">
        <v>197</v>
      </c>
      <c r="BW74" s="430" t="s">
        <v>197</v>
      </c>
      <c r="BX74" s="430" t="s">
        <v>197</v>
      </c>
      <c r="BY74" s="430" t="s">
        <v>197</v>
      </c>
      <c r="BZ74" s="430" t="s">
        <v>197</v>
      </c>
      <c r="CA74" s="430" t="s">
        <v>197</v>
      </c>
      <c r="CB74" s="430" t="s">
        <v>197</v>
      </c>
      <c r="CC74" s="430" t="s">
        <v>197</v>
      </c>
      <c r="CD74" s="430" t="s">
        <v>197</v>
      </c>
      <c r="CE74" s="430" t="s">
        <v>197</v>
      </c>
      <c r="CF74" s="430" t="s">
        <v>197</v>
      </c>
      <c r="CG74" s="430" t="s">
        <v>197</v>
      </c>
      <c r="CH74" s="430" t="s">
        <v>197</v>
      </c>
      <c r="CI74" s="430" t="s">
        <v>197</v>
      </c>
      <c r="CJ74" s="430" t="s">
        <v>197</v>
      </c>
      <c r="CK74" s="430" t="s">
        <v>197</v>
      </c>
      <c r="CL74" s="430" t="s">
        <v>197</v>
      </c>
      <c r="CM74" s="430" t="s">
        <v>197</v>
      </c>
    </row>
    <row r="75" spans="1:91" ht="10.5" hidden="1">
      <c r="A75" s="462" t="s">
        <v>477</v>
      </c>
      <c r="B75" s="462" t="s">
        <v>111</v>
      </c>
      <c r="C75" s="462" t="s">
        <v>461</v>
      </c>
      <c r="D75" s="462" t="s">
        <v>63</v>
      </c>
      <c r="E75" s="462" t="s">
        <v>64</v>
      </c>
      <c r="F75" s="462" t="s">
        <v>65</v>
      </c>
      <c r="G75" s="462" t="s">
        <v>66</v>
      </c>
      <c r="H75" s="462" t="s">
        <v>67</v>
      </c>
      <c r="I75" s="439" t="s">
        <v>68</v>
      </c>
      <c r="J75" s="430" t="s">
        <v>232</v>
      </c>
      <c r="K75" s="430"/>
      <c r="L75" s="430"/>
      <c r="M75" s="430" t="s">
        <v>68</v>
      </c>
      <c r="N75" s="432" t="s">
        <v>68</v>
      </c>
      <c r="O75" s="430" t="s">
        <v>170</v>
      </c>
      <c r="P75" s="430" t="s">
        <v>462</v>
      </c>
      <c r="Q75" s="430" t="s">
        <v>463</v>
      </c>
      <c r="R75" s="431" t="s">
        <v>73</v>
      </c>
      <c r="S75" s="442" t="s">
        <v>464</v>
      </c>
      <c r="T75" s="433">
        <v>550</v>
      </c>
      <c r="U75" s="1062">
        <v>660</v>
      </c>
      <c r="V75" s="434">
        <v>0.36299999999999999</v>
      </c>
      <c r="W75" s="435">
        <v>20</v>
      </c>
      <c r="X75" s="1015">
        <v>1</v>
      </c>
      <c r="Y75" s="430" t="s">
        <v>75</v>
      </c>
      <c r="Z75" s="430" t="s">
        <v>75</v>
      </c>
      <c r="AA75" s="430"/>
      <c r="AB75" s="437">
        <v>46040</v>
      </c>
      <c r="AC75" s="438">
        <v>3</v>
      </c>
      <c r="AD75" s="439" t="s">
        <v>478</v>
      </c>
      <c r="AE75" s="430"/>
      <c r="AF75" s="430" t="s">
        <v>122</v>
      </c>
      <c r="AG75" s="430" t="s">
        <v>123</v>
      </c>
      <c r="AH75" s="430" t="s">
        <v>78</v>
      </c>
      <c r="AI75" s="437">
        <v>46045</v>
      </c>
      <c r="AJ75" s="437">
        <v>46047</v>
      </c>
      <c r="AK75" s="441">
        <v>46047</v>
      </c>
      <c r="AL75" s="437">
        <v>46097</v>
      </c>
      <c r="AM75" s="437">
        <v>46111</v>
      </c>
      <c r="AN75" s="437">
        <v>46111</v>
      </c>
      <c r="AO75" s="430" t="s">
        <v>66</v>
      </c>
      <c r="AP75" s="430" t="s">
        <v>479</v>
      </c>
      <c r="AQ75" s="430" t="s">
        <v>80</v>
      </c>
      <c r="AR75" s="430" t="s">
        <v>480</v>
      </c>
      <c r="AS75" s="430" t="s">
        <v>481</v>
      </c>
      <c r="AT75" s="430" t="s">
        <v>481</v>
      </c>
      <c r="AU7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</v>
      </c>
      <c r="AW75" s="437">
        <v>46111</v>
      </c>
      <c r="AX75" s="433" t="s">
        <v>84</v>
      </c>
      <c r="AY75" s="437">
        <v>46120</v>
      </c>
      <c r="AZ75" s="442">
        <v>8</v>
      </c>
      <c r="BA75" s="437">
        <v>46119</v>
      </c>
      <c r="BB75" s="433">
        <v>2026</v>
      </c>
      <c r="BC75" s="430">
        <v>4</v>
      </c>
      <c r="BD75" s="430">
        <v>15</v>
      </c>
      <c r="BE75" s="431">
        <v>33</v>
      </c>
      <c r="BF75" s="431">
        <v>660</v>
      </c>
      <c r="BG75" s="431" t="s">
        <v>108</v>
      </c>
      <c r="BH75" s="431" t="s">
        <v>86</v>
      </c>
      <c r="BI75" s="430" t="s">
        <v>197</v>
      </c>
      <c r="BJ75" s="430" t="s">
        <v>197</v>
      </c>
      <c r="BK75" s="430" t="s">
        <v>197</v>
      </c>
      <c r="BL75" s="430" t="s">
        <v>197</v>
      </c>
      <c r="BM75" s="430" t="s">
        <v>197</v>
      </c>
      <c r="BN75" s="430" t="s">
        <v>197</v>
      </c>
      <c r="BO75" s="430" t="s">
        <v>197</v>
      </c>
      <c r="BP75" s="430" t="s">
        <v>197</v>
      </c>
      <c r="BQ75" s="430" t="s">
        <v>197</v>
      </c>
      <c r="BR75" s="430" t="s">
        <v>197</v>
      </c>
      <c r="BS75" s="430" t="s">
        <v>197</v>
      </c>
      <c r="BT75" s="430" t="s">
        <v>197</v>
      </c>
      <c r="BU75" s="430" t="s">
        <v>197</v>
      </c>
      <c r="BV75" s="430" t="s">
        <v>197</v>
      </c>
      <c r="BW75" s="430" t="s">
        <v>197</v>
      </c>
      <c r="BX75" s="430" t="s">
        <v>197</v>
      </c>
      <c r="BY75" s="430" t="s">
        <v>197</v>
      </c>
      <c r="BZ75" s="430" t="s">
        <v>197</v>
      </c>
      <c r="CA75" s="430" t="s">
        <v>197</v>
      </c>
      <c r="CB75" s="430" t="s">
        <v>197</v>
      </c>
      <c r="CC75" s="430" t="s">
        <v>197</v>
      </c>
      <c r="CD75" s="430" t="s">
        <v>197</v>
      </c>
      <c r="CE75" s="430" t="s">
        <v>197</v>
      </c>
      <c r="CF75" s="430" t="s">
        <v>197</v>
      </c>
      <c r="CG75" s="430" t="s">
        <v>197</v>
      </c>
      <c r="CH75" s="430" t="s">
        <v>197</v>
      </c>
      <c r="CI75" s="430" t="s">
        <v>197</v>
      </c>
      <c r="CJ75" s="430" t="s">
        <v>197</v>
      </c>
      <c r="CK75" s="430" t="s">
        <v>197</v>
      </c>
      <c r="CL75" s="430" t="s">
        <v>197</v>
      </c>
      <c r="CM75" s="430" t="s">
        <v>197</v>
      </c>
    </row>
    <row r="76" spans="1:91" ht="10.5" hidden="1">
      <c r="A76" s="462" t="s">
        <v>482</v>
      </c>
      <c r="B76" s="462" t="s">
        <v>111</v>
      </c>
      <c r="C76" s="462" t="s">
        <v>387</v>
      </c>
      <c r="D76" s="462" t="s">
        <v>63</v>
      </c>
      <c r="E76" s="462" t="s">
        <v>64</v>
      </c>
      <c r="F76" s="462" t="s">
        <v>100</v>
      </c>
      <c r="G76" s="462" t="s">
        <v>66</v>
      </c>
      <c r="H76" s="462" t="s">
        <v>67</v>
      </c>
      <c r="I76" s="439" t="s">
        <v>68</v>
      </c>
      <c r="J76" s="430" t="s">
        <v>483</v>
      </c>
      <c r="K76" s="430"/>
      <c r="L76" s="430"/>
      <c r="M76" s="430" t="s">
        <v>68</v>
      </c>
      <c r="N76" s="432" t="s">
        <v>68</v>
      </c>
      <c r="O76" s="430" t="s">
        <v>132</v>
      </c>
      <c r="P76" s="430" t="s">
        <v>189</v>
      </c>
      <c r="Q76" s="430" t="s">
        <v>190</v>
      </c>
      <c r="R76" s="431" t="s">
        <v>73</v>
      </c>
      <c r="S76" s="442" t="s">
        <v>74</v>
      </c>
      <c r="T76" s="433">
        <v>465</v>
      </c>
      <c r="U76" s="1062">
        <v>864</v>
      </c>
      <c r="V76" s="434">
        <v>0.40200000000000002</v>
      </c>
      <c r="W76" s="435">
        <v>24</v>
      </c>
      <c r="X76" s="1015">
        <v>1</v>
      </c>
      <c r="Y76" s="430" t="s">
        <v>75</v>
      </c>
      <c r="Z76" s="430" t="s">
        <v>75</v>
      </c>
      <c r="AA76" s="430"/>
      <c r="AB76" s="437">
        <v>46042</v>
      </c>
      <c r="AC76" s="438">
        <v>4</v>
      </c>
      <c r="AD76" s="439" t="s">
        <v>484</v>
      </c>
      <c r="AE76" s="430"/>
      <c r="AF76" s="430" t="s">
        <v>122</v>
      </c>
      <c r="AG76" s="430" t="s">
        <v>123</v>
      </c>
      <c r="AH76" s="430" t="s">
        <v>105</v>
      </c>
      <c r="AI76" s="437">
        <v>46050</v>
      </c>
      <c r="AJ76" s="437">
        <v>46053</v>
      </c>
      <c r="AK76" s="441">
        <v>46054</v>
      </c>
      <c r="AL76" s="437">
        <v>46101</v>
      </c>
      <c r="AM76" s="437">
        <v>46116</v>
      </c>
      <c r="AN76" s="437">
        <v>46118</v>
      </c>
      <c r="AO76" s="430" t="s">
        <v>66</v>
      </c>
      <c r="AP76" s="430" t="s">
        <v>485</v>
      </c>
      <c r="AQ76" s="430" t="s">
        <v>80</v>
      </c>
      <c r="AR76" s="430" t="s">
        <v>486</v>
      </c>
      <c r="AS76" s="430" t="s">
        <v>487</v>
      </c>
      <c r="AT76" s="430" t="s">
        <v>487</v>
      </c>
      <c r="AU7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</v>
      </c>
      <c r="AW76" s="437">
        <v>46118</v>
      </c>
      <c r="AX76" s="433" t="s">
        <v>84</v>
      </c>
      <c r="AY76" s="437">
        <v>46132</v>
      </c>
      <c r="AZ76" s="442">
        <v>7</v>
      </c>
      <c r="BA76" s="437">
        <v>46125</v>
      </c>
      <c r="BB76" s="433">
        <v>2026</v>
      </c>
      <c r="BC76" s="430">
        <v>4</v>
      </c>
      <c r="BD76" s="430">
        <v>16</v>
      </c>
      <c r="BE76" s="431">
        <v>36</v>
      </c>
      <c r="BF76" s="431">
        <v>864</v>
      </c>
      <c r="BG76" s="431" t="s">
        <v>108</v>
      </c>
      <c r="BH76" s="431" t="s">
        <v>109</v>
      </c>
      <c r="BI76" s="430" t="s">
        <v>197</v>
      </c>
      <c r="BJ76" s="430" t="s">
        <v>197</v>
      </c>
      <c r="BK76" s="430" t="s">
        <v>197</v>
      </c>
      <c r="BL76" s="430" t="s">
        <v>197</v>
      </c>
      <c r="BM76" s="430" t="s">
        <v>197</v>
      </c>
      <c r="BN76" s="430" t="s">
        <v>197</v>
      </c>
      <c r="BO76" s="430" t="s">
        <v>197</v>
      </c>
      <c r="BP76" s="430" t="s">
        <v>197</v>
      </c>
      <c r="BQ76" s="430" t="s">
        <v>197</v>
      </c>
      <c r="BR76" s="430" t="s">
        <v>197</v>
      </c>
      <c r="BS76" s="430" t="s">
        <v>197</v>
      </c>
      <c r="BT76" s="430" t="s">
        <v>197</v>
      </c>
      <c r="BU76" s="430" t="s">
        <v>197</v>
      </c>
      <c r="BV76" s="430" t="s">
        <v>197</v>
      </c>
      <c r="BW76" s="430" t="s">
        <v>197</v>
      </c>
      <c r="BX76" s="430" t="s">
        <v>197</v>
      </c>
      <c r="BY76" s="430" t="s">
        <v>197</v>
      </c>
      <c r="BZ76" s="430" t="s">
        <v>197</v>
      </c>
      <c r="CA76" s="430" t="s">
        <v>197</v>
      </c>
      <c r="CB76" s="430" t="s">
        <v>197</v>
      </c>
      <c r="CC76" s="430" t="s">
        <v>197</v>
      </c>
      <c r="CD76" s="430" t="s">
        <v>197</v>
      </c>
      <c r="CE76" s="430" t="s">
        <v>197</v>
      </c>
      <c r="CF76" s="430" t="s">
        <v>197</v>
      </c>
      <c r="CG76" s="430" t="s">
        <v>197</v>
      </c>
      <c r="CH76" s="430" t="s">
        <v>197</v>
      </c>
      <c r="CI76" s="430" t="s">
        <v>197</v>
      </c>
      <c r="CJ76" s="430" t="s">
        <v>197</v>
      </c>
      <c r="CK76" s="430" t="s">
        <v>197</v>
      </c>
      <c r="CL76" s="430" t="s">
        <v>197</v>
      </c>
      <c r="CM76" s="430" t="s">
        <v>197</v>
      </c>
    </row>
    <row r="77" spans="1:91" ht="10.5" hidden="1">
      <c r="A77" s="462" t="s">
        <v>488</v>
      </c>
      <c r="B77" s="462" t="s">
        <v>111</v>
      </c>
      <c r="C77" s="462" t="s">
        <v>187</v>
      </c>
      <c r="D77" s="462" t="s">
        <v>63</v>
      </c>
      <c r="E77" s="462" t="s">
        <v>64</v>
      </c>
      <c r="F77" s="462" t="s">
        <v>100</v>
      </c>
      <c r="G77" s="462" t="s">
        <v>66</v>
      </c>
      <c r="H77" s="462" t="s">
        <v>67</v>
      </c>
      <c r="I77" s="439" t="s">
        <v>68</v>
      </c>
      <c r="J77" s="430" t="s">
        <v>483</v>
      </c>
      <c r="K77" s="430"/>
      <c r="L77" s="430"/>
      <c r="M77" s="430" t="s">
        <v>68</v>
      </c>
      <c r="N77" s="432" t="s">
        <v>68</v>
      </c>
      <c r="O77" s="430" t="s">
        <v>132</v>
      </c>
      <c r="P77" s="430" t="s">
        <v>189</v>
      </c>
      <c r="Q77" s="430" t="s">
        <v>190</v>
      </c>
      <c r="R77" s="431" t="s">
        <v>73</v>
      </c>
      <c r="S77" s="442" t="s">
        <v>74</v>
      </c>
      <c r="T77" s="433">
        <v>465</v>
      </c>
      <c r="U77" s="1062">
        <v>1728</v>
      </c>
      <c r="V77" s="434">
        <v>0.80400000000000005</v>
      </c>
      <c r="W77" s="435">
        <v>48</v>
      </c>
      <c r="X77" s="1015">
        <v>2</v>
      </c>
      <c r="Y77" s="430" t="s">
        <v>75</v>
      </c>
      <c r="Z77" s="430" t="s">
        <v>75</v>
      </c>
      <c r="AA77" s="430"/>
      <c r="AB77" s="437">
        <v>46042</v>
      </c>
      <c r="AC77" s="438">
        <v>4</v>
      </c>
      <c r="AD77" s="439" t="s">
        <v>489</v>
      </c>
      <c r="AE77" s="430"/>
      <c r="AF77" s="430" t="s">
        <v>122</v>
      </c>
      <c r="AG77" s="430" t="s">
        <v>123</v>
      </c>
      <c r="AH77" s="430" t="s">
        <v>105</v>
      </c>
      <c r="AI77" s="437">
        <v>46050</v>
      </c>
      <c r="AJ77" s="437">
        <v>46053</v>
      </c>
      <c r="AK77" s="441">
        <v>46054</v>
      </c>
      <c r="AL77" s="437">
        <v>46101</v>
      </c>
      <c r="AM77" s="437">
        <v>46116</v>
      </c>
      <c r="AN77" s="437">
        <v>46118</v>
      </c>
      <c r="AO77" s="430" t="s">
        <v>66</v>
      </c>
      <c r="AP77" s="430" t="s">
        <v>485</v>
      </c>
      <c r="AQ77" s="430" t="s">
        <v>80</v>
      </c>
      <c r="AR77" s="430" t="s">
        <v>486</v>
      </c>
      <c r="AS77" s="430" t="s">
        <v>487</v>
      </c>
      <c r="AT77" s="430" t="s">
        <v>487</v>
      </c>
      <c r="AU7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</v>
      </c>
      <c r="AW77" s="437">
        <v>46118</v>
      </c>
      <c r="AX77" s="433" t="s">
        <v>84</v>
      </c>
      <c r="AY77" s="437">
        <v>46132</v>
      </c>
      <c r="AZ77" s="442">
        <v>7</v>
      </c>
      <c r="BA77" s="437">
        <v>46125</v>
      </c>
      <c r="BB77" s="433">
        <v>2026</v>
      </c>
      <c r="BC77" s="430">
        <v>4</v>
      </c>
      <c r="BD77" s="430">
        <v>16</v>
      </c>
      <c r="BE77" s="431">
        <v>36</v>
      </c>
      <c r="BF77" s="431">
        <v>864</v>
      </c>
      <c r="BG77" s="431" t="s">
        <v>108</v>
      </c>
      <c r="BH77" s="431" t="s">
        <v>109</v>
      </c>
      <c r="BI77" s="430" t="s">
        <v>197</v>
      </c>
      <c r="BJ77" s="430" t="s">
        <v>197</v>
      </c>
      <c r="BK77" s="430" t="s">
        <v>197</v>
      </c>
      <c r="BL77" s="430" t="s">
        <v>197</v>
      </c>
      <c r="BM77" s="430" t="s">
        <v>197</v>
      </c>
      <c r="BN77" s="430" t="s">
        <v>197</v>
      </c>
      <c r="BO77" s="430" t="s">
        <v>197</v>
      </c>
      <c r="BP77" s="430" t="s">
        <v>197</v>
      </c>
      <c r="BQ77" s="430" t="s">
        <v>197</v>
      </c>
      <c r="BR77" s="430" t="s">
        <v>197</v>
      </c>
      <c r="BS77" s="430" t="s">
        <v>197</v>
      </c>
      <c r="BT77" s="430" t="s">
        <v>197</v>
      </c>
      <c r="BU77" s="430" t="s">
        <v>197</v>
      </c>
      <c r="BV77" s="430" t="s">
        <v>197</v>
      </c>
      <c r="BW77" s="430" t="s">
        <v>197</v>
      </c>
      <c r="BX77" s="430" t="s">
        <v>197</v>
      </c>
      <c r="BY77" s="430" t="s">
        <v>197</v>
      </c>
      <c r="BZ77" s="430" t="s">
        <v>197</v>
      </c>
      <c r="CA77" s="430" t="s">
        <v>197</v>
      </c>
      <c r="CB77" s="430" t="s">
        <v>197</v>
      </c>
      <c r="CC77" s="430" t="s">
        <v>197</v>
      </c>
      <c r="CD77" s="430" t="s">
        <v>197</v>
      </c>
      <c r="CE77" s="430" t="s">
        <v>197</v>
      </c>
      <c r="CF77" s="430" t="s">
        <v>197</v>
      </c>
      <c r="CG77" s="430" t="s">
        <v>197</v>
      </c>
      <c r="CH77" s="430" t="s">
        <v>197</v>
      </c>
      <c r="CI77" s="430" t="s">
        <v>197</v>
      </c>
      <c r="CJ77" s="430" t="s">
        <v>197</v>
      </c>
      <c r="CK77" s="430" t="s">
        <v>197</v>
      </c>
      <c r="CL77" s="430" t="s">
        <v>197</v>
      </c>
      <c r="CM77" s="430" t="s">
        <v>197</v>
      </c>
    </row>
    <row r="78" spans="1:91" ht="10.5" hidden="1">
      <c r="A78" s="462" t="s">
        <v>490</v>
      </c>
      <c r="B78" s="462" t="s">
        <v>111</v>
      </c>
      <c r="C78" s="462" t="s">
        <v>387</v>
      </c>
      <c r="D78" s="462" t="s">
        <v>63</v>
      </c>
      <c r="E78" s="462" t="s">
        <v>64</v>
      </c>
      <c r="F78" s="462" t="s">
        <v>100</v>
      </c>
      <c r="G78" s="462" t="s">
        <v>66</v>
      </c>
      <c r="H78" s="462" t="s">
        <v>67</v>
      </c>
      <c r="I78" s="439" t="s">
        <v>68</v>
      </c>
      <c r="J78" s="430" t="s">
        <v>101</v>
      </c>
      <c r="K78" s="430"/>
      <c r="L78" s="430"/>
      <c r="M78" s="430" t="s">
        <v>68</v>
      </c>
      <c r="N78" s="432" t="s">
        <v>68</v>
      </c>
      <c r="O78" s="430" t="s">
        <v>132</v>
      </c>
      <c r="P78" s="430" t="s">
        <v>189</v>
      </c>
      <c r="Q78" s="430" t="s">
        <v>190</v>
      </c>
      <c r="R78" s="431" t="s">
        <v>73</v>
      </c>
      <c r="S78" s="442" t="s">
        <v>74</v>
      </c>
      <c r="T78" s="433">
        <v>465</v>
      </c>
      <c r="U78" s="1062">
        <v>1728</v>
      </c>
      <c r="V78" s="434">
        <v>0.80400000000000005</v>
      </c>
      <c r="W78" s="435">
        <v>48</v>
      </c>
      <c r="X78" s="1015">
        <v>2</v>
      </c>
      <c r="Y78" s="430" t="s">
        <v>75</v>
      </c>
      <c r="Z78" s="430" t="s">
        <v>75</v>
      </c>
      <c r="AA78" s="430"/>
      <c r="AB78" s="437">
        <v>46040</v>
      </c>
      <c r="AC78" s="438">
        <v>3</v>
      </c>
      <c r="AD78" s="439" t="s">
        <v>491</v>
      </c>
      <c r="AE78" s="430"/>
      <c r="AF78" s="430" t="s">
        <v>122</v>
      </c>
      <c r="AG78" s="430" t="s">
        <v>123</v>
      </c>
      <c r="AH78" s="430" t="s">
        <v>105</v>
      </c>
      <c r="AI78" s="437">
        <v>46045</v>
      </c>
      <c r="AJ78" s="437">
        <v>46047</v>
      </c>
      <c r="AK78" s="441">
        <v>46047</v>
      </c>
      <c r="AL78" s="437">
        <v>46089</v>
      </c>
      <c r="AM78" s="437">
        <v>46111</v>
      </c>
      <c r="AN78" s="437">
        <v>46111</v>
      </c>
      <c r="AO78" s="430" t="s">
        <v>66</v>
      </c>
      <c r="AP78" s="430" t="s">
        <v>479</v>
      </c>
      <c r="AQ78" s="430" t="s">
        <v>80</v>
      </c>
      <c r="AR78" s="430" t="s">
        <v>492</v>
      </c>
      <c r="AS78" s="430" t="s">
        <v>493</v>
      </c>
      <c r="AT78" s="430" t="s">
        <v>493</v>
      </c>
      <c r="AU7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</v>
      </c>
      <c r="AW78" s="437">
        <v>46111</v>
      </c>
      <c r="AX78" s="433" t="s">
        <v>84</v>
      </c>
      <c r="AY78" s="437">
        <v>46125</v>
      </c>
      <c r="AZ78" s="442">
        <v>7</v>
      </c>
      <c r="BA78" s="437">
        <v>46118</v>
      </c>
      <c r="BB78" s="433">
        <v>2026</v>
      </c>
      <c r="BC78" s="430">
        <v>4</v>
      </c>
      <c r="BD78" s="430">
        <v>15</v>
      </c>
      <c r="BE78" s="431">
        <v>36</v>
      </c>
      <c r="BF78" s="431">
        <v>864</v>
      </c>
      <c r="BG78" s="431" t="s">
        <v>108</v>
      </c>
      <c r="BH78" s="431" t="s">
        <v>109</v>
      </c>
      <c r="BI78" s="430" t="s">
        <v>197</v>
      </c>
      <c r="BJ78" s="430" t="s">
        <v>197</v>
      </c>
      <c r="BK78" s="430" t="s">
        <v>197</v>
      </c>
      <c r="BL78" s="430" t="s">
        <v>197</v>
      </c>
      <c r="BM78" s="430" t="s">
        <v>197</v>
      </c>
      <c r="BN78" s="430" t="s">
        <v>197</v>
      </c>
      <c r="BO78" s="430" t="s">
        <v>197</v>
      </c>
      <c r="BP78" s="430" t="s">
        <v>197</v>
      </c>
      <c r="BQ78" s="430" t="s">
        <v>197</v>
      </c>
      <c r="BR78" s="430" t="s">
        <v>197</v>
      </c>
      <c r="BS78" s="430" t="s">
        <v>197</v>
      </c>
      <c r="BT78" s="430" t="s">
        <v>197</v>
      </c>
      <c r="BU78" s="430" t="s">
        <v>197</v>
      </c>
      <c r="BV78" s="430" t="s">
        <v>197</v>
      </c>
      <c r="BW78" s="430" t="s">
        <v>197</v>
      </c>
      <c r="BX78" s="430" t="s">
        <v>197</v>
      </c>
      <c r="BY78" s="430" t="s">
        <v>197</v>
      </c>
      <c r="BZ78" s="430" t="s">
        <v>197</v>
      </c>
      <c r="CA78" s="430" t="s">
        <v>197</v>
      </c>
      <c r="CB78" s="430" t="s">
        <v>197</v>
      </c>
      <c r="CC78" s="430" t="s">
        <v>197</v>
      </c>
      <c r="CD78" s="430" t="s">
        <v>197</v>
      </c>
      <c r="CE78" s="430" t="s">
        <v>197</v>
      </c>
      <c r="CF78" s="430" t="s">
        <v>197</v>
      </c>
      <c r="CG78" s="430" t="s">
        <v>197</v>
      </c>
      <c r="CH78" s="430" t="s">
        <v>197</v>
      </c>
      <c r="CI78" s="430" t="s">
        <v>197</v>
      </c>
      <c r="CJ78" s="430" t="s">
        <v>197</v>
      </c>
      <c r="CK78" s="430" t="s">
        <v>197</v>
      </c>
      <c r="CL78" s="430" t="s">
        <v>197</v>
      </c>
      <c r="CM78" s="430" t="s">
        <v>197</v>
      </c>
    </row>
    <row r="79" spans="1:91" ht="10.5" hidden="1">
      <c r="A79" s="462" t="s">
        <v>494</v>
      </c>
      <c r="B79" s="462" t="s">
        <v>111</v>
      </c>
      <c r="C79" s="462" t="s">
        <v>387</v>
      </c>
      <c r="D79" s="462" t="s">
        <v>63</v>
      </c>
      <c r="E79" s="462" t="s">
        <v>64</v>
      </c>
      <c r="F79" s="462" t="s">
        <v>100</v>
      </c>
      <c r="G79" s="462" t="s">
        <v>66</v>
      </c>
      <c r="H79" s="462" t="s">
        <v>67</v>
      </c>
      <c r="I79" s="439" t="s">
        <v>68</v>
      </c>
      <c r="J79" s="430" t="s">
        <v>101</v>
      </c>
      <c r="K79" s="430"/>
      <c r="L79" s="430"/>
      <c r="M79" s="430" t="s">
        <v>68</v>
      </c>
      <c r="N79" s="432" t="s">
        <v>68</v>
      </c>
      <c r="O79" s="430" t="s">
        <v>132</v>
      </c>
      <c r="P79" s="430" t="s">
        <v>189</v>
      </c>
      <c r="Q79" s="430" t="s">
        <v>190</v>
      </c>
      <c r="R79" s="431" t="s">
        <v>73</v>
      </c>
      <c r="S79" s="442" t="s">
        <v>74</v>
      </c>
      <c r="T79" s="433">
        <v>465</v>
      </c>
      <c r="U79" s="1062">
        <v>864</v>
      </c>
      <c r="V79" s="434">
        <v>0.40200000000000002</v>
      </c>
      <c r="W79" s="435">
        <v>24</v>
      </c>
      <c r="X79" s="1015">
        <v>1</v>
      </c>
      <c r="Y79" s="430" t="s">
        <v>75</v>
      </c>
      <c r="Z79" s="430" t="s">
        <v>75</v>
      </c>
      <c r="AA79" s="430"/>
      <c r="AB79" s="437">
        <v>46040</v>
      </c>
      <c r="AC79" s="438">
        <v>3</v>
      </c>
      <c r="AD79" s="439" t="s">
        <v>495</v>
      </c>
      <c r="AE79" s="430"/>
      <c r="AF79" s="430" t="s">
        <v>122</v>
      </c>
      <c r="AG79" s="430" t="s">
        <v>123</v>
      </c>
      <c r="AH79" s="430" t="s">
        <v>105</v>
      </c>
      <c r="AI79" s="437">
        <v>46045</v>
      </c>
      <c r="AJ79" s="437">
        <v>46047</v>
      </c>
      <c r="AK79" s="441">
        <v>46047</v>
      </c>
      <c r="AL79" s="437">
        <v>46089</v>
      </c>
      <c r="AM79" s="437">
        <v>46111</v>
      </c>
      <c r="AN79" s="437">
        <v>46111</v>
      </c>
      <c r="AO79" s="430" t="s">
        <v>66</v>
      </c>
      <c r="AP79" s="430" t="s">
        <v>479</v>
      </c>
      <c r="AQ79" s="430" t="s">
        <v>80</v>
      </c>
      <c r="AR79" s="430" t="s">
        <v>492</v>
      </c>
      <c r="AS79" s="430" t="s">
        <v>493</v>
      </c>
      <c r="AT79" s="430" t="s">
        <v>493</v>
      </c>
      <c r="AU7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</v>
      </c>
      <c r="AW79" s="437">
        <v>46111</v>
      </c>
      <c r="AX79" s="433" t="s">
        <v>84</v>
      </c>
      <c r="AY79" s="437">
        <v>46125</v>
      </c>
      <c r="AZ79" s="442">
        <v>7</v>
      </c>
      <c r="BA79" s="437">
        <v>46118</v>
      </c>
      <c r="BB79" s="433">
        <v>2026</v>
      </c>
      <c r="BC79" s="430">
        <v>4</v>
      </c>
      <c r="BD79" s="430">
        <v>15</v>
      </c>
      <c r="BE79" s="431">
        <v>36</v>
      </c>
      <c r="BF79" s="431">
        <v>864</v>
      </c>
      <c r="BG79" s="431" t="s">
        <v>108</v>
      </c>
      <c r="BH79" s="431" t="s">
        <v>109</v>
      </c>
      <c r="BI79" s="430" t="s">
        <v>197</v>
      </c>
      <c r="BJ79" s="430" t="s">
        <v>197</v>
      </c>
      <c r="BK79" s="430" t="s">
        <v>197</v>
      </c>
      <c r="BL79" s="430" t="s">
        <v>197</v>
      </c>
      <c r="BM79" s="430" t="s">
        <v>197</v>
      </c>
      <c r="BN79" s="430" t="s">
        <v>197</v>
      </c>
      <c r="BO79" s="430" t="s">
        <v>197</v>
      </c>
      <c r="BP79" s="430" t="s">
        <v>197</v>
      </c>
      <c r="BQ79" s="430" t="s">
        <v>197</v>
      </c>
      <c r="BR79" s="430" t="s">
        <v>197</v>
      </c>
      <c r="BS79" s="430" t="s">
        <v>197</v>
      </c>
      <c r="BT79" s="430" t="s">
        <v>197</v>
      </c>
      <c r="BU79" s="430" t="s">
        <v>197</v>
      </c>
      <c r="BV79" s="430" t="s">
        <v>197</v>
      </c>
      <c r="BW79" s="430" t="s">
        <v>197</v>
      </c>
      <c r="BX79" s="430" t="s">
        <v>197</v>
      </c>
      <c r="BY79" s="430" t="s">
        <v>197</v>
      </c>
      <c r="BZ79" s="430" t="s">
        <v>197</v>
      </c>
      <c r="CA79" s="430" t="s">
        <v>197</v>
      </c>
      <c r="CB79" s="430" t="s">
        <v>197</v>
      </c>
      <c r="CC79" s="430" t="s">
        <v>197</v>
      </c>
      <c r="CD79" s="430" t="s">
        <v>197</v>
      </c>
      <c r="CE79" s="430" t="s">
        <v>197</v>
      </c>
      <c r="CF79" s="430" t="s">
        <v>197</v>
      </c>
      <c r="CG79" s="430" t="s">
        <v>197</v>
      </c>
      <c r="CH79" s="430" t="s">
        <v>197</v>
      </c>
      <c r="CI79" s="430" t="s">
        <v>197</v>
      </c>
      <c r="CJ79" s="430" t="s">
        <v>197</v>
      </c>
      <c r="CK79" s="430" t="s">
        <v>197</v>
      </c>
      <c r="CL79" s="430" t="s">
        <v>197</v>
      </c>
      <c r="CM79" s="430" t="s">
        <v>197</v>
      </c>
    </row>
    <row r="80" spans="1:91" ht="10.5" hidden="1">
      <c r="A80" s="462" t="s">
        <v>496</v>
      </c>
      <c r="B80" s="462" t="s">
        <v>111</v>
      </c>
      <c r="C80" s="462" t="s">
        <v>461</v>
      </c>
      <c r="D80" s="462" t="s">
        <v>63</v>
      </c>
      <c r="E80" s="462" t="s">
        <v>64</v>
      </c>
      <c r="F80" s="462" t="s">
        <v>100</v>
      </c>
      <c r="G80" s="462" t="s">
        <v>66</v>
      </c>
      <c r="H80" s="462" t="s">
        <v>67</v>
      </c>
      <c r="I80" s="439" t="s">
        <v>68</v>
      </c>
      <c r="J80" s="430" t="s">
        <v>169</v>
      </c>
      <c r="K80" s="430"/>
      <c r="L80" s="430"/>
      <c r="M80" s="430" t="s">
        <v>68</v>
      </c>
      <c r="N80" s="432" t="s">
        <v>68</v>
      </c>
      <c r="O80" s="430" t="s">
        <v>170</v>
      </c>
      <c r="P80" s="430" t="s">
        <v>462</v>
      </c>
      <c r="Q80" s="430" t="s">
        <v>463</v>
      </c>
      <c r="R80" s="431" t="s">
        <v>73</v>
      </c>
      <c r="S80" s="442" t="s">
        <v>464</v>
      </c>
      <c r="T80" s="433">
        <v>550</v>
      </c>
      <c r="U80" s="1062">
        <v>660</v>
      </c>
      <c r="V80" s="434">
        <v>0.36299999999999999</v>
      </c>
      <c r="W80" s="435">
        <v>20</v>
      </c>
      <c r="X80" s="1015">
        <v>1</v>
      </c>
      <c r="Y80" s="430" t="s">
        <v>75</v>
      </c>
      <c r="Z80" s="430" t="s">
        <v>75</v>
      </c>
      <c r="AA80" s="430"/>
      <c r="AB80" s="437">
        <v>46040</v>
      </c>
      <c r="AC80" s="438">
        <v>3</v>
      </c>
      <c r="AD80" s="439" t="s">
        <v>497</v>
      </c>
      <c r="AE80" s="430"/>
      <c r="AF80" s="430" t="s">
        <v>122</v>
      </c>
      <c r="AG80" s="430" t="s">
        <v>123</v>
      </c>
      <c r="AH80" s="430" t="s">
        <v>105</v>
      </c>
      <c r="AI80" s="437">
        <v>46045</v>
      </c>
      <c r="AJ80" s="437">
        <v>46047</v>
      </c>
      <c r="AK80" s="441">
        <v>46047</v>
      </c>
      <c r="AL80" s="437">
        <v>46089</v>
      </c>
      <c r="AM80" s="437">
        <v>46111</v>
      </c>
      <c r="AN80" s="437">
        <v>46111</v>
      </c>
      <c r="AO80" s="430" t="s">
        <v>66</v>
      </c>
      <c r="AP80" s="430" t="s">
        <v>479</v>
      </c>
      <c r="AQ80" s="430" t="s">
        <v>80</v>
      </c>
      <c r="AR80" s="430" t="s">
        <v>492</v>
      </c>
      <c r="AS80" s="430" t="s">
        <v>493</v>
      </c>
      <c r="AT80" s="430" t="s">
        <v>493</v>
      </c>
      <c r="AU8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</v>
      </c>
      <c r="AW80" s="437">
        <v>46111</v>
      </c>
      <c r="AX80" s="433" t="s">
        <v>84</v>
      </c>
      <c r="AY80" s="437">
        <v>46125</v>
      </c>
      <c r="AZ80" s="442">
        <v>7</v>
      </c>
      <c r="BA80" s="437">
        <v>46118</v>
      </c>
      <c r="BB80" s="433">
        <v>2026</v>
      </c>
      <c r="BC80" s="430">
        <v>4</v>
      </c>
      <c r="BD80" s="430">
        <v>15</v>
      </c>
      <c r="BE80" s="431">
        <v>33</v>
      </c>
      <c r="BF80" s="431">
        <v>660</v>
      </c>
      <c r="BG80" s="431" t="s">
        <v>108</v>
      </c>
      <c r="BH80" s="431" t="s">
        <v>109</v>
      </c>
      <c r="BI80" s="430" t="s">
        <v>197</v>
      </c>
      <c r="BJ80" s="430" t="s">
        <v>197</v>
      </c>
      <c r="BK80" s="430" t="s">
        <v>197</v>
      </c>
      <c r="BL80" s="430" t="s">
        <v>197</v>
      </c>
      <c r="BM80" s="430" t="s">
        <v>197</v>
      </c>
      <c r="BN80" s="430" t="s">
        <v>197</v>
      </c>
      <c r="BO80" s="430" t="s">
        <v>197</v>
      </c>
      <c r="BP80" s="430" t="s">
        <v>197</v>
      </c>
      <c r="BQ80" s="430" t="s">
        <v>197</v>
      </c>
      <c r="BR80" s="430" t="s">
        <v>197</v>
      </c>
      <c r="BS80" s="430" t="s">
        <v>197</v>
      </c>
      <c r="BT80" s="430" t="s">
        <v>197</v>
      </c>
      <c r="BU80" s="430" t="s">
        <v>197</v>
      </c>
      <c r="BV80" s="430" t="s">
        <v>197</v>
      </c>
      <c r="BW80" s="430" t="s">
        <v>197</v>
      </c>
      <c r="BX80" s="430" t="s">
        <v>197</v>
      </c>
      <c r="BY80" s="430" t="s">
        <v>197</v>
      </c>
      <c r="BZ80" s="430" t="s">
        <v>197</v>
      </c>
      <c r="CA80" s="430" t="s">
        <v>197</v>
      </c>
      <c r="CB80" s="430" t="s">
        <v>197</v>
      </c>
      <c r="CC80" s="430" t="s">
        <v>197</v>
      </c>
      <c r="CD80" s="430" t="s">
        <v>197</v>
      </c>
      <c r="CE80" s="430" t="s">
        <v>197</v>
      </c>
      <c r="CF80" s="430" t="s">
        <v>197</v>
      </c>
      <c r="CG80" s="430" t="s">
        <v>197</v>
      </c>
      <c r="CH80" s="430" t="s">
        <v>197</v>
      </c>
      <c r="CI80" s="430" t="s">
        <v>197</v>
      </c>
      <c r="CJ80" s="430" t="s">
        <v>197</v>
      </c>
      <c r="CK80" s="430" t="s">
        <v>197</v>
      </c>
      <c r="CL80" s="430" t="s">
        <v>197</v>
      </c>
      <c r="CM80" s="430" t="s">
        <v>197</v>
      </c>
    </row>
    <row r="81" spans="1:91" ht="10.5" hidden="1">
      <c r="A81" s="462" t="s">
        <v>498</v>
      </c>
      <c r="B81" s="462" t="s">
        <v>111</v>
      </c>
      <c r="C81" s="462" t="s">
        <v>461</v>
      </c>
      <c r="D81" s="462" t="s">
        <v>63</v>
      </c>
      <c r="E81" s="462" t="s">
        <v>64</v>
      </c>
      <c r="F81" s="462" t="s">
        <v>100</v>
      </c>
      <c r="G81" s="462" t="s">
        <v>66</v>
      </c>
      <c r="H81" s="462" t="s">
        <v>67</v>
      </c>
      <c r="I81" s="439" t="s">
        <v>68</v>
      </c>
      <c r="J81" s="430" t="s">
        <v>169</v>
      </c>
      <c r="K81" s="430"/>
      <c r="L81" s="430"/>
      <c r="M81" s="430" t="s">
        <v>68</v>
      </c>
      <c r="N81" s="432" t="s">
        <v>68</v>
      </c>
      <c r="O81" s="430" t="s">
        <v>170</v>
      </c>
      <c r="P81" s="430" t="s">
        <v>462</v>
      </c>
      <c r="Q81" s="430" t="s">
        <v>463</v>
      </c>
      <c r="R81" s="431" t="s">
        <v>73</v>
      </c>
      <c r="S81" s="442" t="s">
        <v>464</v>
      </c>
      <c r="T81" s="433">
        <v>550</v>
      </c>
      <c r="U81" s="1062">
        <v>660</v>
      </c>
      <c r="V81" s="434">
        <v>0.36299999999999999</v>
      </c>
      <c r="W81" s="435">
        <v>20</v>
      </c>
      <c r="X81" s="1015">
        <v>1</v>
      </c>
      <c r="Y81" s="430" t="s">
        <v>75</v>
      </c>
      <c r="Z81" s="430" t="s">
        <v>75</v>
      </c>
      <c r="AA81" s="430"/>
      <c r="AB81" s="437">
        <v>46040</v>
      </c>
      <c r="AC81" s="438">
        <v>3</v>
      </c>
      <c r="AD81" s="439" t="s">
        <v>499</v>
      </c>
      <c r="AE81" s="430"/>
      <c r="AF81" s="430" t="s">
        <v>122</v>
      </c>
      <c r="AG81" s="430" t="s">
        <v>123</v>
      </c>
      <c r="AH81" s="430" t="s">
        <v>105</v>
      </c>
      <c r="AI81" s="437">
        <v>46045</v>
      </c>
      <c r="AJ81" s="437">
        <v>46047</v>
      </c>
      <c r="AK81" s="441">
        <v>46047</v>
      </c>
      <c r="AL81" s="437">
        <v>46089</v>
      </c>
      <c r="AM81" s="437">
        <v>46111</v>
      </c>
      <c r="AN81" s="437">
        <v>46111</v>
      </c>
      <c r="AO81" s="430" t="s">
        <v>66</v>
      </c>
      <c r="AP81" s="430" t="s">
        <v>479</v>
      </c>
      <c r="AQ81" s="430" t="s">
        <v>80</v>
      </c>
      <c r="AR81" s="430" t="s">
        <v>492</v>
      </c>
      <c r="AS81" s="430" t="s">
        <v>493</v>
      </c>
      <c r="AT81" s="430" t="s">
        <v>493</v>
      </c>
      <c r="AU8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</v>
      </c>
      <c r="AW81" s="437">
        <v>46111</v>
      </c>
      <c r="AX81" s="433" t="s">
        <v>84</v>
      </c>
      <c r="AY81" s="437">
        <v>46125</v>
      </c>
      <c r="AZ81" s="442">
        <v>7</v>
      </c>
      <c r="BA81" s="437">
        <v>46118</v>
      </c>
      <c r="BB81" s="433">
        <v>2026</v>
      </c>
      <c r="BC81" s="430">
        <v>4</v>
      </c>
      <c r="BD81" s="430">
        <v>15</v>
      </c>
      <c r="BE81" s="431">
        <v>33</v>
      </c>
      <c r="BF81" s="431">
        <v>660</v>
      </c>
      <c r="BG81" s="431" t="s">
        <v>108</v>
      </c>
      <c r="BH81" s="431" t="s">
        <v>109</v>
      </c>
      <c r="BI81" s="430" t="s">
        <v>197</v>
      </c>
      <c r="BJ81" s="430" t="s">
        <v>197</v>
      </c>
      <c r="BK81" s="430" t="s">
        <v>197</v>
      </c>
      <c r="BL81" s="430" t="s">
        <v>197</v>
      </c>
      <c r="BM81" s="430" t="s">
        <v>197</v>
      </c>
      <c r="BN81" s="430" t="s">
        <v>197</v>
      </c>
      <c r="BO81" s="430" t="s">
        <v>197</v>
      </c>
      <c r="BP81" s="430" t="s">
        <v>197</v>
      </c>
      <c r="BQ81" s="430" t="s">
        <v>197</v>
      </c>
      <c r="BR81" s="430" t="s">
        <v>197</v>
      </c>
      <c r="BS81" s="430" t="s">
        <v>197</v>
      </c>
      <c r="BT81" s="430" t="s">
        <v>197</v>
      </c>
      <c r="BU81" s="430" t="s">
        <v>197</v>
      </c>
      <c r="BV81" s="430" t="s">
        <v>197</v>
      </c>
      <c r="BW81" s="430" t="s">
        <v>197</v>
      </c>
      <c r="BX81" s="430" t="s">
        <v>197</v>
      </c>
      <c r="BY81" s="430" t="s">
        <v>197</v>
      </c>
      <c r="BZ81" s="430" t="s">
        <v>197</v>
      </c>
      <c r="CA81" s="430" t="s">
        <v>197</v>
      </c>
      <c r="CB81" s="430" t="s">
        <v>197</v>
      </c>
      <c r="CC81" s="430" t="s">
        <v>197</v>
      </c>
      <c r="CD81" s="430" t="s">
        <v>197</v>
      </c>
      <c r="CE81" s="430" t="s">
        <v>197</v>
      </c>
      <c r="CF81" s="430" t="s">
        <v>197</v>
      </c>
      <c r="CG81" s="430" t="s">
        <v>197</v>
      </c>
      <c r="CH81" s="430" t="s">
        <v>197</v>
      </c>
      <c r="CI81" s="430" t="s">
        <v>197</v>
      </c>
      <c r="CJ81" s="430" t="s">
        <v>197</v>
      </c>
      <c r="CK81" s="430" t="s">
        <v>197</v>
      </c>
      <c r="CL81" s="430" t="s">
        <v>197</v>
      </c>
      <c r="CM81" s="430" t="s">
        <v>197</v>
      </c>
    </row>
    <row r="82" spans="1:91" ht="10.5" hidden="1">
      <c r="A82" s="462" t="s">
        <v>500</v>
      </c>
      <c r="B82" s="462" t="s">
        <v>111</v>
      </c>
      <c r="C82" s="462" t="s">
        <v>387</v>
      </c>
      <c r="D82" s="462" t="s">
        <v>63</v>
      </c>
      <c r="E82" s="462" t="s">
        <v>64</v>
      </c>
      <c r="F82" s="462" t="s">
        <v>65</v>
      </c>
      <c r="G82" s="462" t="s">
        <v>66</v>
      </c>
      <c r="H82" s="462" t="s">
        <v>67</v>
      </c>
      <c r="I82" s="439" t="s">
        <v>68</v>
      </c>
      <c r="J82" s="430" t="s">
        <v>188</v>
      </c>
      <c r="K82" s="430"/>
      <c r="L82" s="430"/>
      <c r="M82" s="430" t="s">
        <v>68</v>
      </c>
      <c r="N82" s="432" t="s">
        <v>68</v>
      </c>
      <c r="O82" s="430" t="s">
        <v>132</v>
      </c>
      <c r="P82" s="430" t="s">
        <v>189</v>
      </c>
      <c r="Q82" s="430" t="s">
        <v>190</v>
      </c>
      <c r="R82" s="431" t="s">
        <v>73</v>
      </c>
      <c r="S82" s="442" t="s">
        <v>74</v>
      </c>
      <c r="T82" s="433">
        <v>465</v>
      </c>
      <c r="U82" s="1062">
        <v>1728</v>
      </c>
      <c r="V82" s="434">
        <v>0.80400000000000005</v>
      </c>
      <c r="W82" s="435">
        <v>48</v>
      </c>
      <c r="X82" s="1015">
        <v>2</v>
      </c>
      <c r="Y82" s="430" t="s">
        <v>75</v>
      </c>
      <c r="Z82" s="430" t="s">
        <v>75</v>
      </c>
      <c r="AA82" s="430"/>
      <c r="AB82" s="437">
        <v>46038</v>
      </c>
      <c r="AC82" s="438">
        <v>3</v>
      </c>
      <c r="AD82" s="439" t="s">
        <v>501</v>
      </c>
      <c r="AE82" s="430"/>
      <c r="AF82" s="430" t="s">
        <v>122</v>
      </c>
      <c r="AG82" s="430" t="s">
        <v>123</v>
      </c>
      <c r="AH82" s="430" t="s">
        <v>78</v>
      </c>
      <c r="AI82" s="437">
        <v>46045</v>
      </c>
      <c r="AJ82" s="437">
        <v>46047</v>
      </c>
      <c r="AK82" s="441">
        <v>46047</v>
      </c>
      <c r="AL82" s="437">
        <v>46092</v>
      </c>
      <c r="AM82" s="437">
        <v>46111</v>
      </c>
      <c r="AN82" s="437">
        <v>46111</v>
      </c>
      <c r="AO82" s="430" t="s">
        <v>66</v>
      </c>
      <c r="AP82" s="430" t="s">
        <v>479</v>
      </c>
      <c r="AQ82" s="430" t="s">
        <v>80</v>
      </c>
      <c r="AR82" s="430" t="s">
        <v>502</v>
      </c>
      <c r="AS82" s="430" t="s">
        <v>503</v>
      </c>
      <c r="AT82" s="430" t="s">
        <v>503</v>
      </c>
      <c r="AU8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</v>
      </c>
      <c r="AW82" s="437">
        <v>46111</v>
      </c>
      <c r="AX82" s="433" t="s">
        <v>84</v>
      </c>
      <c r="AY82" s="437">
        <v>46120</v>
      </c>
      <c r="AZ82" s="442">
        <v>8</v>
      </c>
      <c r="BA82" s="437">
        <v>46119</v>
      </c>
      <c r="BB82" s="433">
        <v>2026</v>
      </c>
      <c r="BC82" s="430">
        <v>4</v>
      </c>
      <c r="BD82" s="430">
        <v>15</v>
      </c>
      <c r="BE82" s="431">
        <v>36</v>
      </c>
      <c r="BF82" s="431">
        <v>864</v>
      </c>
      <c r="BG82" s="431" t="s">
        <v>108</v>
      </c>
      <c r="BH82" s="431" t="s">
        <v>86</v>
      </c>
      <c r="BI82" s="430" t="s">
        <v>197</v>
      </c>
      <c r="BJ82" s="430" t="s">
        <v>197</v>
      </c>
      <c r="BK82" s="430" t="s">
        <v>197</v>
      </c>
      <c r="BL82" s="430" t="s">
        <v>197</v>
      </c>
      <c r="BM82" s="430" t="s">
        <v>197</v>
      </c>
      <c r="BN82" s="430" t="s">
        <v>197</v>
      </c>
      <c r="BO82" s="430" t="s">
        <v>197</v>
      </c>
      <c r="BP82" s="430" t="s">
        <v>197</v>
      </c>
      <c r="BQ82" s="430" t="s">
        <v>197</v>
      </c>
      <c r="BR82" s="430" t="s">
        <v>197</v>
      </c>
      <c r="BS82" s="430" t="s">
        <v>197</v>
      </c>
      <c r="BT82" s="430" t="s">
        <v>197</v>
      </c>
      <c r="BU82" s="430" t="s">
        <v>197</v>
      </c>
      <c r="BV82" s="430" t="s">
        <v>197</v>
      </c>
      <c r="BW82" s="430" t="s">
        <v>197</v>
      </c>
      <c r="BX82" s="430" t="s">
        <v>197</v>
      </c>
      <c r="BY82" s="430" t="s">
        <v>197</v>
      </c>
      <c r="BZ82" s="430" t="s">
        <v>197</v>
      </c>
      <c r="CA82" s="430" t="s">
        <v>197</v>
      </c>
      <c r="CB82" s="430" t="s">
        <v>197</v>
      </c>
      <c r="CC82" s="430" t="s">
        <v>197</v>
      </c>
      <c r="CD82" s="430" t="s">
        <v>197</v>
      </c>
      <c r="CE82" s="430" t="s">
        <v>197</v>
      </c>
      <c r="CF82" s="430" t="s">
        <v>197</v>
      </c>
      <c r="CG82" s="430" t="s">
        <v>197</v>
      </c>
      <c r="CH82" s="430" t="s">
        <v>197</v>
      </c>
      <c r="CI82" s="430" t="s">
        <v>197</v>
      </c>
      <c r="CJ82" s="430" t="s">
        <v>197</v>
      </c>
      <c r="CK82" s="430" t="s">
        <v>197</v>
      </c>
      <c r="CL82" s="430" t="s">
        <v>197</v>
      </c>
      <c r="CM82" s="430" t="s">
        <v>197</v>
      </c>
    </row>
    <row r="83" spans="1:91" ht="10.5" hidden="1">
      <c r="A83" s="462" t="s">
        <v>504</v>
      </c>
      <c r="B83" s="462" t="s">
        <v>111</v>
      </c>
      <c r="C83" s="462" t="s">
        <v>130</v>
      </c>
      <c r="D83" s="462" t="s">
        <v>63</v>
      </c>
      <c r="E83" s="462" t="s">
        <v>64</v>
      </c>
      <c r="F83" s="462" t="s">
        <v>65</v>
      </c>
      <c r="G83" s="462" t="s">
        <v>66</v>
      </c>
      <c r="H83" s="462" t="s">
        <v>67</v>
      </c>
      <c r="I83" s="439" t="s">
        <v>68</v>
      </c>
      <c r="J83" s="430" t="s">
        <v>188</v>
      </c>
      <c r="K83" s="430"/>
      <c r="L83" s="430"/>
      <c r="M83" s="430" t="s">
        <v>68</v>
      </c>
      <c r="N83" s="432" t="s">
        <v>68</v>
      </c>
      <c r="O83" s="430" t="s">
        <v>132</v>
      </c>
      <c r="P83" s="430" t="s">
        <v>133</v>
      </c>
      <c r="Q83" s="430" t="s">
        <v>134</v>
      </c>
      <c r="R83" s="431" t="s">
        <v>73</v>
      </c>
      <c r="S83" s="442" t="s">
        <v>120</v>
      </c>
      <c r="T83" s="433">
        <v>720</v>
      </c>
      <c r="U83" s="1062">
        <v>594</v>
      </c>
      <c r="V83" s="434">
        <v>0.42799999999999999</v>
      </c>
      <c r="W83" s="435">
        <v>18</v>
      </c>
      <c r="X83" s="1015">
        <v>1</v>
      </c>
      <c r="Y83" s="430" t="s">
        <v>75</v>
      </c>
      <c r="Z83" s="430" t="s">
        <v>75</v>
      </c>
      <c r="AA83" s="430"/>
      <c r="AB83" s="437">
        <v>46038</v>
      </c>
      <c r="AC83" s="438">
        <v>3</v>
      </c>
      <c r="AD83" s="439" t="s">
        <v>505</v>
      </c>
      <c r="AE83" s="430"/>
      <c r="AF83" s="430" t="s">
        <v>122</v>
      </c>
      <c r="AG83" s="430" t="s">
        <v>123</v>
      </c>
      <c r="AH83" s="430" t="s">
        <v>78</v>
      </c>
      <c r="AI83" s="437">
        <v>46045</v>
      </c>
      <c r="AJ83" s="437">
        <v>46047</v>
      </c>
      <c r="AK83" s="441">
        <v>46047</v>
      </c>
      <c r="AL83" s="437">
        <v>46092</v>
      </c>
      <c r="AM83" s="437">
        <v>46111</v>
      </c>
      <c r="AN83" s="437">
        <v>46111</v>
      </c>
      <c r="AO83" s="430" t="s">
        <v>66</v>
      </c>
      <c r="AP83" s="430" t="s">
        <v>479</v>
      </c>
      <c r="AQ83" s="430" t="s">
        <v>80</v>
      </c>
      <c r="AR83" s="430" t="s">
        <v>502</v>
      </c>
      <c r="AS83" s="430" t="s">
        <v>503</v>
      </c>
      <c r="AT83" s="430" t="s">
        <v>503</v>
      </c>
      <c r="AU8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</v>
      </c>
      <c r="AW83" s="437">
        <v>46111</v>
      </c>
      <c r="AX83" s="433" t="s">
        <v>84</v>
      </c>
      <c r="AY83" s="437">
        <v>46120</v>
      </c>
      <c r="AZ83" s="442">
        <v>8</v>
      </c>
      <c r="BA83" s="437">
        <v>46119</v>
      </c>
      <c r="BB83" s="433">
        <v>2026</v>
      </c>
      <c r="BC83" s="430">
        <v>4</v>
      </c>
      <c r="BD83" s="430">
        <v>15</v>
      </c>
      <c r="BE83" s="431">
        <v>33</v>
      </c>
      <c r="BF83" s="431">
        <v>594</v>
      </c>
      <c r="BG83" s="431" t="s">
        <v>108</v>
      </c>
      <c r="BH83" s="431" t="s">
        <v>86</v>
      </c>
      <c r="BI83" s="430" t="s">
        <v>197</v>
      </c>
      <c r="BJ83" s="430" t="s">
        <v>197</v>
      </c>
      <c r="BK83" s="430" t="s">
        <v>197</v>
      </c>
      <c r="BL83" s="430" t="s">
        <v>197</v>
      </c>
      <c r="BM83" s="430" t="s">
        <v>197</v>
      </c>
      <c r="BN83" s="430" t="s">
        <v>197</v>
      </c>
      <c r="BO83" s="430" t="s">
        <v>197</v>
      </c>
      <c r="BP83" s="430" t="s">
        <v>197</v>
      </c>
      <c r="BQ83" s="430" t="s">
        <v>197</v>
      </c>
      <c r="BR83" s="430" t="s">
        <v>197</v>
      </c>
      <c r="BS83" s="430" t="s">
        <v>197</v>
      </c>
      <c r="BT83" s="430" t="s">
        <v>197</v>
      </c>
      <c r="BU83" s="430" t="s">
        <v>197</v>
      </c>
      <c r="BV83" s="430" t="s">
        <v>197</v>
      </c>
      <c r="BW83" s="430" t="s">
        <v>197</v>
      </c>
      <c r="BX83" s="430" t="s">
        <v>197</v>
      </c>
      <c r="BY83" s="430" t="s">
        <v>197</v>
      </c>
      <c r="BZ83" s="430" t="s">
        <v>197</v>
      </c>
      <c r="CA83" s="430" t="s">
        <v>197</v>
      </c>
      <c r="CB83" s="430" t="s">
        <v>197</v>
      </c>
      <c r="CC83" s="430" t="s">
        <v>197</v>
      </c>
      <c r="CD83" s="430" t="s">
        <v>197</v>
      </c>
      <c r="CE83" s="430" t="s">
        <v>197</v>
      </c>
      <c r="CF83" s="430" t="s">
        <v>197</v>
      </c>
      <c r="CG83" s="430" t="s">
        <v>197</v>
      </c>
      <c r="CH83" s="430" t="s">
        <v>197</v>
      </c>
      <c r="CI83" s="430" t="s">
        <v>197</v>
      </c>
      <c r="CJ83" s="430" t="s">
        <v>197</v>
      </c>
      <c r="CK83" s="430" t="s">
        <v>197</v>
      </c>
      <c r="CL83" s="430" t="s">
        <v>197</v>
      </c>
      <c r="CM83" s="430" t="s">
        <v>197</v>
      </c>
    </row>
    <row r="84" spans="1:91" ht="10.5" hidden="1">
      <c r="A84" s="462" t="s">
        <v>506</v>
      </c>
      <c r="B84" s="462" t="s">
        <v>111</v>
      </c>
      <c r="C84" s="462" t="s">
        <v>387</v>
      </c>
      <c r="D84" s="462" t="s">
        <v>63</v>
      </c>
      <c r="E84" s="462" t="s">
        <v>64</v>
      </c>
      <c r="F84" s="462" t="s">
        <v>65</v>
      </c>
      <c r="G84" s="462" t="s">
        <v>66</v>
      </c>
      <c r="H84" s="462" t="s">
        <v>67</v>
      </c>
      <c r="I84" s="439" t="s">
        <v>68</v>
      </c>
      <c r="J84" s="430" t="s">
        <v>188</v>
      </c>
      <c r="K84" s="430"/>
      <c r="L84" s="430"/>
      <c r="M84" s="430" t="s">
        <v>68</v>
      </c>
      <c r="N84" s="432" t="s">
        <v>68</v>
      </c>
      <c r="O84" s="430" t="s">
        <v>132</v>
      </c>
      <c r="P84" s="430" t="s">
        <v>189</v>
      </c>
      <c r="Q84" s="430" t="s">
        <v>190</v>
      </c>
      <c r="R84" s="431" t="s">
        <v>73</v>
      </c>
      <c r="S84" s="442" t="s">
        <v>74</v>
      </c>
      <c r="T84" s="433">
        <v>465</v>
      </c>
      <c r="U84" s="1062">
        <v>3456</v>
      </c>
      <c r="V84" s="434">
        <v>1.607</v>
      </c>
      <c r="W84" s="435">
        <v>96</v>
      </c>
      <c r="X84" s="1015">
        <v>4</v>
      </c>
      <c r="Y84" s="430" t="s">
        <v>75</v>
      </c>
      <c r="Z84" s="430" t="s">
        <v>75</v>
      </c>
      <c r="AA84" s="430"/>
      <c r="AB84" s="437">
        <v>46038</v>
      </c>
      <c r="AC84" s="438">
        <v>3</v>
      </c>
      <c r="AD84" s="439" t="s">
        <v>507</v>
      </c>
      <c r="AE84" s="430"/>
      <c r="AF84" s="430" t="s">
        <v>122</v>
      </c>
      <c r="AG84" s="430" t="s">
        <v>123</v>
      </c>
      <c r="AH84" s="430" t="s">
        <v>78</v>
      </c>
      <c r="AI84" s="437">
        <v>46045</v>
      </c>
      <c r="AJ84" s="437">
        <v>46047</v>
      </c>
      <c r="AK84" s="441">
        <v>46047</v>
      </c>
      <c r="AL84" s="437">
        <v>46092</v>
      </c>
      <c r="AM84" s="437">
        <v>46111</v>
      </c>
      <c r="AN84" s="437">
        <v>46111</v>
      </c>
      <c r="AO84" s="430" t="s">
        <v>66</v>
      </c>
      <c r="AP84" s="430" t="s">
        <v>479</v>
      </c>
      <c r="AQ84" s="430" t="s">
        <v>80</v>
      </c>
      <c r="AR84" s="430" t="s">
        <v>502</v>
      </c>
      <c r="AS84" s="430" t="s">
        <v>503</v>
      </c>
      <c r="AT84" s="430" t="s">
        <v>503</v>
      </c>
      <c r="AU8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</v>
      </c>
      <c r="AW84" s="437">
        <v>46111</v>
      </c>
      <c r="AX84" s="433" t="s">
        <v>84</v>
      </c>
      <c r="AY84" s="437">
        <v>46120</v>
      </c>
      <c r="AZ84" s="442">
        <v>8</v>
      </c>
      <c r="BA84" s="437">
        <v>46119</v>
      </c>
      <c r="BB84" s="433">
        <v>2026</v>
      </c>
      <c r="BC84" s="430">
        <v>4</v>
      </c>
      <c r="BD84" s="430">
        <v>15</v>
      </c>
      <c r="BE84" s="431">
        <v>36</v>
      </c>
      <c r="BF84" s="431">
        <v>864</v>
      </c>
      <c r="BG84" s="431" t="s">
        <v>108</v>
      </c>
      <c r="BH84" s="431" t="s">
        <v>86</v>
      </c>
      <c r="BI84" s="430" t="s">
        <v>197</v>
      </c>
      <c r="BJ84" s="430" t="s">
        <v>197</v>
      </c>
      <c r="BK84" s="430" t="s">
        <v>197</v>
      </c>
      <c r="BL84" s="430" t="s">
        <v>197</v>
      </c>
      <c r="BM84" s="430" t="s">
        <v>197</v>
      </c>
      <c r="BN84" s="430" t="s">
        <v>197</v>
      </c>
      <c r="BO84" s="430" t="s">
        <v>197</v>
      </c>
      <c r="BP84" s="430" t="s">
        <v>197</v>
      </c>
      <c r="BQ84" s="430" t="s">
        <v>197</v>
      </c>
      <c r="BR84" s="430" t="s">
        <v>197</v>
      </c>
      <c r="BS84" s="430" t="s">
        <v>197</v>
      </c>
      <c r="BT84" s="430" t="s">
        <v>197</v>
      </c>
      <c r="BU84" s="430" t="s">
        <v>197</v>
      </c>
      <c r="BV84" s="430" t="s">
        <v>197</v>
      </c>
      <c r="BW84" s="430" t="s">
        <v>197</v>
      </c>
      <c r="BX84" s="430" t="s">
        <v>197</v>
      </c>
      <c r="BY84" s="430" t="s">
        <v>197</v>
      </c>
      <c r="BZ84" s="430" t="s">
        <v>197</v>
      </c>
      <c r="CA84" s="430" t="s">
        <v>197</v>
      </c>
      <c r="CB84" s="430" t="s">
        <v>197</v>
      </c>
      <c r="CC84" s="430" t="s">
        <v>197</v>
      </c>
      <c r="CD84" s="430" t="s">
        <v>197</v>
      </c>
      <c r="CE84" s="430" t="s">
        <v>197</v>
      </c>
      <c r="CF84" s="430" t="s">
        <v>197</v>
      </c>
      <c r="CG84" s="430" t="s">
        <v>197</v>
      </c>
      <c r="CH84" s="430" t="s">
        <v>197</v>
      </c>
      <c r="CI84" s="430" t="s">
        <v>197</v>
      </c>
      <c r="CJ84" s="430" t="s">
        <v>197</v>
      </c>
      <c r="CK84" s="430" t="s">
        <v>197</v>
      </c>
      <c r="CL84" s="430" t="s">
        <v>197</v>
      </c>
      <c r="CM84" s="430" t="s">
        <v>197</v>
      </c>
    </row>
    <row r="85" spans="1:91" ht="10.5" hidden="1">
      <c r="A85" s="462" t="s">
        <v>508</v>
      </c>
      <c r="B85" s="462" t="s">
        <v>111</v>
      </c>
      <c r="C85" s="462" t="s">
        <v>130</v>
      </c>
      <c r="D85" s="462" t="s">
        <v>63</v>
      </c>
      <c r="E85" s="462" t="s">
        <v>64</v>
      </c>
      <c r="F85" s="462" t="s">
        <v>65</v>
      </c>
      <c r="G85" s="462" t="s">
        <v>66</v>
      </c>
      <c r="H85" s="462" t="s">
        <v>67</v>
      </c>
      <c r="I85" s="439" t="s">
        <v>68</v>
      </c>
      <c r="J85" s="430" t="s">
        <v>188</v>
      </c>
      <c r="K85" s="430"/>
      <c r="L85" s="430"/>
      <c r="M85" s="430" t="s">
        <v>68</v>
      </c>
      <c r="N85" s="432" t="s">
        <v>68</v>
      </c>
      <c r="O85" s="430" t="s">
        <v>132</v>
      </c>
      <c r="P85" s="430" t="s">
        <v>133</v>
      </c>
      <c r="Q85" s="430" t="s">
        <v>134</v>
      </c>
      <c r="R85" s="431" t="s">
        <v>73</v>
      </c>
      <c r="S85" s="442" t="s">
        <v>120</v>
      </c>
      <c r="T85" s="433">
        <v>720</v>
      </c>
      <c r="U85" s="1062">
        <v>1782</v>
      </c>
      <c r="V85" s="434">
        <v>1.2829999999999999</v>
      </c>
      <c r="W85" s="435">
        <v>54</v>
      </c>
      <c r="X85" s="1015">
        <v>3</v>
      </c>
      <c r="Y85" s="430" t="s">
        <v>75</v>
      </c>
      <c r="Z85" s="430" t="s">
        <v>75</v>
      </c>
      <c r="AA85" s="430"/>
      <c r="AB85" s="437">
        <v>46039</v>
      </c>
      <c r="AC85" s="438">
        <v>3</v>
      </c>
      <c r="AD85" s="439" t="s">
        <v>509</v>
      </c>
      <c r="AE85" s="430"/>
      <c r="AF85" s="430" t="s">
        <v>122</v>
      </c>
      <c r="AG85" s="430" t="s">
        <v>123</v>
      </c>
      <c r="AH85" s="430" t="s">
        <v>78</v>
      </c>
      <c r="AI85" s="437">
        <v>46045</v>
      </c>
      <c r="AJ85" s="437">
        <v>46047</v>
      </c>
      <c r="AK85" s="441">
        <v>46047</v>
      </c>
      <c r="AL85" s="437">
        <v>46092</v>
      </c>
      <c r="AM85" s="437">
        <v>46111</v>
      </c>
      <c r="AN85" s="437">
        <v>46111</v>
      </c>
      <c r="AO85" s="430" t="s">
        <v>66</v>
      </c>
      <c r="AP85" s="430" t="s">
        <v>479</v>
      </c>
      <c r="AQ85" s="430" t="s">
        <v>80</v>
      </c>
      <c r="AR85" s="430" t="s">
        <v>510</v>
      </c>
      <c r="AS85" s="430" t="s">
        <v>511</v>
      </c>
      <c r="AT85" s="430" t="s">
        <v>511</v>
      </c>
      <c r="AU8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</v>
      </c>
      <c r="AW85" s="437">
        <v>46111</v>
      </c>
      <c r="AX85" s="433" t="s">
        <v>84</v>
      </c>
      <c r="AY85" s="437">
        <v>46120</v>
      </c>
      <c r="AZ85" s="442">
        <v>8</v>
      </c>
      <c r="BA85" s="437">
        <v>46119</v>
      </c>
      <c r="BB85" s="433">
        <v>2026</v>
      </c>
      <c r="BC85" s="430">
        <v>4</v>
      </c>
      <c r="BD85" s="430">
        <v>15</v>
      </c>
      <c r="BE85" s="431">
        <v>33</v>
      </c>
      <c r="BF85" s="431">
        <v>594</v>
      </c>
      <c r="BG85" s="431" t="s">
        <v>108</v>
      </c>
      <c r="BH85" s="431" t="s">
        <v>86</v>
      </c>
      <c r="BI85" s="430" t="s">
        <v>197</v>
      </c>
      <c r="BJ85" s="430" t="s">
        <v>197</v>
      </c>
      <c r="BK85" s="430" t="s">
        <v>197</v>
      </c>
      <c r="BL85" s="430" t="s">
        <v>197</v>
      </c>
      <c r="BM85" s="430" t="s">
        <v>197</v>
      </c>
      <c r="BN85" s="430" t="s">
        <v>197</v>
      </c>
      <c r="BO85" s="430" t="s">
        <v>197</v>
      </c>
      <c r="BP85" s="430" t="s">
        <v>197</v>
      </c>
      <c r="BQ85" s="430" t="s">
        <v>197</v>
      </c>
      <c r="BR85" s="430" t="s">
        <v>197</v>
      </c>
      <c r="BS85" s="430" t="s">
        <v>197</v>
      </c>
      <c r="BT85" s="430" t="s">
        <v>197</v>
      </c>
      <c r="BU85" s="430" t="s">
        <v>197</v>
      </c>
      <c r="BV85" s="430" t="s">
        <v>197</v>
      </c>
      <c r="BW85" s="430" t="s">
        <v>197</v>
      </c>
      <c r="BX85" s="430" t="s">
        <v>197</v>
      </c>
      <c r="BY85" s="430" t="s">
        <v>197</v>
      </c>
      <c r="BZ85" s="430" t="s">
        <v>197</v>
      </c>
      <c r="CA85" s="430" t="s">
        <v>197</v>
      </c>
      <c r="CB85" s="430" t="s">
        <v>197</v>
      </c>
      <c r="CC85" s="430" t="s">
        <v>197</v>
      </c>
      <c r="CD85" s="430" t="s">
        <v>197</v>
      </c>
      <c r="CE85" s="430" t="s">
        <v>197</v>
      </c>
      <c r="CF85" s="430" t="s">
        <v>197</v>
      </c>
      <c r="CG85" s="430" t="s">
        <v>197</v>
      </c>
      <c r="CH85" s="430" t="s">
        <v>197</v>
      </c>
      <c r="CI85" s="430" t="s">
        <v>197</v>
      </c>
      <c r="CJ85" s="430" t="s">
        <v>197</v>
      </c>
      <c r="CK85" s="430" t="s">
        <v>197</v>
      </c>
      <c r="CL85" s="430" t="s">
        <v>197</v>
      </c>
      <c r="CM85" s="430" t="s">
        <v>197</v>
      </c>
    </row>
    <row r="86" spans="1:91" ht="10.5" hidden="1">
      <c r="A86" s="462" t="s">
        <v>512</v>
      </c>
      <c r="B86" s="462" t="s">
        <v>111</v>
      </c>
      <c r="C86" s="462" t="s">
        <v>130</v>
      </c>
      <c r="D86" s="462" t="s">
        <v>63</v>
      </c>
      <c r="E86" s="462" t="s">
        <v>64</v>
      </c>
      <c r="F86" s="462" t="s">
        <v>65</v>
      </c>
      <c r="G86" s="462" t="s">
        <v>66</v>
      </c>
      <c r="H86" s="462" t="s">
        <v>67</v>
      </c>
      <c r="I86" s="439" t="s">
        <v>68</v>
      </c>
      <c r="J86" s="430" t="s">
        <v>188</v>
      </c>
      <c r="K86" s="430"/>
      <c r="L86" s="430"/>
      <c r="M86" s="430" t="s">
        <v>68</v>
      </c>
      <c r="N86" s="432" t="s">
        <v>68</v>
      </c>
      <c r="O86" s="430" t="s">
        <v>132</v>
      </c>
      <c r="P86" s="430" t="s">
        <v>133</v>
      </c>
      <c r="Q86" s="430" t="s">
        <v>134</v>
      </c>
      <c r="R86" s="431" t="s">
        <v>73</v>
      </c>
      <c r="S86" s="442" t="s">
        <v>120</v>
      </c>
      <c r="T86" s="433">
        <v>720</v>
      </c>
      <c r="U86" s="1062">
        <v>2376</v>
      </c>
      <c r="V86" s="434">
        <v>1.7110000000000001</v>
      </c>
      <c r="W86" s="435">
        <v>72</v>
      </c>
      <c r="X86" s="1015">
        <v>4</v>
      </c>
      <c r="Y86" s="430" t="s">
        <v>75</v>
      </c>
      <c r="Z86" s="430" t="s">
        <v>75</v>
      </c>
      <c r="AA86" s="430"/>
      <c r="AB86" s="437">
        <v>46039</v>
      </c>
      <c r="AC86" s="438">
        <v>3</v>
      </c>
      <c r="AD86" s="439" t="s">
        <v>513</v>
      </c>
      <c r="AE86" s="430"/>
      <c r="AF86" s="430" t="s">
        <v>122</v>
      </c>
      <c r="AG86" s="430" t="s">
        <v>123</v>
      </c>
      <c r="AH86" s="430" t="s">
        <v>78</v>
      </c>
      <c r="AI86" s="437">
        <v>46045</v>
      </c>
      <c r="AJ86" s="437">
        <v>46047</v>
      </c>
      <c r="AK86" s="441">
        <v>46047</v>
      </c>
      <c r="AL86" s="437">
        <v>46092</v>
      </c>
      <c r="AM86" s="437">
        <v>46111</v>
      </c>
      <c r="AN86" s="437">
        <v>46111</v>
      </c>
      <c r="AO86" s="430" t="s">
        <v>66</v>
      </c>
      <c r="AP86" s="430" t="s">
        <v>479</v>
      </c>
      <c r="AQ86" s="430" t="s">
        <v>80</v>
      </c>
      <c r="AR86" s="430" t="s">
        <v>510</v>
      </c>
      <c r="AS86" s="430" t="s">
        <v>511</v>
      </c>
      <c r="AT86" s="430" t="s">
        <v>511</v>
      </c>
      <c r="AU8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</v>
      </c>
      <c r="AW86" s="437">
        <v>46111</v>
      </c>
      <c r="AX86" s="433" t="s">
        <v>84</v>
      </c>
      <c r="AY86" s="437">
        <v>46120</v>
      </c>
      <c r="AZ86" s="442">
        <v>8</v>
      </c>
      <c r="BA86" s="437">
        <v>46119</v>
      </c>
      <c r="BB86" s="433">
        <v>2026</v>
      </c>
      <c r="BC86" s="430">
        <v>4</v>
      </c>
      <c r="BD86" s="430">
        <v>15</v>
      </c>
      <c r="BE86" s="431">
        <v>33</v>
      </c>
      <c r="BF86" s="431">
        <v>594</v>
      </c>
      <c r="BG86" s="431" t="s">
        <v>108</v>
      </c>
      <c r="BH86" s="431" t="s">
        <v>86</v>
      </c>
      <c r="BI86" s="430" t="s">
        <v>197</v>
      </c>
      <c r="BJ86" s="430" t="s">
        <v>197</v>
      </c>
      <c r="BK86" s="430" t="s">
        <v>197</v>
      </c>
      <c r="BL86" s="430" t="s">
        <v>197</v>
      </c>
      <c r="BM86" s="430" t="s">
        <v>197</v>
      </c>
      <c r="BN86" s="430" t="s">
        <v>197</v>
      </c>
      <c r="BO86" s="430" t="s">
        <v>197</v>
      </c>
      <c r="BP86" s="430" t="s">
        <v>197</v>
      </c>
      <c r="BQ86" s="430" t="s">
        <v>197</v>
      </c>
      <c r="BR86" s="430" t="s">
        <v>197</v>
      </c>
      <c r="BS86" s="430" t="s">
        <v>197</v>
      </c>
      <c r="BT86" s="430" t="s">
        <v>197</v>
      </c>
      <c r="BU86" s="430" t="s">
        <v>197</v>
      </c>
      <c r="BV86" s="430" t="s">
        <v>197</v>
      </c>
      <c r="BW86" s="430" t="s">
        <v>197</v>
      </c>
      <c r="BX86" s="430" t="s">
        <v>197</v>
      </c>
      <c r="BY86" s="430" t="s">
        <v>197</v>
      </c>
      <c r="BZ86" s="430" t="s">
        <v>197</v>
      </c>
      <c r="CA86" s="430" t="s">
        <v>197</v>
      </c>
      <c r="CB86" s="430" t="s">
        <v>197</v>
      </c>
      <c r="CC86" s="430" t="s">
        <v>197</v>
      </c>
      <c r="CD86" s="430" t="s">
        <v>197</v>
      </c>
      <c r="CE86" s="430" t="s">
        <v>197</v>
      </c>
      <c r="CF86" s="430" t="s">
        <v>197</v>
      </c>
      <c r="CG86" s="430" t="s">
        <v>197</v>
      </c>
      <c r="CH86" s="430" t="s">
        <v>197</v>
      </c>
      <c r="CI86" s="430" t="s">
        <v>197</v>
      </c>
      <c r="CJ86" s="430" t="s">
        <v>197</v>
      </c>
      <c r="CK86" s="430" t="s">
        <v>197</v>
      </c>
      <c r="CL86" s="430" t="s">
        <v>197</v>
      </c>
      <c r="CM86" s="430" t="s">
        <v>197</v>
      </c>
    </row>
    <row r="87" spans="1:91" ht="10.5" hidden="1">
      <c r="A87" s="462" t="s">
        <v>514</v>
      </c>
      <c r="B87" s="462" t="s">
        <v>111</v>
      </c>
      <c r="C87" s="462" t="s">
        <v>112</v>
      </c>
      <c r="D87" s="462" t="s">
        <v>113</v>
      </c>
      <c r="E87" s="462" t="s">
        <v>64</v>
      </c>
      <c r="F87" s="462" t="s">
        <v>114</v>
      </c>
      <c r="G87" s="462" t="s">
        <v>66</v>
      </c>
      <c r="H87" s="462" t="s">
        <v>115</v>
      </c>
      <c r="I87" s="439" t="s">
        <v>68</v>
      </c>
      <c r="J87" s="430" t="s">
        <v>116</v>
      </c>
      <c r="K87" s="430" t="s">
        <v>266</v>
      </c>
      <c r="L87" s="430"/>
      <c r="M87" s="430" t="s">
        <v>68</v>
      </c>
      <c r="N87" s="432" t="s">
        <v>68</v>
      </c>
      <c r="O87" s="430" t="s">
        <v>70</v>
      </c>
      <c r="P87" s="430" t="s">
        <v>118</v>
      </c>
      <c r="Q87" s="430" t="s">
        <v>119</v>
      </c>
      <c r="R87" s="431" t="s">
        <v>73</v>
      </c>
      <c r="S87" s="442" t="s">
        <v>120</v>
      </c>
      <c r="T87" s="433">
        <v>640</v>
      </c>
      <c r="U87" s="1062" t="s">
        <v>197</v>
      </c>
      <c r="V87" s="434" t="s">
        <v>515</v>
      </c>
      <c r="W87" s="435" t="s">
        <v>516</v>
      </c>
      <c r="X87" s="1015">
        <v>0</v>
      </c>
      <c r="Y87" s="430" t="s">
        <v>75</v>
      </c>
      <c r="Z87" s="430" t="s">
        <v>75</v>
      </c>
      <c r="AA87" s="430"/>
      <c r="AB87" s="437">
        <v>46040</v>
      </c>
      <c r="AC87" s="438">
        <v>3</v>
      </c>
      <c r="AD87" s="439" t="s">
        <v>517</v>
      </c>
      <c r="AE87" s="430"/>
      <c r="AF87" s="430" t="s">
        <v>122</v>
      </c>
      <c r="AG87" s="430" t="s">
        <v>123</v>
      </c>
      <c r="AH87" s="430" t="s">
        <v>124</v>
      </c>
      <c r="AI87" s="437">
        <v>46045</v>
      </c>
      <c r="AJ87" s="437">
        <v>46047</v>
      </c>
      <c r="AK87" s="441">
        <v>46047</v>
      </c>
      <c r="AL87" s="437">
        <v>46100</v>
      </c>
      <c r="AM87" s="437">
        <v>46114</v>
      </c>
      <c r="AN87" s="437">
        <v>46117</v>
      </c>
      <c r="AO87" s="430" t="s">
        <v>66</v>
      </c>
      <c r="AP87" s="430" t="s">
        <v>479</v>
      </c>
      <c r="AQ87" s="430" t="s">
        <v>80</v>
      </c>
      <c r="AR87" s="430" t="s">
        <v>518</v>
      </c>
      <c r="AS87" s="430" t="s">
        <v>519</v>
      </c>
      <c r="AT87" s="430" t="s">
        <v>519</v>
      </c>
      <c r="AU8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70</v>
      </c>
      <c r="AW87" s="437">
        <v>46117</v>
      </c>
      <c r="AX87" s="433" t="s">
        <v>84</v>
      </c>
      <c r="AY87" s="437">
        <v>46120</v>
      </c>
      <c r="AZ87" s="442">
        <v>9</v>
      </c>
      <c r="BA87" s="437">
        <v>46126</v>
      </c>
      <c r="BB87" s="433">
        <v>2026</v>
      </c>
      <c r="BC87" s="430">
        <v>4</v>
      </c>
      <c r="BD87" s="430">
        <v>16</v>
      </c>
      <c r="BE87" s="431">
        <v>36</v>
      </c>
      <c r="BF87" s="431">
        <v>576</v>
      </c>
      <c r="BG87" s="431" t="s">
        <v>128</v>
      </c>
      <c r="BH87" s="431" t="s">
        <v>86</v>
      </c>
      <c r="BI87" s="430" t="s">
        <v>197</v>
      </c>
      <c r="BJ87" s="430" t="s">
        <v>197</v>
      </c>
      <c r="BK87" s="430" t="s">
        <v>197</v>
      </c>
      <c r="BL87" s="430" t="s">
        <v>197</v>
      </c>
      <c r="BM87" s="430" t="s">
        <v>197</v>
      </c>
      <c r="BN87" s="430" t="s">
        <v>197</v>
      </c>
      <c r="BO87" s="430" t="s">
        <v>197</v>
      </c>
      <c r="BP87" s="430" t="s">
        <v>197</v>
      </c>
      <c r="BQ87" s="430" t="s">
        <v>197</v>
      </c>
      <c r="BR87" s="430" t="s">
        <v>197</v>
      </c>
      <c r="BS87" s="430" t="s">
        <v>197</v>
      </c>
      <c r="BT87" s="430" t="s">
        <v>197</v>
      </c>
      <c r="BU87" s="430" t="s">
        <v>197</v>
      </c>
      <c r="BV87" s="430" t="s">
        <v>197</v>
      </c>
      <c r="BW87" s="430" t="s">
        <v>197</v>
      </c>
      <c r="BX87" s="430" t="s">
        <v>197</v>
      </c>
      <c r="BY87" s="430" t="s">
        <v>197</v>
      </c>
      <c r="BZ87" s="430" t="s">
        <v>197</v>
      </c>
      <c r="CA87" s="430" t="s">
        <v>197</v>
      </c>
      <c r="CB87" s="430" t="s">
        <v>197</v>
      </c>
      <c r="CC87" s="430" t="s">
        <v>197</v>
      </c>
      <c r="CD87" s="430" t="s">
        <v>197</v>
      </c>
      <c r="CE87" s="430" t="s">
        <v>197</v>
      </c>
      <c r="CF87" s="430" t="s">
        <v>197</v>
      </c>
      <c r="CG87" s="430" t="s">
        <v>197</v>
      </c>
      <c r="CH87" s="430" t="s">
        <v>197</v>
      </c>
      <c r="CI87" s="430" t="s">
        <v>197</v>
      </c>
      <c r="CJ87" s="430" t="s">
        <v>197</v>
      </c>
      <c r="CK87" s="430" t="s">
        <v>197</v>
      </c>
      <c r="CL87" s="430" t="s">
        <v>197</v>
      </c>
      <c r="CM87" s="430" t="s">
        <v>197</v>
      </c>
    </row>
    <row r="88" spans="1:91" ht="10.5" hidden="1">
      <c r="A88" s="462" t="s">
        <v>520</v>
      </c>
      <c r="B88" s="462" t="s">
        <v>111</v>
      </c>
      <c r="C88" s="462" t="s">
        <v>112</v>
      </c>
      <c r="D88" s="462" t="s">
        <v>113</v>
      </c>
      <c r="E88" s="462" t="s">
        <v>64</v>
      </c>
      <c r="F88" s="462" t="s">
        <v>114</v>
      </c>
      <c r="G88" s="462" t="s">
        <v>66</v>
      </c>
      <c r="H88" s="462" t="s">
        <v>115</v>
      </c>
      <c r="I88" s="439" t="s">
        <v>68</v>
      </c>
      <c r="J88" s="430" t="s">
        <v>116</v>
      </c>
      <c r="K88" s="430" t="s">
        <v>266</v>
      </c>
      <c r="L88" s="430"/>
      <c r="M88" s="430" t="s">
        <v>68</v>
      </c>
      <c r="N88" s="432" t="s">
        <v>68</v>
      </c>
      <c r="O88" s="430" t="s">
        <v>70</v>
      </c>
      <c r="P88" s="430" t="s">
        <v>118</v>
      </c>
      <c r="Q88" s="430" t="s">
        <v>119</v>
      </c>
      <c r="R88" s="431" t="s">
        <v>73</v>
      </c>
      <c r="S88" s="442" t="s">
        <v>120</v>
      </c>
      <c r="T88" s="433">
        <v>640</v>
      </c>
      <c r="U88" s="1062">
        <v>1152</v>
      </c>
      <c r="V88" s="434">
        <v>0.73699999999999999</v>
      </c>
      <c r="W88" s="435">
        <v>32</v>
      </c>
      <c r="X88" s="1015">
        <v>2</v>
      </c>
      <c r="Y88" s="430" t="s">
        <v>75</v>
      </c>
      <c r="Z88" s="430" t="s">
        <v>75</v>
      </c>
      <c r="AA88" s="430"/>
      <c r="AB88" s="437">
        <v>46042</v>
      </c>
      <c r="AC88" s="438">
        <v>4</v>
      </c>
      <c r="AD88" s="439" t="s">
        <v>521</v>
      </c>
      <c r="AE88" s="430"/>
      <c r="AF88" s="430" t="s">
        <v>122</v>
      </c>
      <c r="AG88" s="430" t="s">
        <v>123</v>
      </c>
      <c r="AH88" s="430" t="s">
        <v>124</v>
      </c>
      <c r="AI88" s="437">
        <v>46051</v>
      </c>
      <c r="AJ88" s="437">
        <v>46053</v>
      </c>
      <c r="AK88" s="441">
        <v>46054</v>
      </c>
      <c r="AL88" s="437">
        <v>46093</v>
      </c>
      <c r="AM88" s="437">
        <v>46095</v>
      </c>
      <c r="AN88" s="437">
        <v>46095</v>
      </c>
      <c r="AO88" s="430" t="s">
        <v>66</v>
      </c>
      <c r="AP88" s="430" t="s">
        <v>485</v>
      </c>
      <c r="AQ88" s="430" t="s">
        <v>80</v>
      </c>
      <c r="AR88" s="430" t="s">
        <v>522</v>
      </c>
      <c r="AS88" s="430" t="s">
        <v>523</v>
      </c>
      <c r="AT88" s="430" t="s">
        <v>523</v>
      </c>
      <c r="AU8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W88" s="437">
        <v>46095</v>
      </c>
      <c r="AX88" s="433" t="s">
        <v>84</v>
      </c>
      <c r="AY88" s="437">
        <v>46107</v>
      </c>
      <c r="AZ88" s="442">
        <v>9</v>
      </c>
      <c r="BA88" s="437">
        <v>46104</v>
      </c>
      <c r="BB88" s="433">
        <v>2026</v>
      </c>
      <c r="BC88" s="430">
        <v>3</v>
      </c>
      <c r="BD88" s="430">
        <v>13</v>
      </c>
      <c r="BE88" s="431">
        <v>36</v>
      </c>
      <c r="BF88" s="431">
        <v>576</v>
      </c>
      <c r="BG88" s="431" t="s">
        <v>128</v>
      </c>
      <c r="BH88" s="431" t="s">
        <v>86</v>
      </c>
      <c r="BI88" s="430" t="s">
        <v>197</v>
      </c>
      <c r="BJ88" s="430" t="s">
        <v>197</v>
      </c>
      <c r="BK88" s="430" t="s">
        <v>197</v>
      </c>
      <c r="BL88" s="430" t="s">
        <v>197</v>
      </c>
      <c r="BM88" s="430" t="s">
        <v>197</v>
      </c>
      <c r="BN88" s="430" t="s">
        <v>197</v>
      </c>
      <c r="BO88" s="430" t="s">
        <v>197</v>
      </c>
      <c r="BP88" s="430" t="s">
        <v>197</v>
      </c>
      <c r="BQ88" s="430" t="s">
        <v>197</v>
      </c>
      <c r="BR88" s="430" t="s">
        <v>197</v>
      </c>
      <c r="BS88" s="430" t="s">
        <v>197</v>
      </c>
      <c r="BT88" s="430" t="s">
        <v>197</v>
      </c>
      <c r="BU88" s="430" t="s">
        <v>197</v>
      </c>
      <c r="BV88" s="430" t="s">
        <v>197</v>
      </c>
      <c r="BW88" s="430" t="s">
        <v>197</v>
      </c>
      <c r="BX88" s="430" t="s">
        <v>197</v>
      </c>
      <c r="BY88" s="430" t="s">
        <v>197</v>
      </c>
      <c r="BZ88" s="430" t="s">
        <v>197</v>
      </c>
      <c r="CA88" s="430" t="s">
        <v>197</v>
      </c>
      <c r="CB88" s="430" t="s">
        <v>197</v>
      </c>
      <c r="CC88" s="430" t="s">
        <v>197</v>
      </c>
      <c r="CD88" s="430" t="s">
        <v>197</v>
      </c>
      <c r="CE88" s="430" t="s">
        <v>197</v>
      </c>
      <c r="CF88" s="430" t="s">
        <v>197</v>
      </c>
      <c r="CG88" s="430" t="s">
        <v>197</v>
      </c>
      <c r="CH88" s="430" t="s">
        <v>197</v>
      </c>
      <c r="CI88" s="430" t="s">
        <v>197</v>
      </c>
      <c r="CJ88" s="430" t="s">
        <v>197</v>
      </c>
      <c r="CK88" s="430" t="s">
        <v>197</v>
      </c>
      <c r="CL88" s="430" t="s">
        <v>197</v>
      </c>
      <c r="CM88" s="430" t="s">
        <v>197</v>
      </c>
    </row>
    <row r="89" spans="1:91" ht="10.5" hidden="1">
      <c r="A89" s="462" t="s">
        <v>524</v>
      </c>
      <c r="B89" s="462" t="s">
        <v>111</v>
      </c>
      <c r="C89" s="462" t="s">
        <v>525</v>
      </c>
      <c r="D89" s="462" t="s">
        <v>63</v>
      </c>
      <c r="E89" s="462" t="s">
        <v>144</v>
      </c>
      <c r="F89" s="462" t="s">
        <v>145</v>
      </c>
      <c r="G89" s="462" t="s">
        <v>402</v>
      </c>
      <c r="H89" s="462" t="s">
        <v>526</v>
      </c>
      <c r="I89" s="439" t="s">
        <v>68</v>
      </c>
      <c r="J89" s="430" t="s">
        <v>527</v>
      </c>
      <c r="K89" s="430" t="s">
        <v>528</v>
      </c>
      <c r="L89" s="430"/>
      <c r="M89" s="430" t="s">
        <v>68</v>
      </c>
      <c r="N89" s="432" t="s">
        <v>68</v>
      </c>
      <c r="O89" s="430" t="s">
        <v>473</v>
      </c>
      <c r="P89" s="430" t="s">
        <v>529</v>
      </c>
      <c r="Q89" s="430" t="s">
        <v>530</v>
      </c>
      <c r="R89" s="431" t="s">
        <v>73</v>
      </c>
      <c r="S89" s="442" t="s">
        <v>74</v>
      </c>
      <c r="T89" s="433">
        <v>455</v>
      </c>
      <c r="U89" s="1062">
        <v>4320</v>
      </c>
      <c r="V89" s="434">
        <v>1.966</v>
      </c>
      <c r="W89" s="435">
        <v>120</v>
      </c>
      <c r="X89" s="1015">
        <v>5</v>
      </c>
      <c r="Y89" s="430" t="s">
        <v>75</v>
      </c>
      <c r="Z89" s="430" t="s">
        <v>75</v>
      </c>
      <c r="AA89" s="430"/>
      <c r="AB89" s="437">
        <v>46049</v>
      </c>
      <c r="AC89" s="438">
        <v>5</v>
      </c>
      <c r="AD89" s="439" t="s">
        <v>531</v>
      </c>
      <c r="AE89" s="430"/>
      <c r="AF89" s="430" t="s">
        <v>122</v>
      </c>
      <c r="AG89" s="430" t="s">
        <v>123</v>
      </c>
      <c r="AH89" s="430" t="s">
        <v>532</v>
      </c>
      <c r="AI89" s="437">
        <v>46055</v>
      </c>
      <c r="AJ89" s="437">
        <v>46059</v>
      </c>
      <c r="AK89" s="441">
        <v>46059</v>
      </c>
      <c r="AL89" s="437">
        <v>46106</v>
      </c>
      <c r="AM89" s="437">
        <v>46121</v>
      </c>
      <c r="AN89" s="437">
        <v>46122</v>
      </c>
      <c r="AO89" s="430" t="s">
        <v>402</v>
      </c>
      <c r="AP89" s="430" t="s">
        <v>533</v>
      </c>
      <c r="AQ89" s="430" t="s">
        <v>161</v>
      </c>
      <c r="AR89" s="430" t="s">
        <v>534</v>
      </c>
      <c r="AS89" s="430" t="s">
        <v>535</v>
      </c>
      <c r="AT89" s="430" t="s">
        <v>536</v>
      </c>
      <c r="AU8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63</v>
      </c>
      <c r="AW89" s="437">
        <v>46122</v>
      </c>
      <c r="AX89" s="433" t="s">
        <v>84</v>
      </c>
      <c r="AY89" s="437">
        <v>46120</v>
      </c>
      <c r="AZ89" s="442" t="s">
        <v>152</v>
      </c>
      <c r="BA89" s="437">
        <v>46122</v>
      </c>
      <c r="BB89" s="433">
        <v>2026</v>
      </c>
      <c r="BC89" s="430">
        <v>4</v>
      </c>
      <c r="BD89" s="430">
        <v>15</v>
      </c>
      <c r="BE89" s="431">
        <v>36</v>
      </c>
      <c r="BF89" s="431">
        <v>864</v>
      </c>
      <c r="BG89" s="431" t="s">
        <v>85</v>
      </c>
      <c r="BH89" s="431" t="s">
        <v>109</v>
      </c>
      <c r="BI89" s="430" t="s">
        <v>197</v>
      </c>
      <c r="BJ89" s="430" t="s">
        <v>197</v>
      </c>
      <c r="BK89" s="430" t="s">
        <v>197</v>
      </c>
      <c r="BL89" s="430" t="s">
        <v>197</v>
      </c>
      <c r="BM89" s="430" t="s">
        <v>197</v>
      </c>
      <c r="BN89" s="430" t="s">
        <v>197</v>
      </c>
      <c r="BO89" s="430" t="s">
        <v>197</v>
      </c>
      <c r="BP89" s="430" t="s">
        <v>197</v>
      </c>
      <c r="BQ89" s="430" t="s">
        <v>197</v>
      </c>
      <c r="BR89" s="430" t="s">
        <v>197</v>
      </c>
      <c r="BS89" s="430" t="s">
        <v>197</v>
      </c>
      <c r="BT89" s="430" t="s">
        <v>197</v>
      </c>
      <c r="BU89" s="430" t="s">
        <v>197</v>
      </c>
      <c r="BV89" s="430" t="s">
        <v>197</v>
      </c>
      <c r="BW89" s="430" t="s">
        <v>197</v>
      </c>
      <c r="BX89" s="430" t="s">
        <v>197</v>
      </c>
      <c r="BY89" s="430" t="s">
        <v>197</v>
      </c>
      <c r="BZ89" s="430" t="s">
        <v>197</v>
      </c>
      <c r="CA89" s="430" t="s">
        <v>197</v>
      </c>
      <c r="CB89" s="430" t="s">
        <v>197</v>
      </c>
      <c r="CC89" s="430" t="s">
        <v>197</v>
      </c>
      <c r="CD89" s="430" t="s">
        <v>197</v>
      </c>
      <c r="CE89" s="430" t="s">
        <v>197</v>
      </c>
      <c r="CF89" s="430" t="s">
        <v>197</v>
      </c>
      <c r="CG89" s="430" t="s">
        <v>197</v>
      </c>
      <c r="CH89" s="430" t="s">
        <v>197</v>
      </c>
      <c r="CI89" s="430" t="s">
        <v>197</v>
      </c>
      <c r="CJ89" s="430" t="s">
        <v>197</v>
      </c>
      <c r="CK89" s="430" t="s">
        <v>197</v>
      </c>
      <c r="CL89" s="430" t="s">
        <v>197</v>
      </c>
      <c r="CM89" s="430" t="s">
        <v>197</v>
      </c>
    </row>
    <row r="90" spans="1:91" ht="10.5" hidden="1">
      <c r="A90" s="462" t="s">
        <v>537</v>
      </c>
      <c r="B90" s="462" t="s">
        <v>111</v>
      </c>
      <c r="C90" s="462" t="s">
        <v>203</v>
      </c>
      <c r="D90" s="462" t="s">
        <v>63</v>
      </c>
      <c r="E90" s="462" t="s">
        <v>144</v>
      </c>
      <c r="F90" s="462" t="s">
        <v>145</v>
      </c>
      <c r="G90" s="462" t="s">
        <v>402</v>
      </c>
      <c r="H90" s="462" t="s">
        <v>538</v>
      </c>
      <c r="I90" s="439" t="s">
        <v>68</v>
      </c>
      <c r="J90" s="430" t="s">
        <v>538</v>
      </c>
      <c r="K90" s="430" t="s">
        <v>539</v>
      </c>
      <c r="L90" s="430"/>
      <c r="M90" s="430" t="s">
        <v>68</v>
      </c>
      <c r="N90" s="432" t="s">
        <v>68</v>
      </c>
      <c r="O90" s="430" t="s">
        <v>473</v>
      </c>
      <c r="P90" s="430" t="s">
        <v>529</v>
      </c>
      <c r="Q90" s="430" t="s">
        <v>530</v>
      </c>
      <c r="R90" s="431" t="s">
        <v>73</v>
      </c>
      <c r="S90" s="442" t="s">
        <v>74</v>
      </c>
      <c r="T90" s="433">
        <v>455</v>
      </c>
      <c r="U90" s="1062">
        <v>1728</v>
      </c>
      <c r="V90" s="434">
        <v>0.78600000000000003</v>
      </c>
      <c r="W90" s="435">
        <v>48</v>
      </c>
      <c r="X90" s="1015">
        <v>2</v>
      </c>
      <c r="Y90" s="430" t="s">
        <v>75</v>
      </c>
      <c r="Z90" s="430" t="s">
        <v>75</v>
      </c>
      <c r="AA90" s="430"/>
      <c r="AB90" s="437">
        <v>46040</v>
      </c>
      <c r="AC90" s="438">
        <v>3</v>
      </c>
      <c r="AD90" s="439" t="s">
        <v>540</v>
      </c>
      <c r="AE90" s="430"/>
      <c r="AF90" s="430" t="s">
        <v>122</v>
      </c>
      <c r="AG90" s="430" t="s">
        <v>123</v>
      </c>
      <c r="AH90" s="430" t="s">
        <v>541</v>
      </c>
      <c r="AI90" s="437">
        <v>46047</v>
      </c>
      <c r="AJ90" s="437">
        <v>46054</v>
      </c>
      <c r="AK90" s="441">
        <v>46054</v>
      </c>
      <c r="AL90" s="437">
        <v>46093</v>
      </c>
      <c r="AM90" s="437">
        <v>46107</v>
      </c>
      <c r="AN90" s="437">
        <v>46107</v>
      </c>
      <c r="AO90" s="430" t="s">
        <v>402</v>
      </c>
      <c r="AP90" s="430" t="s">
        <v>542</v>
      </c>
      <c r="AQ90" s="430" t="s">
        <v>161</v>
      </c>
      <c r="AR90" s="430" t="s">
        <v>543</v>
      </c>
      <c r="AS90" s="430" t="s">
        <v>544</v>
      </c>
      <c r="AT90" s="430" t="s">
        <v>544</v>
      </c>
      <c r="AU9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90" s="437">
        <v>46107</v>
      </c>
      <c r="AX90" s="433" t="s">
        <v>84</v>
      </c>
      <c r="AY90" s="437">
        <v>46104</v>
      </c>
      <c r="AZ90" s="442" t="s">
        <v>152</v>
      </c>
      <c r="BA90" s="437">
        <v>46107</v>
      </c>
      <c r="BB90" s="433">
        <v>2026</v>
      </c>
      <c r="BC90" s="430">
        <v>3</v>
      </c>
      <c r="BD90" s="430">
        <v>13</v>
      </c>
      <c r="BE90" s="431">
        <v>36</v>
      </c>
      <c r="BF90" s="431">
        <v>864</v>
      </c>
      <c r="BG90" s="431" t="s">
        <v>85</v>
      </c>
      <c r="BH90" s="431" t="s">
        <v>109</v>
      </c>
      <c r="BI90" s="430" t="s">
        <v>197</v>
      </c>
      <c r="BJ90" s="430" t="s">
        <v>197</v>
      </c>
      <c r="BK90" s="430" t="s">
        <v>197</v>
      </c>
      <c r="BL90" s="430" t="s">
        <v>197</v>
      </c>
      <c r="BM90" s="430" t="s">
        <v>197</v>
      </c>
      <c r="BN90" s="430" t="s">
        <v>197</v>
      </c>
      <c r="BO90" s="430" t="s">
        <v>197</v>
      </c>
      <c r="BP90" s="430" t="s">
        <v>197</v>
      </c>
      <c r="BQ90" s="430" t="s">
        <v>197</v>
      </c>
      <c r="BR90" s="430" t="s">
        <v>197</v>
      </c>
      <c r="BS90" s="430" t="s">
        <v>197</v>
      </c>
      <c r="BT90" s="430" t="s">
        <v>197</v>
      </c>
      <c r="BU90" s="430" t="s">
        <v>197</v>
      </c>
      <c r="BV90" s="430" t="s">
        <v>197</v>
      </c>
      <c r="BW90" s="430" t="s">
        <v>197</v>
      </c>
      <c r="BX90" s="430" t="s">
        <v>197</v>
      </c>
      <c r="BY90" s="430" t="s">
        <v>197</v>
      </c>
      <c r="BZ90" s="430" t="s">
        <v>197</v>
      </c>
      <c r="CA90" s="430" t="s">
        <v>197</v>
      </c>
      <c r="CB90" s="430" t="s">
        <v>197</v>
      </c>
      <c r="CC90" s="430" t="s">
        <v>197</v>
      </c>
      <c r="CD90" s="430" t="s">
        <v>197</v>
      </c>
      <c r="CE90" s="430" t="s">
        <v>197</v>
      </c>
      <c r="CF90" s="430" t="s">
        <v>197</v>
      </c>
      <c r="CG90" s="430" t="s">
        <v>197</v>
      </c>
      <c r="CH90" s="430" t="s">
        <v>197</v>
      </c>
      <c r="CI90" s="430" t="s">
        <v>197</v>
      </c>
      <c r="CJ90" s="430" t="s">
        <v>197</v>
      </c>
      <c r="CK90" s="430" t="s">
        <v>197</v>
      </c>
      <c r="CL90" s="430" t="s">
        <v>197</v>
      </c>
      <c r="CM90" s="430" t="s">
        <v>197</v>
      </c>
    </row>
    <row r="91" spans="1:91" ht="10.5" hidden="1">
      <c r="A91" s="462" t="s">
        <v>545</v>
      </c>
      <c r="B91" s="462" t="s">
        <v>111</v>
      </c>
      <c r="C91" s="462" t="s">
        <v>203</v>
      </c>
      <c r="D91" s="462" t="s">
        <v>63</v>
      </c>
      <c r="E91" s="462" t="s">
        <v>144</v>
      </c>
      <c r="F91" s="462" t="s">
        <v>145</v>
      </c>
      <c r="G91" s="462" t="s">
        <v>402</v>
      </c>
      <c r="H91" s="462" t="s">
        <v>538</v>
      </c>
      <c r="I91" s="439" t="s">
        <v>68</v>
      </c>
      <c r="J91" s="430" t="s">
        <v>538</v>
      </c>
      <c r="K91" s="430" t="s">
        <v>539</v>
      </c>
      <c r="L91" s="430"/>
      <c r="M91" s="430" t="s">
        <v>68</v>
      </c>
      <c r="N91" s="432" t="s">
        <v>68</v>
      </c>
      <c r="O91" s="430" t="s">
        <v>473</v>
      </c>
      <c r="P91" s="430" t="s">
        <v>529</v>
      </c>
      <c r="Q91" s="430" t="s">
        <v>530</v>
      </c>
      <c r="R91" s="431" t="s">
        <v>73</v>
      </c>
      <c r="S91" s="442" t="s">
        <v>74</v>
      </c>
      <c r="T91" s="433">
        <v>455</v>
      </c>
      <c r="U91" s="1062">
        <v>2592</v>
      </c>
      <c r="V91" s="434">
        <v>1.179</v>
      </c>
      <c r="W91" s="435">
        <v>72</v>
      </c>
      <c r="X91" s="1015">
        <v>3</v>
      </c>
      <c r="Y91" s="430" t="s">
        <v>75</v>
      </c>
      <c r="Z91" s="430" t="s">
        <v>75</v>
      </c>
      <c r="AA91" s="430"/>
      <c r="AB91" s="437">
        <v>46040</v>
      </c>
      <c r="AC91" s="438">
        <v>3</v>
      </c>
      <c r="AD91" s="439" t="s">
        <v>546</v>
      </c>
      <c r="AE91" s="430"/>
      <c r="AF91" s="430" t="s">
        <v>122</v>
      </c>
      <c r="AG91" s="430" t="s">
        <v>123</v>
      </c>
      <c r="AH91" s="430" t="s">
        <v>541</v>
      </c>
      <c r="AI91" s="437">
        <v>46047</v>
      </c>
      <c r="AJ91" s="437">
        <v>46054</v>
      </c>
      <c r="AK91" s="441">
        <v>46054</v>
      </c>
      <c r="AL91" s="437">
        <v>46093</v>
      </c>
      <c r="AM91" s="437">
        <v>46107</v>
      </c>
      <c r="AN91" s="437">
        <v>46107</v>
      </c>
      <c r="AO91" s="430" t="s">
        <v>402</v>
      </c>
      <c r="AP91" s="430" t="s">
        <v>542</v>
      </c>
      <c r="AQ91" s="430" t="s">
        <v>161</v>
      </c>
      <c r="AR91" s="430" t="s">
        <v>543</v>
      </c>
      <c r="AS91" s="430" t="s">
        <v>544</v>
      </c>
      <c r="AT91" s="430" t="s">
        <v>544</v>
      </c>
      <c r="AU9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91" s="437">
        <v>46107</v>
      </c>
      <c r="AX91" s="433" t="s">
        <v>84</v>
      </c>
      <c r="AY91" s="437">
        <v>46104</v>
      </c>
      <c r="AZ91" s="442" t="s">
        <v>152</v>
      </c>
      <c r="BA91" s="437">
        <v>46107</v>
      </c>
      <c r="BB91" s="433">
        <v>2026</v>
      </c>
      <c r="BC91" s="430">
        <v>3</v>
      </c>
      <c r="BD91" s="430">
        <v>13</v>
      </c>
      <c r="BE91" s="431">
        <v>36</v>
      </c>
      <c r="BF91" s="431">
        <v>864</v>
      </c>
      <c r="BG91" s="431" t="s">
        <v>85</v>
      </c>
      <c r="BH91" s="431" t="s">
        <v>109</v>
      </c>
      <c r="BI91" s="430" t="s">
        <v>197</v>
      </c>
      <c r="BJ91" s="430" t="s">
        <v>197</v>
      </c>
      <c r="BK91" s="430" t="s">
        <v>197</v>
      </c>
      <c r="BL91" s="430" t="s">
        <v>197</v>
      </c>
      <c r="BM91" s="430" t="s">
        <v>197</v>
      </c>
      <c r="BN91" s="430" t="s">
        <v>197</v>
      </c>
      <c r="BO91" s="430" t="s">
        <v>197</v>
      </c>
      <c r="BP91" s="430" t="s">
        <v>197</v>
      </c>
      <c r="BQ91" s="430" t="s">
        <v>197</v>
      </c>
      <c r="BR91" s="430" t="s">
        <v>197</v>
      </c>
      <c r="BS91" s="430" t="s">
        <v>197</v>
      </c>
      <c r="BT91" s="430" t="s">
        <v>197</v>
      </c>
      <c r="BU91" s="430" t="s">
        <v>197</v>
      </c>
      <c r="BV91" s="430" t="s">
        <v>197</v>
      </c>
      <c r="BW91" s="430" t="s">
        <v>197</v>
      </c>
      <c r="BX91" s="430" t="s">
        <v>197</v>
      </c>
      <c r="BY91" s="430" t="s">
        <v>197</v>
      </c>
      <c r="BZ91" s="430" t="s">
        <v>197</v>
      </c>
      <c r="CA91" s="430" t="s">
        <v>197</v>
      </c>
      <c r="CB91" s="430" t="s">
        <v>197</v>
      </c>
      <c r="CC91" s="430" t="s">
        <v>197</v>
      </c>
      <c r="CD91" s="430" t="s">
        <v>197</v>
      </c>
      <c r="CE91" s="430" t="s">
        <v>197</v>
      </c>
      <c r="CF91" s="430" t="s">
        <v>197</v>
      </c>
      <c r="CG91" s="430" t="s">
        <v>197</v>
      </c>
      <c r="CH91" s="430" t="s">
        <v>197</v>
      </c>
      <c r="CI91" s="430" t="s">
        <v>197</v>
      </c>
      <c r="CJ91" s="430" t="s">
        <v>197</v>
      </c>
      <c r="CK91" s="430" t="s">
        <v>197</v>
      </c>
      <c r="CL91" s="430" t="s">
        <v>197</v>
      </c>
      <c r="CM91" s="430" t="s">
        <v>197</v>
      </c>
    </row>
    <row r="92" spans="1:91" ht="10.5" hidden="1">
      <c r="A92" s="462" t="s">
        <v>547</v>
      </c>
      <c r="B92" s="462" t="s">
        <v>111</v>
      </c>
      <c r="C92" s="462" t="s">
        <v>548</v>
      </c>
      <c r="D92" s="462" t="s">
        <v>63</v>
      </c>
      <c r="E92" s="462" t="s">
        <v>144</v>
      </c>
      <c r="F92" s="462" t="s">
        <v>145</v>
      </c>
      <c r="G92" s="462" t="s">
        <v>402</v>
      </c>
      <c r="H92" s="462" t="s">
        <v>538</v>
      </c>
      <c r="I92" s="439" t="s">
        <v>68</v>
      </c>
      <c r="J92" s="430" t="s">
        <v>538</v>
      </c>
      <c r="K92" s="430" t="s">
        <v>549</v>
      </c>
      <c r="L92" s="430"/>
      <c r="M92" s="430" t="s">
        <v>68</v>
      </c>
      <c r="N92" s="432" t="s">
        <v>68</v>
      </c>
      <c r="O92" s="430" t="s">
        <v>550</v>
      </c>
      <c r="P92" s="430" t="s">
        <v>551</v>
      </c>
      <c r="Q92" s="430" t="s">
        <v>552</v>
      </c>
      <c r="R92" s="431" t="s">
        <v>73</v>
      </c>
      <c r="S92" s="442" t="s">
        <v>553</v>
      </c>
      <c r="T92" s="433">
        <v>510</v>
      </c>
      <c r="U92" s="1062">
        <v>2376</v>
      </c>
      <c r="V92" s="434">
        <v>1.212</v>
      </c>
      <c r="W92" s="435">
        <v>66</v>
      </c>
      <c r="X92" s="1015">
        <v>3</v>
      </c>
      <c r="Y92" s="430" t="s">
        <v>75</v>
      </c>
      <c r="Z92" s="430" t="s">
        <v>75</v>
      </c>
      <c r="AA92" s="430"/>
      <c r="AB92" s="437">
        <v>46040</v>
      </c>
      <c r="AC92" s="438">
        <v>3</v>
      </c>
      <c r="AD92" s="439" t="s">
        <v>554</v>
      </c>
      <c r="AE92" s="430"/>
      <c r="AF92" s="430" t="s">
        <v>122</v>
      </c>
      <c r="AG92" s="430" t="s">
        <v>123</v>
      </c>
      <c r="AH92" s="430" t="s">
        <v>541</v>
      </c>
      <c r="AI92" s="437">
        <v>46047</v>
      </c>
      <c r="AJ92" s="437">
        <v>46054</v>
      </c>
      <c r="AK92" s="441">
        <v>46054</v>
      </c>
      <c r="AL92" s="437">
        <v>46093</v>
      </c>
      <c r="AM92" s="437">
        <v>46107</v>
      </c>
      <c r="AN92" s="437">
        <v>46107</v>
      </c>
      <c r="AO92" s="430" t="s">
        <v>402</v>
      </c>
      <c r="AP92" s="430" t="s">
        <v>542</v>
      </c>
      <c r="AQ92" s="430" t="s">
        <v>161</v>
      </c>
      <c r="AR92" s="430" t="s">
        <v>543</v>
      </c>
      <c r="AS92" s="430" t="s">
        <v>544</v>
      </c>
      <c r="AT92" s="430" t="s">
        <v>544</v>
      </c>
      <c r="AU9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92" s="437">
        <v>46107</v>
      </c>
      <c r="AX92" s="433" t="s">
        <v>84</v>
      </c>
      <c r="AY92" s="437">
        <v>46104</v>
      </c>
      <c r="AZ92" s="442" t="s">
        <v>152</v>
      </c>
      <c r="BA92" s="437">
        <v>46107</v>
      </c>
      <c r="BB92" s="433">
        <v>2026</v>
      </c>
      <c r="BC92" s="430">
        <v>3</v>
      </c>
      <c r="BD92" s="430">
        <v>13</v>
      </c>
      <c r="BE92" s="431">
        <v>36</v>
      </c>
      <c r="BF92" s="431">
        <v>792</v>
      </c>
      <c r="BG92" s="431" t="s">
        <v>85</v>
      </c>
      <c r="BH92" s="431" t="s">
        <v>109</v>
      </c>
      <c r="BI92" s="430" t="s">
        <v>197</v>
      </c>
      <c r="BJ92" s="430" t="s">
        <v>197</v>
      </c>
      <c r="BK92" s="430" t="s">
        <v>197</v>
      </c>
      <c r="BL92" s="430" t="s">
        <v>197</v>
      </c>
      <c r="BM92" s="430" t="s">
        <v>197</v>
      </c>
      <c r="BN92" s="430" t="s">
        <v>197</v>
      </c>
      <c r="BO92" s="430" t="s">
        <v>197</v>
      </c>
      <c r="BP92" s="430" t="s">
        <v>197</v>
      </c>
      <c r="BQ92" s="430" t="s">
        <v>197</v>
      </c>
      <c r="BR92" s="430" t="s">
        <v>197</v>
      </c>
      <c r="BS92" s="430" t="s">
        <v>197</v>
      </c>
      <c r="BT92" s="430" t="s">
        <v>197</v>
      </c>
      <c r="BU92" s="430" t="s">
        <v>197</v>
      </c>
      <c r="BV92" s="430" t="s">
        <v>197</v>
      </c>
      <c r="BW92" s="430" t="s">
        <v>197</v>
      </c>
      <c r="BX92" s="430" t="s">
        <v>197</v>
      </c>
      <c r="BY92" s="430" t="s">
        <v>197</v>
      </c>
      <c r="BZ92" s="430" t="s">
        <v>197</v>
      </c>
      <c r="CA92" s="430" t="s">
        <v>197</v>
      </c>
      <c r="CB92" s="430" t="s">
        <v>197</v>
      </c>
      <c r="CC92" s="430" t="s">
        <v>197</v>
      </c>
      <c r="CD92" s="430" t="s">
        <v>197</v>
      </c>
      <c r="CE92" s="430" t="s">
        <v>197</v>
      </c>
      <c r="CF92" s="430" t="s">
        <v>197</v>
      </c>
      <c r="CG92" s="430" t="s">
        <v>197</v>
      </c>
      <c r="CH92" s="430" t="s">
        <v>197</v>
      </c>
      <c r="CI92" s="430" t="s">
        <v>197</v>
      </c>
      <c r="CJ92" s="430" t="s">
        <v>197</v>
      </c>
      <c r="CK92" s="430" t="s">
        <v>197</v>
      </c>
      <c r="CL92" s="430" t="s">
        <v>197</v>
      </c>
      <c r="CM92" s="430" t="s">
        <v>197</v>
      </c>
    </row>
    <row r="93" spans="1:91" ht="10.5" hidden="1">
      <c r="A93" s="462" t="s">
        <v>555</v>
      </c>
      <c r="B93" s="462" t="s">
        <v>111</v>
      </c>
      <c r="C93" s="462" t="s">
        <v>525</v>
      </c>
      <c r="D93" s="462" t="s">
        <v>63</v>
      </c>
      <c r="E93" s="462" t="s">
        <v>144</v>
      </c>
      <c r="F93" s="462" t="s">
        <v>145</v>
      </c>
      <c r="G93" s="462" t="s">
        <v>402</v>
      </c>
      <c r="H93" s="462" t="s">
        <v>538</v>
      </c>
      <c r="I93" s="439" t="s">
        <v>68</v>
      </c>
      <c r="J93" s="430" t="s">
        <v>538</v>
      </c>
      <c r="K93" s="430" t="s">
        <v>549</v>
      </c>
      <c r="L93" s="430"/>
      <c r="M93" s="430" t="s">
        <v>68</v>
      </c>
      <c r="N93" s="432" t="s">
        <v>68</v>
      </c>
      <c r="O93" s="430" t="s">
        <v>473</v>
      </c>
      <c r="P93" s="430" t="s">
        <v>529</v>
      </c>
      <c r="Q93" s="430" t="s">
        <v>530</v>
      </c>
      <c r="R93" s="431" t="s">
        <v>73</v>
      </c>
      <c r="S93" s="442" t="s">
        <v>74</v>
      </c>
      <c r="T93" s="433">
        <v>455</v>
      </c>
      <c r="U93" s="1062">
        <v>5184</v>
      </c>
      <c r="V93" s="434">
        <v>2.359</v>
      </c>
      <c r="W93" s="435">
        <v>144</v>
      </c>
      <c r="X93" s="1015">
        <v>6</v>
      </c>
      <c r="Y93" s="430" t="s">
        <v>75</v>
      </c>
      <c r="Z93" s="430" t="s">
        <v>75</v>
      </c>
      <c r="AA93" s="430"/>
      <c r="AB93" s="437">
        <v>46040</v>
      </c>
      <c r="AC93" s="438">
        <v>3</v>
      </c>
      <c r="AD93" s="439" t="s">
        <v>556</v>
      </c>
      <c r="AE93" s="430"/>
      <c r="AF93" s="430" t="s">
        <v>122</v>
      </c>
      <c r="AG93" s="430" t="s">
        <v>123</v>
      </c>
      <c r="AH93" s="430" t="s">
        <v>541</v>
      </c>
      <c r="AI93" s="437">
        <v>46047</v>
      </c>
      <c r="AJ93" s="437">
        <v>46054</v>
      </c>
      <c r="AK93" s="441">
        <v>46054</v>
      </c>
      <c r="AL93" s="437">
        <v>46093</v>
      </c>
      <c r="AM93" s="437">
        <v>46107</v>
      </c>
      <c r="AN93" s="437">
        <v>46107</v>
      </c>
      <c r="AO93" s="430" t="s">
        <v>402</v>
      </c>
      <c r="AP93" s="430" t="s">
        <v>542</v>
      </c>
      <c r="AQ93" s="430" t="s">
        <v>161</v>
      </c>
      <c r="AR93" s="430" t="s">
        <v>543</v>
      </c>
      <c r="AS93" s="430" t="s">
        <v>544</v>
      </c>
      <c r="AT93" s="430" t="s">
        <v>544</v>
      </c>
      <c r="AU9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93" s="437">
        <v>46107</v>
      </c>
      <c r="AX93" s="433" t="s">
        <v>84</v>
      </c>
      <c r="AY93" s="437">
        <v>46104</v>
      </c>
      <c r="AZ93" s="442" t="s">
        <v>152</v>
      </c>
      <c r="BA93" s="437">
        <v>46107</v>
      </c>
      <c r="BB93" s="433">
        <v>2026</v>
      </c>
      <c r="BC93" s="430">
        <v>3</v>
      </c>
      <c r="BD93" s="430">
        <v>13</v>
      </c>
      <c r="BE93" s="431">
        <v>36</v>
      </c>
      <c r="BF93" s="431">
        <v>864</v>
      </c>
      <c r="BG93" s="431" t="s">
        <v>85</v>
      </c>
      <c r="BH93" s="431" t="s">
        <v>109</v>
      </c>
      <c r="BI93" s="430" t="s">
        <v>197</v>
      </c>
      <c r="BJ93" s="430" t="s">
        <v>197</v>
      </c>
      <c r="BK93" s="430" t="s">
        <v>197</v>
      </c>
      <c r="BL93" s="430" t="s">
        <v>197</v>
      </c>
      <c r="BM93" s="430" t="s">
        <v>197</v>
      </c>
      <c r="BN93" s="430" t="s">
        <v>197</v>
      </c>
      <c r="BO93" s="430" t="s">
        <v>197</v>
      </c>
      <c r="BP93" s="430" t="s">
        <v>197</v>
      </c>
      <c r="BQ93" s="430" t="s">
        <v>197</v>
      </c>
      <c r="BR93" s="430" t="s">
        <v>197</v>
      </c>
      <c r="BS93" s="430" t="s">
        <v>197</v>
      </c>
      <c r="BT93" s="430" t="s">
        <v>197</v>
      </c>
      <c r="BU93" s="430" t="s">
        <v>197</v>
      </c>
      <c r="BV93" s="430" t="s">
        <v>197</v>
      </c>
      <c r="BW93" s="430" t="s">
        <v>197</v>
      </c>
      <c r="BX93" s="430" t="s">
        <v>197</v>
      </c>
      <c r="BY93" s="430" t="s">
        <v>197</v>
      </c>
      <c r="BZ93" s="430" t="s">
        <v>197</v>
      </c>
      <c r="CA93" s="430" t="s">
        <v>197</v>
      </c>
      <c r="CB93" s="430" t="s">
        <v>197</v>
      </c>
      <c r="CC93" s="430" t="s">
        <v>197</v>
      </c>
      <c r="CD93" s="430" t="s">
        <v>197</v>
      </c>
      <c r="CE93" s="430" t="s">
        <v>197</v>
      </c>
      <c r="CF93" s="430" t="s">
        <v>197</v>
      </c>
      <c r="CG93" s="430" t="s">
        <v>197</v>
      </c>
      <c r="CH93" s="430" t="s">
        <v>197</v>
      </c>
      <c r="CI93" s="430" t="s">
        <v>197</v>
      </c>
      <c r="CJ93" s="430" t="s">
        <v>197</v>
      </c>
      <c r="CK93" s="430" t="s">
        <v>197</v>
      </c>
      <c r="CL93" s="430" t="s">
        <v>197</v>
      </c>
      <c r="CM93" s="430" t="s">
        <v>197</v>
      </c>
    </row>
    <row r="94" spans="1:91" ht="10.5" hidden="1">
      <c r="A94" s="462" t="s">
        <v>557</v>
      </c>
      <c r="B94" s="462" t="s">
        <v>61</v>
      </c>
      <c r="C94" s="462" t="s">
        <v>558</v>
      </c>
      <c r="D94" s="462" t="s">
        <v>63</v>
      </c>
      <c r="E94" s="462" t="s">
        <v>144</v>
      </c>
      <c r="F94" s="462" t="s">
        <v>145</v>
      </c>
      <c r="G94" s="462" t="s">
        <v>402</v>
      </c>
      <c r="H94" s="462" t="s">
        <v>538</v>
      </c>
      <c r="I94" s="439" t="s">
        <v>68</v>
      </c>
      <c r="J94" s="430" t="s">
        <v>538</v>
      </c>
      <c r="K94" s="430" t="s">
        <v>559</v>
      </c>
      <c r="L94" s="430"/>
      <c r="M94" s="430" t="s">
        <v>68</v>
      </c>
      <c r="N94" s="432" t="s">
        <v>68</v>
      </c>
      <c r="O94" s="430" t="s">
        <v>70</v>
      </c>
      <c r="P94" s="430" t="s">
        <v>560</v>
      </c>
      <c r="Q94" s="430" t="s">
        <v>196</v>
      </c>
      <c r="R94" s="431" t="s">
        <v>73</v>
      </c>
      <c r="S94" s="442" t="s">
        <v>120</v>
      </c>
      <c r="T94" s="433">
        <v>450</v>
      </c>
      <c r="U94" s="1062">
        <v>1872</v>
      </c>
      <c r="V94" s="434">
        <v>0.84199999999999997</v>
      </c>
      <c r="W94" s="435">
        <v>52</v>
      </c>
      <c r="X94" s="1015">
        <v>2</v>
      </c>
      <c r="Y94" s="430" t="s">
        <v>75</v>
      </c>
      <c r="Z94" s="430" t="s">
        <v>75</v>
      </c>
      <c r="AA94" s="430"/>
      <c r="AB94" s="437">
        <v>46044</v>
      </c>
      <c r="AC94" s="438">
        <v>4</v>
      </c>
      <c r="AD94" s="439" t="s">
        <v>561</v>
      </c>
      <c r="AE94" s="430"/>
      <c r="AF94" s="430" t="s">
        <v>77</v>
      </c>
      <c r="AG94" s="430" t="s">
        <v>61</v>
      </c>
      <c r="AH94" s="430" t="s">
        <v>541</v>
      </c>
      <c r="AI94" s="437">
        <v>46050</v>
      </c>
      <c r="AJ94" s="437">
        <v>46051</v>
      </c>
      <c r="AK94" s="441">
        <v>46051</v>
      </c>
      <c r="AL94" s="437">
        <v>46119</v>
      </c>
      <c r="AM94" s="437">
        <v>46128</v>
      </c>
      <c r="AN94" s="437">
        <v>46128</v>
      </c>
      <c r="AO94" s="430" t="s">
        <v>402</v>
      </c>
      <c r="AP94" s="430" t="s">
        <v>562</v>
      </c>
      <c r="AQ94" s="430" t="s">
        <v>161</v>
      </c>
      <c r="AR94" s="430" t="s">
        <v>563</v>
      </c>
      <c r="AS94" s="430" t="s">
        <v>564</v>
      </c>
      <c r="AT94" s="430" t="s">
        <v>564</v>
      </c>
      <c r="AU9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77</v>
      </c>
      <c r="AW94" s="437">
        <v>46128</v>
      </c>
      <c r="AX94" s="433" t="s">
        <v>84</v>
      </c>
      <c r="AY94" s="437">
        <v>46118</v>
      </c>
      <c r="AZ94" s="442" t="s">
        <v>152</v>
      </c>
      <c r="BA94" s="437">
        <v>46128</v>
      </c>
      <c r="BB94" s="433">
        <v>2026</v>
      </c>
      <c r="BC94" s="430">
        <v>4</v>
      </c>
      <c r="BD94" s="430">
        <v>16</v>
      </c>
      <c r="BE94" s="431">
        <v>36</v>
      </c>
      <c r="BF94" s="431">
        <v>936</v>
      </c>
      <c r="BG94" s="431" t="s">
        <v>94</v>
      </c>
      <c r="BH94" s="431" t="s">
        <v>109</v>
      </c>
      <c r="BI94" s="430" t="s">
        <v>197</v>
      </c>
      <c r="BJ94" s="430" t="s">
        <v>197</v>
      </c>
      <c r="BK94" s="430" t="s">
        <v>197</v>
      </c>
      <c r="BL94" s="430" t="s">
        <v>197</v>
      </c>
      <c r="BM94" s="430" t="s">
        <v>197</v>
      </c>
      <c r="BN94" s="430" t="s">
        <v>197</v>
      </c>
      <c r="BO94" s="430" t="s">
        <v>197</v>
      </c>
      <c r="BP94" s="430" t="s">
        <v>197</v>
      </c>
      <c r="BQ94" s="430" t="s">
        <v>197</v>
      </c>
      <c r="BR94" s="430" t="s">
        <v>197</v>
      </c>
      <c r="BS94" s="430" t="s">
        <v>197</v>
      </c>
      <c r="BT94" s="430" t="s">
        <v>197</v>
      </c>
      <c r="BU94" s="430" t="s">
        <v>197</v>
      </c>
      <c r="BV94" s="430" t="s">
        <v>197</v>
      </c>
      <c r="BW94" s="430" t="s">
        <v>197</v>
      </c>
      <c r="BX94" s="430" t="s">
        <v>197</v>
      </c>
      <c r="BY94" s="430" t="s">
        <v>197</v>
      </c>
      <c r="BZ94" s="430" t="s">
        <v>197</v>
      </c>
      <c r="CA94" s="430" t="s">
        <v>197</v>
      </c>
      <c r="CB94" s="430" t="s">
        <v>197</v>
      </c>
      <c r="CC94" s="430" t="s">
        <v>197</v>
      </c>
      <c r="CD94" s="430" t="s">
        <v>197</v>
      </c>
      <c r="CE94" s="430" t="s">
        <v>197</v>
      </c>
      <c r="CF94" s="430" t="s">
        <v>197</v>
      </c>
      <c r="CG94" s="430" t="s">
        <v>197</v>
      </c>
      <c r="CH94" s="430" t="s">
        <v>197</v>
      </c>
      <c r="CI94" s="430" t="s">
        <v>197</v>
      </c>
      <c r="CJ94" s="430" t="s">
        <v>197</v>
      </c>
      <c r="CK94" s="430" t="s">
        <v>197</v>
      </c>
      <c r="CL94" s="430" t="s">
        <v>197</v>
      </c>
      <c r="CM94" s="430" t="s">
        <v>197</v>
      </c>
    </row>
    <row r="95" spans="1:91" ht="10.5" hidden="1">
      <c r="A95" s="462" t="s">
        <v>565</v>
      </c>
      <c r="B95" s="462" t="s">
        <v>61</v>
      </c>
      <c r="C95" s="462" t="s">
        <v>558</v>
      </c>
      <c r="D95" s="462" t="s">
        <v>63</v>
      </c>
      <c r="E95" s="462" t="s">
        <v>144</v>
      </c>
      <c r="F95" s="462" t="s">
        <v>145</v>
      </c>
      <c r="G95" s="462" t="s">
        <v>402</v>
      </c>
      <c r="H95" s="462" t="s">
        <v>538</v>
      </c>
      <c r="I95" s="439" t="s">
        <v>68</v>
      </c>
      <c r="J95" s="430" t="s">
        <v>538</v>
      </c>
      <c r="K95" s="430" t="s">
        <v>566</v>
      </c>
      <c r="L95" s="430"/>
      <c r="M95" s="430" t="s">
        <v>68</v>
      </c>
      <c r="N95" s="432" t="s">
        <v>68</v>
      </c>
      <c r="O95" s="430" t="s">
        <v>70</v>
      </c>
      <c r="P95" s="430" t="s">
        <v>560</v>
      </c>
      <c r="Q95" s="430" t="s">
        <v>196</v>
      </c>
      <c r="R95" s="431" t="s">
        <v>73</v>
      </c>
      <c r="S95" s="442" t="s">
        <v>120</v>
      </c>
      <c r="T95" s="433">
        <v>450</v>
      </c>
      <c r="U95" s="1062">
        <v>1872</v>
      </c>
      <c r="V95" s="434">
        <v>0.84199999999999997</v>
      </c>
      <c r="W95" s="435">
        <v>52</v>
      </c>
      <c r="X95" s="1015">
        <v>2</v>
      </c>
      <c r="Y95" s="430" t="s">
        <v>75</v>
      </c>
      <c r="Z95" s="430" t="s">
        <v>75</v>
      </c>
      <c r="AA95" s="430"/>
      <c r="AB95" s="437">
        <v>46044</v>
      </c>
      <c r="AC95" s="438">
        <v>4</v>
      </c>
      <c r="AD95" s="439" t="s">
        <v>567</v>
      </c>
      <c r="AE95" s="430"/>
      <c r="AF95" s="430" t="s">
        <v>77</v>
      </c>
      <c r="AG95" s="430" t="s">
        <v>61</v>
      </c>
      <c r="AH95" s="430" t="s">
        <v>541</v>
      </c>
      <c r="AI95" s="437">
        <v>46050</v>
      </c>
      <c r="AJ95" s="437">
        <v>46051</v>
      </c>
      <c r="AK95" s="441">
        <v>46051</v>
      </c>
      <c r="AL95" s="437">
        <v>46119</v>
      </c>
      <c r="AM95" s="437">
        <v>46128</v>
      </c>
      <c r="AN95" s="437">
        <v>46128</v>
      </c>
      <c r="AO95" s="430" t="s">
        <v>402</v>
      </c>
      <c r="AP95" s="430" t="s">
        <v>562</v>
      </c>
      <c r="AQ95" s="430" t="s">
        <v>161</v>
      </c>
      <c r="AR95" s="430" t="s">
        <v>563</v>
      </c>
      <c r="AS95" s="430" t="s">
        <v>564</v>
      </c>
      <c r="AT95" s="430" t="s">
        <v>564</v>
      </c>
      <c r="AU9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77</v>
      </c>
      <c r="AW95" s="437">
        <v>46128</v>
      </c>
      <c r="AX95" s="433" t="s">
        <v>84</v>
      </c>
      <c r="AY95" s="437">
        <v>46118</v>
      </c>
      <c r="AZ95" s="442" t="s">
        <v>152</v>
      </c>
      <c r="BA95" s="437">
        <v>46128</v>
      </c>
      <c r="BB95" s="433">
        <v>2026</v>
      </c>
      <c r="BC95" s="430">
        <v>4</v>
      </c>
      <c r="BD95" s="430">
        <v>16</v>
      </c>
      <c r="BE95" s="431">
        <v>36</v>
      </c>
      <c r="BF95" s="431">
        <v>936</v>
      </c>
      <c r="BG95" s="431" t="s">
        <v>94</v>
      </c>
      <c r="BH95" s="431" t="s">
        <v>109</v>
      </c>
      <c r="BI95" s="430" t="s">
        <v>197</v>
      </c>
      <c r="BJ95" s="430" t="s">
        <v>197</v>
      </c>
      <c r="BK95" s="430" t="s">
        <v>197</v>
      </c>
      <c r="BL95" s="430" t="s">
        <v>197</v>
      </c>
      <c r="BM95" s="430" t="s">
        <v>197</v>
      </c>
      <c r="BN95" s="430" t="s">
        <v>197</v>
      </c>
      <c r="BO95" s="430" t="s">
        <v>197</v>
      </c>
      <c r="BP95" s="430" t="s">
        <v>197</v>
      </c>
      <c r="BQ95" s="430" t="s">
        <v>197</v>
      </c>
      <c r="BR95" s="430" t="s">
        <v>197</v>
      </c>
      <c r="BS95" s="430" t="s">
        <v>197</v>
      </c>
      <c r="BT95" s="430" t="s">
        <v>197</v>
      </c>
      <c r="BU95" s="430" t="s">
        <v>197</v>
      </c>
      <c r="BV95" s="430" t="s">
        <v>197</v>
      </c>
      <c r="BW95" s="430" t="s">
        <v>197</v>
      </c>
      <c r="BX95" s="430" t="s">
        <v>197</v>
      </c>
      <c r="BY95" s="430" t="s">
        <v>197</v>
      </c>
      <c r="BZ95" s="430" t="s">
        <v>197</v>
      </c>
      <c r="CA95" s="430" t="s">
        <v>197</v>
      </c>
      <c r="CB95" s="430" t="s">
        <v>197</v>
      </c>
      <c r="CC95" s="430" t="s">
        <v>197</v>
      </c>
      <c r="CD95" s="430" t="s">
        <v>197</v>
      </c>
      <c r="CE95" s="430" t="s">
        <v>197</v>
      </c>
      <c r="CF95" s="430" t="s">
        <v>197</v>
      </c>
      <c r="CG95" s="430" t="s">
        <v>197</v>
      </c>
      <c r="CH95" s="430" t="s">
        <v>197</v>
      </c>
      <c r="CI95" s="430" t="s">
        <v>197</v>
      </c>
      <c r="CJ95" s="430" t="s">
        <v>197</v>
      </c>
      <c r="CK95" s="430" t="s">
        <v>197</v>
      </c>
      <c r="CL95" s="430" t="s">
        <v>197</v>
      </c>
      <c r="CM95" s="430" t="s">
        <v>197</v>
      </c>
    </row>
    <row r="96" spans="1:91" ht="10.5" hidden="1">
      <c r="A96" s="462" t="s">
        <v>568</v>
      </c>
      <c r="B96" s="462" t="s">
        <v>61</v>
      </c>
      <c r="C96" s="462" t="s">
        <v>569</v>
      </c>
      <c r="D96" s="462" t="s">
        <v>63</v>
      </c>
      <c r="E96" s="462" t="s">
        <v>144</v>
      </c>
      <c r="F96" s="462" t="s">
        <v>145</v>
      </c>
      <c r="G96" s="462" t="s">
        <v>402</v>
      </c>
      <c r="H96" s="462" t="s">
        <v>538</v>
      </c>
      <c r="I96" s="439" t="s">
        <v>68</v>
      </c>
      <c r="J96" s="430" t="s">
        <v>538</v>
      </c>
      <c r="K96" s="430" t="s">
        <v>559</v>
      </c>
      <c r="L96" s="430"/>
      <c r="M96" s="430" t="s">
        <v>68</v>
      </c>
      <c r="N96" s="432" t="s">
        <v>68</v>
      </c>
      <c r="O96" s="430" t="s">
        <v>70</v>
      </c>
      <c r="P96" s="430" t="s">
        <v>570</v>
      </c>
      <c r="Q96" s="430" t="s">
        <v>571</v>
      </c>
      <c r="R96" s="431" t="s">
        <v>73</v>
      </c>
      <c r="S96" s="442" t="s">
        <v>120</v>
      </c>
      <c r="T96" s="433">
        <v>445</v>
      </c>
      <c r="U96" s="1062">
        <v>3744</v>
      </c>
      <c r="V96" s="434">
        <v>1.6659999999999999</v>
      </c>
      <c r="W96" s="435">
        <v>104</v>
      </c>
      <c r="X96" s="1015">
        <v>4</v>
      </c>
      <c r="Y96" s="430" t="s">
        <v>75</v>
      </c>
      <c r="Z96" s="430" t="s">
        <v>75</v>
      </c>
      <c r="AA96" s="430"/>
      <c r="AB96" s="437">
        <v>46044</v>
      </c>
      <c r="AC96" s="438">
        <v>4</v>
      </c>
      <c r="AD96" s="439" t="s">
        <v>572</v>
      </c>
      <c r="AE96" s="430"/>
      <c r="AF96" s="430" t="s">
        <v>77</v>
      </c>
      <c r="AG96" s="430" t="s">
        <v>61</v>
      </c>
      <c r="AH96" s="430" t="s">
        <v>541</v>
      </c>
      <c r="AI96" s="437">
        <v>46050</v>
      </c>
      <c r="AJ96" s="437">
        <v>46051</v>
      </c>
      <c r="AK96" s="441">
        <v>46051</v>
      </c>
      <c r="AL96" s="437">
        <v>46119</v>
      </c>
      <c r="AM96" s="437">
        <v>46128</v>
      </c>
      <c r="AN96" s="437">
        <v>46128</v>
      </c>
      <c r="AO96" s="430" t="s">
        <v>402</v>
      </c>
      <c r="AP96" s="430" t="s">
        <v>562</v>
      </c>
      <c r="AQ96" s="430" t="s">
        <v>161</v>
      </c>
      <c r="AR96" s="430" t="s">
        <v>563</v>
      </c>
      <c r="AS96" s="430" t="s">
        <v>564</v>
      </c>
      <c r="AT96" s="430" t="s">
        <v>564</v>
      </c>
      <c r="AU9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77</v>
      </c>
      <c r="AW96" s="437">
        <v>46128</v>
      </c>
      <c r="AX96" s="433" t="s">
        <v>84</v>
      </c>
      <c r="AY96" s="437">
        <v>46118</v>
      </c>
      <c r="AZ96" s="442" t="s">
        <v>152</v>
      </c>
      <c r="BA96" s="437">
        <v>46128</v>
      </c>
      <c r="BB96" s="433">
        <v>2026</v>
      </c>
      <c r="BC96" s="430">
        <v>4</v>
      </c>
      <c r="BD96" s="430">
        <v>16</v>
      </c>
      <c r="BE96" s="431">
        <v>36</v>
      </c>
      <c r="BF96" s="431">
        <v>936</v>
      </c>
      <c r="BG96" s="431" t="s">
        <v>94</v>
      </c>
      <c r="BH96" s="431" t="s">
        <v>109</v>
      </c>
      <c r="BI96" s="430" t="s">
        <v>197</v>
      </c>
      <c r="BJ96" s="430" t="s">
        <v>197</v>
      </c>
      <c r="BK96" s="430" t="s">
        <v>197</v>
      </c>
      <c r="BL96" s="430" t="s">
        <v>197</v>
      </c>
      <c r="BM96" s="430" t="s">
        <v>197</v>
      </c>
      <c r="BN96" s="430" t="s">
        <v>197</v>
      </c>
      <c r="BO96" s="430" t="s">
        <v>197</v>
      </c>
      <c r="BP96" s="430" t="s">
        <v>197</v>
      </c>
      <c r="BQ96" s="430" t="s">
        <v>197</v>
      </c>
      <c r="BR96" s="430" t="s">
        <v>197</v>
      </c>
      <c r="BS96" s="430" t="s">
        <v>197</v>
      </c>
      <c r="BT96" s="430" t="s">
        <v>197</v>
      </c>
      <c r="BU96" s="430" t="s">
        <v>197</v>
      </c>
      <c r="BV96" s="430" t="s">
        <v>197</v>
      </c>
      <c r="BW96" s="430" t="s">
        <v>197</v>
      </c>
      <c r="BX96" s="430" t="s">
        <v>197</v>
      </c>
      <c r="BY96" s="430" t="s">
        <v>197</v>
      </c>
      <c r="BZ96" s="430" t="s">
        <v>197</v>
      </c>
      <c r="CA96" s="430" t="s">
        <v>197</v>
      </c>
      <c r="CB96" s="430" t="s">
        <v>197</v>
      </c>
      <c r="CC96" s="430" t="s">
        <v>197</v>
      </c>
      <c r="CD96" s="430" t="s">
        <v>197</v>
      </c>
      <c r="CE96" s="430" t="s">
        <v>197</v>
      </c>
      <c r="CF96" s="430" t="s">
        <v>197</v>
      </c>
      <c r="CG96" s="430" t="s">
        <v>197</v>
      </c>
      <c r="CH96" s="430" t="s">
        <v>197</v>
      </c>
      <c r="CI96" s="430" t="s">
        <v>197</v>
      </c>
      <c r="CJ96" s="430" t="s">
        <v>197</v>
      </c>
      <c r="CK96" s="430" t="s">
        <v>197</v>
      </c>
      <c r="CL96" s="430" t="s">
        <v>197</v>
      </c>
      <c r="CM96" s="430" t="s">
        <v>197</v>
      </c>
    </row>
    <row r="97" spans="1:91" ht="10.5" hidden="1">
      <c r="A97" s="462" t="s">
        <v>573</v>
      </c>
      <c r="B97" s="462" t="s">
        <v>61</v>
      </c>
      <c r="C97" s="462" t="s">
        <v>569</v>
      </c>
      <c r="D97" s="462" t="s">
        <v>63</v>
      </c>
      <c r="E97" s="462" t="s">
        <v>144</v>
      </c>
      <c r="F97" s="462" t="s">
        <v>145</v>
      </c>
      <c r="G97" s="462" t="s">
        <v>402</v>
      </c>
      <c r="H97" s="462" t="s">
        <v>538</v>
      </c>
      <c r="I97" s="439" t="s">
        <v>68</v>
      </c>
      <c r="J97" s="430" t="s">
        <v>538</v>
      </c>
      <c r="K97" s="430" t="s">
        <v>574</v>
      </c>
      <c r="L97" s="430"/>
      <c r="M97" s="430" t="s">
        <v>68</v>
      </c>
      <c r="N97" s="432" t="s">
        <v>68</v>
      </c>
      <c r="O97" s="430" t="s">
        <v>70</v>
      </c>
      <c r="P97" s="430" t="s">
        <v>570</v>
      </c>
      <c r="Q97" s="430" t="s">
        <v>571</v>
      </c>
      <c r="R97" s="431" t="s">
        <v>73</v>
      </c>
      <c r="S97" s="442" t="s">
        <v>120</v>
      </c>
      <c r="T97" s="433">
        <v>445</v>
      </c>
      <c r="U97" s="1062">
        <v>4680</v>
      </c>
      <c r="V97" s="434">
        <v>2.0830000000000002</v>
      </c>
      <c r="W97" s="435">
        <v>130</v>
      </c>
      <c r="X97" s="1015">
        <v>5</v>
      </c>
      <c r="Y97" s="430" t="s">
        <v>75</v>
      </c>
      <c r="Z97" s="430" t="s">
        <v>75</v>
      </c>
      <c r="AA97" s="430"/>
      <c r="AB97" s="437">
        <v>46044</v>
      </c>
      <c r="AC97" s="438">
        <v>4</v>
      </c>
      <c r="AD97" s="439" t="s">
        <v>575</v>
      </c>
      <c r="AE97" s="430"/>
      <c r="AF97" s="430" t="s">
        <v>77</v>
      </c>
      <c r="AG97" s="430" t="s">
        <v>61</v>
      </c>
      <c r="AH97" s="430" t="s">
        <v>541</v>
      </c>
      <c r="AI97" s="437">
        <v>46050</v>
      </c>
      <c r="AJ97" s="437">
        <v>46051</v>
      </c>
      <c r="AK97" s="441">
        <v>46051</v>
      </c>
      <c r="AL97" s="437">
        <v>46119</v>
      </c>
      <c r="AM97" s="437">
        <v>46128</v>
      </c>
      <c r="AN97" s="437">
        <v>46128</v>
      </c>
      <c r="AO97" s="430" t="s">
        <v>402</v>
      </c>
      <c r="AP97" s="430" t="s">
        <v>562</v>
      </c>
      <c r="AQ97" s="430" t="s">
        <v>161</v>
      </c>
      <c r="AR97" s="430" t="s">
        <v>563</v>
      </c>
      <c r="AS97" s="430" t="s">
        <v>564</v>
      </c>
      <c r="AT97" s="430" t="s">
        <v>564</v>
      </c>
      <c r="AU9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77</v>
      </c>
      <c r="AW97" s="437">
        <v>46128</v>
      </c>
      <c r="AX97" s="433" t="s">
        <v>84</v>
      </c>
      <c r="AY97" s="437">
        <v>46118</v>
      </c>
      <c r="AZ97" s="442" t="s">
        <v>152</v>
      </c>
      <c r="BA97" s="437">
        <v>46128</v>
      </c>
      <c r="BB97" s="433">
        <v>2026</v>
      </c>
      <c r="BC97" s="430">
        <v>4</v>
      </c>
      <c r="BD97" s="430">
        <v>16</v>
      </c>
      <c r="BE97" s="431">
        <v>36</v>
      </c>
      <c r="BF97" s="431">
        <v>936</v>
      </c>
      <c r="BG97" s="431" t="s">
        <v>94</v>
      </c>
      <c r="BH97" s="431" t="s">
        <v>109</v>
      </c>
      <c r="BI97" s="430" t="s">
        <v>197</v>
      </c>
      <c r="BJ97" s="430" t="s">
        <v>197</v>
      </c>
      <c r="BK97" s="430" t="s">
        <v>197</v>
      </c>
      <c r="BL97" s="430" t="s">
        <v>197</v>
      </c>
      <c r="BM97" s="430" t="s">
        <v>197</v>
      </c>
      <c r="BN97" s="430" t="s">
        <v>197</v>
      </c>
      <c r="BO97" s="430" t="s">
        <v>197</v>
      </c>
      <c r="BP97" s="430" t="s">
        <v>197</v>
      </c>
      <c r="BQ97" s="430" t="s">
        <v>197</v>
      </c>
      <c r="BR97" s="430" t="s">
        <v>197</v>
      </c>
      <c r="BS97" s="430" t="s">
        <v>197</v>
      </c>
      <c r="BT97" s="430" t="s">
        <v>197</v>
      </c>
      <c r="BU97" s="430" t="s">
        <v>197</v>
      </c>
      <c r="BV97" s="430" t="s">
        <v>197</v>
      </c>
      <c r="BW97" s="430" t="s">
        <v>197</v>
      </c>
      <c r="BX97" s="430" t="s">
        <v>197</v>
      </c>
      <c r="BY97" s="430" t="s">
        <v>197</v>
      </c>
      <c r="BZ97" s="430" t="s">
        <v>197</v>
      </c>
      <c r="CA97" s="430" t="s">
        <v>197</v>
      </c>
      <c r="CB97" s="430" t="s">
        <v>197</v>
      </c>
      <c r="CC97" s="430" t="s">
        <v>197</v>
      </c>
      <c r="CD97" s="430" t="s">
        <v>197</v>
      </c>
      <c r="CE97" s="430" t="s">
        <v>197</v>
      </c>
      <c r="CF97" s="430" t="s">
        <v>197</v>
      </c>
      <c r="CG97" s="430" t="s">
        <v>197</v>
      </c>
      <c r="CH97" s="430" t="s">
        <v>197</v>
      </c>
      <c r="CI97" s="430" t="s">
        <v>197</v>
      </c>
      <c r="CJ97" s="430" t="s">
        <v>197</v>
      </c>
      <c r="CK97" s="430" t="s">
        <v>197</v>
      </c>
      <c r="CL97" s="430" t="s">
        <v>197</v>
      </c>
      <c r="CM97" s="430" t="s">
        <v>197</v>
      </c>
    </row>
    <row r="98" spans="1:91" ht="10.5" hidden="1">
      <c r="A98" s="462" t="s">
        <v>576</v>
      </c>
      <c r="B98" s="462" t="s">
        <v>61</v>
      </c>
      <c r="C98" s="462" t="s">
        <v>577</v>
      </c>
      <c r="D98" s="462" t="s">
        <v>63</v>
      </c>
      <c r="E98" s="462" t="s">
        <v>64</v>
      </c>
      <c r="F98" s="462" t="s">
        <v>100</v>
      </c>
      <c r="G98" s="462" t="s">
        <v>66</v>
      </c>
      <c r="H98" s="462" t="s">
        <v>67</v>
      </c>
      <c r="I98" s="439" t="s">
        <v>68</v>
      </c>
      <c r="J98" s="430" t="s">
        <v>578</v>
      </c>
      <c r="K98" s="430" t="s">
        <v>328</v>
      </c>
      <c r="L98" s="430"/>
      <c r="M98" s="430" t="s">
        <v>68</v>
      </c>
      <c r="N98" s="432" t="s">
        <v>68</v>
      </c>
      <c r="O98" s="430" t="s">
        <v>70</v>
      </c>
      <c r="P98" s="430" t="s">
        <v>71</v>
      </c>
      <c r="Q98" s="430" t="s">
        <v>72</v>
      </c>
      <c r="R98" s="431" t="s">
        <v>73</v>
      </c>
      <c r="S98" s="442" t="s">
        <v>74</v>
      </c>
      <c r="T98" s="433">
        <v>500</v>
      </c>
      <c r="U98" s="1062">
        <v>8640</v>
      </c>
      <c r="V98" s="434">
        <v>4.32</v>
      </c>
      <c r="W98" s="435">
        <v>240</v>
      </c>
      <c r="X98" s="1015">
        <v>10</v>
      </c>
      <c r="Y98" s="430" t="s">
        <v>75</v>
      </c>
      <c r="Z98" s="430" t="s">
        <v>75</v>
      </c>
      <c r="AA98" s="430" t="s">
        <v>197</v>
      </c>
      <c r="AB98" s="437">
        <v>46045</v>
      </c>
      <c r="AC98" s="438">
        <v>4</v>
      </c>
      <c r="AD98" s="439" t="s">
        <v>579</v>
      </c>
      <c r="AE98" s="430" t="s">
        <v>197</v>
      </c>
      <c r="AF98" s="430" t="s">
        <v>77</v>
      </c>
      <c r="AG98" s="430" t="s">
        <v>61</v>
      </c>
      <c r="AH98" s="430" t="s">
        <v>105</v>
      </c>
      <c r="AI98" s="437">
        <v>46054</v>
      </c>
      <c r="AJ98" s="437">
        <v>46054</v>
      </c>
      <c r="AK98" s="441">
        <v>46055</v>
      </c>
      <c r="AL98" s="437">
        <v>46094</v>
      </c>
      <c r="AM98" s="437">
        <v>46116</v>
      </c>
      <c r="AN98" s="437">
        <v>46118</v>
      </c>
      <c r="AO98" s="430" t="s">
        <v>66</v>
      </c>
      <c r="AP98" s="430" t="s">
        <v>580</v>
      </c>
      <c r="AQ98" s="430" t="s">
        <v>80</v>
      </c>
      <c r="AR98" s="430" t="s">
        <v>581</v>
      </c>
      <c r="AS98" s="430" t="s">
        <v>582</v>
      </c>
      <c r="AT98" s="430" t="s">
        <v>582</v>
      </c>
      <c r="AU9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63</v>
      </c>
      <c r="AW98" s="437">
        <v>46118</v>
      </c>
      <c r="AX98" s="433" t="s">
        <v>84</v>
      </c>
      <c r="AY98" s="437">
        <v>46129</v>
      </c>
      <c r="AZ98" s="442">
        <v>7</v>
      </c>
      <c r="BA98" s="437">
        <v>46125</v>
      </c>
      <c r="BB98" s="433">
        <v>2026</v>
      </c>
      <c r="BC98" s="430">
        <v>4</v>
      </c>
      <c r="BD98" s="430">
        <v>16</v>
      </c>
      <c r="BE98" s="431">
        <v>36</v>
      </c>
      <c r="BF98" s="431">
        <v>864</v>
      </c>
      <c r="BG98" s="431" t="s">
        <v>85</v>
      </c>
      <c r="BH98" s="431" t="s">
        <v>109</v>
      </c>
      <c r="BI98" s="430" t="s">
        <v>197</v>
      </c>
      <c r="BJ98" s="430" t="s">
        <v>197</v>
      </c>
      <c r="BK98" s="430" t="s">
        <v>197</v>
      </c>
      <c r="BL98" s="430" t="s">
        <v>197</v>
      </c>
      <c r="BM98" s="430" t="s">
        <v>197</v>
      </c>
      <c r="BN98" s="430" t="s">
        <v>197</v>
      </c>
      <c r="BO98" s="430" t="s">
        <v>197</v>
      </c>
      <c r="BP98" s="430" t="s">
        <v>197</v>
      </c>
      <c r="BQ98" s="430" t="s">
        <v>197</v>
      </c>
      <c r="BR98" s="430" t="s">
        <v>197</v>
      </c>
      <c r="BS98" s="430" t="s">
        <v>197</v>
      </c>
      <c r="BT98" s="430" t="s">
        <v>197</v>
      </c>
      <c r="BU98" s="430" t="s">
        <v>197</v>
      </c>
      <c r="BV98" s="430" t="s">
        <v>197</v>
      </c>
      <c r="BW98" s="430" t="s">
        <v>197</v>
      </c>
      <c r="BX98" s="430" t="s">
        <v>197</v>
      </c>
      <c r="BY98" s="430" t="s">
        <v>197</v>
      </c>
      <c r="BZ98" s="430" t="s">
        <v>197</v>
      </c>
      <c r="CA98" s="430" t="s">
        <v>197</v>
      </c>
      <c r="CB98" s="430" t="s">
        <v>197</v>
      </c>
      <c r="CC98" s="430" t="s">
        <v>197</v>
      </c>
      <c r="CD98" s="430" t="s">
        <v>197</v>
      </c>
      <c r="CE98" s="430" t="s">
        <v>197</v>
      </c>
      <c r="CF98" s="430" t="s">
        <v>197</v>
      </c>
      <c r="CG98" s="430" t="s">
        <v>197</v>
      </c>
      <c r="CH98" s="430" t="s">
        <v>197</v>
      </c>
      <c r="CI98" s="430" t="s">
        <v>197</v>
      </c>
      <c r="CJ98" s="430" t="s">
        <v>197</v>
      </c>
      <c r="CK98" s="430" t="s">
        <v>197</v>
      </c>
      <c r="CL98" s="430" t="s">
        <v>197</v>
      </c>
      <c r="CM98" s="430" t="s">
        <v>197</v>
      </c>
    </row>
    <row r="99" spans="1:91" ht="10.5" hidden="1">
      <c r="A99" s="462" t="s">
        <v>583</v>
      </c>
      <c r="B99" s="462" t="s">
        <v>61</v>
      </c>
      <c r="C99" s="462" t="s">
        <v>584</v>
      </c>
      <c r="D99" s="462" t="s">
        <v>63</v>
      </c>
      <c r="E99" s="462" t="s">
        <v>64</v>
      </c>
      <c r="F99" s="462" t="s">
        <v>310</v>
      </c>
      <c r="G99" s="462" t="s">
        <v>66</v>
      </c>
      <c r="H99" s="462" t="s">
        <v>311</v>
      </c>
      <c r="I99" s="439" t="s">
        <v>68</v>
      </c>
      <c r="J99" s="430" t="s">
        <v>188</v>
      </c>
      <c r="K99" s="430"/>
      <c r="L99" s="430"/>
      <c r="M99" s="430" t="s">
        <v>68</v>
      </c>
      <c r="N99" s="432" t="s">
        <v>68</v>
      </c>
      <c r="O99" s="430" t="s">
        <v>70</v>
      </c>
      <c r="P99" s="430" t="s">
        <v>585</v>
      </c>
      <c r="Q99" s="430" t="s">
        <v>103</v>
      </c>
      <c r="R99" s="431" t="s">
        <v>331</v>
      </c>
      <c r="S99" s="442" t="s">
        <v>120</v>
      </c>
      <c r="T99" s="433">
        <v>620</v>
      </c>
      <c r="U99" s="1062">
        <v>1440</v>
      </c>
      <c r="V99" s="434">
        <v>0.89300000000000002</v>
      </c>
      <c r="W99" s="435">
        <v>40</v>
      </c>
      <c r="X99" s="1015">
        <v>2</v>
      </c>
      <c r="Y99" s="430" t="s">
        <v>75</v>
      </c>
      <c r="Z99" s="430" t="s">
        <v>75</v>
      </c>
      <c r="AA99" s="430" t="s">
        <v>197</v>
      </c>
      <c r="AB99" s="437">
        <v>46044</v>
      </c>
      <c r="AC99" s="438">
        <v>4</v>
      </c>
      <c r="AD99" s="439" t="s">
        <v>586</v>
      </c>
      <c r="AE99" s="430" t="s">
        <v>197</v>
      </c>
      <c r="AF99" s="430" t="s">
        <v>77</v>
      </c>
      <c r="AG99" s="430" t="s">
        <v>61</v>
      </c>
      <c r="AH99" s="430" t="s">
        <v>314</v>
      </c>
      <c r="AI99" s="437">
        <v>46048</v>
      </c>
      <c r="AJ99" s="437">
        <v>46049</v>
      </c>
      <c r="AK99" s="441">
        <v>46049</v>
      </c>
      <c r="AL99" s="437">
        <v>46106</v>
      </c>
      <c r="AM99" s="437">
        <v>46120</v>
      </c>
      <c r="AN99" s="437">
        <v>46120</v>
      </c>
      <c r="AO99" s="430" t="s">
        <v>66</v>
      </c>
      <c r="AP99" s="430" t="s">
        <v>587</v>
      </c>
      <c r="AQ99" s="430" t="s">
        <v>80</v>
      </c>
      <c r="AR99" s="430" t="s">
        <v>588</v>
      </c>
      <c r="AS99" s="430" t="s">
        <v>589</v>
      </c>
      <c r="AT99" s="430" t="s">
        <v>589</v>
      </c>
      <c r="AU9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71</v>
      </c>
      <c r="AW99" s="437">
        <v>46120</v>
      </c>
      <c r="AX99" s="433" t="s">
        <v>84</v>
      </c>
      <c r="AY99" s="437">
        <v>46132</v>
      </c>
      <c r="AZ99" s="442">
        <v>13</v>
      </c>
      <c r="BA99" s="437">
        <v>46133</v>
      </c>
      <c r="BB99" s="433">
        <v>2026</v>
      </c>
      <c r="BC99" s="430">
        <v>4</v>
      </c>
      <c r="BD99" s="430">
        <v>17</v>
      </c>
      <c r="BE99" s="431">
        <v>36</v>
      </c>
      <c r="BF99" s="431">
        <v>720</v>
      </c>
      <c r="BG99" s="431" t="s">
        <v>128</v>
      </c>
      <c r="BH99" s="431" t="s">
        <v>86</v>
      </c>
      <c r="BI99" s="430" t="s">
        <v>197</v>
      </c>
      <c r="BJ99" s="430" t="s">
        <v>197</v>
      </c>
      <c r="BK99" s="430" t="s">
        <v>197</v>
      </c>
      <c r="BL99" s="430" t="s">
        <v>197</v>
      </c>
      <c r="BM99" s="430" t="s">
        <v>197</v>
      </c>
      <c r="BN99" s="430" t="s">
        <v>197</v>
      </c>
      <c r="BO99" s="430" t="s">
        <v>197</v>
      </c>
      <c r="BP99" s="430" t="s">
        <v>197</v>
      </c>
      <c r="BQ99" s="430" t="s">
        <v>197</v>
      </c>
      <c r="BR99" s="430" t="s">
        <v>197</v>
      </c>
      <c r="BS99" s="430" t="s">
        <v>197</v>
      </c>
      <c r="BT99" s="430" t="s">
        <v>197</v>
      </c>
      <c r="BU99" s="430" t="s">
        <v>197</v>
      </c>
      <c r="BV99" s="430" t="s">
        <v>197</v>
      </c>
      <c r="BW99" s="430" t="s">
        <v>197</v>
      </c>
      <c r="BX99" s="430" t="s">
        <v>197</v>
      </c>
      <c r="BY99" s="430" t="s">
        <v>197</v>
      </c>
      <c r="BZ99" s="430" t="s">
        <v>197</v>
      </c>
      <c r="CA99" s="430" t="s">
        <v>197</v>
      </c>
      <c r="CB99" s="430" t="s">
        <v>197</v>
      </c>
      <c r="CC99" s="430" t="s">
        <v>197</v>
      </c>
      <c r="CD99" s="430" t="s">
        <v>197</v>
      </c>
      <c r="CE99" s="430" t="s">
        <v>197</v>
      </c>
      <c r="CF99" s="430" t="s">
        <v>197</v>
      </c>
      <c r="CG99" s="430" t="s">
        <v>197</v>
      </c>
      <c r="CH99" s="430" t="s">
        <v>197</v>
      </c>
      <c r="CI99" s="430" t="s">
        <v>197</v>
      </c>
      <c r="CJ99" s="430" t="s">
        <v>197</v>
      </c>
      <c r="CK99" s="430" t="s">
        <v>197</v>
      </c>
      <c r="CL99" s="430" t="s">
        <v>197</v>
      </c>
      <c r="CM99" s="430" t="s">
        <v>197</v>
      </c>
    </row>
    <row r="100" spans="1:91" ht="10.5" hidden="1">
      <c r="A100" s="462" t="s">
        <v>590</v>
      </c>
      <c r="B100" s="462" t="s">
        <v>61</v>
      </c>
      <c r="C100" s="462" t="s">
        <v>418</v>
      </c>
      <c r="D100" s="462" t="s">
        <v>63</v>
      </c>
      <c r="E100" s="462" t="s">
        <v>64</v>
      </c>
      <c r="F100" s="462" t="s">
        <v>310</v>
      </c>
      <c r="G100" s="462" t="s">
        <v>66</v>
      </c>
      <c r="H100" s="462" t="s">
        <v>311</v>
      </c>
      <c r="I100" s="439" t="s">
        <v>68</v>
      </c>
      <c r="J100" s="430" t="s">
        <v>188</v>
      </c>
      <c r="K100" s="430"/>
      <c r="L100" s="430"/>
      <c r="M100" s="430" t="s">
        <v>68</v>
      </c>
      <c r="N100" s="432" t="s">
        <v>68</v>
      </c>
      <c r="O100" s="430" t="s">
        <v>70</v>
      </c>
      <c r="P100" s="430" t="s">
        <v>420</v>
      </c>
      <c r="Q100" s="430" t="s">
        <v>421</v>
      </c>
      <c r="R100" s="431" t="s">
        <v>73</v>
      </c>
      <c r="S100" s="442" t="s">
        <v>120</v>
      </c>
      <c r="T100" s="433">
        <v>505</v>
      </c>
      <c r="U100" s="1062">
        <v>2592</v>
      </c>
      <c r="V100" s="434">
        <v>1.3089999999999999</v>
      </c>
      <c r="W100" s="435">
        <v>72</v>
      </c>
      <c r="X100" s="1015">
        <v>3</v>
      </c>
      <c r="Y100" s="430" t="s">
        <v>75</v>
      </c>
      <c r="Z100" s="430" t="s">
        <v>75</v>
      </c>
      <c r="AA100" s="430" t="s">
        <v>197</v>
      </c>
      <c r="AB100" s="437">
        <v>46044</v>
      </c>
      <c r="AC100" s="438">
        <v>4</v>
      </c>
      <c r="AD100" s="439" t="s">
        <v>591</v>
      </c>
      <c r="AE100" s="430" t="s">
        <v>197</v>
      </c>
      <c r="AF100" s="430" t="s">
        <v>77</v>
      </c>
      <c r="AG100" s="430" t="s">
        <v>61</v>
      </c>
      <c r="AH100" s="430" t="s">
        <v>314</v>
      </c>
      <c r="AI100" s="437">
        <v>46048</v>
      </c>
      <c r="AJ100" s="437">
        <v>46049</v>
      </c>
      <c r="AK100" s="441">
        <v>46049</v>
      </c>
      <c r="AL100" s="437">
        <v>46106</v>
      </c>
      <c r="AM100" s="437">
        <v>46120</v>
      </c>
      <c r="AN100" s="437">
        <v>46120</v>
      </c>
      <c r="AO100" s="430" t="s">
        <v>66</v>
      </c>
      <c r="AP100" s="430" t="s">
        <v>587</v>
      </c>
      <c r="AQ100" s="430" t="s">
        <v>80</v>
      </c>
      <c r="AR100" s="430" t="s">
        <v>588</v>
      </c>
      <c r="AS100" s="430" t="s">
        <v>589</v>
      </c>
      <c r="AT100" s="430" t="s">
        <v>589</v>
      </c>
      <c r="AU10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71</v>
      </c>
      <c r="AW100" s="437">
        <v>46120</v>
      </c>
      <c r="AX100" s="433" t="s">
        <v>84</v>
      </c>
      <c r="AY100" s="437">
        <v>46133</v>
      </c>
      <c r="AZ100" s="442">
        <v>13</v>
      </c>
      <c r="BA100" s="437">
        <v>46133</v>
      </c>
      <c r="BB100" s="433">
        <v>2026</v>
      </c>
      <c r="BC100" s="430">
        <v>4</v>
      </c>
      <c r="BD100" s="430">
        <v>17</v>
      </c>
      <c r="BE100" s="431">
        <v>36</v>
      </c>
      <c r="BF100" s="431">
        <v>864</v>
      </c>
      <c r="BG100" s="431" t="s">
        <v>85</v>
      </c>
      <c r="BH100" s="431" t="s">
        <v>86</v>
      </c>
      <c r="BI100" s="430" t="s">
        <v>197</v>
      </c>
      <c r="BJ100" s="430" t="s">
        <v>197</v>
      </c>
      <c r="BK100" s="430" t="s">
        <v>197</v>
      </c>
      <c r="BL100" s="430" t="s">
        <v>197</v>
      </c>
      <c r="BM100" s="430" t="s">
        <v>197</v>
      </c>
      <c r="BN100" s="430" t="s">
        <v>197</v>
      </c>
      <c r="BO100" s="430" t="s">
        <v>197</v>
      </c>
      <c r="BP100" s="430" t="s">
        <v>197</v>
      </c>
      <c r="BQ100" s="430" t="s">
        <v>197</v>
      </c>
      <c r="BR100" s="430" t="s">
        <v>197</v>
      </c>
      <c r="BS100" s="430" t="s">
        <v>197</v>
      </c>
      <c r="BT100" s="430" t="s">
        <v>197</v>
      </c>
      <c r="BU100" s="430" t="s">
        <v>197</v>
      </c>
      <c r="BV100" s="430" t="s">
        <v>197</v>
      </c>
      <c r="BW100" s="430" t="s">
        <v>197</v>
      </c>
      <c r="BX100" s="430" t="s">
        <v>197</v>
      </c>
      <c r="BY100" s="430" t="s">
        <v>197</v>
      </c>
      <c r="BZ100" s="430" t="s">
        <v>197</v>
      </c>
      <c r="CA100" s="430" t="s">
        <v>197</v>
      </c>
      <c r="CB100" s="430" t="s">
        <v>197</v>
      </c>
      <c r="CC100" s="430" t="s">
        <v>197</v>
      </c>
      <c r="CD100" s="430" t="s">
        <v>197</v>
      </c>
      <c r="CE100" s="430" t="s">
        <v>197</v>
      </c>
      <c r="CF100" s="430" t="s">
        <v>197</v>
      </c>
      <c r="CG100" s="430" t="s">
        <v>197</v>
      </c>
      <c r="CH100" s="430" t="s">
        <v>197</v>
      </c>
      <c r="CI100" s="430" t="s">
        <v>197</v>
      </c>
      <c r="CJ100" s="430" t="s">
        <v>197</v>
      </c>
      <c r="CK100" s="430" t="s">
        <v>197</v>
      </c>
      <c r="CL100" s="430" t="s">
        <v>197</v>
      </c>
      <c r="CM100" s="430" t="s">
        <v>197</v>
      </c>
    </row>
    <row r="101" spans="1:91" ht="10.5" hidden="1">
      <c r="A101" s="462" t="s">
        <v>592</v>
      </c>
      <c r="B101" s="462" t="s">
        <v>61</v>
      </c>
      <c r="C101" s="462" t="s">
        <v>193</v>
      </c>
      <c r="D101" s="462" t="s">
        <v>63</v>
      </c>
      <c r="E101" s="462" t="s">
        <v>144</v>
      </c>
      <c r="F101" s="462" t="s">
        <v>145</v>
      </c>
      <c r="G101" s="462" t="s">
        <v>402</v>
      </c>
      <c r="H101" s="462" t="s">
        <v>593</v>
      </c>
      <c r="I101" s="439" t="s">
        <v>68</v>
      </c>
      <c r="J101" s="430" t="s">
        <v>594</v>
      </c>
      <c r="K101" s="430" t="s">
        <v>595</v>
      </c>
      <c r="L101" s="430"/>
      <c r="M101" s="430" t="s">
        <v>68</v>
      </c>
      <c r="N101" s="432" t="s">
        <v>68</v>
      </c>
      <c r="O101" s="430" t="s">
        <v>70</v>
      </c>
      <c r="P101" s="430" t="s">
        <v>195</v>
      </c>
      <c r="Q101" s="430" t="s">
        <v>196</v>
      </c>
      <c r="R101" s="431" t="s">
        <v>73</v>
      </c>
      <c r="S101" s="442" t="s">
        <v>74</v>
      </c>
      <c r="T101" s="433">
        <v>450</v>
      </c>
      <c r="U101" s="1062">
        <v>1872</v>
      </c>
      <c r="V101" s="434">
        <v>0.84199999999999997</v>
      </c>
      <c r="W101" s="435">
        <v>52</v>
      </c>
      <c r="X101" s="1015">
        <v>2</v>
      </c>
      <c r="Y101" s="430" t="s">
        <v>75</v>
      </c>
      <c r="Z101" s="430" t="s">
        <v>75</v>
      </c>
      <c r="AA101" s="430" t="s">
        <v>197</v>
      </c>
      <c r="AB101" s="437">
        <v>46041</v>
      </c>
      <c r="AC101" s="438">
        <v>4</v>
      </c>
      <c r="AD101" s="439" t="s">
        <v>596</v>
      </c>
      <c r="AE101" s="430" t="s">
        <v>197</v>
      </c>
      <c r="AF101" s="430" t="s">
        <v>77</v>
      </c>
      <c r="AG101" s="430" t="s">
        <v>61</v>
      </c>
      <c r="AH101" s="430" t="s">
        <v>124</v>
      </c>
      <c r="AI101" s="437">
        <v>46048</v>
      </c>
      <c r="AJ101" s="437">
        <v>46049</v>
      </c>
      <c r="AK101" s="441">
        <v>46049</v>
      </c>
      <c r="AL101" s="437">
        <v>46114</v>
      </c>
      <c r="AN101" s="437">
        <v>46112</v>
      </c>
      <c r="AO101" s="430" t="s">
        <v>402</v>
      </c>
      <c r="AP101" s="430" t="s">
        <v>597</v>
      </c>
      <c r="AQ101" s="430" t="s">
        <v>80</v>
      </c>
      <c r="AR101" s="430" t="s">
        <v>598</v>
      </c>
      <c r="AS101" s="430" t="s">
        <v>599</v>
      </c>
      <c r="AT101" s="430" t="s">
        <v>599</v>
      </c>
      <c r="AU10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63</v>
      </c>
      <c r="AW101" s="437">
        <v>46112</v>
      </c>
      <c r="AX101" s="433" t="s">
        <v>84</v>
      </c>
      <c r="AY101" s="437">
        <v>46114</v>
      </c>
      <c r="AZ101" s="442" t="s">
        <v>152</v>
      </c>
      <c r="BA101" s="437">
        <v>46112</v>
      </c>
      <c r="BB101" s="433">
        <v>2026</v>
      </c>
      <c r="BC101" s="430">
        <v>3</v>
      </c>
      <c r="BD101" s="430">
        <v>14</v>
      </c>
      <c r="BE101" s="431">
        <v>36</v>
      </c>
      <c r="BF101" s="431">
        <v>936</v>
      </c>
      <c r="BG101" s="431" t="s">
        <v>85</v>
      </c>
      <c r="BH101" s="431" t="s">
        <v>86</v>
      </c>
      <c r="BI101" s="430" t="s">
        <v>197</v>
      </c>
      <c r="BJ101" s="430" t="s">
        <v>197</v>
      </c>
      <c r="BK101" s="430" t="s">
        <v>197</v>
      </c>
      <c r="BL101" s="430" t="s">
        <v>197</v>
      </c>
      <c r="BM101" s="430" t="s">
        <v>197</v>
      </c>
      <c r="BN101" s="430" t="s">
        <v>197</v>
      </c>
      <c r="BO101" s="430" t="s">
        <v>197</v>
      </c>
      <c r="BP101" s="430" t="s">
        <v>197</v>
      </c>
      <c r="BQ101" s="430" t="s">
        <v>197</v>
      </c>
      <c r="BR101" s="430" t="s">
        <v>197</v>
      </c>
      <c r="BS101" s="430" t="s">
        <v>197</v>
      </c>
      <c r="BT101" s="430" t="s">
        <v>197</v>
      </c>
      <c r="BU101" s="430" t="s">
        <v>197</v>
      </c>
      <c r="BV101" s="430" t="s">
        <v>197</v>
      </c>
      <c r="BW101" s="430" t="s">
        <v>197</v>
      </c>
      <c r="BX101" s="430" t="s">
        <v>197</v>
      </c>
      <c r="BY101" s="430" t="s">
        <v>197</v>
      </c>
      <c r="BZ101" s="430" t="s">
        <v>197</v>
      </c>
      <c r="CA101" s="430" t="s">
        <v>197</v>
      </c>
      <c r="CB101" s="430" t="s">
        <v>197</v>
      </c>
      <c r="CC101" s="430" t="s">
        <v>197</v>
      </c>
      <c r="CD101" s="430" t="s">
        <v>197</v>
      </c>
      <c r="CE101" s="430" t="s">
        <v>197</v>
      </c>
      <c r="CF101" s="430" t="s">
        <v>197</v>
      </c>
      <c r="CG101" s="430" t="s">
        <v>197</v>
      </c>
      <c r="CH101" s="430" t="s">
        <v>197</v>
      </c>
      <c r="CI101" s="430" t="s">
        <v>197</v>
      </c>
      <c r="CJ101" s="430" t="s">
        <v>197</v>
      </c>
      <c r="CK101" s="430" t="s">
        <v>197</v>
      </c>
      <c r="CL101" s="430" t="s">
        <v>197</v>
      </c>
      <c r="CM101" s="430" t="s">
        <v>197</v>
      </c>
    </row>
    <row r="102" spans="1:91" ht="10.5" hidden="1">
      <c r="A102" s="462" t="s">
        <v>600</v>
      </c>
      <c r="B102" s="462" t="s">
        <v>281</v>
      </c>
      <c r="C102" s="462" t="s">
        <v>601</v>
      </c>
      <c r="D102" s="462" t="s">
        <v>63</v>
      </c>
      <c r="E102" s="462" t="s">
        <v>64</v>
      </c>
      <c r="F102" s="462" t="s">
        <v>100</v>
      </c>
      <c r="G102" s="462" t="s">
        <v>66</v>
      </c>
      <c r="H102" s="462" t="s">
        <v>67</v>
      </c>
      <c r="I102" s="439" t="s">
        <v>68</v>
      </c>
      <c r="J102" s="430" t="s">
        <v>293</v>
      </c>
      <c r="K102" s="430"/>
      <c r="L102" s="430"/>
      <c r="M102" s="430" t="s">
        <v>68</v>
      </c>
      <c r="N102" s="432" t="s">
        <v>68</v>
      </c>
      <c r="O102" s="430" t="s">
        <v>284</v>
      </c>
      <c r="P102" s="430" t="s">
        <v>602</v>
      </c>
      <c r="Q102" s="430" t="s">
        <v>603</v>
      </c>
      <c r="R102" s="431" t="s">
        <v>73</v>
      </c>
      <c r="S102" s="442" t="s">
        <v>120</v>
      </c>
      <c r="T102" s="433">
        <v>465</v>
      </c>
      <c r="U102" s="1062">
        <v>14430</v>
      </c>
      <c r="V102" s="434">
        <v>6.71</v>
      </c>
      <c r="W102" s="435">
        <v>390</v>
      </c>
      <c r="X102" s="1015">
        <v>15</v>
      </c>
      <c r="Y102" s="430" t="s">
        <v>75</v>
      </c>
      <c r="Z102" s="430" t="s">
        <v>75</v>
      </c>
      <c r="AA102" s="430"/>
      <c r="AB102" s="437">
        <v>46043</v>
      </c>
      <c r="AC102" s="438">
        <v>4</v>
      </c>
      <c r="AD102" s="439" t="s">
        <v>604</v>
      </c>
      <c r="AE102" s="430"/>
      <c r="AF102" s="430" t="s">
        <v>288</v>
      </c>
      <c r="AG102" s="430" t="s">
        <v>289</v>
      </c>
      <c r="AH102" s="430" t="s">
        <v>105</v>
      </c>
      <c r="AI102" s="437">
        <v>46050</v>
      </c>
      <c r="AJ102" s="437">
        <v>46050</v>
      </c>
      <c r="AK102" s="441">
        <v>46050</v>
      </c>
      <c r="AL102" s="437">
        <v>46087</v>
      </c>
      <c r="AM102" s="437">
        <v>46102</v>
      </c>
      <c r="AN102" s="437">
        <v>46102</v>
      </c>
      <c r="AO102" s="430" t="s">
        <v>66</v>
      </c>
      <c r="AP102" s="430" t="s">
        <v>605</v>
      </c>
      <c r="AQ102" s="430" t="s">
        <v>161</v>
      </c>
      <c r="AR102" s="430" t="s">
        <v>606</v>
      </c>
      <c r="AS102" s="430" t="s">
        <v>607</v>
      </c>
      <c r="AT102" s="430" t="s">
        <v>608</v>
      </c>
      <c r="AU10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</v>
      </c>
      <c r="AW102" s="437">
        <v>46102</v>
      </c>
      <c r="AX102" s="433" t="s">
        <v>84</v>
      </c>
      <c r="AY102" s="437">
        <v>46114</v>
      </c>
      <c r="AZ102" s="442">
        <v>7</v>
      </c>
      <c r="BA102" s="437">
        <v>46109</v>
      </c>
      <c r="BB102" s="433">
        <v>2026</v>
      </c>
      <c r="BC102" s="430">
        <v>3</v>
      </c>
      <c r="BD102" s="430">
        <v>13</v>
      </c>
      <c r="BE102" s="431">
        <v>37</v>
      </c>
      <c r="BF102" s="431">
        <v>962</v>
      </c>
      <c r="BG102" s="431" t="s">
        <v>108</v>
      </c>
      <c r="BH102" s="431" t="s">
        <v>109</v>
      </c>
      <c r="BI102" s="430" t="s">
        <v>197</v>
      </c>
      <c r="BJ102" s="430" t="s">
        <v>197</v>
      </c>
      <c r="BK102" s="430" t="s">
        <v>197</v>
      </c>
      <c r="BL102" s="430" t="s">
        <v>197</v>
      </c>
      <c r="BM102" s="430" t="s">
        <v>197</v>
      </c>
      <c r="BN102" s="430" t="s">
        <v>197</v>
      </c>
      <c r="BO102" s="430" t="s">
        <v>197</v>
      </c>
      <c r="BP102" s="430" t="s">
        <v>197</v>
      </c>
      <c r="BQ102" s="430" t="s">
        <v>197</v>
      </c>
      <c r="BR102" s="430" t="s">
        <v>197</v>
      </c>
      <c r="BS102" s="430" t="s">
        <v>197</v>
      </c>
      <c r="BT102" s="430" t="s">
        <v>197</v>
      </c>
      <c r="BU102" s="430" t="s">
        <v>197</v>
      </c>
      <c r="BV102" s="430" t="s">
        <v>197</v>
      </c>
      <c r="BW102" s="430" t="s">
        <v>197</v>
      </c>
      <c r="BX102" s="430" t="s">
        <v>197</v>
      </c>
      <c r="BY102" s="430" t="s">
        <v>197</v>
      </c>
      <c r="BZ102" s="430" t="s">
        <v>197</v>
      </c>
      <c r="CA102" s="430" t="s">
        <v>197</v>
      </c>
      <c r="CB102" s="430" t="s">
        <v>197</v>
      </c>
      <c r="CC102" s="430" t="s">
        <v>197</v>
      </c>
      <c r="CD102" s="430" t="s">
        <v>197</v>
      </c>
      <c r="CE102" s="430" t="s">
        <v>197</v>
      </c>
      <c r="CF102" s="430" t="s">
        <v>197</v>
      </c>
      <c r="CG102" s="430" t="s">
        <v>197</v>
      </c>
      <c r="CH102" s="430" t="s">
        <v>197</v>
      </c>
      <c r="CI102" s="430" t="s">
        <v>197</v>
      </c>
      <c r="CJ102" s="430" t="s">
        <v>197</v>
      </c>
      <c r="CK102" s="430" t="s">
        <v>197</v>
      </c>
      <c r="CL102" s="430" t="s">
        <v>197</v>
      </c>
      <c r="CM102" s="430" t="s">
        <v>197</v>
      </c>
    </row>
    <row r="103" spans="1:91" ht="10.5" hidden="1">
      <c r="A103" s="462" t="s">
        <v>609</v>
      </c>
      <c r="B103" s="462" t="s">
        <v>281</v>
      </c>
      <c r="C103" s="462" t="s">
        <v>601</v>
      </c>
      <c r="D103" s="462" t="s">
        <v>63</v>
      </c>
      <c r="E103" s="462" t="s">
        <v>64</v>
      </c>
      <c r="F103" s="462" t="s">
        <v>100</v>
      </c>
      <c r="G103" s="462" t="s">
        <v>66</v>
      </c>
      <c r="H103" s="462" t="s">
        <v>67</v>
      </c>
      <c r="I103" s="439" t="s">
        <v>68</v>
      </c>
      <c r="J103" s="430" t="s">
        <v>293</v>
      </c>
      <c r="K103" s="430"/>
      <c r="L103" s="430"/>
      <c r="M103" s="430" t="s">
        <v>68</v>
      </c>
      <c r="N103" s="432" t="s">
        <v>68</v>
      </c>
      <c r="O103" s="430" t="s">
        <v>284</v>
      </c>
      <c r="P103" s="430" t="s">
        <v>602</v>
      </c>
      <c r="Q103" s="430" t="s">
        <v>603</v>
      </c>
      <c r="R103" s="431" t="s">
        <v>73</v>
      </c>
      <c r="S103" s="442" t="s">
        <v>120</v>
      </c>
      <c r="T103" s="433">
        <v>465</v>
      </c>
      <c r="U103" s="1062">
        <v>4810</v>
      </c>
      <c r="V103" s="434">
        <v>2.2370000000000001</v>
      </c>
      <c r="W103" s="435">
        <v>130</v>
      </c>
      <c r="X103" s="1015">
        <v>5</v>
      </c>
      <c r="Y103" s="430" t="s">
        <v>75</v>
      </c>
      <c r="Z103" s="430" t="s">
        <v>75</v>
      </c>
      <c r="AA103" s="430"/>
      <c r="AB103" s="437">
        <v>46038</v>
      </c>
      <c r="AC103" s="438">
        <v>3</v>
      </c>
      <c r="AD103" s="439" t="s">
        <v>610</v>
      </c>
      <c r="AE103" s="430"/>
      <c r="AF103" s="430" t="s">
        <v>288</v>
      </c>
      <c r="AG103" s="430" t="s">
        <v>289</v>
      </c>
      <c r="AH103" s="430" t="s">
        <v>105</v>
      </c>
      <c r="AI103" s="437">
        <v>46045</v>
      </c>
      <c r="AJ103" s="437">
        <v>46045</v>
      </c>
      <c r="AK103" s="441">
        <v>46045</v>
      </c>
      <c r="AL103" s="437">
        <v>46087</v>
      </c>
      <c r="AM103" s="437">
        <v>46097</v>
      </c>
      <c r="AN103" s="437">
        <v>46100</v>
      </c>
      <c r="AO103" s="430" t="s">
        <v>66</v>
      </c>
      <c r="AP103" s="430" t="s">
        <v>611</v>
      </c>
      <c r="AQ103" s="430" t="s">
        <v>161</v>
      </c>
      <c r="AR103" s="430" t="s">
        <v>612</v>
      </c>
      <c r="AS103" s="430" t="s">
        <v>613</v>
      </c>
      <c r="AT103" s="430" t="s">
        <v>614</v>
      </c>
      <c r="AU10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55</v>
      </c>
      <c r="AW103" s="437">
        <v>46100</v>
      </c>
      <c r="AX103" s="433" t="s">
        <v>84</v>
      </c>
      <c r="AY103" s="437">
        <v>46104</v>
      </c>
      <c r="AZ103" s="442">
        <v>7</v>
      </c>
      <c r="BA103" s="437">
        <v>46107</v>
      </c>
      <c r="BB103" s="433">
        <v>2026</v>
      </c>
      <c r="BC103" s="430">
        <v>3</v>
      </c>
      <c r="BD103" s="430">
        <v>13</v>
      </c>
      <c r="BE103" s="431">
        <v>37</v>
      </c>
      <c r="BF103" s="431">
        <v>962</v>
      </c>
      <c r="BG103" s="431" t="s">
        <v>108</v>
      </c>
      <c r="BH103" s="431" t="s">
        <v>109</v>
      </c>
      <c r="BI103" s="430" t="s">
        <v>197</v>
      </c>
      <c r="BJ103" s="430" t="s">
        <v>197</v>
      </c>
      <c r="BK103" s="430" t="s">
        <v>197</v>
      </c>
      <c r="BL103" s="430" t="s">
        <v>197</v>
      </c>
      <c r="BM103" s="430" t="s">
        <v>197</v>
      </c>
      <c r="BN103" s="430" t="s">
        <v>197</v>
      </c>
      <c r="BO103" s="430" t="s">
        <v>197</v>
      </c>
      <c r="BP103" s="430" t="s">
        <v>197</v>
      </c>
      <c r="BQ103" s="430" t="s">
        <v>197</v>
      </c>
      <c r="BR103" s="430" t="s">
        <v>197</v>
      </c>
      <c r="BS103" s="430" t="s">
        <v>197</v>
      </c>
      <c r="BT103" s="430" t="s">
        <v>197</v>
      </c>
      <c r="BU103" s="430" t="s">
        <v>197</v>
      </c>
      <c r="BV103" s="430" t="s">
        <v>197</v>
      </c>
      <c r="BW103" s="430" t="s">
        <v>197</v>
      </c>
      <c r="BX103" s="430" t="s">
        <v>197</v>
      </c>
      <c r="BY103" s="430" t="s">
        <v>197</v>
      </c>
      <c r="BZ103" s="430" t="s">
        <v>197</v>
      </c>
      <c r="CA103" s="430" t="s">
        <v>197</v>
      </c>
      <c r="CB103" s="430" t="s">
        <v>197</v>
      </c>
      <c r="CC103" s="430" t="s">
        <v>197</v>
      </c>
      <c r="CD103" s="430" t="s">
        <v>197</v>
      </c>
      <c r="CE103" s="430" t="s">
        <v>197</v>
      </c>
      <c r="CF103" s="430" t="s">
        <v>197</v>
      </c>
      <c r="CG103" s="430" t="s">
        <v>197</v>
      </c>
      <c r="CH103" s="430" t="s">
        <v>197</v>
      </c>
      <c r="CI103" s="430" t="s">
        <v>197</v>
      </c>
      <c r="CJ103" s="430" t="s">
        <v>197</v>
      </c>
      <c r="CK103" s="430" t="s">
        <v>197</v>
      </c>
      <c r="CL103" s="430" t="s">
        <v>197</v>
      </c>
      <c r="CM103" s="430" t="s">
        <v>197</v>
      </c>
    </row>
    <row r="104" spans="1:91" ht="10.5" hidden="1">
      <c r="A104" s="462" t="s">
        <v>615</v>
      </c>
      <c r="B104" s="462" t="s">
        <v>281</v>
      </c>
      <c r="C104" s="462" t="s">
        <v>601</v>
      </c>
      <c r="D104" s="462" t="s">
        <v>63</v>
      </c>
      <c r="E104" s="462" t="s">
        <v>64</v>
      </c>
      <c r="F104" s="462" t="s">
        <v>100</v>
      </c>
      <c r="G104" s="462" t="s">
        <v>66</v>
      </c>
      <c r="H104" s="462" t="s">
        <v>67</v>
      </c>
      <c r="I104" s="439" t="s">
        <v>68</v>
      </c>
      <c r="J104" s="430" t="s">
        <v>293</v>
      </c>
      <c r="K104" s="430"/>
      <c r="L104" s="430"/>
      <c r="M104" s="430" t="s">
        <v>68</v>
      </c>
      <c r="N104" s="432" t="s">
        <v>68</v>
      </c>
      <c r="O104" s="430" t="s">
        <v>284</v>
      </c>
      <c r="P104" s="430" t="s">
        <v>602</v>
      </c>
      <c r="Q104" s="430" t="s">
        <v>603</v>
      </c>
      <c r="R104" s="431" t="s">
        <v>73</v>
      </c>
      <c r="S104" s="442" t="s">
        <v>120</v>
      </c>
      <c r="T104" s="433">
        <v>465</v>
      </c>
      <c r="U104" s="1062">
        <v>4810</v>
      </c>
      <c r="V104" s="434">
        <v>2.2370000000000001</v>
      </c>
      <c r="W104" s="435">
        <v>130</v>
      </c>
      <c r="X104" s="1015">
        <v>5</v>
      </c>
      <c r="Y104" s="430" t="s">
        <v>75</v>
      </c>
      <c r="Z104" s="430" t="s">
        <v>75</v>
      </c>
      <c r="AA104" s="430"/>
      <c r="AB104" s="437">
        <v>46042</v>
      </c>
      <c r="AC104" s="438">
        <v>4</v>
      </c>
      <c r="AD104" s="439" t="s">
        <v>616</v>
      </c>
      <c r="AE104" s="430"/>
      <c r="AF104" s="430" t="s">
        <v>288</v>
      </c>
      <c r="AG104" s="430" t="s">
        <v>289</v>
      </c>
      <c r="AH104" s="430" t="s">
        <v>105</v>
      </c>
      <c r="AI104" s="437">
        <v>46048</v>
      </c>
      <c r="AJ104" s="437">
        <v>46048</v>
      </c>
      <c r="AK104" s="441">
        <v>46048</v>
      </c>
      <c r="AL104" s="437">
        <v>46090</v>
      </c>
      <c r="AM104" s="437">
        <v>46091</v>
      </c>
      <c r="AN104" s="437">
        <v>46089</v>
      </c>
      <c r="AO104" s="430" t="s">
        <v>66</v>
      </c>
      <c r="AP104" s="430" t="s">
        <v>617</v>
      </c>
      <c r="AQ104" s="430" t="s">
        <v>161</v>
      </c>
      <c r="AR104" s="430" t="s">
        <v>618</v>
      </c>
      <c r="AS104" s="430" t="s">
        <v>619</v>
      </c>
      <c r="AT104" s="430" t="s">
        <v>620</v>
      </c>
      <c r="AU10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W104" s="437">
        <v>46089</v>
      </c>
      <c r="AX104" s="433" t="s">
        <v>84</v>
      </c>
      <c r="AY104" s="437">
        <v>46105</v>
      </c>
      <c r="AZ104" s="442">
        <v>7</v>
      </c>
      <c r="BA104" s="437">
        <v>46096</v>
      </c>
      <c r="BB104" s="433">
        <v>2026</v>
      </c>
      <c r="BC104" s="430">
        <v>3</v>
      </c>
      <c r="BD104" s="430">
        <v>11</v>
      </c>
      <c r="BE104" s="431">
        <v>37</v>
      </c>
      <c r="BF104" s="431">
        <v>962</v>
      </c>
      <c r="BG104" s="431" t="s">
        <v>108</v>
      </c>
      <c r="BH104" s="431" t="s">
        <v>109</v>
      </c>
      <c r="BI104" s="430" t="s">
        <v>197</v>
      </c>
      <c r="BJ104" s="430" t="s">
        <v>197</v>
      </c>
      <c r="BK104" s="430" t="s">
        <v>197</v>
      </c>
      <c r="BL104" s="430" t="s">
        <v>197</v>
      </c>
      <c r="BM104" s="430" t="s">
        <v>197</v>
      </c>
      <c r="BN104" s="430" t="s">
        <v>197</v>
      </c>
      <c r="BO104" s="430" t="s">
        <v>197</v>
      </c>
      <c r="BP104" s="430" t="s">
        <v>197</v>
      </c>
      <c r="BQ104" s="430" t="s">
        <v>197</v>
      </c>
      <c r="BR104" s="430" t="s">
        <v>197</v>
      </c>
      <c r="BS104" s="430" t="s">
        <v>197</v>
      </c>
      <c r="BT104" s="430" t="s">
        <v>197</v>
      </c>
      <c r="BU104" s="430" t="s">
        <v>197</v>
      </c>
      <c r="BV104" s="430" t="s">
        <v>197</v>
      </c>
      <c r="BW104" s="430" t="s">
        <v>197</v>
      </c>
      <c r="BX104" s="430" t="s">
        <v>197</v>
      </c>
      <c r="BY104" s="430" t="s">
        <v>197</v>
      </c>
      <c r="BZ104" s="430" t="s">
        <v>197</v>
      </c>
      <c r="CA104" s="430" t="s">
        <v>197</v>
      </c>
      <c r="CB104" s="430" t="s">
        <v>197</v>
      </c>
      <c r="CC104" s="430" t="s">
        <v>197</v>
      </c>
      <c r="CD104" s="430" t="s">
        <v>197</v>
      </c>
      <c r="CE104" s="430" t="s">
        <v>197</v>
      </c>
      <c r="CF104" s="430" t="s">
        <v>197</v>
      </c>
      <c r="CG104" s="430" t="s">
        <v>197</v>
      </c>
      <c r="CH104" s="430" t="s">
        <v>197</v>
      </c>
      <c r="CI104" s="430" t="s">
        <v>197</v>
      </c>
      <c r="CJ104" s="430" t="s">
        <v>197</v>
      </c>
      <c r="CK104" s="430" t="s">
        <v>197</v>
      </c>
      <c r="CL104" s="430" t="s">
        <v>197</v>
      </c>
      <c r="CM104" s="430" t="s">
        <v>197</v>
      </c>
    </row>
    <row r="105" spans="1:91" ht="10.5" hidden="1">
      <c r="A105" s="462" t="s">
        <v>621</v>
      </c>
      <c r="B105" s="462" t="s">
        <v>281</v>
      </c>
      <c r="C105" s="462" t="s">
        <v>601</v>
      </c>
      <c r="D105" s="462" t="s">
        <v>63</v>
      </c>
      <c r="E105" s="462" t="s">
        <v>64</v>
      </c>
      <c r="F105" s="462" t="s">
        <v>100</v>
      </c>
      <c r="G105" s="462" t="s">
        <v>66</v>
      </c>
      <c r="H105" s="462" t="s">
        <v>67</v>
      </c>
      <c r="I105" s="439" t="s">
        <v>68</v>
      </c>
      <c r="J105" s="430" t="s">
        <v>293</v>
      </c>
      <c r="K105" s="430"/>
      <c r="L105" s="430"/>
      <c r="M105" s="430" t="s">
        <v>68</v>
      </c>
      <c r="N105" s="432" t="s">
        <v>68</v>
      </c>
      <c r="O105" s="430" t="s">
        <v>284</v>
      </c>
      <c r="P105" s="430" t="s">
        <v>602</v>
      </c>
      <c r="Q105" s="430" t="s">
        <v>603</v>
      </c>
      <c r="R105" s="431" t="s">
        <v>73</v>
      </c>
      <c r="S105" s="442" t="s">
        <v>120</v>
      </c>
      <c r="T105" s="433">
        <v>465</v>
      </c>
      <c r="U105" s="1062">
        <v>9620</v>
      </c>
      <c r="V105" s="434">
        <v>4.4729999999999999</v>
      </c>
      <c r="W105" s="435">
        <v>260</v>
      </c>
      <c r="X105" s="1015">
        <v>10</v>
      </c>
      <c r="Y105" s="430" t="s">
        <v>75</v>
      </c>
      <c r="Z105" s="430" t="s">
        <v>75</v>
      </c>
      <c r="AA105" s="430"/>
      <c r="AB105" s="437">
        <v>46049</v>
      </c>
      <c r="AC105" s="438">
        <v>5</v>
      </c>
      <c r="AD105" s="439" t="s">
        <v>622</v>
      </c>
      <c r="AE105" s="430"/>
      <c r="AF105" s="430" t="s">
        <v>288</v>
      </c>
      <c r="AG105" s="430" t="s">
        <v>289</v>
      </c>
      <c r="AH105" s="430" t="s">
        <v>105</v>
      </c>
      <c r="AI105" s="437">
        <v>46057</v>
      </c>
      <c r="AJ105" s="437">
        <v>46067</v>
      </c>
      <c r="AK105" s="441">
        <v>46070</v>
      </c>
      <c r="AL105" s="437">
        <v>46094</v>
      </c>
      <c r="AM105" s="437">
        <v>46106</v>
      </c>
      <c r="AN105" s="437">
        <v>46107</v>
      </c>
      <c r="AO105" s="430" t="s">
        <v>66</v>
      </c>
      <c r="AP105" s="430" t="s">
        <v>623</v>
      </c>
      <c r="AQ105" s="430" t="s">
        <v>161</v>
      </c>
      <c r="AR105" s="430" t="s">
        <v>624</v>
      </c>
      <c r="AS105" s="430" t="s">
        <v>625</v>
      </c>
      <c r="AT105" s="430" t="s">
        <v>625</v>
      </c>
      <c r="AU10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</v>
      </c>
      <c r="AW105" s="437">
        <v>46107</v>
      </c>
      <c r="AX105" s="433" t="s">
        <v>84</v>
      </c>
      <c r="AY105" s="437">
        <v>46120</v>
      </c>
      <c r="AZ105" s="442">
        <v>7</v>
      </c>
      <c r="BA105" s="437">
        <v>46114</v>
      </c>
      <c r="BB105" s="433">
        <v>2026</v>
      </c>
      <c r="BC105" s="430">
        <v>4</v>
      </c>
      <c r="BD105" s="430">
        <v>14</v>
      </c>
      <c r="BE105" s="431">
        <v>37</v>
      </c>
      <c r="BF105" s="431">
        <v>962</v>
      </c>
      <c r="BG105" s="431" t="s">
        <v>108</v>
      </c>
      <c r="BH105" s="431" t="s">
        <v>109</v>
      </c>
      <c r="BI105" s="430" t="s">
        <v>197</v>
      </c>
      <c r="BJ105" s="430" t="s">
        <v>197</v>
      </c>
      <c r="BK105" s="430" t="s">
        <v>197</v>
      </c>
      <c r="BL105" s="430" t="s">
        <v>197</v>
      </c>
      <c r="BM105" s="430" t="s">
        <v>197</v>
      </c>
      <c r="BN105" s="430" t="s">
        <v>197</v>
      </c>
      <c r="BO105" s="430" t="s">
        <v>197</v>
      </c>
      <c r="BP105" s="430" t="s">
        <v>197</v>
      </c>
      <c r="BQ105" s="430" t="s">
        <v>197</v>
      </c>
      <c r="BR105" s="430" t="s">
        <v>197</v>
      </c>
      <c r="BS105" s="430" t="s">
        <v>197</v>
      </c>
      <c r="BT105" s="430" t="s">
        <v>197</v>
      </c>
      <c r="BU105" s="430" t="s">
        <v>197</v>
      </c>
      <c r="BV105" s="430" t="s">
        <v>197</v>
      </c>
      <c r="BW105" s="430" t="s">
        <v>197</v>
      </c>
      <c r="BX105" s="430" t="s">
        <v>197</v>
      </c>
      <c r="BY105" s="430" t="s">
        <v>197</v>
      </c>
      <c r="BZ105" s="430" t="s">
        <v>197</v>
      </c>
      <c r="CA105" s="430" t="s">
        <v>197</v>
      </c>
      <c r="CB105" s="430" t="s">
        <v>197</v>
      </c>
      <c r="CC105" s="430" t="s">
        <v>197</v>
      </c>
      <c r="CD105" s="430" t="s">
        <v>197</v>
      </c>
      <c r="CE105" s="430" t="s">
        <v>197</v>
      </c>
      <c r="CF105" s="430" t="s">
        <v>197</v>
      </c>
      <c r="CG105" s="430" t="s">
        <v>197</v>
      </c>
      <c r="CH105" s="430" t="s">
        <v>197</v>
      </c>
      <c r="CI105" s="430" t="s">
        <v>197</v>
      </c>
      <c r="CJ105" s="430" t="s">
        <v>197</v>
      </c>
      <c r="CK105" s="430" t="s">
        <v>197</v>
      </c>
      <c r="CL105" s="430" t="s">
        <v>197</v>
      </c>
      <c r="CM105" s="430" t="s">
        <v>197</v>
      </c>
    </row>
    <row r="106" spans="1:91" ht="10.5" hidden="1">
      <c r="A106" s="462" t="s">
        <v>626</v>
      </c>
      <c r="B106" s="462" t="s">
        <v>281</v>
      </c>
      <c r="C106" s="462" t="s">
        <v>601</v>
      </c>
      <c r="D106" s="462" t="s">
        <v>63</v>
      </c>
      <c r="E106" s="462" t="s">
        <v>64</v>
      </c>
      <c r="F106" s="462" t="s">
        <v>100</v>
      </c>
      <c r="G106" s="462" t="s">
        <v>66</v>
      </c>
      <c r="H106" s="462" t="s">
        <v>67</v>
      </c>
      <c r="I106" s="439" t="s">
        <v>68</v>
      </c>
      <c r="J106" s="430" t="s">
        <v>293</v>
      </c>
      <c r="K106" s="430"/>
      <c r="L106" s="430"/>
      <c r="M106" s="430" t="s">
        <v>68</v>
      </c>
      <c r="N106" s="432" t="s">
        <v>68</v>
      </c>
      <c r="O106" s="430" t="s">
        <v>284</v>
      </c>
      <c r="P106" s="430" t="s">
        <v>602</v>
      </c>
      <c r="Q106" s="430" t="s">
        <v>603</v>
      </c>
      <c r="R106" s="431" t="s">
        <v>73</v>
      </c>
      <c r="S106" s="442" t="s">
        <v>120</v>
      </c>
      <c r="T106" s="433">
        <v>465</v>
      </c>
      <c r="U106" s="1062">
        <v>9620</v>
      </c>
      <c r="V106" s="434">
        <v>4.4729999999999999</v>
      </c>
      <c r="W106" s="435">
        <v>260</v>
      </c>
      <c r="X106" s="1015">
        <v>10</v>
      </c>
      <c r="Y106" s="430" t="s">
        <v>75</v>
      </c>
      <c r="Z106" s="430" t="s">
        <v>75</v>
      </c>
      <c r="AA106" s="430"/>
      <c r="AB106" s="437">
        <v>46050</v>
      </c>
      <c r="AC106" s="438">
        <v>5</v>
      </c>
      <c r="AD106" s="439" t="s">
        <v>627</v>
      </c>
      <c r="AE106" s="430"/>
      <c r="AF106" s="430" t="s">
        <v>288</v>
      </c>
      <c r="AG106" s="430" t="s">
        <v>289</v>
      </c>
      <c r="AH106" s="430" t="s">
        <v>105</v>
      </c>
      <c r="AI106" s="437">
        <v>46057</v>
      </c>
      <c r="AJ106" s="437">
        <v>46067</v>
      </c>
      <c r="AK106" s="441">
        <v>46070</v>
      </c>
      <c r="AL106" s="437">
        <v>46094</v>
      </c>
      <c r="AM106" s="437">
        <v>46106</v>
      </c>
      <c r="AN106" s="437">
        <v>46107</v>
      </c>
      <c r="AO106" s="430" t="s">
        <v>66</v>
      </c>
      <c r="AP106" s="430" t="s">
        <v>623</v>
      </c>
      <c r="AQ106" s="430" t="s">
        <v>161</v>
      </c>
      <c r="AR106" s="430" t="s">
        <v>628</v>
      </c>
      <c r="AS106" s="430" t="s">
        <v>629</v>
      </c>
      <c r="AT106" s="430" t="s">
        <v>629</v>
      </c>
      <c r="AU10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</v>
      </c>
      <c r="AW106" s="437">
        <v>46107</v>
      </c>
      <c r="AX106" s="433" t="s">
        <v>84</v>
      </c>
      <c r="AY106" s="437">
        <v>46120</v>
      </c>
      <c r="AZ106" s="442">
        <v>7</v>
      </c>
      <c r="BA106" s="437">
        <v>46114</v>
      </c>
      <c r="BB106" s="433">
        <v>2026</v>
      </c>
      <c r="BC106" s="430">
        <v>4</v>
      </c>
      <c r="BD106" s="430">
        <v>14</v>
      </c>
      <c r="BE106" s="431">
        <v>37</v>
      </c>
      <c r="BF106" s="431">
        <v>962</v>
      </c>
      <c r="BG106" s="431" t="s">
        <v>108</v>
      </c>
      <c r="BH106" s="431" t="s">
        <v>109</v>
      </c>
      <c r="BI106" s="430" t="s">
        <v>197</v>
      </c>
      <c r="BJ106" s="430" t="s">
        <v>197</v>
      </c>
      <c r="BK106" s="430" t="s">
        <v>197</v>
      </c>
      <c r="BL106" s="430" t="s">
        <v>197</v>
      </c>
      <c r="BM106" s="430" t="s">
        <v>197</v>
      </c>
      <c r="BN106" s="430" t="s">
        <v>197</v>
      </c>
      <c r="BO106" s="430" t="s">
        <v>197</v>
      </c>
      <c r="BP106" s="430" t="s">
        <v>197</v>
      </c>
      <c r="BQ106" s="430" t="s">
        <v>197</v>
      </c>
      <c r="BR106" s="430" t="s">
        <v>197</v>
      </c>
      <c r="BS106" s="430" t="s">
        <v>197</v>
      </c>
      <c r="BT106" s="430" t="s">
        <v>197</v>
      </c>
      <c r="BU106" s="430" t="s">
        <v>197</v>
      </c>
      <c r="BV106" s="430" t="s">
        <v>197</v>
      </c>
      <c r="BW106" s="430" t="s">
        <v>197</v>
      </c>
      <c r="BX106" s="430" t="s">
        <v>197</v>
      </c>
      <c r="BY106" s="430" t="s">
        <v>197</v>
      </c>
      <c r="BZ106" s="430" t="s">
        <v>197</v>
      </c>
      <c r="CA106" s="430" t="s">
        <v>197</v>
      </c>
      <c r="CB106" s="430" t="s">
        <v>197</v>
      </c>
      <c r="CC106" s="430" t="s">
        <v>197</v>
      </c>
      <c r="CD106" s="430" t="s">
        <v>197</v>
      </c>
      <c r="CE106" s="430" t="s">
        <v>197</v>
      </c>
      <c r="CF106" s="430" t="s">
        <v>197</v>
      </c>
      <c r="CG106" s="430" t="s">
        <v>197</v>
      </c>
      <c r="CH106" s="430" t="s">
        <v>197</v>
      </c>
      <c r="CI106" s="430" t="s">
        <v>197</v>
      </c>
      <c r="CJ106" s="430" t="s">
        <v>197</v>
      </c>
      <c r="CK106" s="430" t="s">
        <v>197</v>
      </c>
      <c r="CL106" s="430" t="s">
        <v>197</v>
      </c>
      <c r="CM106" s="430" t="s">
        <v>197</v>
      </c>
    </row>
    <row r="107" spans="1:91" ht="10.5" hidden="1">
      <c r="A107" s="462" t="s">
        <v>630</v>
      </c>
      <c r="B107" s="462" t="s">
        <v>111</v>
      </c>
      <c r="C107" s="462" t="s">
        <v>168</v>
      </c>
      <c r="D107" s="462" t="s">
        <v>63</v>
      </c>
      <c r="E107" s="462" t="s">
        <v>64</v>
      </c>
      <c r="F107" s="462" t="s">
        <v>65</v>
      </c>
      <c r="G107" s="462" t="s">
        <v>66</v>
      </c>
      <c r="H107" s="462" t="s">
        <v>67</v>
      </c>
      <c r="I107" s="439" t="s">
        <v>68</v>
      </c>
      <c r="J107" s="430" t="s">
        <v>232</v>
      </c>
      <c r="K107" s="430"/>
      <c r="L107" s="430"/>
      <c r="M107" s="430" t="s">
        <v>68</v>
      </c>
      <c r="N107" s="432" t="s">
        <v>68</v>
      </c>
      <c r="O107" s="430" t="s">
        <v>170</v>
      </c>
      <c r="P107" s="430" t="s">
        <v>171</v>
      </c>
      <c r="Q107" s="430" t="s">
        <v>172</v>
      </c>
      <c r="R107" s="431" t="s">
        <v>73</v>
      </c>
      <c r="S107" s="442" t="s">
        <v>120</v>
      </c>
      <c r="T107" s="433">
        <v>555</v>
      </c>
      <c r="U107" s="1062">
        <v>3300</v>
      </c>
      <c r="V107" s="434">
        <v>1.8320000000000001</v>
      </c>
      <c r="W107" s="435">
        <v>100</v>
      </c>
      <c r="X107" s="1015">
        <v>5</v>
      </c>
      <c r="Y107" s="430" t="s">
        <v>75</v>
      </c>
      <c r="Z107" s="430" t="s">
        <v>75</v>
      </c>
      <c r="AA107" s="430"/>
      <c r="AB107" s="437">
        <v>46048</v>
      </c>
      <c r="AC107" s="438">
        <v>5</v>
      </c>
      <c r="AD107" s="439" t="s">
        <v>631</v>
      </c>
      <c r="AE107" s="430"/>
      <c r="AF107" s="430" t="s">
        <v>122</v>
      </c>
      <c r="AG107" s="430" t="s">
        <v>123</v>
      </c>
      <c r="AH107" s="430" t="s">
        <v>356</v>
      </c>
      <c r="AI107" s="437">
        <v>46054</v>
      </c>
      <c r="AJ107" s="437">
        <v>46054</v>
      </c>
      <c r="AK107" s="441">
        <v>46054</v>
      </c>
      <c r="AL107" s="437">
        <v>46091</v>
      </c>
      <c r="AM107" s="437">
        <v>46109</v>
      </c>
      <c r="AN107" s="437">
        <v>46110</v>
      </c>
      <c r="AO107" s="430" t="s">
        <v>66</v>
      </c>
      <c r="AP107" s="430" t="s">
        <v>632</v>
      </c>
      <c r="AQ107" s="430" t="s">
        <v>161</v>
      </c>
      <c r="AR107" s="430" t="s">
        <v>633</v>
      </c>
      <c r="AS107" s="430" t="s">
        <v>634</v>
      </c>
      <c r="AT107" s="430" t="s">
        <v>634</v>
      </c>
      <c r="AU10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W107" s="437">
        <v>46110</v>
      </c>
      <c r="AX107" s="433" t="s">
        <v>84</v>
      </c>
      <c r="AY107" s="437">
        <v>46121</v>
      </c>
      <c r="AZ107" s="442">
        <v>8</v>
      </c>
      <c r="BA107" s="437">
        <v>46118</v>
      </c>
      <c r="BB107" s="433">
        <v>2026</v>
      </c>
      <c r="BC107" s="430">
        <v>4</v>
      </c>
      <c r="BD107" s="430">
        <v>15</v>
      </c>
      <c r="BE107" s="431">
        <v>33</v>
      </c>
      <c r="BF107" s="431">
        <v>660</v>
      </c>
      <c r="BG107" s="431" t="s">
        <v>108</v>
      </c>
      <c r="BH107" s="431" t="s">
        <v>109</v>
      </c>
      <c r="BI107" s="430" t="s">
        <v>197</v>
      </c>
      <c r="BJ107" s="430" t="s">
        <v>197</v>
      </c>
      <c r="BK107" s="430" t="s">
        <v>197</v>
      </c>
      <c r="BL107" s="430" t="s">
        <v>197</v>
      </c>
      <c r="BM107" s="430" t="s">
        <v>197</v>
      </c>
      <c r="BN107" s="430" t="s">
        <v>197</v>
      </c>
      <c r="BO107" s="430" t="s">
        <v>197</v>
      </c>
      <c r="BP107" s="430" t="s">
        <v>197</v>
      </c>
      <c r="BQ107" s="430" t="s">
        <v>197</v>
      </c>
      <c r="BR107" s="430" t="s">
        <v>197</v>
      </c>
      <c r="BS107" s="430" t="s">
        <v>197</v>
      </c>
      <c r="BT107" s="430" t="s">
        <v>197</v>
      </c>
      <c r="BU107" s="430" t="s">
        <v>197</v>
      </c>
      <c r="BV107" s="430" t="s">
        <v>197</v>
      </c>
      <c r="BW107" s="430" t="s">
        <v>197</v>
      </c>
      <c r="BX107" s="430" t="s">
        <v>197</v>
      </c>
      <c r="BY107" s="430" t="s">
        <v>197</v>
      </c>
      <c r="BZ107" s="430" t="s">
        <v>197</v>
      </c>
      <c r="CA107" s="430" t="s">
        <v>197</v>
      </c>
      <c r="CB107" s="430" t="s">
        <v>197</v>
      </c>
      <c r="CC107" s="430" t="s">
        <v>197</v>
      </c>
      <c r="CD107" s="430" t="s">
        <v>197</v>
      </c>
      <c r="CE107" s="430" t="s">
        <v>197</v>
      </c>
      <c r="CF107" s="430" t="s">
        <v>197</v>
      </c>
      <c r="CG107" s="430" t="s">
        <v>197</v>
      </c>
      <c r="CH107" s="430" t="s">
        <v>197</v>
      </c>
      <c r="CI107" s="430" t="s">
        <v>197</v>
      </c>
      <c r="CJ107" s="430" t="s">
        <v>197</v>
      </c>
      <c r="CK107" s="430" t="s">
        <v>197</v>
      </c>
      <c r="CL107" s="430" t="s">
        <v>197</v>
      </c>
      <c r="CM107" s="430" t="s">
        <v>197</v>
      </c>
    </row>
    <row r="108" spans="1:91" ht="10.5" hidden="1">
      <c r="A108" s="462" t="s">
        <v>635</v>
      </c>
      <c r="B108" s="462" t="s">
        <v>111</v>
      </c>
      <c r="C108" s="462" t="s">
        <v>461</v>
      </c>
      <c r="D108" s="462" t="s">
        <v>63</v>
      </c>
      <c r="E108" s="462" t="s">
        <v>64</v>
      </c>
      <c r="F108" s="462" t="s">
        <v>65</v>
      </c>
      <c r="G108" s="462" t="s">
        <v>66</v>
      </c>
      <c r="H108" s="462" t="s">
        <v>67</v>
      </c>
      <c r="I108" s="439" t="s">
        <v>68</v>
      </c>
      <c r="J108" s="430" t="s">
        <v>232</v>
      </c>
      <c r="K108" s="430"/>
      <c r="L108" s="430"/>
      <c r="M108" s="430" t="s">
        <v>68</v>
      </c>
      <c r="N108" s="432" t="s">
        <v>68</v>
      </c>
      <c r="O108" s="430" t="s">
        <v>170</v>
      </c>
      <c r="P108" s="430" t="s">
        <v>462</v>
      </c>
      <c r="Q108" s="430" t="s">
        <v>463</v>
      </c>
      <c r="R108" s="431" t="s">
        <v>73</v>
      </c>
      <c r="S108" s="442" t="s">
        <v>464</v>
      </c>
      <c r="T108" s="433">
        <v>550</v>
      </c>
      <c r="U108" s="1062">
        <v>1320</v>
      </c>
      <c r="V108" s="434">
        <v>0.72599999999999998</v>
      </c>
      <c r="W108" s="435">
        <v>40</v>
      </c>
      <c r="X108" s="1015">
        <v>2</v>
      </c>
      <c r="Y108" s="430" t="s">
        <v>75</v>
      </c>
      <c r="Z108" s="430" t="s">
        <v>75</v>
      </c>
      <c r="AA108" s="430"/>
      <c r="AB108" s="437">
        <v>46048</v>
      </c>
      <c r="AC108" s="438">
        <v>5</v>
      </c>
      <c r="AD108" s="439" t="s">
        <v>636</v>
      </c>
      <c r="AE108" s="430"/>
      <c r="AF108" s="430" t="s">
        <v>122</v>
      </c>
      <c r="AG108" s="430" t="s">
        <v>123</v>
      </c>
      <c r="AH108" s="430" t="s">
        <v>356</v>
      </c>
      <c r="AI108" s="437">
        <v>46054</v>
      </c>
      <c r="AJ108" s="437">
        <v>46054</v>
      </c>
      <c r="AK108" s="441">
        <v>46054</v>
      </c>
      <c r="AL108" s="437">
        <v>46091</v>
      </c>
      <c r="AM108" s="437">
        <v>46109</v>
      </c>
      <c r="AN108" s="437">
        <v>46110</v>
      </c>
      <c r="AO108" s="430" t="s">
        <v>66</v>
      </c>
      <c r="AP108" s="430" t="s">
        <v>632</v>
      </c>
      <c r="AQ108" s="430" t="s">
        <v>161</v>
      </c>
      <c r="AR108" s="430" t="s">
        <v>633</v>
      </c>
      <c r="AS108" s="430" t="s">
        <v>634</v>
      </c>
      <c r="AT108" s="430" t="s">
        <v>634</v>
      </c>
      <c r="AU10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W108" s="437">
        <v>46110</v>
      </c>
      <c r="AX108" s="433" t="s">
        <v>84</v>
      </c>
      <c r="AY108" s="437">
        <v>46121</v>
      </c>
      <c r="AZ108" s="442">
        <v>8</v>
      </c>
      <c r="BA108" s="437">
        <v>46118</v>
      </c>
      <c r="BB108" s="433">
        <v>2026</v>
      </c>
      <c r="BC108" s="430">
        <v>4</v>
      </c>
      <c r="BD108" s="430">
        <v>15</v>
      </c>
      <c r="BE108" s="431">
        <v>33</v>
      </c>
      <c r="BF108" s="431">
        <v>660</v>
      </c>
      <c r="BG108" s="431" t="s">
        <v>108</v>
      </c>
      <c r="BH108" s="431" t="s">
        <v>109</v>
      </c>
      <c r="BI108" s="430" t="s">
        <v>197</v>
      </c>
      <c r="BJ108" s="430" t="s">
        <v>197</v>
      </c>
      <c r="BK108" s="430" t="s">
        <v>197</v>
      </c>
      <c r="BL108" s="430" t="s">
        <v>197</v>
      </c>
      <c r="BM108" s="430" t="s">
        <v>197</v>
      </c>
      <c r="BN108" s="430" t="s">
        <v>197</v>
      </c>
      <c r="BO108" s="430" t="s">
        <v>197</v>
      </c>
      <c r="BP108" s="430" t="s">
        <v>197</v>
      </c>
      <c r="BQ108" s="430" t="s">
        <v>197</v>
      </c>
      <c r="BR108" s="430" t="s">
        <v>197</v>
      </c>
      <c r="BS108" s="430" t="s">
        <v>197</v>
      </c>
      <c r="BT108" s="430" t="s">
        <v>197</v>
      </c>
      <c r="BU108" s="430" t="s">
        <v>197</v>
      </c>
      <c r="BV108" s="430" t="s">
        <v>197</v>
      </c>
      <c r="BW108" s="430" t="s">
        <v>197</v>
      </c>
      <c r="BX108" s="430" t="s">
        <v>197</v>
      </c>
      <c r="BY108" s="430" t="s">
        <v>197</v>
      </c>
      <c r="BZ108" s="430" t="s">
        <v>197</v>
      </c>
      <c r="CA108" s="430" t="s">
        <v>197</v>
      </c>
      <c r="CB108" s="430" t="s">
        <v>197</v>
      </c>
      <c r="CC108" s="430" t="s">
        <v>197</v>
      </c>
      <c r="CD108" s="430" t="s">
        <v>197</v>
      </c>
      <c r="CE108" s="430" t="s">
        <v>197</v>
      </c>
      <c r="CF108" s="430" t="s">
        <v>197</v>
      </c>
      <c r="CG108" s="430" t="s">
        <v>197</v>
      </c>
      <c r="CH108" s="430" t="s">
        <v>197</v>
      </c>
      <c r="CI108" s="430" t="s">
        <v>197</v>
      </c>
      <c r="CJ108" s="430" t="s">
        <v>197</v>
      </c>
      <c r="CK108" s="430" t="s">
        <v>197</v>
      </c>
      <c r="CL108" s="430" t="s">
        <v>197</v>
      </c>
      <c r="CM108" s="430" t="s">
        <v>197</v>
      </c>
    </row>
    <row r="109" spans="1:91" ht="10.5" hidden="1">
      <c r="A109" s="462" t="s">
        <v>637</v>
      </c>
      <c r="B109" s="462" t="s">
        <v>111</v>
      </c>
      <c r="C109" s="462" t="s">
        <v>638</v>
      </c>
      <c r="D109" s="462" t="s">
        <v>63</v>
      </c>
      <c r="E109" s="462" t="s">
        <v>64</v>
      </c>
      <c r="F109" s="462" t="s">
        <v>65</v>
      </c>
      <c r="G109" s="462" t="s">
        <v>66</v>
      </c>
      <c r="H109" s="462" t="s">
        <v>67</v>
      </c>
      <c r="I109" s="439" t="s">
        <v>68</v>
      </c>
      <c r="J109" s="430" t="s">
        <v>232</v>
      </c>
      <c r="K109" s="430"/>
      <c r="L109" s="430"/>
      <c r="M109" s="430" t="s">
        <v>68</v>
      </c>
      <c r="N109" s="432" t="s">
        <v>68</v>
      </c>
      <c r="O109" s="430" t="s">
        <v>473</v>
      </c>
      <c r="P109" s="430" t="s">
        <v>474</v>
      </c>
      <c r="Q109" s="430" t="s">
        <v>475</v>
      </c>
      <c r="R109" s="431" t="s">
        <v>73</v>
      </c>
      <c r="S109" s="442" t="s">
        <v>74</v>
      </c>
      <c r="T109" s="433">
        <v>460</v>
      </c>
      <c r="U109" s="1062">
        <v>2592</v>
      </c>
      <c r="V109" s="434">
        <v>1.1919999999999999</v>
      </c>
      <c r="W109" s="435">
        <v>72</v>
      </c>
      <c r="X109" s="1015">
        <v>3</v>
      </c>
      <c r="Y109" s="430" t="s">
        <v>75</v>
      </c>
      <c r="Z109" s="430" t="s">
        <v>75</v>
      </c>
      <c r="AA109" s="430"/>
      <c r="AB109" s="437">
        <v>46048</v>
      </c>
      <c r="AC109" s="438">
        <v>5</v>
      </c>
      <c r="AD109" s="439" t="s">
        <v>639</v>
      </c>
      <c r="AE109" s="430"/>
      <c r="AF109" s="430" t="s">
        <v>122</v>
      </c>
      <c r="AG109" s="430" t="s">
        <v>123</v>
      </c>
      <c r="AH109" s="430" t="s">
        <v>356</v>
      </c>
      <c r="AI109" s="437">
        <v>46054</v>
      </c>
      <c r="AJ109" s="437">
        <v>46054</v>
      </c>
      <c r="AK109" s="441">
        <v>46054</v>
      </c>
      <c r="AL109" s="437">
        <v>46091</v>
      </c>
      <c r="AM109" s="437">
        <v>46109</v>
      </c>
      <c r="AN109" s="437">
        <v>46110</v>
      </c>
      <c r="AO109" s="430" t="s">
        <v>66</v>
      </c>
      <c r="AP109" s="430" t="s">
        <v>632</v>
      </c>
      <c r="AQ109" s="430" t="s">
        <v>161</v>
      </c>
      <c r="AR109" s="430" t="s">
        <v>633</v>
      </c>
      <c r="AS109" s="430" t="s">
        <v>634</v>
      </c>
      <c r="AT109" s="430" t="s">
        <v>634</v>
      </c>
      <c r="AU10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W109" s="437">
        <v>46110</v>
      </c>
      <c r="AX109" s="433" t="s">
        <v>84</v>
      </c>
      <c r="AY109" s="437">
        <v>46121</v>
      </c>
      <c r="AZ109" s="442">
        <v>8</v>
      </c>
      <c r="BA109" s="437">
        <v>46118</v>
      </c>
      <c r="BB109" s="433">
        <v>2026</v>
      </c>
      <c r="BC109" s="430">
        <v>4</v>
      </c>
      <c r="BD109" s="430">
        <v>15</v>
      </c>
      <c r="BE109" s="431">
        <v>36</v>
      </c>
      <c r="BF109" s="431">
        <v>864</v>
      </c>
      <c r="BG109" s="431" t="s">
        <v>85</v>
      </c>
      <c r="BH109" s="431" t="s">
        <v>109</v>
      </c>
      <c r="BI109" s="430" t="s">
        <v>197</v>
      </c>
      <c r="BJ109" s="430" t="s">
        <v>197</v>
      </c>
      <c r="BK109" s="430" t="s">
        <v>197</v>
      </c>
      <c r="BL109" s="430" t="s">
        <v>197</v>
      </c>
      <c r="BM109" s="430" t="s">
        <v>197</v>
      </c>
      <c r="BN109" s="430" t="s">
        <v>197</v>
      </c>
      <c r="BO109" s="430" t="s">
        <v>197</v>
      </c>
      <c r="BP109" s="430" t="s">
        <v>197</v>
      </c>
      <c r="BQ109" s="430" t="s">
        <v>197</v>
      </c>
      <c r="BR109" s="430" t="s">
        <v>197</v>
      </c>
      <c r="BS109" s="430" t="s">
        <v>197</v>
      </c>
      <c r="BT109" s="430" t="s">
        <v>197</v>
      </c>
      <c r="BU109" s="430" t="s">
        <v>197</v>
      </c>
      <c r="BV109" s="430" t="s">
        <v>197</v>
      </c>
      <c r="BW109" s="430" t="s">
        <v>197</v>
      </c>
      <c r="BX109" s="430" t="s">
        <v>197</v>
      </c>
      <c r="BY109" s="430" t="s">
        <v>197</v>
      </c>
      <c r="BZ109" s="430" t="s">
        <v>197</v>
      </c>
      <c r="CA109" s="430" t="s">
        <v>197</v>
      </c>
      <c r="CB109" s="430" t="s">
        <v>197</v>
      </c>
      <c r="CC109" s="430" t="s">
        <v>197</v>
      </c>
      <c r="CD109" s="430" t="s">
        <v>197</v>
      </c>
      <c r="CE109" s="430" t="s">
        <v>197</v>
      </c>
      <c r="CF109" s="430" t="s">
        <v>197</v>
      </c>
      <c r="CG109" s="430" t="s">
        <v>197</v>
      </c>
      <c r="CH109" s="430" t="s">
        <v>197</v>
      </c>
      <c r="CI109" s="430" t="s">
        <v>197</v>
      </c>
      <c r="CJ109" s="430" t="s">
        <v>197</v>
      </c>
      <c r="CK109" s="430" t="s">
        <v>197</v>
      </c>
      <c r="CL109" s="430" t="s">
        <v>197</v>
      </c>
      <c r="CM109" s="430" t="s">
        <v>197</v>
      </c>
    </row>
    <row r="110" spans="1:91" ht="10.5" hidden="1">
      <c r="A110" s="462" t="s">
        <v>640</v>
      </c>
      <c r="B110" s="462" t="s">
        <v>111</v>
      </c>
      <c r="C110" s="462" t="s">
        <v>472</v>
      </c>
      <c r="D110" s="462" t="s">
        <v>63</v>
      </c>
      <c r="E110" s="462" t="s">
        <v>64</v>
      </c>
      <c r="F110" s="462" t="s">
        <v>100</v>
      </c>
      <c r="G110" s="462" t="s">
        <v>66</v>
      </c>
      <c r="H110" s="462" t="s">
        <v>67</v>
      </c>
      <c r="I110" s="439" t="s">
        <v>68</v>
      </c>
      <c r="J110" s="430" t="s">
        <v>483</v>
      </c>
      <c r="K110" s="430"/>
      <c r="L110" s="430"/>
      <c r="M110" s="430" t="s">
        <v>68</v>
      </c>
      <c r="N110" s="432" t="s">
        <v>68</v>
      </c>
      <c r="O110" s="430" t="s">
        <v>473</v>
      </c>
      <c r="P110" s="430" t="s">
        <v>474</v>
      </c>
      <c r="Q110" s="430" t="s">
        <v>475</v>
      </c>
      <c r="R110" s="431" t="s">
        <v>73</v>
      </c>
      <c r="S110" s="442" t="s">
        <v>74</v>
      </c>
      <c r="T110" s="433">
        <v>460</v>
      </c>
      <c r="U110" s="1062">
        <v>2592</v>
      </c>
      <c r="V110" s="434">
        <v>1.1919999999999999</v>
      </c>
      <c r="W110" s="435">
        <v>72</v>
      </c>
      <c r="X110" s="1015">
        <v>3</v>
      </c>
      <c r="Y110" s="430" t="s">
        <v>75</v>
      </c>
      <c r="Z110" s="430" t="s">
        <v>75</v>
      </c>
      <c r="AA110" s="430"/>
      <c r="AB110" s="437">
        <v>46050</v>
      </c>
      <c r="AC110" s="438">
        <v>5</v>
      </c>
      <c r="AD110" s="439" t="s">
        <v>641</v>
      </c>
      <c r="AE110" s="430"/>
      <c r="AF110" s="430" t="s">
        <v>122</v>
      </c>
      <c r="AG110" s="430" t="s">
        <v>123</v>
      </c>
      <c r="AH110" s="430" t="s">
        <v>105</v>
      </c>
      <c r="AI110" s="437">
        <v>46055</v>
      </c>
      <c r="AJ110" s="437">
        <v>46059</v>
      </c>
      <c r="AK110" s="441">
        <v>46059</v>
      </c>
      <c r="AL110" s="437">
        <v>46092</v>
      </c>
      <c r="AM110" s="437">
        <v>46102</v>
      </c>
      <c r="AN110" s="437">
        <v>46103</v>
      </c>
      <c r="AO110" s="430" t="s">
        <v>66</v>
      </c>
      <c r="AP110" s="430" t="s">
        <v>642</v>
      </c>
      <c r="AQ110" s="430" t="s">
        <v>80</v>
      </c>
      <c r="AR110" s="430" t="s">
        <v>643</v>
      </c>
      <c r="AS110" s="430" t="s">
        <v>644</v>
      </c>
      <c r="AT110" s="430" t="s">
        <v>644</v>
      </c>
      <c r="AU11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W110" s="437">
        <v>46103</v>
      </c>
      <c r="AX110" s="433" t="s">
        <v>84</v>
      </c>
      <c r="AY110" s="437">
        <v>46115</v>
      </c>
      <c r="AZ110" s="442">
        <v>7</v>
      </c>
      <c r="BA110" s="437">
        <v>46110</v>
      </c>
      <c r="BB110" s="433">
        <v>2026</v>
      </c>
      <c r="BC110" s="430">
        <v>3</v>
      </c>
      <c r="BD110" s="430">
        <v>13</v>
      </c>
      <c r="BE110" s="431">
        <v>36</v>
      </c>
      <c r="BF110" s="431">
        <v>864</v>
      </c>
      <c r="BG110" s="431" t="s">
        <v>85</v>
      </c>
      <c r="BH110" s="431" t="s">
        <v>109</v>
      </c>
      <c r="BI110" s="430" t="s">
        <v>197</v>
      </c>
      <c r="BJ110" s="430" t="s">
        <v>197</v>
      </c>
      <c r="BK110" s="430" t="s">
        <v>197</v>
      </c>
      <c r="BL110" s="430" t="s">
        <v>197</v>
      </c>
      <c r="BM110" s="430" t="s">
        <v>197</v>
      </c>
      <c r="BN110" s="430" t="s">
        <v>197</v>
      </c>
      <c r="BO110" s="430" t="s">
        <v>197</v>
      </c>
      <c r="BP110" s="430" t="s">
        <v>197</v>
      </c>
      <c r="BQ110" s="430" t="s">
        <v>197</v>
      </c>
      <c r="BR110" s="430" t="s">
        <v>197</v>
      </c>
      <c r="BS110" s="430" t="s">
        <v>197</v>
      </c>
      <c r="BT110" s="430" t="s">
        <v>197</v>
      </c>
      <c r="BU110" s="430" t="s">
        <v>197</v>
      </c>
      <c r="BV110" s="430" t="s">
        <v>197</v>
      </c>
      <c r="BW110" s="430" t="s">
        <v>197</v>
      </c>
      <c r="BX110" s="430" t="s">
        <v>197</v>
      </c>
      <c r="BY110" s="430" t="s">
        <v>197</v>
      </c>
      <c r="BZ110" s="430" t="s">
        <v>197</v>
      </c>
      <c r="CA110" s="430" t="s">
        <v>197</v>
      </c>
      <c r="CB110" s="430" t="s">
        <v>197</v>
      </c>
      <c r="CC110" s="430" t="s">
        <v>197</v>
      </c>
      <c r="CD110" s="430" t="s">
        <v>197</v>
      </c>
      <c r="CE110" s="430" t="s">
        <v>197</v>
      </c>
      <c r="CF110" s="430" t="s">
        <v>197</v>
      </c>
      <c r="CG110" s="430" t="s">
        <v>197</v>
      </c>
      <c r="CH110" s="430" t="s">
        <v>197</v>
      </c>
      <c r="CI110" s="430" t="s">
        <v>197</v>
      </c>
      <c r="CJ110" s="430" t="s">
        <v>197</v>
      </c>
      <c r="CK110" s="430" t="s">
        <v>197</v>
      </c>
      <c r="CL110" s="430" t="s">
        <v>197</v>
      </c>
      <c r="CM110" s="430" t="s">
        <v>197</v>
      </c>
    </row>
    <row r="111" spans="1:91" ht="10.5" hidden="1">
      <c r="A111" s="462" t="s">
        <v>645</v>
      </c>
      <c r="B111" s="462" t="s">
        <v>111</v>
      </c>
      <c r="C111" s="462" t="s">
        <v>525</v>
      </c>
      <c r="D111" s="462" t="s">
        <v>63</v>
      </c>
      <c r="E111" s="462" t="s">
        <v>64</v>
      </c>
      <c r="F111" s="462" t="s">
        <v>114</v>
      </c>
      <c r="G111" s="462" t="s">
        <v>66</v>
      </c>
      <c r="H111" s="462" t="s">
        <v>115</v>
      </c>
      <c r="I111" s="439" t="s">
        <v>68</v>
      </c>
      <c r="J111" s="430" t="s">
        <v>646</v>
      </c>
      <c r="K111" s="430"/>
      <c r="L111" s="430"/>
      <c r="M111" s="430" t="s">
        <v>68</v>
      </c>
      <c r="N111" s="432" t="s">
        <v>68</v>
      </c>
      <c r="O111" s="430" t="s">
        <v>473</v>
      </c>
      <c r="P111" s="430" t="s">
        <v>529</v>
      </c>
      <c r="Q111" s="430" t="s">
        <v>530</v>
      </c>
      <c r="R111" s="431" t="s">
        <v>73</v>
      </c>
      <c r="S111" s="442" t="s">
        <v>74</v>
      </c>
      <c r="T111" s="433">
        <v>455</v>
      </c>
      <c r="U111" s="1062">
        <v>2592</v>
      </c>
      <c r="V111" s="434">
        <v>1.179</v>
      </c>
      <c r="W111" s="435">
        <v>72</v>
      </c>
      <c r="X111" s="1015">
        <v>3</v>
      </c>
      <c r="Y111" s="430" t="s">
        <v>75</v>
      </c>
      <c r="Z111" s="430" t="s">
        <v>75</v>
      </c>
      <c r="AA111" s="430"/>
      <c r="AB111" s="437">
        <v>46050</v>
      </c>
      <c r="AC111" s="438">
        <v>5</v>
      </c>
      <c r="AD111" s="439" t="s">
        <v>647</v>
      </c>
      <c r="AE111" s="430"/>
      <c r="AF111" s="430" t="s">
        <v>122</v>
      </c>
      <c r="AG111" s="430" t="s">
        <v>123</v>
      </c>
      <c r="AH111" s="430" t="s">
        <v>124</v>
      </c>
      <c r="AI111" s="437">
        <v>46055</v>
      </c>
      <c r="AJ111" s="437">
        <v>46056</v>
      </c>
      <c r="AK111" s="441">
        <v>46056</v>
      </c>
      <c r="AL111" s="437">
        <v>46093</v>
      </c>
      <c r="AM111" s="437">
        <v>46095</v>
      </c>
      <c r="AN111" s="437">
        <v>46095</v>
      </c>
      <c r="AO111" s="430" t="s">
        <v>66</v>
      </c>
      <c r="AP111" s="430" t="s">
        <v>648</v>
      </c>
      <c r="AQ111" s="430" t="s">
        <v>80</v>
      </c>
      <c r="AR111" s="430" t="s">
        <v>649</v>
      </c>
      <c r="AS111" s="430" t="s">
        <v>650</v>
      </c>
      <c r="AT111" s="430" t="s">
        <v>650</v>
      </c>
      <c r="AU11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39</v>
      </c>
      <c r="AW111" s="437">
        <v>46095</v>
      </c>
      <c r="AX111" s="433" t="s">
        <v>84</v>
      </c>
      <c r="AY111" s="437">
        <v>46111</v>
      </c>
      <c r="AZ111" s="442">
        <v>9</v>
      </c>
      <c r="BA111" s="437">
        <v>46104</v>
      </c>
      <c r="BB111" s="433">
        <v>2026</v>
      </c>
      <c r="BC111" s="430">
        <v>3</v>
      </c>
      <c r="BD111" s="430">
        <v>13</v>
      </c>
      <c r="BE111" s="431">
        <v>36</v>
      </c>
      <c r="BF111" s="431">
        <v>864</v>
      </c>
      <c r="BG111" s="431" t="s">
        <v>85</v>
      </c>
      <c r="BH111" s="431" t="s">
        <v>86</v>
      </c>
      <c r="BI111" s="430" t="s">
        <v>197</v>
      </c>
      <c r="BJ111" s="430" t="s">
        <v>197</v>
      </c>
      <c r="BK111" s="430" t="s">
        <v>197</v>
      </c>
      <c r="BL111" s="430" t="s">
        <v>197</v>
      </c>
      <c r="BM111" s="430" t="s">
        <v>197</v>
      </c>
      <c r="BN111" s="430" t="s">
        <v>197</v>
      </c>
      <c r="BO111" s="430" t="s">
        <v>197</v>
      </c>
      <c r="BP111" s="430" t="s">
        <v>197</v>
      </c>
      <c r="BQ111" s="430" t="s">
        <v>197</v>
      </c>
      <c r="BR111" s="430" t="s">
        <v>197</v>
      </c>
      <c r="BS111" s="430" t="s">
        <v>197</v>
      </c>
      <c r="BT111" s="430" t="s">
        <v>197</v>
      </c>
      <c r="BU111" s="430" t="s">
        <v>197</v>
      </c>
      <c r="BV111" s="430" t="s">
        <v>197</v>
      </c>
      <c r="BW111" s="430" t="s">
        <v>197</v>
      </c>
      <c r="BX111" s="430" t="s">
        <v>197</v>
      </c>
      <c r="BY111" s="430" t="s">
        <v>197</v>
      </c>
      <c r="BZ111" s="430" t="s">
        <v>197</v>
      </c>
      <c r="CA111" s="430" t="s">
        <v>197</v>
      </c>
      <c r="CB111" s="430" t="s">
        <v>197</v>
      </c>
      <c r="CC111" s="430" t="s">
        <v>197</v>
      </c>
      <c r="CD111" s="430" t="s">
        <v>197</v>
      </c>
      <c r="CE111" s="430" t="s">
        <v>197</v>
      </c>
      <c r="CF111" s="430" t="s">
        <v>197</v>
      </c>
      <c r="CG111" s="430" t="s">
        <v>197</v>
      </c>
      <c r="CH111" s="430" t="s">
        <v>197</v>
      </c>
      <c r="CI111" s="430" t="s">
        <v>197</v>
      </c>
      <c r="CJ111" s="430" t="s">
        <v>197</v>
      </c>
      <c r="CK111" s="430" t="s">
        <v>197</v>
      </c>
      <c r="CL111" s="430" t="s">
        <v>197</v>
      </c>
      <c r="CM111" s="430" t="s">
        <v>197</v>
      </c>
    </row>
    <row r="112" spans="1:91" ht="10.5" hidden="1">
      <c r="A112" s="462" t="s">
        <v>651</v>
      </c>
      <c r="B112" s="462" t="s">
        <v>111</v>
      </c>
      <c r="C112" s="462" t="s">
        <v>472</v>
      </c>
      <c r="D112" s="462" t="s">
        <v>63</v>
      </c>
      <c r="E112" s="462" t="s">
        <v>64</v>
      </c>
      <c r="F112" s="462" t="s">
        <v>65</v>
      </c>
      <c r="G112" s="462" t="s">
        <v>66</v>
      </c>
      <c r="H112" s="462" t="s">
        <v>67</v>
      </c>
      <c r="I112" s="439" t="s">
        <v>68</v>
      </c>
      <c r="J112" s="430" t="s">
        <v>232</v>
      </c>
      <c r="K112" s="430"/>
      <c r="L112" s="430"/>
      <c r="M112" s="430" t="s">
        <v>68</v>
      </c>
      <c r="N112" s="432" t="s">
        <v>68</v>
      </c>
      <c r="O112" s="430" t="s">
        <v>473</v>
      </c>
      <c r="P112" s="430" t="s">
        <v>474</v>
      </c>
      <c r="Q112" s="430" t="s">
        <v>475</v>
      </c>
      <c r="R112" s="431" t="s">
        <v>73</v>
      </c>
      <c r="S112" s="442" t="s">
        <v>74</v>
      </c>
      <c r="T112" s="433">
        <v>460</v>
      </c>
      <c r="U112" s="1062">
        <v>2592</v>
      </c>
      <c r="V112" s="434">
        <v>1.1919999999999999</v>
      </c>
      <c r="W112" s="435">
        <v>72</v>
      </c>
      <c r="X112" s="1015">
        <v>3</v>
      </c>
      <c r="Y112" s="430" t="s">
        <v>75</v>
      </c>
      <c r="Z112" s="430" t="s">
        <v>75</v>
      </c>
      <c r="AA112" s="430"/>
      <c r="AB112" s="437">
        <v>46050</v>
      </c>
      <c r="AC112" s="438">
        <v>5</v>
      </c>
      <c r="AD112" s="439" t="s">
        <v>652</v>
      </c>
      <c r="AE112" s="430"/>
      <c r="AF112" s="430" t="s">
        <v>122</v>
      </c>
      <c r="AG112" s="430" t="s">
        <v>123</v>
      </c>
      <c r="AH112" s="430" t="s">
        <v>78</v>
      </c>
      <c r="AI112" s="437">
        <v>46055</v>
      </c>
      <c r="AJ112" s="437">
        <v>46056</v>
      </c>
      <c r="AK112" s="441">
        <v>46056</v>
      </c>
      <c r="AL112" s="437">
        <v>46098</v>
      </c>
      <c r="AM112" s="437">
        <v>46101</v>
      </c>
      <c r="AN112" s="437">
        <v>46103</v>
      </c>
      <c r="AO112" s="430" t="s">
        <v>66</v>
      </c>
      <c r="AP112" s="430" t="s">
        <v>653</v>
      </c>
      <c r="AQ112" s="430" t="s">
        <v>80</v>
      </c>
      <c r="AR112" s="430" t="s">
        <v>654</v>
      </c>
      <c r="AS112" s="430" t="s">
        <v>655</v>
      </c>
      <c r="AT112" s="430" t="s">
        <v>655</v>
      </c>
      <c r="AU11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112" s="437">
        <v>46103</v>
      </c>
      <c r="AX112" s="433" t="s">
        <v>84</v>
      </c>
      <c r="AY112" s="437">
        <v>46115</v>
      </c>
      <c r="AZ112" s="442">
        <v>8</v>
      </c>
      <c r="BA112" s="437">
        <v>46111</v>
      </c>
      <c r="BB112" s="433">
        <v>2026</v>
      </c>
      <c r="BC112" s="430">
        <v>3</v>
      </c>
      <c r="BD112" s="430">
        <v>14</v>
      </c>
      <c r="BE112" s="431">
        <v>36</v>
      </c>
      <c r="BF112" s="431">
        <v>864</v>
      </c>
      <c r="BG112" s="431" t="s">
        <v>85</v>
      </c>
      <c r="BH112" s="431" t="s">
        <v>86</v>
      </c>
      <c r="BI112" s="430" t="s">
        <v>197</v>
      </c>
      <c r="BJ112" s="430" t="s">
        <v>197</v>
      </c>
      <c r="BK112" s="430" t="s">
        <v>197</v>
      </c>
      <c r="BL112" s="430" t="s">
        <v>197</v>
      </c>
      <c r="BM112" s="430" t="s">
        <v>197</v>
      </c>
      <c r="BN112" s="430" t="s">
        <v>197</v>
      </c>
      <c r="BO112" s="430" t="s">
        <v>197</v>
      </c>
      <c r="BP112" s="430" t="s">
        <v>197</v>
      </c>
      <c r="BQ112" s="430" t="s">
        <v>197</v>
      </c>
      <c r="BR112" s="430" t="s">
        <v>197</v>
      </c>
      <c r="BS112" s="430" t="s">
        <v>197</v>
      </c>
      <c r="BT112" s="430" t="s">
        <v>197</v>
      </c>
      <c r="BU112" s="430" t="s">
        <v>197</v>
      </c>
      <c r="BV112" s="430" t="s">
        <v>197</v>
      </c>
      <c r="BW112" s="430" t="s">
        <v>197</v>
      </c>
      <c r="BX112" s="430" t="s">
        <v>197</v>
      </c>
      <c r="BY112" s="430" t="s">
        <v>197</v>
      </c>
      <c r="BZ112" s="430" t="s">
        <v>197</v>
      </c>
      <c r="CA112" s="430" t="s">
        <v>197</v>
      </c>
      <c r="CB112" s="430" t="s">
        <v>197</v>
      </c>
      <c r="CC112" s="430" t="s">
        <v>197</v>
      </c>
      <c r="CD112" s="430" t="s">
        <v>197</v>
      </c>
      <c r="CE112" s="430" t="s">
        <v>197</v>
      </c>
      <c r="CF112" s="430" t="s">
        <v>197</v>
      </c>
      <c r="CG112" s="430" t="s">
        <v>197</v>
      </c>
      <c r="CH112" s="430" t="s">
        <v>197</v>
      </c>
      <c r="CI112" s="430" t="s">
        <v>197</v>
      </c>
      <c r="CJ112" s="430" t="s">
        <v>197</v>
      </c>
      <c r="CK112" s="430" t="s">
        <v>197</v>
      </c>
      <c r="CL112" s="430" t="s">
        <v>197</v>
      </c>
      <c r="CM112" s="430" t="s">
        <v>197</v>
      </c>
    </row>
    <row r="113" spans="1:91" ht="10.5" hidden="1">
      <c r="A113" s="462" t="s">
        <v>461</v>
      </c>
      <c r="B113" s="462" t="s">
        <v>111</v>
      </c>
      <c r="C113" s="462" t="s">
        <v>203</v>
      </c>
      <c r="D113" s="462" t="s">
        <v>63</v>
      </c>
      <c r="E113" s="462" t="s">
        <v>64</v>
      </c>
      <c r="F113" s="462" t="s">
        <v>65</v>
      </c>
      <c r="G113" s="462" t="s">
        <v>66</v>
      </c>
      <c r="H113" s="462" t="s">
        <v>67</v>
      </c>
      <c r="I113" s="439" t="s">
        <v>68</v>
      </c>
      <c r="J113" s="430" t="s">
        <v>131</v>
      </c>
      <c r="K113" s="430"/>
      <c r="L113" s="430"/>
      <c r="M113" s="430" t="s">
        <v>68</v>
      </c>
      <c r="N113" s="432" t="s">
        <v>68</v>
      </c>
      <c r="O113" s="430" t="s">
        <v>170</v>
      </c>
      <c r="P113" s="430" t="s">
        <v>462</v>
      </c>
      <c r="Q113" s="430" t="s">
        <v>463</v>
      </c>
      <c r="R113" s="431" t="s">
        <v>73</v>
      </c>
      <c r="S113" s="442" t="s">
        <v>464</v>
      </c>
      <c r="T113" s="433">
        <v>550</v>
      </c>
      <c r="U113" s="1062">
        <v>2640</v>
      </c>
      <c r="V113" s="434">
        <v>1.452</v>
      </c>
      <c r="W113" s="435">
        <v>80</v>
      </c>
      <c r="X113" s="1015">
        <v>4</v>
      </c>
      <c r="Y113" s="430" t="s">
        <v>75</v>
      </c>
      <c r="Z113" s="430" t="s">
        <v>75</v>
      </c>
      <c r="AA113" s="430"/>
      <c r="AB113" s="437">
        <v>46049</v>
      </c>
      <c r="AC113" s="438">
        <v>5</v>
      </c>
      <c r="AD113" s="439" t="s">
        <v>656</v>
      </c>
      <c r="AE113" s="430"/>
      <c r="AF113" s="430" t="s">
        <v>122</v>
      </c>
      <c r="AG113" s="430" t="s">
        <v>123</v>
      </c>
      <c r="AH113" s="430" t="s">
        <v>78</v>
      </c>
      <c r="AI113" s="437">
        <v>46055</v>
      </c>
      <c r="AJ113" s="437">
        <v>46058</v>
      </c>
      <c r="AK113" s="441">
        <v>46058</v>
      </c>
      <c r="AL113" s="437">
        <v>46099</v>
      </c>
      <c r="AM113" s="437">
        <v>46112</v>
      </c>
      <c r="AN113" s="437">
        <v>46120</v>
      </c>
      <c r="AO113" s="430" t="s">
        <v>66</v>
      </c>
      <c r="AP113" s="430" t="s">
        <v>657</v>
      </c>
      <c r="AQ113" s="430" t="s">
        <v>80</v>
      </c>
      <c r="AR113" s="430" t="s">
        <v>658</v>
      </c>
      <c r="AS113" s="430" t="s">
        <v>659</v>
      </c>
      <c r="AT113" s="430" t="s">
        <v>659</v>
      </c>
      <c r="AU11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62</v>
      </c>
      <c r="AW113" s="437">
        <v>46120</v>
      </c>
      <c r="AX113" s="433" t="s">
        <v>84</v>
      </c>
      <c r="AY113" s="437">
        <v>46132</v>
      </c>
      <c r="AZ113" s="442">
        <v>8</v>
      </c>
      <c r="BA113" s="437">
        <v>46128</v>
      </c>
      <c r="BB113" s="433">
        <v>2026</v>
      </c>
      <c r="BC113" s="430">
        <v>4</v>
      </c>
      <c r="BD113" s="430">
        <v>16</v>
      </c>
      <c r="BE113" s="431">
        <v>33</v>
      </c>
      <c r="BF113" s="431">
        <v>660</v>
      </c>
      <c r="BG113" s="431" t="s">
        <v>108</v>
      </c>
      <c r="BH113" s="431" t="s">
        <v>86</v>
      </c>
      <c r="BI113" s="430" t="s">
        <v>197</v>
      </c>
      <c r="BJ113" s="430" t="s">
        <v>197</v>
      </c>
      <c r="BK113" s="430" t="s">
        <v>197</v>
      </c>
      <c r="BL113" s="430" t="s">
        <v>197</v>
      </c>
      <c r="BM113" s="430" t="s">
        <v>197</v>
      </c>
      <c r="BN113" s="430" t="s">
        <v>197</v>
      </c>
      <c r="BO113" s="430" t="s">
        <v>197</v>
      </c>
      <c r="BP113" s="430" t="s">
        <v>197</v>
      </c>
      <c r="BQ113" s="430" t="s">
        <v>197</v>
      </c>
      <c r="BR113" s="430" t="s">
        <v>197</v>
      </c>
      <c r="BS113" s="430" t="s">
        <v>197</v>
      </c>
      <c r="BT113" s="430" t="s">
        <v>197</v>
      </c>
      <c r="BU113" s="430" t="s">
        <v>197</v>
      </c>
      <c r="BV113" s="430" t="s">
        <v>197</v>
      </c>
      <c r="BW113" s="430" t="s">
        <v>197</v>
      </c>
      <c r="BX113" s="430" t="s">
        <v>197</v>
      </c>
      <c r="BY113" s="430" t="s">
        <v>197</v>
      </c>
      <c r="BZ113" s="430" t="s">
        <v>197</v>
      </c>
      <c r="CA113" s="430" t="s">
        <v>197</v>
      </c>
      <c r="CB113" s="430" t="s">
        <v>197</v>
      </c>
      <c r="CC113" s="430" t="s">
        <v>197</v>
      </c>
      <c r="CD113" s="430" t="s">
        <v>197</v>
      </c>
      <c r="CE113" s="430" t="s">
        <v>197</v>
      </c>
      <c r="CF113" s="430" t="s">
        <v>197</v>
      </c>
      <c r="CG113" s="430" t="s">
        <v>197</v>
      </c>
      <c r="CH113" s="430" t="s">
        <v>197</v>
      </c>
      <c r="CI113" s="430" t="s">
        <v>197</v>
      </c>
      <c r="CJ113" s="430" t="s">
        <v>197</v>
      </c>
      <c r="CK113" s="430" t="s">
        <v>197</v>
      </c>
      <c r="CL113" s="430" t="s">
        <v>197</v>
      </c>
      <c r="CM113" s="430" t="s">
        <v>197</v>
      </c>
    </row>
    <row r="114" spans="1:91" ht="10.5" hidden="1">
      <c r="A114" s="462" t="s">
        <v>660</v>
      </c>
      <c r="B114" s="462" t="s">
        <v>111</v>
      </c>
      <c r="C114" s="462" t="s">
        <v>461</v>
      </c>
      <c r="D114" s="462" t="s">
        <v>63</v>
      </c>
      <c r="E114" s="462" t="s">
        <v>64</v>
      </c>
      <c r="F114" s="462" t="s">
        <v>100</v>
      </c>
      <c r="G114" s="462" t="s">
        <v>66</v>
      </c>
      <c r="H114" s="462" t="s">
        <v>67</v>
      </c>
      <c r="I114" s="439" t="s">
        <v>68</v>
      </c>
      <c r="J114" s="430" t="s">
        <v>169</v>
      </c>
      <c r="K114" s="430"/>
      <c r="L114" s="430"/>
      <c r="M114" s="430" t="s">
        <v>68</v>
      </c>
      <c r="N114" s="432" t="s">
        <v>68</v>
      </c>
      <c r="O114" s="430" t="s">
        <v>170</v>
      </c>
      <c r="P114" s="430" t="s">
        <v>462</v>
      </c>
      <c r="Q114" s="430" t="s">
        <v>463</v>
      </c>
      <c r="R114" s="431" t="s">
        <v>73</v>
      </c>
      <c r="S114" s="442" t="s">
        <v>464</v>
      </c>
      <c r="T114" s="433">
        <v>550</v>
      </c>
      <c r="U114" s="1062">
        <v>660</v>
      </c>
      <c r="V114" s="434">
        <v>0.36299999999999999</v>
      </c>
      <c r="W114" s="435">
        <v>20</v>
      </c>
      <c r="X114" s="1015">
        <v>1</v>
      </c>
      <c r="Y114" s="430" t="s">
        <v>75</v>
      </c>
      <c r="Z114" s="430" t="s">
        <v>75</v>
      </c>
      <c r="AA114" s="430"/>
      <c r="AB114" s="437">
        <v>46049</v>
      </c>
      <c r="AC114" s="438">
        <v>5</v>
      </c>
      <c r="AD114" s="439" t="s">
        <v>661</v>
      </c>
      <c r="AE114" s="430"/>
      <c r="AF114" s="430" t="s">
        <v>122</v>
      </c>
      <c r="AG114" s="430" t="s">
        <v>123</v>
      </c>
      <c r="AH114" s="430" t="s">
        <v>105</v>
      </c>
      <c r="AI114" s="437">
        <v>46055</v>
      </c>
      <c r="AJ114" s="437">
        <v>46058</v>
      </c>
      <c r="AK114" s="441">
        <v>46058</v>
      </c>
      <c r="AL114" s="437">
        <v>46101</v>
      </c>
      <c r="AM114" s="437">
        <v>46111</v>
      </c>
      <c r="AN114" s="437">
        <v>46118</v>
      </c>
      <c r="AO114" s="430" t="s">
        <v>66</v>
      </c>
      <c r="AP114" s="430" t="s">
        <v>657</v>
      </c>
      <c r="AQ114" s="430" t="s">
        <v>80</v>
      </c>
      <c r="AR114" s="430" t="s">
        <v>662</v>
      </c>
      <c r="AS114" s="430" t="s">
        <v>663</v>
      </c>
      <c r="AT114" s="430" t="s">
        <v>663</v>
      </c>
      <c r="AU11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</v>
      </c>
      <c r="AW114" s="437">
        <v>46118</v>
      </c>
      <c r="AX114" s="433" t="s">
        <v>84</v>
      </c>
      <c r="AY114" s="437">
        <v>46133</v>
      </c>
      <c r="AZ114" s="442">
        <v>7</v>
      </c>
      <c r="BA114" s="437">
        <v>46125</v>
      </c>
      <c r="BB114" s="433">
        <v>2026</v>
      </c>
      <c r="BC114" s="430">
        <v>4</v>
      </c>
      <c r="BD114" s="430">
        <v>16</v>
      </c>
      <c r="BE114" s="431">
        <v>33</v>
      </c>
      <c r="BF114" s="431">
        <v>660</v>
      </c>
      <c r="BG114" s="431" t="s">
        <v>108</v>
      </c>
      <c r="BH114" s="431" t="s">
        <v>109</v>
      </c>
      <c r="BI114" s="430" t="s">
        <v>197</v>
      </c>
      <c r="BJ114" s="430" t="s">
        <v>197</v>
      </c>
      <c r="BK114" s="430" t="s">
        <v>197</v>
      </c>
      <c r="BL114" s="430" t="s">
        <v>197</v>
      </c>
      <c r="BM114" s="430" t="s">
        <v>197</v>
      </c>
      <c r="BN114" s="430" t="s">
        <v>197</v>
      </c>
      <c r="BO114" s="430" t="s">
        <v>197</v>
      </c>
      <c r="BP114" s="430" t="s">
        <v>197</v>
      </c>
      <c r="BQ114" s="430" t="s">
        <v>197</v>
      </c>
      <c r="BR114" s="430" t="s">
        <v>197</v>
      </c>
      <c r="BS114" s="430" t="s">
        <v>197</v>
      </c>
      <c r="BT114" s="430" t="s">
        <v>197</v>
      </c>
      <c r="BU114" s="430" t="s">
        <v>197</v>
      </c>
      <c r="BV114" s="430" t="s">
        <v>197</v>
      </c>
      <c r="BW114" s="430" t="s">
        <v>197</v>
      </c>
      <c r="BX114" s="430" t="s">
        <v>197</v>
      </c>
      <c r="BY114" s="430" t="s">
        <v>197</v>
      </c>
      <c r="BZ114" s="430" t="s">
        <v>197</v>
      </c>
      <c r="CA114" s="430" t="s">
        <v>197</v>
      </c>
      <c r="CB114" s="430" t="s">
        <v>197</v>
      </c>
      <c r="CC114" s="430" t="s">
        <v>197</v>
      </c>
      <c r="CD114" s="430" t="s">
        <v>197</v>
      </c>
      <c r="CE114" s="430" t="s">
        <v>197</v>
      </c>
      <c r="CF114" s="430" t="s">
        <v>197</v>
      </c>
      <c r="CG114" s="430" t="s">
        <v>197</v>
      </c>
      <c r="CH114" s="430" t="s">
        <v>197</v>
      </c>
      <c r="CI114" s="430" t="s">
        <v>197</v>
      </c>
      <c r="CJ114" s="430" t="s">
        <v>197</v>
      </c>
      <c r="CK114" s="430" t="s">
        <v>197</v>
      </c>
      <c r="CL114" s="430" t="s">
        <v>197</v>
      </c>
      <c r="CM114" s="430" t="s">
        <v>197</v>
      </c>
    </row>
    <row r="115" spans="1:91" ht="10.5" hidden="1">
      <c r="A115" s="462" t="s">
        <v>664</v>
      </c>
      <c r="B115" s="462" t="s">
        <v>111</v>
      </c>
      <c r="C115" s="462" t="s">
        <v>168</v>
      </c>
      <c r="D115" s="462" t="s">
        <v>63</v>
      </c>
      <c r="E115" s="462" t="s">
        <v>64</v>
      </c>
      <c r="F115" s="462" t="s">
        <v>100</v>
      </c>
      <c r="G115" s="462" t="s">
        <v>66</v>
      </c>
      <c r="H115" s="462" t="s">
        <v>67</v>
      </c>
      <c r="I115" s="439" t="s">
        <v>68</v>
      </c>
      <c r="J115" s="430" t="s">
        <v>169</v>
      </c>
      <c r="K115" s="430"/>
      <c r="L115" s="430"/>
      <c r="M115" s="430" t="s">
        <v>68</v>
      </c>
      <c r="N115" s="432" t="s">
        <v>68</v>
      </c>
      <c r="O115" s="430" t="s">
        <v>170</v>
      </c>
      <c r="P115" s="430" t="s">
        <v>171</v>
      </c>
      <c r="Q115" s="430" t="s">
        <v>172</v>
      </c>
      <c r="R115" s="431" t="s">
        <v>73</v>
      </c>
      <c r="S115" s="442" t="s">
        <v>120</v>
      </c>
      <c r="T115" s="433">
        <v>555</v>
      </c>
      <c r="U115" s="1062">
        <v>1320</v>
      </c>
      <c r="V115" s="434">
        <v>0.73299999999999998</v>
      </c>
      <c r="W115" s="435">
        <v>40</v>
      </c>
      <c r="X115" s="1015">
        <v>2</v>
      </c>
      <c r="Y115" s="430" t="s">
        <v>75</v>
      </c>
      <c r="Z115" s="430" t="s">
        <v>75</v>
      </c>
      <c r="AA115" s="430"/>
      <c r="AB115" s="437">
        <v>46049</v>
      </c>
      <c r="AC115" s="438">
        <v>5</v>
      </c>
      <c r="AD115" s="439" t="s">
        <v>665</v>
      </c>
      <c r="AE115" s="430"/>
      <c r="AF115" s="430" t="s">
        <v>122</v>
      </c>
      <c r="AG115" s="430" t="s">
        <v>123</v>
      </c>
      <c r="AH115" s="430" t="s">
        <v>105</v>
      </c>
      <c r="AI115" s="437">
        <v>46055</v>
      </c>
      <c r="AJ115" s="437">
        <v>46058</v>
      </c>
      <c r="AK115" s="441">
        <v>46058</v>
      </c>
      <c r="AL115" s="437">
        <v>46101</v>
      </c>
      <c r="AM115" s="437">
        <v>46111</v>
      </c>
      <c r="AN115" s="437">
        <v>46118</v>
      </c>
      <c r="AO115" s="430" t="s">
        <v>66</v>
      </c>
      <c r="AP115" s="430" t="s">
        <v>657</v>
      </c>
      <c r="AQ115" s="430" t="s">
        <v>80</v>
      </c>
      <c r="AR115" s="430" t="s">
        <v>662</v>
      </c>
      <c r="AS115" s="430" t="s">
        <v>663</v>
      </c>
      <c r="AT115" s="430" t="s">
        <v>663</v>
      </c>
      <c r="AU11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</v>
      </c>
      <c r="AW115" s="437">
        <v>46118</v>
      </c>
      <c r="AX115" s="433" t="s">
        <v>84</v>
      </c>
      <c r="AY115" s="437">
        <v>46133</v>
      </c>
      <c r="AZ115" s="442">
        <v>7</v>
      </c>
      <c r="BA115" s="437">
        <v>46125</v>
      </c>
      <c r="BB115" s="433">
        <v>2026</v>
      </c>
      <c r="BC115" s="430">
        <v>4</v>
      </c>
      <c r="BD115" s="430">
        <v>16</v>
      </c>
      <c r="BE115" s="431">
        <v>33</v>
      </c>
      <c r="BF115" s="431">
        <v>660</v>
      </c>
      <c r="BG115" s="431" t="s">
        <v>108</v>
      </c>
      <c r="BH115" s="431" t="s">
        <v>109</v>
      </c>
      <c r="BI115" s="430" t="s">
        <v>197</v>
      </c>
      <c r="BJ115" s="430" t="s">
        <v>197</v>
      </c>
      <c r="BK115" s="430" t="s">
        <v>197</v>
      </c>
      <c r="BL115" s="430" t="s">
        <v>197</v>
      </c>
      <c r="BM115" s="430" t="s">
        <v>197</v>
      </c>
      <c r="BN115" s="430" t="s">
        <v>197</v>
      </c>
      <c r="BO115" s="430" t="s">
        <v>197</v>
      </c>
      <c r="BP115" s="430" t="s">
        <v>197</v>
      </c>
      <c r="BQ115" s="430" t="s">
        <v>197</v>
      </c>
      <c r="BR115" s="430" t="s">
        <v>197</v>
      </c>
      <c r="BS115" s="430" t="s">
        <v>197</v>
      </c>
      <c r="BT115" s="430" t="s">
        <v>197</v>
      </c>
      <c r="BU115" s="430" t="s">
        <v>197</v>
      </c>
      <c r="BV115" s="430" t="s">
        <v>197</v>
      </c>
      <c r="BW115" s="430" t="s">
        <v>197</v>
      </c>
      <c r="BX115" s="430" t="s">
        <v>197</v>
      </c>
      <c r="BY115" s="430" t="s">
        <v>197</v>
      </c>
      <c r="BZ115" s="430" t="s">
        <v>197</v>
      </c>
      <c r="CA115" s="430" t="s">
        <v>197</v>
      </c>
      <c r="CB115" s="430" t="s">
        <v>197</v>
      </c>
      <c r="CC115" s="430" t="s">
        <v>197</v>
      </c>
      <c r="CD115" s="430" t="s">
        <v>197</v>
      </c>
      <c r="CE115" s="430" t="s">
        <v>197</v>
      </c>
      <c r="CF115" s="430" t="s">
        <v>197</v>
      </c>
      <c r="CG115" s="430" t="s">
        <v>197</v>
      </c>
      <c r="CH115" s="430" t="s">
        <v>197</v>
      </c>
      <c r="CI115" s="430" t="s">
        <v>197</v>
      </c>
      <c r="CJ115" s="430" t="s">
        <v>197</v>
      </c>
      <c r="CK115" s="430" t="s">
        <v>197</v>
      </c>
      <c r="CL115" s="430" t="s">
        <v>197</v>
      </c>
      <c r="CM115" s="430" t="s">
        <v>197</v>
      </c>
    </row>
    <row r="116" spans="1:91" ht="10.5" hidden="1">
      <c r="A116" s="462" t="s">
        <v>282</v>
      </c>
      <c r="B116" s="462" t="s">
        <v>281</v>
      </c>
      <c r="C116" s="462" t="s">
        <v>203</v>
      </c>
      <c r="D116" s="462" t="s">
        <v>63</v>
      </c>
      <c r="E116" s="462" t="s">
        <v>64</v>
      </c>
      <c r="F116" s="462" t="s">
        <v>100</v>
      </c>
      <c r="G116" s="462" t="s">
        <v>66</v>
      </c>
      <c r="H116" s="462" t="s">
        <v>67</v>
      </c>
      <c r="I116" s="439" t="s">
        <v>68</v>
      </c>
      <c r="J116" s="430" t="s">
        <v>293</v>
      </c>
      <c r="K116" s="430"/>
      <c r="L116" s="430"/>
      <c r="M116" s="430" t="s">
        <v>68</v>
      </c>
      <c r="N116" s="432" t="s">
        <v>68</v>
      </c>
      <c r="O116" s="430" t="s">
        <v>284</v>
      </c>
      <c r="P116" s="430" t="s">
        <v>285</v>
      </c>
      <c r="Q116" s="430" t="s">
        <v>286</v>
      </c>
      <c r="R116" s="431" t="s">
        <v>73</v>
      </c>
      <c r="S116" s="442" t="s">
        <v>120</v>
      </c>
      <c r="T116" s="433">
        <v>460</v>
      </c>
      <c r="U116" s="1062">
        <v>1924</v>
      </c>
      <c r="V116" s="434">
        <v>0.88500000000000001</v>
      </c>
      <c r="W116" s="435">
        <v>52</v>
      </c>
      <c r="X116" s="1015">
        <v>2</v>
      </c>
      <c r="Y116" s="430" t="s">
        <v>75</v>
      </c>
      <c r="Z116" s="430" t="s">
        <v>75</v>
      </c>
      <c r="AA116" s="430"/>
      <c r="AB116" s="437">
        <v>46051</v>
      </c>
      <c r="AC116" s="438">
        <v>5</v>
      </c>
      <c r="AD116" s="439" t="s">
        <v>666</v>
      </c>
      <c r="AE116" s="430"/>
      <c r="AF116" s="430" t="s">
        <v>288</v>
      </c>
      <c r="AG116" s="430" t="s">
        <v>289</v>
      </c>
      <c r="AH116" s="430" t="s">
        <v>105</v>
      </c>
      <c r="AI116" s="437">
        <v>46057</v>
      </c>
      <c r="AJ116" s="437">
        <v>46061</v>
      </c>
      <c r="AK116" s="441">
        <v>46061</v>
      </c>
      <c r="AL116" s="437">
        <v>46087</v>
      </c>
      <c r="AM116" s="437">
        <v>46097</v>
      </c>
      <c r="AN116" s="437">
        <v>46099</v>
      </c>
      <c r="AO116" s="430" t="s">
        <v>66</v>
      </c>
      <c r="AP116" s="430" t="s">
        <v>457</v>
      </c>
      <c r="AQ116" s="430" t="s">
        <v>161</v>
      </c>
      <c r="AR116" s="430" t="s">
        <v>667</v>
      </c>
      <c r="AS116" s="430" t="s">
        <v>668</v>
      </c>
      <c r="AT116" s="482" t="s">
        <v>4418</v>
      </c>
      <c r="AU11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</v>
      </c>
      <c r="AW116" s="437">
        <v>46099</v>
      </c>
      <c r="AX116" s="433" t="s">
        <v>84</v>
      </c>
      <c r="AY116" s="437">
        <v>46111</v>
      </c>
      <c r="AZ116" s="442">
        <v>7</v>
      </c>
      <c r="BA116" s="437">
        <v>46106</v>
      </c>
      <c r="BB116" s="433">
        <v>2026</v>
      </c>
      <c r="BC116" s="430">
        <v>3</v>
      </c>
      <c r="BD116" s="430">
        <v>13</v>
      </c>
      <c r="BE116" s="431">
        <v>37</v>
      </c>
      <c r="BF116" s="431">
        <v>962</v>
      </c>
      <c r="BG116" s="431" t="s">
        <v>85</v>
      </c>
      <c r="BH116" s="431" t="s">
        <v>109</v>
      </c>
      <c r="BI116" s="430" t="s">
        <v>197</v>
      </c>
      <c r="BJ116" s="430" t="s">
        <v>197</v>
      </c>
      <c r="BK116" s="430" t="s">
        <v>197</v>
      </c>
      <c r="BL116" s="430" t="s">
        <v>197</v>
      </c>
      <c r="BM116" s="430" t="s">
        <v>197</v>
      </c>
      <c r="BN116" s="430" t="s">
        <v>197</v>
      </c>
      <c r="BO116" s="430" t="s">
        <v>197</v>
      </c>
      <c r="BP116" s="430" t="s">
        <v>197</v>
      </c>
      <c r="BQ116" s="430" t="s">
        <v>197</v>
      </c>
      <c r="BR116" s="430" t="s">
        <v>197</v>
      </c>
      <c r="BS116" s="430" t="s">
        <v>197</v>
      </c>
      <c r="BT116" s="430" t="s">
        <v>197</v>
      </c>
      <c r="BU116" s="430" t="s">
        <v>197</v>
      </c>
      <c r="BV116" s="430" t="s">
        <v>197</v>
      </c>
      <c r="BW116" s="430" t="s">
        <v>197</v>
      </c>
      <c r="BX116" s="430" t="s">
        <v>197</v>
      </c>
      <c r="BY116" s="430" t="s">
        <v>197</v>
      </c>
      <c r="BZ116" s="430" t="s">
        <v>197</v>
      </c>
      <c r="CA116" s="430" t="s">
        <v>197</v>
      </c>
      <c r="CB116" s="430" t="s">
        <v>197</v>
      </c>
      <c r="CC116" s="430" t="s">
        <v>197</v>
      </c>
      <c r="CD116" s="430" t="s">
        <v>197</v>
      </c>
      <c r="CE116" s="430" t="s">
        <v>197</v>
      </c>
      <c r="CF116" s="430" t="s">
        <v>197</v>
      </c>
      <c r="CG116" s="430" t="s">
        <v>197</v>
      </c>
      <c r="CH116" s="430" t="s">
        <v>197</v>
      </c>
      <c r="CI116" s="430" t="s">
        <v>197</v>
      </c>
      <c r="CJ116" s="430" t="s">
        <v>197</v>
      </c>
      <c r="CK116" s="430" t="s">
        <v>197</v>
      </c>
      <c r="CL116" s="430" t="s">
        <v>197</v>
      </c>
      <c r="CM116" s="430" t="s">
        <v>197</v>
      </c>
    </row>
    <row r="117" spans="1:91" ht="10.5" hidden="1">
      <c r="A117" s="462" t="s">
        <v>669</v>
      </c>
      <c r="B117" s="462" t="s">
        <v>281</v>
      </c>
      <c r="C117" s="462" t="s">
        <v>601</v>
      </c>
      <c r="D117" s="462" t="s">
        <v>63</v>
      </c>
      <c r="E117" s="462" t="s">
        <v>144</v>
      </c>
      <c r="F117" s="462" t="s">
        <v>145</v>
      </c>
      <c r="G117" s="462" t="s">
        <v>402</v>
      </c>
      <c r="H117" s="462" t="s">
        <v>670</v>
      </c>
      <c r="I117" s="439" t="s">
        <v>68</v>
      </c>
      <c r="J117" s="430" t="s">
        <v>671</v>
      </c>
      <c r="K117" s="430" t="s">
        <v>672</v>
      </c>
      <c r="L117" s="430"/>
      <c r="M117" s="430" t="s">
        <v>68</v>
      </c>
      <c r="N117" s="432" t="s">
        <v>68</v>
      </c>
      <c r="O117" s="430" t="s">
        <v>284</v>
      </c>
      <c r="P117" s="430" t="s">
        <v>602</v>
      </c>
      <c r="Q117" s="430" t="s">
        <v>603</v>
      </c>
      <c r="R117" s="431" t="s">
        <v>73</v>
      </c>
      <c r="S117" s="442" t="s">
        <v>120</v>
      </c>
      <c r="T117" s="433">
        <v>465</v>
      </c>
      <c r="U117" s="1062">
        <v>13468</v>
      </c>
      <c r="V117" s="434">
        <v>6.2629999999999999</v>
      </c>
      <c r="W117" s="435">
        <v>364</v>
      </c>
      <c r="X117" s="1015">
        <v>14</v>
      </c>
      <c r="Y117" s="430" t="s">
        <v>75</v>
      </c>
      <c r="Z117" s="430" t="s">
        <v>75</v>
      </c>
      <c r="AA117" s="430"/>
      <c r="AB117" s="437">
        <v>46041</v>
      </c>
      <c r="AC117" s="438">
        <v>4</v>
      </c>
      <c r="AD117" s="439" t="s">
        <v>673</v>
      </c>
      <c r="AE117" s="430"/>
      <c r="AF117" s="430" t="s">
        <v>288</v>
      </c>
      <c r="AG117" s="430" t="s">
        <v>289</v>
      </c>
      <c r="AH117" s="430" t="s">
        <v>105</v>
      </c>
      <c r="AI117" s="437">
        <v>46045</v>
      </c>
      <c r="AJ117" s="437">
        <v>46045</v>
      </c>
      <c r="AK117" s="441">
        <v>46045</v>
      </c>
      <c r="AL117" s="437">
        <v>46071</v>
      </c>
      <c r="AM117" s="437">
        <v>46080</v>
      </c>
      <c r="AN117" s="437">
        <v>46084</v>
      </c>
      <c r="AO117" s="430" t="s">
        <v>402</v>
      </c>
      <c r="AP117" s="430" t="s">
        <v>262</v>
      </c>
      <c r="AQ117" s="430" t="s">
        <v>161</v>
      </c>
      <c r="AR117" s="430" t="s">
        <v>674</v>
      </c>
      <c r="AS117" s="430" t="s">
        <v>675</v>
      </c>
      <c r="AT117" s="482" t="s">
        <v>4419</v>
      </c>
      <c r="AU11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39</v>
      </c>
      <c r="AW117" s="437">
        <v>46084</v>
      </c>
      <c r="AX117" s="433" t="s">
        <v>84</v>
      </c>
      <c r="AY117" s="437">
        <v>46085</v>
      </c>
      <c r="AZ117" s="442" t="s">
        <v>152</v>
      </c>
      <c r="BA117" s="437">
        <v>46084</v>
      </c>
      <c r="BB117" s="433">
        <v>2026</v>
      </c>
      <c r="BC117" s="430">
        <v>3</v>
      </c>
      <c r="BD117" s="430">
        <v>10</v>
      </c>
      <c r="BE117" s="431">
        <v>37</v>
      </c>
      <c r="BF117" s="431">
        <v>962</v>
      </c>
      <c r="BG117" s="431" t="s">
        <v>108</v>
      </c>
      <c r="BH117" s="431" t="s">
        <v>109</v>
      </c>
      <c r="BI117" s="430" t="s">
        <v>197</v>
      </c>
      <c r="BJ117" s="430" t="s">
        <v>197</v>
      </c>
      <c r="BK117" s="430" t="s">
        <v>197</v>
      </c>
      <c r="BL117" s="430" t="s">
        <v>197</v>
      </c>
      <c r="BM117" s="430" t="s">
        <v>197</v>
      </c>
      <c r="BN117" s="430" t="s">
        <v>197</v>
      </c>
      <c r="BO117" s="430" t="s">
        <v>197</v>
      </c>
      <c r="BP117" s="430" t="s">
        <v>197</v>
      </c>
      <c r="BQ117" s="430" t="s">
        <v>197</v>
      </c>
      <c r="BR117" s="430" t="s">
        <v>197</v>
      </c>
      <c r="BS117" s="430" t="s">
        <v>197</v>
      </c>
      <c r="BT117" s="430" t="s">
        <v>197</v>
      </c>
      <c r="BU117" s="430" t="s">
        <v>197</v>
      </c>
      <c r="BV117" s="430" t="s">
        <v>197</v>
      </c>
      <c r="BW117" s="430" t="s">
        <v>197</v>
      </c>
      <c r="BX117" s="430" t="s">
        <v>197</v>
      </c>
      <c r="BY117" s="430" t="s">
        <v>197</v>
      </c>
      <c r="BZ117" s="430" t="s">
        <v>197</v>
      </c>
      <c r="CA117" s="430" t="s">
        <v>197</v>
      </c>
      <c r="CB117" s="430" t="s">
        <v>197</v>
      </c>
      <c r="CC117" s="430" t="s">
        <v>197</v>
      </c>
      <c r="CD117" s="430" t="s">
        <v>197</v>
      </c>
      <c r="CE117" s="430" t="s">
        <v>197</v>
      </c>
      <c r="CF117" s="430" t="s">
        <v>197</v>
      </c>
      <c r="CG117" s="430" t="s">
        <v>197</v>
      </c>
      <c r="CH117" s="430" t="s">
        <v>197</v>
      </c>
      <c r="CI117" s="430" t="s">
        <v>197</v>
      </c>
      <c r="CJ117" s="430" t="s">
        <v>197</v>
      </c>
      <c r="CK117" s="430" t="s">
        <v>197</v>
      </c>
      <c r="CL117" s="430" t="s">
        <v>197</v>
      </c>
      <c r="CM117" s="430" t="s">
        <v>197</v>
      </c>
    </row>
    <row r="118" spans="1:91" ht="10.5" hidden="1">
      <c r="A118" s="462" t="s">
        <v>676</v>
      </c>
      <c r="B118" s="462" t="s">
        <v>281</v>
      </c>
      <c r="C118" s="462" t="s">
        <v>601</v>
      </c>
      <c r="D118" s="462" t="s">
        <v>63</v>
      </c>
      <c r="E118" s="462" t="s">
        <v>144</v>
      </c>
      <c r="F118" s="462" t="s">
        <v>145</v>
      </c>
      <c r="G118" s="462" t="s">
        <v>402</v>
      </c>
      <c r="H118" s="462" t="s">
        <v>670</v>
      </c>
      <c r="I118" s="439" t="s">
        <v>68</v>
      </c>
      <c r="J118" s="430" t="s">
        <v>677</v>
      </c>
      <c r="K118" s="430" t="s">
        <v>672</v>
      </c>
      <c r="L118" s="430"/>
      <c r="M118" s="430" t="s">
        <v>68</v>
      </c>
      <c r="N118" s="432" t="s">
        <v>68</v>
      </c>
      <c r="O118" s="430" t="s">
        <v>284</v>
      </c>
      <c r="P118" s="430" t="s">
        <v>602</v>
      </c>
      <c r="Q118" s="430" t="s">
        <v>603</v>
      </c>
      <c r="R118" s="431" t="s">
        <v>73</v>
      </c>
      <c r="S118" s="442" t="s">
        <v>120</v>
      </c>
      <c r="T118" s="433">
        <v>465</v>
      </c>
      <c r="U118" s="1062">
        <v>10582</v>
      </c>
      <c r="V118" s="434">
        <v>4.9210000000000003</v>
      </c>
      <c r="W118" s="435">
        <v>286</v>
      </c>
      <c r="X118" s="1015">
        <v>11</v>
      </c>
      <c r="Y118" s="430" t="s">
        <v>75</v>
      </c>
      <c r="Z118" s="430" t="s">
        <v>75</v>
      </c>
      <c r="AA118" s="430"/>
      <c r="AB118" s="437">
        <v>46051</v>
      </c>
      <c r="AC118" s="438">
        <v>5</v>
      </c>
      <c r="AD118" s="439" t="s">
        <v>678</v>
      </c>
      <c r="AE118" s="430"/>
      <c r="AF118" s="430" t="s">
        <v>288</v>
      </c>
      <c r="AG118" s="430" t="s">
        <v>289</v>
      </c>
      <c r="AH118" s="430" t="s">
        <v>105</v>
      </c>
      <c r="AI118" s="437">
        <v>46056</v>
      </c>
      <c r="AJ118" s="437">
        <v>46057</v>
      </c>
      <c r="AK118" s="441">
        <v>46057</v>
      </c>
      <c r="AL118" s="437">
        <v>46090</v>
      </c>
      <c r="AM118" s="437">
        <v>46091</v>
      </c>
      <c r="AN118" s="437">
        <v>46092</v>
      </c>
      <c r="AO118" s="430" t="s">
        <v>402</v>
      </c>
      <c r="AP118" s="430" t="s">
        <v>679</v>
      </c>
      <c r="AQ118" s="430" t="s">
        <v>161</v>
      </c>
      <c r="AR118" s="430" t="s">
        <v>680</v>
      </c>
      <c r="AS118" s="430">
        <v>265292580</v>
      </c>
      <c r="AT118" s="431">
        <v>265292580</v>
      </c>
      <c r="AU11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35</v>
      </c>
      <c r="AW118" s="437">
        <v>46092</v>
      </c>
      <c r="AX118" s="433" t="s">
        <v>84</v>
      </c>
      <c r="AY118" s="437">
        <v>46104</v>
      </c>
      <c r="AZ118" s="442" t="s">
        <v>152</v>
      </c>
      <c r="BA118" s="437">
        <v>46092</v>
      </c>
      <c r="BB118" s="433">
        <v>2026</v>
      </c>
      <c r="BC118" s="430">
        <v>3</v>
      </c>
      <c r="BD118" s="430">
        <v>11</v>
      </c>
      <c r="BE118" s="431">
        <v>37</v>
      </c>
      <c r="BF118" s="431">
        <v>962</v>
      </c>
      <c r="BG118" s="431" t="s">
        <v>108</v>
      </c>
      <c r="BH118" s="431" t="s">
        <v>109</v>
      </c>
      <c r="BI118" s="430" t="s">
        <v>197</v>
      </c>
      <c r="BJ118" s="430" t="s">
        <v>197</v>
      </c>
      <c r="BK118" s="430" t="s">
        <v>197</v>
      </c>
      <c r="BL118" s="430" t="s">
        <v>197</v>
      </c>
      <c r="BM118" s="430" t="s">
        <v>197</v>
      </c>
      <c r="BN118" s="430" t="s">
        <v>197</v>
      </c>
      <c r="BO118" s="430" t="s">
        <v>197</v>
      </c>
      <c r="BP118" s="430" t="s">
        <v>197</v>
      </c>
      <c r="BQ118" s="430" t="s">
        <v>197</v>
      </c>
      <c r="BR118" s="430" t="s">
        <v>197</v>
      </c>
      <c r="BS118" s="430" t="s">
        <v>197</v>
      </c>
      <c r="BT118" s="430" t="s">
        <v>197</v>
      </c>
      <c r="BU118" s="430" t="s">
        <v>197</v>
      </c>
      <c r="BV118" s="430" t="s">
        <v>197</v>
      </c>
      <c r="BW118" s="430" t="s">
        <v>197</v>
      </c>
      <c r="BX118" s="430" t="s">
        <v>197</v>
      </c>
      <c r="BY118" s="430" t="s">
        <v>197</v>
      </c>
      <c r="BZ118" s="430" t="s">
        <v>197</v>
      </c>
      <c r="CA118" s="430" t="s">
        <v>197</v>
      </c>
      <c r="CB118" s="430" t="s">
        <v>197</v>
      </c>
      <c r="CC118" s="430" t="s">
        <v>197</v>
      </c>
      <c r="CD118" s="430" t="s">
        <v>197</v>
      </c>
      <c r="CE118" s="430" t="s">
        <v>197</v>
      </c>
      <c r="CF118" s="430" t="s">
        <v>197</v>
      </c>
      <c r="CG118" s="430" t="s">
        <v>197</v>
      </c>
      <c r="CH118" s="430" t="s">
        <v>197</v>
      </c>
      <c r="CI118" s="430" t="s">
        <v>197</v>
      </c>
      <c r="CJ118" s="430" t="s">
        <v>197</v>
      </c>
      <c r="CK118" s="430" t="s">
        <v>197</v>
      </c>
      <c r="CL118" s="430" t="s">
        <v>197</v>
      </c>
      <c r="CM118" s="430" t="s">
        <v>197</v>
      </c>
    </row>
    <row r="119" spans="1:91" ht="10.5" hidden="1">
      <c r="A119" s="462" t="s">
        <v>681</v>
      </c>
      <c r="B119" s="462" t="s">
        <v>281</v>
      </c>
      <c r="C119" s="462" t="s">
        <v>601</v>
      </c>
      <c r="D119" s="462" t="s">
        <v>63</v>
      </c>
      <c r="E119" s="462" t="s">
        <v>144</v>
      </c>
      <c r="F119" s="462" t="s">
        <v>145</v>
      </c>
      <c r="G119" s="462" t="s">
        <v>402</v>
      </c>
      <c r="H119" s="462" t="s">
        <v>670</v>
      </c>
      <c r="I119" s="439" t="s">
        <v>68</v>
      </c>
      <c r="J119" s="430" t="s">
        <v>677</v>
      </c>
      <c r="K119" s="430" t="s">
        <v>672</v>
      </c>
      <c r="L119" s="430"/>
      <c r="M119" s="430" t="s">
        <v>68</v>
      </c>
      <c r="N119" s="432" t="s">
        <v>68</v>
      </c>
      <c r="O119" s="430" t="s">
        <v>284</v>
      </c>
      <c r="P119" s="430" t="s">
        <v>602</v>
      </c>
      <c r="Q119" s="430" t="s">
        <v>603</v>
      </c>
      <c r="R119" s="431" t="s">
        <v>73</v>
      </c>
      <c r="S119" s="442" t="s">
        <v>120</v>
      </c>
      <c r="T119" s="433">
        <v>465</v>
      </c>
      <c r="U119" s="1062">
        <v>1924</v>
      </c>
      <c r="V119" s="434">
        <v>0.89500000000000002</v>
      </c>
      <c r="W119" s="435">
        <v>52</v>
      </c>
      <c r="X119" s="1015">
        <v>2</v>
      </c>
      <c r="Y119" s="430" t="s">
        <v>75</v>
      </c>
      <c r="Z119" s="430" t="s">
        <v>75</v>
      </c>
      <c r="AA119" s="430"/>
      <c r="AB119" s="437">
        <v>46048</v>
      </c>
      <c r="AC119" s="438">
        <v>5</v>
      </c>
      <c r="AD119" s="439" t="s">
        <v>682</v>
      </c>
      <c r="AE119" s="430"/>
      <c r="AF119" s="430" t="s">
        <v>288</v>
      </c>
      <c r="AG119" s="430" t="s">
        <v>289</v>
      </c>
      <c r="AH119" s="430" t="s">
        <v>105</v>
      </c>
      <c r="AI119" s="437">
        <v>46053</v>
      </c>
      <c r="AJ119" s="437">
        <v>46054</v>
      </c>
      <c r="AK119" s="441">
        <v>46054</v>
      </c>
      <c r="AL119" s="437">
        <v>46087</v>
      </c>
      <c r="AM119" s="437">
        <v>46113</v>
      </c>
      <c r="AN119" s="437">
        <v>46114</v>
      </c>
      <c r="AO119" s="430" t="s">
        <v>402</v>
      </c>
      <c r="AP119" s="430" t="s">
        <v>683</v>
      </c>
      <c r="AQ119" s="430" t="s">
        <v>161</v>
      </c>
      <c r="AR119" s="430" t="s">
        <v>684</v>
      </c>
      <c r="AS119" s="430" t="s">
        <v>685</v>
      </c>
      <c r="AT119" s="482" t="s">
        <v>686</v>
      </c>
      <c r="AU11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</v>
      </c>
      <c r="AW119" s="437">
        <v>46114</v>
      </c>
      <c r="AX119" s="433" t="s">
        <v>84</v>
      </c>
      <c r="AY119" s="437">
        <v>46101</v>
      </c>
      <c r="AZ119" s="442" t="s">
        <v>152</v>
      </c>
      <c r="BA119" s="437">
        <v>46114</v>
      </c>
      <c r="BB119" s="433">
        <v>2026</v>
      </c>
      <c r="BC119" s="430">
        <v>4</v>
      </c>
      <c r="BD119" s="430">
        <v>14</v>
      </c>
      <c r="BE119" s="431">
        <v>37</v>
      </c>
      <c r="BF119" s="431">
        <v>962</v>
      </c>
      <c r="BG119" s="431" t="s">
        <v>108</v>
      </c>
      <c r="BH119" s="431" t="s">
        <v>109</v>
      </c>
      <c r="BI119" s="430" t="s">
        <v>197</v>
      </c>
      <c r="BJ119" s="430" t="s">
        <v>197</v>
      </c>
      <c r="BK119" s="430" t="s">
        <v>197</v>
      </c>
      <c r="BL119" s="430" t="s">
        <v>197</v>
      </c>
      <c r="BM119" s="430" t="s">
        <v>197</v>
      </c>
      <c r="BN119" s="430" t="s">
        <v>197</v>
      </c>
      <c r="BO119" s="430" t="s">
        <v>197</v>
      </c>
      <c r="BP119" s="430" t="s">
        <v>197</v>
      </c>
      <c r="BQ119" s="430" t="s">
        <v>197</v>
      </c>
      <c r="BR119" s="430" t="s">
        <v>197</v>
      </c>
      <c r="BS119" s="430" t="s">
        <v>197</v>
      </c>
      <c r="BT119" s="430" t="s">
        <v>197</v>
      </c>
      <c r="BU119" s="430" t="s">
        <v>197</v>
      </c>
      <c r="BV119" s="430" t="s">
        <v>197</v>
      </c>
      <c r="BW119" s="430" t="s">
        <v>197</v>
      </c>
      <c r="BX119" s="430" t="s">
        <v>197</v>
      </c>
      <c r="BY119" s="430" t="s">
        <v>197</v>
      </c>
      <c r="BZ119" s="430" t="s">
        <v>197</v>
      </c>
      <c r="CA119" s="430" t="s">
        <v>197</v>
      </c>
      <c r="CB119" s="430" t="s">
        <v>197</v>
      </c>
      <c r="CC119" s="430" t="s">
        <v>197</v>
      </c>
      <c r="CD119" s="430" t="s">
        <v>197</v>
      </c>
      <c r="CE119" s="430" t="s">
        <v>197</v>
      </c>
      <c r="CF119" s="430" t="s">
        <v>197</v>
      </c>
      <c r="CG119" s="430" t="s">
        <v>197</v>
      </c>
      <c r="CH119" s="430" t="s">
        <v>197</v>
      </c>
      <c r="CI119" s="430" t="s">
        <v>197</v>
      </c>
      <c r="CJ119" s="430" t="s">
        <v>197</v>
      </c>
      <c r="CK119" s="430" t="s">
        <v>197</v>
      </c>
      <c r="CL119" s="430" t="s">
        <v>197</v>
      </c>
      <c r="CM119" s="430" t="s">
        <v>197</v>
      </c>
    </row>
    <row r="120" spans="1:91" ht="10.5" hidden="1">
      <c r="A120" s="462" t="s">
        <v>687</v>
      </c>
      <c r="B120" s="462" t="s">
        <v>77</v>
      </c>
      <c r="C120" s="462" t="s">
        <v>688</v>
      </c>
      <c r="D120" s="462" t="s">
        <v>63</v>
      </c>
      <c r="E120" s="462" t="s">
        <v>64</v>
      </c>
      <c r="F120" s="462" t="s">
        <v>65</v>
      </c>
      <c r="G120" s="462" t="s">
        <v>66</v>
      </c>
      <c r="H120" s="462" t="s">
        <v>67</v>
      </c>
      <c r="I120" s="439" t="s">
        <v>689</v>
      </c>
      <c r="J120" s="430" t="s">
        <v>690</v>
      </c>
      <c r="K120" s="430"/>
      <c r="L120" s="430"/>
      <c r="M120" s="430" t="s">
        <v>68</v>
      </c>
      <c r="N120" s="432" t="s">
        <v>68</v>
      </c>
      <c r="O120" s="430" t="s">
        <v>70</v>
      </c>
      <c r="P120" s="430" t="s">
        <v>691</v>
      </c>
      <c r="Q120" s="430" t="s">
        <v>692</v>
      </c>
      <c r="R120" s="431" t="s">
        <v>73</v>
      </c>
      <c r="S120" s="442" t="s">
        <v>74</v>
      </c>
      <c r="T120" s="433">
        <v>505</v>
      </c>
      <c r="U120" s="1062">
        <v>1728</v>
      </c>
      <c r="V120" s="434">
        <v>0.873</v>
      </c>
      <c r="W120" s="435">
        <v>48</v>
      </c>
      <c r="X120" s="1015">
        <v>2</v>
      </c>
      <c r="Y120" s="430" t="s">
        <v>75</v>
      </c>
      <c r="Z120" s="430" t="s">
        <v>75</v>
      </c>
      <c r="AA120" s="430" t="s">
        <v>197</v>
      </c>
      <c r="AB120" s="437">
        <v>46050</v>
      </c>
      <c r="AC120" s="438">
        <v>5</v>
      </c>
      <c r="AD120" s="439" t="s">
        <v>693</v>
      </c>
      <c r="AE120" s="430" t="s">
        <v>197</v>
      </c>
      <c r="AF120" s="430" t="s">
        <v>77</v>
      </c>
      <c r="AG120" s="430" t="s">
        <v>61</v>
      </c>
      <c r="AH120" s="430" t="s">
        <v>356</v>
      </c>
      <c r="AI120" s="437">
        <v>46057</v>
      </c>
      <c r="AJ120" s="437">
        <v>46058</v>
      </c>
      <c r="AK120" s="441">
        <v>46058</v>
      </c>
      <c r="AL120" s="437">
        <v>46112</v>
      </c>
      <c r="AM120" s="437">
        <v>46132</v>
      </c>
      <c r="AN120" s="437">
        <v>46132</v>
      </c>
      <c r="AO120" s="430" t="s">
        <v>66</v>
      </c>
      <c r="AP120" s="430" t="s">
        <v>694</v>
      </c>
      <c r="AQ120" s="430" t="s">
        <v>80</v>
      </c>
      <c r="AR120" s="430" t="s">
        <v>695</v>
      </c>
      <c r="AS120" s="430" t="s">
        <v>696</v>
      </c>
      <c r="AT120" s="482" t="s">
        <v>696</v>
      </c>
      <c r="AU12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74</v>
      </c>
      <c r="AW120" s="437">
        <v>46132</v>
      </c>
      <c r="AX120" s="433" t="s">
        <v>84</v>
      </c>
      <c r="AY120" s="437">
        <v>46146</v>
      </c>
      <c r="AZ120" s="442">
        <v>8</v>
      </c>
      <c r="BA120" s="437">
        <v>46140</v>
      </c>
      <c r="BB120" s="433">
        <v>2026</v>
      </c>
      <c r="BC120" s="430">
        <v>4</v>
      </c>
      <c r="BD120" s="430">
        <v>18</v>
      </c>
      <c r="BE120" s="431">
        <v>36</v>
      </c>
      <c r="BF120" s="431">
        <v>864</v>
      </c>
      <c r="BG120" s="431" t="s">
        <v>85</v>
      </c>
      <c r="BH120" s="431" t="s">
        <v>109</v>
      </c>
      <c r="BI120" s="430" t="s">
        <v>197</v>
      </c>
      <c r="BJ120" s="430" t="s">
        <v>197</v>
      </c>
      <c r="BK120" s="430" t="s">
        <v>197</v>
      </c>
      <c r="BL120" s="430" t="s">
        <v>197</v>
      </c>
      <c r="BM120" s="430" t="s">
        <v>197</v>
      </c>
      <c r="BN120" s="430" t="s">
        <v>197</v>
      </c>
      <c r="BO120" s="430" t="s">
        <v>197</v>
      </c>
      <c r="BP120" s="430" t="s">
        <v>197</v>
      </c>
      <c r="BQ120" s="430" t="s">
        <v>197</v>
      </c>
      <c r="BR120" s="430" t="s">
        <v>197</v>
      </c>
      <c r="BS120" s="430" t="s">
        <v>197</v>
      </c>
      <c r="BT120" s="430" t="s">
        <v>197</v>
      </c>
      <c r="BU120" s="430" t="s">
        <v>197</v>
      </c>
      <c r="BV120" s="430" t="s">
        <v>197</v>
      </c>
      <c r="BW120" s="430" t="s">
        <v>197</v>
      </c>
      <c r="BX120" s="430" t="s">
        <v>197</v>
      </c>
      <c r="BY120" s="430" t="s">
        <v>197</v>
      </c>
      <c r="BZ120" s="430" t="s">
        <v>197</v>
      </c>
      <c r="CA120" s="430" t="s">
        <v>197</v>
      </c>
      <c r="CB120" s="430" t="s">
        <v>197</v>
      </c>
      <c r="CC120" s="430" t="s">
        <v>197</v>
      </c>
      <c r="CD120" s="430" t="s">
        <v>197</v>
      </c>
      <c r="CE120" s="430" t="s">
        <v>197</v>
      </c>
      <c r="CF120" s="430" t="s">
        <v>197</v>
      </c>
      <c r="CG120" s="430" t="s">
        <v>197</v>
      </c>
      <c r="CH120" s="430" t="s">
        <v>197</v>
      </c>
      <c r="CI120" s="430" t="s">
        <v>197</v>
      </c>
      <c r="CJ120" s="430" t="s">
        <v>197</v>
      </c>
      <c r="CK120" s="430" t="s">
        <v>197</v>
      </c>
      <c r="CL120" s="430" t="s">
        <v>197</v>
      </c>
      <c r="CM120" s="430" t="s">
        <v>197</v>
      </c>
    </row>
    <row r="121" spans="1:91" ht="10.5" hidden="1">
      <c r="A121" s="462" t="s">
        <v>697</v>
      </c>
      <c r="B121" s="462" t="s">
        <v>77</v>
      </c>
      <c r="C121" s="462" t="s">
        <v>688</v>
      </c>
      <c r="D121" s="462" t="s">
        <v>63</v>
      </c>
      <c r="E121" s="462" t="s">
        <v>64</v>
      </c>
      <c r="F121" s="462" t="s">
        <v>65</v>
      </c>
      <c r="G121" s="462" t="s">
        <v>66</v>
      </c>
      <c r="H121" s="462" t="s">
        <v>67</v>
      </c>
      <c r="I121" s="439" t="s">
        <v>68</v>
      </c>
      <c r="J121" s="430" t="s">
        <v>690</v>
      </c>
      <c r="K121" s="430"/>
      <c r="L121" s="430"/>
      <c r="M121" s="430" t="s">
        <v>68</v>
      </c>
      <c r="N121" s="432" t="s">
        <v>68</v>
      </c>
      <c r="O121" s="430" t="s">
        <v>70</v>
      </c>
      <c r="P121" s="430" t="s">
        <v>691</v>
      </c>
      <c r="Q121" s="430" t="s">
        <v>692</v>
      </c>
      <c r="R121" s="431" t="s">
        <v>73</v>
      </c>
      <c r="S121" s="442" t="s">
        <v>74</v>
      </c>
      <c r="T121" s="433">
        <v>505</v>
      </c>
      <c r="U121" s="1062">
        <v>1728</v>
      </c>
      <c r="V121" s="434">
        <v>0.873</v>
      </c>
      <c r="W121" s="435">
        <v>48</v>
      </c>
      <c r="X121" s="1015">
        <v>2</v>
      </c>
      <c r="Y121" s="430" t="s">
        <v>75</v>
      </c>
      <c r="Z121" s="430" t="s">
        <v>75</v>
      </c>
      <c r="AA121" s="430" t="s">
        <v>197</v>
      </c>
      <c r="AB121" s="437">
        <v>46050</v>
      </c>
      <c r="AC121" s="438">
        <v>5</v>
      </c>
      <c r="AD121" s="439" t="s">
        <v>698</v>
      </c>
      <c r="AE121" s="430" t="s">
        <v>197</v>
      </c>
      <c r="AF121" s="430" t="s">
        <v>77</v>
      </c>
      <c r="AG121" s="430" t="s">
        <v>61</v>
      </c>
      <c r="AH121" s="430" t="s">
        <v>356</v>
      </c>
      <c r="AI121" s="437">
        <v>46057</v>
      </c>
      <c r="AJ121" s="437">
        <v>46058</v>
      </c>
      <c r="AK121" s="441">
        <v>46058</v>
      </c>
      <c r="AL121" s="437">
        <v>46112</v>
      </c>
      <c r="AM121" s="437">
        <v>46132</v>
      </c>
      <c r="AN121" s="437">
        <v>46132</v>
      </c>
      <c r="AO121" s="430" t="s">
        <v>66</v>
      </c>
      <c r="AP121" s="430" t="s">
        <v>694</v>
      </c>
      <c r="AQ121" s="430" t="s">
        <v>80</v>
      </c>
      <c r="AR121" s="430" t="s">
        <v>695</v>
      </c>
      <c r="AS121" s="430" t="s">
        <v>696</v>
      </c>
      <c r="AT121" s="482" t="s">
        <v>696</v>
      </c>
      <c r="AU12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74</v>
      </c>
      <c r="AW121" s="437">
        <v>46132</v>
      </c>
      <c r="AX121" s="433" t="s">
        <v>84</v>
      </c>
      <c r="AY121" s="437">
        <v>46146</v>
      </c>
      <c r="AZ121" s="442">
        <v>8</v>
      </c>
      <c r="BA121" s="437">
        <v>46140</v>
      </c>
      <c r="BB121" s="433">
        <v>2026</v>
      </c>
      <c r="BC121" s="430">
        <v>4</v>
      </c>
      <c r="BD121" s="430">
        <v>18</v>
      </c>
      <c r="BE121" s="431">
        <v>36</v>
      </c>
      <c r="BF121" s="431">
        <v>864</v>
      </c>
      <c r="BG121" s="431" t="s">
        <v>85</v>
      </c>
      <c r="BH121" s="431" t="s">
        <v>109</v>
      </c>
      <c r="BI121" s="430" t="s">
        <v>197</v>
      </c>
      <c r="BJ121" s="430" t="s">
        <v>197</v>
      </c>
      <c r="BK121" s="430" t="s">
        <v>197</v>
      </c>
      <c r="BL121" s="430" t="s">
        <v>197</v>
      </c>
      <c r="BM121" s="430" t="s">
        <v>197</v>
      </c>
      <c r="BN121" s="430" t="s">
        <v>197</v>
      </c>
      <c r="BO121" s="430" t="s">
        <v>197</v>
      </c>
      <c r="BP121" s="430" t="s">
        <v>197</v>
      </c>
      <c r="BQ121" s="430" t="s">
        <v>197</v>
      </c>
      <c r="BR121" s="430" t="s">
        <v>197</v>
      </c>
      <c r="BS121" s="430" t="s">
        <v>197</v>
      </c>
      <c r="BT121" s="430" t="s">
        <v>197</v>
      </c>
      <c r="BU121" s="430" t="s">
        <v>197</v>
      </c>
      <c r="BV121" s="430" t="s">
        <v>197</v>
      </c>
      <c r="BW121" s="430" t="s">
        <v>197</v>
      </c>
      <c r="BX121" s="430" t="s">
        <v>197</v>
      </c>
      <c r="BY121" s="430" t="s">
        <v>197</v>
      </c>
      <c r="BZ121" s="430" t="s">
        <v>197</v>
      </c>
      <c r="CA121" s="430" t="s">
        <v>197</v>
      </c>
      <c r="CB121" s="430" t="s">
        <v>197</v>
      </c>
      <c r="CC121" s="430" t="s">
        <v>197</v>
      </c>
      <c r="CD121" s="430" t="s">
        <v>197</v>
      </c>
      <c r="CE121" s="430" t="s">
        <v>197</v>
      </c>
      <c r="CF121" s="430" t="s">
        <v>197</v>
      </c>
      <c r="CG121" s="430" t="s">
        <v>197</v>
      </c>
      <c r="CH121" s="430" t="s">
        <v>197</v>
      </c>
      <c r="CI121" s="430" t="s">
        <v>197</v>
      </c>
      <c r="CJ121" s="430" t="s">
        <v>197</v>
      </c>
      <c r="CK121" s="430" t="s">
        <v>197</v>
      </c>
      <c r="CL121" s="430" t="s">
        <v>197</v>
      </c>
      <c r="CM121" s="430" t="s">
        <v>197</v>
      </c>
    </row>
    <row r="122" spans="1:91" ht="10.5" hidden="1">
      <c r="A122" s="462" t="s">
        <v>699</v>
      </c>
      <c r="B122" s="462" t="s">
        <v>61</v>
      </c>
      <c r="C122" s="462" t="s">
        <v>326</v>
      </c>
      <c r="D122" s="462" t="s">
        <v>113</v>
      </c>
      <c r="E122" s="462" t="s">
        <v>64</v>
      </c>
      <c r="F122" s="462" t="s">
        <v>100</v>
      </c>
      <c r="G122" s="462" t="s">
        <v>66</v>
      </c>
      <c r="H122" s="462" t="s">
        <v>67</v>
      </c>
      <c r="I122" s="439" t="s">
        <v>68</v>
      </c>
      <c r="J122" s="430" t="s">
        <v>327</v>
      </c>
      <c r="K122" s="430" t="s">
        <v>328</v>
      </c>
      <c r="L122" s="430"/>
      <c r="M122" s="430" t="s">
        <v>68</v>
      </c>
      <c r="N122" s="432" t="s">
        <v>68</v>
      </c>
      <c r="O122" s="430" t="s">
        <v>70</v>
      </c>
      <c r="P122" s="430" t="s">
        <v>329</v>
      </c>
      <c r="Q122" s="430" t="s">
        <v>330</v>
      </c>
      <c r="R122" s="431" t="s">
        <v>331</v>
      </c>
      <c r="S122" s="442" t="s">
        <v>120</v>
      </c>
      <c r="T122" s="433">
        <v>625</v>
      </c>
      <c r="U122" s="1062">
        <v>2880</v>
      </c>
      <c r="V122" s="434">
        <v>1.8</v>
      </c>
      <c r="W122" s="435">
        <v>80</v>
      </c>
      <c r="X122" s="1015">
        <v>4</v>
      </c>
      <c r="Y122" s="430" t="s">
        <v>75</v>
      </c>
      <c r="Z122" s="430" t="s">
        <v>75</v>
      </c>
      <c r="AA122" s="430" t="s">
        <v>197</v>
      </c>
      <c r="AB122" s="437">
        <v>46048</v>
      </c>
      <c r="AC122" s="438">
        <v>5</v>
      </c>
      <c r="AD122" s="439" t="s">
        <v>700</v>
      </c>
      <c r="AE122" s="430" t="s">
        <v>197</v>
      </c>
      <c r="AF122" s="430" t="s">
        <v>77</v>
      </c>
      <c r="AG122" s="430" t="s">
        <v>61</v>
      </c>
      <c r="AH122" s="430" t="s">
        <v>105</v>
      </c>
      <c r="AI122" s="437">
        <v>46054</v>
      </c>
      <c r="AJ122" s="437">
        <v>46054</v>
      </c>
      <c r="AK122" s="441">
        <v>46055</v>
      </c>
      <c r="AL122" s="437">
        <v>46094</v>
      </c>
      <c r="AM122" s="437">
        <v>46116</v>
      </c>
      <c r="AN122" s="437">
        <v>46118</v>
      </c>
      <c r="AO122" s="430" t="s">
        <v>66</v>
      </c>
      <c r="AP122" s="430" t="s">
        <v>701</v>
      </c>
      <c r="AQ122" s="430" t="s">
        <v>161</v>
      </c>
      <c r="AR122" s="430" t="s">
        <v>702</v>
      </c>
      <c r="AS122" s="430" t="s">
        <v>703</v>
      </c>
      <c r="AT122" s="482" t="s">
        <v>703</v>
      </c>
      <c r="AU12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63</v>
      </c>
      <c r="AW122" s="437">
        <v>46118</v>
      </c>
      <c r="AX122" s="433" t="s">
        <v>84</v>
      </c>
      <c r="AY122" s="437">
        <v>46129</v>
      </c>
      <c r="AZ122" s="442">
        <v>7</v>
      </c>
      <c r="BA122" s="437">
        <v>46125</v>
      </c>
      <c r="BB122" s="433">
        <v>2026</v>
      </c>
      <c r="BC122" s="430">
        <v>4</v>
      </c>
      <c r="BD122" s="430">
        <v>16</v>
      </c>
      <c r="BE122" s="431">
        <v>36</v>
      </c>
      <c r="BF122" s="431">
        <v>720</v>
      </c>
      <c r="BG122" s="431" t="s">
        <v>128</v>
      </c>
      <c r="BH122" s="431" t="s">
        <v>109</v>
      </c>
      <c r="BI122" s="430" t="s">
        <v>197</v>
      </c>
      <c r="BJ122" s="430" t="s">
        <v>197</v>
      </c>
      <c r="BK122" s="430" t="s">
        <v>197</v>
      </c>
      <c r="BL122" s="430" t="s">
        <v>197</v>
      </c>
      <c r="BM122" s="430" t="s">
        <v>197</v>
      </c>
      <c r="BN122" s="430" t="s">
        <v>197</v>
      </c>
      <c r="BO122" s="430" t="s">
        <v>197</v>
      </c>
      <c r="BP122" s="430" t="s">
        <v>197</v>
      </c>
      <c r="BQ122" s="430" t="s">
        <v>197</v>
      </c>
      <c r="BR122" s="430" t="s">
        <v>197</v>
      </c>
      <c r="BS122" s="430" t="s">
        <v>197</v>
      </c>
      <c r="BT122" s="430" t="s">
        <v>197</v>
      </c>
      <c r="BU122" s="430" t="s">
        <v>197</v>
      </c>
      <c r="BV122" s="430" t="s">
        <v>197</v>
      </c>
      <c r="BW122" s="430" t="s">
        <v>197</v>
      </c>
      <c r="BX122" s="430" t="s">
        <v>197</v>
      </c>
      <c r="BY122" s="430" t="s">
        <v>197</v>
      </c>
      <c r="BZ122" s="430" t="s">
        <v>197</v>
      </c>
      <c r="CA122" s="430" t="s">
        <v>197</v>
      </c>
      <c r="CB122" s="430" t="s">
        <v>197</v>
      </c>
      <c r="CC122" s="430" t="s">
        <v>197</v>
      </c>
      <c r="CD122" s="430" t="s">
        <v>197</v>
      </c>
      <c r="CE122" s="430" t="s">
        <v>197</v>
      </c>
      <c r="CF122" s="430" t="s">
        <v>197</v>
      </c>
      <c r="CG122" s="430" t="s">
        <v>197</v>
      </c>
      <c r="CH122" s="430" t="s">
        <v>197</v>
      </c>
      <c r="CI122" s="430" t="s">
        <v>197</v>
      </c>
      <c r="CJ122" s="430" t="s">
        <v>197</v>
      </c>
      <c r="CK122" s="430" t="s">
        <v>197</v>
      </c>
      <c r="CL122" s="430" t="s">
        <v>197</v>
      </c>
      <c r="CM122" s="430" t="s">
        <v>197</v>
      </c>
    </row>
    <row r="123" spans="1:91" ht="10.5" hidden="1">
      <c r="A123" s="462" t="s">
        <v>704</v>
      </c>
      <c r="B123" s="462" t="s">
        <v>77</v>
      </c>
      <c r="C123" s="462" t="s">
        <v>705</v>
      </c>
      <c r="D123" s="462" t="s">
        <v>63</v>
      </c>
      <c r="E123" s="462" t="s">
        <v>64</v>
      </c>
      <c r="F123" s="462" t="s">
        <v>65</v>
      </c>
      <c r="G123" s="462" t="s">
        <v>66</v>
      </c>
      <c r="H123" s="462" t="s">
        <v>67</v>
      </c>
      <c r="I123" s="439" t="s">
        <v>68</v>
      </c>
      <c r="J123" s="430" t="s">
        <v>690</v>
      </c>
      <c r="K123" s="430"/>
      <c r="L123" s="430"/>
      <c r="M123" s="430" t="s">
        <v>68</v>
      </c>
      <c r="N123" s="432" t="s">
        <v>68</v>
      </c>
      <c r="O123" s="430" t="s">
        <v>70</v>
      </c>
      <c r="P123" s="430" t="s">
        <v>706</v>
      </c>
      <c r="Q123" s="430" t="s">
        <v>707</v>
      </c>
      <c r="R123" s="431" t="s">
        <v>73</v>
      </c>
      <c r="S123" s="442" t="s">
        <v>74</v>
      </c>
      <c r="T123" s="433">
        <v>500</v>
      </c>
      <c r="U123" s="1062">
        <v>1728</v>
      </c>
      <c r="V123" s="434">
        <v>0.86399999999999999</v>
      </c>
      <c r="W123" s="435">
        <v>48</v>
      </c>
      <c r="X123" s="1015">
        <v>2</v>
      </c>
      <c r="Y123" s="430" t="s">
        <v>75</v>
      </c>
      <c r="Z123" s="430" t="s">
        <v>75</v>
      </c>
      <c r="AA123" s="430" t="s">
        <v>197</v>
      </c>
      <c r="AB123" s="437">
        <v>46050</v>
      </c>
      <c r="AC123" s="438">
        <v>5</v>
      </c>
      <c r="AD123" s="439" t="s">
        <v>708</v>
      </c>
      <c r="AE123" s="430" t="s">
        <v>197</v>
      </c>
      <c r="AF123" s="430" t="s">
        <v>77</v>
      </c>
      <c r="AG123" s="430" t="s">
        <v>61</v>
      </c>
      <c r="AH123" s="430" t="s">
        <v>78</v>
      </c>
      <c r="AI123" s="437">
        <v>46057</v>
      </c>
      <c r="AJ123" s="437">
        <v>46058</v>
      </c>
      <c r="AK123" s="441">
        <v>46058</v>
      </c>
      <c r="AL123" s="437">
        <v>46119</v>
      </c>
      <c r="AM123" s="437">
        <v>46125</v>
      </c>
      <c r="AN123" s="437">
        <v>46125</v>
      </c>
      <c r="AO123" s="430" t="s">
        <v>66</v>
      </c>
      <c r="AP123" s="430" t="s">
        <v>694</v>
      </c>
      <c r="AQ123" s="430" t="s">
        <v>80</v>
      </c>
      <c r="AR123" s="430" t="s">
        <v>709</v>
      </c>
      <c r="AS123" s="430" t="s">
        <v>710</v>
      </c>
      <c r="AT123" s="482" t="s">
        <v>710</v>
      </c>
      <c r="AU12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67</v>
      </c>
      <c r="AW123" s="437">
        <v>46125</v>
      </c>
      <c r="AX123" s="433" t="s">
        <v>84</v>
      </c>
      <c r="AY123" s="437">
        <v>46139</v>
      </c>
      <c r="AZ123" s="442">
        <v>8</v>
      </c>
      <c r="BA123" s="437">
        <v>46133</v>
      </c>
      <c r="BB123" s="433">
        <v>2026</v>
      </c>
      <c r="BC123" s="430">
        <v>4</v>
      </c>
      <c r="BD123" s="430">
        <v>17</v>
      </c>
      <c r="BE123" s="431">
        <v>36</v>
      </c>
      <c r="BF123" s="431">
        <v>864</v>
      </c>
      <c r="BG123" s="431" t="s">
        <v>85</v>
      </c>
      <c r="BH123" s="431" t="s">
        <v>86</v>
      </c>
      <c r="BI123" s="430" t="s">
        <v>197</v>
      </c>
      <c r="BJ123" s="430" t="s">
        <v>197</v>
      </c>
      <c r="BK123" s="430" t="s">
        <v>197</v>
      </c>
      <c r="BL123" s="430" t="s">
        <v>197</v>
      </c>
      <c r="BM123" s="430" t="s">
        <v>197</v>
      </c>
      <c r="BN123" s="430" t="s">
        <v>197</v>
      </c>
      <c r="BO123" s="430" t="s">
        <v>197</v>
      </c>
      <c r="BP123" s="430" t="s">
        <v>197</v>
      </c>
      <c r="BQ123" s="430" t="s">
        <v>197</v>
      </c>
      <c r="BR123" s="430" t="s">
        <v>197</v>
      </c>
      <c r="BS123" s="430" t="s">
        <v>197</v>
      </c>
      <c r="BT123" s="430" t="s">
        <v>197</v>
      </c>
      <c r="BU123" s="430" t="s">
        <v>197</v>
      </c>
      <c r="BV123" s="430" t="s">
        <v>197</v>
      </c>
      <c r="BW123" s="430" t="s">
        <v>197</v>
      </c>
      <c r="BX123" s="430" t="s">
        <v>197</v>
      </c>
      <c r="BY123" s="430" t="s">
        <v>197</v>
      </c>
      <c r="BZ123" s="430" t="s">
        <v>197</v>
      </c>
      <c r="CA123" s="430" t="s">
        <v>197</v>
      </c>
      <c r="CB123" s="430" t="s">
        <v>197</v>
      </c>
      <c r="CC123" s="430" t="s">
        <v>197</v>
      </c>
      <c r="CD123" s="430" t="s">
        <v>197</v>
      </c>
      <c r="CE123" s="430" t="s">
        <v>197</v>
      </c>
      <c r="CF123" s="430" t="s">
        <v>197</v>
      </c>
      <c r="CG123" s="430" t="s">
        <v>197</v>
      </c>
      <c r="CH123" s="430" t="s">
        <v>197</v>
      </c>
      <c r="CI123" s="430" t="s">
        <v>197</v>
      </c>
      <c r="CJ123" s="430" t="s">
        <v>197</v>
      </c>
      <c r="CK123" s="430" t="s">
        <v>197</v>
      </c>
      <c r="CL123" s="430" t="s">
        <v>197</v>
      </c>
      <c r="CM123" s="430" t="s">
        <v>197</v>
      </c>
    </row>
    <row r="124" spans="1:91" ht="10.5" hidden="1">
      <c r="A124" s="462" t="s">
        <v>711</v>
      </c>
      <c r="B124" s="462" t="s">
        <v>61</v>
      </c>
      <c r="C124" s="462" t="s">
        <v>203</v>
      </c>
      <c r="D124" s="462" t="s">
        <v>113</v>
      </c>
      <c r="E124" s="462" t="s">
        <v>64</v>
      </c>
      <c r="F124" s="462" t="s">
        <v>65</v>
      </c>
      <c r="G124" s="462" t="s">
        <v>66</v>
      </c>
      <c r="H124" s="462" t="s">
        <v>67</v>
      </c>
      <c r="I124" s="439" t="s">
        <v>68</v>
      </c>
      <c r="J124" s="430" t="s">
        <v>712</v>
      </c>
      <c r="K124" s="430" t="s">
        <v>328</v>
      </c>
      <c r="L124" s="430"/>
      <c r="M124" s="430" t="s">
        <v>68</v>
      </c>
      <c r="N124" s="432">
        <v>46045</v>
      </c>
      <c r="O124" s="430" t="s">
        <v>713</v>
      </c>
      <c r="P124" s="430" t="s">
        <v>714</v>
      </c>
      <c r="Q124" s="430" t="s">
        <v>715</v>
      </c>
      <c r="R124" s="431" t="s">
        <v>73</v>
      </c>
      <c r="S124" s="442" t="s">
        <v>716</v>
      </c>
      <c r="T124" s="433">
        <v>625</v>
      </c>
      <c r="U124" s="1062">
        <v>108</v>
      </c>
      <c r="V124" s="434">
        <v>6.8000000000000005E-2</v>
      </c>
      <c r="W124" s="435">
        <v>3</v>
      </c>
      <c r="X124" s="1015">
        <v>0.2</v>
      </c>
      <c r="Y124" s="430" t="s">
        <v>75</v>
      </c>
      <c r="Z124" s="430" t="s">
        <v>75</v>
      </c>
      <c r="AA124" s="430" t="s">
        <v>197</v>
      </c>
      <c r="AB124" s="437">
        <v>46051</v>
      </c>
      <c r="AC124" s="438">
        <v>5</v>
      </c>
      <c r="AD124" s="439" t="s">
        <v>717</v>
      </c>
      <c r="AE124" s="430" t="s">
        <v>197</v>
      </c>
      <c r="AF124" s="430" t="s">
        <v>77</v>
      </c>
      <c r="AG124" s="430" t="s">
        <v>61</v>
      </c>
      <c r="AH124" s="430" t="s">
        <v>78</v>
      </c>
      <c r="AI124" s="437">
        <v>46057</v>
      </c>
      <c r="AJ124" s="437">
        <v>46058</v>
      </c>
      <c r="AK124" s="441">
        <v>46058</v>
      </c>
      <c r="AL124" s="437">
        <v>46125</v>
      </c>
      <c r="AM124" s="437">
        <v>46136</v>
      </c>
      <c r="AN124" s="437">
        <v>46137</v>
      </c>
      <c r="AO124" s="430" t="s">
        <v>66</v>
      </c>
      <c r="AP124" s="430" t="s">
        <v>694</v>
      </c>
      <c r="AQ124" s="430" t="s">
        <v>80</v>
      </c>
      <c r="AR124" s="430" t="s">
        <v>718</v>
      </c>
      <c r="AS124" s="430" t="s">
        <v>719</v>
      </c>
      <c r="AT124" s="482" t="s">
        <v>719</v>
      </c>
      <c r="AU12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79</v>
      </c>
      <c r="AW124" s="437">
        <v>46137</v>
      </c>
      <c r="AX124" s="433" t="s">
        <v>84</v>
      </c>
      <c r="AY124" s="437">
        <v>46150</v>
      </c>
      <c r="AZ124" s="442">
        <v>8</v>
      </c>
      <c r="BA124" s="437">
        <v>46145</v>
      </c>
      <c r="BB124" s="433">
        <v>2026</v>
      </c>
      <c r="BC124" s="430">
        <v>5</v>
      </c>
      <c r="BD124" s="430">
        <v>18</v>
      </c>
      <c r="BE124" s="431">
        <v>36</v>
      </c>
      <c r="BF124" s="431">
        <v>576</v>
      </c>
      <c r="BG124" s="431" t="s">
        <v>108</v>
      </c>
      <c r="BH124" s="431" t="s">
        <v>86</v>
      </c>
      <c r="BI124" s="430" t="s">
        <v>197</v>
      </c>
      <c r="BJ124" s="430" t="s">
        <v>197</v>
      </c>
      <c r="BK124" s="430" t="s">
        <v>197</v>
      </c>
      <c r="BL124" s="430" t="s">
        <v>197</v>
      </c>
      <c r="BM124" s="430" t="s">
        <v>197</v>
      </c>
      <c r="BN124" s="430" t="s">
        <v>197</v>
      </c>
      <c r="BO124" s="430" t="s">
        <v>197</v>
      </c>
      <c r="BP124" s="430" t="s">
        <v>197</v>
      </c>
      <c r="BQ124" s="430" t="s">
        <v>197</v>
      </c>
      <c r="BR124" s="430" t="s">
        <v>197</v>
      </c>
      <c r="BS124" s="430" t="s">
        <v>197</v>
      </c>
      <c r="BT124" s="430" t="s">
        <v>197</v>
      </c>
      <c r="BU124" s="430" t="s">
        <v>197</v>
      </c>
      <c r="BV124" s="430" t="s">
        <v>197</v>
      </c>
      <c r="BW124" s="430" t="s">
        <v>197</v>
      </c>
      <c r="BX124" s="430" t="s">
        <v>197</v>
      </c>
      <c r="BY124" s="430" t="s">
        <v>197</v>
      </c>
      <c r="BZ124" s="430" t="s">
        <v>197</v>
      </c>
      <c r="CA124" s="430" t="s">
        <v>197</v>
      </c>
      <c r="CB124" s="430" t="s">
        <v>197</v>
      </c>
      <c r="CC124" s="430" t="s">
        <v>197</v>
      </c>
      <c r="CD124" s="430" t="s">
        <v>197</v>
      </c>
      <c r="CE124" s="430" t="s">
        <v>197</v>
      </c>
      <c r="CF124" s="430" t="s">
        <v>197</v>
      </c>
      <c r="CG124" s="430" t="s">
        <v>197</v>
      </c>
      <c r="CH124" s="430" t="s">
        <v>197</v>
      </c>
      <c r="CI124" s="430" t="s">
        <v>197</v>
      </c>
      <c r="CJ124" s="430" t="s">
        <v>197</v>
      </c>
      <c r="CK124" s="430" t="s">
        <v>197</v>
      </c>
      <c r="CL124" s="430" t="s">
        <v>197</v>
      </c>
      <c r="CM124" s="430" t="s">
        <v>197</v>
      </c>
    </row>
    <row r="125" spans="1:91" ht="10.5" hidden="1">
      <c r="A125" s="462" t="s">
        <v>720</v>
      </c>
      <c r="B125" s="462" t="s">
        <v>77</v>
      </c>
      <c r="C125" s="462" t="s">
        <v>688</v>
      </c>
      <c r="D125" s="462" t="s">
        <v>63</v>
      </c>
      <c r="E125" s="462" t="s">
        <v>64</v>
      </c>
      <c r="F125" s="462" t="s">
        <v>65</v>
      </c>
      <c r="G125" s="462" t="s">
        <v>66</v>
      </c>
      <c r="H125" s="462" t="s">
        <v>67</v>
      </c>
      <c r="I125" s="439" t="s">
        <v>68</v>
      </c>
      <c r="J125" s="430" t="s">
        <v>690</v>
      </c>
      <c r="K125" s="430"/>
      <c r="L125" s="430"/>
      <c r="M125" s="430" t="s">
        <v>68</v>
      </c>
      <c r="N125" s="432" t="s">
        <v>68</v>
      </c>
      <c r="O125" s="430" t="s">
        <v>70</v>
      </c>
      <c r="P125" s="430" t="s">
        <v>691</v>
      </c>
      <c r="Q125" s="430" t="s">
        <v>692</v>
      </c>
      <c r="R125" s="431" t="s">
        <v>73</v>
      </c>
      <c r="S125" s="442" t="s">
        <v>74</v>
      </c>
      <c r="T125" s="433">
        <v>505</v>
      </c>
      <c r="U125" s="1062">
        <v>684</v>
      </c>
      <c r="V125" s="434">
        <v>0.34499999999999997</v>
      </c>
      <c r="W125" s="435">
        <v>19</v>
      </c>
      <c r="X125" s="1015">
        <v>0.8</v>
      </c>
      <c r="Y125" s="430" t="s">
        <v>75</v>
      </c>
      <c r="Z125" s="430" t="s">
        <v>75</v>
      </c>
      <c r="AA125" s="430" t="s">
        <v>197</v>
      </c>
      <c r="AB125" s="437">
        <v>46051</v>
      </c>
      <c r="AC125" s="438">
        <v>5</v>
      </c>
      <c r="AD125" s="439" t="s">
        <v>721</v>
      </c>
      <c r="AE125" s="430" t="s">
        <v>197</v>
      </c>
      <c r="AF125" s="430" t="s">
        <v>77</v>
      </c>
      <c r="AG125" s="430" t="s">
        <v>61</v>
      </c>
      <c r="AH125" s="430" t="s">
        <v>78</v>
      </c>
      <c r="AI125" s="437">
        <v>46057</v>
      </c>
      <c r="AJ125" s="437">
        <v>46058</v>
      </c>
      <c r="AK125" s="441">
        <v>46058</v>
      </c>
      <c r="AL125" s="437">
        <v>46125</v>
      </c>
      <c r="AM125" s="437">
        <v>46136</v>
      </c>
      <c r="AN125" s="437">
        <v>46137</v>
      </c>
      <c r="AO125" s="430" t="s">
        <v>66</v>
      </c>
      <c r="AP125" s="430" t="s">
        <v>694</v>
      </c>
      <c r="AQ125" s="430" t="s">
        <v>80</v>
      </c>
      <c r="AR125" s="430" t="s">
        <v>718</v>
      </c>
      <c r="AS125" s="430" t="s">
        <v>719</v>
      </c>
      <c r="AT125" s="482" t="s">
        <v>719</v>
      </c>
      <c r="AU12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79</v>
      </c>
      <c r="AW125" s="437">
        <v>46137</v>
      </c>
      <c r="AX125" s="433" t="s">
        <v>84</v>
      </c>
      <c r="AY125" s="437">
        <v>46150</v>
      </c>
      <c r="AZ125" s="442">
        <v>8</v>
      </c>
      <c r="BA125" s="437">
        <v>46145</v>
      </c>
      <c r="BB125" s="433">
        <v>2026</v>
      </c>
      <c r="BC125" s="430">
        <v>5</v>
      </c>
      <c r="BD125" s="430">
        <v>18</v>
      </c>
      <c r="BE125" s="431">
        <v>36</v>
      </c>
      <c r="BF125" s="431">
        <v>864</v>
      </c>
      <c r="BG125" s="431" t="s">
        <v>85</v>
      </c>
      <c r="BH125" s="431" t="s">
        <v>86</v>
      </c>
      <c r="BI125" s="430" t="s">
        <v>197</v>
      </c>
      <c r="BJ125" s="430" t="s">
        <v>197</v>
      </c>
      <c r="BK125" s="430" t="s">
        <v>197</v>
      </c>
      <c r="BL125" s="430" t="s">
        <v>197</v>
      </c>
      <c r="BM125" s="430" t="s">
        <v>197</v>
      </c>
      <c r="BN125" s="430" t="s">
        <v>197</v>
      </c>
      <c r="BO125" s="430" t="s">
        <v>197</v>
      </c>
      <c r="BP125" s="430" t="s">
        <v>197</v>
      </c>
      <c r="BQ125" s="430" t="s">
        <v>197</v>
      </c>
      <c r="BR125" s="430" t="s">
        <v>197</v>
      </c>
      <c r="BS125" s="430" t="s">
        <v>197</v>
      </c>
      <c r="BT125" s="430" t="s">
        <v>197</v>
      </c>
      <c r="BU125" s="430" t="s">
        <v>197</v>
      </c>
      <c r="BV125" s="430" t="s">
        <v>197</v>
      </c>
      <c r="BW125" s="430" t="s">
        <v>197</v>
      </c>
      <c r="BX125" s="430" t="s">
        <v>197</v>
      </c>
      <c r="BY125" s="430" t="s">
        <v>197</v>
      </c>
      <c r="BZ125" s="430" t="s">
        <v>197</v>
      </c>
      <c r="CA125" s="430" t="s">
        <v>197</v>
      </c>
      <c r="CB125" s="430" t="s">
        <v>197</v>
      </c>
      <c r="CC125" s="430" t="s">
        <v>197</v>
      </c>
      <c r="CD125" s="430" t="s">
        <v>197</v>
      </c>
      <c r="CE125" s="430" t="s">
        <v>197</v>
      </c>
      <c r="CF125" s="430" t="s">
        <v>197</v>
      </c>
      <c r="CG125" s="430" t="s">
        <v>197</v>
      </c>
      <c r="CH125" s="430" t="s">
        <v>197</v>
      </c>
      <c r="CI125" s="430" t="s">
        <v>197</v>
      </c>
      <c r="CJ125" s="430" t="s">
        <v>197</v>
      </c>
      <c r="CK125" s="430" t="s">
        <v>197</v>
      </c>
      <c r="CL125" s="430" t="s">
        <v>197</v>
      </c>
      <c r="CM125" s="430" t="s">
        <v>197</v>
      </c>
    </row>
    <row r="126" spans="1:91" ht="10.5" hidden="1">
      <c r="A126" s="462" t="s">
        <v>88</v>
      </c>
      <c r="B126" s="462" t="s">
        <v>61</v>
      </c>
      <c r="C126" s="462" t="s">
        <v>203</v>
      </c>
      <c r="D126" s="462" t="s">
        <v>63</v>
      </c>
      <c r="E126" s="462" t="s">
        <v>64</v>
      </c>
      <c r="F126" s="462" t="s">
        <v>65</v>
      </c>
      <c r="G126" s="462" t="s">
        <v>66</v>
      </c>
      <c r="H126" s="462" t="s">
        <v>67</v>
      </c>
      <c r="I126" s="439" t="s">
        <v>68</v>
      </c>
      <c r="J126" s="430" t="s">
        <v>690</v>
      </c>
      <c r="K126" s="430"/>
      <c r="L126" s="430"/>
      <c r="M126" s="430" t="s">
        <v>68</v>
      </c>
      <c r="N126" s="432" t="s">
        <v>68</v>
      </c>
      <c r="O126" s="430" t="s">
        <v>70</v>
      </c>
      <c r="P126" s="430" t="s">
        <v>91</v>
      </c>
      <c r="Q126" s="430" t="s">
        <v>92</v>
      </c>
      <c r="R126" s="431" t="s">
        <v>73</v>
      </c>
      <c r="S126" s="442" t="s">
        <v>74</v>
      </c>
      <c r="T126" s="433">
        <v>450</v>
      </c>
      <c r="U126" s="1062">
        <v>936</v>
      </c>
      <c r="V126" s="434">
        <v>0.42099999999999999</v>
      </c>
      <c r="W126" s="435">
        <v>26</v>
      </c>
      <c r="X126" s="1015">
        <v>1</v>
      </c>
      <c r="Y126" s="430" t="s">
        <v>75</v>
      </c>
      <c r="Z126" s="430" t="s">
        <v>75</v>
      </c>
      <c r="AA126" s="430" t="s">
        <v>197</v>
      </c>
      <c r="AB126" s="437">
        <v>46051</v>
      </c>
      <c r="AC126" s="438">
        <v>5</v>
      </c>
      <c r="AD126" s="439" t="s">
        <v>722</v>
      </c>
      <c r="AE126" s="430" t="s">
        <v>197</v>
      </c>
      <c r="AF126" s="430" t="s">
        <v>77</v>
      </c>
      <c r="AG126" s="430" t="s">
        <v>61</v>
      </c>
      <c r="AH126" s="430" t="s">
        <v>78</v>
      </c>
      <c r="AI126" s="437">
        <v>46057</v>
      </c>
      <c r="AJ126" s="437">
        <v>46058</v>
      </c>
      <c r="AK126" s="441">
        <v>46058</v>
      </c>
      <c r="AL126" s="437">
        <v>46125</v>
      </c>
      <c r="AM126" s="437">
        <v>46136</v>
      </c>
      <c r="AN126" s="437">
        <v>46137</v>
      </c>
      <c r="AO126" s="430" t="s">
        <v>66</v>
      </c>
      <c r="AP126" s="430" t="s">
        <v>694</v>
      </c>
      <c r="AQ126" s="430" t="s">
        <v>80</v>
      </c>
      <c r="AR126" s="430" t="s">
        <v>718</v>
      </c>
      <c r="AS126" s="430" t="s">
        <v>719</v>
      </c>
      <c r="AT126" s="482" t="s">
        <v>719</v>
      </c>
      <c r="AU12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79</v>
      </c>
      <c r="AW126" s="437">
        <v>46137</v>
      </c>
      <c r="AX126" s="433" t="s">
        <v>84</v>
      </c>
      <c r="AY126" s="437">
        <v>46150</v>
      </c>
      <c r="AZ126" s="442">
        <v>8</v>
      </c>
      <c r="BA126" s="437">
        <v>46145</v>
      </c>
      <c r="BB126" s="433">
        <v>2026</v>
      </c>
      <c r="BC126" s="430">
        <v>5</v>
      </c>
      <c r="BD126" s="430">
        <v>18</v>
      </c>
      <c r="BE126" s="431">
        <v>36</v>
      </c>
      <c r="BF126" s="431">
        <v>936</v>
      </c>
      <c r="BG126" s="431" t="s">
        <v>94</v>
      </c>
      <c r="BH126" s="431" t="s">
        <v>86</v>
      </c>
      <c r="BI126" s="430" t="s">
        <v>197</v>
      </c>
      <c r="BJ126" s="430" t="s">
        <v>197</v>
      </c>
      <c r="BK126" s="430" t="s">
        <v>197</v>
      </c>
      <c r="BL126" s="430" t="s">
        <v>197</v>
      </c>
      <c r="BM126" s="430" t="s">
        <v>197</v>
      </c>
      <c r="BN126" s="430" t="s">
        <v>197</v>
      </c>
      <c r="BO126" s="430" t="s">
        <v>197</v>
      </c>
      <c r="BP126" s="430" t="s">
        <v>197</v>
      </c>
      <c r="BQ126" s="430" t="s">
        <v>197</v>
      </c>
      <c r="BR126" s="430" t="s">
        <v>197</v>
      </c>
      <c r="BS126" s="430" t="s">
        <v>197</v>
      </c>
      <c r="BT126" s="430" t="s">
        <v>197</v>
      </c>
      <c r="BU126" s="430" t="s">
        <v>197</v>
      </c>
      <c r="BV126" s="430" t="s">
        <v>197</v>
      </c>
      <c r="BW126" s="430" t="s">
        <v>197</v>
      </c>
      <c r="BX126" s="430" t="s">
        <v>197</v>
      </c>
      <c r="BY126" s="430" t="s">
        <v>197</v>
      </c>
      <c r="BZ126" s="430" t="s">
        <v>197</v>
      </c>
      <c r="CA126" s="430" t="s">
        <v>197</v>
      </c>
      <c r="CB126" s="430" t="s">
        <v>197</v>
      </c>
      <c r="CC126" s="430" t="s">
        <v>197</v>
      </c>
      <c r="CD126" s="430" t="s">
        <v>197</v>
      </c>
      <c r="CE126" s="430" t="s">
        <v>197</v>
      </c>
      <c r="CF126" s="430" t="s">
        <v>197</v>
      </c>
      <c r="CG126" s="430" t="s">
        <v>197</v>
      </c>
      <c r="CH126" s="430" t="s">
        <v>197</v>
      </c>
      <c r="CI126" s="430" t="s">
        <v>197</v>
      </c>
      <c r="CJ126" s="430" t="s">
        <v>197</v>
      </c>
      <c r="CK126" s="430" t="s">
        <v>197</v>
      </c>
      <c r="CL126" s="430" t="s">
        <v>197</v>
      </c>
      <c r="CM126" s="430" t="s">
        <v>197</v>
      </c>
    </row>
    <row r="127" spans="1:91" ht="10.5" hidden="1">
      <c r="A127" s="462" t="s">
        <v>723</v>
      </c>
      <c r="B127" s="462" t="s">
        <v>111</v>
      </c>
      <c r="C127" s="462" t="s">
        <v>168</v>
      </c>
      <c r="D127" s="462" t="s">
        <v>63</v>
      </c>
      <c r="E127" s="462" t="s">
        <v>64</v>
      </c>
      <c r="F127" s="462" t="s">
        <v>100</v>
      </c>
      <c r="G127" s="462" t="s">
        <v>402</v>
      </c>
      <c r="H127" s="462" t="s">
        <v>67</v>
      </c>
      <c r="I127" s="439" t="s">
        <v>68</v>
      </c>
      <c r="J127" s="430" t="s">
        <v>483</v>
      </c>
      <c r="K127" s="430"/>
      <c r="L127" s="430"/>
      <c r="M127" s="430" t="s">
        <v>68</v>
      </c>
      <c r="N127" s="432" t="s">
        <v>68</v>
      </c>
      <c r="O127" s="430" t="s">
        <v>170</v>
      </c>
      <c r="P127" s="430" t="s">
        <v>171</v>
      </c>
      <c r="Q127" s="430" t="s">
        <v>172</v>
      </c>
      <c r="R127" s="431" t="s">
        <v>73</v>
      </c>
      <c r="S127" s="442" t="s">
        <v>120</v>
      </c>
      <c r="T127" s="433">
        <v>555</v>
      </c>
      <c r="U127" s="1062">
        <v>1980</v>
      </c>
      <c r="V127" s="434">
        <v>1.099</v>
      </c>
      <c r="W127" s="435">
        <v>60</v>
      </c>
      <c r="X127" s="1015">
        <v>3</v>
      </c>
      <c r="Y127" s="430" t="s">
        <v>75</v>
      </c>
      <c r="Z127" s="430" t="s">
        <v>75</v>
      </c>
      <c r="AA127" s="430"/>
      <c r="AB127" s="437">
        <v>46056</v>
      </c>
      <c r="AC127" s="438">
        <v>6</v>
      </c>
      <c r="AD127" s="439" t="s">
        <v>724</v>
      </c>
      <c r="AE127" s="430"/>
      <c r="AF127" s="430" t="s">
        <v>122</v>
      </c>
      <c r="AG127" s="430" t="s">
        <v>123</v>
      </c>
      <c r="AH127" s="430" t="s">
        <v>105</v>
      </c>
      <c r="AI127" s="437">
        <v>46062</v>
      </c>
      <c r="AJ127" s="437">
        <v>46067</v>
      </c>
      <c r="AK127" s="441">
        <v>46068</v>
      </c>
      <c r="AL127" s="437">
        <v>46102</v>
      </c>
      <c r="AM127" s="437">
        <v>46111</v>
      </c>
      <c r="AN127" s="437">
        <v>46113</v>
      </c>
      <c r="AO127" s="430" t="s">
        <v>402</v>
      </c>
      <c r="AP127" s="430" t="s">
        <v>623</v>
      </c>
      <c r="AQ127" s="430" t="s">
        <v>161</v>
      </c>
      <c r="AR127" s="430" t="s">
        <v>725</v>
      </c>
      <c r="AS127" s="430" t="s">
        <v>726</v>
      </c>
      <c r="AT127" s="482" t="s">
        <v>726</v>
      </c>
      <c r="AU12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127" s="437">
        <v>46113</v>
      </c>
      <c r="AX127" s="433" t="s">
        <v>84</v>
      </c>
      <c r="AY127" s="437">
        <v>46125</v>
      </c>
      <c r="AZ127" s="442">
        <v>7</v>
      </c>
      <c r="BA127" s="437">
        <v>46120</v>
      </c>
      <c r="BB127" s="433">
        <v>2026</v>
      </c>
      <c r="BC127" s="430">
        <v>4</v>
      </c>
      <c r="BD127" s="430">
        <v>15</v>
      </c>
      <c r="BE127" s="431">
        <v>33</v>
      </c>
      <c r="BF127" s="431">
        <v>660</v>
      </c>
      <c r="BG127" s="431" t="s">
        <v>108</v>
      </c>
      <c r="BH127" s="431" t="s">
        <v>109</v>
      </c>
      <c r="BI127" s="430" t="s">
        <v>197</v>
      </c>
      <c r="BJ127" s="430" t="s">
        <v>197</v>
      </c>
      <c r="BK127" s="430" t="s">
        <v>197</v>
      </c>
      <c r="BL127" s="430" t="s">
        <v>197</v>
      </c>
      <c r="BM127" s="430" t="s">
        <v>197</v>
      </c>
      <c r="BN127" s="430" t="s">
        <v>197</v>
      </c>
      <c r="BO127" s="430" t="s">
        <v>197</v>
      </c>
      <c r="BP127" s="430" t="s">
        <v>197</v>
      </c>
      <c r="BQ127" s="430" t="s">
        <v>197</v>
      </c>
      <c r="BR127" s="430" t="s">
        <v>197</v>
      </c>
      <c r="BS127" s="430" t="s">
        <v>197</v>
      </c>
      <c r="BT127" s="430" t="s">
        <v>197</v>
      </c>
      <c r="BU127" s="430" t="s">
        <v>197</v>
      </c>
      <c r="BV127" s="430" t="s">
        <v>197</v>
      </c>
      <c r="BW127" s="430" t="s">
        <v>197</v>
      </c>
      <c r="BX127" s="430" t="s">
        <v>197</v>
      </c>
      <c r="BY127" s="430" t="s">
        <v>197</v>
      </c>
      <c r="BZ127" s="430" t="s">
        <v>197</v>
      </c>
      <c r="CA127" s="430" t="s">
        <v>197</v>
      </c>
      <c r="CB127" s="430" t="s">
        <v>197</v>
      </c>
      <c r="CC127" s="430" t="s">
        <v>197</v>
      </c>
      <c r="CD127" s="430" t="s">
        <v>197</v>
      </c>
      <c r="CE127" s="430" t="s">
        <v>197</v>
      </c>
      <c r="CF127" s="430" t="s">
        <v>197</v>
      </c>
      <c r="CG127" s="430" t="s">
        <v>197</v>
      </c>
      <c r="CH127" s="430" t="s">
        <v>197</v>
      </c>
      <c r="CI127" s="430" t="s">
        <v>197</v>
      </c>
      <c r="CJ127" s="430" t="s">
        <v>197</v>
      </c>
      <c r="CK127" s="430" t="s">
        <v>197</v>
      </c>
      <c r="CL127" s="430" t="s">
        <v>197</v>
      </c>
      <c r="CM127" s="430" t="s">
        <v>197</v>
      </c>
    </row>
    <row r="128" spans="1:91" ht="10.5" hidden="1">
      <c r="A128" s="462" t="s">
        <v>727</v>
      </c>
      <c r="B128" s="462" t="s">
        <v>111</v>
      </c>
      <c r="C128" s="462" t="s">
        <v>168</v>
      </c>
      <c r="D128" s="462" t="s">
        <v>63</v>
      </c>
      <c r="E128" s="462" t="s">
        <v>64</v>
      </c>
      <c r="F128" s="462" t="s">
        <v>100</v>
      </c>
      <c r="G128" s="462" t="s">
        <v>402</v>
      </c>
      <c r="H128" s="462" t="s">
        <v>67</v>
      </c>
      <c r="I128" s="439" t="s">
        <v>68</v>
      </c>
      <c r="J128" s="430" t="s">
        <v>483</v>
      </c>
      <c r="K128" s="430"/>
      <c r="L128" s="430"/>
      <c r="M128" s="430" t="s">
        <v>68</v>
      </c>
      <c r="N128" s="432" t="s">
        <v>68</v>
      </c>
      <c r="O128" s="430" t="s">
        <v>170</v>
      </c>
      <c r="P128" s="430" t="s">
        <v>171</v>
      </c>
      <c r="Q128" s="430" t="s">
        <v>172</v>
      </c>
      <c r="R128" s="431" t="s">
        <v>73</v>
      </c>
      <c r="S128" s="442" t="s">
        <v>120</v>
      </c>
      <c r="T128" s="433">
        <v>555</v>
      </c>
      <c r="U128" s="1062">
        <v>3300</v>
      </c>
      <c r="V128" s="434">
        <v>1.8320000000000001</v>
      </c>
      <c r="W128" s="435">
        <v>100</v>
      </c>
      <c r="X128" s="1015">
        <v>5</v>
      </c>
      <c r="Y128" s="430" t="s">
        <v>75</v>
      </c>
      <c r="Z128" s="430" t="s">
        <v>75</v>
      </c>
      <c r="AA128" s="430"/>
      <c r="AB128" s="437">
        <v>46056</v>
      </c>
      <c r="AC128" s="438">
        <v>6</v>
      </c>
      <c r="AD128" s="439" t="s">
        <v>728</v>
      </c>
      <c r="AE128" s="430"/>
      <c r="AF128" s="430" t="s">
        <v>122</v>
      </c>
      <c r="AG128" s="430" t="s">
        <v>123</v>
      </c>
      <c r="AH128" s="430" t="s">
        <v>105</v>
      </c>
      <c r="AI128" s="437">
        <v>46062</v>
      </c>
      <c r="AJ128" s="437">
        <v>46067</v>
      </c>
      <c r="AK128" s="441">
        <v>46068</v>
      </c>
      <c r="AL128" s="437">
        <v>46102</v>
      </c>
      <c r="AM128" s="437">
        <v>46111</v>
      </c>
      <c r="AN128" s="437">
        <v>46113</v>
      </c>
      <c r="AO128" s="430" t="s">
        <v>402</v>
      </c>
      <c r="AP128" s="430" t="s">
        <v>623</v>
      </c>
      <c r="AQ128" s="430" t="s">
        <v>161</v>
      </c>
      <c r="AR128" s="430" t="s">
        <v>725</v>
      </c>
      <c r="AS128" s="430" t="s">
        <v>726</v>
      </c>
      <c r="AT128" s="482" t="s">
        <v>726</v>
      </c>
      <c r="AU12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128" s="437">
        <v>46113</v>
      </c>
      <c r="AX128" s="433" t="s">
        <v>84</v>
      </c>
      <c r="AY128" s="437">
        <v>46125</v>
      </c>
      <c r="AZ128" s="442">
        <v>7</v>
      </c>
      <c r="BA128" s="437">
        <v>46120</v>
      </c>
      <c r="BB128" s="433">
        <v>2026</v>
      </c>
      <c r="BC128" s="430">
        <v>4</v>
      </c>
      <c r="BD128" s="430">
        <v>15</v>
      </c>
      <c r="BE128" s="431">
        <v>33</v>
      </c>
      <c r="BF128" s="431">
        <v>660</v>
      </c>
      <c r="BG128" s="431" t="s">
        <v>108</v>
      </c>
      <c r="BH128" s="431" t="s">
        <v>109</v>
      </c>
      <c r="BI128" s="430" t="s">
        <v>197</v>
      </c>
      <c r="BJ128" s="430" t="s">
        <v>197</v>
      </c>
      <c r="BK128" s="430" t="s">
        <v>197</v>
      </c>
      <c r="BL128" s="430" t="s">
        <v>197</v>
      </c>
      <c r="BM128" s="430" t="s">
        <v>197</v>
      </c>
      <c r="BN128" s="430" t="s">
        <v>197</v>
      </c>
      <c r="BO128" s="430" t="s">
        <v>197</v>
      </c>
      <c r="BP128" s="430" t="s">
        <v>197</v>
      </c>
      <c r="BQ128" s="430" t="s">
        <v>197</v>
      </c>
      <c r="BR128" s="430" t="s">
        <v>197</v>
      </c>
      <c r="BS128" s="430" t="s">
        <v>197</v>
      </c>
      <c r="BT128" s="430" t="s">
        <v>197</v>
      </c>
      <c r="BU128" s="430" t="s">
        <v>197</v>
      </c>
      <c r="BV128" s="430" t="s">
        <v>197</v>
      </c>
      <c r="BW128" s="430" t="s">
        <v>197</v>
      </c>
      <c r="BX128" s="430" t="s">
        <v>197</v>
      </c>
      <c r="BY128" s="430" t="s">
        <v>197</v>
      </c>
      <c r="BZ128" s="430" t="s">
        <v>197</v>
      </c>
      <c r="CA128" s="430" t="s">
        <v>197</v>
      </c>
      <c r="CB128" s="430" t="s">
        <v>197</v>
      </c>
      <c r="CC128" s="430" t="s">
        <v>197</v>
      </c>
      <c r="CD128" s="430" t="s">
        <v>197</v>
      </c>
      <c r="CE128" s="430" t="s">
        <v>197</v>
      </c>
      <c r="CF128" s="430" t="s">
        <v>197</v>
      </c>
      <c r="CG128" s="430" t="s">
        <v>197</v>
      </c>
      <c r="CH128" s="430" t="s">
        <v>197</v>
      </c>
      <c r="CI128" s="430" t="s">
        <v>197</v>
      </c>
      <c r="CJ128" s="430" t="s">
        <v>197</v>
      </c>
      <c r="CK128" s="430" t="s">
        <v>197</v>
      </c>
      <c r="CL128" s="430" t="s">
        <v>197</v>
      </c>
      <c r="CM128" s="430" t="s">
        <v>197</v>
      </c>
    </row>
    <row r="129" spans="1:91" ht="10.5" hidden="1">
      <c r="A129" s="462" t="s">
        <v>525</v>
      </c>
      <c r="B129" s="462" t="s">
        <v>111</v>
      </c>
      <c r="C129" s="462" t="s">
        <v>203</v>
      </c>
      <c r="D129" s="462" t="s">
        <v>63</v>
      </c>
      <c r="E129" s="462" t="s">
        <v>64</v>
      </c>
      <c r="F129" s="462" t="s">
        <v>100</v>
      </c>
      <c r="G129" s="462" t="s">
        <v>402</v>
      </c>
      <c r="H129" s="462" t="s">
        <v>67</v>
      </c>
      <c r="I129" s="439" t="s">
        <v>68</v>
      </c>
      <c r="J129" s="430" t="s">
        <v>483</v>
      </c>
      <c r="K129" s="430"/>
      <c r="L129" s="430"/>
      <c r="M129" s="430" t="s">
        <v>68</v>
      </c>
      <c r="N129" s="432" t="s">
        <v>68</v>
      </c>
      <c r="O129" s="430" t="s">
        <v>473</v>
      </c>
      <c r="P129" s="430" t="s">
        <v>529</v>
      </c>
      <c r="Q129" s="430" t="s">
        <v>530</v>
      </c>
      <c r="R129" s="431" t="s">
        <v>73</v>
      </c>
      <c r="S129" s="442" t="s">
        <v>74</v>
      </c>
      <c r="T129" s="433">
        <v>455</v>
      </c>
      <c r="U129" s="1062">
        <v>1728</v>
      </c>
      <c r="V129" s="434">
        <v>0.78600000000000003</v>
      </c>
      <c r="W129" s="435">
        <v>48</v>
      </c>
      <c r="X129" s="1015">
        <v>2</v>
      </c>
      <c r="Y129" s="430" t="s">
        <v>75</v>
      </c>
      <c r="Z129" s="430" t="s">
        <v>75</v>
      </c>
      <c r="AA129" s="430"/>
      <c r="AB129" s="437">
        <v>46056</v>
      </c>
      <c r="AC129" s="438">
        <v>6</v>
      </c>
      <c r="AD129" s="439" t="s">
        <v>729</v>
      </c>
      <c r="AE129" s="430"/>
      <c r="AF129" s="430" t="s">
        <v>122</v>
      </c>
      <c r="AG129" s="430" t="s">
        <v>123</v>
      </c>
      <c r="AH129" s="430" t="s">
        <v>105</v>
      </c>
      <c r="AI129" s="437">
        <v>46062</v>
      </c>
      <c r="AJ129" s="437">
        <v>46067</v>
      </c>
      <c r="AK129" s="441">
        <v>46068</v>
      </c>
      <c r="AL129" s="437">
        <v>46102</v>
      </c>
      <c r="AM129" s="437">
        <v>46111</v>
      </c>
      <c r="AN129" s="437">
        <v>46113</v>
      </c>
      <c r="AO129" s="430" t="s">
        <v>402</v>
      </c>
      <c r="AP129" s="430" t="s">
        <v>623</v>
      </c>
      <c r="AQ129" s="430" t="s">
        <v>161</v>
      </c>
      <c r="AR129" s="430" t="s">
        <v>725</v>
      </c>
      <c r="AS129" s="430" t="s">
        <v>726</v>
      </c>
      <c r="AT129" s="482" t="s">
        <v>726</v>
      </c>
      <c r="AU12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129" s="437">
        <v>46113</v>
      </c>
      <c r="AX129" s="433" t="s">
        <v>84</v>
      </c>
      <c r="AY129" s="437">
        <v>46125</v>
      </c>
      <c r="AZ129" s="442">
        <v>7</v>
      </c>
      <c r="BA129" s="437">
        <v>46120</v>
      </c>
      <c r="BB129" s="433">
        <v>2026</v>
      </c>
      <c r="BC129" s="430">
        <v>4</v>
      </c>
      <c r="BD129" s="430">
        <v>15</v>
      </c>
      <c r="BE129" s="431">
        <v>36</v>
      </c>
      <c r="BF129" s="431">
        <v>864</v>
      </c>
      <c r="BG129" s="431" t="s">
        <v>85</v>
      </c>
      <c r="BH129" s="431" t="s">
        <v>109</v>
      </c>
      <c r="BI129" s="430" t="s">
        <v>197</v>
      </c>
      <c r="BJ129" s="430" t="s">
        <v>197</v>
      </c>
      <c r="BK129" s="430" t="s">
        <v>197</v>
      </c>
      <c r="BL129" s="430" t="s">
        <v>197</v>
      </c>
      <c r="BM129" s="430" t="s">
        <v>197</v>
      </c>
      <c r="BN129" s="430" t="s">
        <v>197</v>
      </c>
      <c r="BO129" s="430" t="s">
        <v>197</v>
      </c>
      <c r="BP129" s="430" t="s">
        <v>197</v>
      </c>
      <c r="BQ129" s="430" t="s">
        <v>197</v>
      </c>
      <c r="BR129" s="430" t="s">
        <v>197</v>
      </c>
      <c r="BS129" s="430" t="s">
        <v>197</v>
      </c>
      <c r="BT129" s="430" t="s">
        <v>197</v>
      </c>
      <c r="BU129" s="430" t="s">
        <v>197</v>
      </c>
      <c r="BV129" s="430" t="s">
        <v>197</v>
      </c>
      <c r="BW129" s="430" t="s">
        <v>197</v>
      </c>
      <c r="BX129" s="430" t="s">
        <v>197</v>
      </c>
      <c r="BY129" s="430" t="s">
        <v>197</v>
      </c>
      <c r="BZ129" s="430" t="s">
        <v>197</v>
      </c>
      <c r="CA129" s="430" t="s">
        <v>197</v>
      </c>
      <c r="CB129" s="430" t="s">
        <v>197</v>
      </c>
      <c r="CC129" s="430" t="s">
        <v>197</v>
      </c>
      <c r="CD129" s="430" t="s">
        <v>197</v>
      </c>
      <c r="CE129" s="430" t="s">
        <v>197</v>
      </c>
      <c r="CF129" s="430" t="s">
        <v>197</v>
      </c>
      <c r="CG129" s="430" t="s">
        <v>197</v>
      </c>
      <c r="CH129" s="430" t="s">
        <v>197</v>
      </c>
      <c r="CI129" s="430" t="s">
        <v>197</v>
      </c>
      <c r="CJ129" s="430" t="s">
        <v>197</v>
      </c>
      <c r="CK129" s="430" t="s">
        <v>197</v>
      </c>
      <c r="CL129" s="430" t="s">
        <v>197</v>
      </c>
      <c r="CM129" s="430" t="s">
        <v>197</v>
      </c>
    </row>
    <row r="130" spans="1:91" ht="10.5" hidden="1">
      <c r="A130" s="462" t="s">
        <v>638</v>
      </c>
      <c r="B130" s="462" t="s">
        <v>111</v>
      </c>
      <c r="C130" s="462" t="s">
        <v>203</v>
      </c>
      <c r="D130" s="462" t="s">
        <v>63</v>
      </c>
      <c r="E130" s="462" t="s">
        <v>64</v>
      </c>
      <c r="F130" s="462" t="s">
        <v>100</v>
      </c>
      <c r="G130" s="462" t="s">
        <v>402</v>
      </c>
      <c r="H130" s="462" t="s">
        <v>67</v>
      </c>
      <c r="I130" s="439" t="s">
        <v>68</v>
      </c>
      <c r="J130" s="430" t="s">
        <v>483</v>
      </c>
      <c r="K130" s="430"/>
      <c r="L130" s="430"/>
      <c r="M130" s="430" t="s">
        <v>68</v>
      </c>
      <c r="N130" s="432" t="s">
        <v>68</v>
      </c>
      <c r="O130" s="430" t="s">
        <v>473</v>
      </c>
      <c r="P130" s="430" t="s">
        <v>474</v>
      </c>
      <c r="Q130" s="430" t="s">
        <v>475</v>
      </c>
      <c r="R130" s="431" t="s">
        <v>73</v>
      </c>
      <c r="S130" s="442" t="s">
        <v>74</v>
      </c>
      <c r="T130" s="433">
        <v>460</v>
      </c>
      <c r="U130" s="1062">
        <v>864</v>
      </c>
      <c r="V130" s="434">
        <v>0.39700000000000002</v>
      </c>
      <c r="W130" s="435">
        <v>24</v>
      </c>
      <c r="X130" s="1015">
        <v>1</v>
      </c>
      <c r="Y130" s="430" t="s">
        <v>75</v>
      </c>
      <c r="Z130" s="430" t="s">
        <v>75</v>
      </c>
      <c r="AA130" s="430"/>
      <c r="AB130" s="437">
        <v>46057</v>
      </c>
      <c r="AC130" s="438">
        <v>6</v>
      </c>
      <c r="AD130" s="439" t="s">
        <v>730</v>
      </c>
      <c r="AE130" s="430"/>
      <c r="AF130" s="430" t="s">
        <v>122</v>
      </c>
      <c r="AG130" s="430" t="s">
        <v>123</v>
      </c>
      <c r="AH130" s="430" t="s">
        <v>105</v>
      </c>
      <c r="AI130" s="437">
        <v>46062</v>
      </c>
      <c r="AJ130" s="437">
        <v>46067</v>
      </c>
      <c r="AK130" s="441">
        <v>46069</v>
      </c>
      <c r="AL130" s="437">
        <v>46099</v>
      </c>
      <c r="AM130" s="437">
        <v>46126</v>
      </c>
      <c r="AN130" s="437">
        <v>46127</v>
      </c>
      <c r="AO130" s="430" t="s">
        <v>402</v>
      </c>
      <c r="AP130" s="430" t="s">
        <v>731</v>
      </c>
      <c r="AQ130" s="430" t="s">
        <v>80</v>
      </c>
      <c r="AR130" s="430" t="s">
        <v>732</v>
      </c>
      <c r="AS130" s="430" t="s">
        <v>733</v>
      </c>
      <c r="AT130" s="482" t="s">
        <v>733</v>
      </c>
      <c r="AU13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W130" s="437">
        <v>46127</v>
      </c>
      <c r="AX130" s="433" t="s">
        <v>84</v>
      </c>
      <c r="AY130" s="437">
        <v>46134</v>
      </c>
      <c r="AZ130" s="442">
        <v>7</v>
      </c>
      <c r="BA130" s="437">
        <v>46134</v>
      </c>
      <c r="BB130" s="433">
        <v>2026</v>
      </c>
      <c r="BC130" s="430">
        <v>4</v>
      </c>
      <c r="BD130" s="430">
        <v>17</v>
      </c>
      <c r="BE130" s="431">
        <v>36</v>
      </c>
      <c r="BF130" s="431">
        <v>864</v>
      </c>
      <c r="BG130" s="431" t="s">
        <v>85</v>
      </c>
      <c r="BH130" s="431" t="s">
        <v>109</v>
      </c>
      <c r="BI130" s="430" t="s">
        <v>197</v>
      </c>
      <c r="BJ130" s="430" t="s">
        <v>197</v>
      </c>
      <c r="BK130" s="430" t="s">
        <v>197</v>
      </c>
      <c r="BL130" s="430" t="s">
        <v>197</v>
      </c>
      <c r="BM130" s="430" t="s">
        <v>197</v>
      </c>
      <c r="BN130" s="430" t="s">
        <v>197</v>
      </c>
      <c r="BO130" s="430" t="s">
        <v>197</v>
      </c>
      <c r="BP130" s="430" t="s">
        <v>197</v>
      </c>
      <c r="BQ130" s="430" t="s">
        <v>197</v>
      </c>
      <c r="BR130" s="430" t="s">
        <v>197</v>
      </c>
      <c r="BS130" s="430" t="s">
        <v>197</v>
      </c>
      <c r="BT130" s="430" t="s">
        <v>197</v>
      </c>
      <c r="BU130" s="430" t="s">
        <v>197</v>
      </c>
      <c r="BV130" s="430" t="s">
        <v>197</v>
      </c>
      <c r="BW130" s="430" t="s">
        <v>197</v>
      </c>
      <c r="BX130" s="430" t="s">
        <v>197</v>
      </c>
      <c r="BY130" s="430" t="s">
        <v>197</v>
      </c>
      <c r="BZ130" s="430" t="s">
        <v>197</v>
      </c>
      <c r="CA130" s="430" t="s">
        <v>197</v>
      </c>
      <c r="CB130" s="430" t="s">
        <v>197</v>
      </c>
      <c r="CC130" s="430" t="s">
        <v>197</v>
      </c>
      <c r="CD130" s="430" t="s">
        <v>197</v>
      </c>
      <c r="CE130" s="430" t="s">
        <v>197</v>
      </c>
      <c r="CF130" s="430" t="s">
        <v>197</v>
      </c>
      <c r="CG130" s="430" t="s">
        <v>197</v>
      </c>
      <c r="CH130" s="430" t="s">
        <v>197</v>
      </c>
      <c r="CI130" s="430" t="s">
        <v>197</v>
      </c>
      <c r="CJ130" s="430" t="s">
        <v>197</v>
      </c>
      <c r="CK130" s="430" t="s">
        <v>197</v>
      </c>
      <c r="CL130" s="430" t="s">
        <v>197</v>
      </c>
      <c r="CM130" s="430" t="s">
        <v>197</v>
      </c>
    </row>
    <row r="131" spans="1:91" ht="10.5" hidden="1">
      <c r="A131" s="462" t="s">
        <v>734</v>
      </c>
      <c r="B131" s="462" t="s">
        <v>111</v>
      </c>
      <c r="C131" s="462" t="s">
        <v>387</v>
      </c>
      <c r="D131" s="462" t="s">
        <v>63</v>
      </c>
      <c r="E131" s="462" t="s">
        <v>64</v>
      </c>
      <c r="F131" s="462" t="s">
        <v>100</v>
      </c>
      <c r="G131" s="462" t="s">
        <v>402</v>
      </c>
      <c r="H131" s="462" t="s">
        <v>67</v>
      </c>
      <c r="I131" s="439" t="s">
        <v>68</v>
      </c>
      <c r="J131" s="430" t="s">
        <v>293</v>
      </c>
      <c r="K131" s="430"/>
      <c r="L131" s="430"/>
      <c r="M131" s="430" t="s">
        <v>68</v>
      </c>
      <c r="N131" s="432" t="s">
        <v>68</v>
      </c>
      <c r="O131" s="430" t="s">
        <v>132</v>
      </c>
      <c r="P131" s="430" t="s">
        <v>189</v>
      </c>
      <c r="Q131" s="430" t="s">
        <v>190</v>
      </c>
      <c r="R131" s="431" t="s">
        <v>73</v>
      </c>
      <c r="S131" s="442" t="s">
        <v>74</v>
      </c>
      <c r="T131" s="433">
        <v>465</v>
      </c>
      <c r="U131" s="1062">
        <v>2592</v>
      </c>
      <c r="V131" s="434">
        <v>1.2050000000000001</v>
      </c>
      <c r="W131" s="435">
        <v>72</v>
      </c>
      <c r="X131" s="1015">
        <v>3</v>
      </c>
      <c r="Y131" s="430" t="s">
        <v>75</v>
      </c>
      <c r="Z131" s="430" t="s">
        <v>75</v>
      </c>
      <c r="AA131" s="430"/>
      <c r="AB131" s="437">
        <v>46057</v>
      </c>
      <c r="AC131" s="438">
        <v>6</v>
      </c>
      <c r="AD131" s="439" t="s">
        <v>735</v>
      </c>
      <c r="AE131" s="430"/>
      <c r="AF131" s="430" t="s">
        <v>122</v>
      </c>
      <c r="AG131" s="430" t="s">
        <v>123</v>
      </c>
      <c r="AH131" s="430" t="s">
        <v>105</v>
      </c>
      <c r="AI131" s="437">
        <v>46062</v>
      </c>
      <c r="AJ131" s="437">
        <v>46067</v>
      </c>
      <c r="AK131" s="441">
        <v>46069</v>
      </c>
      <c r="AL131" s="437">
        <v>46099</v>
      </c>
      <c r="AM131" s="437">
        <v>46126</v>
      </c>
      <c r="AN131" s="437">
        <v>46127</v>
      </c>
      <c r="AO131" s="430" t="s">
        <v>402</v>
      </c>
      <c r="AP131" s="430" t="s">
        <v>731</v>
      </c>
      <c r="AQ131" s="430" t="s">
        <v>80</v>
      </c>
      <c r="AR131" s="430" t="s">
        <v>732</v>
      </c>
      <c r="AS131" s="430" t="s">
        <v>733</v>
      </c>
      <c r="AT131" s="482" t="s">
        <v>733</v>
      </c>
      <c r="AU13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W131" s="437">
        <v>46127</v>
      </c>
      <c r="AX131" s="433" t="s">
        <v>84</v>
      </c>
      <c r="AY131" s="437">
        <v>46134</v>
      </c>
      <c r="AZ131" s="442">
        <v>7</v>
      </c>
      <c r="BA131" s="437">
        <v>46134</v>
      </c>
      <c r="BB131" s="433">
        <v>2026</v>
      </c>
      <c r="BC131" s="430">
        <v>4</v>
      </c>
      <c r="BD131" s="430">
        <v>17</v>
      </c>
      <c r="BE131" s="431">
        <v>36</v>
      </c>
      <c r="BF131" s="431">
        <v>864</v>
      </c>
      <c r="BG131" s="431" t="s">
        <v>108</v>
      </c>
      <c r="BH131" s="431" t="s">
        <v>109</v>
      </c>
      <c r="BI131" s="430" t="s">
        <v>197</v>
      </c>
      <c r="BJ131" s="430" t="s">
        <v>197</v>
      </c>
      <c r="BK131" s="430" t="s">
        <v>197</v>
      </c>
      <c r="BL131" s="430" t="s">
        <v>197</v>
      </c>
      <c r="BM131" s="430" t="s">
        <v>197</v>
      </c>
      <c r="BN131" s="430" t="s">
        <v>197</v>
      </c>
      <c r="BO131" s="430" t="s">
        <v>197</v>
      </c>
      <c r="BP131" s="430" t="s">
        <v>197</v>
      </c>
      <c r="BQ131" s="430" t="s">
        <v>197</v>
      </c>
      <c r="BR131" s="430" t="s">
        <v>197</v>
      </c>
      <c r="BS131" s="430" t="s">
        <v>197</v>
      </c>
      <c r="BT131" s="430" t="s">
        <v>197</v>
      </c>
      <c r="BU131" s="430" t="s">
        <v>197</v>
      </c>
      <c r="BV131" s="430" t="s">
        <v>197</v>
      </c>
      <c r="BW131" s="430" t="s">
        <v>197</v>
      </c>
      <c r="BX131" s="430" t="s">
        <v>197</v>
      </c>
      <c r="BY131" s="430" t="s">
        <v>197</v>
      </c>
      <c r="BZ131" s="430" t="s">
        <v>197</v>
      </c>
      <c r="CA131" s="430" t="s">
        <v>197</v>
      </c>
      <c r="CB131" s="430" t="s">
        <v>197</v>
      </c>
      <c r="CC131" s="430" t="s">
        <v>197</v>
      </c>
      <c r="CD131" s="430" t="s">
        <v>197</v>
      </c>
      <c r="CE131" s="430" t="s">
        <v>197</v>
      </c>
      <c r="CF131" s="430" t="s">
        <v>197</v>
      </c>
      <c r="CG131" s="430" t="s">
        <v>197</v>
      </c>
      <c r="CH131" s="430" t="s">
        <v>197</v>
      </c>
      <c r="CI131" s="430" t="s">
        <v>197</v>
      </c>
      <c r="CJ131" s="430" t="s">
        <v>197</v>
      </c>
      <c r="CK131" s="430" t="s">
        <v>197</v>
      </c>
      <c r="CL131" s="430" t="s">
        <v>197</v>
      </c>
      <c r="CM131" s="430" t="s">
        <v>197</v>
      </c>
    </row>
    <row r="132" spans="1:91" ht="10.5" hidden="1">
      <c r="A132" s="462" t="s">
        <v>736</v>
      </c>
      <c r="B132" s="462" t="s">
        <v>111</v>
      </c>
      <c r="C132" s="462" t="s">
        <v>168</v>
      </c>
      <c r="D132" s="462" t="s">
        <v>63</v>
      </c>
      <c r="E132" s="462" t="s">
        <v>64</v>
      </c>
      <c r="F132" s="462" t="s">
        <v>65</v>
      </c>
      <c r="G132" s="462" t="s">
        <v>402</v>
      </c>
      <c r="H132" s="462" t="s">
        <v>67</v>
      </c>
      <c r="I132" s="439" t="s">
        <v>68</v>
      </c>
      <c r="J132" s="430" t="s">
        <v>737</v>
      </c>
      <c r="K132" s="430"/>
      <c r="L132" s="430"/>
      <c r="M132" s="430" t="s">
        <v>68</v>
      </c>
      <c r="N132" s="432" t="s">
        <v>68</v>
      </c>
      <c r="O132" s="430" t="s">
        <v>170</v>
      </c>
      <c r="P132" s="430" t="s">
        <v>171</v>
      </c>
      <c r="Q132" s="430" t="s">
        <v>172</v>
      </c>
      <c r="R132" s="431" t="s">
        <v>73</v>
      </c>
      <c r="S132" s="442" t="s">
        <v>120</v>
      </c>
      <c r="T132" s="433">
        <v>555</v>
      </c>
      <c r="U132" s="1062">
        <v>3960</v>
      </c>
      <c r="V132" s="434">
        <v>2.198</v>
      </c>
      <c r="W132" s="435">
        <v>120</v>
      </c>
      <c r="X132" s="1015">
        <v>6</v>
      </c>
      <c r="Y132" s="430" t="s">
        <v>75</v>
      </c>
      <c r="Z132" s="430" t="s">
        <v>75</v>
      </c>
      <c r="AA132" s="430"/>
      <c r="AB132" s="437">
        <v>46054</v>
      </c>
      <c r="AC132" s="438">
        <v>5</v>
      </c>
      <c r="AD132" s="439" t="s">
        <v>738</v>
      </c>
      <c r="AE132" s="430"/>
      <c r="AF132" s="430" t="s">
        <v>122</v>
      </c>
      <c r="AG132" s="430" t="s">
        <v>123</v>
      </c>
      <c r="AH132" s="430" t="s">
        <v>78</v>
      </c>
      <c r="AI132" s="437">
        <v>46063</v>
      </c>
      <c r="AJ132" s="437">
        <v>46065</v>
      </c>
      <c r="AK132" s="441">
        <v>46078</v>
      </c>
      <c r="AL132" s="437">
        <v>46111</v>
      </c>
      <c r="AM132" s="437">
        <v>46136</v>
      </c>
      <c r="AN132" s="437">
        <v>46137</v>
      </c>
      <c r="AO132" s="430" t="s">
        <v>402</v>
      </c>
      <c r="AP132" s="430" t="s">
        <v>739</v>
      </c>
      <c r="AQ132" s="430" t="s">
        <v>80</v>
      </c>
      <c r="AR132" s="430" t="s">
        <v>740</v>
      </c>
      <c r="AS132" s="430" t="s">
        <v>741</v>
      </c>
      <c r="AT132" s="482" t="s">
        <v>741</v>
      </c>
      <c r="AU13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W132" s="437">
        <v>46137</v>
      </c>
      <c r="AX132" s="433" t="s">
        <v>84</v>
      </c>
      <c r="AY132" s="437">
        <v>46150</v>
      </c>
      <c r="AZ132" s="442">
        <v>8</v>
      </c>
      <c r="BA132" s="437">
        <v>46145</v>
      </c>
      <c r="BB132" s="433">
        <v>2026</v>
      </c>
      <c r="BC132" s="430">
        <v>5</v>
      </c>
      <c r="BD132" s="430">
        <v>18</v>
      </c>
      <c r="BE132" s="431">
        <v>33</v>
      </c>
      <c r="BF132" s="431">
        <v>660</v>
      </c>
      <c r="BG132" s="431" t="s">
        <v>108</v>
      </c>
      <c r="BH132" s="431" t="s">
        <v>86</v>
      </c>
      <c r="BI132" s="430" t="s">
        <v>197</v>
      </c>
      <c r="BJ132" s="430" t="s">
        <v>197</v>
      </c>
      <c r="BK132" s="430" t="s">
        <v>197</v>
      </c>
      <c r="BL132" s="430" t="s">
        <v>197</v>
      </c>
      <c r="BM132" s="430" t="s">
        <v>197</v>
      </c>
      <c r="BN132" s="430" t="s">
        <v>197</v>
      </c>
      <c r="BO132" s="430" t="s">
        <v>197</v>
      </c>
      <c r="BP132" s="430" t="s">
        <v>197</v>
      </c>
      <c r="BQ132" s="430" t="s">
        <v>197</v>
      </c>
      <c r="BR132" s="430" t="s">
        <v>197</v>
      </c>
      <c r="BS132" s="430" t="s">
        <v>197</v>
      </c>
      <c r="BT132" s="430" t="s">
        <v>197</v>
      </c>
      <c r="BU132" s="430" t="s">
        <v>197</v>
      </c>
      <c r="BV132" s="430" t="s">
        <v>197</v>
      </c>
      <c r="BW132" s="430" t="s">
        <v>197</v>
      </c>
      <c r="BX132" s="430" t="s">
        <v>197</v>
      </c>
      <c r="BY132" s="430" t="s">
        <v>197</v>
      </c>
      <c r="BZ132" s="430" t="s">
        <v>197</v>
      </c>
      <c r="CA132" s="430" t="s">
        <v>197</v>
      </c>
      <c r="CB132" s="430" t="s">
        <v>197</v>
      </c>
      <c r="CC132" s="430" t="s">
        <v>197</v>
      </c>
      <c r="CD132" s="430" t="s">
        <v>197</v>
      </c>
      <c r="CE132" s="430" t="s">
        <v>197</v>
      </c>
      <c r="CF132" s="430" t="s">
        <v>197</v>
      </c>
      <c r="CG132" s="430" t="s">
        <v>197</v>
      </c>
      <c r="CH132" s="430" t="s">
        <v>197</v>
      </c>
      <c r="CI132" s="430" t="s">
        <v>197</v>
      </c>
      <c r="CJ132" s="430" t="s">
        <v>197</v>
      </c>
      <c r="CK132" s="430" t="s">
        <v>197</v>
      </c>
      <c r="CL132" s="430" t="s">
        <v>197</v>
      </c>
      <c r="CM132" s="430" t="s">
        <v>197</v>
      </c>
    </row>
    <row r="133" spans="1:91" ht="10.5" hidden="1">
      <c r="A133" s="462" t="s">
        <v>742</v>
      </c>
      <c r="B133" s="462" t="s">
        <v>111</v>
      </c>
      <c r="C133" s="462" t="s">
        <v>168</v>
      </c>
      <c r="D133" s="462" t="s">
        <v>63</v>
      </c>
      <c r="E133" s="462" t="s">
        <v>64</v>
      </c>
      <c r="F133" s="462" t="s">
        <v>65</v>
      </c>
      <c r="G133" s="462" t="s">
        <v>402</v>
      </c>
      <c r="H133" s="462" t="s">
        <v>67</v>
      </c>
      <c r="I133" s="439" t="s">
        <v>68</v>
      </c>
      <c r="J133" s="430" t="s">
        <v>737</v>
      </c>
      <c r="K133" s="430"/>
      <c r="L133" s="430"/>
      <c r="M133" s="430" t="s">
        <v>68</v>
      </c>
      <c r="N133" s="432" t="s">
        <v>68</v>
      </c>
      <c r="O133" s="430" t="s">
        <v>170</v>
      </c>
      <c r="P133" s="430" t="s">
        <v>171</v>
      </c>
      <c r="Q133" s="430" t="s">
        <v>172</v>
      </c>
      <c r="R133" s="431" t="s">
        <v>73</v>
      </c>
      <c r="S133" s="442" t="s">
        <v>120</v>
      </c>
      <c r="T133" s="433">
        <v>555</v>
      </c>
      <c r="U133" s="1062">
        <v>660</v>
      </c>
      <c r="V133" s="434">
        <v>0.36599999999999999</v>
      </c>
      <c r="W133" s="435">
        <v>20</v>
      </c>
      <c r="X133" s="1015">
        <v>1</v>
      </c>
      <c r="Y133" s="430" t="s">
        <v>75</v>
      </c>
      <c r="Z133" s="430" t="s">
        <v>75</v>
      </c>
      <c r="AA133" s="430"/>
      <c r="AB133" s="437">
        <v>46054</v>
      </c>
      <c r="AC133" s="438">
        <v>5</v>
      </c>
      <c r="AD133" s="439" t="s">
        <v>743</v>
      </c>
      <c r="AE133" s="430"/>
      <c r="AF133" s="430" t="s">
        <v>122</v>
      </c>
      <c r="AG133" s="430" t="s">
        <v>123</v>
      </c>
      <c r="AH133" s="430" t="s">
        <v>78</v>
      </c>
      <c r="AI133" s="437">
        <v>46063</v>
      </c>
      <c r="AJ133" s="437">
        <v>46065</v>
      </c>
      <c r="AK133" s="441">
        <v>46078</v>
      </c>
      <c r="AL133" s="437">
        <v>46101</v>
      </c>
      <c r="AM133" s="437">
        <v>46136</v>
      </c>
      <c r="AN133" s="437">
        <v>46137</v>
      </c>
      <c r="AO133" s="430" t="s">
        <v>402</v>
      </c>
      <c r="AP133" s="430" t="s">
        <v>739</v>
      </c>
      <c r="AQ133" s="430" t="s">
        <v>80</v>
      </c>
      <c r="AR133" s="430" t="s">
        <v>740</v>
      </c>
      <c r="AS133" s="430" t="s">
        <v>741</v>
      </c>
      <c r="AT133" s="482" t="s">
        <v>741</v>
      </c>
      <c r="AU13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W133" s="437">
        <v>46137</v>
      </c>
      <c r="AX133" s="433" t="s">
        <v>84</v>
      </c>
      <c r="AY133" s="437">
        <v>46150</v>
      </c>
      <c r="AZ133" s="442">
        <v>8</v>
      </c>
      <c r="BA133" s="437">
        <v>46145</v>
      </c>
      <c r="BB133" s="433">
        <v>2026</v>
      </c>
      <c r="BC133" s="430">
        <v>5</v>
      </c>
      <c r="BD133" s="430">
        <v>18</v>
      </c>
      <c r="BE133" s="431">
        <v>33</v>
      </c>
      <c r="BF133" s="431">
        <v>660</v>
      </c>
      <c r="BG133" s="431" t="s">
        <v>108</v>
      </c>
      <c r="BH133" s="431" t="s">
        <v>86</v>
      </c>
      <c r="BI133" s="430" t="s">
        <v>197</v>
      </c>
      <c r="BJ133" s="430" t="s">
        <v>197</v>
      </c>
      <c r="BK133" s="430" t="s">
        <v>197</v>
      </c>
      <c r="BL133" s="430" t="s">
        <v>197</v>
      </c>
      <c r="BM133" s="430" t="s">
        <v>197</v>
      </c>
      <c r="BN133" s="430" t="s">
        <v>197</v>
      </c>
      <c r="BO133" s="430" t="s">
        <v>197</v>
      </c>
      <c r="BP133" s="430" t="s">
        <v>197</v>
      </c>
      <c r="BQ133" s="430" t="s">
        <v>197</v>
      </c>
      <c r="BR133" s="430" t="s">
        <v>197</v>
      </c>
      <c r="BS133" s="430" t="s">
        <v>197</v>
      </c>
      <c r="BT133" s="430" t="s">
        <v>197</v>
      </c>
      <c r="BU133" s="430" t="s">
        <v>197</v>
      </c>
      <c r="BV133" s="430" t="s">
        <v>197</v>
      </c>
      <c r="BW133" s="430" t="s">
        <v>197</v>
      </c>
      <c r="BX133" s="430" t="s">
        <v>197</v>
      </c>
      <c r="BY133" s="430" t="s">
        <v>197</v>
      </c>
      <c r="BZ133" s="430" t="s">
        <v>197</v>
      </c>
      <c r="CA133" s="430" t="s">
        <v>197</v>
      </c>
      <c r="CB133" s="430" t="s">
        <v>197</v>
      </c>
      <c r="CC133" s="430" t="s">
        <v>197</v>
      </c>
      <c r="CD133" s="430" t="s">
        <v>197</v>
      </c>
      <c r="CE133" s="430" t="s">
        <v>197</v>
      </c>
      <c r="CF133" s="430" t="s">
        <v>197</v>
      </c>
      <c r="CG133" s="430" t="s">
        <v>197</v>
      </c>
      <c r="CH133" s="430" t="s">
        <v>197</v>
      </c>
      <c r="CI133" s="430" t="s">
        <v>197</v>
      </c>
      <c r="CJ133" s="430" t="s">
        <v>197</v>
      </c>
      <c r="CK133" s="430" t="s">
        <v>197</v>
      </c>
      <c r="CL133" s="430" t="s">
        <v>197</v>
      </c>
      <c r="CM133" s="430" t="s">
        <v>197</v>
      </c>
    </row>
    <row r="134" spans="1:91" ht="10.5" hidden="1">
      <c r="A134" s="462" t="s">
        <v>744</v>
      </c>
      <c r="B134" s="462" t="s">
        <v>111</v>
      </c>
      <c r="C134" s="462" t="s">
        <v>168</v>
      </c>
      <c r="D134" s="462" t="s">
        <v>63</v>
      </c>
      <c r="E134" s="462" t="s">
        <v>64</v>
      </c>
      <c r="F134" s="462" t="s">
        <v>65</v>
      </c>
      <c r="G134" s="462" t="s">
        <v>402</v>
      </c>
      <c r="H134" s="462" t="s">
        <v>67</v>
      </c>
      <c r="I134" s="439" t="s">
        <v>68</v>
      </c>
      <c r="J134" s="430" t="s">
        <v>737</v>
      </c>
      <c r="K134" s="430"/>
      <c r="L134" s="430"/>
      <c r="M134" s="430" t="s">
        <v>68</v>
      </c>
      <c r="N134" s="432" t="s">
        <v>68</v>
      </c>
      <c r="O134" s="430" t="s">
        <v>170</v>
      </c>
      <c r="P134" s="430" t="s">
        <v>171</v>
      </c>
      <c r="Q134" s="430" t="s">
        <v>172</v>
      </c>
      <c r="R134" s="431" t="s">
        <v>73</v>
      </c>
      <c r="S134" s="442" t="s">
        <v>120</v>
      </c>
      <c r="T134" s="433">
        <v>555</v>
      </c>
      <c r="U134" s="1062">
        <v>660</v>
      </c>
      <c r="V134" s="434">
        <v>0.36599999999999999</v>
      </c>
      <c r="W134" s="435">
        <v>20</v>
      </c>
      <c r="X134" s="1015">
        <v>1</v>
      </c>
      <c r="Y134" s="430" t="s">
        <v>75</v>
      </c>
      <c r="Z134" s="430" t="s">
        <v>75</v>
      </c>
      <c r="AA134" s="430"/>
      <c r="AB134" s="437">
        <v>46054</v>
      </c>
      <c r="AC134" s="438">
        <v>5</v>
      </c>
      <c r="AD134" s="439" t="s">
        <v>745</v>
      </c>
      <c r="AE134" s="430"/>
      <c r="AF134" s="430" t="s">
        <v>122</v>
      </c>
      <c r="AG134" s="430" t="s">
        <v>123</v>
      </c>
      <c r="AH134" s="430" t="s">
        <v>78</v>
      </c>
      <c r="AI134" s="437">
        <v>46063</v>
      </c>
      <c r="AJ134" s="437">
        <v>46065</v>
      </c>
      <c r="AK134" s="441">
        <v>46078</v>
      </c>
      <c r="AL134" s="437">
        <v>46108</v>
      </c>
      <c r="AM134" s="437">
        <v>46136</v>
      </c>
      <c r="AN134" s="437">
        <v>46137</v>
      </c>
      <c r="AO134" s="430" t="s">
        <v>402</v>
      </c>
      <c r="AP134" s="430" t="s">
        <v>739</v>
      </c>
      <c r="AQ134" s="430" t="s">
        <v>80</v>
      </c>
      <c r="AR134" s="430" t="s">
        <v>740</v>
      </c>
      <c r="AS134" s="430" t="s">
        <v>741</v>
      </c>
      <c r="AT134" s="482" t="s">
        <v>741</v>
      </c>
      <c r="AU13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W134" s="437">
        <v>46137</v>
      </c>
      <c r="AX134" s="433" t="s">
        <v>84</v>
      </c>
      <c r="AY134" s="437">
        <v>46150</v>
      </c>
      <c r="AZ134" s="442">
        <v>8</v>
      </c>
      <c r="BA134" s="437">
        <v>46145</v>
      </c>
      <c r="BB134" s="433">
        <v>2026</v>
      </c>
      <c r="BC134" s="430">
        <v>5</v>
      </c>
      <c r="BD134" s="430">
        <v>18</v>
      </c>
      <c r="BE134" s="431">
        <v>33</v>
      </c>
      <c r="BF134" s="431">
        <v>660</v>
      </c>
      <c r="BG134" s="431" t="s">
        <v>108</v>
      </c>
      <c r="BH134" s="431" t="s">
        <v>86</v>
      </c>
      <c r="BI134" s="430" t="s">
        <v>197</v>
      </c>
      <c r="BJ134" s="430" t="s">
        <v>197</v>
      </c>
      <c r="BK134" s="430" t="s">
        <v>197</v>
      </c>
      <c r="BL134" s="430" t="s">
        <v>197</v>
      </c>
      <c r="BM134" s="430" t="s">
        <v>197</v>
      </c>
      <c r="BN134" s="430" t="s">
        <v>197</v>
      </c>
      <c r="BO134" s="430" t="s">
        <v>197</v>
      </c>
      <c r="BP134" s="430" t="s">
        <v>197</v>
      </c>
      <c r="BQ134" s="430" t="s">
        <v>197</v>
      </c>
      <c r="BR134" s="430" t="s">
        <v>197</v>
      </c>
      <c r="BS134" s="430" t="s">
        <v>197</v>
      </c>
      <c r="BT134" s="430" t="s">
        <v>197</v>
      </c>
      <c r="BU134" s="430" t="s">
        <v>197</v>
      </c>
      <c r="BV134" s="430" t="s">
        <v>197</v>
      </c>
      <c r="BW134" s="430" t="s">
        <v>197</v>
      </c>
      <c r="BX134" s="430" t="s">
        <v>197</v>
      </c>
      <c r="BY134" s="430" t="s">
        <v>197</v>
      </c>
      <c r="BZ134" s="430" t="s">
        <v>197</v>
      </c>
      <c r="CA134" s="430" t="s">
        <v>197</v>
      </c>
      <c r="CB134" s="430" t="s">
        <v>197</v>
      </c>
      <c r="CC134" s="430" t="s">
        <v>197</v>
      </c>
      <c r="CD134" s="430" t="s">
        <v>197</v>
      </c>
      <c r="CE134" s="430" t="s">
        <v>197</v>
      </c>
      <c r="CF134" s="430" t="s">
        <v>197</v>
      </c>
      <c r="CG134" s="430" t="s">
        <v>197</v>
      </c>
      <c r="CH134" s="430" t="s">
        <v>197</v>
      </c>
      <c r="CI134" s="430" t="s">
        <v>197</v>
      </c>
      <c r="CJ134" s="430" t="s">
        <v>197</v>
      </c>
      <c r="CK134" s="430" t="s">
        <v>197</v>
      </c>
      <c r="CL134" s="430" t="s">
        <v>197</v>
      </c>
      <c r="CM134" s="430" t="s">
        <v>197</v>
      </c>
    </row>
    <row r="135" spans="1:91" ht="10.5" hidden="1">
      <c r="A135" s="462" t="s">
        <v>746</v>
      </c>
      <c r="B135" s="462" t="s">
        <v>111</v>
      </c>
      <c r="C135" s="462" t="s">
        <v>112</v>
      </c>
      <c r="D135" s="462" t="s">
        <v>113</v>
      </c>
      <c r="E135" s="462" t="s">
        <v>64</v>
      </c>
      <c r="F135" s="462" t="s">
        <v>114</v>
      </c>
      <c r="G135" s="462" t="s">
        <v>402</v>
      </c>
      <c r="H135" s="462" t="s">
        <v>115</v>
      </c>
      <c r="I135" s="439" t="s">
        <v>68</v>
      </c>
      <c r="J135" s="430" t="s">
        <v>116</v>
      </c>
      <c r="K135" s="430" t="s">
        <v>266</v>
      </c>
      <c r="L135" s="430"/>
      <c r="M135" s="430" t="s">
        <v>68</v>
      </c>
      <c r="N135" s="432" t="s">
        <v>68</v>
      </c>
      <c r="O135" s="430" t="s">
        <v>70</v>
      </c>
      <c r="P135" s="430" t="s">
        <v>118</v>
      </c>
      <c r="Q135" s="430" t="s">
        <v>119</v>
      </c>
      <c r="R135" s="431" t="s">
        <v>73</v>
      </c>
      <c r="S135" s="442" t="s">
        <v>120</v>
      </c>
      <c r="T135" s="433">
        <v>640</v>
      </c>
      <c r="U135" s="1062">
        <v>3456</v>
      </c>
      <c r="V135" s="434">
        <v>2.2120000000000002</v>
      </c>
      <c r="W135" s="435">
        <v>96</v>
      </c>
      <c r="X135" s="1015">
        <v>6</v>
      </c>
      <c r="Y135" s="430" t="s">
        <v>75</v>
      </c>
      <c r="Z135" s="430" t="s">
        <v>75</v>
      </c>
      <c r="AA135" s="430"/>
      <c r="AB135" s="437">
        <v>46057</v>
      </c>
      <c r="AC135" s="438">
        <v>6</v>
      </c>
      <c r="AD135" s="439" t="s">
        <v>747</v>
      </c>
      <c r="AE135" s="430"/>
      <c r="AF135" s="430" t="s">
        <v>122</v>
      </c>
      <c r="AG135" s="430" t="s">
        <v>123</v>
      </c>
      <c r="AH135" s="430" t="s">
        <v>124</v>
      </c>
      <c r="AI135" s="437">
        <v>46063</v>
      </c>
      <c r="AJ135" s="437">
        <v>46067</v>
      </c>
      <c r="AK135" s="441">
        <v>46067</v>
      </c>
      <c r="AL135" s="437">
        <v>46107</v>
      </c>
      <c r="AM135" s="437">
        <v>46112</v>
      </c>
      <c r="AN135" s="437">
        <v>46112</v>
      </c>
      <c r="AO135" s="430" t="s">
        <v>402</v>
      </c>
      <c r="AP135" s="430" t="s">
        <v>748</v>
      </c>
      <c r="AQ135" s="430" t="s">
        <v>80</v>
      </c>
      <c r="AR135" s="430" t="s">
        <v>749</v>
      </c>
      <c r="AS135" s="430" t="s">
        <v>750</v>
      </c>
      <c r="AT135" s="482" t="s">
        <v>750</v>
      </c>
      <c r="AU13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135" s="437">
        <v>46112</v>
      </c>
      <c r="AX135" s="433" t="s">
        <v>84</v>
      </c>
      <c r="AY135" s="437">
        <v>46121</v>
      </c>
      <c r="AZ135" s="442">
        <v>9</v>
      </c>
      <c r="BA135" s="437">
        <v>46121</v>
      </c>
      <c r="BB135" s="433">
        <v>2026</v>
      </c>
      <c r="BC135" s="430">
        <v>4</v>
      </c>
      <c r="BD135" s="430">
        <v>15</v>
      </c>
      <c r="BE135" s="431">
        <v>36</v>
      </c>
      <c r="BF135" s="431">
        <v>576</v>
      </c>
      <c r="BG135" s="431" t="s">
        <v>128</v>
      </c>
      <c r="BH135" s="431" t="s">
        <v>86</v>
      </c>
      <c r="BI135" s="430" t="s">
        <v>197</v>
      </c>
      <c r="BJ135" s="430" t="s">
        <v>197</v>
      </c>
      <c r="BK135" s="430" t="s">
        <v>197</v>
      </c>
      <c r="BL135" s="430" t="s">
        <v>197</v>
      </c>
      <c r="BM135" s="430" t="s">
        <v>197</v>
      </c>
      <c r="BN135" s="430" t="s">
        <v>197</v>
      </c>
      <c r="BO135" s="430" t="s">
        <v>197</v>
      </c>
      <c r="BP135" s="430" t="s">
        <v>197</v>
      </c>
      <c r="BQ135" s="430" t="s">
        <v>197</v>
      </c>
      <c r="BR135" s="430" t="s">
        <v>197</v>
      </c>
      <c r="BS135" s="430" t="s">
        <v>197</v>
      </c>
      <c r="BT135" s="430" t="s">
        <v>197</v>
      </c>
      <c r="BU135" s="430" t="s">
        <v>197</v>
      </c>
      <c r="BV135" s="430" t="s">
        <v>197</v>
      </c>
      <c r="BW135" s="430" t="s">
        <v>197</v>
      </c>
      <c r="BX135" s="430" t="s">
        <v>197</v>
      </c>
      <c r="BY135" s="430" t="s">
        <v>197</v>
      </c>
      <c r="BZ135" s="430" t="s">
        <v>197</v>
      </c>
      <c r="CA135" s="430" t="s">
        <v>197</v>
      </c>
      <c r="CB135" s="430" t="s">
        <v>197</v>
      </c>
      <c r="CC135" s="430" t="s">
        <v>197</v>
      </c>
      <c r="CD135" s="430" t="s">
        <v>197</v>
      </c>
      <c r="CE135" s="430" t="s">
        <v>197</v>
      </c>
      <c r="CF135" s="430" t="s">
        <v>197</v>
      </c>
      <c r="CG135" s="430" t="s">
        <v>197</v>
      </c>
      <c r="CH135" s="430" t="s">
        <v>197</v>
      </c>
      <c r="CI135" s="430" t="s">
        <v>197</v>
      </c>
      <c r="CJ135" s="430" t="s">
        <v>197</v>
      </c>
      <c r="CK135" s="430" t="s">
        <v>197</v>
      </c>
      <c r="CL135" s="430" t="s">
        <v>197</v>
      </c>
      <c r="CM135" s="430" t="s">
        <v>197</v>
      </c>
    </row>
    <row r="136" spans="1:91" ht="10.5" hidden="1">
      <c r="A136" s="462" t="s">
        <v>751</v>
      </c>
      <c r="B136" s="462" t="s">
        <v>111</v>
      </c>
      <c r="C136" s="462" t="s">
        <v>112</v>
      </c>
      <c r="D136" s="462" t="s">
        <v>113</v>
      </c>
      <c r="E136" s="462" t="s">
        <v>64</v>
      </c>
      <c r="F136" s="462" t="s">
        <v>114</v>
      </c>
      <c r="G136" s="462" t="s">
        <v>402</v>
      </c>
      <c r="H136" s="462" t="s">
        <v>115</v>
      </c>
      <c r="I136" s="439" t="s">
        <v>68</v>
      </c>
      <c r="J136" s="430" t="s">
        <v>116</v>
      </c>
      <c r="K136" s="430" t="s">
        <v>266</v>
      </c>
      <c r="L136" s="430"/>
      <c r="M136" s="430" t="s">
        <v>68</v>
      </c>
      <c r="N136" s="432" t="s">
        <v>68</v>
      </c>
      <c r="O136" s="430" t="s">
        <v>70</v>
      </c>
      <c r="P136" s="430" t="s">
        <v>118</v>
      </c>
      <c r="Q136" s="430" t="s">
        <v>119</v>
      </c>
      <c r="R136" s="431" t="s">
        <v>73</v>
      </c>
      <c r="S136" s="442" t="s">
        <v>120</v>
      </c>
      <c r="T136" s="433">
        <v>640</v>
      </c>
      <c r="U136" s="1062">
        <v>1152</v>
      </c>
      <c r="V136" s="434">
        <v>0.73699999999999999</v>
      </c>
      <c r="W136" s="435">
        <v>32</v>
      </c>
      <c r="X136" s="1015">
        <v>2</v>
      </c>
      <c r="Y136" s="430" t="s">
        <v>75</v>
      </c>
      <c r="Z136" s="430" t="s">
        <v>75</v>
      </c>
      <c r="AA136" s="430"/>
      <c r="AB136" s="437">
        <v>46058</v>
      </c>
      <c r="AC136" s="438">
        <v>6</v>
      </c>
      <c r="AD136" s="439" t="s">
        <v>752</v>
      </c>
      <c r="AE136" s="430"/>
      <c r="AF136" s="430" t="s">
        <v>122</v>
      </c>
      <c r="AG136" s="430" t="s">
        <v>123</v>
      </c>
      <c r="AH136" s="430" t="s">
        <v>124</v>
      </c>
      <c r="AI136" s="437">
        <v>46063</v>
      </c>
      <c r="AJ136" s="437">
        <v>46065</v>
      </c>
      <c r="AK136" s="441">
        <v>46065</v>
      </c>
      <c r="AL136" s="437">
        <v>46114</v>
      </c>
      <c r="AM136" s="437">
        <v>46125</v>
      </c>
      <c r="AN136" s="437">
        <v>46126</v>
      </c>
      <c r="AO136" s="430" t="s">
        <v>402</v>
      </c>
      <c r="AP136" s="430" t="s">
        <v>739</v>
      </c>
      <c r="AQ136" s="430" t="s">
        <v>80</v>
      </c>
      <c r="AR136" s="430" t="s">
        <v>753</v>
      </c>
      <c r="AS136" s="430" t="s">
        <v>754</v>
      </c>
      <c r="AT136" s="482" t="s">
        <v>754</v>
      </c>
      <c r="AU13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61</v>
      </c>
      <c r="AW136" s="437">
        <v>46126</v>
      </c>
      <c r="AX136" s="433" t="s">
        <v>84</v>
      </c>
      <c r="AY136" s="437">
        <v>46135</v>
      </c>
      <c r="AZ136" s="442">
        <v>9</v>
      </c>
      <c r="BA136" s="437">
        <v>46135</v>
      </c>
      <c r="BB136" s="433">
        <v>2026</v>
      </c>
      <c r="BC136" s="430">
        <v>4</v>
      </c>
      <c r="BD136" s="430">
        <v>17</v>
      </c>
      <c r="BE136" s="431">
        <v>36</v>
      </c>
      <c r="BF136" s="431">
        <v>576</v>
      </c>
      <c r="BG136" s="431" t="s">
        <v>128</v>
      </c>
      <c r="BH136" s="431" t="s">
        <v>86</v>
      </c>
      <c r="BI136" s="430" t="s">
        <v>197</v>
      </c>
      <c r="BJ136" s="430" t="s">
        <v>197</v>
      </c>
      <c r="BK136" s="430" t="s">
        <v>197</v>
      </c>
      <c r="BL136" s="430" t="s">
        <v>197</v>
      </c>
      <c r="BM136" s="430" t="s">
        <v>197</v>
      </c>
      <c r="BN136" s="430" t="s">
        <v>197</v>
      </c>
      <c r="BO136" s="430" t="s">
        <v>197</v>
      </c>
      <c r="BP136" s="430" t="s">
        <v>197</v>
      </c>
      <c r="BQ136" s="430" t="s">
        <v>197</v>
      </c>
      <c r="BR136" s="430" t="s">
        <v>197</v>
      </c>
      <c r="BS136" s="430" t="s">
        <v>197</v>
      </c>
      <c r="BT136" s="430" t="s">
        <v>197</v>
      </c>
      <c r="BU136" s="430" t="s">
        <v>197</v>
      </c>
      <c r="BV136" s="430" t="s">
        <v>197</v>
      </c>
      <c r="BW136" s="430" t="s">
        <v>197</v>
      </c>
      <c r="BX136" s="430" t="s">
        <v>197</v>
      </c>
      <c r="BY136" s="430" t="s">
        <v>197</v>
      </c>
      <c r="BZ136" s="430" t="s">
        <v>197</v>
      </c>
      <c r="CA136" s="430" t="s">
        <v>197</v>
      </c>
      <c r="CB136" s="430" t="s">
        <v>197</v>
      </c>
      <c r="CC136" s="430" t="s">
        <v>197</v>
      </c>
      <c r="CD136" s="430" t="s">
        <v>197</v>
      </c>
      <c r="CE136" s="430" t="s">
        <v>197</v>
      </c>
      <c r="CF136" s="430" t="s">
        <v>197</v>
      </c>
      <c r="CG136" s="430" t="s">
        <v>197</v>
      </c>
      <c r="CH136" s="430" t="s">
        <v>197</v>
      </c>
      <c r="CI136" s="430" t="s">
        <v>197</v>
      </c>
      <c r="CJ136" s="430" t="s">
        <v>197</v>
      </c>
      <c r="CK136" s="430" t="s">
        <v>197</v>
      </c>
      <c r="CL136" s="430" t="s">
        <v>197</v>
      </c>
      <c r="CM136" s="430" t="s">
        <v>197</v>
      </c>
    </row>
    <row r="137" spans="1:91" ht="10.5" hidden="1">
      <c r="A137" s="462" t="s">
        <v>755</v>
      </c>
      <c r="B137" s="462" t="s">
        <v>111</v>
      </c>
      <c r="C137" s="462" t="s">
        <v>112</v>
      </c>
      <c r="D137" s="462" t="s">
        <v>113</v>
      </c>
      <c r="E137" s="462" t="s">
        <v>64</v>
      </c>
      <c r="F137" s="462" t="s">
        <v>114</v>
      </c>
      <c r="G137" s="462" t="s">
        <v>402</v>
      </c>
      <c r="H137" s="462" t="s">
        <v>115</v>
      </c>
      <c r="I137" s="439" t="s">
        <v>68</v>
      </c>
      <c r="J137" s="430" t="s">
        <v>116</v>
      </c>
      <c r="K137" s="430" t="s">
        <v>266</v>
      </c>
      <c r="L137" s="430"/>
      <c r="M137" s="430" t="s">
        <v>68</v>
      </c>
      <c r="N137" s="432" t="s">
        <v>68</v>
      </c>
      <c r="O137" s="430" t="s">
        <v>70</v>
      </c>
      <c r="P137" s="430" t="s">
        <v>118</v>
      </c>
      <c r="Q137" s="430" t="s">
        <v>119</v>
      </c>
      <c r="R137" s="431" t="s">
        <v>73</v>
      </c>
      <c r="S137" s="442" t="s">
        <v>120</v>
      </c>
      <c r="T137" s="433">
        <v>640</v>
      </c>
      <c r="U137" s="1062">
        <v>4032</v>
      </c>
      <c r="V137" s="434">
        <v>2.58</v>
      </c>
      <c r="W137" s="435">
        <v>112</v>
      </c>
      <c r="X137" s="1015">
        <v>7</v>
      </c>
      <c r="Y137" s="430" t="s">
        <v>75</v>
      </c>
      <c r="Z137" s="430" t="s">
        <v>75</v>
      </c>
      <c r="AA137" s="430"/>
      <c r="AB137" s="437">
        <v>46058</v>
      </c>
      <c r="AC137" s="438">
        <v>6</v>
      </c>
      <c r="AD137" s="439" t="s">
        <v>756</v>
      </c>
      <c r="AE137" s="430"/>
      <c r="AF137" s="430" t="s">
        <v>122</v>
      </c>
      <c r="AG137" s="430" t="s">
        <v>123</v>
      </c>
      <c r="AH137" s="430" t="s">
        <v>124</v>
      </c>
      <c r="AI137" s="437">
        <v>46063</v>
      </c>
      <c r="AJ137" s="437">
        <v>46065</v>
      </c>
      <c r="AK137" s="441">
        <v>46065</v>
      </c>
      <c r="AL137" s="437">
        <v>46114</v>
      </c>
      <c r="AM137" s="437">
        <v>46125</v>
      </c>
      <c r="AN137" s="437">
        <v>46126</v>
      </c>
      <c r="AO137" s="430" t="s">
        <v>402</v>
      </c>
      <c r="AP137" s="430" t="s">
        <v>739</v>
      </c>
      <c r="AQ137" s="430" t="s">
        <v>80</v>
      </c>
      <c r="AR137" s="430" t="s">
        <v>753</v>
      </c>
      <c r="AS137" s="430" t="s">
        <v>754</v>
      </c>
      <c r="AT137" s="482" t="s">
        <v>754</v>
      </c>
      <c r="AU13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61</v>
      </c>
      <c r="AW137" s="437">
        <v>46126</v>
      </c>
      <c r="AX137" s="433" t="s">
        <v>84</v>
      </c>
      <c r="AY137" s="437">
        <v>46135</v>
      </c>
      <c r="AZ137" s="442">
        <v>9</v>
      </c>
      <c r="BA137" s="437">
        <v>46135</v>
      </c>
      <c r="BB137" s="433">
        <v>2026</v>
      </c>
      <c r="BC137" s="430">
        <v>4</v>
      </c>
      <c r="BD137" s="430">
        <v>17</v>
      </c>
      <c r="BE137" s="431">
        <v>36</v>
      </c>
      <c r="BF137" s="431">
        <v>576</v>
      </c>
      <c r="BG137" s="431" t="s">
        <v>128</v>
      </c>
      <c r="BH137" s="431" t="s">
        <v>86</v>
      </c>
      <c r="BI137" s="430" t="s">
        <v>197</v>
      </c>
      <c r="BJ137" s="430" t="s">
        <v>197</v>
      </c>
      <c r="BK137" s="430" t="s">
        <v>197</v>
      </c>
      <c r="BL137" s="430" t="s">
        <v>197</v>
      </c>
      <c r="BM137" s="430" t="s">
        <v>197</v>
      </c>
      <c r="BN137" s="430" t="s">
        <v>197</v>
      </c>
      <c r="BO137" s="430" t="s">
        <v>197</v>
      </c>
      <c r="BP137" s="430" t="s">
        <v>197</v>
      </c>
      <c r="BQ137" s="430" t="s">
        <v>197</v>
      </c>
      <c r="BR137" s="430" t="s">
        <v>197</v>
      </c>
      <c r="BS137" s="430" t="s">
        <v>197</v>
      </c>
      <c r="BT137" s="430" t="s">
        <v>197</v>
      </c>
      <c r="BU137" s="430" t="s">
        <v>197</v>
      </c>
      <c r="BV137" s="430" t="s">
        <v>197</v>
      </c>
      <c r="BW137" s="430" t="s">
        <v>197</v>
      </c>
      <c r="BX137" s="430" t="s">
        <v>197</v>
      </c>
      <c r="BY137" s="430" t="s">
        <v>197</v>
      </c>
      <c r="BZ137" s="430" t="s">
        <v>197</v>
      </c>
      <c r="CA137" s="430" t="s">
        <v>197</v>
      </c>
      <c r="CB137" s="430" t="s">
        <v>197</v>
      </c>
      <c r="CC137" s="430" t="s">
        <v>197</v>
      </c>
      <c r="CD137" s="430" t="s">
        <v>197</v>
      </c>
      <c r="CE137" s="430" t="s">
        <v>197</v>
      </c>
      <c r="CF137" s="430" t="s">
        <v>197</v>
      </c>
      <c r="CG137" s="430" t="s">
        <v>197</v>
      </c>
      <c r="CH137" s="430" t="s">
        <v>197</v>
      </c>
      <c r="CI137" s="430" t="s">
        <v>197</v>
      </c>
      <c r="CJ137" s="430" t="s">
        <v>197</v>
      </c>
      <c r="CK137" s="430" t="s">
        <v>197</v>
      </c>
      <c r="CL137" s="430" t="s">
        <v>197</v>
      </c>
      <c r="CM137" s="430" t="s">
        <v>197</v>
      </c>
    </row>
    <row r="138" spans="1:91" ht="10.5" hidden="1">
      <c r="A138" s="462" t="s">
        <v>757</v>
      </c>
      <c r="B138" s="462" t="s">
        <v>111</v>
      </c>
      <c r="C138" s="462" t="s">
        <v>112</v>
      </c>
      <c r="D138" s="462" t="s">
        <v>113</v>
      </c>
      <c r="E138" s="462" t="s">
        <v>64</v>
      </c>
      <c r="F138" s="462" t="s">
        <v>114</v>
      </c>
      <c r="G138" s="462" t="s">
        <v>402</v>
      </c>
      <c r="H138" s="462" t="s">
        <v>115</v>
      </c>
      <c r="I138" s="439" t="s">
        <v>68</v>
      </c>
      <c r="J138" s="430" t="s">
        <v>116</v>
      </c>
      <c r="K138" s="430" t="s">
        <v>266</v>
      </c>
      <c r="L138" s="430"/>
      <c r="M138" s="430" t="s">
        <v>68</v>
      </c>
      <c r="N138" s="432" t="s">
        <v>68</v>
      </c>
      <c r="O138" s="430" t="s">
        <v>70</v>
      </c>
      <c r="P138" s="430" t="s">
        <v>118</v>
      </c>
      <c r="Q138" s="430" t="s">
        <v>119</v>
      </c>
      <c r="R138" s="431" t="s">
        <v>73</v>
      </c>
      <c r="S138" s="442" t="s">
        <v>120</v>
      </c>
      <c r="T138" s="433">
        <v>640</v>
      </c>
      <c r="U138" s="1062">
        <v>5760</v>
      </c>
      <c r="V138" s="434">
        <v>3.6859999999999999</v>
      </c>
      <c r="W138" s="435">
        <v>160</v>
      </c>
      <c r="X138" s="1015">
        <v>10</v>
      </c>
      <c r="Y138" s="430" t="s">
        <v>75</v>
      </c>
      <c r="Z138" s="430" t="s">
        <v>75</v>
      </c>
      <c r="AA138" s="430"/>
      <c r="AB138" s="437">
        <v>46059</v>
      </c>
      <c r="AC138" s="438">
        <v>6</v>
      </c>
      <c r="AD138" s="439" t="s">
        <v>758</v>
      </c>
      <c r="AE138" s="430"/>
      <c r="AF138" s="430" t="s">
        <v>122</v>
      </c>
      <c r="AG138" s="430" t="s">
        <v>123</v>
      </c>
      <c r="AH138" s="430" t="s">
        <v>124</v>
      </c>
      <c r="AI138" s="437">
        <v>46063</v>
      </c>
      <c r="AJ138" s="437">
        <v>46065</v>
      </c>
      <c r="AK138" s="441">
        <v>46065</v>
      </c>
      <c r="AL138" s="437">
        <v>46114</v>
      </c>
      <c r="AM138" s="437">
        <v>46125</v>
      </c>
      <c r="AN138" s="437">
        <v>46126</v>
      </c>
      <c r="AO138" s="430" t="s">
        <v>402</v>
      </c>
      <c r="AP138" s="430" t="s">
        <v>739</v>
      </c>
      <c r="AQ138" s="430" t="s">
        <v>80</v>
      </c>
      <c r="AR138" s="430" t="s">
        <v>759</v>
      </c>
      <c r="AS138" s="430" t="s">
        <v>760</v>
      </c>
      <c r="AT138" s="482" t="s">
        <v>760</v>
      </c>
      <c r="AU13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61</v>
      </c>
      <c r="AW138" s="437">
        <v>46126</v>
      </c>
      <c r="AX138" s="433" t="s">
        <v>84</v>
      </c>
      <c r="AY138" s="437">
        <v>46135</v>
      </c>
      <c r="AZ138" s="442">
        <v>9</v>
      </c>
      <c r="BA138" s="437">
        <v>46135</v>
      </c>
      <c r="BB138" s="433">
        <v>2026</v>
      </c>
      <c r="BC138" s="430">
        <v>4</v>
      </c>
      <c r="BD138" s="430">
        <v>17</v>
      </c>
      <c r="BE138" s="431">
        <v>36</v>
      </c>
      <c r="BF138" s="431">
        <v>576</v>
      </c>
      <c r="BG138" s="431" t="s">
        <v>128</v>
      </c>
      <c r="BH138" s="431" t="s">
        <v>86</v>
      </c>
      <c r="BI138" s="430" t="s">
        <v>197</v>
      </c>
      <c r="BJ138" s="430" t="s">
        <v>197</v>
      </c>
      <c r="BK138" s="430" t="s">
        <v>197</v>
      </c>
      <c r="BL138" s="430" t="s">
        <v>197</v>
      </c>
      <c r="BM138" s="430" t="s">
        <v>197</v>
      </c>
      <c r="BN138" s="430" t="s">
        <v>197</v>
      </c>
      <c r="BO138" s="430" t="s">
        <v>197</v>
      </c>
      <c r="BP138" s="430" t="s">
        <v>197</v>
      </c>
      <c r="BQ138" s="430" t="s">
        <v>197</v>
      </c>
      <c r="BR138" s="430" t="s">
        <v>197</v>
      </c>
      <c r="BS138" s="430" t="s">
        <v>197</v>
      </c>
      <c r="BT138" s="430" t="s">
        <v>197</v>
      </c>
      <c r="BU138" s="430" t="s">
        <v>197</v>
      </c>
      <c r="BV138" s="430" t="s">
        <v>197</v>
      </c>
      <c r="BW138" s="430" t="s">
        <v>197</v>
      </c>
      <c r="BX138" s="430" t="s">
        <v>197</v>
      </c>
      <c r="BY138" s="430" t="s">
        <v>197</v>
      </c>
      <c r="BZ138" s="430" t="s">
        <v>197</v>
      </c>
      <c r="CA138" s="430" t="s">
        <v>197</v>
      </c>
      <c r="CB138" s="430" t="s">
        <v>197</v>
      </c>
      <c r="CC138" s="430" t="s">
        <v>197</v>
      </c>
      <c r="CD138" s="430" t="s">
        <v>197</v>
      </c>
      <c r="CE138" s="430" t="s">
        <v>197</v>
      </c>
      <c r="CF138" s="430" t="s">
        <v>197</v>
      </c>
      <c r="CG138" s="430" t="s">
        <v>197</v>
      </c>
      <c r="CH138" s="430" t="s">
        <v>197</v>
      </c>
      <c r="CI138" s="430" t="s">
        <v>197</v>
      </c>
      <c r="CJ138" s="430" t="s">
        <v>197</v>
      </c>
      <c r="CK138" s="430" t="s">
        <v>197</v>
      </c>
      <c r="CL138" s="430" t="s">
        <v>197</v>
      </c>
      <c r="CM138" s="430" t="s">
        <v>197</v>
      </c>
    </row>
    <row r="139" spans="1:91" ht="10.5" hidden="1">
      <c r="A139" s="462" t="s">
        <v>112</v>
      </c>
      <c r="B139" s="462" t="s">
        <v>111</v>
      </c>
      <c r="C139" s="462" t="s">
        <v>203</v>
      </c>
      <c r="D139" s="462" t="s">
        <v>113</v>
      </c>
      <c r="E139" s="462" t="s">
        <v>64</v>
      </c>
      <c r="F139" s="462" t="s">
        <v>114</v>
      </c>
      <c r="G139" s="462" t="s">
        <v>402</v>
      </c>
      <c r="H139" s="462" t="s">
        <v>115</v>
      </c>
      <c r="I139" s="439" t="s">
        <v>68</v>
      </c>
      <c r="J139" s="430" t="s">
        <v>116</v>
      </c>
      <c r="K139" s="430" t="s">
        <v>266</v>
      </c>
      <c r="L139" s="430"/>
      <c r="M139" s="430" t="s">
        <v>68</v>
      </c>
      <c r="N139" s="432" t="s">
        <v>68</v>
      </c>
      <c r="O139" s="430" t="s">
        <v>70</v>
      </c>
      <c r="P139" s="430" t="s">
        <v>118</v>
      </c>
      <c r="Q139" s="430" t="s">
        <v>119</v>
      </c>
      <c r="R139" s="431" t="s">
        <v>73</v>
      </c>
      <c r="S139" s="442" t="s">
        <v>120</v>
      </c>
      <c r="T139" s="433">
        <v>640</v>
      </c>
      <c r="U139" s="1062">
        <v>2787</v>
      </c>
      <c r="V139" s="434">
        <v>1.784</v>
      </c>
      <c r="W139" s="435">
        <v>77.400000000000006</v>
      </c>
      <c r="X139" s="1015">
        <v>4.8</v>
      </c>
      <c r="Y139" s="430" t="s">
        <v>75</v>
      </c>
      <c r="Z139" s="430" t="s">
        <v>75</v>
      </c>
      <c r="AA139" s="430"/>
      <c r="AB139" s="437">
        <v>46059</v>
      </c>
      <c r="AC139" s="438">
        <v>6</v>
      </c>
      <c r="AD139" s="439" t="s">
        <v>761</v>
      </c>
      <c r="AE139" s="430"/>
      <c r="AF139" s="430" t="s">
        <v>122</v>
      </c>
      <c r="AG139" s="430" t="s">
        <v>123</v>
      </c>
      <c r="AH139" s="430" t="s">
        <v>124</v>
      </c>
      <c r="AI139" s="437">
        <v>46063</v>
      </c>
      <c r="AJ139" s="437">
        <v>46065</v>
      </c>
      <c r="AK139" s="441">
        <v>46065</v>
      </c>
      <c r="AL139" s="437">
        <v>46114</v>
      </c>
      <c r="AM139" s="437">
        <v>46125</v>
      </c>
      <c r="AN139" s="437">
        <v>46126</v>
      </c>
      <c r="AO139" s="430" t="s">
        <v>402</v>
      </c>
      <c r="AP139" s="430" t="s">
        <v>739</v>
      </c>
      <c r="AQ139" s="430" t="s">
        <v>80</v>
      </c>
      <c r="AR139" s="430" t="s">
        <v>759</v>
      </c>
      <c r="AS139" s="430" t="s">
        <v>760</v>
      </c>
      <c r="AT139" s="482" t="s">
        <v>760</v>
      </c>
      <c r="AU13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61</v>
      </c>
      <c r="AW139" s="437">
        <v>46126</v>
      </c>
      <c r="AX139" s="433" t="s">
        <v>84</v>
      </c>
      <c r="AY139" s="437">
        <v>46135</v>
      </c>
      <c r="AZ139" s="442">
        <v>9</v>
      </c>
      <c r="BA139" s="437">
        <v>46135</v>
      </c>
      <c r="BB139" s="433">
        <v>2026</v>
      </c>
      <c r="BC139" s="430">
        <v>4</v>
      </c>
      <c r="BD139" s="430">
        <v>17</v>
      </c>
      <c r="BE139" s="431">
        <v>36</v>
      </c>
      <c r="BF139" s="431">
        <v>576</v>
      </c>
      <c r="BG139" s="431" t="s">
        <v>128</v>
      </c>
      <c r="BH139" s="431" t="s">
        <v>86</v>
      </c>
      <c r="BI139" s="430" t="s">
        <v>197</v>
      </c>
      <c r="BJ139" s="430" t="s">
        <v>197</v>
      </c>
      <c r="BK139" s="430" t="s">
        <v>197</v>
      </c>
      <c r="BL139" s="430" t="s">
        <v>197</v>
      </c>
      <c r="BM139" s="430" t="s">
        <v>197</v>
      </c>
      <c r="BN139" s="430" t="s">
        <v>197</v>
      </c>
      <c r="BO139" s="430" t="s">
        <v>197</v>
      </c>
      <c r="BP139" s="430" t="s">
        <v>197</v>
      </c>
      <c r="BQ139" s="430" t="s">
        <v>197</v>
      </c>
      <c r="BR139" s="430" t="s">
        <v>197</v>
      </c>
      <c r="BS139" s="430" t="s">
        <v>197</v>
      </c>
      <c r="BT139" s="430" t="s">
        <v>197</v>
      </c>
      <c r="BU139" s="430" t="s">
        <v>197</v>
      </c>
      <c r="BV139" s="430" t="s">
        <v>197</v>
      </c>
      <c r="BW139" s="430" t="s">
        <v>197</v>
      </c>
      <c r="BX139" s="430" t="s">
        <v>197</v>
      </c>
      <c r="BY139" s="430" t="s">
        <v>197</v>
      </c>
      <c r="BZ139" s="430" t="s">
        <v>197</v>
      </c>
      <c r="CA139" s="430" t="s">
        <v>197</v>
      </c>
      <c r="CB139" s="430" t="s">
        <v>197</v>
      </c>
      <c r="CC139" s="430" t="s">
        <v>197</v>
      </c>
      <c r="CD139" s="430" t="s">
        <v>197</v>
      </c>
      <c r="CE139" s="430" t="s">
        <v>197</v>
      </c>
      <c r="CF139" s="430" t="s">
        <v>197</v>
      </c>
      <c r="CG139" s="430" t="s">
        <v>197</v>
      </c>
      <c r="CH139" s="430" t="s">
        <v>197</v>
      </c>
      <c r="CI139" s="430" t="s">
        <v>197</v>
      </c>
      <c r="CJ139" s="430" t="s">
        <v>197</v>
      </c>
      <c r="CK139" s="430" t="s">
        <v>197</v>
      </c>
      <c r="CL139" s="430" t="s">
        <v>197</v>
      </c>
      <c r="CM139" s="430" t="s">
        <v>197</v>
      </c>
    </row>
    <row r="140" spans="1:91" ht="10.5" hidden="1">
      <c r="A140" s="462" t="s">
        <v>762</v>
      </c>
      <c r="B140" s="462" t="s">
        <v>111</v>
      </c>
      <c r="C140" s="462" t="s">
        <v>203</v>
      </c>
      <c r="D140" s="462" t="s">
        <v>63</v>
      </c>
      <c r="E140" s="462" t="s">
        <v>64</v>
      </c>
      <c r="F140" s="462" t="s">
        <v>65</v>
      </c>
      <c r="G140" s="462" t="s">
        <v>402</v>
      </c>
      <c r="H140" s="462" t="s">
        <v>67</v>
      </c>
      <c r="I140" s="439" t="s">
        <v>68</v>
      </c>
      <c r="J140" s="430" t="s">
        <v>232</v>
      </c>
      <c r="K140" s="430"/>
      <c r="L140" s="430"/>
      <c r="M140" s="430" t="s">
        <v>68</v>
      </c>
      <c r="N140" s="432" t="s">
        <v>68</v>
      </c>
      <c r="O140" s="430" t="s">
        <v>473</v>
      </c>
      <c r="P140" s="430" t="s">
        <v>763</v>
      </c>
      <c r="Q140" s="430" t="s">
        <v>764</v>
      </c>
      <c r="R140" s="431" t="s">
        <v>73</v>
      </c>
      <c r="S140" s="442" t="s">
        <v>74</v>
      </c>
      <c r="T140" s="433">
        <v>450</v>
      </c>
      <c r="U140" s="1062">
        <v>864</v>
      </c>
      <c r="V140" s="434">
        <v>0.38900000000000001</v>
      </c>
      <c r="W140" s="435">
        <v>24</v>
      </c>
      <c r="X140" s="1015">
        <v>1</v>
      </c>
      <c r="Y140" s="430" t="s">
        <v>75</v>
      </c>
      <c r="Z140" s="430" t="s">
        <v>75</v>
      </c>
      <c r="AA140" s="430"/>
      <c r="AB140" s="437">
        <v>46058</v>
      </c>
      <c r="AC140" s="438">
        <v>6</v>
      </c>
      <c r="AD140" s="439" t="s">
        <v>765</v>
      </c>
      <c r="AE140" s="430"/>
      <c r="AF140" s="430" t="s">
        <v>122</v>
      </c>
      <c r="AG140" s="430" t="s">
        <v>123</v>
      </c>
      <c r="AH140" s="430" t="s">
        <v>78</v>
      </c>
      <c r="AI140" s="437">
        <v>46063</v>
      </c>
      <c r="AJ140" s="437">
        <v>46067</v>
      </c>
      <c r="AK140" s="441">
        <v>46067</v>
      </c>
      <c r="AL140" s="437">
        <v>46092</v>
      </c>
      <c r="AM140" s="437">
        <v>46115</v>
      </c>
      <c r="AN140" s="437">
        <v>46119</v>
      </c>
      <c r="AO140" s="430" t="s">
        <v>402</v>
      </c>
      <c r="AP140" s="430" t="s">
        <v>748</v>
      </c>
      <c r="AQ140" s="430" t="s">
        <v>80</v>
      </c>
      <c r="AR140" s="430" t="s">
        <v>766</v>
      </c>
      <c r="AS140" s="430" t="s">
        <v>767</v>
      </c>
      <c r="AT140" s="482" t="s">
        <v>767</v>
      </c>
      <c r="AU14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</v>
      </c>
      <c r="AW140" s="437">
        <v>46119</v>
      </c>
      <c r="AX140" s="433" t="s">
        <v>84</v>
      </c>
      <c r="AY140" s="437">
        <v>46129</v>
      </c>
      <c r="AZ140" s="442">
        <v>8</v>
      </c>
      <c r="BA140" s="437">
        <v>46127</v>
      </c>
      <c r="BB140" s="433">
        <v>2026</v>
      </c>
      <c r="BC140" s="430">
        <v>4</v>
      </c>
      <c r="BD140" s="430">
        <v>16</v>
      </c>
      <c r="BE140" s="431">
        <v>36</v>
      </c>
      <c r="BF140" s="431">
        <v>864</v>
      </c>
      <c r="BG140" s="431" t="s">
        <v>85</v>
      </c>
      <c r="BH140" s="431" t="s">
        <v>86</v>
      </c>
      <c r="BI140" s="430" t="s">
        <v>197</v>
      </c>
      <c r="BJ140" s="430" t="s">
        <v>197</v>
      </c>
      <c r="BK140" s="430" t="s">
        <v>197</v>
      </c>
      <c r="BL140" s="430" t="s">
        <v>197</v>
      </c>
      <c r="BM140" s="430" t="s">
        <v>197</v>
      </c>
      <c r="BN140" s="430" t="s">
        <v>197</v>
      </c>
      <c r="BO140" s="430" t="s">
        <v>197</v>
      </c>
      <c r="BP140" s="430" t="s">
        <v>197</v>
      </c>
      <c r="BQ140" s="430" t="s">
        <v>197</v>
      </c>
      <c r="BR140" s="430" t="s">
        <v>197</v>
      </c>
      <c r="BS140" s="430" t="s">
        <v>197</v>
      </c>
      <c r="BT140" s="430" t="s">
        <v>197</v>
      </c>
      <c r="BU140" s="430" t="s">
        <v>197</v>
      </c>
      <c r="BV140" s="430" t="s">
        <v>197</v>
      </c>
      <c r="BW140" s="430" t="s">
        <v>197</v>
      </c>
      <c r="BX140" s="430" t="s">
        <v>197</v>
      </c>
      <c r="BY140" s="430" t="s">
        <v>197</v>
      </c>
      <c r="BZ140" s="430" t="s">
        <v>197</v>
      </c>
      <c r="CA140" s="430" t="s">
        <v>197</v>
      </c>
      <c r="CB140" s="430" t="s">
        <v>197</v>
      </c>
      <c r="CC140" s="430" t="s">
        <v>197</v>
      </c>
      <c r="CD140" s="430" t="s">
        <v>197</v>
      </c>
      <c r="CE140" s="430" t="s">
        <v>197</v>
      </c>
      <c r="CF140" s="430" t="s">
        <v>197</v>
      </c>
      <c r="CG140" s="430" t="s">
        <v>197</v>
      </c>
      <c r="CH140" s="430" t="s">
        <v>197</v>
      </c>
      <c r="CI140" s="430" t="s">
        <v>197</v>
      </c>
      <c r="CJ140" s="430" t="s">
        <v>197</v>
      </c>
      <c r="CK140" s="430" t="s">
        <v>197</v>
      </c>
      <c r="CL140" s="430" t="s">
        <v>197</v>
      </c>
      <c r="CM140" s="430" t="s">
        <v>197</v>
      </c>
    </row>
    <row r="141" spans="1:91" ht="10.5" hidden="1">
      <c r="A141" s="462" t="s">
        <v>768</v>
      </c>
      <c r="B141" s="462" t="s">
        <v>61</v>
      </c>
      <c r="C141" s="462" t="s">
        <v>769</v>
      </c>
      <c r="D141" s="462" t="s">
        <v>63</v>
      </c>
      <c r="E141" s="462" t="s">
        <v>64</v>
      </c>
      <c r="F141" s="462" t="s">
        <v>100</v>
      </c>
      <c r="G141" s="462" t="s">
        <v>402</v>
      </c>
      <c r="H141" s="462" t="s">
        <v>67</v>
      </c>
      <c r="I141" s="439" t="s">
        <v>68</v>
      </c>
      <c r="J141" s="430" t="s">
        <v>293</v>
      </c>
      <c r="K141" s="430"/>
      <c r="L141" s="430"/>
      <c r="M141" s="430" t="s">
        <v>68</v>
      </c>
      <c r="N141" s="432" t="s">
        <v>68</v>
      </c>
      <c r="O141" s="430" t="s">
        <v>70</v>
      </c>
      <c r="P141" s="430" t="s">
        <v>560</v>
      </c>
      <c r="Q141" s="430" t="s">
        <v>196</v>
      </c>
      <c r="R141" s="431" t="s">
        <v>73</v>
      </c>
      <c r="S141" s="442" t="s">
        <v>120</v>
      </c>
      <c r="T141" s="433">
        <v>450</v>
      </c>
      <c r="U141" s="1062">
        <v>2736</v>
      </c>
      <c r="V141" s="434">
        <v>1.2310000000000001</v>
      </c>
      <c r="W141" s="435">
        <v>76</v>
      </c>
      <c r="X141" s="1015">
        <v>2.9</v>
      </c>
      <c r="Y141" s="430" t="s">
        <v>75</v>
      </c>
      <c r="Z141" s="430" t="s">
        <v>75</v>
      </c>
      <c r="AA141" s="430"/>
      <c r="AB141" s="437">
        <v>46055</v>
      </c>
      <c r="AC141" s="438">
        <v>6</v>
      </c>
      <c r="AD141" s="439" t="s">
        <v>770</v>
      </c>
      <c r="AE141" s="430"/>
      <c r="AF141" s="430" t="s">
        <v>77</v>
      </c>
      <c r="AG141" s="430" t="s">
        <v>61</v>
      </c>
      <c r="AH141" s="430" t="s">
        <v>105</v>
      </c>
      <c r="AI141" s="437">
        <v>46066</v>
      </c>
      <c r="AJ141" s="437">
        <v>46065</v>
      </c>
      <c r="AK141" s="441">
        <v>46065</v>
      </c>
      <c r="AL141" s="437">
        <v>46119</v>
      </c>
      <c r="AM141" s="437">
        <v>46141</v>
      </c>
      <c r="AN141" s="437">
        <v>46137</v>
      </c>
      <c r="AO141" s="430" t="s">
        <v>402</v>
      </c>
      <c r="AP141" s="430" t="s">
        <v>771</v>
      </c>
      <c r="AQ141" s="430" t="s">
        <v>80</v>
      </c>
      <c r="AR141" s="430" t="s">
        <v>772</v>
      </c>
      <c r="AS141" s="430" t="s">
        <v>773</v>
      </c>
      <c r="AT141" s="482" t="s">
        <v>773</v>
      </c>
      <c r="AU14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W141" s="437">
        <v>46137</v>
      </c>
      <c r="AX141" s="433" t="s">
        <v>84</v>
      </c>
      <c r="AY141" s="437">
        <v>46150</v>
      </c>
      <c r="AZ141" s="442">
        <v>7</v>
      </c>
      <c r="BA141" s="437">
        <v>46144</v>
      </c>
      <c r="BB141" s="433">
        <v>2026</v>
      </c>
      <c r="BC141" s="430">
        <v>5</v>
      </c>
      <c r="BD141" s="430">
        <v>18</v>
      </c>
      <c r="BE141" s="431">
        <v>36</v>
      </c>
      <c r="BF141" s="431">
        <v>936</v>
      </c>
      <c r="BG141" s="431" t="s">
        <v>94</v>
      </c>
      <c r="BH141" s="431" t="s">
        <v>109</v>
      </c>
      <c r="BI141" s="430" t="s">
        <v>197</v>
      </c>
      <c r="BJ141" s="430" t="s">
        <v>197</v>
      </c>
      <c r="BK141" s="430" t="s">
        <v>197</v>
      </c>
      <c r="BL141" s="430" t="s">
        <v>197</v>
      </c>
      <c r="BM141" s="430" t="s">
        <v>197</v>
      </c>
      <c r="BN141" s="430" t="s">
        <v>197</v>
      </c>
      <c r="BO141" s="430" t="s">
        <v>197</v>
      </c>
      <c r="BP141" s="430" t="s">
        <v>197</v>
      </c>
      <c r="BQ141" s="430" t="s">
        <v>197</v>
      </c>
      <c r="BR141" s="430" t="s">
        <v>197</v>
      </c>
      <c r="BS141" s="430" t="s">
        <v>197</v>
      </c>
      <c r="BT141" s="430" t="s">
        <v>197</v>
      </c>
      <c r="BU141" s="430" t="s">
        <v>197</v>
      </c>
      <c r="BV141" s="430" t="s">
        <v>197</v>
      </c>
      <c r="BW141" s="430" t="s">
        <v>197</v>
      </c>
      <c r="BX141" s="430" t="s">
        <v>197</v>
      </c>
      <c r="BY141" s="430" t="s">
        <v>197</v>
      </c>
      <c r="BZ141" s="430" t="s">
        <v>197</v>
      </c>
      <c r="CA141" s="430" t="s">
        <v>197</v>
      </c>
      <c r="CB141" s="430" t="s">
        <v>197</v>
      </c>
      <c r="CC141" s="430" t="s">
        <v>197</v>
      </c>
      <c r="CD141" s="430" t="s">
        <v>197</v>
      </c>
      <c r="CE141" s="430" t="s">
        <v>197</v>
      </c>
      <c r="CF141" s="430" t="s">
        <v>197</v>
      </c>
      <c r="CG141" s="430" t="s">
        <v>197</v>
      </c>
      <c r="CH141" s="430" t="s">
        <v>197</v>
      </c>
      <c r="CI141" s="430" t="s">
        <v>197</v>
      </c>
      <c r="CJ141" s="430" t="s">
        <v>197</v>
      </c>
      <c r="CK141" s="430" t="s">
        <v>197</v>
      </c>
      <c r="CL141" s="430" t="s">
        <v>197</v>
      </c>
      <c r="CM141" s="430" t="s">
        <v>197</v>
      </c>
    </row>
    <row r="142" spans="1:91" ht="10.5" hidden="1">
      <c r="A142" s="462" t="s">
        <v>774</v>
      </c>
      <c r="B142" s="462" t="s">
        <v>61</v>
      </c>
      <c r="C142" s="462" t="s">
        <v>775</v>
      </c>
      <c r="D142" s="462" t="s">
        <v>63</v>
      </c>
      <c r="E142" s="462" t="s">
        <v>64</v>
      </c>
      <c r="F142" s="462" t="s">
        <v>65</v>
      </c>
      <c r="G142" s="462" t="s">
        <v>402</v>
      </c>
      <c r="H142" s="462" t="s">
        <v>67</v>
      </c>
      <c r="I142" s="439" t="s">
        <v>68</v>
      </c>
      <c r="J142" s="430" t="s">
        <v>690</v>
      </c>
      <c r="K142" s="430"/>
      <c r="L142" s="430" t="s">
        <v>197</v>
      </c>
      <c r="M142" s="430" t="s">
        <v>68</v>
      </c>
      <c r="N142" s="432" t="s">
        <v>68</v>
      </c>
      <c r="O142" s="430" t="s">
        <v>70</v>
      </c>
      <c r="P142" s="430" t="s">
        <v>91</v>
      </c>
      <c r="Q142" s="430" t="s">
        <v>92</v>
      </c>
      <c r="R142" s="431" t="s">
        <v>73</v>
      </c>
      <c r="S142" s="442" t="s">
        <v>74</v>
      </c>
      <c r="T142" s="433">
        <v>450</v>
      </c>
      <c r="U142" s="1062">
        <v>1872</v>
      </c>
      <c r="V142" s="434">
        <v>0.84199999999999997</v>
      </c>
      <c r="W142" s="435">
        <v>52</v>
      </c>
      <c r="X142" s="1015">
        <v>2</v>
      </c>
      <c r="Y142" s="430" t="s">
        <v>75</v>
      </c>
      <c r="Z142" s="430" t="s">
        <v>75</v>
      </c>
      <c r="AA142" s="430" t="s">
        <v>197</v>
      </c>
      <c r="AB142" s="437">
        <v>46056</v>
      </c>
      <c r="AC142" s="438">
        <v>6</v>
      </c>
      <c r="AD142" s="439" t="s">
        <v>776</v>
      </c>
      <c r="AE142" s="430" t="s">
        <v>197</v>
      </c>
      <c r="AF142" s="430" t="s">
        <v>77</v>
      </c>
      <c r="AG142" s="430" t="s">
        <v>61</v>
      </c>
      <c r="AH142" s="430" t="s">
        <v>78</v>
      </c>
      <c r="AI142" s="437">
        <v>46066</v>
      </c>
      <c r="AJ142" s="437">
        <v>46065</v>
      </c>
      <c r="AK142" s="441">
        <v>46065</v>
      </c>
      <c r="AL142" s="437">
        <v>46139</v>
      </c>
      <c r="AM142" s="437">
        <v>46146</v>
      </c>
      <c r="AN142" s="437">
        <v>46144</v>
      </c>
      <c r="AO142" s="430" t="s">
        <v>402</v>
      </c>
      <c r="AP142" s="430" t="s">
        <v>771</v>
      </c>
      <c r="AQ142" s="430" t="s">
        <v>80</v>
      </c>
      <c r="AR142" s="430" t="s">
        <v>777</v>
      </c>
      <c r="AS142" s="430" t="s">
        <v>778</v>
      </c>
      <c r="AT142" s="482" t="s">
        <v>778</v>
      </c>
      <c r="AU14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79</v>
      </c>
      <c r="AV142" s="430" t="s">
        <v>197</v>
      </c>
      <c r="AW142" s="437">
        <v>46144</v>
      </c>
      <c r="AX142" s="433" t="s">
        <v>84</v>
      </c>
      <c r="AY142" s="437">
        <v>46160</v>
      </c>
      <c r="AZ142" s="442">
        <v>8</v>
      </c>
      <c r="BA142" s="437">
        <v>46152</v>
      </c>
      <c r="BB142" s="433">
        <v>2026</v>
      </c>
      <c r="BC142" s="430">
        <v>5</v>
      </c>
      <c r="BD142" s="430">
        <v>19</v>
      </c>
      <c r="BE142" s="431">
        <v>36</v>
      </c>
      <c r="BF142" s="431">
        <v>936</v>
      </c>
      <c r="BG142" s="431" t="s">
        <v>94</v>
      </c>
      <c r="BH142" s="431" t="s">
        <v>86</v>
      </c>
      <c r="BI142" s="430" t="s">
        <v>197</v>
      </c>
      <c r="BJ142" s="430" t="s">
        <v>197</v>
      </c>
      <c r="BK142" s="430" t="s">
        <v>197</v>
      </c>
      <c r="BL142" s="430" t="s">
        <v>197</v>
      </c>
      <c r="BM142" s="430" t="s">
        <v>197</v>
      </c>
      <c r="BN142" s="430" t="s">
        <v>197</v>
      </c>
      <c r="BO142" s="430" t="s">
        <v>197</v>
      </c>
      <c r="BP142" s="430" t="s">
        <v>197</v>
      </c>
      <c r="BQ142" s="430" t="s">
        <v>197</v>
      </c>
      <c r="BR142" s="430" t="s">
        <v>197</v>
      </c>
      <c r="BS142" s="430" t="s">
        <v>197</v>
      </c>
      <c r="BT142" s="430" t="s">
        <v>197</v>
      </c>
      <c r="BU142" s="430" t="s">
        <v>197</v>
      </c>
      <c r="BV142" s="430" t="s">
        <v>197</v>
      </c>
      <c r="BW142" s="430" t="s">
        <v>197</v>
      </c>
      <c r="BX142" s="430" t="s">
        <v>197</v>
      </c>
      <c r="BY142" s="430" t="s">
        <v>197</v>
      </c>
      <c r="BZ142" s="430" t="s">
        <v>197</v>
      </c>
      <c r="CA142" s="430" t="s">
        <v>197</v>
      </c>
      <c r="CB142" s="430" t="s">
        <v>197</v>
      </c>
      <c r="CC142" s="430" t="s">
        <v>197</v>
      </c>
      <c r="CD142" s="430" t="s">
        <v>197</v>
      </c>
      <c r="CE142" s="430" t="s">
        <v>197</v>
      </c>
      <c r="CF142" s="430" t="s">
        <v>197</v>
      </c>
      <c r="CG142" s="430" t="s">
        <v>197</v>
      </c>
      <c r="CH142" s="430" t="s">
        <v>197</v>
      </c>
      <c r="CI142" s="430" t="s">
        <v>197</v>
      </c>
      <c r="CJ142" s="430" t="s">
        <v>197</v>
      </c>
      <c r="CK142" s="430" t="s">
        <v>197</v>
      </c>
      <c r="CL142" s="430" t="s">
        <v>197</v>
      </c>
      <c r="CM142" s="430" t="s">
        <v>197</v>
      </c>
    </row>
    <row r="143" spans="1:91" ht="10.5" hidden="1">
      <c r="A143" s="462" t="s">
        <v>775</v>
      </c>
      <c r="B143" s="462" t="s">
        <v>61</v>
      </c>
      <c r="C143" s="462" t="s">
        <v>203</v>
      </c>
      <c r="D143" s="462" t="s">
        <v>63</v>
      </c>
      <c r="E143" s="462" t="s">
        <v>64</v>
      </c>
      <c r="F143" s="462" t="s">
        <v>65</v>
      </c>
      <c r="G143" s="462" t="s">
        <v>402</v>
      </c>
      <c r="H143" s="462" t="s">
        <v>67</v>
      </c>
      <c r="I143" s="439" t="s">
        <v>68</v>
      </c>
      <c r="J143" s="430" t="s">
        <v>690</v>
      </c>
      <c r="K143" s="430"/>
      <c r="L143" s="430" t="s">
        <v>197</v>
      </c>
      <c r="M143" s="430" t="s">
        <v>68</v>
      </c>
      <c r="N143" s="432" t="s">
        <v>68</v>
      </c>
      <c r="O143" s="430" t="s">
        <v>70</v>
      </c>
      <c r="P143" s="430" t="s">
        <v>91</v>
      </c>
      <c r="Q143" s="430" t="s">
        <v>92</v>
      </c>
      <c r="R143" s="431" t="s">
        <v>73</v>
      </c>
      <c r="S143" s="442" t="s">
        <v>74</v>
      </c>
      <c r="T143" s="433">
        <v>450</v>
      </c>
      <c r="U143" s="1062">
        <v>4428</v>
      </c>
      <c r="V143" s="434">
        <v>1.9930000000000001</v>
      </c>
      <c r="W143" s="435">
        <v>123</v>
      </c>
      <c r="X143" s="1015">
        <v>4.7</v>
      </c>
      <c r="Y143" s="430" t="s">
        <v>75</v>
      </c>
      <c r="Z143" s="430" t="s">
        <v>75</v>
      </c>
      <c r="AA143" s="430" t="s">
        <v>197</v>
      </c>
      <c r="AB143" s="437">
        <v>46056</v>
      </c>
      <c r="AC143" s="438">
        <v>6</v>
      </c>
      <c r="AD143" s="439" t="s">
        <v>776</v>
      </c>
      <c r="AE143" s="430" t="s">
        <v>197</v>
      </c>
      <c r="AF143" s="430" t="s">
        <v>77</v>
      </c>
      <c r="AG143" s="430" t="s">
        <v>61</v>
      </c>
      <c r="AH143" s="430" t="s">
        <v>78</v>
      </c>
      <c r="AI143" s="437">
        <v>46066</v>
      </c>
      <c r="AJ143" s="437">
        <v>46065</v>
      </c>
      <c r="AK143" s="441">
        <v>46065</v>
      </c>
      <c r="AL143" s="437">
        <v>46139</v>
      </c>
      <c r="AM143" s="437">
        <v>46146</v>
      </c>
      <c r="AN143" s="437">
        <v>46144</v>
      </c>
      <c r="AO143" s="430" t="s">
        <v>402</v>
      </c>
      <c r="AP143" s="430" t="s">
        <v>771</v>
      </c>
      <c r="AQ143" s="430" t="s">
        <v>80</v>
      </c>
      <c r="AR143" s="430" t="s">
        <v>777</v>
      </c>
      <c r="AS143" s="430" t="s">
        <v>778</v>
      </c>
      <c r="AT143" s="482" t="s">
        <v>778</v>
      </c>
      <c r="AU14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79</v>
      </c>
      <c r="AV143" s="430" t="s">
        <v>197</v>
      </c>
      <c r="AW143" s="437">
        <v>46144</v>
      </c>
      <c r="AX143" s="433" t="s">
        <v>84</v>
      </c>
      <c r="AY143" s="437">
        <v>46160</v>
      </c>
      <c r="AZ143" s="442">
        <v>8</v>
      </c>
      <c r="BA143" s="437">
        <v>46152</v>
      </c>
      <c r="BB143" s="433">
        <v>2026</v>
      </c>
      <c r="BC143" s="430">
        <v>5</v>
      </c>
      <c r="BD143" s="430">
        <v>19</v>
      </c>
      <c r="BE143" s="431">
        <v>36</v>
      </c>
      <c r="BF143" s="431">
        <v>936</v>
      </c>
      <c r="BG143" s="431" t="s">
        <v>94</v>
      </c>
      <c r="BH143" s="431" t="s">
        <v>86</v>
      </c>
      <c r="BI143" s="430" t="s">
        <v>197</v>
      </c>
      <c r="BJ143" s="430" t="s">
        <v>197</v>
      </c>
      <c r="BK143" s="430" t="s">
        <v>197</v>
      </c>
      <c r="BL143" s="430" t="s">
        <v>197</v>
      </c>
      <c r="BM143" s="430" t="s">
        <v>197</v>
      </c>
      <c r="BN143" s="430" t="s">
        <v>197</v>
      </c>
      <c r="BO143" s="430" t="s">
        <v>197</v>
      </c>
      <c r="BP143" s="430" t="s">
        <v>197</v>
      </c>
      <c r="BQ143" s="430" t="s">
        <v>197</v>
      </c>
      <c r="BR143" s="430" t="s">
        <v>197</v>
      </c>
      <c r="BS143" s="430" t="s">
        <v>197</v>
      </c>
      <c r="BT143" s="430" t="s">
        <v>197</v>
      </c>
      <c r="BU143" s="430" t="s">
        <v>197</v>
      </c>
      <c r="BV143" s="430" t="s">
        <v>197</v>
      </c>
      <c r="BW143" s="430" t="s">
        <v>197</v>
      </c>
      <c r="BX143" s="430" t="s">
        <v>197</v>
      </c>
      <c r="BY143" s="430" t="s">
        <v>197</v>
      </c>
      <c r="BZ143" s="430" t="s">
        <v>197</v>
      </c>
      <c r="CA143" s="430" t="s">
        <v>197</v>
      </c>
      <c r="CB143" s="430" t="s">
        <v>197</v>
      </c>
      <c r="CC143" s="430" t="s">
        <v>197</v>
      </c>
      <c r="CD143" s="430" t="s">
        <v>197</v>
      </c>
      <c r="CE143" s="430" t="s">
        <v>197</v>
      </c>
      <c r="CF143" s="430" t="s">
        <v>197</v>
      </c>
      <c r="CG143" s="430" t="s">
        <v>197</v>
      </c>
      <c r="CH143" s="430" t="s">
        <v>197</v>
      </c>
      <c r="CI143" s="430" t="s">
        <v>197</v>
      </c>
      <c r="CJ143" s="430" t="s">
        <v>197</v>
      </c>
      <c r="CK143" s="430" t="s">
        <v>197</v>
      </c>
      <c r="CL143" s="430" t="s">
        <v>197</v>
      </c>
      <c r="CM143" s="430" t="s">
        <v>197</v>
      </c>
    </row>
    <row r="144" spans="1:91" ht="10.5" hidden="1">
      <c r="A144" s="462" t="s">
        <v>779</v>
      </c>
      <c r="B144" s="462" t="s">
        <v>61</v>
      </c>
      <c r="C144" s="462" t="s">
        <v>780</v>
      </c>
      <c r="D144" s="462" t="s">
        <v>63</v>
      </c>
      <c r="E144" s="462" t="s">
        <v>64</v>
      </c>
      <c r="F144" s="462" t="s">
        <v>65</v>
      </c>
      <c r="G144" s="462" t="s">
        <v>402</v>
      </c>
      <c r="H144" s="462" t="s">
        <v>67</v>
      </c>
      <c r="I144" s="439" t="s">
        <v>68</v>
      </c>
      <c r="J144" s="430" t="s">
        <v>690</v>
      </c>
      <c r="K144" s="430"/>
      <c r="L144" s="430"/>
      <c r="M144" s="430" t="s">
        <v>68</v>
      </c>
      <c r="N144" s="432" t="s">
        <v>68</v>
      </c>
      <c r="O144" s="430" t="s">
        <v>70</v>
      </c>
      <c r="P144" s="430" t="s">
        <v>204</v>
      </c>
      <c r="Q144" s="430" t="s">
        <v>205</v>
      </c>
      <c r="R144" s="431" t="s">
        <v>73</v>
      </c>
      <c r="S144" s="442" t="s">
        <v>74</v>
      </c>
      <c r="T144" s="433">
        <v>455</v>
      </c>
      <c r="U144" s="1062">
        <v>5868</v>
      </c>
      <c r="V144" s="434">
        <v>2.67</v>
      </c>
      <c r="W144" s="435">
        <v>163</v>
      </c>
      <c r="X144" s="1015">
        <v>6.3</v>
      </c>
      <c r="Y144" s="430" t="s">
        <v>75</v>
      </c>
      <c r="Z144" s="430" t="s">
        <v>75</v>
      </c>
      <c r="AA144" s="430"/>
      <c r="AB144" s="437">
        <v>46056</v>
      </c>
      <c r="AC144" s="438">
        <v>6</v>
      </c>
      <c r="AD144" s="439" t="s">
        <v>781</v>
      </c>
      <c r="AE144" s="430"/>
      <c r="AF144" s="430" t="s">
        <v>77</v>
      </c>
      <c r="AG144" s="430" t="s">
        <v>61</v>
      </c>
      <c r="AH144" s="430" t="s">
        <v>78</v>
      </c>
      <c r="AI144" s="437">
        <v>46066</v>
      </c>
      <c r="AJ144" s="437">
        <v>46065</v>
      </c>
      <c r="AK144" s="441">
        <v>46065</v>
      </c>
      <c r="AL144" s="437">
        <v>46139</v>
      </c>
      <c r="AM144" s="437">
        <v>46146</v>
      </c>
      <c r="AN144" s="437">
        <v>46144</v>
      </c>
      <c r="AO144" s="430" t="s">
        <v>402</v>
      </c>
      <c r="AP144" s="430" t="s">
        <v>771</v>
      </c>
      <c r="AQ144" s="430" t="s">
        <v>80</v>
      </c>
      <c r="AR144" s="430" t="s">
        <v>777</v>
      </c>
      <c r="AS144" s="430" t="s">
        <v>778</v>
      </c>
      <c r="AT144" s="482" t="s">
        <v>778</v>
      </c>
      <c r="AU14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79</v>
      </c>
      <c r="AW144" s="437">
        <v>46144</v>
      </c>
      <c r="AX144" s="433" t="s">
        <v>84</v>
      </c>
      <c r="AY144" s="437">
        <v>46160</v>
      </c>
      <c r="AZ144" s="442">
        <v>8</v>
      </c>
      <c r="BA144" s="437">
        <v>46152</v>
      </c>
      <c r="BB144" s="433">
        <v>2026</v>
      </c>
      <c r="BC144" s="430">
        <v>5</v>
      </c>
      <c r="BD144" s="430">
        <v>19</v>
      </c>
      <c r="BE144" s="431">
        <v>36</v>
      </c>
      <c r="BF144" s="431">
        <v>936</v>
      </c>
      <c r="BG144" s="431" t="s">
        <v>94</v>
      </c>
      <c r="BH144" s="431" t="s">
        <v>86</v>
      </c>
      <c r="BI144" s="430" t="s">
        <v>197</v>
      </c>
      <c r="BJ144" s="430" t="s">
        <v>197</v>
      </c>
      <c r="BK144" s="430" t="s">
        <v>197</v>
      </c>
      <c r="BL144" s="430" t="s">
        <v>197</v>
      </c>
      <c r="BM144" s="430" t="s">
        <v>197</v>
      </c>
      <c r="BN144" s="430" t="s">
        <v>197</v>
      </c>
      <c r="BO144" s="430" t="s">
        <v>197</v>
      </c>
      <c r="BP144" s="430" t="s">
        <v>197</v>
      </c>
      <c r="BQ144" s="430" t="s">
        <v>197</v>
      </c>
      <c r="BR144" s="430" t="s">
        <v>197</v>
      </c>
      <c r="BS144" s="430" t="s">
        <v>197</v>
      </c>
      <c r="BT144" s="430" t="s">
        <v>197</v>
      </c>
      <c r="BU144" s="430" t="s">
        <v>197</v>
      </c>
      <c r="BV144" s="430" t="s">
        <v>197</v>
      </c>
      <c r="BW144" s="430" t="s">
        <v>197</v>
      </c>
      <c r="BX144" s="430" t="s">
        <v>197</v>
      </c>
      <c r="BY144" s="430" t="s">
        <v>197</v>
      </c>
      <c r="BZ144" s="430" t="s">
        <v>197</v>
      </c>
      <c r="CA144" s="430" t="s">
        <v>197</v>
      </c>
      <c r="CB144" s="430" t="s">
        <v>197</v>
      </c>
      <c r="CC144" s="430" t="s">
        <v>197</v>
      </c>
      <c r="CD144" s="430" t="s">
        <v>197</v>
      </c>
      <c r="CE144" s="430" t="s">
        <v>197</v>
      </c>
      <c r="CF144" s="430" t="s">
        <v>197</v>
      </c>
      <c r="CG144" s="430" t="s">
        <v>197</v>
      </c>
      <c r="CH144" s="430" t="s">
        <v>197</v>
      </c>
      <c r="CI144" s="430" t="s">
        <v>197</v>
      </c>
      <c r="CJ144" s="430" t="s">
        <v>197</v>
      </c>
      <c r="CK144" s="430" t="s">
        <v>197</v>
      </c>
      <c r="CL144" s="430" t="s">
        <v>197</v>
      </c>
      <c r="CM144" s="430" t="s">
        <v>197</v>
      </c>
    </row>
    <row r="145" spans="1:91" ht="10.5" hidden="1">
      <c r="A145" s="462" t="s">
        <v>782</v>
      </c>
      <c r="B145" s="462" t="s">
        <v>61</v>
      </c>
      <c r="C145" s="462" t="s">
        <v>688</v>
      </c>
      <c r="D145" s="462" t="s">
        <v>63</v>
      </c>
      <c r="E145" s="462" t="s">
        <v>64</v>
      </c>
      <c r="F145" s="462" t="s">
        <v>65</v>
      </c>
      <c r="G145" s="462" t="s">
        <v>402</v>
      </c>
      <c r="H145" s="462" t="s">
        <v>67</v>
      </c>
      <c r="I145" s="439" t="s">
        <v>68</v>
      </c>
      <c r="J145" s="430" t="s">
        <v>690</v>
      </c>
      <c r="K145" s="430"/>
      <c r="L145" s="430"/>
      <c r="M145" s="430" t="s">
        <v>68</v>
      </c>
      <c r="N145" s="432" t="s">
        <v>68</v>
      </c>
      <c r="O145" s="430" t="s">
        <v>70</v>
      </c>
      <c r="P145" s="430" t="s">
        <v>691</v>
      </c>
      <c r="Q145" s="430" t="s">
        <v>692</v>
      </c>
      <c r="R145" s="431" t="s">
        <v>73</v>
      </c>
      <c r="S145" s="442" t="s">
        <v>74</v>
      </c>
      <c r="T145" s="433">
        <v>505</v>
      </c>
      <c r="U145" s="1062">
        <v>864</v>
      </c>
      <c r="V145" s="434">
        <v>0.436</v>
      </c>
      <c r="W145" s="435">
        <v>24</v>
      </c>
      <c r="X145" s="1015">
        <v>1</v>
      </c>
      <c r="Y145" s="430" t="s">
        <v>75</v>
      </c>
      <c r="Z145" s="430" t="s">
        <v>75</v>
      </c>
      <c r="AA145" s="430"/>
      <c r="AB145" s="437">
        <v>46056</v>
      </c>
      <c r="AC145" s="438">
        <v>6</v>
      </c>
      <c r="AD145" s="439" t="s">
        <v>783</v>
      </c>
      <c r="AE145" s="430"/>
      <c r="AF145" s="430" t="s">
        <v>77</v>
      </c>
      <c r="AG145" s="430" t="s">
        <v>61</v>
      </c>
      <c r="AH145" s="430" t="s">
        <v>78</v>
      </c>
      <c r="AI145" s="437">
        <v>46066</v>
      </c>
      <c r="AJ145" s="437">
        <v>46065</v>
      </c>
      <c r="AK145" s="441">
        <v>46065</v>
      </c>
      <c r="AL145" s="437">
        <v>46139</v>
      </c>
      <c r="AM145" s="437">
        <v>46146</v>
      </c>
      <c r="AN145" s="437">
        <v>46144</v>
      </c>
      <c r="AO145" s="430" t="s">
        <v>402</v>
      </c>
      <c r="AP145" s="430" t="s">
        <v>771</v>
      </c>
      <c r="AQ145" s="430" t="s">
        <v>80</v>
      </c>
      <c r="AR145" s="430" t="s">
        <v>777</v>
      </c>
      <c r="AS145" s="430" t="s">
        <v>778</v>
      </c>
      <c r="AT145" s="482" t="s">
        <v>778</v>
      </c>
      <c r="AU14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79</v>
      </c>
      <c r="AW145" s="437">
        <v>46144</v>
      </c>
      <c r="AX145" s="433" t="s">
        <v>84</v>
      </c>
      <c r="AY145" s="437">
        <v>46160</v>
      </c>
      <c r="AZ145" s="442">
        <v>8</v>
      </c>
      <c r="BA145" s="437">
        <v>46152</v>
      </c>
      <c r="BB145" s="433">
        <v>2026</v>
      </c>
      <c r="BC145" s="430">
        <v>5</v>
      </c>
      <c r="BD145" s="430">
        <v>19</v>
      </c>
      <c r="BE145" s="431">
        <v>36</v>
      </c>
      <c r="BF145" s="431">
        <v>864</v>
      </c>
      <c r="BG145" s="431" t="s">
        <v>85</v>
      </c>
      <c r="BH145" s="431" t="s">
        <v>86</v>
      </c>
      <c r="BI145" s="430" t="s">
        <v>197</v>
      </c>
      <c r="BJ145" s="430" t="s">
        <v>197</v>
      </c>
      <c r="BK145" s="430" t="s">
        <v>197</v>
      </c>
      <c r="BL145" s="430" t="s">
        <v>197</v>
      </c>
      <c r="BM145" s="430" t="s">
        <v>197</v>
      </c>
      <c r="BN145" s="430" t="s">
        <v>197</v>
      </c>
      <c r="BO145" s="430" t="s">
        <v>197</v>
      </c>
      <c r="BP145" s="430" t="s">
        <v>197</v>
      </c>
      <c r="BQ145" s="430" t="s">
        <v>197</v>
      </c>
      <c r="BR145" s="430" t="s">
        <v>197</v>
      </c>
      <c r="BS145" s="430" t="s">
        <v>197</v>
      </c>
      <c r="BT145" s="430" t="s">
        <v>197</v>
      </c>
      <c r="BU145" s="430" t="s">
        <v>197</v>
      </c>
      <c r="BV145" s="430" t="s">
        <v>197</v>
      </c>
      <c r="BW145" s="430" t="s">
        <v>197</v>
      </c>
      <c r="BX145" s="430" t="s">
        <v>197</v>
      </c>
      <c r="BY145" s="430" t="s">
        <v>197</v>
      </c>
      <c r="BZ145" s="430" t="s">
        <v>197</v>
      </c>
      <c r="CA145" s="430" t="s">
        <v>197</v>
      </c>
      <c r="CB145" s="430" t="s">
        <v>197</v>
      </c>
      <c r="CC145" s="430" t="s">
        <v>197</v>
      </c>
      <c r="CD145" s="430" t="s">
        <v>197</v>
      </c>
      <c r="CE145" s="430" t="s">
        <v>197</v>
      </c>
      <c r="CF145" s="430" t="s">
        <v>197</v>
      </c>
      <c r="CG145" s="430" t="s">
        <v>197</v>
      </c>
      <c r="CH145" s="430" t="s">
        <v>197</v>
      </c>
      <c r="CI145" s="430" t="s">
        <v>197</v>
      </c>
      <c r="CJ145" s="430" t="s">
        <v>197</v>
      </c>
      <c r="CK145" s="430" t="s">
        <v>197</v>
      </c>
      <c r="CL145" s="430" t="s">
        <v>197</v>
      </c>
      <c r="CM145" s="430" t="s">
        <v>197</v>
      </c>
    </row>
    <row r="146" spans="1:91" ht="10.5" hidden="1">
      <c r="A146" s="462" t="s">
        <v>784</v>
      </c>
      <c r="B146" s="462" t="s">
        <v>77</v>
      </c>
      <c r="C146" s="462" t="s">
        <v>688</v>
      </c>
      <c r="D146" s="462" t="s">
        <v>63</v>
      </c>
      <c r="E146" s="462" t="s">
        <v>64</v>
      </c>
      <c r="F146" s="462" t="s">
        <v>65</v>
      </c>
      <c r="G146" s="462" t="s">
        <v>402</v>
      </c>
      <c r="H146" s="462" t="s">
        <v>67</v>
      </c>
      <c r="I146" s="439" t="s">
        <v>68</v>
      </c>
      <c r="J146" s="430" t="s">
        <v>690</v>
      </c>
      <c r="K146" s="430"/>
      <c r="L146" s="430"/>
      <c r="M146" s="430" t="s">
        <v>68</v>
      </c>
      <c r="N146" s="432">
        <v>46045</v>
      </c>
      <c r="O146" s="430" t="s">
        <v>70</v>
      </c>
      <c r="P146" s="430" t="s">
        <v>691</v>
      </c>
      <c r="Q146" s="430" t="s">
        <v>692</v>
      </c>
      <c r="R146" s="431" t="s">
        <v>73</v>
      </c>
      <c r="S146" s="442" t="s">
        <v>74</v>
      </c>
      <c r="T146" s="433">
        <v>505</v>
      </c>
      <c r="U146" s="1062">
        <v>864</v>
      </c>
      <c r="V146" s="434">
        <v>0.436</v>
      </c>
      <c r="W146" s="435">
        <v>24</v>
      </c>
      <c r="X146" s="1015">
        <v>1</v>
      </c>
      <c r="Y146" s="430" t="s">
        <v>75</v>
      </c>
      <c r="Z146" s="430" t="s">
        <v>75</v>
      </c>
      <c r="AA146" s="430"/>
      <c r="AB146" s="437">
        <v>46056</v>
      </c>
      <c r="AC146" s="438">
        <v>6</v>
      </c>
      <c r="AD146" s="439" t="s">
        <v>785</v>
      </c>
      <c r="AE146" s="430"/>
      <c r="AF146" s="430" t="s">
        <v>77</v>
      </c>
      <c r="AG146" s="430" t="s">
        <v>61</v>
      </c>
      <c r="AH146" s="430" t="s">
        <v>78</v>
      </c>
      <c r="AI146" s="437">
        <v>46066</v>
      </c>
      <c r="AJ146" s="437">
        <v>46065</v>
      </c>
      <c r="AK146" s="441">
        <v>46065</v>
      </c>
      <c r="AL146" s="437">
        <v>46139</v>
      </c>
      <c r="AM146" s="437">
        <v>46146</v>
      </c>
      <c r="AN146" s="437">
        <v>46144</v>
      </c>
      <c r="AO146" s="430" t="s">
        <v>402</v>
      </c>
      <c r="AP146" s="430" t="s">
        <v>771</v>
      </c>
      <c r="AQ146" s="430" t="s">
        <v>80</v>
      </c>
      <c r="AR146" s="430" t="s">
        <v>777</v>
      </c>
      <c r="AS146" s="430" t="s">
        <v>778</v>
      </c>
      <c r="AT146" s="482" t="s">
        <v>778</v>
      </c>
      <c r="AU14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79</v>
      </c>
      <c r="AW146" s="437">
        <v>46144</v>
      </c>
      <c r="AX146" s="433" t="s">
        <v>84</v>
      </c>
      <c r="AY146" s="437">
        <v>46160</v>
      </c>
      <c r="AZ146" s="442">
        <v>8</v>
      </c>
      <c r="BA146" s="437">
        <v>46152</v>
      </c>
      <c r="BB146" s="433">
        <v>2026</v>
      </c>
      <c r="BC146" s="430">
        <v>5</v>
      </c>
      <c r="BD146" s="430">
        <v>19</v>
      </c>
      <c r="BE146" s="431">
        <v>36</v>
      </c>
      <c r="BF146" s="431">
        <v>864</v>
      </c>
      <c r="BG146" s="431" t="s">
        <v>85</v>
      </c>
      <c r="BH146" s="431" t="s">
        <v>86</v>
      </c>
      <c r="BI146" s="430" t="s">
        <v>197</v>
      </c>
      <c r="BJ146" s="430" t="s">
        <v>197</v>
      </c>
      <c r="BK146" s="430" t="s">
        <v>197</v>
      </c>
      <c r="BL146" s="430" t="s">
        <v>197</v>
      </c>
      <c r="BM146" s="430" t="s">
        <v>197</v>
      </c>
      <c r="BN146" s="430" t="s">
        <v>197</v>
      </c>
      <c r="BO146" s="430" t="s">
        <v>197</v>
      </c>
      <c r="BP146" s="430" t="s">
        <v>197</v>
      </c>
      <c r="BQ146" s="430" t="s">
        <v>197</v>
      </c>
      <c r="BR146" s="430" t="s">
        <v>197</v>
      </c>
      <c r="BS146" s="430" t="s">
        <v>197</v>
      </c>
      <c r="BT146" s="430" t="s">
        <v>197</v>
      </c>
      <c r="BU146" s="430" t="s">
        <v>197</v>
      </c>
      <c r="BV146" s="430" t="s">
        <v>197</v>
      </c>
      <c r="BW146" s="430" t="s">
        <v>197</v>
      </c>
      <c r="BX146" s="430" t="s">
        <v>197</v>
      </c>
      <c r="BY146" s="430" t="s">
        <v>197</v>
      </c>
      <c r="BZ146" s="430" t="s">
        <v>197</v>
      </c>
      <c r="CA146" s="430" t="s">
        <v>197</v>
      </c>
      <c r="CB146" s="430" t="s">
        <v>197</v>
      </c>
      <c r="CC146" s="430" t="s">
        <v>197</v>
      </c>
      <c r="CD146" s="430" t="s">
        <v>197</v>
      </c>
      <c r="CE146" s="430" t="s">
        <v>197</v>
      </c>
      <c r="CF146" s="430" t="s">
        <v>197</v>
      </c>
      <c r="CG146" s="430" t="s">
        <v>197</v>
      </c>
      <c r="CH146" s="430" t="s">
        <v>197</v>
      </c>
      <c r="CI146" s="430" t="s">
        <v>197</v>
      </c>
      <c r="CJ146" s="430" t="s">
        <v>197</v>
      </c>
      <c r="CK146" s="430" t="s">
        <v>197</v>
      </c>
      <c r="CL146" s="430" t="s">
        <v>197</v>
      </c>
      <c r="CM146" s="430" t="s">
        <v>197</v>
      </c>
    </row>
    <row r="147" spans="1:91" ht="10.5" hidden="1">
      <c r="A147" s="462" t="s">
        <v>786</v>
      </c>
      <c r="B147" s="462" t="s">
        <v>77</v>
      </c>
      <c r="C147" s="462" t="s">
        <v>688</v>
      </c>
      <c r="D147" s="462" t="s">
        <v>63</v>
      </c>
      <c r="E147" s="462" t="s">
        <v>64</v>
      </c>
      <c r="F147" s="462" t="s">
        <v>65</v>
      </c>
      <c r="G147" s="462" t="s">
        <v>402</v>
      </c>
      <c r="H147" s="462" t="s">
        <v>67</v>
      </c>
      <c r="I147" s="439" t="s">
        <v>68</v>
      </c>
      <c r="J147" s="430" t="s">
        <v>690</v>
      </c>
      <c r="K147" s="430"/>
      <c r="L147" s="430"/>
      <c r="M147" s="430" t="s">
        <v>68</v>
      </c>
      <c r="N147" s="432">
        <v>46045</v>
      </c>
      <c r="O147" s="430" t="s">
        <v>70</v>
      </c>
      <c r="P147" s="430" t="s">
        <v>691</v>
      </c>
      <c r="Q147" s="430" t="s">
        <v>692</v>
      </c>
      <c r="R147" s="431" t="s">
        <v>73</v>
      </c>
      <c r="S147" s="442" t="s">
        <v>74</v>
      </c>
      <c r="T147" s="433">
        <v>505</v>
      </c>
      <c r="U147" s="1062">
        <v>2592</v>
      </c>
      <c r="V147" s="434">
        <v>1.3089999999999999</v>
      </c>
      <c r="W147" s="435">
        <v>72</v>
      </c>
      <c r="X147" s="1015">
        <v>3</v>
      </c>
      <c r="Y147" s="430" t="s">
        <v>75</v>
      </c>
      <c r="Z147" s="430" t="s">
        <v>75</v>
      </c>
      <c r="AA147" s="430"/>
      <c r="AB147" s="437">
        <v>46058</v>
      </c>
      <c r="AC147" s="438">
        <v>6</v>
      </c>
      <c r="AD147" s="439" t="s">
        <v>787</v>
      </c>
      <c r="AE147" s="430"/>
      <c r="AF147" s="430" t="s">
        <v>77</v>
      </c>
      <c r="AG147" s="430" t="s">
        <v>61</v>
      </c>
      <c r="AH147" s="430" t="s">
        <v>78</v>
      </c>
      <c r="AI147" s="437">
        <v>46066</v>
      </c>
      <c r="AJ147" s="437">
        <v>46065</v>
      </c>
      <c r="AK147" s="441">
        <v>46065</v>
      </c>
      <c r="AL147" s="437">
        <v>46139</v>
      </c>
      <c r="AM147" s="437">
        <v>46146</v>
      </c>
      <c r="AN147" s="437">
        <v>46144</v>
      </c>
      <c r="AO147" s="430" t="s">
        <v>402</v>
      </c>
      <c r="AP147" s="430" t="s">
        <v>771</v>
      </c>
      <c r="AQ147" s="430" t="s">
        <v>80</v>
      </c>
      <c r="AR147" s="430" t="s">
        <v>788</v>
      </c>
      <c r="AS147" s="430" t="s">
        <v>789</v>
      </c>
      <c r="AT147" s="482" t="s">
        <v>789</v>
      </c>
      <c r="AU14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79</v>
      </c>
      <c r="AW147" s="437">
        <v>46144</v>
      </c>
      <c r="AX147" s="433" t="s">
        <v>84</v>
      </c>
      <c r="AY147" s="437">
        <v>46160</v>
      </c>
      <c r="AZ147" s="442">
        <v>8</v>
      </c>
      <c r="BA147" s="437">
        <v>46152</v>
      </c>
      <c r="BB147" s="433">
        <v>2026</v>
      </c>
      <c r="BC147" s="430">
        <v>5</v>
      </c>
      <c r="BD147" s="430">
        <v>19</v>
      </c>
      <c r="BE147" s="431">
        <v>36</v>
      </c>
      <c r="BF147" s="431">
        <v>864</v>
      </c>
      <c r="BG147" s="431" t="s">
        <v>85</v>
      </c>
      <c r="BH147" s="431" t="s">
        <v>86</v>
      </c>
      <c r="BI147" s="430" t="s">
        <v>197</v>
      </c>
      <c r="BJ147" s="430" t="s">
        <v>197</v>
      </c>
      <c r="BK147" s="430" t="s">
        <v>197</v>
      </c>
      <c r="BL147" s="430" t="s">
        <v>197</v>
      </c>
      <c r="BM147" s="430" t="s">
        <v>197</v>
      </c>
      <c r="BN147" s="430" t="s">
        <v>197</v>
      </c>
      <c r="BO147" s="430" t="s">
        <v>197</v>
      </c>
      <c r="BP147" s="430" t="s">
        <v>197</v>
      </c>
      <c r="BQ147" s="430" t="s">
        <v>197</v>
      </c>
      <c r="BR147" s="430" t="s">
        <v>197</v>
      </c>
      <c r="BS147" s="430" t="s">
        <v>197</v>
      </c>
      <c r="BT147" s="430" t="s">
        <v>197</v>
      </c>
      <c r="BU147" s="430" t="s">
        <v>197</v>
      </c>
      <c r="BV147" s="430" t="s">
        <v>197</v>
      </c>
      <c r="BW147" s="430" t="s">
        <v>197</v>
      </c>
      <c r="BX147" s="430" t="s">
        <v>197</v>
      </c>
      <c r="BY147" s="430" t="s">
        <v>197</v>
      </c>
      <c r="BZ147" s="430" t="s">
        <v>197</v>
      </c>
      <c r="CA147" s="430" t="s">
        <v>197</v>
      </c>
      <c r="CB147" s="430" t="s">
        <v>197</v>
      </c>
      <c r="CC147" s="430" t="s">
        <v>197</v>
      </c>
      <c r="CD147" s="430" t="s">
        <v>197</v>
      </c>
      <c r="CE147" s="430" t="s">
        <v>197</v>
      </c>
      <c r="CF147" s="430" t="s">
        <v>197</v>
      </c>
      <c r="CG147" s="430" t="s">
        <v>197</v>
      </c>
      <c r="CH147" s="430" t="s">
        <v>197</v>
      </c>
      <c r="CI147" s="430" t="s">
        <v>197</v>
      </c>
      <c r="CJ147" s="430" t="s">
        <v>197</v>
      </c>
      <c r="CK147" s="430" t="s">
        <v>197</v>
      </c>
      <c r="CL147" s="430" t="s">
        <v>197</v>
      </c>
      <c r="CM147" s="430" t="s">
        <v>197</v>
      </c>
    </row>
    <row r="148" spans="1:91" ht="10.5" hidden="1">
      <c r="A148" s="462" t="s">
        <v>790</v>
      </c>
      <c r="B148" s="462" t="s">
        <v>61</v>
      </c>
      <c r="C148" s="462" t="s">
        <v>203</v>
      </c>
      <c r="D148" s="462" t="s">
        <v>63</v>
      </c>
      <c r="E148" s="462" t="s">
        <v>64</v>
      </c>
      <c r="F148" s="462" t="s">
        <v>100</v>
      </c>
      <c r="G148" s="462" t="s">
        <v>402</v>
      </c>
      <c r="H148" s="462" t="s">
        <v>67</v>
      </c>
      <c r="I148" s="439" t="s">
        <v>68</v>
      </c>
      <c r="J148" s="430" t="s">
        <v>483</v>
      </c>
      <c r="K148" s="430"/>
      <c r="L148" s="430"/>
      <c r="M148" s="430" t="s">
        <v>68</v>
      </c>
      <c r="N148" s="432">
        <v>46045</v>
      </c>
      <c r="O148" s="430" t="s">
        <v>70</v>
      </c>
      <c r="P148" s="430" t="s">
        <v>791</v>
      </c>
      <c r="Q148" s="430" t="s">
        <v>571</v>
      </c>
      <c r="R148" s="431" t="s">
        <v>73</v>
      </c>
      <c r="S148" s="442" t="s">
        <v>120</v>
      </c>
      <c r="T148" s="433">
        <v>445</v>
      </c>
      <c r="U148" s="1062">
        <v>4680</v>
      </c>
      <c r="V148" s="434">
        <v>2.0830000000000002</v>
      </c>
      <c r="W148" s="435">
        <v>130</v>
      </c>
      <c r="X148" s="1015">
        <v>5</v>
      </c>
      <c r="Y148" s="430" t="s">
        <v>75</v>
      </c>
      <c r="Z148" s="430" t="s">
        <v>75</v>
      </c>
      <c r="AA148" s="430"/>
      <c r="AB148" s="437">
        <v>46057</v>
      </c>
      <c r="AC148" s="438">
        <v>6</v>
      </c>
      <c r="AD148" s="439" t="s">
        <v>792</v>
      </c>
      <c r="AE148" s="430"/>
      <c r="AF148" s="430" t="s">
        <v>77</v>
      </c>
      <c r="AG148" s="430" t="s">
        <v>61</v>
      </c>
      <c r="AH148" s="430" t="s">
        <v>105</v>
      </c>
      <c r="AI148" s="437">
        <v>46066</v>
      </c>
      <c r="AJ148" s="437">
        <v>46065</v>
      </c>
      <c r="AK148" s="441">
        <v>46065</v>
      </c>
      <c r="AL148" s="437">
        <v>46119</v>
      </c>
      <c r="AM148" s="437">
        <v>46141</v>
      </c>
      <c r="AN148" s="437">
        <v>46137</v>
      </c>
      <c r="AO148" s="430" t="s">
        <v>402</v>
      </c>
      <c r="AP148" s="430" t="s">
        <v>771</v>
      </c>
      <c r="AQ148" s="430" t="s">
        <v>80</v>
      </c>
      <c r="AR148" s="430" t="s">
        <v>793</v>
      </c>
      <c r="AS148" s="430" t="s">
        <v>794</v>
      </c>
      <c r="AT148" s="482" t="s">
        <v>794</v>
      </c>
      <c r="AU14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W148" s="437">
        <v>46137</v>
      </c>
      <c r="AX148" s="433" t="s">
        <v>84</v>
      </c>
      <c r="AY148" s="437">
        <v>46150</v>
      </c>
      <c r="AZ148" s="442">
        <v>7</v>
      </c>
      <c r="BA148" s="437">
        <v>46144</v>
      </c>
      <c r="BB148" s="433">
        <v>2026</v>
      </c>
      <c r="BC148" s="430">
        <v>5</v>
      </c>
      <c r="BD148" s="430">
        <v>18</v>
      </c>
      <c r="BE148" s="431">
        <v>36</v>
      </c>
      <c r="BF148" s="431">
        <v>936</v>
      </c>
      <c r="BG148" s="431" t="s">
        <v>85</v>
      </c>
      <c r="BH148" s="431" t="s">
        <v>109</v>
      </c>
      <c r="BI148" s="430" t="s">
        <v>197</v>
      </c>
      <c r="BJ148" s="430" t="s">
        <v>197</v>
      </c>
      <c r="BK148" s="430" t="s">
        <v>197</v>
      </c>
      <c r="BL148" s="430" t="s">
        <v>197</v>
      </c>
      <c r="BM148" s="430" t="s">
        <v>197</v>
      </c>
      <c r="BN148" s="430" t="s">
        <v>197</v>
      </c>
      <c r="BO148" s="430" t="s">
        <v>197</v>
      </c>
      <c r="BP148" s="430" t="s">
        <v>197</v>
      </c>
      <c r="BQ148" s="430" t="s">
        <v>197</v>
      </c>
      <c r="BR148" s="430" t="s">
        <v>197</v>
      </c>
      <c r="BS148" s="430" t="s">
        <v>197</v>
      </c>
      <c r="BT148" s="430" t="s">
        <v>197</v>
      </c>
      <c r="BU148" s="430" t="s">
        <v>197</v>
      </c>
      <c r="BV148" s="430" t="s">
        <v>197</v>
      </c>
      <c r="BW148" s="430" t="s">
        <v>197</v>
      </c>
      <c r="BX148" s="430" t="s">
        <v>197</v>
      </c>
      <c r="BY148" s="430" t="s">
        <v>197</v>
      </c>
      <c r="BZ148" s="430" t="s">
        <v>197</v>
      </c>
      <c r="CA148" s="430" t="s">
        <v>197</v>
      </c>
      <c r="CB148" s="430" t="s">
        <v>197</v>
      </c>
      <c r="CC148" s="430" t="s">
        <v>197</v>
      </c>
      <c r="CD148" s="430" t="s">
        <v>197</v>
      </c>
      <c r="CE148" s="430" t="s">
        <v>197</v>
      </c>
      <c r="CF148" s="430" t="s">
        <v>197</v>
      </c>
      <c r="CG148" s="430" t="s">
        <v>197</v>
      </c>
      <c r="CH148" s="430" t="s">
        <v>197</v>
      </c>
      <c r="CI148" s="430" t="s">
        <v>197</v>
      </c>
      <c r="CJ148" s="430" t="s">
        <v>197</v>
      </c>
      <c r="CK148" s="430" t="s">
        <v>197</v>
      </c>
      <c r="CL148" s="430" t="s">
        <v>197</v>
      </c>
      <c r="CM148" s="430" t="s">
        <v>197</v>
      </c>
    </row>
    <row r="149" spans="1:91" ht="10.5" hidden="1">
      <c r="A149" s="462" t="s">
        <v>795</v>
      </c>
      <c r="B149" s="462" t="s">
        <v>61</v>
      </c>
      <c r="C149" s="462" t="s">
        <v>796</v>
      </c>
      <c r="D149" s="462" t="s">
        <v>63</v>
      </c>
      <c r="E149" s="462" t="s">
        <v>64</v>
      </c>
      <c r="F149" s="462" t="s">
        <v>100</v>
      </c>
      <c r="G149" s="462" t="s">
        <v>402</v>
      </c>
      <c r="H149" s="462" t="s">
        <v>67</v>
      </c>
      <c r="I149" s="439" t="s">
        <v>68</v>
      </c>
      <c r="J149" s="430" t="s">
        <v>483</v>
      </c>
      <c r="K149" s="430"/>
      <c r="L149" s="430"/>
      <c r="M149" s="430" t="s">
        <v>68</v>
      </c>
      <c r="N149" s="432">
        <v>46045</v>
      </c>
      <c r="O149" s="430" t="s">
        <v>70</v>
      </c>
      <c r="P149" s="430" t="s">
        <v>570</v>
      </c>
      <c r="Q149" s="430" t="s">
        <v>571</v>
      </c>
      <c r="R149" s="431" t="s">
        <v>73</v>
      </c>
      <c r="S149" s="442" t="s">
        <v>120</v>
      </c>
      <c r="T149" s="433">
        <v>445</v>
      </c>
      <c r="U149" s="1062">
        <v>3744</v>
      </c>
      <c r="V149" s="434">
        <v>1.6659999999999999</v>
      </c>
      <c r="W149" s="435">
        <v>104</v>
      </c>
      <c r="X149" s="1015">
        <v>4</v>
      </c>
      <c r="Y149" s="430" t="s">
        <v>75</v>
      </c>
      <c r="Z149" s="430" t="s">
        <v>75</v>
      </c>
      <c r="AA149" s="430"/>
      <c r="AB149" s="437">
        <v>46057</v>
      </c>
      <c r="AC149" s="438">
        <v>6</v>
      </c>
      <c r="AD149" s="439" t="s">
        <v>797</v>
      </c>
      <c r="AE149" s="430"/>
      <c r="AF149" s="430" t="s">
        <v>77</v>
      </c>
      <c r="AG149" s="430" t="s">
        <v>61</v>
      </c>
      <c r="AH149" s="430" t="s">
        <v>105</v>
      </c>
      <c r="AI149" s="437">
        <v>46066</v>
      </c>
      <c r="AJ149" s="437">
        <v>46065</v>
      </c>
      <c r="AK149" s="441">
        <v>46065</v>
      </c>
      <c r="AL149" s="437">
        <v>46119</v>
      </c>
      <c r="AM149" s="437">
        <v>46141</v>
      </c>
      <c r="AN149" s="437">
        <v>46137</v>
      </c>
      <c r="AO149" s="430" t="s">
        <v>402</v>
      </c>
      <c r="AP149" s="430" t="s">
        <v>771</v>
      </c>
      <c r="AQ149" s="430" t="s">
        <v>80</v>
      </c>
      <c r="AR149" s="430" t="s">
        <v>793</v>
      </c>
      <c r="AS149" s="430" t="s">
        <v>794</v>
      </c>
      <c r="AT149" s="482" t="s">
        <v>794</v>
      </c>
      <c r="AU14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W149" s="437">
        <v>46137</v>
      </c>
      <c r="AX149" s="433" t="s">
        <v>84</v>
      </c>
      <c r="AY149" s="437">
        <v>46150</v>
      </c>
      <c r="AZ149" s="442">
        <v>7</v>
      </c>
      <c r="BA149" s="437">
        <v>46144</v>
      </c>
      <c r="BB149" s="433">
        <v>2026</v>
      </c>
      <c r="BC149" s="430">
        <v>5</v>
      </c>
      <c r="BD149" s="430">
        <v>18</v>
      </c>
      <c r="BE149" s="431">
        <v>36</v>
      </c>
      <c r="BF149" s="431">
        <v>936</v>
      </c>
      <c r="BG149" s="431" t="s">
        <v>94</v>
      </c>
      <c r="BH149" s="431" t="s">
        <v>109</v>
      </c>
      <c r="BI149" s="430" t="s">
        <v>197</v>
      </c>
      <c r="BJ149" s="430" t="s">
        <v>197</v>
      </c>
      <c r="BK149" s="430" t="s">
        <v>197</v>
      </c>
      <c r="BL149" s="430" t="s">
        <v>197</v>
      </c>
      <c r="BM149" s="430" t="s">
        <v>197</v>
      </c>
      <c r="BN149" s="430" t="s">
        <v>197</v>
      </c>
      <c r="BO149" s="430" t="s">
        <v>197</v>
      </c>
      <c r="BP149" s="430" t="s">
        <v>197</v>
      </c>
      <c r="BQ149" s="430" t="s">
        <v>197</v>
      </c>
      <c r="BR149" s="430" t="s">
        <v>197</v>
      </c>
      <c r="BS149" s="430" t="s">
        <v>197</v>
      </c>
      <c r="BT149" s="430" t="s">
        <v>197</v>
      </c>
      <c r="BU149" s="430" t="s">
        <v>197</v>
      </c>
      <c r="BV149" s="430" t="s">
        <v>197</v>
      </c>
      <c r="BW149" s="430" t="s">
        <v>197</v>
      </c>
      <c r="BX149" s="430" t="s">
        <v>197</v>
      </c>
      <c r="BY149" s="430" t="s">
        <v>197</v>
      </c>
      <c r="BZ149" s="430" t="s">
        <v>197</v>
      </c>
      <c r="CA149" s="430" t="s">
        <v>197</v>
      </c>
      <c r="CB149" s="430" t="s">
        <v>197</v>
      </c>
      <c r="CC149" s="430" t="s">
        <v>197</v>
      </c>
      <c r="CD149" s="430" t="s">
        <v>197</v>
      </c>
      <c r="CE149" s="430" t="s">
        <v>197</v>
      </c>
      <c r="CF149" s="430" t="s">
        <v>197</v>
      </c>
      <c r="CG149" s="430" t="s">
        <v>197</v>
      </c>
      <c r="CH149" s="430" t="s">
        <v>197</v>
      </c>
      <c r="CI149" s="430" t="s">
        <v>197</v>
      </c>
      <c r="CJ149" s="430" t="s">
        <v>197</v>
      </c>
      <c r="CK149" s="430" t="s">
        <v>197</v>
      </c>
      <c r="CL149" s="430" t="s">
        <v>197</v>
      </c>
      <c r="CM149" s="430" t="s">
        <v>197</v>
      </c>
    </row>
    <row r="150" spans="1:91" ht="10.5" hidden="1">
      <c r="A150" s="462" t="s">
        <v>193</v>
      </c>
      <c r="B150" s="462" t="s">
        <v>61</v>
      </c>
      <c r="C150" s="462" t="s">
        <v>203</v>
      </c>
      <c r="D150" s="462" t="s">
        <v>63</v>
      </c>
      <c r="E150" s="462" t="s">
        <v>64</v>
      </c>
      <c r="F150" s="462" t="s">
        <v>100</v>
      </c>
      <c r="G150" s="462" t="s">
        <v>402</v>
      </c>
      <c r="H150" s="462" t="s">
        <v>67</v>
      </c>
      <c r="I150" s="439" t="s">
        <v>68</v>
      </c>
      <c r="J150" s="430" t="s">
        <v>483</v>
      </c>
      <c r="K150" s="430"/>
      <c r="L150" s="430"/>
      <c r="M150" s="430" t="s">
        <v>68</v>
      </c>
      <c r="N150" s="432">
        <v>46045</v>
      </c>
      <c r="O150" s="430" t="s">
        <v>70</v>
      </c>
      <c r="P150" s="430" t="s">
        <v>195</v>
      </c>
      <c r="Q150" s="430" t="s">
        <v>196</v>
      </c>
      <c r="R150" s="431" t="s">
        <v>73</v>
      </c>
      <c r="S150" s="442" t="s">
        <v>74</v>
      </c>
      <c r="T150" s="433">
        <v>450</v>
      </c>
      <c r="U150" s="1062">
        <v>4680</v>
      </c>
      <c r="V150" s="434">
        <v>2.1059999999999999</v>
      </c>
      <c r="W150" s="435">
        <v>130</v>
      </c>
      <c r="X150" s="1015">
        <v>5</v>
      </c>
      <c r="Y150" s="430" t="s">
        <v>75</v>
      </c>
      <c r="Z150" s="430" t="s">
        <v>75</v>
      </c>
      <c r="AA150" s="430"/>
      <c r="AB150" s="437">
        <v>46057</v>
      </c>
      <c r="AC150" s="438">
        <v>6</v>
      </c>
      <c r="AD150" s="439" t="s">
        <v>798</v>
      </c>
      <c r="AE150" s="430"/>
      <c r="AF150" s="430" t="s">
        <v>77</v>
      </c>
      <c r="AG150" s="430" t="s">
        <v>61</v>
      </c>
      <c r="AH150" s="430" t="s">
        <v>105</v>
      </c>
      <c r="AI150" s="437">
        <v>46066</v>
      </c>
      <c r="AJ150" s="437">
        <v>46065</v>
      </c>
      <c r="AK150" s="441">
        <v>46065</v>
      </c>
      <c r="AL150" s="437">
        <v>46119</v>
      </c>
      <c r="AM150" s="437">
        <v>46141</v>
      </c>
      <c r="AN150" s="437">
        <v>46137</v>
      </c>
      <c r="AO150" s="430" t="s">
        <v>402</v>
      </c>
      <c r="AP150" s="430" t="s">
        <v>771</v>
      </c>
      <c r="AQ150" s="430" t="s">
        <v>80</v>
      </c>
      <c r="AR150" s="430" t="s">
        <v>793</v>
      </c>
      <c r="AS150" s="430" t="s">
        <v>794</v>
      </c>
      <c r="AT150" s="482" t="s">
        <v>794</v>
      </c>
      <c r="AU15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W150" s="437">
        <v>46137</v>
      </c>
      <c r="AX150" s="433" t="s">
        <v>84</v>
      </c>
      <c r="AY150" s="437">
        <v>46150</v>
      </c>
      <c r="AZ150" s="442">
        <v>7</v>
      </c>
      <c r="BA150" s="437">
        <v>46144</v>
      </c>
      <c r="BB150" s="433">
        <v>2026</v>
      </c>
      <c r="BC150" s="430">
        <v>5</v>
      </c>
      <c r="BD150" s="430">
        <v>18</v>
      </c>
      <c r="BE150" s="431">
        <v>36</v>
      </c>
      <c r="BF150" s="431">
        <v>936</v>
      </c>
      <c r="BG150" s="431" t="s">
        <v>85</v>
      </c>
      <c r="BH150" s="431" t="s">
        <v>109</v>
      </c>
      <c r="BI150" s="430" t="s">
        <v>197</v>
      </c>
      <c r="BJ150" s="430" t="s">
        <v>197</v>
      </c>
      <c r="BK150" s="430" t="s">
        <v>197</v>
      </c>
      <c r="BL150" s="430" t="s">
        <v>197</v>
      </c>
      <c r="BM150" s="430" t="s">
        <v>197</v>
      </c>
      <c r="BN150" s="430" t="s">
        <v>197</v>
      </c>
      <c r="BO150" s="430" t="s">
        <v>197</v>
      </c>
      <c r="BP150" s="430" t="s">
        <v>197</v>
      </c>
      <c r="BQ150" s="430" t="s">
        <v>197</v>
      </c>
      <c r="BR150" s="430" t="s">
        <v>197</v>
      </c>
      <c r="BS150" s="430" t="s">
        <v>197</v>
      </c>
      <c r="BT150" s="430" t="s">
        <v>197</v>
      </c>
      <c r="BU150" s="430" t="s">
        <v>197</v>
      </c>
      <c r="BV150" s="430" t="s">
        <v>197</v>
      </c>
      <c r="BW150" s="430" t="s">
        <v>197</v>
      </c>
      <c r="BX150" s="430" t="s">
        <v>197</v>
      </c>
      <c r="BY150" s="430" t="s">
        <v>197</v>
      </c>
      <c r="BZ150" s="430" t="s">
        <v>197</v>
      </c>
      <c r="CA150" s="430" t="s">
        <v>197</v>
      </c>
      <c r="CB150" s="430" t="s">
        <v>197</v>
      </c>
      <c r="CC150" s="430" t="s">
        <v>197</v>
      </c>
      <c r="CD150" s="430" t="s">
        <v>197</v>
      </c>
      <c r="CE150" s="430" t="s">
        <v>197</v>
      </c>
      <c r="CF150" s="430" t="s">
        <v>197</v>
      </c>
      <c r="CG150" s="430" t="s">
        <v>197</v>
      </c>
      <c r="CH150" s="430" t="s">
        <v>197</v>
      </c>
      <c r="CI150" s="430" t="s">
        <v>197</v>
      </c>
      <c r="CJ150" s="430" t="s">
        <v>197</v>
      </c>
      <c r="CK150" s="430" t="s">
        <v>197</v>
      </c>
      <c r="CL150" s="430" t="s">
        <v>197</v>
      </c>
      <c r="CM150" s="430" t="s">
        <v>197</v>
      </c>
    </row>
    <row r="151" spans="1:91" ht="10.5" hidden="1">
      <c r="A151" s="462" t="s">
        <v>799</v>
      </c>
      <c r="B151" s="462" t="s">
        <v>800</v>
      </c>
      <c r="C151" s="462" t="s">
        <v>801</v>
      </c>
      <c r="D151" s="462" t="s">
        <v>63</v>
      </c>
      <c r="E151" s="462" t="s">
        <v>64</v>
      </c>
      <c r="F151" s="462" t="s">
        <v>100</v>
      </c>
      <c r="G151" s="462" t="s">
        <v>402</v>
      </c>
      <c r="H151" s="462" t="s">
        <v>67</v>
      </c>
      <c r="I151" s="439" t="s">
        <v>68</v>
      </c>
      <c r="J151" s="430" t="s">
        <v>419</v>
      </c>
      <c r="K151" s="430"/>
      <c r="L151" s="430"/>
      <c r="M151" s="430" t="s">
        <v>68</v>
      </c>
      <c r="N151" s="432">
        <v>46045</v>
      </c>
      <c r="O151" s="430" t="s">
        <v>70</v>
      </c>
      <c r="P151" s="430" t="s">
        <v>420</v>
      </c>
      <c r="Q151" s="430" t="s">
        <v>421</v>
      </c>
      <c r="R151" s="431" t="s">
        <v>73</v>
      </c>
      <c r="S151" s="442" t="s">
        <v>120</v>
      </c>
      <c r="T151" s="433">
        <v>505</v>
      </c>
      <c r="U151" s="1062">
        <v>864</v>
      </c>
      <c r="V151" s="434">
        <v>0.436</v>
      </c>
      <c r="W151" s="435">
        <v>24</v>
      </c>
      <c r="X151" s="1015">
        <v>1</v>
      </c>
      <c r="Y151" s="430" t="s">
        <v>75</v>
      </c>
      <c r="Z151" s="430" t="s">
        <v>75</v>
      </c>
      <c r="AA151" s="430"/>
      <c r="AB151" s="437">
        <v>46058</v>
      </c>
      <c r="AC151" s="438">
        <v>6</v>
      </c>
      <c r="AD151" s="439" t="s">
        <v>802</v>
      </c>
      <c r="AE151" s="430"/>
      <c r="AF151" s="430" t="s">
        <v>77</v>
      </c>
      <c r="AG151" s="430" t="s">
        <v>61</v>
      </c>
      <c r="AH151" s="430" t="s">
        <v>105</v>
      </c>
      <c r="AI151" s="437">
        <v>46066</v>
      </c>
      <c r="AJ151" s="437">
        <v>46065</v>
      </c>
      <c r="AK151" s="441">
        <v>46065</v>
      </c>
      <c r="AL151" s="437">
        <v>46119</v>
      </c>
      <c r="AM151" s="437">
        <v>46141</v>
      </c>
      <c r="AN151" s="437">
        <v>46137</v>
      </c>
      <c r="AO151" s="430" t="s">
        <v>402</v>
      </c>
      <c r="AP151" s="430" t="s">
        <v>771</v>
      </c>
      <c r="AQ151" s="430" t="s">
        <v>80</v>
      </c>
      <c r="AR151" s="430" t="s">
        <v>803</v>
      </c>
      <c r="AS151" s="430" t="s">
        <v>804</v>
      </c>
      <c r="AT151" s="482" t="s">
        <v>804</v>
      </c>
      <c r="AU15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W151" s="437">
        <v>46137</v>
      </c>
      <c r="AX151" s="433" t="s">
        <v>84</v>
      </c>
      <c r="AY151" s="437">
        <v>46150</v>
      </c>
      <c r="AZ151" s="442">
        <v>7</v>
      </c>
      <c r="BA151" s="437">
        <v>46144</v>
      </c>
      <c r="BB151" s="433">
        <v>2026</v>
      </c>
      <c r="BC151" s="430">
        <v>5</v>
      </c>
      <c r="BD151" s="430">
        <v>18</v>
      </c>
      <c r="BE151" s="431">
        <v>36</v>
      </c>
      <c r="BF151" s="431">
        <v>864</v>
      </c>
      <c r="BG151" s="431" t="s">
        <v>85</v>
      </c>
      <c r="BH151" s="431" t="s">
        <v>109</v>
      </c>
      <c r="BI151" s="430" t="s">
        <v>197</v>
      </c>
      <c r="BJ151" s="430" t="s">
        <v>197</v>
      </c>
      <c r="BK151" s="430" t="s">
        <v>197</v>
      </c>
      <c r="BL151" s="430" t="s">
        <v>197</v>
      </c>
      <c r="BM151" s="430" t="s">
        <v>197</v>
      </c>
      <c r="BN151" s="430" t="s">
        <v>197</v>
      </c>
      <c r="BO151" s="430" t="s">
        <v>197</v>
      </c>
      <c r="BP151" s="430" t="s">
        <v>197</v>
      </c>
      <c r="BQ151" s="430" t="s">
        <v>197</v>
      </c>
      <c r="BR151" s="430" t="s">
        <v>197</v>
      </c>
      <c r="BS151" s="430" t="s">
        <v>197</v>
      </c>
      <c r="BT151" s="430" t="s">
        <v>197</v>
      </c>
      <c r="BU151" s="430" t="s">
        <v>197</v>
      </c>
      <c r="BV151" s="430" t="s">
        <v>197</v>
      </c>
      <c r="BW151" s="430" t="s">
        <v>197</v>
      </c>
      <c r="BX151" s="430" t="s">
        <v>197</v>
      </c>
      <c r="BY151" s="430" t="s">
        <v>197</v>
      </c>
      <c r="BZ151" s="430" t="s">
        <v>197</v>
      </c>
      <c r="CA151" s="430" t="s">
        <v>197</v>
      </c>
      <c r="CB151" s="430" t="s">
        <v>197</v>
      </c>
      <c r="CC151" s="430" t="s">
        <v>197</v>
      </c>
      <c r="CD151" s="430" t="s">
        <v>197</v>
      </c>
      <c r="CE151" s="430" t="s">
        <v>197</v>
      </c>
      <c r="CF151" s="430" t="s">
        <v>197</v>
      </c>
      <c r="CG151" s="430" t="s">
        <v>197</v>
      </c>
      <c r="CH151" s="430" t="s">
        <v>197</v>
      </c>
      <c r="CI151" s="430" t="s">
        <v>197</v>
      </c>
      <c r="CJ151" s="430" t="s">
        <v>197</v>
      </c>
      <c r="CK151" s="430" t="s">
        <v>197</v>
      </c>
      <c r="CL151" s="430" t="s">
        <v>197</v>
      </c>
      <c r="CM151" s="430" t="s">
        <v>197</v>
      </c>
    </row>
    <row r="152" spans="1:91" ht="10.5" hidden="1">
      <c r="A152" s="462" t="s">
        <v>805</v>
      </c>
      <c r="B152" s="462" t="s">
        <v>61</v>
      </c>
      <c r="C152" s="462" t="s">
        <v>418</v>
      </c>
      <c r="D152" s="462" t="s">
        <v>63</v>
      </c>
      <c r="E152" s="462" t="s">
        <v>64</v>
      </c>
      <c r="F152" s="462" t="s">
        <v>100</v>
      </c>
      <c r="G152" s="462" t="s">
        <v>402</v>
      </c>
      <c r="H152" s="462" t="s">
        <v>67</v>
      </c>
      <c r="I152" s="439" t="s">
        <v>68</v>
      </c>
      <c r="J152" s="430" t="s">
        <v>419</v>
      </c>
      <c r="K152" s="430"/>
      <c r="L152" s="430"/>
      <c r="M152" s="430" t="s">
        <v>68</v>
      </c>
      <c r="N152" s="432">
        <v>46045</v>
      </c>
      <c r="O152" s="430" t="s">
        <v>70</v>
      </c>
      <c r="P152" s="430" t="s">
        <v>420</v>
      </c>
      <c r="Q152" s="430" t="s">
        <v>421</v>
      </c>
      <c r="R152" s="431" t="s">
        <v>73</v>
      </c>
      <c r="S152" s="442" t="s">
        <v>120</v>
      </c>
      <c r="T152" s="433">
        <v>505</v>
      </c>
      <c r="U152" s="1062">
        <v>3456</v>
      </c>
      <c r="V152" s="434">
        <v>1.7450000000000001</v>
      </c>
      <c r="W152" s="435">
        <v>96</v>
      </c>
      <c r="X152" s="1015">
        <v>4</v>
      </c>
      <c r="Y152" s="430" t="s">
        <v>75</v>
      </c>
      <c r="Z152" s="430" t="s">
        <v>75</v>
      </c>
      <c r="AA152" s="430"/>
      <c r="AB152" s="437">
        <v>46058</v>
      </c>
      <c r="AC152" s="438">
        <v>6</v>
      </c>
      <c r="AD152" s="439" t="s">
        <v>806</v>
      </c>
      <c r="AE152" s="430"/>
      <c r="AF152" s="430" t="s">
        <v>77</v>
      </c>
      <c r="AG152" s="430" t="s">
        <v>61</v>
      </c>
      <c r="AH152" s="430" t="s">
        <v>105</v>
      </c>
      <c r="AI152" s="437">
        <v>46066</v>
      </c>
      <c r="AJ152" s="437">
        <v>46065</v>
      </c>
      <c r="AK152" s="441">
        <v>46065</v>
      </c>
      <c r="AL152" s="437">
        <v>46119</v>
      </c>
      <c r="AM152" s="437">
        <v>46141</v>
      </c>
      <c r="AN152" s="437">
        <v>46137</v>
      </c>
      <c r="AO152" s="430" t="s">
        <v>402</v>
      </c>
      <c r="AP152" s="430" t="s">
        <v>771</v>
      </c>
      <c r="AQ152" s="430" t="s">
        <v>80</v>
      </c>
      <c r="AR152" s="430" t="s">
        <v>803</v>
      </c>
      <c r="AS152" s="430" t="s">
        <v>804</v>
      </c>
      <c r="AT152" s="482" t="s">
        <v>804</v>
      </c>
      <c r="AU15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W152" s="437">
        <v>46137</v>
      </c>
      <c r="AX152" s="433" t="s">
        <v>84</v>
      </c>
      <c r="AY152" s="437">
        <v>46150</v>
      </c>
      <c r="AZ152" s="442">
        <v>7</v>
      </c>
      <c r="BA152" s="437">
        <v>46144</v>
      </c>
      <c r="BB152" s="433">
        <v>2026</v>
      </c>
      <c r="BC152" s="430">
        <v>5</v>
      </c>
      <c r="BD152" s="430">
        <v>18</v>
      </c>
      <c r="BE152" s="431">
        <v>36</v>
      </c>
      <c r="BF152" s="431">
        <v>864</v>
      </c>
      <c r="BG152" s="431" t="s">
        <v>85</v>
      </c>
      <c r="BH152" s="431" t="s">
        <v>109</v>
      </c>
      <c r="BI152" s="430" t="s">
        <v>197</v>
      </c>
      <c r="BJ152" s="430" t="s">
        <v>197</v>
      </c>
      <c r="BK152" s="430" t="s">
        <v>197</v>
      </c>
      <c r="BL152" s="430" t="s">
        <v>197</v>
      </c>
      <c r="BM152" s="430" t="s">
        <v>197</v>
      </c>
      <c r="BN152" s="430" t="s">
        <v>197</v>
      </c>
      <c r="BO152" s="430" t="s">
        <v>197</v>
      </c>
      <c r="BP152" s="430" t="s">
        <v>197</v>
      </c>
      <c r="BQ152" s="430" t="s">
        <v>197</v>
      </c>
      <c r="BR152" s="430" t="s">
        <v>197</v>
      </c>
      <c r="BS152" s="430" t="s">
        <v>197</v>
      </c>
      <c r="BT152" s="430" t="s">
        <v>197</v>
      </c>
      <c r="BU152" s="430" t="s">
        <v>197</v>
      </c>
      <c r="BV152" s="430" t="s">
        <v>197</v>
      </c>
      <c r="BW152" s="430" t="s">
        <v>197</v>
      </c>
      <c r="BX152" s="430" t="s">
        <v>197</v>
      </c>
      <c r="BY152" s="430" t="s">
        <v>197</v>
      </c>
      <c r="BZ152" s="430" t="s">
        <v>197</v>
      </c>
      <c r="CA152" s="430" t="s">
        <v>197</v>
      </c>
      <c r="CB152" s="430" t="s">
        <v>197</v>
      </c>
      <c r="CC152" s="430" t="s">
        <v>197</v>
      </c>
      <c r="CD152" s="430" t="s">
        <v>197</v>
      </c>
      <c r="CE152" s="430" t="s">
        <v>197</v>
      </c>
      <c r="CF152" s="430" t="s">
        <v>197</v>
      </c>
      <c r="CG152" s="430" t="s">
        <v>197</v>
      </c>
      <c r="CH152" s="430" t="s">
        <v>197</v>
      </c>
      <c r="CI152" s="430" t="s">
        <v>197</v>
      </c>
      <c r="CJ152" s="430" t="s">
        <v>197</v>
      </c>
      <c r="CK152" s="430" t="s">
        <v>197</v>
      </c>
      <c r="CL152" s="430" t="s">
        <v>197</v>
      </c>
      <c r="CM152" s="430" t="s">
        <v>197</v>
      </c>
    </row>
    <row r="153" spans="1:91" ht="10.5" hidden="1">
      <c r="A153" s="462" t="s">
        <v>801</v>
      </c>
      <c r="B153" s="462" t="s">
        <v>800</v>
      </c>
      <c r="C153" s="462" t="s">
        <v>203</v>
      </c>
      <c r="D153" s="462" t="s">
        <v>63</v>
      </c>
      <c r="E153" s="462" t="s">
        <v>64</v>
      </c>
      <c r="F153" s="462" t="s">
        <v>100</v>
      </c>
      <c r="G153" s="462" t="s">
        <v>402</v>
      </c>
      <c r="H153" s="462" t="s">
        <v>67</v>
      </c>
      <c r="I153" s="439" t="s">
        <v>68</v>
      </c>
      <c r="J153" s="430" t="s">
        <v>807</v>
      </c>
      <c r="K153" s="430"/>
      <c r="L153" s="430"/>
      <c r="M153" s="430" t="s">
        <v>68</v>
      </c>
      <c r="N153" s="432">
        <v>46045</v>
      </c>
      <c r="O153" s="430" t="s">
        <v>70</v>
      </c>
      <c r="P153" s="430" t="s">
        <v>420</v>
      </c>
      <c r="Q153" s="430" t="s">
        <v>421</v>
      </c>
      <c r="R153" s="431" t="s">
        <v>73</v>
      </c>
      <c r="S153" s="442" t="s">
        <v>120</v>
      </c>
      <c r="T153" s="433">
        <v>505</v>
      </c>
      <c r="U153" s="1062">
        <v>4320</v>
      </c>
      <c r="V153" s="434">
        <v>2.1819999999999999</v>
      </c>
      <c r="W153" s="435">
        <v>120</v>
      </c>
      <c r="X153" s="1015">
        <v>5</v>
      </c>
      <c r="Y153" s="430" t="s">
        <v>75</v>
      </c>
      <c r="Z153" s="430" t="s">
        <v>75</v>
      </c>
      <c r="AA153" s="430"/>
      <c r="AB153" s="437">
        <v>46060</v>
      </c>
      <c r="AC153" s="438">
        <v>6</v>
      </c>
      <c r="AD153" s="439" t="s">
        <v>808</v>
      </c>
      <c r="AE153" s="430"/>
      <c r="AF153" s="430" t="s">
        <v>77</v>
      </c>
      <c r="AG153" s="430" t="s">
        <v>61</v>
      </c>
      <c r="AH153" s="430" t="s">
        <v>105</v>
      </c>
      <c r="AI153" s="437">
        <v>46066</v>
      </c>
      <c r="AJ153" s="437">
        <v>46065</v>
      </c>
      <c r="AK153" s="441">
        <v>46065</v>
      </c>
      <c r="AL153" s="437">
        <v>46119</v>
      </c>
      <c r="AM153" s="437">
        <v>46141</v>
      </c>
      <c r="AN153" s="437">
        <v>46137</v>
      </c>
      <c r="AO153" s="430" t="s">
        <v>402</v>
      </c>
      <c r="AP153" s="430" t="s">
        <v>771</v>
      </c>
      <c r="AQ153" s="430" t="s">
        <v>80</v>
      </c>
      <c r="AR153" s="430" t="s">
        <v>809</v>
      </c>
      <c r="AS153" s="430" t="s">
        <v>810</v>
      </c>
      <c r="AT153" s="482" t="s">
        <v>810</v>
      </c>
      <c r="AU15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W153" s="437">
        <v>46137</v>
      </c>
      <c r="AX153" s="433" t="s">
        <v>84</v>
      </c>
      <c r="AY153" s="437">
        <v>46150</v>
      </c>
      <c r="AZ153" s="442">
        <v>7</v>
      </c>
      <c r="BA153" s="437">
        <v>46144</v>
      </c>
      <c r="BB153" s="433">
        <v>2026</v>
      </c>
      <c r="BC153" s="430">
        <v>5</v>
      </c>
      <c r="BD153" s="430">
        <v>18</v>
      </c>
      <c r="BE153" s="431">
        <v>36</v>
      </c>
      <c r="BF153" s="431">
        <v>864</v>
      </c>
      <c r="BG153" s="431" t="s">
        <v>85</v>
      </c>
      <c r="BH153" s="431" t="s">
        <v>109</v>
      </c>
      <c r="BI153" s="430" t="s">
        <v>197</v>
      </c>
      <c r="BJ153" s="430" t="s">
        <v>197</v>
      </c>
      <c r="BK153" s="430" t="s">
        <v>197</v>
      </c>
      <c r="BL153" s="430" t="s">
        <v>197</v>
      </c>
      <c r="BM153" s="430" t="s">
        <v>197</v>
      </c>
      <c r="BN153" s="430" t="s">
        <v>197</v>
      </c>
      <c r="BO153" s="430" t="s">
        <v>197</v>
      </c>
      <c r="BP153" s="430" t="s">
        <v>197</v>
      </c>
      <c r="BQ153" s="430" t="s">
        <v>197</v>
      </c>
      <c r="BR153" s="430" t="s">
        <v>197</v>
      </c>
      <c r="BS153" s="430" t="s">
        <v>197</v>
      </c>
      <c r="BT153" s="430" t="s">
        <v>197</v>
      </c>
      <c r="BU153" s="430" t="s">
        <v>197</v>
      </c>
      <c r="BV153" s="430" t="s">
        <v>197</v>
      </c>
      <c r="BW153" s="430" t="s">
        <v>197</v>
      </c>
      <c r="BX153" s="430" t="s">
        <v>197</v>
      </c>
      <c r="BY153" s="430" t="s">
        <v>197</v>
      </c>
      <c r="BZ153" s="430" t="s">
        <v>197</v>
      </c>
      <c r="CA153" s="430" t="s">
        <v>197</v>
      </c>
      <c r="CB153" s="430" t="s">
        <v>197</v>
      </c>
      <c r="CC153" s="430" t="s">
        <v>197</v>
      </c>
      <c r="CD153" s="430" t="s">
        <v>197</v>
      </c>
      <c r="CE153" s="430" t="s">
        <v>197</v>
      </c>
      <c r="CF153" s="430" t="s">
        <v>197</v>
      </c>
      <c r="CG153" s="430" t="s">
        <v>197</v>
      </c>
      <c r="CH153" s="430" t="s">
        <v>197</v>
      </c>
      <c r="CI153" s="430" t="s">
        <v>197</v>
      </c>
      <c r="CJ153" s="430" t="s">
        <v>197</v>
      </c>
      <c r="CK153" s="430" t="s">
        <v>197</v>
      </c>
      <c r="CL153" s="430" t="s">
        <v>197</v>
      </c>
      <c r="CM153" s="430" t="s">
        <v>197</v>
      </c>
    </row>
    <row r="154" spans="1:91" ht="10.5" hidden="1">
      <c r="A154" s="462" t="s">
        <v>811</v>
      </c>
      <c r="B154" s="462" t="s">
        <v>800</v>
      </c>
      <c r="C154" s="462" t="s">
        <v>801</v>
      </c>
      <c r="D154" s="462" t="s">
        <v>63</v>
      </c>
      <c r="E154" s="462" t="s">
        <v>64</v>
      </c>
      <c r="F154" s="462" t="s">
        <v>450</v>
      </c>
      <c r="G154" s="462" t="s">
        <v>402</v>
      </c>
      <c r="H154" s="462" t="s">
        <v>451</v>
      </c>
      <c r="I154" s="439" t="s">
        <v>68</v>
      </c>
      <c r="J154" s="430" t="s">
        <v>812</v>
      </c>
      <c r="K154" s="430" t="s">
        <v>328</v>
      </c>
      <c r="L154" s="430"/>
      <c r="M154" s="430" t="s">
        <v>68</v>
      </c>
      <c r="N154" s="432">
        <v>46045</v>
      </c>
      <c r="O154" s="430" t="s">
        <v>70</v>
      </c>
      <c r="P154" s="430" t="s">
        <v>420</v>
      </c>
      <c r="Q154" s="430" t="s">
        <v>421</v>
      </c>
      <c r="R154" s="431" t="s">
        <v>73</v>
      </c>
      <c r="S154" s="442" t="s">
        <v>120</v>
      </c>
      <c r="T154" s="433">
        <v>505</v>
      </c>
      <c r="U154" s="1062">
        <v>864</v>
      </c>
      <c r="V154" s="434">
        <v>0.436</v>
      </c>
      <c r="W154" s="435">
        <v>24</v>
      </c>
      <c r="X154" s="1015">
        <v>1</v>
      </c>
      <c r="Y154" s="430" t="s">
        <v>75</v>
      </c>
      <c r="Z154" s="430" t="s">
        <v>75</v>
      </c>
      <c r="AA154" s="430"/>
      <c r="AB154" s="437">
        <v>46061</v>
      </c>
      <c r="AC154" s="438">
        <v>6</v>
      </c>
      <c r="AD154" s="439" t="s">
        <v>813</v>
      </c>
      <c r="AE154" s="430"/>
      <c r="AF154" s="430" t="s">
        <v>77</v>
      </c>
      <c r="AG154" s="430" t="s">
        <v>61</v>
      </c>
      <c r="AH154" s="430" t="s">
        <v>456</v>
      </c>
      <c r="AI154" s="437">
        <v>46070</v>
      </c>
      <c r="AJ154" s="437">
        <v>46072</v>
      </c>
      <c r="AK154" s="441">
        <v>46072</v>
      </c>
      <c r="AL154" s="437">
        <v>46131</v>
      </c>
      <c r="AM154" s="437">
        <v>46138</v>
      </c>
      <c r="AN154" s="437">
        <v>46138</v>
      </c>
      <c r="AO154" s="430" t="s">
        <v>402</v>
      </c>
      <c r="AP154" s="430" t="s">
        <v>814</v>
      </c>
      <c r="AQ154" s="430" t="s">
        <v>80</v>
      </c>
      <c r="AR154" s="430" t="s">
        <v>815</v>
      </c>
      <c r="AS154" s="430" t="s">
        <v>816</v>
      </c>
      <c r="AT154" s="482" t="s">
        <v>816</v>
      </c>
      <c r="AU15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66</v>
      </c>
      <c r="AW154" s="437">
        <v>46138</v>
      </c>
      <c r="AX154" s="433" t="s">
        <v>84</v>
      </c>
      <c r="AY154" s="437">
        <v>46153</v>
      </c>
      <c r="AZ154" s="442">
        <v>7</v>
      </c>
      <c r="BA154" s="437">
        <v>46145</v>
      </c>
      <c r="BB154" s="433">
        <v>2026</v>
      </c>
      <c r="BC154" s="430">
        <v>5</v>
      </c>
      <c r="BD154" s="430">
        <v>18</v>
      </c>
      <c r="BE154" s="431">
        <v>36</v>
      </c>
      <c r="BF154" s="431">
        <v>864</v>
      </c>
      <c r="BG154" s="431" t="s">
        <v>85</v>
      </c>
      <c r="BH154" s="431" t="s">
        <v>109</v>
      </c>
      <c r="BI154" s="430" t="s">
        <v>197</v>
      </c>
      <c r="BJ154" s="430" t="s">
        <v>197</v>
      </c>
      <c r="BK154" s="430" t="s">
        <v>197</v>
      </c>
      <c r="BL154" s="430" t="s">
        <v>197</v>
      </c>
      <c r="BM154" s="430" t="s">
        <v>197</v>
      </c>
      <c r="BN154" s="430" t="s">
        <v>197</v>
      </c>
      <c r="BO154" s="430" t="s">
        <v>197</v>
      </c>
      <c r="BP154" s="430" t="s">
        <v>197</v>
      </c>
      <c r="BQ154" s="430" t="s">
        <v>197</v>
      </c>
      <c r="BR154" s="430" t="s">
        <v>197</v>
      </c>
      <c r="BS154" s="430" t="s">
        <v>197</v>
      </c>
      <c r="BT154" s="430" t="s">
        <v>197</v>
      </c>
      <c r="BU154" s="430" t="s">
        <v>197</v>
      </c>
      <c r="BV154" s="430" t="s">
        <v>197</v>
      </c>
      <c r="BW154" s="430" t="s">
        <v>197</v>
      </c>
      <c r="BX154" s="430" t="s">
        <v>197</v>
      </c>
      <c r="BY154" s="430" t="s">
        <v>197</v>
      </c>
      <c r="BZ154" s="430" t="s">
        <v>197</v>
      </c>
      <c r="CA154" s="430" t="s">
        <v>197</v>
      </c>
      <c r="CB154" s="430" t="s">
        <v>197</v>
      </c>
      <c r="CC154" s="430" t="s">
        <v>197</v>
      </c>
      <c r="CD154" s="430" t="s">
        <v>197</v>
      </c>
      <c r="CE154" s="430" t="s">
        <v>197</v>
      </c>
      <c r="CF154" s="430" t="s">
        <v>197</v>
      </c>
      <c r="CG154" s="430" t="s">
        <v>197</v>
      </c>
      <c r="CH154" s="430" t="s">
        <v>197</v>
      </c>
      <c r="CI154" s="430" t="s">
        <v>197</v>
      </c>
      <c r="CJ154" s="430" t="s">
        <v>197</v>
      </c>
      <c r="CK154" s="430" t="s">
        <v>197</v>
      </c>
      <c r="CL154" s="430" t="s">
        <v>197</v>
      </c>
      <c r="CM154" s="430" t="s">
        <v>197</v>
      </c>
    </row>
    <row r="155" spans="1:91" ht="10.5" hidden="1">
      <c r="A155" s="462" t="s">
        <v>817</v>
      </c>
      <c r="B155" s="462" t="s">
        <v>61</v>
      </c>
      <c r="C155" s="462" t="s">
        <v>796</v>
      </c>
      <c r="D155" s="462" t="s">
        <v>63</v>
      </c>
      <c r="E155" s="462" t="s">
        <v>64</v>
      </c>
      <c r="F155" s="462" t="s">
        <v>100</v>
      </c>
      <c r="G155" s="462" t="s">
        <v>402</v>
      </c>
      <c r="H155" s="462" t="s">
        <v>67</v>
      </c>
      <c r="I155" s="439" t="s">
        <v>68</v>
      </c>
      <c r="J155" s="430" t="s">
        <v>483</v>
      </c>
      <c r="K155" s="430"/>
      <c r="L155" s="430"/>
      <c r="M155" s="430" t="s">
        <v>68</v>
      </c>
      <c r="N155" s="432">
        <v>46045</v>
      </c>
      <c r="O155" s="430" t="s">
        <v>70</v>
      </c>
      <c r="P155" s="430" t="s">
        <v>570</v>
      </c>
      <c r="Q155" s="430" t="s">
        <v>571</v>
      </c>
      <c r="R155" s="431" t="s">
        <v>73</v>
      </c>
      <c r="S155" s="442" t="s">
        <v>120</v>
      </c>
      <c r="T155" s="433">
        <v>445</v>
      </c>
      <c r="U155" s="1062">
        <v>4680</v>
      </c>
      <c r="V155" s="434">
        <v>2.0830000000000002</v>
      </c>
      <c r="W155" s="435">
        <v>130</v>
      </c>
      <c r="X155" s="1015">
        <v>5</v>
      </c>
      <c r="Y155" s="430" t="s">
        <v>75</v>
      </c>
      <c r="Z155" s="430" t="s">
        <v>75</v>
      </c>
      <c r="AA155" s="430"/>
      <c r="AB155" s="437">
        <v>46061</v>
      </c>
      <c r="AC155" s="438">
        <v>6</v>
      </c>
      <c r="AD155" s="439" t="s">
        <v>818</v>
      </c>
      <c r="AE155" s="430"/>
      <c r="AF155" s="430" t="s">
        <v>77</v>
      </c>
      <c r="AG155" s="430" t="s">
        <v>61</v>
      </c>
      <c r="AH155" s="430" t="s">
        <v>105</v>
      </c>
      <c r="AI155" s="437">
        <v>46066</v>
      </c>
      <c r="AJ155" s="437">
        <v>46065</v>
      </c>
      <c r="AK155" s="441">
        <v>46065</v>
      </c>
      <c r="AL155" s="437">
        <v>46119</v>
      </c>
      <c r="AM155" s="437">
        <v>46133</v>
      </c>
      <c r="AN155" s="437">
        <v>46133</v>
      </c>
      <c r="AO155" s="430" t="s">
        <v>402</v>
      </c>
      <c r="AP155" s="430" t="s">
        <v>771</v>
      </c>
      <c r="AQ155" s="430" t="s">
        <v>80</v>
      </c>
      <c r="AR155" s="430" t="s">
        <v>819</v>
      </c>
      <c r="AS155" s="430" t="s">
        <v>820</v>
      </c>
      <c r="AT155" s="482" t="s">
        <v>820</v>
      </c>
      <c r="AU15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68</v>
      </c>
      <c r="AW155" s="437">
        <v>46133</v>
      </c>
      <c r="AX155" s="433" t="s">
        <v>84</v>
      </c>
      <c r="AY155" s="437">
        <v>46147</v>
      </c>
      <c r="AZ155" s="442">
        <v>7</v>
      </c>
      <c r="BA155" s="437">
        <v>46140</v>
      </c>
      <c r="BB155" s="433">
        <v>2026</v>
      </c>
      <c r="BC155" s="430">
        <v>4</v>
      </c>
      <c r="BD155" s="430">
        <v>18</v>
      </c>
      <c r="BE155" s="431">
        <v>36</v>
      </c>
      <c r="BF155" s="431">
        <v>936</v>
      </c>
      <c r="BG155" s="431" t="s">
        <v>94</v>
      </c>
      <c r="BH155" s="431" t="s">
        <v>109</v>
      </c>
      <c r="BI155" s="430" t="s">
        <v>197</v>
      </c>
      <c r="BJ155" s="430" t="s">
        <v>197</v>
      </c>
      <c r="BK155" s="430" t="s">
        <v>197</v>
      </c>
      <c r="BL155" s="430" t="s">
        <v>197</v>
      </c>
      <c r="BM155" s="430" t="s">
        <v>197</v>
      </c>
      <c r="BN155" s="430" t="s">
        <v>197</v>
      </c>
      <c r="BO155" s="430" t="s">
        <v>197</v>
      </c>
      <c r="BP155" s="430" t="s">
        <v>197</v>
      </c>
      <c r="BQ155" s="430" t="s">
        <v>197</v>
      </c>
      <c r="BR155" s="430" t="s">
        <v>197</v>
      </c>
      <c r="BS155" s="430" t="s">
        <v>197</v>
      </c>
      <c r="BT155" s="430" t="s">
        <v>197</v>
      </c>
      <c r="BU155" s="430" t="s">
        <v>197</v>
      </c>
      <c r="BV155" s="430" t="s">
        <v>197</v>
      </c>
      <c r="BW155" s="430" t="s">
        <v>197</v>
      </c>
      <c r="BX155" s="430" t="s">
        <v>197</v>
      </c>
      <c r="BY155" s="430" t="s">
        <v>197</v>
      </c>
      <c r="BZ155" s="430" t="s">
        <v>197</v>
      </c>
      <c r="CA155" s="430" t="s">
        <v>197</v>
      </c>
      <c r="CB155" s="430" t="s">
        <v>197</v>
      </c>
      <c r="CC155" s="430" t="s">
        <v>197</v>
      </c>
      <c r="CD155" s="430" t="s">
        <v>197</v>
      </c>
      <c r="CE155" s="430" t="s">
        <v>197</v>
      </c>
      <c r="CF155" s="430" t="s">
        <v>197</v>
      </c>
      <c r="CG155" s="430" t="s">
        <v>197</v>
      </c>
      <c r="CH155" s="430" t="s">
        <v>197</v>
      </c>
      <c r="CI155" s="430" t="s">
        <v>197</v>
      </c>
      <c r="CJ155" s="430" t="s">
        <v>197</v>
      </c>
      <c r="CK155" s="430" t="s">
        <v>197</v>
      </c>
      <c r="CL155" s="430" t="s">
        <v>197</v>
      </c>
      <c r="CM155" s="430" t="s">
        <v>197</v>
      </c>
    </row>
    <row r="156" spans="1:91" ht="10.5" hidden="1">
      <c r="A156" s="462" t="s">
        <v>821</v>
      </c>
      <c r="B156" s="462" t="s">
        <v>111</v>
      </c>
      <c r="C156" s="462" t="s">
        <v>376</v>
      </c>
      <c r="D156" s="462" t="s">
        <v>113</v>
      </c>
      <c r="E156" s="462" t="s">
        <v>64</v>
      </c>
      <c r="F156" s="462" t="s">
        <v>65</v>
      </c>
      <c r="G156" s="462" t="s">
        <v>402</v>
      </c>
      <c r="H156" s="462" t="s">
        <v>67</v>
      </c>
      <c r="I156" s="439" t="s">
        <v>822</v>
      </c>
      <c r="J156" s="430" t="s">
        <v>377</v>
      </c>
      <c r="K156" s="430" t="s">
        <v>328</v>
      </c>
      <c r="L156" s="430"/>
      <c r="M156" s="430" t="s">
        <v>68</v>
      </c>
      <c r="N156" s="432" t="s">
        <v>68</v>
      </c>
      <c r="O156" s="430" t="s">
        <v>70</v>
      </c>
      <c r="P156" s="430" t="s">
        <v>378</v>
      </c>
      <c r="Q156" s="430" t="s">
        <v>379</v>
      </c>
      <c r="R156" s="431" t="s">
        <v>73</v>
      </c>
      <c r="S156" s="442" t="s">
        <v>120</v>
      </c>
      <c r="T156" s="433">
        <v>620</v>
      </c>
      <c r="U156" s="1062">
        <v>10800</v>
      </c>
      <c r="V156" s="434">
        <v>6.6959999999999997</v>
      </c>
      <c r="W156" s="435">
        <v>300</v>
      </c>
      <c r="X156" s="1015">
        <v>15</v>
      </c>
      <c r="Y156" s="430" t="s">
        <v>75</v>
      </c>
      <c r="Z156" s="430" t="s">
        <v>75</v>
      </c>
      <c r="AA156" s="430"/>
      <c r="AB156" s="437">
        <v>46063</v>
      </c>
      <c r="AC156" s="438">
        <v>7</v>
      </c>
      <c r="AD156" s="439" t="s">
        <v>823</v>
      </c>
      <c r="AE156" s="430"/>
      <c r="AF156" s="430" t="s">
        <v>122</v>
      </c>
      <c r="AG156" s="430" t="s">
        <v>123</v>
      </c>
      <c r="AH156" s="430" t="s">
        <v>356</v>
      </c>
      <c r="AI156" s="437">
        <v>46068</v>
      </c>
      <c r="AJ156" s="437">
        <v>46068</v>
      </c>
      <c r="AK156" s="441">
        <v>46079</v>
      </c>
      <c r="AL156" s="437">
        <v>46095</v>
      </c>
      <c r="AM156" s="437">
        <v>46112</v>
      </c>
      <c r="AN156" s="437">
        <v>46115</v>
      </c>
      <c r="AO156" s="430" t="s">
        <v>402</v>
      </c>
      <c r="AP156" s="430" t="s">
        <v>824</v>
      </c>
      <c r="AQ156" s="430" t="s">
        <v>161</v>
      </c>
      <c r="AR156" s="430" t="s">
        <v>825</v>
      </c>
      <c r="AS156" s="430" t="s">
        <v>826</v>
      </c>
      <c r="AT156" s="482" t="s">
        <v>826</v>
      </c>
      <c r="AU15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36</v>
      </c>
      <c r="AW156" s="437">
        <v>46115</v>
      </c>
      <c r="AX156" s="433" t="s">
        <v>84</v>
      </c>
      <c r="AY156" s="437">
        <v>46127</v>
      </c>
      <c r="AZ156" s="442">
        <v>8</v>
      </c>
      <c r="BA156" s="437">
        <v>46123</v>
      </c>
      <c r="BB156" s="433">
        <v>2026</v>
      </c>
      <c r="BC156" s="430">
        <v>4</v>
      </c>
      <c r="BD156" s="430">
        <v>15</v>
      </c>
      <c r="BE156" s="431">
        <v>36</v>
      </c>
      <c r="BF156" s="431">
        <v>720</v>
      </c>
      <c r="BG156" s="431" t="s">
        <v>128</v>
      </c>
      <c r="BH156" s="431" t="s">
        <v>109</v>
      </c>
      <c r="BI156" s="430" t="s">
        <v>197</v>
      </c>
      <c r="BJ156" s="430" t="s">
        <v>197</v>
      </c>
      <c r="BK156" s="430" t="s">
        <v>197</v>
      </c>
      <c r="BL156" s="430" t="s">
        <v>197</v>
      </c>
      <c r="BM156" s="430" t="s">
        <v>197</v>
      </c>
      <c r="BN156" s="430" t="s">
        <v>197</v>
      </c>
      <c r="BO156" s="430" t="s">
        <v>197</v>
      </c>
      <c r="BP156" s="430" t="s">
        <v>197</v>
      </c>
      <c r="BQ156" s="430" t="s">
        <v>197</v>
      </c>
      <c r="BR156" s="430" t="s">
        <v>197</v>
      </c>
      <c r="BS156" s="430" t="s">
        <v>197</v>
      </c>
      <c r="BT156" s="430" t="s">
        <v>197</v>
      </c>
      <c r="BU156" s="430" t="s">
        <v>197</v>
      </c>
      <c r="BV156" s="430" t="s">
        <v>197</v>
      </c>
      <c r="BW156" s="430" t="s">
        <v>197</v>
      </c>
      <c r="BX156" s="430" t="s">
        <v>197</v>
      </c>
      <c r="BY156" s="430" t="s">
        <v>197</v>
      </c>
      <c r="BZ156" s="430" t="s">
        <v>197</v>
      </c>
      <c r="CA156" s="430" t="s">
        <v>197</v>
      </c>
      <c r="CB156" s="430" t="s">
        <v>197</v>
      </c>
      <c r="CC156" s="430" t="s">
        <v>197</v>
      </c>
      <c r="CD156" s="430" t="s">
        <v>197</v>
      </c>
      <c r="CE156" s="430" t="s">
        <v>197</v>
      </c>
      <c r="CF156" s="430" t="s">
        <v>197</v>
      </c>
      <c r="CG156" s="430" t="s">
        <v>197</v>
      </c>
      <c r="CH156" s="430" t="s">
        <v>197</v>
      </c>
      <c r="CI156" s="430" t="s">
        <v>197</v>
      </c>
      <c r="CJ156" s="430" t="s">
        <v>197</v>
      </c>
      <c r="CK156" s="430" t="s">
        <v>197</v>
      </c>
      <c r="CL156" s="430" t="s">
        <v>197</v>
      </c>
      <c r="CM156" s="430" t="s">
        <v>197</v>
      </c>
    </row>
    <row r="157" spans="1:91" ht="10.5" hidden="1">
      <c r="A157" s="462" t="s">
        <v>827</v>
      </c>
      <c r="B157" s="462" t="s">
        <v>111</v>
      </c>
      <c r="C157" s="462" t="s">
        <v>168</v>
      </c>
      <c r="D157" s="462" t="s">
        <v>63</v>
      </c>
      <c r="E157" s="462" t="s">
        <v>64</v>
      </c>
      <c r="F157" s="462" t="s">
        <v>100</v>
      </c>
      <c r="G157" s="462" t="s">
        <v>66</v>
      </c>
      <c r="H157" s="462" t="s">
        <v>67</v>
      </c>
      <c r="I157" s="439" t="s">
        <v>68</v>
      </c>
      <c r="J157" s="430" t="s">
        <v>169</v>
      </c>
      <c r="K157" s="430"/>
      <c r="L157" s="430"/>
      <c r="M157" s="430" t="s">
        <v>68</v>
      </c>
      <c r="N157" s="432" t="s">
        <v>68</v>
      </c>
      <c r="O157" s="430" t="s">
        <v>70</v>
      </c>
      <c r="P157" s="430" t="s">
        <v>171</v>
      </c>
      <c r="Q157" s="430" t="s">
        <v>172</v>
      </c>
      <c r="R157" s="431" t="s">
        <v>73</v>
      </c>
      <c r="S157" s="442" t="s">
        <v>120</v>
      </c>
      <c r="T157" s="433">
        <v>555</v>
      </c>
      <c r="U157" s="1062">
        <v>1320</v>
      </c>
      <c r="V157" s="434">
        <v>0.73299999999999998</v>
      </c>
      <c r="W157" s="435">
        <v>40</v>
      </c>
      <c r="X157" s="1015">
        <v>2</v>
      </c>
      <c r="Y157" s="430" t="s">
        <v>75</v>
      </c>
      <c r="Z157" s="430" t="s">
        <v>75</v>
      </c>
      <c r="AA157" s="430"/>
      <c r="AB157" s="437">
        <v>46061</v>
      </c>
      <c r="AC157" s="438">
        <v>6</v>
      </c>
      <c r="AD157" s="439" t="s">
        <v>828</v>
      </c>
      <c r="AE157" s="430"/>
      <c r="AF157" s="430" t="s">
        <v>122</v>
      </c>
      <c r="AG157" s="430" t="s">
        <v>123</v>
      </c>
      <c r="AH157" s="430" t="s">
        <v>105</v>
      </c>
      <c r="AI157" s="437">
        <v>46067</v>
      </c>
      <c r="AJ157" s="437">
        <v>46087</v>
      </c>
      <c r="AK157" s="441">
        <v>46086</v>
      </c>
      <c r="AL157" s="437">
        <v>46108</v>
      </c>
      <c r="AM157" s="437">
        <v>46133</v>
      </c>
      <c r="AN157" s="437">
        <v>46133</v>
      </c>
      <c r="AO157" s="430" t="s">
        <v>402</v>
      </c>
      <c r="AP157" s="430" t="s">
        <v>829</v>
      </c>
      <c r="AQ157" s="430" t="s">
        <v>80</v>
      </c>
      <c r="AR157" s="430" t="s">
        <v>830</v>
      </c>
      <c r="AS157" s="430" t="s">
        <v>831</v>
      </c>
      <c r="AT157" s="482" t="s">
        <v>831</v>
      </c>
      <c r="AU15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157" s="437">
        <v>46133</v>
      </c>
      <c r="AX157" s="433" t="s">
        <v>84</v>
      </c>
      <c r="AY157" s="437">
        <v>46147</v>
      </c>
      <c r="AZ157" s="442">
        <v>7</v>
      </c>
      <c r="BA157" s="437">
        <v>46140</v>
      </c>
      <c r="BB157" s="433">
        <v>2026</v>
      </c>
      <c r="BC157" s="430">
        <v>4</v>
      </c>
      <c r="BD157" s="430">
        <v>18</v>
      </c>
      <c r="BE157" s="431">
        <v>33</v>
      </c>
      <c r="BF157" s="431">
        <v>660</v>
      </c>
      <c r="BG157" s="431" t="s">
        <v>108</v>
      </c>
      <c r="BH157" s="431" t="s">
        <v>109</v>
      </c>
      <c r="BI157" s="430" t="s">
        <v>197</v>
      </c>
      <c r="BJ157" s="430" t="s">
        <v>197</v>
      </c>
      <c r="BK157" s="430" t="s">
        <v>197</v>
      </c>
      <c r="BL157" s="430" t="s">
        <v>197</v>
      </c>
      <c r="BM157" s="430" t="s">
        <v>197</v>
      </c>
      <c r="BN157" s="430" t="s">
        <v>197</v>
      </c>
      <c r="BO157" s="430" t="s">
        <v>197</v>
      </c>
      <c r="BP157" s="430" t="s">
        <v>197</v>
      </c>
      <c r="BQ157" s="430" t="s">
        <v>197</v>
      </c>
      <c r="BR157" s="430" t="s">
        <v>197</v>
      </c>
      <c r="BS157" s="430" t="s">
        <v>197</v>
      </c>
      <c r="BT157" s="430" t="s">
        <v>197</v>
      </c>
      <c r="BU157" s="430" t="s">
        <v>197</v>
      </c>
      <c r="BV157" s="430" t="s">
        <v>197</v>
      </c>
      <c r="BW157" s="430" t="s">
        <v>197</v>
      </c>
      <c r="BX157" s="430" t="s">
        <v>197</v>
      </c>
      <c r="BY157" s="430" t="s">
        <v>197</v>
      </c>
      <c r="BZ157" s="430" t="s">
        <v>197</v>
      </c>
      <c r="CA157" s="430" t="s">
        <v>197</v>
      </c>
      <c r="CB157" s="430" t="s">
        <v>197</v>
      </c>
      <c r="CC157" s="430" t="s">
        <v>197</v>
      </c>
      <c r="CD157" s="430" t="s">
        <v>197</v>
      </c>
      <c r="CE157" s="430" t="s">
        <v>197</v>
      </c>
      <c r="CF157" s="430" t="s">
        <v>197</v>
      </c>
      <c r="CG157" s="430" t="s">
        <v>197</v>
      </c>
      <c r="CH157" s="430" t="s">
        <v>197</v>
      </c>
      <c r="CI157" s="430" t="s">
        <v>197</v>
      </c>
      <c r="CJ157" s="430" t="s">
        <v>197</v>
      </c>
      <c r="CK157" s="430" t="s">
        <v>197</v>
      </c>
      <c r="CL157" s="430" t="s">
        <v>197</v>
      </c>
      <c r="CM157" s="430" t="s">
        <v>197</v>
      </c>
    </row>
    <row r="158" spans="1:91" ht="10.5" hidden="1">
      <c r="A158" s="462" t="s">
        <v>832</v>
      </c>
      <c r="B158" s="462" t="s">
        <v>111</v>
      </c>
      <c r="C158" s="462" t="s">
        <v>376</v>
      </c>
      <c r="D158" s="462" t="s">
        <v>113</v>
      </c>
      <c r="E158" s="462" t="s">
        <v>64</v>
      </c>
      <c r="F158" s="462" t="s">
        <v>65</v>
      </c>
      <c r="G158" s="462" t="s">
        <v>402</v>
      </c>
      <c r="H158" s="462" t="s">
        <v>67</v>
      </c>
      <c r="I158" s="439" t="s">
        <v>68</v>
      </c>
      <c r="J158" s="430" t="s">
        <v>377</v>
      </c>
      <c r="K158" s="430" t="s">
        <v>328</v>
      </c>
      <c r="L158" s="430"/>
      <c r="M158" s="430" t="s">
        <v>68</v>
      </c>
      <c r="N158" s="432">
        <v>46045</v>
      </c>
      <c r="O158" s="430" t="s">
        <v>70</v>
      </c>
      <c r="P158" s="430" t="s">
        <v>378</v>
      </c>
      <c r="Q158" s="430" t="s">
        <v>379</v>
      </c>
      <c r="R158" s="431" t="s">
        <v>73</v>
      </c>
      <c r="S158" s="442" t="s">
        <v>120</v>
      </c>
      <c r="T158" s="433">
        <v>620</v>
      </c>
      <c r="U158" s="1062">
        <v>5040</v>
      </c>
      <c r="V158" s="434">
        <v>3.125</v>
      </c>
      <c r="W158" s="435">
        <v>140</v>
      </c>
      <c r="X158" s="1015">
        <v>7</v>
      </c>
      <c r="Y158" s="430" t="s">
        <v>75</v>
      </c>
      <c r="Z158" s="430" t="s">
        <v>75</v>
      </c>
      <c r="AA158" s="430"/>
      <c r="AB158" s="437">
        <v>46066</v>
      </c>
      <c r="AC158" s="438">
        <v>7</v>
      </c>
      <c r="AD158" s="439" t="s">
        <v>833</v>
      </c>
      <c r="AE158" s="430"/>
      <c r="AF158" s="430" t="s">
        <v>122</v>
      </c>
      <c r="AG158" s="430" t="s">
        <v>123</v>
      </c>
      <c r="AH158" s="430" t="s">
        <v>78</v>
      </c>
      <c r="AI158" s="437">
        <v>46071</v>
      </c>
      <c r="AJ158" s="437">
        <v>46075</v>
      </c>
      <c r="AK158" s="441">
        <v>46075</v>
      </c>
      <c r="AL158" s="437">
        <v>46119</v>
      </c>
      <c r="AM158" s="437">
        <v>46125</v>
      </c>
      <c r="AN158" s="437">
        <v>46125</v>
      </c>
      <c r="AO158" s="430" t="s">
        <v>402</v>
      </c>
      <c r="AP158" s="430" t="s">
        <v>834</v>
      </c>
      <c r="AQ158" s="430" t="s">
        <v>80</v>
      </c>
      <c r="AR158" s="430" t="s">
        <v>835</v>
      </c>
      <c r="AS158" s="430" t="s">
        <v>836</v>
      </c>
      <c r="AT158" s="482" t="s">
        <v>836</v>
      </c>
      <c r="AU15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158" s="437">
        <v>46125</v>
      </c>
      <c r="AX158" s="433" t="s">
        <v>84</v>
      </c>
      <c r="AY158" s="437">
        <v>46133</v>
      </c>
      <c r="AZ158" s="442">
        <v>8</v>
      </c>
      <c r="BA158" s="437">
        <v>46133</v>
      </c>
      <c r="BB158" s="433">
        <v>2026</v>
      </c>
      <c r="BC158" s="430">
        <v>4</v>
      </c>
      <c r="BD158" s="430">
        <v>17</v>
      </c>
      <c r="BE158" s="431">
        <v>36</v>
      </c>
      <c r="BF158" s="431">
        <v>720</v>
      </c>
      <c r="BG158" s="431" t="s">
        <v>128</v>
      </c>
      <c r="BH158" s="431" t="s">
        <v>86</v>
      </c>
      <c r="BI158" s="430" t="s">
        <v>197</v>
      </c>
      <c r="BJ158" s="430" t="s">
        <v>197</v>
      </c>
      <c r="BK158" s="430" t="s">
        <v>197</v>
      </c>
      <c r="BL158" s="430" t="s">
        <v>197</v>
      </c>
      <c r="BM158" s="430" t="s">
        <v>197</v>
      </c>
      <c r="BN158" s="430" t="s">
        <v>197</v>
      </c>
      <c r="BO158" s="430" t="s">
        <v>197</v>
      </c>
      <c r="BP158" s="430" t="s">
        <v>197</v>
      </c>
      <c r="BQ158" s="430" t="s">
        <v>197</v>
      </c>
      <c r="BR158" s="430" t="s">
        <v>197</v>
      </c>
      <c r="BS158" s="430" t="s">
        <v>197</v>
      </c>
      <c r="BT158" s="430" t="s">
        <v>197</v>
      </c>
      <c r="BU158" s="430" t="s">
        <v>197</v>
      </c>
      <c r="BV158" s="430" t="s">
        <v>197</v>
      </c>
      <c r="BW158" s="430" t="s">
        <v>197</v>
      </c>
      <c r="BX158" s="430" t="s">
        <v>197</v>
      </c>
      <c r="BY158" s="430" t="s">
        <v>197</v>
      </c>
      <c r="BZ158" s="430" t="s">
        <v>197</v>
      </c>
      <c r="CA158" s="430" t="s">
        <v>197</v>
      </c>
      <c r="CB158" s="430" t="s">
        <v>197</v>
      </c>
      <c r="CC158" s="430" t="s">
        <v>197</v>
      </c>
      <c r="CD158" s="430" t="s">
        <v>197</v>
      </c>
      <c r="CE158" s="430" t="s">
        <v>197</v>
      </c>
      <c r="CF158" s="430" t="s">
        <v>197</v>
      </c>
      <c r="CG158" s="430" t="s">
        <v>197</v>
      </c>
      <c r="CH158" s="430" t="s">
        <v>197</v>
      </c>
      <c r="CI158" s="430" t="s">
        <v>197</v>
      </c>
      <c r="CJ158" s="430" t="s">
        <v>197</v>
      </c>
      <c r="CK158" s="430" t="s">
        <v>197</v>
      </c>
      <c r="CL158" s="430" t="s">
        <v>197</v>
      </c>
      <c r="CM158" s="430" t="s">
        <v>197</v>
      </c>
    </row>
    <row r="159" spans="1:91" ht="10.5" hidden="1">
      <c r="A159" s="462" t="s">
        <v>837</v>
      </c>
      <c r="B159" s="462" t="s">
        <v>111</v>
      </c>
      <c r="C159" s="462" t="s">
        <v>838</v>
      </c>
      <c r="D159" s="462" t="s">
        <v>63</v>
      </c>
      <c r="E159" s="462" t="s">
        <v>144</v>
      </c>
      <c r="F159" s="462" t="s">
        <v>145</v>
      </c>
      <c r="G159" s="462" t="s">
        <v>402</v>
      </c>
      <c r="H159" s="462" t="s">
        <v>593</v>
      </c>
      <c r="I159" s="439" t="s">
        <v>68</v>
      </c>
      <c r="J159" s="430" t="s">
        <v>594</v>
      </c>
      <c r="K159" s="430" t="s">
        <v>839</v>
      </c>
      <c r="L159" s="430"/>
      <c r="M159" s="430" t="s">
        <v>840</v>
      </c>
      <c r="N159" s="432">
        <v>46045</v>
      </c>
      <c r="O159" s="430" t="s">
        <v>132</v>
      </c>
      <c r="P159" s="430" t="s">
        <v>841</v>
      </c>
      <c r="Q159" s="430" t="s">
        <v>842</v>
      </c>
      <c r="R159" s="431" t="s">
        <v>73</v>
      </c>
      <c r="S159" s="442" t="s">
        <v>120</v>
      </c>
      <c r="T159" s="433">
        <v>515</v>
      </c>
      <c r="U159" s="1062">
        <v>3168</v>
      </c>
      <c r="V159" s="434">
        <v>1.6319999999999999</v>
      </c>
      <c r="W159" s="435">
        <v>88</v>
      </c>
      <c r="X159" s="1015">
        <v>4</v>
      </c>
      <c r="Y159" s="430" t="s">
        <v>75</v>
      </c>
      <c r="Z159" s="430" t="s">
        <v>75</v>
      </c>
      <c r="AA159" s="430"/>
      <c r="AB159" s="437">
        <v>46060</v>
      </c>
      <c r="AC159" s="438">
        <v>6</v>
      </c>
      <c r="AD159" s="439" t="s">
        <v>843</v>
      </c>
      <c r="AE159" s="430"/>
      <c r="AF159" s="430" t="s">
        <v>122</v>
      </c>
      <c r="AG159" s="430" t="s">
        <v>123</v>
      </c>
      <c r="AH159" s="430" t="s">
        <v>124</v>
      </c>
      <c r="AI159" s="437">
        <v>46069</v>
      </c>
      <c r="AJ159" s="437">
        <v>46072</v>
      </c>
      <c r="AK159" s="441">
        <v>46072</v>
      </c>
      <c r="AL159" s="437">
        <v>46121</v>
      </c>
      <c r="AM159" s="437">
        <v>46123</v>
      </c>
      <c r="AN159" s="437">
        <v>46127</v>
      </c>
      <c r="AO159" s="430" t="s">
        <v>402</v>
      </c>
      <c r="AP159" s="430" t="s">
        <v>844</v>
      </c>
      <c r="AQ159" s="430" t="s">
        <v>80</v>
      </c>
      <c r="AR159" s="430" t="s">
        <v>845</v>
      </c>
      <c r="AS159" s="430" t="s">
        <v>846</v>
      </c>
      <c r="AT159" s="482" t="s">
        <v>846</v>
      </c>
      <c r="AU15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55</v>
      </c>
      <c r="AW159" s="437">
        <v>46127</v>
      </c>
      <c r="AX159" s="433" t="s">
        <v>84</v>
      </c>
      <c r="AY159" s="437">
        <v>46135</v>
      </c>
      <c r="AZ159" s="442" t="s">
        <v>152</v>
      </c>
      <c r="BA159" s="437">
        <v>46127</v>
      </c>
      <c r="BB159" s="433">
        <v>2026</v>
      </c>
      <c r="BC159" s="430">
        <v>4</v>
      </c>
      <c r="BD159" s="430">
        <v>16</v>
      </c>
      <c r="BE159" s="431">
        <v>36</v>
      </c>
      <c r="BF159" s="431">
        <v>792</v>
      </c>
      <c r="BG159" s="431" t="s">
        <v>108</v>
      </c>
      <c r="BH159" s="431" t="s">
        <v>86</v>
      </c>
      <c r="BI159" s="430" t="s">
        <v>197</v>
      </c>
      <c r="BJ159" s="430" t="s">
        <v>197</v>
      </c>
      <c r="BK159" s="430" t="s">
        <v>197</v>
      </c>
      <c r="BL159" s="430" t="s">
        <v>197</v>
      </c>
      <c r="BM159" s="430" t="s">
        <v>197</v>
      </c>
      <c r="BN159" s="430" t="s">
        <v>197</v>
      </c>
      <c r="BO159" s="430" t="s">
        <v>197</v>
      </c>
      <c r="BP159" s="430" t="s">
        <v>197</v>
      </c>
      <c r="BQ159" s="430" t="s">
        <v>197</v>
      </c>
      <c r="BR159" s="430" t="s">
        <v>197</v>
      </c>
      <c r="BS159" s="430" t="s">
        <v>197</v>
      </c>
      <c r="BT159" s="430" t="s">
        <v>197</v>
      </c>
      <c r="BU159" s="430" t="s">
        <v>197</v>
      </c>
      <c r="BV159" s="430" t="s">
        <v>197</v>
      </c>
      <c r="BW159" s="430" t="s">
        <v>197</v>
      </c>
      <c r="BX159" s="430" t="s">
        <v>197</v>
      </c>
      <c r="BY159" s="430" t="s">
        <v>197</v>
      </c>
      <c r="BZ159" s="430" t="s">
        <v>197</v>
      </c>
      <c r="CA159" s="430" t="s">
        <v>197</v>
      </c>
      <c r="CB159" s="430" t="s">
        <v>197</v>
      </c>
      <c r="CC159" s="430" t="s">
        <v>197</v>
      </c>
      <c r="CD159" s="430" t="s">
        <v>197</v>
      </c>
      <c r="CE159" s="430" t="s">
        <v>197</v>
      </c>
      <c r="CF159" s="430" t="s">
        <v>197</v>
      </c>
      <c r="CG159" s="430" t="s">
        <v>197</v>
      </c>
      <c r="CH159" s="430" t="s">
        <v>197</v>
      </c>
      <c r="CI159" s="430" t="s">
        <v>197</v>
      </c>
      <c r="CJ159" s="430" t="s">
        <v>197</v>
      </c>
      <c r="CK159" s="430" t="s">
        <v>197</v>
      </c>
      <c r="CL159" s="430" t="s">
        <v>197</v>
      </c>
      <c r="CM159" s="430" t="s">
        <v>197</v>
      </c>
    </row>
    <row r="160" spans="1:91" ht="10.5" hidden="1">
      <c r="A160" s="462" t="s">
        <v>847</v>
      </c>
      <c r="B160" s="462" t="s">
        <v>77</v>
      </c>
      <c r="C160" s="462" t="s">
        <v>705</v>
      </c>
      <c r="D160" s="462" t="s">
        <v>63</v>
      </c>
      <c r="E160" s="462" t="s">
        <v>64</v>
      </c>
      <c r="F160" s="462" t="s">
        <v>100</v>
      </c>
      <c r="G160" s="462" t="s">
        <v>402</v>
      </c>
      <c r="H160" s="462" t="s">
        <v>67</v>
      </c>
      <c r="I160" s="439" t="s">
        <v>68</v>
      </c>
      <c r="J160" s="430" t="s">
        <v>848</v>
      </c>
      <c r="K160" s="430"/>
      <c r="L160" s="430"/>
      <c r="M160" s="430" t="s">
        <v>68</v>
      </c>
      <c r="N160" s="432">
        <v>46045</v>
      </c>
      <c r="O160" s="430" t="s">
        <v>70</v>
      </c>
      <c r="P160" s="430" t="s">
        <v>706</v>
      </c>
      <c r="Q160" s="430" t="s">
        <v>707</v>
      </c>
      <c r="R160" s="431" t="s">
        <v>73</v>
      </c>
      <c r="S160" s="442" t="s">
        <v>74</v>
      </c>
      <c r="T160" s="433">
        <v>500</v>
      </c>
      <c r="U160" s="1062">
        <v>72</v>
      </c>
      <c r="V160" s="434">
        <v>3.5999999999999997E-2</v>
      </c>
      <c r="W160" s="435">
        <v>2</v>
      </c>
      <c r="X160" s="1015">
        <v>0.1</v>
      </c>
      <c r="Y160" s="430" t="s">
        <v>75</v>
      </c>
      <c r="Z160" s="430" t="s">
        <v>75</v>
      </c>
      <c r="AA160" s="430"/>
      <c r="AB160" s="437">
        <v>46062</v>
      </c>
      <c r="AC160" s="438">
        <v>7</v>
      </c>
      <c r="AD160" s="439" t="s">
        <v>849</v>
      </c>
      <c r="AE160" s="430"/>
      <c r="AF160" s="430" t="s">
        <v>77</v>
      </c>
      <c r="AG160" s="430" t="s">
        <v>61</v>
      </c>
      <c r="AH160" s="430" t="s">
        <v>105</v>
      </c>
      <c r="AI160" s="437">
        <v>46080</v>
      </c>
      <c r="AJ160" s="437">
        <v>46081</v>
      </c>
      <c r="AK160" s="441">
        <v>46081</v>
      </c>
      <c r="AL160" s="437">
        <v>46139</v>
      </c>
      <c r="AM160" s="437">
        <v>46141</v>
      </c>
      <c r="AN160" s="437">
        <v>46137</v>
      </c>
      <c r="AO160" s="430" t="s">
        <v>402</v>
      </c>
      <c r="AP160" s="430" t="s">
        <v>850</v>
      </c>
      <c r="AQ160" s="430" t="s">
        <v>80</v>
      </c>
      <c r="AR160" s="430" t="s">
        <v>851</v>
      </c>
      <c r="AS160" s="430" t="s">
        <v>852</v>
      </c>
      <c r="AT160" s="482" t="s">
        <v>852</v>
      </c>
      <c r="AU16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W160" s="437">
        <v>46137</v>
      </c>
      <c r="AX160" s="433" t="s">
        <v>84</v>
      </c>
      <c r="AY160" s="437">
        <v>46150</v>
      </c>
      <c r="AZ160" s="442">
        <v>7</v>
      </c>
      <c r="BA160" s="437">
        <v>46144</v>
      </c>
      <c r="BB160" s="433">
        <v>2026</v>
      </c>
      <c r="BC160" s="430">
        <v>5</v>
      </c>
      <c r="BD160" s="430">
        <v>18</v>
      </c>
      <c r="BE160" s="431">
        <v>36</v>
      </c>
      <c r="BF160" s="431">
        <v>864</v>
      </c>
      <c r="BG160" s="431" t="s">
        <v>85</v>
      </c>
      <c r="BH160" s="431" t="s">
        <v>109</v>
      </c>
      <c r="BI160" s="430" t="s">
        <v>197</v>
      </c>
      <c r="BJ160" s="430" t="s">
        <v>197</v>
      </c>
      <c r="BK160" s="430" t="s">
        <v>197</v>
      </c>
      <c r="BL160" s="430" t="s">
        <v>197</v>
      </c>
      <c r="BM160" s="430" t="s">
        <v>197</v>
      </c>
      <c r="BN160" s="430" t="s">
        <v>197</v>
      </c>
      <c r="BO160" s="430" t="s">
        <v>197</v>
      </c>
      <c r="BP160" s="430" t="s">
        <v>197</v>
      </c>
      <c r="BQ160" s="430" t="s">
        <v>197</v>
      </c>
      <c r="BR160" s="430" t="s">
        <v>197</v>
      </c>
      <c r="BS160" s="430" t="s">
        <v>197</v>
      </c>
      <c r="BT160" s="430" t="s">
        <v>197</v>
      </c>
      <c r="BU160" s="430" t="s">
        <v>197</v>
      </c>
      <c r="BV160" s="430" t="s">
        <v>197</v>
      </c>
      <c r="BW160" s="430" t="s">
        <v>197</v>
      </c>
      <c r="BX160" s="430" t="s">
        <v>197</v>
      </c>
      <c r="BY160" s="430" t="s">
        <v>197</v>
      </c>
      <c r="BZ160" s="430" t="s">
        <v>197</v>
      </c>
      <c r="CA160" s="430" t="s">
        <v>197</v>
      </c>
      <c r="CB160" s="430" t="s">
        <v>197</v>
      </c>
      <c r="CC160" s="430" t="s">
        <v>197</v>
      </c>
      <c r="CD160" s="430" t="s">
        <v>197</v>
      </c>
      <c r="CE160" s="430" t="s">
        <v>197</v>
      </c>
      <c r="CF160" s="430" t="s">
        <v>197</v>
      </c>
      <c r="CG160" s="430" t="s">
        <v>197</v>
      </c>
      <c r="CH160" s="430" t="s">
        <v>197</v>
      </c>
      <c r="CI160" s="430" t="s">
        <v>197</v>
      </c>
      <c r="CJ160" s="430" t="s">
        <v>197</v>
      </c>
      <c r="CK160" s="430" t="s">
        <v>197</v>
      </c>
      <c r="CL160" s="430" t="s">
        <v>197</v>
      </c>
      <c r="CM160" s="430" t="s">
        <v>197</v>
      </c>
    </row>
    <row r="161" spans="1:91" ht="10.5" hidden="1">
      <c r="A161" s="462" t="s">
        <v>688</v>
      </c>
      <c r="B161" s="462" t="s">
        <v>77</v>
      </c>
      <c r="C161" s="462" t="s">
        <v>203</v>
      </c>
      <c r="D161" s="462" t="s">
        <v>63</v>
      </c>
      <c r="E161" s="462" t="s">
        <v>64</v>
      </c>
      <c r="F161" s="462" t="s">
        <v>100</v>
      </c>
      <c r="G161" s="462" t="s">
        <v>402</v>
      </c>
      <c r="H161" s="462" t="s">
        <v>67</v>
      </c>
      <c r="I161" s="439" t="s">
        <v>68</v>
      </c>
      <c r="J161" s="430" t="s">
        <v>853</v>
      </c>
      <c r="K161" s="430"/>
      <c r="L161" s="430"/>
      <c r="M161" s="430" t="s">
        <v>68</v>
      </c>
      <c r="N161" s="432">
        <v>46045</v>
      </c>
      <c r="O161" s="430" t="s">
        <v>70</v>
      </c>
      <c r="P161" s="430" t="s">
        <v>691</v>
      </c>
      <c r="Q161" s="430" t="s">
        <v>692</v>
      </c>
      <c r="R161" s="431" t="s">
        <v>73</v>
      </c>
      <c r="S161" s="442" t="s">
        <v>74</v>
      </c>
      <c r="T161" s="433">
        <v>505</v>
      </c>
      <c r="U161" s="1062">
        <v>36</v>
      </c>
      <c r="V161" s="434">
        <v>1.7999999999999999E-2</v>
      </c>
      <c r="W161" s="435">
        <v>1</v>
      </c>
      <c r="X161" s="1015">
        <v>0</v>
      </c>
      <c r="Y161" s="430" t="s">
        <v>75</v>
      </c>
      <c r="Z161" s="430" t="s">
        <v>75</v>
      </c>
      <c r="AA161" s="430"/>
      <c r="AB161" s="437">
        <v>46062</v>
      </c>
      <c r="AC161" s="438">
        <v>7</v>
      </c>
      <c r="AD161" s="439" t="s">
        <v>854</v>
      </c>
      <c r="AE161" s="430"/>
      <c r="AF161" s="430" t="s">
        <v>77</v>
      </c>
      <c r="AG161" s="430" t="s">
        <v>61</v>
      </c>
      <c r="AH161" s="430" t="s">
        <v>105</v>
      </c>
      <c r="AI161" s="437">
        <v>46080</v>
      </c>
      <c r="AJ161" s="437">
        <v>46081</v>
      </c>
      <c r="AK161" s="441">
        <v>46081</v>
      </c>
      <c r="AL161" s="437">
        <v>46139</v>
      </c>
      <c r="AM161" s="437">
        <v>46141</v>
      </c>
      <c r="AN161" s="437">
        <v>46137</v>
      </c>
      <c r="AO161" s="430" t="s">
        <v>402</v>
      </c>
      <c r="AP161" s="430" t="s">
        <v>850</v>
      </c>
      <c r="AQ161" s="430" t="s">
        <v>80</v>
      </c>
      <c r="AR161" s="430" t="s">
        <v>851</v>
      </c>
      <c r="AS161" s="430" t="s">
        <v>852</v>
      </c>
      <c r="AT161" s="482" t="s">
        <v>852</v>
      </c>
      <c r="AU16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W161" s="437">
        <v>46137</v>
      </c>
      <c r="AX161" s="433" t="s">
        <v>84</v>
      </c>
      <c r="AY161" s="437">
        <v>46150</v>
      </c>
      <c r="AZ161" s="442">
        <v>7</v>
      </c>
      <c r="BA161" s="437">
        <v>46144</v>
      </c>
      <c r="BB161" s="433">
        <v>2026</v>
      </c>
      <c r="BC161" s="430">
        <v>5</v>
      </c>
      <c r="BD161" s="430">
        <v>18</v>
      </c>
      <c r="BE161" s="431">
        <v>36</v>
      </c>
      <c r="BF161" s="431">
        <v>864</v>
      </c>
      <c r="BG161" s="431" t="s">
        <v>85</v>
      </c>
      <c r="BH161" s="431" t="s">
        <v>109</v>
      </c>
      <c r="BI161" s="430" t="s">
        <v>197</v>
      </c>
      <c r="BJ161" s="430" t="s">
        <v>197</v>
      </c>
      <c r="BK161" s="430" t="s">
        <v>197</v>
      </c>
      <c r="BL161" s="430" t="s">
        <v>197</v>
      </c>
      <c r="BM161" s="430" t="s">
        <v>197</v>
      </c>
      <c r="BN161" s="430" t="s">
        <v>197</v>
      </c>
      <c r="BO161" s="430" t="s">
        <v>197</v>
      </c>
      <c r="BP161" s="430" t="s">
        <v>197</v>
      </c>
      <c r="BQ161" s="430" t="s">
        <v>197</v>
      </c>
      <c r="BR161" s="430" t="s">
        <v>197</v>
      </c>
      <c r="BS161" s="430" t="s">
        <v>197</v>
      </c>
      <c r="BT161" s="430" t="s">
        <v>197</v>
      </c>
      <c r="BU161" s="430" t="s">
        <v>197</v>
      </c>
      <c r="BV161" s="430" t="s">
        <v>197</v>
      </c>
      <c r="BW161" s="430" t="s">
        <v>197</v>
      </c>
      <c r="BX161" s="430" t="s">
        <v>197</v>
      </c>
      <c r="BY161" s="430" t="s">
        <v>197</v>
      </c>
      <c r="BZ161" s="430" t="s">
        <v>197</v>
      </c>
      <c r="CA161" s="430" t="s">
        <v>197</v>
      </c>
      <c r="CB161" s="430" t="s">
        <v>197</v>
      </c>
      <c r="CC161" s="430" t="s">
        <v>197</v>
      </c>
      <c r="CD161" s="430" t="s">
        <v>197</v>
      </c>
      <c r="CE161" s="430" t="s">
        <v>197</v>
      </c>
      <c r="CF161" s="430" t="s">
        <v>197</v>
      </c>
      <c r="CG161" s="430" t="s">
        <v>197</v>
      </c>
      <c r="CH161" s="430" t="s">
        <v>197</v>
      </c>
      <c r="CI161" s="430" t="s">
        <v>197</v>
      </c>
      <c r="CJ161" s="430" t="s">
        <v>197</v>
      </c>
      <c r="CK161" s="430" t="s">
        <v>197</v>
      </c>
      <c r="CL161" s="430" t="s">
        <v>197</v>
      </c>
      <c r="CM161" s="430" t="s">
        <v>197</v>
      </c>
    </row>
    <row r="162" spans="1:91" ht="10.5" hidden="1">
      <c r="A162" s="462" t="s">
        <v>855</v>
      </c>
      <c r="B162" s="462" t="s">
        <v>61</v>
      </c>
      <c r="C162" s="462" t="s">
        <v>584</v>
      </c>
      <c r="D162" s="462" t="s">
        <v>63</v>
      </c>
      <c r="E162" s="462" t="s">
        <v>64</v>
      </c>
      <c r="F162" s="462" t="s">
        <v>100</v>
      </c>
      <c r="G162" s="462" t="s">
        <v>402</v>
      </c>
      <c r="H162" s="462" t="s">
        <v>67</v>
      </c>
      <c r="I162" s="439" t="s">
        <v>68</v>
      </c>
      <c r="J162" s="430" t="s">
        <v>856</v>
      </c>
      <c r="K162" s="430"/>
      <c r="L162" s="430"/>
      <c r="M162" s="430" t="s">
        <v>68</v>
      </c>
      <c r="N162" s="432">
        <v>46045</v>
      </c>
      <c r="O162" s="430" t="s">
        <v>70</v>
      </c>
      <c r="P162" s="430" t="s">
        <v>585</v>
      </c>
      <c r="Q162" s="430" t="s">
        <v>103</v>
      </c>
      <c r="R162" s="431" t="s">
        <v>331</v>
      </c>
      <c r="S162" s="442" t="s">
        <v>120</v>
      </c>
      <c r="T162" s="433">
        <v>620</v>
      </c>
      <c r="U162" s="1062">
        <v>612</v>
      </c>
      <c r="V162" s="434">
        <v>0.379</v>
      </c>
      <c r="W162" s="435">
        <v>17</v>
      </c>
      <c r="X162" s="1015">
        <v>0.9</v>
      </c>
      <c r="Y162" s="430" t="s">
        <v>75</v>
      </c>
      <c r="Z162" s="430" t="s">
        <v>75</v>
      </c>
      <c r="AA162" s="430"/>
      <c r="AB162" s="437">
        <v>46062</v>
      </c>
      <c r="AC162" s="438">
        <v>7</v>
      </c>
      <c r="AD162" s="439" t="s">
        <v>857</v>
      </c>
      <c r="AE162" s="430"/>
      <c r="AF162" s="430" t="s">
        <v>77</v>
      </c>
      <c r="AG162" s="430" t="s">
        <v>61</v>
      </c>
      <c r="AH162" s="430" t="s">
        <v>105</v>
      </c>
      <c r="AI162" s="437">
        <v>46080</v>
      </c>
      <c r="AJ162" s="437">
        <v>46081</v>
      </c>
      <c r="AK162" s="441">
        <v>46081</v>
      </c>
      <c r="AL162" s="437">
        <v>46139</v>
      </c>
      <c r="AM162" s="437">
        <v>46141</v>
      </c>
      <c r="AN162" s="437">
        <v>46137</v>
      </c>
      <c r="AO162" s="430" t="s">
        <v>402</v>
      </c>
      <c r="AP162" s="430" t="s">
        <v>850</v>
      </c>
      <c r="AQ162" s="430" t="s">
        <v>80</v>
      </c>
      <c r="AR162" s="430" t="s">
        <v>851</v>
      </c>
      <c r="AS162" s="430" t="s">
        <v>852</v>
      </c>
      <c r="AT162" s="482" t="s">
        <v>852</v>
      </c>
      <c r="AU16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W162" s="437">
        <v>46137</v>
      </c>
      <c r="AX162" s="433" t="s">
        <v>84</v>
      </c>
      <c r="AY162" s="437">
        <v>46150</v>
      </c>
      <c r="AZ162" s="442">
        <v>7</v>
      </c>
      <c r="BA162" s="437">
        <v>46144</v>
      </c>
      <c r="BB162" s="433">
        <v>2026</v>
      </c>
      <c r="BC162" s="430">
        <v>5</v>
      </c>
      <c r="BD162" s="430">
        <v>18</v>
      </c>
      <c r="BE162" s="431">
        <v>36</v>
      </c>
      <c r="BF162" s="431">
        <v>720</v>
      </c>
      <c r="BG162" s="431" t="s">
        <v>128</v>
      </c>
      <c r="BH162" s="431" t="s">
        <v>109</v>
      </c>
      <c r="BI162" s="430" t="s">
        <v>197</v>
      </c>
      <c r="BJ162" s="430" t="s">
        <v>197</v>
      </c>
      <c r="BK162" s="430" t="s">
        <v>197</v>
      </c>
      <c r="BL162" s="430" t="s">
        <v>197</v>
      </c>
      <c r="BM162" s="430" t="s">
        <v>197</v>
      </c>
      <c r="BN162" s="430" t="s">
        <v>197</v>
      </c>
      <c r="BO162" s="430" t="s">
        <v>197</v>
      </c>
      <c r="BP162" s="430" t="s">
        <v>197</v>
      </c>
      <c r="BQ162" s="430" t="s">
        <v>197</v>
      </c>
      <c r="BR162" s="430" t="s">
        <v>197</v>
      </c>
      <c r="BS162" s="430" t="s">
        <v>197</v>
      </c>
      <c r="BT162" s="430" t="s">
        <v>197</v>
      </c>
      <c r="BU162" s="430" t="s">
        <v>197</v>
      </c>
      <c r="BV162" s="430" t="s">
        <v>197</v>
      </c>
      <c r="BW162" s="430" t="s">
        <v>197</v>
      </c>
      <c r="BX162" s="430" t="s">
        <v>197</v>
      </c>
      <c r="BY162" s="430" t="s">
        <v>197</v>
      </c>
      <c r="BZ162" s="430" t="s">
        <v>197</v>
      </c>
      <c r="CA162" s="430" t="s">
        <v>197</v>
      </c>
      <c r="CB162" s="430" t="s">
        <v>197</v>
      </c>
      <c r="CC162" s="430" t="s">
        <v>197</v>
      </c>
      <c r="CD162" s="430" t="s">
        <v>197</v>
      </c>
      <c r="CE162" s="430" t="s">
        <v>197</v>
      </c>
      <c r="CF162" s="430" t="s">
        <v>197</v>
      </c>
      <c r="CG162" s="430" t="s">
        <v>197</v>
      </c>
      <c r="CH162" s="430" t="s">
        <v>197</v>
      </c>
      <c r="CI162" s="430" t="s">
        <v>197</v>
      </c>
      <c r="CJ162" s="430" t="s">
        <v>197</v>
      </c>
      <c r="CK162" s="430" t="s">
        <v>197</v>
      </c>
      <c r="CL162" s="430" t="s">
        <v>197</v>
      </c>
      <c r="CM162" s="430" t="s">
        <v>197</v>
      </c>
    </row>
    <row r="163" spans="1:91" ht="10.5" hidden="1">
      <c r="A163" s="462" t="s">
        <v>858</v>
      </c>
      <c r="B163" s="462" t="s">
        <v>77</v>
      </c>
      <c r="C163" s="462" t="s">
        <v>203</v>
      </c>
      <c r="D163" s="462" t="s">
        <v>63</v>
      </c>
      <c r="E163" s="462" t="s">
        <v>64</v>
      </c>
      <c r="F163" s="462" t="s">
        <v>65</v>
      </c>
      <c r="G163" s="462" t="s">
        <v>402</v>
      </c>
      <c r="H163" s="462" t="s">
        <v>67</v>
      </c>
      <c r="I163" s="439" t="s">
        <v>68</v>
      </c>
      <c r="J163" s="430" t="s">
        <v>859</v>
      </c>
      <c r="K163" s="430"/>
      <c r="L163" s="430"/>
      <c r="M163" s="430" t="s">
        <v>68</v>
      </c>
      <c r="N163" s="432" t="s">
        <v>68</v>
      </c>
      <c r="O163" s="430" t="s">
        <v>70</v>
      </c>
      <c r="P163" s="430" t="s">
        <v>860</v>
      </c>
      <c r="Q163" s="430" t="s">
        <v>861</v>
      </c>
      <c r="R163" s="431" t="s">
        <v>73</v>
      </c>
      <c r="S163" s="442" t="s">
        <v>74</v>
      </c>
      <c r="T163" s="433">
        <v>445</v>
      </c>
      <c r="U163" s="1062">
        <v>576</v>
      </c>
      <c r="V163" s="434">
        <v>0.25600000000000001</v>
      </c>
      <c r="W163" s="435">
        <v>16</v>
      </c>
      <c r="X163" s="1015">
        <v>0.6</v>
      </c>
      <c r="Y163" s="430" t="s">
        <v>75</v>
      </c>
      <c r="Z163" s="430" t="s">
        <v>75</v>
      </c>
      <c r="AA163" s="430"/>
      <c r="AB163" s="437">
        <v>46062</v>
      </c>
      <c r="AC163" s="438">
        <v>7</v>
      </c>
      <c r="AD163" s="439" t="s">
        <v>862</v>
      </c>
      <c r="AE163" s="430"/>
      <c r="AF163" s="430" t="s">
        <v>77</v>
      </c>
      <c r="AG163" s="430" t="s">
        <v>61</v>
      </c>
      <c r="AH163" s="430" t="s">
        <v>78</v>
      </c>
      <c r="AI163" s="437">
        <v>46070</v>
      </c>
      <c r="AJ163" s="437">
        <v>46072</v>
      </c>
      <c r="AK163" s="441">
        <v>46072</v>
      </c>
      <c r="AL163" s="437">
        <v>46146</v>
      </c>
      <c r="AM163" s="437">
        <v>46153</v>
      </c>
      <c r="AN163" s="437">
        <v>46159</v>
      </c>
      <c r="AO163" s="430" t="s">
        <v>402</v>
      </c>
      <c r="AP163" s="430" t="s">
        <v>814</v>
      </c>
      <c r="AQ163" s="430" t="s">
        <v>80</v>
      </c>
      <c r="AR163" s="430" t="s">
        <v>863</v>
      </c>
      <c r="AS163" s="430" t="s">
        <v>864</v>
      </c>
      <c r="AT163" s="482" t="s">
        <v>864</v>
      </c>
      <c r="AU16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87</v>
      </c>
      <c r="AW163" s="437">
        <v>46159</v>
      </c>
      <c r="AX163" s="433" t="s">
        <v>84</v>
      </c>
      <c r="AY163" s="437">
        <v>46171</v>
      </c>
      <c r="AZ163" s="442">
        <v>8</v>
      </c>
      <c r="BA163" s="437">
        <v>46167</v>
      </c>
      <c r="BB163" s="433">
        <v>2026</v>
      </c>
      <c r="BC163" s="430">
        <v>5</v>
      </c>
      <c r="BD163" s="430">
        <v>22</v>
      </c>
      <c r="BE163" s="431">
        <v>36</v>
      </c>
      <c r="BF163" s="431">
        <v>936</v>
      </c>
      <c r="BG163" s="431" t="s">
        <v>94</v>
      </c>
      <c r="BH163" s="431" t="s">
        <v>86</v>
      </c>
      <c r="BI163" s="430" t="s">
        <v>197</v>
      </c>
      <c r="BJ163" s="430" t="s">
        <v>197</v>
      </c>
      <c r="BK163" s="430" t="s">
        <v>197</v>
      </c>
      <c r="BL163" s="430" t="s">
        <v>197</v>
      </c>
      <c r="BM163" s="430" t="s">
        <v>197</v>
      </c>
      <c r="BN163" s="430" t="s">
        <v>197</v>
      </c>
      <c r="BO163" s="430" t="s">
        <v>197</v>
      </c>
      <c r="BP163" s="430" t="s">
        <v>197</v>
      </c>
      <c r="BQ163" s="430" t="s">
        <v>197</v>
      </c>
      <c r="BR163" s="430" t="s">
        <v>197</v>
      </c>
      <c r="BS163" s="430" t="s">
        <v>197</v>
      </c>
      <c r="BT163" s="430" t="s">
        <v>197</v>
      </c>
      <c r="BU163" s="430" t="s">
        <v>197</v>
      </c>
      <c r="BV163" s="430" t="s">
        <v>197</v>
      </c>
      <c r="BW163" s="430" t="s">
        <v>197</v>
      </c>
      <c r="BX163" s="430" t="s">
        <v>197</v>
      </c>
      <c r="BY163" s="430" t="s">
        <v>197</v>
      </c>
      <c r="BZ163" s="430" t="s">
        <v>197</v>
      </c>
      <c r="CA163" s="430" t="s">
        <v>197</v>
      </c>
      <c r="CB163" s="430" t="s">
        <v>197</v>
      </c>
      <c r="CC163" s="430" t="s">
        <v>197</v>
      </c>
      <c r="CD163" s="430" t="s">
        <v>197</v>
      </c>
      <c r="CE163" s="430" t="s">
        <v>197</v>
      </c>
      <c r="CF163" s="430" t="s">
        <v>197</v>
      </c>
      <c r="CG163" s="430" t="s">
        <v>197</v>
      </c>
      <c r="CH163" s="430" t="s">
        <v>197</v>
      </c>
      <c r="CI163" s="430" t="s">
        <v>197</v>
      </c>
      <c r="CJ163" s="430" t="s">
        <v>197</v>
      </c>
      <c r="CK163" s="430" t="s">
        <v>197</v>
      </c>
      <c r="CL163" s="430" t="s">
        <v>197</v>
      </c>
      <c r="CM163" s="430" t="s">
        <v>197</v>
      </c>
    </row>
    <row r="164" spans="1:91" ht="10.5" hidden="1">
      <c r="A164" s="462" t="s">
        <v>780</v>
      </c>
      <c r="B164" s="462" t="s">
        <v>61</v>
      </c>
      <c r="C164" s="462" t="s">
        <v>203</v>
      </c>
      <c r="D164" s="462" t="s">
        <v>63</v>
      </c>
      <c r="E164" s="462" t="s">
        <v>64</v>
      </c>
      <c r="F164" s="462" t="s">
        <v>65</v>
      </c>
      <c r="G164" s="462" t="s">
        <v>402</v>
      </c>
      <c r="H164" s="462" t="s">
        <v>67</v>
      </c>
      <c r="I164" s="439" t="s">
        <v>68</v>
      </c>
      <c r="J164" s="430" t="s">
        <v>865</v>
      </c>
      <c r="K164" s="430"/>
      <c r="L164" s="430"/>
      <c r="M164" s="430" t="s">
        <v>68</v>
      </c>
      <c r="N164" s="432" t="s">
        <v>68</v>
      </c>
      <c r="O164" s="430" t="s">
        <v>70</v>
      </c>
      <c r="P164" s="430" t="s">
        <v>204</v>
      </c>
      <c r="Q164" s="430" t="s">
        <v>205</v>
      </c>
      <c r="R164" s="431" t="s">
        <v>73</v>
      </c>
      <c r="S164" s="442" t="s">
        <v>74</v>
      </c>
      <c r="T164" s="433">
        <v>455</v>
      </c>
      <c r="U164" s="1062">
        <v>360</v>
      </c>
      <c r="V164" s="434">
        <v>0.16400000000000001</v>
      </c>
      <c r="W164" s="435">
        <v>10</v>
      </c>
      <c r="X164" s="1015">
        <v>0.4</v>
      </c>
      <c r="Y164" s="430" t="s">
        <v>75</v>
      </c>
      <c r="Z164" s="430" t="s">
        <v>75</v>
      </c>
      <c r="AA164" s="430"/>
      <c r="AB164" s="437">
        <v>46062</v>
      </c>
      <c r="AC164" s="438">
        <v>7</v>
      </c>
      <c r="AD164" s="439" t="s">
        <v>866</v>
      </c>
      <c r="AE164" s="430"/>
      <c r="AF164" s="430" t="s">
        <v>77</v>
      </c>
      <c r="AG164" s="430" t="s">
        <v>61</v>
      </c>
      <c r="AH164" s="430" t="s">
        <v>78</v>
      </c>
      <c r="AI164" s="437">
        <v>46070</v>
      </c>
      <c r="AJ164" s="437">
        <v>46072</v>
      </c>
      <c r="AK164" s="441">
        <v>46072</v>
      </c>
      <c r="AL164" s="437">
        <v>46146</v>
      </c>
      <c r="AM164" s="437">
        <v>46153</v>
      </c>
      <c r="AN164" s="437">
        <v>46159</v>
      </c>
      <c r="AO164" s="430" t="s">
        <v>402</v>
      </c>
      <c r="AP164" s="430" t="s">
        <v>814</v>
      </c>
      <c r="AQ164" s="430" t="s">
        <v>80</v>
      </c>
      <c r="AR164" s="430" t="s">
        <v>863</v>
      </c>
      <c r="AS164" s="430" t="s">
        <v>864</v>
      </c>
      <c r="AT164" s="482" t="s">
        <v>864</v>
      </c>
      <c r="AU16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87</v>
      </c>
      <c r="AW164" s="437">
        <v>46159</v>
      </c>
      <c r="AX164" s="433" t="s">
        <v>84</v>
      </c>
      <c r="AY164" s="437">
        <v>46171</v>
      </c>
      <c r="AZ164" s="442">
        <v>8</v>
      </c>
      <c r="BA164" s="437">
        <v>46167</v>
      </c>
      <c r="BB164" s="433">
        <v>2026</v>
      </c>
      <c r="BC164" s="430">
        <v>5</v>
      </c>
      <c r="BD164" s="430">
        <v>22</v>
      </c>
      <c r="BE164" s="431">
        <v>36</v>
      </c>
      <c r="BF164" s="431">
        <v>936</v>
      </c>
      <c r="BG164" s="431" t="s">
        <v>94</v>
      </c>
      <c r="BH164" s="431" t="s">
        <v>86</v>
      </c>
      <c r="BI164" s="430" t="s">
        <v>197</v>
      </c>
      <c r="BJ164" s="430" t="s">
        <v>197</v>
      </c>
      <c r="BK164" s="430" t="s">
        <v>197</v>
      </c>
      <c r="BL164" s="430" t="s">
        <v>197</v>
      </c>
      <c r="BM164" s="430" t="s">
        <v>197</v>
      </c>
      <c r="BN164" s="430" t="s">
        <v>197</v>
      </c>
      <c r="BO164" s="430" t="s">
        <v>197</v>
      </c>
      <c r="BP164" s="430" t="s">
        <v>197</v>
      </c>
      <c r="BQ164" s="430" t="s">
        <v>197</v>
      </c>
      <c r="BR164" s="430" t="s">
        <v>197</v>
      </c>
      <c r="BS164" s="430" t="s">
        <v>197</v>
      </c>
      <c r="BT164" s="430" t="s">
        <v>197</v>
      </c>
      <c r="BU164" s="430" t="s">
        <v>197</v>
      </c>
      <c r="BV164" s="430" t="s">
        <v>197</v>
      </c>
      <c r="BW164" s="430" t="s">
        <v>197</v>
      </c>
      <c r="BX164" s="430" t="s">
        <v>197</v>
      </c>
      <c r="BY164" s="430" t="s">
        <v>197</v>
      </c>
      <c r="BZ164" s="430" t="s">
        <v>197</v>
      </c>
      <c r="CA164" s="430" t="s">
        <v>197</v>
      </c>
      <c r="CB164" s="430" t="s">
        <v>197</v>
      </c>
      <c r="CC164" s="430" t="s">
        <v>197</v>
      </c>
      <c r="CD164" s="430" t="s">
        <v>197</v>
      </c>
      <c r="CE164" s="430" t="s">
        <v>197</v>
      </c>
      <c r="CF164" s="430" t="s">
        <v>197</v>
      </c>
      <c r="CG164" s="430" t="s">
        <v>197</v>
      </c>
      <c r="CH164" s="430" t="s">
        <v>197</v>
      </c>
      <c r="CI164" s="430" t="s">
        <v>197</v>
      </c>
      <c r="CJ164" s="430" t="s">
        <v>197</v>
      </c>
      <c r="CK164" s="430" t="s">
        <v>197</v>
      </c>
      <c r="CL164" s="430" t="s">
        <v>197</v>
      </c>
      <c r="CM164" s="430" t="s">
        <v>197</v>
      </c>
    </row>
    <row r="165" spans="1:91" ht="10.5" hidden="1">
      <c r="A165" s="462" t="s">
        <v>867</v>
      </c>
      <c r="B165" s="462" t="s">
        <v>61</v>
      </c>
      <c r="C165" s="462" t="s">
        <v>203</v>
      </c>
      <c r="D165" s="462" t="s">
        <v>63</v>
      </c>
      <c r="E165" s="462" t="s">
        <v>144</v>
      </c>
      <c r="F165" s="462" t="s">
        <v>145</v>
      </c>
      <c r="G165" s="462" t="s">
        <v>402</v>
      </c>
      <c r="H165" s="462" t="s">
        <v>868</v>
      </c>
      <c r="I165" s="439" t="s">
        <v>869</v>
      </c>
      <c r="J165" s="430" t="s">
        <v>147</v>
      </c>
      <c r="K165" s="430" t="s">
        <v>870</v>
      </c>
      <c r="L165" s="430"/>
      <c r="M165" s="430" t="s">
        <v>840</v>
      </c>
      <c r="N165" s="432">
        <v>46045</v>
      </c>
      <c r="O165" s="430" t="s">
        <v>70</v>
      </c>
      <c r="P165" s="430" t="s">
        <v>71</v>
      </c>
      <c r="Q165" s="430" t="s">
        <v>72</v>
      </c>
      <c r="R165" s="431" t="s">
        <v>73</v>
      </c>
      <c r="S165" s="442" t="s">
        <v>74</v>
      </c>
      <c r="T165" s="433">
        <v>500</v>
      </c>
      <c r="U165" s="1062">
        <v>864</v>
      </c>
      <c r="V165" s="434">
        <v>0.432</v>
      </c>
      <c r="W165" s="435">
        <v>24</v>
      </c>
      <c r="X165" s="1015">
        <v>1</v>
      </c>
      <c r="Y165" s="430" t="s">
        <v>75</v>
      </c>
      <c r="Z165" s="430" t="s">
        <v>75</v>
      </c>
      <c r="AA165" s="430"/>
      <c r="AB165" s="437">
        <v>46079</v>
      </c>
      <c r="AC165" s="438">
        <v>9</v>
      </c>
      <c r="AD165" s="439" t="s">
        <v>871</v>
      </c>
      <c r="AE165" s="430"/>
      <c r="AF165" s="430" t="s">
        <v>77</v>
      </c>
      <c r="AG165" s="430" t="s">
        <v>61</v>
      </c>
      <c r="AH165" s="430" t="s">
        <v>78</v>
      </c>
      <c r="AI165" s="437">
        <v>46084</v>
      </c>
      <c r="AJ165" s="437">
        <v>46084</v>
      </c>
      <c r="AK165" s="441">
        <v>46084</v>
      </c>
      <c r="AL165" s="437">
        <v>46160</v>
      </c>
      <c r="AM165" s="437">
        <v>46169</v>
      </c>
      <c r="AN165" s="437">
        <v>46165</v>
      </c>
      <c r="AO165" s="430" t="s">
        <v>402</v>
      </c>
      <c r="AP165" s="430" t="s">
        <v>872</v>
      </c>
      <c r="AQ165" s="430" t="s">
        <v>80</v>
      </c>
      <c r="AR165" s="430" t="s">
        <v>873</v>
      </c>
      <c r="AS165" s="430" t="s">
        <v>874</v>
      </c>
      <c r="AT165" s="482" t="s">
        <v>875</v>
      </c>
      <c r="AU16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81</v>
      </c>
      <c r="AW165" s="437">
        <v>46165</v>
      </c>
      <c r="AX165" s="433" t="s">
        <v>84</v>
      </c>
      <c r="AY165" s="437">
        <v>46174</v>
      </c>
      <c r="AZ165" s="442" t="s">
        <v>152</v>
      </c>
      <c r="BA165" s="437">
        <v>46165</v>
      </c>
      <c r="BB165" s="433">
        <v>2026</v>
      </c>
      <c r="BC165" s="430">
        <v>5</v>
      </c>
      <c r="BD165" s="430">
        <v>21</v>
      </c>
      <c r="BE165" s="431">
        <v>36</v>
      </c>
      <c r="BF165" s="431">
        <v>864</v>
      </c>
      <c r="BG165" s="431" t="s">
        <v>85</v>
      </c>
      <c r="BH165" s="431" t="s">
        <v>86</v>
      </c>
      <c r="BI165" s="430" t="s">
        <v>197</v>
      </c>
      <c r="BJ165" s="430" t="s">
        <v>197</v>
      </c>
      <c r="BK165" s="430" t="s">
        <v>197</v>
      </c>
      <c r="BL165" s="430" t="s">
        <v>197</v>
      </c>
      <c r="BM165" s="430" t="s">
        <v>197</v>
      </c>
      <c r="BN165" s="430" t="s">
        <v>197</v>
      </c>
      <c r="BO165" s="430" t="s">
        <v>197</v>
      </c>
      <c r="BP165" s="430" t="s">
        <v>197</v>
      </c>
      <c r="BQ165" s="430" t="s">
        <v>197</v>
      </c>
      <c r="BR165" s="430" t="s">
        <v>197</v>
      </c>
      <c r="BS165" s="430" t="s">
        <v>197</v>
      </c>
      <c r="BT165" s="430" t="s">
        <v>197</v>
      </c>
      <c r="BU165" s="430" t="s">
        <v>197</v>
      </c>
      <c r="BV165" s="430" t="s">
        <v>197</v>
      </c>
      <c r="BW165" s="430" t="s">
        <v>197</v>
      </c>
      <c r="BX165" s="430" t="s">
        <v>197</v>
      </c>
      <c r="BY165" s="430" t="s">
        <v>197</v>
      </c>
      <c r="BZ165" s="430" t="s">
        <v>197</v>
      </c>
      <c r="CA165" s="430" t="s">
        <v>197</v>
      </c>
      <c r="CB165" s="430" t="s">
        <v>197</v>
      </c>
      <c r="CC165" s="430" t="s">
        <v>197</v>
      </c>
      <c r="CD165" s="430" t="s">
        <v>197</v>
      </c>
      <c r="CE165" s="430" t="s">
        <v>197</v>
      </c>
      <c r="CF165" s="430" t="s">
        <v>197</v>
      </c>
      <c r="CG165" s="430" t="s">
        <v>197</v>
      </c>
      <c r="CH165" s="430" t="s">
        <v>197</v>
      </c>
      <c r="CI165" s="430" t="s">
        <v>197</v>
      </c>
      <c r="CJ165" s="430" t="s">
        <v>197</v>
      </c>
      <c r="CK165" s="430" t="s">
        <v>197</v>
      </c>
      <c r="CL165" s="430" t="s">
        <v>197</v>
      </c>
      <c r="CM165" s="430" t="s">
        <v>197</v>
      </c>
    </row>
    <row r="166" spans="1:91" ht="10.5" hidden="1">
      <c r="A166" s="462" t="s">
        <v>876</v>
      </c>
      <c r="B166" s="462" t="s">
        <v>61</v>
      </c>
      <c r="C166" s="462" t="s">
        <v>203</v>
      </c>
      <c r="D166" s="462" t="s">
        <v>63</v>
      </c>
      <c r="E166" s="462" t="s">
        <v>64</v>
      </c>
      <c r="F166" s="462" t="s">
        <v>65</v>
      </c>
      <c r="G166" s="462" t="s">
        <v>402</v>
      </c>
      <c r="H166" s="462" t="s">
        <v>67</v>
      </c>
      <c r="I166" s="439" t="s">
        <v>869</v>
      </c>
      <c r="J166" s="430" t="s">
        <v>96</v>
      </c>
      <c r="K166" s="430"/>
      <c r="L166" s="430"/>
      <c r="M166" s="430" t="s">
        <v>68</v>
      </c>
      <c r="N166" s="432">
        <v>46045</v>
      </c>
      <c r="O166" s="430" t="s">
        <v>70</v>
      </c>
      <c r="P166" s="430" t="s">
        <v>71</v>
      </c>
      <c r="Q166" s="430" t="s">
        <v>72</v>
      </c>
      <c r="R166" s="431" t="s">
        <v>73</v>
      </c>
      <c r="S166" s="442" t="s">
        <v>74</v>
      </c>
      <c r="T166" s="433">
        <v>500</v>
      </c>
      <c r="U166" s="1062">
        <v>1728</v>
      </c>
      <c r="V166" s="434">
        <v>0.86399999999999999</v>
      </c>
      <c r="W166" s="435">
        <v>48</v>
      </c>
      <c r="X166" s="1015">
        <v>2</v>
      </c>
      <c r="Y166" s="430" t="s">
        <v>75</v>
      </c>
      <c r="Z166" s="430" t="s">
        <v>75</v>
      </c>
      <c r="AA166" s="430"/>
      <c r="AB166" s="437">
        <v>46079</v>
      </c>
      <c r="AC166" s="438">
        <v>9</v>
      </c>
      <c r="AD166" s="439" t="s">
        <v>877</v>
      </c>
      <c r="AE166" s="430"/>
      <c r="AF166" s="430" t="s">
        <v>77</v>
      </c>
      <c r="AG166" s="430" t="s">
        <v>61</v>
      </c>
      <c r="AH166" s="430" t="s">
        <v>78</v>
      </c>
      <c r="AI166" s="437">
        <v>46084</v>
      </c>
      <c r="AJ166" s="437">
        <v>46084</v>
      </c>
      <c r="AK166" s="441">
        <v>46084</v>
      </c>
      <c r="AL166" s="437">
        <v>46160</v>
      </c>
      <c r="AM166" s="437">
        <v>46169</v>
      </c>
      <c r="AN166" s="437">
        <v>46165</v>
      </c>
      <c r="AO166" s="430" t="s">
        <v>402</v>
      </c>
      <c r="AP166" s="430" t="s">
        <v>872</v>
      </c>
      <c r="AQ166" s="430" t="s">
        <v>80</v>
      </c>
      <c r="AR166" s="430" t="s">
        <v>878</v>
      </c>
      <c r="AS166" s="430" t="s">
        <v>875</v>
      </c>
      <c r="AT166" s="482" t="s">
        <v>875</v>
      </c>
      <c r="AU16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81</v>
      </c>
      <c r="AW166" s="437">
        <v>46165</v>
      </c>
      <c r="AX166" s="433" t="s">
        <v>84</v>
      </c>
      <c r="AY166" s="437">
        <v>46177</v>
      </c>
      <c r="AZ166" s="442">
        <v>8</v>
      </c>
      <c r="BA166" s="437">
        <v>46173</v>
      </c>
      <c r="BB166" s="433">
        <v>2026</v>
      </c>
      <c r="BC166" s="430">
        <v>5</v>
      </c>
      <c r="BD166" s="430">
        <v>22</v>
      </c>
      <c r="BE166" s="431">
        <v>36</v>
      </c>
      <c r="BF166" s="431">
        <v>864</v>
      </c>
      <c r="BG166" s="431" t="s">
        <v>85</v>
      </c>
      <c r="BH166" s="431" t="s">
        <v>86</v>
      </c>
      <c r="BI166" s="430" t="s">
        <v>197</v>
      </c>
      <c r="BJ166" s="430" t="s">
        <v>197</v>
      </c>
      <c r="BK166" s="430" t="s">
        <v>197</v>
      </c>
      <c r="BL166" s="430" t="s">
        <v>197</v>
      </c>
      <c r="BM166" s="430" t="s">
        <v>197</v>
      </c>
      <c r="BN166" s="430" t="s">
        <v>197</v>
      </c>
      <c r="BO166" s="430" t="s">
        <v>197</v>
      </c>
      <c r="BP166" s="430" t="s">
        <v>197</v>
      </c>
      <c r="BQ166" s="430" t="s">
        <v>197</v>
      </c>
      <c r="BR166" s="430" t="s">
        <v>197</v>
      </c>
      <c r="BS166" s="430" t="s">
        <v>197</v>
      </c>
      <c r="BT166" s="430" t="s">
        <v>197</v>
      </c>
      <c r="BU166" s="430" t="s">
        <v>197</v>
      </c>
      <c r="BV166" s="430" t="s">
        <v>197</v>
      </c>
      <c r="BW166" s="430" t="s">
        <v>197</v>
      </c>
      <c r="BX166" s="430" t="s">
        <v>197</v>
      </c>
      <c r="BY166" s="430" t="s">
        <v>197</v>
      </c>
      <c r="BZ166" s="430" t="s">
        <v>197</v>
      </c>
      <c r="CA166" s="430" t="s">
        <v>197</v>
      </c>
      <c r="CB166" s="430" t="s">
        <v>197</v>
      </c>
      <c r="CC166" s="430" t="s">
        <v>197</v>
      </c>
      <c r="CD166" s="430" t="s">
        <v>197</v>
      </c>
      <c r="CE166" s="430" t="s">
        <v>197</v>
      </c>
      <c r="CF166" s="430" t="s">
        <v>197</v>
      </c>
      <c r="CG166" s="430" t="s">
        <v>197</v>
      </c>
      <c r="CH166" s="430" t="s">
        <v>197</v>
      </c>
      <c r="CI166" s="430" t="s">
        <v>197</v>
      </c>
      <c r="CJ166" s="430" t="s">
        <v>197</v>
      </c>
      <c r="CK166" s="430" t="s">
        <v>197</v>
      </c>
      <c r="CL166" s="430" t="s">
        <v>197</v>
      </c>
      <c r="CM166" s="430" t="s">
        <v>197</v>
      </c>
    </row>
    <row r="167" spans="1:91" ht="10.5" hidden="1">
      <c r="A167" s="462" t="s">
        <v>62</v>
      </c>
      <c r="B167" s="462" t="s">
        <v>61</v>
      </c>
      <c r="C167" s="462" t="s">
        <v>203</v>
      </c>
      <c r="D167" s="462" t="s">
        <v>63</v>
      </c>
      <c r="E167" s="462" t="s">
        <v>64</v>
      </c>
      <c r="F167" s="462" t="s">
        <v>65</v>
      </c>
      <c r="G167" s="462" t="s">
        <v>402</v>
      </c>
      <c r="H167" s="462" t="s">
        <v>67</v>
      </c>
      <c r="I167" s="439" t="s">
        <v>869</v>
      </c>
      <c r="J167" s="430" t="s">
        <v>96</v>
      </c>
      <c r="K167" s="430"/>
      <c r="L167" s="430"/>
      <c r="M167" s="430" t="s">
        <v>68</v>
      </c>
      <c r="N167" s="432">
        <v>46045</v>
      </c>
      <c r="O167" s="430" t="s">
        <v>70</v>
      </c>
      <c r="P167" s="430" t="s">
        <v>71</v>
      </c>
      <c r="Q167" s="430" t="s">
        <v>72</v>
      </c>
      <c r="R167" s="431" t="s">
        <v>73</v>
      </c>
      <c r="S167" s="442" t="s">
        <v>74</v>
      </c>
      <c r="T167" s="433">
        <v>500</v>
      </c>
      <c r="U167" s="1062">
        <v>1728</v>
      </c>
      <c r="V167" s="434">
        <v>0.86399999999999999</v>
      </c>
      <c r="W167" s="435">
        <v>48</v>
      </c>
      <c r="X167" s="1015">
        <v>2</v>
      </c>
      <c r="Y167" s="430" t="s">
        <v>75</v>
      </c>
      <c r="Z167" s="430" t="s">
        <v>75</v>
      </c>
      <c r="AA167" s="430"/>
      <c r="AB167" s="437">
        <v>46079</v>
      </c>
      <c r="AC167" s="438">
        <v>9</v>
      </c>
      <c r="AD167" s="439" t="s">
        <v>879</v>
      </c>
      <c r="AE167" s="430"/>
      <c r="AF167" s="430" t="s">
        <v>77</v>
      </c>
      <c r="AG167" s="430" t="s">
        <v>61</v>
      </c>
      <c r="AH167" s="430" t="s">
        <v>78</v>
      </c>
      <c r="AI167" s="437">
        <v>46084</v>
      </c>
      <c r="AJ167" s="437">
        <v>46084</v>
      </c>
      <c r="AK167" s="441">
        <v>46084</v>
      </c>
      <c r="AL167" s="437">
        <v>46160</v>
      </c>
      <c r="AM167" s="437">
        <v>46169</v>
      </c>
      <c r="AN167" s="437">
        <v>46165</v>
      </c>
      <c r="AO167" s="430" t="s">
        <v>402</v>
      </c>
      <c r="AP167" s="430" t="s">
        <v>872</v>
      </c>
      <c r="AQ167" s="430" t="s">
        <v>80</v>
      </c>
      <c r="AR167" s="430" t="s">
        <v>878</v>
      </c>
      <c r="AS167" s="430" t="s">
        <v>875</v>
      </c>
      <c r="AT167" s="482" t="s">
        <v>875</v>
      </c>
      <c r="AU16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81</v>
      </c>
      <c r="AW167" s="437">
        <v>46165</v>
      </c>
      <c r="AX167" s="433" t="s">
        <v>84</v>
      </c>
      <c r="AY167" s="437">
        <v>46181</v>
      </c>
      <c r="AZ167" s="442">
        <v>8</v>
      </c>
      <c r="BA167" s="437">
        <v>46173</v>
      </c>
      <c r="BB167" s="433">
        <v>2026</v>
      </c>
      <c r="BC167" s="430">
        <v>5</v>
      </c>
      <c r="BD167" s="430">
        <v>22</v>
      </c>
      <c r="BE167" s="431">
        <v>36</v>
      </c>
      <c r="BF167" s="431">
        <v>864</v>
      </c>
      <c r="BG167" s="431" t="s">
        <v>85</v>
      </c>
      <c r="BH167" s="431" t="s">
        <v>86</v>
      </c>
      <c r="BI167" s="430" t="s">
        <v>197</v>
      </c>
      <c r="BJ167" s="430" t="s">
        <v>197</v>
      </c>
      <c r="BK167" s="430" t="s">
        <v>197</v>
      </c>
      <c r="BL167" s="430" t="s">
        <v>197</v>
      </c>
      <c r="BM167" s="430" t="s">
        <v>197</v>
      </c>
      <c r="BN167" s="430" t="s">
        <v>197</v>
      </c>
      <c r="BO167" s="430" t="s">
        <v>197</v>
      </c>
      <c r="BP167" s="430" t="s">
        <v>197</v>
      </c>
      <c r="BQ167" s="430" t="s">
        <v>197</v>
      </c>
      <c r="BR167" s="430" t="s">
        <v>197</v>
      </c>
      <c r="BS167" s="430" t="s">
        <v>197</v>
      </c>
      <c r="BT167" s="430" t="s">
        <v>197</v>
      </c>
      <c r="BU167" s="430" t="s">
        <v>197</v>
      </c>
      <c r="BV167" s="430" t="s">
        <v>197</v>
      </c>
      <c r="BW167" s="430" t="s">
        <v>197</v>
      </c>
      <c r="BX167" s="430" t="s">
        <v>197</v>
      </c>
      <c r="BY167" s="430" t="s">
        <v>197</v>
      </c>
      <c r="BZ167" s="430" t="s">
        <v>197</v>
      </c>
      <c r="CA167" s="430" t="s">
        <v>197</v>
      </c>
      <c r="CB167" s="430" t="s">
        <v>197</v>
      </c>
      <c r="CC167" s="430" t="s">
        <v>197</v>
      </c>
      <c r="CD167" s="430" t="s">
        <v>197</v>
      </c>
      <c r="CE167" s="430" t="s">
        <v>197</v>
      </c>
      <c r="CF167" s="430" t="s">
        <v>197</v>
      </c>
      <c r="CG167" s="430" t="s">
        <v>197</v>
      </c>
      <c r="CH167" s="430" t="s">
        <v>197</v>
      </c>
      <c r="CI167" s="430" t="s">
        <v>197</v>
      </c>
      <c r="CJ167" s="430" t="s">
        <v>197</v>
      </c>
      <c r="CK167" s="430" t="s">
        <v>197</v>
      </c>
      <c r="CL167" s="430" t="s">
        <v>197</v>
      </c>
      <c r="CM167" s="430" t="s">
        <v>197</v>
      </c>
    </row>
    <row r="168" spans="1:91" ht="10.5" hidden="1">
      <c r="A168" s="462" t="s">
        <v>880</v>
      </c>
      <c r="B168" s="462" t="s">
        <v>61</v>
      </c>
      <c r="C168" s="462" t="s">
        <v>203</v>
      </c>
      <c r="D168" s="462" t="s">
        <v>63</v>
      </c>
      <c r="E168" s="462" t="s">
        <v>144</v>
      </c>
      <c r="F168" s="462" t="s">
        <v>145</v>
      </c>
      <c r="G168" s="462" t="s">
        <v>402</v>
      </c>
      <c r="H168" s="462" t="s">
        <v>881</v>
      </c>
      <c r="I168" s="439" t="s">
        <v>882</v>
      </c>
      <c r="J168" s="430" t="s">
        <v>883</v>
      </c>
      <c r="K168" s="430" t="s">
        <v>884</v>
      </c>
      <c r="L168" s="430"/>
      <c r="M168" s="430" t="s">
        <v>840</v>
      </c>
      <c r="N168" s="432">
        <v>46045</v>
      </c>
      <c r="O168" s="430" t="s">
        <v>70</v>
      </c>
      <c r="P168" s="430" t="s">
        <v>885</v>
      </c>
      <c r="Q168" s="430" t="s">
        <v>886</v>
      </c>
      <c r="R168" s="431" t="s">
        <v>73</v>
      </c>
      <c r="S168" s="442" t="s">
        <v>120</v>
      </c>
      <c r="T168" s="433">
        <v>615</v>
      </c>
      <c r="U168" s="1062">
        <v>2880</v>
      </c>
      <c r="V168" s="434">
        <v>1.7709999999999999</v>
      </c>
      <c r="W168" s="435">
        <v>80</v>
      </c>
      <c r="X168" s="1015">
        <v>4</v>
      </c>
      <c r="Y168" s="430" t="s">
        <v>75</v>
      </c>
      <c r="Z168" s="430" t="s">
        <v>75</v>
      </c>
      <c r="AA168" s="430"/>
      <c r="AB168" s="437">
        <v>46082</v>
      </c>
      <c r="AC168" s="438">
        <v>9</v>
      </c>
      <c r="AD168" s="439" t="s">
        <v>887</v>
      </c>
      <c r="AE168" s="430"/>
      <c r="AF168" s="430" t="s">
        <v>77</v>
      </c>
      <c r="AG168" s="430" t="s">
        <v>61</v>
      </c>
      <c r="AH168" s="430" t="s">
        <v>888</v>
      </c>
      <c r="AI168" s="437">
        <v>46088</v>
      </c>
      <c r="AJ168" s="437">
        <v>46088</v>
      </c>
      <c r="AK168" s="441">
        <v>46088</v>
      </c>
      <c r="AL168" s="437">
        <v>46148</v>
      </c>
      <c r="AM168" s="437">
        <v>46169</v>
      </c>
      <c r="AN168" s="437">
        <v>46169</v>
      </c>
      <c r="AO168" s="430" t="s">
        <v>402</v>
      </c>
      <c r="AP168" s="430" t="s">
        <v>889</v>
      </c>
      <c r="AQ168" s="430" t="s">
        <v>80</v>
      </c>
      <c r="AR168" s="430" t="s">
        <v>890</v>
      </c>
      <c r="AS168" s="430" t="s">
        <v>891</v>
      </c>
      <c r="AT168" s="482" t="s">
        <v>891</v>
      </c>
      <c r="AU16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81</v>
      </c>
      <c r="AW168" s="437">
        <v>46169</v>
      </c>
      <c r="AX168" s="433" t="s">
        <v>84</v>
      </c>
      <c r="AY168" s="437">
        <v>46162</v>
      </c>
      <c r="AZ168" s="442" t="s">
        <v>152</v>
      </c>
      <c r="BA168" s="437">
        <v>46169</v>
      </c>
      <c r="BB168" s="433">
        <v>2026</v>
      </c>
      <c r="BC168" s="430">
        <v>5</v>
      </c>
      <c r="BD168" s="430">
        <v>22</v>
      </c>
      <c r="BE168" s="431">
        <v>36</v>
      </c>
      <c r="BF168" s="431">
        <v>720</v>
      </c>
      <c r="BG168" s="431" t="s">
        <v>108</v>
      </c>
      <c r="BH168" s="431" t="s">
        <v>109</v>
      </c>
      <c r="BI168" s="430" t="s">
        <v>197</v>
      </c>
      <c r="BJ168" s="430" t="s">
        <v>197</v>
      </c>
      <c r="BK168" s="430" t="s">
        <v>197</v>
      </c>
      <c r="BL168" s="430" t="s">
        <v>197</v>
      </c>
      <c r="BM168" s="430" t="s">
        <v>197</v>
      </c>
      <c r="BN168" s="430" t="s">
        <v>197</v>
      </c>
      <c r="BO168" s="430" t="s">
        <v>197</v>
      </c>
      <c r="BP168" s="430" t="s">
        <v>197</v>
      </c>
      <c r="BQ168" s="430" t="s">
        <v>197</v>
      </c>
      <c r="BR168" s="430" t="s">
        <v>197</v>
      </c>
      <c r="BS168" s="430" t="s">
        <v>197</v>
      </c>
      <c r="BT168" s="430" t="s">
        <v>197</v>
      </c>
      <c r="BU168" s="430" t="s">
        <v>197</v>
      </c>
      <c r="BV168" s="430" t="s">
        <v>197</v>
      </c>
      <c r="BW168" s="430" t="s">
        <v>197</v>
      </c>
      <c r="BX168" s="430" t="s">
        <v>197</v>
      </c>
      <c r="BY168" s="430" t="s">
        <v>197</v>
      </c>
      <c r="BZ168" s="430" t="s">
        <v>197</v>
      </c>
      <c r="CA168" s="430" t="s">
        <v>197</v>
      </c>
      <c r="CB168" s="430" t="s">
        <v>197</v>
      </c>
      <c r="CC168" s="430" t="s">
        <v>197</v>
      </c>
      <c r="CD168" s="430" t="s">
        <v>197</v>
      </c>
      <c r="CE168" s="430" t="s">
        <v>197</v>
      </c>
      <c r="CF168" s="430" t="s">
        <v>197</v>
      </c>
      <c r="CG168" s="430" t="s">
        <v>197</v>
      </c>
      <c r="CH168" s="430" t="s">
        <v>197</v>
      </c>
      <c r="CI168" s="430" t="s">
        <v>197</v>
      </c>
      <c r="CJ168" s="430" t="s">
        <v>197</v>
      </c>
      <c r="CK168" s="430" t="s">
        <v>197</v>
      </c>
      <c r="CL168" s="430" t="s">
        <v>197</v>
      </c>
      <c r="CM168" s="430" t="s">
        <v>197</v>
      </c>
    </row>
    <row r="169" spans="1:91" ht="10.5" hidden="1">
      <c r="A169" s="462" t="s">
        <v>892</v>
      </c>
      <c r="B169" s="462" t="s">
        <v>111</v>
      </c>
      <c r="C169" s="462" t="s">
        <v>376</v>
      </c>
      <c r="D169" s="462" t="s">
        <v>113</v>
      </c>
      <c r="E169" s="462" t="s">
        <v>64</v>
      </c>
      <c r="F169" s="462" t="s">
        <v>65</v>
      </c>
      <c r="G169" s="462" t="s">
        <v>402</v>
      </c>
      <c r="H169" s="462" t="s">
        <v>67</v>
      </c>
      <c r="I169" s="439" t="s">
        <v>822</v>
      </c>
      <c r="J169" s="430" t="s">
        <v>377</v>
      </c>
      <c r="K169" s="430" t="s">
        <v>328</v>
      </c>
      <c r="L169" s="430"/>
      <c r="M169" s="430" t="s">
        <v>68</v>
      </c>
      <c r="N169" s="432">
        <v>46045</v>
      </c>
      <c r="O169" s="430" t="s">
        <v>70</v>
      </c>
      <c r="P169" s="430" t="s">
        <v>378</v>
      </c>
      <c r="Q169" s="430" t="s">
        <v>379</v>
      </c>
      <c r="R169" s="431" t="s">
        <v>73</v>
      </c>
      <c r="S169" s="442" t="s">
        <v>120</v>
      </c>
      <c r="T169" s="433">
        <v>620</v>
      </c>
      <c r="U169" s="1062">
        <v>8640</v>
      </c>
      <c r="V169" s="434">
        <v>5.3570000000000002</v>
      </c>
      <c r="W169" s="435">
        <v>240</v>
      </c>
      <c r="X169" s="1015">
        <v>12</v>
      </c>
      <c r="Y169" s="430" t="s">
        <v>75</v>
      </c>
      <c r="Z169" s="430" t="s">
        <v>75</v>
      </c>
      <c r="AA169" s="430"/>
      <c r="AB169" s="437">
        <v>46078</v>
      </c>
      <c r="AC169" s="438">
        <v>9</v>
      </c>
      <c r="AD169" s="439" t="s">
        <v>893</v>
      </c>
      <c r="AE169" s="430"/>
      <c r="AF169" s="430" t="s">
        <v>122</v>
      </c>
      <c r="AG169" s="430" t="s">
        <v>123</v>
      </c>
      <c r="AH169" s="430" t="s">
        <v>356</v>
      </c>
      <c r="AI169" s="437">
        <v>46089</v>
      </c>
      <c r="AJ169" s="437">
        <v>46097</v>
      </c>
      <c r="AK169" s="441">
        <v>46089</v>
      </c>
      <c r="AL169" s="437">
        <v>46126</v>
      </c>
      <c r="AM169" s="437">
        <v>46126</v>
      </c>
      <c r="AN169" s="437">
        <v>46124</v>
      </c>
      <c r="AO169" s="430" t="s">
        <v>402</v>
      </c>
      <c r="AP169" s="430" t="s">
        <v>894</v>
      </c>
      <c r="AQ169" s="430" t="s">
        <v>161</v>
      </c>
      <c r="AR169" s="430" t="s">
        <v>895</v>
      </c>
      <c r="AS169" s="430" t="s">
        <v>896</v>
      </c>
      <c r="AT169" s="482" t="s">
        <v>896</v>
      </c>
      <c r="AU16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35</v>
      </c>
      <c r="AW169" s="437">
        <v>46124</v>
      </c>
      <c r="AX169" s="433" t="s">
        <v>84</v>
      </c>
      <c r="AY169" s="437">
        <v>46139</v>
      </c>
      <c r="AZ169" s="442">
        <v>8</v>
      </c>
      <c r="BA169" s="437">
        <v>46132</v>
      </c>
      <c r="BB169" s="433">
        <v>2026</v>
      </c>
      <c r="BC169" s="430">
        <v>4</v>
      </c>
      <c r="BD169" s="430">
        <v>17</v>
      </c>
      <c r="BE169" s="431">
        <v>36</v>
      </c>
      <c r="BF169" s="431">
        <v>720</v>
      </c>
      <c r="BG169" s="431" t="s">
        <v>128</v>
      </c>
      <c r="BH169" s="431" t="s">
        <v>109</v>
      </c>
      <c r="BI169" s="430" t="s">
        <v>197</v>
      </c>
      <c r="BJ169" s="430" t="s">
        <v>197</v>
      </c>
      <c r="BK169" s="430" t="s">
        <v>197</v>
      </c>
      <c r="BL169" s="430" t="s">
        <v>197</v>
      </c>
      <c r="BM169" s="430" t="s">
        <v>197</v>
      </c>
      <c r="BN169" s="430" t="s">
        <v>197</v>
      </c>
      <c r="BO169" s="430" t="s">
        <v>197</v>
      </c>
      <c r="BP169" s="430" t="s">
        <v>197</v>
      </c>
      <c r="BQ169" s="430" t="s">
        <v>197</v>
      </c>
      <c r="BR169" s="430" t="s">
        <v>197</v>
      </c>
      <c r="BS169" s="430" t="s">
        <v>197</v>
      </c>
      <c r="BT169" s="430" t="s">
        <v>197</v>
      </c>
      <c r="BU169" s="430" t="s">
        <v>197</v>
      </c>
      <c r="BV169" s="430" t="s">
        <v>197</v>
      </c>
      <c r="BW169" s="430" t="s">
        <v>197</v>
      </c>
      <c r="BX169" s="430" t="s">
        <v>197</v>
      </c>
      <c r="BY169" s="430" t="s">
        <v>197</v>
      </c>
      <c r="BZ169" s="430" t="s">
        <v>197</v>
      </c>
      <c r="CA169" s="430" t="s">
        <v>197</v>
      </c>
      <c r="CB169" s="430" t="s">
        <v>197</v>
      </c>
      <c r="CC169" s="430" t="s">
        <v>197</v>
      </c>
      <c r="CD169" s="430" t="s">
        <v>197</v>
      </c>
      <c r="CE169" s="430" t="s">
        <v>197</v>
      </c>
      <c r="CF169" s="430" t="s">
        <v>197</v>
      </c>
      <c r="CG169" s="430" t="s">
        <v>197</v>
      </c>
      <c r="CH169" s="430" t="s">
        <v>197</v>
      </c>
      <c r="CI169" s="430" t="s">
        <v>197</v>
      </c>
      <c r="CJ169" s="430" t="s">
        <v>197</v>
      </c>
      <c r="CK169" s="430" t="s">
        <v>197</v>
      </c>
      <c r="CL169" s="430" t="s">
        <v>197</v>
      </c>
      <c r="CM169" s="430" t="s">
        <v>197</v>
      </c>
    </row>
    <row r="170" spans="1:91" ht="10.5" hidden="1">
      <c r="A170" s="462" t="s">
        <v>897</v>
      </c>
      <c r="B170" s="462" t="s">
        <v>111</v>
      </c>
      <c r="C170" s="462" t="s">
        <v>376</v>
      </c>
      <c r="D170" s="462" t="s">
        <v>113</v>
      </c>
      <c r="E170" s="462" t="s">
        <v>64</v>
      </c>
      <c r="F170" s="462" t="s">
        <v>65</v>
      </c>
      <c r="G170" s="462" t="s">
        <v>402</v>
      </c>
      <c r="H170" s="462" t="s">
        <v>67</v>
      </c>
      <c r="I170" s="439" t="s">
        <v>822</v>
      </c>
      <c r="J170" s="430" t="s">
        <v>377</v>
      </c>
      <c r="K170" s="430" t="s">
        <v>328</v>
      </c>
      <c r="L170" s="430"/>
      <c r="M170" s="430" t="s">
        <v>68</v>
      </c>
      <c r="N170" s="432">
        <v>46045</v>
      </c>
      <c r="O170" s="430" t="s">
        <v>70</v>
      </c>
      <c r="P170" s="430" t="s">
        <v>378</v>
      </c>
      <c r="Q170" s="430" t="s">
        <v>379</v>
      </c>
      <c r="R170" s="431" t="s">
        <v>73</v>
      </c>
      <c r="S170" s="442" t="s">
        <v>120</v>
      </c>
      <c r="T170" s="433">
        <v>620</v>
      </c>
      <c r="U170" s="1062">
        <v>648</v>
      </c>
      <c r="V170" s="434">
        <v>0.40200000000000002</v>
      </c>
      <c r="W170" s="435">
        <v>18</v>
      </c>
      <c r="X170" s="1015">
        <v>0.9</v>
      </c>
      <c r="Y170" s="430" t="s">
        <v>75</v>
      </c>
      <c r="Z170" s="430" t="s">
        <v>75</v>
      </c>
      <c r="AA170" s="430"/>
      <c r="AB170" s="437">
        <v>46078</v>
      </c>
      <c r="AC170" s="438">
        <v>9</v>
      </c>
      <c r="AD170" s="439" t="s">
        <v>898</v>
      </c>
      <c r="AE170" s="430"/>
      <c r="AF170" s="430" t="s">
        <v>122</v>
      </c>
      <c r="AG170" s="430" t="s">
        <v>123</v>
      </c>
      <c r="AH170" s="430" t="s">
        <v>356</v>
      </c>
      <c r="AI170" s="437">
        <v>46089</v>
      </c>
      <c r="AJ170" s="437">
        <v>46088</v>
      </c>
      <c r="AK170" s="441">
        <v>46089</v>
      </c>
      <c r="AL170" s="437">
        <v>46126</v>
      </c>
      <c r="AM170" s="437">
        <v>46126</v>
      </c>
      <c r="AN170" s="437">
        <v>46124</v>
      </c>
      <c r="AO170" s="430" t="s">
        <v>402</v>
      </c>
      <c r="AP170" s="430" t="s">
        <v>899</v>
      </c>
      <c r="AQ170" s="430" t="s">
        <v>80</v>
      </c>
      <c r="AR170" s="430" t="s">
        <v>900</v>
      </c>
      <c r="AS170" s="430" t="s">
        <v>901</v>
      </c>
      <c r="AT170" s="482" t="s">
        <v>901</v>
      </c>
      <c r="AU17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35</v>
      </c>
      <c r="AW170" s="437">
        <v>46124</v>
      </c>
      <c r="AX170" s="433" t="s">
        <v>84</v>
      </c>
      <c r="AY170" s="437">
        <v>46133</v>
      </c>
      <c r="AZ170" s="442">
        <v>8</v>
      </c>
      <c r="BA170" s="437">
        <v>46132</v>
      </c>
      <c r="BB170" s="433">
        <v>2026</v>
      </c>
      <c r="BC170" s="430">
        <v>4</v>
      </c>
      <c r="BD170" s="430">
        <v>17</v>
      </c>
      <c r="BE170" s="431">
        <v>36</v>
      </c>
      <c r="BF170" s="431">
        <v>720</v>
      </c>
      <c r="BG170" s="431" t="s">
        <v>128</v>
      </c>
      <c r="BH170" s="431" t="s">
        <v>109</v>
      </c>
      <c r="BI170" s="430" t="s">
        <v>197</v>
      </c>
      <c r="BJ170" s="430" t="s">
        <v>197</v>
      </c>
      <c r="BK170" s="430" t="s">
        <v>197</v>
      </c>
      <c r="BL170" s="430" t="s">
        <v>197</v>
      </c>
      <c r="BM170" s="430" t="s">
        <v>197</v>
      </c>
      <c r="BN170" s="430" t="s">
        <v>197</v>
      </c>
      <c r="BO170" s="430" t="s">
        <v>197</v>
      </c>
      <c r="BP170" s="430" t="s">
        <v>197</v>
      </c>
      <c r="BQ170" s="430" t="s">
        <v>197</v>
      </c>
      <c r="BR170" s="430" t="s">
        <v>197</v>
      </c>
      <c r="BS170" s="430" t="s">
        <v>197</v>
      </c>
      <c r="BT170" s="430" t="s">
        <v>197</v>
      </c>
      <c r="BU170" s="430" t="s">
        <v>197</v>
      </c>
      <c r="BV170" s="430" t="s">
        <v>197</v>
      </c>
      <c r="BW170" s="430" t="s">
        <v>197</v>
      </c>
      <c r="BX170" s="430" t="s">
        <v>197</v>
      </c>
      <c r="BY170" s="430" t="s">
        <v>197</v>
      </c>
      <c r="BZ170" s="430" t="s">
        <v>197</v>
      </c>
      <c r="CA170" s="430" t="s">
        <v>197</v>
      </c>
      <c r="CB170" s="430" t="s">
        <v>197</v>
      </c>
      <c r="CC170" s="430" t="s">
        <v>197</v>
      </c>
      <c r="CD170" s="430" t="s">
        <v>197</v>
      </c>
      <c r="CE170" s="430" t="s">
        <v>197</v>
      </c>
      <c r="CF170" s="430" t="s">
        <v>197</v>
      </c>
      <c r="CG170" s="430" t="s">
        <v>197</v>
      </c>
      <c r="CH170" s="430" t="s">
        <v>197</v>
      </c>
      <c r="CI170" s="430" t="s">
        <v>197</v>
      </c>
      <c r="CJ170" s="430" t="s">
        <v>197</v>
      </c>
      <c r="CK170" s="430" t="s">
        <v>197</v>
      </c>
      <c r="CL170" s="430" t="s">
        <v>197</v>
      </c>
      <c r="CM170" s="430" t="s">
        <v>197</v>
      </c>
    </row>
    <row r="171" spans="1:91" ht="10.5" hidden="1">
      <c r="A171" s="462" t="s">
        <v>902</v>
      </c>
      <c r="B171" s="462" t="s">
        <v>111</v>
      </c>
      <c r="C171" s="462" t="s">
        <v>584</v>
      </c>
      <c r="D171" s="462" t="s">
        <v>63</v>
      </c>
      <c r="E171" s="462" t="s">
        <v>64</v>
      </c>
      <c r="F171" s="462" t="s">
        <v>100</v>
      </c>
      <c r="G171" s="462" t="s">
        <v>402</v>
      </c>
      <c r="H171" s="462" t="s">
        <v>67</v>
      </c>
      <c r="I171" s="439" t="s">
        <v>689</v>
      </c>
      <c r="J171" s="430" t="s">
        <v>903</v>
      </c>
      <c r="K171" s="430"/>
      <c r="L171" s="430"/>
      <c r="M171" s="430" t="s">
        <v>68</v>
      </c>
      <c r="N171" s="432">
        <v>46073</v>
      </c>
      <c r="O171" s="430" t="s">
        <v>70</v>
      </c>
      <c r="P171" s="430" t="s">
        <v>585</v>
      </c>
      <c r="Q171" s="430" t="s">
        <v>103</v>
      </c>
      <c r="R171" s="431" t="s">
        <v>331</v>
      </c>
      <c r="S171" s="442" t="s">
        <v>120</v>
      </c>
      <c r="T171" s="433">
        <v>620</v>
      </c>
      <c r="U171" s="1062">
        <v>7200</v>
      </c>
      <c r="V171" s="434">
        <v>4.4640000000000004</v>
      </c>
      <c r="W171" s="435">
        <v>200</v>
      </c>
      <c r="X171" s="1015">
        <v>10</v>
      </c>
      <c r="Y171" s="430" t="s">
        <v>75</v>
      </c>
      <c r="Z171" s="430" t="s">
        <v>75</v>
      </c>
      <c r="AA171" s="430"/>
      <c r="AB171" s="437">
        <v>46080</v>
      </c>
      <c r="AC171" s="438">
        <v>9</v>
      </c>
      <c r="AD171" s="439" t="s">
        <v>904</v>
      </c>
      <c r="AE171" s="430"/>
      <c r="AF171" s="430" t="s">
        <v>122</v>
      </c>
      <c r="AG171" s="430" t="s">
        <v>123</v>
      </c>
      <c r="AH171" s="430" t="s">
        <v>105</v>
      </c>
      <c r="AI171" s="437">
        <v>46091</v>
      </c>
      <c r="AJ171" s="437">
        <v>46096</v>
      </c>
      <c r="AK171" s="441">
        <v>46096</v>
      </c>
      <c r="AL171" s="437">
        <v>46126</v>
      </c>
      <c r="AM171" s="437">
        <v>46142</v>
      </c>
      <c r="AN171" s="437">
        <v>46141</v>
      </c>
      <c r="AO171" s="430" t="s">
        <v>402</v>
      </c>
      <c r="AP171" s="430" t="s">
        <v>872</v>
      </c>
      <c r="AQ171" s="430" t="s">
        <v>80</v>
      </c>
      <c r="AR171" s="430" t="s">
        <v>905</v>
      </c>
      <c r="AS171" s="430" t="s">
        <v>906</v>
      </c>
      <c r="AT171" s="482" t="s">
        <v>906</v>
      </c>
      <c r="AU17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171" s="437">
        <v>46141</v>
      </c>
      <c r="AX171" s="433" t="s">
        <v>84</v>
      </c>
      <c r="AY171" s="437">
        <v>46163</v>
      </c>
      <c r="AZ171" s="442">
        <v>7</v>
      </c>
      <c r="BA171" s="437">
        <v>46148</v>
      </c>
      <c r="BB171" s="433">
        <v>2026</v>
      </c>
      <c r="BC171" s="430">
        <v>5</v>
      </c>
      <c r="BD171" s="430">
        <v>19</v>
      </c>
      <c r="BE171" s="431">
        <v>36</v>
      </c>
      <c r="BF171" s="431">
        <v>720</v>
      </c>
      <c r="BG171" s="431" t="s">
        <v>128</v>
      </c>
      <c r="BH171" s="431" t="s">
        <v>109</v>
      </c>
      <c r="BI171" s="430" t="s">
        <v>197</v>
      </c>
      <c r="BJ171" s="430" t="s">
        <v>197</v>
      </c>
      <c r="BK171" s="430" t="s">
        <v>197</v>
      </c>
      <c r="BL171" s="430" t="s">
        <v>197</v>
      </c>
      <c r="BM171" s="430" t="s">
        <v>197</v>
      </c>
      <c r="BN171" s="430" t="s">
        <v>197</v>
      </c>
      <c r="BO171" s="430" t="s">
        <v>197</v>
      </c>
      <c r="BP171" s="430" t="s">
        <v>197</v>
      </c>
      <c r="BQ171" s="430" t="s">
        <v>197</v>
      </c>
      <c r="BR171" s="430" t="s">
        <v>197</v>
      </c>
      <c r="BS171" s="430" t="s">
        <v>197</v>
      </c>
      <c r="BT171" s="430" t="s">
        <v>197</v>
      </c>
      <c r="BU171" s="430" t="s">
        <v>197</v>
      </c>
      <c r="BV171" s="430" t="s">
        <v>197</v>
      </c>
      <c r="BW171" s="430" t="s">
        <v>197</v>
      </c>
      <c r="BX171" s="430" t="s">
        <v>197</v>
      </c>
      <c r="BY171" s="430" t="s">
        <v>197</v>
      </c>
      <c r="BZ171" s="430" t="s">
        <v>197</v>
      </c>
      <c r="CA171" s="430" t="s">
        <v>197</v>
      </c>
      <c r="CB171" s="430" t="s">
        <v>197</v>
      </c>
      <c r="CC171" s="430" t="s">
        <v>197</v>
      </c>
      <c r="CD171" s="430" t="s">
        <v>197</v>
      </c>
      <c r="CE171" s="430" t="s">
        <v>197</v>
      </c>
      <c r="CF171" s="430" t="s">
        <v>197</v>
      </c>
      <c r="CG171" s="430" t="s">
        <v>197</v>
      </c>
      <c r="CH171" s="430" t="s">
        <v>197</v>
      </c>
      <c r="CI171" s="430" t="s">
        <v>197</v>
      </c>
      <c r="CJ171" s="430" t="s">
        <v>197</v>
      </c>
      <c r="CK171" s="430" t="s">
        <v>197</v>
      </c>
      <c r="CL171" s="430" t="s">
        <v>197</v>
      </c>
      <c r="CM171" s="430" t="s">
        <v>197</v>
      </c>
    </row>
    <row r="172" spans="1:91" ht="10.5" hidden="1">
      <c r="A172" s="462" t="s">
        <v>907</v>
      </c>
      <c r="B172" s="462" t="s">
        <v>111</v>
      </c>
      <c r="C172" s="462" t="s">
        <v>584</v>
      </c>
      <c r="D172" s="462" t="s">
        <v>63</v>
      </c>
      <c r="E172" s="462" t="s">
        <v>64</v>
      </c>
      <c r="F172" s="462" t="s">
        <v>100</v>
      </c>
      <c r="G172" s="462" t="s">
        <v>402</v>
      </c>
      <c r="H172" s="462" t="s">
        <v>67</v>
      </c>
      <c r="I172" s="439" t="s">
        <v>689</v>
      </c>
      <c r="J172" s="430" t="s">
        <v>101</v>
      </c>
      <c r="K172" s="430"/>
      <c r="L172" s="430"/>
      <c r="M172" s="430" t="s">
        <v>68</v>
      </c>
      <c r="N172" s="432">
        <v>46073</v>
      </c>
      <c r="O172" s="430" t="s">
        <v>70</v>
      </c>
      <c r="P172" s="430" t="s">
        <v>585</v>
      </c>
      <c r="Q172" s="430" t="s">
        <v>103</v>
      </c>
      <c r="R172" s="431" t="s">
        <v>331</v>
      </c>
      <c r="S172" s="442" t="s">
        <v>120</v>
      </c>
      <c r="T172" s="433">
        <v>620</v>
      </c>
      <c r="U172" s="1062">
        <v>5760</v>
      </c>
      <c r="V172" s="434">
        <v>3.5710000000000002</v>
      </c>
      <c r="W172" s="435">
        <v>160</v>
      </c>
      <c r="X172" s="1015">
        <v>8</v>
      </c>
      <c r="Y172" s="430" t="s">
        <v>75</v>
      </c>
      <c r="Z172" s="430" t="s">
        <v>75</v>
      </c>
      <c r="AA172" s="430"/>
      <c r="AB172" s="437">
        <v>46081</v>
      </c>
      <c r="AC172" s="438">
        <v>9</v>
      </c>
      <c r="AD172" s="439" t="s">
        <v>908</v>
      </c>
      <c r="AE172" s="430"/>
      <c r="AF172" s="430" t="s">
        <v>122</v>
      </c>
      <c r="AG172" s="430" t="s">
        <v>123</v>
      </c>
      <c r="AH172" s="430" t="s">
        <v>105</v>
      </c>
      <c r="AI172" s="437">
        <v>46091</v>
      </c>
      <c r="AJ172" s="437">
        <v>46096</v>
      </c>
      <c r="AK172" s="441">
        <v>46096</v>
      </c>
      <c r="AL172" s="437">
        <v>46126</v>
      </c>
      <c r="AM172" s="437">
        <v>46142</v>
      </c>
      <c r="AN172" s="437">
        <v>46141</v>
      </c>
      <c r="AO172" s="430" t="s">
        <v>402</v>
      </c>
      <c r="AP172" s="430" t="s">
        <v>872</v>
      </c>
      <c r="AQ172" s="430" t="s">
        <v>80</v>
      </c>
      <c r="AR172" s="430" t="s">
        <v>909</v>
      </c>
      <c r="AS172" s="430" t="s">
        <v>910</v>
      </c>
      <c r="AT172" s="482" t="s">
        <v>910</v>
      </c>
      <c r="AU17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172" s="437">
        <v>46141</v>
      </c>
      <c r="AX172" s="433" t="s">
        <v>84</v>
      </c>
      <c r="AY172" s="437">
        <v>46163</v>
      </c>
      <c r="AZ172" s="442">
        <v>7</v>
      </c>
      <c r="BA172" s="437">
        <v>46148</v>
      </c>
      <c r="BB172" s="433">
        <v>2026</v>
      </c>
      <c r="BC172" s="430">
        <v>5</v>
      </c>
      <c r="BD172" s="430">
        <v>19</v>
      </c>
      <c r="BE172" s="431">
        <v>36</v>
      </c>
      <c r="BF172" s="431">
        <v>720</v>
      </c>
      <c r="BG172" s="431" t="s">
        <v>128</v>
      </c>
      <c r="BH172" s="431" t="s">
        <v>109</v>
      </c>
      <c r="BI172" s="430" t="s">
        <v>197</v>
      </c>
      <c r="BJ172" s="430" t="s">
        <v>197</v>
      </c>
      <c r="BK172" s="430" t="s">
        <v>197</v>
      </c>
      <c r="BL172" s="430" t="s">
        <v>197</v>
      </c>
      <c r="BM172" s="430" t="s">
        <v>197</v>
      </c>
      <c r="BN172" s="430" t="s">
        <v>197</v>
      </c>
      <c r="BO172" s="430" t="s">
        <v>197</v>
      </c>
      <c r="BP172" s="430" t="s">
        <v>197</v>
      </c>
      <c r="BQ172" s="430" t="s">
        <v>197</v>
      </c>
      <c r="BR172" s="430" t="s">
        <v>197</v>
      </c>
      <c r="BS172" s="430" t="s">
        <v>197</v>
      </c>
      <c r="BT172" s="430" t="s">
        <v>197</v>
      </c>
      <c r="BU172" s="430" t="s">
        <v>197</v>
      </c>
      <c r="BV172" s="430" t="s">
        <v>197</v>
      </c>
      <c r="BW172" s="430" t="s">
        <v>197</v>
      </c>
      <c r="BX172" s="430" t="s">
        <v>197</v>
      </c>
      <c r="BY172" s="430" t="s">
        <v>197</v>
      </c>
      <c r="BZ172" s="430" t="s">
        <v>197</v>
      </c>
      <c r="CA172" s="430" t="s">
        <v>197</v>
      </c>
      <c r="CB172" s="430" t="s">
        <v>197</v>
      </c>
      <c r="CC172" s="430" t="s">
        <v>197</v>
      </c>
      <c r="CD172" s="430" t="s">
        <v>197</v>
      </c>
      <c r="CE172" s="430" t="s">
        <v>197</v>
      </c>
      <c r="CF172" s="430" t="s">
        <v>197</v>
      </c>
      <c r="CG172" s="430" t="s">
        <v>197</v>
      </c>
      <c r="CH172" s="430" t="s">
        <v>197</v>
      </c>
      <c r="CI172" s="430" t="s">
        <v>197</v>
      </c>
      <c r="CJ172" s="430" t="s">
        <v>197</v>
      </c>
      <c r="CK172" s="430" t="s">
        <v>197</v>
      </c>
      <c r="CL172" s="430" t="s">
        <v>197</v>
      </c>
      <c r="CM172" s="430" t="s">
        <v>197</v>
      </c>
    </row>
    <row r="173" spans="1:91" ht="10.5" hidden="1">
      <c r="A173" s="462" t="s">
        <v>911</v>
      </c>
      <c r="B173" s="462" t="s">
        <v>111</v>
      </c>
      <c r="C173" s="462" t="s">
        <v>584</v>
      </c>
      <c r="D173" s="462" t="s">
        <v>113</v>
      </c>
      <c r="E173" s="462" t="s">
        <v>64</v>
      </c>
      <c r="F173" s="462" t="s">
        <v>100</v>
      </c>
      <c r="G173" s="462" t="s">
        <v>402</v>
      </c>
      <c r="H173" s="462" t="s">
        <v>67</v>
      </c>
      <c r="I173" s="439" t="s">
        <v>689</v>
      </c>
      <c r="J173" s="430" t="s">
        <v>912</v>
      </c>
      <c r="K173" s="430"/>
      <c r="L173" s="430"/>
      <c r="M173" s="430" t="s">
        <v>68</v>
      </c>
      <c r="N173" s="432">
        <v>46073</v>
      </c>
      <c r="O173" s="430" t="s">
        <v>70</v>
      </c>
      <c r="P173" s="430" t="s">
        <v>585</v>
      </c>
      <c r="Q173" s="430" t="s">
        <v>103</v>
      </c>
      <c r="R173" s="431" t="s">
        <v>331</v>
      </c>
      <c r="S173" s="442" t="s">
        <v>120</v>
      </c>
      <c r="T173" s="433">
        <v>620</v>
      </c>
      <c r="U173" s="1062">
        <v>10800</v>
      </c>
      <c r="V173" s="434">
        <v>6.6959999999999997</v>
      </c>
      <c r="W173" s="435">
        <v>300</v>
      </c>
      <c r="X173" s="1015">
        <v>15</v>
      </c>
      <c r="Y173" s="430" t="s">
        <v>75</v>
      </c>
      <c r="Z173" s="430" t="s">
        <v>75</v>
      </c>
      <c r="AA173" s="430"/>
      <c r="AB173" s="437">
        <v>46086</v>
      </c>
      <c r="AC173" s="438">
        <v>10</v>
      </c>
      <c r="AD173" s="439" t="s">
        <v>913</v>
      </c>
      <c r="AE173" s="430"/>
      <c r="AF173" s="430" t="s">
        <v>122</v>
      </c>
      <c r="AG173" s="430" t="s">
        <v>123</v>
      </c>
      <c r="AH173" s="430" t="s">
        <v>105</v>
      </c>
      <c r="AI173" s="437">
        <v>46096</v>
      </c>
      <c r="AJ173" s="437">
        <v>46096</v>
      </c>
      <c r="AK173" s="441">
        <v>46096</v>
      </c>
      <c r="AL173" s="437">
        <v>46133</v>
      </c>
      <c r="AM173" s="437">
        <v>46142</v>
      </c>
      <c r="AN173" s="437">
        <v>46141</v>
      </c>
      <c r="AO173" s="430" t="s">
        <v>402</v>
      </c>
      <c r="AP173" s="430" t="s">
        <v>889</v>
      </c>
      <c r="AQ173" s="430" t="s">
        <v>80</v>
      </c>
      <c r="AR173" s="430" t="s">
        <v>914</v>
      </c>
      <c r="AS173" s="430" t="s">
        <v>915</v>
      </c>
      <c r="AT173" s="482" t="s">
        <v>915</v>
      </c>
      <c r="AU17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173" s="437">
        <v>46141</v>
      </c>
      <c r="AX173" s="433" t="s">
        <v>84</v>
      </c>
      <c r="AY173" s="437">
        <v>46163</v>
      </c>
      <c r="AZ173" s="442">
        <v>7</v>
      </c>
      <c r="BA173" s="437">
        <v>46148</v>
      </c>
      <c r="BB173" s="433">
        <v>2026</v>
      </c>
      <c r="BC173" s="430">
        <v>5</v>
      </c>
      <c r="BD173" s="430">
        <v>19</v>
      </c>
      <c r="BE173" s="431">
        <v>36</v>
      </c>
      <c r="BF173" s="431">
        <v>720</v>
      </c>
      <c r="BG173" s="431" t="s">
        <v>128</v>
      </c>
      <c r="BH173" s="431" t="s">
        <v>109</v>
      </c>
      <c r="BI173" s="430" t="s">
        <v>197</v>
      </c>
      <c r="BJ173" s="430" t="s">
        <v>197</v>
      </c>
      <c r="BK173" s="430" t="s">
        <v>197</v>
      </c>
      <c r="BL173" s="430" t="s">
        <v>197</v>
      </c>
      <c r="BM173" s="430" t="s">
        <v>197</v>
      </c>
      <c r="BN173" s="430" t="s">
        <v>197</v>
      </c>
      <c r="BO173" s="430" t="s">
        <v>197</v>
      </c>
      <c r="BP173" s="430" t="s">
        <v>197</v>
      </c>
      <c r="BQ173" s="430" t="s">
        <v>197</v>
      </c>
      <c r="BR173" s="430" t="s">
        <v>197</v>
      </c>
      <c r="BS173" s="430" t="s">
        <v>197</v>
      </c>
      <c r="BT173" s="430" t="s">
        <v>197</v>
      </c>
      <c r="BU173" s="430" t="s">
        <v>197</v>
      </c>
      <c r="BV173" s="430" t="s">
        <v>197</v>
      </c>
      <c r="BW173" s="430" t="s">
        <v>197</v>
      </c>
      <c r="BX173" s="430" t="s">
        <v>197</v>
      </c>
      <c r="BY173" s="430" t="s">
        <v>197</v>
      </c>
      <c r="BZ173" s="430" t="s">
        <v>197</v>
      </c>
      <c r="CA173" s="430" t="s">
        <v>197</v>
      </c>
      <c r="CB173" s="430" t="s">
        <v>197</v>
      </c>
      <c r="CC173" s="430" t="s">
        <v>197</v>
      </c>
      <c r="CD173" s="430" t="s">
        <v>197</v>
      </c>
      <c r="CE173" s="430" t="s">
        <v>197</v>
      </c>
      <c r="CF173" s="430" t="s">
        <v>197</v>
      </c>
      <c r="CG173" s="430" t="s">
        <v>197</v>
      </c>
      <c r="CH173" s="430" t="s">
        <v>197</v>
      </c>
      <c r="CI173" s="430" t="s">
        <v>197</v>
      </c>
      <c r="CJ173" s="430" t="s">
        <v>197</v>
      </c>
      <c r="CK173" s="430" t="s">
        <v>197</v>
      </c>
      <c r="CL173" s="430" t="s">
        <v>197</v>
      </c>
      <c r="CM173" s="430" t="s">
        <v>197</v>
      </c>
    </row>
    <row r="174" spans="1:91" ht="10.5" hidden="1">
      <c r="A174" s="462" t="s">
        <v>916</v>
      </c>
      <c r="B174" s="462" t="s">
        <v>111</v>
      </c>
      <c r="C174" s="462" t="s">
        <v>584</v>
      </c>
      <c r="D174" s="462" t="s">
        <v>63</v>
      </c>
      <c r="E174" s="462" t="s">
        <v>64</v>
      </c>
      <c r="F174" s="462" t="s">
        <v>100</v>
      </c>
      <c r="G174" s="462" t="s">
        <v>402</v>
      </c>
      <c r="H174" s="462" t="s">
        <v>67</v>
      </c>
      <c r="I174" s="439" t="s">
        <v>689</v>
      </c>
      <c r="J174" s="430" t="s">
        <v>917</v>
      </c>
      <c r="K174" s="430"/>
      <c r="L174" s="430"/>
      <c r="M174" s="430" t="s">
        <v>68</v>
      </c>
      <c r="N174" s="432">
        <v>46073</v>
      </c>
      <c r="O174" s="430" t="s">
        <v>70</v>
      </c>
      <c r="P174" s="430" t="s">
        <v>585</v>
      </c>
      <c r="Q174" s="430" t="s">
        <v>103</v>
      </c>
      <c r="R174" s="431" t="s">
        <v>331</v>
      </c>
      <c r="S174" s="442" t="s">
        <v>120</v>
      </c>
      <c r="T174" s="433">
        <v>620</v>
      </c>
      <c r="U174" s="1062">
        <v>5760</v>
      </c>
      <c r="V174" s="434">
        <v>3.5710000000000002</v>
      </c>
      <c r="W174" s="435">
        <v>160</v>
      </c>
      <c r="X174" s="1015">
        <v>8</v>
      </c>
      <c r="Y174" s="430" t="s">
        <v>75</v>
      </c>
      <c r="Z174" s="430" t="s">
        <v>75</v>
      </c>
      <c r="AA174" s="430"/>
      <c r="AB174" s="437">
        <v>46092</v>
      </c>
      <c r="AC174" s="438">
        <v>11</v>
      </c>
      <c r="AD174" s="439" t="s">
        <v>918</v>
      </c>
      <c r="AE174" s="430"/>
      <c r="AF174" s="430" t="s">
        <v>122</v>
      </c>
      <c r="AG174" s="430" t="s">
        <v>123</v>
      </c>
      <c r="AH174" s="430" t="s">
        <v>105</v>
      </c>
      <c r="AI174" s="437">
        <v>46096</v>
      </c>
      <c r="AJ174" s="437">
        <v>46103</v>
      </c>
      <c r="AK174" s="441">
        <v>46103</v>
      </c>
      <c r="AL174" s="437">
        <v>46133</v>
      </c>
      <c r="AM174" s="437">
        <v>46150</v>
      </c>
      <c r="AN174" s="437">
        <v>46148</v>
      </c>
      <c r="AO174" s="430" t="s">
        <v>402</v>
      </c>
      <c r="AP174" s="430" t="s">
        <v>889</v>
      </c>
      <c r="AQ174" s="430" t="s">
        <v>80</v>
      </c>
      <c r="AR174" s="430" t="s">
        <v>919</v>
      </c>
      <c r="AS174" s="430" t="s">
        <v>920</v>
      </c>
      <c r="AT174" s="482" t="s">
        <v>920</v>
      </c>
      <c r="AU17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174" s="437">
        <v>46148</v>
      </c>
      <c r="AX174" s="433" t="s">
        <v>84</v>
      </c>
      <c r="AY174" s="437">
        <v>46164</v>
      </c>
      <c r="AZ174" s="442">
        <v>7</v>
      </c>
      <c r="BA174" s="437">
        <v>46155</v>
      </c>
      <c r="BB174" s="433">
        <v>2026</v>
      </c>
      <c r="BC174" s="430">
        <v>5</v>
      </c>
      <c r="BD174" s="430">
        <v>20</v>
      </c>
      <c r="BE174" s="431">
        <v>36</v>
      </c>
      <c r="BF174" s="431">
        <v>720</v>
      </c>
      <c r="BG174" s="431" t="s">
        <v>128</v>
      </c>
      <c r="BH174" s="431" t="s">
        <v>109</v>
      </c>
      <c r="BI174" s="430" t="s">
        <v>197</v>
      </c>
      <c r="BJ174" s="430" t="s">
        <v>197</v>
      </c>
      <c r="BK174" s="430" t="s">
        <v>197</v>
      </c>
      <c r="BL174" s="430" t="s">
        <v>197</v>
      </c>
      <c r="BM174" s="430" t="s">
        <v>197</v>
      </c>
      <c r="BN174" s="430" t="s">
        <v>197</v>
      </c>
      <c r="BO174" s="430" t="s">
        <v>197</v>
      </c>
      <c r="BP174" s="430" t="s">
        <v>197</v>
      </c>
      <c r="BQ174" s="430" t="s">
        <v>197</v>
      </c>
      <c r="BR174" s="430" t="s">
        <v>197</v>
      </c>
      <c r="BS174" s="430" t="s">
        <v>197</v>
      </c>
      <c r="BT174" s="430" t="s">
        <v>197</v>
      </c>
      <c r="BU174" s="430" t="s">
        <v>197</v>
      </c>
      <c r="BV174" s="430" t="s">
        <v>197</v>
      </c>
      <c r="BW174" s="430" t="s">
        <v>197</v>
      </c>
      <c r="BX174" s="430" t="s">
        <v>197</v>
      </c>
      <c r="BY174" s="430" t="s">
        <v>197</v>
      </c>
      <c r="BZ174" s="430" t="s">
        <v>197</v>
      </c>
      <c r="CA174" s="430" t="s">
        <v>197</v>
      </c>
      <c r="CB174" s="430" t="s">
        <v>197</v>
      </c>
      <c r="CC174" s="430" t="s">
        <v>197</v>
      </c>
      <c r="CD174" s="430" t="s">
        <v>197</v>
      </c>
      <c r="CE174" s="430" t="s">
        <v>197</v>
      </c>
      <c r="CF174" s="430" t="s">
        <v>197</v>
      </c>
      <c r="CG174" s="430" t="s">
        <v>197</v>
      </c>
      <c r="CH174" s="430" t="s">
        <v>197</v>
      </c>
      <c r="CI174" s="430" t="s">
        <v>197</v>
      </c>
      <c r="CJ174" s="430" t="s">
        <v>197</v>
      </c>
      <c r="CK174" s="430" t="s">
        <v>197</v>
      </c>
      <c r="CL174" s="430" t="s">
        <v>197</v>
      </c>
      <c r="CM174" s="430" t="s">
        <v>197</v>
      </c>
    </row>
    <row r="175" spans="1:91" ht="10.5" hidden="1">
      <c r="A175" s="462" t="s">
        <v>921</v>
      </c>
      <c r="B175" s="462" t="s">
        <v>61</v>
      </c>
      <c r="C175" s="462" t="s">
        <v>922</v>
      </c>
      <c r="D175" s="462" t="s">
        <v>63</v>
      </c>
      <c r="E175" s="462" t="s">
        <v>64</v>
      </c>
      <c r="F175" s="462" t="s">
        <v>100</v>
      </c>
      <c r="G175" s="462" t="s">
        <v>402</v>
      </c>
      <c r="H175" s="462" t="s">
        <v>67</v>
      </c>
      <c r="I175" s="439" t="s">
        <v>689</v>
      </c>
      <c r="J175" s="430" t="s">
        <v>923</v>
      </c>
      <c r="K175" s="430"/>
      <c r="L175" s="430"/>
      <c r="M175" s="430" t="s">
        <v>68</v>
      </c>
      <c r="N175" s="432">
        <v>46045</v>
      </c>
      <c r="O175" s="430" t="s">
        <v>70</v>
      </c>
      <c r="P175" s="430" t="s">
        <v>885</v>
      </c>
      <c r="Q175" s="430" t="s">
        <v>886</v>
      </c>
      <c r="R175" s="431" t="s">
        <v>73</v>
      </c>
      <c r="S175" s="442" t="s">
        <v>120</v>
      </c>
      <c r="T175" s="433">
        <v>615</v>
      </c>
      <c r="U175" s="1062">
        <v>720</v>
      </c>
      <c r="V175" s="434">
        <v>0.443</v>
      </c>
      <c r="W175" s="435">
        <v>20</v>
      </c>
      <c r="X175" s="1015">
        <v>1</v>
      </c>
      <c r="Y175" s="430" t="s">
        <v>75</v>
      </c>
      <c r="Z175" s="430" t="s">
        <v>75</v>
      </c>
      <c r="AA175" s="430"/>
      <c r="AB175" s="437">
        <v>46091</v>
      </c>
      <c r="AC175" s="438">
        <v>11</v>
      </c>
      <c r="AD175" s="439" t="s">
        <v>924</v>
      </c>
      <c r="AE175" s="430"/>
      <c r="AF175" s="430" t="s">
        <v>77</v>
      </c>
      <c r="AG175" s="430" t="s">
        <v>61</v>
      </c>
      <c r="AH175" s="430" t="s">
        <v>105</v>
      </c>
      <c r="AI175" s="437">
        <v>46095</v>
      </c>
      <c r="AJ175" s="437">
        <v>46095</v>
      </c>
      <c r="AK175" s="441">
        <v>46095</v>
      </c>
      <c r="AL175" s="437">
        <v>46142</v>
      </c>
      <c r="AM175" s="437">
        <v>46154</v>
      </c>
      <c r="AN175" s="437">
        <v>46157</v>
      </c>
      <c r="AP175" s="430" t="s">
        <v>925</v>
      </c>
      <c r="AQ175" s="430" t="s">
        <v>80</v>
      </c>
      <c r="AR175" s="430" t="s">
        <v>926</v>
      </c>
      <c r="AS175" s="430" t="s">
        <v>927</v>
      </c>
      <c r="AT175" s="482" t="s">
        <v>927</v>
      </c>
      <c r="AU17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62</v>
      </c>
      <c r="AW175" s="437">
        <v>46157</v>
      </c>
      <c r="AX175" s="433" t="s">
        <v>84</v>
      </c>
      <c r="AY175" s="437">
        <v>46171</v>
      </c>
      <c r="AZ175" s="442">
        <v>7</v>
      </c>
      <c r="BA175" s="437">
        <v>46164</v>
      </c>
      <c r="BB175" s="433">
        <v>2026</v>
      </c>
      <c r="BC175" s="430">
        <v>5</v>
      </c>
      <c r="BD175" s="430">
        <v>21</v>
      </c>
      <c r="BE175" s="431">
        <v>36</v>
      </c>
      <c r="BF175" s="431">
        <v>720</v>
      </c>
      <c r="BG175" s="431" t="s">
        <v>108</v>
      </c>
      <c r="BH175" s="431" t="s">
        <v>109</v>
      </c>
      <c r="BI175" s="430" t="s">
        <v>197</v>
      </c>
      <c r="BJ175" s="430" t="s">
        <v>197</v>
      </c>
      <c r="BK175" s="430" t="s">
        <v>197</v>
      </c>
      <c r="BL175" s="430" t="s">
        <v>197</v>
      </c>
      <c r="BM175" s="430" t="s">
        <v>197</v>
      </c>
      <c r="BN175" s="430" t="s">
        <v>197</v>
      </c>
      <c r="BO175" s="430" t="s">
        <v>197</v>
      </c>
      <c r="BP175" s="430" t="s">
        <v>197</v>
      </c>
      <c r="BQ175" s="430" t="s">
        <v>197</v>
      </c>
      <c r="BR175" s="430" t="s">
        <v>197</v>
      </c>
      <c r="BS175" s="430" t="s">
        <v>197</v>
      </c>
      <c r="BT175" s="430" t="s">
        <v>197</v>
      </c>
      <c r="BU175" s="430" t="s">
        <v>197</v>
      </c>
      <c r="BV175" s="430" t="s">
        <v>197</v>
      </c>
      <c r="BW175" s="430" t="s">
        <v>197</v>
      </c>
      <c r="BX175" s="430" t="s">
        <v>197</v>
      </c>
      <c r="BY175" s="430" t="s">
        <v>197</v>
      </c>
      <c r="BZ175" s="430" t="s">
        <v>197</v>
      </c>
      <c r="CA175" s="430" t="s">
        <v>197</v>
      </c>
      <c r="CB175" s="430" t="s">
        <v>197</v>
      </c>
      <c r="CC175" s="430" t="s">
        <v>197</v>
      </c>
      <c r="CD175" s="430" t="s">
        <v>197</v>
      </c>
      <c r="CE175" s="430" t="s">
        <v>197</v>
      </c>
      <c r="CF175" s="430" t="s">
        <v>197</v>
      </c>
      <c r="CG175" s="430" t="s">
        <v>197</v>
      </c>
      <c r="CH175" s="430" t="s">
        <v>197</v>
      </c>
      <c r="CI175" s="430" t="s">
        <v>197</v>
      </c>
      <c r="CJ175" s="430" t="s">
        <v>197</v>
      </c>
      <c r="CK175" s="430" t="s">
        <v>197</v>
      </c>
      <c r="CL175" s="430" t="s">
        <v>197</v>
      </c>
      <c r="CM175" s="430" t="s">
        <v>197</v>
      </c>
    </row>
    <row r="176" spans="1:91" ht="10.5" hidden="1">
      <c r="A176" s="462" t="s">
        <v>584</v>
      </c>
      <c r="B176" s="462" t="s">
        <v>111</v>
      </c>
      <c r="C176" s="462" t="s">
        <v>203</v>
      </c>
      <c r="D176" s="462" t="s">
        <v>113</v>
      </c>
      <c r="E176" s="462" t="s">
        <v>64</v>
      </c>
      <c r="F176" s="462" t="s">
        <v>65</v>
      </c>
      <c r="G176" s="462" t="s">
        <v>402</v>
      </c>
      <c r="H176" s="462" t="s">
        <v>67</v>
      </c>
      <c r="I176" s="439" t="s">
        <v>689</v>
      </c>
      <c r="J176" s="430" t="s">
        <v>928</v>
      </c>
      <c r="K176" s="430"/>
      <c r="L176" s="430"/>
      <c r="M176" s="430" t="s">
        <v>68</v>
      </c>
      <c r="N176" s="432">
        <v>46073</v>
      </c>
      <c r="O176" s="430" t="s">
        <v>70</v>
      </c>
      <c r="P176" s="430" t="s">
        <v>585</v>
      </c>
      <c r="Q176" s="430" t="s">
        <v>103</v>
      </c>
      <c r="R176" s="431" t="s">
        <v>331</v>
      </c>
      <c r="S176" s="442" t="s">
        <v>120</v>
      </c>
      <c r="T176" s="433">
        <v>620</v>
      </c>
      <c r="U176" s="1062">
        <v>108</v>
      </c>
      <c r="V176" s="434">
        <v>6.7000000000000004E-2</v>
      </c>
      <c r="W176" s="435">
        <v>3</v>
      </c>
      <c r="X176" s="1015">
        <v>0.2</v>
      </c>
      <c r="Y176" s="430" t="s">
        <v>75</v>
      </c>
      <c r="Z176" s="430" t="s">
        <v>75</v>
      </c>
      <c r="AA176" s="430"/>
      <c r="AB176" s="437">
        <v>46100</v>
      </c>
      <c r="AC176" s="438">
        <v>12</v>
      </c>
      <c r="AD176" s="439" t="s">
        <v>929</v>
      </c>
      <c r="AE176" s="430"/>
      <c r="AF176" s="430" t="s">
        <v>122</v>
      </c>
      <c r="AG176" s="430" t="s">
        <v>123</v>
      </c>
      <c r="AH176" s="430" t="s">
        <v>78</v>
      </c>
      <c r="AI176" s="437">
        <v>46105</v>
      </c>
      <c r="AJ176" s="437">
        <v>46105</v>
      </c>
      <c r="AK176" s="441">
        <v>46105</v>
      </c>
      <c r="AL176" s="437">
        <v>46154</v>
      </c>
      <c r="AM176" s="437">
        <v>46151</v>
      </c>
      <c r="AN176" s="437">
        <v>46151</v>
      </c>
      <c r="AO176" s="430" t="s">
        <v>402</v>
      </c>
      <c r="AP176" s="430" t="s">
        <v>930</v>
      </c>
      <c r="AQ176" s="430" t="s">
        <v>80</v>
      </c>
      <c r="AR176" s="430" t="s">
        <v>931</v>
      </c>
      <c r="AS176" s="430" t="s">
        <v>932</v>
      </c>
      <c r="AT176" s="482" t="s">
        <v>932</v>
      </c>
      <c r="AU17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176" s="437">
        <v>46151</v>
      </c>
      <c r="AX176" s="433" t="s">
        <v>84</v>
      </c>
      <c r="AY176" s="437">
        <v>46173</v>
      </c>
      <c r="AZ176" s="442">
        <v>8</v>
      </c>
      <c r="BA176" s="437">
        <v>46159</v>
      </c>
      <c r="BB176" s="433">
        <v>2026</v>
      </c>
      <c r="BC176" s="430">
        <v>5</v>
      </c>
      <c r="BD176" s="430">
        <v>20</v>
      </c>
      <c r="BE176" s="431">
        <v>36</v>
      </c>
      <c r="BF176" s="431">
        <v>720</v>
      </c>
      <c r="BG176" s="431" t="s">
        <v>128</v>
      </c>
      <c r="BH176" s="431" t="s">
        <v>86</v>
      </c>
      <c r="BI176" s="430" t="s">
        <v>197</v>
      </c>
      <c r="BJ176" s="430" t="s">
        <v>197</v>
      </c>
      <c r="BK176" s="430" t="s">
        <v>197</v>
      </c>
      <c r="BL176" s="430" t="s">
        <v>197</v>
      </c>
      <c r="BM176" s="430" t="s">
        <v>197</v>
      </c>
      <c r="BN176" s="430" t="s">
        <v>197</v>
      </c>
      <c r="BO176" s="430" t="s">
        <v>197</v>
      </c>
      <c r="BP176" s="430" t="s">
        <v>197</v>
      </c>
      <c r="BQ176" s="430" t="s">
        <v>197</v>
      </c>
      <c r="BR176" s="430" t="s">
        <v>197</v>
      </c>
      <c r="BS176" s="430" t="s">
        <v>197</v>
      </c>
      <c r="BT176" s="430" t="s">
        <v>197</v>
      </c>
      <c r="BU176" s="430" t="s">
        <v>197</v>
      </c>
      <c r="BV176" s="430" t="s">
        <v>197</v>
      </c>
      <c r="BW176" s="430" t="s">
        <v>197</v>
      </c>
      <c r="BX176" s="430" t="s">
        <v>197</v>
      </c>
      <c r="BY176" s="430" t="s">
        <v>197</v>
      </c>
      <c r="BZ176" s="430" t="s">
        <v>197</v>
      </c>
      <c r="CA176" s="430" t="s">
        <v>197</v>
      </c>
      <c r="CB176" s="430" t="s">
        <v>197</v>
      </c>
      <c r="CC176" s="430" t="s">
        <v>197</v>
      </c>
      <c r="CD176" s="430" t="s">
        <v>197</v>
      </c>
      <c r="CE176" s="430" t="s">
        <v>197</v>
      </c>
      <c r="CF176" s="430" t="s">
        <v>197</v>
      </c>
      <c r="CG176" s="430" t="s">
        <v>197</v>
      </c>
      <c r="CH176" s="430" t="s">
        <v>197</v>
      </c>
      <c r="CI176" s="430" t="s">
        <v>197</v>
      </c>
      <c r="CJ176" s="430" t="s">
        <v>197</v>
      </c>
      <c r="CK176" s="430" t="s">
        <v>197</v>
      </c>
      <c r="CL176" s="430" t="s">
        <v>197</v>
      </c>
      <c r="CM176" s="430" t="s">
        <v>197</v>
      </c>
    </row>
    <row r="177" spans="1:91" ht="10.5" hidden="1">
      <c r="A177" s="462" t="s">
        <v>401</v>
      </c>
      <c r="B177" s="462" t="s">
        <v>111</v>
      </c>
      <c r="C177" s="462" t="s">
        <v>203</v>
      </c>
      <c r="D177" s="462" t="s">
        <v>63</v>
      </c>
      <c r="E177" s="462" t="s">
        <v>64</v>
      </c>
      <c r="F177" s="462" t="s">
        <v>65</v>
      </c>
      <c r="G177" s="462" t="s">
        <v>402</v>
      </c>
      <c r="H177" s="462" t="s">
        <v>67</v>
      </c>
      <c r="I177" s="439" t="s">
        <v>689</v>
      </c>
      <c r="J177" s="430" t="s">
        <v>933</v>
      </c>
      <c r="K177" s="430"/>
      <c r="L177" s="430"/>
      <c r="M177" s="430" t="s">
        <v>68</v>
      </c>
      <c r="N177" s="432">
        <v>46045</v>
      </c>
      <c r="O177" s="430" t="s">
        <v>132</v>
      </c>
      <c r="P177" s="430" t="s">
        <v>405</v>
      </c>
      <c r="Q177" s="430" t="s">
        <v>406</v>
      </c>
      <c r="R177" s="431" t="s">
        <v>73</v>
      </c>
      <c r="S177" s="442" t="s">
        <v>120</v>
      </c>
      <c r="T177" s="433">
        <v>510</v>
      </c>
      <c r="U177" s="1062">
        <v>252</v>
      </c>
      <c r="V177" s="434">
        <v>0.129</v>
      </c>
      <c r="W177" s="435">
        <v>7</v>
      </c>
      <c r="X177" s="1015">
        <v>0.3</v>
      </c>
      <c r="Y177" s="430" t="s">
        <v>75</v>
      </c>
      <c r="Z177" s="430" t="s">
        <v>75</v>
      </c>
      <c r="AA177" s="430"/>
      <c r="AB177" s="437">
        <v>46100</v>
      </c>
      <c r="AC177" s="438">
        <v>12</v>
      </c>
      <c r="AD177" s="439" t="s">
        <v>934</v>
      </c>
      <c r="AE177" s="430"/>
      <c r="AF177" s="430" t="s">
        <v>122</v>
      </c>
      <c r="AG177" s="430" t="s">
        <v>123</v>
      </c>
      <c r="AH177" s="430" t="s">
        <v>78</v>
      </c>
      <c r="AI177" s="437">
        <v>46105</v>
      </c>
      <c r="AJ177" s="437">
        <v>46105</v>
      </c>
      <c r="AK177" s="441">
        <v>46105</v>
      </c>
      <c r="AL177" s="437">
        <v>46154</v>
      </c>
      <c r="AM177" s="437">
        <v>46151</v>
      </c>
      <c r="AN177" s="437">
        <v>46151</v>
      </c>
      <c r="AO177" s="430" t="s">
        <v>402</v>
      </c>
      <c r="AP177" s="430" t="s">
        <v>930</v>
      </c>
      <c r="AQ177" s="430" t="s">
        <v>80</v>
      </c>
      <c r="AR177" s="430" t="s">
        <v>931</v>
      </c>
      <c r="AS177" s="430" t="s">
        <v>932</v>
      </c>
      <c r="AT177" s="482" t="s">
        <v>932</v>
      </c>
      <c r="AU17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177" s="437">
        <v>46151</v>
      </c>
      <c r="AX177" s="433" t="s">
        <v>84</v>
      </c>
      <c r="AY177" s="437">
        <v>46173</v>
      </c>
      <c r="AZ177" s="442">
        <v>8</v>
      </c>
      <c r="BA177" s="437">
        <v>46159</v>
      </c>
      <c r="BB177" s="433">
        <v>2026</v>
      </c>
      <c r="BC177" s="430">
        <v>5</v>
      </c>
      <c r="BD177" s="430">
        <v>20</v>
      </c>
      <c r="BE177" s="431">
        <v>36</v>
      </c>
      <c r="BF177" s="431">
        <v>792</v>
      </c>
      <c r="BG177" s="431" t="s">
        <v>108</v>
      </c>
      <c r="BH177" s="431" t="s">
        <v>86</v>
      </c>
      <c r="BI177" s="430" t="s">
        <v>197</v>
      </c>
      <c r="BJ177" s="430" t="s">
        <v>197</v>
      </c>
      <c r="BK177" s="430" t="s">
        <v>197</v>
      </c>
      <c r="BL177" s="430" t="s">
        <v>197</v>
      </c>
      <c r="BM177" s="430" t="s">
        <v>197</v>
      </c>
      <c r="BN177" s="430" t="s">
        <v>197</v>
      </c>
      <c r="BO177" s="430" t="s">
        <v>197</v>
      </c>
      <c r="BP177" s="430" t="s">
        <v>197</v>
      </c>
      <c r="BQ177" s="430" t="s">
        <v>197</v>
      </c>
      <c r="BR177" s="430" t="s">
        <v>197</v>
      </c>
      <c r="BS177" s="430" t="s">
        <v>197</v>
      </c>
      <c r="BT177" s="430" t="s">
        <v>197</v>
      </c>
      <c r="BU177" s="430" t="s">
        <v>197</v>
      </c>
      <c r="BV177" s="430" t="s">
        <v>197</v>
      </c>
      <c r="BW177" s="430" t="s">
        <v>197</v>
      </c>
      <c r="BX177" s="430" t="s">
        <v>197</v>
      </c>
      <c r="BY177" s="430" t="s">
        <v>197</v>
      </c>
      <c r="BZ177" s="430" t="s">
        <v>197</v>
      </c>
      <c r="CA177" s="430" t="s">
        <v>197</v>
      </c>
      <c r="CB177" s="430" t="s">
        <v>197</v>
      </c>
      <c r="CC177" s="430" t="s">
        <v>197</v>
      </c>
      <c r="CD177" s="430" t="s">
        <v>197</v>
      </c>
      <c r="CE177" s="430" t="s">
        <v>197</v>
      </c>
      <c r="CF177" s="430" t="s">
        <v>197</v>
      </c>
      <c r="CG177" s="430" t="s">
        <v>197</v>
      </c>
      <c r="CH177" s="430" t="s">
        <v>197</v>
      </c>
      <c r="CI177" s="430" t="s">
        <v>197</v>
      </c>
      <c r="CJ177" s="430" t="s">
        <v>197</v>
      </c>
      <c r="CK177" s="430" t="s">
        <v>197</v>
      </c>
      <c r="CL177" s="430" t="s">
        <v>197</v>
      </c>
      <c r="CM177" s="430" t="s">
        <v>197</v>
      </c>
    </row>
    <row r="178" spans="1:91" ht="10.5" hidden="1">
      <c r="A178" s="462" t="s">
        <v>935</v>
      </c>
      <c r="B178" s="462" t="s">
        <v>61</v>
      </c>
      <c r="C178" s="462" t="s">
        <v>922</v>
      </c>
      <c r="D178" s="462" t="s">
        <v>63</v>
      </c>
      <c r="E178" s="462" t="s">
        <v>64</v>
      </c>
      <c r="F178" s="462" t="s">
        <v>100</v>
      </c>
      <c r="G178" s="462" t="s">
        <v>402</v>
      </c>
      <c r="H178" s="462" t="s">
        <v>67</v>
      </c>
      <c r="I178" s="439" t="s">
        <v>689</v>
      </c>
      <c r="J178" s="430" t="s">
        <v>923</v>
      </c>
      <c r="K178" s="430"/>
      <c r="L178" s="430"/>
      <c r="M178" s="430" t="s">
        <v>68</v>
      </c>
      <c r="N178" s="432">
        <v>46045</v>
      </c>
      <c r="O178" s="430" t="s">
        <v>70</v>
      </c>
      <c r="P178" s="430" t="s">
        <v>885</v>
      </c>
      <c r="Q178" s="430" t="s">
        <v>886</v>
      </c>
      <c r="R178" s="431" t="s">
        <v>73</v>
      </c>
      <c r="S178" s="442" t="s">
        <v>120</v>
      </c>
      <c r="T178" s="433">
        <v>615</v>
      </c>
      <c r="U178" s="1062">
        <v>720</v>
      </c>
      <c r="V178" s="434">
        <v>0.443</v>
      </c>
      <c r="W178" s="435">
        <v>20</v>
      </c>
      <c r="X178" s="1015">
        <v>1</v>
      </c>
      <c r="Y178" s="430" t="s">
        <v>75</v>
      </c>
      <c r="Z178" s="430" t="s">
        <v>75</v>
      </c>
      <c r="AA178" s="430"/>
      <c r="AB178" s="437">
        <v>46098</v>
      </c>
      <c r="AC178" s="438">
        <v>12</v>
      </c>
      <c r="AD178" s="439" t="s">
        <v>936</v>
      </c>
      <c r="AE178" s="430"/>
      <c r="AF178" s="430" t="s">
        <v>77</v>
      </c>
      <c r="AG178" s="430" t="s">
        <v>61</v>
      </c>
      <c r="AH178" s="430" t="s">
        <v>105</v>
      </c>
      <c r="AI178" s="437">
        <v>46103</v>
      </c>
      <c r="AJ178" s="437">
        <v>46103</v>
      </c>
      <c r="AK178" s="441">
        <v>46103</v>
      </c>
      <c r="AL178" s="437">
        <v>46147</v>
      </c>
      <c r="AM178" s="437">
        <v>46154</v>
      </c>
      <c r="AN178" s="437">
        <v>46157</v>
      </c>
      <c r="AO178" s="430" t="s">
        <v>402</v>
      </c>
      <c r="AP178" s="430" t="s">
        <v>937</v>
      </c>
      <c r="AQ178" s="430" t="s">
        <v>80</v>
      </c>
      <c r="AR178" s="430" t="s">
        <v>938</v>
      </c>
      <c r="AS178" s="430" t="s">
        <v>939</v>
      </c>
      <c r="AT178" s="482" t="s">
        <v>939</v>
      </c>
      <c r="AU17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</v>
      </c>
      <c r="AW178" s="437">
        <v>46157</v>
      </c>
      <c r="AX178" s="433" t="s">
        <v>84</v>
      </c>
      <c r="AY178" s="437">
        <v>46171</v>
      </c>
      <c r="AZ178" s="442">
        <v>7</v>
      </c>
      <c r="BA178" s="437">
        <v>46164</v>
      </c>
      <c r="BB178" s="433">
        <v>2026</v>
      </c>
      <c r="BC178" s="430">
        <v>5</v>
      </c>
      <c r="BD178" s="430">
        <v>21</v>
      </c>
      <c r="BE178" s="431">
        <v>36</v>
      </c>
      <c r="BF178" s="431">
        <v>720</v>
      </c>
      <c r="BG178" s="431" t="s">
        <v>108</v>
      </c>
      <c r="BH178" s="431" t="s">
        <v>109</v>
      </c>
      <c r="BI178" s="430" t="s">
        <v>197</v>
      </c>
      <c r="BJ178" s="430" t="s">
        <v>197</v>
      </c>
      <c r="BK178" s="430" t="s">
        <v>197</v>
      </c>
      <c r="BL178" s="430" t="s">
        <v>197</v>
      </c>
      <c r="BM178" s="430" t="s">
        <v>197</v>
      </c>
      <c r="BN178" s="430" t="s">
        <v>197</v>
      </c>
      <c r="BO178" s="430" t="s">
        <v>197</v>
      </c>
      <c r="BP178" s="430" t="s">
        <v>197</v>
      </c>
      <c r="BQ178" s="430" t="s">
        <v>197</v>
      </c>
      <c r="BR178" s="430" t="s">
        <v>197</v>
      </c>
      <c r="BS178" s="430" t="s">
        <v>197</v>
      </c>
      <c r="BT178" s="430" t="s">
        <v>197</v>
      </c>
      <c r="BU178" s="430" t="s">
        <v>197</v>
      </c>
      <c r="BV178" s="430" t="s">
        <v>197</v>
      </c>
      <c r="BW178" s="430" t="s">
        <v>197</v>
      </c>
      <c r="BX178" s="430" t="s">
        <v>197</v>
      </c>
      <c r="BY178" s="430" t="s">
        <v>197</v>
      </c>
      <c r="BZ178" s="430" t="s">
        <v>197</v>
      </c>
      <c r="CA178" s="430" t="s">
        <v>197</v>
      </c>
      <c r="CB178" s="430" t="s">
        <v>197</v>
      </c>
      <c r="CC178" s="430" t="s">
        <v>197</v>
      </c>
      <c r="CD178" s="430" t="s">
        <v>197</v>
      </c>
      <c r="CE178" s="430" t="s">
        <v>197</v>
      </c>
      <c r="CF178" s="430" t="s">
        <v>197</v>
      </c>
      <c r="CG178" s="430" t="s">
        <v>197</v>
      </c>
      <c r="CH178" s="430" t="s">
        <v>197</v>
      </c>
      <c r="CI178" s="430" t="s">
        <v>197</v>
      </c>
      <c r="CJ178" s="430" t="s">
        <v>197</v>
      </c>
      <c r="CK178" s="430" t="s">
        <v>197</v>
      </c>
      <c r="CL178" s="430" t="s">
        <v>197</v>
      </c>
      <c r="CM178" s="430" t="s">
        <v>197</v>
      </c>
    </row>
    <row r="179" spans="1:91" hidden="1">
      <c r="A179" s="462" t="s">
        <v>940</v>
      </c>
      <c r="B179" s="462" t="s">
        <v>111</v>
      </c>
      <c r="C179" s="462" t="s">
        <v>203</v>
      </c>
      <c r="D179" s="462" t="s">
        <v>63</v>
      </c>
      <c r="E179" s="462" t="s">
        <v>144</v>
      </c>
      <c r="F179" s="462" t="s">
        <v>145</v>
      </c>
      <c r="G179" s="462" t="s">
        <v>68</v>
      </c>
      <c r="H179" s="462" t="s">
        <v>941</v>
      </c>
      <c r="I179" s="439" t="s">
        <v>689</v>
      </c>
      <c r="J179" s="430" t="s">
        <v>942</v>
      </c>
      <c r="K179" s="430"/>
      <c r="L179" s="430"/>
      <c r="M179" s="430" t="s">
        <v>68</v>
      </c>
      <c r="N179" s="432">
        <v>46045</v>
      </c>
      <c r="O179" s="430" t="s">
        <v>70</v>
      </c>
      <c r="P179" s="430" t="s">
        <v>943</v>
      </c>
      <c r="Q179" s="430" t="s">
        <v>886</v>
      </c>
      <c r="R179" s="431" t="s">
        <v>73</v>
      </c>
      <c r="S179" s="442" t="s">
        <v>74</v>
      </c>
      <c r="T179" s="433">
        <v>615</v>
      </c>
      <c r="U179" s="1062">
        <v>1440</v>
      </c>
      <c r="V179" s="434">
        <v>0.88600000000000001</v>
      </c>
      <c r="W179" s="435">
        <v>40</v>
      </c>
      <c r="X179" s="1015">
        <v>2</v>
      </c>
      <c r="Y179" s="430" t="s">
        <v>75</v>
      </c>
      <c r="Z179" s="430" t="s">
        <v>75</v>
      </c>
      <c r="AA179" s="430"/>
      <c r="AB179" s="437">
        <v>46112</v>
      </c>
      <c r="AC179" s="438">
        <v>14</v>
      </c>
      <c r="AD179" s="439" t="s">
        <v>944</v>
      </c>
      <c r="AE179" s="430" t="s">
        <v>68</v>
      </c>
      <c r="AF179" s="430" t="s">
        <v>4420</v>
      </c>
      <c r="AG179" s="430" t="s">
        <v>123</v>
      </c>
      <c r="AH179" s="430" t="s">
        <v>946</v>
      </c>
      <c r="AI179" s="437">
        <v>46112</v>
      </c>
      <c r="AJ179" s="437">
        <v>46113</v>
      </c>
      <c r="AK179" s="441">
        <v>46115</v>
      </c>
      <c r="AL179" s="437">
        <v>46118</v>
      </c>
      <c r="AM179" s="437">
        <v>46126</v>
      </c>
      <c r="AN179" s="437">
        <v>46127</v>
      </c>
      <c r="AO179" s="430" t="s">
        <v>402</v>
      </c>
      <c r="AP179" s="430" t="s">
        <v>947</v>
      </c>
      <c r="AQ179" s="430" t="s">
        <v>161</v>
      </c>
      <c r="AR179" s="430" t="s">
        <v>944</v>
      </c>
      <c r="AS179" s="430" t="s">
        <v>948</v>
      </c>
      <c r="AT179" s="482" t="s">
        <v>948</v>
      </c>
      <c r="AU17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12</v>
      </c>
      <c r="AW179" s="437">
        <v>46127</v>
      </c>
      <c r="AX179" s="433" t="s">
        <v>152</v>
      </c>
      <c r="AZ179" s="442" t="s">
        <v>515</v>
      </c>
      <c r="BA179" s="437">
        <v>46127</v>
      </c>
      <c r="BB179" s="433">
        <v>2026</v>
      </c>
      <c r="BC179" s="430">
        <v>4</v>
      </c>
      <c r="BD179" s="430">
        <v>16</v>
      </c>
      <c r="BE179" s="431">
        <v>36</v>
      </c>
      <c r="BF179" s="431">
        <v>720</v>
      </c>
      <c r="BG179" s="431" t="s">
        <v>108</v>
      </c>
      <c r="BH179" s="431" t="s">
        <v>68</v>
      </c>
      <c r="BI179" s="430" t="s">
        <v>197</v>
      </c>
      <c r="BJ179" s="430" t="s">
        <v>197</v>
      </c>
      <c r="BK179" s="430" t="s">
        <v>197</v>
      </c>
      <c r="BL179" s="430" t="s">
        <v>197</v>
      </c>
      <c r="BM179" s="430" t="s">
        <v>197</v>
      </c>
      <c r="BN179" s="430" t="s">
        <v>197</v>
      </c>
      <c r="BO179" s="430" t="s">
        <v>197</v>
      </c>
      <c r="BP179" s="430" t="s">
        <v>197</v>
      </c>
      <c r="BQ179" s="430" t="s">
        <v>197</v>
      </c>
      <c r="BR179" s="430" t="s">
        <v>197</v>
      </c>
      <c r="BS179" s="430" t="s">
        <v>197</v>
      </c>
      <c r="BT179" s="430" t="s">
        <v>197</v>
      </c>
      <c r="BU179" s="430" t="s">
        <v>197</v>
      </c>
      <c r="BV179" s="430" t="s">
        <v>197</v>
      </c>
      <c r="BW179" s="430" t="s">
        <v>197</v>
      </c>
      <c r="BX179" s="430" t="s">
        <v>197</v>
      </c>
      <c r="BY179" s="430" t="s">
        <v>197</v>
      </c>
      <c r="BZ179" s="430" t="s">
        <v>197</v>
      </c>
      <c r="CA179" s="430" t="s">
        <v>197</v>
      </c>
      <c r="CB179" s="430" t="s">
        <v>197</v>
      </c>
      <c r="CC179" s="430" t="s">
        <v>197</v>
      </c>
      <c r="CD179" s="430" t="s">
        <v>197</v>
      </c>
      <c r="CE179" s="430" t="s">
        <v>197</v>
      </c>
      <c r="CF179" s="430" t="s">
        <v>197</v>
      </c>
      <c r="CG179" s="430" t="s">
        <v>197</v>
      </c>
      <c r="CH179" s="430" t="s">
        <v>197</v>
      </c>
      <c r="CI179" s="430" t="s">
        <v>197</v>
      </c>
      <c r="CJ179" s="430" t="s">
        <v>197</v>
      </c>
      <c r="CK179" s="430" t="s">
        <v>197</v>
      </c>
      <c r="CL179" s="430" t="s">
        <v>197</v>
      </c>
      <c r="CM179" s="430" t="s">
        <v>197</v>
      </c>
    </row>
    <row r="180" spans="1:91" ht="10.5" hidden="1">
      <c r="A180" s="462" t="s">
        <v>922</v>
      </c>
      <c r="B180" s="462" t="s">
        <v>61</v>
      </c>
      <c r="C180" s="462" t="s">
        <v>203</v>
      </c>
      <c r="D180" s="462" t="s">
        <v>63</v>
      </c>
      <c r="E180" s="462" t="s">
        <v>144</v>
      </c>
      <c r="F180" s="462" t="s">
        <v>145</v>
      </c>
      <c r="G180" s="462" t="s">
        <v>156</v>
      </c>
      <c r="H180" s="462" t="s">
        <v>941</v>
      </c>
      <c r="I180" s="439" t="s">
        <v>68</v>
      </c>
      <c r="J180" s="430" t="s">
        <v>949</v>
      </c>
      <c r="K180" s="430" t="s">
        <v>950</v>
      </c>
      <c r="L180" s="430"/>
      <c r="M180" s="430" t="s">
        <v>68</v>
      </c>
      <c r="N180" s="432">
        <v>46045</v>
      </c>
      <c r="O180" s="430" t="s">
        <v>70</v>
      </c>
      <c r="P180" s="430" t="s">
        <v>885</v>
      </c>
      <c r="Q180" s="430" t="s">
        <v>886</v>
      </c>
      <c r="R180" s="431" t="s">
        <v>73</v>
      </c>
      <c r="S180" s="442" t="s">
        <v>120</v>
      </c>
      <c r="T180" s="433">
        <v>615</v>
      </c>
      <c r="U180" s="1062">
        <v>3600</v>
      </c>
      <c r="V180" s="434">
        <v>2.214</v>
      </c>
      <c r="W180" s="435">
        <v>100</v>
      </c>
      <c r="X180" s="1015">
        <v>5</v>
      </c>
      <c r="Y180" s="430" t="s">
        <v>75</v>
      </c>
      <c r="Z180" s="430" t="s">
        <v>951</v>
      </c>
      <c r="AA180" s="430" t="s">
        <v>197</v>
      </c>
      <c r="AB180" s="437">
        <v>46058</v>
      </c>
      <c r="AC180" s="438">
        <v>6</v>
      </c>
      <c r="AD180" s="439" t="s">
        <v>952</v>
      </c>
      <c r="AE180" s="430" t="s">
        <v>68</v>
      </c>
      <c r="AF180" s="430" t="s">
        <v>77</v>
      </c>
      <c r="AG180" s="430" t="s">
        <v>61</v>
      </c>
      <c r="AH180" s="430" t="s">
        <v>953</v>
      </c>
      <c r="AI180" s="437">
        <v>46070</v>
      </c>
      <c r="AJ180" s="437">
        <v>46071</v>
      </c>
      <c r="AK180" s="441">
        <v>46071</v>
      </c>
      <c r="AL180" s="437">
        <v>46101</v>
      </c>
      <c r="AM180" s="437">
        <v>46116</v>
      </c>
      <c r="AN180" s="437">
        <v>46116</v>
      </c>
      <c r="AO180" s="430" t="s">
        <v>156</v>
      </c>
      <c r="AP180" s="430" t="s">
        <v>954</v>
      </c>
      <c r="AQ180" s="430" t="s">
        <v>161</v>
      </c>
      <c r="AR180" s="430" t="s">
        <v>952</v>
      </c>
      <c r="AS180" s="430" t="s">
        <v>955</v>
      </c>
      <c r="AT180" s="482" t="s">
        <v>956</v>
      </c>
      <c r="AU18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V180" s="430" t="s">
        <v>197</v>
      </c>
      <c r="AW180" s="437">
        <v>46101</v>
      </c>
      <c r="AX180" s="433" t="s">
        <v>152</v>
      </c>
      <c r="AY180" s="437" t="s">
        <v>197</v>
      </c>
      <c r="AZ180" s="442" t="s">
        <v>515</v>
      </c>
      <c r="BA180" s="437">
        <v>46101</v>
      </c>
      <c r="BB180" s="433">
        <v>2026</v>
      </c>
      <c r="BC180" s="430">
        <v>3</v>
      </c>
      <c r="BD180" s="430">
        <v>12</v>
      </c>
      <c r="BE180" s="431">
        <v>36</v>
      </c>
      <c r="BF180" s="431">
        <v>720</v>
      </c>
      <c r="BG180" s="431" t="s">
        <v>108</v>
      </c>
      <c r="BH180" s="431" t="s">
        <v>68</v>
      </c>
      <c r="BI180" s="430" t="s">
        <v>197</v>
      </c>
      <c r="BJ180" s="430" t="s">
        <v>197</v>
      </c>
      <c r="BK180" s="430" t="s">
        <v>197</v>
      </c>
      <c r="BL180" s="430" t="s">
        <v>197</v>
      </c>
      <c r="BM180" s="430" t="s">
        <v>197</v>
      </c>
      <c r="BN180" s="430" t="s">
        <v>197</v>
      </c>
      <c r="BO180" s="430" t="s">
        <v>197</v>
      </c>
      <c r="BP180" s="430" t="s">
        <v>197</v>
      </c>
      <c r="BQ180" s="430" t="s">
        <v>197</v>
      </c>
      <c r="BR180" s="430" t="s">
        <v>197</v>
      </c>
      <c r="BS180" s="430" t="s">
        <v>197</v>
      </c>
      <c r="BT180" s="430" t="s">
        <v>197</v>
      </c>
      <c r="BU180" s="430" t="s">
        <v>197</v>
      </c>
      <c r="BV180" s="430" t="s">
        <v>197</v>
      </c>
      <c r="BW180" s="430" t="s">
        <v>197</v>
      </c>
      <c r="BX180" s="430" t="s">
        <v>197</v>
      </c>
      <c r="BY180" s="430" t="s">
        <v>197</v>
      </c>
      <c r="BZ180" s="430" t="s">
        <v>197</v>
      </c>
      <c r="CA180" s="430" t="s">
        <v>197</v>
      </c>
      <c r="CB180" s="430" t="s">
        <v>197</v>
      </c>
      <c r="CC180" s="430" t="s">
        <v>197</v>
      </c>
      <c r="CD180" s="430" t="s">
        <v>197</v>
      </c>
      <c r="CE180" s="430" t="s">
        <v>197</v>
      </c>
      <c r="CF180" s="430" t="s">
        <v>197</v>
      </c>
      <c r="CG180" s="430" t="s">
        <v>197</v>
      </c>
      <c r="CH180" s="430" t="s">
        <v>197</v>
      </c>
      <c r="CI180" s="430" t="s">
        <v>197</v>
      </c>
      <c r="CJ180" s="430" t="s">
        <v>197</v>
      </c>
      <c r="CK180" s="430" t="s">
        <v>197</v>
      </c>
      <c r="CL180" s="430" t="s">
        <v>197</v>
      </c>
      <c r="CM180" s="430" t="s">
        <v>197</v>
      </c>
    </row>
    <row r="181" spans="1:91" ht="10.5" hidden="1">
      <c r="A181" s="462" t="s">
        <v>957</v>
      </c>
      <c r="B181" s="462" t="s">
        <v>111</v>
      </c>
      <c r="C181" s="462" t="s">
        <v>130</v>
      </c>
      <c r="D181" s="462" t="s">
        <v>63</v>
      </c>
      <c r="E181" s="462" t="s">
        <v>144</v>
      </c>
      <c r="F181" s="462" t="s">
        <v>145</v>
      </c>
      <c r="G181" s="462" t="s">
        <v>156</v>
      </c>
      <c r="H181" s="462" t="s">
        <v>941</v>
      </c>
      <c r="I181" s="439" t="s">
        <v>68</v>
      </c>
      <c r="J181" s="430" t="s">
        <v>949</v>
      </c>
      <c r="K181" s="430" t="s">
        <v>950</v>
      </c>
      <c r="L181" s="430"/>
      <c r="M181" s="430" t="s">
        <v>68</v>
      </c>
      <c r="N181" s="432" t="s">
        <v>68</v>
      </c>
      <c r="O181" s="430" t="s">
        <v>132</v>
      </c>
      <c r="P181" s="430" t="s">
        <v>133</v>
      </c>
      <c r="Q181" s="430" t="s">
        <v>134</v>
      </c>
      <c r="R181" s="431" t="s">
        <v>73</v>
      </c>
      <c r="S181" s="442" t="s">
        <v>120</v>
      </c>
      <c r="T181" s="433">
        <v>720</v>
      </c>
      <c r="U181" s="1062">
        <v>1188</v>
      </c>
      <c r="V181" s="434">
        <v>0.85499999999999998</v>
      </c>
      <c r="W181" s="435">
        <v>36</v>
      </c>
      <c r="X181" s="1015">
        <v>2</v>
      </c>
      <c r="Y181" s="430" t="s">
        <v>75</v>
      </c>
      <c r="Z181" s="430" t="s">
        <v>75</v>
      </c>
      <c r="AA181" s="430"/>
      <c r="AB181" s="437">
        <v>46063</v>
      </c>
      <c r="AC181" s="438">
        <v>7</v>
      </c>
      <c r="AD181" s="439" t="s">
        <v>958</v>
      </c>
      <c r="AE181" s="430" t="s">
        <v>68</v>
      </c>
      <c r="AF181" s="430" t="s">
        <v>122</v>
      </c>
      <c r="AG181" s="430" t="s">
        <v>123</v>
      </c>
      <c r="AH181" s="430" t="s">
        <v>953</v>
      </c>
      <c r="AI181" s="437">
        <v>46070</v>
      </c>
      <c r="AJ181" s="437">
        <v>46084</v>
      </c>
      <c r="AK181" s="441">
        <v>46084</v>
      </c>
      <c r="AL181" s="437">
        <v>46093</v>
      </c>
      <c r="AM181" s="437">
        <v>46114</v>
      </c>
      <c r="AN181" s="437">
        <v>46114</v>
      </c>
      <c r="AO181" s="430" t="s">
        <v>156</v>
      </c>
      <c r="AP181" s="430" t="s">
        <v>959</v>
      </c>
      <c r="AQ181" s="430" t="s">
        <v>161</v>
      </c>
      <c r="AR181" s="430" t="s">
        <v>958</v>
      </c>
      <c r="AS181" s="430" t="s">
        <v>960</v>
      </c>
      <c r="AT181" s="482" t="s">
        <v>961</v>
      </c>
      <c r="AU18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30</v>
      </c>
      <c r="AW181" s="437">
        <v>46114</v>
      </c>
      <c r="AX181" s="433" t="s">
        <v>152</v>
      </c>
      <c r="AZ181" s="442" t="s">
        <v>515</v>
      </c>
      <c r="BA181" s="437">
        <v>46114</v>
      </c>
      <c r="BB181" s="433">
        <v>2026</v>
      </c>
      <c r="BC181" s="430">
        <v>4</v>
      </c>
      <c r="BD181" s="430">
        <v>14</v>
      </c>
      <c r="BE181" s="431">
        <v>33</v>
      </c>
      <c r="BF181" s="431">
        <v>594</v>
      </c>
      <c r="BG181" s="431" t="s">
        <v>108</v>
      </c>
      <c r="BH181" s="431" t="s">
        <v>68</v>
      </c>
      <c r="BI181" s="430" t="s">
        <v>197</v>
      </c>
      <c r="BJ181" s="430" t="s">
        <v>197</v>
      </c>
      <c r="BK181" s="430" t="s">
        <v>197</v>
      </c>
      <c r="BL181" s="430" t="s">
        <v>197</v>
      </c>
      <c r="BM181" s="430" t="s">
        <v>197</v>
      </c>
      <c r="BN181" s="430" t="s">
        <v>197</v>
      </c>
      <c r="BO181" s="430" t="s">
        <v>197</v>
      </c>
      <c r="BP181" s="430" t="s">
        <v>197</v>
      </c>
      <c r="BQ181" s="430" t="s">
        <v>197</v>
      </c>
      <c r="BR181" s="430" t="s">
        <v>197</v>
      </c>
      <c r="BS181" s="430" t="s">
        <v>197</v>
      </c>
      <c r="BT181" s="430" t="s">
        <v>197</v>
      </c>
      <c r="BU181" s="430" t="s">
        <v>197</v>
      </c>
      <c r="BV181" s="430" t="s">
        <v>197</v>
      </c>
      <c r="BW181" s="430" t="s">
        <v>197</v>
      </c>
      <c r="BX181" s="430" t="s">
        <v>197</v>
      </c>
      <c r="BY181" s="430" t="s">
        <v>197</v>
      </c>
      <c r="BZ181" s="430" t="s">
        <v>197</v>
      </c>
      <c r="CA181" s="430" t="s">
        <v>197</v>
      </c>
      <c r="CB181" s="430" t="s">
        <v>197</v>
      </c>
      <c r="CC181" s="430" t="s">
        <v>197</v>
      </c>
      <c r="CD181" s="430" t="s">
        <v>197</v>
      </c>
      <c r="CE181" s="430" t="s">
        <v>197</v>
      </c>
      <c r="CF181" s="430" t="s">
        <v>197</v>
      </c>
      <c r="CG181" s="430" t="s">
        <v>197</v>
      </c>
      <c r="CH181" s="430" t="s">
        <v>197</v>
      </c>
      <c r="CI181" s="430" t="s">
        <v>197</v>
      </c>
      <c r="CJ181" s="430" t="s">
        <v>197</v>
      </c>
      <c r="CK181" s="430" t="s">
        <v>197</v>
      </c>
      <c r="CL181" s="430" t="s">
        <v>197</v>
      </c>
      <c r="CM181" s="430" t="s">
        <v>197</v>
      </c>
    </row>
    <row r="182" spans="1:91" ht="10.5" hidden="1">
      <c r="A182" s="462" t="s">
        <v>962</v>
      </c>
      <c r="B182" s="462" t="s">
        <v>61</v>
      </c>
      <c r="C182" s="462" t="str">
        <f>IFERROR(LEFT(PV_DATA[[#This Row],[TCL REFERENCE]],FIND(".",PV_DATA[[#This Row],[TCL REFERENCE]],1)-1),"Main Line")</f>
        <v>26JAN003</v>
      </c>
      <c r="D182" s="462" t="s">
        <v>63</v>
      </c>
      <c r="E182" s="462" t="s">
        <v>144</v>
      </c>
      <c r="F182" s="462" t="str" cm="1">
        <f t="array" ref="F18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82" s="462" t="s">
        <v>402</v>
      </c>
      <c r="H182" s="462" t="s">
        <v>526</v>
      </c>
      <c r="I182" s="439" t="s">
        <v>68</v>
      </c>
      <c r="J182" s="430" t="s">
        <v>527</v>
      </c>
      <c r="K182" s="430" t="s">
        <v>964</v>
      </c>
      <c r="L182" s="430"/>
      <c r="M182" s="430" t="s">
        <v>68</v>
      </c>
      <c r="N182" s="432" t="s">
        <v>68</v>
      </c>
      <c r="O182" s="430" t="s">
        <v>70</v>
      </c>
      <c r="P182" s="430" t="s">
        <v>965</v>
      </c>
      <c r="Q182" s="430" t="s">
        <v>966</v>
      </c>
      <c r="R182" s="431" t="str">
        <f>_xlfn.XLOOKUP(PV_DATA[[#This Row],[New Ark SKU]],Table9[New Ark SKU],Table9[Connector],,0)</f>
        <v>EVO2A</v>
      </c>
      <c r="S182" s="442" t="str">
        <f>_xlfn.XLOOKUP(PV_DATA[[#This Row],[New Ark SKU]],Table9[New Ark SKU],Table9[Cable],,0)</f>
        <v>±1200mm</v>
      </c>
      <c r="T182" s="433">
        <v>455</v>
      </c>
      <c r="U182" s="1062">
        <f>4680*2</f>
        <v>9360</v>
      </c>
      <c r="V182" s="434">
        <f>PV_DATA[[#This Row],[QUANTITY]]*PV_DATA[[#This Row],[WATT]]/1000000</f>
        <v>4.2587999999999999</v>
      </c>
      <c r="W182" s="435">
        <f>PV_DATA[[#This Row],[QUANTITY]]/PV_DATA[[#This Row],[Qty/Pallet]]</f>
        <v>260</v>
      </c>
      <c r="X182" s="1015">
        <f>PV_DATA[[#This Row],[QUANTITY]]/PV_DATA[[#This Row],[Qty/CT]]</f>
        <v>10</v>
      </c>
      <c r="Y182" s="430" t="s">
        <v>75</v>
      </c>
      <c r="Z182" s="430" t="str">
        <f t="shared" ref="Z182:Z245" si="0">IF(AN182&lt;&gt;"","COMPLETED",IF(AK182&lt;&gt;"","IN-TRANSIT",""))</f>
        <v>COMPLETED</v>
      </c>
      <c r="AA182" s="430"/>
      <c r="AB182" s="437">
        <v>46047</v>
      </c>
      <c r="AC182" s="438">
        <f>IF(PV_DATA[[#This Row],[Pick-Up Date]]&lt;&gt;"",_xlfn.ISOWEEKNUM(PV_DATA[[#This Row],[Pick-Up Date]]),"")</f>
        <v>4</v>
      </c>
      <c r="AD182" s="439" t="s">
        <v>968</v>
      </c>
      <c r="AE182" s="430"/>
      <c r="AF182" s="430" t="s">
        <v>77</v>
      </c>
      <c r="AG182" s="430" t="s">
        <v>61</v>
      </c>
      <c r="AH182" s="430" t="s">
        <v>532</v>
      </c>
      <c r="AI182" s="437">
        <v>46053</v>
      </c>
      <c r="AK182" s="441">
        <v>46057</v>
      </c>
      <c r="AL182" s="437">
        <v>46120</v>
      </c>
      <c r="AM182" s="437">
        <v>46127</v>
      </c>
      <c r="AN182" s="437">
        <v>46127</v>
      </c>
      <c r="AO182" s="430" t="s">
        <v>402</v>
      </c>
      <c r="AP182" s="430" t="s">
        <v>969</v>
      </c>
      <c r="AQ182" s="430" t="s">
        <v>161</v>
      </c>
      <c r="AR182" s="430" t="s">
        <v>970</v>
      </c>
      <c r="AS182" s="430" t="s">
        <v>971</v>
      </c>
      <c r="AT182" s="482" t="s">
        <v>972</v>
      </c>
      <c r="AU18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70</v>
      </c>
      <c r="AW182" s="437" cm="1">
        <f t="array" ref="AW18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46127</v>
      </c>
      <c r="AX18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182" s="437">
        <f>IF(ISERROR(PV_DATA[[#This Row],[New Ark PO status]]),"",_xlfn.XLOOKUP(PV_DATA[[#This Row],[SPTN-PVHK New Ark PO'#]],New_Ark_Data[Purchase order Number],New_Ark_Data[Estimated time of arrival],"",0))</f>
        <v>46134</v>
      </c>
      <c r="AZ182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82" s="437">
        <f>IFERROR(PV_DATA[[#This Row],[ODP ETA Port]]+PV_DATA[[#This Row],[Customs/Leg3 Assumption]],"n/a")</f>
        <v>46127</v>
      </c>
      <c r="BB182" s="433">
        <f>YEAR(PV_DATA[[#This Row],[ETA for New Ark update]])</f>
        <v>2026</v>
      </c>
      <c r="BC182" s="430">
        <f>MONTH(PV_DATA[[#This Row],[ETA for New Ark update]])</f>
        <v>4</v>
      </c>
      <c r="BD182" s="430">
        <f>IFERROR(_xlfn.ISOWEEKNUM(PV_DATA[[#This Row],[ETA for New Ark update]]),0)</f>
        <v>16</v>
      </c>
      <c r="BE182" s="431">
        <f>_xlfn.XLOOKUP(PV_DATA[[#This Row],[New Ark SKU]],Table9[New Ark SKU],Table9[Total PCS per Pallet],,0)</f>
        <v>36</v>
      </c>
      <c r="BF182" s="431">
        <f>_xlfn.XLOOKUP(PV_DATA[[#This Row],[New Ark SKU]],Table9[New Ark SKU],Table9[Total PCS per 40HQ Container],,0)</f>
        <v>936</v>
      </c>
      <c r="BG182" s="431" t="str">
        <f>_xlfn.XLOOKUP(PV_DATA[[#This Row],[New Ark SKU]],Table9[New Ark SKU],Table9[Back Glass],,0)</f>
        <v>Black glazing</v>
      </c>
      <c r="BH182" s="431" t="str">
        <f>_xlfn.XLOOKUP(PV_DATA[[#This Row],[PORT DESTINATION]],Table12[PORT DESTINATION],Table12[Cosco Line],,0)</f>
        <v>AEU</v>
      </c>
      <c r="BJ182" s="430"/>
    </row>
    <row r="183" spans="1:91" ht="10.5" hidden="1">
      <c r="A183" s="462" t="s">
        <v>974</v>
      </c>
      <c r="B183" s="462" t="s">
        <v>61</v>
      </c>
      <c r="C183" s="462" t="str">
        <f>IFERROR(LEFT(PV_DATA[[#This Row],[TCL REFERENCE]],FIND(".",PV_DATA[[#This Row],[TCL REFERENCE]],1)-1),"Main Line")</f>
        <v>26JAN003</v>
      </c>
      <c r="D183" s="462" t="s">
        <v>63</v>
      </c>
      <c r="E183" s="462" t="s">
        <v>64</v>
      </c>
      <c r="F183" s="462" t="str" cm="1">
        <f t="array" ref="F18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83" s="462" t="s">
        <v>66</v>
      </c>
      <c r="H183" s="462" t="s">
        <v>67</v>
      </c>
      <c r="I183" s="439" t="s">
        <v>68</v>
      </c>
      <c r="J183" s="430" t="s">
        <v>419</v>
      </c>
      <c r="K183" s="430"/>
      <c r="L183" s="430"/>
      <c r="M183" s="430" t="s">
        <v>68</v>
      </c>
      <c r="N183" s="432" t="s">
        <v>68</v>
      </c>
      <c r="O183" s="430" t="s">
        <v>70</v>
      </c>
      <c r="P183" s="430" t="s">
        <v>965</v>
      </c>
      <c r="Q183" s="430" t="s">
        <v>966</v>
      </c>
      <c r="R183" s="431" t="str">
        <f>_xlfn.XLOOKUP(PV_DATA[[#This Row],[New Ark SKU]],Table9[New Ark SKU],Table9[Connector],,0)</f>
        <v>EVO2A</v>
      </c>
      <c r="S183" s="442" t="str">
        <f>_xlfn.XLOOKUP(PV_DATA[[#This Row],[New Ark SKU]],Table9[New Ark SKU],Table9[Cable],,0)</f>
        <v>±1200mm</v>
      </c>
      <c r="T183" s="433">
        <v>455</v>
      </c>
      <c r="U183" s="1062">
        <v>3744</v>
      </c>
      <c r="V183" s="434">
        <f>PV_DATA[[#This Row],[QUANTITY]]*PV_DATA[[#This Row],[WATT]]/1000000</f>
        <v>1.7035199999999999</v>
      </c>
      <c r="W183" s="435">
        <f>PV_DATA[[#This Row],[QUANTITY]]/PV_DATA[[#This Row],[Qty/Pallet]]</f>
        <v>104</v>
      </c>
      <c r="X183" s="1057">
        <f>PV_DATA[[#This Row],[QUANTITY]]/PV_DATA[[#This Row],[Qty/CT]]</f>
        <v>4</v>
      </c>
      <c r="Y183" s="525" t="s">
        <v>75</v>
      </c>
      <c r="Z183" s="430" t="str">
        <f t="shared" si="0"/>
        <v>COMPLETED</v>
      </c>
      <c r="AA183" s="525"/>
      <c r="AB183" s="526">
        <v>46043</v>
      </c>
      <c r="AC183" s="527">
        <f>IF(PV_DATA[[#This Row],[Pick-Up Date]]&lt;&gt;"",_xlfn.ISOWEEKNUM(PV_DATA[[#This Row],[Pick-Up Date]]),"")</f>
        <v>4</v>
      </c>
      <c r="AD183" s="528" t="s">
        <v>975</v>
      </c>
      <c r="AE183" s="525"/>
      <c r="AF183" s="525" t="s">
        <v>77</v>
      </c>
      <c r="AG183" s="525" t="s">
        <v>61</v>
      </c>
      <c r="AH183" s="525" t="s">
        <v>105</v>
      </c>
      <c r="AI183" s="437">
        <v>46054</v>
      </c>
      <c r="AJ183" s="437">
        <v>46054</v>
      </c>
      <c r="AK183" s="441">
        <v>46055</v>
      </c>
      <c r="AL183" s="437">
        <v>46094</v>
      </c>
      <c r="AM183" s="437">
        <v>46109</v>
      </c>
      <c r="AN183" s="437">
        <v>46118</v>
      </c>
      <c r="AO183" s="430" t="s">
        <v>66</v>
      </c>
      <c r="AP183" s="430" t="s">
        <v>580</v>
      </c>
      <c r="AQ183" s="430" t="s">
        <v>80</v>
      </c>
      <c r="AR183" s="430" t="s">
        <v>976</v>
      </c>
      <c r="AS183" s="430" t="s">
        <v>977</v>
      </c>
      <c r="AT183" s="482" t="s">
        <v>977</v>
      </c>
      <c r="AU18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63</v>
      </c>
      <c r="AW183" s="437" cm="1">
        <f t="array" ref="AW18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46118</v>
      </c>
      <c r="AX18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183" s="437">
        <f>IF(ISERROR(PV_DATA[[#This Row],[New Ark PO status]]),"",_xlfn.XLOOKUP(PV_DATA[[#This Row],[SPTN-PVHK New Ark PO'#]],New_Ark_Data[Purchase order Number],New_Ark_Data[Estimated time of arrival],"",0))</f>
        <v>46125</v>
      </c>
      <c r="AZ18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83" s="437">
        <f>IFERROR(PV_DATA[[#This Row],[ODP ETA Port]]+PV_DATA[[#This Row],[Customs/Leg3 Assumption]],"n/a")</f>
        <v>46125</v>
      </c>
      <c r="BB183" s="433">
        <f>YEAR(PV_DATA[[#This Row],[ETA for New Ark update]])</f>
        <v>2026</v>
      </c>
      <c r="BC183" s="430">
        <f>MONTH(PV_DATA[[#This Row],[ETA for New Ark update]])</f>
        <v>4</v>
      </c>
      <c r="BD183" s="430">
        <f>IFERROR(_xlfn.ISOWEEKNUM(PV_DATA[[#This Row],[ETA for New Ark update]]),0)</f>
        <v>16</v>
      </c>
      <c r="BE183" s="431">
        <f>_xlfn.XLOOKUP(PV_DATA[[#This Row],[New Ark SKU]],Table9[New Ark SKU],Table9[Total PCS per Pallet],,0)</f>
        <v>36</v>
      </c>
      <c r="BF183" s="431">
        <f>_xlfn.XLOOKUP(PV_DATA[[#This Row],[New Ark SKU]],Table9[New Ark SKU],Table9[Total PCS per 40HQ Container],,0)</f>
        <v>936</v>
      </c>
      <c r="BG183" s="431" t="str">
        <f>_xlfn.XLOOKUP(PV_DATA[[#This Row],[New Ark SKU]],Table9[New Ark SKU],Table9[Back Glass],,0)</f>
        <v>Black glazing</v>
      </c>
      <c r="BH183" s="431" t="str">
        <f>_xlfn.XLOOKUP(PV_DATA[[#This Row],[PORT DESTINATION]],Table12[PORT DESTINATION],Table12[Cosco Line],,0)</f>
        <v>AEU</v>
      </c>
      <c r="BJ183" s="430"/>
    </row>
    <row r="184" spans="1:91" ht="10.5" hidden="1">
      <c r="A184" s="462" t="s">
        <v>978</v>
      </c>
      <c r="B184" s="462" t="s">
        <v>61</v>
      </c>
      <c r="C184" s="462" t="str">
        <f>IFERROR(LEFT(PV_DATA[[#This Row],[TCL REFERENCE]],FIND(".",PV_DATA[[#This Row],[TCL REFERENCE]],1)-1),"Main Line")</f>
        <v>26JAN003</v>
      </c>
      <c r="D184" s="462" t="s">
        <v>63</v>
      </c>
      <c r="E184" s="462" t="s">
        <v>64</v>
      </c>
      <c r="F184" s="462" t="str" cm="1">
        <f t="array" ref="F18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84" s="462" t="s">
        <v>66</v>
      </c>
      <c r="H184" s="462" t="s">
        <v>67</v>
      </c>
      <c r="I184" s="439" t="s">
        <v>68</v>
      </c>
      <c r="J184" s="430" t="s">
        <v>979</v>
      </c>
      <c r="K184" s="430" t="s">
        <v>980</v>
      </c>
      <c r="L184" s="430"/>
      <c r="M184" s="430" t="s">
        <v>68</v>
      </c>
      <c r="N184" s="432" t="s">
        <v>68</v>
      </c>
      <c r="O184" s="430" t="s">
        <v>70</v>
      </c>
      <c r="P184" s="430" t="s">
        <v>965</v>
      </c>
      <c r="Q184" s="430" t="s">
        <v>966</v>
      </c>
      <c r="R184" s="431" t="str">
        <f>_xlfn.XLOOKUP(PV_DATA[[#This Row],[New Ark SKU]],Table9[New Ark SKU],Table9[Connector],,0)</f>
        <v>EVO2A</v>
      </c>
      <c r="S184" s="442" t="str">
        <f>_xlfn.XLOOKUP(PV_DATA[[#This Row],[New Ark SKU]],Table9[New Ark SKU],Table9[Cable],,0)</f>
        <v>±1200mm</v>
      </c>
      <c r="T184" s="433">
        <v>455</v>
      </c>
      <c r="U184" s="1062">
        <v>2808</v>
      </c>
      <c r="V184" s="434">
        <f>PV_DATA[[#This Row],[QUANTITY]]*PV_DATA[[#This Row],[WATT]]/1000000</f>
        <v>1.2776400000000001</v>
      </c>
      <c r="W184" s="435">
        <f>PV_DATA[[#This Row],[QUANTITY]]/PV_DATA[[#This Row],[Qty/Pallet]]</f>
        <v>78</v>
      </c>
      <c r="X184" s="1057">
        <f>PV_DATA[[#This Row],[QUANTITY]]/PV_DATA[[#This Row],[Qty/CT]]</f>
        <v>3</v>
      </c>
      <c r="Y184" s="525" t="s">
        <v>75</v>
      </c>
      <c r="Z184" s="430" t="str">
        <f t="shared" si="0"/>
        <v>COMPLETED</v>
      </c>
      <c r="AA184" s="525"/>
      <c r="AB184" s="526">
        <v>46043</v>
      </c>
      <c r="AC184" s="527">
        <f>IF(PV_DATA[[#This Row],[Pick-Up Date]]&lt;&gt;"",_xlfn.ISOWEEKNUM(PV_DATA[[#This Row],[Pick-Up Date]]),"")</f>
        <v>4</v>
      </c>
      <c r="AD184" s="528" t="s">
        <v>981</v>
      </c>
      <c r="AE184" s="525"/>
      <c r="AF184" s="525" t="s">
        <v>77</v>
      </c>
      <c r="AG184" s="525" t="s">
        <v>61</v>
      </c>
      <c r="AH184" s="525" t="s">
        <v>105</v>
      </c>
      <c r="AI184" s="437">
        <v>46054</v>
      </c>
      <c r="AJ184" s="437">
        <v>46054</v>
      </c>
      <c r="AK184" s="441">
        <v>46055</v>
      </c>
      <c r="AL184" s="437">
        <v>46094</v>
      </c>
      <c r="AM184" s="437">
        <v>46109</v>
      </c>
      <c r="AN184" s="437">
        <v>46118</v>
      </c>
      <c r="AO184" s="430" t="s">
        <v>66</v>
      </c>
      <c r="AP184" s="430" t="s">
        <v>580</v>
      </c>
      <c r="AQ184" s="430" t="s">
        <v>80</v>
      </c>
      <c r="AR184" s="430" t="s">
        <v>982</v>
      </c>
      <c r="AS184" s="430" t="s">
        <v>983</v>
      </c>
      <c r="AT184" s="482" t="s">
        <v>983</v>
      </c>
      <c r="AU18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63</v>
      </c>
      <c r="AW184" s="437" cm="1">
        <f t="array" ref="AW18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46118</v>
      </c>
      <c r="AX18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184" s="437">
        <f>IF(ISERROR(PV_DATA[[#This Row],[New Ark PO status]]),"",_xlfn.XLOOKUP(PV_DATA[[#This Row],[SPTN-PVHK New Ark PO'#]],New_Ark_Data[Purchase order Number],New_Ark_Data[Estimated time of arrival],"",0))</f>
        <v>46129</v>
      </c>
      <c r="AZ18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84" s="437">
        <f>IFERROR(PV_DATA[[#This Row],[ODP ETA Port]]+PV_DATA[[#This Row],[Customs/Leg3 Assumption]],"n/a")</f>
        <v>46125</v>
      </c>
      <c r="BB184" s="433">
        <f>YEAR(PV_DATA[[#This Row],[ETA for New Ark update]])</f>
        <v>2026</v>
      </c>
      <c r="BC184" s="430">
        <f>MONTH(PV_DATA[[#This Row],[ETA for New Ark update]])</f>
        <v>4</v>
      </c>
      <c r="BD184" s="430">
        <f>IFERROR(_xlfn.ISOWEEKNUM(PV_DATA[[#This Row],[ETA for New Ark update]]),0)</f>
        <v>16</v>
      </c>
      <c r="BE184" s="431">
        <f>_xlfn.XLOOKUP(PV_DATA[[#This Row],[New Ark SKU]],Table9[New Ark SKU],Table9[Total PCS per Pallet],,0)</f>
        <v>36</v>
      </c>
      <c r="BF184" s="431">
        <f>_xlfn.XLOOKUP(PV_DATA[[#This Row],[New Ark SKU]],Table9[New Ark SKU],Table9[Total PCS per 40HQ Container],,0)</f>
        <v>936</v>
      </c>
      <c r="BG184" s="431" t="str">
        <f>_xlfn.XLOOKUP(PV_DATA[[#This Row],[New Ark SKU]],Table9[New Ark SKU],Table9[Back Glass],,0)</f>
        <v>Black glazing</v>
      </c>
      <c r="BH184" s="431" t="str">
        <f>_xlfn.XLOOKUP(PV_DATA[[#This Row],[PORT DESTINATION]],Table12[PORT DESTINATION],Table12[Cosco Line],,0)</f>
        <v>AEU</v>
      </c>
      <c r="BJ184" s="430"/>
    </row>
    <row r="185" spans="1:91" ht="10.5" hidden="1">
      <c r="A185" s="462" t="s">
        <v>984</v>
      </c>
      <c r="B185" s="462" t="s">
        <v>61</v>
      </c>
      <c r="C185" s="462" t="str">
        <f>IFERROR(LEFT(PV_DATA[[#This Row],[TCL REFERENCE]],FIND(".",PV_DATA[[#This Row],[TCL REFERENCE]],1)-1),"Main Line")</f>
        <v>26JAN002</v>
      </c>
      <c r="D185" s="462" t="s">
        <v>63</v>
      </c>
      <c r="E185" s="462" t="s">
        <v>64</v>
      </c>
      <c r="F185" s="462" t="str" cm="1">
        <f t="array" ref="F18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85" s="462" t="s">
        <v>66</v>
      </c>
      <c r="H185" s="462" t="s">
        <v>67</v>
      </c>
      <c r="I185" s="439" t="s">
        <v>68</v>
      </c>
      <c r="J185" s="430" t="s">
        <v>578</v>
      </c>
      <c r="K185" s="430"/>
      <c r="L185" s="430"/>
      <c r="M185" s="430" t="s">
        <v>68</v>
      </c>
      <c r="N185" s="432" t="s">
        <v>68</v>
      </c>
      <c r="O185" s="430" t="s">
        <v>70</v>
      </c>
      <c r="P185" s="430" t="s">
        <v>195</v>
      </c>
      <c r="Q185" s="430" t="s">
        <v>196</v>
      </c>
      <c r="R185" s="431" t="str">
        <f>_xlfn.XLOOKUP(PV_DATA[[#This Row],[New Ark SKU]],Table9[New Ark SKU],Table9[Connector],,0)</f>
        <v>EVO2A</v>
      </c>
      <c r="S185" s="442" t="str">
        <f>_xlfn.XLOOKUP(PV_DATA[[#This Row],[New Ark SKU]],Table9[New Ark SKU],Table9[Cable],,0)</f>
        <v>±1200mm</v>
      </c>
      <c r="T185" s="433">
        <v>450</v>
      </c>
      <c r="U185" s="1062">
        <f>936*2</f>
        <v>1872</v>
      </c>
      <c r="V185" s="434">
        <f>PV_DATA[[#This Row],[QUANTITY]]*PV_DATA[[#This Row],[WATT]]/1000000</f>
        <v>0.84240000000000004</v>
      </c>
      <c r="W185" s="435">
        <f>PV_DATA[[#This Row],[QUANTITY]]/PV_DATA[[#This Row],[Qty/Pallet]]</f>
        <v>52</v>
      </c>
      <c r="X185" s="1057">
        <f>PV_DATA[[#This Row],[QUANTITY]]/PV_DATA[[#This Row],[Qty/CT]]</f>
        <v>2</v>
      </c>
      <c r="Y185" s="525" t="s">
        <v>75</v>
      </c>
      <c r="Z185" s="430" t="str">
        <f t="shared" si="0"/>
        <v>COMPLETED</v>
      </c>
      <c r="AA185" s="525" t="s">
        <v>986</v>
      </c>
      <c r="AB185" s="526">
        <v>46043</v>
      </c>
      <c r="AC185" s="527">
        <f>IF(PV_DATA[[#This Row],[Pick-Up Date]]&lt;&gt;"",_xlfn.ISOWEEKNUM(PV_DATA[[#This Row],[Pick-Up Date]]),"")</f>
        <v>4</v>
      </c>
      <c r="AD185" s="528" t="s">
        <v>987</v>
      </c>
      <c r="AE185" s="525"/>
      <c r="AF185" s="525" t="s">
        <v>77</v>
      </c>
      <c r="AG185" s="525" t="s">
        <v>61</v>
      </c>
      <c r="AH185" s="525" t="s">
        <v>105</v>
      </c>
      <c r="AI185" s="437">
        <v>46054</v>
      </c>
      <c r="AJ185" s="437">
        <v>46054</v>
      </c>
      <c r="AK185" s="441">
        <v>46055</v>
      </c>
      <c r="AL185" s="437">
        <v>46094</v>
      </c>
      <c r="AM185" s="437">
        <v>46116</v>
      </c>
      <c r="AN185" s="437">
        <v>46118</v>
      </c>
      <c r="AO185" s="430" t="s">
        <v>66</v>
      </c>
      <c r="AP185" s="430" t="s">
        <v>580</v>
      </c>
      <c r="AQ185" s="430" t="s">
        <v>80</v>
      </c>
      <c r="AR185" s="430" t="s">
        <v>988</v>
      </c>
      <c r="AS185" s="430" t="s">
        <v>989</v>
      </c>
      <c r="AT185" s="482" t="s">
        <v>989</v>
      </c>
      <c r="AU18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63</v>
      </c>
      <c r="AW185" s="437" cm="1">
        <f t="array" ref="AW18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46118</v>
      </c>
      <c r="AX18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185" s="437">
        <f>IF(ISERROR(PV_DATA[[#This Row],[New Ark PO status]]),"",_xlfn.XLOOKUP(PV_DATA[[#This Row],[SPTN-PVHK New Ark PO'#]],New_Ark_Data[Purchase order Number],New_Ark_Data[Estimated time of arrival],"",0))</f>
        <v>46129</v>
      </c>
      <c r="AZ18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85" s="437">
        <f>IFERROR(PV_DATA[[#This Row],[ODP ETA Port]]+PV_DATA[[#This Row],[Customs/Leg3 Assumption]],"n/a")</f>
        <v>46125</v>
      </c>
      <c r="BB185" s="433">
        <f>YEAR(PV_DATA[[#This Row],[ETA for New Ark update]])</f>
        <v>2026</v>
      </c>
      <c r="BC185" s="430">
        <f>MONTH(PV_DATA[[#This Row],[ETA for New Ark update]])</f>
        <v>4</v>
      </c>
      <c r="BD185" s="430">
        <f>IFERROR(_xlfn.ISOWEEKNUM(PV_DATA[[#This Row],[ETA for New Ark update]]),0)</f>
        <v>16</v>
      </c>
      <c r="BE185" s="431">
        <f>_xlfn.XLOOKUP(PV_DATA[[#This Row],[New Ark SKU]],Table9[New Ark SKU],Table9[Total PCS per Pallet],,0)</f>
        <v>36</v>
      </c>
      <c r="BF185" s="431">
        <f>_xlfn.XLOOKUP(PV_DATA[[#This Row],[New Ark SKU]],Table9[New Ark SKU],Table9[Total PCS per 40HQ Container],,0)</f>
        <v>936</v>
      </c>
      <c r="BG185" s="431" t="str">
        <f>_xlfn.XLOOKUP(PV_DATA[[#This Row],[New Ark SKU]],Table9[New Ark SKU],Table9[Back Glass],,0)</f>
        <v>Black glazing</v>
      </c>
      <c r="BH185" s="431" t="str">
        <f>_xlfn.XLOOKUP(PV_DATA[[#This Row],[PORT DESTINATION]],Table12[PORT DESTINATION],Table12[Cosco Line],,0)</f>
        <v>AEU</v>
      </c>
      <c r="BJ185" s="430"/>
    </row>
    <row r="186" spans="1:91" ht="10.5" hidden="1">
      <c r="A186" s="462" t="s">
        <v>990</v>
      </c>
      <c r="B186" s="462" t="s">
        <v>111</v>
      </c>
      <c r="C186" s="462" t="str">
        <f>IFERROR(LEFT(PV_DATA[[#This Row],[TCL REFERENCE]],FIND(".",PV_DATA[[#This Row],[TCL REFERENCE]],1)-1),"Main Line")</f>
        <v>26Feb015</v>
      </c>
      <c r="D186" s="462" t="s">
        <v>63</v>
      </c>
      <c r="E186" s="462" t="s">
        <v>64</v>
      </c>
      <c r="F186" s="462" t="str" cm="1">
        <f t="array" ref="F18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86" s="462" t="s">
        <v>402</v>
      </c>
      <c r="H186" s="462" t="s">
        <v>67</v>
      </c>
      <c r="I186" s="439" t="s">
        <v>68</v>
      </c>
      <c r="J186" s="430" t="s">
        <v>101</v>
      </c>
      <c r="K186" s="430"/>
      <c r="L186" s="430"/>
      <c r="M186" s="430" t="s">
        <v>68</v>
      </c>
      <c r="N186" s="432">
        <v>46048</v>
      </c>
      <c r="O186" s="430" t="s">
        <v>132</v>
      </c>
      <c r="P186" s="430" t="s">
        <v>133</v>
      </c>
      <c r="Q186" s="430" t="s">
        <v>134</v>
      </c>
      <c r="R186" s="431" t="str">
        <f>_xlfn.XLOOKUP(PV_DATA[[#This Row],[New Ark SKU]],Table9[New Ark SKU],Table9[Connector],,0)</f>
        <v>EVO2A</v>
      </c>
      <c r="S186" s="442" t="str">
        <f>_xlfn.XLOOKUP(PV_DATA[[#This Row],[New Ark SKU]],Table9[New Ark SKU],Table9[Cable],,0)</f>
        <v>±1400mm</v>
      </c>
      <c r="T186" s="433">
        <v>720</v>
      </c>
      <c r="U186" s="1062">
        <f>4*594</f>
        <v>2376</v>
      </c>
      <c r="V186" s="434">
        <f>PV_DATA[[#This Row],[QUANTITY]]*PV_DATA[[#This Row],[WATT]]/1000000</f>
        <v>1.71072</v>
      </c>
      <c r="W186" s="435">
        <f>PV_DATA[[#This Row],[QUANTITY]]/PV_DATA[[#This Row],[Qty/Pallet]]</f>
        <v>72</v>
      </c>
      <c r="X186" s="1015">
        <f>PV_DATA[[#This Row],[QUANTITY]]/PV_DATA[[#This Row],[Qty/CT]]</f>
        <v>4</v>
      </c>
      <c r="Y186" s="430" t="s">
        <v>75</v>
      </c>
      <c r="Z186" s="430" t="str">
        <f t="shared" si="0"/>
        <v>COMPLETED</v>
      </c>
      <c r="AA186" s="430"/>
      <c r="AB186" s="437">
        <v>46057</v>
      </c>
      <c r="AC186" s="438">
        <f>IF(PV_DATA[[#This Row],[Pick-Up Date]]&lt;&gt;"",_xlfn.ISOWEEKNUM(PV_DATA[[#This Row],[Pick-Up Date]]),"")</f>
        <v>6</v>
      </c>
      <c r="AD186" s="439" t="s">
        <v>993</v>
      </c>
      <c r="AE186" s="430"/>
      <c r="AF186" s="430" t="s">
        <v>122</v>
      </c>
      <c r="AG186" s="430" t="s">
        <v>123</v>
      </c>
      <c r="AH186" s="430" t="s">
        <v>105</v>
      </c>
      <c r="AI186" s="437">
        <v>46062</v>
      </c>
      <c r="AJ186" s="437">
        <v>46067</v>
      </c>
      <c r="AK186" s="441">
        <v>46069</v>
      </c>
      <c r="AL186" s="437">
        <v>46099</v>
      </c>
      <c r="AM186" s="437">
        <v>46126</v>
      </c>
      <c r="AN186" s="437">
        <v>46127</v>
      </c>
      <c r="AO186" s="430" t="s">
        <v>402</v>
      </c>
      <c r="AP186" s="430" t="s">
        <v>731</v>
      </c>
      <c r="AQ186" s="430" t="s">
        <v>80</v>
      </c>
      <c r="AR186" s="430" t="s">
        <v>732</v>
      </c>
      <c r="AS186" s="430" t="s">
        <v>733</v>
      </c>
      <c r="AT186" s="482" t="s">
        <v>733</v>
      </c>
      <c r="AU18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W186" s="437" cm="1">
        <f t="array" ref="AW18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46127</v>
      </c>
      <c r="AX18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186" s="437">
        <f>IF(ISERROR(PV_DATA[[#This Row],[New Ark PO status]]),"",_xlfn.XLOOKUP(PV_DATA[[#This Row],[SPTN-PVHK New Ark PO'#]],New_Ark_Data[Purchase order Number],New_Ark_Data[Estimated time of arrival],"",0))</f>
        <v>46134</v>
      </c>
      <c r="AZ18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86" s="437">
        <f>IFERROR(PV_DATA[[#This Row],[ODP ETA Port]]+PV_DATA[[#This Row],[Customs/Leg3 Assumption]],"n/a")</f>
        <v>46134</v>
      </c>
      <c r="BB186" s="433">
        <f>YEAR(PV_DATA[[#This Row],[ETA for New Ark update]])</f>
        <v>2026</v>
      </c>
      <c r="BC186" s="430">
        <f>MONTH(PV_DATA[[#This Row],[ETA for New Ark update]])</f>
        <v>4</v>
      </c>
      <c r="BD186" s="430">
        <f>IFERROR(_xlfn.ISOWEEKNUM(PV_DATA[[#This Row],[ETA for New Ark update]]),0)</f>
        <v>17</v>
      </c>
      <c r="BE186" s="431">
        <f>_xlfn.XLOOKUP(PV_DATA[[#This Row],[New Ark SKU]],Table9[New Ark SKU],Table9[Total PCS per Pallet],,0)</f>
        <v>33</v>
      </c>
      <c r="BF186" s="431">
        <f>_xlfn.XLOOKUP(PV_DATA[[#This Row],[New Ark SKU]],Table9[New Ark SKU],Table9[Total PCS per 40HQ Container],,0)</f>
        <v>594</v>
      </c>
      <c r="BG186" s="431" t="str">
        <f>_xlfn.XLOOKUP(PV_DATA[[#This Row],[New Ark SKU]],Table9[New Ark SKU],Table9[Back Glass],,0)</f>
        <v>White glazing</v>
      </c>
      <c r="BH186" s="431" t="str">
        <f>_xlfn.XLOOKUP(PV_DATA[[#This Row],[PORT DESTINATION]],Table12[PORT DESTINATION],Table12[Cosco Line],,0)</f>
        <v>AEU</v>
      </c>
      <c r="BJ186" s="430"/>
    </row>
    <row r="187" spans="1:91" ht="10.5" hidden="1">
      <c r="A187" s="462" t="s">
        <v>994</v>
      </c>
      <c r="B187" s="462" t="s">
        <v>111</v>
      </c>
      <c r="C187" s="462" t="str">
        <f>IFERROR(LEFT(PV_DATA[[#This Row],[TCL REFERENCE]],FIND(".",PV_DATA[[#This Row],[TCL REFERENCE]],1)-1),"Main Line")</f>
        <v>26Feb015</v>
      </c>
      <c r="D187" s="462" t="s">
        <v>63</v>
      </c>
      <c r="E187" s="462" t="s">
        <v>64</v>
      </c>
      <c r="F187" s="462" t="str" cm="1">
        <f t="array" ref="F18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87" s="462" t="s">
        <v>402</v>
      </c>
      <c r="H187" s="462" t="s">
        <v>67</v>
      </c>
      <c r="I187" s="439" t="s">
        <v>68</v>
      </c>
      <c r="J187" s="430" t="s">
        <v>995</v>
      </c>
      <c r="K187" s="430"/>
      <c r="L187" s="430"/>
      <c r="M187" s="430" t="s">
        <v>68</v>
      </c>
      <c r="N187" s="432">
        <v>46048</v>
      </c>
      <c r="O187" s="430" t="s">
        <v>132</v>
      </c>
      <c r="P187" s="430" t="s">
        <v>133</v>
      </c>
      <c r="Q187" s="430" t="s">
        <v>134</v>
      </c>
      <c r="R187" s="431" t="str">
        <f>_xlfn.XLOOKUP(PV_DATA[[#This Row],[New Ark SKU]],Table9[New Ark SKU],Table9[Connector],,0)</f>
        <v>EVO2A</v>
      </c>
      <c r="S187" s="442" t="str">
        <f>_xlfn.XLOOKUP(PV_DATA[[#This Row],[New Ark SKU]],Table9[New Ark SKU],Table9[Cable],,0)</f>
        <v>±1400mm</v>
      </c>
      <c r="T187" s="433">
        <v>720</v>
      </c>
      <c r="U187" s="1062">
        <f>10*594</f>
        <v>5940</v>
      </c>
      <c r="V187" s="434">
        <f>PV_DATA[[#This Row],[QUANTITY]]*PV_DATA[[#This Row],[WATT]]/1000000</f>
        <v>4.2767999999999997</v>
      </c>
      <c r="W187" s="435">
        <f>PV_DATA[[#This Row],[QUANTITY]]/PV_DATA[[#This Row],[Qty/Pallet]]</f>
        <v>180</v>
      </c>
      <c r="X187" s="1015">
        <f>PV_DATA[[#This Row],[QUANTITY]]/PV_DATA[[#This Row],[Qty/CT]]</f>
        <v>10</v>
      </c>
      <c r="Y187" s="430" t="s">
        <v>75</v>
      </c>
      <c r="Z187" s="430" t="str">
        <f t="shared" si="0"/>
        <v>COMPLETED</v>
      </c>
      <c r="AA187" s="430"/>
      <c r="AB187" s="437">
        <v>46055</v>
      </c>
      <c r="AC187" s="438">
        <f>IF(PV_DATA[[#This Row],[Pick-Up Date]]&lt;&gt;"",_xlfn.ISOWEEKNUM(PV_DATA[[#This Row],[Pick-Up Date]]),"")</f>
        <v>6</v>
      </c>
      <c r="AD187" s="439" t="s">
        <v>996</v>
      </c>
      <c r="AE187" s="430"/>
      <c r="AF187" s="430" t="s">
        <v>122</v>
      </c>
      <c r="AG187" s="430" t="s">
        <v>123</v>
      </c>
      <c r="AH187" s="430" t="s">
        <v>105</v>
      </c>
      <c r="AI187" s="437">
        <v>46063</v>
      </c>
      <c r="AJ187" s="437">
        <v>46069</v>
      </c>
      <c r="AK187" s="441">
        <v>46069</v>
      </c>
      <c r="AL187" s="437">
        <v>46102</v>
      </c>
      <c r="AM187" s="437">
        <v>46126</v>
      </c>
      <c r="AN187" s="437">
        <v>46127</v>
      </c>
      <c r="AO187" s="430" t="s">
        <v>402</v>
      </c>
      <c r="AP187" s="430" t="s">
        <v>997</v>
      </c>
      <c r="AQ187" s="430" t="s">
        <v>80</v>
      </c>
      <c r="AR187" s="430" t="s">
        <v>998</v>
      </c>
      <c r="AS187" s="430" t="s">
        <v>999</v>
      </c>
      <c r="AT187" s="482" t="s">
        <v>999</v>
      </c>
      <c r="AU18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W187" s="437" cm="1">
        <f t="array" ref="AW18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46127</v>
      </c>
      <c r="AX18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187" s="437">
        <f>IF(ISERROR(PV_DATA[[#This Row],[New Ark PO status]]),"",_xlfn.XLOOKUP(PV_DATA[[#This Row],[SPTN-PVHK New Ark PO'#]],New_Ark_Data[Purchase order Number],New_Ark_Data[Estimated time of arrival],"",0))</f>
        <v>46134</v>
      </c>
      <c r="AZ187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87" s="437">
        <f>IFERROR(PV_DATA[[#This Row],[ODP ETA Port]]+PV_DATA[[#This Row],[Customs/Leg3 Assumption]],"n/a")</f>
        <v>46134</v>
      </c>
      <c r="BB187" s="433">
        <f>YEAR(PV_DATA[[#This Row],[ETA for New Ark update]])</f>
        <v>2026</v>
      </c>
      <c r="BC187" s="430">
        <f>MONTH(PV_DATA[[#This Row],[ETA for New Ark update]])</f>
        <v>4</v>
      </c>
      <c r="BD187" s="430">
        <f>IFERROR(_xlfn.ISOWEEKNUM(PV_DATA[[#This Row],[ETA for New Ark update]]),0)</f>
        <v>17</v>
      </c>
      <c r="BE187" s="431">
        <f>_xlfn.XLOOKUP(PV_DATA[[#This Row],[New Ark SKU]],Table9[New Ark SKU],Table9[Total PCS per Pallet],,0)</f>
        <v>33</v>
      </c>
      <c r="BF187" s="431">
        <f>_xlfn.XLOOKUP(PV_DATA[[#This Row],[New Ark SKU]],Table9[New Ark SKU],Table9[Total PCS per 40HQ Container],,0)</f>
        <v>594</v>
      </c>
      <c r="BG187" s="431" t="str">
        <f>_xlfn.XLOOKUP(PV_DATA[[#This Row],[New Ark SKU]],Table9[New Ark SKU],Table9[Back Glass],,0)</f>
        <v>White glazing</v>
      </c>
      <c r="BH187" s="431" t="str">
        <f>_xlfn.XLOOKUP(PV_DATA[[#This Row],[PORT DESTINATION]],Table12[PORT DESTINATION],Table12[Cosco Line],,0)</f>
        <v>AEU</v>
      </c>
      <c r="BJ187" s="430"/>
    </row>
    <row r="188" spans="1:91" ht="10.5" hidden="1">
      <c r="A188" s="462" t="s">
        <v>1000</v>
      </c>
      <c r="B188" s="462" t="s">
        <v>111</v>
      </c>
      <c r="C188" s="462" t="str">
        <f>IFERROR(LEFT(PV_DATA[[#This Row],[TCL REFERENCE]],FIND(".",PV_DATA[[#This Row],[TCL REFERENCE]],1)-1),"Main Line")</f>
        <v>Main Line</v>
      </c>
      <c r="D188" s="462" t="s">
        <v>63</v>
      </c>
      <c r="E188" s="462" t="s">
        <v>64</v>
      </c>
      <c r="F188" s="462" t="str" cm="1">
        <f t="array" ref="F18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88" s="462" t="s">
        <v>402</v>
      </c>
      <c r="H188" s="462" t="s">
        <v>67</v>
      </c>
      <c r="I188" s="439" t="s">
        <v>68</v>
      </c>
      <c r="J188" s="430" t="s">
        <v>1001</v>
      </c>
      <c r="K188" s="430"/>
      <c r="L188" s="430"/>
      <c r="M188" s="430" t="s">
        <v>68</v>
      </c>
      <c r="N188" s="432">
        <v>46045</v>
      </c>
      <c r="O188" s="430" t="s">
        <v>70</v>
      </c>
      <c r="P188" s="430" t="s">
        <v>1002</v>
      </c>
      <c r="Q188" s="430" t="s">
        <v>330</v>
      </c>
      <c r="R188" s="431" t="str">
        <f>_xlfn.XLOOKUP(PV_DATA[[#This Row],[New Ark SKU]],Table9[New Ark SKU],Table9[Connector],,0)</f>
        <v>EVO2A</v>
      </c>
      <c r="S188" s="442" t="str">
        <f>_xlfn.XLOOKUP(PV_DATA[[#This Row],[New Ark SKU]],Table9[New Ark SKU],Table9[Cable],,0)</f>
        <v>±1400mm</v>
      </c>
      <c r="T188" s="433">
        <v>625</v>
      </c>
      <c r="U188" s="1062" cm="1">
        <f t="array" ref="U188">7920-fx_qty</f>
        <v>7920</v>
      </c>
      <c r="V188" s="434">
        <f>PV_DATA[[#This Row],[QUANTITY]]*PV_DATA[[#This Row],[WATT]]/1000000</f>
        <v>4.95</v>
      </c>
      <c r="W188" s="435">
        <f>PV_DATA[[#This Row],[QUANTITY]]/PV_DATA[[#This Row],[Qty/Pallet]]</f>
        <v>220</v>
      </c>
      <c r="X188" s="1015">
        <f>PV_DATA[[#This Row],[QUANTITY]]/PV_DATA[[#This Row],[Qty/CT]]</f>
        <v>11</v>
      </c>
      <c r="Y188" s="430" t="s">
        <v>75</v>
      </c>
      <c r="Z188" s="430" t="str">
        <f t="shared" si="0"/>
        <v>COMPLETED</v>
      </c>
      <c r="AA188" s="430"/>
      <c r="AB188" s="437">
        <v>46054</v>
      </c>
      <c r="AC188" s="438">
        <f>IF(PV_DATA[[#This Row],[Pick-Up Date]]&lt;&gt;"",_xlfn.ISOWEEKNUM(PV_DATA[[#This Row],[Pick-Up Date]]),"")</f>
        <v>5</v>
      </c>
      <c r="AD188" s="439" t="s">
        <v>1003</v>
      </c>
      <c r="AE188" s="430"/>
      <c r="AF188" s="430" t="s">
        <v>122</v>
      </c>
      <c r="AG188" s="430" t="s">
        <v>123</v>
      </c>
      <c r="AH188" s="430" t="s">
        <v>105</v>
      </c>
      <c r="AI188" s="437">
        <v>46063</v>
      </c>
      <c r="AJ188" s="437">
        <v>46066</v>
      </c>
      <c r="AK188" s="441">
        <v>46065</v>
      </c>
      <c r="AL188" s="437">
        <v>46098</v>
      </c>
      <c r="AM188" s="437">
        <v>46109</v>
      </c>
      <c r="AN188" s="437">
        <v>46109</v>
      </c>
      <c r="AO188" s="430" t="s">
        <v>402</v>
      </c>
      <c r="AP188" s="430" t="s">
        <v>694</v>
      </c>
      <c r="AQ188" s="430" t="s">
        <v>80</v>
      </c>
      <c r="AR188" s="430" t="s">
        <v>1004</v>
      </c>
      <c r="AS188" s="430" t="s">
        <v>1005</v>
      </c>
      <c r="AT188" s="482" t="s">
        <v>1005</v>
      </c>
      <c r="AU18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W188" s="437" cm="1">
        <f t="array" ref="AW18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46109</v>
      </c>
      <c r="AX18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188" s="437">
        <f>IF(ISERROR(PV_DATA[[#This Row],[New Ark PO status]]),"",_xlfn.XLOOKUP(PV_DATA[[#This Row],[SPTN-PVHK New Ark PO'#]],New_Ark_Data[Purchase order Number],New_Ark_Data[Estimated time of arrival],"",0))</f>
        <v>46125</v>
      </c>
      <c r="AZ188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88" s="437">
        <f>IFERROR(PV_DATA[[#This Row],[ODP ETA Port]]+PV_DATA[[#This Row],[Customs/Leg3 Assumption]],"n/a")</f>
        <v>46116</v>
      </c>
      <c r="BB188" s="433">
        <f>YEAR(PV_DATA[[#This Row],[ETA for New Ark update]])</f>
        <v>2026</v>
      </c>
      <c r="BC188" s="430">
        <f>MONTH(PV_DATA[[#This Row],[ETA for New Ark update]])</f>
        <v>4</v>
      </c>
      <c r="BD188" s="430">
        <f>IFERROR(_xlfn.ISOWEEKNUM(PV_DATA[[#This Row],[ETA for New Ark update]]),0)</f>
        <v>14</v>
      </c>
      <c r="BE188" s="431">
        <f>_xlfn.XLOOKUP(PV_DATA[[#This Row],[New Ark SKU]],Table9[New Ark SKU],Table9[Total PCS per Pallet],,0)</f>
        <v>36</v>
      </c>
      <c r="BF188" s="431">
        <f>_xlfn.XLOOKUP(PV_DATA[[#This Row],[New Ark SKU]],Table9[New Ark SKU],Table9[Total PCS per 40HQ Container],,0)</f>
        <v>720</v>
      </c>
      <c r="BG188" s="431" t="str">
        <f>_xlfn.XLOOKUP(PV_DATA[[#This Row],[New Ark SKU]],Table9[New Ark SKU],Table9[Back Glass],,0)</f>
        <v>Redirection Film</v>
      </c>
      <c r="BH188" s="431" t="str">
        <f>_xlfn.XLOOKUP(PV_DATA[[#This Row],[PORT DESTINATION]],Table12[PORT DESTINATION],Table12[Cosco Line],,0)</f>
        <v>AEU</v>
      </c>
      <c r="BJ188" s="430"/>
    </row>
    <row r="189" spans="1:91" ht="10.5" hidden="1">
      <c r="A189" s="462" t="s">
        <v>1006</v>
      </c>
      <c r="B189" s="462" t="s">
        <v>111</v>
      </c>
      <c r="C189" s="462" t="str">
        <f>IFERROR(LEFT(PV_DATA[[#This Row],[TCL REFERENCE]],FIND(".",PV_DATA[[#This Row],[TCL REFERENCE]],1)-1),"Main Line")</f>
        <v>26JAN006</v>
      </c>
      <c r="D189" s="462" t="s">
        <v>63</v>
      </c>
      <c r="E189" s="462" t="s">
        <v>64</v>
      </c>
      <c r="F189" s="462" t="str" cm="1">
        <f t="array" ref="F18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89" s="462" t="s">
        <v>402</v>
      </c>
      <c r="H189" s="462" t="s">
        <v>67</v>
      </c>
      <c r="I189" s="439" t="s">
        <v>68</v>
      </c>
      <c r="J189" s="430" t="s">
        <v>1008</v>
      </c>
      <c r="K189" s="430"/>
      <c r="L189" s="430"/>
      <c r="M189" s="430" t="s">
        <v>68</v>
      </c>
      <c r="N189" s="432">
        <v>46045</v>
      </c>
      <c r="O189" s="430" t="s">
        <v>70</v>
      </c>
      <c r="P189" s="430" t="s">
        <v>102</v>
      </c>
      <c r="Q189" s="430" t="s">
        <v>103</v>
      </c>
      <c r="R189" s="431" t="str">
        <f>_xlfn.XLOOKUP(PV_DATA[[#This Row],[New Ark SKU]],Table9[New Ark SKU],Table9[Connector],,0)</f>
        <v>EVO2A</v>
      </c>
      <c r="S189" s="442" t="str">
        <f>_xlfn.XLOOKUP(PV_DATA[[#This Row],[New Ark SKU]],Table9[New Ark SKU],Table9[Cable],,0)</f>
        <v>±1200mm</v>
      </c>
      <c r="T189" s="433">
        <v>620</v>
      </c>
      <c r="U189" s="1062">
        <f>720*2</f>
        <v>1440</v>
      </c>
      <c r="V189" s="434">
        <f>PV_DATA[[#This Row],[QUANTITY]]*PV_DATA[[#This Row],[WATT]]/1000000</f>
        <v>0.89280000000000004</v>
      </c>
      <c r="W189" s="435">
        <f>PV_DATA[[#This Row],[QUANTITY]]/PV_DATA[[#This Row],[Qty/Pallet]]</f>
        <v>40</v>
      </c>
      <c r="X189" s="1015">
        <f>PV_DATA[[#This Row],[QUANTITY]]/PV_DATA[[#This Row],[Qty/CT]]</f>
        <v>2</v>
      </c>
      <c r="Y189" s="430" t="s">
        <v>75</v>
      </c>
      <c r="Z189" s="430" t="str">
        <f t="shared" si="0"/>
        <v>COMPLETED</v>
      </c>
      <c r="AA189" s="430"/>
      <c r="AB189" s="437">
        <v>46054</v>
      </c>
      <c r="AC189" s="438">
        <f>IF(PV_DATA[[#This Row],[Pick-Up Date]]&lt;&gt;"",_xlfn.ISOWEEKNUM(PV_DATA[[#This Row],[Pick-Up Date]]),"")</f>
        <v>5</v>
      </c>
      <c r="AD189" s="439" t="s">
        <v>1009</v>
      </c>
      <c r="AE189" s="430"/>
      <c r="AF189" s="430" t="s">
        <v>122</v>
      </c>
      <c r="AG189" s="430" t="s">
        <v>123</v>
      </c>
      <c r="AH189" s="430" t="s">
        <v>78</v>
      </c>
      <c r="AI189" s="437">
        <v>46063</v>
      </c>
      <c r="AJ189" s="437">
        <v>46065</v>
      </c>
      <c r="AK189" s="441">
        <v>46078</v>
      </c>
      <c r="AL189" s="437">
        <v>46101</v>
      </c>
      <c r="AM189" s="437">
        <v>46136</v>
      </c>
      <c r="AN189" s="437">
        <v>46137</v>
      </c>
      <c r="AO189" s="430" t="s">
        <v>402</v>
      </c>
      <c r="AP189" s="430" t="s">
        <v>739</v>
      </c>
      <c r="AQ189" s="430" t="s">
        <v>80</v>
      </c>
      <c r="AR189" s="430" t="s">
        <v>740</v>
      </c>
      <c r="AS189" s="430" t="s">
        <v>741</v>
      </c>
      <c r="AT189" s="482" t="s">
        <v>741</v>
      </c>
      <c r="AU18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W189" s="437" cm="1">
        <f t="array" ref="AW18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46137</v>
      </c>
      <c r="AX18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189" s="437">
        <f>IF(ISERROR(PV_DATA[[#This Row],[New Ark PO status]]),"",_xlfn.XLOOKUP(PV_DATA[[#This Row],[SPTN-PVHK New Ark PO'#]],New_Ark_Data[Purchase order Number],New_Ark_Data[Estimated time of arrival],"",0))</f>
        <v>46150</v>
      </c>
      <c r="AZ189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89" s="437">
        <f>IFERROR(PV_DATA[[#This Row],[ODP ETA Port]]+PV_DATA[[#This Row],[Customs/Leg3 Assumption]],"n/a")</f>
        <v>46145</v>
      </c>
      <c r="BB189" s="433">
        <f>YEAR(PV_DATA[[#This Row],[ETA for New Ark update]])</f>
        <v>2026</v>
      </c>
      <c r="BC189" s="430">
        <f>MONTH(PV_DATA[[#This Row],[ETA for New Ark update]])</f>
        <v>5</v>
      </c>
      <c r="BD189" s="430">
        <f>IFERROR(_xlfn.ISOWEEKNUM(PV_DATA[[#This Row],[ETA for New Ark update]]),0)</f>
        <v>18</v>
      </c>
      <c r="BE189" s="431">
        <f>_xlfn.XLOOKUP(PV_DATA[[#This Row],[New Ark SKU]],Table9[New Ark SKU],Table9[Total PCS per Pallet],,0)</f>
        <v>36</v>
      </c>
      <c r="BF189" s="431">
        <f>_xlfn.XLOOKUP(PV_DATA[[#This Row],[New Ark SKU]],Table9[New Ark SKU],Table9[Total PCS per 40HQ Container],,0)</f>
        <v>720</v>
      </c>
      <c r="BG189" s="431" t="str">
        <f>_xlfn.XLOOKUP(PV_DATA[[#This Row],[New Ark SKU]],Table9[New Ark SKU],Table9[Back Glass],,0)</f>
        <v>White glazing</v>
      </c>
      <c r="BH189" s="431" t="str">
        <f>_xlfn.XLOOKUP(PV_DATA[[#This Row],[PORT DESTINATION]],Table12[PORT DESTINATION],Table12[Cosco Line],,0)</f>
        <v>AEM</v>
      </c>
      <c r="BJ189" s="430"/>
    </row>
    <row r="190" spans="1:91" ht="10.5" hidden="1">
      <c r="A190" s="462" t="s">
        <v>985</v>
      </c>
      <c r="B190" s="462" t="s">
        <v>61</v>
      </c>
      <c r="C190" s="462" t="str">
        <f>IFERROR(LEFT(PV_DATA[[#This Row],[TCL REFERENCE]],FIND(".",PV_DATA[[#This Row],[TCL REFERENCE]],1)-1),"Main Line")</f>
        <v>Main Line</v>
      </c>
      <c r="D190" s="462" t="s">
        <v>63</v>
      </c>
      <c r="E190" s="462" t="s">
        <v>64</v>
      </c>
      <c r="F190" s="462" t="str" cm="1">
        <f t="array" ref="F19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90" s="462" t="s">
        <v>402</v>
      </c>
      <c r="H190" s="462" t="s">
        <v>67</v>
      </c>
      <c r="I190" s="439" t="s">
        <v>68</v>
      </c>
      <c r="J190" s="430" t="s">
        <v>293</v>
      </c>
      <c r="K190" s="430"/>
      <c r="L190" s="430"/>
      <c r="M190" s="430" t="s">
        <v>68</v>
      </c>
      <c r="N190" s="432">
        <v>46055</v>
      </c>
      <c r="O190" s="430" t="s">
        <v>70</v>
      </c>
      <c r="P190" s="430" t="s">
        <v>195</v>
      </c>
      <c r="Q190" s="430" t="s">
        <v>196</v>
      </c>
      <c r="R190" s="431" t="str">
        <f>_xlfn.XLOOKUP(PV_DATA[[#This Row],[New Ark SKU]],Table9[New Ark SKU],Table9[Connector],,0)</f>
        <v>EVO2A</v>
      </c>
      <c r="S190" s="442" t="str">
        <f>_xlfn.XLOOKUP(PV_DATA[[#This Row],[New Ark SKU]],Table9[New Ark SKU],Table9[Cable],,0)</f>
        <v>±1200mm</v>
      </c>
      <c r="T190" s="433">
        <v>450</v>
      </c>
      <c r="U190" s="1062" cm="1">
        <f t="array" ref="U190">2808-fx_qty</f>
        <v>936</v>
      </c>
      <c r="V190" s="434">
        <f>PV_DATA[[#This Row],[QUANTITY]]*PV_DATA[[#This Row],[WATT]]/1000000</f>
        <v>0.42120000000000002</v>
      </c>
      <c r="W190" s="435">
        <f>PV_DATA[[#This Row],[QUANTITY]]/PV_DATA[[#This Row],[Qty/Pallet]]</f>
        <v>26</v>
      </c>
      <c r="X190" s="1015">
        <f>PV_DATA[[#This Row],[QUANTITY]]/PV_DATA[[#This Row],[Qty/CT]]</f>
        <v>1</v>
      </c>
      <c r="Y190" s="430" t="s">
        <v>75</v>
      </c>
      <c r="Z190" s="430" t="str">
        <f t="shared" si="0"/>
        <v>COMPLETED</v>
      </c>
      <c r="AA190" s="430"/>
      <c r="AB190" s="437">
        <v>46055</v>
      </c>
      <c r="AC190" s="438">
        <f>IF(PV_DATA[[#This Row],[Pick-Up Date]]&lt;&gt;"",_xlfn.ISOWEEKNUM(PV_DATA[[#This Row],[Pick-Up Date]]),"")</f>
        <v>6</v>
      </c>
      <c r="AD190" s="439" t="s">
        <v>1010</v>
      </c>
      <c r="AE190" s="430"/>
      <c r="AF190" s="430" t="s">
        <v>77</v>
      </c>
      <c r="AG190" s="430" t="s">
        <v>61</v>
      </c>
      <c r="AH190" s="430" t="s">
        <v>105</v>
      </c>
      <c r="AI190" s="437">
        <v>46066</v>
      </c>
      <c r="AJ190" s="437">
        <v>46065</v>
      </c>
      <c r="AK190" s="441">
        <v>46065</v>
      </c>
      <c r="AL190" s="437">
        <v>46119</v>
      </c>
      <c r="AM190" s="437">
        <v>46141</v>
      </c>
      <c r="AN190" s="437">
        <v>46137</v>
      </c>
      <c r="AO190" s="430" t="s">
        <v>402</v>
      </c>
      <c r="AP190" s="430" t="s">
        <v>771</v>
      </c>
      <c r="AQ190" s="430" t="s">
        <v>80</v>
      </c>
      <c r="AR190" s="430" t="s">
        <v>772</v>
      </c>
      <c r="AS190" s="430" t="s">
        <v>773</v>
      </c>
      <c r="AT190" s="482" t="s">
        <v>773</v>
      </c>
      <c r="AU19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W190" s="437" cm="1">
        <f t="array" ref="AW19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46137</v>
      </c>
      <c r="AX19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190" s="437">
        <f>IF(ISERROR(PV_DATA[[#This Row],[New Ark PO status]]),"",_xlfn.XLOOKUP(PV_DATA[[#This Row],[SPTN-PVHK New Ark PO'#]],New_Ark_Data[Purchase order Number],New_Ark_Data[Estimated time of arrival],"",0))</f>
        <v>46150</v>
      </c>
      <c r="AZ190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90" s="437">
        <f>IFERROR(PV_DATA[[#This Row],[ODP ETA Port]]+PV_DATA[[#This Row],[Customs/Leg3 Assumption]],"n/a")</f>
        <v>46144</v>
      </c>
      <c r="BB190" s="433">
        <f>YEAR(PV_DATA[[#This Row],[ETA for New Ark update]])</f>
        <v>2026</v>
      </c>
      <c r="BC190" s="430">
        <f>MONTH(PV_DATA[[#This Row],[ETA for New Ark update]])</f>
        <v>5</v>
      </c>
      <c r="BD190" s="430">
        <f>IFERROR(_xlfn.ISOWEEKNUM(PV_DATA[[#This Row],[ETA for New Ark update]]),0)</f>
        <v>18</v>
      </c>
      <c r="BE190" s="431">
        <f>_xlfn.XLOOKUP(PV_DATA[[#This Row],[New Ark SKU]],Table9[New Ark SKU],Table9[Total PCS per Pallet],,0)</f>
        <v>36</v>
      </c>
      <c r="BF190" s="431">
        <f>_xlfn.XLOOKUP(PV_DATA[[#This Row],[New Ark SKU]],Table9[New Ark SKU],Table9[Total PCS per 40HQ Container],,0)</f>
        <v>936</v>
      </c>
      <c r="BG190" s="431" t="str">
        <f>_xlfn.XLOOKUP(PV_DATA[[#This Row],[New Ark SKU]],Table9[New Ark SKU],Table9[Back Glass],,0)</f>
        <v>Black glazing</v>
      </c>
      <c r="BH190" s="431" t="str">
        <f>_xlfn.XLOOKUP(PV_DATA[[#This Row],[PORT DESTINATION]],Table12[PORT DESTINATION],Table12[Cosco Line],,0)</f>
        <v>AEU</v>
      </c>
      <c r="BJ190" s="430"/>
    </row>
    <row r="191" spans="1:91" s="431" customFormat="1" ht="10.5" hidden="1">
      <c r="A191" s="462" t="s">
        <v>1011</v>
      </c>
      <c r="B191" s="462" t="s">
        <v>61</v>
      </c>
      <c r="C191" s="462" t="str">
        <f>IFERROR(LEFT(PV_DATA[[#This Row],[TCL REFERENCE]],FIND(".",PV_DATA[[#This Row],[TCL REFERENCE]],1)-1),"Main Line")</f>
        <v>26JAN003</v>
      </c>
      <c r="D191" s="462" t="s">
        <v>63</v>
      </c>
      <c r="E191" s="462" t="s">
        <v>64</v>
      </c>
      <c r="F191" s="462" t="str" cm="1">
        <f t="array" ref="F19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91" s="462" t="s">
        <v>402</v>
      </c>
      <c r="H191" s="462" t="s">
        <v>67</v>
      </c>
      <c r="I191" s="439" t="s">
        <v>68</v>
      </c>
      <c r="J191" s="430" t="s">
        <v>293</v>
      </c>
      <c r="K191" s="430"/>
      <c r="L191" s="430"/>
      <c r="M191" s="430" t="s">
        <v>68</v>
      </c>
      <c r="N191" s="432">
        <v>46055</v>
      </c>
      <c r="O191" s="430" t="s">
        <v>70</v>
      </c>
      <c r="P191" s="430" t="s">
        <v>965</v>
      </c>
      <c r="Q191" s="430" t="s">
        <v>966</v>
      </c>
      <c r="R191" s="431" t="str">
        <f>_xlfn.XLOOKUP(PV_DATA[[#This Row],[New Ark SKU]],Table9[New Ark SKU],Table9[Connector],,0)</f>
        <v>EVO2A</v>
      </c>
      <c r="S191" s="442" t="str">
        <f>_xlfn.XLOOKUP(PV_DATA[[#This Row],[New Ark SKU]],Table9[New Ark SKU],Table9[Cable],,0)</f>
        <v>±1200mm</v>
      </c>
      <c r="T191" s="433">
        <v>455</v>
      </c>
      <c r="U191" s="1062">
        <v>936</v>
      </c>
      <c r="V191" s="434">
        <f>PV_DATA[[#This Row],[QUANTITY]]*PV_DATA[[#This Row],[WATT]]/1000000</f>
        <v>0.42587999999999998</v>
      </c>
      <c r="W191" s="435">
        <f>PV_DATA[[#This Row],[QUANTITY]]/PV_DATA[[#This Row],[Qty/Pallet]]</f>
        <v>26</v>
      </c>
      <c r="X191" s="1015">
        <f>PV_DATA[[#This Row],[QUANTITY]]/PV_DATA[[#This Row],[Qty/CT]]</f>
        <v>1</v>
      </c>
      <c r="Y191" s="430" t="s">
        <v>75</v>
      </c>
      <c r="Z191" s="430" t="str">
        <f t="shared" si="0"/>
        <v>COMPLETED</v>
      </c>
      <c r="AA191" s="430"/>
      <c r="AB191" s="437">
        <v>46055</v>
      </c>
      <c r="AC191" s="438">
        <f>IF(PV_DATA[[#This Row],[Pick-Up Date]]&lt;&gt;"",_xlfn.ISOWEEKNUM(PV_DATA[[#This Row],[Pick-Up Date]]),"")</f>
        <v>6</v>
      </c>
      <c r="AD191" s="439" t="s">
        <v>1012</v>
      </c>
      <c r="AE191" s="430"/>
      <c r="AF191" s="430" t="s">
        <v>77</v>
      </c>
      <c r="AG191" s="430" t="s">
        <v>61</v>
      </c>
      <c r="AH191" s="430" t="s">
        <v>105</v>
      </c>
      <c r="AI191" s="437">
        <v>46066</v>
      </c>
      <c r="AJ191" s="437">
        <v>46065</v>
      </c>
      <c r="AK191" s="441">
        <v>46065</v>
      </c>
      <c r="AL191" s="437">
        <v>46119</v>
      </c>
      <c r="AM191" s="437">
        <v>46141</v>
      </c>
      <c r="AN191" s="437">
        <v>46137</v>
      </c>
      <c r="AO191" s="430" t="s">
        <v>402</v>
      </c>
      <c r="AP191" s="430" t="s">
        <v>771</v>
      </c>
      <c r="AQ191" s="430" t="s">
        <v>80</v>
      </c>
      <c r="AR191" s="430" t="s">
        <v>772</v>
      </c>
      <c r="AS191" s="430" t="s">
        <v>773</v>
      </c>
      <c r="AT191" s="482" t="s">
        <v>773</v>
      </c>
      <c r="AU19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V191" s="430"/>
      <c r="AW191" s="437" cm="1">
        <f t="array" ref="AW19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46137</v>
      </c>
      <c r="AX19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191" s="437">
        <f>IF(ISERROR(PV_DATA[[#This Row],[New Ark PO status]]),"",_xlfn.XLOOKUP(PV_DATA[[#This Row],[SPTN-PVHK New Ark PO'#]],New_Ark_Data[Purchase order Number],New_Ark_Data[Estimated time of arrival],"",0))</f>
        <v>46148</v>
      </c>
      <c r="AZ191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91" s="437">
        <f>IFERROR(PV_DATA[[#This Row],[ODP ETA Port]]+PV_DATA[[#This Row],[Customs/Leg3 Assumption]],"n/a")</f>
        <v>46144</v>
      </c>
      <c r="BB191" s="433">
        <f>YEAR(PV_DATA[[#This Row],[ETA for New Ark update]])</f>
        <v>2026</v>
      </c>
      <c r="BC191" s="430">
        <f>MONTH(PV_DATA[[#This Row],[ETA for New Ark update]])</f>
        <v>5</v>
      </c>
      <c r="BD191" s="430">
        <f>IFERROR(_xlfn.ISOWEEKNUM(PV_DATA[[#This Row],[ETA for New Ark update]]),0)</f>
        <v>18</v>
      </c>
      <c r="BE191" s="431">
        <f>_xlfn.XLOOKUP(PV_DATA[[#This Row],[New Ark SKU]],Table9[New Ark SKU],Table9[Total PCS per Pallet],,0)</f>
        <v>36</v>
      </c>
      <c r="BF191" s="431">
        <f>_xlfn.XLOOKUP(PV_DATA[[#This Row],[New Ark SKU]],Table9[New Ark SKU],Table9[Total PCS per 40HQ Container],,0)</f>
        <v>936</v>
      </c>
      <c r="BG191" s="431" t="str">
        <f>_xlfn.XLOOKUP(PV_DATA[[#This Row],[New Ark SKU]],Table9[New Ark SKU],Table9[Back Glass],,0)</f>
        <v>Black glazing</v>
      </c>
      <c r="BH191" s="431" t="str">
        <f>_xlfn.XLOOKUP(PV_DATA[[#This Row],[PORT DESTINATION]],Table12[PORT DESTINATION],Table12[Cosco Line],,0)</f>
        <v>AEU</v>
      </c>
    </row>
    <row r="192" spans="1:91" ht="10.5" hidden="1">
      <c r="A192" s="462" t="s">
        <v>1013</v>
      </c>
      <c r="B192" s="462" t="s">
        <v>61</v>
      </c>
      <c r="C192" s="462" t="str">
        <f>IFERROR(LEFT(PV_DATA[[#This Row],[TCL REFERENCE]],FIND(".",PV_DATA[[#This Row],[TCL REFERENCE]],1)-1),"Main Line")</f>
        <v>26JAN003</v>
      </c>
      <c r="D192" s="462" t="s">
        <v>63</v>
      </c>
      <c r="E192" s="462" t="s">
        <v>64</v>
      </c>
      <c r="F192" s="462" t="str" cm="1">
        <f t="array" ref="F19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92" s="462" t="s">
        <v>402</v>
      </c>
      <c r="H192" s="462" t="s">
        <v>67</v>
      </c>
      <c r="I192" s="439" t="s">
        <v>68</v>
      </c>
      <c r="J192" s="430" t="s">
        <v>419</v>
      </c>
      <c r="K192" s="430"/>
      <c r="L192" s="430"/>
      <c r="M192" s="430" t="s">
        <v>68</v>
      </c>
      <c r="N192" s="432">
        <v>46055</v>
      </c>
      <c r="O192" s="430" t="s">
        <v>70</v>
      </c>
      <c r="P192" s="430" t="s">
        <v>965</v>
      </c>
      <c r="Q192" s="430" t="s">
        <v>966</v>
      </c>
      <c r="R192" s="431" t="str">
        <f>_xlfn.XLOOKUP(PV_DATA[[#This Row],[New Ark SKU]],Table9[New Ark SKU],Table9[Connector],,0)</f>
        <v>EVO2A</v>
      </c>
      <c r="S192" s="442" t="str">
        <f>_xlfn.XLOOKUP(PV_DATA[[#This Row],[New Ark SKU]],Table9[New Ark SKU],Table9[Cable],,0)</f>
        <v>±1200mm</v>
      </c>
      <c r="T192" s="433">
        <v>455</v>
      </c>
      <c r="U192" s="1062">
        <f>3*936</f>
        <v>2808</v>
      </c>
      <c r="V192" s="434">
        <f>PV_DATA[[#This Row],[QUANTITY]]*PV_DATA[[#This Row],[WATT]]/1000000</f>
        <v>1.2776400000000001</v>
      </c>
      <c r="W192" s="435">
        <f>PV_DATA[[#This Row],[QUANTITY]]/PV_DATA[[#This Row],[Qty/Pallet]]</f>
        <v>78</v>
      </c>
      <c r="X192" s="1015">
        <f>PV_DATA[[#This Row],[QUANTITY]]/PV_DATA[[#This Row],[Qty/CT]]</f>
        <v>3</v>
      </c>
      <c r="Y192" s="430" t="s">
        <v>75</v>
      </c>
      <c r="Z192" s="430" t="str">
        <f t="shared" si="0"/>
        <v>COMPLETED</v>
      </c>
      <c r="AA192" s="430"/>
      <c r="AB192" s="437">
        <v>46058</v>
      </c>
      <c r="AC192" s="438">
        <f>IF(PV_DATA[[#This Row],[Pick-Up Date]]&lt;&gt;"",_xlfn.ISOWEEKNUM(PV_DATA[[#This Row],[Pick-Up Date]]),"")</f>
        <v>6</v>
      </c>
      <c r="AD192" s="439" t="s">
        <v>1014</v>
      </c>
      <c r="AE192" s="430"/>
      <c r="AF192" s="430" t="s">
        <v>77</v>
      </c>
      <c r="AG192" s="430" t="s">
        <v>61</v>
      </c>
      <c r="AH192" s="430" t="s">
        <v>105</v>
      </c>
      <c r="AI192" s="437">
        <v>46066</v>
      </c>
      <c r="AJ192" s="437">
        <v>46065</v>
      </c>
      <c r="AK192" s="441">
        <v>46065</v>
      </c>
      <c r="AL192" s="437">
        <v>46119</v>
      </c>
      <c r="AM192" s="437">
        <v>46141</v>
      </c>
      <c r="AN192" s="437">
        <v>46137</v>
      </c>
      <c r="AO192" s="430" t="s">
        <v>402</v>
      </c>
      <c r="AP192" s="430" t="s">
        <v>771</v>
      </c>
      <c r="AQ192" s="430" t="s">
        <v>80</v>
      </c>
      <c r="AR192" s="430" t="s">
        <v>803</v>
      </c>
      <c r="AS192" s="430" t="s">
        <v>804</v>
      </c>
      <c r="AT192" s="482" t="s">
        <v>804</v>
      </c>
      <c r="AU19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W192" s="437" cm="1">
        <f t="array" ref="AW19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46137</v>
      </c>
      <c r="AX19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192" s="437">
        <f>IF(ISERROR(PV_DATA[[#This Row],[New Ark PO status]]),"",_xlfn.XLOOKUP(PV_DATA[[#This Row],[SPTN-PVHK New Ark PO'#]],New_Ark_Data[Purchase order Number],New_Ark_Data[Estimated time of arrival],"",0))</f>
        <v>46150</v>
      </c>
      <c r="AZ19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92" s="437">
        <f>IFERROR(PV_DATA[[#This Row],[ODP ETA Port]]+PV_DATA[[#This Row],[Customs/Leg3 Assumption]],"n/a")</f>
        <v>46144</v>
      </c>
      <c r="BB192" s="433">
        <f>YEAR(PV_DATA[[#This Row],[ETA for New Ark update]])</f>
        <v>2026</v>
      </c>
      <c r="BC192" s="430">
        <f>MONTH(PV_DATA[[#This Row],[ETA for New Ark update]])</f>
        <v>5</v>
      </c>
      <c r="BD192" s="430">
        <f>IFERROR(_xlfn.ISOWEEKNUM(PV_DATA[[#This Row],[ETA for New Ark update]]),0)</f>
        <v>18</v>
      </c>
      <c r="BE192" s="431">
        <f>_xlfn.XLOOKUP(PV_DATA[[#This Row],[New Ark SKU]],Table9[New Ark SKU],Table9[Total PCS per Pallet],,0)</f>
        <v>36</v>
      </c>
      <c r="BF192" s="431">
        <f>_xlfn.XLOOKUP(PV_DATA[[#This Row],[New Ark SKU]],Table9[New Ark SKU],Table9[Total PCS per 40HQ Container],,0)</f>
        <v>936</v>
      </c>
      <c r="BG192" s="431" t="str">
        <f>_xlfn.XLOOKUP(PV_DATA[[#This Row],[New Ark SKU]],Table9[New Ark SKU],Table9[Back Glass],,0)</f>
        <v>Black glazing</v>
      </c>
      <c r="BH192" s="431" t="str">
        <f>_xlfn.XLOOKUP(PV_DATA[[#This Row],[PORT DESTINATION]],Table12[PORT DESTINATION],Table12[Cosco Line],,0)</f>
        <v>AEU</v>
      </c>
      <c r="BJ192" s="430"/>
    </row>
    <row r="193" spans="1:62" ht="10.5" hidden="1">
      <c r="A193" s="462" t="s">
        <v>1015</v>
      </c>
      <c r="B193" s="462" t="s">
        <v>61</v>
      </c>
      <c r="C193" s="462" t="str">
        <f>IFERROR(LEFT(PV_DATA[[#This Row],[TCL REFERENCE]],FIND(".",PV_DATA[[#This Row],[TCL REFERENCE]],1)-1),"Main Line")</f>
        <v>26Feb017</v>
      </c>
      <c r="D193" s="462" t="s">
        <v>63</v>
      </c>
      <c r="E193" s="462" t="s">
        <v>64</v>
      </c>
      <c r="F193" s="462" t="str" cm="1">
        <f t="array" ref="F19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93" s="462" t="s">
        <v>402</v>
      </c>
      <c r="H193" s="462" t="s">
        <v>67</v>
      </c>
      <c r="I193" s="439" t="s">
        <v>68</v>
      </c>
      <c r="J193" s="430" t="s">
        <v>293</v>
      </c>
      <c r="K193" s="430"/>
      <c r="L193" s="430"/>
      <c r="M193" s="430" t="s">
        <v>68</v>
      </c>
      <c r="N193" s="432">
        <v>46055</v>
      </c>
      <c r="O193" s="430" t="s">
        <v>70</v>
      </c>
      <c r="P193" s="430" t="s">
        <v>195</v>
      </c>
      <c r="Q193" s="430" t="s">
        <v>196</v>
      </c>
      <c r="R193" s="431" t="str">
        <f>_xlfn.XLOOKUP(PV_DATA[[#This Row],[New Ark SKU]],Table9[New Ark SKU],Table9[Connector],,0)</f>
        <v>EVO2A</v>
      </c>
      <c r="S193" s="442" t="str">
        <f>_xlfn.XLOOKUP(PV_DATA[[#This Row],[New Ark SKU]],Table9[New Ark SKU],Table9[Cable],,0)</f>
        <v>±1200mm</v>
      </c>
      <c r="T193" s="433">
        <v>450</v>
      </c>
      <c r="U193" s="1062">
        <f>2*936</f>
        <v>1872</v>
      </c>
      <c r="V193" s="434">
        <f>PV_DATA[[#This Row],[QUANTITY]]*PV_DATA[[#This Row],[WATT]]/1000000</f>
        <v>0.84240000000000004</v>
      </c>
      <c r="W193" s="435">
        <f>PV_DATA[[#This Row],[QUANTITY]]/PV_DATA[[#This Row],[Qty/Pallet]]</f>
        <v>52</v>
      </c>
      <c r="X193" s="1015">
        <f>PV_DATA[[#This Row],[QUANTITY]]/PV_DATA[[#This Row],[Qty/CT]]</f>
        <v>2</v>
      </c>
      <c r="Y193" s="430" t="s">
        <v>75</v>
      </c>
      <c r="Z193" s="430" t="str">
        <f t="shared" si="0"/>
        <v>COMPLETED</v>
      </c>
      <c r="AA193" s="430"/>
      <c r="AB193" s="437">
        <v>46059</v>
      </c>
      <c r="AC193" s="438">
        <f>IF(PV_DATA[[#This Row],[Pick-Up Date]]&lt;&gt;"",_xlfn.ISOWEEKNUM(PV_DATA[[#This Row],[Pick-Up Date]]),"")</f>
        <v>6</v>
      </c>
      <c r="AD193" s="439" t="s">
        <v>1017</v>
      </c>
      <c r="AE193" s="430"/>
      <c r="AF193" s="430" t="s">
        <v>77</v>
      </c>
      <c r="AG193" s="430" t="s">
        <v>61</v>
      </c>
      <c r="AH193" s="430" t="s">
        <v>105</v>
      </c>
      <c r="AI193" s="437">
        <v>46066</v>
      </c>
      <c r="AJ193" s="437">
        <v>46065</v>
      </c>
      <c r="AK193" s="441">
        <v>46065</v>
      </c>
      <c r="AL193" s="437">
        <v>46119</v>
      </c>
      <c r="AM193" s="437">
        <v>46141</v>
      </c>
      <c r="AN193" s="437">
        <v>46137</v>
      </c>
      <c r="AO193" s="430" t="s">
        <v>402</v>
      </c>
      <c r="AP193" s="430" t="s">
        <v>771</v>
      </c>
      <c r="AQ193" s="430" t="s">
        <v>80</v>
      </c>
      <c r="AR193" s="430" t="s">
        <v>1018</v>
      </c>
      <c r="AS193" s="430" t="s">
        <v>1019</v>
      </c>
      <c r="AT193" s="482" t="s">
        <v>1019</v>
      </c>
      <c r="AU19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W193" s="437" cm="1">
        <f t="array" ref="AW19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46137</v>
      </c>
      <c r="AX19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193" s="437">
        <f>IF(ISERROR(PV_DATA[[#This Row],[New Ark PO status]]),"",_xlfn.XLOOKUP(PV_DATA[[#This Row],[SPTN-PVHK New Ark PO'#]],New_Ark_Data[Purchase order Number],New_Ark_Data[Estimated time of arrival],"",0))</f>
        <v>46150</v>
      </c>
      <c r="AZ19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93" s="437">
        <f>IFERROR(PV_DATA[[#This Row],[ODP ETA Port]]+PV_DATA[[#This Row],[Customs/Leg3 Assumption]],"n/a")</f>
        <v>46144</v>
      </c>
      <c r="BB193" s="433">
        <f>YEAR(PV_DATA[[#This Row],[ETA for New Ark update]])</f>
        <v>2026</v>
      </c>
      <c r="BC193" s="430">
        <f>MONTH(PV_DATA[[#This Row],[ETA for New Ark update]])</f>
        <v>5</v>
      </c>
      <c r="BD193" s="430">
        <f>IFERROR(_xlfn.ISOWEEKNUM(PV_DATA[[#This Row],[ETA for New Ark update]]),0)</f>
        <v>18</v>
      </c>
      <c r="BE193" s="431">
        <f>_xlfn.XLOOKUP(PV_DATA[[#This Row],[New Ark SKU]],Table9[New Ark SKU],Table9[Total PCS per Pallet],,0)</f>
        <v>36</v>
      </c>
      <c r="BF193" s="431">
        <f>_xlfn.XLOOKUP(PV_DATA[[#This Row],[New Ark SKU]],Table9[New Ark SKU],Table9[Total PCS per 40HQ Container],,0)</f>
        <v>936</v>
      </c>
      <c r="BG193" s="431" t="str">
        <f>_xlfn.XLOOKUP(PV_DATA[[#This Row],[New Ark SKU]],Table9[New Ark SKU],Table9[Back Glass],,0)</f>
        <v>Black glazing</v>
      </c>
      <c r="BH193" s="431" t="str">
        <f>_xlfn.XLOOKUP(PV_DATA[[#This Row],[PORT DESTINATION]],Table12[PORT DESTINATION],Table12[Cosco Line],,0)</f>
        <v>AEU</v>
      </c>
      <c r="BJ193" s="430"/>
    </row>
    <row r="194" spans="1:62" ht="10.5" hidden="1">
      <c r="A194" s="462" t="s">
        <v>1020</v>
      </c>
      <c r="B194" s="462" t="s">
        <v>61</v>
      </c>
      <c r="C194" s="462" t="str">
        <f>IFERROR(LEFT(PV_DATA[[#This Row],[TCL REFERENCE]],FIND(".",PV_DATA[[#This Row],[TCL REFERENCE]],1)-1),"Main Line")</f>
        <v>26Feb018</v>
      </c>
      <c r="D194" s="462" t="s">
        <v>63</v>
      </c>
      <c r="E194" s="462" t="s">
        <v>64</v>
      </c>
      <c r="F194" s="462" t="str" cm="1">
        <f t="array" ref="F19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94" s="462" t="s">
        <v>402</v>
      </c>
      <c r="H194" s="462" t="s">
        <v>67</v>
      </c>
      <c r="I194" s="439" t="s">
        <v>68</v>
      </c>
      <c r="J194" s="430" t="s">
        <v>293</v>
      </c>
      <c r="K194" s="430"/>
      <c r="L194" s="430"/>
      <c r="M194" s="430" t="s">
        <v>68</v>
      </c>
      <c r="N194" s="432">
        <v>46055</v>
      </c>
      <c r="O194" s="430" t="s">
        <v>70</v>
      </c>
      <c r="P194" s="430" t="s">
        <v>965</v>
      </c>
      <c r="Q194" s="430" t="s">
        <v>966</v>
      </c>
      <c r="R194" s="431" t="str">
        <f>_xlfn.XLOOKUP(PV_DATA[[#This Row],[New Ark SKU]],Table9[New Ark SKU],Table9[Connector],,0)</f>
        <v>EVO2A</v>
      </c>
      <c r="S194" s="442" t="str">
        <f>_xlfn.XLOOKUP(PV_DATA[[#This Row],[New Ark SKU]],Table9[New Ark SKU],Table9[Cable],,0)</f>
        <v>±1200mm</v>
      </c>
      <c r="T194" s="433">
        <v>455</v>
      </c>
      <c r="U194" s="1062">
        <f>8*936</f>
        <v>7488</v>
      </c>
      <c r="V194" s="434">
        <f>PV_DATA[[#This Row],[QUANTITY]]*PV_DATA[[#This Row],[WATT]]/1000000</f>
        <v>3.4070399999999998</v>
      </c>
      <c r="W194" s="435">
        <f>PV_DATA[[#This Row],[QUANTITY]]/PV_DATA[[#This Row],[Qty/Pallet]]</f>
        <v>208</v>
      </c>
      <c r="X194" s="1015">
        <f>PV_DATA[[#This Row],[QUANTITY]]/PV_DATA[[#This Row],[Qty/CT]]</f>
        <v>8</v>
      </c>
      <c r="Y194" s="430" t="s">
        <v>75</v>
      </c>
      <c r="Z194" s="430" t="str">
        <f t="shared" si="0"/>
        <v>COMPLETED</v>
      </c>
      <c r="AA194" s="430"/>
      <c r="AB194" s="437">
        <v>46059</v>
      </c>
      <c r="AC194" s="438">
        <f>IF(PV_DATA[[#This Row],[Pick-Up Date]]&lt;&gt;"",_xlfn.ISOWEEKNUM(PV_DATA[[#This Row],[Pick-Up Date]]),"")</f>
        <v>6</v>
      </c>
      <c r="AD194" s="439" t="s">
        <v>1022</v>
      </c>
      <c r="AE194" s="430"/>
      <c r="AF194" s="430" t="s">
        <v>77</v>
      </c>
      <c r="AG194" s="430" t="s">
        <v>61</v>
      </c>
      <c r="AH194" s="430" t="s">
        <v>105</v>
      </c>
      <c r="AI194" s="437">
        <v>46066</v>
      </c>
      <c r="AJ194" s="437">
        <v>46065</v>
      </c>
      <c r="AK194" s="441">
        <v>46065</v>
      </c>
      <c r="AL194" s="437">
        <v>46119</v>
      </c>
      <c r="AM194" s="437">
        <v>46141</v>
      </c>
      <c r="AN194" s="437">
        <v>46137</v>
      </c>
      <c r="AO194" s="430" t="s">
        <v>402</v>
      </c>
      <c r="AP194" s="430" t="s">
        <v>771</v>
      </c>
      <c r="AQ194" s="430" t="s">
        <v>80</v>
      </c>
      <c r="AR194" s="430" t="s">
        <v>1018</v>
      </c>
      <c r="AS194" s="430" t="s">
        <v>1019</v>
      </c>
      <c r="AT194" s="482" t="s">
        <v>1019</v>
      </c>
      <c r="AU19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W194" s="437" cm="1">
        <f t="array" ref="AW19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46137</v>
      </c>
      <c r="AX19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194" s="437">
        <f>IF(ISERROR(PV_DATA[[#This Row],[New Ark PO status]]),"",_xlfn.XLOOKUP(PV_DATA[[#This Row],[SPTN-PVHK New Ark PO'#]],New_Ark_Data[Purchase order Number],New_Ark_Data[Estimated time of arrival],"",0))</f>
        <v>46150</v>
      </c>
      <c r="AZ19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94" s="437">
        <f>IFERROR(PV_DATA[[#This Row],[ODP ETA Port]]+PV_DATA[[#This Row],[Customs/Leg3 Assumption]],"n/a")</f>
        <v>46144</v>
      </c>
      <c r="BB194" s="433">
        <f>YEAR(PV_DATA[[#This Row],[ETA for New Ark update]])</f>
        <v>2026</v>
      </c>
      <c r="BC194" s="430">
        <f>MONTH(PV_DATA[[#This Row],[ETA for New Ark update]])</f>
        <v>5</v>
      </c>
      <c r="BD194" s="430">
        <f>IFERROR(_xlfn.ISOWEEKNUM(PV_DATA[[#This Row],[ETA for New Ark update]]),0)</f>
        <v>18</v>
      </c>
      <c r="BE194" s="431">
        <f>_xlfn.XLOOKUP(PV_DATA[[#This Row],[New Ark SKU]],Table9[New Ark SKU],Table9[Total PCS per Pallet],,0)</f>
        <v>36</v>
      </c>
      <c r="BF194" s="431">
        <f>_xlfn.XLOOKUP(PV_DATA[[#This Row],[New Ark SKU]],Table9[New Ark SKU],Table9[Total PCS per 40HQ Container],,0)</f>
        <v>936</v>
      </c>
      <c r="BG194" s="431" t="str">
        <f>_xlfn.XLOOKUP(PV_DATA[[#This Row],[New Ark SKU]],Table9[New Ark SKU],Table9[Back Glass],,0)</f>
        <v>Black glazing</v>
      </c>
      <c r="BH194" s="431" t="str">
        <f>_xlfn.XLOOKUP(PV_DATA[[#This Row],[PORT DESTINATION]],Table12[PORT DESTINATION],Table12[Cosco Line],,0)</f>
        <v>AEU</v>
      </c>
      <c r="BJ194" s="430"/>
    </row>
    <row r="195" spans="1:62" ht="10.5" hidden="1">
      <c r="A195" s="462" t="s">
        <v>1023</v>
      </c>
      <c r="B195" s="462" t="s">
        <v>61</v>
      </c>
      <c r="C195" s="462" t="str">
        <f>IFERROR(LEFT(PV_DATA[[#This Row],[TCL REFERENCE]],FIND(".",PV_DATA[[#This Row],[TCL REFERENCE]],1)-1),"Main Line")</f>
        <v>26Feb018</v>
      </c>
      <c r="D195" s="462" t="s">
        <v>63</v>
      </c>
      <c r="E195" s="462" t="s">
        <v>64</v>
      </c>
      <c r="F195" s="462" t="str" cm="1">
        <f t="array" ref="F19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95" s="462" t="s">
        <v>402</v>
      </c>
      <c r="H195" s="462" t="s">
        <v>67</v>
      </c>
      <c r="I195" s="439" t="s">
        <v>68</v>
      </c>
      <c r="J195" s="430" t="s">
        <v>1024</v>
      </c>
      <c r="K195" s="430"/>
      <c r="L195" s="430"/>
      <c r="M195" s="430" t="s">
        <v>68</v>
      </c>
      <c r="N195" s="432">
        <v>46055</v>
      </c>
      <c r="O195" s="430" t="s">
        <v>70</v>
      </c>
      <c r="P195" s="430" t="s">
        <v>965</v>
      </c>
      <c r="Q195" s="430" t="s">
        <v>966</v>
      </c>
      <c r="R195" s="431" t="str">
        <f>_xlfn.XLOOKUP(PV_DATA[[#This Row],[New Ark SKU]],Table9[New Ark SKU],Table9[Connector],,0)</f>
        <v>EVO2A</v>
      </c>
      <c r="S195" s="442" t="str">
        <f>_xlfn.XLOOKUP(PV_DATA[[#This Row],[New Ark SKU]],Table9[New Ark SKU],Table9[Cable],,0)</f>
        <v>±1200mm</v>
      </c>
      <c r="T195" s="433">
        <v>455</v>
      </c>
      <c r="U195" s="1062">
        <f>936*4</f>
        <v>3744</v>
      </c>
      <c r="V195" s="434">
        <f>PV_DATA[[#This Row],[QUANTITY]]*PV_DATA[[#This Row],[WATT]]/1000000</f>
        <v>1.7035199999999999</v>
      </c>
      <c r="W195" s="435">
        <f>PV_DATA[[#This Row],[QUANTITY]]/PV_DATA[[#This Row],[Qty/Pallet]]</f>
        <v>104</v>
      </c>
      <c r="X195" s="1015">
        <f>PV_DATA[[#This Row],[QUANTITY]]/PV_DATA[[#This Row],[Qty/CT]]</f>
        <v>4</v>
      </c>
      <c r="Y195" s="430" t="s">
        <v>75</v>
      </c>
      <c r="Z195" s="430" t="str">
        <f t="shared" si="0"/>
        <v>COMPLETED</v>
      </c>
      <c r="AA195" s="430"/>
      <c r="AB195" s="437">
        <v>46060</v>
      </c>
      <c r="AC195" s="438">
        <f>IF(PV_DATA[[#This Row],[Pick-Up Date]]&lt;&gt;"",_xlfn.ISOWEEKNUM(PV_DATA[[#This Row],[Pick-Up Date]]),"")</f>
        <v>6</v>
      </c>
      <c r="AD195" s="439" t="s">
        <v>1025</v>
      </c>
      <c r="AE195" s="430"/>
      <c r="AF195" s="430" t="s">
        <v>77</v>
      </c>
      <c r="AG195" s="430" t="s">
        <v>61</v>
      </c>
      <c r="AH195" s="430" t="s">
        <v>105</v>
      </c>
      <c r="AI195" s="437">
        <v>46066</v>
      </c>
      <c r="AJ195" s="437">
        <v>46065</v>
      </c>
      <c r="AK195" s="441">
        <v>46065</v>
      </c>
      <c r="AL195" s="437">
        <v>46119</v>
      </c>
      <c r="AM195" s="437">
        <v>46141</v>
      </c>
      <c r="AN195" s="437">
        <v>46137</v>
      </c>
      <c r="AO195" s="430" t="s">
        <v>402</v>
      </c>
      <c r="AP195" s="430" t="s">
        <v>771</v>
      </c>
      <c r="AQ195" s="430" t="s">
        <v>80</v>
      </c>
      <c r="AR195" s="430" t="s">
        <v>809</v>
      </c>
      <c r="AS195" s="430" t="s">
        <v>810</v>
      </c>
      <c r="AT195" s="482" t="s">
        <v>810</v>
      </c>
      <c r="AU19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W195" s="437" cm="1">
        <f t="array" ref="AW19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46137</v>
      </c>
      <c r="AX19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195" s="437">
        <f>IF(ISERROR(PV_DATA[[#This Row],[New Ark PO status]]),"",_xlfn.XLOOKUP(PV_DATA[[#This Row],[SPTN-PVHK New Ark PO'#]],New_Ark_Data[Purchase order Number],New_Ark_Data[Estimated time of arrival],"",0))</f>
        <v>46150</v>
      </c>
      <c r="AZ19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95" s="437">
        <f>IFERROR(PV_DATA[[#This Row],[ODP ETA Port]]+PV_DATA[[#This Row],[Customs/Leg3 Assumption]],"n/a")</f>
        <v>46144</v>
      </c>
      <c r="BB195" s="433">
        <f>YEAR(PV_DATA[[#This Row],[ETA for New Ark update]])</f>
        <v>2026</v>
      </c>
      <c r="BC195" s="430">
        <f>MONTH(PV_DATA[[#This Row],[ETA for New Ark update]])</f>
        <v>5</v>
      </c>
      <c r="BD195" s="430">
        <f>IFERROR(_xlfn.ISOWEEKNUM(PV_DATA[[#This Row],[ETA for New Ark update]]),0)</f>
        <v>18</v>
      </c>
      <c r="BE195" s="431">
        <f>_xlfn.XLOOKUP(PV_DATA[[#This Row],[New Ark SKU]],Table9[New Ark SKU],Table9[Total PCS per Pallet],,0)</f>
        <v>36</v>
      </c>
      <c r="BF195" s="431">
        <f>_xlfn.XLOOKUP(PV_DATA[[#This Row],[New Ark SKU]],Table9[New Ark SKU],Table9[Total PCS per 40HQ Container],,0)</f>
        <v>936</v>
      </c>
      <c r="BG195" s="431" t="str">
        <f>_xlfn.XLOOKUP(PV_DATA[[#This Row],[New Ark SKU]],Table9[New Ark SKU],Table9[Back Glass],,0)</f>
        <v>Black glazing</v>
      </c>
      <c r="BH195" s="431" t="str">
        <f>_xlfn.XLOOKUP(PV_DATA[[#This Row],[PORT DESTINATION]],Table12[PORT DESTINATION],Table12[Cosco Line],,0)</f>
        <v>AEU</v>
      </c>
      <c r="BJ195" s="430"/>
    </row>
    <row r="196" spans="1:62" ht="10.5" hidden="1">
      <c r="A196" s="462" t="s">
        <v>1026</v>
      </c>
      <c r="B196" s="462" t="s">
        <v>61</v>
      </c>
      <c r="C196" s="462" t="str">
        <f>IFERROR(LEFT(PV_DATA[[#This Row],[TCL REFERENCE]],FIND(".",PV_DATA[[#This Row],[TCL REFERENCE]],1)-1),"Main Line")</f>
        <v>26Feb018</v>
      </c>
      <c r="D196" s="462" t="s">
        <v>63</v>
      </c>
      <c r="E196" s="462" t="s">
        <v>64</v>
      </c>
      <c r="F196" s="462" t="str" cm="1">
        <f t="array" ref="F19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96" s="462" t="s">
        <v>402</v>
      </c>
      <c r="H196" s="462" t="s">
        <v>67</v>
      </c>
      <c r="I196" s="439" t="s">
        <v>68</v>
      </c>
      <c r="J196" s="430" t="s">
        <v>419</v>
      </c>
      <c r="K196" s="430"/>
      <c r="L196" s="430"/>
      <c r="M196" s="430" t="s">
        <v>68</v>
      </c>
      <c r="N196" s="432">
        <v>46055</v>
      </c>
      <c r="O196" s="430" t="s">
        <v>70</v>
      </c>
      <c r="P196" s="430" t="s">
        <v>965</v>
      </c>
      <c r="Q196" s="430" t="s">
        <v>966</v>
      </c>
      <c r="R196" s="431" t="str">
        <f>_xlfn.XLOOKUP(PV_DATA[[#This Row],[New Ark SKU]],Table9[New Ark SKU],Table9[Connector],,0)</f>
        <v>EVO2A</v>
      </c>
      <c r="S196" s="442" t="str">
        <f>_xlfn.XLOOKUP(PV_DATA[[#This Row],[New Ark SKU]],Table9[New Ark SKU],Table9[Cable],,0)</f>
        <v>±1200mm</v>
      </c>
      <c r="T196" s="433">
        <v>455</v>
      </c>
      <c r="U196" s="1062">
        <f>936*4</f>
        <v>3744</v>
      </c>
      <c r="V196" s="434">
        <f>PV_DATA[[#This Row],[QUANTITY]]*PV_DATA[[#This Row],[WATT]]/1000000</f>
        <v>1.7035199999999999</v>
      </c>
      <c r="W196" s="435">
        <f>PV_DATA[[#This Row],[QUANTITY]]/PV_DATA[[#This Row],[Qty/Pallet]]</f>
        <v>104</v>
      </c>
      <c r="X196" s="1015">
        <f>PV_DATA[[#This Row],[QUANTITY]]/PV_DATA[[#This Row],[Qty/CT]]</f>
        <v>4</v>
      </c>
      <c r="Y196" s="430" t="s">
        <v>75</v>
      </c>
      <c r="Z196" s="430" t="str">
        <f t="shared" si="0"/>
        <v>COMPLETED</v>
      </c>
      <c r="AA196" s="430"/>
      <c r="AB196" s="437">
        <v>46060</v>
      </c>
      <c r="AC196" s="438">
        <f>IF(PV_DATA[[#This Row],[Pick-Up Date]]&lt;&gt;"",_xlfn.ISOWEEKNUM(PV_DATA[[#This Row],[Pick-Up Date]]),"")</f>
        <v>6</v>
      </c>
      <c r="AD196" s="439" t="s">
        <v>1027</v>
      </c>
      <c r="AE196" s="430"/>
      <c r="AF196" s="430" t="s">
        <v>77</v>
      </c>
      <c r="AG196" s="430" t="s">
        <v>61</v>
      </c>
      <c r="AH196" s="430" t="s">
        <v>105</v>
      </c>
      <c r="AI196" s="437">
        <v>46066</v>
      </c>
      <c r="AJ196" s="437">
        <v>46065</v>
      </c>
      <c r="AK196" s="441">
        <v>46065</v>
      </c>
      <c r="AL196" s="437">
        <v>46119</v>
      </c>
      <c r="AM196" s="437">
        <v>46141</v>
      </c>
      <c r="AN196" s="437">
        <v>46137</v>
      </c>
      <c r="AO196" s="430" t="s">
        <v>402</v>
      </c>
      <c r="AP196" s="430" t="s">
        <v>771</v>
      </c>
      <c r="AQ196" s="430" t="s">
        <v>80</v>
      </c>
      <c r="AR196" s="430" t="s">
        <v>809</v>
      </c>
      <c r="AS196" s="430" t="s">
        <v>810</v>
      </c>
      <c r="AT196" s="482" t="s">
        <v>810</v>
      </c>
      <c r="AU19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W196" s="437" cm="1">
        <f t="array" ref="AW19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46137</v>
      </c>
      <c r="AX19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196" s="437">
        <f>IF(ISERROR(PV_DATA[[#This Row],[New Ark PO status]]),"",_xlfn.XLOOKUP(PV_DATA[[#This Row],[SPTN-PVHK New Ark PO'#]],New_Ark_Data[Purchase order Number],New_Ark_Data[Estimated time of arrival],"",0))</f>
        <v>46150</v>
      </c>
      <c r="AZ19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96" s="437">
        <f>IFERROR(PV_DATA[[#This Row],[ODP ETA Port]]+PV_DATA[[#This Row],[Customs/Leg3 Assumption]],"n/a")</f>
        <v>46144</v>
      </c>
      <c r="BB196" s="433">
        <f>YEAR(PV_DATA[[#This Row],[ETA for New Ark update]])</f>
        <v>2026</v>
      </c>
      <c r="BC196" s="430">
        <f>MONTH(PV_DATA[[#This Row],[ETA for New Ark update]])</f>
        <v>5</v>
      </c>
      <c r="BD196" s="430">
        <f>IFERROR(_xlfn.ISOWEEKNUM(PV_DATA[[#This Row],[ETA for New Ark update]]),0)</f>
        <v>18</v>
      </c>
      <c r="BE196" s="431">
        <f>_xlfn.XLOOKUP(PV_DATA[[#This Row],[New Ark SKU]],Table9[New Ark SKU],Table9[Total PCS per Pallet],,0)</f>
        <v>36</v>
      </c>
      <c r="BF196" s="431">
        <f>_xlfn.XLOOKUP(PV_DATA[[#This Row],[New Ark SKU]],Table9[New Ark SKU],Table9[Total PCS per 40HQ Container],,0)</f>
        <v>936</v>
      </c>
      <c r="BG196" s="431" t="str">
        <f>_xlfn.XLOOKUP(PV_DATA[[#This Row],[New Ark SKU]],Table9[New Ark SKU],Table9[Back Glass],,0)</f>
        <v>Black glazing</v>
      </c>
      <c r="BH196" s="431" t="str">
        <f>_xlfn.XLOOKUP(PV_DATA[[#This Row],[PORT DESTINATION]],Table12[PORT DESTINATION],Table12[Cosco Line],,0)</f>
        <v>AEU</v>
      </c>
      <c r="BJ196" s="430"/>
    </row>
    <row r="197" spans="1:62" ht="10.5" hidden="1">
      <c r="A197" s="462" t="s">
        <v>1028</v>
      </c>
      <c r="B197" s="462" t="s">
        <v>111</v>
      </c>
      <c r="C197" s="462" t="str">
        <f>IFERROR(LEFT(PV_DATA[[#This Row],[TCL REFERENCE]],FIND(".",PV_DATA[[#This Row],[TCL REFERENCE]],1)-1),"Main Line")</f>
        <v>Main Line</v>
      </c>
      <c r="D197" s="462" t="s">
        <v>63</v>
      </c>
      <c r="E197" s="462" t="s">
        <v>144</v>
      </c>
      <c r="F197" s="462" t="str" cm="1">
        <f t="array" ref="F19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97" s="462" t="s">
        <v>402</v>
      </c>
      <c r="H197" s="462" t="s">
        <v>1029</v>
      </c>
      <c r="I197" s="439" t="s">
        <v>882</v>
      </c>
      <c r="J197" s="430" t="s">
        <v>1030</v>
      </c>
      <c r="K197" s="430" t="s">
        <v>1031</v>
      </c>
      <c r="L197" s="430"/>
      <c r="M197" s="430" t="s">
        <v>840</v>
      </c>
      <c r="N197" s="432">
        <v>46045</v>
      </c>
      <c r="O197" s="430" t="s">
        <v>1032</v>
      </c>
      <c r="P197" s="430" t="s">
        <v>1033</v>
      </c>
      <c r="Q197" s="430" t="s">
        <v>886</v>
      </c>
      <c r="R197" s="431" t="str">
        <f>_xlfn.XLOOKUP(PV_DATA[[#This Row],[New Ark SKU]],Table9[New Ark SKU],Table9[Connector],,0)</f>
        <v>EVO2A</v>
      </c>
      <c r="S197" s="442" t="str">
        <f>_xlfn.XLOOKUP(PV_DATA[[#This Row],[New Ark SKU]],Table9[New Ark SKU],Table9[Cable],,0)</f>
        <v>±1400mm</v>
      </c>
      <c r="T197" s="433">
        <v>615</v>
      </c>
      <c r="U197" s="1062">
        <v>468</v>
      </c>
      <c r="V197" s="434">
        <f>PV_DATA[[#This Row],[QUANTITY]]*PV_DATA[[#This Row],[WATT]]/1000000</f>
        <v>0.28782000000000002</v>
      </c>
      <c r="W197" s="435">
        <f>PV_DATA[[#This Row],[QUANTITY]]/PV_DATA[[#This Row],[Qty/Pallet]]</f>
        <v>13</v>
      </c>
      <c r="X197" s="1015">
        <f>PV_DATA[[#This Row],[QUANTITY]]/PV_DATA[[#This Row],[Qty/CT]]</f>
        <v>0.65</v>
      </c>
      <c r="Y197" s="430" t="s">
        <v>75</v>
      </c>
      <c r="Z197" s="430" t="str">
        <f t="shared" si="0"/>
        <v>COMPLETED</v>
      </c>
      <c r="AA197" s="430"/>
      <c r="AB197" s="437">
        <v>46060</v>
      </c>
      <c r="AC197" s="438">
        <f>IF(PV_DATA[[#This Row],[Pick-Up Date]]&lt;&gt;"",_xlfn.ISOWEEKNUM(PV_DATA[[#This Row],[Pick-Up Date]]),"")</f>
        <v>6</v>
      </c>
      <c r="AD197" s="439" t="s">
        <v>1034</v>
      </c>
      <c r="AE197" s="430"/>
      <c r="AF197" s="430" t="s">
        <v>122</v>
      </c>
      <c r="AG197" s="430" t="s">
        <v>123</v>
      </c>
      <c r="AH197" s="430" t="s">
        <v>888</v>
      </c>
      <c r="AI197" s="437">
        <v>46070</v>
      </c>
      <c r="AJ197" s="437">
        <v>46071</v>
      </c>
      <c r="AK197" s="441">
        <v>46071</v>
      </c>
      <c r="AL197" s="437">
        <v>46120</v>
      </c>
      <c r="AM197" s="437">
        <v>46126</v>
      </c>
      <c r="AN197" s="437">
        <v>46125</v>
      </c>
      <c r="AO197" s="430" t="s">
        <v>402</v>
      </c>
      <c r="AP197" s="430" t="s">
        <v>1035</v>
      </c>
      <c r="AQ197" s="430" t="s">
        <v>80</v>
      </c>
      <c r="AR197" s="430" t="s">
        <v>1036</v>
      </c>
      <c r="AS197" s="430" t="s">
        <v>1037</v>
      </c>
      <c r="AT197" s="482" t="s">
        <v>1037</v>
      </c>
      <c r="AU19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</v>
      </c>
      <c r="AW197" s="437" cm="1">
        <f t="array" ref="AW19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46125</v>
      </c>
      <c r="AX19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197" s="437">
        <f>IF(ISERROR(PV_DATA[[#This Row],[New Ark PO status]]),"",_xlfn.XLOOKUP(PV_DATA[[#This Row],[SPTN-PVHK New Ark PO'#]],New_Ark_Data[Purchase order Number],New_Ark_Data[Estimated time of arrival],"",0))</f>
        <v>46134</v>
      </c>
      <c r="AZ197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97" s="437">
        <f>IFERROR(PV_DATA[[#This Row],[ODP ETA Port]]+PV_DATA[[#This Row],[Customs/Leg3 Assumption]],"n/a")</f>
        <v>46125</v>
      </c>
      <c r="BB197" s="433">
        <f>YEAR(PV_DATA[[#This Row],[ETA for New Ark update]])</f>
        <v>2026</v>
      </c>
      <c r="BC197" s="430">
        <f>MONTH(PV_DATA[[#This Row],[ETA for New Ark update]])</f>
        <v>4</v>
      </c>
      <c r="BD197" s="430">
        <f>IFERROR(_xlfn.ISOWEEKNUM(PV_DATA[[#This Row],[ETA for New Ark update]]),0)</f>
        <v>16</v>
      </c>
      <c r="BE197" s="431">
        <f>_xlfn.XLOOKUP(PV_DATA[[#This Row],[New Ark SKU]],Table9[New Ark SKU],Table9[Total PCS per Pallet],,0)</f>
        <v>36</v>
      </c>
      <c r="BF197" s="431">
        <f>_xlfn.XLOOKUP(PV_DATA[[#This Row],[New Ark SKU]],Table9[New Ark SKU],Table9[Total PCS per 40HQ Container],,0)</f>
        <v>720</v>
      </c>
      <c r="BG197" s="431" t="str">
        <f>_xlfn.XLOOKUP(PV_DATA[[#This Row],[New Ark SKU]],Table9[New Ark SKU],Table9[Back Glass],,0)</f>
        <v>White glazing</v>
      </c>
      <c r="BH197" s="431" t="str">
        <f>_xlfn.XLOOKUP(PV_DATA[[#This Row],[PORT DESTINATION]],Table12[PORT DESTINATION],Table12[Cosco Line],,0)</f>
        <v>AEU</v>
      </c>
      <c r="BJ197" s="430"/>
    </row>
    <row r="198" spans="1:62" ht="10.5" hidden="1">
      <c r="A198" s="462" t="s">
        <v>1038</v>
      </c>
      <c r="B198" s="462" t="s">
        <v>111</v>
      </c>
      <c r="C198" s="462" t="str">
        <f>IFERROR(LEFT(PV_DATA[[#This Row],[TCL REFERENCE]],FIND(".",PV_DATA[[#This Row],[TCL REFERENCE]],1)-1),"Main Line")</f>
        <v>Main Line</v>
      </c>
      <c r="D198" s="462" t="s">
        <v>63</v>
      </c>
      <c r="E198" s="462" t="s">
        <v>144</v>
      </c>
      <c r="F198" s="462" t="str" cm="1">
        <f t="array" ref="F19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98" s="462" t="s">
        <v>402</v>
      </c>
      <c r="H198" s="462" t="s">
        <v>1029</v>
      </c>
      <c r="I198" s="439" t="s">
        <v>882</v>
      </c>
      <c r="J198" s="430" t="s">
        <v>1030</v>
      </c>
      <c r="K198" s="430" t="s">
        <v>1031</v>
      </c>
      <c r="L198" s="430"/>
      <c r="M198" s="430" t="s">
        <v>840</v>
      </c>
      <c r="N198" s="432">
        <v>46045</v>
      </c>
      <c r="O198" s="430" t="s">
        <v>1032</v>
      </c>
      <c r="P198" s="430" t="s">
        <v>943</v>
      </c>
      <c r="Q198" s="430" t="s">
        <v>886</v>
      </c>
      <c r="R198" s="431" t="str">
        <f>_xlfn.XLOOKUP(PV_DATA[[#This Row],[New Ark SKU]],Table9[New Ark SKU],Table9[Connector],,0)</f>
        <v>EVO2A</v>
      </c>
      <c r="S198" s="442" t="str">
        <f>_xlfn.XLOOKUP(PV_DATA[[#This Row],[New Ark SKU]],Table9[New Ark SKU],Table9[Cable],,0)</f>
        <v>±1200mm</v>
      </c>
      <c r="T198" s="433">
        <v>615</v>
      </c>
      <c r="U198" s="1062">
        <v>684</v>
      </c>
      <c r="V198" s="434">
        <f>PV_DATA[[#This Row],[QUANTITY]]*PV_DATA[[#This Row],[WATT]]/1000000</f>
        <v>0.42065999999999998</v>
      </c>
      <c r="W198" s="435">
        <f>PV_DATA[[#This Row],[QUANTITY]]/PV_DATA[[#This Row],[Qty/Pallet]]</f>
        <v>19</v>
      </c>
      <c r="X198" s="1015">
        <f>PV_DATA[[#This Row],[QUANTITY]]/PV_DATA[[#This Row],[Qty/CT]]</f>
        <v>0.95</v>
      </c>
      <c r="Y198" s="430" t="s">
        <v>75</v>
      </c>
      <c r="Z198" s="430" t="str">
        <f t="shared" si="0"/>
        <v>COMPLETED</v>
      </c>
      <c r="AA198" s="430"/>
      <c r="AB198" s="437">
        <v>46060</v>
      </c>
      <c r="AC198" s="438">
        <f>IF(PV_DATA[[#This Row],[Pick-Up Date]]&lt;&gt;"",_xlfn.ISOWEEKNUM(PV_DATA[[#This Row],[Pick-Up Date]]),"")</f>
        <v>6</v>
      </c>
      <c r="AD198" s="439" t="s">
        <v>1039</v>
      </c>
      <c r="AE198" s="430"/>
      <c r="AF198" s="430" t="s">
        <v>122</v>
      </c>
      <c r="AG198" s="430" t="s">
        <v>123</v>
      </c>
      <c r="AH198" s="430" t="s">
        <v>888</v>
      </c>
      <c r="AI198" s="437">
        <v>46070</v>
      </c>
      <c r="AJ198" s="437">
        <v>46071</v>
      </c>
      <c r="AK198" s="441">
        <v>46071</v>
      </c>
      <c r="AL198" s="437">
        <v>46120</v>
      </c>
      <c r="AM198" s="437">
        <v>46126</v>
      </c>
      <c r="AN198" s="437">
        <v>46125</v>
      </c>
      <c r="AO198" s="430" t="s">
        <v>402</v>
      </c>
      <c r="AP198" s="430" t="s">
        <v>1035</v>
      </c>
      <c r="AQ198" s="430" t="s">
        <v>80</v>
      </c>
      <c r="AR198" s="430" t="s">
        <v>1036</v>
      </c>
      <c r="AS198" s="430" t="s">
        <v>1037</v>
      </c>
      <c r="AT198" s="482" t="s">
        <v>1037</v>
      </c>
      <c r="AU19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</v>
      </c>
      <c r="AW198" s="437" cm="1">
        <f t="array" ref="AW19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46125</v>
      </c>
      <c r="AX19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198" s="437">
        <f>IF(ISERROR(PV_DATA[[#This Row],[New Ark PO status]]),"",_xlfn.XLOOKUP(PV_DATA[[#This Row],[SPTN-PVHK New Ark PO'#]],New_Ark_Data[Purchase order Number],New_Ark_Data[Estimated time of arrival],"",0))</f>
        <v>46134</v>
      </c>
      <c r="AZ198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98" s="437">
        <f>IFERROR(PV_DATA[[#This Row],[ODP ETA Port]]+PV_DATA[[#This Row],[Customs/Leg3 Assumption]],"n/a")</f>
        <v>46125</v>
      </c>
      <c r="BB198" s="433">
        <f>YEAR(PV_DATA[[#This Row],[ETA for New Ark update]])</f>
        <v>2026</v>
      </c>
      <c r="BC198" s="430">
        <f>MONTH(PV_DATA[[#This Row],[ETA for New Ark update]])</f>
        <v>4</v>
      </c>
      <c r="BD198" s="430">
        <f>IFERROR(_xlfn.ISOWEEKNUM(PV_DATA[[#This Row],[ETA for New Ark update]]),0)</f>
        <v>16</v>
      </c>
      <c r="BE198" s="431">
        <f>_xlfn.XLOOKUP(PV_DATA[[#This Row],[New Ark SKU]],Table9[New Ark SKU],Table9[Total PCS per Pallet],,0)</f>
        <v>36</v>
      </c>
      <c r="BF198" s="431">
        <f>_xlfn.XLOOKUP(PV_DATA[[#This Row],[New Ark SKU]],Table9[New Ark SKU],Table9[Total PCS per 40HQ Container],,0)</f>
        <v>720</v>
      </c>
      <c r="BG198" s="431" t="str">
        <f>_xlfn.XLOOKUP(PV_DATA[[#This Row],[New Ark SKU]],Table9[New Ark SKU],Table9[Back Glass],,0)</f>
        <v>White glazing</v>
      </c>
      <c r="BH198" s="431" t="str">
        <f>_xlfn.XLOOKUP(PV_DATA[[#This Row],[PORT DESTINATION]],Table12[PORT DESTINATION],Table12[Cosco Line],,0)</f>
        <v>AEU</v>
      </c>
      <c r="BJ198" s="430"/>
    </row>
    <row r="199" spans="1:62" ht="10.5" hidden="1">
      <c r="A199" s="462" t="s">
        <v>1040</v>
      </c>
      <c r="B199" s="462" t="s">
        <v>111</v>
      </c>
      <c r="C199" s="462" t="str">
        <f>IFERROR(LEFT(PV_DATA[[#This Row],[TCL REFERENCE]],FIND(".",PV_DATA[[#This Row],[TCL REFERENCE]],1)-1),"Main Line")</f>
        <v>Main Line</v>
      </c>
      <c r="D199" s="462" t="s">
        <v>63</v>
      </c>
      <c r="E199" s="462" t="s">
        <v>144</v>
      </c>
      <c r="F199" s="462" t="str" cm="1">
        <f t="array" ref="F19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99" s="462" t="s">
        <v>402</v>
      </c>
      <c r="H199" s="462" t="s">
        <v>1029</v>
      </c>
      <c r="I199" s="439" t="s">
        <v>882</v>
      </c>
      <c r="J199" s="430" t="s">
        <v>1030</v>
      </c>
      <c r="K199" s="430" t="s">
        <v>1031</v>
      </c>
      <c r="L199" s="430"/>
      <c r="M199" s="430" t="s">
        <v>840</v>
      </c>
      <c r="N199" s="432">
        <v>46045</v>
      </c>
      <c r="O199" s="430" t="s">
        <v>1032</v>
      </c>
      <c r="P199" s="430" t="s">
        <v>102</v>
      </c>
      <c r="Q199" s="430" t="s">
        <v>103</v>
      </c>
      <c r="R199" s="431" t="str">
        <f>_xlfn.XLOOKUP(PV_DATA[[#This Row],[New Ark SKU]],Table9[New Ark SKU],Table9[Connector],,0)</f>
        <v>EVO2A</v>
      </c>
      <c r="S199" s="442" t="str">
        <f>_xlfn.XLOOKUP(PV_DATA[[#This Row],[New Ark SKU]],Table9[New Ark SKU],Table9[Cable],,0)</f>
        <v>±1200mm</v>
      </c>
      <c r="T199" s="433">
        <v>620</v>
      </c>
      <c r="U199" s="1062">
        <v>1584</v>
      </c>
      <c r="V199" s="434">
        <f>PV_DATA[[#This Row],[QUANTITY]]*PV_DATA[[#This Row],[WATT]]/1000000</f>
        <v>0.98207999999999995</v>
      </c>
      <c r="W199" s="435">
        <f>PV_DATA[[#This Row],[QUANTITY]]/PV_DATA[[#This Row],[Qty/Pallet]]</f>
        <v>44</v>
      </c>
      <c r="X199" s="1015">
        <f>PV_DATA[[#This Row],[QUANTITY]]/PV_DATA[[#This Row],[Qty/CT]]</f>
        <v>2.2000000000000002</v>
      </c>
      <c r="Y199" s="430" t="s">
        <v>75</v>
      </c>
      <c r="Z199" s="430" t="str">
        <f t="shared" si="0"/>
        <v>COMPLETED</v>
      </c>
      <c r="AA199" s="430"/>
      <c r="AB199" s="437">
        <v>46060</v>
      </c>
      <c r="AC199" s="438">
        <f>IF(PV_DATA[[#This Row],[Pick-Up Date]]&lt;&gt;"",_xlfn.ISOWEEKNUM(PV_DATA[[#This Row],[Pick-Up Date]]),"")</f>
        <v>6</v>
      </c>
      <c r="AD199" s="439" t="s">
        <v>1041</v>
      </c>
      <c r="AE199" s="430"/>
      <c r="AF199" s="430" t="s">
        <v>122</v>
      </c>
      <c r="AG199" s="430" t="s">
        <v>123</v>
      </c>
      <c r="AH199" s="430" t="s">
        <v>888</v>
      </c>
      <c r="AI199" s="437">
        <v>46070</v>
      </c>
      <c r="AJ199" s="437">
        <v>46071</v>
      </c>
      <c r="AK199" s="441">
        <v>46071</v>
      </c>
      <c r="AL199" s="437">
        <v>46120</v>
      </c>
      <c r="AM199" s="437">
        <v>46126</v>
      </c>
      <c r="AN199" s="437">
        <v>46125</v>
      </c>
      <c r="AO199" s="430" t="s">
        <v>402</v>
      </c>
      <c r="AP199" s="430" t="s">
        <v>1035</v>
      </c>
      <c r="AQ199" s="430" t="s">
        <v>80</v>
      </c>
      <c r="AR199" s="430" t="s">
        <v>1036</v>
      </c>
      <c r="AS199" s="430" t="s">
        <v>1037</v>
      </c>
      <c r="AT199" s="482" t="s">
        <v>1037</v>
      </c>
      <c r="AU19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</v>
      </c>
      <c r="AW199" s="437" cm="1">
        <f t="array" ref="AW19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46125</v>
      </c>
      <c r="AX19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199" s="437">
        <f>IF(ISERROR(PV_DATA[[#This Row],[New Ark PO status]]),"",_xlfn.XLOOKUP(PV_DATA[[#This Row],[SPTN-PVHK New Ark PO'#]],New_Ark_Data[Purchase order Number],New_Ark_Data[Estimated time of arrival],"",0))</f>
        <v>46134</v>
      </c>
      <c r="AZ199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99" s="437">
        <f>IFERROR(PV_DATA[[#This Row],[ODP ETA Port]]+PV_DATA[[#This Row],[Customs/Leg3 Assumption]],"n/a")</f>
        <v>46125</v>
      </c>
      <c r="BB199" s="433">
        <f>YEAR(PV_DATA[[#This Row],[ETA for New Ark update]])</f>
        <v>2026</v>
      </c>
      <c r="BC199" s="430">
        <f>MONTH(PV_DATA[[#This Row],[ETA for New Ark update]])</f>
        <v>4</v>
      </c>
      <c r="BD199" s="430">
        <f>IFERROR(_xlfn.ISOWEEKNUM(PV_DATA[[#This Row],[ETA for New Ark update]]),0)</f>
        <v>16</v>
      </c>
      <c r="BE199" s="431">
        <f>_xlfn.XLOOKUP(PV_DATA[[#This Row],[New Ark SKU]],Table9[New Ark SKU],Table9[Total PCS per Pallet],,0)</f>
        <v>36</v>
      </c>
      <c r="BF199" s="431">
        <f>_xlfn.XLOOKUP(PV_DATA[[#This Row],[New Ark SKU]],Table9[New Ark SKU],Table9[Total PCS per 40HQ Container],,0)</f>
        <v>720</v>
      </c>
      <c r="BG199" s="431" t="str">
        <f>_xlfn.XLOOKUP(PV_DATA[[#This Row],[New Ark SKU]],Table9[New Ark SKU],Table9[Back Glass],,0)</f>
        <v>White glazing</v>
      </c>
      <c r="BH199" s="431" t="str">
        <f>_xlfn.XLOOKUP(PV_DATA[[#This Row],[PORT DESTINATION]],Table12[PORT DESTINATION],Table12[Cosco Line],,0)</f>
        <v>AEU</v>
      </c>
      <c r="BJ199" s="430"/>
    </row>
    <row r="200" spans="1:62" ht="10.5" hidden="1">
      <c r="A200" s="462" t="s">
        <v>1042</v>
      </c>
      <c r="B200" s="462" t="s">
        <v>111</v>
      </c>
      <c r="C200" s="462" t="str">
        <f>IFERROR(LEFT(PV_DATA[[#This Row],[TCL REFERENCE]],FIND(".",PV_DATA[[#This Row],[TCL REFERENCE]],1)-1),"Main Line")</f>
        <v>Main Line</v>
      </c>
      <c r="D200" s="462" t="s">
        <v>63</v>
      </c>
      <c r="E200" s="462" t="s">
        <v>144</v>
      </c>
      <c r="F200" s="462" t="str" cm="1">
        <f t="array" ref="F20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00" s="462" t="s">
        <v>402</v>
      </c>
      <c r="H200" s="462" t="s">
        <v>1029</v>
      </c>
      <c r="I200" s="439" t="s">
        <v>882</v>
      </c>
      <c r="J200" s="430" t="s">
        <v>1030</v>
      </c>
      <c r="K200" s="430" t="s">
        <v>1031</v>
      </c>
      <c r="L200" s="430"/>
      <c r="M200" s="430" t="s">
        <v>840</v>
      </c>
      <c r="N200" s="432">
        <v>46045</v>
      </c>
      <c r="O200" s="430" t="s">
        <v>1032</v>
      </c>
      <c r="P200" s="430" t="s">
        <v>1043</v>
      </c>
      <c r="Q200" s="430" t="s">
        <v>330</v>
      </c>
      <c r="R200" s="431" t="str">
        <f>_xlfn.XLOOKUP(PV_DATA[[#This Row],[New Ark SKU]],Table9[New Ark SKU],Table9[Connector],,0)</f>
        <v>EVO2A</v>
      </c>
      <c r="S200" s="442" t="str">
        <f>_xlfn.XLOOKUP(PV_DATA[[#This Row],[New Ark SKU]],Table9[New Ark SKU],Table9[Cable],,0)</f>
        <v>±1200mm</v>
      </c>
      <c r="T200" s="433">
        <v>625</v>
      </c>
      <c r="U200" s="1062">
        <v>144</v>
      </c>
      <c r="V200" s="434">
        <f>PV_DATA[[#This Row],[QUANTITY]]*PV_DATA[[#This Row],[WATT]]/1000000</f>
        <v>0.09</v>
      </c>
      <c r="W200" s="435">
        <f>PV_DATA[[#This Row],[QUANTITY]]/PV_DATA[[#This Row],[Qty/Pallet]]</f>
        <v>4</v>
      </c>
      <c r="X200" s="1015">
        <f>PV_DATA[[#This Row],[QUANTITY]]/PV_DATA[[#This Row],[Qty/CT]]</f>
        <v>0.2</v>
      </c>
      <c r="Y200" s="430" t="s">
        <v>75</v>
      </c>
      <c r="Z200" s="430" t="str">
        <f t="shared" si="0"/>
        <v>COMPLETED</v>
      </c>
      <c r="AA200" s="430"/>
      <c r="AB200" s="437">
        <v>46060</v>
      </c>
      <c r="AC200" s="438">
        <f>IF(PV_DATA[[#This Row],[Pick-Up Date]]&lt;&gt;"",_xlfn.ISOWEEKNUM(PV_DATA[[#This Row],[Pick-Up Date]]),"")</f>
        <v>6</v>
      </c>
      <c r="AD200" s="439" t="s">
        <v>1044</v>
      </c>
      <c r="AE200" s="430"/>
      <c r="AF200" s="430" t="s">
        <v>122</v>
      </c>
      <c r="AG200" s="430" t="s">
        <v>123</v>
      </c>
      <c r="AH200" s="430" t="s">
        <v>888</v>
      </c>
      <c r="AI200" s="437">
        <v>46070</v>
      </c>
      <c r="AJ200" s="437">
        <v>46071</v>
      </c>
      <c r="AK200" s="441">
        <v>46071</v>
      </c>
      <c r="AL200" s="437">
        <v>46120</v>
      </c>
      <c r="AM200" s="437">
        <v>46126</v>
      </c>
      <c r="AN200" s="437">
        <v>46125</v>
      </c>
      <c r="AO200" s="430" t="s">
        <v>402</v>
      </c>
      <c r="AP200" s="430" t="s">
        <v>1035</v>
      </c>
      <c r="AQ200" s="430" t="s">
        <v>80</v>
      </c>
      <c r="AR200" s="430" t="s">
        <v>1036</v>
      </c>
      <c r="AS200" s="430" t="s">
        <v>1037</v>
      </c>
      <c r="AT200" s="482" t="s">
        <v>1037</v>
      </c>
      <c r="AU20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</v>
      </c>
      <c r="AW200" s="437" cm="1">
        <f t="array" ref="AW20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46125</v>
      </c>
      <c r="AX20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00" s="437">
        <f>IF(ISERROR(PV_DATA[[#This Row],[New Ark PO status]]),"",_xlfn.XLOOKUP(PV_DATA[[#This Row],[SPTN-PVHK New Ark PO'#]],New_Ark_Data[Purchase order Number],New_Ark_Data[Estimated time of arrival],"",0))</f>
        <v>46134</v>
      </c>
      <c r="AZ200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00" s="437">
        <f>IFERROR(PV_DATA[[#This Row],[ODP ETA Port]]+PV_DATA[[#This Row],[Customs/Leg3 Assumption]],"n/a")</f>
        <v>46125</v>
      </c>
      <c r="BB200" s="433">
        <f>YEAR(PV_DATA[[#This Row],[ETA for New Ark update]])</f>
        <v>2026</v>
      </c>
      <c r="BC200" s="430">
        <f>MONTH(PV_DATA[[#This Row],[ETA for New Ark update]])</f>
        <v>4</v>
      </c>
      <c r="BD200" s="430">
        <f>IFERROR(_xlfn.ISOWEEKNUM(PV_DATA[[#This Row],[ETA for New Ark update]]),0)</f>
        <v>16</v>
      </c>
      <c r="BE200" s="431">
        <f>_xlfn.XLOOKUP(PV_DATA[[#This Row],[New Ark SKU]],Table9[New Ark SKU],Table9[Total PCS per Pallet],,0)</f>
        <v>36</v>
      </c>
      <c r="BF200" s="431">
        <f>_xlfn.XLOOKUP(PV_DATA[[#This Row],[New Ark SKU]],Table9[New Ark SKU],Table9[Total PCS per 40HQ Container],,0)</f>
        <v>720</v>
      </c>
      <c r="BG200" s="431" t="str">
        <f>_xlfn.XLOOKUP(PV_DATA[[#This Row],[New Ark SKU]],Table9[New Ark SKU],Table9[Back Glass],,0)</f>
        <v>White glazing</v>
      </c>
      <c r="BH200" s="431" t="str">
        <f>_xlfn.XLOOKUP(PV_DATA[[#This Row],[PORT DESTINATION]],Table12[PORT DESTINATION],Table12[Cosco Line],,0)</f>
        <v>AEU</v>
      </c>
      <c r="BJ200" s="430"/>
    </row>
    <row r="201" spans="1:62" ht="10.5" hidden="1">
      <c r="A201" s="462" t="s">
        <v>1045</v>
      </c>
      <c r="B201" s="462" t="s">
        <v>111</v>
      </c>
      <c r="C201" s="462" t="str">
        <f>IFERROR(LEFT(PV_DATA[[#This Row],[TCL REFERENCE]],FIND(".",PV_DATA[[#This Row],[TCL REFERENCE]],1)-1),"Main Line")</f>
        <v>26Feb026</v>
      </c>
      <c r="D201" s="462" t="s">
        <v>63</v>
      </c>
      <c r="E201" s="462" t="s">
        <v>64</v>
      </c>
      <c r="F201" s="462" t="str" cm="1">
        <f t="array" ref="F20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01" s="462" t="s">
        <v>402</v>
      </c>
      <c r="H201" s="462" t="s">
        <v>67</v>
      </c>
      <c r="I201" s="439" t="s">
        <v>689</v>
      </c>
      <c r="J201" s="430" t="s">
        <v>1047</v>
      </c>
      <c r="K201" s="430"/>
      <c r="L201" s="430"/>
      <c r="M201" s="430" t="s">
        <v>68</v>
      </c>
      <c r="N201" s="432">
        <v>46062</v>
      </c>
      <c r="O201" s="430" t="s">
        <v>70</v>
      </c>
      <c r="P201" s="430" t="s">
        <v>1002</v>
      </c>
      <c r="Q201" s="430" t="s">
        <v>330</v>
      </c>
      <c r="R201" s="431" t="str">
        <f>_xlfn.XLOOKUP(PV_DATA[[#This Row],[New Ark SKU]],Table9[New Ark SKU],Table9[Connector],,0)</f>
        <v>EVO2A</v>
      </c>
      <c r="S201" s="442" t="str">
        <f>_xlfn.XLOOKUP(PV_DATA[[#This Row],[New Ark SKU]],Table9[New Ark SKU],Table9[Cable],,0)</f>
        <v>±1400mm</v>
      </c>
      <c r="T201" s="433">
        <v>625</v>
      </c>
      <c r="U201" s="1062">
        <f>720*7</f>
        <v>5040</v>
      </c>
      <c r="V201" s="434">
        <f>PV_DATA[[#This Row],[QUANTITY]]*PV_DATA[[#This Row],[WATT]]/1000000</f>
        <v>3.15</v>
      </c>
      <c r="W201" s="435">
        <f>PV_DATA[[#This Row],[QUANTITY]]/PV_DATA[[#This Row],[Qty/Pallet]]</f>
        <v>140</v>
      </c>
      <c r="X201" s="1015">
        <f>PV_DATA[[#This Row],[QUANTITY]]/PV_DATA[[#This Row],[Qty/CT]]</f>
        <v>7</v>
      </c>
      <c r="Y201" s="430" t="s">
        <v>75</v>
      </c>
      <c r="Z201" s="430" t="str">
        <f t="shared" si="0"/>
        <v>COMPLETED</v>
      </c>
      <c r="AA201" s="430"/>
      <c r="AB201" s="437">
        <v>46064</v>
      </c>
      <c r="AC201" s="438">
        <f>IF(PV_DATA[[#This Row],[Pick-Up Date]]&lt;&gt;"",_xlfn.ISOWEEKNUM(PV_DATA[[#This Row],[Pick-Up Date]]),"")</f>
        <v>7</v>
      </c>
      <c r="AD201" s="439" t="s">
        <v>1048</v>
      </c>
      <c r="AE201" s="430"/>
      <c r="AF201" s="430" t="s">
        <v>122</v>
      </c>
      <c r="AG201" s="430" t="s">
        <v>123</v>
      </c>
      <c r="AH201" s="430" t="s">
        <v>105</v>
      </c>
      <c r="AI201" s="437">
        <v>46070</v>
      </c>
      <c r="AJ201" s="437">
        <v>46069</v>
      </c>
      <c r="AK201" s="441">
        <v>46069</v>
      </c>
      <c r="AL201" s="437">
        <v>46109</v>
      </c>
      <c r="AM201" s="437">
        <v>46126</v>
      </c>
      <c r="AN201" s="437">
        <v>46127</v>
      </c>
      <c r="AO201" s="430" t="s">
        <v>402</v>
      </c>
      <c r="AP201" s="430" t="s">
        <v>1049</v>
      </c>
      <c r="AQ201" s="430" t="s">
        <v>80</v>
      </c>
      <c r="AR201" s="430" t="s">
        <v>1050</v>
      </c>
      <c r="AS201" s="430" t="s">
        <v>1051</v>
      </c>
      <c r="AT201" s="482" t="s">
        <v>1051</v>
      </c>
      <c r="AU20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W201" s="437" cm="1">
        <f t="array" ref="AW20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46127</v>
      </c>
      <c r="AX20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01" s="437">
        <f>IF(ISERROR(PV_DATA[[#This Row],[New Ark PO status]]),"",_xlfn.XLOOKUP(PV_DATA[[#This Row],[SPTN-PVHK New Ark PO'#]],New_Ark_Data[Purchase order Number],New_Ark_Data[Estimated time of arrival],"",0))</f>
        <v>46134</v>
      </c>
      <c r="AZ201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01" s="437">
        <f>IFERROR(PV_DATA[[#This Row],[ODP ETA Port]]+PV_DATA[[#This Row],[Customs/Leg3 Assumption]],"n/a")</f>
        <v>46134</v>
      </c>
      <c r="BB201" s="433">
        <f>YEAR(PV_DATA[[#This Row],[ETA for New Ark update]])</f>
        <v>2026</v>
      </c>
      <c r="BC201" s="430">
        <f>MONTH(PV_DATA[[#This Row],[ETA for New Ark update]])</f>
        <v>4</v>
      </c>
      <c r="BD201" s="430">
        <f>IFERROR(_xlfn.ISOWEEKNUM(PV_DATA[[#This Row],[ETA for New Ark update]]),0)</f>
        <v>17</v>
      </c>
      <c r="BE201" s="431">
        <f>_xlfn.XLOOKUP(PV_DATA[[#This Row],[New Ark SKU]],Table9[New Ark SKU],Table9[Total PCS per Pallet],,0)</f>
        <v>36</v>
      </c>
      <c r="BF201" s="431">
        <f>_xlfn.XLOOKUP(PV_DATA[[#This Row],[New Ark SKU]],Table9[New Ark SKU],Table9[Total PCS per 40HQ Container],,0)</f>
        <v>720</v>
      </c>
      <c r="BG201" s="431" t="str">
        <f>_xlfn.XLOOKUP(PV_DATA[[#This Row],[New Ark SKU]],Table9[New Ark SKU],Table9[Back Glass],,0)</f>
        <v>Redirection Film</v>
      </c>
      <c r="BH201" s="431" t="str">
        <f>_xlfn.XLOOKUP(PV_DATA[[#This Row],[PORT DESTINATION]],Table12[PORT DESTINATION],Table12[Cosco Line],,0)</f>
        <v>AEU</v>
      </c>
      <c r="BJ201" s="430"/>
    </row>
    <row r="202" spans="1:62" ht="10.5" hidden="1">
      <c r="A202" s="462" t="s">
        <v>1052</v>
      </c>
      <c r="B202" s="462" t="s">
        <v>111</v>
      </c>
      <c r="C202" s="462" t="str">
        <f>IFERROR(LEFT(PV_DATA[[#This Row],[TCL REFERENCE]],FIND(".",PV_DATA[[#This Row],[TCL REFERENCE]],1)-1),"Main Line")</f>
        <v>26Feb026</v>
      </c>
      <c r="D202" s="462" t="s">
        <v>63</v>
      </c>
      <c r="E202" s="462" t="s">
        <v>64</v>
      </c>
      <c r="F202" s="462" t="str" cm="1">
        <f t="array" ref="F20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02" s="462" t="s">
        <v>402</v>
      </c>
      <c r="H202" s="462" t="s">
        <v>67</v>
      </c>
      <c r="I202" s="439" t="s">
        <v>689</v>
      </c>
      <c r="J202" s="430" t="s">
        <v>1047</v>
      </c>
      <c r="K202" s="430"/>
      <c r="L202" s="430"/>
      <c r="M202" s="430" t="s">
        <v>68</v>
      </c>
      <c r="N202" s="432">
        <v>46062</v>
      </c>
      <c r="O202" s="430" t="s">
        <v>70</v>
      </c>
      <c r="P202" s="430" t="s">
        <v>1002</v>
      </c>
      <c r="Q202" s="430" t="s">
        <v>330</v>
      </c>
      <c r="R202" s="431" t="str">
        <f>_xlfn.XLOOKUP(PV_DATA[[#This Row],[New Ark SKU]],Table9[New Ark SKU],Table9[Connector],,0)</f>
        <v>EVO2A</v>
      </c>
      <c r="S202" s="442" t="str">
        <f>_xlfn.XLOOKUP(PV_DATA[[#This Row],[New Ark SKU]],Table9[New Ark SKU],Table9[Cable],,0)</f>
        <v>±1400mm</v>
      </c>
      <c r="T202" s="433">
        <v>625</v>
      </c>
      <c r="U202" s="1062">
        <f>720*5</f>
        <v>3600</v>
      </c>
      <c r="V202" s="434">
        <f>PV_DATA[[#This Row],[QUANTITY]]*PV_DATA[[#This Row],[WATT]]/1000000</f>
        <v>2.25</v>
      </c>
      <c r="W202" s="435">
        <f>PV_DATA[[#This Row],[QUANTITY]]/PV_DATA[[#This Row],[Qty/Pallet]]</f>
        <v>100</v>
      </c>
      <c r="X202" s="1015">
        <f>PV_DATA[[#This Row],[QUANTITY]]/PV_DATA[[#This Row],[Qty/CT]]</f>
        <v>5</v>
      </c>
      <c r="Y202" s="430" t="s">
        <v>75</v>
      </c>
      <c r="Z202" s="430" t="str">
        <f t="shared" si="0"/>
        <v>COMPLETED</v>
      </c>
      <c r="AA202" s="430"/>
      <c r="AB202" s="437">
        <v>46065</v>
      </c>
      <c r="AC202" s="438">
        <f>IF(PV_DATA[[#This Row],[Pick-Up Date]]&lt;&gt;"",_xlfn.ISOWEEKNUM(PV_DATA[[#This Row],[Pick-Up Date]]),"")</f>
        <v>7</v>
      </c>
      <c r="AD202" s="439" t="s">
        <v>1053</v>
      </c>
      <c r="AE202" s="430"/>
      <c r="AF202" s="430" t="s">
        <v>122</v>
      </c>
      <c r="AG202" s="430" t="s">
        <v>123</v>
      </c>
      <c r="AH202" s="430" t="s">
        <v>105</v>
      </c>
      <c r="AI202" s="437">
        <v>46070</v>
      </c>
      <c r="AJ202" s="437">
        <v>46087</v>
      </c>
      <c r="AK202" s="441">
        <v>46086</v>
      </c>
      <c r="AL202" s="437">
        <v>46109</v>
      </c>
      <c r="AM202" s="437">
        <v>46133</v>
      </c>
      <c r="AN202" s="437">
        <v>46133</v>
      </c>
      <c r="AO202" s="430" t="s">
        <v>402</v>
      </c>
      <c r="AP202" s="430" t="s">
        <v>1049</v>
      </c>
      <c r="AQ202" s="430" t="s">
        <v>80</v>
      </c>
      <c r="AR202" s="430" t="s">
        <v>1054</v>
      </c>
      <c r="AS202" s="430" t="s">
        <v>1055</v>
      </c>
      <c r="AT202" s="482" t="s">
        <v>1055</v>
      </c>
      <c r="AU20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202" s="437" cm="1">
        <f t="array" ref="AW20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46133</v>
      </c>
      <c r="AX20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02" s="437">
        <f>IF(ISERROR(PV_DATA[[#This Row],[New Ark PO status]]),"",_xlfn.XLOOKUP(PV_DATA[[#This Row],[SPTN-PVHK New Ark PO'#]],New_Ark_Data[Purchase order Number],New_Ark_Data[Estimated time of arrival],"",0))</f>
        <v>46147</v>
      </c>
      <c r="AZ20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02" s="437">
        <f>IFERROR(PV_DATA[[#This Row],[ODP ETA Port]]+PV_DATA[[#This Row],[Customs/Leg3 Assumption]],"n/a")</f>
        <v>46140</v>
      </c>
      <c r="BB202" s="433">
        <f>YEAR(PV_DATA[[#This Row],[ETA for New Ark update]])</f>
        <v>2026</v>
      </c>
      <c r="BC202" s="430">
        <f>MONTH(PV_DATA[[#This Row],[ETA for New Ark update]])</f>
        <v>4</v>
      </c>
      <c r="BD202" s="430">
        <f>IFERROR(_xlfn.ISOWEEKNUM(PV_DATA[[#This Row],[ETA for New Ark update]]),0)</f>
        <v>18</v>
      </c>
      <c r="BE202" s="431">
        <f>_xlfn.XLOOKUP(PV_DATA[[#This Row],[New Ark SKU]],Table9[New Ark SKU],Table9[Total PCS per Pallet],,0)</f>
        <v>36</v>
      </c>
      <c r="BF202" s="431">
        <f>_xlfn.XLOOKUP(PV_DATA[[#This Row],[New Ark SKU]],Table9[New Ark SKU],Table9[Total PCS per 40HQ Container],,0)</f>
        <v>720</v>
      </c>
      <c r="BG202" s="431" t="str">
        <f>_xlfn.XLOOKUP(PV_DATA[[#This Row],[New Ark SKU]],Table9[New Ark SKU],Table9[Back Glass],,0)</f>
        <v>Redirection Film</v>
      </c>
      <c r="BH202" s="431" t="str">
        <f>_xlfn.XLOOKUP(PV_DATA[[#This Row],[PORT DESTINATION]],Table12[PORT DESTINATION],Table12[Cosco Line],,0)</f>
        <v>AEU</v>
      </c>
      <c r="BJ202" s="430"/>
    </row>
    <row r="203" spans="1:62" ht="10.5" hidden="1">
      <c r="A203" s="462" t="s">
        <v>1056</v>
      </c>
      <c r="B203" s="462" t="s">
        <v>111</v>
      </c>
      <c r="C203" s="462" t="str">
        <f>IFERROR(LEFT(PV_DATA[[#This Row],[TCL REFERENCE]],FIND(".",PV_DATA[[#This Row],[TCL REFERENCE]],1)-1),"Main Line")</f>
        <v>26JAN006</v>
      </c>
      <c r="D203" s="462" t="s">
        <v>63</v>
      </c>
      <c r="E203" s="462" t="s">
        <v>64</v>
      </c>
      <c r="F203" s="462" t="str" cm="1">
        <f t="array" ref="F20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03" s="462" t="s">
        <v>402</v>
      </c>
      <c r="H203" s="462" t="s">
        <v>67</v>
      </c>
      <c r="I203" s="439" t="s">
        <v>68</v>
      </c>
      <c r="J203" s="430" t="s">
        <v>101</v>
      </c>
      <c r="K203" s="430"/>
      <c r="L203" s="430"/>
      <c r="M203" s="430" t="s">
        <v>68</v>
      </c>
      <c r="N203" s="432">
        <v>46045</v>
      </c>
      <c r="O203" s="430" t="s">
        <v>70</v>
      </c>
      <c r="P203" s="430" t="s">
        <v>102</v>
      </c>
      <c r="Q203" s="430" t="s">
        <v>103</v>
      </c>
      <c r="R203" s="431" t="str">
        <f>_xlfn.XLOOKUP(PV_DATA[[#This Row],[New Ark SKU]],Table9[New Ark SKU],Table9[Connector],,0)</f>
        <v>EVO2A</v>
      </c>
      <c r="S203" s="442" t="str">
        <f>_xlfn.XLOOKUP(PV_DATA[[#This Row],[New Ark SKU]],Table9[New Ark SKU],Table9[Cable],,0)</f>
        <v>±1200mm</v>
      </c>
      <c r="T203" s="433">
        <v>620</v>
      </c>
      <c r="U203" s="1062">
        <f>7*720</f>
        <v>5040</v>
      </c>
      <c r="V203" s="434">
        <f>PV_DATA[[#This Row],[QUANTITY]]*PV_DATA[[#This Row],[WATT]]/1000000</f>
        <v>3.1248</v>
      </c>
      <c r="W203" s="435">
        <f>PV_DATA[[#This Row],[QUANTITY]]/PV_DATA[[#This Row],[Qty/Pallet]]</f>
        <v>140</v>
      </c>
      <c r="X203" s="1015">
        <f>PV_DATA[[#This Row],[QUANTITY]]/PV_DATA[[#This Row],[Qty/CT]]</f>
        <v>7</v>
      </c>
      <c r="Y203" s="430" t="s">
        <v>75</v>
      </c>
      <c r="Z203" s="430" t="str">
        <f t="shared" si="0"/>
        <v>COMPLETED</v>
      </c>
      <c r="AA203" s="430"/>
      <c r="AB203" s="437">
        <v>46061</v>
      </c>
      <c r="AC203" s="438">
        <f>IF(PV_DATA[[#This Row],[Pick-Up Date]]&lt;&gt;"",_xlfn.ISOWEEKNUM(PV_DATA[[#This Row],[Pick-Up Date]]),"")</f>
        <v>6</v>
      </c>
      <c r="AD203" s="439" t="s">
        <v>1057</v>
      </c>
      <c r="AE203" s="430"/>
      <c r="AF203" s="430" t="s">
        <v>122</v>
      </c>
      <c r="AG203" s="430" t="s">
        <v>123</v>
      </c>
      <c r="AH203" s="430" t="s">
        <v>105</v>
      </c>
      <c r="AI203" s="437">
        <v>46067</v>
      </c>
      <c r="AJ203" s="437">
        <v>46087</v>
      </c>
      <c r="AK203" s="441">
        <v>46086</v>
      </c>
      <c r="AL203" s="437">
        <v>46108</v>
      </c>
      <c r="AM203" s="437">
        <v>46133</v>
      </c>
      <c r="AN203" s="437">
        <v>46133</v>
      </c>
      <c r="AO203" s="430" t="s">
        <v>402</v>
      </c>
      <c r="AP203" s="430" t="s">
        <v>829</v>
      </c>
      <c r="AQ203" s="430" t="s">
        <v>80</v>
      </c>
      <c r="AR203" s="430" t="s">
        <v>830</v>
      </c>
      <c r="AS203" s="430" t="s">
        <v>831</v>
      </c>
      <c r="AT203" s="482" t="s">
        <v>831</v>
      </c>
      <c r="AU20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203" s="437" cm="1">
        <f t="array" ref="AW20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46133</v>
      </c>
      <c r="AX20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03" s="437">
        <f>IF(ISERROR(PV_DATA[[#This Row],[New Ark PO status]]),"",_xlfn.XLOOKUP(PV_DATA[[#This Row],[SPTN-PVHK New Ark PO'#]],New_Ark_Data[Purchase order Number],New_Ark_Data[Estimated time of arrival],"",0))</f>
        <v>46147</v>
      </c>
      <c r="AZ20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03" s="437">
        <f>IFERROR(PV_DATA[[#This Row],[ODP ETA Port]]+PV_DATA[[#This Row],[Customs/Leg3 Assumption]],"n/a")</f>
        <v>46140</v>
      </c>
      <c r="BB203" s="433">
        <f>YEAR(PV_DATA[[#This Row],[ETA for New Ark update]])</f>
        <v>2026</v>
      </c>
      <c r="BC203" s="430">
        <f>MONTH(PV_DATA[[#This Row],[ETA for New Ark update]])</f>
        <v>4</v>
      </c>
      <c r="BD203" s="430">
        <f>IFERROR(_xlfn.ISOWEEKNUM(PV_DATA[[#This Row],[ETA for New Ark update]]),0)</f>
        <v>18</v>
      </c>
      <c r="BE203" s="431">
        <f>_xlfn.XLOOKUP(PV_DATA[[#This Row],[New Ark SKU]],Table9[New Ark SKU],Table9[Total PCS per Pallet],,0)</f>
        <v>36</v>
      </c>
      <c r="BF203" s="431">
        <f>_xlfn.XLOOKUP(PV_DATA[[#This Row],[New Ark SKU]],Table9[New Ark SKU],Table9[Total PCS per 40HQ Container],,0)</f>
        <v>720</v>
      </c>
      <c r="BG203" s="431" t="str">
        <f>_xlfn.XLOOKUP(PV_DATA[[#This Row],[New Ark SKU]],Table9[New Ark SKU],Table9[Back Glass],,0)</f>
        <v>White glazing</v>
      </c>
      <c r="BH203" s="431" t="str">
        <f>_xlfn.XLOOKUP(PV_DATA[[#This Row],[PORT DESTINATION]],Table12[PORT DESTINATION],Table12[Cosco Line],,0)</f>
        <v>AEU</v>
      </c>
      <c r="BJ203" s="430"/>
    </row>
    <row r="204" spans="1:62" ht="10.5" hidden="1">
      <c r="A204" s="462" t="s">
        <v>1058</v>
      </c>
      <c r="B204" s="462" t="s">
        <v>111</v>
      </c>
      <c r="C204" s="462" t="str">
        <f>IFERROR(LEFT(PV_DATA[[#This Row],[TCL REFERENCE]],FIND(".",PV_DATA[[#This Row],[TCL REFERENCE]],1)-1),"Main Line")</f>
        <v>26Feb015</v>
      </c>
      <c r="D204" s="462" t="s">
        <v>63</v>
      </c>
      <c r="E204" s="462" t="s">
        <v>64</v>
      </c>
      <c r="F204" s="462" t="str" cm="1">
        <f t="array" ref="F20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04" s="462" t="s">
        <v>402</v>
      </c>
      <c r="H204" s="462" t="s">
        <v>67</v>
      </c>
      <c r="I204" s="439" t="s">
        <v>68</v>
      </c>
      <c r="J204" s="430" t="s">
        <v>101</v>
      </c>
      <c r="K204" s="430"/>
      <c r="L204" s="430"/>
      <c r="M204" s="430" t="s">
        <v>68</v>
      </c>
      <c r="N204" s="432">
        <v>46048</v>
      </c>
      <c r="O204" s="430" t="s">
        <v>132</v>
      </c>
      <c r="P204" s="430" t="s">
        <v>133</v>
      </c>
      <c r="Q204" s="430" t="s">
        <v>134</v>
      </c>
      <c r="R204" s="431" t="str">
        <f>_xlfn.XLOOKUP(PV_DATA[[#This Row],[New Ark SKU]],Table9[New Ark SKU],Table9[Connector],,0)</f>
        <v>EVO2A</v>
      </c>
      <c r="S204" s="442" t="str">
        <f>_xlfn.XLOOKUP(PV_DATA[[#This Row],[New Ark SKU]],Table9[New Ark SKU],Table9[Cable],,0)</f>
        <v>±1400mm</v>
      </c>
      <c r="T204" s="433">
        <v>720</v>
      </c>
      <c r="U204" s="1062">
        <f>594*1</f>
        <v>594</v>
      </c>
      <c r="V204" s="434">
        <f>PV_DATA[[#This Row],[QUANTITY]]*PV_DATA[[#This Row],[WATT]]/1000000</f>
        <v>0.42768</v>
      </c>
      <c r="W204" s="435">
        <f>PV_DATA[[#This Row],[QUANTITY]]/PV_DATA[[#This Row],[Qty/Pallet]]</f>
        <v>18</v>
      </c>
      <c r="X204" s="1015">
        <f>PV_DATA[[#This Row],[QUANTITY]]/PV_DATA[[#This Row],[Qty/CT]]</f>
        <v>1</v>
      </c>
      <c r="Y204" s="430" t="s">
        <v>75</v>
      </c>
      <c r="Z204" s="430" t="str">
        <f t="shared" si="0"/>
        <v>COMPLETED</v>
      </c>
      <c r="AA204" s="430"/>
      <c r="AB204" s="437">
        <v>46061</v>
      </c>
      <c r="AC204" s="438">
        <f>IF(PV_DATA[[#This Row],[Pick-Up Date]]&lt;&gt;"",_xlfn.ISOWEEKNUM(PV_DATA[[#This Row],[Pick-Up Date]]),"")</f>
        <v>6</v>
      </c>
      <c r="AD204" s="439" t="s">
        <v>1059</v>
      </c>
      <c r="AE204" s="430"/>
      <c r="AF204" s="430" t="s">
        <v>122</v>
      </c>
      <c r="AG204" s="430" t="s">
        <v>123</v>
      </c>
      <c r="AH204" s="430" t="s">
        <v>105</v>
      </c>
      <c r="AI204" s="437">
        <v>46067</v>
      </c>
      <c r="AJ204" s="437">
        <v>46087</v>
      </c>
      <c r="AK204" s="441">
        <v>46086</v>
      </c>
      <c r="AL204" s="437">
        <v>46108</v>
      </c>
      <c r="AM204" s="437">
        <v>46133</v>
      </c>
      <c r="AN204" s="437">
        <v>46133</v>
      </c>
      <c r="AO204" s="430" t="s">
        <v>402</v>
      </c>
      <c r="AP204" s="430" t="s">
        <v>829</v>
      </c>
      <c r="AQ204" s="430" t="s">
        <v>80</v>
      </c>
      <c r="AR204" s="430" t="s">
        <v>830</v>
      </c>
      <c r="AS204" s="430" t="s">
        <v>831</v>
      </c>
      <c r="AT204" s="482" t="s">
        <v>831</v>
      </c>
      <c r="AU20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204" s="437" cm="1">
        <f t="array" ref="AW20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46133</v>
      </c>
      <c r="AX20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04" s="437">
        <f>IF(ISERROR(PV_DATA[[#This Row],[New Ark PO status]]),"",_xlfn.XLOOKUP(PV_DATA[[#This Row],[SPTN-PVHK New Ark PO'#]],New_Ark_Data[Purchase order Number],New_Ark_Data[Estimated time of arrival],"",0))</f>
        <v>46147</v>
      </c>
      <c r="AZ20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04" s="437">
        <f>IFERROR(PV_DATA[[#This Row],[ODP ETA Port]]+PV_DATA[[#This Row],[Customs/Leg3 Assumption]],"n/a")</f>
        <v>46140</v>
      </c>
      <c r="BB204" s="433">
        <f>YEAR(PV_DATA[[#This Row],[ETA for New Ark update]])</f>
        <v>2026</v>
      </c>
      <c r="BC204" s="430">
        <f>MONTH(PV_DATA[[#This Row],[ETA for New Ark update]])</f>
        <v>4</v>
      </c>
      <c r="BD204" s="430">
        <f>IFERROR(_xlfn.ISOWEEKNUM(PV_DATA[[#This Row],[ETA for New Ark update]]),0)</f>
        <v>18</v>
      </c>
      <c r="BE204" s="431">
        <f>_xlfn.XLOOKUP(PV_DATA[[#This Row],[New Ark SKU]],Table9[New Ark SKU],Table9[Total PCS per Pallet],,0)</f>
        <v>33</v>
      </c>
      <c r="BF204" s="431">
        <f>_xlfn.XLOOKUP(PV_DATA[[#This Row],[New Ark SKU]],Table9[New Ark SKU],Table9[Total PCS per 40HQ Container],,0)</f>
        <v>594</v>
      </c>
      <c r="BG204" s="431" t="str">
        <f>_xlfn.XLOOKUP(PV_DATA[[#This Row],[New Ark SKU]],Table9[New Ark SKU],Table9[Back Glass],,0)</f>
        <v>White glazing</v>
      </c>
      <c r="BH204" s="431" t="str">
        <f>_xlfn.XLOOKUP(PV_DATA[[#This Row],[PORT DESTINATION]],Table12[PORT DESTINATION],Table12[Cosco Line],,0)</f>
        <v>AEU</v>
      </c>
      <c r="BJ204" s="430"/>
    </row>
    <row r="205" spans="1:62" ht="10.5" hidden="1">
      <c r="A205" s="462" t="s">
        <v>1060</v>
      </c>
      <c r="B205" s="462" t="s">
        <v>111</v>
      </c>
      <c r="C205" s="462" t="str">
        <f>IFERROR(LEFT(PV_DATA[[#This Row],[TCL REFERENCE]],FIND(".",PV_DATA[[#This Row],[TCL REFERENCE]],1)-1),"Main Line")</f>
        <v>26Feb010</v>
      </c>
      <c r="D205" s="462" t="s">
        <v>63</v>
      </c>
      <c r="E205" s="462" t="s">
        <v>64</v>
      </c>
      <c r="F205" s="462" t="str" cm="1">
        <f t="array" ref="F20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05" s="462" t="s">
        <v>402</v>
      </c>
      <c r="H205" s="462" t="s">
        <v>67</v>
      </c>
      <c r="I205" s="439" t="s">
        <v>869</v>
      </c>
      <c r="J205" s="430" t="s">
        <v>101</v>
      </c>
      <c r="K205" s="430"/>
      <c r="L205" s="430"/>
      <c r="M205" s="430" t="s">
        <v>68</v>
      </c>
      <c r="N205" s="432">
        <v>46069</v>
      </c>
      <c r="O205" s="430" t="s">
        <v>132</v>
      </c>
      <c r="P205" s="430" t="s">
        <v>1062</v>
      </c>
      <c r="Q205" s="430" t="s">
        <v>1063</v>
      </c>
      <c r="R205" s="431" t="str">
        <f>_xlfn.XLOOKUP(PV_DATA[[#This Row],[New Ark SKU]],Table9[New Ark SKU],Table9[Connector],,0)</f>
        <v>EVO2A</v>
      </c>
      <c r="S205" s="442" t="str">
        <f>_xlfn.XLOOKUP(PV_DATA[[#This Row],[New Ark SKU]],Table9[New Ark SKU],Table9[Cable],,0)</f>
        <v>±1200mm</v>
      </c>
      <c r="T205" s="433">
        <v>470</v>
      </c>
      <c r="U205" s="1062">
        <v>3456</v>
      </c>
      <c r="V205" s="434">
        <f>PV_DATA[[#This Row],[QUANTITY]]*PV_DATA[[#This Row],[WATT]]/1000000</f>
        <v>1.62432</v>
      </c>
      <c r="W205" s="435">
        <f>PV_DATA[[#This Row],[QUANTITY]]/PV_DATA[[#This Row],[Qty/Pallet]]</f>
        <v>96</v>
      </c>
      <c r="X205" s="1015">
        <f>PV_DATA[[#This Row],[QUANTITY]]/PV_DATA[[#This Row],[Qty/CT]]</f>
        <v>4</v>
      </c>
      <c r="Y205" s="430" t="s">
        <v>75</v>
      </c>
      <c r="Z205" s="430" t="str">
        <f t="shared" si="0"/>
        <v>COMPLETED</v>
      </c>
      <c r="AA205" s="430"/>
      <c r="AB205" s="437">
        <v>46064</v>
      </c>
      <c r="AC205" s="438">
        <f>IF(PV_DATA[[#This Row],[Pick-Up Date]]&lt;&gt;"",_xlfn.ISOWEEKNUM(PV_DATA[[#This Row],[Pick-Up Date]]),"")</f>
        <v>7</v>
      </c>
      <c r="AD205" s="439" t="s">
        <v>1064</v>
      </c>
      <c r="AE205" s="430"/>
      <c r="AF205" s="430" t="s">
        <v>122</v>
      </c>
      <c r="AG205" s="430" t="s">
        <v>123</v>
      </c>
      <c r="AH205" s="430" t="s">
        <v>105</v>
      </c>
      <c r="AI205" s="437">
        <v>46071</v>
      </c>
      <c r="AJ205" s="437">
        <v>46075</v>
      </c>
      <c r="AK205" s="441">
        <v>46075</v>
      </c>
      <c r="AL205" s="437">
        <v>46106</v>
      </c>
      <c r="AM205" s="437">
        <v>46114</v>
      </c>
      <c r="AN205" s="437">
        <v>46116</v>
      </c>
      <c r="AO205" s="430" t="s">
        <v>402</v>
      </c>
      <c r="AP205" s="430" t="s">
        <v>1065</v>
      </c>
      <c r="AQ205" s="430" t="s">
        <v>80</v>
      </c>
      <c r="AR205" s="430" t="s">
        <v>1066</v>
      </c>
      <c r="AS205" s="430" t="s">
        <v>1067</v>
      </c>
      <c r="AT205" s="482" t="s">
        <v>1067</v>
      </c>
      <c r="AU20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W205" s="437" cm="1">
        <f t="array" ref="AW20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46116</v>
      </c>
      <c r="AX20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05" s="437">
        <f>IF(ISERROR(PV_DATA[[#This Row],[New Ark PO status]]),"",_xlfn.XLOOKUP(PV_DATA[[#This Row],[SPTN-PVHK New Ark PO'#]],New_Ark_Data[Purchase order Number],New_Ark_Data[Estimated time of arrival],"",0))</f>
        <v>46126</v>
      </c>
      <c r="AZ20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05" s="437">
        <f>IFERROR(PV_DATA[[#This Row],[ODP ETA Port]]+PV_DATA[[#This Row],[Customs/Leg3 Assumption]],"n/a")</f>
        <v>46123</v>
      </c>
      <c r="BB205" s="433">
        <f>YEAR(PV_DATA[[#This Row],[ETA for New Ark update]])</f>
        <v>2026</v>
      </c>
      <c r="BC205" s="430">
        <f>MONTH(PV_DATA[[#This Row],[ETA for New Ark update]])</f>
        <v>4</v>
      </c>
      <c r="BD205" s="430">
        <f>IFERROR(_xlfn.ISOWEEKNUM(PV_DATA[[#This Row],[ETA for New Ark update]]),0)</f>
        <v>15</v>
      </c>
      <c r="BE205" s="431">
        <f>_xlfn.XLOOKUP(PV_DATA[[#This Row],[New Ark SKU]],Table9[New Ark SKU],Table9[Total PCS per Pallet],,0)</f>
        <v>36</v>
      </c>
      <c r="BF205" s="431">
        <f>_xlfn.XLOOKUP(PV_DATA[[#This Row],[New Ark SKU]],Table9[New Ark SKU],Table9[Total PCS per 40HQ Container],,0)</f>
        <v>864</v>
      </c>
      <c r="BG205" s="431" t="str">
        <f>_xlfn.XLOOKUP(PV_DATA[[#This Row],[New Ark SKU]],Table9[New Ark SKU],Table9[Back Glass],,0)</f>
        <v>White glazing</v>
      </c>
      <c r="BH205" s="431" t="str">
        <f>_xlfn.XLOOKUP(PV_DATA[[#This Row],[PORT DESTINATION]],Table12[PORT DESTINATION],Table12[Cosco Line],,0)</f>
        <v>AEU</v>
      </c>
      <c r="BJ205" s="430"/>
    </row>
    <row r="206" spans="1:62" ht="10.5" hidden="1">
      <c r="A206" s="462" t="s">
        <v>1068</v>
      </c>
      <c r="B206" s="462" t="s">
        <v>111</v>
      </c>
      <c r="C206" s="462" t="str">
        <f>IFERROR(LEFT(PV_DATA[[#This Row],[TCL REFERENCE]],FIND(".",PV_DATA[[#This Row],[TCL REFERENCE]],1)-1),"Main Line")</f>
        <v>26Feb010</v>
      </c>
      <c r="D206" s="462" t="s">
        <v>63</v>
      </c>
      <c r="E206" s="462" t="s">
        <v>64</v>
      </c>
      <c r="F206" s="462" t="str" cm="1">
        <f t="array" ref="F20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206" s="462" t="s">
        <v>402</v>
      </c>
      <c r="H206" s="462" t="s">
        <v>451</v>
      </c>
      <c r="I206" s="439" t="s">
        <v>689</v>
      </c>
      <c r="J206" s="430" t="s">
        <v>812</v>
      </c>
      <c r="K206" s="430"/>
      <c r="L206" s="430"/>
      <c r="M206" s="430" t="s">
        <v>68</v>
      </c>
      <c r="N206" s="432">
        <v>46069</v>
      </c>
      <c r="O206" s="430" t="s">
        <v>132</v>
      </c>
      <c r="P206" s="430" t="s">
        <v>1062</v>
      </c>
      <c r="Q206" s="430" t="s">
        <v>1063</v>
      </c>
      <c r="R206" s="431" t="str">
        <f>_xlfn.XLOOKUP(PV_DATA[[#This Row],[New Ark SKU]],Table9[New Ark SKU],Table9[Connector],,0)</f>
        <v>EVO2A</v>
      </c>
      <c r="S206" s="442" t="str">
        <f>_xlfn.XLOOKUP(PV_DATA[[#This Row],[New Ark SKU]],Table9[New Ark SKU],Table9[Cable],,0)</f>
        <v>±1200mm</v>
      </c>
      <c r="T206" s="433">
        <v>470</v>
      </c>
      <c r="U206" s="1062">
        <v>864</v>
      </c>
      <c r="V206" s="434">
        <f>PV_DATA[[#This Row],[QUANTITY]]*PV_DATA[[#This Row],[WATT]]/1000000</f>
        <v>0.40608</v>
      </c>
      <c r="W206" s="435">
        <f>PV_DATA[[#This Row],[QUANTITY]]/PV_DATA[[#This Row],[Qty/Pallet]]</f>
        <v>24</v>
      </c>
      <c r="X206" s="1015">
        <f>PV_DATA[[#This Row],[QUANTITY]]/PV_DATA[[#This Row],[Qty/CT]]</f>
        <v>1</v>
      </c>
      <c r="Y206" s="430" t="s">
        <v>75</v>
      </c>
      <c r="Z206" s="430" t="str">
        <f t="shared" si="0"/>
        <v>COMPLETED</v>
      </c>
      <c r="AA206" s="430"/>
      <c r="AB206" s="437">
        <v>46064</v>
      </c>
      <c r="AC206" s="438">
        <f>IF(PV_DATA[[#This Row],[Pick-Up Date]]&lt;&gt;"",_xlfn.ISOWEEKNUM(PV_DATA[[#This Row],[Pick-Up Date]]),"")</f>
        <v>7</v>
      </c>
      <c r="AD206" s="439" t="s">
        <v>1069</v>
      </c>
      <c r="AE206" s="430"/>
      <c r="AF206" s="430" t="s">
        <v>122</v>
      </c>
      <c r="AG206" s="430" t="s">
        <v>123</v>
      </c>
      <c r="AH206" s="430" t="s">
        <v>456</v>
      </c>
      <c r="AI206" s="437">
        <v>46070</v>
      </c>
      <c r="AJ206" s="437">
        <v>46079</v>
      </c>
      <c r="AK206" s="441">
        <v>46079</v>
      </c>
      <c r="AL206" s="437">
        <v>46110</v>
      </c>
      <c r="AM206" s="437">
        <v>46124</v>
      </c>
      <c r="AN206" s="437">
        <v>46124</v>
      </c>
      <c r="AO206" s="430" t="s">
        <v>402</v>
      </c>
      <c r="AP206" s="430" t="s">
        <v>1035</v>
      </c>
      <c r="AQ206" s="430" t="s">
        <v>80</v>
      </c>
      <c r="AR206" s="430" t="s">
        <v>1070</v>
      </c>
      <c r="AS206" s="430" t="s">
        <v>1071</v>
      </c>
      <c r="AT206" s="482" t="s">
        <v>1071</v>
      </c>
      <c r="AU20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206" s="437" cm="1">
        <f t="array" ref="AW20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46124</v>
      </c>
      <c r="AX20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06" s="437">
        <f>IF(ISERROR(PV_DATA[[#This Row],[New Ark PO status]]),"",_xlfn.XLOOKUP(PV_DATA[[#This Row],[SPTN-PVHK New Ark PO'#]],New_Ark_Data[Purchase order Number],New_Ark_Data[Estimated time of arrival],"",0))</f>
        <v>46132</v>
      </c>
      <c r="AZ20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06" s="437">
        <f>IFERROR(PV_DATA[[#This Row],[ODP ETA Port]]+PV_DATA[[#This Row],[Customs/Leg3 Assumption]],"n/a")</f>
        <v>46131</v>
      </c>
      <c r="BB206" s="433">
        <f>YEAR(PV_DATA[[#This Row],[ETA for New Ark update]])</f>
        <v>2026</v>
      </c>
      <c r="BC206" s="430">
        <f>MONTH(PV_DATA[[#This Row],[ETA for New Ark update]])</f>
        <v>4</v>
      </c>
      <c r="BD206" s="430">
        <f>IFERROR(_xlfn.ISOWEEKNUM(PV_DATA[[#This Row],[ETA for New Ark update]]),0)</f>
        <v>16</v>
      </c>
      <c r="BE206" s="431">
        <f>_xlfn.XLOOKUP(PV_DATA[[#This Row],[New Ark SKU]],Table9[New Ark SKU],Table9[Total PCS per Pallet],,0)</f>
        <v>36</v>
      </c>
      <c r="BF206" s="431">
        <f>_xlfn.XLOOKUP(PV_DATA[[#This Row],[New Ark SKU]],Table9[New Ark SKU],Table9[Total PCS per 40HQ Container],,0)</f>
        <v>864</v>
      </c>
      <c r="BG206" s="431" t="str">
        <f>_xlfn.XLOOKUP(PV_DATA[[#This Row],[New Ark SKU]],Table9[New Ark SKU],Table9[Back Glass],,0)</f>
        <v>White glazing</v>
      </c>
      <c r="BH206" s="431" t="str">
        <f>_xlfn.XLOOKUP(PV_DATA[[#This Row],[PORT DESTINATION]],Table12[PORT DESTINATION],Table12[Cosco Line],,0)</f>
        <v>AEU</v>
      </c>
      <c r="BJ206" s="430"/>
    </row>
    <row r="207" spans="1:62" ht="10.5" hidden="1">
      <c r="A207" s="462" t="s">
        <v>1072</v>
      </c>
      <c r="B207" s="462" t="s">
        <v>61</v>
      </c>
      <c r="C207" s="462" t="str">
        <f>IFERROR(LEFT(PV_DATA[[#This Row],[TCL REFERENCE]],FIND(".",PV_DATA[[#This Row],[TCL REFERENCE]],1)-1),"Main Line")</f>
        <v>Main Line</v>
      </c>
      <c r="D207" s="462" t="s">
        <v>63</v>
      </c>
      <c r="E207" s="462" t="s">
        <v>144</v>
      </c>
      <c r="F207" s="462" t="str" cm="1">
        <f t="array" ref="F20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07" s="462" t="s">
        <v>402</v>
      </c>
      <c r="H207" s="462" t="s">
        <v>1029</v>
      </c>
      <c r="I207" s="439" t="s">
        <v>68</v>
      </c>
      <c r="J207" s="430" t="s">
        <v>1030</v>
      </c>
      <c r="K207" s="430" t="s">
        <v>1031</v>
      </c>
      <c r="L207" s="430"/>
      <c r="M207" s="430" t="s">
        <v>840</v>
      </c>
      <c r="N207" s="432">
        <v>46045</v>
      </c>
      <c r="O207" s="430" t="s">
        <v>1032</v>
      </c>
      <c r="P207" s="430" t="s">
        <v>885</v>
      </c>
      <c r="Q207" s="430" t="s">
        <v>886</v>
      </c>
      <c r="R207" s="431" t="str">
        <f>_xlfn.XLOOKUP(PV_DATA[[#This Row],[New Ark SKU]],Table9[New Ark SKU],Table9[Connector],,0)</f>
        <v>EVO2A</v>
      </c>
      <c r="S207" s="442" t="str">
        <f>_xlfn.XLOOKUP(PV_DATA[[#This Row],[New Ark SKU]],Table9[New Ark SKU],Table9[Cable],,0)</f>
        <v>±1400mm</v>
      </c>
      <c r="T207" s="433">
        <v>615</v>
      </c>
      <c r="U207" s="1062">
        <v>144</v>
      </c>
      <c r="V207" s="434">
        <f>PV_DATA[[#This Row],[QUANTITY]]*PV_DATA[[#This Row],[WATT]]/1000000</f>
        <v>8.856E-2</v>
      </c>
      <c r="W207" s="435">
        <f>PV_DATA[[#This Row],[QUANTITY]]/PV_DATA[[#This Row],[Qty/Pallet]]</f>
        <v>4</v>
      </c>
      <c r="X207" s="1015">
        <f>PV_DATA[[#This Row],[QUANTITY]]/PV_DATA[[#This Row],[Qty/CT]]</f>
        <v>0.2</v>
      </c>
      <c r="Y207" s="430" t="s">
        <v>75</v>
      </c>
      <c r="Z207" s="430" t="str">
        <f t="shared" si="0"/>
        <v>COMPLETED</v>
      </c>
      <c r="AA207" s="430"/>
      <c r="AB207" s="437">
        <v>46062</v>
      </c>
      <c r="AC207" s="438">
        <f>IF(PV_DATA[[#This Row],[Pick-Up Date]]&lt;&gt;"",_xlfn.ISOWEEKNUM(PV_DATA[[#This Row],[Pick-Up Date]]),"")</f>
        <v>7</v>
      </c>
      <c r="AD207" s="439" t="s">
        <v>1073</v>
      </c>
      <c r="AE207" s="430"/>
      <c r="AF207" s="430" t="s">
        <v>77</v>
      </c>
      <c r="AG207" s="430" t="s">
        <v>61</v>
      </c>
      <c r="AH207" s="430" t="s">
        <v>888</v>
      </c>
      <c r="AI207" s="437">
        <v>46080</v>
      </c>
      <c r="AJ207" s="437">
        <v>46081</v>
      </c>
      <c r="AK207" s="441">
        <v>46081</v>
      </c>
      <c r="AL207" s="437">
        <v>46141</v>
      </c>
      <c r="AM207" s="437">
        <v>46148</v>
      </c>
      <c r="AN207" s="437">
        <v>46147</v>
      </c>
      <c r="AO207" s="430" t="s">
        <v>402</v>
      </c>
      <c r="AP207" s="430" t="s">
        <v>850</v>
      </c>
      <c r="AQ207" s="430" t="s">
        <v>80</v>
      </c>
      <c r="AR207" s="430" t="s">
        <v>1074</v>
      </c>
      <c r="AS207" s="430" t="s">
        <v>1075</v>
      </c>
      <c r="AT207" s="482" t="s">
        <v>1075</v>
      </c>
      <c r="AU20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66</v>
      </c>
      <c r="AW207" s="437" cm="1">
        <f t="array" ref="AW20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46147</v>
      </c>
      <c r="AX20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07" s="437">
        <f>IF(ISERROR(PV_DATA[[#This Row],[New Ark PO status]]),"",_xlfn.XLOOKUP(PV_DATA[[#This Row],[SPTN-PVHK New Ark PO'#]],New_Ark_Data[Purchase order Number],New_Ark_Data[Estimated time of arrival],"",0))</f>
        <v>46155</v>
      </c>
      <c r="AZ207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07" s="437">
        <f>IFERROR(PV_DATA[[#This Row],[ODP ETA Port]]+PV_DATA[[#This Row],[Customs/Leg3 Assumption]],"n/a")</f>
        <v>46147</v>
      </c>
      <c r="BB207" s="433">
        <f>YEAR(PV_DATA[[#This Row],[ETA for New Ark update]])</f>
        <v>2026</v>
      </c>
      <c r="BC207" s="430">
        <f>MONTH(PV_DATA[[#This Row],[ETA for New Ark update]])</f>
        <v>5</v>
      </c>
      <c r="BD207" s="430">
        <f>IFERROR(_xlfn.ISOWEEKNUM(PV_DATA[[#This Row],[ETA for New Ark update]]),0)</f>
        <v>19</v>
      </c>
      <c r="BE207" s="431">
        <f>_xlfn.XLOOKUP(PV_DATA[[#This Row],[New Ark SKU]],Table9[New Ark SKU],Table9[Total PCS per Pallet],,0)</f>
        <v>36</v>
      </c>
      <c r="BF207" s="431">
        <f>_xlfn.XLOOKUP(PV_DATA[[#This Row],[New Ark SKU]],Table9[New Ark SKU],Table9[Total PCS per 40HQ Container],,0)</f>
        <v>720</v>
      </c>
      <c r="BG207" s="431" t="str">
        <f>_xlfn.XLOOKUP(PV_DATA[[#This Row],[New Ark SKU]],Table9[New Ark SKU],Table9[Back Glass],,0)</f>
        <v>White glazing</v>
      </c>
      <c r="BH207" s="431" t="str">
        <f>_xlfn.XLOOKUP(PV_DATA[[#This Row],[PORT DESTINATION]],Table12[PORT DESTINATION],Table12[Cosco Line],,0)</f>
        <v>AEU</v>
      </c>
      <c r="BJ207" s="430"/>
    </row>
    <row r="208" spans="1:62" ht="10.5" hidden="1">
      <c r="A208" s="462" t="s">
        <v>1076</v>
      </c>
      <c r="B208" s="462" t="s">
        <v>61</v>
      </c>
      <c r="C208" s="462" t="str">
        <f>IFERROR(LEFT(PV_DATA[[#This Row],[TCL REFERENCE]],FIND(".",PV_DATA[[#This Row],[TCL REFERENCE]],1)-1),"Main Line")</f>
        <v>Main Line</v>
      </c>
      <c r="D208" s="462" t="s">
        <v>63</v>
      </c>
      <c r="E208" s="462" t="s">
        <v>144</v>
      </c>
      <c r="F208" s="462" t="str" cm="1">
        <f t="array" ref="F20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08" s="462" t="s">
        <v>402</v>
      </c>
      <c r="H208" s="462" t="s">
        <v>1029</v>
      </c>
      <c r="I208" s="439" t="s">
        <v>68</v>
      </c>
      <c r="J208" s="430" t="s">
        <v>1030</v>
      </c>
      <c r="K208" s="430" t="s">
        <v>1031</v>
      </c>
      <c r="L208" s="430"/>
      <c r="M208" s="430" t="s">
        <v>840</v>
      </c>
      <c r="N208" s="432">
        <v>46045</v>
      </c>
      <c r="O208" s="430" t="s">
        <v>1032</v>
      </c>
      <c r="P208" s="430" t="s">
        <v>1077</v>
      </c>
      <c r="Q208" s="430" t="s">
        <v>103</v>
      </c>
      <c r="R208" s="431" t="str">
        <f>_xlfn.XLOOKUP(PV_DATA[[#This Row],[New Ark SKU]],Table9[New Ark SKU],Table9[Connector],,0)</f>
        <v>EVO2A</v>
      </c>
      <c r="S208" s="442" t="str">
        <f>_xlfn.XLOOKUP(PV_DATA[[#This Row],[New Ark SKU]],Table9[New Ark SKU],Table9[Cable],,0)</f>
        <v>±1400mm</v>
      </c>
      <c r="T208" s="433">
        <v>620</v>
      </c>
      <c r="U208" s="1062">
        <v>2736</v>
      </c>
      <c r="V208" s="434">
        <f>PV_DATA[[#This Row],[QUANTITY]]*PV_DATA[[#This Row],[WATT]]/1000000</f>
        <v>1.6963200000000001</v>
      </c>
      <c r="W208" s="435">
        <f>PV_DATA[[#This Row],[QUANTITY]]/PV_DATA[[#This Row],[Qty/Pallet]]</f>
        <v>76</v>
      </c>
      <c r="X208" s="1015">
        <f>PV_DATA[[#This Row],[QUANTITY]]/PV_DATA[[#This Row],[Qty/CT]]</f>
        <v>3.8</v>
      </c>
      <c r="Y208" s="430" t="s">
        <v>75</v>
      </c>
      <c r="Z208" s="430" t="str">
        <f t="shared" si="0"/>
        <v>COMPLETED</v>
      </c>
      <c r="AA208" s="430"/>
      <c r="AB208" s="437">
        <v>46062</v>
      </c>
      <c r="AC208" s="438">
        <f>IF(PV_DATA[[#This Row],[Pick-Up Date]]&lt;&gt;"",_xlfn.ISOWEEKNUM(PV_DATA[[#This Row],[Pick-Up Date]]),"")</f>
        <v>7</v>
      </c>
      <c r="AD208" s="439" t="s">
        <v>1078</v>
      </c>
      <c r="AE208" s="430"/>
      <c r="AF208" s="430" t="s">
        <v>77</v>
      </c>
      <c r="AG208" s="430" t="s">
        <v>61</v>
      </c>
      <c r="AH208" s="430" t="s">
        <v>888</v>
      </c>
      <c r="AI208" s="437">
        <v>46080</v>
      </c>
      <c r="AJ208" s="437">
        <v>46081</v>
      </c>
      <c r="AK208" s="441">
        <v>46081</v>
      </c>
      <c r="AL208" s="437">
        <v>46141</v>
      </c>
      <c r="AM208" s="437">
        <v>46148</v>
      </c>
      <c r="AN208" s="437">
        <v>46147</v>
      </c>
      <c r="AO208" s="430" t="s">
        <v>402</v>
      </c>
      <c r="AP208" s="430" t="s">
        <v>850</v>
      </c>
      <c r="AQ208" s="430" t="s">
        <v>80</v>
      </c>
      <c r="AR208" s="430" t="s">
        <v>1074</v>
      </c>
      <c r="AS208" s="430" t="s">
        <v>1075</v>
      </c>
      <c r="AT208" s="482" t="s">
        <v>1075</v>
      </c>
      <c r="AU20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66</v>
      </c>
      <c r="AW208" s="437" cm="1">
        <f t="array" ref="AW20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46147</v>
      </c>
      <c r="AX20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08" s="437">
        <f>IF(ISERROR(PV_DATA[[#This Row],[New Ark PO status]]),"",_xlfn.XLOOKUP(PV_DATA[[#This Row],[SPTN-PVHK New Ark PO'#]],New_Ark_Data[Purchase order Number],New_Ark_Data[Estimated time of arrival],"",0))</f>
        <v>46155</v>
      </c>
      <c r="AZ208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08" s="437">
        <f>IFERROR(PV_DATA[[#This Row],[ODP ETA Port]]+PV_DATA[[#This Row],[Customs/Leg3 Assumption]],"n/a")</f>
        <v>46147</v>
      </c>
      <c r="BB208" s="433">
        <f>YEAR(PV_DATA[[#This Row],[ETA for New Ark update]])</f>
        <v>2026</v>
      </c>
      <c r="BC208" s="430">
        <f>MONTH(PV_DATA[[#This Row],[ETA for New Ark update]])</f>
        <v>5</v>
      </c>
      <c r="BD208" s="430">
        <f>IFERROR(_xlfn.ISOWEEKNUM(PV_DATA[[#This Row],[ETA for New Ark update]]),0)</f>
        <v>19</v>
      </c>
      <c r="BE208" s="431">
        <f>_xlfn.XLOOKUP(PV_DATA[[#This Row],[New Ark SKU]],Table9[New Ark SKU],Table9[Total PCS per Pallet],,0)</f>
        <v>36</v>
      </c>
      <c r="BF208" s="431">
        <f>_xlfn.XLOOKUP(PV_DATA[[#This Row],[New Ark SKU]],Table9[New Ark SKU],Table9[Total PCS per 40HQ Container],,0)</f>
        <v>720</v>
      </c>
      <c r="BG208" s="431" t="str">
        <f>_xlfn.XLOOKUP(PV_DATA[[#This Row],[New Ark SKU]],Table9[New Ark SKU],Table9[Back Glass],,0)</f>
        <v>White glazing</v>
      </c>
      <c r="BH208" s="431" t="str">
        <f>_xlfn.XLOOKUP(PV_DATA[[#This Row],[PORT DESTINATION]],Table12[PORT DESTINATION],Table12[Cosco Line],,0)</f>
        <v>AEU</v>
      </c>
      <c r="BJ208" s="430"/>
    </row>
    <row r="209" spans="1:62" ht="10.5" hidden="1">
      <c r="A209" s="462" t="s">
        <v>1079</v>
      </c>
      <c r="B209" s="462" t="s">
        <v>61</v>
      </c>
      <c r="C209" s="462" t="str">
        <f>IFERROR(LEFT(PV_DATA[[#This Row],[TCL REFERENCE]],FIND(".",PV_DATA[[#This Row],[TCL REFERENCE]],1)-1),"Main Line")</f>
        <v>26Feb018</v>
      </c>
      <c r="D209" s="462" t="s">
        <v>63</v>
      </c>
      <c r="E209" s="462" t="s">
        <v>144</v>
      </c>
      <c r="F209" s="462" t="str" cm="1">
        <f t="array" ref="F20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09" s="462" t="s">
        <v>402</v>
      </c>
      <c r="H209" s="462" t="s">
        <v>1080</v>
      </c>
      <c r="I209" s="439" t="s">
        <v>882</v>
      </c>
      <c r="J209" s="430" t="s">
        <v>1081</v>
      </c>
      <c r="K209" s="430" t="s">
        <v>1082</v>
      </c>
      <c r="L209" s="430"/>
      <c r="M209" s="430" t="s">
        <v>840</v>
      </c>
      <c r="N209" s="432">
        <v>46055</v>
      </c>
      <c r="O209" s="430" t="s">
        <v>70</v>
      </c>
      <c r="P209" s="430" t="s">
        <v>965</v>
      </c>
      <c r="Q209" s="430" t="s">
        <v>966</v>
      </c>
      <c r="R209" s="431" t="str">
        <f>_xlfn.XLOOKUP(PV_DATA[[#This Row],[New Ark SKU]],Table9[New Ark SKU],Table9[Connector],,0)</f>
        <v>EVO2A</v>
      </c>
      <c r="S209" s="442" t="str">
        <f>_xlfn.XLOOKUP(PV_DATA[[#This Row],[New Ark SKU]],Table9[New Ark SKU],Table9[Cable],,0)</f>
        <v>±1200mm</v>
      </c>
      <c r="T209" s="433">
        <v>455</v>
      </c>
      <c r="U209" s="1062">
        <f>2*936</f>
        <v>1872</v>
      </c>
      <c r="V209" s="434">
        <f>PV_DATA[[#This Row],[QUANTITY]]*PV_DATA[[#This Row],[WATT]]/1000000</f>
        <v>0.85175999999999996</v>
      </c>
      <c r="W209" s="435">
        <f>PV_DATA[[#This Row],[QUANTITY]]/PV_DATA[[#This Row],[Qty/Pallet]]</f>
        <v>52</v>
      </c>
      <c r="X209" s="1015">
        <f>PV_DATA[[#This Row],[QUANTITY]]/PV_DATA[[#This Row],[Qty/CT]]</f>
        <v>2</v>
      </c>
      <c r="Y209" s="430" t="s">
        <v>75</v>
      </c>
      <c r="Z209" s="430" t="str">
        <f t="shared" si="0"/>
        <v>COMPLETED</v>
      </c>
      <c r="AA209" s="430"/>
      <c r="AB209" s="437">
        <v>46061</v>
      </c>
      <c r="AC209" s="438">
        <f>IF(PV_DATA[[#This Row],[Pick-Up Date]]&lt;&gt;"",_xlfn.ISOWEEKNUM(PV_DATA[[#This Row],[Pick-Up Date]]),"")</f>
        <v>6</v>
      </c>
      <c r="AD209" s="439" t="s">
        <v>1083</v>
      </c>
      <c r="AE209" s="430"/>
      <c r="AF209" s="430" t="s">
        <v>77</v>
      </c>
      <c r="AG209" s="430" t="s">
        <v>61</v>
      </c>
      <c r="AH209" s="430" t="s">
        <v>1084</v>
      </c>
      <c r="AI209" s="437">
        <v>46070</v>
      </c>
      <c r="AJ209" s="437">
        <v>46071</v>
      </c>
      <c r="AK209" s="441">
        <v>46071</v>
      </c>
      <c r="AL209" s="437">
        <v>46131</v>
      </c>
      <c r="AM209" s="437">
        <v>46138</v>
      </c>
      <c r="AN209" s="437">
        <v>46139</v>
      </c>
      <c r="AO209" s="430" t="s">
        <v>402</v>
      </c>
      <c r="AP209" s="430" t="s">
        <v>1085</v>
      </c>
      <c r="AQ209" s="430" t="s">
        <v>161</v>
      </c>
      <c r="AR209" s="430" t="s">
        <v>1086</v>
      </c>
      <c r="AS209" s="430" t="s">
        <v>1087</v>
      </c>
      <c r="AT209" s="482" t="s">
        <v>1087</v>
      </c>
      <c r="AU20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68</v>
      </c>
      <c r="AW209" s="437" cm="1">
        <f t="array" ref="AW20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46139</v>
      </c>
      <c r="AX20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09" s="437">
        <f>IF(ISERROR(PV_DATA[[#This Row],[New Ark PO status]]),"",_xlfn.XLOOKUP(PV_DATA[[#This Row],[SPTN-PVHK New Ark PO'#]],New_Ark_Data[Purchase order Number],New_Ark_Data[Estimated time of arrival],"",0))</f>
        <v>46153</v>
      </c>
      <c r="AZ209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09" s="437">
        <f>IFERROR(PV_DATA[[#This Row],[ODP ETA Port]]+PV_DATA[[#This Row],[Customs/Leg3 Assumption]],"n/a")</f>
        <v>46139</v>
      </c>
      <c r="BB209" s="433">
        <f>YEAR(PV_DATA[[#This Row],[ETA for New Ark update]])</f>
        <v>2026</v>
      </c>
      <c r="BC209" s="430">
        <f>MONTH(PV_DATA[[#This Row],[ETA for New Ark update]])</f>
        <v>4</v>
      </c>
      <c r="BD209" s="430">
        <f>IFERROR(_xlfn.ISOWEEKNUM(PV_DATA[[#This Row],[ETA for New Ark update]]),0)</f>
        <v>18</v>
      </c>
      <c r="BE209" s="431">
        <f>_xlfn.XLOOKUP(PV_DATA[[#This Row],[New Ark SKU]],Table9[New Ark SKU],Table9[Total PCS per Pallet],,0)</f>
        <v>36</v>
      </c>
      <c r="BF209" s="431">
        <f>_xlfn.XLOOKUP(PV_DATA[[#This Row],[New Ark SKU]],Table9[New Ark SKU],Table9[Total PCS per 40HQ Container],,0)</f>
        <v>936</v>
      </c>
      <c r="BG209" s="431" t="str">
        <f>_xlfn.XLOOKUP(PV_DATA[[#This Row],[New Ark SKU]],Table9[New Ark SKU],Table9[Back Glass],,0)</f>
        <v>Black glazing</v>
      </c>
      <c r="BH209" s="431" t="str">
        <f>_xlfn.XLOOKUP(PV_DATA[[#This Row],[PORT DESTINATION]],Table12[PORT DESTINATION],Table12[Cosco Line],,0)</f>
        <v>AEU</v>
      </c>
      <c r="BJ209" s="430"/>
    </row>
    <row r="210" spans="1:62" ht="10.5" hidden="1">
      <c r="A210" s="462" t="s">
        <v>1088</v>
      </c>
      <c r="B210" s="462" t="s">
        <v>61</v>
      </c>
      <c r="C210" s="462" t="str">
        <f>IFERROR(LEFT(PV_DATA[[#This Row],[TCL REFERENCE]],FIND(".",PV_DATA[[#This Row],[TCL REFERENCE]],1)-1),"Main Line")</f>
        <v>26Feb018</v>
      </c>
      <c r="D210" s="462" t="s">
        <v>63</v>
      </c>
      <c r="E210" s="462" t="s">
        <v>144</v>
      </c>
      <c r="F210" s="462" t="str" cm="1">
        <f t="array" ref="F21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10" s="462" t="s">
        <v>402</v>
      </c>
      <c r="H210" s="462" t="s">
        <v>1080</v>
      </c>
      <c r="I210" s="439" t="s">
        <v>882</v>
      </c>
      <c r="J210" s="430" t="s">
        <v>1081</v>
      </c>
      <c r="K210" s="430" t="s">
        <v>1082</v>
      </c>
      <c r="L210" s="430"/>
      <c r="M210" s="430" t="s">
        <v>840</v>
      </c>
      <c r="N210" s="432">
        <v>46055</v>
      </c>
      <c r="O210" s="430" t="s">
        <v>70</v>
      </c>
      <c r="P210" s="430" t="s">
        <v>965</v>
      </c>
      <c r="Q210" s="430" t="s">
        <v>966</v>
      </c>
      <c r="R210" s="431" t="str">
        <f>_xlfn.XLOOKUP(PV_DATA[[#This Row],[New Ark SKU]],Table9[New Ark SKU],Table9[Connector],,0)</f>
        <v>EVO2A</v>
      </c>
      <c r="S210" s="442" t="str">
        <f>_xlfn.XLOOKUP(PV_DATA[[#This Row],[New Ark SKU]],Table9[New Ark SKU],Table9[Cable],,0)</f>
        <v>±1200mm</v>
      </c>
      <c r="T210" s="433">
        <v>455</v>
      </c>
      <c r="U210" s="1062">
        <f>2*936</f>
        <v>1872</v>
      </c>
      <c r="V210" s="434">
        <f>PV_DATA[[#This Row],[QUANTITY]]*PV_DATA[[#This Row],[WATT]]/1000000</f>
        <v>0.85175999999999996</v>
      </c>
      <c r="W210" s="435">
        <f>PV_DATA[[#This Row],[QUANTITY]]/PV_DATA[[#This Row],[Qty/Pallet]]</f>
        <v>52</v>
      </c>
      <c r="X210" s="1015">
        <f>PV_DATA[[#This Row],[QUANTITY]]/PV_DATA[[#This Row],[Qty/CT]]</f>
        <v>2</v>
      </c>
      <c r="Y210" s="430" t="s">
        <v>75</v>
      </c>
      <c r="Z210" s="430" t="str">
        <f t="shared" si="0"/>
        <v>COMPLETED</v>
      </c>
      <c r="AA210" s="430"/>
      <c r="AB210" s="437">
        <v>46061</v>
      </c>
      <c r="AC210" s="438">
        <f>IF(PV_DATA[[#This Row],[Pick-Up Date]]&lt;&gt;"",_xlfn.ISOWEEKNUM(PV_DATA[[#This Row],[Pick-Up Date]]),"")</f>
        <v>6</v>
      </c>
      <c r="AD210" s="439" t="s">
        <v>1089</v>
      </c>
      <c r="AE210" s="430"/>
      <c r="AF210" s="430" t="s">
        <v>77</v>
      </c>
      <c r="AG210" s="430" t="s">
        <v>61</v>
      </c>
      <c r="AH210" s="430" t="s">
        <v>1084</v>
      </c>
      <c r="AI210" s="437">
        <v>46070</v>
      </c>
      <c r="AJ210" s="437">
        <v>46071</v>
      </c>
      <c r="AK210" s="441">
        <v>46071</v>
      </c>
      <c r="AL210" s="437">
        <v>46131</v>
      </c>
      <c r="AM210" s="437">
        <v>46138</v>
      </c>
      <c r="AN210" s="437">
        <v>46139</v>
      </c>
      <c r="AO210" s="430" t="s">
        <v>402</v>
      </c>
      <c r="AP210" s="430" t="s">
        <v>1085</v>
      </c>
      <c r="AQ210" s="430" t="s">
        <v>161</v>
      </c>
      <c r="AR210" s="430" t="s">
        <v>1086</v>
      </c>
      <c r="AS210" s="430" t="s">
        <v>1087</v>
      </c>
      <c r="AT210" s="482" t="s">
        <v>1087</v>
      </c>
      <c r="AU21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68</v>
      </c>
      <c r="AW210" s="437" cm="1">
        <f t="array" ref="AW21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46139</v>
      </c>
      <c r="AX21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10" s="437">
        <f>IF(ISERROR(PV_DATA[[#This Row],[New Ark PO status]]),"",_xlfn.XLOOKUP(PV_DATA[[#This Row],[SPTN-PVHK New Ark PO'#]],New_Ark_Data[Purchase order Number],New_Ark_Data[Estimated time of arrival],"",0))</f>
        <v>46153</v>
      </c>
      <c r="AZ210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10" s="437">
        <f>IFERROR(PV_DATA[[#This Row],[ODP ETA Port]]+PV_DATA[[#This Row],[Customs/Leg3 Assumption]],"n/a")</f>
        <v>46139</v>
      </c>
      <c r="BB210" s="433">
        <f>YEAR(PV_DATA[[#This Row],[ETA for New Ark update]])</f>
        <v>2026</v>
      </c>
      <c r="BC210" s="430">
        <f>MONTH(PV_DATA[[#This Row],[ETA for New Ark update]])</f>
        <v>4</v>
      </c>
      <c r="BD210" s="430">
        <f>IFERROR(_xlfn.ISOWEEKNUM(PV_DATA[[#This Row],[ETA for New Ark update]]),0)</f>
        <v>18</v>
      </c>
      <c r="BE210" s="431">
        <f>_xlfn.XLOOKUP(PV_DATA[[#This Row],[New Ark SKU]],Table9[New Ark SKU],Table9[Total PCS per Pallet],,0)</f>
        <v>36</v>
      </c>
      <c r="BF210" s="431">
        <f>_xlfn.XLOOKUP(PV_DATA[[#This Row],[New Ark SKU]],Table9[New Ark SKU],Table9[Total PCS per 40HQ Container],,0)</f>
        <v>936</v>
      </c>
      <c r="BG210" s="431" t="str">
        <f>_xlfn.XLOOKUP(PV_DATA[[#This Row],[New Ark SKU]],Table9[New Ark SKU],Table9[Back Glass],,0)</f>
        <v>Black glazing</v>
      </c>
      <c r="BH210" s="431" t="str">
        <f>_xlfn.XLOOKUP(PV_DATA[[#This Row],[PORT DESTINATION]],Table12[PORT DESTINATION],Table12[Cosco Line],,0)</f>
        <v>AEU</v>
      </c>
      <c r="BJ210" s="430"/>
    </row>
    <row r="211" spans="1:62" ht="10.5" hidden="1">
      <c r="A211" s="462" t="s">
        <v>1090</v>
      </c>
      <c r="B211" s="462" t="s">
        <v>111</v>
      </c>
      <c r="C211" s="462" t="str">
        <f>IFERROR(LEFT(PV_DATA[[#This Row],[TCL REFERENCE]],FIND(".",PV_DATA[[#This Row],[TCL REFERENCE]],1)-1),"Main Line")</f>
        <v>26Feb009</v>
      </c>
      <c r="D211" s="462" t="s">
        <v>63</v>
      </c>
      <c r="E211" s="462" t="s">
        <v>64</v>
      </c>
      <c r="F211" s="462" t="str" cm="1">
        <f t="array" ref="F21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11" s="462" t="s">
        <v>402</v>
      </c>
      <c r="H211" s="462" t="s">
        <v>67</v>
      </c>
      <c r="I211" s="439" t="s">
        <v>822</v>
      </c>
      <c r="J211" s="430" t="s">
        <v>293</v>
      </c>
      <c r="K211" s="430"/>
      <c r="L211" s="430"/>
      <c r="M211" s="430" t="s">
        <v>68</v>
      </c>
      <c r="N211" s="432">
        <v>46069</v>
      </c>
      <c r="O211" s="430" t="s">
        <v>132</v>
      </c>
      <c r="P211" s="430" t="s">
        <v>189</v>
      </c>
      <c r="Q211" s="430" t="s">
        <v>190</v>
      </c>
      <c r="R211" s="431" t="str">
        <f>_xlfn.XLOOKUP(PV_DATA[[#This Row],[New Ark SKU]],Table9[New Ark SKU],Table9[Connector],,0)</f>
        <v>EVO2A</v>
      </c>
      <c r="S211" s="442" t="str">
        <f>_xlfn.XLOOKUP(PV_DATA[[#This Row],[New Ark SKU]],Table9[New Ark SKU],Table9[Cable],,0)</f>
        <v>±1200mm</v>
      </c>
      <c r="T211" s="433">
        <v>465</v>
      </c>
      <c r="U211" s="1062">
        <f>864*5</f>
        <v>4320</v>
      </c>
      <c r="V211" s="434">
        <f>PV_DATA[[#This Row],[QUANTITY]]*PV_DATA[[#This Row],[WATT]]/1000000</f>
        <v>2.0087999999999999</v>
      </c>
      <c r="W211" s="435">
        <f>PV_DATA[[#This Row],[QUANTITY]]/PV_DATA[[#This Row],[Qty/Pallet]]</f>
        <v>120</v>
      </c>
      <c r="X211" s="1015">
        <f>PV_DATA[[#This Row],[QUANTITY]]/PV_DATA[[#This Row],[Qty/CT]]</f>
        <v>5</v>
      </c>
      <c r="Y211" s="430" t="s">
        <v>75</v>
      </c>
      <c r="Z211" s="430" t="str">
        <f t="shared" si="0"/>
        <v>COMPLETED</v>
      </c>
      <c r="AA211" s="430"/>
      <c r="AB211" s="437">
        <v>46073</v>
      </c>
      <c r="AC211" s="438">
        <f>IF(PV_DATA[[#This Row],[Pick-Up Date]]&lt;&gt;"",_xlfn.ISOWEEKNUM(PV_DATA[[#This Row],[Pick-Up Date]]),"")</f>
        <v>8</v>
      </c>
      <c r="AD211" s="439" t="s">
        <v>1092</v>
      </c>
      <c r="AE211" s="430"/>
      <c r="AF211" s="430" t="s">
        <v>122</v>
      </c>
      <c r="AG211" s="430" t="s">
        <v>123</v>
      </c>
      <c r="AH211" s="430" t="s">
        <v>105</v>
      </c>
      <c r="AI211" s="437">
        <v>46076</v>
      </c>
      <c r="AJ211" s="437">
        <v>46076</v>
      </c>
      <c r="AK211" s="441">
        <v>46076</v>
      </c>
      <c r="AL211" s="437">
        <v>46113</v>
      </c>
      <c r="AM211" s="437">
        <v>46122</v>
      </c>
      <c r="AN211" s="437">
        <v>46122</v>
      </c>
      <c r="AO211" s="430" t="s">
        <v>402</v>
      </c>
      <c r="AQ211" s="430" t="s">
        <v>80</v>
      </c>
      <c r="AR211" s="430" t="s">
        <v>1093</v>
      </c>
      <c r="AS211" s="430" t="s">
        <v>1094</v>
      </c>
      <c r="AT211" s="482" t="s">
        <v>1094</v>
      </c>
      <c r="AU21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211" s="437" cm="1">
        <f t="array" ref="AW21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46122</v>
      </c>
      <c r="AX21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11" s="437">
        <f>IF(ISERROR(PV_DATA[[#This Row],[New Ark PO status]]),"",_xlfn.XLOOKUP(PV_DATA[[#This Row],[SPTN-PVHK New Ark PO'#]],New_Ark_Data[Purchase order Number],New_Ark_Data[Estimated time of arrival],"",0))</f>
        <v>46132</v>
      </c>
      <c r="AZ211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11" s="437">
        <f>IFERROR(PV_DATA[[#This Row],[ODP ETA Port]]+PV_DATA[[#This Row],[Customs/Leg3 Assumption]],"n/a")</f>
        <v>46129</v>
      </c>
      <c r="BB211" s="433">
        <f>YEAR(PV_DATA[[#This Row],[ETA for New Ark update]])</f>
        <v>2026</v>
      </c>
      <c r="BC211" s="430">
        <f>MONTH(PV_DATA[[#This Row],[ETA for New Ark update]])</f>
        <v>4</v>
      </c>
      <c r="BD211" s="430">
        <f>IFERROR(_xlfn.ISOWEEKNUM(PV_DATA[[#This Row],[ETA for New Ark update]]),0)</f>
        <v>16</v>
      </c>
      <c r="BE211" s="431">
        <f>_xlfn.XLOOKUP(PV_DATA[[#This Row],[New Ark SKU]],Table9[New Ark SKU],Table9[Total PCS per Pallet],,0)</f>
        <v>36</v>
      </c>
      <c r="BF211" s="431">
        <f>_xlfn.XLOOKUP(PV_DATA[[#This Row],[New Ark SKU]],Table9[New Ark SKU],Table9[Total PCS per 40HQ Container],,0)</f>
        <v>864</v>
      </c>
      <c r="BG211" s="431" t="str">
        <f>_xlfn.XLOOKUP(PV_DATA[[#This Row],[New Ark SKU]],Table9[New Ark SKU],Table9[Back Glass],,0)</f>
        <v>White glazing</v>
      </c>
      <c r="BH211" s="431" t="str">
        <f>_xlfn.XLOOKUP(PV_DATA[[#This Row],[PORT DESTINATION]],Table12[PORT DESTINATION],Table12[Cosco Line],,0)</f>
        <v>AEU</v>
      </c>
      <c r="BJ211" s="430"/>
    </row>
    <row r="212" spans="1:62" ht="10.5" hidden="1">
      <c r="A212" s="462" t="s">
        <v>1095</v>
      </c>
      <c r="B212" s="462" t="s">
        <v>111</v>
      </c>
      <c r="C212" s="462" t="str">
        <f>IFERROR(LEFT(PV_DATA[[#This Row],[TCL REFERENCE]],FIND(".",PV_DATA[[#This Row],[TCL REFERENCE]],1)-1),"Main Line")</f>
        <v>26Feb010</v>
      </c>
      <c r="D212" s="462" t="s">
        <v>63</v>
      </c>
      <c r="E212" s="462" t="s">
        <v>64</v>
      </c>
      <c r="F212" s="462" t="str" cm="1">
        <f t="array" ref="F21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12" s="462" t="s">
        <v>402</v>
      </c>
      <c r="H212" s="462" t="s">
        <v>67</v>
      </c>
      <c r="I212" s="439" t="s">
        <v>822</v>
      </c>
      <c r="J212" s="430" t="s">
        <v>1096</v>
      </c>
      <c r="K212" s="430"/>
      <c r="L212" s="430"/>
      <c r="M212" s="430" t="s">
        <v>68</v>
      </c>
      <c r="N212" s="432">
        <v>46069</v>
      </c>
      <c r="O212" s="430" t="s">
        <v>132</v>
      </c>
      <c r="P212" s="430" t="s">
        <v>1062</v>
      </c>
      <c r="Q212" s="430" t="s">
        <v>1063</v>
      </c>
      <c r="R212" s="431" t="str">
        <f>_xlfn.XLOOKUP(PV_DATA[[#This Row],[New Ark SKU]],Table9[New Ark SKU],Table9[Connector],,0)</f>
        <v>EVO2A</v>
      </c>
      <c r="S212" s="442" t="str">
        <f>_xlfn.XLOOKUP(PV_DATA[[#This Row],[New Ark SKU]],Table9[New Ark SKU],Table9[Cable],,0)</f>
        <v>±1200mm</v>
      </c>
      <c r="T212" s="433">
        <v>470</v>
      </c>
      <c r="U212" s="1062">
        <f>864*5</f>
        <v>4320</v>
      </c>
      <c r="V212" s="434">
        <f>PV_DATA[[#This Row],[QUANTITY]]*PV_DATA[[#This Row],[WATT]]/1000000</f>
        <v>2.0304000000000002</v>
      </c>
      <c r="W212" s="435">
        <f>PV_DATA[[#This Row],[QUANTITY]]/PV_DATA[[#This Row],[Qty/Pallet]]</f>
        <v>120</v>
      </c>
      <c r="X212" s="1015">
        <f>PV_DATA[[#This Row],[QUANTITY]]/PV_DATA[[#This Row],[Qty/CT]]</f>
        <v>5</v>
      </c>
      <c r="Y212" s="430" t="s">
        <v>75</v>
      </c>
      <c r="Z212" s="430" t="str">
        <f t="shared" si="0"/>
        <v>COMPLETED</v>
      </c>
      <c r="AA212" s="430"/>
      <c r="AB212" s="437">
        <v>46073</v>
      </c>
      <c r="AC212" s="438">
        <f>IF(PV_DATA[[#This Row],[Pick-Up Date]]&lt;&gt;"",_xlfn.ISOWEEKNUM(PV_DATA[[#This Row],[Pick-Up Date]]),"")</f>
        <v>8</v>
      </c>
      <c r="AD212" s="439" t="s">
        <v>1097</v>
      </c>
      <c r="AE212" s="430"/>
      <c r="AF212" s="430" t="s">
        <v>122</v>
      </c>
      <c r="AG212" s="430" t="s">
        <v>123</v>
      </c>
      <c r="AH212" s="430" t="s">
        <v>105</v>
      </c>
      <c r="AI212" s="437">
        <v>46076</v>
      </c>
      <c r="AJ212" s="437">
        <v>46076</v>
      </c>
      <c r="AK212" s="441">
        <v>46076</v>
      </c>
      <c r="AL212" s="437">
        <v>46113</v>
      </c>
      <c r="AM212" s="437">
        <v>46122</v>
      </c>
      <c r="AN212" s="437">
        <v>46122</v>
      </c>
      <c r="AO212" s="430" t="s">
        <v>402</v>
      </c>
      <c r="AQ212" s="430" t="s">
        <v>80</v>
      </c>
      <c r="AR212" s="430" t="s">
        <v>1093</v>
      </c>
      <c r="AS212" s="430" t="s">
        <v>1094</v>
      </c>
      <c r="AT212" s="482" t="s">
        <v>1094</v>
      </c>
      <c r="AU21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212" s="437" cm="1">
        <f t="array" ref="AW21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46122</v>
      </c>
      <c r="AX21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12" s="437">
        <f>IF(ISERROR(PV_DATA[[#This Row],[New Ark PO status]]),"",_xlfn.XLOOKUP(PV_DATA[[#This Row],[SPTN-PVHK New Ark PO'#]],New_Ark_Data[Purchase order Number],New_Ark_Data[Estimated time of arrival],"",0))</f>
        <v>46132</v>
      </c>
      <c r="AZ21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12" s="437">
        <f>IFERROR(PV_DATA[[#This Row],[ODP ETA Port]]+PV_DATA[[#This Row],[Customs/Leg3 Assumption]],"n/a")</f>
        <v>46129</v>
      </c>
      <c r="BB212" s="433">
        <f>YEAR(PV_DATA[[#This Row],[ETA for New Ark update]])</f>
        <v>2026</v>
      </c>
      <c r="BC212" s="430">
        <f>MONTH(PV_DATA[[#This Row],[ETA for New Ark update]])</f>
        <v>4</v>
      </c>
      <c r="BD212" s="430">
        <f>IFERROR(_xlfn.ISOWEEKNUM(PV_DATA[[#This Row],[ETA for New Ark update]]),0)</f>
        <v>16</v>
      </c>
      <c r="BE212" s="431">
        <f>_xlfn.XLOOKUP(PV_DATA[[#This Row],[New Ark SKU]],Table9[New Ark SKU],Table9[Total PCS per Pallet],,0)</f>
        <v>36</v>
      </c>
      <c r="BF212" s="431">
        <f>_xlfn.XLOOKUP(PV_DATA[[#This Row],[New Ark SKU]],Table9[New Ark SKU],Table9[Total PCS per 40HQ Container],,0)</f>
        <v>864</v>
      </c>
      <c r="BG212" s="431" t="str">
        <f>_xlfn.XLOOKUP(PV_DATA[[#This Row],[New Ark SKU]],Table9[New Ark SKU],Table9[Back Glass],,0)</f>
        <v>White glazing</v>
      </c>
      <c r="BH212" s="431" t="str">
        <f>_xlfn.XLOOKUP(PV_DATA[[#This Row],[PORT DESTINATION]],Table12[PORT DESTINATION],Table12[Cosco Line],,0)</f>
        <v>AEU</v>
      </c>
      <c r="BJ212" s="430"/>
    </row>
    <row r="213" spans="1:62" ht="10.5" hidden="1">
      <c r="A213" s="462" t="s">
        <v>1098</v>
      </c>
      <c r="B213" s="462" t="s">
        <v>111</v>
      </c>
      <c r="C213" s="462" t="str">
        <f>IFERROR(LEFT(PV_DATA[[#This Row],[TCL REFERENCE]],FIND(".",PV_DATA[[#This Row],[TCL REFERENCE]],1)-1),"Main Line")</f>
        <v>26Feb010</v>
      </c>
      <c r="D213" s="462" t="s">
        <v>63</v>
      </c>
      <c r="E213" s="462" t="s">
        <v>64</v>
      </c>
      <c r="F213" s="462" t="str" cm="1">
        <f t="array" ref="F21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13" s="462" t="s">
        <v>402</v>
      </c>
      <c r="H213" s="462" t="s">
        <v>67</v>
      </c>
      <c r="I213" s="439" t="s">
        <v>869</v>
      </c>
      <c r="J213" s="430" t="s">
        <v>101</v>
      </c>
      <c r="K213" s="430"/>
      <c r="L213" s="430"/>
      <c r="M213" s="430" t="s">
        <v>68</v>
      </c>
      <c r="N213" s="432">
        <v>46069</v>
      </c>
      <c r="O213" s="430" t="s">
        <v>132</v>
      </c>
      <c r="P213" s="430" t="s">
        <v>1062</v>
      </c>
      <c r="Q213" s="430" t="s">
        <v>1063</v>
      </c>
      <c r="R213" s="431" t="str">
        <f>_xlfn.XLOOKUP(PV_DATA[[#This Row],[New Ark SKU]],Table9[New Ark SKU],Table9[Connector],,0)</f>
        <v>EVO2A</v>
      </c>
      <c r="S213" s="442" t="str">
        <f>_xlfn.XLOOKUP(PV_DATA[[#This Row],[New Ark SKU]],Table9[New Ark SKU],Table9[Cable],,0)</f>
        <v>±1200mm</v>
      </c>
      <c r="T213" s="433">
        <v>470</v>
      </c>
      <c r="U213" s="1062">
        <v>3456</v>
      </c>
      <c r="V213" s="434">
        <f>PV_DATA[[#This Row],[QUANTITY]]*PV_DATA[[#This Row],[WATT]]/1000000</f>
        <v>1.62432</v>
      </c>
      <c r="W213" s="435">
        <f>PV_DATA[[#This Row],[QUANTITY]]/PV_DATA[[#This Row],[Qty/Pallet]]</f>
        <v>96</v>
      </c>
      <c r="X213" s="1015">
        <f>PV_DATA[[#This Row],[QUANTITY]]/PV_DATA[[#This Row],[Qty/CT]]</f>
        <v>4</v>
      </c>
      <c r="Y213" s="430" t="s">
        <v>75</v>
      </c>
      <c r="Z213" s="430" t="str">
        <f t="shared" si="0"/>
        <v>COMPLETED</v>
      </c>
      <c r="AA213" s="430"/>
      <c r="AB213" s="437">
        <v>46066</v>
      </c>
      <c r="AC213" s="438">
        <f>IF(PV_DATA[[#This Row],[Pick-Up Date]]&lt;&gt;"",_xlfn.ISOWEEKNUM(PV_DATA[[#This Row],[Pick-Up Date]]),"")</f>
        <v>7</v>
      </c>
      <c r="AD213" s="439" t="s">
        <v>1099</v>
      </c>
      <c r="AE213" s="430"/>
      <c r="AF213" s="430" t="s">
        <v>122</v>
      </c>
      <c r="AG213" s="430" t="s">
        <v>123</v>
      </c>
      <c r="AH213" s="430" t="s">
        <v>105</v>
      </c>
      <c r="AI213" s="437">
        <v>46076</v>
      </c>
      <c r="AJ213" s="437">
        <v>46076</v>
      </c>
      <c r="AK213" s="441">
        <v>46076</v>
      </c>
      <c r="AL213" s="437">
        <v>46113</v>
      </c>
      <c r="AM213" s="437">
        <v>46122</v>
      </c>
      <c r="AN213" s="437">
        <v>46122</v>
      </c>
      <c r="AO213" s="430" t="s">
        <v>402</v>
      </c>
      <c r="AQ213" s="430" t="s">
        <v>80</v>
      </c>
      <c r="AR213" s="430" t="s">
        <v>1100</v>
      </c>
      <c r="AS213" s="430" t="s">
        <v>1101</v>
      </c>
      <c r="AT213" s="482" t="s">
        <v>1101</v>
      </c>
      <c r="AU21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213" s="437" cm="1">
        <f t="array" ref="AW21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46122</v>
      </c>
      <c r="AX21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13" s="437">
        <f>IF(ISERROR(PV_DATA[[#This Row],[New Ark PO status]]),"",_xlfn.XLOOKUP(PV_DATA[[#This Row],[SPTN-PVHK New Ark PO'#]],New_Ark_Data[Purchase order Number],New_Ark_Data[Estimated time of arrival],"",0))</f>
        <v>46132</v>
      </c>
      <c r="AZ21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13" s="437">
        <f>IFERROR(PV_DATA[[#This Row],[ODP ETA Port]]+PV_DATA[[#This Row],[Customs/Leg3 Assumption]],"n/a")</f>
        <v>46129</v>
      </c>
      <c r="BB213" s="433">
        <f>YEAR(PV_DATA[[#This Row],[ETA for New Ark update]])</f>
        <v>2026</v>
      </c>
      <c r="BC213" s="430">
        <f>MONTH(PV_DATA[[#This Row],[ETA for New Ark update]])</f>
        <v>4</v>
      </c>
      <c r="BD213" s="430">
        <f>IFERROR(_xlfn.ISOWEEKNUM(PV_DATA[[#This Row],[ETA for New Ark update]]),0)</f>
        <v>16</v>
      </c>
      <c r="BE213" s="431">
        <f>_xlfn.XLOOKUP(PV_DATA[[#This Row],[New Ark SKU]],Table9[New Ark SKU],Table9[Total PCS per Pallet],,0)</f>
        <v>36</v>
      </c>
      <c r="BF213" s="431">
        <f>_xlfn.XLOOKUP(PV_DATA[[#This Row],[New Ark SKU]],Table9[New Ark SKU],Table9[Total PCS per 40HQ Container],,0)</f>
        <v>864</v>
      </c>
      <c r="BG213" s="431" t="str">
        <f>_xlfn.XLOOKUP(PV_DATA[[#This Row],[New Ark SKU]],Table9[New Ark SKU],Table9[Back Glass],,0)</f>
        <v>White glazing</v>
      </c>
      <c r="BH213" s="431" t="str">
        <f>_xlfn.XLOOKUP(PV_DATA[[#This Row],[PORT DESTINATION]],Table12[PORT DESTINATION],Table12[Cosco Line],,0)</f>
        <v>AEU</v>
      </c>
      <c r="BJ213" s="430"/>
    </row>
    <row r="214" spans="1:62" ht="10.5" hidden="1">
      <c r="A214" s="462" t="s">
        <v>1102</v>
      </c>
      <c r="B214" s="462" t="s">
        <v>111</v>
      </c>
      <c r="C214" s="462" t="str">
        <f>IFERROR(LEFT(PV_DATA[[#This Row],[TCL REFERENCE]],FIND(".",PV_DATA[[#This Row],[TCL REFERENCE]],1)-1),"Main Line")</f>
        <v>Main Line</v>
      </c>
      <c r="D214" s="462" t="s">
        <v>63</v>
      </c>
      <c r="E214" s="462" t="s">
        <v>64</v>
      </c>
      <c r="F214" s="462" t="str" cm="1">
        <f t="array" ref="F21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14" s="462" t="s">
        <v>402</v>
      </c>
      <c r="H214" s="462" t="s">
        <v>67</v>
      </c>
      <c r="I214" s="439" t="s">
        <v>882</v>
      </c>
      <c r="J214" s="430" t="s">
        <v>1103</v>
      </c>
      <c r="K214" s="430"/>
      <c r="L214" s="430"/>
      <c r="M214" s="430" t="s">
        <v>68</v>
      </c>
      <c r="N214" s="432">
        <v>46045</v>
      </c>
      <c r="O214" s="430" t="s">
        <v>713</v>
      </c>
      <c r="P214" s="430" t="s">
        <v>1104</v>
      </c>
      <c r="Q214" s="430" t="s">
        <v>1105</v>
      </c>
      <c r="R214" s="431" t="str">
        <f>_xlfn.XLOOKUP(PV_DATA[[#This Row],[New Ark SKU]],Table9[New Ark SKU],Table9[Connector],,0)</f>
        <v>EVO2A</v>
      </c>
      <c r="S214" s="442" t="str">
        <f>_xlfn.XLOOKUP(PV_DATA[[#This Row],[New Ark SKU]],Table9[New Ark SKU],Table9[Cable],,0)</f>
        <v>±1400mm</v>
      </c>
      <c r="T214" s="433">
        <v>455</v>
      </c>
      <c r="U214" s="1062" cm="1">
        <f t="array" ref="U214">288-fx_qty</f>
        <v>288</v>
      </c>
      <c r="V214" s="434">
        <f>PV_DATA[[#This Row],[QUANTITY]]*PV_DATA[[#This Row],[WATT]]/1000000</f>
        <v>0.13103999999999999</v>
      </c>
      <c r="W214" s="435">
        <f>PV_DATA[[#This Row],[QUANTITY]]/PV_DATA[[#This Row],[Qty/Pallet]]</f>
        <v>8</v>
      </c>
      <c r="X214" s="1015">
        <f>PV_DATA[[#This Row],[QUANTITY]]/PV_DATA[[#This Row],[Qty/CT]]</f>
        <v>0.33333333333333331</v>
      </c>
      <c r="Y214" s="430" t="s">
        <v>75</v>
      </c>
      <c r="Z214" s="430" t="str">
        <f t="shared" si="0"/>
        <v>COMPLETED</v>
      </c>
      <c r="AA214" s="430"/>
      <c r="AB214" s="437">
        <v>46066</v>
      </c>
      <c r="AC214" s="438">
        <f>IF(PV_DATA[[#This Row],[Pick-Up Date]]&lt;&gt;"",_xlfn.ISOWEEKNUM(PV_DATA[[#This Row],[Pick-Up Date]]),"")</f>
        <v>7</v>
      </c>
      <c r="AD214" s="439" t="s">
        <v>1106</v>
      </c>
      <c r="AE214" s="430"/>
      <c r="AF214" s="430" t="s">
        <v>122</v>
      </c>
      <c r="AG214" s="430" t="s">
        <v>123</v>
      </c>
      <c r="AH214" s="430" t="s">
        <v>105</v>
      </c>
      <c r="AI214" s="437">
        <v>46076</v>
      </c>
      <c r="AJ214" s="437">
        <v>46076</v>
      </c>
      <c r="AK214" s="441">
        <v>46076</v>
      </c>
      <c r="AL214" s="437">
        <v>46113</v>
      </c>
      <c r="AM214" s="437">
        <v>46122</v>
      </c>
      <c r="AN214" s="437">
        <v>46122</v>
      </c>
      <c r="AO214" s="430" t="s">
        <v>402</v>
      </c>
      <c r="AQ214" s="430" t="s">
        <v>80</v>
      </c>
      <c r="AR214" s="430" t="s">
        <v>1100</v>
      </c>
      <c r="AS214" s="430" t="s">
        <v>1101</v>
      </c>
      <c r="AT214" s="482" t="s">
        <v>1101</v>
      </c>
      <c r="AU21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214" s="437" cm="1">
        <f t="array" ref="AW21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46122</v>
      </c>
      <c r="AX21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14" s="437">
        <f>IF(ISERROR(PV_DATA[[#This Row],[New Ark PO status]]),"",_xlfn.XLOOKUP(PV_DATA[[#This Row],[SPTN-PVHK New Ark PO'#]],New_Ark_Data[Purchase order Number],New_Ark_Data[Estimated time of arrival],"",0))</f>
        <v>46132</v>
      </c>
      <c r="AZ21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14" s="437">
        <f>IFERROR(PV_DATA[[#This Row],[ODP ETA Port]]+PV_DATA[[#This Row],[Customs/Leg3 Assumption]],"n/a")</f>
        <v>46129</v>
      </c>
      <c r="BB214" s="433">
        <f>YEAR(PV_DATA[[#This Row],[ETA for New Ark update]])</f>
        <v>2026</v>
      </c>
      <c r="BC214" s="430">
        <f>MONTH(PV_DATA[[#This Row],[ETA for New Ark update]])</f>
        <v>4</v>
      </c>
      <c r="BD214" s="430">
        <f>IFERROR(_xlfn.ISOWEEKNUM(PV_DATA[[#This Row],[ETA for New Ark update]]),0)</f>
        <v>16</v>
      </c>
      <c r="BE214" s="431">
        <f>_xlfn.XLOOKUP(PV_DATA[[#This Row],[New Ark SKU]],Table9[New Ark SKU],Table9[Total PCS per Pallet],,0)</f>
        <v>36</v>
      </c>
      <c r="BF214" s="431">
        <f>_xlfn.XLOOKUP(PV_DATA[[#This Row],[New Ark SKU]],Table9[New Ark SKU],Table9[Total PCS per 40HQ Container],,0)</f>
        <v>864</v>
      </c>
      <c r="BG214" s="431" t="str">
        <f>_xlfn.XLOOKUP(PV_DATA[[#This Row],[New Ark SKU]],Table9[New Ark SKU],Table9[Back Glass],,0)</f>
        <v>White glazing</v>
      </c>
      <c r="BH214" s="431" t="str">
        <f>_xlfn.XLOOKUP(PV_DATA[[#This Row],[PORT DESTINATION]],Table12[PORT DESTINATION],Table12[Cosco Line],,0)</f>
        <v>AEU</v>
      </c>
      <c r="BJ214" s="430"/>
    </row>
    <row r="215" spans="1:62" ht="10.5" hidden="1">
      <c r="A215" s="462" t="s">
        <v>1107</v>
      </c>
      <c r="B215" s="462" t="s">
        <v>111</v>
      </c>
      <c r="C215" s="462" t="str">
        <f>IFERROR(LEFT(PV_DATA[[#This Row],[TCL REFERENCE]],FIND(".",PV_DATA[[#This Row],[TCL REFERENCE]],1)-1),"Main Line")</f>
        <v>Main Line</v>
      </c>
      <c r="D215" s="462" t="s">
        <v>63</v>
      </c>
      <c r="E215" s="462" t="s">
        <v>64</v>
      </c>
      <c r="F215" s="462" t="str" cm="1">
        <f t="array" ref="F21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15" s="462" t="s">
        <v>402</v>
      </c>
      <c r="H215" s="462" t="s">
        <v>67</v>
      </c>
      <c r="I215" s="439" t="s">
        <v>882</v>
      </c>
      <c r="J215" s="430" t="s">
        <v>1108</v>
      </c>
      <c r="K215" s="430"/>
      <c r="L215" s="430"/>
      <c r="M215" s="430" t="s">
        <v>68</v>
      </c>
      <c r="N215" s="432">
        <v>46045</v>
      </c>
      <c r="O215" s="430" t="s">
        <v>713</v>
      </c>
      <c r="P215" s="430" t="s">
        <v>1109</v>
      </c>
      <c r="Q215" s="430" t="s">
        <v>454</v>
      </c>
      <c r="R215" s="431" t="str">
        <f>_xlfn.XLOOKUP(PV_DATA[[#This Row],[New Ark SKU]],Table9[New Ark SKU],Table9[Connector],,0)</f>
        <v>EVO2A</v>
      </c>
      <c r="S215" s="442" t="str">
        <f>_xlfn.XLOOKUP(PV_DATA[[#This Row],[New Ark SKU]],Table9[New Ark SKU],Table9[Cable],,0)</f>
        <v>±1400mm</v>
      </c>
      <c r="T215" s="433">
        <v>460</v>
      </c>
      <c r="U215" s="1062">
        <v>576</v>
      </c>
      <c r="V215" s="434">
        <f>PV_DATA[[#This Row],[QUANTITY]]*PV_DATA[[#This Row],[WATT]]/1000000</f>
        <v>0.26495999999999997</v>
      </c>
      <c r="W215" s="435">
        <f>PV_DATA[[#This Row],[QUANTITY]]/PV_DATA[[#This Row],[Qty/Pallet]]</f>
        <v>16</v>
      </c>
      <c r="X215" s="1015">
        <f>PV_DATA[[#This Row],[QUANTITY]]/PV_DATA[[#This Row],[Qty/CT]]</f>
        <v>0.66666666666666663</v>
      </c>
      <c r="Y215" s="430" t="s">
        <v>75</v>
      </c>
      <c r="Z215" s="430" t="str">
        <f t="shared" si="0"/>
        <v>COMPLETED</v>
      </c>
      <c r="AA215" s="430"/>
      <c r="AB215" s="437">
        <v>46066</v>
      </c>
      <c r="AC215" s="438">
        <f>IF(PV_DATA[[#This Row],[Pick-Up Date]]&lt;&gt;"",_xlfn.ISOWEEKNUM(PV_DATA[[#This Row],[Pick-Up Date]]),"")</f>
        <v>7</v>
      </c>
      <c r="AD215" s="439" t="s">
        <v>1110</v>
      </c>
      <c r="AE215" s="430"/>
      <c r="AF215" s="430" t="s">
        <v>122</v>
      </c>
      <c r="AG215" s="430" t="s">
        <v>123</v>
      </c>
      <c r="AH215" s="430" t="s">
        <v>105</v>
      </c>
      <c r="AI215" s="437">
        <v>46076</v>
      </c>
      <c r="AJ215" s="437">
        <v>46076</v>
      </c>
      <c r="AK215" s="441">
        <v>46076</v>
      </c>
      <c r="AL215" s="437">
        <v>46113</v>
      </c>
      <c r="AM215" s="437">
        <v>46122</v>
      </c>
      <c r="AN215" s="437">
        <v>46122</v>
      </c>
      <c r="AO215" s="430" t="s">
        <v>402</v>
      </c>
      <c r="AQ215" s="430" t="s">
        <v>80</v>
      </c>
      <c r="AR215" s="430" t="s">
        <v>1100</v>
      </c>
      <c r="AS215" s="430" t="s">
        <v>1101</v>
      </c>
      <c r="AT215" s="482" t="s">
        <v>1101</v>
      </c>
      <c r="AU21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215" s="437" cm="1">
        <f t="array" ref="AW21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46122</v>
      </c>
      <c r="AX21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15" s="437">
        <f>IF(ISERROR(PV_DATA[[#This Row],[New Ark PO status]]),"",_xlfn.XLOOKUP(PV_DATA[[#This Row],[SPTN-PVHK New Ark PO'#]],New_Ark_Data[Purchase order Number],New_Ark_Data[Estimated time of arrival],"",0))</f>
        <v>46132</v>
      </c>
      <c r="AZ21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15" s="437">
        <f>IFERROR(PV_DATA[[#This Row],[ODP ETA Port]]+PV_DATA[[#This Row],[Customs/Leg3 Assumption]],"n/a")</f>
        <v>46129</v>
      </c>
      <c r="BB215" s="433">
        <f>YEAR(PV_DATA[[#This Row],[ETA for New Ark update]])</f>
        <v>2026</v>
      </c>
      <c r="BC215" s="430">
        <f>MONTH(PV_DATA[[#This Row],[ETA for New Ark update]])</f>
        <v>4</v>
      </c>
      <c r="BD215" s="430">
        <f>IFERROR(_xlfn.ISOWEEKNUM(PV_DATA[[#This Row],[ETA for New Ark update]]),0)</f>
        <v>16</v>
      </c>
      <c r="BE215" s="431">
        <f>_xlfn.XLOOKUP(PV_DATA[[#This Row],[New Ark SKU]],Table9[New Ark SKU],Table9[Total PCS per Pallet],,0)</f>
        <v>36</v>
      </c>
      <c r="BF215" s="431">
        <f>_xlfn.XLOOKUP(PV_DATA[[#This Row],[New Ark SKU]],Table9[New Ark SKU],Table9[Total PCS per 40HQ Container],,0)</f>
        <v>864</v>
      </c>
      <c r="BG215" s="431" t="str">
        <f>_xlfn.XLOOKUP(PV_DATA[[#This Row],[New Ark SKU]],Table9[New Ark SKU],Table9[Back Glass],,0)</f>
        <v>White glazing</v>
      </c>
      <c r="BH215" s="431" t="str">
        <f>_xlfn.XLOOKUP(PV_DATA[[#This Row],[PORT DESTINATION]],Table12[PORT DESTINATION],Table12[Cosco Line],,0)</f>
        <v>AEU</v>
      </c>
      <c r="BJ215" s="430"/>
    </row>
    <row r="216" spans="1:62" ht="10.5" hidden="1">
      <c r="A216" s="462" t="s">
        <v>1111</v>
      </c>
      <c r="B216" s="462" t="s">
        <v>111</v>
      </c>
      <c r="C216" s="462" t="str">
        <f>IFERROR(LEFT(PV_DATA[[#This Row],[TCL REFERENCE]],FIND(".",PV_DATA[[#This Row],[TCL REFERENCE]],1)-1),"Main Line")</f>
        <v>26Feb009</v>
      </c>
      <c r="D216" s="462" t="s">
        <v>63</v>
      </c>
      <c r="E216" s="462" t="s">
        <v>64</v>
      </c>
      <c r="F216" s="462" t="str" cm="1">
        <f t="array" ref="F21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216" s="462" t="s">
        <v>402</v>
      </c>
      <c r="H216" s="462" t="s">
        <v>451</v>
      </c>
      <c r="I216" s="439" t="s">
        <v>822</v>
      </c>
      <c r="J216" s="430" t="s">
        <v>1112</v>
      </c>
      <c r="K216" s="430" t="s">
        <v>1113</v>
      </c>
      <c r="L216" s="430"/>
      <c r="M216" s="430" t="s">
        <v>68</v>
      </c>
      <c r="N216" s="432">
        <v>46055</v>
      </c>
      <c r="O216" s="430" t="s">
        <v>132</v>
      </c>
      <c r="P216" s="430" t="s">
        <v>189</v>
      </c>
      <c r="Q216" s="430" t="s">
        <v>190</v>
      </c>
      <c r="R216" s="431" t="str">
        <f>_xlfn.XLOOKUP(PV_DATA[[#This Row],[New Ark SKU]],Table9[New Ark SKU],Table9[Connector],,0)</f>
        <v>EVO2A</v>
      </c>
      <c r="S216" s="442" t="str">
        <f>_xlfn.XLOOKUP(PV_DATA[[#This Row],[New Ark SKU]],Table9[New Ark SKU],Table9[Cable],,0)</f>
        <v>±1200mm</v>
      </c>
      <c r="T216" s="433">
        <v>465</v>
      </c>
      <c r="U216" s="1062">
        <f>864*2</f>
        <v>1728</v>
      </c>
      <c r="V216" s="434">
        <f>PV_DATA[[#This Row],[QUANTITY]]*PV_DATA[[#This Row],[WATT]]/1000000</f>
        <v>0.80352000000000001</v>
      </c>
      <c r="W216" s="435">
        <f>PV_DATA[[#This Row],[QUANTITY]]/PV_DATA[[#This Row],[Qty/Pallet]]</f>
        <v>48</v>
      </c>
      <c r="X216" s="1015">
        <f>PV_DATA[[#This Row],[QUANTITY]]/PV_DATA[[#This Row],[Qty/CT]]</f>
        <v>2</v>
      </c>
      <c r="Y216" s="430" t="s">
        <v>75</v>
      </c>
      <c r="Z216" s="430" t="str">
        <f t="shared" si="0"/>
        <v>COMPLETED</v>
      </c>
      <c r="AA216" s="430"/>
      <c r="AB216" s="437">
        <v>46073</v>
      </c>
      <c r="AC216" s="438">
        <f>IF(PV_DATA[[#This Row],[Pick-Up Date]]&lt;&gt;"",_xlfn.ISOWEEKNUM(PV_DATA[[#This Row],[Pick-Up Date]]),"")</f>
        <v>8</v>
      </c>
      <c r="AD216" s="439" t="s">
        <v>1114</v>
      </c>
      <c r="AE216" s="430"/>
      <c r="AF216" s="430" t="s">
        <v>122</v>
      </c>
      <c r="AG216" s="430" t="s">
        <v>123</v>
      </c>
      <c r="AH216" s="430" t="s">
        <v>456</v>
      </c>
      <c r="AI216" s="437">
        <v>46076</v>
      </c>
      <c r="AJ216" s="437">
        <v>46079</v>
      </c>
      <c r="AK216" s="441">
        <v>46079</v>
      </c>
      <c r="AL216" s="437">
        <v>46117</v>
      </c>
      <c r="AM216" s="437">
        <v>46124</v>
      </c>
      <c r="AN216" s="437">
        <v>46124</v>
      </c>
      <c r="AO216" s="430" t="s">
        <v>402</v>
      </c>
      <c r="AQ216" s="430" t="s">
        <v>80</v>
      </c>
      <c r="AR216" s="430" t="s">
        <v>1115</v>
      </c>
      <c r="AS216" s="430" t="s">
        <v>1116</v>
      </c>
      <c r="AT216" s="482" t="s">
        <v>1116</v>
      </c>
      <c r="AU21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216" s="437" cm="1">
        <f t="array" ref="AW21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46124</v>
      </c>
      <c r="AX21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16" s="437">
        <f>IF(ISERROR(PV_DATA[[#This Row],[New Ark PO status]]),"",_xlfn.XLOOKUP(PV_DATA[[#This Row],[SPTN-PVHK New Ark PO'#]],New_Ark_Data[Purchase order Number],New_Ark_Data[Estimated time of arrival],"",0))</f>
        <v>46132</v>
      </c>
      <c r="AZ21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16" s="437">
        <f>IFERROR(PV_DATA[[#This Row],[ODP ETA Port]]+PV_DATA[[#This Row],[Customs/Leg3 Assumption]],"n/a")</f>
        <v>46131</v>
      </c>
      <c r="BB216" s="433">
        <f>YEAR(PV_DATA[[#This Row],[ETA for New Ark update]])</f>
        <v>2026</v>
      </c>
      <c r="BC216" s="430">
        <f>MONTH(PV_DATA[[#This Row],[ETA for New Ark update]])</f>
        <v>4</v>
      </c>
      <c r="BD216" s="430">
        <f>IFERROR(_xlfn.ISOWEEKNUM(PV_DATA[[#This Row],[ETA for New Ark update]]),0)</f>
        <v>16</v>
      </c>
      <c r="BE216" s="431">
        <f>_xlfn.XLOOKUP(PV_DATA[[#This Row],[New Ark SKU]],Table9[New Ark SKU],Table9[Total PCS per Pallet],,0)</f>
        <v>36</v>
      </c>
      <c r="BF216" s="431">
        <f>_xlfn.XLOOKUP(PV_DATA[[#This Row],[New Ark SKU]],Table9[New Ark SKU],Table9[Total PCS per 40HQ Container],,0)</f>
        <v>864</v>
      </c>
      <c r="BG216" s="431" t="str">
        <f>_xlfn.XLOOKUP(PV_DATA[[#This Row],[New Ark SKU]],Table9[New Ark SKU],Table9[Back Glass],,0)</f>
        <v>White glazing</v>
      </c>
      <c r="BH216" s="431" t="str">
        <f>_xlfn.XLOOKUP(PV_DATA[[#This Row],[PORT DESTINATION]],Table12[PORT DESTINATION],Table12[Cosco Line],,0)</f>
        <v>AEU</v>
      </c>
      <c r="BJ216" s="430"/>
    </row>
    <row r="217" spans="1:62" ht="10.5" hidden="1">
      <c r="A217" s="462" t="s">
        <v>1117</v>
      </c>
      <c r="B217" s="462" t="s">
        <v>111</v>
      </c>
      <c r="C217" s="462" t="str">
        <f>IFERROR(LEFT(PV_DATA[[#This Row],[TCL REFERENCE]],FIND(".",PV_DATA[[#This Row],[TCL REFERENCE]],1)-1),"Main Line")</f>
        <v>26Feb010</v>
      </c>
      <c r="D217" s="462" t="s">
        <v>63</v>
      </c>
      <c r="E217" s="462" t="s">
        <v>64</v>
      </c>
      <c r="F217" s="462" t="str" cm="1">
        <f t="array" ref="F21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217" s="462" t="s">
        <v>402</v>
      </c>
      <c r="H217" s="462" t="s">
        <v>451</v>
      </c>
      <c r="I217" s="439" t="s">
        <v>822</v>
      </c>
      <c r="J217" s="430" t="s">
        <v>1112</v>
      </c>
      <c r="K217" s="430" t="s">
        <v>1113</v>
      </c>
      <c r="L217" s="430"/>
      <c r="M217" s="430" t="s">
        <v>68</v>
      </c>
      <c r="N217" s="432">
        <v>46069</v>
      </c>
      <c r="O217" s="430" t="s">
        <v>132</v>
      </c>
      <c r="P217" s="430" t="s">
        <v>1062</v>
      </c>
      <c r="Q217" s="430" t="s">
        <v>1063</v>
      </c>
      <c r="R217" s="431" t="str">
        <f>_xlfn.XLOOKUP(PV_DATA[[#This Row],[New Ark SKU]],Table9[New Ark SKU],Table9[Connector],,0)</f>
        <v>EVO2A</v>
      </c>
      <c r="S217" s="442" t="str">
        <f>_xlfn.XLOOKUP(PV_DATA[[#This Row],[New Ark SKU]],Table9[New Ark SKU],Table9[Cable],,0)</f>
        <v>±1200mm</v>
      </c>
      <c r="T217" s="433">
        <v>470</v>
      </c>
      <c r="U217" s="1062">
        <f>864*3</f>
        <v>2592</v>
      </c>
      <c r="V217" s="434">
        <f>PV_DATA[[#This Row],[QUANTITY]]*PV_DATA[[#This Row],[WATT]]/1000000</f>
        <v>1.21824</v>
      </c>
      <c r="W217" s="435">
        <f>PV_DATA[[#This Row],[QUANTITY]]/PV_DATA[[#This Row],[Qty/Pallet]]</f>
        <v>72</v>
      </c>
      <c r="X217" s="1015">
        <f>PV_DATA[[#This Row],[QUANTITY]]/PV_DATA[[#This Row],[Qty/CT]]</f>
        <v>3</v>
      </c>
      <c r="Y217" s="430" t="s">
        <v>75</v>
      </c>
      <c r="Z217" s="430" t="str">
        <f t="shared" si="0"/>
        <v>COMPLETED</v>
      </c>
      <c r="AA217" s="430"/>
      <c r="AB217" s="437">
        <v>46073</v>
      </c>
      <c r="AC217" s="438">
        <f>IF(PV_DATA[[#This Row],[Pick-Up Date]]&lt;&gt;"",_xlfn.ISOWEEKNUM(PV_DATA[[#This Row],[Pick-Up Date]]),"")</f>
        <v>8</v>
      </c>
      <c r="AD217" s="439" t="s">
        <v>1118</v>
      </c>
      <c r="AE217" s="430"/>
      <c r="AF217" s="430" t="s">
        <v>122</v>
      </c>
      <c r="AG217" s="430" t="s">
        <v>123</v>
      </c>
      <c r="AH217" s="430" t="s">
        <v>456</v>
      </c>
      <c r="AI217" s="437">
        <v>46076</v>
      </c>
      <c r="AJ217" s="437">
        <v>46079</v>
      </c>
      <c r="AK217" s="441">
        <v>46079</v>
      </c>
      <c r="AL217" s="437">
        <v>46117</v>
      </c>
      <c r="AM217" s="437">
        <v>46124</v>
      </c>
      <c r="AN217" s="437">
        <v>46124</v>
      </c>
      <c r="AO217" s="430" t="s">
        <v>402</v>
      </c>
      <c r="AQ217" s="430" t="s">
        <v>80</v>
      </c>
      <c r="AR217" s="430" t="s">
        <v>1115</v>
      </c>
      <c r="AS217" s="430" t="s">
        <v>1116</v>
      </c>
      <c r="AT217" s="482" t="s">
        <v>1116</v>
      </c>
      <c r="AU21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217" s="437" cm="1">
        <f t="array" ref="AW21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46124</v>
      </c>
      <c r="AX21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17" s="437">
        <f>IF(ISERROR(PV_DATA[[#This Row],[New Ark PO status]]),"",_xlfn.XLOOKUP(PV_DATA[[#This Row],[SPTN-PVHK New Ark PO'#]],New_Ark_Data[Purchase order Number],New_Ark_Data[Estimated time of arrival],"",0))</f>
        <v>46139</v>
      </c>
      <c r="AZ217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17" s="437">
        <f>IFERROR(PV_DATA[[#This Row],[ODP ETA Port]]+PV_DATA[[#This Row],[Customs/Leg3 Assumption]],"n/a")</f>
        <v>46131</v>
      </c>
      <c r="BB217" s="433">
        <f>YEAR(PV_DATA[[#This Row],[ETA for New Ark update]])</f>
        <v>2026</v>
      </c>
      <c r="BC217" s="430">
        <f>MONTH(PV_DATA[[#This Row],[ETA for New Ark update]])</f>
        <v>4</v>
      </c>
      <c r="BD217" s="430">
        <f>IFERROR(_xlfn.ISOWEEKNUM(PV_DATA[[#This Row],[ETA for New Ark update]]),0)</f>
        <v>16</v>
      </c>
      <c r="BE217" s="431">
        <f>_xlfn.XLOOKUP(PV_DATA[[#This Row],[New Ark SKU]],Table9[New Ark SKU],Table9[Total PCS per Pallet],,0)</f>
        <v>36</v>
      </c>
      <c r="BF217" s="431">
        <f>_xlfn.XLOOKUP(PV_DATA[[#This Row],[New Ark SKU]],Table9[New Ark SKU],Table9[Total PCS per 40HQ Container],,0)</f>
        <v>864</v>
      </c>
      <c r="BG217" s="431" t="str">
        <f>_xlfn.XLOOKUP(PV_DATA[[#This Row],[New Ark SKU]],Table9[New Ark SKU],Table9[Back Glass],,0)</f>
        <v>White glazing</v>
      </c>
      <c r="BH217" s="431" t="str">
        <f>_xlfn.XLOOKUP(PV_DATA[[#This Row],[PORT DESTINATION]],Table12[PORT DESTINATION],Table12[Cosco Line],,0)</f>
        <v>AEU</v>
      </c>
      <c r="BJ217" s="430"/>
    </row>
    <row r="218" spans="1:62" ht="10.5" hidden="1">
      <c r="A218" s="462" t="s">
        <v>1119</v>
      </c>
      <c r="B218" s="462" t="s">
        <v>111</v>
      </c>
      <c r="C218" s="462" t="str">
        <f>IFERROR(LEFT(PV_DATA[[#This Row],[TCL REFERENCE]],FIND(".",PV_DATA[[#This Row],[TCL REFERENCE]],1)-1),"Main Line")</f>
        <v>26Feb010</v>
      </c>
      <c r="D218" s="462" t="s">
        <v>63</v>
      </c>
      <c r="E218" s="462" t="s">
        <v>64</v>
      </c>
      <c r="F218" s="462" t="str" cm="1">
        <f t="array" ref="F21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218" s="462" t="s">
        <v>402</v>
      </c>
      <c r="H218" s="462" t="s">
        <v>67</v>
      </c>
      <c r="I218" s="439" t="s">
        <v>869</v>
      </c>
      <c r="J218" s="430" t="s">
        <v>1008</v>
      </c>
      <c r="K218" s="430"/>
      <c r="L218" s="430"/>
      <c r="M218" s="430" t="s">
        <v>68</v>
      </c>
      <c r="N218" s="432">
        <v>46055</v>
      </c>
      <c r="O218" s="430" t="s">
        <v>132</v>
      </c>
      <c r="P218" s="430" t="s">
        <v>1062</v>
      </c>
      <c r="Q218" s="430" t="s">
        <v>1063</v>
      </c>
      <c r="R218" s="431" t="str">
        <f>_xlfn.XLOOKUP(PV_DATA[[#This Row],[New Ark SKU]],Table9[New Ark SKU],Table9[Connector],,0)</f>
        <v>EVO2A</v>
      </c>
      <c r="S218" s="442" t="str">
        <f>_xlfn.XLOOKUP(PV_DATA[[#This Row],[New Ark SKU]],Table9[New Ark SKU],Table9[Cable],,0)</f>
        <v>±1200mm</v>
      </c>
      <c r="T218" s="433">
        <v>470</v>
      </c>
      <c r="U218" s="1062">
        <f>864*7</f>
        <v>6048</v>
      </c>
      <c r="V218" s="434">
        <f>PV_DATA[[#This Row],[QUANTITY]]*PV_DATA[[#This Row],[WATT]]/1000000</f>
        <v>2.8425600000000002</v>
      </c>
      <c r="W218" s="435">
        <f>PV_DATA[[#This Row],[QUANTITY]]/PV_DATA[[#This Row],[Qty/Pallet]]</f>
        <v>168</v>
      </c>
      <c r="X218" s="1015">
        <f>PV_DATA[[#This Row],[QUANTITY]]/PV_DATA[[#This Row],[Qty/CT]]</f>
        <v>7</v>
      </c>
      <c r="Y218" s="430" t="s">
        <v>75</v>
      </c>
      <c r="Z218" s="430" t="str">
        <f t="shared" si="0"/>
        <v>COMPLETED</v>
      </c>
      <c r="AA218" s="430"/>
      <c r="AB218" s="437">
        <v>46072</v>
      </c>
      <c r="AC218" s="438">
        <f>IF(PV_DATA[[#This Row],[Pick-Up Date]]&lt;&gt;"",_xlfn.ISOWEEKNUM(PV_DATA[[#This Row],[Pick-Up Date]]),"")</f>
        <v>8</v>
      </c>
      <c r="AD218" s="439" t="s">
        <v>1120</v>
      </c>
      <c r="AE218" s="430"/>
      <c r="AF218" s="430" t="s">
        <v>122</v>
      </c>
      <c r="AG218" s="430" t="s">
        <v>123</v>
      </c>
      <c r="AH218" s="430" t="s">
        <v>78</v>
      </c>
      <c r="AI218" s="437">
        <v>46076</v>
      </c>
      <c r="AJ218" s="437">
        <v>46078</v>
      </c>
      <c r="AK218" s="441">
        <v>46078</v>
      </c>
      <c r="AL218" s="437">
        <v>46125</v>
      </c>
      <c r="AM218" s="437">
        <v>46136</v>
      </c>
      <c r="AN218" s="437">
        <v>46137</v>
      </c>
      <c r="AO218" s="430" t="s">
        <v>402</v>
      </c>
      <c r="AQ218" s="430" t="s">
        <v>80</v>
      </c>
      <c r="AR218" s="430" t="s">
        <v>1121</v>
      </c>
      <c r="AS218" s="430" t="s">
        <v>1122</v>
      </c>
      <c r="AT218" s="482" t="s">
        <v>1122</v>
      </c>
      <c r="AU21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W218" s="437" cm="1">
        <f t="array" ref="AW21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46137</v>
      </c>
      <c r="AX21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18" s="437">
        <f>IF(ISERROR(PV_DATA[[#This Row],[New Ark PO status]]),"",_xlfn.XLOOKUP(PV_DATA[[#This Row],[SPTN-PVHK New Ark PO'#]],New_Ark_Data[Purchase order Number],New_Ark_Data[Estimated time of arrival],"",0))</f>
        <v>46150</v>
      </c>
      <c r="AZ218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218" s="437">
        <f>IFERROR(PV_DATA[[#This Row],[ODP ETA Port]]+PV_DATA[[#This Row],[Customs/Leg3 Assumption]],"n/a")</f>
        <v>46145</v>
      </c>
      <c r="BB218" s="433">
        <f>YEAR(PV_DATA[[#This Row],[ETA for New Ark update]])</f>
        <v>2026</v>
      </c>
      <c r="BC218" s="430">
        <f>MONTH(PV_DATA[[#This Row],[ETA for New Ark update]])</f>
        <v>5</v>
      </c>
      <c r="BD218" s="430">
        <f>IFERROR(_xlfn.ISOWEEKNUM(PV_DATA[[#This Row],[ETA for New Ark update]]),0)</f>
        <v>18</v>
      </c>
      <c r="BE218" s="431">
        <f>_xlfn.XLOOKUP(PV_DATA[[#This Row],[New Ark SKU]],Table9[New Ark SKU],Table9[Total PCS per Pallet],,0)</f>
        <v>36</v>
      </c>
      <c r="BF218" s="431">
        <f>_xlfn.XLOOKUP(PV_DATA[[#This Row],[New Ark SKU]],Table9[New Ark SKU],Table9[Total PCS per 40HQ Container],,0)</f>
        <v>864</v>
      </c>
      <c r="BG218" s="431" t="str">
        <f>_xlfn.XLOOKUP(PV_DATA[[#This Row],[New Ark SKU]],Table9[New Ark SKU],Table9[Back Glass],,0)</f>
        <v>White glazing</v>
      </c>
      <c r="BH218" s="431" t="str">
        <f>_xlfn.XLOOKUP(PV_DATA[[#This Row],[PORT DESTINATION]],Table12[PORT DESTINATION],Table12[Cosco Line],,0)</f>
        <v>AEM</v>
      </c>
      <c r="BJ218" s="430"/>
    </row>
    <row r="219" spans="1:62" ht="10.5" hidden="1">
      <c r="A219" s="462" t="s">
        <v>1123</v>
      </c>
      <c r="B219" s="462" t="s">
        <v>111</v>
      </c>
      <c r="C219" s="462" t="str">
        <f>IFERROR(LEFT(PV_DATA[[#This Row],[TCL REFERENCE]],FIND(".",PV_DATA[[#This Row],[TCL REFERENCE]],1)-1),"Main Line")</f>
        <v>26JAN006</v>
      </c>
      <c r="D219" s="462" t="s">
        <v>63</v>
      </c>
      <c r="E219" s="462" t="s">
        <v>144</v>
      </c>
      <c r="F219" s="462" t="str" cm="1">
        <f t="array" ref="F21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19" s="462" t="s">
        <v>402</v>
      </c>
      <c r="H219" s="462" t="s">
        <v>593</v>
      </c>
      <c r="I219" s="439" t="s">
        <v>882</v>
      </c>
      <c r="J219" s="430" t="s">
        <v>594</v>
      </c>
      <c r="K219" s="430" t="s">
        <v>1124</v>
      </c>
      <c r="L219" s="430"/>
      <c r="M219" s="430" t="s">
        <v>840</v>
      </c>
      <c r="N219" s="432">
        <v>46045</v>
      </c>
      <c r="O219" s="430" t="s">
        <v>70</v>
      </c>
      <c r="P219" s="430" t="s">
        <v>102</v>
      </c>
      <c r="Q219" s="430" t="s">
        <v>103</v>
      </c>
      <c r="R219" s="431" t="str">
        <f>_xlfn.XLOOKUP(PV_DATA[[#This Row],[New Ark SKU]],Table9[New Ark SKU],Table9[Connector],,0)</f>
        <v>EVO2A</v>
      </c>
      <c r="S219" s="442" t="str">
        <f>_xlfn.XLOOKUP(PV_DATA[[#This Row],[New Ark SKU]],Table9[New Ark SKU],Table9[Cable],,0)</f>
        <v>±1200mm</v>
      </c>
      <c r="T219" s="433">
        <v>620</v>
      </c>
      <c r="U219" s="1062">
        <v>1440</v>
      </c>
      <c r="V219" s="434">
        <f>PV_DATA[[#This Row],[QUANTITY]]*PV_DATA[[#This Row],[WATT]]/1000000</f>
        <v>0.89280000000000004</v>
      </c>
      <c r="W219" s="435">
        <f>PV_DATA[[#This Row],[QUANTITY]]/PV_DATA[[#This Row],[Qty/Pallet]]</f>
        <v>40</v>
      </c>
      <c r="X219" s="1015">
        <f>PV_DATA[[#This Row],[QUANTITY]]/PV_DATA[[#This Row],[Qty/CT]]</f>
        <v>2</v>
      </c>
      <c r="Y219" s="430" t="s">
        <v>75</v>
      </c>
      <c r="Z219" s="430" t="str">
        <f t="shared" si="0"/>
        <v>COMPLETED</v>
      </c>
      <c r="AA219" s="430"/>
      <c r="AB219" s="437">
        <v>46066</v>
      </c>
      <c r="AC219" s="438">
        <f>IF(PV_DATA[[#This Row],[Pick-Up Date]]&lt;&gt;"",_xlfn.ISOWEEKNUM(PV_DATA[[#This Row],[Pick-Up Date]]),"")</f>
        <v>7</v>
      </c>
      <c r="AD219" s="439" t="s">
        <v>1125</v>
      </c>
      <c r="AE219" s="430"/>
      <c r="AF219" s="430" t="s">
        <v>122</v>
      </c>
      <c r="AG219" s="430" t="s">
        <v>123</v>
      </c>
      <c r="AH219" s="430" t="s">
        <v>124</v>
      </c>
      <c r="AI219" s="437">
        <v>46076</v>
      </c>
      <c r="AJ219" s="437">
        <v>46078</v>
      </c>
      <c r="AK219" s="441">
        <v>46078</v>
      </c>
      <c r="AL219" s="437">
        <v>46128</v>
      </c>
      <c r="AM219" s="437">
        <v>46134</v>
      </c>
      <c r="AN219" s="437">
        <v>46134</v>
      </c>
      <c r="AO219" s="430" t="s">
        <v>402</v>
      </c>
      <c r="AP219" s="430" t="s">
        <v>1126</v>
      </c>
      <c r="AQ219" s="430" t="s">
        <v>80</v>
      </c>
      <c r="AR219" s="430" t="s">
        <v>1127</v>
      </c>
      <c r="AS219" s="430" t="s">
        <v>1128</v>
      </c>
      <c r="AT219" s="482" t="s">
        <v>1128</v>
      </c>
      <c r="AU21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W219" s="437" cm="1">
        <f t="array" ref="AW21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46134</v>
      </c>
      <c r="AX21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19" s="437">
        <f>IF(ISERROR(PV_DATA[[#This Row],[New Ark PO status]]),"",_xlfn.XLOOKUP(PV_DATA[[#This Row],[SPTN-PVHK New Ark PO'#]],New_Ark_Data[Purchase order Number],New_Ark_Data[Estimated time of arrival],"",0))</f>
        <v>46142</v>
      </c>
      <c r="AZ219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19" s="437">
        <f>IFERROR(PV_DATA[[#This Row],[ODP ETA Port]]+PV_DATA[[#This Row],[Customs/Leg3 Assumption]],"n/a")</f>
        <v>46134</v>
      </c>
      <c r="BB219" s="433">
        <f>YEAR(PV_DATA[[#This Row],[ETA for New Ark update]])</f>
        <v>2026</v>
      </c>
      <c r="BC219" s="430">
        <f>MONTH(PV_DATA[[#This Row],[ETA for New Ark update]])</f>
        <v>4</v>
      </c>
      <c r="BD219" s="430">
        <f>IFERROR(_xlfn.ISOWEEKNUM(PV_DATA[[#This Row],[ETA for New Ark update]]),0)</f>
        <v>17</v>
      </c>
      <c r="BE219" s="431">
        <f>_xlfn.XLOOKUP(PV_DATA[[#This Row],[New Ark SKU]],Table9[New Ark SKU],Table9[Total PCS per Pallet],,0)</f>
        <v>36</v>
      </c>
      <c r="BF219" s="431">
        <f>_xlfn.XLOOKUP(PV_DATA[[#This Row],[New Ark SKU]],Table9[New Ark SKU],Table9[Total PCS per 40HQ Container],,0)</f>
        <v>720</v>
      </c>
      <c r="BG219" s="431" t="str">
        <f>_xlfn.XLOOKUP(PV_DATA[[#This Row],[New Ark SKU]],Table9[New Ark SKU],Table9[Back Glass],,0)</f>
        <v>White glazing</v>
      </c>
      <c r="BH219" s="431" t="str">
        <f>_xlfn.XLOOKUP(PV_DATA[[#This Row],[PORT DESTINATION]],Table12[PORT DESTINATION],Table12[Cosco Line],,0)</f>
        <v>AEM</v>
      </c>
      <c r="BJ219" s="430"/>
    </row>
    <row r="220" spans="1:62" ht="10.5" hidden="1">
      <c r="A220" s="462" t="s">
        <v>1129</v>
      </c>
      <c r="B220" s="462" t="s">
        <v>111</v>
      </c>
      <c r="C220" s="462" t="str">
        <f>IFERROR(LEFT(PV_DATA[[#This Row],[TCL REFERENCE]],FIND(".",PV_DATA[[#This Row],[TCL REFERENCE]],1)-1),"Main Line")</f>
        <v>26Feb015</v>
      </c>
      <c r="D220" s="462" t="s">
        <v>63</v>
      </c>
      <c r="E220" s="462" t="s">
        <v>144</v>
      </c>
      <c r="F220" s="462" t="str" cm="1">
        <f t="array" ref="F22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20" s="462" t="s">
        <v>402</v>
      </c>
      <c r="H220" s="462" t="s">
        <v>593</v>
      </c>
      <c r="I220" s="439" t="s">
        <v>882</v>
      </c>
      <c r="J220" s="430" t="s">
        <v>594</v>
      </c>
      <c r="K220" s="430" t="s">
        <v>1124</v>
      </c>
      <c r="L220" s="430"/>
      <c r="M220" s="430" t="s">
        <v>840</v>
      </c>
      <c r="N220" s="432">
        <v>46048</v>
      </c>
      <c r="O220" s="430" t="s">
        <v>132</v>
      </c>
      <c r="P220" s="430" t="s">
        <v>133</v>
      </c>
      <c r="Q220" s="430" t="s">
        <v>134</v>
      </c>
      <c r="R220" s="431" t="str">
        <f>_xlfn.XLOOKUP(PV_DATA[[#This Row],[New Ark SKU]],Table9[New Ark SKU],Table9[Connector],,0)</f>
        <v>EVO2A</v>
      </c>
      <c r="S220" s="442" t="str">
        <f>_xlfn.XLOOKUP(PV_DATA[[#This Row],[New Ark SKU]],Table9[New Ark SKU],Table9[Cable],,0)</f>
        <v>±1400mm</v>
      </c>
      <c r="T220" s="433">
        <v>720</v>
      </c>
      <c r="U220" s="1062">
        <v>2970</v>
      </c>
      <c r="V220" s="434">
        <f>PV_DATA[[#This Row],[QUANTITY]]*PV_DATA[[#This Row],[WATT]]/1000000</f>
        <v>2.1383999999999999</v>
      </c>
      <c r="W220" s="435">
        <f>PV_DATA[[#This Row],[QUANTITY]]/PV_DATA[[#This Row],[Qty/Pallet]]</f>
        <v>90</v>
      </c>
      <c r="X220" s="1015">
        <f>PV_DATA[[#This Row],[QUANTITY]]/PV_DATA[[#This Row],[Qty/CT]]</f>
        <v>5</v>
      </c>
      <c r="Y220" s="430" t="s">
        <v>75</v>
      </c>
      <c r="Z220" s="430" t="str">
        <f t="shared" si="0"/>
        <v>COMPLETED</v>
      </c>
      <c r="AA220" s="430"/>
      <c r="AB220" s="437">
        <v>46066</v>
      </c>
      <c r="AC220" s="438">
        <f>IF(PV_DATA[[#This Row],[Pick-Up Date]]&lt;&gt;"",_xlfn.ISOWEEKNUM(PV_DATA[[#This Row],[Pick-Up Date]]),"")</f>
        <v>7</v>
      </c>
      <c r="AD220" s="439" t="s">
        <v>1130</v>
      </c>
      <c r="AE220" s="430"/>
      <c r="AF220" s="430" t="s">
        <v>122</v>
      </c>
      <c r="AG220" s="430" t="s">
        <v>123</v>
      </c>
      <c r="AH220" s="430" t="s">
        <v>124</v>
      </c>
      <c r="AI220" s="437">
        <v>46076</v>
      </c>
      <c r="AJ220" s="437">
        <v>46078</v>
      </c>
      <c r="AK220" s="441">
        <v>46078</v>
      </c>
      <c r="AL220" s="437">
        <v>46128</v>
      </c>
      <c r="AM220" s="437">
        <v>46134</v>
      </c>
      <c r="AN220" s="437">
        <v>46134</v>
      </c>
      <c r="AO220" s="430" t="s">
        <v>402</v>
      </c>
      <c r="AP220" s="430" t="s">
        <v>1126</v>
      </c>
      <c r="AQ220" s="430" t="s">
        <v>80</v>
      </c>
      <c r="AR220" s="430" t="s">
        <v>1127</v>
      </c>
      <c r="AS220" s="430" t="s">
        <v>1128</v>
      </c>
      <c r="AT220" s="482" t="s">
        <v>1128</v>
      </c>
      <c r="AU22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W220" s="437" cm="1">
        <f t="array" ref="AW22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46134</v>
      </c>
      <c r="AX22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20" s="437">
        <f>IF(ISERROR(PV_DATA[[#This Row],[New Ark PO status]]),"",_xlfn.XLOOKUP(PV_DATA[[#This Row],[SPTN-PVHK New Ark PO'#]],New_Ark_Data[Purchase order Number],New_Ark_Data[Estimated time of arrival],"",0))</f>
        <v>46142</v>
      </c>
      <c r="AZ220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20" s="437">
        <f>IFERROR(PV_DATA[[#This Row],[ODP ETA Port]]+PV_DATA[[#This Row],[Customs/Leg3 Assumption]],"n/a")</f>
        <v>46134</v>
      </c>
      <c r="BB220" s="433">
        <f>YEAR(PV_DATA[[#This Row],[ETA for New Ark update]])</f>
        <v>2026</v>
      </c>
      <c r="BC220" s="430">
        <f>MONTH(PV_DATA[[#This Row],[ETA for New Ark update]])</f>
        <v>4</v>
      </c>
      <c r="BD220" s="430">
        <f>IFERROR(_xlfn.ISOWEEKNUM(PV_DATA[[#This Row],[ETA for New Ark update]]),0)</f>
        <v>17</v>
      </c>
      <c r="BE220" s="431">
        <f>_xlfn.XLOOKUP(PV_DATA[[#This Row],[New Ark SKU]],Table9[New Ark SKU],Table9[Total PCS per Pallet],,0)</f>
        <v>33</v>
      </c>
      <c r="BF220" s="431">
        <f>_xlfn.XLOOKUP(PV_DATA[[#This Row],[New Ark SKU]],Table9[New Ark SKU],Table9[Total PCS per 40HQ Container],,0)</f>
        <v>594</v>
      </c>
      <c r="BG220" s="431" t="str">
        <f>_xlfn.XLOOKUP(PV_DATA[[#This Row],[New Ark SKU]],Table9[New Ark SKU],Table9[Back Glass],,0)</f>
        <v>White glazing</v>
      </c>
      <c r="BH220" s="431" t="str">
        <f>_xlfn.XLOOKUP(PV_DATA[[#This Row],[PORT DESTINATION]],Table12[PORT DESTINATION],Table12[Cosco Line],,0)</f>
        <v>AEM</v>
      </c>
      <c r="BJ220" s="430"/>
    </row>
    <row r="221" spans="1:62" ht="10.5" hidden="1">
      <c r="A221" s="462" t="s">
        <v>1131</v>
      </c>
      <c r="B221" s="462" t="s">
        <v>61</v>
      </c>
      <c r="C221" s="462" t="str">
        <f>IFERROR(LEFT(PV_DATA[[#This Row],[TCL REFERENCE]],FIND(".",PV_DATA[[#This Row],[TCL REFERENCE]],1)-1),"Main Line")</f>
        <v>26Feb017</v>
      </c>
      <c r="D221" s="462" t="s">
        <v>63</v>
      </c>
      <c r="E221" s="462" t="s">
        <v>64</v>
      </c>
      <c r="F221" s="462" t="str" cm="1">
        <f t="array" ref="F22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21" s="462" t="s">
        <v>402</v>
      </c>
      <c r="H221" s="462" t="s">
        <v>67</v>
      </c>
      <c r="I221" s="439" t="s">
        <v>689</v>
      </c>
      <c r="J221" s="430" t="s">
        <v>1132</v>
      </c>
      <c r="K221" s="430"/>
      <c r="L221" s="430"/>
      <c r="M221" s="430" t="s">
        <v>840</v>
      </c>
      <c r="N221" s="432">
        <v>46055</v>
      </c>
      <c r="O221" s="430" t="s">
        <v>70</v>
      </c>
      <c r="P221" s="430" t="s">
        <v>195</v>
      </c>
      <c r="Q221" s="430" t="s">
        <v>196</v>
      </c>
      <c r="R221" s="431" t="str">
        <f>_xlfn.XLOOKUP(PV_DATA[[#This Row],[New Ark SKU]],Table9[New Ark SKU],Table9[Connector],,0)</f>
        <v>EVO2A</v>
      </c>
      <c r="S221" s="442" t="str">
        <f>_xlfn.XLOOKUP(PV_DATA[[#This Row],[New Ark SKU]],Table9[New Ark SKU],Table9[Cable],,0)</f>
        <v>±1200mm</v>
      </c>
      <c r="T221" s="433">
        <v>450</v>
      </c>
      <c r="U221" s="1062">
        <f>5*936</f>
        <v>4680</v>
      </c>
      <c r="V221" s="434">
        <f>PV_DATA[[#This Row],[QUANTITY]]*PV_DATA[[#This Row],[WATT]]/1000000</f>
        <v>2.1059999999999999</v>
      </c>
      <c r="W221" s="435">
        <f>PV_DATA[[#This Row],[QUANTITY]]/PV_DATA[[#This Row],[Qty/Pallet]]</f>
        <v>130</v>
      </c>
      <c r="X221" s="1015">
        <f>PV_DATA[[#This Row],[QUANTITY]]/PV_DATA[[#This Row],[Qty/CT]]</f>
        <v>5</v>
      </c>
      <c r="Y221" s="430" t="s">
        <v>75</v>
      </c>
      <c r="Z221" s="430" t="str">
        <f t="shared" si="0"/>
        <v>COMPLETED</v>
      </c>
      <c r="AA221" s="430"/>
      <c r="AB221" s="437">
        <v>46077</v>
      </c>
      <c r="AC221" s="438">
        <f>IF(PV_DATA[[#This Row],[Pick-Up Date]]&lt;&gt;"",_xlfn.ISOWEEKNUM(PV_DATA[[#This Row],[Pick-Up Date]]),"")</f>
        <v>9</v>
      </c>
      <c r="AD221" s="449" t="s">
        <v>1133</v>
      </c>
      <c r="AE221" s="430"/>
      <c r="AF221" s="430" t="s">
        <v>77</v>
      </c>
      <c r="AG221" s="430" t="s">
        <v>61</v>
      </c>
      <c r="AH221" s="430" t="s">
        <v>105</v>
      </c>
      <c r="AI221" s="437">
        <v>46084</v>
      </c>
      <c r="AJ221" s="437">
        <v>46084</v>
      </c>
      <c r="AK221" s="441">
        <v>46085</v>
      </c>
      <c r="AL221" s="437">
        <v>46126</v>
      </c>
      <c r="AM221" s="437">
        <v>46142</v>
      </c>
      <c r="AN221" s="437">
        <v>46142</v>
      </c>
      <c r="AO221" s="430" t="s">
        <v>402</v>
      </c>
      <c r="AP221" s="430" t="s">
        <v>872</v>
      </c>
      <c r="AQ221" s="430" t="s">
        <v>80</v>
      </c>
      <c r="AR221" s="430" t="s">
        <v>1134</v>
      </c>
      <c r="AS221" s="430" t="s">
        <v>1135</v>
      </c>
      <c r="AT221" s="482" t="s">
        <v>1135</v>
      </c>
      <c r="AU22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</v>
      </c>
      <c r="AW221" s="437" cm="1">
        <f t="array" ref="AW22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46142</v>
      </c>
      <c r="AX22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21" s="437">
        <f>IF(ISERROR(PV_DATA[[#This Row],[New Ark PO status]]),"",_xlfn.XLOOKUP(PV_DATA[[#This Row],[SPTN-PVHK New Ark PO'#]],New_Ark_Data[Purchase order Number],New_Ark_Data[Estimated time of arrival],"",0))</f>
        <v>46163</v>
      </c>
      <c r="AZ221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21" s="437">
        <f>IFERROR(PV_DATA[[#This Row],[ODP ETA Port]]+PV_DATA[[#This Row],[Customs/Leg3 Assumption]],"n/a")</f>
        <v>46149</v>
      </c>
      <c r="BB221" s="433">
        <f>YEAR(PV_DATA[[#This Row],[ETA for New Ark update]])</f>
        <v>2026</v>
      </c>
      <c r="BC221" s="430">
        <f>MONTH(PV_DATA[[#This Row],[ETA for New Ark update]])</f>
        <v>5</v>
      </c>
      <c r="BD221" s="430">
        <f>IFERROR(_xlfn.ISOWEEKNUM(PV_DATA[[#This Row],[ETA for New Ark update]]),0)</f>
        <v>19</v>
      </c>
      <c r="BE221" s="431">
        <f>_xlfn.XLOOKUP(PV_DATA[[#This Row],[New Ark SKU]],Table9[New Ark SKU],Table9[Total PCS per Pallet],,0)</f>
        <v>36</v>
      </c>
      <c r="BF221" s="431">
        <f>_xlfn.XLOOKUP(PV_DATA[[#This Row],[New Ark SKU]],Table9[New Ark SKU],Table9[Total PCS per 40HQ Container],,0)</f>
        <v>936</v>
      </c>
      <c r="BG221" s="431" t="str">
        <f>_xlfn.XLOOKUP(PV_DATA[[#This Row],[New Ark SKU]],Table9[New Ark SKU],Table9[Back Glass],,0)</f>
        <v>Black glazing</v>
      </c>
      <c r="BH221" s="431" t="str">
        <f>_xlfn.XLOOKUP(PV_DATA[[#This Row],[PORT DESTINATION]],Table12[PORT DESTINATION],Table12[Cosco Line],,0)</f>
        <v>AEU</v>
      </c>
      <c r="BJ221" s="430"/>
    </row>
    <row r="222" spans="1:62" ht="10.5" hidden="1">
      <c r="A222" s="462" t="s">
        <v>1136</v>
      </c>
      <c r="B222" s="462" t="s">
        <v>61</v>
      </c>
      <c r="C222" s="462" t="str">
        <f>IFERROR(LEFT(PV_DATA[[#This Row],[TCL REFERENCE]],FIND(".",PV_DATA[[#This Row],[TCL REFERENCE]],1)-1),"Main Line")</f>
        <v>26Feb018</v>
      </c>
      <c r="D222" s="462" t="s">
        <v>63</v>
      </c>
      <c r="E222" s="462" t="s">
        <v>144</v>
      </c>
      <c r="F222" s="462" t="str" cm="1">
        <f t="array" ref="F22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22" s="462" t="s">
        <v>402</v>
      </c>
      <c r="H222" s="462" t="s">
        <v>1137</v>
      </c>
      <c r="I222" s="439" t="s">
        <v>689</v>
      </c>
      <c r="J222" s="430" t="s">
        <v>1138</v>
      </c>
      <c r="K222" s="430" t="s">
        <v>1139</v>
      </c>
      <c r="L222" s="430"/>
      <c r="M222" s="430" t="s">
        <v>840</v>
      </c>
      <c r="N222" s="432">
        <v>46055</v>
      </c>
      <c r="O222" s="430" t="s">
        <v>70</v>
      </c>
      <c r="P222" s="430" t="s">
        <v>965</v>
      </c>
      <c r="Q222" s="430" t="s">
        <v>966</v>
      </c>
      <c r="R222" s="431" t="str">
        <f>_xlfn.XLOOKUP(PV_DATA[[#This Row],[New Ark SKU]],Table9[New Ark SKU],Table9[Connector],,0)</f>
        <v>EVO2A</v>
      </c>
      <c r="S222" s="442" t="str">
        <f>_xlfn.XLOOKUP(PV_DATA[[#This Row],[New Ark SKU]],Table9[New Ark SKU],Table9[Cable],,0)</f>
        <v>±1200mm</v>
      </c>
      <c r="T222" s="433">
        <v>455</v>
      </c>
      <c r="U222" s="1062">
        <v>3744</v>
      </c>
      <c r="V222" s="434">
        <f>PV_DATA[[#This Row],[QUANTITY]]*PV_DATA[[#This Row],[WATT]]/1000000</f>
        <v>1.7035199999999999</v>
      </c>
      <c r="W222" s="435">
        <f>PV_DATA[[#This Row],[QUANTITY]]/PV_DATA[[#This Row],[Qty/Pallet]]</f>
        <v>104</v>
      </c>
      <c r="X222" s="1015">
        <f>PV_DATA[[#This Row],[QUANTITY]]/PV_DATA[[#This Row],[Qty/CT]]</f>
        <v>4</v>
      </c>
      <c r="Y222" s="430" t="s">
        <v>75</v>
      </c>
      <c r="Z222" s="430" t="str">
        <f t="shared" si="0"/>
        <v>COMPLETED</v>
      </c>
      <c r="AA222" s="430"/>
      <c r="AB222" s="437">
        <v>46077</v>
      </c>
      <c r="AC222" s="438">
        <f>IF(PV_DATA[[#This Row],[Pick-Up Date]]&lt;&gt;"",_xlfn.ISOWEEKNUM(PV_DATA[[#This Row],[Pick-Up Date]]),"")</f>
        <v>9</v>
      </c>
      <c r="AD222" s="439" t="s">
        <v>1140</v>
      </c>
      <c r="AE222" s="430"/>
      <c r="AF222" s="430" t="s">
        <v>77</v>
      </c>
      <c r="AG222" s="430" t="s">
        <v>61</v>
      </c>
      <c r="AH222" s="430" t="s">
        <v>105</v>
      </c>
      <c r="AI222" s="437">
        <v>46084</v>
      </c>
      <c r="AJ222" s="437">
        <v>46084</v>
      </c>
      <c r="AK222" s="441">
        <v>46084</v>
      </c>
      <c r="AL222" s="437">
        <v>46126</v>
      </c>
      <c r="AM222" s="437">
        <v>46142</v>
      </c>
      <c r="AN222" s="437">
        <v>46141</v>
      </c>
      <c r="AO222" s="430" t="s">
        <v>402</v>
      </c>
      <c r="AP222" s="430" t="s">
        <v>872</v>
      </c>
      <c r="AQ222" s="430" t="s">
        <v>80</v>
      </c>
      <c r="AR222" s="430" t="s">
        <v>1141</v>
      </c>
      <c r="AS222" s="430" t="s">
        <v>1142</v>
      </c>
      <c r="AT222" s="482" t="s">
        <v>1135</v>
      </c>
      <c r="AU22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</v>
      </c>
      <c r="AW222" s="437" cm="1">
        <f t="array" ref="AW22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2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22" s="437">
        <f>IF(ISERROR(PV_DATA[[#This Row],[New Ark PO status]]),"",_xlfn.XLOOKUP(PV_DATA[[#This Row],[SPTN-PVHK New Ark PO'#]],New_Ark_Data[Purchase order Number],New_Ark_Data[Estimated time of arrival],"",0))</f>
        <v>46140</v>
      </c>
      <c r="AZ222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22" s="437">
        <f>IFERROR(PV_DATA[[#This Row],[ODP ETA Port]]+PV_DATA[[#This Row],[Customs/Leg3 Assumption]],"n/a")</f>
        <v>46141</v>
      </c>
      <c r="BB222" s="433">
        <f>YEAR(PV_DATA[[#This Row],[ETA for New Ark update]])</f>
        <v>2026</v>
      </c>
      <c r="BC222" s="430">
        <f>MONTH(PV_DATA[[#This Row],[ETA for New Ark update]])</f>
        <v>4</v>
      </c>
      <c r="BD222" s="430">
        <f>IFERROR(_xlfn.ISOWEEKNUM(PV_DATA[[#This Row],[ETA for New Ark update]]),0)</f>
        <v>18</v>
      </c>
      <c r="BE222" s="431">
        <f>_xlfn.XLOOKUP(PV_DATA[[#This Row],[New Ark SKU]],Table9[New Ark SKU],Table9[Total PCS per Pallet],,0)</f>
        <v>36</v>
      </c>
      <c r="BF222" s="431">
        <f>_xlfn.XLOOKUP(PV_DATA[[#This Row],[New Ark SKU]],Table9[New Ark SKU],Table9[Total PCS per 40HQ Container],,0)</f>
        <v>936</v>
      </c>
      <c r="BG222" s="431" t="str">
        <f>_xlfn.XLOOKUP(PV_DATA[[#This Row],[New Ark SKU]],Table9[New Ark SKU],Table9[Back Glass],,0)</f>
        <v>Black glazing</v>
      </c>
      <c r="BH222" s="431" t="str">
        <f>_xlfn.XLOOKUP(PV_DATA[[#This Row],[PORT DESTINATION]],Table12[PORT DESTINATION],Table12[Cosco Line],,0)</f>
        <v>AEU</v>
      </c>
      <c r="BJ222" s="430"/>
    </row>
    <row r="223" spans="1:62" ht="10.5" hidden="1">
      <c r="A223" s="462" t="s">
        <v>1143</v>
      </c>
      <c r="B223" s="462" t="s">
        <v>61</v>
      </c>
      <c r="C223" s="462" t="str">
        <f>IFERROR(LEFT(PV_DATA[[#This Row],[TCL REFERENCE]],FIND(".",PV_DATA[[#This Row],[TCL REFERENCE]],1)-1),"Main Line")</f>
        <v>26Feb017</v>
      </c>
      <c r="D223" s="462" t="s">
        <v>63</v>
      </c>
      <c r="E223" s="462" t="s">
        <v>64</v>
      </c>
      <c r="F223" s="462" t="str" cm="1">
        <f t="array" ref="F22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23" s="462" t="s">
        <v>402</v>
      </c>
      <c r="H223" s="462" t="s">
        <v>67</v>
      </c>
      <c r="I223" s="439" t="s">
        <v>689</v>
      </c>
      <c r="J223" s="430" t="s">
        <v>1144</v>
      </c>
      <c r="K223" s="430"/>
      <c r="L223" s="430"/>
      <c r="M223" s="430" t="s">
        <v>68</v>
      </c>
      <c r="N223" s="432">
        <v>46069</v>
      </c>
      <c r="O223" s="430" t="s">
        <v>70</v>
      </c>
      <c r="P223" s="430" t="s">
        <v>195</v>
      </c>
      <c r="Q223" s="430" t="s">
        <v>196</v>
      </c>
      <c r="R223" s="431" t="str">
        <f>_xlfn.XLOOKUP(PV_DATA[[#This Row],[New Ark SKU]],Table9[New Ark SKU],Table9[Connector],,0)</f>
        <v>EVO2A</v>
      </c>
      <c r="S223" s="442" t="str">
        <f>_xlfn.XLOOKUP(PV_DATA[[#This Row],[New Ark SKU]],Table9[New Ark SKU],Table9[Cable],,0)</f>
        <v>±1200mm</v>
      </c>
      <c r="T223" s="433">
        <v>450</v>
      </c>
      <c r="U223" s="1062">
        <f>936*2</f>
        <v>1872</v>
      </c>
      <c r="V223" s="434">
        <f>PV_DATA[[#This Row],[QUANTITY]]*PV_DATA[[#This Row],[WATT]]/1000000</f>
        <v>0.84240000000000004</v>
      </c>
      <c r="W223" s="435">
        <f>PV_DATA[[#This Row],[QUANTITY]]/PV_DATA[[#This Row],[Qty/Pallet]]</f>
        <v>52</v>
      </c>
      <c r="X223" s="1015">
        <f>PV_DATA[[#This Row],[QUANTITY]]/PV_DATA[[#This Row],[Qty/CT]]</f>
        <v>2</v>
      </c>
      <c r="Y223" s="430" t="s">
        <v>75</v>
      </c>
      <c r="Z223" s="430" t="str">
        <f t="shared" si="0"/>
        <v>COMPLETED</v>
      </c>
      <c r="AA223" s="430"/>
      <c r="AB223" s="437">
        <v>46080</v>
      </c>
      <c r="AC223" s="438">
        <f>IF(PV_DATA[[#This Row],[Pick-Up Date]]&lt;&gt;"",_xlfn.ISOWEEKNUM(PV_DATA[[#This Row],[Pick-Up Date]]),"")</f>
        <v>9</v>
      </c>
      <c r="AD223" s="439" t="s">
        <v>1145</v>
      </c>
      <c r="AE223" s="430"/>
      <c r="AF223" s="430" t="s">
        <v>77</v>
      </c>
      <c r="AG223" s="430" t="s">
        <v>61</v>
      </c>
      <c r="AH223" s="430" t="s">
        <v>105</v>
      </c>
      <c r="AI223" s="437">
        <v>46084</v>
      </c>
      <c r="AJ223" s="437">
        <v>46084</v>
      </c>
      <c r="AK223" s="441">
        <v>46084</v>
      </c>
      <c r="AL223" s="437">
        <v>46126</v>
      </c>
      <c r="AM223" s="437">
        <v>46142</v>
      </c>
      <c r="AN223" s="437">
        <v>46141</v>
      </c>
      <c r="AO223" s="430" t="s">
        <v>146</v>
      </c>
      <c r="AP223" s="430" t="s">
        <v>872</v>
      </c>
      <c r="AQ223" s="430" t="s">
        <v>80</v>
      </c>
      <c r="AR223" s="430" t="s">
        <v>1146</v>
      </c>
      <c r="AS223" s="430" t="s">
        <v>1147</v>
      </c>
      <c r="AT223" s="482" t="s">
        <v>1147</v>
      </c>
      <c r="AU22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</v>
      </c>
      <c r="AW223" s="437" cm="1">
        <f t="array" ref="AW22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2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23" s="437">
        <f>IF(ISERROR(PV_DATA[[#This Row],[New Ark PO status]]),"",_xlfn.XLOOKUP(PV_DATA[[#This Row],[SPTN-PVHK New Ark PO'#]],New_Ark_Data[Purchase order Number],New_Ark_Data[Estimated time of arrival],"",0))</f>
        <v>46163</v>
      </c>
      <c r="AZ22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23" s="437">
        <f>IFERROR(PV_DATA[[#This Row],[ODP ETA Port]]+PV_DATA[[#This Row],[Customs/Leg3 Assumption]],"n/a")</f>
        <v>46148</v>
      </c>
      <c r="BB223" s="433">
        <f>YEAR(PV_DATA[[#This Row],[ETA for New Ark update]])</f>
        <v>2026</v>
      </c>
      <c r="BC223" s="430">
        <f>MONTH(PV_DATA[[#This Row],[ETA for New Ark update]])</f>
        <v>5</v>
      </c>
      <c r="BD223" s="430">
        <f>IFERROR(_xlfn.ISOWEEKNUM(PV_DATA[[#This Row],[ETA for New Ark update]]),0)</f>
        <v>19</v>
      </c>
      <c r="BE223" s="431">
        <f>_xlfn.XLOOKUP(PV_DATA[[#This Row],[New Ark SKU]],Table9[New Ark SKU],Table9[Total PCS per Pallet],,0)</f>
        <v>36</v>
      </c>
      <c r="BF223" s="431">
        <f>_xlfn.XLOOKUP(PV_DATA[[#This Row],[New Ark SKU]],Table9[New Ark SKU],Table9[Total PCS per 40HQ Container],,0)</f>
        <v>936</v>
      </c>
      <c r="BG223" s="431" t="str">
        <f>_xlfn.XLOOKUP(PV_DATA[[#This Row],[New Ark SKU]],Table9[New Ark SKU],Table9[Back Glass],,0)</f>
        <v>Black glazing</v>
      </c>
      <c r="BH223" s="431" t="str">
        <f>_xlfn.XLOOKUP(PV_DATA[[#This Row],[PORT DESTINATION]],Table12[PORT DESTINATION],Table12[Cosco Line],,0)</f>
        <v>AEU</v>
      </c>
      <c r="BJ223" s="430"/>
    </row>
    <row r="224" spans="1:62" ht="10.5" hidden="1">
      <c r="A224" s="462" t="s">
        <v>1148</v>
      </c>
      <c r="B224" s="462" t="s">
        <v>61</v>
      </c>
      <c r="C224" s="462" t="str">
        <f>IFERROR(LEFT(PV_DATA[[#This Row],[TCL REFERENCE]],FIND(".",PV_DATA[[#This Row],[TCL REFERENCE]],1)-1),"Main Line")</f>
        <v>26JAN005</v>
      </c>
      <c r="D224" s="462" t="s">
        <v>63</v>
      </c>
      <c r="E224" s="462" t="s">
        <v>64</v>
      </c>
      <c r="F224" s="462" t="str" cm="1">
        <f t="array" ref="F22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24" s="462" t="s">
        <v>402</v>
      </c>
      <c r="H224" s="462" t="s">
        <v>67</v>
      </c>
      <c r="I224" s="439" t="s">
        <v>689</v>
      </c>
      <c r="J224" s="430" t="s">
        <v>1150</v>
      </c>
      <c r="K224" s="430"/>
      <c r="L224" s="430"/>
      <c r="M224" s="430" t="s">
        <v>68</v>
      </c>
      <c r="N224" s="432">
        <v>46048</v>
      </c>
      <c r="O224" s="430" t="s">
        <v>70</v>
      </c>
      <c r="P224" s="430" t="s">
        <v>1151</v>
      </c>
      <c r="Q224" s="430" t="s">
        <v>421</v>
      </c>
      <c r="R224" s="431" t="str">
        <f>_xlfn.XLOOKUP(PV_DATA[[#This Row],[New Ark SKU]],Table9[New Ark SKU],Table9[Connector],,0)</f>
        <v>EVO2A</v>
      </c>
      <c r="S224" s="442" t="str">
        <f>_xlfn.XLOOKUP(PV_DATA[[#This Row],[New Ark SKU]],Table9[New Ark SKU],Table9[Cable],,0)</f>
        <v>±1200mm</v>
      </c>
      <c r="T224" s="433">
        <v>505</v>
      </c>
      <c r="U224" s="1062">
        <f>864*3</f>
        <v>2592</v>
      </c>
      <c r="V224" s="434">
        <f>PV_DATA[[#This Row],[QUANTITY]]*PV_DATA[[#This Row],[WATT]]/1000000</f>
        <v>1.3089599999999999</v>
      </c>
      <c r="W224" s="435">
        <f>PV_DATA[[#This Row],[QUANTITY]]/PV_DATA[[#This Row],[Qty/Pallet]]</f>
        <v>72</v>
      </c>
      <c r="X224" s="1015">
        <f>PV_DATA[[#This Row],[QUANTITY]]/PV_DATA[[#This Row],[Qty/CT]]</f>
        <v>3</v>
      </c>
      <c r="Y224" s="430" t="s">
        <v>75</v>
      </c>
      <c r="Z224" s="430" t="str">
        <f t="shared" si="0"/>
        <v>COMPLETED</v>
      </c>
      <c r="AA224" s="430"/>
      <c r="AB224" s="437">
        <v>46078</v>
      </c>
      <c r="AC224" s="438">
        <f>IF(PV_DATA[[#This Row],[Pick-Up Date]]&lt;&gt;"",_xlfn.ISOWEEKNUM(PV_DATA[[#This Row],[Pick-Up Date]]),"")</f>
        <v>9</v>
      </c>
      <c r="AD224" s="439" t="s">
        <v>1152</v>
      </c>
      <c r="AE224" s="430"/>
      <c r="AF224" s="430" t="s">
        <v>77</v>
      </c>
      <c r="AG224" s="430" t="s">
        <v>61</v>
      </c>
      <c r="AH224" s="430" t="s">
        <v>105</v>
      </c>
      <c r="AI224" s="437">
        <v>46084</v>
      </c>
      <c r="AJ224" s="437">
        <v>46084</v>
      </c>
      <c r="AK224" s="441">
        <v>46084</v>
      </c>
      <c r="AL224" s="437">
        <v>46126</v>
      </c>
      <c r="AM224" s="437">
        <v>46142</v>
      </c>
      <c r="AN224" s="437">
        <v>46141</v>
      </c>
      <c r="AO224" s="430" t="s">
        <v>402</v>
      </c>
      <c r="AP224" s="430" t="s">
        <v>872</v>
      </c>
      <c r="AQ224" s="430" t="s">
        <v>80</v>
      </c>
      <c r="AR224" s="430" t="s">
        <v>1153</v>
      </c>
      <c r="AS224" s="430" t="s">
        <v>1154</v>
      </c>
      <c r="AT224" s="482" t="s">
        <v>1154</v>
      </c>
      <c r="AU22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</v>
      </c>
      <c r="AW224" s="437" cm="1">
        <f t="array" ref="AW22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2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24" s="437">
        <f>IF(ISERROR(PV_DATA[[#This Row],[New Ark PO status]]),"",_xlfn.XLOOKUP(PV_DATA[[#This Row],[SPTN-PVHK New Ark PO'#]],New_Ark_Data[Purchase order Number],New_Ark_Data[Estimated time of arrival],"",0))</f>
        <v>46153</v>
      </c>
      <c r="AZ22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24" s="437">
        <f>IFERROR(PV_DATA[[#This Row],[ODP ETA Port]]+PV_DATA[[#This Row],[Customs/Leg3 Assumption]],"n/a")</f>
        <v>46148</v>
      </c>
      <c r="BB224" s="433">
        <f>YEAR(PV_DATA[[#This Row],[ETA for New Ark update]])</f>
        <v>2026</v>
      </c>
      <c r="BC224" s="430">
        <f>MONTH(PV_DATA[[#This Row],[ETA for New Ark update]])</f>
        <v>5</v>
      </c>
      <c r="BD224" s="430">
        <f>IFERROR(_xlfn.ISOWEEKNUM(PV_DATA[[#This Row],[ETA for New Ark update]]),0)</f>
        <v>19</v>
      </c>
      <c r="BE224" s="431">
        <f>_xlfn.XLOOKUP(PV_DATA[[#This Row],[New Ark SKU]],Table9[New Ark SKU],Table9[Total PCS per Pallet],,0)</f>
        <v>36</v>
      </c>
      <c r="BF224" s="431">
        <f>_xlfn.XLOOKUP(PV_DATA[[#This Row],[New Ark SKU]],Table9[New Ark SKU],Table9[Total PCS per 40HQ Container],,0)</f>
        <v>864</v>
      </c>
      <c r="BG224" s="431" t="str">
        <f>_xlfn.XLOOKUP(PV_DATA[[#This Row],[New Ark SKU]],Table9[New Ark SKU],Table9[Back Glass],,0)</f>
        <v>Black glazing</v>
      </c>
      <c r="BH224" s="431" t="str">
        <f>_xlfn.XLOOKUP(PV_DATA[[#This Row],[PORT DESTINATION]],Table12[PORT DESTINATION],Table12[Cosco Line],,0)</f>
        <v>AEU</v>
      </c>
      <c r="BJ224" s="430"/>
    </row>
    <row r="225" spans="1:62" ht="10.5" hidden="1">
      <c r="A225" s="462" t="s">
        <v>1155</v>
      </c>
      <c r="B225" s="462" t="s">
        <v>61</v>
      </c>
      <c r="C225" s="462" t="str">
        <f>IFERROR(LEFT(PV_DATA[[#This Row],[TCL REFERENCE]],FIND(".",PV_DATA[[#This Row],[TCL REFERENCE]],1)-1),"Main Line")</f>
        <v>26JAN005</v>
      </c>
      <c r="D225" s="462" t="s">
        <v>63</v>
      </c>
      <c r="E225" s="462" t="s">
        <v>144</v>
      </c>
      <c r="F225" s="462" t="str" cm="1">
        <f t="array" ref="F22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25" s="462" t="s">
        <v>146</v>
      </c>
      <c r="H225" s="462" t="s">
        <v>1156</v>
      </c>
      <c r="I225" s="439" t="s">
        <v>689</v>
      </c>
      <c r="J225" s="430" t="s">
        <v>1157</v>
      </c>
      <c r="K225" s="430" t="s">
        <v>1158</v>
      </c>
      <c r="L225" s="430"/>
      <c r="M225" s="430" t="s">
        <v>840</v>
      </c>
      <c r="N225" s="432">
        <v>46048</v>
      </c>
      <c r="O225" s="430" t="s">
        <v>70</v>
      </c>
      <c r="P225" s="430" t="s">
        <v>1151</v>
      </c>
      <c r="Q225" s="430" t="s">
        <v>421</v>
      </c>
      <c r="R225" s="431" t="str">
        <f>_xlfn.XLOOKUP(PV_DATA[[#This Row],[New Ark SKU]],Table9[New Ark SKU],Table9[Connector],,0)</f>
        <v>EVO2A</v>
      </c>
      <c r="S225" s="442" t="str">
        <f>_xlfn.XLOOKUP(PV_DATA[[#This Row],[New Ark SKU]],Table9[New Ark SKU],Table9[Cable],,0)</f>
        <v>±1200mm</v>
      </c>
      <c r="T225" s="433">
        <v>505</v>
      </c>
      <c r="U225" s="1062">
        <f>864*2</f>
        <v>1728</v>
      </c>
      <c r="V225" s="434">
        <f>PV_DATA[[#This Row],[QUANTITY]]*PV_DATA[[#This Row],[WATT]]/1000000</f>
        <v>0.87263999999999997</v>
      </c>
      <c r="W225" s="435">
        <f>PV_DATA[[#This Row],[QUANTITY]]/PV_DATA[[#This Row],[Qty/Pallet]]</f>
        <v>48</v>
      </c>
      <c r="X225" s="1015">
        <f>PV_DATA[[#This Row],[QUANTITY]]/PV_DATA[[#This Row],[Qty/CT]]</f>
        <v>2</v>
      </c>
      <c r="Y225" s="430" t="s">
        <v>75</v>
      </c>
      <c r="Z225" s="430" t="str">
        <f t="shared" si="0"/>
        <v>COMPLETED</v>
      </c>
      <c r="AA225" s="430"/>
      <c r="AB225" s="437">
        <v>46078</v>
      </c>
      <c r="AC225" s="438">
        <f>IF(PV_DATA[[#This Row],[Pick-Up Date]]&lt;&gt;"",_xlfn.ISOWEEKNUM(PV_DATA[[#This Row],[Pick-Up Date]]),"")</f>
        <v>9</v>
      </c>
      <c r="AD225" s="439" t="s">
        <v>1159</v>
      </c>
      <c r="AE225" s="430"/>
      <c r="AF225" s="430" t="s">
        <v>77</v>
      </c>
      <c r="AG225" s="430" t="s">
        <v>61</v>
      </c>
      <c r="AH225" s="430" t="s">
        <v>105</v>
      </c>
      <c r="AI225" s="437">
        <v>46084</v>
      </c>
      <c r="AJ225" s="437">
        <v>46084</v>
      </c>
      <c r="AK225" s="441">
        <v>46084</v>
      </c>
      <c r="AL225" s="437">
        <v>46126</v>
      </c>
      <c r="AM225" s="437">
        <v>46142</v>
      </c>
      <c r="AN225" s="437">
        <v>46141</v>
      </c>
      <c r="AO225" s="430" t="s">
        <v>146</v>
      </c>
      <c r="AP225" s="430" t="s">
        <v>872</v>
      </c>
      <c r="AQ225" s="430" t="s">
        <v>80</v>
      </c>
      <c r="AR225" s="430" t="s">
        <v>1153</v>
      </c>
      <c r="AS225" s="430" t="s">
        <v>1160</v>
      </c>
      <c r="AT225" s="482" t="s">
        <v>1154</v>
      </c>
      <c r="AU22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</v>
      </c>
      <c r="AW225" s="437" cm="1">
        <f t="array" ref="AW22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2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25" s="437">
        <f>IF(ISERROR(PV_DATA[[#This Row],[New Ark PO status]]),"",_xlfn.XLOOKUP(PV_DATA[[#This Row],[SPTN-PVHK New Ark PO'#]],New_Ark_Data[Purchase order Number],New_Ark_Data[Estimated time of arrival],"",0))</f>
        <v>46153</v>
      </c>
      <c r="AZ225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25" s="437">
        <f>IFERROR(PV_DATA[[#This Row],[ODP ETA Port]]+PV_DATA[[#This Row],[Customs/Leg3 Assumption]],"n/a")</f>
        <v>46141</v>
      </c>
      <c r="BB225" s="433">
        <f>YEAR(PV_DATA[[#This Row],[ETA for New Ark update]])</f>
        <v>2026</v>
      </c>
      <c r="BC225" s="430">
        <f>MONTH(PV_DATA[[#This Row],[ETA for New Ark update]])</f>
        <v>4</v>
      </c>
      <c r="BD225" s="430">
        <f>IFERROR(_xlfn.ISOWEEKNUM(PV_DATA[[#This Row],[ETA for New Ark update]]),0)</f>
        <v>18</v>
      </c>
      <c r="BE225" s="431">
        <f>_xlfn.XLOOKUP(PV_DATA[[#This Row],[New Ark SKU]],Table9[New Ark SKU],Table9[Total PCS per Pallet],,0)</f>
        <v>36</v>
      </c>
      <c r="BF225" s="431">
        <f>_xlfn.XLOOKUP(PV_DATA[[#This Row],[New Ark SKU]],Table9[New Ark SKU],Table9[Total PCS per 40HQ Container],,0)</f>
        <v>864</v>
      </c>
      <c r="BG225" s="431" t="str">
        <f>_xlfn.XLOOKUP(PV_DATA[[#This Row],[New Ark SKU]],Table9[New Ark SKU],Table9[Back Glass],,0)</f>
        <v>Black glazing</v>
      </c>
      <c r="BH225" s="431" t="str">
        <f>_xlfn.XLOOKUP(PV_DATA[[#This Row],[PORT DESTINATION]],Table12[PORT DESTINATION],Table12[Cosco Line],,0)</f>
        <v>AEU</v>
      </c>
      <c r="BJ225" s="430"/>
    </row>
    <row r="226" spans="1:62" ht="10.5" hidden="1">
      <c r="A226" s="462" t="s">
        <v>1161</v>
      </c>
      <c r="B226" s="462" t="s">
        <v>61</v>
      </c>
      <c r="C226" s="462" t="str">
        <f>IFERROR(LEFT(PV_DATA[[#This Row],[TCL REFERENCE]],FIND(".",PV_DATA[[#This Row],[TCL REFERENCE]],1)-1),"Main Line")</f>
        <v>26Mar022</v>
      </c>
      <c r="D226" s="462" t="s">
        <v>113</v>
      </c>
      <c r="E226" s="462" t="s">
        <v>64</v>
      </c>
      <c r="F226" s="462" t="str" cm="1">
        <f t="array" ref="F22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226" s="462" t="s">
        <v>402</v>
      </c>
      <c r="H226" s="462" t="s">
        <v>67</v>
      </c>
      <c r="I226" s="439" t="s">
        <v>689</v>
      </c>
      <c r="J226" s="430" t="s">
        <v>1163</v>
      </c>
      <c r="K226" s="430"/>
      <c r="L226" s="430"/>
      <c r="M226" s="430" t="s">
        <v>68</v>
      </c>
      <c r="N226" s="432">
        <v>46045</v>
      </c>
      <c r="O226" s="430" t="s">
        <v>713</v>
      </c>
      <c r="P226" s="430" t="s">
        <v>1164</v>
      </c>
      <c r="Q226" s="430" t="s">
        <v>1165</v>
      </c>
      <c r="R226" s="431" t="str">
        <f>_xlfn.XLOOKUP(PV_DATA[[#This Row],[New Ark SKU]],Table9[New Ark SKU],Table9[Connector],,0)</f>
        <v>EVO2A</v>
      </c>
      <c r="S226" s="442" t="str">
        <f>_xlfn.XLOOKUP(PV_DATA[[#This Row],[New Ark SKU]],Table9[New Ark SKU],Table9[Cable],,0)</f>
        <v>±1600mm</v>
      </c>
      <c r="T226" s="433">
        <v>620</v>
      </c>
      <c r="U226" s="1062">
        <f>36+108</f>
        <v>144</v>
      </c>
      <c r="V226" s="434">
        <f>PV_DATA[[#This Row],[QUANTITY]]*PV_DATA[[#This Row],[WATT]]/1000000</f>
        <v>8.9279999999999998E-2</v>
      </c>
      <c r="W226" s="435">
        <f>PV_DATA[[#This Row],[QUANTITY]]/PV_DATA[[#This Row],[Qty/Pallet]]</f>
        <v>4</v>
      </c>
      <c r="X226" s="1015">
        <f>PV_DATA[[#This Row],[QUANTITY]]/PV_DATA[[#This Row],[Qty/CT]]</f>
        <v>0.25</v>
      </c>
      <c r="Y226" s="430" t="s">
        <v>75</v>
      </c>
      <c r="Z226" s="430" t="str">
        <f t="shared" si="0"/>
        <v>COMPLETED</v>
      </c>
      <c r="AA226" s="430"/>
      <c r="AB226" s="437">
        <v>46079</v>
      </c>
      <c r="AC226" s="438">
        <f>IF(PV_DATA[[#This Row],[Pick-Up Date]]&lt;&gt;"",_xlfn.ISOWEEKNUM(PV_DATA[[#This Row],[Pick-Up Date]]),"")</f>
        <v>9</v>
      </c>
      <c r="AD226" s="439" t="s">
        <v>1167</v>
      </c>
      <c r="AE226" s="430"/>
      <c r="AF226" s="430" t="s">
        <v>77</v>
      </c>
      <c r="AG226" s="430" t="s">
        <v>61</v>
      </c>
      <c r="AH226" s="430" t="s">
        <v>356</v>
      </c>
      <c r="AI226" s="437">
        <v>46083</v>
      </c>
      <c r="AJ226" s="437">
        <v>46084</v>
      </c>
      <c r="AK226" s="441">
        <v>46084</v>
      </c>
      <c r="AL226" s="437">
        <v>46133</v>
      </c>
      <c r="AM226" s="437">
        <v>46139</v>
      </c>
      <c r="AN226" s="437">
        <v>46140</v>
      </c>
      <c r="AO226" s="430" t="s">
        <v>402</v>
      </c>
      <c r="AP226" s="430" t="s">
        <v>1168</v>
      </c>
      <c r="AQ226" s="430" t="s">
        <v>161</v>
      </c>
      <c r="AR226" s="430" t="s">
        <v>1169</v>
      </c>
      <c r="AS226" s="430" t="s">
        <v>1170</v>
      </c>
      <c r="AT226" s="482" t="s">
        <v>1170</v>
      </c>
      <c r="AU22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W226" s="437" cm="1">
        <f t="array" ref="AW22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46140</v>
      </c>
      <c r="AX22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26" s="437">
        <f>IF(ISERROR(PV_DATA[[#This Row],[New Ark PO status]]),"",_xlfn.XLOOKUP(PV_DATA[[#This Row],[SPTN-PVHK New Ark PO'#]],New_Ark_Data[Purchase order Number],New_Ark_Data[Estimated time of arrival],"",0))</f>
        <v>46153</v>
      </c>
      <c r="AZ226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226" s="437">
        <f>IFERROR(PV_DATA[[#This Row],[ODP ETA Port]]+PV_DATA[[#This Row],[Customs/Leg3 Assumption]],"n/a")</f>
        <v>46150</v>
      </c>
      <c r="BB226" s="433">
        <f>YEAR(PV_DATA[[#This Row],[ETA for New Ark update]])</f>
        <v>2026</v>
      </c>
      <c r="BC226" s="430">
        <f>MONTH(PV_DATA[[#This Row],[ETA for New Ark update]])</f>
        <v>5</v>
      </c>
      <c r="BD226" s="430">
        <f>IFERROR(_xlfn.ISOWEEKNUM(PV_DATA[[#This Row],[ETA for New Ark update]]),0)</f>
        <v>19</v>
      </c>
      <c r="BE226" s="431">
        <f>_xlfn.XLOOKUP(PV_DATA[[#This Row],[New Ark SKU]],Table9[New Ark SKU],Table9[Total PCS per Pallet],,0)</f>
        <v>36</v>
      </c>
      <c r="BF226" s="431">
        <f>_xlfn.XLOOKUP(PV_DATA[[#This Row],[New Ark SKU]],Table9[New Ark SKU],Table9[Total PCS per 40HQ Container],,0)</f>
        <v>576</v>
      </c>
      <c r="BG226" s="431" t="str">
        <f>_xlfn.XLOOKUP(PV_DATA[[#This Row],[New Ark SKU]],Table9[New Ark SKU],Table9[Back Glass],,0)</f>
        <v>White glazing</v>
      </c>
      <c r="BH226" s="431" t="str">
        <f>_xlfn.XLOOKUP(PV_DATA[[#This Row],[PORT DESTINATION]],Table12[PORT DESTINATION],Table12[Cosco Line],,0)</f>
        <v>AEU</v>
      </c>
      <c r="BJ226" s="430"/>
    </row>
    <row r="227" spans="1:62" ht="10.5" hidden="1">
      <c r="A227" s="462" t="s">
        <v>1171</v>
      </c>
      <c r="B227" s="462" t="s">
        <v>61</v>
      </c>
      <c r="C227" s="462" t="str">
        <f>IFERROR(LEFT(PV_DATA[[#This Row],[TCL REFERENCE]],FIND(".",PV_DATA[[#This Row],[TCL REFERENCE]],1)-1),"Main Line")</f>
        <v>Main Line</v>
      </c>
      <c r="D227" s="462" t="s">
        <v>113</v>
      </c>
      <c r="E227" s="462" t="s">
        <v>64</v>
      </c>
      <c r="F227" s="462" t="str" cm="1">
        <f t="array" ref="F22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227" s="462" t="s">
        <v>402</v>
      </c>
      <c r="H227" s="462" t="s">
        <v>67</v>
      </c>
      <c r="I227" s="439" t="s">
        <v>689</v>
      </c>
      <c r="J227" s="430" t="s">
        <v>1172</v>
      </c>
      <c r="K227" s="430"/>
      <c r="L227" s="430"/>
      <c r="M227" s="430" t="s">
        <v>68</v>
      </c>
      <c r="N227" s="432">
        <v>46045</v>
      </c>
      <c r="O227" s="430" t="s">
        <v>713</v>
      </c>
      <c r="P227" s="430" t="s">
        <v>714</v>
      </c>
      <c r="Q227" s="430" t="s">
        <v>1173</v>
      </c>
      <c r="R227" s="431" t="str">
        <f>_xlfn.XLOOKUP(PV_DATA[[#This Row],[New Ark SKU]],Table9[New Ark SKU],Table9[Connector],,0)</f>
        <v>EVO2A</v>
      </c>
      <c r="S227" s="442" t="str">
        <f>_xlfn.XLOOKUP(PV_DATA[[#This Row],[New Ark SKU]],Table9[New Ark SKU],Table9[Cable],,0)</f>
        <v>±1600mm</v>
      </c>
      <c r="T227" s="433">
        <v>625</v>
      </c>
      <c r="U227" s="1062">
        <f>396-108</f>
        <v>288</v>
      </c>
      <c r="V227" s="434">
        <f>PV_DATA[[#This Row],[QUANTITY]]*PV_DATA[[#This Row],[WATT]]/1000000</f>
        <v>0.18</v>
      </c>
      <c r="W227" s="435">
        <f>PV_DATA[[#This Row],[QUANTITY]]/PV_DATA[[#This Row],[Qty/Pallet]]</f>
        <v>8</v>
      </c>
      <c r="X227" s="1015">
        <f>PV_DATA[[#This Row],[QUANTITY]]/PV_DATA[[#This Row],[Qty/CT]]</f>
        <v>0.5</v>
      </c>
      <c r="Y227" s="430" t="s">
        <v>75</v>
      </c>
      <c r="Z227" s="430" t="str">
        <f t="shared" si="0"/>
        <v>COMPLETED</v>
      </c>
      <c r="AA227" s="430"/>
      <c r="AB227" s="437">
        <v>46079</v>
      </c>
      <c r="AC227" s="438">
        <f>IF(PV_DATA[[#This Row],[Pick-Up Date]]&lt;&gt;"",_xlfn.ISOWEEKNUM(PV_DATA[[#This Row],[Pick-Up Date]]),"")</f>
        <v>9</v>
      </c>
      <c r="AD227" s="439" t="s">
        <v>1174</v>
      </c>
      <c r="AE227" s="430"/>
      <c r="AF227" s="430" t="s">
        <v>77</v>
      </c>
      <c r="AG227" s="430" t="s">
        <v>61</v>
      </c>
      <c r="AH227" s="430" t="s">
        <v>356</v>
      </c>
      <c r="AI227" s="437">
        <v>46083</v>
      </c>
      <c r="AJ227" s="437">
        <v>46084</v>
      </c>
      <c r="AK227" s="441">
        <v>46084</v>
      </c>
      <c r="AL227" s="437">
        <v>46133</v>
      </c>
      <c r="AM227" s="437">
        <v>46139</v>
      </c>
      <c r="AN227" s="437">
        <v>46140</v>
      </c>
      <c r="AO227" s="430" t="s">
        <v>402</v>
      </c>
      <c r="AP227" s="430" t="s">
        <v>1168</v>
      </c>
      <c r="AQ227" s="430" t="s">
        <v>161</v>
      </c>
      <c r="AR227" s="430" t="s">
        <v>1169</v>
      </c>
      <c r="AS227" s="430" t="s">
        <v>1170</v>
      </c>
      <c r="AT227" s="482" t="s">
        <v>1170</v>
      </c>
      <c r="AU22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W227" s="437" cm="1">
        <f t="array" ref="AW22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46140</v>
      </c>
      <c r="AX22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27" s="437">
        <f>IF(ISERROR(PV_DATA[[#This Row],[New Ark PO status]]),"",_xlfn.XLOOKUP(PV_DATA[[#This Row],[SPTN-PVHK New Ark PO'#]],New_Ark_Data[Purchase order Number],New_Ark_Data[Estimated time of arrival],"",0))</f>
        <v>46153</v>
      </c>
      <c r="AZ227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227" s="437">
        <f>IFERROR(PV_DATA[[#This Row],[ODP ETA Port]]+PV_DATA[[#This Row],[Customs/Leg3 Assumption]],"n/a")</f>
        <v>46150</v>
      </c>
      <c r="BB227" s="433">
        <f>YEAR(PV_DATA[[#This Row],[ETA for New Ark update]])</f>
        <v>2026</v>
      </c>
      <c r="BC227" s="430">
        <f>MONTH(PV_DATA[[#This Row],[ETA for New Ark update]])</f>
        <v>5</v>
      </c>
      <c r="BD227" s="430">
        <f>IFERROR(_xlfn.ISOWEEKNUM(PV_DATA[[#This Row],[ETA for New Ark update]]),0)</f>
        <v>19</v>
      </c>
      <c r="BE227" s="431">
        <f>_xlfn.XLOOKUP(PV_DATA[[#This Row],[New Ark SKU]],Table9[New Ark SKU],Table9[Total PCS per Pallet],,0)</f>
        <v>36</v>
      </c>
      <c r="BF227" s="431">
        <f>_xlfn.XLOOKUP(PV_DATA[[#This Row],[New Ark SKU]],Table9[New Ark SKU],Table9[Total PCS per 40HQ Container],,0)</f>
        <v>576</v>
      </c>
      <c r="BG227" s="431" t="str">
        <f>_xlfn.XLOOKUP(PV_DATA[[#This Row],[New Ark SKU]],Table9[New Ark SKU],Table9[Back Glass],,0)</f>
        <v>White glazing</v>
      </c>
      <c r="BH227" s="431" t="str">
        <f>_xlfn.XLOOKUP(PV_DATA[[#This Row],[PORT DESTINATION]],Table12[PORT DESTINATION],Table12[Cosco Line],,0)</f>
        <v>AEU</v>
      </c>
      <c r="BJ227" s="430"/>
    </row>
    <row r="228" spans="1:62" ht="10.5" hidden="1">
      <c r="A228" s="462" t="s">
        <v>1175</v>
      </c>
      <c r="B228" s="462" t="s">
        <v>61</v>
      </c>
      <c r="C228" s="462" t="str">
        <f>IFERROR(LEFT(PV_DATA[[#This Row],[TCL REFERENCE]],FIND(".",PV_DATA[[#This Row],[TCL REFERENCE]],1)-1),"Main Line")</f>
        <v>26Mar025</v>
      </c>
      <c r="D228" s="462" t="s">
        <v>113</v>
      </c>
      <c r="E228" s="462" t="s">
        <v>64</v>
      </c>
      <c r="F228" s="462" t="str" cm="1">
        <f t="array" ref="F22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228" s="462" t="s">
        <v>402</v>
      </c>
      <c r="H228" s="462" t="s">
        <v>67</v>
      </c>
      <c r="I228" s="439" t="s">
        <v>822</v>
      </c>
      <c r="J228" s="430" t="s">
        <v>1177</v>
      </c>
      <c r="K228" s="430"/>
      <c r="L228" s="430"/>
      <c r="M228" s="430" t="s">
        <v>68</v>
      </c>
      <c r="N228" s="432">
        <v>46045</v>
      </c>
      <c r="O228" s="430" t="s">
        <v>713</v>
      </c>
      <c r="P228" s="430" t="s">
        <v>714</v>
      </c>
      <c r="Q228" s="430" t="s">
        <v>1173</v>
      </c>
      <c r="R228" s="431" t="str">
        <f>_xlfn.XLOOKUP(PV_DATA[[#This Row],[New Ark SKU]],Table9[New Ark SKU],Table9[Connector],,0)</f>
        <v>EVO2A</v>
      </c>
      <c r="S228" s="442" t="str">
        <f>_xlfn.XLOOKUP(PV_DATA[[#This Row],[New Ark SKU]],Table9[New Ark SKU],Table9[Cable],,0)</f>
        <v>±1600mm</v>
      </c>
      <c r="T228" s="433">
        <v>625</v>
      </c>
      <c r="U228" s="1062">
        <v>3600</v>
      </c>
      <c r="V228" s="434">
        <f>PV_DATA[[#This Row],[QUANTITY]]*PV_DATA[[#This Row],[WATT]]/1000000</f>
        <v>2.25</v>
      </c>
      <c r="W228" s="435">
        <f>PV_DATA[[#This Row],[QUANTITY]]/PV_DATA[[#This Row],[Qty/Pallet]]</f>
        <v>100</v>
      </c>
      <c r="X228" s="1015">
        <f>PV_DATA[[#This Row],[QUANTITY]]/PV_DATA[[#This Row],[Qty/CT]]</f>
        <v>6.25</v>
      </c>
      <c r="Y228" s="430" t="s">
        <v>75</v>
      </c>
      <c r="Z228" s="430" t="str">
        <f t="shared" si="0"/>
        <v>COMPLETED</v>
      </c>
      <c r="AA228" s="430"/>
      <c r="AB228" s="437">
        <v>46079</v>
      </c>
      <c r="AC228" s="438">
        <f>IF(PV_DATA[[#This Row],[Pick-Up Date]]&lt;&gt;"",_xlfn.ISOWEEKNUM(PV_DATA[[#This Row],[Pick-Up Date]]),"")</f>
        <v>9</v>
      </c>
      <c r="AD228" s="439" t="s">
        <v>1178</v>
      </c>
      <c r="AE228" s="430"/>
      <c r="AF228" s="430" t="s">
        <v>77</v>
      </c>
      <c r="AG228" s="430" t="s">
        <v>61</v>
      </c>
      <c r="AH228" s="430" t="s">
        <v>356</v>
      </c>
      <c r="AI228" s="437">
        <v>46083</v>
      </c>
      <c r="AJ228" s="437">
        <v>46084</v>
      </c>
      <c r="AK228" s="441">
        <v>46084</v>
      </c>
      <c r="AL228" s="437">
        <v>46133</v>
      </c>
      <c r="AM228" s="437">
        <v>46139</v>
      </c>
      <c r="AN228" s="437">
        <v>46140</v>
      </c>
      <c r="AO228" s="430" t="s">
        <v>402</v>
      </c>
      <c r="AP228" s="430" t="s">
        <v>1168</v>
      </c>
      <c r="AQ228" s="430" t="s">
        <v>161</v>
      </c>
      <c r="AR228" s="430" t="s">
        <v>1169</v>
      </c>
      <c r="AS228" s="430" t="s">
        <v>1170</v>
      </c>
      <c r="AT228" s="482" t="s">
        <v>1170</v>
      </c>
      <c r="AU22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W228" s="437" cm="1">
        <f t="array" ref="AW22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46140</v>
      </c>
      <c r="AX22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28" s="437">
        <f>IF(ISERROR(PV_DATA[[#This Row],[New Ark PO status]]),"",_xlfn.XLOOKUP(PV_DATA[[#This Row],[SPTN-PVHK New Ark PO'#]],New_Ark_Data[Purchase order Number],New_Ark_Data[Estimated time of arrival],"",0))</f>
        <v>46153</v>
      </c>
      <c r="AZ228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228" s="437">
        <f>IFERROR(PV_DATA[[#This Row],[ODP ETA Port]]+PV_DATA[[#This Row],[Customs/Leg3 Assumption]],"n/a")</f>
        <v>46150</v>
      </c>
      <c r="BB228" s="433">
        <f>YEAR(PV_DATA[[#This Row],[ETA for New Ark update]])</f>
        <v>2026</v>
      </c>
      <c r="BC228" s="430">
        <f>MONTH(PV_DATA[[#This Row],[ETA for New Ark update]])</f>
        <v>5</v>
      </c>
      <c r="BD228" s="430">
        <f>IFERROR(_xlfn.ISOWEEKNUM(PV_DATA[[#This Row],[ETA for New Ark update]]),0)</f>
        <v>19</v>
      </c>
      <c r="BE228" s="431">
        <f>_xlfn.XLOOKUP(PV_DATA[[#This Row],[New Ark SKU]],Table9[New Ark SKU],Table9[Total PCS per Pallet],,0)</f>
        <v>36</v>
      </c>
      <c r="BF228" s="431">
        <f>_xlfn.XLOOKUP(PV_DATA[[#This Row],[New Ark SKU]],Table9[New Ark SKU],Table9[Total PCS per 40HQ Container],,0)</f>
        <v>576</v>
      </c>
      <c r="BG228" s="431" t="str">
        <f>_xlfn.XLOOKUP(PV_DATA[[#This Row],[New Ark SKU]],Table9[New Ark SKU],Table9[Back Glass],,0)</f>
        <v>White glazing</v>
      </c>
      <c r="BH228" s="431" t="str">
        <f>_xlfn.XLOOKUP(PV_DATA[[#This Row],[PORT DESTINATION]],Table12[PORT DESTINATION],Table12[Cosco Line],,0)</f>
        <v>AEU</v>
      </c>
      <c r="BJ228" s="430"/>
    </row>
    <row r="229" spans="1:62" ht="10.5" hidden="1">
      <c r="A229" s="462" t="s">
        <v>1176</v>
      </c>
      <c r="B229" s="462" t="s">
        <v>61</v>
      </c>
      <c r="C229" s="462" t="str">
        <f>IFERROR(LEFT(PV_DATA[[#This Row],[TCL REFERENCE]],FIND(".",PV_DATA[[#This Row],[TCL REFERENCE]],1)-1),"Main Line")</f>
        <v>Main Line</v>
      </c>
      <c r="D229" s="462" t="s">
        <v>113</v>
      </c>
      <c r="E229" s="462" t="s">
        <v>64</v>
      </c>
      <c r="F229" s="462" t="str" cm="1">
        <f t="array" ref="F22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229" s="462" t="s">
        <v>402</v>
      </c>
      <c r="H229" s="462" t="s">
        <v>67</v>
      </c>
      <c r="I229" s="439" t="s">
        <v>822</v>
      </c>
      <c r="J229" s="430" t="s">
        <v>1177</v>
      </c>
      <c r="K229" s="430"/>
      <c r="L229" s="430"/>
      <c r="M229" s="430" t="s">
        <v>68</v>
      </c>
      <c r="N229" s="432">
        <v>46045</v>
      </c>
      <c r="O229" s="430" t="s">
        <v>713</v>
      </c>
      <c r="P229" s="430" t="s">
        <v>714</v>
      </c>
      <c r="Q229" s="430" t="s">
        <v>1173</v>
      </c>
      <c r="R229" s="431" t="str">
        <f>_xlfn.XLOOKUP(PV_DATA[[#This Row],[New Ark SKU]],Table9[New Ark SKU],Table9[Connector],,0)</f>
        <v>EVO2A</v>
      </c>
      <c r="S229" s="442" t="str">
        <f>_xlfn.XLOOKUP(PV_DATA[[#This Row],[New Ark SKU]],Table9[New Ark SKU],Table9[Cable],,0)</f>
        <v>±1600mm</v>
      </c>
      <c r="T229" s="433">
        <v>625</v>
      </c>
      <c r="U229" s="1062">
        <v>4032</v>
      </c>
      <c r="V229" s="434">
        <f>PV_DATA[[#This Row],[QUANTITY]]*PV_DATA[[#This Row],[WATT]]/1000000</f>
        <v>2.52</v>
      </c>
      <c r="W229" s="435">
        <f>PV_DATA[[#This Row],[QUANTITY]]/PV_DATA[[#This Row],[Qty/Pallet]]</f>
        <v>112</v>
      </c>
      <c r="X229" s="1015">
        <f>PV_DATA[[#This Row],[QUANTITY]]/PV_DATA[[#This Row],[Qty/CT]]</f>
        <v>7</v>
      </c>
      <c r="Y229" s="430" t="s">
        <v>75</v>
      </c>
      <c r="Z229" s="430" t="str">
        <f t="shared" si="0"/>
        <v>COMPLETED</v>
      </c>
      <c r="AA229" s="430"/>
      <c r="AB229" s="437">
        <v>46078</v>
      </c>
      <c r="AC229" s="438">
        <f>IF(PV_DATA[[#This Row],[Pick-Up Date]]&lt;&gt;"",_xlfn.ISOWEEKNUM(PV_DATA[[#This Row],[Pick-Up Date]]),"")</f>
        <v>9</v>
      </c>
      <c r="AD229" s="439" t="s">
        <v>1179</v>
      </c>
      <c r="AE229" s="430"/>
      <c r="AF229" s="430" t="s">
        <v>77</v>
      </c>
      <c r="AG229" s="430" t="s">
        <v>61</v>
      </c>
      <c r="AH229" s="430" t="s">
        <v>356</v>
      </c>
      <c r="AI229" s="437">
        <v>46083</v>
      </c>
      <c r="AJ229" s="437">
        <v>46084</v>
      </c>
      <c r="AK229" s="441">
        <v>46084</v>
      </c>
      <c r="AL229" s="437">
        <v>46133</v>
      </c>
      <c r="AM229" s="437">
        <v>46139</v>
      </c>
      <c r="AN229" s="437">
        <v>46140</v>
      </c>
      <c r="AO229" s="430" t="s">
        <v>402</v>
      </c>
      <c r="AP229" s="430" t="s">
        <v>1168</v>
      </c>
      <c r="AQ229" s="430" t="s">
        <v>161</v>
      </c>
      <c r="AR229" s="430" t="s">
        <v>1180</v>
      </c>
      <c r="AS229" s="430" t="s">
        <v>1181</v>
      </c>
      <c r="AT229" s="482" t="s">
        <v>1181</v>
      </c>
      <c r="AU22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W229" s="437" cm="1">
        <f t="array" ref="AW22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46140</v>
      </c>
      <c r="AX22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29" s="437">
        <f>IF(ISERROR(PV_DATA[[#This Row],[New Ark PO status]]),"",_xlfn.XLOOKUP(PV_DATA[[#This Row],[SPTN-PVHK New Ark PO'#]],New_Ark_Data[Purchase order Number],New_Ark_Data[Estimated time of arrival],"",0))</f>
        <v>46153</v>
      </c>
      <c r="AZ229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229" s="437">
        <f>IFERROR(PV_DATA[[#This Row],[ODP ETA Port]]+PV_DATA[[#This Row],[Customs/Leg3 Assumption]],"n/a")</f>
        <v>46150</v>
      </c>
      <c r="BB229" s="433">
        <f>YEAR(PV_DATA[[#This Row],[ETA for New Ark update]])</f>
        <v>2026</v>
      </c>
      <c r="BC229" s="430">
        <f>MONTH(PV_DATA[[#This Row],[ETA for New Ark update]])</f>
        <v>5</v>
      </c>
      <c r="BD229" s="430">
        <f>IFERROR(_xlfn.ISOWEEKNUM(PV_DATA[[#This Row],[ETA for New Ark update]]),0)</f>
        <v>19</v>
      </c>
      <c r="BE229" s="431">
        <f>_xlfn.XLOOKUP(PV_DATA[[#This Row],[New Ark SKU]],Table9[New Ark SKU],Table9[Total PCS per Pallet],,0)</f>
        <v>36</v>
      </c>
      <c r="BF229" s="431">
        <f>_xlfn.XLOOKUP(PV_DATA[[#This Row],[New Ark SKU]],Table9[New Ark SKU],Table9[Total PCS per 40HQ Container],,0)</f>
        <v>576</v>
      </c>
      <c r="BG229" s="431" t="str">
        <f>_xlfn.XLOOKUP(PV_DATA[[#This Row],[New Ark SKU]],Table9[New Ark SKU],Table9[Back Glass],,0)</f>
        <v>White glazing</v>
      </c>
      <c r="BH229" s="431" t="str">
        <f>_xlfn.XLOOKUP(PV_DATA[[#This Row],[PORT DESTINATION]],Table12[PORT DESTINATION],Table12[Cosco Line],,0)</f>
        <v>AEU</v>
      </c>
      <c r="BJ229" s="430"/>
    </row>
    <row r="230" spans="1:62" ht="10.5" hidden="1">
      <c r="A230" s="462" t="s">
        <v>1182</v>
      </c>
      <c r="B230" s="462" t="s">
        <v>111</v>
      </c>
      <c r="C230" s="462" t="str">
        <f>IFERROR(LEFT(PV_DATA[[#This Row],[TCL REFERENCE]],FIND(".",PV_DATA[[#This Row],[TCL REFERENCE]],1)-1),"Main Line")</f>
        <v>26Mar026</v>
      </c>
      <c r="D230" s="462" t="s">
        <v>113</v>
      </c>
      <c r="E230" s="462" t="s">
        <v>64</v>
      </c>
      <c r="F230" s="462" t="str" cm="1">
        <f t="array" ref="F23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230" s="462" t="s">
        <v>402</v>
      </c>
      <c r="H230" s="462" t="s">
        <v>67</v>
      </c>
      <c r="I230" s="439" t="s">
        <v>822</v>
      </c>
      <c r="J230" s="430" t="s">
        <v>1184</v>
      </c>
      <c r="K230" s="430" t="s">
        <v>328</v>
      </c>
      <c r="L230" s="430"/>
      <c r="M230" s="430" t="s">
        <v>68</v>
      </c>
      <c r="N230" s="432">
        <v>46045</v>
      </c>
      <c r="O230" s="430" t="s">
        <v>713</v>
      </c>
      <c r="P230" s="430" t="s">
        <v>1185</v>
      </c>
      <c r="Q230" s="430" t="s">
        <v>1186</v>
      </c>
      <c r="R230" s="431" t="str">
        <f>_xlfn.XLOOKUP(PV_DATA[[#This Row],[New Ark SKU]],Table9[New Ark SKU],Table9[Connector],,0)</f>
        <v>EVO2A</v>
      </c>
      <c r="S230" s="442" t="str">
        <f>_xlfn.XLOOKUP(PV_DATA[[#This Row],[New Ark SKU]],Table9[New Ark SKU],Table9[Cable],,0)</f>
        <v>±1500mm</v>
      </c>
      <c r="T230" s="433">
        <v>615</v>
      </c>
      <c r="U230" s="1062">
        <v>1440</v>
      </c>
      <c r="V230" s="434">
        <f>PV_DATA[[#This Row],[QUANTITY]]*PV_DATA[[#This Row],[WATT]]/1000000</f>
        <v>0.88560000000000005</v>
      </c>
      <c r="W230" s="435">
        <f>PV_DATA[[#This Row],[QUANTITY]]/PV_DATA[[#This Row],[Qty/Pallet]]</f>
        <v>40</v>
      </c>
      <c r="X230" s="1015">
        <f>PV_DATA[[#This Row],[QUANTITY]]/PV_DATA[[#This Row],[Qty/CT]]</f>
        <v>2</v>
      </c>
      <c r="Y230" s="430" t="s">
        <v>75</v>
      </c>
      <c r="Z230" s="430" t="str">
        <f t="shared" si="0"/>
        <v>COMPLETED</v>
      </c>
      <c r="AA230" s="430"/>
      <c r="AB230" s="437">
        <v>46076</v>
      </c>
      <c r="AC230" s="438">
        <f>IF(PV_DATA[[#This Row],[Pick-Up Date]]&lt;&gt;"",_xlfn.ISOWEEKNUM(PV_DATA[[#This Row],[Pick-Up Date]]),"")</f>
        <v>9</v>
      </c>
      <c r="AD230" s="439" t="s">
        <v>1188</v>
      </c>
      <c r="AE230" s="430"/>
      <c r="AF230" s="430" t="s">
        <v>122</v>
      </c>
      <c r="AG230" s="430" t="s">
        <v>123</v>
      </c>
      <c r="AH230" s="430" t="s">
        <v>356</v>
      </c>
      <c r="AI230" s="437">
        <v>46079</v>
      </c>
      <c r="AJ230" s="437">
        <v>46079</v>
      </c>
      <c r="AK230" s="441">
        <v>46079</v>
      </c>
      <c r="AL230" s="437">
        <v>46132</v>
      </c>
      <c r="AM230" s="437">
        <v>46135</v>
      </c>
      <c r="AN230" s="437">
        <v>46135</v>
      </c>
      <c r="AO230" s="430" t="s">
        <v>402</v>
      </c>
      <c r="AP230" s="430" t="s">
        <v>1189</v>
      </c>
      <c r="AQ230" s="430" t="s">
        <v>80</v>
      </c>
      <c r="AR230" s="430" t="s">
        <v>1190</v>
      </c>
      <c r="AS230" s="430" t="s">
        <v>1191</v>
      </c>
      <c r="AT230" s="482" t="s">
        <v>1191</v>
      </c>
      <c r="AU23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W230" s="437" cm="1">
        <f t="array" ref="AW23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46135</v>
      </c>
      <c r="AX23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30" s="437">
        <f>IF(ISERROR(PV_DATA[[#This Row],[New Ark PO status]]),"",_xlfn.XLOOKUP(PV_DATA[[#This Row],[SPTN-PVHK New Ark PO'#]],New_Ark_Data[Purchase order Number],New_Ark_Data[Estimated time of arrival],"",0))</f>
        <v>46149</v>
      </c>
      <c r="AZ230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230" s="437">
        <f>IFERROR(PV_DATA[[#This Row],[ODP ETA Port]]+PV_DATA[[#This Row],[Customs/Leg3 Assumption]],"n/a")</f>
        <v>46145</v>
      </c>
      <c r="BB230" s="433">
        <f>YEAR(PV_DATA[[#This Row],[ETA for New Ark update]])</f>
        <v>2026</v>
      </c>
      <c r="BC230" s="430">
        <f>MONTH(PV_DATA[[#This Row],[ETA for New Ark update]])</f>
        <v>5</v>
      </c>
      <c r="BD230" s="430">
        <f>IFERROR(_xlfn.ISOWEEKNUM(PV_DATA[[#This Row],[ETA for New Ark update]]),0)</f>
        <v>18</v>
      </c>
      <c r="BE230" s="431">
        <f>_xlfn.XLOOKUP(PV_DATA[[#This Row],[New Ark SKU]],Table9[New Ark SKU],Table9[Total PCS per Pallet],,0)</f>
        <v>36</v>
      </c>
      <c r="BF230" s="431">
        <f>_xlfn.XLOOKUP(PV_DATA[[#This Row],[New Ark SKU]],Table9[New Ark SKU],Table9[Total PCS per 40HQ Container],,0)</f>
        <v>720</v>
      </c>
      <c r="BG230" s="431" t="str">
        <f>_xlfn.XLOOKUP(PV_DATA[[#This Row],[New Ark SKU]],Table9[New Ark SKU],Table9[Back Glass],,0)</f>
        <v>White glazing</v>
      </c>
      <c r="BH230" s="431" t="str">
        <f>_xlfn.XLOOKUP(PV_DATA[[#This Row],[PORT DESTINATION]],Table12[PORT DESTINATION],Table12[Cosco Line],,0)</f>
        <v>AEU</v>
      </c>
      <c r="BJ230" s="430"/>
    </row>
    <row r="231" spans="1:62" ht="10.5" hidden="1">
      <c r="A231" s="462" t="s">
        <v>1192</v>
      </c>
      <c r="B231" s="462" t="s">
        <v>111</v>
      </c>
      <c r="C231" s="462" t="str">
        <f>IFERROR(LEFT(PV_DATA[[#This Row],[TCL REFERENCE]],FIND(".",PV_DATA[[#This Row],[TCL REFERENCE]],1)-1),"Main Line")</f>
        <v>26Feb009</v>
      </c>
      <c r="D231" s="462" t="s">
        <v>63</v>
      </c>
      <c r="E231" s="462" t="s">
        <v>64</v>
      </c>
      <c r="F231" s="462" t="str" cm="1">
        <f t="array" ref="F23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31" s="462" t="s">
        <v>402</v>
      </c>
      <c r="H231" s="462" t="s">
        <v>67</v>
      </c>
      <c r="I231" s="439" t="s">
        <v>689</v>
      </c>
      <c r="J231" s="430" t="s">
        <v>293</v>
      </c>
      <c r="K231" s="430"/>
      <c r="L231" s="430"/>
      <c r="M231" s="430" t="s">
        <v>68</v>
      </c>
      <c r="N231" s="432">
        <v>46069</v>
      </c>
      <c r="O231" s="430" t="s">
        <v>132</v>
      </c>
      <c r="P231" s="430" t="s">
        <v>189</v>
      </c>
      <c r="Q231" s="430" t="s">
        <v>190</v>
      </c>
      <c r="R231" s="431" t="str">
        <f>_xlfn.XLOOKUP(PV_DATA[[#This Row],[New Ark SKU]],Table9[New Ark SKU],Table9[Connector],,0)</f>
        <v>EVO2A</v>
      </c>
      <c r="S231" s="442" t="str">
        <f>_xlfn.XLOOKUP(PV_DATA[[#This Row],[New Ark SKU]],Table9[New Ark SKU],Table9[Cable],,0)</f>
        <v>±1200mm</v>
      </c>
      <c r="T231" s="433">
        <v>465</v>
      </c>
      <c r="U231" s="1062">
        <f>864*5</f>
        <v>4320</v>
      </c>
      <c r="V231" s="434">
        <f>PV_DATA[[#This Row],[QUANTITY]]*PV_DATA[[#This Row],[WATT]]/1000000</f>
        <v>2.0087999999999999</v>
      </c>
      <c r="W231" s="435">
        <f>PV_DATA[[#This Row],[QUANTITY]]/PV_DATA[[#This Row],[Qty/Pallet]]</f>
        <v>120</v>
      </c>
      <c r="X231" s="1015">
        <f>PV_DATA[[#This Row],[QUANTITY]]/PV_DATA[[#This Row],[Qty/CT]]</f>
        <v>5</v>
      </c>
      <c r="Y231" s="430" t="s">
        <v>75</v>
      </c>
      <c r="Z231" s="430" t="str">
        <f t="shared" si="0"/>
        <v>COMPLETED</v>
      </c>
      <c r="AA231" s="430"/>
      <c r="AB231" s="437">
        <v>46077</v>
      </c>
      <c r="AC231" s="438">
        <f>IF(PV_DATA[[#This Row],[Pick-Up Date]]&lt;&gt;"",_xlfn.ISOWEEKNUM(PV_DATA[[#This Row],[Pick-Up Date]]),"")</f>
        <v>9</v>
      </c>
      <c r="AD231" s="439" t="s">
        <v>1193</v>
      </c>
      <c r="AE231" s="430"/>
      <c r="AF231" s="430" t="s">
        <v>122</v>
      </c>
      <c r="AG231" s="430" t="s">
        <v>123</v>
      </c>
      <c r="AH231" s="430" t="s">
        <v>105</v>
      </c>
      <c r="AI231" s="437">
        <v>46088</v>
      </c>
      <c r="AJ231" s="437">
        <v>46086</v>
      </c>
      <c r="AK231" s="441">
        <v>46090</v>
      </c>
      <c r="AL231" s="437">
        <v>46122</v>
      </c>
      <c r="AM231" s="437">
        <v>46141</v>
      </c>
      <c r="AN231" s="437">
        <v>46137</v>
      </c>
      <c r="AO231" s="430" t="s">
        <v>402</v>
      </c>
      <c r="AP231" s="430" t="s">
        <v>850</v>
      </c>
      <c r="AQ231" s="430" t="s">
        <v>80</v>
      </c>
      <c r="AR231" s="430" t="s">
        <v>1194</v>
      </c>
      <c r="AS231" s="430" t="s">
        <v>1195</v>
      </c>
      <c r="AT231" s="482" t="s">
        <v>1195</v>
      </c>
      <c r="AU23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231" s="437" cm="1">
        <f t="array" ref="AW23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46137</v>
      </c>
      <c r="AX23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31" s="437">
        <f>IF(ISERROR(PV_DATA[[#This Row],[New Ark PO status]]),"",_xlfn.XLOOKUP(PV_DATA[[#This Row],[SPTN-PVHK New Ark PO'#]],New_Ark_Data[Purchase order Number],New_Ark_Data[Estimated time of arrival],"",0))</f>
        <v>46150</v>
      </c>
      <c r="AZ231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31" s="437">
        <f>IFERROR(PV_DATA[[#This Row],[ODP ETA Port]]+PV_DATA[[#This Row],[Customs/Leg3 Assumption]],"n/a")</f>
        <v>46144</v>
      </c>
      <c r="BB231" s="433">
        <f>YEAR(PV_DATA[[#This Row],[ETA for New Ark update]])</f>
        <v>2026</v>
      </c>
      <c r="BC231" s="430">
        <f>MONTH(PV_DATA[[#This Row],[ETA for New Ark update]])</f>
        <v>5</v>
      </c>
      <c r="BD231" s="430">
        <f>IFERROR(_xlfn.ISOWEEKNUM(PV_DATA[[#This Row],[ETA for New Ark update]]),0)</f>
        <v>18</v>
      </c>
      <c r="BE231" s="431">
        <f>_xlfn.XLOOKUP(PV_DATA[[#This Row],[New Ark SKU]],Table9[New Ark SKU],Table9[Total PCS per Pallet],,0)</f>
        <v>36</v>
      </c>
      <c r="BF231" s="431">
        <f>_xlfn.XLOOKUP(PV_DATA[[#This Row],[New Ark SKU]],Table9[New Ark SKU],Table9[Total PCS per 40HQ Container],,0)</f>
        <v>864</v>
      </c>
      <c r="BG231" s="431" t="str">
        <f>_xlfn.XLOOKUP(PV_DATA[[#This Row],[New Ark SKU]],Table9[New Ark SKU],Table9[Back Glass],,0)</f>
        <v>White glazing</v>
      </c>
      <c r="BH231" s="431" t="str">
        <f>_xlfn.XLOOKUP(PV_DATA[[#This Row],[PORT DESTINATION]],Table12[PORT DESTINATION],Table12[Cosco Line],,0)</f>
        <v>AEU</v>
      </c>
      <c r="BJ231" s="430"/>
    </row>
    <row r="232" spans="1:62" ht="10.5" hidden="1">
      <c r="A232" s="462" t="s">
        <v>1196</v>
      </c>
      <c r="B232" s="462" t="s">
        <v>111</v>
      </c>
      <c r="C232" s="462" t="str">
        <f>IFERROR(LEFT(PV_DATA[[#This Row],[TCL REFERENCE]],FIND(".",PV_DATA[[#This Row],[TCL REFERENCE]],1)-1),"Main Line")</f>
        <v>26Feb009</v>
      </c>
      <c r="D232" s="462" t="s">
        <v>63</v>
      </c>
      <c r="E232" s="462" t="s">
        <v>64</v>
      </c>
      <c r="F232" s="462" t="str" cm="1">
        <f t="array" ref="F23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32" s="462" t="s">
        <v>402</v>
      </c>
      <c r="H232" s="462" t="s">
        <v>67</v>
      </c>
      <c r="I232" s="439" t="s">
        <v>689</v>
      </c>
      <c r="J232" s="430" t="s">
        <v>1197</v>
      </c>
      <c r="K232" s="430"/>
      <c r="L232" s="430"/>
      <c r="M232" s="430" t="s">
        <v>68</v>
      </c>
      <c r="N232" s="432">
        <v>46055</v>
      </c>
      <c r="O232" s="430" t="s">
        <v>132</v>
      </c>
      <c r="P232" s="430" t="s">
        <v>189</v>
      </c>
      <c r="Q232" s="430" t="s">
        <v>190</v>
      </c>
      <c r="R232" s="431" t="str">
        <f>_xlfn.XLOOKUP(PV_DATA[[#This Row],[New Ark SKU]],Table9[New Ark SKU],Table9[Connector],,0)</f>
        <v>EVO2A</v>
      </c>
      <c r="S232" s="442" t="str">
        <f>_xlfn.XLOOKUP(PV_DATA[[#This Row],[New Ark SKU]],Table9[New Ark SKU],Table9[Cable],,0)</f>
        <v>±1200mm</v>
      </c>
      <c r="T232" s="433">
        <v>465</v>
      </c>
      <c r="U232" s="1062">
        <f>864*6</f>
        <v>5184</v>
      </c>
      <c r="V232" s="434">
        <f>PV_DATA[[#This Row],[QUANTITY]]*PV_DATA[[#This Row],[WATT]]/1000000</f>
        <v>2.4105599999999998</v>
      </c>
      <c r="W232" s="435">
        <f>PV_DATA[[#This Row],[QUANTITY]]/PV_DATA[[#This Row],[Qty/Pallet]]</f>
        <v>144</v>
      </c>
      <c r="X232" s="1015">
        <f>PV_DATA[[#This Row],[QUANTITY]]/PV_DATA[[#This Row],[Qty/CT]]</f>
        <v>6</v>
      </c>
      <c r="Y232" s="430" t="s">
        <v>75</v>
      </c>
      <c r="Z232" s="430" t="str">
        <f t="shared" si="0"/>
        <v>COMPLETED</v>
      </c>
      <c r="AA232" s="430"/>
      <c r="AB232" s="437">
        <v>46079</v>
      </c>
      <c r="AC232" s="438">
        <f>IF(PV_DATA[[#This Row],[Pick-Up Date]]&lt;&gt;"",_xlfn.ISOWEEKNUM(PV_DATA[[#This Row],[Pick-Up Date]]),"")</f>
        <v>9</v>
      </c>
      <c r="AD232" s="439" t="s">
        <v>1198</v>
      </c>
      <c r="AE232" s="430"/>
      <c r="AF232" s="430" t="s">
        <v>122</v>
      </c>
      <c r="AG232" s="430" t="s">
        <v>123</v>
      </c>
      <c r="AH232" s="430" t="s">
        <v>105</v>
      </c>
      <c r="AI232" s="437">
        <v>46088</v>
      </c>
      <c r="AJ232" s="437">
        <v>46086</v>
      </c>
      <c r="AK232" s="441">
        <v>46090</v>
      </c>
      <c r="AL232" s="437">
        <v>46122</v>
      </c>
      <c r="AM232" s="437">
        <v>46141</v>
      </c>
      <c r="AN232" s="437">
        <v>46137</v>
      </c>
      <c r="AO232" s="430" t="s">
        <v>402</v>
      </c>
      <c r="AP232" s="430" t="s">
        <v>1199</v>
      </c>
      <c r="AQ232" s="430" t="s">
        <v>80</v>
      </c>
      <c r="AR232" s="430" t="s">
        <v>1194</v>
      </c>
      <c r="AS232" s="430" t="s">
        <v>1195</v>
      </c>
      <c r="AT232" s="482" t="s">
        <v>1195</v>
      </c>
      <c r="AU23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232" s="437" cm="1">
        <f t="array" ref="AW23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46137</v>
      </c>
      <c r="AX23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32" s="437">
        <f>IF(ISERROR(PV_DATA[[#This Row],[New Ark PO status]]),"",_xlfn.XLOOKUP(PV_DATA[[#This Row],[SPTN-PVHK New Ark PO'#]],New_Ark_Data[Purchase order Number],New_Ark_Data[Estimated time of arrival],"",0))</f>
        <v>46150</v>
      </c>
      <c r="AZ23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32" s="437">
        <f>IFERROR(PV_DATA[[#This Row],[ODP ETA Port]]+PV_DATA[[#This Row],[Customs/Leg3 Assumption]],"n/a")</f>
        <v>46144</v>
      </c>
      <c r="BB232" s="433">
        <f>YEAR(PV_DATA[[#This Row],[ETA for New Ark update]])</f>
        <v>2026</v>
      </c>
      <c r="BC232" s="430">
        <f>MONTH(PV_DATA[[#This Row],[ETA for New Ark update]])</f>
        <v>5</v>
      </c>
      <c r="BD232" s="430">
        <f>IFERROR(_xlfn.ISOWEEKNUM(PV_DATA[[#This Row],[ETA for New Ark update]]),0)</f>
        <v>18</v>
      </c>
      <c r="BE232" s="431">
        <f>_xlfn.XLOOKUP(PV_DATA[[#This Row],[New Ark SKU]],Table9[New Ark SKU],Table9[Total PCS per Pallet],,0)</f>
        <v>36</v>
      </c>
      <c r="BF232" s="431">
        <f>_xlfn.XLOOKUP(PV_DATA[[#This Row],[New Ark SKU]],Table9[New Ark SKU],Table9[Total PCS per 40HQ Container],,0)</f>
        <v>864</v>
      </c>
      <c r="BG232" s="431" t="str">
        <f>_xlfn.XLOOKUP(PV_DATA[[#This Row],[New Ark SKU]],Table9[New Ark SKU],Table9[Back Glass],,0)</f>
        <v>White glazing</v>
      </c>
      <c r="BH232" s="431" t="str">
        <f>_xlfn.XLOOKUP(PV_DATA[[#This Row],[PORT DESTINATION]],Table12[PORT DESTINATION],Table12[Cosco Line],,0)</f>
        <v>AEU</v>
      </c>
      <c r="BJ232" s="430"/>
    </row>
    <row r="233" spans="1:62" ht="10.5" hidden="1">
      <c r="A233" s="462" t="s">
        <v>1200</v>
      </c>
      <c r="B233" s="462" t="s">
        <v>111</v>
      </c>
      <c r="C233" s="462" t="str">
        <f>IFERROR(LEFT(PV_DATA[[#This Row],[TCL REFERENCE]],FIND(".",PV_DATA[[#This Row],[TCL REFERENCE]],1)-1),"Main Line")</f>
        <v>26Feb010</v>
      </c>
      <c r="D233" s="462" t="s">
        <v>63</v>
      </c>
      <c r="E233" s="462" t="s">
        <v>64</v>
      </c>
      <c r="F233" s="462" t="str" cm="1">
        <f t="array" ref="F23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33" s="462" t="s">
        <v>402</v>
      </c>
      <c r="H233" s="462" t="s">
        <v>67</v>
      </c>
      <c r="I233" s="439" t="s">
        <v>689</v>
      </c>
      <c r="J233" s="430" t="s">
        <v>101</v>
      </c>
      <c r="K233" s="430"/>
      <c r="L233" s="430"/>
      <c r="M233" s="430" t="s">
        <v>68</v>
      </c>
      <c r="N233" s="432" t="s">
        <v>68</v>
      </c>
      <c r="O233" s="430" t="s">
        <v>132</v>
      </c>
      <c r="P233" s="430" t="s">
        <v>1062</v>
      </c>
      <c r="Q233" s="430" t="s">
        <v>1063</v>
      </c>
      <c r="R233" s="431" t="str">
        <f>_xlfn.XLOOKUP(PV_DATA[[#This Row],[New Ark SKU]],Table9[New Ark SKU],Table9[Connector],,0)</f>
        <v>EVO2A</v>
      </c>
      <c r="S233" s="442" t="str">
        <f>_xlfn.XLOOKUP(PV_DATA[[#This Row],[New Ark SKU]],Table9[New Ark SKU],Table9[Cable],,0)</f>
        <v>±1200mm</v>
      </c>
      <c r="T233" s="433">
        <v>470</v>
      </c>
      <c r="U233" s="1062">
        <v>864</v>
      </c>
      <c r="V233" s="434">
        <f>PV_DATA[[#This Row],[QUANTITY]]*PV_DATA[[#This Row],[WATT]]/1000000</f>
        <v>0.40608</v>
      </c>
      <c r="W233" s="435">
        <f>PV_DATA[[#This Row],[QUANTITY]]/PV_DATA[[#This Row],[Qty/Pallet]]</f>
        <v>24</v>
      </c>
      <c r="X233" s="1015">
        <f>PV_DATA[[#This Row],[QUANTITY]]/PV_DATA[[#This Row],[Qty/CT]]</f>
        <v>1</v>
      </c>
      <c r="Y233" s="430" t="s">
        <v>75</v>
      </c>
      <c r="Z233" s="430" t="str">
        <f t="shared" si="0"/>
        <v>COMPLETED</v>
      </c>
      <c r="AA233" s="430"/>
      <c r="AB233" s="437">
        <v>46079</v>
      </c>
      <c r="AC233" s="438">
        <f>IF(PV_DATA[[#This Row],[Pick-Up Date]]&lt;&gt;"",_xlfn.ISOWEEKNUM(PV_DATA[[#This Row],[Pick-Up Date]]),"")</f>
        <v>9</v>
      </c>
      <c r="AD233" s="439" t="s">
        <v>1201</v>
      </c>
      <c r="AE233" s="430"/>
      <c r="AF233" s="430" t="s">
        <v>122</v>
      </c>
      <c r="AG233" s="430" t="s">
        <v>123</v>
      </c>
      <c r="AH233" s="430" t="s">
        <v>105</v>
      </c>
      <c r="AI233" s="437">
        <v>46088</v>
      </c>
      <c r="AJ233" s="437">
        <v>46086</v>
      </c>
      <c r="AK233" s="441">
        <v>46090</v>
      </c>
      <c r="AL233" s="437">
        <v>46122</v>
      </c>
      <c r="AM233" s="437">
        <v>46141</v>
      </c>
      <c r="AN233" s="437">
        <v>46137</v>
      </c>
      <c r="AO233" s="430" t="s">
        <v>402</v>
      </c>
      <c r="AP233" s="430" t="s">
        <v>1199</v>
      </c>
      <c r="AQ233" s="430" t="s">
        <v>80</v>
      </c>
      <c r="AR233" s="430" t="s">
        <v>1194</v>
      </c>
      <c r="AS233" s="430" t="s">
        <v>1195</v>
      </c>
      <c r="AT233" s="482" t="s">
        <v>1195</v>
      </c>
      <c r="AU23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233" s="437" cm="1">
        <f t="array" ref="AW23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46137</v>
      </c>
      <c r="AX23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33" s="437">
        <f>IF(ISERROR(PV_DATA[[#This Row],[New Ark PO status]]),"",_xlfn.XLOOKUP(PV_DATA[[#This Row],[SPTN-PVHK New Ark PO'#]],New_Ark_Data[Purchase order Number],New_Ark_Data[Estimated time of arrival],"",0))</f>
        <v>46150</v>
      </c>
      <c r="AZ23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33" s="437">
        <f>IFERROR(PV_DATA[[#This Row],[ODP ETA Port]]+PV_DATA[[#This Row],[Customs/Leg3 Assumption]],"n/a")</f>
        <v>46144</v>
      </c>
      <c r="BB233" s="433">
        <f>YEAR(PV_DATA[[#This Row],[ETA for New Ark update]])</f>
        <v>2026</v>
      </c>
      <c r="BC233" s="430">
        <f>MONTH(PV_DATA[[#This Row],[ETA for New Ark update]])</f>
        <v>5</v>
      </c>
      <c r="BD233" s="430">
        <f>IFERROR(_xlfn.ISOWEEKNUM(PV_DATA[[#This Row],[ETA for New Ark update]]),0)</f>
        <v>18</v>
      </c>
      <c r="BE233" s="431">
        <f>_xlfn.XLOOKUP(PV_DATA[[#This Row],[New Ark SKU]],Table9[New Ark SKU],Table9[Total PCS per Pallet],,0)</f>
        <v>36</v>
      </c>
      <c r="BF233" s="431">
        <f>_xlfn.XLOOKUP(PV_DATA[[#This Row],[New Ark SKU]],Table9[New Ark SKU],Table9[Total PCS per 40HQ Container],,0)</f>
        <v>864</v>
      </c>
      <c r="BG233" s="431" t="str">
        <f>_xlfn.XLOOKUP(PV_DATA[[#This Row],[New Ark SKU]],Table9[New Ark SKU],Table9[Back Glass],,0)</f>
        <v>White glazing</v>
      </c>
      <c r="BH233" s="431" t="str">
        <f>_xlfn.XLOOKUP(PV_DATA[[#This Row],[PORT DESTINATION]],Table12[PORT DESTINATION],Table12[Cosco Line],,0)</f>
        <v>AEU</v>
      </c>
      <c r="BJ233" s="430"/>
    </row>
    <row r="234" spans="1:62" ht="10.5" hidden="1">
      <c r="A234" s="462" t="s">
        <v>1202</v>
      </c>
      <c r="B234" s="462" t="s">
        <v>111</v>
      </c>
      <c r="C234" s="462" t="str">
        <f>IFERROR(LEFT(PV_DATA[[#This Row],[TCL REFERENCE]],FIND(".",PV_DATA[[#This Row],[TCL REFERENCE]],1)-1),"Main Line")</f>
        <v>26Feb009</v>
      </c>
      <c r="D234" s="462" t="s">
        <v>63</v>
      </c>
      <c r="E234" s="462" t="s">
        <v>64</v>
      </c>
      <c r="F234" s="462" t="str" cm="1">
        <f t="array" ref="F23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234" s="462" t="s">
        <v>402</v>
      </c>
      <c r="H234" s="462" t="s">
        <v>451</v>
      </c>
      <c r="I234" s="439" t="s">
        <v>689</v>
      </c>
      <c r="J234" s="430" t="s">
        <v>1203</v>
      </c>
      <c r="K234" s="430"/>
      <c r="L234" s="430"/>
      <c r="M234" s="430" t="s">
        <v>68</v>
      </c>
      <c r="N234" s="432">
        <v>46069</v>
      </c>
      <c r="O234" s="430" t="s">
        <v>132</v>
      </c>
      <c r="P234" s="430" t="s">
        <v>189</v>
      </c>
      <c r="Q234" s="430" t="s">
        <v>190</v>
      </c>
      <c r="R234" s="431" t="str">
        <f>_xlfn.XLOOKUP(PV_DATA[[#This Row],[New Ark SKU]],Table9[New Ark SKU],Table9[Connector],,0)</f>
        <v>EVO2A</v>
      </c>
      <c r="S234" s="442" t="str">
        <f>_xlfn.XLOOKUP(PV_DATA[[#This Row],[New Ark SKU]],Table9[New Ark SKU],Table9[Cable],,0)</f>
        <v>±1200mm</v>
      </c>
      <c r="T234" s="433">
        <v>465</v>
      </c>
      <c r="U234" s="1062">
        <f>864*1</f>
        <v>864</v>
      </c>
      <c r="V234" s="434">
        <f>PV_DATA[[#This Row],[QUANTITY]]*PV_DATA[[#This Row],[WATT]]/1000000</f>
        <v>0.40176000000000001</v>
      </c>
      <c r="W234" s="435">
        <f>PV_DATA[[#This Row],[QUANTITY]]/PV_DATA[[#This Row],[Qty/Pallet]]</f>
        <v>24</v>
      </c>
      <c r="X234" s="1015">
        <f>PV_DATA[[#This Row],[QUANTITY]]/PV_DATA[[#This Row],[Qty/CT]]</f>
        <v>1</v>
      </c>
      <c r="Y234" s="430" t="s">
        <v>75</v>
      </c>
      <c r="Z234" s="430" t="str">
        <f t="shared" si="0"/>
        <v>COMPLETED</v>
      </c>
      <c r="AA234" s="430"/>
      <c r="AB234" s="437">
        <v>46077</v>
      </c>
      <c r="AC234" s="438">
        <f>IF(PV_DATA[[#This Row],[Pick-Up Date]]&lt;&gt;"",_xlfn.ISOWEEKNUM(PV_DATA[[#This Row],[Pick-Up Date]]),"")</f>
        <v>9</v>
      </c>
      <c r="AD234" s="439" t="s">
        <v>1204</v>
      </c>
      <c r="AE234" s="430"/>
      <c r="AF234" s="430" t="s">
        <v>122</v>
      </c>
      <c r="AG234" s="430" t="s">
        <v>123</v>
      </c>
      <c r="AH234" s="430" t="s">
        <v>456</v>
      </c>
      <c r="AI234" s="437">
        <v>46083</v>
      </c>
      <c r="AJ234" s="437">
        <v>46082</v>
      </c>
      <c r="AK234" s="441">
        <v>46082</v>
      </c>
      <c r="AL234" s="437">
        <v>46124</v>
      </c>
      <c r="AM234" s="437">
        <v>46131</v>
      </c>
      <c r="AN234" s="437">
        <v>46131</v>
      </c>
      <c r="AO234" s="430" t="s">
        <v>402</v>
      </c>
      <c r="AP234" s="430" t="s">
        <v>1205</v>
      </c>
      <c r="AQ234" s="430" t="s">
        <v>80</v>
      </c>
      <c r="AR234" s="430" t="s">
        <v>1206</v>
      </c>
      <c r="AS234" s="430" t="s">
        <v>1207</v>
      </c>
      <c r="AT234" s="482" t="s">
        <v>1207</v>
      </c>
      <c r="AU23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W234" s="437" cm="1">
        <f t="array" ref="AW23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46131</v>
      </c>
      <c r="AX23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34" s="437">
        <f>IF(ISERROR(PV_DATA[[#This Row],[New Ark PO status]]),"",_xlfn.XLOOKUP(PV_DATA[[#This Row],[SPTN-PVHK New Ark PO'#]],New_Ark_Data[Purchase order Number],New_Ark_Data[Estimated time of arrival],"",0))</f>
        <v>46146</v>
      </c>
      <c r="AZ23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34" s="437">
        <f>IFERROR(PV_DATA[[#This Row],[ODP ETA Port]]+PV_DATA[[#This Row],[Customs/Leg3 Assumption]],"n/a")</f>
        <v>46138</v>
      </c>
      <c r="BB234" s="433">
        <f>YEAR(PV_DATA[[#This Row],[ETA for New Ark update]])</f>
        <v>2026</v>
      </c>
      <c r="BC234" s="430">
        <f>MONTH(PV_DATA[[#This Row],[ETA for New Ark update]])</f>
        <v>4</v>
      </c>
      <c r="BD234" s="430">
        <f>IFERROR(_xlfn.ISOWEEKNUM(PV_DATA[[#This Row],[ETA for New Ark update]]),0)</f>
        <v>17</v>
      </c>
      <c r="BE234" s="431">
        <f>_xlfn.XLOOKUP(PV_DATA[[#This Row],[New Ark SKU]],Table9[New Ark SKU],Table9[Total PCS per Pallet],,0)</f>
        <v>36</v>
      </c>
      <c r="BF234" s="431">
        <f>_xlfn.XLOOKUP(PV_DATA[[#This Row],[New Ark SKU]],Table9[New Ark SKU],Table9[Total PCS per 40HQ Container],,0)</f>
        <v>864</v>
      </c>
      <c r="BG234" s="431" t="str">
        <f>_xlfn.XLOOKUP(PV_DATA[[#This Row],[New Ark SKU]],Table9[New Ark SKU],Table9[Back Glass],,0)</f>
        <v>White glazing</v>
      </c>
      <c r="BH234" s="431" t="str">
        <f>_xlfn.XLOOKUP(PV_DATA[[#This Row],[PORT DESTINATION]],Table12[PORT DESTINATION],Table12[Cosco Line],,0)</f>
        <v>AEU</v>
      </c>
      <c r="BJ234" s="430"/>
    </row>
    <row r="235" spans="1:62" ht="10.5" hidden="1">
      <c r="A235" s="462" t="s">
        <v>1208</v>
      </c>
      <c r="B235" s="462" t="s">
        <v>111</v>
      </c>
      <c r="C235" s="462" t="str">
        <f>IFERROR(LEFT(PV_DATA[[#This Row],[TCL REFERENCE]],FIND(".",PV_DATA[[#This Row],[TCL REFERENCE]],1)-1),"Main Line")</f>
        <v>26Mar026</v>
      </c>
      <c r="D235" s="462" t="s">
        <v>113</v>
      </c>
      <c r="E235" s="462" t="s">
        <v>64</v>
      </c>
      <c r="F235" s="462" t="str" cm="1">
        <f t="array" ref="F23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235" s="462" t="s">
        <v>402</v>
      </c>
      <c r="H235" s="462" t="s">
        <v>67</v>
      </c>
      <c r="I235" s="439" t="s">
        <v>822</v>
      </c>
      <c r="J235" s="430" t="s">
        <v>1184</v>
      </c>
      <c r="K235" s="430" t="s">
        <v>328</v>
      </c>
      <c r="L235" s="430"/>
      <c r="M235" s="430" t="s">
        <v>68</v>
      </c>
      <c r="N235" s="432">
        <v>46045</v>
      </c>
      <c r="O235" s="430" t="s">
        <v>713</v>
      </c>
      <c r="P235" s="430" t="s">
        <v>1185</v>
      </c>
      <c r="Q235" s="430" t="s">
        <v>1186</v>
      </c>
      <c r="R235" s="431" t="str">
        <f>_xlfn.XLOOKUP(PV_DATA[[#This Row],[New Ark SKU]],Table9[New Ark SKU],Table9[Connector],,0)</f>
        <v>EVO2A</v>
      </c>
      <c r="S235" s="442" t="str">
        <f>_xlfn.XLOOKUP(PV_DATA[[#This Row],[New Ark SKU]],Table9[New Ark SKU],Table9[Cable],,0)</f>
        <v>±1500mm</v>
      </c>
      <c r="T235" s="433">
        <v>615</v>
      </c>
      <c r="U235" s="1062">
        <v>720</v>
      </c>
      <c r="V235" s="434">
        <f>PV_DATA[[#This Row],[QUANTITY]]*PV_DATA[[#This Row],[WATT]]/1000000</f>
        <v>0.44280000000000003</v>
      </c>
      <c r="W235" s="435">
        <f>PV_DATA[[#This Row],[QUANTITY]]/PV_DATA[[#This Row],[Qty/Pallet]]</f>
        <v>20</v>
      </c>
      <c r="X235" s="1015">
        <f>PV_DATA[[#This Row],[QUANTITY]]/PV_DATA[[#This Row],[Qty/CT]]</f>
        <v>1</v>
      </c>
      <c r="Y235" s="430" t="s">
        <v>75</v>
      </c>
      <c r="Z235" s="430" t="str">
        <f t="shared" si="0"/>
        <v>COMPLETED</v>
      </c>
      <c r="AA235" s="430"/>
      <c r="AB235" s="437">
        <v>46078</v>
      </c>
      <c r="AC235" s="438">
        <f>IF(PV_DATA[[#This Row],[Pick-Up Date]]&lt;&gt;"",_xlfn.ISOWEEKNUM(PV_DATA[[#This Row],[Pick-Up Date]]),"")</f>
        <v>9</v>
      </c>
      <c r="AD235" s="439" t="s">
        <v>1209</v>
      </c>
      <c r="AE235" s="430"/>
      <c r="AF235" s="430" t="s">
        <v>122</v>
      </c>
      <c r="AG235" s="430" t="s">
        <v>123</v>
      </c>
      <c r="AH235" s="430" t="s">
        <v>356</v>
      </c>
      <c r="AI235" s="437">
        <v>46089</v>
      </c>
      <c r="AJ235" s="437">
        <v>46088</v>
      </c>
      <c r="AK235" s="441">
        <v>46089</v>
      </c>
      <c r="AL235" s="437">
        <v>46126</v>
      </c>
      <c r="AM235" s="437">
        <v>46126</v>
      </c>
      <c r="AN235" s="437">
        <v>46124</v>
      </c>
      <c r="AO235" s="430" t="s">
        <v>402</v>
      </c>
      <c r="AP235" s="430" t="s">
        <v>899</v>
      </c>
      <c r="AQ235" s="430" t="s">
        <v>80</v>
      </c>
      <c r="AR235" s="430" t="s">
        <v>900</v>
      </c>
      <c r="AS235" s="430" t="s">
        <v>901</v>
      </c>
      <c r="AT235" s="482" t="s">
        <v>901</v>
      </c>
      <c r="AU23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35</v>
      </c>
      <c r="AW235" s="437" cm="1">
        <f t="array" ref="AW23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46124</v>
      </c>
      <c r="AX23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35" s="437">
        <f>IF(ISERROR(PV_DATA[[#This Row],[New Ark PO status]]),"",_xlfn.XLOOKUP(PV_DATA[[#This Row],[SPTN-PVHK New Ark PO'#]],New_Ark_Data[Purchase order Number],New_Ark_Data[Estimated time of arrival],"",0))</f>
        <v>46133</v>
      </c>
      <c r="AZ235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235" s="437">
        <f>IFERROR(PV_DATA[[#This Row],[ODP ETA Port]]+PV_DATA[[#This Row],[Customs/Leg3 Assumption]],"n/a")</f>
        <v>46134</v>
      </c>
      <c r="BB235" s="433">
        <f>YEAR(PV_DATA[[#This Row],[ETA for New Ark update]])</f>
        <v>2026</v>
      </c>
      <c r="BC235" s="430">
        <f>MONTH(PV_DATA[[#This Row],[ETA for New Ark update]])</f>
        <v>4</v>
      </c>
      <c r="BD235" s="430">
        <f>IFERROR(_xlfn.ISOWEEKNUM(PV_DATA[[#This Row],[ETA for New Ark update]]),0)</f>
        <v>17</v>
      </c>
      <c r="BE235" s="431">
        <f>_xlfn.XLOOKUP(PV_DATA[[#This Row],[New Ark SKU]],Table9[New Ark SKU],Table9[Total PCS per Pallet],,0)</f>
        <v>36</v>
      </c>
      <c r="BF235" s="431">
        <f>_xlfn.XLOOKUP(PV_DATA[[#This Row],[New Ark SKU]],Table9[New Ark SKU],Table9[Total PCS per 40HQ Container],,0)</f>
        <v>720</v>
      </c>
      <c r="BG235" s="431" t="str">
        <f>_xlfn.XLOOKUP(PV_DATA[[#This Row],[New Ark SKU]],Table9[New Ark SKU],Table9[Back Glass],,0)</f>
        <v>White glazing</v>
      </c>
      <c r="BH235" s="431" t="str">
        <f>_xlfn.XLOOKUP(PV_DATA[[#This Row],[PORT DESTINATION]],Table12[PORT DESTINATION],Table12[Cosco Line],,0)</f>
        <v>AEU</v>
      </c>
      <c r="BJ235" s="430"/>
    </row>
    <row r="236" spans="1:62" ht="10.5" hidden="1">
      <c r="A236" s="462" t="s">
        <v>1210</v>
      </c>
      <c r="B236" s="462" t="s">
        <v>111</v>
      </c>
      <c r="C236" s="462" t="str">
        <f>IFERROR(LEFT(PV_DATA[[#This Row],[TCL REFERENCE]],FIND(".",PV_DATA[[#This Row],[TCL REFERENCE]],1)-1),"Main Line")</f>
        <v>26Feb015</v>
      </c>
      <c r="D236" s="462" t="s">
        <v>63</v>
      </c>
      <c r="E236" s="462" t="s">
        <v>64</v>
      </c>
      <c r="F236" s="462" t="str" cm="1">
        <f t="array" ref="F23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36" s="462" t="s">
        <v>402</v>
      </c>
      <c r="H236" s="462" t="s">
        <v>67</v>
      </c>
      <c r="I236" s="439" t="s">
        <v>689</v>
      </c>
      <c r="J236" s="430" t="s">
        <v>101</v>
      </c>
      <c r="K236" s="430"/>
      <c r="L236" s="430"/>
      <c r="M236" s="430" t="s">
        <v>68</v>
      </c>
      <c r="N236" s="432">
        <v>46048</v>
      </c>
      <c r="O236" s="430" t="s">
        <v>132</v>
      </c>
      <c r="P236" s="430" t="s">
        <v>133</v>
      </c>
      <c r="Q236" s="430" t="s">
        <v>134</v>
      </c>
      <c r="R236" s="431" t="str">
        <f>_xlfn.XLOOKUP(PV_DATA[[#This Row],[New Ark SKU]],Table9[New Ark SKU],Table9[Connector],,0)</f>
        <v>EVO2A</v>
      </c>
      <c r="S236" s="442" t="str">
        <f>_xlfn.XLOOKUP(PV_DATA[[#This Row],[New Ark SKU]],Table9[New Ark SKU],Table9[Cable],,0)</f>
        <v>±1400mm</v>
      </c>
      <c r="T236" s="433">
        <v>720</v>
      </c>
      <c r="U236" s="1062">
        <f>594*5</f>
        <v>2970</v>
      </c>
      <c r="V236" s="434">
        <f>PV_DATA[[#This Row],[QUANTITY]]*PV_DATA[[#This Row],[WATT]]/1000000</f>
        <v>2.1383999999999999</v>
      </c>
      <c r="W236" s="435">
        <f>PV_DATA[[#This Row],[QUANTITY]]/PV_DATA[[#This Row],[Qty/Pallet]]</f>
        <v>90</v>
      </c>
      <c r="X236" s="1015">
        <f>PV_DATA[[#This Row],[QUANTITY]]/PV_DATA[[#This Row],[Qty/CT]]</f>
        <v>5</v>
      </c>
      <c r="Y236" s="430" t="s">
        <v>75</v>
      </c>
      <c r="Z236" s="430" t="str">
        <f t="shared" si="0"/>
        <v>COMPLETED</v>
      </c>
      <c r="AA236" s="430"/>
      <c r="AB236" s="437">
        <v>46082</v>
      </c>
      <c r="AC236" s="438">
        <f>IF(PV_DATA[[#This Row],[Pick-Up Date]]&lt;&gt;"",_xlfn.ISOWEEKNUM(PV_DATA[[#This Row],[Pick-Up Date]]),"")</f>
        <v>9</v>
      </c>
      <c r="AD236" s="439" t="s">
        <v>1211</v>
      </c>
      <c r="AE236" s="430"/>
      <c r="AF236" s="430" t="s">
        <v>122</v>
      </c>
      <c r="AG236" s="430" t="s">
        <v>123</v>
      </c>
      <c r="AH236" s="430" t="s">
        <v>105</v>
      </c>
      <c r="AI236" s="437">
        <v>46091</v>
      </c>
      <c r="AJ236" s="437">
        <v>46096</v>
      </c>
      <c r="AK236" s="441">
        <v>46097</v>
      </c>
      <c r="AL236" s="437">
        <v>46127</v>
      </c>
      <c r="AM236" s="437">
        <v>46137</v>
      </c>
      <c r="AN236" s="437">
        <v>46137</v>
      </c>
      <c r="AO236" s="430" t="s">
        <v>402</v>
      </c>
      <c r="AP236" s="430" t="s">
        <v>1212</v>
      </c>
      <c r="AQ236" s="430" t="s">
        <v>80</v>
      </c>
      <c r="AR236" s="430" t="s">
        <v>1213</v>
      </c>
      <c r="AS236" s="430" t="s">
        <v>1214</v>
      </c>
      <c r="AT236" s="482" t="s">
        <v>1214</v>
      </c>
      <c r="AU23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W236" s="437" cm="1">
        <f t="array" ref="AW23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46137</v>
      </c>
      <c r="AX23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36" s="437">
        <f>IF(ISERROR(PV_DATA[[#This Row],[New Ark PO status]]),"",_xlfn.XLOOKUP(PV_DATA[[#This Row],[SPTN-PVHK New Ark PO'#]],New_Ark_Data[Purchase order Number],New_Ark_Data[Estimated time of arrival],"",0))</f>
        <v>46150</v>
      </c>
      <c r="AZ23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36" s="437">
        <f>IFERROR(PV_DATA[[#This Row],[ODP ETA Port]]+PV_DATA[[#This Row],[Customs/Leg3 Assumption]],"n/a")</f>
        <v>46144</v>
      </c>
      <c r="BB236" s="433">
        <f>YEAR(PV_DATA[[#This Row],[ETA for New Ark update]])</f>
        <v>2026</v>
      </c>
      <c r="BC236" s="430">
        <f>MONTH(PV_DATA[[#This Row],[ETA for New Ark update]])</f>
        <v>5</v>
      </c>
      <c r="BD236" s="430">
        <f>IFERROR(_xlfn.ISOWEEKNUM(PV_DATA[[#This Row],[ETA for New Ark update]]),0)</f>
        <v>18</v>
      </c>
      <c r="BE236" s="431">
        <f>_xlfn.XLOOKUP(PV_DATA[[#This Row],[New Ark SKU]],Table9[New Ark SKU],Table9[Total PCS per Pallet],,0)</f>
        <v>33</v>
      </c>
      <c r="BF236" s="431">
        <f>_xlfn.XLOOKUP(PV_DATA[[#This Row],[New Ark SKU]],Table9[New Ark SKU],Table9[Total PCS per 40HQ Container],,0)</f>
        <v>594</v>
      </c>
      <c r="BG236" s="431" t="str">
        <f>_xlfn.XLOOKUP(PV_DATA[[#This Row],[New Ark SKU]],Table9[New Ark SKU],Table9[Back Glass],,0)</f>
        <v>White glazing</v>
      </c>
      <c r="BH236" s="431" t="str">
        <f>_xlfn.XLOOKUP(PV_DATA[[#This Row],[PORT DESTINATION]],Table12[PORT DESTINATION],Table12[Cosco Line],,0)</f>
        <v>AEU</v>
      </c>
      <c r="BJ236" s="430"/>
    </row>
    <row r="237" spans="1:62" ht="10.5" hidden="1">
      <c r="A237" s="462" t="s">
        <v>1215</v>
      </c>
      <c r="B237" s="462" t="s">
        <v>111</v>
      </c>
      <c r="C237" s="462" t="str">
        <f>IFERROR(LEFT(PV_DATA[[#This Row],[TCL REFERENCE]],FIND(".",PV_DATA[[#This Row],[TCL REFERENCE]],1)-1),"Main Line")</f>
        <v>26Feb010</v>
      </c>
      <c r="D237" s="462" t="s">
        <v>63</v>
      </c>
      <c r="E237" s="462" t="s">
        <v>64</v>
      </c>
      <c r="F237" s="462" t="str" cm="1">
        <f t="array" ref="F23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37" s="462" t="s">
        <v>402</v>
      </c>
      <c r="H237" s="462" t="s">
        <v>67</v>
      </c>
      <c r="I237" s="439" t="s">
        <v>689</v>
      </c>
      <c r="J237" s="430" t="s">
        <v>101</v>
      </c>
      <c r="K237" s="430"/>
      <c r="L237" s="430"/>
      <c r="M237" s="430" t="s">
        <v>68</v>
      </c>
      <c r="N237" s="432">
        <v>46076</v>
      </c>
      <c r="O237" s="430" t="s">
        <v>132</v>
      </c>
      <c r="P237" s="430" t="s">
        <v>1062</v>
      </c>
      <c r="Q237" s="430" t="s">
        <v>1063</v>
      </c>
      <c r="R237" s="431" t="str">
        <f>_xlfn.XLOOKUP(PV_DATA[[#This Row],[New Ark SKU]],Table9[New Ark SKU],Table9[Connector],,0)</f>
        <v>EVO2A</v>
      </c>
      <c r="S237" s="442" t="str">
        <f>_xlfn.XLOOKUP(PV_DATA[[#This Row],[New Ark SKU]],Table9[New Ark SKU],Table9[Cable],,0)</f>
        <v>±1200mm</v>
      </c>
      <c r="T237" s="433">
        <v>470</v>
      </c>
      <c r="U237" s="1062">
        <f>864*4</f>
        <v>3456</v>
      </c>
      <c r="V237" s="434">
        <f>PV_DATA[[#This Row],[QUANTITY]]*PV_DATA[[#This Row],[WATT]]/1000000</f>
        <v>1.62432</v>
      </c>
      <c r="W237" s="435">
        <f>PV_DATA[[#This Row],[QUANTITY]]/PV_DATA[[#This Row],[Qty/Pallet]]</f>
        <v>96</v>
      </c>
      <c r="X237" s="1015">
        <f>PV_DATA[[#This Row],[QUANTITY]]/PV_DATA[[#This Row],[Qty/CT]]</f>
        <v>4</v>
      </c>
      <c r="Y237" s="430" t="s">
        <v>75</v>
      </c>
      <c r="Z237" s="430" t="str">
        <f t="shared" si="0"/>
        <v>COMPLETED</v>
      </c>
      <c r="AA237" s="430"/>
      <c r="AB237" s="437">
        <v>46082</v>
      </c>
      <c r="AC237" s="438">
        <f>IF(PV_DATA[[#This Row],[Pick-Up Date]]&lt;&gt;"",_xlfn.ISOWEEKNUM(PV_DATA[[#This Row],[Pick-Up Date]]),"")</f>
        <v>9</v>
      </c>
      <c r="AD237" s="439" t="s">
        <v>1216</v>
      </c>
      <c r="AE237" s="430"/>
      <c r="AF237" s="430" t="s">
        <v>122</v>
      </c>
      <c r="AG237" s="430" t="s">
        <v>123</v>
      </c>
      <c r="AH237" s="430" t="s">
        <v>105</v>
      </c>
      <c r="AI237" s="437">
        <v>46091</v>
      </c>
      <c r="AJ237" s="437">
        <v>46096</v>
      </c>
      <c r="AK237" s="441">
        <v>46096</v>
      </c>
      <c r="AL237" s="437">
        <v>46126</v>
      </c>
      <c r="AM237" s="437">
        <v>46142</v>
      </c>
      <c r="AN237" s="437">
        <v>46141</v>
      </c>
      <c r="AO237" s="430" t="s">
        <v>402</v>
      </c>
      <c r="AP237" s="430" t="s">
        <v>872</v>
      </c>
      <c r="AQ237" s="430" t="s">
        <v>80</v>
      </c>
      <c r="AR237" s="430" t="s">
        <v>909</v>
      </c>
      <c r="AS237" s="430" t="s">
        <v>910</v>
      </c>
      <c r="AT237" s="482" t="s">
        <v>910</v>
      </c>
      <c r="AU23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237" s="437" cm="1">
        <f t="array" ref="AW23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3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37" s="437">
        <f>IF(ISERROR(PV_DATA[[#This Row],[New Ark PO status]]),"",_xlfn.XLOOKUP(PV_DATA[[#This Row],[SPTN-PVHK New Ark PO'#]],New_Ark_Data[Purchase order Number],New_Ark_Data[Estimated time of arrival],"",0))</f>
        <v>46163</v>
      </c>
      <c r="AZ237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37" s="437">
        <f>IFERROR(PV_DATA[[#This Row],[ODP ETA Port]]+PV_DATA[[#This Row],[Customs/Leg3 Assumption]],"n/a")</f>
        <v>46148</v>
      </c>
      <c r="BB237" s="433">
        <f>YEAR(PV_DATA[[#This Row],[ETA for New Ark update]])</f>
        <v>2026</v>
      </c>
      <c r="BC237" s="430">
        <f>MONTH(PV_DATA[[#This Row],[ETA for New Ark update]])</f>
        <v>5</v>
      </c>
      <c r="BD237" s="430">
        <f>IFERROR(_xlfn.ISOWEEKNUM(PV_DATA[[#This Row],[ETA for New Ark update]]),0)</f>
        <v>19</v>
      </c>
      <c r="BE237" s="431">
        <f>_xlfn.XLOOKUP(PV_DATA[[#This Row],[New Ark SKU]],Table9[New Ark SKU],Table9[Total PCS per Pallet],,0)</f>
        <v>36</v>
      </c>
      <c r="BF237" s="431">
        <f>_xlfn.XLOOKUP(PV_DATA[[#This Row],[New Ark SKU]],Table9[New Ark SKU],Table9[Total PCS per 40HQ Container],,0)</f>
        <v>864</v>
      </c>
      <c r="BG237" s="431" t="str">
        <f>_xlfn.XLOOKUP(PV_DATA[[#This Row],[New Ark SKU]],Table9[New Ark SKU],Table9[Back Glass],,0)</f>
        <v>White glazing</v>
      </c>
      <c r="BH237" s="431" t="str">
        <f>_xlfn.XLOOKUP(PV_DATA[[#This Row],[PORT DESTINATION]],Table12[PORT DESTINATION],Table12[Cosco Line],,0)</f>
        <v>AEU</v>
      </c>
      <c r="BJ237" s="430"/>
    </row>
    <row r="238" spans="1:62" ht="10.5" hidden="1">
      <c r="A238" s="462" t="s">
        <v>1217</v>
      </c>
      <c r="B238" s="462" t="s">
        <v>111</v>
      </c>
      <c r="C238" s="462" t="str">
        <f>IFERROR(LEFT(PV_DATA[[#This Row],[TCL REFERENCE]],FIND(".",PV_DATA[[#This Row],[TCL REFERENCE]],1)-1),"Main Line")</f>
        <v>26Feb015</v>
      </c>
      <c r="D238" s="462" t="s">
        <v>63</v>
      </c>
      <c r="E238" s="462" t="s">
        <v>64</v>
      </c>
      <c r="F238" s="462" t="str" cm="1">
        <f t="array" ref="F23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38" s="462" t="s">
        <v>402</v>
      </c>
      <c r="H238" s="462" t="s">
        <v>67</v>
      </c>
      <c r="I238" s="439" t="s">
        <v>689</v>
      </c>
      <c r="J238" s="430" t="s">
        <v>101</v>
      </c>
      <c r="K238" s="430"/>
      <c r="L238" s="430"/>
      <c r="M238" s="430" t="s">
        <v>68</v>
      </c>
      <c r="N238" s="432">
        <v>46048</v>
      </c>
      <c r="O238" s="430" t="s">
        <v>132</v>
      </c>
      <c r="P238" s="430" t="s">
        <v>133</v>
      </c>
      <c r="Q238" s="430" t="s">
        <v>134</v>
      </c>
      <c r="R238" s="431" t="str">
        <f>_xlfn.XLOOKUP(PV_DATA[[#This Row],[New Ark SKU]],Table9[New Ark SKU],Table9[Connector],,0)</f>
        <v>EVO2A</v>
      </c>
      <c r="S238" s="442" t="str">
        <f>_xlfn.XLOOKUP(PV_DATA[[#This Row],[New Ark SKU]],Table9[New Ark SKU],Table9[Cable],,0)</f>
        <v>±1400mm</v>
      </c>
      <c r="T238" s="433">
        <v>720</v>
      </c>
      <c r="U238" s="1062">
        <f>594*2</f>
        <v>1188</v>
      </c>
      <c r="V238" s="434">
        <f>PV_DATA[[#This Row],[QUANTITY]]*PV_DATA[[#This Row],[WATT]]/1000000</f>
        <v>0.85536000000000001</v>
      </c>
      <c r="W238" s="435">
        <f>PV_DATA[[#This Row],[QUANTITY]]/PV_DATA[[#This Row],[Qty/Pallet]]</f>
        <v>36</v>
      </c>
      <c r="X238" s="1015">
        <f>PV_DATA[[#This Row],[QUANTITY]]/PV_DATA[[#This Row],[Qty/CT]]</f>
        <v>2</v>
      </c>
      <c r="Y238" s="430" t="s">
        <v>75</v>
      </c>
      <c r="Z238" s="430" t="str">
        <f t="shared" si="0"/>
        <v>COMPLETED</v>
      </c>
      <c r="AA238" s="430"/>
      <c r="AB238" s="437">
        <v>46082</v>
      </c>
      <c r="AC238" s="438">
        <f>IF(PV_DATA[[#This Row],[Pick-Up Date]]&lt;&gt;"",_xlfn.ISOWEEKNUM(PV_DATA[[#This Row],[Pick-Up Date]]),"")</f>
        <v>9</v>
      </c>
      <c r="AD238" s="439" t="s">
        <v>1218</v>
      </c>
      <c r="AE238" s="430"/>
      <c r="AF238" s="430" t="s">
        <v>122</v>
      </c>
      <c r="AG238" s="430" t="s">
        <v>123</v>
      </c>
      <c r="AH238" s="430" t="s">
        <v>105</v>
      </c>
      <c r="AI238" s="437">
        <v>46091</v>
      </c>
      <c r="AJ238" s="437">
        <v>46096</v>
      </c>
      <c r="AK238" s="441">
        <v>46096</v>
      </c>
      <c r="AL238" s="437">
        <v>46126</v>
      </c>
      <c r="AM238" s="437">
        <v>46142</v>
      </c>
      <c r="AN238" s="437">
        <v>46141</v>
      </c>
      <c r="AO238" s="430" t="s">
        <v>402</v>
      </c>
      <c r="AP238" s="430" t="s">
        <v>872</v>
      </c>
      <c r="AQ238" s="430" t="s">
        <v>80</v>
      </c>
      <c r="AR238" s="430" t="s">
        <v>909</v>
      </c>
      <c r="AS238" s="430" t="s">
        <v>910</v>
      </c>
      <c r="AT238" s="482" t="s">
        <v>910</v>
      </c>
      <c r="AU23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238" s="437" cm="1">
        <f t="array" ref="AW23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3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38" s="437">
        <f>IF(ISERROR(PV_DATA[[#This Row],[New Ark PO status]]),"",_xlfn.XLOOKUP(PV_DATA[[#This Row],[SPTN-PVHK New Ark PO'#]],New_Ark_Data[Purchase order Number],New_Ark_Data[Estimated time of arrival],"",0))</f>
        <v>46163</v>
      </c>
      <c r="AZ238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38" s="437">
        <f>IFERROR(PV_DATA[[#This Row],[ODP ETA Port]]+PV_DATA[[#This Row],[Customs/Leg3 Assumption]],"n/a")</f>
        <v>46148</v>
      </c>
      <c r="BB238" s="433">
        <f>YEAR(PV_DATA[[#This Row],[ETA for New Ark update]])</f>
        <v>2026</v>
      </c>
      <c r="BC238" s="430">
        <f>MONTH(PV_DATA[[#This Row],[ETA for New Ark update]])</f>
        <v>5</v>
      </c>
      <c r="BD238" s="430">
        <f>IFERROR(_xlfn.ISOWEEKNUM(PV_DATA[[#This Row],[ETA for New Ark update]]),0)</f>
        <v>19</v>
      </c>
      <c r="BE238" s="431">
        <f>_xlfn.XLOOKUP(PV_DATA[[#This Row],[New Ark SKU]],Table9[New Ark SKU],Table9[Total PCS per Pallet],,0)</f>
        <v>33</v>
      </c>
      <c r="BF238" s="431">
        <f>_xlfn.XLOOKUP(PV_DATA[[#This Row],[New Ark SKU]],Table9[New Ark SKU],Table9[Total PCS per 40HQ Container],,0)</f>
        <v>594</v>
      </c>
      <c r="BG238" s="431" t="str">
        <f>_xlfn.XLOOKUP(PV_DATA[[#This Row],[New Ark SKU]],Table9[New Ark SKU],Table9[Back Glass],,0)</f>
        <v>White glazing</v>
      </c>
      <c r="BH238" s="431" t="str">
        <f>_xlfn.XLOOKUP(PV_DATA[[#This Row],[PORT DESTINATION]],Table12[PORT DESTINATION],Table12[Cosco Line],,0)</f>
        <v>AEU</v>
      </c>
      <c r="BJ238" s="430"/>
    </row>
    <row r="239" spans="1:62" ht="10.5" hidden="1">
      <c r="A239" s="462" t="s">
        <v>1219</v>
      </c>
      <c r="B239" s="462" t="s">
        <v>111</v>
      </c>
      <c r="C239" s="462" t="str">
        <f>IFERROR(LEFT(PV_DATA[[#This Row],[TCL REFERENCE]],FIND(".",PV_DATA[[#This Row],[TCL REFERENCE]],1)-1),"Main Line")</f>
        <v>Main Line</v>
      </c>
      <c r="D239" s="462" t="s">
        <v>63</v>
      </c>
      <c r="E239" s="462" t="s">
        <v>64</v>
      </c>
      <c r="F239" s="462" t="str" cm="1">
        <f t="array" ref="F23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239" s="462" t="s">
        <v>402</v>
      </c>
      <c r="H239" s="462" t="s">
        <v>67</v>
      </c>
      <c r="I239" s="439" t="s">
        <v>882</v>
      </c>
      <c r="J239" s="430" t="s">
        <v>1220</v>
      </c>
      <c r="K239" s="430"/>
      <c r="L239" s="430"/>
      <c r="M239" s="430" t="s">
        <v>68</v>
      </c>
      <c r="N239" s="432">
        <v>46045</v>
      </c>
      <c r="O239" s="430" t="s">
        <v>713</v>
      </c>
      <c r="P239" s="430" t="s">
        <v>1221</v>
      </c>
      <c r="Q239" s="430" t="s">
        <v>1222</v>
      </c>
      <c r="R239" s="431" t="str">
        <f>_xlfn.XLOOKUP(PV_DATA[[#This Row],[New Ark SKU]],Table9[New Ark SKU],Table9[Connector],,0)</f>
        <v>EVO2A</v>
      </c>
      <c r="S239" s="442" t="str">
        <f>_xlfn.XLOOKUP(PV_DATA[[#This Row],[New Ark SKU]],Table9[New Ark SKU],Table9[Cable],,0)</f>
        <v>±1500mm</v>
      </c>
      <c r="T239" s="433">
        <v>545</v>
      </c>
      <c r="U239" s="1062">
        <v>3498</v>
      </c>
      <c r="V239" s="434">
        <f>PV_DATA[[#This Row],[QUANTITY]]*PV_DATA[[#This Row],[WATT]]/1000000</f>
        <v>1.9064099999999999</v>
      </c>
      <c r="W239" s="435">
        <f>PV_DATA[[#This Row],[QUANTITY]]/PV_DATA[[#This Row],[Qty/Pallet]]</f>
        <v>106</v>
      </c>
      <c r="X239" s="1015">
        <f>PV_DATA[[#This Row],[QUANTITY]]/PV_DATA[[#This Row],[Qty/CT]]</f>
        <v>5.3</v>
      </c>
      <c r="Y239" s="430" t="s">
        <v>75</v>
      </c>
      <c r="Z239" s="430" t="str">
        <f t="shared" si="0"/>
        <v>COMPLETED</v>
      </c>
      <c r="AA239" s="430"/>
      <c r="AB239" s="437">
        <v>46082</v>
      </c>
      <c r="AC239" s="438">
        <f>IF(PV_DATA[[#This Row],[Pick-Up Date]]&lt;&gt;"",_xlfn.ISOWEEKNUM(PV_DATA[[#This Row],[Pick-Up Date]]),"")</f>
        <v>9</v>
      </c>
      <c r="AD239" s="439" t="s">
        <v>1223</v>
      </c>
      <c r="AE239" s="430"/>
      <c r="AF239" s="430" t="s">
        <v>122</v>
      </c>
      <c r="AG239" s="430" t="s">
        <v>123</v>
      </c>
      <c r="AH239" s="430" t="s">
        <v>78</v>
      </c>
      <c r="AI239" s="437">
        <v>46092</v>
      </c>
      <c r="AJ239" s="437">
        <v>46092</v>
      </c>
      <c r="AK239" s="441">
        <v>46094</v>
      </c>
      <c r="AL239" s="437">
        <v>46143</v>
      </c>
      <c r="AM239" s="437">
        <v>46144</v>
      </c>
      <c r="AN239" s="437">
        <v>46144</v>
      </c>
      <c r="AO239" s="430" t="s">
        <v>402</v>
      </c>
      <c r="AP239" s="430" t="s">
        <v>1224</v>
      </c>
      <c r="AQ239" s="430" t="s">
        <v>80</v>
      </c>
      <c r="AR239" s="430" t="s">
        <v>1225</v>
      </c>
      <c r="AS239" s="430" t="s">
        <v>1226</v>
      </c>
      <c r="AT239" s="482" t="s">
        <v>1226</v>
      </c>
      <c r="AU23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239" s="437" cm="1">
        <f t="array" ref="AW23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46144</v>
      </c>
      <c r="AX23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39" s="437">
        <f>IF(ISERROR(PV_DATA[[#This Row],[New Ark PO status]]),"",_xlfn.XLOOKUP(PV_DATA[[#This Row],[SPTN-PVHK New Ark PO'#]],New_Ark_Data[Purchase order Number],New_Ark_Data[Estimated time of arrival],"",0))</f>
        <v>46160</v>
      </c>
      <c r="AZ239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239" s="437">
        <f>IFERROR(PV_DATA[[#This Row],[ODP ETA Port]]+PV_DATA[[#This Row],[Customs/Leg3 Assumption]],"n/a")</f>
        <v>46152</v>
      </c>
      <c r="BB239" s="433">
        <f>YEAR(PV_DATA[[#This Row],[ETA for New Ark update]])</f>
        <v>2026</v>
      </c>
      <c r="BC239" s="430">
        <f>MONTH(PV_DATA[[#This Row],[ETA for New Ark update]])</f>
        <v>5</v>
      </c>
      <c r="BD239" s="430">
        <f>IFERROR(_xlfn.ISOWEEKNUM(PV_DATA[[#This Row],[ETA for New Ark update]]),0)</f>
        <v>19</v>
      </c>
      <c r="BE239" s="431">
        <f>_xlfn.XLOOKUP(PV_DATA[[#This Row],[New Ark SKU]],Table9[New Ark SKU],Table9[Total PCS per Pallet],,0)</f>
        <v>33</v>
      </c>
      <c r="BF239" s="431">
        <f>_xlfn.XLOOKUP(PV_DATA[[#This Row],[New Ark SKU]],Table9[New Ark SKU],Table9[Total PCS per 40HQ Container],,0)</f>
        <v>660</v>
      </c>
      <c r="BG239" s="431" t="str">
        <f>_xlfn.XLOOKUP(PV_DATA[[#This Row],[New Ark SKU]],Table9[New Ark SKU],Table9[Back Glass],,0)</f>
        <v>White glazing</v>
      </c>
      <c r="BH239" s="431" t="str">
        <f>_xlfn.XLOOKUP(PV_DATA[[#This Row],[PORT DESTINATION]],Table12[PORT DESTINATION],Table12[Cosco Line],,0)</f>
        <v>AEM</v>
      </c>
      <c r="BJ239" s="430"/>
    </row>
    <row r="240" spans="1:62" ht="10.5" hidden="1">
      <c r="A240" s="462" t="s">
        <v>1227</v>
      </c>
      <c r="B240" s="462" t="s">
        <v>111</v>
      </c>
      <c r="C240" s="462" t="str">
        <f>IFERROR(LEFT(PV_DATA[[#This Row],[TCL REFERENCE]],FIND(".",PV_DATA[[#This Row],[TCL REFERENCE]],1)-1),"Main Line")</f>
        <v>Main Line</v>
      </c>
      <c r="D240" s="462" t="s">
        <v>63</v>
      </c>
      <c r="E240" s="462" t="s">
        <v>64</v>
      </c>
      <c r="F240" s="462" t="str" cm="1">
        <f t="array" ref="F24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240" s="462" t="s">
        <v>402</v>
      </c>
      <c r="H240" s="462" t="s">
        <v>67</v>
      </c>
      <c r="I240" s="439" t="s">
        <v>882</v>
      </c>
      <c r="J240" s="430" t="s">
        <v>1228</v>
      </c>
      <c r="K240" s="430"/>
      <c r="L240" s="430"/>
      <c r="M240" s="430" t="s">
        <v>68</v>
      </c>
      <c r="N240" s="432">
        <v>46045</v>
      </c>
      <c r="O240" s="430" t="s">
        <v>713</v>
      </c>
      <c r="P240" s="430" t="s">
        <v>462</v>
      </c>
      <c r="Q240" s="430" t="s">
        <v>1229</v>
      </c>
      <c r="R240" s="431" t="str">
        <f>_xlfn.XLOOKUP(PV_DATA[[#This Row],[New Ark SKU]],Table9[New Ark SKU],Table9[Connector],,0)</f>
        <v>EVO2A</v>
      </c>
      <c r="S240" s="442" t="str">
        <f>_xlfn.XLOOKUP(PV_DATA[[#This Row],[New Ark SKU]],Table9[New Ark SKU],Table9[Cable],,0)</f>
        <v>±1500mm</v>
      </c>
      <c r="T240" s="433">
        <v>550</v>
      </c>
      <c r="U240" s="1062">
        <v>462</v>
      </c>
      <c r="V240" s="434">
        <f>PV_DATA[[#This Row],[QUANTITY]]*PV_DATA[[#This Row],[WATT]]/1000000</f>
        <v>0.25409999999999999</v>
      </c>
      <c r="W240" s="435">
        <f>PV_DATA[[#This Row],[QUANTITY]]/PV_DATA[[#This Row],[Qty/Pallet]]</f>
        <v>14</v>
      </c>
      <c r="X240" s="1015">
        <f>PV_DATA[[#This Row],[QUANTITY]]/PV_DATA[[#This Row],[Qty/CT]]</f>
        <v>0.7</v>
      </c>
      <c r="Y240" s="430" t="s">
        <v>75</v>
      </c>
      <c r="Z240" s="430" t="str">
        <f t="shared" si="0"/>
        <v>COMPLETED</v>
      </c>
      <c r="AA240" s="430"/>
      <c r="AB240" s="437">
        <v>46082</v>
      </c>
      <c r="AC240" s="438">
        <f>IF(PV_DATA[[#This Row],[Pick-Up Date]]&lt;&gt;"",_xlfn.ISOWEEKNUM(PV_DATA[[#This Row],[Pick-Up Date]]),"")</f>
        <v>9</v>
      </c>
      <c r="AD240" s="439" t="s">
        <v>1230</v>
      </c>
      <c r="AE240" s="430"/>
      <c r="AF240" s="430" t="s">
        <v>122</v>
      </c>
      <c r="AG240" s="430" t="s">
        <v>123</v>
      </c>
      <c r="AH240" s="430" t="s">
        <v>78</v>
      </c>
      <c r="AI240" s="437">
        <v>46092</v>
      </c>
      <c r="AJ240" s="437">
        <v>46092</v>
      </c>
      <c r="AK240" s="441">
        <v>46094</v>
      </c>
      <c r="AL240" s="437">
        <v>46143</v>
      </c>
      <c r="AM240" s="437">
        <v>46144</v>
      </c>
      <c r="AN240" s="437">
        <v>46144</v>
      </c>
      <c r="AO240" s="430" t="s">
        <v>402</v>
      </c>
      <c r="AP240" s="430" t="s">
        <v>1224</v>
      </c>
      <c r="AQ240" s="430" t="s">
        <v>80</v>
      </c>
      <c r="AR240" s="430" t="s">
        <v>1225</v>
      </c>
      <c r="AS240" s="430" t="s">
        <v>1226</v>
      </c>
      <c r="AT240" s="482" t="s">
        <v>1226</v>
      </c>
      <c r="AU24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240" s="437" cm="1">
        <f t="array" ref="AW24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46144</v>
      </c>
      <c r="AX24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40" s="437">
        <f>IF(ISERROR(PV_DATA[[#This Row],[New Ark PO status]]),"",_xlfn.XLOOKUP(PV_DATA[[#This Row],[SPTN-PVHK New Ark PO'#]],New_Ark_Data[Purchase order Number],New_Ark_Data[Estimated time of arrival],"",0))</f>
        <v>46160</v>
      </c>
      <c r="AZ240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240" s="437">
        <f>IFERROR(PV_DATA[[#This Row],[ODP ETA Port]]+PV_DATA[[#This Row],[Customs/Leg3 Assumption]],"n/a")</f>
        <v>46152</v>
      </c>
      <c r="BB240" s="433">
        <f>YEAR(PV_DATA[[#This Row],[ETA for New Ark update]])</f>
        <v>2026</v>
      </c>
      <c r="BC240" s="430">
        <f>MONTH(PV_DATA[[#This Row],[ETA for New Ark update]])</f>
        <v>5</v>
      </c>
      <c r="BD240" s="430">
        <f>IFERROR(_xlfn.ISOWEEKNUM(PV_DATA[[#This Row],[ETA for New Ark update]]),0)</f>
        <v>19</v>
      </c>
      <c r="BE240" s="431">
        <f>_xlfn.XLOOKUP(PV_DATA[[#This Row],[New Ark SKU]],Table9[New Ark SKU],Table9[Total PCS per Pallet],,0)</f>
        <v>33</v>
      </c>
      <c r="BF240" s="431">
        <f>_xlfn.XLOOKUP(PV_DATA[[#This Row],[New Ark SKU]],Table9[New Ark SKU],Table9[Total PCS per 40HQ Container],,0)</f>
        <v>660</v>
      </c>
      <c r="BG240" s="431" t="str">
        <f>_xlfn.XLOOKUP(PV_DATA[[#This Row],[New Ark SKU]],Table9[New Ark SKU],Table9[Back Glass],,0)</f>
        <v>White glazing</v>
      </c>
      <c r="BH240" s="431" t="str">
        <f>_xlfn.XLOOKUP(PV_DATA[[#This Row],[PORT DESTINATION]],Table12[PORT DESTINATION],Table12[Cosco Line],,0)</f>
        <v>AEM</v>
      </c>
      <c r="BJ240" s="430"/>
    </row>
    <row r="241" spans="1:62" ht="10.5" hidden="1">
      <c r="A241" s="462" t="s">
        <v>1231</v>
      </c>
      <c r="B241" s="462" t="s">
        <v>61</v>
      </c>
      <c r="C241" s="462" t="str">
        <f>IFERROR(LEFT(PV_DATA[[#This Row],[TCL REFERENCE]],FIND(".",PV_DATA[[#This Row],[TCL REFERENCE]],1)-1),"Main Line")</f>
        <v>Main Line</v>
      </c>
      <c r="D241" s="462" t="s">
        <v>63</v>
      </c>
      <c r="E241" s="462" t="s">
        <v>144</v>
      </c>
      <c r="F241" s="462" t="str" cm="1">
        <f t="array" ref="F24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41" s="462" t="s">
        <v>402</v>
      </c>
      <c r="H241" s="462" t="s">
        <v>538</v>
      </c>
      <c r="I241" s="439" t="s">
        <v>882</v>
      </c>
      <c r="J241" s="430" t="s">
        <v>1232</v>
      </c>
      <c r="K241" s="430" t="s">
        <v>1233</v>
      </c>
      <c r="L241" s="430"/>
      <c r="M241" s="430" t="s">
        <v>840</v>
      </c>
      <c r="N241" s="432">
        <v>46045</v>
      </c>
      <c r="O241" s="430" t="s">
        <v>1032</v>
      </c>
      <c r="P241" s="430" t="s">
        <v>1234</v>
      </c>
      <c r="Q241" s="430" t="s">
        <v>1235</v>
      </c>
      <c r="R241" s="431" t="str">
        <f>_xlfn.XLOOKUP(PV_DATA[[#This Row],[New Ark SKU]],Table9[New Ark SKU],Table9[Connector],,0)</f>
        <v>EVO2A</v>
      </c>
      <c r="S241" s="442" t="str">
        <f>_xlfn.XLOOKUP(PV_DATA[[#This Row],[New Ark SKU]],Table9[New Ark SKU],Table9[Cable],,0)</f>
        <v>±1400mm</v>
      </c>
      <c r="T241" s="433">
        <v>440</v>
      </c>
      <c r="U241" s="1062">
        <v>4392</v>
      </c>
      <c r="V241" s="434">
        <f>PV_DATA[[#This Row],[QUANTITY]]*PV_DATA[[#This Row],[WATT]]/1000000</f>
        <v>1.93248</v>
      </c>
      <c r="W241" s="435">
        <f>PV_DATA[[#This Row],[QUANTITY]]/PV_DATA[[#This Row],[Qty/Pallet]]</f>
        <v>122</v>
      </c>
      <c r="X241" s="1015">
        <f>PV_DATA[[#This Row],[QUANTITY]]/PV_DATA[[#This Row],[Qty/CT]]</f>
        <v>4.6923076923076925</v>
      </c>
      <c r="Y241" s="430" t="s">
        <v>75</v>
      </c>
      <c r="Z241" s="430" t="str">
        <f t="shared" si="0"/>
        <v>COMPLETED</v>
      </c>
      <c r="AA241" s="430"/>
      <c r="AB241" s="437">
        <v>46081</v>
      </c>
      <c r="AC241" s="438">
        <f>IF(PV_DATA[[#This Row],[Pick-Up Date]]&lt;&gt;"",_xlfn.ISOWEEKNUM(PV_DATA[[#This Row],[Pick-Up Date]]),"")</f>
        <v>9</v>
      </c>
      <c r="AD241" s="439" t="s">
        <v>1236</v>
      </c>
      <c r="AE241" s="430"/>
      <c r="AF241" s="430" t="s">
        <v>77</v>
      </c>
      <c r="AG241" s="430" t="s">
        <v>61</v>
      </c>
      <c r="AH241" s="430" t="s">
        <v>541</v>
      </c>
      <c r="AI241" s="437">
        <v>46088</v>
      </c>
      <c r="AJ241" s="437">
        <v>46091</v>
      </c>
      <c r="AK241" s="441">
        <v>46090</v>
      </c>
      <c r="AL241" s="437">
        <v>46154</v>
      </c>
      <c r="AM241" s="437">
        <v>46168</v>
      </c>
      <c r="AN241" s="437">
        <v>46164</v>
      </c>
      <c r="AO241" s="430" t="s">
        <v>402</v>
      </c>
      <c r="AP241" s="430" t="s">
        <v>1237</v>
      </c>
      <c r="AQ241" s="430" t="s">
        <v>161</v>
      </c>
      <c r="AR241" s="430" t="s">
        <v>1238</v>
      </c>
      <c r="AS241" s="430" t="s">
        <v>1239</v>
      </c>
      <c r="AT241" s="482" t="s">
        <v>1239</v>
      </c>
      <c r="AU24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74</v>
      </c>
      <c r="AW241" s="437" cm="1">
        <f t="array" ref="AW24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46164</v>
      </c>
      <c r="AX24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41" s="437">
        <f>IF(ISERROR(PV_DATA[[#This Row],[New Ark PO status]]),"",_xlfn.XLOOKUP(PV_DATA[[#This Row],[SPTN-PVHK New Ark PO'#]],New_Ark_Data[Purchase order Number],New_Ark_Data[Estimated time of arrival],"",0))</f>
        <v>46168</v>
      </c>
      <c r="AZ241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41" s="437">
        <f>IFERROR(PV_DATA[[#This Row],[ODP ETA Port]]+PV_DATA[[#This Row],[Customs/Leg3 Assumption]],"n/a")</f>
        <v>46164</v>
      </c>
      <c r="BB241" s="433">
        <f>YEAR(PV_DATA[[#This Row],[ETA for New Ark update]])</f>
        <v>2026</v>
      </c>
      <c r="BC241" s="430">
        <f>MONTH(PV_DATA[[#This Row],[ETA for New Ark update]])</f>
        <v>5</v>
      </c>
      <c r="BD241" s="430">
        <f>IFERROR(_xlfn.ISOWEEKNUM(PV_DATA[[#This Row],[ETA for New Ark update]]),0)</f>
        <v>21</v>
      </c>
      <c r="BE241" s="431">
        <f>_xlfn.XLOOKUP(PV_DATA[[#This Row],[New Ark SKU]],Table9[New Ark SKU],Table9[Total PCS per Pallet],,0)</f>
        <v>36</v>
      </c>
      <c r="BF241" s="431">
        <f>_xlfn.XLOOKUP(PV_DATA[[#This Row],[New Ark SKU]],Table9[New Ark SKU],Table9[Total PCS per 40HQ Container],,0)</f>
        <v>936</v>
      </c>
      <c r="BG241" s="431" t="str">
        <f>_xlfn.XLOOKUP(PV_DATA[[#This Row],[New Ark SKU]],Table9[New Ark SKU],Table9[Back Glass],,0)</f>
        <v>Black glazing</v>
      </c>
      <c r="BH241" s="431" t="str">
        <f>_xlfn.XLOOKUP(PV_DATA[[#This Row],[PORT DESTINATION]],Table12[PORT DESTINATION],Table12[Cosco Line],,0)</f>
        <v>AEU</v>
      </c>
      <c r="BJ241" s="430"/>
    </row>
    <row r="242" spans="1:62" ht="10.5" hidden="1">
      <c r="A242" s="462" t="s">
        <v>1240</v>
      </c>
      <c r="B242" s="462" t="s">
        <v>61</v>
      </c>
      <c r="C242" s="462" t="str">
        <f>IFERROR(LEFT(PV_DATA[[#This Row],[TCL REFERENCE]],FIND(".",PV_DATA[[#This Row],[TCL REFERENCE]],1)-1),"Main Line")</f>
        <v>Main Line</v>
      </c>
      <c r="D242" s="462" t="s">
        <v>63</v>
      </c>
      <c r="E242" s="462" t="s">
        <v>144</v>
      </c>
      <c r="F242" s="462" t="str" cm="1">
        <f t="array" ref="F24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42" s="462" t="s">
        <v>402</v>
      </c>
      <c r="H242" s="462" t="s">
        <v>538</v>
      </c>
      <c r="I242" s="439" t="s">
        <v>882</v>
      </c>
      <c r="J242" s="430" t="s">
        <v>1232</v>
      </c>
      <c r="K242" s="430" t="s">
        <v>1233</v>
      </c>
      <c r="L242" s="430"/>
      <c r="M242" s="430" t="s">
        <v>840</v>
      </c>
      <c r="N242" s="432">
        <v>46045</v>
      </c>
      <c r="O242" s="430" t="s">
        <v>1032</v>
      </c>
      <c r="P242" s="430" t="s">
        <v>570</v>
      </c>
      <c r="Q242" s="430" t="s">
        <v>571</v>
      </c>
      <c r="R242" s="431" t="str">
        <f>_xlfn.XLOOKUP(PV_DATA[[#This Row],[New Ark SKU]],Table9[New Ark SKU],Table9[Connector],,0)</f>
        <v>EVO2A</v>
      </c>
      <c r="S242" s="442" t="str">
        <f>_xlfn.XLOOKUP(PV_DATA[[#This Row],[New Ark SKU]],Table9[New Ark SKU],Table9[Cable],,0)</f>
        <v>±1400mm</v>
      </c>
      <c r="T242" s="433">
        <v>445</v>
      </c>
      <c r="U242" s="1062">
        <v>8352</v>
      </c>
      <c r="V242" s="434">
        <f>PV_DATA[[#This Row],[QUANTITY]]*PV_DATA[[#This Row],[WATT]]/1000000</f>
        <v>3.7166399999999999</v>
      </c>
      <c r="W242" s="435">
        <f>PV_DATA[[#This Row],[QUANTITY]]/PV_DATA[[#This Row],[Qty/Pallet]]</f>
        <v>232</v>
      </c>
      <c r="X242" s="1015">
        <f>PV_DATA[[#This Row],[QUANTITY]]/PV_DATA[[#This Row],[Qty/CT]]</f>
        <v>8.9230769230769234</v>
      </c>
      <c r="Y242" s="430" t="s">
        <v>75</v>
      </c>
      <c r="Z242" s="430" t="str">
        <f t="shared" si="0"/>
        <v>COMPLETED</v>
      </c>
      <c r="AA242" s="430"/>
      <c r="AB242" s="437">
        <v>46081</v>
      </c>
      <c r="AC242" s="438">
        <f>IF(PV_DATA[[#This Row],[Pick-Up Date]]&lt;&gt;"",_xlfn.ISOWEEKNUM(PV_DATA[[#This Row],[Pick-Up Date]]),"")</f>
        <v>9</v>
      </c>
      <c r="AD242" s="439" t="s">
        <v>1241</v>
      </c>
      <c r="AE242" s="430"/>
      <c r="AF242" s="430" t="s">
        <v>77</v>
      </c>
      <c r="AG242" s="430" t="s">
        <v>61</v>
      </c>
      <c r="AH242" s="430" t="s">
        <v>541</v>
      </c>
      <c r="AI242" s="437">
        <v>46088</v>
      </c>
      <c r="AJ242" s="437">
        <v>46091</v>
      </c>
      <c r="AK242" s="441">
        <v>46090</v>
      </c>
      <c r="AL242" s="437">
        <v>46154</v>
      </c>
      <c r="AM242" s="437">
        <v>46168</v>
      </c>
      <c r="AN242" s="437">
        <v>46164</v>
      </c>
      <c r="AO242" s="430" t="s">
        <v>402</v>
      </c>
      <c r="AP242" s="430" t="s">
        <v>1237</v>
      </c>
      <c r="AQ242" s="430" t="s">
        <v>161</v>
      </c>
      <c r="AR242" s="430" t="s">
        <v>1238</v>
      </c>
      <c r="AS242" s="430" t="s">
        <v>1239</v>
      </c>
      <c r="AT242" s="482" t="s">
        <v>1239</v>
      </c>
      <c r="AU24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74</v>
      </c>
      <c r="AW242" s="437" cm="1">
        <f t="array" ref="AW24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46164</v>
      </c>
      <c r="AX24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42" s="437">
        <f>IF(ISERROR(PV_DATA[[#This Row],[New Ark PO status]]),"",_xlfn.XLOOKUP(PV_DATA[[#This Row],[SPTN-PVHK New Ark PO'#]],New_Ark_Data[Purchase order Number],New_Ark_Data[Estimated time of arrival],"",0))</f>
        <v>46168</v>
      </c>
      <c r="AZ242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42" s="437">
        <f>IFERROR(PV_DATA[[#This Row],[ODP ETA Port]]+PV_DATA[[#This Row],[Customs/Leg3 Assumption]],"n/a")</f>
        <v>46164</v>
      </c>
      <c r="BB242" s="433">
        <f>YEAR(PV_DATA[[#This Row],[ETA for New Ark update]])</f>
        <v>2026</v>
      </c>
      <c r="BC242" s="430">
        <f>MONTH(PV_DATA[[#This Row],[ETA for New Ark update]])</f>
        <v>5</v>
      </c>
      <c r="BD242" s="430">
        <f>IFERROR(_xlfn.ISOWEEKNUM(PV_DATA[[#This Row],[ETA for New Ark update]]),0)</f>
        <v>21</v>
      </c>
      <c r="BE242" s="431">
        <f>_xlfn.XLOOKUP(PV_DATA[[#This Row],[New Ark SKU]],Table9[New Ark SKU],Table9[Total PCS per Pallet],,0)</f>
        <v>36</v>
      </c>
      <c r="BF242" s="431">
        <f>_xlfn.XLOOKUP(PV_DATA[[#This Row],[New Ark SKU]],Table9[New Ark SKU],Table9[Total PCS per 40HQ Container],,0)</f>
        <v>936</v>
      </c>
      <c r="BG242" s="431" t="str">
        <f>_xlfn.XLOOKUP(PV_DATA[[#This Row],[New Ark SKU]],Table9[New Ark SKU],Table9[Back Glass],,0)</f>
        <v>Transparent</v>
      </c>
      <c r="BH242" s="431" t="str">
        <f>_xlfn.XLOOKUP(PV_DATA[[#This Row],[PORT DESTINATION]],Table12[PORT DESTINATION],Table12[Cosco Line],,0)</f>
        <v>AEU</v>
      </c>
      <c r="BJ242" s="430"/>
    </row>
    <row r="243" spans="1:62" ht="10.5" hidden="1">
      <c r="A243" s="462" t="s">
        <v>1242</v>
      </c>
      <c r="B243" s="462" t="s">
        <v>61</v>
      </c>
      <c r="C243" s="462" t="str">
        <f>IFERROR(LEFT(PV_DATA[[#This Row],[TCL REFERENCE]],FIND(".",PV_DATA[[#This Row],[TCL REFERENCE]],1)-1),"Main Line")</f>
        <v>Main Line</v>
      </c>
      <c r="D243" s="462" t="s">
        <v>63</v>
      </c>
      <c r="E243" s="462" t="s">
        <v>144</v>
      </c>
      <c r="F243" s="462" t="str" cm="1">
        <f t="array" ref="F24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43" s="462" t="s">
        <v>402</v>
      </c>
      <c r="H243" s="462" t="s">
        <v>538</v>
      </c>
      <c r="I243" s="439" t="s">
        <v>822</v>
      </c>
      <c r="J243" s="430" t="s">
        <v>1232</v>
      </c>
      <c r="K243" s="430" t="s">
        <v>1233</v>
      </c>
      <c r="L243" s="430"/>
      <c r="M243" s="430" t="s">
        <v>840</v>
      </c>
      <c r="N243" s="432">
        <v>46046</v>
      </c>
      <c r="O243" s="430" t="s">
        <v>1032</v>
      </c>
      <c r="P243" s="430" t="s">
        <v>791</v>
      </c>
      <c r="Q243" s="430" t="s">
        <v>571</v>
      </c>
      <c r="R243" s="431" t="str">
        <f>_xlfn.XLOOKUP(PV_DATA[[#This Row],[New Ark SKU]],Table9[New Ark SKU],Table9[Connector],,0)</f>
        <v>EVO2A</v>
      </c>
      <c r="S243" s="442" t="str">
        <f>_xlfn.XLOOKUP(PV_DATA[[#This Row],[New Ark SKU]],Table9[New Ark SKU],Table9[Cable],,0)</f>
        <v>±1400mm</v>
      </c>
      <c r="T243" s="433">
        <v>445</v>
      </c>
      <c r="U243" s="1062">
        <v>720</v>
      </c>
      <c r="V243" s="434">
        <f>PV_DATA[[#This Row],[QUANTITY]]*PV_DATA[[#This Row],[WATT]]/1000000</f>
        <v>0.32040000000000002</v>
      </c>
      <c r="W243" s="435">
        <f>PV_DATA[[#This Row],[QUANTITY]]/PV_DATA[[#This Row],[Qty/Pallet]]</f>
        <v>20</v>
      </c>
      <c r="X243" s="1015">
        <f>PV_DATA[[#This Row],[QUANTITY]]/PV_DATA[[#This Row],[Qty/CT]]</f>
        <v>0.76923076923076927</v>
      </c>
      <c r="Y243" s="430" t="s">
        <v>75</v>
      </c>
      <c r="Z243" s="430" t="str">
        <f t="shared" si="0"/>
        <v>COMPLETED</v>
      </c>
      <c r="AA243" s="430"/>
      <c r="AB243" s="437">
        <v>46081</v>
      </c>
      <c r="AC243" s="438">
        <f>IF(PV_DATA[[#This Row],[Pick-Up Date]]&lt;&gt;"",_xlfn.ISOWEEKNUM(PV_DATA[[#This Row],[Pick-Up Date]]),"")</f>
        <v>9</v>
      </c>
      <c r="AD243" s="439" t="s">
        <v>1243</v>
      </c>
      <c r="AE243" s="430"/>
      <c r="AF243" s="430" t="s">
        <v>77</v>
      </c>
      <c r="AG243" s="430" t="s">
        <v>61</v>
      </c>
      <c r="AH243" s="430" t="s">
        <v>541</v>
      </c>
      <c r="AI243" s="437">
        <v>46088</v>
      </c>
      <c r="AJ243" s="437">
        <v>46091</v>
      </c>
      <c r="AK243" s="441">
        <v>46090</v>
      </c>
      <c r="AL243" s="437">
        <v>46154</v>
      </c>
      <c r="AM243" s="437">
        <v>46168</v>
      </c>
      <c r="AN243" s="437">
        <v>46164</v>
      </c>
      <c r="AO243" s="430" t="s">
        <v>402</v>
      </c>
      <c r="AP243" s="430" t="s">
        <v>1237</v>
      </c>
      <c r="AQ243" s="430" t="s">
        <v>161</v>
      </c>
      <c r="AR243" s="430" t="s">
        <v>1238</v>
      </c>
      <c r="AS243" s="430" t="s">
        <v>1239</v>
      </c>
      <c r="AT243" s="482" t="s">
        <v>1239</v>
      </c>
      <c r="AU24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74</v>
      </c>
      <c r="AW243" s="437" cm="1">
        <f t="array" ref="AW24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46164</v>
      </c>
      <c r="AX24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43" s="437">
        <f>IF(ISERROR(PV_DATA[[#This Row],[New Ark PO status]]),"",_xlfn.XLOOKUP(PV_DATA[[#This Row],[SPTN-PVHK New Ark PO'#]],New_Ark_Data[Purchase order Number],New_Ark_Data[Estimated time of arrival],"",0))</f>
        <v>46168</v>
      </c>
      <c r="AZ243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43" s="437">
        <f>IFERROR(PV_DATA[[#This Row],[ODP ETA Port]]+PV_DATA[[#This Row],[Customs/Leg3 Assumption]],"n/a")</f>
        <v>46164</v>
      </c>
      <c r="BB243" s="433">
        <f>YEAR(PV_DATA[[#This Row],[ETA for New Ark update]])</f>
        <v>2026</v>
      </c>
      <c r="BC243" s="430">
        <f>MONTH(PV_DATA[[#This Row],[ETA for New Ark update]])</f>
        <v>5</v>
      </c>
      <c r="BD243" s="430">
        <f>IFERROR(_xlfn.ISOWEEKNUM(PV_DATA[[#This Row],[ETA for New Ark update]]),0)</f>
        <v>21</v>
      </c>
      <c r="BE243" s="431">
        <f>_xlfn.XLOOKUP(PV_DATA[[#This Row],[New Ark SKU]],Table9[New Ark SKU],Table9[Total PCS per Pallet],,0)</f>
        <v>36</v>
      </c>
      <c r="BF243" s="431">
        <f>_xlfn.XLOOKUP(PV_DATA[[#This Row],[New Ark SKU]],Table9[New Ark SKU],Table9[Total PCS per 40HQ Container],,0)</f>
        <v>936</v>
      </c>
      <c r="BG243" s="431" t="str">
        <f>_xlfn.XLOOKUP(PV_DATA[[#This Row],[New Ark SKU]],Table9[New Ark SKU],Table9[Back Glass],,0)</f>
        <v>Black glazing</v>
      </c>
      <c r="BH243" s="431" t="str">
        <f>_xlfn.XLOOKUP(PV_DATA[[#This Row],[PORT DESTINATION]],Table12[PORT DESTINATION],Table12[Cosco Line],,0)</f>
        <v>AEU</v>
      </c>
      <c r="BJ243" s="430"/>
    </row>
    <row r="244" spans="1:62" ht="10.5" hidden="1">
      <c r="A244" s="462" t="s">
        <v>1244</v>
      </c>
      <c r="B244" s="462" t="s">
        <v>61</v>
      </c>
      <c r="C244" s="462" t="str">
        <f>IFERROR(LEFT(PV_DATA[[#This Row],[TCL REFERENCE]],FIND(".",PV_DATA[[#This Row],[TCL REFERENCE]],1)-1),"Main Line")</f>
        <v>Main Line</v>
      </c>
      <c r="D244" s="462" t="s">
        <v>63</v>
      </c>
      <c r="E244" s="462" t="s">
        <v>144</v>
      </c>
      <c r="F244" s="462" t="str" cm="1">
        <f t="array" ref="F24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44" s="462" t="s">
        <v>402</v>
      </c>
      <c r="H244" s="462" t="s">
        <v>538</v>
      </c>
      <c r="I244" s="439" t="s">
        <v>882</v>
      </c>
      <c r="J244" s="430" t="s">
        <v>1232</v>
      </c>
      <c r="K244" s="430" t="s">
        <v>1233</v>
      </c>
      <c r="L244" s="430"/>
      <c r="M244" s="430" t="s">
        <v>840</v>
      </c>
      <c r="N244" s="432">
        <v>46045</v>
      </c>
      <c r="O244" s="430" t="s">
        <v>1032</v>
      </c>
      <c r="P244" s="430" t="s">
        <v>560</v>
      </c>
      <c r="Q244" s="430" t="s">
        <v>196</v>
      </c>
      <c r="R244" s="431" t="str">
        <f>_xlfn.XLOOKUP(PV_DATA[[#This Row],[New Ark SKU]],Table9[New Ark SKU],Table9[Connector],,0)</f>
        <v>EVO2A</v>
      </c>
      <c r="S244" s="442" t="str">
        <f>_xlfn.XLOOKUP(PV_DATA[[#This Row],[New Ark SKU]],Table9[New Ark SKU],Table9[Cable],,0)</f>
        <v>±1400mm</v>
      </c>
      <c r="T244" s="433">
        <v>450</v>
      </c>
      <c r="U244" s="1062">
        <v>1044</v>
      </c>
      <c r="V244" s="434">
        <f>PV_DATA[[#This Row],[QUANTITY]]*PV_DATA[[#This Row],[WATT]]/1000000</f>
        <v>0.4698</v>
      </c>
      <c r="W244" s="435">
        <f>PV_DATA[[#This Row],[QUANTITY]]/PV_DATA[[#This Row],[Qty/Pallet]]</f>
        <v>29</v>
      </c>
      <c r="X244" s="1015">
        <f>PV_DATA[[#This Row],[QUANTITY]]/PV_DATA[[#This Row],[Qty/CT]]</f>
        <v>1.1153846153846154</v>
      </c>
      <c r="Y244" s="430" t="s">
        <v>75</v>
      </c>
      <c r="Z244" s="430" t="str">
        <f t="shared" si="0"/>
        <v>COMPLETED</v>
      </c>
      <c r="AA244" s="430"/>
      <c r="AB244" s="437">
        <v>46081</v>
      </c>
      <c r="AC244" s="438">
        <f>IF(PV_DATA[[#This Row],[Pick-Up Date]]&lt;&gt;"",_xlfn.ISOWEEKNUM(PV_DATA[[#This Row],[Pick-Up Date]]),"")</f>
        <v>9</v>
      </c>
      <c r="AD244" s="439" t="s">
        <v>1245</v>
      </c>
      <c r="AE244" s="430"/>
      <c r="AF244" s="430" t="s">
        <v>77</v>
      </c>
      <c r="AG244" s="430" t="s">
        <v>61</v>
      </c>
      <c r="AH244" s="430" t="s">
        <v>541</v>
      </c>
      <c r="AI244" s="437">
        <v>46088</v>
      </c>
      <c r="AJ244" s="437">
        <v>46091</v>
      </c>
      <c r="AK244" s="441">
        <v>46090</v>
      </c>
      <c r="AL244" s="437">
        <v>46154</v>
      </c>
      <c r="AM244" s="437">
        <v>46168</v>
      </c>
      <c r="AN244" s="437">
        <v>46164</v>
      </c>
      <c r="AO244" s="430" t="s">
        <v>402</v>
      </c>
      <c r="AP244" s="430" t="s">
        <v>1237</v>
      </c>
      <c r="AQ244" s="430" t="s">
        <v>161</v>
      </c>
      <c r="AR244" s="430" t="s">
        <v>1238</v>
      </c>
      <c r="AS244" s="430" t="s">
        <v>1239</v>
      </c>
      <c r="AT244" s="482" t="s">
        <v>1239</v>
      </c>
      <c r="AU24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74</v>
      </c>
      <c r="AW244" s="437" cm="1">
        <f t="array" ref="AW24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46164</v>
      </c>
      <c r="AX24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44" s="437">
        <f>IF(ISERROR(PV_DATA[[#This Row],[New Ark PO status]]),"",_xlfn.XLOOKUP(PV_DATA[[#This Row],[SPTN-PVHK New Ark PO'#]],New_Ark_Data[Purchase order Number],New_Ark_Data[Estimated time of arrival],"",0))</f>
        <v>46168</v>
      </c>
      <c r="AZ244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44" s="437">
        <f>IFERROR(PV_DATA[[#This Row],[ODP ETA Port]]+PV_DATA[[#This Row],[Customs/Leg3 Assumption]],"n/a")</f>
        <v>46164</v>
      </c>
      <c r="BB244" s="433">
        <f>YEAR(PV_DATA[[#This Row],[ETA for New Ark update]])</f>
        <v>2026</v>
      </c>
      <c r="BC244" s="430">
        <f>MONTH(PV_DATA[[#This Row],[ETA for New Ark update]])</f>
        <v>5</v>
      </c>
      <c r="BD244" s="430">
        <f>IFERROR(_xlfn.ISOWEEKNUM(PV_DATA[[#This Row],[ETA for New Ark update]]),0)</f>
        <v>21</v>
      </c>
      <c r="BE244" s="431">
        <f>_xlfn.XLOOKUP(PV_DATA[[#This Row],[New Ark SKU]],Table9[New Ark SKU],Table9[Total PCS per Pallet],,0)</f>
        <v>36</v>
      </c>
      <c r="BF244" s="431">
        <f>_xlfn.XLOOKUP(PV_DATA[[#This Row],[New Ark SKU]],Table9[New Ark SKU],Table9[Total PCS per 40HQ Container],,0)</f>
        <v>936</v>
      </c>
      <c r="BG244" s="431" t="str">
        <f>_xlfn.XLOOKUP(PV_DATA[[#This Row],[New Ark SKU]],Table9[New Ark SKU],Table9[Back Glass],,0)</f>
        <v>Transparent</v>
      </c>
      <c r="BH244" s="431" t="str">
        <f>_xlfn.XLOOKUP(PV_DATA[[#This Row],[PORT DESTINATION]],Table12[PORT DESTINATION],Table12[Cosco Line],,0)</f>
        <v>AEU</v>
      </c>
      <c r="BJ244" s="430"/>
    </row>
    <row r="245" spans="1:62" ht="10.5" hidden="1">
      <c r="A245" s="462" t="s">
        <v>1246</v>
      </c>
      <c r="B245" s="462" t="s">
        <v>61</v>
      </c>
      <c r="C245" s="462" t="str">
        <f>IFERROR(LEFT(PV_DATA[[#This Row],[TCL REFERENCE]],FIND(".",PV_DATA[[#This Row],[TCL REFERENCE]],1)-1),"Main Line")</f>
        <v>Main Line</v>
      </c>
      <c r="D245" s="462" t="s">
        <v>63</v>
      </c>
      <c r="E245" s="462" t="s">
        <v>144</v>
      </c>
      <c r="F245" s="462" t="str" cm="1">
        <f t="array" ref="F24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45" s="462" t="s">
        <v>402</v>
      </c>
      <c r="H245" s="462" t="s">
        <v>538</v>
      </c>
      <c r="I245" s="439" t="s">
        <v>882</v>
      </c>
      <c r="J245" s="430" t="s">
        <v>1232</v>
      </c>
      <c r="K245" s="430" t="s">
        <v>1233</v>
      </c>
      <c r="L245" s="430"/>
      <c r="M245" s="430" t="s">
        <v>840</v>
      </c>
      <c r="N245" s="432" t="s">
        <v>68</v>
      </c>
      <c r="O245" s="430" t="s">
        <v>1032</v>
      </c>
      <c r="P245" s="430" t="s">
        <v>1247</v>
      </c>
      <c r="Q245" s="430" t="s">
        <v>196</v>
      </c>
      <c r="R245" s="431" t="str">
        <f>_xlfn.XLOOKUP(PV_DATA[[#This Row],[New Ark SKU]],Table9[New Ark SKU],Table9[Connector],,0)</f>
        <v>EVO2A</v>
      </c>
      <c r="S245" s="442" t="str">
        <f>_xlfn.XLOOKUP(PV_DATA[[#This Row],[New Ark SKU]],Table9[New Ark SKU],Table9[Cable],,0)</f>
        <v>±1400mm</v>
      </c>
      <c r="T245" s="433">
        <v>450</v>
      </c>
      <c r="U245" s="1062">
        <v>360</v>
      </c>
      <c r="V245" s="434">
        <f>PV_DATA[[#This Row],[QUANTITY]]*PV_DATA[[#This Row],[WATT]]/1000000</f>
        <v>0.16200000000000001</v>
      </c>
      <c r="W245" s="435">
        <f>PV_DATA[[#This Row],[QUANTITY]]/PV_DATA[[#This Row],[Qty/Pallet]]</f>
        <v>10</v>
      </c>
      <c r="X245" s="1015">
        <f>PV_DATA[[#This Row],[QUANTITY]]/PV_DATA[[#This Row],[Qty/CT]]</f>
        <v>0.38461538461538464</v>
      </c>
      <c r="Y245" s="430" t="s">
        <v>75</v>
      </c>
      <c r="Z245" s="430" t="str">
        <f t="shared" si="0"/>
        <v>COMPLETED</v>
      </c>
      <c r="AA245" s="430"/>
      <c r="AB245" s="437">
        <v>46081</v>
      </c>
      <c r="AC245" s="438">
        <f>IF(PV_DATA[[#This Row],[Pick-Up Date]]&lt;&gt;"",_xlfn.ISOWEEKNUM(PV_DATA[[#This Row],[Pick-Up Date]]),"")</f>
        <v>9</v>
      </c>
      <c r="AD245" s="439" t="s">
        <v>1248</v>
      </c>
      <c r="AE245" s="430"/>
      <c r="AF245" s="430" t="s">
        <v>77</v>
      </c>
      <c r="AG245" s="430" t="s">
        <v>61</v>
      </c>
      <c r="AH245" s="430" t="s">
        <v>541</v>
      </c>
      <c r="AI245" s="437">
        <v>46088</v>
      </c>
      <c r="AJ245" s="437">
        <v>46091</v>
      </c>
      <c r="AK245" s="441">
        <v>46090</v>
      </c>
      <c r="AL245" s="437">
        <v>46154</v>
      </c>
      <c r="AM245" s="437">
        <v>46168</v>
      </c>
      <c r="AN245" s="437">
        <v>46164</v>
      </c>
      <c r="AO245" s="430" t="s">
        <v>402</v>
      </c>
      <c r="AP245" s="430" t="s">
        <v>1237</v>
      </c>
      <c r="AQ245" s="430" t="s">
        <v>161</v>
      </c>
      <c r="AR245" s="430" t="s">
        <v>1238</v>
      </c>
      <c r="AS245" s="430" t="s">
        <v>1239</v>
      </c>
      <c r="AT245" s="482" t="s">
        <v>1239</v>
      </c>
      <c r="AU24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74</v>
      </c>
      <c r="AW245" s="437" cm="1">
        <f t="array" ref="AW24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46164</v>
      </c>
      <c r="AX24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45" s="437">
        <f>IF(ISERROR(PV_DATA[[#This Row],[New Ark PO status]]),"",_xlfn.XLOOKUP(PV_DATA[[#This Row],[SPTN-PVHK New Ark PO'#]],New_Ark_Data[Purchase order Number],New_Ark_Data[Estimated time of arrival],"",0))</f>
        <v>46168</v>
      </c>
      <c r="AZ245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45" s="437">
        <f>IFERROR(PV_DATA[[#This Row],[ODP ETA Port]]+PV_DATA[[#This Row],[Customs/Leg3 Assumption]],"n/a")</f>
        <v>46164</v>
      </c>
      <c r="BB245" s="433">
        <f>YEAR(PV_DATA[[#This Row],[ETA for New Ark update]])</f>
        <v>2026</v>
      </c>
      <c r="BC245" s="430">
        <f>MONTH(PV_DATA[[#This Row],[ETA for New Ark update]])</f>
        <v>5</v>
      </c>
      <c r="BD245" s="430">
        <f>IFERROR(_xlfn.ISOWEEKNUM(PV_DATA[[#This Row],[ETA for New Ark update]]),0)</f>
        <v>21</v>
      </c>
      <c r="BE245" s="431">
        <f>_xlfn.XLOOKUP(PV_DATA[[#This Row],[New Ark SKU]],Table9[New Ark SKU],Table9[Total PCS per Pallet],,0)</f>
        <v>36</v>
      </c>
      <c r="BF245" s="431">
        <f>_xlfn.XLOOKUP(PV_DATA[[#This Row],[New Ark SKU]],Table9[New Ark SKU],Table9[Total PCS per 40HQ Container],,0)</f>
        <v>936</v>
      </c>
      <c r="BG245" s="431" t="str">
        <f>_xlfn.XLOOKUP(PV_DATA[[#This Row],[New Ark SKU]],Table9[New Ark SKU],Table9[Back Glass],,0)</f>
        <v>Black glazing</v>
      </c>
      <c r="BH245" s="431" t="str">
        <f>_xlfn.XLOOKUP(PV_DATA[[#This Row],[PORT DESTINATION]],Table12[PORT DESTINATION],Table12[Cosco Line],,0)</f>
        <v>AEU</v>
      </c>
      <c r="BJ245" s="430"/>
    </row>
    <row r="246" spans="1:62" ht="10.5" hidden="1">
      <c r="A246" s="462" t="s">
        <v>1249</v>
      </c>
      <c r="B246" s="462" t="s">
        <v>61</v>
      </c>
      <c r="C246" s="462" t="str">
        <f>IFERROR(LEFT(PV_DATA[[#This Row],[TCL REFERENCE]],FIND(".",PV_DATA[[#This Row],[TCL REFERENCE]],1)-1),"Main Line")</f>
        <v>Main Line</v>
      </c>
      <c r="D246" s="462" t="s">
        <v>63</v>
      </c>
      <c r="E246" s="462" t="s">
        <v>144</v>
      </c>
      <c r="F246" s="462" t="str" cm="1">
        <f t="array" ref="F246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46" s="462" t="s">
        <v>402</v>
      </c>
      <c r="H246" s="462" t="s">
        <v>538</v>
      </c>
      <c r="I246" s="439" t="s">
        <v>882</v>
      </c>
      <c r="J246" s="430" t="s">
        <v>1232</v>
      </c>
      <c r="K246" s="430" t="s">
        <v>1233</v>
      </c>
      <c r="L246" s="430"/>
      <c r="M246" s="430" t="s">
        <v>840</v>
      </c>
      <c r="N246" s="432">
        <v>46045</v>
      </c>
      <c r="O246" s="430" t="s">
        <v>1032</v>
      </c>
      <c r="P246" s="430" t="s">
        <v>1250</v>
      </c>
      <c r="Q246" s="430" t="s">
        <v>1251</v>
      </c>
      <c r="R246" s="431" t="str">
        <f>_xlfn.XLOOKUP(PV_DATA[[#This Row],[New Ark SKU]],Table9[New Ark SKU],Table9[Connector],,0)</f>
        <v>EVO2A</v>
      </c>
      <c r="S246" s="442" t="str">
        <f>_xlfn.XLOOKUP(PV_DATA[[#This Row],[New Ark SKU]],Table9[New Ark SKU],Table9[Cable],,0)</f>
        <v>±1400mm</v>
      </c>
      <c r="T246" s="433">
        <v>440</v>
      </c>
      <c r="U246" s="1062">
        <v>108</v>
      </c>
      <c r="V246" s="434">
        <f>PV_DATA[[#This Row],[QUANTITY]]*PV_DATA[[#This Row],[WATT]]/1000000</f>
        <v>4.752E-2</v>
      </c>
      <c r="W246" s="435">
        <f>PV_DATA[[#This Row],[QUANTITY]]/PV_DATA[[#This Row],[Qty/Pallet]]</f>
        <v>3</v>
      </c>
      <c r="X246" s="1015">
        <f>PV_DATA[[#This Row],[QUANTITY]]/PV_DATA[[#This Row],[Qty/CT]]</f>
        <v>0.11538461538461539</v>
      </c>
      <c r="Y246" s="430" t="s">
        <v>75</v>
      </c>
      <c r="Z246" s="430" t="str">
        <f t="shared" ref="Z246:Z309" si="1">IF(AN246&lt;&gt;"","COMPLETED",IF(AK246&lt;&gt;"","IN-TRANSIT",""))</f>
        <v>COMPLETED</v>
      </c>
      <c r="AA246" s="430"/>
      <c r="AB246" s="437">
        <v>46081</v>
      </c>
      <c r="AC246" s="438">
        <f>IF(PV_DATA[[#This Row],[Pick-Up Date]]&lt;&gt;"",_xlfn.ISOWEEKNUM(PV_DATA[[#This Row],[Pick-Up Date]]),"")</f>
        <v>9</v>
      </c>
      <c r="AD246" s="439" t="s">
        <v>1252</v>
      </c>
      <c r="AE246" s="430"/>
      <c r="AF246" s="430" t="s">
        <v>77</v>
      </c>
      <c r="AG246" s="430" t="s">
        <v>61</v>
      </c>
      <c r="AH246" s="430" t="s">
        <v>541</v>
      </c>
      <c r="AI246" s="437">
        <v>46088</v>
      </c>
      <c r="AJ246" s="437">
        <v>46091</v>
      </c>
      <c r="AK246" s="441">
        <v>46090</v>
      </c>
      <c r="AL246" s="437">
        <v>46154</v>
      </c>
      <c r="AM246" s="437">
        <v>46168</v>
      </c>
      <c r="AN246" s="437">
        <v>46164</v>
      </c>
      <c r="AO246" s="430" t="s">
        <v>402</v>
      </c>
      <c r="AP246" s="430" t="s">
        <v>1237</v>
      </c>
      <c r="AQ246" s="430" t="s">
        <v>161</v>
      </c>
      <c r="AR246" s="430" t="s">
        <v>1238</v>
      </c>
      <c r="AS246" s="430" t="s">
        <v>1239</v>
      </c>
      <c r="AT246" s="482" t="s">
        <v>1239</v>
      </c>
      <c r="AU24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74</v>
      </c>
      <c r="AW246" s="437" cm="1">
        <f t="array" ref="AW24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46164</v>
      </c>
      <c r="AX24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46" s="437">
        <f>IF(ISERROR(PV_DATA[[#This Row],[New Ark PO status]]),"",_xlfn.XLOOKUP(PV_DATA[[#This Row],[SPTN-PVHK New Ark PO'#]],New_Ark_Data[Purchase order Number],New_Ark_Data[Estimated time of arrival],"",0))</f>
        <v>46168</v>
      </c>
      <c r="AZ246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46" s="437">
        <f>IFERROR(PV_DATA[[#This Row],[ODP ETA Port]]+PV_DATA[[#This Row],[Customs/Leg3 Assumption]],"n/a")</f>
        <v>46164</v>
      </c>
      <c r="BB246" s="433">
        <f>YEAR(PV_DATA[[#This Row],[ETA for New Ark update]])</f>
        <v>2026</v>
      </c>
      <c r="BC246" s="430">
        <f>MONTH(PV_DATA[[#This Row],[ETA for New Ark update]])</f>
        <v>5</v>
      </c>
      <c r="BD246" s="430">
        <f>IFERROR(_xlfn.ISOWEEKNUM(PV_DATA[[#This Row],[ETA for New Ark update]]),0)</f>
        <v>21</v>
      </c>
      <c r="BE246" s="431">
        <f>_xlfn.XLOOKUP(PV_DATA[[#This Row],[New Ark SKU]],Table9[New Ark SKU],Table9[Total PCS per Pallet],,0)</f>
        <v>36</v>
      </c>
      <c r="BF246" s="431">
        <f>_xlfn.XLOOKUP(PV_DATA[[#This Row],[New Ark SKU]],Table9[New Ark SKU],Table9[Total PCS per 40HQ Container],,0)</f>
        <v>936</v>
      </c>
      <c r="BG246" s="431" t="str">
        <f>_xlfn.XLOOKUP(PV_DATA[[#This Row],[New Ark SKU]],Table9[New Ark SKU],Table9[Back Glass],,0)</f>
        <v>Black glazing</v>
      </c>
      <c r="BH246" s="431" t="str">
        <f>_xlfn.XLOOKUP(PV_DATA[[#This Row],[PORT DESTINATION]],Table12[PORT DESTINATION],Table12[Cosco Line],,0)</f>
        <v>AEU</v>
      </c>
      <c r="BJ246" s="430"/>
    </row>
    <row r="247" spans="1:62" ht="10.5" hidden="1">
      <c r="A247" s="462" t="s">
        <v>1253</v>
      </c>
      <c r="B247" s="462" t="s">
        <v>61</v>
      </c>
      <c r="C247" s="462" t="str">
        <f>IFERROR(LEFT(PV_DATA[[#This Row],[TCL REFERENCE]],FIND(".",PV_DATA[[#This Row],[TCL REFERENCE]],1)-1),"Main Line")</f>
        <v>Main Line</v>
      </c>
      <c r="D247" s="462" t="s">
        <v>63</v>
      </c>
      <c r="E247" s="462" t="s">
        <v>144</v>
      </c>
      <c r="F247" s="462" t="str" cm="1">
        <f t="array" ref="F24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47" s="462" t="s">
        <v>402</v>
      </c>
      <c r="H247" s="462" t="s">
        <v>538</v>
      </c>
      <c r="I247" s="439" t="s">
        <v>882</v>
      </c>
      <c r="J247" s="430" t="s">
        <v>1254</v>
      </c>
      <c r="K247" s="430" t="s">
        <v>1233</v>
      </c>
      <c r="L247" s="430"/>
      <c r="M247" s="430" t="s">
        <v>840</v>
      </c>
      <c r="N247" s="432">
        <v>46045</v>
      </c>
      <c r="O247" s="430" t="s">
        <v>1032</v>
      </c>
      <c r="P247" s="430" t="s">
        <v>1255</v>
      </c>
      <c r="Q247" s="430" t="s">
        <v>72</v>
      </c>
      <c r="R247" s="431" t="str">
        <f>_xlfn.XLOOKUP(PV_DATA[[#This Row],[New Ark SKU]],Table9[New Ark SKU],Table9[Connector],,0)</f>
        <v>EVO2A</v>
      </c>
      <c r="S247" s="442" t="str">
        <f>_xlfn.XLOOKUP(PV_DATA[[#This Row],[New Ark SKU]],Table9[New Ark SKU],Table9[Cable],,0)</f>
        <v>±1400mm</v>
      </c>
      <c r="T247" s="433">
        <v>500</v>
      </c>
      <c r="U247" s="1062">
        <v>180</v>
      </c>
      <c r="V247" s="434">
        <f>PV_DATA[[#This Row],[QUANTITY]]*PV_DATA[[#This Row],[WATT]]/1000000</f>
        <v>0.09</v>
      </c>
      <c r="W247" s="435">
        <f>PV_DATA[[#This Row],[QUANTITY]]/PV_DATA[[#This Row],[Qty/Pallet]]</f>
        <v>5</v>
      </c>
      <c r="X247" s="1015">
        <f>PV_DATA[[#This Row],[QUANTITY]]/PV_DATA[[#This Row],[Qty/CT]]</f>
        <v>0.20833333333333334</v>
      </c>
      <c r="Y247" s="430" t="s">
        <v>75</v>
      </c>
      <c r="Z247" s="430" t="str">
        <f t="shared" si="1"/>
        <v>COMPLETED</v>
      </c>
      <c r="AA247" s="430"/>
      <c r="AB247" s="437">
        <v>46081</v>
      </c>
      <c r="AC247" s="438">
        <f>IF(PV_DATA[[#This Row],[Pick-Up Date]]&lt;&gt;"",_xlfn.ISOWEEKNUM(PV_DATA[[#This Row],[Pick-Up Date]]),"")</f>
        <v>9</v>
      </c>
      <c r="AD247" s="439" t="s">
        <v>1256</v>
      </c>
      <c r="AE247" s="430"/>
      <c r="AF247" s="430" t="s">
        <v>77</v>
      </c>
      <c r="AG247" s="430" t="s">
        <v>61</v>
      </c>
      <c r="AH247" s="430" t="s">
        <v>541</v>
      </c>
      <c r="AI247" s="437">
        <v>46088</v>
      </c>
      <c r="AJ247" s="437">
        <v>46091</v>
      </c>
      <c r="AK247" s="441">
        <v>46090</v>
      </c>
      <c r="AL247" s="437">
        <v>46154</v>
      </c>
      <c r="AM247" s="437">
        <v>46168</v>
      </c>
      <c r="AN247" s="437">
        <v>46164</v>
      </c>
      <c r="AO247" s="430" t="s">
        <v>402</v>
      </c>
      <c r="AP247" s="430" t="s">
        <v>1237</v>
      </c>
      <c r="AQ247" s="430" t="s">
        <v>161</v>
      </c>
      <c r="AR247" s="430" t="s">
        <v>1238</v>
      </c>
      <c r="AS247" s="430" t="s">
        <v>1239</v>
      </c>
      <c r="AT247" s="482" t="s">
        <v>1239</v>
      </c>
      <c r="AU24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74</v>
      </c>
      <c r="AW247" s="437" cm="1">
        <f t="array" ref="AW24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46164</v>
      </c>
      <c r="AX24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47" s="437">
        <f>IF(ISERROR(PV_DATA[[#This Row],[New Ark PO status]]),"",_xlfn.XLOOKUP(PV_DATA[[#This Row],[SPTN-PVHK New Ark PO'#]],New_Ark_Data[Purchase order Number],New_Ark_Data[Estimated time of arrival],"",0))</f>
        <v>46168</v>
      </c>
      <c r="AZ247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47" s="437">
        <f>IFERROR(PV_DATA[[#This Row],[ODP ETA Port]]+PV_DATA[[#This Row],[Customs/Leg3 Assumption]],"n/a")</f>
        <v>46164</v>
      </c>
      <c r="BB247" s="433">
        <f>YEAR(PV_DATA[[#This Row],[ETA for New Ark update]])</f>
        <v>2026</v>
      </c>
      <c r="BC247" s="430">
        <f>MONTH(PV_DATA[[#This Row],[ETA for New Ark update]])</f>
        <v>5</v>
      </c>
      <c r="BD247" s="430">
        <f>IFERROR(_xlfn.ISOWEEKNUM(PV_DATA[[#This Row],[ETA for New Ark update]]),0)</f>
        <v>21</v>
      </c>
      <c r="BE247" s="431">
        <f>_xlfn.XLOOKUP(PV_DATA[[#This Row],[New Ark SKU]],Table9[New Ark SKU],Table9[Total PCS per Pallet],,0)</f>
        <v>36</v>
      </c>
      <c r="BF247" s="431">
        <f>_xlfn.XLOOKUP(PV_DATA[[#This Row],[New Ark SKU]],Table9[New Ark SKU],Table9[Total PCS per 40HQ Container],,0)</f>
        <v>864</v>
      </c>
      <c r="BG247" s="431" t="str">
        <f>_xlfn.XLOOKUP(PV_DATA[[#This Row],[New Ark SKU]],Table9[New Ark SKU],Table9[Back Glass],,0)</f>
        <v>Black glazing</v>
      </c>
      <c r="BH247" s="431" t="str">
        <f>_xlfn.XLOOKUP(PV_DATA[[#This Row],[PORT DESTINATION]],Table12[PORT DESTINATION],Table12[Cosco Line],,0)</f>
        <v>AEU</v>
      </c>
      <c r="BJ247" s="430"/>
    </row>
    <row r="248" spans="1:62" ht="10.5" hidden="1">
      <c r="A248" s="462" t="s">
        <v>1257</v>
      </c>
      <c r="B248" s="462" t="s">
        <v>61</v>
      </c>
      <c r="C248" s="462" t="str">
        <f>IFERROR(LEFT(PV_DATA[[#This Row],[TCL REFERENCE]],FIND(".",PV_DATA[[#This Row],[TCL REFERENCE]],1)-1),"Main Line")</f>
        <v>Main Line</v>
      </c>
      <c r="D248" s="462" t="s">
        <v>63</v>
      </c>
      <c r="E248" s="462" t="s">
        <v>144</v>
      </c>
      <c r="F248" s="462" t="str" cm="1">
        <f t="array" ref="F24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48" s="462" t="s">
        <v>402</v>
      </c>
      <c r="H248" s="462" t="s">
        <v>538</v>
      </c>
      <c r="I248" s="439" t="s">
        <v>882</v>
      </c>
      <c r="J248" s="430" t="s">
        <v>1258</v>
      </c>
      <c r="K248" s="430" t="s">
        <v>1233</v>
      </c>
      <c r="L248" s="430"/>
      <c r="M248" s="430" t="s">
        <v>840</v>
      </c>
      <c r="N248" s="432">
        <v>46045</v>
      </c>
      <c r="O248" s="430" t="s">
        <v>1032</v>
      </c>
      <c r="P248" s="430" t="s">
        <v>1259</v>
      </c>
      <c r="Q248" s="430" t="s">
        <v>421</v>
      </c>
      <c r="R248" s="431" t="str">
        <f>_xlfn.XLOOKUP(PV_DATA[[#This Row],[New Ark SKU]],Table9[New Ark SKU],Table9[Connector],,0)</f>
        <v>EVO2A</v>
      </c>
      <c r="S248" s="442" t="str">
        <f>_xlfn.XLOOKUP(PV_DATA[[#This Row],[New Ark SKU]],Table9[New Ark SKU],Table9[Cable],,0)</f>
        <v>±1400mm</v>
      </c>
      <c r="T248" s="433">
        <v>505</v>
      </c>
      <c r="U248" s="1062">
        <v>684</v>
      </c>
      <c r="V248" s="434">
        <f>PV_DATA[[#This Row],[QUANTITY]]*PV_DATA[[#This Row],[WATT]]/1000000</f>
        <v>0.34542</v>
      </c>
      <c r="W248" s="435">
        <f>PV_DATA[[#This Row],[QUANTITY]]/PV_DATA[[#This Row],[Qty/Pallet]]</f>
        <v>19</v>
      </c>
      <c r="X248" s="1015">
        <f>PV_DATA[[#This Row],[QUANTITY]]/PV_DATA[[#This Row],[Qty/CT]]</f>
        <v>0.79166666666666663</v>
      </c>
      <c r="Y248" s="430" t="s">
        <v>75</v>
      </c>
      <c r="Z248" s="430" t="str">
        <f t="shared" si="1"/>
        <v>COMPLETED</v>
      </c>
      <c r="AA248" s="430"/>
      <c r="AB248" s="437">
        <v>46081</v>
      </c>
      <c r="AC248" s="438">
        <f>IF(PV_DATA[[#This Row],[Pick-Up Date]]&lt;&gt;"",_xlfn.ISOWEEKNUM(PV_DATA[[#This Row],[Pick-Up Date]]),"")</f>
        <v>9</v>
      </c>
      <c r="AD248" s="439" t="s">
        <v>1260</v>
      </c>
      <c r="AE248" s="430"/>
      <c r="AF248" s="430" t="s">
        <v>77</v>
      </c>
      <c r="AG248" s="430" t="s">
        <v>61</v>
      </c>
      <c r="AH248" s="430" t="s">
        <v>541</v>
      </c>
      <c r="AI248" s="437">
        <v>46088</v>
      </c>
      <c r="AJ248" s="437">
        <v>46091</v>
      </c>
      <c r="AK248" s="441">
        <v>46090</v>
      </c>
      <c r="AL248" s="437">
        <v>46154</v>
      </c>
      <c r="AM248" s="437">
        <v>46168</v>
      </c>
      <c r="AN248" s="437">
        <v>46164</v>
      </c>
      <c r="AO248" s="430" t="s">
        <v>402</v>
      </c>
      <c r="AP248" s="430" t="s">
        <v>1237</v>
      </c>
      <c r="AQ248" s="430" t="s">
        <v>161</v>
      </c>
      <c r="AR248" s="430" t="s">
        <v>1238</v>
      </c>
      <c r="AS248" s="430" t="s">
        <v>1239</v>
      </c>
      <c r="AT248" s="482" t="s">
        <v>1239</v>
      </c>
      <c r="AU24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74</v>
      </c>
      <c r="AW248" s="437" cm="1">
        <f t="array" ref="AW24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46164</v>
      </c>
      <c r="AX24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48" s="437">
        <f>IF(ISERROR(PV_DATA[[#This Row],[New Ark PO status]]),"",_xlfn.XLOOKUP(PV_DATA[[#This Row],[SPTN-PVHK New Ark PO'#]],New_Ark_Data[Purchase order Number],New_Ark_Data[Estimated time of arrival],"",0))</f>
        <v>46168</v>
      </c>
      <c r="AZ248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48" s="437">
        <f>IFERROR(PV_DATA[[#This Row],[ODP ETA Port]]+PV_DATA[[#This Row],[Customs/Leg3 Assumption]],"n/a")</f>
        <v>46164</v>
      </c>
      <c r="BB248" s="433">
        <f>YEAR(PV_DATA[[#This Row],[ETA for New Ark update]])</f>
        <v>2026</v>
      </c>
      <c r="BC248" s="430">
        <f>MONTH(PV_DATA[[#This Row],[ETA for New Ark update]])</f>
        <v>5</v>
      </c>
      <c r="BD248" s="430">
        <f>IFERROR(_xlfn.ISOWEEKNUM(PV_DATA[[#This Row],[ETA for New Ark update]]),0)</f>
        <v>21</v>
      </c>
      <c r="BE248" s="431">
        <f>_xlfn.XLOOKUP(PV_DATA[[#This Row],[New Ark SKU]],Table9[New Ark SKU],Table9[Total PCS per Pallet],,0)</f>
        <v>36</v>
      </c>
      <c r="BF248" s="431">
        <f>_xlfn.XLOOKUP(PV_DATA[[#This Row],[New Ark SKU]],Table9[New Ark SKU],Table9[Total PCS per 40HQ Container],,0)</f>
        <v>864</v>
      </c>
      <c r="BG248" s="431" t="str">
        <f>_xlfn.XLOOKUP(PV_DATA[[#This Row],[New Ark SKU]],Table9[New Ark SKU],Table9[Back Glass],,0)</f>
        <v>Black glazing</v>
      </c>
      <c r="BH248" s="431" t="str">
        <f>_xlfn.XLOOKUP(PV_DATA[[#This Row],[PORT DESTINATION]],Table12[PORT DESTINATION],Table12[Cosco Line],,0)</f>
        <v>AEU</v>
      </c>
      <c r="BJ248" s="430"/>
    </row>
    <row r="249" spans="1:62" s="450" customFormat="1" ht="10.5" hidden="1">
      <c r="A249" s="462" t="s">
        <v>1261</v>
      </c>
      <c r="B249" s="462" t="s">
        <v>61</v>
      </c>
      <c r="C249" s="462" t="str">
        <f>IFERROR(LEFT(PV_DATA[[#This Row],[TCL REFERENCE]],FIND(".",PV_DATA[[#This Row],[TCL REFERENCE]],1)-1),"Main Line")</f>
        <v>26Feb017</v>
      </c>
      <c r="D249" s="462" t="s">
        <v>63</v>
      </c>
      <c r="E249" s="462" t="s">
        <v>144</v>
      </c>
      <c r="F249" s="462" t="str" cm="1">
        <f t="array" ref="F24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49" s="462" t="s">
        <v>402</v>
      </c>
      <c r="H249" s="462" t="s">
        <v>1262</v>
      </c>
      <c r="I249" s="439" t="s">
        <v>689</v>
      </c>
      <c r="J249" s="430" t="s">
        <v>1263</v>
      </c>
      <c r="K249" s="430" t="s">
        <v>1264</v>
      </c>
      <c r="L249" s="430"/>
      <c r="M249" s="430" t="s">
        <v>840</v>
      </c>
      <c r="N249" s="432">
        <v>46076</v>
      </c>
      <c r="O249" s="430" t="s">
        <v>70</v>
      </c>
      <c r="P249" s="430" t="s">
        <v>195</v>
      </c>
      <c r="Q249" s="430" t="s">
        <v>196</v>
      </c>
      <c r="R249" s="431" t="str">
        <f>_xlfn.XLOOKUP(PV_DATA[[#This Row],[New Ark SKU]],Table9[New Ark SKU],Table9[Connector],,0)</f>
        <v>EVO2A</v>
      </c>
      <c r="S249" s="442" t="str">
        <f>_xlfn.XLOOKUP(PV_DATA[[#This Row],[New Ark SKU]],Table9[New Ark SKU],Table9[Cable],,0)</f>
        <v>±1200mm</v>
      </c>
      <c r="T249" s="433">
        <v>450</v>
      </c>
      <c r="U249" s="1062">
        <f>936*1</f>
        <v>936</v>
      </c>
      <c r="V249" s="434">
        <f>PV_DATA[[#This Row],[QUANTITY]]*PV_DATA[[#This Row],[WATT]]/1000000</f>
        <v>0.42120000000000002</v>
      </c>
      <c r="W249" s="435">
        <f>PV_DATA[[#This Row],[QUANTITY]]/PV_DATA[[#This Row],[Qty/Pallet]]</f>
        <v>26</v>
      </c>
      <c r="X249" s="1015">
        <f>PV_DATA[[#This Row],[QUANTITY]]/PV_DATA[[#This Row],[Qty/CT]]</f>
        <v>1</v>
      </c>
      <c r="Y249" s="430" t="s">
        <v>75</v>
      </c>
      <c r="Z249" s="430" t="str">
        <f t="shared" si="1"/>
        <v>COMPLETED</v>
      </c>
      <c r="AA249" s="430"/>
      <c r="AB249" s="437">
        <v>46084</v>
      </c>
      <c r="AC249" s="438">
        <f>IF(PV_DATA[[#This Row],[Pick-Up Date]]&lt;&gt;"",_xlfn.ISOWEEKNUM(PV_DATA[[#This Row],[Pick-Up Date]]),"")</f>
        <v>10</v>
      </c>
      <c r="AD249" s="439" t="s">
        <v>1265</v>
      </c>
      <c r="AE249" s="430"/>
      <c r="AF249" s="430" t="s">
        <v>77</v>
      </c>
      <c r="AG249" s="430" t="s">
        <v>61</v>
      </c>
      <c r="AH249" s="430" t="s">
        <v>105</v>
      </c>
      <c r="AI249" s="437">
        <v>46088</v>
      </c>
      <c r="AJ249" s="437">
        <v>46088</v>
      </c>
      <c r="AK249" s="441">
        <v>46088</v>
      </c>
      <c r="AL249" s="437">
        <v>46133</v>
      </c>
      <c r="AM249" s="437">
        <v>46142</v>
      </c>
      <c r="AN249" s="437">
        <v>46141</v>
      </c>
      <c r="AO249" s="430" t="s">
        <v>402</v>
      </c>
      <c r="AP249" s="430" t="s">
        <v>889</v>
      </c>
      <c r="AQ249" s="430" t="s">
        <v>80</v>
      </c>
      <c r="AR249" s="430" t="s">
        <v>1266</v>
      </c>
      <c r="AS249" s="430" t="s">
        <v>1267</v>
      </c>
      <c r="AT249" s="482" t="s">
        <v>1267</v>
      </c>
      <c r="AU24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V249" s="430"/>
      <c r="AW249" s="437" cm="1">
        <f t="array" ref="AW24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4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49" s="437">
        <f>IF(ISERROR(PV_DATA[[#This Row],[New Ark PO status]]),"",_xlfn.XLOOKUP(PV_DATA[[#This Row],[SPTN-PVHK New Ark PO'#]],New_Ark_Data[Purchase order Number],New_Ark_Data[Estimated time of arrival],"",0))</f>
        <v>46146</v>
      </c>
      <c r="AZ249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49" s="437">
        <f>IFERROR(PV_DATA[[#This Row],[ODP ETA Port]]+PV_DATA[[#This Row],[Customs/Leg3 Assumption]],"n/a")</f>
        <v>46141</v>
      </c>
      <c r="BB249" s="433">
        <f>YEAR(PV_DATA[[#This Row],[ETA for New Ark update]])</f>
        <v>2026</v>
      </c>
      <c r="BC249" s="430">
        <f>MONTH(PV_DATA[[#This Row],[ETA for New Ark update]])</f>
        <v>4</v>
      </c>
      <c r="BD249" s="430">
        <f>IFERROR(_xlfn.ISOWEEKNUM(PV_DATA[[#This Row],[ETA for New Ark update]]),0)</f>
        <v>18</v>
      </c>
      <c r="BE249" s="431">
        <f>_xlfn.XLOOKUP(PV_DATA[[#This Row],[New Ark SKU]],Table9[New Ark SKU],Table9[Total PCS per Pallet],,0)</f>
        <v>36</v>
      </c>
      <c r="BF249" s="431">
        <f>_xlfn.XLOOKUP(PV_DATA[[#This Row],[New Ark SKU]],Table9[New Ark SKU],Table9[Total PCS per 40HQ Container],,0)</f>
        <v>936</v>
      </c>
      <c r="BG249" s="431" t="str">
        <f>_xlfn.XLOOKUP(PV_DATA[[#This Row],[New Ark SKU]],Table9[New Ark SKU],Table9[Back Glass],,0)</f>
        <v>Black glazing</v>
      </c>
      <c r="BH249" s="431" t="str">
        <f>_xlfn.XLOOKUP(PV_DATA[[#This Row],[PORT DESTINATION]],Table12[PORT DESTINATION],Table12[Cosco Line],,0)</f>
        <v>AEU</v>
      </c>
    </row>
    <row r="250" spans="1:62" ht="10.5" hidden="1">
      <c r="A250" s="462" t="s">
        <v>1268</v>
      </c>
      <c r="B250" s="462" t="s">
        <v>61</v>
      </c>
      <c r="C250" s="462" t="str">
        <f>IFERROR(LEFT(PV_DATA[[#This Row],[TCL REFERENCE]],FIND(".",PV_DATA[[#This Row],[TCL REFERENCE]],1)-1),"Main Line")</f>
        <v>26Feb017</v>
      </c>
      <c r="D250" s="462" t="s">
        <v>63</v>
      </c>
      <c r="E250" s="462" t="s">
        <v>144</v>
      </c>
      <c r="F250" s="462" t="str" cm="1">
        <f t="array" ref="F25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50" s="462" t="s">
        <v>402</v>
      </c>
      <c r="H250" s="462" t="s">
        <v>1269</v>
      </c>
      <c r="I250" s="439" t="s">
        <v>689</v>
      </c>
      <c r="J250" s="430" t="s">
        <v>1270</v>
      </c>
      <c r="K250" s="430" t="s">
        <v>1271</v>
      </c>
      <c r="L250" s="430"/>
      <c r="M250" s="430" t="s">
        <v>840</v>
      </c>
      <c r="N250" s="432">
        <v>46076</v>
      </c>
      <c r="O250" s="430" t="s">
        <v>70</v>
      </c>
      <c r="P250" s="430" t="s">
        <v>195</v>
      </c>
      <c r="Q250" s="430" t="s">
        <v>196</v>
      </c>
      <c r="R250" s="431" t="str">
        <f>_xlfn.XLOOKUP(PV_DATA[[#This Row],[New Ark SKU]],Table9[New Ark SKU],Table9[Connector],,0)</f>
        <v>EVO2A</v>
      </c>
      <c r="S250" s="442" t="str">
        <f>_xlfn.XLOOKUP(PV_DATA[[#This Row],[New Ark SKU]],Table9[New Ark SKU],Table9[Cable],,0)</f>
        <v>±1200mm</v>
      </c>
      <c r="T250" s="433">
        <v>450</v>
      </c>
      <c r="U250" s="1062">
        <f>936*2</f>
        <v>1872</v>
      </c>
      <c r="V250" s="434">
        <f>PV_DATA[[#This Row],[QUANTITY]]*PV_DATA[[#This Row],[WATT]]/1000000</f>
        <v>0.84240000000000004</v>
      </c>
      <c r="W250" s="435">
        <f>PV_DATA[[#This Row],[QUANTITY]]/PV_DATA[[#This Row],[Qty/Pallet]]</f>
        <v>52</v>
      </c>
      <c r="X250" s="1015">
        <f>PV_DATA[[#This Row],[QUANTITY]]/PV_DATA[[#This Row],[Qty/CT]]</f>
        <v>2</v>
      </c>
      <c r="Y250" s="430" t="s">
        <v>75</v>
      </c>
      <c r="Z250" s="430" t="str">
        <f t="shared" si="1"/>
        <v>COMPLETED</v>
      </c>
      <c r="AA250" s="430"/>
      <c r="AB250" s="437">
        <v>46084</v>
      </c>
      <c r="AC250" s="438">
        <f>IF(PV_DATA[[#This Row],[Pick-Up Date]]&lt;&gt;"",_xlfn.ISOWEEKNUM(PV_DATA[[#This Row],[Pick-Up Date]]),"")</f>
        <v>10</v>
      </c>
      <c r="AD250" s="439" t="s">
        <v>1272</v>
      </c>
      <c r="AE250" s="430"/>
      <c r="AF250" s="430" t="s">
        <v>77</v>
      </c>
      <c r="AG250" s="430" t="s">
        <v>61</v>
      </c>
      <c r="AH250" s="430" t="s">
        <v>105</v>
      </c>
      <c r="AI250" s="437">
        <v>46088</v>
      </c>
      <c r="AJ250" s="437">
        <v>46088</v>
      </c>
      <c r="AK250" s="441">
        <v>46088</v>
      </c>
      <c r="AL250" s="437">
        <v>46133</v>
      </c>
      <c r="AM250" s="437">
        <v>46142</v>
      </c>
      <c r="AN250" s="437">
        <v>46141</v>
      </c>
      <c r="AO250" s="430" t="s">
        <v>402</v>
      </c>
      <c r="AP250" s="430" t="s">
        <v>889</v>
      </c>
      <c r="AQ250" s="430" t="s">
        <v>80</v>
      </c>
      <c r="AR250" s="430" t="s">
        <v>1266</v>
      </c>
      <c r="AS250" s="430" t="s">
        <v>1273</v>
      </c>
      <c r="AT250" s="482" t="s">
        <v>1267</v>
      </c>
      <c r="AU25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250" s="437" cm="1">
        <f t="array" ref="AW25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5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50" s="437">
        <f>IF(ISERROR(PV_DATA[[#This Row],[New Ark PO status]]),"",_xlfn.XLOOKUP(PV_DATA[[#This Row],[SPTN-PVHK New Ark PO'#]],New_Ark_Data[Purchase order Number],New_Ark_Data[Estimated time of arrival],"",0))</f>
        <v>46146</v>
      </c>
      <c r="AZ250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50" s="437">
        <f>IFERROR(PV_DATA[[#This Row],[ODP ETA Port]]+PV_DATA[[#This Row],[Customs/Leg3 Assumption]],"n/a")</f>
        <v>46141</v>
      </c>
      <c r="BB250" s="433">
        <f>YEAR(PV_DATA[[#This Row],[ETA for New Ark update]])</f>
        <v>2026</v>
      </c>
      <c r="BC250" s="430">
        <f>MONTH(PV_DATA[[#This Row],[ETA for New Ark update]])</f>
        <v>4</v>
      </c>
      <c r="BD250" s="430">
        <f>IFERROR(_xlfn.ISOWEEKNUM(PV_DATA[[#This Row],[ETA for New Ark update]]),0)</f>
        <v>18</v>
      </c>
      <c r="BE250" s="431">
        <f>_xlfn.XLOOKUP(PV_DATA[[#This Row],[New Ark SKU]],Table9[New Ark SKU],Table9[Total PCS per Pallet],,0)</f>
        <v>36</v>
      </c>
      <c r="BF250" s="431">
        <f>_xlfn.XLOOKUP(PV_DATA[[#This Row],[New Ark SKU]],Table9[New Ark SKU],Table9[Total PCS per 40HQ Container],,0)</f>
        <v>936</v>
      </c>
      <c r="BG250" s="431" t="str">
        <f>_xlfn.XLOOKUP(PV_DATA[[#This Row],[New Ark SKU]],Table9[New Ark SKU],Table9[Back Glass],,0)</f>
        <v>Black glazing</v>
      </c>
      <c r="BH250" s="431" t="str">
        <f>_xlfn.XLOOKUP(PV_DATA[[#This Row],[PORT DESTINATION]],Table12[PORT DESTINATION],Table12[Cosco Line],,0)</f>
        <v>AEU</v>
      </c>
      <c r="BJ250" s="430"/>
    </row>
    <row r="251" spans="1:62" ht="10.5" hidden="1">
      <c r="A251" s="446" t="s">
        <v>1274</v>
      </c>
      <c r="B251" s="446" t="s">
        <v>61</v>
      </c>
      <c r="C251" s="446" t="str">
        <f>IFERROR(LEFT(PV_DATA[[#This Row],[TCL REFERENCE]],FIND(".",PV_DATA[[#This Row],[TCL REFERENCE]],1)-1),"Main Line")</f>
        <v>26Feb017</v>
      </c>
      <c r="D251" s="446" t="s">
        <v>63</v>
      </c>
      <c r="E251" s="446" t="s">
        <v>144</v>
      </c>
      <c r="F251" s="462" t="str" cm="1">
        <f t="array" ref="F25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51" s="446" t="s">
        <v>402</v>
      </c>
      <c r="H251" s="446" t="s">
        <v>1275</v>
      </c>
      <c r="I251" s="446" t="s">
        <v>689</v>
      </c>
      <c r="J251" s="450" t="s">
        <v>1270</v>
      </c>
      <c r="K251" s="450" t="s">
        <v>1276</v>
      </c>
      <c r="L251" s="450"/>
      <c r="M251" s="450" t="s">
        <v>840</v>
      </c>
      <c r="N251" s="451">
        <v>46076</v>
      </c>
      <c r="O251" s="450" t="s">
        <v>70</v>
      </c>
      <c r="P251" s="450" t="s">
        <v>195</v>
      </c>
      <c r="Q251" s="450" t="s">
        <v>196</v>
      </c>
      <c r="R251" s="431" t="str">
        <f>_xlfn.XLOOKUP(PV_DATA[[#This Row],[New Ark SKU]],Table9[New Ark SKU],Table9[Connector],,0)</f>
        <v>EVO2A</v>
      </c>
      <c r="S251" s="442" t="str">
        <f>_xlfn.XLOOKUP(PV_DATA[[#This Row],[New Ark SKU]],Table9[New Ark SKU],Table9[Cable],,0)</f>
        <v>±1200mm</v>
      </c>
      <c r="T251" s="452">
        <v>450</v>
      </c>
      <c r="U251" s="1063">
        <f>936*1</f>
        <v>936</v>
      </c>
      <c r="V251" s="453">
        <f>PV_DATA[[#This Row],[QUANTITY]]*PV_DATA[[#This Row],[WATT]]/1000000</f>
        <v>0.42120000000000002</v>
      </c>
      <c r="W251" s="454">
        <f>PV_DATA[[#This Row],[QUANTITY]]/PV_DATA[[#This Row],[Qty/Pallet]]</f>
        <v>26</v>
      </c>
      <c r="X251" s="1020">
        <f>PV_DATA[[#This Row],[QUANTITY]]/PV_DATA[[#This Row],[Qty/CT]]</f>
        <v>1</v>
      </c>
      <c r="Y251" s="450" t="s">
        <v>75</v>
      </c>
      <c r="Z251" s="430" t="str">
        <f t="shared" si="1"/>
        <v>COMPLETED</v>
      </c>
      <c r="AA251" s="450"/>
      <c r="AB251" s="455">
        <v>46084</v>
      </c>
      <c r="AC251" s="456">
        <f>IF(PV_DATA[[#This Row],[Pick-Up Date]]&lt;&gt;"",_xlfn.ISOWEEKNUM(PV_DATA[[#This Row],[Pick-Up Date]]),"")</f>
        <v>10</v>
      </c>
      <c r="AD251" s="446" t="s">
        <v>1277</v>
      </c>
      <c r="AE251" s="450"/>
      <c r="AF251" s="450" t="s">
        <v>77</v>
      </c>
      <c r="AG251" s="450" t="s">
        <v>61</v>
      </c>
      <c r="AH251" s="450" t="s">
        <v>105</v>
      </c>
      <c r="AI251" s="455">
        <v>46088</v>
      </c>
      <c r="AJ251" s="455">
        <v>46088</v>
      </c>
      <c r="AK251" s="455">
        <v>46088</v>
      </c>
      <c r="AL251" s="455">
        <v>46133</v>
      </c>
      <c r="AM251" s="455">
        <v>46142</v>
      </c>
      <c r="AN251" s="455">
        <v>46141</v>
      </c>
      <c r="AO251" s="450" t="s">
        <v>402</v>
      </c>
      <c r="AP251" s="450" t="s">
        <v>889</v>
      </c>
      <c r="AQ251" s="450" t="s">
        <v>80</v>
      </c>
      <c r="AR251" s="450" t="s">
        <v>1266</v>
      </c>
      <c r="AS251" s="450" t="s">
        <v>1278</v>
      </c>
      <c r="AT251" s="482" t="s">
        <v>1267</v>
      </c>
      <c r="AU25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V251" s="450"/>
      <c r="AW251" s="455" cm="1">
        <f t="array" ref="AW25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5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51" s="455">
        <f>IF(ISERROR(PV_DATA[[#This Row],[New Ark PO status]]),"",_xlfn.XLOOKUP(PV_DATA[[#This Row],[SPTN-PVHK New Ark PO'#]],New_Ark_Data[Purchase order Number],New_Ark_Data[Estimated time of arrival],"",0))</f>
        <v>46146</v>
      </c>
      <c r="AZ251" s="45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51" s="437">
        <f>IFERROR(PV_DATA[[#This Row],[ODP ETA Port]]+PV_DATA[[#This Row],[Customs/Leg3 Assumption]],"n/a")</f>
        <v>46141</v>
      </c>
      <c r="BB251" s="452">
        <f>YEAR(PV_DATA[[#This Row],[ETA for New Ark update]])</f>
        <v>2026</v>
      </c>
      <c r="BC251" s="450">
        <f>MONTH(PV_DATA[[#This Row],[ETA for New Ark update]])</f>
        <v>4</v>
      </c>
      <c r="BD251" s="450">
        <f>IFERROR(_xlfn.ISOWEEKNUM(PV_DATA[[#This Row],[ETA for New Ark update]]),0)</f>
        <v>18</v>
      </c>
      <c r="BE251" s="431">
        <f>_xlfn.XLOOKUP(PV_DATA[[#This Row],[New Ark SKU]],Table9[New Ark SKU],Table9[Total PCS per Pallet],,0)</f>
        <v>36</v>
      </c>
      <c r="BF251" s="431">
        <f>_xlfn.XLOOKUP(PV_DATA[[#This Row],[New Ark SKU]],Table9[New Ark SKU],Table9[Total PCS per 40HQ Container],,0)</f>
        <v>936</v>
      </c>
      <c r="BG251" s="431" t="str">
        <f>_xlfn.XLOOKUP(PV_DATA[[#This Row],[New Ark SKU]],Table9[New Ark SKU],Table9[Back Glass],,0)</f>
        <v>Black glazing</v>
      </c>
      <c r="BH251" s="431" t="str">
        <f>_xlfn.XLOOKUP(PV_DATA[[#This Row],[PORT DESTINATION]],Table12[PORT DESTINATION],Table12[Cosco Line],,0)</f>
        <v>AEU</v>
      </c>
      <c r="BJ251" s="430"/>
    </row>
    <row r="252" spans="1:62" ht="10.5" hidden="1">
      <c r="A252" s="462" t="s">
        <v>1279</v>
      </c>
      <c r="B252" s="462" t="s">
        <v>61</v>
      </c>
      <c r="C252" s="462" t="str">
        <f>IFERROR(LEFT(PV_DATA[[#This Row],[TCL REFERENCE]],FIND(".",PV_DATA[[#This Row],[TCL REFERENCE]],1)-1),"Main Line")</f>
        <v>26Feb017</v>
      </c>
      <c r="D252" s="462" t="s">
        <v>63</v>
      </c>
      <c r="E252" s="462" t="s">
        <v>144</v>
      </c>
      <c r="F252" s="462" t="str" cm="1">
        <f t="array" ref="F25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52" s="462" t="s">
        <v>402</v>
      </c>
      <c r="H252" s="462" t="s">
        <v>1280</v>
      </c>
      <c r="I252" s="439" t="s">
        <v>689</v>
      </c>
      <c r="J252" s="430" t="s">
        <v>1270</v>
      </c>
      <c r="K252" s="430" t="s">
        <v>1281</v>
      </c>
      <c r="L252" s="430"/>
      <c r="M252" s="430" t="s">
        <v>840</v>
      </c>
      <c r="N252" s="432">
        <v>46076</v>
      </c>
      <c r="O252" s="430" t="s">
        <v>70</v>
      </c>
      <c r="P252" s="430" t="s">
        <v>195</v>
      </c>
      <c r="Q252" s="430" t="s">
        <v>196</v>
      </c>
      <c r="R252" s="431" t="str">
        <f>_xlfn.XLOOKUP(PV_DATA[[#This Row],[New Ark SKU]],Table9[New Ark SKU],Table9[Connector],,0)</f>
        <v>EVO2A</v>
      </c>
      <c r="S252" s="442" t="str">
        <f>_xlfn.XLOOKUP(PV_DATA[[#This Row],[New Ark SKU]],Table9[New Ark SKU],Table9[Cable],,0)</f>
        <v>±1200mm</v>
      </c>
      <c r="T252" s="433">
        <v>450</v>
      </c>
      <c r="U252" s="1062">
        <f>936*2</f>
        <v>1872</v>
      </c>
      <c r="V252" s="434">
        <f>PV_DATA[[#This Row],[QUANTITY]]*PV_DATA[[#This Row],[WATT]]/1000000</f>
        <v>0.84240000000000004</v>
      </c>
      <c r="W252" s="435">
        <f>PV_DATA[[#This Row],[QUANTITY]]/PV_DATA[[#This Row],[Qty/Pallet]]</f>
        <v>52</v>
      </c>
      <c r="X252" s="1015">
        <f>PV_DATA[[#This Row],[QUANTITY]]/PV_DATA[[#This Row],[Qty/CT]]</f>
        <v>2</v>
      </c>
      <c r="Y252" s="430" t="s">
        <v>75</v>
      </c>
      <c r="Z252" s="430" t="str">
        <f t="shared" si="1"/>
        <v>COMPLETED</v>
      </c>
      <c r="AA252" s="430"/>
      <c r="AB252" s="437">
        <v>46084</v>
      </c>
      <c r="AC252" s="438">
        <f>IF(PV_DATA[[#This Row],[Pick-Up Date]]&lt;&gt;"",_xlfn.ISOWEEKNUM(PV_DATA[[#This Row],[Pick-Up Date]]),"")</f>
        <v>10</v>
      </c>
      <c r="AD252" s="439" t="s">
        <v>1282</v>
      </c>
      <c r="AE252" s="430"/>
      <c r="AF252" s="430" t="s">
        <v>77</v>
      </c>
      <c r="AG252" s="430" t="s">
        <v>61</v>
      </c>
      <c r="AH252" s="430" t="s">
        <v>105</v>
      </c>
      <c r="AI252" s="437">
        <v>46088</v>
      </c>
      <c r="AJ252" s="437">
        <v>46088</v>
      </c>
      <c r="AK252" s="441">
        <v>46088</v>
      </c>
      <c r="AL252" s="437">
        <v>46133</v>
      </c>
      <c r="AM252" s="437">
        <v>46142</v>
      </c>
      <c r="AN252" s="437">
        <v>46141</v>
      </c>
      <c r="AO252" s="430" t="s">
        <v>402</v>
      </c>
      <c r="AP252" s="430" t="s">
        <v>889</v>
      </c>
      <c r="AQ252" s="430" t="s">
        <v>80</v>
      </c>
      <c r="AR252" s="430" t="s">
        <v>1266</v>
      </c>
      <c r="AS252" s="430" t="s">
        <v>1283</v>
      </c>
      <c r="AT252" s="482" t="s">
        <v>1267</v>
      </c>
      <c r="AU25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252" s="437" cm="1">
        <f t="array" ref="AW25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5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52" s="437">
        <f>IF(ISERROR(PV_DATA[[#This Row],[New Ark PO status]]),"",_xlfn.XLOOKUP(PV_DATA[[#This Row],[SPTN-PVHK New Ark PO'#]],New_Ark_Data[Purchase order Number],New_Ark_Data[Estimated time of arrival],"",0))</f>
        <v>46146</v>
      </c>
      <c r="AZ252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52" s="437">
        <f>IFERROR(PV_DATA[[#This Row],[ODP ETA Port]]+PV_DATA[[#This Row],[Customs/Leg3 Assumption]],"n/a")</f>
        <v>46141</v>
      </c>
      <c r="BB252" s="433">
        <f>YEAR(PV_DATA[[#This Row],[ETA for New Ark update]])</f>
        <v>2026</v>
      </c>
      <c r="BC252" s="430">
        <f>MONTH(PV_DATA[[#This Row],[ETA for New Ark update]])</f>
        <v>4</v>
      </c>
      <c r="BD252" s="430">
        <f>IFERROR(_xlfn.ISOWEEKNUM(PV_DATA[[#This Row],[ETA for New Ark update]]),0)</f>
        <v>18</v>
      </c>
      <c r="BE252" s="431">
        <f>_xlfn.XLOOKUP(PV_DATA[[#This Row],[New Ark SKU]],Table9[New Ark SKU],Table9[Total PCS per Pallet],,0)</f>
        <v>36</v>
      </c>
      <c r="BF252" s="431">
        <f>_xlfn.XLOOKUP(PV_DATA[[#This Row],[New Ark SKU]],Table9[New Ark SKU],Table9[Total PCS per 40HQ Container],,0)</f>
        <v>936</v>
      </c>
      <c r="BG252" s="431" t="str">
        <f>_xlfn.XLOOKUP(PV_DATA[[#This Row],[New Ark SKU]],Table9[New Ark SKU],Table9[Back Glass],,0)</f>
        <v>Black glazing</v>
      </c>
      <c r="BH252" s="431" t="str">
        <f>_xlfn.XLOOKUP(PV_DATA[[#This Row],[PORT DESTINATION]],Table12[PORT DESTINATION],Table12[Cosco Line],,0)</f>
        <v>AEU</v>
      </c>
      <c r="BJ252" s="430"/>
    </row>
    <row r="253" spans="1:62" ht="10.5" hidden="1">
      <c r="A253" s="462" t="s">
        <v>1284</v>
      </c>
      <c r="B253" s="462" t="s">
        <v>61</v>
      </c>
      <c r="C253" s="462" t="str">
        <f>IFERROR(LEFT(PV_DATA[[#This Row],[TCL REFERENCE]],FIND(".",PV_DATA[[#This Row],[TCL REFERENCE]],1)-1),"Main Line")</f>
        <v>26Feb017</v>
      </c>
      <c r="D253" s="462" t="s">
        <v>63</v>
      </c>
      <c r="E253" s="462" t="s">
        <v>144</v>
      </c>
      <c r="F253" s="462" t="str" cm="1">
        <f t="array" ref="F25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53" s="462" t="s">
        <v>402</v>
      </c>
      <c r="H253" s="462" t="s">
        <v>1275</v>
      </c>
      <c r="I253" s="439" t="s">
        <v>689</v>
      </c>
      <c r="J253" s="430" t="s">
        <v>1270</v>
      </c>
      <c r="K253" s="430" t="s">
        <v>1276</v>
      </c>
      <c r="L253" s="430"/>
      <c r="M253" s="430" t="s">
        <v>840</v>
      </c>
      <c r="N253" s="432">
        <v>46076</v>
      </c>
      <c r="O253" s="430" t="s">
        <v>70</v>
      </c>
      <c r="P253" s="430" t="s">
        <v>195</v>
      </c>
      <c r="Q253" s="430" t="s">
        <v>196</v>
      </c>
      <c r="R253" s="431" t="str">
        <f>_xlfn.XLOOKUP(PV_DATA[[#This Row],[New Ark SKU]],Table9[New Ark SKU],Table9[Connector],,0)</f>
        <v>EVO2A</v>
      </c>
      <c r="S253" s="442" t="str">
        <f>_xlfn.XLOOKUP(PV_DATA[[#This Row],[New Ark SKU]],Table9[New Ark SKU],Table9[Cable],,0)</f>
        <v>±1200mm</v>
      </c>
      <c r="T253" s="433">
        <v>450</v>
      </c>
      <c r="U253" s="1062">
        <f>936*4</f>
        <v>3744</v>
      </c>
      <c r="V253" s="434">
        <f>PV_DATA[[#This Row],[QUANTITY]]*PV_DATA[[#This Row],[WATT]]/1000000</f>
        <v>1.6848000000000001</v>
      </c>
      <c r="W253" s="435">
        <f>PV_DATA[[#This Row],[QUANTITY]]/PV_DATA[[#This Row],[Qty/Pallet]]</f>
        <v>104</v>
      </c>
      <c r="X253" s="1015">
        <f>PV_DATA[[#This Row],[QUANTITY]]/PV_DATA[[#This Row],[Qty/CT]]</f>
        <v>4</v>
      </c>
      <c r="Y253" s="430" t="s">
        <v>75</v>
      </c>
      <c r="Z253" s="430" t="str">
        <f t="shared" si="1"/>
        <v>COMPLETED</v>
      </c>
      <c r="AA253" s="430"/>
      <c r="AB253" s="437">
        <v>46084</v>
      </c>
      <c r="AC253" s="438">
        <f>IF(PV_DATA[[#This Row],[Pick-Up Date]]&lt;&gt;"",_xlfn.ISOWEEKNUM(PV_DATA[[#This Row],[Pick-Up Date]]),"")</f>
        <v>10</v>
      </c>
      <c r="AD253" s="439" t="s">
        <v>1277</v>
      </c>
      <c r="AE253" s="430"/>
      <c r="AF253" s="430" t="s">
        <v>77</v>
      </c>
      <c r="AG253" s="430" t="s">
        <v>61</v>
      </c>
      <c r="AH253" s="430" t="s">
        <v>105</v>
      </c>
      <c r="AI253" s="437">
        <v>46088</v>
      </c>
      <c r="AJ253" s="437">
        <v>46088</v>
      </c>
      <c r="AK253" s="441">
        <v>46088</v>
      </c>
      <c r="AL253" s="437">
        <v>46133</v>
      </c>
      <c r="AM253" s="437">
        <v>46142</v>
      </c>
      <c r="AN253" s="437">
        <v>46141</v>
      </c>
      <c r="AO253" s="430" t="s">
        <v>402</v>
      </c>
      <c r="AP253" s="430" t="s">
        <v>889</v>
      </c>
      <c r="AQ253" s="430" t="s">
        <v>80</v>
      </c>
      <c r="AR253" s="430" t="s">
        <v>1266</v>
      </c>
      <c r="AS253" s="430" t="s">
        <v>1278</v>
      </c>
      <c r="AT253" s="482" t="s">
        <v>1278</v>
      </c>
      <c r="AU25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253" s="437" cm="1">
        <f t="array" ref="AW25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5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53" s="437">
        <f>IF(ISERROR(PV_DATA[[#This Row],[New Ark PO status]]),"",_xlfn.XLOOKUP(PV_DATA[[#This Row],[SPTN-PVHK New Ark PO'#]],New_Ark_Data[Purchase order Number],New_Ark_Data[Estimated time of arrival],"",0))</f>
        <v>46146</v>
      </c>
      <c r="AZ253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53" s="437">
        <f>IFERROR(PV_DATA[[#This Row],[ODP ETA Port]]+PV_DATA[[#This Row],[Customs/Leg3 Assumption]],"n/a")</f>
        <v>46141</v>
      </c>
      <c r="BB253" s="433">
        <f>YEAR(PV_DATA[[#This Row],[ETA for New Ark update]])</f>
        <v>2026</v>
      </c>
      <c r="BC253" s="430">
        <f>MONTH(PV_DATA[[#This Row],[ETA for New Ark update]])</f>
        <v>4</v>
      </c>
      <c r="BD253" s="430">
        <f>IFERROR(_xlfn.ISOWEEKNUM(PV_DATA[[#This Row],[ETA for New Ark update]]),0)</f>
        <v>18</v>
      </c>
      <c r="BE253" s="431">
        <f>_xlfn.XLOOKUP(PV_DATA[[#This Row],[New Ark SKU]],Table9[New Ark SKU],Table9[Total PCS per Pallet],,0)</f>
        <v>36</v>
      </c>
      <c r="BF253" s="431">
        <f>_xlfn.XLOOKUP(PV_DATA[[#This Row],[New Ark SKU]],Table9[New Ark SKU],Table9[Total PCS per 40HQ Container],,0)</f>
        <v>936</v>
      </c>
      <c r="BG253" s="431" t="str">
        <f>_xlfn.XLOOKUP(PV_DATA[[#This Row],[New Ark SKU]],Table9[New Ark SKU],Table9[Back Glass],,0)</f>
        <v>Black glazing</v>
      </c>
      <c r="BH253" s="431" t="str">
        <f>_xlfn.XLOOKUP(PV_DATA[[#This Row],[PORT DESTINATION]],Table12[PORT DESTINATION],Table12[Cosco Line],,0)</f>
        <v>AEU</v>
      </c>
      <c r="BJ253" s="430"/>
    </row>
    <row r="254" spans="1:62" ht="10.5" hidden="1">
      <c r="A254" s="462" t="s">
        <v>1285</v>
      </c>
      <c r="B254" s="462" t="s">
        <v>61</v>
      </c>
      <c r="C254" s="462" t="str">
        <f>IFERROR(LEFT(PV_DATA[[#This Row],[TCL REFERENCE]],FIND(".",PV_DATA[[#This Row],[TCL REFERENCE]],1)-1),"Main Line")</f>
        <v>26Feb020</v>
      </c>
      <c r="D254" s="462" t="s">
        <v>63</v>
      </c>
      <c r="E254" s="462" t="s">
        <v>64</v>
      </c>
      <c r="F254" s="462" t="str" cm="1">
        <f t="array" ref="F25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254" s="462" t="s">
        <v>402</v>
      </c>
      <c r="H254" s="462" t="s">
        <v>451</v>
      </c>
      <c r="I254" s="439" t="s">
        <v>689</v>
      </c>
      <c r="J254" s="430" t="s">
        <v>1287</v>
      </c>
      <c r="K254" s="430"/>
      <c r="L254" s="430"/>
      <c r="M254" s="430" t="s">
        <v>68</v>
      </c>
      <c r="N254" s="432">
        <v>46048</v>
      </c>
      <c r="O254" s="430" t="s">
        <v>70</v>
      </c>
      <c r="P254" s="430" t="s">
        <v>1151</v>
      </c>
      <c r="Q254" s="430" t="s">
        <v>421</v>
      </c>
      <c r="R254" s="431" t="str">
        <f>_xlfn.XLOOKUP(PV_DATA[[#This Row],[New Ark SKU]],Table9[New Ark SKU],Table9[Connector],,0)</f>
        <v>EVO2A</v>
      </c>
      <c r="S254" s="442" t="str">
        <f>_xlfn.XLOOKUP(PV_DATA[[#This Row],[New Ark SKU]],Table9[New Ark SKU],Table9[Cable],,0)</f>
        <v>±1200mm</v>
      </c>
      <c r="T254" s="433">
        <v>505</v>
      </c>
      <c r="U254" s="1062">
        <f>864*1</f>
        <v>864</v>
      </c>
      <c r="V254" s="434">
        <f>PV_DATA[[#This Row],[QUANTITY]]*PV_DATA[[#This Row],[WATT]]/1000000</f>
        <v>0.43631999999999999</v>
      </c>
      <c r="W254" s="435">
        <f>PV_DATA[[#This Row],[QUANTITY]]/PV_DATA[[#This Row],[Qty/Pallet]]</f>
        <v>24</v>
      </c>
      <c r="X254" s="1015">
        <f>PV_DATA[[#This Row],[QUANTITY]]/PV_DATA[[#This Row],[Qty/CT]]</f>
        <v>1</v>
      </c>
      <c r="Y254" s="430" t="s">
        <v>75</v>
      </c>
      <c r="Z254" s="430" t="str">
        <f t="shared" si="1"/>
        <v>COMPLETED</v>
      </c>
      <c r="AA254" s="430"/>
      <c r="AB254" s="437">
        <v>46082</v>
      </c>
      <c r="AC254" s="438">
        <f>IF(PV_DATA[[#This Row],[Pick-Up Date]]&lt;&gt;"",_xlfn.ISOWEEKNUM(PV_DATA[[#This Row],[Pick-Up Date]]),"")</f>
        <v>9</v>
      </c>
      <c r="AD254" s="439" t="s">
        <v>1288</v>
      </c>
      <c r="AE254" s="430"/>
      <c r="AF254" s="430" t="s">
        <v>77</v>
      </c>
      <c r="AG254" s="430" t="s">
        <v>61</v>
      </c>
      <c r="AH254" s="430" t="s">
        <v>456</v>
      </c>
      <c r="AI254" s="437">
        <v>46088</v>
      </c>
      <c r="AJ254" s="437">
        <v>46088</v>
      </c>
      <c r="AK254" s="441">
        <v>46088</v>
      </c>
      <c r="AL254" s="437">
        <v>46138</v>
      </c>
      <c r="AM254" s="437">
        <v>46160</v>
      </c>
      <c r="AN254" s="437">
        <v>46160</v>
      </c>
      <c r="AO254" s="430" t="s">
        <v>402</v>
      </c>
      <c r="AP254" s="430" t="s">
        <v>889</v>
      </c>
      <c r="AQ254" s="430" t="s">
        <v>80</v>
      </c>
      <c r="AR254" s="430" t="s">
        <v>1289</v>
      </c>
      <c r="AS254" s="430" t="s">
        <v>1290</v>
      </c>
      <c r="AT254" s="482" t="s">
        <v>1290</v>
      </c>
      <c r="AU25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W254" s="437" cm="1">
        <f t="array" ref="AW25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46160</v>
      </c>
      <c r="AX25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54" s="437">
        <f>IF(ISERROR(PV_DATA[[#This Row],[New Ark PO status]]),"",_xlfn.XLOOKUP(PV_DATA[[#This Row],[SPTN-PVHK New Ark PO'#]],New_Ark_Data[Purchase order Number],New_Ark_Data[Estimated time of arrival],"",0))</f>
        <v>46174</v>
      </c>
      <c r="AZ25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54" s="437">
        <f>IFERROR(PV_DATA[[#This Row],[ODP ETA Port]]+PV_DATA[[#This Row],[Customs/Leg3 Assumption]],"n/a")</f>
        <v>46167</v>
      </c>
      <c r="BB254" s="433">
        <f>YEAR(PV_DATA[[#This Row],[ETA for New Ark update]])</f>
        <v>2026</v>
      </c>
      <c r="BC254" s="430">
        <f>MONTH(PV_DATA[[#This Row],[ETA for New Ark update]])</f>
        <v>5</v>
      </c>
      <c r="BD254" s="430">
        <f>IFERROR(_xlfn.ISOWEEKNUM(PV_DATA[[#This Row],[ETA for New Ark update]]),0)</f>
        <v>22</v>
      </c>
      <c r="BE254" s="431">
        <f>_xlfn.XLOOKUP(PV_DATA[[#This Row],[New Ark SKU]],Table9[New Ark SKU],Table9[Total PCS per Pallet],,0)</f>
        <v>36</v>
      </c>
      <c r="BF254" s="431">
        <f>_xlfn.XLOOKUP(PV_DATA[[#This Row],[New Ark SKU]],Table9[New Ark SKU],Table9[Total PCS per 40HQ Container],,0)</f>
        <v>864</v>
      </c>
      <c r="BG254" s="431" t="str">
        <f>_xlfn.XLOOKUP(PV_DATA[[#This Row],[New Ark SKU]],Table9[New Ark SKU],Table9[Back Glass],,0)</f>
        <v>Black glazing</v>
      </c>
      <c r="BH254" s="431" t="str">
        <f>_xlfn.XLOOKUP(PV_DATA[[#This Row],[PORT DESTINATION]],Table12[PORT DESTINATION],Table12[Cosco Line],,0)</f>
        <v>AEU</v>
      </c>
      <c r="BJ254" s="430"/>
    </row>
    <row r="255" spans="1:62" ht="10.5" hidden="1">
      <c r="A255" s="462" t="s">
        <v>1291</v>
      </c>
      <c r="B255" s="462" t="s">
        <v>61</v>
      </c>
      <c r="C255" s="462" t="str">
        <f>IFERROR(LEFT(PV_DATA[[#This Row],[TCL REFERENCE]],FIND(".",PV_DATA[[#This Row],[TCL REFERENCE]],1)-1),"Main Line")</f>
        <v>26Feb020</v>
      </c>
      <c r="D255" s="462" t="s">
        <v>63</v>
      </c>
      <c r="E255" s="462" t="s">
        <v>64</v>
      </c>
      <c r="F255" s="462" t="str" cm="1">
        <f t="array" ref="F25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255" s="462" t="s">
        <v>402</v>
      </c>
      <c r="H255" s="462" t="s">
        <v>451</v>
      </c>
      <c r="I255" s="439" t="s">
        <v>689</v>
      </c>
      <c r="J255" s="430" t="s">
        <v>1292</v>
      </c>
      <c r="K255" s="430"/>
      <c r="L255" s="430"/>
      <c r="M255" s="430" t="s">
        <v>68</v>
      </c>
      <c r="N255" s="432">
        <v>46048</v>
      </c>
      <c r="O255" s="430" t="s">
        <v>70</v>
      </c>
      <c r="P255" s="430" t="s">
        <v>1151</v>
      </c>
      <c r="Q255" s="430" t="s">
        <v>421</v>
      </c>
      <c r="R255" s="431" t="str">
        <f>_xlfn.XLOOKUP(PV_DATA[[#This Row],[New Ark SKU]],Table9[New Ark SKU],Table9[Connector],,0)</f>
        <v>EVO2A</v>
      </c>
      <c r="S255" s="442" t="str">
        <f>_xlfn.XLOOKUP(PV_DATA[[#This Row],[New Ark SKU]],Table9[New Ark SKU],Table9[Cable],,0)</f>
        <v>±1200mm</v>
      </c>
      <c r="T255" s="433">
        <v>505</v>
      </c>
      <c r="U255" s="1062">
        <f>864*2</f>
        <v>1728</v>
      </c>
      <c r="V255" s="434">
        <f>PV_DATA[[#This Row],[QUANTITY]]*PV_DATA[[#This Row],[WATT]]/1000000</f>
        <v>0.87263999999999997</v>
      </c>
      <c r="W255" s="435">
        <f>PV_DATA[[#This Row],[QUANTITY]]/PV_DATA[[#This Row],[Qty/Pallet]]</f>
        <v>48</v>
      </c>
      <c r="X255" s="1015">
        <f>PV_DATA[[#This Row],[QUANTITY]]/PV_DATA[[#This Row],[Qty/CT]]</f>
        <v>2</v>
      </c>
      <c r="Y255" s="430" t="s">
        <v>75</v>
      </c>
      <c r="Z255" s="430" t="str">
        <f t="shared" si="1"/>
        <v>COMPLETED</v>
      </c>
      <c r="AA255" s="430"/>
      <c r="AB255" s="437">
        <v>46082</v>
      </c>
      <c r="AC255" s="438">
        <f>IF(PV_DATA[[#This Row],[Pick-Up Date]]&lt;&gt;"",_xlfn.ISOWEEKNUM(PV_DATA[[#This Row],[Pick-Up Date]]),"")</f>
        <v>9</v>
      </c>
      <c r="AD255" s="439" t="s">
        <v>1293</v>
      </c>
      <c r="AE255" s="430"/>
      <c r="AF255" s="430" t="s">
        <v>77</v>
      </c>
      <c r="AG255" s="430" t="s">
        <v>61</v>
      </c>
      <c r="AH255" s="430" t="s">
        <v>456</v>
      </c>
      <c r="AI255" s="437">
        <v>46088</v>
      </c>
      <c r="AJ255" s="437">
        <v>46088</v>
      </c>
      <c r="AK255" s="441">
        <v>46088</v>
      </c>
      <c r="AL255" s="437">
        <v>46138</v>
      </c>
      <c r="AM255" s="437">
        <v>46160</v>
      </c>
      <c r="AN255" s="437">
        <v>46160</v>
      </c>
      <c r="AO255" s="430" t="s">
        <v>402</v>
      </c>
      <c r="AP255" s="430" t="s">
        <v>889</v>
      </c>
      <c r="AQ255" s="430" t="s">
        <v>80</v>
      </c>
      <c r="AR255" s="430" t="s">
        <v>1289</v>
      </c>
      <c r="AS255" s="430" t="s">
        <v>1290</v>
      </c>
      <c r="AT255" s="482" t="s">
        <v>1290</v>
      </c>
      <c r="AU25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W255" s="437" cm="1">
        <f t="array" ref="AW25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46160</v>
      </c>
      <c r="AX25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55" s="437">
        <f>IF(ISERROR(PV_DATA[[#This Row],[New Ark PO status]]),"",_xlfn.XLOOKUP(PV_DATA[[#This Row],[SPTN-PVHK New Ark PO'#]],New_Ark_Data[Purchase order Number],New_Ark_Data[Estimated time of arrival],"",0))</f>
        <v>46174</v>
      </c>
      <c r="AZ25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55" s="437">
        <f>IFERROR(PV_DATA[[#This Row],[ODP ETA Port]]+PV_DATA[[#This Row],[Customs/Leg3 Assumption]],"n/a")</f>
        <v>46167</v>
      </c>
      <c r="BB255" s="433">
        <f>YEAR(PV_DATA[[#This Row],[ETA for New Ark update]])</f>
        <v>2026</v>
      </c>
      <c r="BC255" s="430">
        <f>MONTH(PV_DATA[[#This Row],[ETA for New Ark update]])</f>
        <v>5</v>
      </c>
      <c r="BD255" s="430">
        <f>IFERROR(_xlfn.ISOWEEKNUM(PV_DATA[[#This Row],[ETA for New Ark update]]),0)</f>
        <v>22</v>
      </c>
      <c r="BE255" s="431">
        <f>_xlfn.XLOOKUP(PV_DATA[[#This Row],[New Ark SKU]],Table9[New Ark SKU],Table9[Total PCS per Pallet],,0)</f>
        <v>36</v>
      </c>
      <c r="BF255" s="431">
        <f>_xlfn.XLOOKUP(PV_DATA[[#This Row],[New Ark SKU]],Table9[New Ark SKU],Table9[Total PCS per 40HQ Container],,0)</f>
        <v>864</v>
      </c>
      <c r="BG255" s="431" t="str">
        <f>_xlfn.XLOOKUP(PV_DATA[[#This Row],[New Ark SKU]],Table9[New Ark SKU],Table9[Back Glass],,0)</f>
        <v>Black glazing</v>
      </c>
      <c r="BH255" s="431" t="str">
        <f>_xlfn.XLOOKUP(PV_DATA[[#This Row],[PORT DESTINATION]],Table12[PORT DESTINATION],Table12[Cosco Line],,0)</f>
        <v>AEU</v>
      </c>
      <c r="BJ255" s="430"/>
    </row>
    <row r="256" spans="1:62" ht="10.5" hidden="1">
      <c r="A256" s="462" t="s">
        <v>1294</v>
      </c>
      <c r="B256" s="462" t="s">
        <v>61</v>
      </c>
      <c r="C256" s="462" t="str">
        <f>IFERROR(LEFT(PV_DATA[[#This Row],[TCL REFERENCE]],FIND(".",PV_DATA[[#This Row],[TCL REFERENCE]],1)-1),"Main Line")</f>
        <v>26JAN005</v>
      </c>
      <c r="D256" s="462" t="s">
        <v>63</v>
      </c>
      <c r="E256" s="462" t="s">
        <v>64</v>
      </c>
      <c r="F256" s="462" t="str" cm="1">
        <f t="array" ref="F25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256" s="462" t="s">
        <v>402</v>
      </c>
      <c r="H256" s="462" t="s">
        <v>451</v>
      </c>
      <c r="I256" s="439" t="s">
        <v>689</v>
      </c>
      <c r="J256" s="430" t="s">
        <v>1287</v>
      </c>
      <c r="K256" s="430"/>
      <c r="L256" s="430"/>
      <c r="M256" s="430" t="s">
        <v>68</v>
      </c>
      <c r="N256" s="432">
        <v>46048</v>
      </c>
      <c r="O256" s="430" t="s">
        <v>70</v>
      </c>
      <c r="P256" s="430" t="s">
        <v>1151</v>
      </c>
      <c r="Q256" s="430" t="s">
        <v>421</v>
      </c>
      <c r="R256" s="431" t="str">
        <f>_xlfn.XLOOKUP(PV_DATA[[#This Row],[New Ark SKU]],Table9[New Ark SKU],Table9[Connector],,0)</f>
        <v>EVO2A</v>
      </c>
      <c r="S256" s="442" t="str">
        <f>_xlfn.XLOOKUP(PV_DATA[[#This Row],[New Ark SKU]],Table9[New Ark SKU],Table9[Cable],,0)</f>
        <v>±1200mm</v>
      </c>
      <c r="T256" s="433">
        <v>505</v>
      </c>
      <c r="U256" s="1062">
        <f>864*2</f>
        <v>1728</v>
      </c>
      <c r="V256" s="434">
        <f>PV_DATA[[#This Row],[QUANTITY]]*PV_DATA[[#This Row],[WATT]]/1000000</f>
        <v>0.87263999999999997</v>
      </c>
      <c r="W256" s="435">
        <f>PV_DATA[[#This Row],[QUANTITY]]/PV_DATA[[#This Row],[Qty/Pallet]]</f>
        <v>48</v>
      </c>
      <c r="X256" s="1015">
        <f>PV_DATA[[#This Row],[QUANTITY]]/PV_DATA[[#This Row],[Qty/CT]]</f>
        <v>2</v>
      </c>
      <c r="Y256" s="430" t="s">
        <v>75</v>
      </c>
      <c r="Z256" s="430" t="str">
        <f t="shared" si="1"/>
        <v>COMPLETED</v>
      </c>
      <c r="AA256" s="430"/>
      <c r="AB256" s="437">
        <v>46082</v>
      </c>
      <c r="AC256" s="438">
        <f>IF(PV_DATA[[#This Row],[Pick-Up Date]]&lt;&gt;"",_xlfn.ISOWEEKNUM(PV_DATA[[#This Row],[Pick-Up Date]]),"")</f>
        <v>9</v>
      </c>
      <c r="AD256" s="439" t="s">
        <v>1295</v>
      </c>
      <c r="AE256" s="430"/>
      <c r="AF256" s="430" t="s">
        <v>77</v>
      </c>
      <c r="AG256" s="430" t="s">
        <v>61</v>
      </c>
      <c r="AH256" s="430" t="s">
        <v>456</v>
      </c>
      <c r="AI256" s="437">
        <v>46088</v>
      </c>
      <c r="AJ256" s="437">
        <v>46088</v>
      </c>
      <c r="AK256" s="441">
        <v>46088</v>
      </c>
      <c r="AL256" s="437">
        <v>46138</v>
      </c>
      <c r="AM256" s="437">
        <v>46160</v>
      </c>
      <c r="AN256" s="437">
        <v>46160</v>
      </c>
      <c r="AO256" s="430" t="s">
        <v>402</v>
      </c>
      <c r="AP256" s="430" t="s">
        <v>1296</v>
      </c>
      <c r="AQ256" s="430" t="s">
        <v>80</v>
      </c>
      <c r="AR256" s="430" t="s">
        <v>1289</v>
      </c>
      <c r="AS256" s="430" t="s">
        <v>1290</v>
      </c>
      <c r="AT256" s="482" t="s">
        <v>1290</v>
      </c>
      <c r="AU25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W256" s="437" cm="1">
        <f t="array" ref="AW25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46160</v>
      </c>
      <c r="AX25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56" s="437">
        <f>IF(ISERROR(PV_DATA[[#This Row],[New Ark PO status]]),"",_xlfn.XLOOKUP(PV_DATA[[#This Row],[SPTN-PVHK New Ark PO'#]],New_Ark_Data[Purchase order Number],New_Ark_Data[Estimated time of arrival],"",0))</f>
        <v>46174</v>
      </c>
      <c r="AZ25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56" s="437">
        <f>IFERROR(PV_DATA[[#This Row],[ODP ETA Port]]+PV_DATA[[#This Row],[Customs/Leg3 Assumption]],"n/a")</f>
        <v>46167</v>
      </c>
      <c r="BB256" s="433">
        <f>YEAR(PV_DATA[[#This Row],[ETA for New Ark update]])</f>
        <v>2026</v>
      </c>
      <c r="BC256" s="430">
        <f>MONTH(PV_DATA[[#This Row],[ETA for New Ark update]])</f>
        <v>5</v>
      </c>
      <c r="BD256" s="430">
        <f>IFERROR(_xlfn.ISOWEEKNUM(PV_DATA[[#This Row],[ETA for New Ark update]]),0)</f>
        <v>22</v>
      </c>
      <c r="BE256" s="431">
        <f>_xlfn.XLOOKUP(PV_DATA[[#This Row],[New Ark SKU]],Table9[New Ark SKU],Table9[Total PCS per Pallet],,0)</f>
        <v>36</v>
      </c>
      <c r="BF256" s="431">
        <f>_xlfn.XLOOKUP(PV_DATA[[#This Row],[New Ark SKU]],Table9[New Ark SKU],Table9[Total PCS per 40HQ Container],,0)</f>
        <v>864</v>
      </c>
      <c r="BG256" s="431" t="str">
        <f>_xlfn.XLOOKUP(PV_DATA[[#This Row],[New Ark SKU]],Table9[New Ark SKU],Table9[Back Glass],,0)</f>
        <v>Black glazing</v>
      </c>
      <c r="BH256" s="431" t="str">
        <f>_xlfn.XLOOKUP(PV_DATA[[#This Row],[PORT DESTINATION]],Table12[PORT DESTINATION],Table12[Cosco Line],,0)</f>
        <v>AEU</v>
      </c>
      <c r="BJ256" s="430"/>
    </row>
    <row r="257" spans="1:62" ht="10.5" hidden="1">
      <c r="A257" s="462" t="s">
        <v>1297</v>
      </c>
      <c r="B257" s="462" t="s">
        <v>111</v>
      </c>
      <c r="C257" s="462" t="str">
        <f>IFERROR(LEFT(PV_DATA[[#This Row],[TCL REFERENCE]],FIND(".",PV_DATA[[#This Row],[TCL REFERENCE]],1)-1),"Main Line")</f>
        <v>Main Line</v>
      </c>
      <c r="D257" s="462" t="s">
        <v>63</v>
      </c>
      <c r="E257" s="462" t="s">
        <v>144</v>
      </c>
      <c r="F257" s="462" t="str" cm="1">
        <f t="array" ref="F25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57" s="462" t="s">
        <v>402</v>
      </c>
      <c r="H257" s="462" t="s">
        <v>1029</v>
      </c>
      <c r="I257" s="439" t="s">
        <v>689</v>
      </c>
      <c r="J257" s="430" t="s">
        <v>1030</v>
      </c>
      <c r="K257" s="430" t="s">
        <v>1298</v>
      </c>
      <c r="L257" s="430"/>
      <c r="M257" s="430" t="s">
        <v>840</v>
      </c>
      <c r="N257" s="432">
        <v>46045</v>
      </c>
      <c r="O257" s="430" t="s">
        <v>713</v>
      </c>
      <c r="P257" s="430" t="s">
        <v>1299</v>
      </c>
      <c r="Q257" s="430" t="s">
        <v>1300</v>
      </c>
      <c r="R257" s="431" t="str">
        <f>_xlfn.XLOOKUP(PV_DATA[[#This Row],[New Ark SKU]],Table9[New Ark SKU],Table9[Connector],,0)</f>
        <v>EVO2A</v>
      </c>
      <c r="S257" s="442" t="str">
        <f>_xlfn.XLOOKUP(PV_DATA[[#This Row],[New Ark SKU]],Table9[New Ark SKU],Table9[Cable],,0)</f>
        <v>±1200mm</v>
      </c>
      <c r="T257" s="433">
        <v>720</v>
      </c>
      <c r="U257" s="1062">
        <v>1782</v>
      </c>
      <c r="V257" s="434">
        <f>PV_DATA[[#This Row],[QUANTITY]]*PV_DATA[[#This Row],[WATT]]/1000000</f>
        <v>1.28304</v>
      </c>
      <c r="W257" s="435">
        <f>PV_DATA[[#This Row],[QUANTITY]]/PV_DATA[[#This Row],[Qty/Pallet]]</f>
        <v>54</v>
      </c>
      <c r="X257" s="1015">
        <f>PV_DATA[[#This Row],[QUANTITY]]/PV_DATA[[#This Row],[Qty/CT]]</f>
        <v>3</v>
      </c>
      <c r="Y257" s="430" t="s">
        <v>75</v>
      </c>
      <c r="Z257" s="430" t="str">
        <f t="shared" si="1"/>
        <v>COMPLETED</v>
      </c>
      <c r="AA257" s="430"/>
      <c r="AB257" s="437">
        <v>46084</v>
      </c>
      <c r="AC257" s="438">
        <f>IF(PV_DATA[[#This Row],[Pick-Up Date]]&lt;&gt;"",_xlfn.ISOWEEKNUM(PV_DATA[[#This Row],[Pick-Up Date]]),"")</f>
        <v>10</v>
      </c>
      <c r="AD257" s="439" t="s">
        <v>1301</v>
      </c>
      <c r="AE257" s="430"/>
      <c r="AF257" s="430" t="s">
        <v>122</v>
      </c>
      <c r="AG257" s="430" t="s">
        <v>123</v>
      </c>
      <c r="AH257" s="430" t="s">
        <v>888</v>
      </c>
      <c r="AI257" s="437">
        <v>46091</v>
      </c>
      <c r="AJ257" s="437">
        <v>46090</v>
      </c>
      <c r="AK257" s="441">
        <v>46090</v>
      </c>
      <c r="AL257" s="437">
        <v>46141</v>
      </c>
      <c r="AM257" s="437">
        <v>46140</v>
      </c>
      <c r="AN257" s="437">
        <v>46140</v>
      </c>
      <c r="AO257" s="430" t="s">
        <v>402</v>
      </c>
      <c r="AP257" s="430" t="s">
        <v>1302</v>
      </c>
      <c r="AQ257" s="430" t="s">
        <v>80</v>
      </c>
      <c r="AR257" s="430" t="s">
        <v>1303</v>
      </c>
      <c r="AS257" s="430" t="s">
        <v>1304</v>
      </c>
      <c r="AT257" s="482" t="s">
        <v>1304</v>
      </c>
      <c r="AU25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257" s="437" cm="1">
        <f t="array" ref="AW25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46140</v>
      </c>
      <c r="AX25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57" s="437">
        <f>IF(ISERROR(PV_DATA[[#This Row],[New Ark PO status]]),"",_xlfn.XLOOKUP(PV_DATA[[#This Row],[SPTN-PVHK New Ark PO'#]],New_Ark_Data[Purchase order Number],New_Ark_Data[Estimated time of arrival],"",0))</f>
        <v>46155</v>
      </c>
      <c r="AZ257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57" s="437">
        <f>IFERROR(PV_DATA[[#This Row],[ODP ETA Port]]+PV_DATA[[#This Row],[Customs/Leg3 Assumption]],"n/a")</f>
        <v>46140</v>
      </c>
      <c r="BB257" s="433">
        <f>YEAR(PV_DATA[[#This Row],[ETA for New Ark update]])</f>
        <v>2026</v>
      </c>
      <c r="BC257" s="430">
        <f>MONTH(PV_DATA[[#This Row],[ETA for New Ark update]])</f>
        <v>4</v>
      </c>
      <c r="BD257" s="430">
        <f>IFERROR(_xlfn.ISOWEEKNUM(PV_DATA[[#This Row],[ETA for New Ark update]]),0)</f>
        <v>18</v>
      </c>
      <c r="BE257" s="431">
        <f>_xlfn.XLOOKUP(PV_DATA[[#This Row],[New Ark SKU]],Table9[New Ark SKU],Table9[Total PCS per Pallet],,0)</f>
        <v>33</v>
      </c>
      <c r="BF257" s="431">
        <f>_xlfn.XLOOKUP(PV_DATA[[#This Row],[New Ark SKU]],Table9[New Ark SKU],Table9[Total PCS per 40HQ Container],,0)</f>
        <v>594</v>
      </c>
      <c r="BG257" s="431" t="str">
        <f>_xlfn.XLOOKUP(PV_DATA[[#This Row],[New Ark SKU]],Table9[New Ark SKU],Table9[Back Glass],,0)</f>
        <v>White glazing</v>
      </c>
      <c r="BH257" s="431" t="str">
        <f>_xlfn.XLOOKUP(PV_DATA[[#This Row],[PORT DESTINATION]],Table12[PORT DESTINATION],Table12[Cosco Line],,0)</f>
        <v>AEU</v>
      </c>
      <c r="BJ257" s="430"/>
    </row>
    <row r="258" spans="1:62" ht="10.5" hidden="1">
      <c r="A258" s="462" t="s">
        <v>1305</v>
      </c>
      <c r="B258" s="462" t="s">
        <v>111</v>
      </c>
      <c r="C258" s="462" t="str">
        <f>IFERROR(LEFT(PV_DATA[[#This Row],[TCL REFERENCE]],FIND(".",PV_DATA[[#This Row],[TCL REFERENCE]],1)-1),"Main Line")</f>
        <v>26Feb026</v>
      </c>
      <c r="D258" s="462" t="s">
        <v>63</v>
      </c>
      <c r="E258" s="462" t="s">
        <v>64</v>
      </c>
      <c r="F258" s="462" t="str" cm="1">
        <f t="array" ref="F25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58" s="462" t="s">
        <v>402</v>
      </c>
      <c r="H258" s="462" t="s">
        <v>67</v>
      </c>
      <c r="I258" s="439" t="s">
        <v>822</v>
      </c>
      <c r="J258" s="430" t="s">
        <v>1047</v>
      </c>
      <c r="K258" s="430"/>
      <c r="L258" s="430"/>
      <c r="M258" s="430" t="s">
        <v>68</v>
      </c>
      <c r="N258" s="432">
        <v>46069</v>
      </c>
      <c r="O258" s="430" t="s">
        <v>70</v>
      </c>
      <c r="P258" s="430" t="s">
        <v>1002</v>
      </c>
      <c r="Q258" s="430" t="s">
        <v>330</v>
      </c>
      <c r="R258" s="431" t="str">
        <f>_xlfn.XLOOKUP(PV_DATA[[#This Row],[New Ark SKU]],Table9[New Ark SKU],Table9[Connector],,0)</f>
        <v>EVO2A</v>
      </c>
      <c r="S258" s="442" t="str">
        <f>_xlfn.XLOOKUP(PV_DATA[[#This Row],[New Ark SKU]],Table9[New Ark SKU],Table9[Cable],,0)</f>
        <v>±1400mm</v>
      </c>
      <c r="T258" s="433">
        <v>625</v>
      </c>
      <c r="U258" s="1062">
        <v>7920</v>
      </c>
      <c r="V258" s="434">
        <f>PV_DATA[[#This Row],[QUANTITY]]*PV_DATA[[#This Row],[WATT]]/1000000</f>
        <v>4.95</v>
      </c>
      <c r="W258" s="435">
        <f>PV_DATA[[#This Row],[QUANTITY]]/PV_DATA[[#This Row],[Qty/Pallet]]</f>
        <v>220</v>
      </c>
      <c r="X258" s="1015">
        <f>PV_DATA[[#This Row],[QUANTITY]]/PV_DATA[[#This Row],[Qty/CT]]</f>
        <v>11</v>
      </c>
      <c r="Y258" s="430" t="s">
        <v>75</v>
      </c>
      <c r="Z258" s="430" t="str">
        <f t="shared" si="1"/>
        <v>COMPLETED</v>
      </c>
      <c r="AA258" s="430"/>
      <c r="AB258" s="437">
        <v>46083</v>
      </c>
      <c r="AC258" s="438">
        <f>IF(PV_DATA[[#This Row],[Pick-Up Date]]&lt;&gt;"",_xlfn.ISOWEEKNUM(PV_DATA[[#This Row],[Pick-Up Date]]),"")</f>
        <v>10</v>
      </c>
      <c r="AD258" s="439" t="s">
        <v>1306</v>
      </c>
      <c r="AE258" s="430"/>
      <c r="AF258" s="430" t="s">
        <v>122</v>
      </c>
      <c r="AG258" s="430" t="s">
        <v>123</v>
      </c>
      <c r="AH258" s="430" t="s">
        <v>105</v>
      </c>
      <c r="AI258" s="437">
        <v>46091</v>
      </c>
      <c r="AJ258" s="437">
        <v>46096</v>
      </c>
      <c r="AK258" s="441">
        <v>46096</v>
      </c>
      <c r="AL258" s="437">
        <v>46126</v>
      </c>
      <c r="AM258" s="437">
        <v>46142</v>
      </c>
      <c r="AN258" s="437">
        <v>46141</v>
      </c>
      <c r="AO258" s="430" t="s">
        <v>402</v>
      </c>
      <c r="AP258" s="430" t="s">
        <v>872</v>
      </c>
      <c r="AQ258" s="430" t="s">
        <v>80</v>
      </c>
      <c r="AR258" s="430" t="s">
        <v>1307</v>
      </c>
      <c r="AS258" s="430" t="s">
        <v>1308</v>
      </c>
      <c r="AT258" s="482" t="s">
        <v>1308</v>
      </c>
      <c r="AU25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258" s="437" cm="1">
        <f t="array" ref="AW25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5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58" s="437">
        <f>IF(ISERROR(PV_DATA[[#This Row],[New Ark PO status]]),"",_xlfn.XLOOKUP(PV_DATA[[#This Row],[SPTN-PVHK New Ark PO'#]],New_Ark_Data[Purchase order Number],New_Ark_Data[Estimated time of arrival],"",0))</f>
        <v>46163</v>
      </c>
      <c r="AZ258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58" s="437">
        <f>IFERROR(PV_DATA[[#This Row],[ODP ETA Port]]+PV_DATA[[#This Row],[Customs/Leg3 Assumption]],"n/a")</f>
        <v>46148</v>
      </c>
      <c r="BB258" s="433">
        <f>YEAR(PV_DATA[[#This Row],[ETA for New Ark update]])</f>
        <v>2026</v>
      </c>
      <c r="BC258" s="430">
        <f>MONTH(PV_DATA[[#This Row],[ETA for New Ark update]])</f>
        <v>5</v>
      </c>
      <c r="BD258" s="430">
        <f>IFERROR(_xlfn.ISOWEEKNUM(PV_DATA[[#This Row],[ETA for New Ark update]]),0)</f>
        <v>19</v>
      </c>
      <c r="BE258" s="431">
        <f>_xlfn.XLOOKUP(PV_DATA[[#This Row],[New Ark SKU]],Table9[New Ark SKU],Table9[Total PCS per Pallet],,0)</f>
        <v>36</v>
      </c>
      <c r="BF258" s="431">
        <f>_xlfn.XLOOKUP(PV_DATA[[#This Row],[New Ark SKU]],Table9[New Ark SKU],Table9[Total PCS per 40HQ Container],,0)</f>
        <v>720</v>
      </c>
      <c r="BG258" s="431" t="str">
        <f>_xlfn.XLOOKUP(PV_DATA[[#This Row],[New Ark SKU]],Table9[New Ark SKU],Table9[Back Glass],,0)</f>
        <v>Redirection Film</v>
      </c>
      <c r="BH258" s="431" t="str">
        <f>_xlfn.XLOOKUP(PV_DATA[[#This Row],[PORT DESTINATION]],Table12[PORT DESTINATION],Table12[Cosco Line],,0)</f>
        <v>AEU</v>
      </c>
      <c r="BJ258" s="430"/>
    </row>
    <row r="259" spans="1:62" ht="10.5" hidden="1">
      <c r="A259" s="462" t="s">
        <v>1309</v>
      </c>
      <c r="B259" s="462" t="s">
        <v>111</v>
      </c>
      <c r="C259" s="462" t="str">
        <f>IFERROR(LEFT(PV_DATA[[#This Row],[TCL REFERENCE]],FIND(".",PV_DATA[[#This Row],[TCL REFERENCE]],1)-1),"Main Line")</f>
        <v>26Feb007</v>
      </c>
      <c r="D259" s="462" t="s">
        <v>63</v>
      </c>
      <c r="E259" s="462" t="s">
        <v>64</v>
      </c>
      <c r="F259" s="462" t="str" cm="1">
        <f t="array" ref="F25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59" s="462" t="s">
        <v>402</v>
      </c>
      <c r="H259" s="462" t="s">
        <v>67</v>
      </c>
      <c r="I259" s="439" t="s">
        <v>689</v>
      </c>
      <c r="J259" s="430" t="s">
        <v>483</v>
      </c>
      <c r="K259" s="430"/>
      <c r="L259" s="430"/>
      <c r="M259" s="430" t="s">
        <v>68</v>
      </c>
      <c r="N259" s="432">
        <v>46083</v>
      </c>
      <c r="O259" s="430" t="s">
        <v>473</v>
      </c>
      <c r="P259" s="430" t="s">
        <v>529</v>
      </c>
      <c r="Q259" s="430" t="s">
        <v>1311</v>
      </c>
      <c r="R259" s="431" t="str">
        <f>_xlfn.XLOOKUP(PV_DATA[[#This Row],[New Ark SKU]],Table9[New Ark SKU],Table9[Connector],,0)</f>
        <v>EVO2A</v>
      </c>
      <c r="S259" s="442" t="str">
        <f>_xlfn.XLOOKUP(PV_DATA[[#This Row],[New Ark SKU]],Table9[New Ark SKU],Table9[Cable],,0)</f>
        <v>±1200mm</v>
      </c>
      <c r="T259" s="433">
        <v>455</v>
      </c>
      <c r="U259" s="1062">
        <v>3456</v>
      </c>
      <c r="V259" s="434">
        <f>PV_DATA[[#This Row],[QUANTITY]]*PV_DATA[[#This Row],[WATT]]/1000000</f>
        <v>1.5724800000000001</v>
      </c>
      <c r="W259" s="435">
        <f>PV_DATA[[#This Row],[QUANTITY]]/PV_DATA[[#This Row],[Qty/Pallet]]</f>
        <v>96</v>
      </c>
      <c r="X259" s="1015">
        <f>PV_DATA[[#This Row],[QUANTITY]]/PV_DATA[[#This Row],[Qty/CT]]</f>
        <v>4</v>
      </c>
      <c r="Y259" s="430" t="s">
        <v>75</v>
      </c>
      <c r="Z259" s="430" t="str">
        <f t="shared" si="1"/>
        <v>COMPLETED</v>
      </c>
      <c r="AA259" s="430"/>
      <c r="AB259" s="437">
        <v>46085</v>
      </c>
      <c r="AC259" s="438">
        <f>IF(PV_DATA[[#This Row],[Pick-Up Date]]&lt;&gt;"",_xlfn.ISOWEEKNUM(PV_DATA[[#This Row],[Pick-Up Date]]),"")</f>
        <v>10</v>
      </c>
      <c r="AD259" s="439" t="s">
        <v>1312</v>
      </c>
      <c r="AE259" s="430"/>
      <c r="AF259" s="430" t="s">
        <v>122</v>
      </c>
      <c r="AG259" s="430" t="s">
        <v>123</v>
      </c>
      <c r="AH259" s="430" t="s">
        <v>105</v>
      </c>
      <c r="AI259" s="437">
        <v>46091</v>
      </c>
      <c r="AJ259" s="437">
        <v>46090</v>
      </c>
      <c r="AK259" s="441">
        <v>46090</v>
      </c>
      <c r="AL259" s="437">
        <v>46122</v>
      </c>
      <c r="AM259" s="437">
        <v>46141</v>
      </c>
      <c r="AN259" s="437">
        <v>46137</v>
      </c>
      <c r="AO259" s="430" t="s">
        <v>402</v>
      </c>
      <c r="AP259" s="430" t="s">
        <v>872</v>
      </c>
      <c r="AQ259" s="430" t="s">
        <v>80</v>
      </c>
      <c r="AR259" s="430" t="s">
        <v>1313</v>
      </c>
      <c r="AS259" s="430" t="s">
        <v>1314</v>
      </c>
      <c r="AT259" s="482" t="s">
        <v>1314</v>
      </c>
      <c r="AU25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259" s="437" cm="1">
        <f t="array" ref="AW25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46137</v>
      </c>
      <c r="AX25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59" s="437">
        <f>IF(ISERROR(PV_DATA[[#This Row],[New Ark PO status]]),"",_xlfn.XLOOKUP(PV_DATA[[#This Row],[SPTN-PVHK New Ark PO'#]],New_Ark_Data[Purchase order Number],New_Ark_Data[Estimated time of arrival],"",0))</f>
        <v>46150</v>
      </c>
      <c r="AZ259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59" s="437">
        <f>IFERROR(PV_DATA[[#This Row],[ODP ETA Port]]+PV_DATA[[#This Row],[Customs/Leg3 Assumption]],"n/a")</f>
        <v>46144</v>
      </c>
      <c r="BB259" s="433">
        <f>YEAR(PV_DATA[[#This Row],[ETA for New Ark update]])</f>
        <v>2026</v>
      </c>
      <c r="BC259" s="430">
        <f>MONTH(PV_DATA[[#This Row],[ETA for New Ark update]])</f>
        <v>5</v>
      </c>
      <c r="BD259" s="430">
        <f>IFERROR(_xlfn.ISOWEEKNUM(PV_DATA[[#This Row],[ETA for New Ark update]]),0)</f>
        <v>18</v>
      </c>
      <c r="BE259" s="431">
        <f>_xlfn.XLOOKUP(PV_DATA[[#This Row],[New Ark SKU]],Table9[New Ark SKU],Table9[Total PCS per Pallet],,0)</f>
        <v>36</v>
      </c>
      <c r="BF259" s="431">
        <f>_xlfn.XLOOKUP(PV_DATA[[#This Row],[New Ark SKU]],Table9[New Ark SKU],Table9[Total PCS per 40HQ Container],,0)</f>
        <v>864</v>
      </c>
      <c r="BG259" s="431" t="str">
        <f>_xlfn.XLOOKUP(PV_DATA[[#This Row],[New Ark SKU]],Table9[New Ark SKU],Table9[Back Glass],,0)</f>
        <v>Black glazing</v>
      </c>
      <c r="BH259" s="431" t="str">
        <f>_xlfn.XLOOKUP(PV_DATA[[#This Row],[PORT DESTINATION]],Table12[PORT DESTINATION],Table12[Cosco Line],,0)</f>
        <v>AEU</v>
      </c>
      <c r="BJ259" s="430"/>
    </row>
    <row r="260" spans="1:62" ht="10.5" hidden="1">
      <c r="A260" s="462" t="s">
        <v>1315</v>
      </c>
      <c r="B260" s="462" t="s">
        <v>111</v>
      </c>
      <c r="C260" s="462" t="str">
        <f>IFERROR(LEFT(PV_DATA[[#This Row],[TCL REFERENCE]],FIND(".",PV_DATA[[#This Row],[TCL REFERENCE]],1)-1),"Main Line")</f>
        <v>26Feb009</v>
      </c>
      <c r="D260" s="462" t="s">
        <v>63</v>
      </c>
      <c r="E260" s="462" t="s">
        <v>64</v>
      </c>
      <c r="F260" s="462" t="str" cm="1">
        <f t="array" ref="F26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60" s="462" t="s">
        <v>402</v>
      </c>
      <c r="H260" s="462" t="s">
        <v>67</v>
      </c>
      <c r="I260" s="439" t="s">
        <v>689</v>
      </c>
      <c r="J260" s="430" t="s">
        <v>101</v>
      </c>
      <c r="K260" s="430"/>
      <c r="L260" s="430"/>
      <c r="M260" s="430" t="s">
        <v>68</v>
      </c>
      <c r="N260" s="432">
        <v>46069</v>
      </c>
      <c r="O260" s="430" t="s">
        <v>132</v>
      </c>
      <c r="P260" s="430" t="s">
        <v>189</v>
      </c>
      <c r="Q260" s="430" t="s">
        <v>190</v>
      </c>
      <c r="R260" s="431" t="str">
        <f>_xlfn.XLOOKUP(PV_DATA[[#This Row],[New Ark SKU]],Table9[New Ark SKU],Table9[Connector],,0)</f>
        <v>EVO2A</v>
      </c>
      <c r="S260" s="442" t="str">
        <f>_xlfn.XLOOKUP(PV_DATA[[#This Row],[New Ark SKU]],Table9[New Ark SKU],Table9[Cable],,0)</f>
        <v>±1200mm</v>
      </c>
      <c r="T260" s="433">
        <v>465</v>
      </c>
      <c r="U260" s="1062">
        <f>864*4</f>
        <v>3456</v>
      </c>
      <c r="V260" s="434">
        <f>PV_DATA[[#This Row],[QUANTITY]]*PV_DATA[[#This Row],[WATT]]/1000000</f>
        <v>1.60704</v>
      </c>
      <c r="W260" s="435">
        <f>PV_DATA[[#This Row],[QUANTITY]]/PV_DATA[[#This Row],[Qty/Pallet]]</f>
        <v>96</v>
      </c>
      <c r="X260" s="1015">
        <f>PV_DATA[[#This Row],[QUANTITY]]/PV_DATA[[#This Row],[Qty/CT]]</f>
        <v>4</v>
      </c>
      <c r="Y260" s="430" t="s">
        <v>75</v>
      </c>
      <c r="Z260" s="430" t="str">
        <f t="shared" si="1"/>
        <v>COMPLETED</v>
      </c>
      <c r="AA260" s="430"/>
      <c r="AB260" s="437">
        <v>46085</v>
      </c>
      <c r="AC260" s="438">
        <f>IF(PV_DATA[[#This Row],[Pick-Up Date]]&lt;&gt;"",_xlfn.ISOWEEKNUM(PV_DATA[[#This Row],[Pick-Up Date]]),"")</f>
        <v>10</v>
      </c>
      <c r="AD260" s="439" t="s">
        <v>1316</v>
      </c>
      <c r="AE260" s="430"/>
      <c r="AF260" s="430" t="s">
        <v>122</v>
      </c>
      <c r="AG260" s="430" t="s">
        <v>123</v>
      </c>
      <c r="AH260" s="430" t="s">
        <v>105</v>
      </c>
      <c r="AI260" s="437">
        <v>46091</v>
      </c>
      <c r="AJ260" s="437">
        <v>46090</v>
      </c>
      <c r="AK260" s="441">
        <v>46090</v>
      </c>
      <c r="AL260" s="437">
        <v>46122</v>
      </c>
      <c r="AM260" s="437">
        <v>46141</v>
      </c>
      <c r="AN260" s="437">
        <v>46137</v>
      </c>
      <c r="AO260" s="430" t="s">
        <v>402</v>
      </c>
      <c r="AP260" s="430" t="s">
        <v>872</v>
      </c>
      <c r="AQ260" s="430" t="s">
        <v>80</v>
      </c>
      <c r="AR260" s="430" t="s">
        <v>1313</v>
      </c>
      <c r="AS260" s="430" t="s">
        <v>1314</v>
      </c>
      <c r="AT260" s="482" t="s">
        <v>1314</v>
      </c>
      <c r="AU26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260" s="437" cm="1">
        <f t="array" ref="AW26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46137</v>
      </c>
      <c r="AX26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60" s="437">
        <f>IF(ISERROR(PV_DATA[[#This Row],[New Ark PO status]]),"",_xlfn.XLOOKUP(PV_DATA[[#This Row],[SPTN-PVHK New Ark PO'#]],New_Ark_Data[Purchase order Number],New_Ark_Data[Estimated time of arrival],"",0))</f>
        <v>46150</v>
      </c>
      <c r="AZ260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60" s="437">
        <f>IFERROR(PV_DATA[[#This Row],[ODP ETA Port]]+PV_DATA[[#This Row],[Customs/Leg3 Assumption]],"n/a")</f>
        <v>46144</v>
      </c>
      <c r="BB260" s="433">
        <f>YEAR(PV_DATA[[#This Row],[ETA for New Ark update]])</f>
        <v>2026</v>
      </c>
      <c r="BC260" s="430">
        <f>MONTH(PV_DATA[[#This Row],[ETA for New Ark update]])</f>
        <v>5</v>
      </c>
      <c r="BD260" s="430">
        <f>IFERROR(_xlfn.ISOWEEKNUM(PV_DATA[[#This Row],[ETA for New Ark update]]),0)</f>
        <v>18</v>
      </c>
      <c r="BE260" s="431">
        <f>_xlfn.XLOOKUP(PV_DATA[[#This Row],[New Ark SKU]],Table9[New Ark SKU],Table9[Total PCS per Pallet],,0)</f>
        <v>36</v>
      </c>
      <c r="BF260" s="431">
        <f>_xlfn.XLOOKUP(PV_DATA[[#This Row],[New Ark SKU]],Table9[New Ark SKU],Table9[Total PCS per 40HQ Container],,0)</f>
        <v>864</v>
      </c>
      <c r="BG260" s="431" t="str">
        <f>_xlfn.XLOOKUP(PV_DATA[[#This Row],[New Ark SKU]],Table9[New Ark SKU],Table9[Back Glass],,0)</f>
        <v>White glazing</v>
      </c>
      <c r="BH260" s="431" t="str">
        <f>_xlfn.XLOOKUP(PV_DATA[[#This Row],[PORT DESTINATION]],Table12[PORT DESTINATION],Table12[Cosco Line],,0)</f>
        <v>AEU</v>
      </c>
      <c r="BJ260" s="430"/>
    </row>
    <row r="261" spans="1:62" ht="10.5" hidden="1">
      <c r="A261" s="462" t="s">
        <v>1317</v>
      </c>
      <c r="B261" s="462" t="s">
        <v>111</v>
      </c>
      <c r="C261" s="462" t="str">
        <f>IFERROR(LEFT(PV_DATA[[#This Row],[TCL REFERENCE]],FIND(".",PV_DATA[[#This Row],[TCL REFERENCE]],1)-1),"Main Line")</f>
        <v>26Feb008</v>
      </c>
      <c r="D261" s="462" t="s">
        <v>63</v>
      </c>
      <c r="E261" s="462" t="s">
        <v>64</v>
      </c>
      <c r="F261" s="462" t="str" cm="1">
        <f t="array" ref="F26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61" s="462" t="s">
        <v>402</v>
      </c>
      <c r="H261" s="462" t="s">
        <v>67</v>
      </c>
      <c r="I261" s="439" t="s">
        <v>689</v>
      </c>
      <c r="J261" s="430" t="s">
        <v>483</v>
      </c>
      <c r="K261" s="430"/>
      <c r="L261" s="430"/>
      <c r="M261" s="430" t="s">
        <v>68</v>
      </c>
      <c r="N261" s="432" t="s">
        <v>68</v>
      </c>
      <c r="O261" s="430" t="s">
        <v>473</v>
      </c>
      <c r="P261" s="430" t="s">
        <v>474</v>
      </c>
      <c r="Q261" s="430" t="s">
        <v>1319</v>
      </c>
      <c r="R261" s="431" t="str">
        <f>_xlfn.XLOOKUP(PV_DATA[[#This Row],[New Ark SKU]],Table9[New Ark SKU],Table9[Connector],,0)</f>
        <v>EVO2A</v>
      </c>
      <c r="S261" s="442" t="str">
        <f>_xlfn.XLOOKUP(PV_DATA[[#This Row],[New Ark SKU]],Table9[New Ark SKU],Table9[Cable],,0)</f>
        <v>±1200mm</v>
      </c>
      <c r="T261" s="433">
        <v>460</v>
      </c>
      <c r="U261" s="1062">
        <v>1728</v>
      </c>
      <c r="V261" s="434">
        <f>PV_DATA[[#This Row],[QUANTITY]]*PV_DATA[[#This Row],[WATT]]/1000000</f>
        <v>0.79488000000000003</v>
      </c>
      <c r="W261" s="435">
        <f>PV_DATA[[#This Row],[QUANTITY]]/PV_DATA[[#This Row],[Qty/Pallet]]</f>
        <v>48</v>
      </c>
      <c r="X261" s="1015">
        <f>PV_DATA[[#This Row],[QUANTITY]]/PV_DATA[[#This Row],[Qty/CT]]</f>
        <v>2</v>
      </c>
      <c r="Y261" s="430" t="s">
        <v>75</v>
      </c>
      <c r="Z261" s="430" t="str">
        <f t="shared" si="1"/>
        <v>COMPLETED</v>
      </c>
      <c r="AA261" s="430"/>
      <c r="AB261" s="437">
        <v>46085</v>
      </c>
      <c r="AC261" s="438">
        <f>IF(PV_DATA[[#This Row],[Pick-Up Date]]&lt;&gt;"",_xlfn.ISOWEEKNUM(PV_DATA[[#This Row],[Pick-Up Date]]),"")</f>
        <v>10</v>
      </c>
      <c r="AD261" s="439" t="s">
        <v>1320</v>
      </c>
      <c r="AE261" s="430"/>
      <c r="AF261" s="430" t="s">
        <v>122</v>
      </c>
      <c r="AG261" s="430" t="s">
        <v>123</v>
      </c>
      <c r="AH261" s="430" t="s">
        <v>105</v>
      </c>
      <c r="AI261" s="437">
        <v>46091</v>
      </c>
      <c r="AJ261" s="437">
        <v>46090</v>
      </c>
      <c r="AK261" s="441">
        <v>46090</v>
      </c>
      <c r="AL261" s="437">
        <v>46122</v>
      </c>
      <c r="AM261" s="437">
        <v>46141</v>
      </c>
      <c r="AN261" s="437">
        <v>46137</v>
      </c>
      <c r="AO261" s="430" t="s">
        <v>402</v>
      </c>
      <c r="AP261" s="430" t="s">
        <v>872</v>
      </c>
      <c r="AQ261" s="430" t="s">
        <v>80</v>
      </c>
      <c r="AR261" s="430" t="s">
        <v>1313</v>
      </c>
      <c r="AS261" s="430" t="s">
        <v>1314</v>
      </c>
      <c r="AT261" s="482" t="s">
        <v>1314</v>
      </c>
      <c r="AU26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261" s="437" cm="1">
        <f t="array" ref="AW26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46137</v>
      </c>
      <c r="AX26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61" s="437">
        <f>IF(ISERROR(PV_DATA[[#This Row],[New Ark PO status]]),"",_xlfn.XLOOKUP(PV_DATA[[#This Row],[SPTN-PVHK New Ark PO'#]],New_Ark_Data[Purchase order Number],New_Ark_Data[Estimated time of arrival],"",0))</f>
        <v>46150</v>
      </c>
      <c r="AZ261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61" s="437">
        <f>IFERROR(PV_DATA[[#This Row],[ODP ETA Port]]+PV_DATA[[#This Row],[Customs/Leg3 Assumption]],"n/a")</f>
        <v>46144</v>
      </c>
      <c r="BB261" s="433">
        <f>YEAR(PV_DATA[[#This Row],[ETA for New Ark update]])</f>
        <v>2026</v>
      </c>
      <c r="BC261" s="430">
        <f>MONTH(PV_DATA[[#This Row],[ETA for New Ark update]])</f>
        <v>5</v>
      </c>
      <c r="BD261" s="430">
        <f>IFERROR(_xlfn.ISOWEEKNUM(PV_DATA[[#This Row],[ETA for New Ark update]]),0)</f>
        <v>18</v>
      </c>
      <c r="BE261" s="431">
        <f>_xlfn.XLOOKUP(PV_DATA[[#This Row],[New Ark SKU]],Table9[New Ark SKU],Table9[Total PCS per Pallet],,0)</f>
        <v>36</v>
      </c>
      <c r="BF261" s="431">
        <f>_xlfn.XLOOKUP(PV_DATA[[#This Row],[New Ark SKU]],Table9[New Ark SKU],Table9[Total PCS per 40HQ Container],,0)</f>
        <v>864</v>
      </c>
      <c r="BG261" s="431" t="str">
        <f>_xlfn.XLOOKUP(PV_DATA[[#This Row],[New Ark SKU]],Table9[New Ark SKU],Table9[Back Glass],,0)</f>
        <v>Black glazing</v>
      </c>
      <c r="BH261" s="431" t="str">
        <f>_xlfn.XLOOKUP(PV_DATA[[#This Row],[PORT DESTINATION]],Table12[PORT DESTINATION],Table12[Cosco Line],,0)</f>
        <v>AEU</v>
      </c>
      <c r="BJ261" s="430"/>
    </row>
    <row r="262" spans="1:62" ht="10.5" hidden="1">
      <c r="A262" s="462" t="s">
        <v>1321</v>
      </c>
      <c r="B262" s="462" t="s">
        <v>111</v>
      </c>
      <c r="C262" s="462" t="str">
        <f>IFERROR(LEFT(PV_DATA[[#This Row],[TCL REFERENCE]],FIND(".",PV_DATA[[#This Row],[TCL REFERENCE]],1)-1),"Main Line")</f>
        <v>26Feb010</v>
      </c>
      <c r="D262" s="462" t="s">
        <v>63</v>
      </c>
      <c r="E262" s="462" t="s">
        <v>64</v>
      </c>
      <c r="F262" s="462" t="str" cm="1">
        <f t="array" ref="F26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62" s="462" t="s">
        <v>402</v>
      </c>
      <c r="H262" s="462" t="s">
        <v>67</v>
      </c>
      <c r="I262" s="439" t="s">
        <v>869</v>
      </c>
      <c r="J262" s="430" t="s">
        <v>101</v>
      </c>
      <c r="K262" s="430"/>
      <c r="L262" s="430"/>
      <c r="M262" s="430" t="s">
        <v>68</v>
      </c>
      <c r="N262" s="432">
        <v>46076</v>
      </c>
      <c r="O262" s="430" t="s">
        <v>132</v>
      </c>
      <c r="P262" s="430" t="s">
        <v>1062</v>
      </c>
      <c r="Q262" s="430" t="s">
        <v>1063</v>
      </c>
      <c r="R262" s="431" t="str">
        <f>_xlfn.XLOOKUP(PV_DATA[[#This Row],[New Ark SKU]],Table9[New Ark SKU],Table9[Connector],,0)</f>
        <v>EVO2A</v>
      </c>
      <c r="S262" s="442" t="str">
        <f>_xlfn.XLOOKUP(PV_DATA[[#This Row],[New Ark SKU]],Table9[New Ark SKU],Table9[Cable],,0)</f>
        <v>±1200mm</v>
      </c>
      <c r="T262" s="433">
        <v>470</v>
      </c>
      <c r="U262" s="1062">
        <v>1728</v>
      </c>
      <c r="V262" s="434">
        <f>PV_DATA[[#This Row],[QUANTITY]]*PV_DATA[[#This Row],[WATT]]/1000000</f>
        <v>0.81215999999999999</v>
      </c>
      <c r="W262" s="435">
        <f>PV_DATA[[#This Row],[QUANTITY]]/PV_DATA[[#This Row],[Qty/Pallet]]</f>
        <v>48</v>
      </c>
      <c r="X262" s="1015">
        <f>PV_DATA[[#This Row],[QUANTITY]]/PV_DATA[[#This Row],[Qty/CT]]</f>
        <v>2</v>
      </c>
      <c r="Y262" s="430" t="s">
        <v>75</v>
      </c>
      <c r="Z262" s="430" t="str">
        <f t="shared" si="1"/>
        <v>COMPLETED</v>
      </c>
      <c r="AA262" s="430"/>
      <c r="AB262" s="437">
        <v>46083</v>
      </c>
      <c r="AC262" s="438">
        <f>IF(PV_DATA[[#This Row],[Pick-Up Date]]&lt;&gt;"",_xlfn.ISOWEEKNUM(PV_DATA[[#This Row],[Pick-Up Date]]),"")</f>
        <v>10</v>
      </c>
      <c r="AD262" s="439" t="s">
        <v>1322</v>
      </c>
      <c r="AE262" s="430"/>
      <c r="AF262" s="430" t="s">
        <v>122</v>
      </c>
      <c r="AG262" s="430" t="s">
        <v>123</v>
      </c>
      <c r="AH262" s="430" t="s">
        <v>105</v>
      </c>
      <c r="AI262" s="437">
        <v>46091</v>
      </c>
      <c r="AJ262" s="437">
        <v>46090</v>
      </c>
      <c r="AK262" s="441">
        <v>46090</v>
      </c>
      <c r="AL262" s="437">
        <v>46122</v>
      </c>
      <c r="AM262" s="437">
        <v>46141</v>
      </c>
      <c r="AN262" s="437">
        <v>46137</v>
      </c>
      <c r="AO262" s="430" t="s">
        <v>402</v>
      </c>
      <c r="AP262" s="430" t="s">
        <v>872</v>
      </c>
      <c r="AQ262" s="430" t="s">
        <v>80</v>
      </c>
      <c r="AR262" s="430" t="s">
        <v>1323</v>
      </c>
      <c r="AS262" s="430" t="s">
        <v>1324</v>
      </c>
      <c r="AT262" s="482" t="s">
        <v>1324</v>
      </c>
      <c r="AU26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262" s="437" cm="1">
        <f t="array" ref="AW26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46137</v>
      </c>
      <c r="AX26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62" s="437">
        <f>IF(ISERROR(PV_DATA[[#This Row],[New Ark PO status]]),"",_xlfn.XLOOKUP(PV_DATA[[#This Row],[SPTN-PVHK New Ark PO'#]],New_Ark_Data[Purchase order Number],New_Ark_Data[Estimated time of arrival],"",0))</f>
        <v>46150</v>
      </c>
      <c r="AZ26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62" s="437">
        <f>IFERROR(PV_DATA[[#This Row],[ODP ETA Port]]+PV_DATA[[#This Row],[Customs/Leg3 Assumption]],"n/a")</f>
        <v>46144</v>
      </c>
      <c r="BB262" s="433">
        <f>YEAR(PV_DATA[[#This Row],[ETA for New Ark update]])</f>
        <v>2026</v>
      </c>
      <c r="BC262" s="430">
        <f>MONTH(PV_DATA[[#This Row],[ETA for New Ark update]])</f>
        <v>5</v>
      </c>
      <c r="BD262" s="430">
        <f>IFERROR(_xlfn.ISOWEEKNUM(PV_DATA[[#This Row],[ETA for New Ark update]]),0)</f>
        <v>18</v>
      </c>
      <c r="BE262" s="431">
        <f>_xlfn.XLOOKUP(PV_DATA[[#This Row],[New Ark SKU]],Table9[New Ark SKU],Table9[Total PCS per Pallet],,0)</f>
        <v>36</v>
      </c>
      <c r="BF262" s="431">
        <f>_xlfn.XLOOKUP(PV_DATA[[#This Row],[New Ark SKU]],Table9[New Ark SKU],Table9[Total PCS per 40HQ Container],,0)</f>
        <v>864</v>
      </c>
      <c r="BG262" s="431" t="str">
        <f>_xlfn.XLOOKUP(PV_DATA[[#This Row],[New Ark SKU]],Table9[New Ark SKU],Table9[Back Glass],,0)</f>
        <v>White glazing</v>
      </c>
      <c r="BH262" s="431" t="str">
        <f>_xlfn.XLOOKUP(PV_DATA[[#This Row],[PORT DESTINATION]],Table12[PORT DESTINATION],Table12[Cosco Line],,0)</f>
        <v>AEU</v>
      </c>
      <c r="BJ262" s="430"/>
    </row>
    <row r="263" spans="1:62" ht="10.5" hidden="1">
      <c r="A263" s="462" t="s">
        <v>1325</v>
      </c>
      <c r="B263" s="462" t="s">
        <v>111</v>
      </c>
      <c r="C263" s="462" t="str">
        <f>IFERROR(LEFT(PV_DATA[[#This Row],[TCL REFERENCE]],FIND(".",PV_DATA[[#This Row],[TCL REFERENCE]],1)-1),"Main Line")</f>
        <v>26Feb037</v>
      </c>
      <c r="D263" s="462" t="s">
        <v>113</v>
      </c>
      <c r="E263" s="462" t="s">
        <v>64</v>
      </c>
      <c r="F263" s="462" t="str" cm="1">
        <f t="array" ref="F26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263" s="462" t="s">
        <v>402</v>
      </c>
      <c r="H263" s="462" t="s">
        <v>67</v>
      </c>
      <c r="I263" s="439" t="s">
        <v>822</v>
      </c>
      <c r="J263" s="430" t="s">
        <v>1327</v>
      </c>
      <c r="K263" s="430"/>
      <c r="L263" s="430"/>
      <c r="M263" s="430" t="s">
        <v>68</v>
      </c>
      <c r="N263" s="432" t="s">
        <v>68</v>
      </c>
      <c r="O263" s="430" t="s">
        <v>70</v>
      </c>
      <c r="P263" s="430" t="s">
        <v>218</v>
      </c>
      <c r="Q263" s="430" t="s">
        <v>219</v>
      </c>
      <c r="R263" s="431" t="str">
        <f>_xlfn.XLOOKUP(PV_DATA[[#This Row],[New Ark SKU]],Table9[New Ark SKU],Table9[Connector],,0)</f>
        <v>EVO2A</v>
      </c>
      <c r="S263" s="442" t="str">
        <f>_xlfn.XLOOKUP(PV_DATA[[#This Row],[New Ark SKU]],Table9[New Ark SKU],Table9[Cable],,0)</f>
        <v>±1400mm</v>
      </c>
      <c r="T263" s="433">
        <v>625</v>
      </c>
      <c r="U263" s="1062">
        <f>2*720</f>
        <v>1440</v>
      </c>
      <c r="V263" s="434">
        <f>PV_DATA[[#This Row],[QUANTITY]]*PV_DATA[[#This Row],[WATT]]/1000000</f>
        <v>0.9</v>
      </c>
      <c r="W263" s="435">
        <f>PV_DATA[[#This Row],[QUANTITY]]/PV_DATA[[#This Row],[Qty/Pallet]]</f>
        <v>40</v>
      </c>
      <c r="X263" s="1015">
        <f>PV_DATA[[#This Row],[QUANTITY]]/PV_DATA[[#This Row],[Qty/CT]]</f>
        <v>2</v>
      </c>
      <c r="Y263" s="430" t="s">
        <v>75</v>
      </c>
      <c r="Z263" s="430" t="str">
        <f t="shared" si="1"/>
        <v>COMPLETED</v>
      </c>
      <c r="AA263" s="430"/>
      <c r="AB263" s="437">
        <v>46084</v>
      </c>
      <c r="AC263" s="438">
        <f>IF(PV_DATA[[#This Row],[Pick-Up Date]]&lt;&gt;"",_xlfn.ISOWEEKNUM(PV_DATA[[#This Row],[Pick-Up Date]]),"")</f>
        <v>10</v>
      </c>
      <c r="AD263" s="439" t="s">
        <v>1328</v>
      </c>
      <c r="AE263" s="430"/>
      <c r="AF263" s="430" t="s">
        <v>122</v>
      </c>
      <c r="AG263" s="430" t="s">
        <v>123</v>
      </c>
      <c r="AH263" s="430" t="s">
        <v>78</v>
      </c>
      <c r="AI263" s="437">
        <v>46094</v>
      </c>
      <c r="AJ263" s="437">
        <v>46096</v>
      </c>
      <c r="AK263" s="441">
        <v>46097</v>
      </c>
      <c r="AL263" s="437">
        <v>46140</v>
      </c>
      <c r="AM263" s="437">
        <v>46145</v>
      </c>
      <c r="AN263" s="437">
        <v>46148</v>
      </c>
      <c r="AO263" s="430" t="s">
        <v>402</v>
      </c>
      <c r="AP263" s="430" t="s">
        <v>1329</v>
      </c>
      <c r="AQ263" s="430" t="s">
        <v>80</v>
      </c>
      <c r="AR263" s="430" t="s">
        <v>1330</v>
      </c>
      <c r="AS263" s="430" t="s">
        <v>1331</v>
      </c>
      <c r="AT263" s="482" t="s">
        <v>1331</v>
      </c>
      <c r="AU26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</v>
      </c>
      <c r="AW263" s="437" cm="1">
        <f t="array" ref="AW26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26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63" s="437">
        <f>IF(ISERROR(PV_DATA[[#This Row],[New Ark PO status]]),"",_xlfn.XLOOKUP(PV_DATA[[#This Row],[SPTN-PVHK New Ark PO'#]],New_Ark_Data[Purchase order Number],New_Ark_Data[Estimated time of arrival],"",0))</f>
        <v>46160</v>
      </c>
      <c r="AZ263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263" s="437">
        <f>IFERROR(PV_DATA[[#This Row],[ODP ETA Port]]+PV_DATA[[#This Row],[Customs/Leg3 Assumption]],"n/a")</f>
        <v>46156</v>
      </c>
      <c r="BB263" s="433">
        <f>YEAR(PV_DATA[[#This Row],[ETA for New Ark update]])</f>
        <v>2026</v>
      </c>
      <c r="BC263" s="430">
        <f>MONTH(PV_DATA[[#This Row],[ETA for New Ark update]])</f>
        <v>5</v>
      </c>
      <c r="BD263" s="430">
        <f>IFERROR(_xlfn.ISOWEEKNUM(PV_DATA[[#This Row],[ETA for New Ark update]]),0)</f>
        <v>20</v>
      </c>
      <c r="BE263" s="431">
        <f>_xlfn.XLOOKUP(PV_DATA[[#This Row],[New Ark SKU]],Table9[New Ark SKU],Table9[Total PCS per Pallet],,0)</f>
        <v>36</v>
      </c>
      <c r="BF263" s="431">
        <f>_xlfn.XLOOKUP(PV_DATA[[#This Row],[New Ark SKU]],Table9[New Ark SKU],Table9[Total PCS per 40HQ Container],,0)</f>
        <v>720</v>
      </c>
      <c r="BG263" s="431" t="str">
        <f>_xlfn.XLOOKUP(PV_DATA[[#This Row],[New Ark SKU]],Table9[New Ark SKU],Table9[Back Glass],,0)</f>
        <v>Redirection Film</v>
      </c>
      <c r="BH263" s="431" t="str">
        <f>_xlfn.XLOOKUP(PV_DATA[[#This Row],[PORT DESTINATION]],Table12[PORT DESTINATION],Table12[Cosco Line],,0)</f>
        <v>AEM</v>
      </c>
      <c r="BJ263" s="430"/>
    </row>
    <row r="264" spans="1:62" ht="10.5" hidden="1">
      <c r="A264" s="462" t="s">
        <v>1332</v>
      </c>
      <c r="B264" s="462" t="s">
        <v>111</v>
      </c>
      <c r="C264" s="462" t="str">
        <f>IFERROR(LEFT(PV_DATA[[#This Row],[TCL REFERENCE]],FIND(".",PV_DATA[[#This Row],[TCL REFERENCE]],1)-1),"Main Line")</f>
        <v>26Feb038</v>
      </c>
      <c r="D264" s="462" t="s">
        <v>113</v>
      </c>
      <c r="E264" s="462" t="s">
        <v>64</v>
      </c>
      <c r="F264" s="462" t="str" cm="1">
        <f t="array" ref="F26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264" s="462" t="s">
        <v>402</v>
      </c>
      <c r="H264" s="462" t="s">
        <v>67</v>
      </c>
      <c r="I264" s="439" t="s">
        <v>822</v>
      </c>
      <c r="J264" s="430" t="s">
        <v>1327</v>
      </c>
      <c r="K264" s="430"/>
      <c r="L264" s="430"/>
      <c r="M264" s="430" t="s">
        <v>68</v>
      </c>
      <c r="N264" s="432" t="s">
        <v>68</v>
      </c>
      <c r="O264" s="430" t="s">
        <v>70</v>
      </c>
      <c r="P264" s="430" t="s">
        <v>1334</v>
      </c>
      <c r="Q264" s="430" t="s">
        <v>1335</v>
      </c>
      <c r="R264" s="431" t="str">
        <f>_xlfn.XLOOKUP(PV_DATA[[#This Row],[New Ark SKU]],Table9[New Ark SKU],Table9[Connector],,0)</f>
        <v>EVO2A</v>
      </c>
      <c r="S264" s="442" t="str">
        <f>_xlfn.XLOOKUP(PV_DATA[[#This Row],[New Ark SKU]],Table9[New Ark SKU],Table9[Cable],,0)</f>
        <v>±1400mm</v>
      </c>
      <c r="T264" s="433">
        <v>630</v>
      </c>
      <c r="U264" s="1062">
        <f>720*5</f>
        <v>3600</v>
      </c>
      <c r="V264" s="434">
        <f>PV_DATA[[#This Row],[QUANTITY]]*PV_DATA[[#This Row],[WATT]]/1000000</f>
        <v>2.2679999999999998</v>
      </c>
      <c r="W264" s="435">
        <f>PV_DATA[[#This Row],[QUANTITY]]/PV_DATA[[#This Row],[Qty/Pallet]]</f>
        <v>100</v>
      </c>
      <c r="X264" s="1015">
        <f>PV_DATA[[#This Row],[QUANTITY]]/PV_DATA[[#This Row],[Qty/CT]]</f>
        <v>5</v>
      </c>
      <c r="Y264" s="430" t="s">
        <v>75</v>
      </c>
      <c r="Z264" s="430" t="str">
        <f t="shared" si="1"/>
        <v>COMPLETED</v>
      </c>
      <c r="AA264" s="430"/>
      <c r="AB264" s="437">
        <v>46084</v>
      </c>
      <c r="AC264" s="438">
        <f>IF(PV_DATA[[#This Row],[Pick-Up Date]]&lt;&gt;"",_xlfn.ISOWEEKNUM(PV_DATA[[#This Row],[Pick-Up Date]]),"")</f>
        <v>10</v>
      </c>
      <c r="AD264" s="439" t="s">
        <v>1336</v>
      </c>
      <c r="AE264" s="430"/>
      <c r="AF264" s="430" t="s">
        <v>122</v>
      </c>
      <c r="AG264" s="430" t="s">
        <v>123</v>
      </c>
      <c r="AH264" s="430" t="s">
        <v>78</v>
      </c>
      <c r="AI264" s="437">
        <v>46094</v>
      </c>
      <c r="AJ264" s="437">
        <v>46096</v>
      </c>
      <c r="AK264" s="441">
        <v>46097</v>
      </c>
      <c r="AL264" s="437">
        <v>46140</v>
      </c>
      <c r="AM264" s="437">
        <v>46145</v>
      </c>
      <c r="AN264" s="437">
        <v>46148</v>
      </c>
      <c r="AO264" s="430" t="s">
        <v>402</v>
      </c>
      <c r="AP264" s="430" t="s">
        <v>1329</v>
      </c>
      <c r="AQ264" s="430" t="s">
        <v>80</v>
      </c>
      <c r="AR264" s="430" t="s">
        <v>1330</v>
      </c>
      <c r="AS264" s="430" t="s">
        <v>1331</v>
      </c>
      <c r="AT264" s="482" t="s">
        <v>1331</v>
      </c>
      <c r="AU26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</v>
      </c>
      <c r="AW264" s="437" cm="1">
        <f t="array" ref="AW26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26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64" s="437">
        <f>IF(ISERROR(PV_DATA[[#This Row],[New Ark PO status]]),"",_xlfn.XLOOKUP(PV_DATA[[#This Row],[SPTN-PVHK New Ark PO'#]],New_Ark_Data[Purchase order Number],New_Ark_Data[Estimated time of arrival],"",0))</f>
        <v>46160</v>
      </c>
      <c r="AZ264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264" s="437">
        <f>IFERROR(PV_DATA[[#This Row],[ODP ETA Port]]+PV_DATA[[#This Row],[Customs/Leg3 Assumption]],"n/a")</f>
        <v>46156</v>
      </c>
      <c r="BB264" s="433">
        <f>YEAR(PV_DATA[[#This Row],[ETA for New Ark update]])</f>
        <v>2026</v>
      </c>
      <c r="BC264" s="430">
        <f>MONTH(PV_DATA[[#This Row],[ETA for New Ark update]])</f>
        <v>5</v>
      </c>
      <c r="BD264" s="430">
        <f>IFERROR(_xlfn.ISOWEEKNUM(PV_DATA[[#This Row],[ETA for New Ark update]]),0)</f>
        <v>20</v>
      </c>
      <c r="BE264" s="431">
        <f>_xlfn.XLOOKUP(PV_DATA[[#This Row],[New Ark SKU]],Table9[New Ark SKU],Table9[Total PCS per Pallet],,0)</f>
        <v>36</v>
      </c>
      <c r="BF264" s="431">
        <f>_xlfn.XLOOKUP(PV_DATA[[#This Row],[New Ark SKU]],Table9[New Ark SKU],Table9[Total PCS per 40HQ Container],,0)</f>
        <v>720</v>
      </c>
      <c r="BG264" s="431" t="str">
        <f>_xlfn.XLOOKUP(PV_DATA[[#This Row],[New Ark SKU]],Table9[New Ark SKU],Table9[Back Glass],,0)</f>
        <v>Transparent</v>
      </c>
      <c r="BH264" s="431" t="str">
        <f>_xlfn.XLOOKUP(PV_DATA[[#This Row],[PORT DESTINATION]],Table12[PORT DESTINATION],Table12[Cosco Line],,0)</f>
        <v>AEM</v>
      </c>
      <c r="BJ264" s="430"/>
    </row>
    <row r="265" spans="1:62" ht="10.5" hidden="1">
      <c r="A265" s="462" t="s">
        <v>1337</v>
      </c>
      <c r="B265" s="462" t="s">
        <v>111</v>
      </c>
      <c r="C265" s="462" t="str">
        <f>IFERROR(LEFT(PV_DATA[[#This Row],[TCL REFERENCE]],FIND(".",PV_DATA[[#This Row],[TCL REFERENCE]],1)-1),"Main Line")</f>
        <v>26Feb038</v>
      </c>
      <c r="D265" s="462" t="s">
        <v>113</v>
      </c>
      <c r="E265" s="462" t="s">
        <v>64</v>
      </c>
      <c r="F265" s="462" t="str" cm="1">
        <f t="array" ref="F26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265" s="462" t="s">
        <v>402</v>
      </c>
      <c r="H265" s="462" t="s">
        <v>67</v>
      </c>
      <c r="I265" s="439" t="s">
        <v>822</v>
      </c>
      <c r="J265" s="430" t="s">
        <v>1327</v>
      </c>
      <c r="K265" s="430"/>
      <c r="L265" s="430"/>
      <c r="M265" s="430" t="s">
        <v>68</v>
      </c>
      <c r="N265" s="432" t="s">
        <v>68</v>
      </c>
      <c r="O265" s="430" t="s">
        <v>70</v>
      </c>
      <c r="P265" s="430" t="s">
        <v>1334</v>
      </c>
      <c r="Q265" s="430" t="s">
        <v>1335</v>
      </c>
      <c r="R265" s="431" t="str">
        <f>_xlfn.XLOOKUP(PV_DATA[[#This Row],[New Ark SKU]],Table9[New Ark SKU],Table9[Connector],,0)</f>
        <v>EVO2A</v>
      </c>
      <c r="S265" s="442" t="str">
        <f>_xlfn.XLOOKUP(PV_DATA[[#This Row],[New Ark SKU]],Table9[New Ark SKU],Table9[Cable],,0)</f>
        <v>±1400mm</v>
      </c>
      <c r="T265" s="433">
        <v>630</v>
      </c>
      <c r="U265" s="1062">
        <f>720*8</f>
        <v>5760</v>
      </c>
      <c r="V265" s="434">
        <f>PV_DATA[[#This Row],[QUANTITY]]*PV_DATA[[#This Row],[WATT]]/1000000</f>
        <v>3.6288</v>
      </c>
      <c r="W265" s="435">
        <f>PV_DATA[[#This Row],[QUANTITY]]/PV_DATA[[#This Row],[Qty/Pallet]]</f>
        <v>160</v>
      </c>
      <c r="X265" s="1015">
        <f>PV_DATA[[#This Row],[QUANTITY]]/PV_DATA[[#This Row],[Qty/CT]]</f>
        <v>8</v>
      </c>
      <c r="Y265" s="430" t="s">
        <v>75</v>
      </c>
      <c r="Z265" s="430" t="str">
        <f t="shared" si="1"/>
        <v>COMPLETED</v>
      </c>
      <c r="AA265" s="430"/>
      <c r="AB265" s="437">
        <v>46084</v>
      </c>
      <c r="AC265" s="438">
        <f>IF(PV_DATA[[#This Row],[Pick-Up Date]]&lt;&gt;"",_xlfn.ISOWEEKNUM(PV_DATA[[#This Row],[Pick-Up Date]]),"")</f>
        <v>10</v>
      </c>
      <c r="AD265" s="439" t="s">
        <v>1338</v>
      </c>
      <c r="AE265" s="430"/>
      <c r="AF265" s="430" t="s">
        <v>122</v>
      </c>
      <c r="AG265" s="430" t="s">
        <v>123</v>
      </c>
      <c r="AH265" s="430" t="s">
        <v>78</v>
      </c>
      <c r="AI265" s="437">
        <v>46092</v>
      </c>
      <c r="AJ265" s="437">
        <v>46094</v>
      </c>
      <c r="AK265" s="441">
        <v>46094</v>
      </c>
      <c r="AL265" s="437">
        <v>46143</v>
      </c>
      <c r="AM265" s="437">
        <v>46144</v>
      </c>
      <c r="AN265" s="437">
        <v>46144</v>
      </c>
      <c r="AO265" s="430" t="s">
        <v>402</v>
      </c>
      <c r="AP265" s="430" t="s">
        <v>1224</v>
      </c>
      <c r="AQ265" s="430" t="s">
        <v>80</v>
      </c>
      <c r="AR265" s="430" t="s">
        <v>1339</v>
      </c>
      <c r="AS265" s="430" t="s">
        <v>1340</v>
      </c>
      <c r="AT265" s="482" t="s">
        <v>1340</v>
      </c>
      <c r="AU26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265" s="437" cm="1">
        <f t="array" ref="AW26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46144</v>
      </c>
      <c r="AX26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65" s="437">
        <f>IF(ISERROR(PV_DATA[[#This Row],[New Ark PO status]]),"",_xlfn.XLOOKUP(PV_DATA[[#This Row],[SPTN-PVHK New Ark PO'#]],New_Ark_Data[Purchase order Number],New_Ark_Data[Estimated time of arrival],"",0))</f>
        <v>46160</v>
      </c>
      <c r="AZ265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265" s="437">
        <f>IFERROR(PV_DATA[[#This Row],[ODP ETA Port]]+PV_DATA[[#This Row],[Customs/Leg3 Assumption]],"n/a")</f>
        <v>46152</v>
      </c>
      <c r="BB265" s="433">
        <f>YEAR(PV_DATA[[#This Row],[ETA for New Ark update]])</f>
        <v>2026</v>
      </c>
      <c r="BC265" s="430">
        <f>MONTH(PV_DATA[[#This Row],[ETA for New Ark update]])</f>
        <v>5</v>
      </c>
      <c r="BD265" s="430">
        <f>IFERROR(_xlfn.ISOWEEKNUM(PV_DATA[[#This Row],[ETA for New Ark update]]),0)</f>
        <v>19</v>
      </c>
      <c r="BE265" s="431">
        <f>_xlfn.XLOOKUP(PV_DATA[[#This Row],[New Ark SKU]],Table9[New Ark SKU],Table9[Total PCS per Pallet],,0)</f>
        <v>36</v>
      </c>
      <c r="BF265" s="431">
        <f>_xlfn.XLOOKUP(PV_DATA[[#This Row],[New Ark SKU]],Table9[New Ark SKU],Table9[Total PCS per 40HQ Container],,0)</f>
        <v>720</v>
      </c>
      <c r="BG265" s="431" t="str">
        <f>_xlfn.XLOOKUP(PV_DATA[[#This Row],[New Ark SKU]],Table9[New Ark SKU],Table9[Back Glass],,0)</f>
        <v>Transparent</v>
      </c>
      <c r="BH265" s="431" t="str">
        <f>_xlfn.XLOOKUP(PV_DATA[[#This Row],[PORT DESTINATION]],Table12[PORT DESTINATION],Table12[Cosco Line],,0)</f>
        <v>AEM</v>
      </c>
      <c r="BJ265" s="430"/>
    </row>
    <row r="266" spans="1:62" ht="10.5" hidden="1">
      <c r="A266" s="462" t="s">
        <v>1341</v>
      </c>
      <c r="B266" s="462" t="s">
        <v>111</v>
      </c>
      <c r="C266" s="462" t="str">
        <f>IFERROR(LEFT(PV_DATA[[#This Row],[TCL REFERENCE]],FIND(".",PV_DATA[[#This Row],[TCL REFERENCE]],1)-1),"Main Line")</f>
        <v>26Feb008</v>
      </c>
      <c r="D266" s="462" t="s">
        <v>63</v>
      </c>
      <c r="E266" s="462" t="s">
        <v>64</v>
      </c>
      <c r="F266" s="462" t="str" cm="1">
        <f t="array" ref="F26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266" s="462" t="s">
        <v>402</v>
      </c>
      <c r="H266" s="462" t="s">
        <v>311</v>
      </c>
      <c r="I266" s="439" t="s">
        <v>689</v>
      </c>
      <c r="J266" s="430" t="s">
        <v>1342</v>
      </c>
      <c r="K266" s="430"/>
      <c r="L266" s="430"/>
      <c r="M266" s="430" t="s">
        <v>68</v>
      </c>
      <c r="N266" s="432">
        <v>46083</v>
      </c>
      <c r="O266" s="430" t="s">
        <v>473</v>
      </c>
      <c r="P266" s="430" t="s">
        <v>474</v>
      </c>
      <c r="Q266" s="430" t="s">
        <v>1319</v>
      </c>
      <c r="R266" s="431" t="str">
        <f>_xlfn.XLOOKUP(PV_DATA[[#This Row],[New Ark SKU]],Table9[New Ark SKU],Table9[Connector],,0)</f>
        <v>EVO2A</v>
      </c>
      <c r="S266" s="442" t="str">
        <f>_xlfn.XLOOKUP(PV_DATA[[#This Row],[New Ark SKU]],Table9[New Ark SKU],Table9[Cable],,0)</f>
        <v>±1200mm</v>
      </c>
      <c r="T266" s="433">
        <v>460</v>
      </c>
      <c r="U266" s="1062">
        <f>864*4</f>
        <v>3456</v>
      </c>
      <c r="V266" s="434">
        <f>PV_DATA[[#This Row],[QUANTITY]]*PV_DATA[[#This Row],[WATT]]/1000000</f>
        <v>1.5897600000000001</v>
      </c>
      <c r="W266" s="435">
        <f>PV_DATA[[#This Row],[QUANTITY]]/PV_DATA[[#This Row],[Qty/Pallet]]</f>
        <v>96</v>
      </c>
      <c r="X266" s="1015">
        <f>PV_DATA[[#This Row],[QUANTITY]]/PV_DATA[[#This Row],[Qty/CT]]</f>
        <v>4</v>
      </c>
      <c r="Y266" s="430" t="s">
        <v>75</v>
      </c>
      <c r="Z266" s="430" t="str">
        <f t="shared" si="1"/>
        <v>COMPLETED</v>
      </c>
      <c r="AA266" s="430"/>
      <c r="AB266" s="437">
        <v>46083</v>
      </c>
      <c r="AC266" s="438">
        <f>IF(PV_DATA[[#This Row],[Pick-Up Date]]&lt;&gt;"",_xlfn.ISOWEEKNUM(PV_DATA[[#This Row],[Pick-Up Date]]),"")</f>
        <v>10</v>
      </c>
      <c r="AD266" s="439" t="s">
        <v>1343</v>
      </c>
      <c r="AE266" s="430"/>
      <c r="AF266" s="430" t="s">
        <v>122</v>
      </c>
      <c r="AG266" s="430" t="s">
        <v>123</v>
      </c>
      <c r="AH266" s="430" t="s">
        <v>314</v>
      </c>
      <c r="AI266" s="437">
        <v>46092</v>
      </c>
      <c r="AJ266" s="437">
        <v>46094</v>
      </c>
      <c r="AK266" s="441">
        <v>46094</v>
      </c>
      <c r="AL266" s="437">
        <v>46138</v>
      </c>
      <c r="AM266" s="437">
        <v>46148</v>
      </c>
      <c r="AN266" s="437">
        <v>46148</v>
      </c>
      <c r="AO266" s="430" t="s">
        <v>402</v>
      </c>
      <c r="AP266" s="430" t="s">
        <v>1224</v>
      </c>
      <c r="AQ266" s="430" t="s">
        <v>80</v>
      </c>
      <c r="AR266" s="430" t="s">
        <v>1344</v>
      </c>
      <c r="AS266" s="430" t="s">
        <v>1345</v>
      </c>
      <c r="AT266" s="482" t="s">
        <v>1345</v>
      </c>
      <c r="AU26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</v>
      </c>
      <c r="AW266" s="437" cm="1">
        <f t="array" ref="AW26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26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66" s="437">
        <f>IF(ISERROR(PV_DATA[[#This Row],[New Ark PO status]]),"",_xlfn.XLOOKUP(PV_DATA[[#This Row],[SPTN-PVHK New Ark PO'#]],New_Ark_Data[Purchase order Number],New_Ark_Data[Estimated time of arrival],"",0))</f>
        <v>46162</v>
      </c>
      <c r="AZ266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266" s="437">
        <f>IFERROR(PV_DATA[[#This Row],[ODP ETA Port]]+PV_DATA[[#This Row],[Customs/Leg3 Assumption]],"n/a")</f>
        <v>46158</v>
      </c>
      <c r="BB266" s="433">
        <f>YEAR(PV_DATA[[#This Row],[ETA for New Ark update]])</f>
        <v>2026</v>
      </c>
      <c r="BC266" s="430">
        <f>MONTH(PV_DATA[[#This Row],[ETA for New Ark update]])</f>
        <v>5</v>
      </c>
      <c r="BD266" s="430">
        <f>IFERROR(_xlfn.ISOWEEKNUM(PV_DATA[[#This Row],[ETA for New Ark update]]),0)</f>
        <v>20</v>
      </c>
      <c r="BE266" s="431">
        <f>_xlfn.XLOOKUP(PV_DATA[[#This Row],[New Ark SKU]],Table9[New Ark SKU],Table9[Total PCS per Pallet],,0)</f>
        <v>36</v>
      </c>
      <c r="BF266" s="431">
        <f>_xlfn.XLOOKUP(PV_DATA[[#This Row],[New Ark SKU]],Table9[New Ark SKU],Table9[Total PCS per 40HQ Container],,0)</f>
        <v>864</v>
      </c>
      <c r="BG266" s="431" t="str">
        <f>_xlfn.XLOOKUP(PV_DATA[[#This Row],[New Ark SKU]],Table9[New Ark SKU],Table9[Back Glass],,0)</f>
        <v>Black glazing</v>
      </c>
      <c r="BH266" s="431" t="str">
        <f>_xlfn.XLOOKUP(PV_DATA[[#This Row],[PORT DESTINATION]],Table12[PORT DESTINATION],Table12[Cosco Line],,0)</f>
        <v>AEM</v>
      </c>
      <c r="BJ266" s="430"/>
    </row>
    <row r="267" spans="1:62" ht="10.5" hidden="1">
      <c r="A267" s="462" t="s">
        <v>1346</v>
      </c>
      <c r="B267" s="462" t="s">
        <v>111</v>
      </c>
      <c r="C267" s="462" t="str">
        <f>IFERROR(LEFT(PV_DATA[[#This Row],[TCL REFERENCE]],FIND(".",PV_DATA[[#This Row],[TCL REFERENCE]],1)-1),"Main Line")</f>
        <v>Main Line</v>
      </c>
      <c r="D267" s="462" t="s">
        <v>63</v>
      </c>
      <c r="E267" s="462" t="s">
        <v>144</v>
      </c>
      <c r="F267" s="462" t="str" cm="1">
        <f t="array" ref="F26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67" s="462" t="s">
        <v>402</v>
      </c>
      <c r="H267" s="462" t="s">
        <v>538</v>
      </c>
      <c r="I267" s="439" t="s">
        <v>882</v>
      </c>
      <c r="J267" s="430" t="s">
        <v>1232</v>
      </c>
      <c r="K267" s="430" t="s">
        <v>1233</v>
      </c>
      <c r="L267" s="430"/>
      <c r="M267" s="430" t="s">
        <v>840</v>
      </c>
      <c r="N267" s="432">
        <v>46045</v>
      </c>
      <c r="O267" s="430" t="s">
        <v>1032</v>
      </c>
      <c r="P267" s="430" t="s">
        <v>1347</v>
      </c>
      <c r="Q267" s="430" t="s">
        <v>1348</v>
      </c>
      <c r="R267" s="431" t="str">
        <f>_xlfn.XLOOKUP(PV_DATA[[#This Row],[New Ark SKU]],Table9[New Ark SKU],Table9[Connector],,0)</f>
        <v>EVO2A</v>
      </c>
      <c r="S267" s="442" t="str">
        <f>_xlfn.XLOOKUP(PV_DATA[[#This Row],[New Ark SKU]],Table9[New Ark SKU],Table9[Cable],,0)</f>
        <v>±1400mm</v>
      </c>
      <c r="T267" s="433">
        <v>710</v>
      </c>
      <c r="U267" s="1062">
        <v>132</v>
      </c>
      <c r="V267" s="434">
        <f>PV_DATA[[#This Row],[QUANTITY]]*PV_DATA[[#This Row],[WATT]]/1000000</f>
        <v>9.3719999999999998E-2</v>
      </c>
      <c r="W267" s="435">
        <f>PV_DATA[[#This Row],[QUANTITY]]/PV_DATA[[#This Row],[Qty/Pallet]]</f>
        <v>4</v>
      </c>
      <c r="X267" s="1015">
        <f>PV_DATA[[#This Row],[QUANTITY]]/PV_DATA[[#This Row],[Qty/CT]]</f>
        <v>0.22222222222222221</v>
      </c>
      <c r="Y267" s="430" t="s">
        <v>75</v>
      </c>
      <c r="Z267" s="430" t="str">
        <f t="shared" si="1"/>
        <v>COMPLETED</v>
      </c>
      <c r="AA267" s="430"/>
      <c r="AB267" s="437">
        <v>46086</v>
      </c>
      <c r="AC267" s="438">
        <f>IF(PV_DATA[[#This Row],[Pick-Up Date]]&lt;&gt;"",_xlfn.ISOWEEKNUM(PV_DATA[[#This Row],[Pick-Up Date]]),"")</f>
        <v>10</v>
      </c>
      <c r="AD267" s="439" t="s">
        <v>1349</v>
      </c>
      <c r="AE267" s="430"/>
      <c r="AF267" s="430" t="s">
        <v>122</v>
      </c>
      <c r="AG267" s="430" t="s">
        <v>123</v>
      </c>
      <c r="AH267" s="430" t="s">
        <v>541</v>
      </c>
      <c r="AI267" s="437">
        <v>46091</v>
      </c>
      <c r="AJ267" s="437">
        <v>46091</v>
      </c>
      <c r="AK267" s="441">
        <v>46091</v>
      </c>
      <c r="AL267" s="437">
        <v>46154</v>
      </c>
      <c r="AM267" s="437">
        <v>46161</v>
      </c>
      <c r="AN267" s="437">
        <v>46162</v>
      </c>
      <c r="AO267" s="430" t="s">
        <v>402</v>
      </c>
      <c r="AP267" s="430" t="s">
        <v>1350</v>
      </c>
      <c r="AQ267" s="430" t="s">
        <v>161</v>
      </c>
      <c r="AR267" s="430" t="s">
        <v>1351</v>
      </c>
      <c r="AS267" s="430" t="s">
        <v>1352</v>
      </c>
      <c r="AT267" s="482" t="s">
        <v>1353</v>
      </c>
      <c r="AU26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71</v>
      </c>
      <c r="AW267" s="437" cm="1">
        <f t="array" ref="AW26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46162</v>
      </c>
      <c r="AX26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67" s="437">
        <f>IF(ISERROR(PV_DATA[[#This Row],[New Ark PO status]]),"",_xlfn.XLOOKUP(PV_DATA[[#This Row],[SPTN-PVHK New Ark PO'#]],New_Ark_Data[Purchase order Number],New_Ark_Data[Estimated time of arrival],"",0))</f>
        <v>46168</v>
      </c>
      <c r="AZ267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67" s="437">
        <f>IFERROR(PV_DATA[[#This Row],[ODP ETA Port]]+PV_DATA[[#This Row],[Customs/Leg3 Assumption]],"n/a")</f>
        <v>46162</v>
      </c>
      <c r="BB267" s="433">
        <f>YEAR(PV_DATA[[#This Row],[ETA for New Ark update]])</f>
        <v>2026</v>
      </c>
      <c r="BC267" s="430">
        <f>MONTH(PV_DATA[[#This Row],[ETA for New Ark update]])</f>
        <v>5</v>
      </c>
      <c r="BD267" s="430">
        <f>IFERROR(_xlfn.ISOWEEKNUM(PV_DATA[[#This Row],[ETA for New Ark update]]),0)</f>
        <v>21</v>
      </c>
      <c r="BE267" s="431">
        <f>_xlfn.XLOOKUP(PV_DATA[[#This Row],[New Ark SKU]],Table9[New Ark SKU],Table9[Total PCS per Pallet],,0)</f>
        <v>33</v>
      </c>
      <c r="BF267" s="431">
        <f>_xlfn.XLOOKUP(PV_DATA[[#This Row],[New Ark SKU]],Table9[New Ark SKU],Table9[Total PCS per 40HQ Container],,0)</f>
        <v>594</v>
      </c>
      <c r="BG267" s="431" t="str">
        <f>_xlfn.XLOOKUP(PV_DATA[[#This Row],[New Ark SKU]],Table9[New Ark SKU],Table9[Back Glass],,0)</f>
        <v>Redirection Film</v>
      </c>
      <c r="BH267" s="431" t="str">
        <f>_xlfn.XLOOKUP(PV_DATA[[#This Row],[PORT DESTINATION]],Table12[PORT DESTINATION],Table12[Cosco Line],,0)</f>
        <v>AEU</v>
      </c>
      <c r="BJ267" s="430"/>
    </row>
    <row r="268" spans="1:62" ht="10.5" hidden="1">
      <c r="A268" s="462" t="s">
        <v>1354</v>
      </c>
      <c r="B268" s="462" t="s">
        <v>111</v>
      </c>
      <c r="C268" s="462" t="str">
        <f>IFERROR(LEFT(PV_DATA[[#This Row],[TCL REFERENCE]],FIND(".",PV_DATA[[#This Row],[TCL REFERENCE]],1)-1),"Main Line")</f>
        <v>Main Line</v>
      </c>
      <c r="D268" s="462" t="s">
        <v>63</v>
      </c>
      <c r="E268" s="462" t="s">
        <v>144</v>
      </c>
      <c r="F268" s="462" t="str" cm="1">
        <f t="array" ref="F26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68" s="462" t="s">
        <v>402</v>
      </c>
      <c r="H268" s="462" t="s">
        <v>538</v>
      </c>
      <c r="I268" s="439" t="s">
        <v>882</v>
      </c>
      <c r="J268" s="430" t="s">
        <v>1232</v>
      </c>
      <c r="K268" s="430" t="s">
        <v>1233</v>
      </c>
      <c r="L268" s="430"/>
      <c r="M268" s="430" t="s">
        <v>840</v>
      </c>
      <c r="N268" s="432">
        <v>46045</v>
      </c>
      <c r="O268" s="430" t="s">
        <v>1032</v>
      </c>
      <c r="P268" s="459" t="s">
        <v>1355</v>
      </c>
      <c r="Q268" s="430" t="s">
        <v>1356</v>
      </c>
      <c r="R268" s="431" t="str">
        <f>_xlfn.XLOOKUP(PV_DATA[[#This Row],[New Ark SKU]],Table9[New Ark SKU],Table9[Connector],,0)</f>
        <v>EVO2A</v>
      </c>
      <c r="S268" s="442" t="str">
        <f>_xlfn.XLOOKUP(PV_DATA[[#This Row],[New Ark SKU]],Table9[New Ark SKU],Table9[Cable],,0)</f>
        <v>±1400mm</v>
      </c>
      <c r="T268" s="433">
        <v>715</v>
      </c>
      <c r="U268" s="1062">
        <v>462</v>
      </c>
      <c r="V268" s="434">
        <f>PV_DATA[[#This Row],[QUANTITY]]*PV_DATA[[#This Row],[WATT]]/1000000</f>
        <v>0.33033000000000001</v>
      </c>
      <c r="W268" s="435">
        <f>PV_DATA[[#This Row],[QUANTITY]]/PV_DATA[[#This Row],[Qty/Pallet]]</f>
        <v>14</v>
      </c>
      <c r="X268" s="1015">
        <f>PV_DATA[[#This Row],[QUANTITY]]/PV_DATA[[#This Row],[Qty/CT]]</f>
        <v>0.77777777777777779</v>
      </c>
      <c r="Y268" s="430" t="s">
        <v>75</v>
      </c>
      <c r="Z268" s="430" t="str">
        <f t="shared" si="1"/>
        <v>COMPLETED</v>
      </c>
      <c r="AA268" s="430"/>
      <c r="AB268" s="437">
        <v>46086</v>
      </c>
      <c r="AC268" s="438">
        <f>IF(PV_DATA[[#This Row],[Pick-Up Date]]&lt;&gt;"",_xlfn.ISOWEEKNUM(PV_DATA[[#This Row],[Pick-Up Date]]),"")</f>
        <v>10</v>
      </c>
      <c r="AD268" s="439" t="s">
        <v>1357</v>
      </c>
      <c r="AE268" s="430"/>
      <c r="AF268" s="430" t="s">
        <v>122</v>
      </c>
      <c r="AG268" s="430" t="s">
        <v>123</v>
      </c>
      <c r="AH268" s="430" t="s">
        <v>541</v>
      </c>
      <c r="AI268" s="437">
        <v>46091</v>
      </c>
      <c r="AJ268" s="437">
        <v>46091</v>
      </c>
      <c r="AK268" s="441">
        <v>46091</v>
      </c>
      <c r="AL268" s="437">
        <v>46154</v>
      </c>
      <c r="AM268" s="437">
        <v>46161</v>
      </c>
      <c r="AN268" s="437">
        <v>46162</v>
      </c>
      <c r="AO268" s="430" t="s">
        <v>402</v>
      </c>
      <c r="AP268" s="430" t="s">
        <v>1350</v>
      </c>
      <c r="AQ268" s="430" t="s">
        <v>161</v>
      </c>
      <c r="AR268" s="430" t="s">
        <v>1351</v>
      </c>
      <c r="AS268" s="430" t="s">
        <v>1352</v>
      </c>
      <c r="AT268" s="482" t="s">
        <v>1353</v>
      </c>
      <c r="AU26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71</v>
      </c>
      <c r="AW268" s="437" cm="1">
        <f t="array" ref="AW26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46162</v>
      </c>
      <c r="AX26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68" s="437">
        <f>IF(ISERROR(PV_DATA[[#This Row],[New Ark PO status]]),"",_xlfn.XLOOKUP(PV_DATA[[#This Row],[SPTN-PVHK New Ark PO'#]],New_Ark_Data[Purchase order Number],New_Ark_Data[Estimated time of arrival],"",0))</f>
        <v>46168</v>
      </c>
      <c r="AZ268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68" s="437">
        <f>IFERROR(PV_DATA[[#This Row],[ODP ETA Port]]+PV_DATA[[#This Row],[Customs/Leg3 Assumption]],"n/a")</f>
        <v>46162</v>
      </c>
      <c r="BB268" s="433">
        <f>YEAR(PV_DATA[[#This Row],[ETA for New Ark update]])</f>
        <v>2026</v>
      </c>
      <c r="BC268" s="430">
        <f>MONTH(PV_DATA[[#This Row],[ETA for New Ark update]])</f>
        <v>5</v>
      </c>
      <c r="BD268" s="430">
        <f>IFERROR(_xlfn.ISOWEEKNUM(PV_DATA[[#This Row],[ETA for New Ark update]]),0)</f>
        <v>21</v>
      </c>
      <c r="BE268" s="431">
        <f>_xlfn.XLOOKUP(PV_DATA[[#This Row],[New Ark SKU]],Table9[New Ark SKU],Table9[Total PCS per Pallet],,0)</f>
        <v>33</v>
      </c>
      <c r="BF268" s="431">
        <f>_xlfn.XLOOKUP(PV_DATA[[#This Row],[New Ark SKU]],Table9[New Ark SKU],Table9[Total PCS per 40HQ Container],,0)</f>
        <v>594</v>
      </c>
      <c r="BG268" s="431" t="str">
        <f>_xlfn.XLOOKUP(PV_DATA[[#This Row],[New Ark SKU]],Table9[New Ark SKU],Table9[Back Glass],,0)</f>
        <v>Redirection Film</v>
      </c>
      <c r="BH268" s="431" t="str">
        <f>_xlfn.XLOOKUP(PV_DATA[[#This Row],[PORT DESTINATION]],Table12[PORT DESTINATION],Table12[Cosco Line],,0)</f>
        <v>AEU</v>
      </c>
      <c r="BJ268" s="430"/>
    </row>
    <row r="269" spans="1:62" ht="10.5" hidden="1">
      <c r="A269" s="462" t="s">
        <v>1358</v>
      </c>
      <c r="B269" s="462" t="s">
        <v>61</v>
      </c>
      <c r="C269" s="462" t="str">
        <f>IFERROR(LEFT(PV_DATA[[#This Row],[TCL REFERENCE]],FIND(".",PV_DATA[[#This Row],[TCL REFERENCE]],1)-1),"Main Line")</f>
        <v>26Feb017</v>
      </c>
      <c r="D269" s="462" t="s">
        <v>63</v>
      </c>
      <c r="E269" s="462" t="s">
        <v>64</v>
      </c>
      <c r="F269" s="462" t="str" cm="1">
        <f t="array" ref="F26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69" s="462" t="s">
        <v>402</v>
      </c>
      <c r="H269" s="462" t="s">
        <v>67</v>
      </c>
      <c r="I269" s="439" t="s">
        <v>689</v>
      </c>
      <c r="J269" s="430" t="s">
        <v>1132</v>
      </c>
      <c r="K269" s="430"/>
      <c r="L269" s="430"/>
      <c r="M269" s="430" t="s">
        <v>840</v>
      </c>
      <c r="N269" s="432">
        <v>46069</v>
      </c>
      <c r="O269" s="430" t="s">
        <v>70</v>
      </c>
      <c r="P269" s="430" t="s">
        <v>195</v>
      </c>
      <c r="Q269" s="430" t="s">
        <v>196</v>
      </c>
      <c r="R269" s="431" t="str">
        <f>_xlfn.XLOOKUP(PV_DATA[[#This Row],[New Ark SKU]],Table9[New Ark SKU],Table9[Connector],,0)</f>
        <v>EVO2A</v>
      </c>
      <c r="S269" s="442" t="str">
        <f>_xlfn.XLOOKUP(PV_DATA[[#This Row],[New Ark SKU]],Table9[New Ark SKU],Table9[Cable],,0)</f>
        <v>±1200mm</v>
      </c>
      <c r="T269" s="433">
        <v>450</v>
      </c>
      <c r="U269" s="1062">
        <f>936*5</f>
        <v>4680</v>
      </c>
      <c r="V269" s="434">
        <f>PV_DATA[[#This Row],[QUANTITY]]*PV_DATA[[#This Row],[WATT]]/1000000</f>
        <v>2.1059999999999999</v>
      </c>
      <c r="W269" s="435">
        <f>PV_DATA[[#This Row],[QUANTITY]]/PV_DATA[[#This Row],[Qty/Pallet]]</f>
        <v>130</v>
      </c>
      <c r="X269" s="1015">
        <f>PV_DATA[[#This Row],[QUANTITY]]/PV_DATA[[#This Row],[Qty/CT]]</f>
        <v>5</v>
      </c>
      <c r="Y269" s="430" t="s">
        <v>75</v>
      </c>
      <c r="Z269" s="430" t="str">
        <f t="shared" si="1"/>
        <v>COMPLETED</v>
      </c>
      <c r="AA269" s="430"/>
      <c r="AB269" s="437">
        <v>46084</v>
      </c>
      <c r="AC269" s="438">
        <f>IF(PV_DATA[[#This Row],[Pick-Up Date]]&lt;&gt;"",_xlfn.ISOWEEKNUM(PV_DATA[[#This Row],[Pick-Up Date]]),"")</f>
        <v>10</v>
      </c>
      <c r="AD269" s="449" t="s">
        <v>1359</v>
      </c>
      <c r="AE269" s="430"/>
      <c r="AF269" s="430" t="s">
        <v>77</v>
      </c>
      <c r="AG269" s="430" t="s">
        <v>61</v>
      </c>
      <c r="AH269" s="430" t="s">
        <v>105</v>
      </c>
      <c r="AI269" s="437">
        <v>46088</v>
      </c>
      <c r="AJ269" s="437">
        <v>46088</v>
      </c>
      <c r="AK269" s="441">
        <v>46088</v>
      </c>
      <c r="AL269" s="437">
        <v>46141</v>
      </c>
      <c r="AM269" s="437">
        <v>46142</v>
      </c>
      <c r="AN269" s="437">
        <v>46141</v>
      </c>
      <c r="AO269" s="430" t="s">
        <v>402</v>
      </c>
      <c r="AP269" s="430" t="s">
        <v>889</v>
      </c>
      <c r="AQ269" s="430" t="s">
        <v>80</v>
      </c>
      <c r="AR269" s="430" t="s">
        <v>1360</v>
      </c>
      <c r="AS269" s="430" t="s">
        <v>1361</v>
      </c>
      <c r="AT269" s="482" t="s">
        <v>1361</v>
      </c>
      <c r="AU26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269" s="437" cm="1">
        <f t="array" ref="AW26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6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69" s="437">
        <f>IF(ISERROR(PV_DATA[[#This Row],[New Ark PO status]]),"",_xlfn.XLOOKUP(PV_DATA[[#This Row],[SPTN-PVHK New Ark PO'#]],New_Ark_Data[Purchase order Number],New_Ark_Data[Estimated time of arrival],"",0))</f>
        <v>46163</v>
      </c>
      <c r="AZ269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69" s="437">
        <f>IFERROR(PV_DATA[[#This Row],[ODP ETA Port]]+PV_DATA[[#This Row],[Customs/Leg3 Assumption]],"n/a")</f>
        <v>46148</v>
      </c>
      <c r="BB269" s="433">
        <f>YEAR(PV_DATA[[#This Row],[ETA for New Ark update]])</f>
        <v>2026</v>
      </c>
      <c r="BC269" s="430">
        <f>MONTH(PV_DATA[[#This Row],[ETA for New Ark update]])</f>
        <v>5</v>
      </c>
      <c r="BD269" s="430">
        <f>IFERROR(_xlfn.ISOWEEKNUM(PV_DATA[[#This Row],[ETA for New Ark update]]),0)</f>
        <v>19</v>
      </c>
      <c r="BE269" s="431">
        <f>_xlfn.XLOOKUP(PV_DATA[[#This Row],[New Ark SKU]],Table9[New Ark SKU],Table9[Total PCS per Pallet],,0)</f>
        <v>36</v>
      </c>
      <c r="BF269" s="431">
        <f>_xlfn.XLOOKUP(PV_DATA[[#This Row],[New Ark SKU]],Table9[New Ark SKU],Table9[Total PCS per 40HQ Container],,0)</f>
        <v>936</v>
      </c>
      <c r="BG269" s="431" t="str">
        <f>_xlfn.XLOOKUP(PV_DATA[[#This Row],[New Ark SKU]],Table9[New Ark SKU],Table9[Back Glass],,0)</f>
        <v>Black glazing</v>
      </c>
      <c r="BH269" s="431" t="str">
        <f>_xlfn.XLOOKUP(PV_DATA[[#This Row],[PORT DESTINATION]],Table12[PORT DESTINATION],Table12[Cosco Line],,0)</f>
        <v>AEU</v>
      </c>
      <c r="BJ269" s="430"/>
    </row>
    <row r="270" spans="1:62" ht="10.5" hidden="1">
      <c r="A270" s="462" t="s">
        <v>1362</v>
      </c>
      <c r="B270" s="462" t="s">
        <v>61</v>
      </c>
      <c r="C270" s="462" t="str">
        <f>IFERROR(LEFT(PV_DATA[[#This Row],[TCL REFERENCE]],FIND(".",PV_DATA[[#This Row],[TCL REFERENCE]],1)-1),"Main Line")</f>
        <v>26Feb017</v>
      </c>
      <c r="D270" s="462" t="s">
        <v>63</v>
      </c>
      <c r="E270" s="462" t="s">
        <v>64</v>
      </c>
      <c r="F270" s="462" t="str" cm="1">
        <f t="array" ref="F27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70" s="462" t="s">
        <v>402</v>
      </c>
      <c r="H270" s="462" t="s">
        <v>67</v>
      </c>
      <c r="I270" s="439" t="s">
        <v>689</v>
      </c>
      <c r="J270" s="430" t="s">
        <v>1363</v>
      </c>
      <c r="K270" s="430"/>
      <c r="L270" s="430"/>
      <c r="M270" s="430" t="s">
        <v>68</v>
      </c>
      <c r="N270" s="432">
        <v>46069</v>
      </c>
      <c r="O270" s="430" t="s">
        <v>70</v>
      </c>
      <c r="P270" s="430" t="s">
        <v>195</v>
      </c>
      <c r="Q270" s="430" t="s">
        <v>196</v>
      </c>
      <c r="R270" s="431" t="str">
        <f>_xlfn.XLOOKUP(PV_DATA[[#This Row],[New Ark SKU]],Table9[New Ark SKU],Table9[Connector],,0)</f>
        <v>EVO2A</v>
      </c>
      <c r="S270" s="442" t="str">
        <f>_xlfn.XLOOKUP(PV_DATA[[#This Row],[New Ark SKU]],Table9[New Ark SKU],Table9[Cable],,0)</f>
        <v>±1200mm</v>
      </c>
      <c r="T270" s="433">
        <v>450</v>
      </c>
      <c r="U270" s="1062">
        <f>936*2</f>
        <v>1872</v>
      </c>
      <c r="V270" s="434">
        <f>PV_DATA[[#This Row],[QUANTITY]]*PV_DATA[[#This Row],[WATT]]/1000000</f>
        <v>0.84240000000000004</v>
      </c>
      <c r="W270" s="435">
        <f>PV_DATA[[#This Row],[QUANTITY]]/PV_DATA[[#This Row],[Qty/Pallet]]</f>
        <v>52</v>
      </c>
      <c r="X270" s="1015">
        <f>PV_DATA[[#This Row],[QUANTITY]]/PV_DATA[[#This Row],[Qty/CT]]</f>
        <v>2</v>
      </c>
      <c r="Y270" s="430" t="s">
        <v>75</v>
      </c>
      <c r="Z270" s="430" t="str">
        <f t="shared" si="1"/>
        <v>COMPLETED</v>
      </c>
      <c r="AA270" s="430"/>
      <c r="AB270" s="437">
        <v>46083</v>
      </c>
      <c r="AC270" s="438">
        <f>IF(PV_DATA[[#This Row],[Pick-Up Date]]&lt;&gt;"",_xlfn.ISOWEEKNUM(PV_DATA[[#This Row],[Pick-Up Date]]),"")</f>
        <v>10</v>
      </c>
      <c r="AD270" s="439" t="s">
        <v>1364</v>
      </c>
      <c r="AE270" s="430"/>
      <c r="AF270" s="430" t="s">
        <v>77</v>
      </c>
      <c r="AG270" s="430" t="s">
        <v>61</v>
      </c>
      <c r="AH270" s="430" t="s">
        <v>105</v>
      </c>
      <c r="AI270" s="437">
        <v>46088</v>
      </c>
      <c r="AJ270" s="437">
        <v>46088</v>
      </c>
      <c r="AK270" s="441">
        <v>46088</v>
      </c>
      <c r="AL270" s="437">
        <v>46133</v>
      </c>
      <c r="AM270" s="437">
        <v>46142</v>
      </c>
      <c r="AN270" s="437">
        <v>46141</v>
      </c>
      <c r="AO270" s="430" t="s">
        <v>402</v>
      </c>
      <c r="AP270" s="430" t="s">
        <v>889</v>
      </c>
      <c r="AQ270" s="430" t="s">
        <v>80</v>
      </c>
      <c r="AR270" s="430" t="s">
        <v>1365</v>
      </c>
      <c r="AS270" s="430" t="s">
        <v>1366</v>
      </c>
      <c r="AT270" s="482" t="s">
        <v>1366</v>
      </c>
      <c r="AU27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270" s="437" cm="1">
        <f t="array" ref="AW27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7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70" s="437">
        <f>IF(ISERROR(PV_DATA[[#This Row],[New Ark PO status]]),"",_xlfn.XLOOKUP(PV_DATA[[#This Row],[SPTN-PVHK New Ark PO'#]],New_Ark_Data[Purchase order Number],New_Ark_Data[Estimated time of arrival],"",0))</f>
        <v>46163</v>
      </c>
      <c r="AZ270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70" s="437">
        <f>IFERROR(PV_DATA[[#This Row],[ODP ETA Port]]+PV_DATA[[#This Row],[Customs/Leg3 Assumption]],"n/a")</f>
        <v>46148</v>
      </c>
      <c r="BB270" s="433">
        <f>YEAR(PV_DATA[[#This Row],[ETA for New Ark update]])</f>
        <v>2026</v>
      </c>
      <c r="BC270" s="430">
        <f>MONTH(PV_DATA[[#This Row],[ETA for New Ark update]])</f>
        <v>5</v>
      </c>
      <c r="BD270" s="430">
        <f>IFERROR(_xlfn.ISOWEEKNUM(PV_DATA[[#This Row],[ETA for New Ark update]]),0)</f>
        <v>19</v>
      </c>
      <c r="BE270" s="431">
        <f>_xlfn.XLOOKUP(PV_DATA[[#This Row],[New Ark SKU]],Table9[New Ark SKU],Table9[Total PCS per Pallet],,0)</f>
        <v>36</v>
      </c>
      <c r="BF270" s="431">
        <f>_xlfn.XLOOKUP(PV_DATA[[#This Row],[New Ark SKU]],Table9[New Ark SKU],Table9[Total PCS per 40HQ Container],,0)</f>
        <v>936</v>
      </c>
      <c r="BG270" s="431" t="str">
        <f>_xlfn.XLOOKUP(PV_DATA[[#This Row],[New Ark SKU]],Table9[New Ark SKU],Table9[Back Glass],,0)</f>
        <v>Black glazing</v>
      </c>
      <c r="BH270" s="431" t="str">
        <f>_xlfn.XLOOKUP(PV_DATA[[#This Row],[PORT DESTINATION]],Table12[PORT DESTINATION],Table12[Cosco Line],,0)</f>
        <v>AEU</v>
      </c>
      <c r="BJ270" s="430"/>
    </row>
    <row r="271" spans="1:62" ht="10.5" hidden="1">
      <c r="A271" s="462" t="s">
        <v>1367</v>
      </c>
      <c r="B271" s="462" t="s">
        <v>61</v>
      </c>
      <c r="C271" s="462" t="str">
        <f>IFERROR(LEFT(PV_DATA[[#This Row],[TCL REFERENCE]],FIND(".",PV_DATA[[#This Row],[TCL REFERENCE]],1)-1),"Main Line")</f>
        <v>26Feb017</v>
      </c>
      <c r="D271" s="462" t="s">
        <v>63</v>
      </c>
      <c r="E271" s="462" t="s">
        <v>64</v>
      </c>
      <c r="F271" s="462" t="str" cm="1">
        <f t="array" ref="F27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71" s="462" t="s">
        <v>402</v>
      </c>
      <c r="H271" s="462" t="s">
        <v>67</v>
      </c>
      <c r="I271" s="439" t="s">
        <v>689</v>
      </c>
      <c r="J271" s="430" t="s">
        <v>1368</v>
      </c>
      <c r="K271" s="430"/>
      <c r="L271" s="430"/>
      <c r="M271" s="430" t="s">
        <v>68</v>
      </c>
      <c r="N271" s="432">
        <v>46069</v>
      </c>
      <c r="O271" s="430" t="s">
        <v>70</v>
      </c>
      <c r="P271" s="430" t="s">
        <v>195</v>
      </c>
      <c r="Q271" s="430" t="s">
        <v>196</v>
      </c>
      <c r="R271" s="431" t="str">
        <f>_xlfn.XLOOKUP(PV_DATA[[#This Row],[New Ark SKU]],Table9[New Ark SKU],Table9[Connector],,0)</f>
        <v>EVO2A</v>
      </c>
      <c r="S271" s="442" t="str">
        <f>_xlfn.XLOOKUP(PV_DATA[[#This Row],[New Ark SKU]],Table9[New Ark SKU],Table9[Cable],,0)</f>
        <v>±1200mm</v>
      </c>
      <c r="T271" s="433">
        <v>450</v>
      </c>
      <c r="U271" s="1062">
        <f>936*2</f>
        <v>1872</v>
      </c>
      <c r="V271" s="434">
        <f>PV_DATA[[#This Row],[QUANTITY]]*PV_DATA[[#This Row],[WATT]]/1000000</f>
        <v>0.84240000000000004</v>
      </c>
      <c r="W271" s="435">
        <f>PV_DATA[[#This Row],[QUANTITY]]/PV_DATA[[#This Row],[Qty/Pallet]]</f>
        <v>52</v>
      </c>
      <c r="X271" s="1015">
        <f>PV_DATA[[#This Row],[QUANTITY]]/PV_DATA[[#This Row],[Qty/CT]]</f>
        <v>2</v>
      </c>
      <c r="Y271" s="430" t="s">
        <v>75</v>
      </c>
      <c r="Z271" s="430" t="str">
        <f t="shared" si="1"/>
        <v>COMPLETED</v>
      </c>
      <c r="AA271" s="430"/>
      <c r="AB271" s="437">
        <v>46083</v>
      </c>
      <c r="AC271" s="438">
        <f>IF(PV_DATA[[#This Row],[Pick-Up Date]]&lt;&gt;"",_xlfn.ISOWEEKNUM(PV_DATA[[#This Row],[Pick-Up Date]]),"")</f>
        <v>10</v>
      </c>
      <c r="AD271" s="439" t="s">
        <v>1369</v>
      </c>
      <c r="AE271" s="430"/>
      <c r="AF271" s="430" t="s">
        <v>77</v>
      </c>
      <c r="AG271" s="430" t="s">
        <v>61</v>
      </c>
      <c r="AH271" s="430" t="s">
        <v>105</v>
      </c>
      <c r="AI271" s="437">
        <v>46088</v>
      </c>
      <c r="AJ271" s="437">
        <v>46088</v>
      </c>
      <c r="AK271" s="441">
        <v>46088</v>
      </c>
      <c r="AL271" s="437">
        <v>46133</v>
      </c>
      <c r="AM271" s="437">
        <v>46142</v>
      </c>
      <c r="AN271" s="437">
        <v>46141</v>
      </c>
      <c r="AO271" s="430" t="s">
        <v>402</v>
      </c>
      <c r="AP271" s="430" t="s">
        <v>889</v>
      </c>
      <c r="AQ271" s="430" t="s">
        <v>80</v>
      </c>
      <c r="AR271" s="430" t="s">
        <v>1365</v>
      </c>
      <c r="AS271" s="430" t="s">
        <v>1366</v>
      </c>
      <c r="AT271" s="482" t="s">
        <v>1366</v>
      </c>
      <c r="AU27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271" s="437" cm="1">
        <f t="array" ref="AW27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7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71" s="437">
        <f>IF(ISERROR(PV_DATA[[#This Row],[New Ark PO status]]),"",_xlfn.XLOOKUP(PV_DATA[[#This Row],[SPTN-PVHK New Ark PO'#]],New_Ark_Data[Purchase order Number],New_Ark_Data[Estimated time of arrival],"",0))</f>
        <v>46163</v>
      </c>
      <c r="AZ271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71" s="437">
        <f>IFERROR(PV_DATA[[#This Row],[ODP ETA Port]]+PV_DATA[[#This Row],[Customs/Leg3 Assumption]],"n/a")</f>
        <v>46148</v>
      </c>
      <c r="BB271" s="433">
        <f>YEAR(PV_DATA[[#This Row],[ETA for New Ark update]])</f>
        <v>2026</v>
      </c>
      <c r="BC271" s="430">
        <f>MONTH(PV_DATA[[#This Row],[ETA for New Ark update]])</f>
        <v>5</v>
      </c>
      <c r="BD271" s="430">
        <f>IFERROR(_xlfn.ISOWEEKNUM(PV_DATA[[#This Row],[ETA for New Ark update]]),0)</f>
        <v>19</v>
      </c>
      <c r="BE271" s="431">
        <f>_xlfn.XLOOKUP(PV_DATA[[#This Row],[New Ark SKU]],Table9[New Ark SKU],Table9[Total PCS per Pallet],,0)</f>
        <v>36</v>
      </c>
      <c r="BF271" s="431">
        <f>_xlfn.XLOOKUP(PV_DATA[[#This Row],[New Ark SKU]],Table9[New Ark SKU],Table9[Total PCS per 40HQ Container],,0)</f>
        <v>936</v>
      </c>
      <c r="BG271" s="431" t="str">
        <f>_xlfn.XLOOKUP(PV_DATA[[#This Row],[New Ark SKU]],Table9[New Ark SKU],Table9[Back Glass],,0)</f>
        <v>Black glazing</v>
      </c>
      <c r="BH271" s="431" t="str">
        <f>_xlfn.XLOOKUP(PV_DATA[[#This Row],[PORT DESTINATION]],Table12[PORT DESTINATION],Table12[Cosco Line],,0)</f>
        <v>AEU</v>
      </c>
      <c r="BJ271" s="430"/>
    </row>
    <row r="272" spans="1:62" s="450" customFormat="1" ht="10.5" hidden="1">
      <c r="A272" s="462" t="s">
        <v>1370</v>
      </c>
      <c r="B272" s="462" t="s">
        <v>61</v>
      </c>
      <c r="C272" s="462" t="str">
        <f>IFERROR(LEFT(PV_DATA[[#This Row],[TCL REFERENCE]],FIND(".",PV_DATA[[#This Row],[TCL REFERENCE]],1)-1),"Main Line")</f>
        <v>26Feb017</v>
      </c>
      <c r="D272" s="462" t="s">
        <v>63</v>
      </c>
      <c r="E272" s="462" t="s">
        <v>64</v>
      </c>
      <c r="F272" s="462" t="str" cm="1">
        <f t="array" ref="F27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72" s="462" t="s">
        <v>402</v>
      </c>
      <c r="H272" s="462" t="s">
        <v>67</v>
      </c>
      <c r="I272" s="439" t="s">
        <v>689</v>
      </c>
      <c r="J272" s="430" t="s">
        <v>1371</v>
      </c>
      <c r="K272" s="430"/>
      <c r="L272" s="430"/>
      <c r="M272" s="430" t="s">
        <v>68</v>
      </c>
      <c r="N272" s="432">
        <v>46069</v>
      </c>
      <c r="O272" s="430" t="s">
        <v>70</v>
      </c>
      <c r="P272" s="430" t="s">
        <v>195</v>
      </c>
      <c r="Q272" s="430" t="s">
        <v>196</v>
      </c>
      <c r="R272" s="431" t="str">
        <f>_xlfn.XLOOKUP(PV_DATA[[#This Row],[New Ark SKU]],Table9[New Ark SKU],Table9[Connector],,0)</f>
        <v>EVO2A</v>
      </c>
      <c r="S272" s="442" t="str">
        <f>_xlfn.XLOOKUP(PV_DATA[[#This Row],[New Ark SKU]],Table9[New Ark SKU],Table9[Cable],,0)</f>
        <v>±1200mm</v>
      </c>
      <c r="T272" s="433">
        <v>450</v>
      </c>
      <c r="U272" s="1062">
        <f>936*1</f>
        <v>936</v>
      </c>
      <c r="V272" s="434">
        <f>PV_DATA[[#This Row],[QUANTITY]]*PV_DATA[[#This Row],[WATT]]/1000000</f>
        <v>0.42120000000000002</v>
      </c>
      <c r="W272" s="435">
        <f>PV_DATA[[#This Row],[QUANTITY]]/PV_DATA[[#This Row],[Qty/Pallet]]</f>
        <v>26</v>
      </c>
      <c r="X272" s="1015">
        <f>PV_DATA[[#This Row],[QUANTITY]]/PV_DATA[[#This Row],[Qty/CT]]</f>
        <v>1</v>
      </c>
      <c r="Y272" s="430" t="s">
        <v>75</v>
      </c>
      <c r="Z272" s="430" t="str">
        <f t="shared" si="1"/>
        <v>COMPLETED</v>
      </c>
      <c r="AA272" s="430"/>
      <c r="AB272" s="437">
        <v>46083</v>
      </c>
      <c r="AC272" s="438">
        <f>IF(PV_DATA[[#This Row],[Pick-Up Date]]&lt;&gt;"",_xlfn.ISOWEEKNUM(PV_DATA[[#This Row],[Pick-Up Date]]),"")</f>
        <v>10</v>
      </c>
      <c r="AD272" s="439" t="s">
        <v>1372</v>
      </c>
      <c r="AE272" s="430"/>
      <c r="AF272" s="430" t="s">
        <v>77</v>
      </c>
      <c r="AG272" s="430" t="s">
        <v>61</v>
      </c>
      <c r="AH272" s="430" t="s">
        <v>105</v>
      </c>
      <c r="AI272" s="437">
        <v>46088</v>
      </c>
      <c r="AJ272" s="437">
        <v>46088</v>
      </c>
      <c r="AK272" s="441">
        <v>46088</v>
      </c>
      <c r="AL272" s="437">
        <v>46133</v>
      </c>
      <c r="AM272" s="437">
        <v>46142</v>
      </c>
      <c r="AN272" s="437">
        <v>46141</v>
      </c>
      <c r="AO272" s="430" t="s">
        <v>402</v>
      </c>
      <c r="AP272" s="430" t="s">
        <v>889</v>
      </c>
      <c r="AQ272" s="430" t="s">
        <v>80</v>
      </c>
      <c r="AR272" s="430" t="s">
        <v>1365</v>
      </c>
      <c r="AS272" s="430" t="s">
        <v>1366</v>
      </c>
      <c r="AT272" s="482" t="s">
        <v>1366</v>
      </c>
      <c r="AU27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V272" s="430"/>
      <c r="AW272" s="437" cm="1">
        <f t="array" ref="AW27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7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72" s="437">
        <f>IF(ISERROR(PV_DATA[[#This Row],[New Ark PO status]]),"",_xlfn.XLOOKUP(PV_DATA[[#This Row],[SPTN-PVHK New Ark PO'#]],New_Ark_Data[Purchase order Number],New_Ark_Data[Estimated time of arrival],"",0))</f>
        <v>46163</v>
      </c>
      <c r="AZ27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72" s="437">
        <f>IFERROR(PV_DATA[[#This Row],[ODP ETA Port]]+PV_DATA[[#This Row],[Customs/Leg3 Assumption]],"n/a")</f>
        <v>46148</v>
      </c>
      <c r="BB272" s="433">
        <f>YEAR(PV_DATA[[#This Row],[ETA for New Ark update]])</f>
        <v>2026</v>
      </c>
      <c r="BC272" s="430">
        <f>MONTH(PV_DATA[[#This Row],[ETA for New Ark update]])</f>
        <v>5</v>
      </c>
      <c r="BD272" s="430">
        <f>IFERROR(_xlfn.ISOWEEKNUM(PV_DATA[[#This Row],[ETA for New Ark update]]),0)</f>
        <v>19</v>
      </c>
      <c r="BE272" s="431">
        <f>_xlfn.XLOOKUP(PV_DATA[[#This Row],[New Ark SKU]],Table9[New Ark SKU],Table9[Total PCS per Pallet],,0)</f>
        <v>36</v>
      </c>
      <c r="BF272" s="431">
        <f>_xlfn.XLOOKUP(PV_DATA[[#This Row],[New Ark SKU]],Table9[New Ark SKU],Table9[Total PCS per 40HQ Container],,0)</f>
        <v>936</v>
      </c>
      <c r="BG272" s="431" t="str">
        <f>_xlfn.XLOOKUP(PV_DATA[[#This Row],[New Ark SKU]],Table9[New Ark SKU],Table9[Back Glass],,0)</f>
        <v>Black glazing</v>
      </c>
      <c r="BH272" s="431" t="str">
        <f>_xlfn.XLOOKUP(PV_DATA[[#This Row],[PORT DESTINATION]],Table12[PORT DESTINATION],Table12[Cosco Line],,0)</f>
        <v>AEU</v>
      </c>
    </row>
    <row r="273" spans="1:62" ht="10.5" hidden="1">
      <c r="A273" s="462" t="s">
        <v>1373</v>
      </c>
      <c r="B273" s="462" t="s">
        <v>61</v>
      </c>
      <c r="C273" s="462" t="str">
        <f>IFERROR(LEFT(PV_DATA[[#This Row],[TCL REFERENCE]],FIND(".",PV_DATA[[#This Row],[TCL REFERENCE]],1)-1),"Main Line")</f>
        <v>26JAN005</v>
      </c>
      <c r="D273" s="462" t="s">
        <v>63</v>
      </c>
      <c r="E273" s="462" t="s">
        <v>64</v>
      </c>
      <c r="F273" s="462" t="str" cm="1">
        <f t="array" ref="F27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73" s="462" t="s">
        <v>402</v>
      </c>
      <c r="H273" s="462" t="s">
        <v>67</v>
      </c>
      <c r="I273" s="439" t="s">
        <v>689</v>
      </c>
      <c r="J273" s="430" t="s">
        <v>101</v>
      </c>
      <c r="K273" s="430"/>
      <c r="L273" s="430"/>
      <c r="M273" s="430" t="s">
        <v>68</v>
      </c>
      <c r="N273" s="432">
        <v>46048</v>
      </c>
      <c r="O273" s="430" t="s">
        <v>70</v>
      </c>
      <c r="P273" s="430" t="s">
        <v>1151</v>
      </c>
      <c r="Q273" s="430" t="s">
        <v>421</v>
      </c>
      <c r="R273" s="431" t="str">
        <f>_xlfn.XLOOKUP(PV_DATA[[#This Row],[New Ark SKU]],Table9[New Ark SKU],Table9[Connector],,0)</f>
        <v>EVO2A</v>
      </c>
      <c r="S273" s="442" t="str">
        <f>_xlfn.XLOOKUP(PV_DATA[[#This Row],[New Ark SKU]],Table9[New Ark SKU],Table9[Cable],,0)</f>
        <v>±1200mm</v>
      </c>
      <c r="T273" s="433">
        <v>505</v>
      </c>
      <c r="U273" s="1062">
        <f>864*3</f>
        <v>2592</v>
      </c>
      <c r="V273" s="434">
        <f>PV_DATA[[#This Row],[QUANTITY]]*PV_DATA[[#This Row],[WATT]]/1000000</f>
        <v>1.3089599999999999</v>
      </c>
      <c r="W273" s="435">
        <f>PV_DATA[[#This Row],[QUANTITY]]/PV_DATA[[#This Row],[Qty/Pallet]]</f>
        <v>72</v>
      </c>
      <c r="X273" s="1015">
        <f>PV_DATA[[#This Row],[QUANTITY]]/PV_DATA[[#This Row],[Qty/CT]]</f>
        <v>3</v>
      </c>
      <c r="Y273" s="430" t="s">
        <v>75</v>
      </c>
      <c r="Z273" s="430" t="str">
        <f t="shared" si="1"/>
        <v>COMPLETED</v>
      </c>
      <c r="AA273" s="430"/>
      <c r="AB273" s="437">
        <v>46083</v>
      </c>
      <c r="AC273" s="438">
        <f>IF(PV_DATA[[#This Row],[Pick-Up Date]]&lt;&gt;"",_xlfn.ISOWEEKNUM(PV_DATA[[#This Row],[Pick-Up Date]]),"")</f>
        <v>10</v>
      </c>
      <c r="AD273" s="439" t="s">
        <v>1374</v>
      </c>
      <c r="AE273" s="430"/>
      <c r="AF273" s="430" t="s">
        <v>77</v>
      </c>
      <c r="AG273" s="430" t="s">
        <v>61</v>
      </c>
      <c r="AH273" s="430" t="s">
        <v>105</v>
      </c>
      <c r="AI273" s="437">
        <v>46088</v>
      </c>
      <c r="AJ273" s="437">
        <v>46088</v>
      </c>
      <c r="AK273" s="441">
        <v>46088</v>
      </c>
      <c r="AL273" s="437">
        <v>46133</v>
      </c>
      <c r="AM273" s="437">
        <v>46142</v>
      </c>
      <c r="AN273" s="437">
        <v>46141</v>
      </c>
      <c r="AO273" s="430" t="s">
        <v>402</v>
      </c>
      <c r="AP273" s="430" t="s">
        <v>889</v>
      </c>
      <c r="AQ273" s="430" t="s">
        <v>80</v>
      </c>
      <c r="AR273" s="430" t="s">
        <v>1365</v>
      </c>
      <c r="AS273" s="430" t="s">
        <v>1366</v>
      </c>
      <c r="AT273" s="482" t="s">
        <v>1366</v>
      </c>
      <c r="AU27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273" s="437" cm="1">
        <f t="array" ref="AW27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7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73" s="437">
        <f>IF(ISERROR(PV_DATA[[#This Row],[New Ark PO status]]),"",_xlfn.XLOOKUP(PV_DATA[[#This Row],[SPTN-PVHK New Ark PO'#]],New_Ark_Data[Purchase order Number],New_Ark_Data[Estimated time of arrival],"",0))</f>
        <v>46163</v>
      </c>
      <c r="AZ27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73" s="437">
        <f>IFERROR(PV_DATA[[#This Row],[ODP ETA Port]]+PV_DATA[[#This Row],[Customs/Leg3 Assumption]],"n/a")</f>
        <v>46148</v>
      </c>
      <c r="BB273" s="433">
        <f>YEAR(PV_DATA[[#This Row],[ETA for New Ark update]])</f>
        <v>2026</v>
      </c>
      <c r="BC273" s="430">
        <f>MONTH(PV_DATA[[#This Row],[ETA for New Ark update]])</f>
        <v>5</v>
      </c>
      <c r="BD273" s="430">
        <f>IFERROR(_xlfn.ISOWEEKNUM(PV_DATA[[#This Row],[ETA for New Ark update]]),0)</f>
        <v>19</v>
      </c>
      <c r="BE273" s="431">
        <f>_xlfn.XLOOKUP(PV_DATA[[#This Row],[New Ark SKU]],Table9[New Ark SKU],Table9[Total PCS per Pallet],,0)</f>
        <v>36</v>
      </c>
      <c r="BF273" s="431">
        <f>_xlfn.XLOOKUP(PV_DATA[[#This Row],[New Ark SKU]],Table9[New Ark SKU],Table9[Total PCS per 40HQ Container],,0)</f>
        <v>864</v>
      </c>
      <c r="BG273" s="431" t="str">
        <f>_xlfn.XLOOKUP(PV_DATA[[#This Row],[New Ark SKU]],Table9[New Ark SKU],Table9[Back Glass],,0)</f>
        <v>Black glazing</v>
      </c>
      <c r="BH273" s="431" t="str">
        <f>_xlfn.XLOOKUP(PV_DATA[[#This Row],[PORT DESTINATION]],Table12[PORT DESTINATION],Table12[Cosco Line],,0)</f>
        <v>AEU</v>
      </c>
      <c r="BJ273" s="430"/>
    </row>
    <row r="274" spans="1:62" ht="10.5" hidden="1">
      <c r="A274" s="446" t="s">
        <v>1375</v>
      </c>
      <c r="B274" s="446" t="s">
        <v>61</v>
      </c>
      <c r="C274" s="462" t="str">
        <f>IFERROR(LEFT(PV_DATA[[#This Row],[TCL REFERENCE]],FIND(".",PV_DATA[[#This Row],[TCL REFERENCE]],1)-1),"Main Line")</f>
        <v>26JAN005</v>
      </c>
      <c r="D274" s="462" t="s">
        <v>63</v>
      </c>
      <c r="E274" s="446" t="s">
        <v>64</v>
      </c>
      <c r="F274" s="462" t="str" cm="1">
        <f t="array" ref="F27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74" s="462" t="s">
        <v>402</v>
      </c>
      <c r="H274" s="462" t="s">
        <v>67</v>
      </c>
      <c r="I274" s="439" t="s">
        <v>689</v>
      </c>
      <c r="J274" s="430" t="s">
        <v>1376</v>
      </c>
      <c r="K274" s="430"/>
      <c r="L274" s="430"/>
      <c r="M274" s="430" t="s">
        <v>68</v>
      </c>
      <c r="N274" s="432">
        <v>46048</v>
      </c>
      <c r="O274" s="430" t="s">
        <v>70</v>
      </c>
      <c r="P274" s="450" t="s">
        <v>1151</v>
      </c>
      <c r="Q274" s="450" t="s">
        <v>421</v>
      </c>
      <c r="R274" s="431" t="str">
        <f>_xlfn.XLOOKUP(PV_DATA[[#This Row],[New Ark SKU]],Table9[New Ark SKU],Table9[Connector],,0)</f>
        <v>EVO2A</v>
      </c>
      <c r="S274" s="442" t="str">
        <f>_xlfn.XLOOKUP(PV_DATA[[#This Row],[New Ark SKU]],Table9[New Ark SKU],Table9[Cable],,0)</f>
        <v>±1200mm</v>
      </c>
      <c r="T274" s="452">
        <v>505</v>
      </c>
      <c r="U274" s="1063">
        <f>864*8</f>
        <v>6912</v>
      </c>
      <c r="V274" s="453">
        <f>PV_DATA[[#This Row],[QUANTITY]]*PV_DATA[[#This Row],[WATT]]/1000000</f>
        <v>3.4905599999999999</v>
      </c>
      <c r="W274" s="454">
        <f>PV_DATA[[#This Row],[QUANTITY]]/PV_DATA[[#This Row],[Qty/Pallet]]</f>
        <v>192</v>
      </c>
      <c r="X274" s="1020">
        <f>PV_DATA[[#This Row],[QUANTITY]]/PV_DATA[[#This Row],[Qty/CT]]</f>
        <v>8</v>
      </c>
      <c r="Y274" s="450" t="s">
        <v>75</v>
      </c>
      <c r="Z274" s="430" t="str">
        <f t="shared" si="1"/>
        <v>COMPLETED</v>
      </c>
      <c r="AA274" s="450"/>
      <c r="AB274" s="455">
        <v>46083</v>
      </c>
      <c r="AC274" s="456">
        <f>IF(PV_DATA[[#This Row],[Pick-Up Date]]&lt;&gt;"",_xlfn.ISOWEEKNUM(PV_DATA[[#This Row],[Pick-Up Date]]),"")</f>
        <v>10</v>
      </c>
      <c r="AD274" s="446" t="s">
        <v>1377</v>
      </c>
      <c r="AE274" s="450"/>
      <c r="AF274" s="450" t="s">
        <v>77</v>
      </c>
      <c r="AG274" s="450" t="s">
        <v>61</v>
      </c>
      <c r="AH274" s="450" t="s">
        <v>105</v>
      </c>
      <c r="AI274" s="455">
        <v>46088</v>
      </c>
      <c r="AJ274" s="437">
        <v>46088</v>
      </c>
      <c r="AK274" s="441">
        <v>46088</v>
      </c>
      <c r="AL274" s="455">
        <v>46133</v>
      </c>
      <c r="AM274" s="455">
        <v>46142</v>
      </c>
      <c r="AN274" s="455">
        <v>46141</v>
      </c>
      <c r="AO274" s="450" t="s">
        <v>402</v>
      </c>
      <c r="AP274" s="450" t="s">
        <v>889</v>
      </c>
      <c r="AQ274" s="450" t="s">
        <v>80</v>
      </c>
      <c r="AR274" s="450" t="s">
        <v>1378</v>
      </c>
      <c r="AS274" s="450" t="s">
        <v>1379</v>
      </c>
      <c r="AT274" s="482" t="s">
        <v>1379</v>
      </c>
      <c r="AU27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V274" s="450"/>
      <c r="AW274" s="455" cm="1">
        <f t="array" ref="AW27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7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74" s="455">
        <f>IF(ISERROR(PV_DATA[[#This Row],[New Ark PO status]]),"",_xlfn.XLOOKUP(PV_DATA[[#This Row],[SPTN-PVHK New Ark PO'#]],New_Ark_Data[Purchase order Number],New_Ark_Data[Estimated time of arrival],"",0))</f>
        <v>46163</v>
      </c>
      <c r="AZ274" s="45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74" s="437">
        <f>IFERROR(PV_DATA[[#This Row],[ODP ETA Port]]+PV_DATA[[#This Row],[Customs/Leg3 Assumption]],"n/a")</f>
        <v>46148</v>
      </c>
      <c r="BB274" s="452">
        <f>YEAR(PV_DATA[[#This Row],[ETA for New Ark update]])</f>
        <v>2026</v>
      </c>
      <c r="BC274" s="450">
        <f>MONTH(PV_DATA[[#This Row],[ETA for New Ark update]])</f>
        <v>5</v>
      </c>
      <c r="BD274" s="450">
        <f>IFERROR(_xlfn.ISOWEEKNUM(PV_DATA[[#This Row],[ETA for New Ark update]]),0)</f>
        <v>19</v>
      </c>
      <c r="BE274" s="431">
        <f>_xlfn.XLOOKUP(PV_DATA[[#This Row],[New Ark SKU]],Table9[New Ark SKU],Table9[Total PCS per Pallet],,0)</f>
        <v>36</v>
      </c>
      <c r="BF274" s="431">
        <f>_xlfn.XLOOKUP(PV_DATA[[#This Row],[New Ark SKU]],Table9[New Ark SKU],Table9[Total PCS per 40HQ Container],,0)</f>
        <v>864</v>
      </c>
      <c r="BG274" s="431" t="str">
        <f>_xlfn.XLOOKUP(PV_DATA[[#This Row],[New Ark SKU]],Table9[New Ark SKU],Table9[Back Glass],,0)</f>
        <v>Black glazing</v>
      </c>
      <c r="BH274" s="431" t="str">
        <f>_xlfn.XLOOKUP(PV_DATA[[#This Row],[PORT DESTINATION]],Table12[PORT DESTINATION],Table12[Cosco Line],,0)</f>
        <v>AEU</v>
      </c>
      <c r="BJ274" s="430"/>
    </row>
    <row r="275" spans="1:62" s="1137" customFormat="1" ht="10.5" hidden="1">
      <c r="A275" s="1136" t="s">
        <v>1380</v>
      </c>
      <c r="B275" s="1136" t="s">
        <v>61</v>
      </c>
      <c r="C275" s="1136" t="str">
        <f>IFERROR(LEFT(PV_DATA[[#This Row],[TCL REFERENCE]],FIND(".",PV_DATA[[#This Row],[TCL REFERENCE]],1)-1),"Main Line")</f>
        <v>26Feb017</v>
      </c>
      <c r="D275" s="1136" t="s">
        <v>63</v>
      </c>
      <c r="E275" s="1136" t="s">
        <v>144</v>
      </c>
      <c r="F275" s="1136" t="str" cm="1">
        <f t="array" ref="F27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75" s="1136" t="s">
        <v>402</v>
      </c>
      <c r="H275" s="1136" t="s">
        <v>1381</v>
      </c>
      <c r="I275" s="1136" t="s">
        <v>689</v>
      </c>
      <c r="J275" s="1137" t="s">
        <v>1270</v>
      </c>
      <c r="K275" s="1137" t="s">
        <v>1382</v>
      </c>
      <c r="M275" s="1137" t="s">
        <v>840</v>
      </c>
      <c r="N275" s="1138">
        <v>46076</v>
      </c>
      <c r="O275" s="1137" t="s">
        <v>70</v>
      </c>
      <c r="P275" s="1137" t="s">
        <v>195</v>
      </c>
      <c r="Q275" s="1137" t="s">
        <v>196</v>
      </c>
      <c r="R275" s="1137" t="str">
        <f>_xlfn.XLOOKUP(PV_DATA[[#This Row],[New Ark SKU]],Table9[New Ark SKU],Table9[Connector],,0)</f>
        <v>EVO2A</v>
      </c>
      <c r="S275" s="1139" t="str">
        <f>_xlfn.XLOOKUP(PV_DATA[[#This Row],[New Ark SKU]],Table9[New Ark SKU],Table9[Cable],,0)</f>
        <v>±1200mm</v>
      </c>
      <c r="T275" s="1139">
        <v>450</v>
      </c>
      <c r="U275" s="1140">
        <f>936*2</f>
        <v>1872</v>
      </c>
      <c r="V275" s="1141">
        <f>PV_DATA[[#This Row],[QUANTITY]]*PV_DATA[[#This Row],[WATT]]/1000000</f>
        <v>0.84240000000000004</v>
      </c>
      <c r="W275" s="1142">
        <f>PV_DATA[[#This Row],[QUANTITY]]/PV_DATA[[#This Row],[Qty/Pallet]]</f>
        <v>52</v>
      </c>
      <c r="X275" s="1143">
        <f>PV_DATA[[#This Row],[QUANTITY]]/PV_DATA[[#This Row],[Qty/CT]]</f>
        <v>2</v>
      </c>
      <c r="Y275" s="1137" t="s">
        <v>75</v>
      </c>
      <c r="Z275" s="1137" t="str">
        <f t="shared" si="1"/>
        <v>COMPLETED</v>
      </c>
      <c r="AB275" s="1144">
        <v>46082</v>
      </c>
      <c r="AC275" s="1145">
        <f>IF(PV_DATA[[#This Row],[Pick-Up Date]]&lt;&gt;"",_xlfn.ISOWEEKNUM(PV_DATA[[#This Row],[Pick-Up Date]]),"")</f>
        <v>9</v>
      </c>
      <c r="AD275" s="1136" t="s">
        <v>1383</v>
      </c>
      <c r="AF275" s="1137" t="s">
        <v>77</v>
      </c>
      <c r="AG275" s="1137" t="s">
        <v>61</v>
      </c>
      <c r="AH275" s="1137" t="s">
        <v>105</v>
      </c>
      <c r="AI275" s="1144">
        <v>46088</v>
      </c>
      <c r="AJ275" s="1144">
        <v>46088</v>
      </c>
      <c r="AK275" s="1144">
        <v>46088</v>
      </c>
      <c r="AL275" s="1144">
        <v>46133</v>
      </c>
      <c r="AM275" s="1144">
        <v>46142</v>
      </c>
      <c r="AN275" s="1144">
        <v>46141</v>
      </c>
      <c r="AO275" s="1137" t="s">
        <v>402</v>
      </c>
      <c r="AP275" s="1137" t="s">
        <v>889</v>
      </c>
      <c r="AQ275" s="1137" t="s">
        <v>80</v>
      </c>
      <c r="AR275" s="1137" t="s">
        <v>1384</v>
      </c>
      <c r="AS275" s="1137" t="s">
        <v>1385</v>
      </c>
      <c r="AT275" s="1146" t="s">
        <v>1386</v>
      </c>
      <c r="AU275" s="1137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275" s="1144" cm="1">
        <f t="array" ref="AW27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75" s="113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75" s="1144">
        <f>IF(ISERROR(PV_DATA[[#This Row],[New Ark PO status]]),"",_xlfn.XLOOKUP(PV_DATA[[#This Row],[SPTN-PVHK New Ark PO'#]],New_Ark_Data[Purchase order Number],New_Ark_Data[Estimated time of arrival],"",0))</f>
        <v>46146</v>
      </c>
      <c r="AZ275" s="1139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75" s="1144">
        <f>IFERROR(PV_DATA[[#This Row],[ODP ETA Port]]+PV_DATA[[#This Row],[Customs/Leg3 Assumption]],"n/a")</f>
        <v>46141</v>
      </c>
      <c r="BB275" s="1139">
        <f>YEAR(PV_DATA[[#This Row],[ETA for New Ark update]])</f>
        <v>2026</v>
      </c>
      <c r="BC275" s="1137">
        <f>MONTH(PV_DATA[[#This Row],[ETA for New Ark update]])</f>
        <v>4</v>
      </c>
      <c r="BD275" s="1137">
        <f>IFERROR(_xlfn.ISOWEEKNUM(PV_DATA[[#This Row],[ETA for New Ark update]]),0)</f>
        <v>18</v>
      </c>
      <c r="BE275" s="1137">
        <f>_xlfn.XLOOKUP(PV_DATA[[#This Row],[New Ark SKU]],Table9[New Ark SKU],Table9[Total PCS per Pallet],,0)</f>
        <v>36</v>
      </c>
      <c r="BF275" s="1137">
        <f>_xlfn.XLOOKUP(PV_DATA[[#This Row],[New Ark SKU]],Table9[New Ark SKU],Table9[Total PCS per 40HQ Container],,0)</f>
        <v>936</v>
      </c>
      <c r="BG275" s="1137" t="str">
        <f>_xlfn.XLOOKUP(PV_DATA[[#This Row],[New Ark SKU]],Table9[New Ark SKU],Table9[Back Glass],,0)</f>
        <v>Black glazing</v>
      </c>
      <c r="BH275" s="1137" t="str">
        <f>_xlfn.XLOOKUP(PV_DATA[[#This Row],[PORT DESTINATION]],Table12[PORT DESTINATION],Table12[Cosco Line],,0)</f>
        <v>AEU</v>
      </c>
    </row>
    <row r="276" spans="1:62" s="1137" customFormat="1" ht="10.5" hidden="1">
      <c r="A276" s="1136" t="s">
        <v>1387</v>
      </c>
      <c r="B276" s="1136" t="s">
        <v>61</v>
      </c>
      <c r="C276" s="1136" t="str">
        <f>IFERROR(LEFT(PV_DATA[[#This Row],[TCL REFERENCE]],FIND(".",PV_DATA[[#This Row],[TCL REFERENCE]],1)-1),"Main Line")</f>
        <v>26Feb017</v>
      </c>
      <c r="D276" s="1136" t="s">
        <v>63</v>
      </c>
      <c r="E276" s="1136" t="s">
        <v>64</v>
      </c>
      <c r="F276" s="1136" t="str" cm="1">
        <f t="array" ref="F27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76" s="1136" t="s">
        <v>402</v>
      </c>
      <c r="H276" s="1136" t="s">
        <v>67</v>
      </c>
      <c r="I276" s="1136" t="s">
        <v>689</v>
      </c>
      <c r="J276" s="1137" t="s">
        <v>1263</v>
      </c>
      <c r="K276" s="1137" t="s">
        <v>1264</v>
      </c>
      <c r="M276" s="1137" t="s">
        <v>840</v>
      </c>
      <c r="N276" s="1138">
        <v>46076</v>
      </c>
      <c r="O276" s="1137" t="s">
        <v>70</v>
      </c>
      <c r="P276" s="1137" t="s">
        <v>195</v>
      </c>
      <c r="Q276" s="1137" t="s">
        <v>196</v>
      </c>
      <c r="R276" s="1137" t="str">
        <f>_xlfn.XLOOKUP(PV_DATA[[#This Row],[New Ark SKU]],Table9[New Ark SKU],Table9[Connector],,0)</f>
        <v>EVO2A</v>
      </c>
      <c r="S276" s="1139" t="str">
        <f>_xlfn.XLOOKUP(PV_DATA[[#This Row],[New Ark SKU]],Table9[New Ark SKU],Table9[Cable],,0)</f>
        <v>±1200mm</v>
      </c>
      <c r="T276" s="1139">
        <v>450</v>
      </c>
      <c r="U276" s="1140">
        <f>936*3</f>
        <v>2808</v>
      </c>
      <c r="V276" s="1141">
        <f>PV_DATA[[#This Row],[QUANTITY]]*PV_DATA[[#This Row],[WATT]]/1000000</f>
        <v>1.2636000000000001</v>
      </c>
      <c r="W276" s="1142">
        <f>PV_DATA[[#This Row],[QUANTITY]]/PV_DATA[[#This Row],[Qty/Pallet]]</f>
        <v>78</v>
      </c>
      <c r="X276" s="1143">
        <f>PV_DATA[[#This Row],[QUANTITY]]/PV_DATA[[#This Row],[Qty/CT]]</f>
        <v>3</v>
      </c>
      <c r="Y276" s="1137" t="s">
        <v>75</v>
      </c>
      <c r="Z276" s="1137" t="str">
        <f t="shared" si="1"/>
        <v>COMPLETED</v>
      </c>
      <c r="AB276" s="1144">
        <v>46082</v>
      </c>
      <c r="AC276" s="1145">
        <f>IF(PV_DATA[[#This Row],[Pick-Up Date]]&lt;&gt;"",_xlfn.ISOWEEKNUM(PV_DATA[[#This Row],[Pick-Up Date]]),"")</f>
        <v>9</v>
      </c>
      <c r="AD276" s="1136" t="s">
        <v>1388</v>
      </c>
      <c r="AF276" s="1137" t="s">
        <v>77</v>
      </c>
      <c r="AG276" s="1137" t="s">
        <v>61</v>
      </c>
      <c r="AH276" s="1137" t="s">
        <v>105</v>
      </c>
      <c r="AI276" s="1144">
        <v>46088</v>
      </c>
      <c r="AJ276" s="1144">
        <v>46088</v>
      </c>
      <c r="AK276" s="1144">
        <v>46088</v>
      </c>
      <c r="AL276" s="1144">
        <v>46133</v>
      </c>
      <c r="AM276" s="1144">
        <v>46142</v>
      </c>
      <c r="AN276" s="1144">
        <v>46141</v>
      </c>
      <c r="AO276" s="1137" t="s">
        <v>402</v>
      </c>
      <c r="AP276" s="1137" t="s">
        <v>889</v>
      </c>
      <c r="AQ276" s="1137" t="s">
        <v>80</v>
      </c>
      <c r="AR276" s="1137" t="s">
        <v>1384</v>
      </c>
      <c r="AS276" s="1137" t="s">
        <v>1386</v>
      </c>
      <c r="AT276" s="1146" t="s">
        <v>1386</v>
      </c>
      <c r="AU276" s="1137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276" s="1144" cm="1">
        <f t="array" ref="AW27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76" s="113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76" s="1144">
        <f>IF(ISERROR(PV_DATA[[#This Row],[New Ark PO status]]),"",_xlfn.XLOOKUP(PV_DATA[[#This Row],[SPTN-PVHK New Ark PO'#]],New_Ark_Data[Purchase order Number],New_Ark_Data[Estimated time of arrival],"",0))</f>
        <v>46154</v>
      </c>
      <c r="AZ276" s="1139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76" s="1144">
        <f>IFERROR(PV_DATA[[#This Row],[ODP ETA Port]]+PV_DATA[[#This Row],[Customs/Leg3 Assumption]],"n/a")</f>
        <v>46148</v>
      </c>
      <c r="BB276" s="1139">
        <f>YEAR(PV_DATA[[#This Row],[ETA for New Ark update]])</f>
        <v>2026</v>
      </c>
      <c r="BC276" s="1137">
        <f>MONTH(PV_DATA[[#This Row],[ETA for New Ark update]])</f>
        <v>5</v>
      </c>
      <c r="BD276" s="1137">
        <f>IFERROR(_xlfn.ISOWEEKNUM(PV_DATA[[#This Row],[ETA for New Ark update]]),0)</f>
        <v>19</v>
      </c>
      <c r="BE276" s="1137">
        <f>_xlfn.XLOOKUP(PV_DATA[[#This Row],[New Ark SKU]],Table9[New Ark SKU],Table9[Total PCS per Pallet],,0)</f>
        <v>36</v>
      </c>
      <c r="BF276" s="1137">
        <f>_xlfn.XLOOKUP(PV_DATA[[#This Row],[New Ark SKU]],Table9[New Ark SKU],Table9[Total PCS per 40HQ Container],,0)</f>
        <v>936</v>
      </c>
      <c r="BG276" s="1137" t="str">
        <f>_xlfn.XLOOKUP(PV_DATA[[#This Row],[New Ark SKU]],Table9[New Ark SKU],Table9[Back Glass],,0)</f>
        <v>Black glazing</v>
      </c>
      <c r="BH276" s="1137" t="str">
        <f>_xlfn.XLOOKUP(PV_DATA[[#This Row],[PORT DESTINATION]],Table12[PORT DESTINATION],Table12[Cosco Line],,0)</f>
        <v>AEU</v>
      </c>
    </row>
    <row r="277" spans="1:62" s="1137" customFormat="1" ht="10.5" hidden="1">
      <c r="A277" s="1136" t="s">
        <v>1389</v>
      </c>
      <c r="B277" s="1136" t="s">
        <v>61</v>
      </c>
      <c r="C277" s="1136" t="str">
        <f>IFERROR(LEFT(PV_DATA[[#This Row],[TCL REFERENCE]],FIND(".",PV_DATA[[#This Row],[TCL REFERENCE]],1)-1),"Main Line")</f>
        <v>26Feb017</v>
      </c>
      <c r="D277" s="1136" t="s">
        <v>63</v>
      </c>
      <c r="E277" s="1136" t="s">
        <v>144</v>
      </c>
      <c r="F277" s="1136" t="str" cm="1">
        <f t="array" ref="F27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77" s="1136" t="s">
        <v>402</v>
      </c>
      <c r="H277" s="1136" t="s">
        <v>1381</v>
      </c>
      <c r="I277" s="1136" t="s">
        <v>689</v>
      </c>
      <c r="J277" s="1137" t="s">
        <v>1270</v>
      </c>
      <c r="K277" s="1137" t="s">
        <v>1382</v>
      </c>
      <c r="M277" s="1137" t="s">
        <v>840</v>
      </c>
      <c r="N277" s="1138">
        <v>46076</v>
      </c>
      <c r="O277" s="1137" t="s">
        <v>70</v>
      </c>
      <c r="P277" s="1137" t="s">
        <v>195</v>
      </c>
      <c r="Q277" s="1137" t="s">
        <v>196</v>
      </c>
      <c r="R277" s="1137" t="str">
        <f>_xlfn.XLOOKUP(PV_DATA[[#This Row],[New Ark SKU]],Table9[New Ark SKU],Table9[Connector],,0)</f>
        <v>EVO2A</v>
      </c>
      <c r="S277" s="1139" t="str">
        <f>_xlfn.XLOOKUP(PV_DATA[[#This Row],[New Ark SKU]],Table9[New Ark SKU],Table9[Cable],,0)</f>
        <v>±1200mm</v>
      </c>
      <c r="T277" s="1139">
        <v>450</v>
      </c>
      <c r="U277" s="1140">
        <f>936*5</f>
        <v>4680</v>
      </c>
      <c r="V277" s="1141">
        <f>PV_DATA[[#This Row],[QUANTITY]]*PV_DATA[[#This Row],[WATT]]/1000000</f>
        <v>2.1059999999999999</v>
      </c>
      <c r="W277" s="1142">
        <f>PV_DATA[[#This Row],[QUANTITY]]/PV_DATA[[#This Row],[Qty/Pallet]]</f>
        <v>130</v>
      </c>
      <c r="X277" s="1143">
        <f>PV_DATA[[#This Row],[QUANTITY]]/PV_DATA[[#This Row],[Qty/CT]]</f>
        <v>5</v>
      </c>
      <c r="Y277" s="1137" t="s">
        <v>75</v>
      </c>
      <c r="Z277" s="1137" t="str">
        <f t="shared" si="1"/>
        <v>COMPLETED</v>
      </c>
      <c r="AB277" s="1144">
        <v>46082</v>
      </c>
      <c r="AC277" s="1145">
        <f>IF(PV_DATA[[#This Row],[Pick-Up Date]]&lt;&gt;"",_xlfn.ISOWEEKNUM(PV_DATA[[#This Row],[Pick-Up Date]]),"")</f>
        <v>9</v>
      </c>
      <c r="AD277" s="1136" t="s">
        <v>1383</v>
      </c>
      <c r="AF277" s="1137" t="s">
        <v>77</v>
      </c>
      <c r="AG277" s="1137" t="s">
        <v>61</v>
      </c>
      <c r="AH277" s="1137" t="s">
        <v>105</v>
      </c>
      <c r="AI277" s="1144">
        <v>46088</v>
      </c>
      <c r="AJ277" s="1144">
        <v>46088</v>
      </c>
      <c r="AK277" s="1144">
        <v>46088</v>
      </c>
      <c r="AL277" s="1144">
        <v>46133</v>
      </c>
      <c r="AM277" s="1144">
        <v>46142</v>
      </c>
      <c r="AN277" s="1144">
        <v>46141</v>
      </c>
      <c r="AO277" s="1137" t="s">
        <v>402</v>
      </c>
      <c r="AP277" s="1137" t="s">
        <v>889</v>
      </c>
      <c r="AQ277" s="1137" t="s">
        <v>80</v>
      </c>
      <c r="AR277" s="1137" t="s">
        <v>1384</v>
      </c>
      <c r="AS277" s="1137" t="s">
        <v>1385</v>
      </c>
      <c r="AT277" s="1146" t="s">
        <v>1385</v>
      </c>
      <c r="AU277" s="1137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277" s="1144" cm="1">
        <f t="array" ref="AW27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77" s="113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77" s="1144">
        <f>IF(ISERROR(PV_DATA[[#This Row],[New Ark PO status]]),"",_xlfn.XLOOKUP(PV_DATA[[#This Row],[SPTN-PVHK New Ark PO'#]],New_Ark_Data[Purchase order Number],New_Ark_Data[Estimated time of arrival],"",0))</f>
        <v>46146</v>
      </c>
      <c r="AZ277" s="1139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77" s="1144">
        <f>IFERROR(PV_DATA[[#This Row],[ODP ETA Port]]+PV_DATA[[#This Row],[Customs/Leg3 Assumption]],"n/a")</f>
        <v>46141</v>
      </c>
      <c r="BB277" s="1139">
        <f>YEAR(PV_DATA[[#This Row],[ETA for New Ark update]])</f>
        <v>2026</v>
      </c>
      <c r="BC277" s="1137">
        <f>MONTH(PV_DATA[[#This Row],[ETA for New Ark update]])</f>
        <v>4</v>
      </c>
      <c r="BD277" s="1137">
        <f>IFERROR(_xlfn.ISOWEEKNUM(PV_DATA[[#This Row],[ETA for New Ark update]]),0)</f>
        <v>18</v>
      </c>
      <c r="BE277" s="1137">
        <f>_xlfn.XLOOKUP(PV_DATA[[#This Row],[New Ark SKU]],Table9[New Ark SKU],Table9[Total PCS per Pallet],,0)</f>
        <v>36</v>
      </c>
      <c r="BF277" s="1137">
        <f>_xlfn.XLOOKUP(PV_DATA[[#This Row],[New Ark SKU]],Table9[New Ark SKU],Table9[Total PCS per 40HQ Container],,0)</f>
        <v>936</v>
      </c>
      <c r="BG277" s="1137" t="str">
        <f>_xlfn.XLOOKUP(PV_DATA[[#This Row],[New Ark SKU]],Table9[New Ark SKU],Table9[Back Glass],,0)</f>
        <v>Black glazing</v>
      </c>
      <c r="BH277" s="1137" t="str">
        <f>_xlfn.XLOOKUP(PV_DATA[[#This Row],[PORT DESTINATION]],Table12[PORT DESTINATION],Table12[Cosco Line],,0)</f>
        <v>AEU</v>
      </c>
    </row>
    <row r="278" spans="1:62" ht="10.5" hidden="1">
      <c r="A278" s="462" t="s">
        <v>1390</v>
      </c>
      <c r="B278" s="462" t="s">
        <v>61</v>
      </c>
      <c r="C278" s="462" t="str">
        <f>IFERROR(LEFT(PV_DATA[[#This Row],[TCL REFERENCE]],FIND(".",PV_DATA[[#This Row],[TCL REFERENCE]],1)-1),"Main Line")</f>
        <v>26Mar025</v>
      </c>
      <c r="D278" s="462" t="s">
        <v>113</v>
      </c>
      <c r="E278" s="462" t="s">
        <v>64</v>
      </c>
      <c r="F278" s="462" t="str" cm="1">
        <f t="array" ref="F27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278" s="462" t="s">
        <v>402</v>
      </c>
      <c r="H278" s="462" t="s">
        <v>67</v>
      </c>
      <c r="I278" s="439" t="s">
        <v>822</v>
      </c>
      <c r="J278" s="430" t="s">
        <v>1177</v>
      </c>
      <c r="K278" s="430"/>
      <c r="L278" s="430"/>
      <c r="M278" s="430" t="s">
        <v>68</v>
      </c>
      <c r="N278" s="432">
        <v>46045</v>
      </c>
      <c r="O278" s="430" t="s">
        <v>713</v>
      </c>
      <c r="P278" s="430" t="s">
        <v>714</v>
      </c>
      <c r="Q278" s="430" t="s">
        <v>1173</v>
      </c>
      <c r="R278" s="431" t="str">
        <f>_xlfn.XLOOKUP(PV_DATA[[#This Row],[New Ark SKU]],Table9[New Ark SKU],Table9[Connector],,0)</f>
        <v>EVO2A</v>
      </c>
      <c r="S278" s="442" t="str">
        <f>_xlfn.XLOOKUP(PV_DATA[[#This Row],[New Ark SKU]],Table9[New Ark SKU],Table9[Cable],,0)</f>
        <v>±1600mm</v>
      </c>
      <c r="T278" s="433">
        <v>625</v>
      </c>
      <c r="U278" s="1062">
        <f>576*13</f>
        <v>7488</v>
      </c>
      <c r="V278" s="434">
        <f>PV_DATA[[#This Row],[QUANTITY]]*PV_DATA[[#This Row],[WATT]]/1000000</f>
        <v>4.68</v>
      </c>
      <c r="W278" s="435">
        <f>PV_DATA[[#This Row],[QUANTITY]]/PV_DATA[[#This Row],[Qty/Pallet]]</f>
        <v>208</v>
      </c>
      <c r="X278" s="1015">
        <f>PV_DATA[[#This Row],[QUANTITY]]/PV_DATA[[#This Row],[Qty/CT]]</f>
        <v>13</v>
      </c>
      <c r="Y278" s="430" t="s">
        <v>75</v>
      </c>
      <c r="Z278" s="430" t="str">
        <f t="shared" si="1"/>
        <v>COMPLETED</v>
      </c>
      <c r="AA278" s="430"/>
      <c r="AB278" s="437">
        <v>46086</v>
      </c>
      <c r="AC278" s="438">
        <f>IF(PV_DATA[[#This Row],[Pick-Up Date]]&lt;&gt;"",_xlfn.ISOWEEKNUM(PV_DATA[[#This Row],[Pick-Up Date]]),"")</f>
        <v>10</v>
      </c>
      <c r="AD278" s="439" t="s">
        <v>1391</v>
      </c>
      <c r="AE278" s="430"/>
      <c r="AF278" s="430" t="s">
        <v>77</v>
      </c>
      <c r="AG278" s="430" t="s">
        <v>61</v>
      </c>
      <c r="AH278" s="430" t="s">
        <v>356</v>
      </c>
      <c r="AI278" s="437">
        <v>46091</v>
      </c>
      <c r="AJ278" s="437">
        <v>46091</v>
      </c>
      <c r="AK278" s="441">
        <v>46091</v>
      </c>
      <c r="AL278" s="437">
        <v>46140</v>
      </c>
      <c r="AM278" s="437">
        <v>46140</v>
      </c>
      <c r="AN278" s="437">
        <v>46140</v>
      </c>
      <c r="AO278" s="430" t="s">
        <v>402</v>
      </c>
      <c r="AP278" s="430" t="s">
        <v>1392</v>
      </c>
      <c r="AQ278" s="430" t="s">
        <v>161</v>
      </c>
      <c r="AR278" s="430" t="s">
        <v>1393</v>
      </c>
      <c r="AS278" s="430">
        <v>273285388</v>
      </c>
      <c r="AT278" s="431">
        <v>273285388</v>
      </c>
      <c r="AU27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W278" s="437" cm="1">
        <f t="array" ref="AW27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46140</v>
      </c>
      <c r="AX27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78" s="437">
        <f>IF(ISERROR(PV_DATA[[#This Row],[New Ark PO status]]),"",_xlfn.XLOOKUP(PV_DATA[[#This Row],[SPTN-PVHK New Ark PO'#]],New_Ark_Data[Purchase order Number],New_Ark_Data[Estimated time of arrival],"",0))</f>
        <v>46153</v>
      </c>
      <c r="AZ278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278" s="437">
        <f>IFERROR(PV_DATA[[#This Row],[ODP ETA Port]]+PV_DATA[[#This Row],[Customs/Leg3 Assumption]],"n/a")</f>
        <v>46150</v>
      </c>
      <c r="BB278" s="433">
        <f>YEAR(PV_DATA[[#This Row],[ETA for New Ark update]])</f>
        <v>2026</v>
      </c>
      <c r="BC278" s="430">
        <f>MONTH(PV_DATA[[#This Row],[ETA for New Ark update]])</f>
        <v>5</v>
      </c>
      <c r="BD278" s="430">
        <f>IFERROR(_xlfn.ISOWEEKNUM(PV_DATA[[#This Row],[ETA for New Ark update]]),0)</f>
        <v>19</v>
      </c>
      <c r="BE278" s="431">
        <f>_xlfn.XLOOKUP(PV_DATA[[#This Row],[New Ark SKU]],Table9[New Ark SKU],Table9[Total PCS per Pallet],,0)</f>
        <v>36</v>
      </c>
      <c r="BF278" s="431">
        <f>_xlfn.XLOOKUP(PV_DATA[[#This Row],[New Ark SKU]],Table9[New Ark SKU],Table9[Total PCS per 40HQ Container],,0)</f>
        <v>576</v>
      </c>
      <c r="BG278" s="431" t="str">
        <f>_xlfn.XLOOKUP(PV_DATA[[#This Row],[New Ark SKU]],Table9[New Ark SKU],Table9[Back Glass],,0)</f>
        <v>White glazing</v>
      </c>
      <c r="BH278" s="431" t="str">
        <f>_xlfn.XLOOKUP(PV_DATA[[#This Row],[PORT DESTINATION]],Table12[PORT DESTINATION],Table12[Cosco Line],,0)</f>
        <v>AEU</v>
      </c>
      <c r="BJ278" s="430"/>
    </row>
    <row r="279" spans="1:62" ht="10.5" hidden="1">
      <c r="A279" s="462" t="s">
        <v>1394</v>
      </c>
      <c r="B279" s="462" t="s">
        <v>61</v>
      </c>
      <c r="C279" s="462" t="str">
        <f>IFERROR(LEFT(PV_DATA[[#This Row],[TCL REFERENCE]],FIND(".",PV_DATA[[#This Row],[TCL REFERENCE]],1)-1),"Main Line")</f>
        <v>26JAN005</v>
      </c>
      <c r="D279" s="462" t="s">
        <v>63</v>
      </c>
      <c r="E279" s="462" t="s">
        <v>64</v>
      </c>
      <c r="F279" s="462" t="str" cm="1">
        <f t="array" ref="F27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279" s="462" t="s">
        <v>402</v>
      </c>
      <c r="H279" s="462" t="s">
        <v>67</v>
      </c>
      <c r="I279" s="439" t="s">
        <v>1395</v>
      </c>
      <c r="J279" s="430" t="s">
        <v>96</v>
      </c>
      <c r="K279" s="430"/>
      <c r="L279" s="430"/>
      <c r="M279" s="430" t="s">
        <v>68</v>
      </c>
      <c r="N279" s="432">
        <v>46048</v>
      </c>
      <c r="O279" s="430" t="s">
        <v>70</v>
      </c>
      <c r="P279" s="430" t="s">
        <v>1151</v>
      </c>
      <c r="Q279" s="430" t="s">
        <v>421</v>
      </c>
      <c r="R279" s="431" t="str">
        <f>_xlfn.XLOOKUP(PV_DATA[[#This Row],[New Ark SKU]],Table9[New Ark SKU],Table9[Connector],,0)</f>
        <v>EVO2A</v>
      </c>
      <c r="S279" s="442" t="str">
        <f>_xlfn.XLOOKUP(PV_DATA[[#This Row],[New Ark SKU]],Table9[New Ark SKU],Table9[Cable],,0)</f>
        <v>±1200mm</v>
      </c>
      <c r="T279" s="433">
        <v>505</v>
      </c>
      <c r="U279" s="1062">
        <f>864*5</f>
        <v>4320</v>
      </c>
      <c r="V279" s="434">
        <f>PV_DATA[[#This Row],[QUANTITY]]*PV_DATA[[#This Row],[WATT]]/1000000</f>
        <v>2.1816</v>
      </c>
      <c r="W279" s="435">
        <f>PV_DATA[[#This Row],[QUANTITY]]/PV_DATA[[#This Row],[Qty/Pallet]]</f>
        <v>120</v>
      </c>
      <c r="X279" s="1015">
        <f>PV_DATA[[#This Row],[QUANTITY]]/PV_DATA[[#This Row],[Qty/CT]]</f>
        <v>5</v>
      </c>
      <c r="Y279" s="430" t="s">
        <v>951</v>
      </c>
      <c r="Z279" s="430" t="str">
        <f t="shared" si="1"/>
        <v>COMPLETED</v>
      </c>
      <c r="AA279" s="430"/>
      <c r="AB279" s="437">
        <v>46083</v>
      </c>
      <c r="AC279" s="438">
        <f>IF(PV_DATA[[#This Row],[Pick-Up Date]]&lt;&gt;"",_xlfn.ISOWEEKNUM(PV_DATA[[#This Row],[Pick-Up Date]]),"")</f>
        <v>10</v>
      </c>
      <c r="AD279" s="439" t="s">
        <v>1396</v>
      </c>
      <c r="AE279" s="430"/>
      <c r="AF279" s="430" t="s">
        <v>77</v>
      </c>
      <c r="AG279" s="430" t="s">
        <v>61</v>
      </c>
      <c r="AH279" s="430" t="s">
        <v>78</v>
      </c>
      <c r="AI279" s="437">
        <v>46088</v>
      </c>
      <c r="AJ279" s="437">
        <v>46088</v>
      </c>
      <c r="AK279" s="441">
        <v>46088</v>
      </c>
      <c r="AL279" s="437">
        <v>46153</v>
      </c>
      <c r="AM279" s="437">
        <v>46184</v>
      </c>
      <c r="AN279" s="437">
        <v>46184</v>
      </c>
      <c r="AO279" s="430" t="s">
        <v>402</v>
      </c>
      <c r="AP279" s="430" t="s">
        <v>889</v>
      </c>
      <c r="AQ279" s="430" t="s">
        <v>80</v>
      </c>
      <c r="AR279" s="430" t="s">
        <v>1397</v>
      </c>
      <c r="AS279" s="430" t="s">
        <v>1398</v>
      </c>
      <c r="AT279" s="482" t="s">
        <v>1398</v>
      </c>
      <c r="AU27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96</v>
      </c>
      <c r="AW279" s="437" cm="1">
        <f t="array" ref="AW27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46184</v>
      </c>
      <c r="AX27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79" s="437">
        <f>IF(ISERROR(PV_DATA[[#This Row],[New Ark PO status]]),"",_xlfn.XLOOKUP(PV_DATA[[#This Row],[SPTN-PVHK New Ark PO'#]],New_Ark_Data[Purchase order Number],New_Ark_Data[Estimated time of arrival],"",0))</f>
        <v>46199</v>
      </c>
      <c r="AZ279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279" s="437">
        <f>IFERROR(PV_DATA[[#This Row],[ODP ETA Port]]+PV_DATA[[#This Row],[Customs/Leg3 Assumption]],"n/a")</f>
        <v>46192</v>
      </c>
      <c r="BB279" s="433">
        <f>YEAR(PV_DATA[[#This Row],[ETA for New Ark update]])</f>
        <v>2026</v>
      </c>
      <c r="BC279" s="430">
        <f>MONTH(PV_DATA[[#This Row],[ETA for New Ark update]])</f>
        <v>6</v>
      </c>
      <c r="BD279" s="430">
        <f>IFERROR(_xlfn.ISOWEEKNUM(PV_DATA[[#This Row],[ETA for New Ark update]]),0)</f>
        <v>25</v>
      </c>
      <c r="BE279" s="431">
        <f>_xlfn.XLOOKUP(PV_DATA[[#This Row],[New Ark SKU]],Table9[New Ark SKU],Table9[Total PCS per Pallet],,0)</f>
        <v>36</v>
      </c>
      <c r="BF279" s="431">
        <f>_xlfn.XLOOKUP(PV_DATA[[#This Row],[New Ark SKU]],Table9[New Ark SKU],Table9[Total PCS per 40HQ Container],,0)</f>
        <v>864</v>
      </c>
      <c r="BG279" s="431" t="str">
        <f>_xlfn.XLOOKUP(PV_DATA[[#This Row],[New Ark SKU]],Table9[New Ark SKU],Table9[Back Glass],,0)</f>
        <v>Black glazing</v>
      </c>
      <c r="BH279" s="431" t="str">
        <f>_xlfn.XLOOKUP(PV_DATA[[#This Row],[PORT DESTINATION]],Table12[PORT DESTINATION],Table12[Cosco Line],,0)</f>
        <v>AEM</v>
      </c>
      <c r="BJ279" s="430"/>
    </row>
    <row r="280" spans="1:62" ht="10.5" hidden="1">
      <c r="A280" s="462" t="s">
        <v>1399</v>
      </c>
      <c r="B280" s="462" t="s">
        <v>111</v>
      </c>
      <c r="C280" s="462" t="str">
        <f>IFERROR(LEFT(PV_DATA[[#This Row],[TCL REFERENCE]],FIND(".",PV_DATA[[#This Row],[TCL REFERENCE]],1)-1),"Main Line")</f>
        <v>26Feb004</v>
      </c>
      <c r="D280" s="462" t="s">
        <v>113</v>
      </c>
      <c r="E280" s="462" t="s">
        <v>144</v>
      </c>
      <c r="F280" s="462" t="str" cm="1">
        <f t="array" ref="F28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80" s="462" t="s">
        <v>156</v>
      </c>
      <c r="H280" s="462" t="s">
        <v>68</v>
      </c>
      <c r="I280" s="439" t="s">
        <v>68</v>
      </c>
      <c r="J280" s="430" t="s">
        <v>1401</v>
      </c>
      <c r="K280" s="430" t="s">
        <v>1402</v>
      </c>
      <c r="L280" s="430"/>
      <c r="M280" s="430" t="s">
        <v>68</v>
      </c>
      <c r="N280" s="432">
        <v>46076</v>
      </c>
      <c r="O280" s="430" t="s">
        <v>70</v>
      </c>
      <c r="P280" s="430" t="s">
        <v>329</v>
      </c>
      <c r="Q280" s="430" t="s">
        <v>330</v>
      </c>
      <c r="R280" s="431" t="str">
        <f>_xlfn.XLOOKUP(PV_DATA[[#This Row],[New Ark SKU]],Table9[New Ark SKU],Table9[Connector],,0)</f>
        <v>H4(Com)</v>
      </c>
      <c r="S280" s="442" t="str">
        <f>_xlfn.XLOOKUP(PV_DATA[[#This Row],[New Ark SKU]],Table9[New Ark SKU],Table9[Cable],,0)</f>
        <v>±1400mm</v>
      </c>
      <c r="T280" s="433">
        <v>625</v>
      </c>
      <c r="U280" s="1062">
        <f>720*17</f>
        <v>12240</v>
      </c>
      <c r="V280" s="457">
        <f>PV_DATA[[#This Row],[QUANTITY]]*PV_DATA[[#This Row],[WATT]]/1000000</f>
        <v>7.65</v>
      </c>
      <c r="W280" s="435">
        <f>PV_DATA[[#This Row],[QUANTITY]]/PV_DATA[[#This Row],[Qty/Pallet]]</f>
        <v>340</v>
      </c>
      <c r="X280" s="1015">
        <f>PV_DATA[[#This Row],[QUANTITY]]/PV_DATA[[#This Row],[Qty/CT]]</f>
        <v>17</v>
      </c>
      <c r="Y280" s="430" t="s">
        <v>75</v>
      </c>
      <c r="Z280" s="430" t="str">
        <f t="shared" si="1"/>
        <v>COMPLETED</v>
      </c>
      <c r="AA280" s="430"/>
      <c r="AB280" s="437">
        <v>46089</v>
      </c>
      <c r="AC280" s="438">
        <f>IF(PV_DATA[[#This Row],[Pick-Up Date]]&lt;&gt;"",_xlfn.ISOWEEKNUM(PV_DATA[[#This Row],[Pick-Up Date]]),"")</f>
        <v>10</v>
      </c>
      <c r="AD280" s="439" t="s">
        <v>1403</v>
      </c>
      <c r="AE280" s="430"/>
      <c r="AF280" s="430" t="s">
        <v>122</v>
      </c>
      <c r="AG280" s="430" t="s">
        <v>123</v>
      </c>
      <c r="AH280" s="430" t="s">
        <v>1404</v>
      </c>
      <c r="AI280" s="437">
        <v>46092</v>
      </c>
      <c r="AJ280" s="437">
        <v>46098</v>
      </c>
      <c r="AK280" s="441">
        <v>46098</v>
      </c>
      <c r="AL280" s="437">
        <v>46146</v>
      </c>
      <c r="AM280" s="437">
        <v>46160</v>
      </c>
      <c r="AN280" s="437">
        <v>46158</v>
      </c>
      <c r="AO280" s="430" t="s">
        <v>156</v>
      </c>
      <c r="AP280" s="430" t="s">
        <v>1405</v>
      </c>
      <c r="AQ280" s="430" t="s">
        <v>161</v>
      </c>
      <c r="AR280" s="430" t="s">
        <v>1406</v>
      </c>
      <c r="AS280" s="430" t="s">
        <v>1407</v>
      </c>
      <c r="AT280" s="482" t="s">
        <v>1408</v>
      </c>
      <c r="AU28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</v>
      </c>
      <c r="AW280" s="437" cm="1">
        <f t="array" ref="AW28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46158</v>
      </c>
      <c r="AX28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80" s="437">
        <f>IF(ISERROR(PV_DATA[[#This Row],[New Ark PO status]]),"",_xlfn.XLOOKUP(PV_DATA[[#This Row],[SPTN-PVHK New Ark PO'#]],New_Ark_Data[Purchase order Number],New_Ark_Data[Estimated time of arrival],"",0))</f>
        <v>46160</v>
      </c>
      <c r="AZ280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80" s="437">
        <f>IFERROR(PV_DATA[[#This Row],[ODP ETA Port]]+PV_DATA[[#This Row],[Customs/Leg3 Assumption]],"n/a")</f>
        <v>46158</v>
      </c>
      <c r="BB280" s="433">
        <f>YEAR(PV_DATA[[#This Row],[ETA for New Ark update]])</f>
        <v>2026</v>
      </c>
      <c r="BC280" s="430">
        <f>MONTH(PV_DATA[[#This Row],[ETA for New Ark update]])</f>
        <v>5</v>
      </c>
      <c r="BD280" s="430">
        <f>IFERROR(_xlfn.ISOWEEKNUM(PV_DATA[[#This Row],[ETA for New Ark update]]),0)</f>
        <v>20</v>
      </c>
      <c r="BE280" s="431">
        <f>_xlfn.XLOOKUP(PV_DATA[[#This Row],[New Ark SKU]],Table9[New Ark SKU],Table9[Total PCS per Pallet],,0)</f>
        <v>36</v>
      </c>
      <c r="BF280" s="431">
        <f>_xlfn.XLOOKUP(PV_DATA[[#This Row],[New Ark SKU]],Table9[New Ark SKU],Table9[Total PCS per 40HQ Container],,0)</f>
        <v>720</v>
      </c>
      <c r="BG280" s="431" t="str">
        <f>_xlfn.XLOOKUP(PV_DATA[[#This Row],[New Ark SKU]],Table9[New Ark SKU],Table9[Back Glass],,0)</f>
        <v>Redirection Film</v>
      </c>
      <c r="BH280" s="431" t="str">
        <f>_xlfn.XLOOKUP(PV_DATA[[#This Row],[PORT DESTINATION]],Table12[PORT DESTINATION],Table12[Cosco Line],,0)</f>
        <v>n/a</v>
      </c>
      <c r="BJ280" s="430"/>
    </row>
    <row r="281" spans="1:62" ht="10.5" hidden="1">
      <c r="A281" s="462" t="s">
        <v>1409</v>
      </c>
      <c r="B281" s="462" t="s">
        <v>111</v>
      </c>
      <c r="C281" s="462" t="str">
        <f>IFERROR(LEFT(PV_DATA[[#This Row],[TCL REFERENCE]],FIND(".",PV_DATA[[#This Row],[TCL REFERENCE]],1)-1),"Main Line")</f>
        <v>26Feb003</v>
      </c>
      <c r="D281" s="462" t="s">
        <v>113</v>
      </c>
      <c r="E281" s="462" t="s">
        <v>144</v>
      </c>
      <c r="F281" s="462" t="str" cm="1">
        <f t="array" ref="F28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81" s="462" t="s">
        <v>156</v>
      </c>
      <c r="H281" s="462" t="s">
        <v>68</v>
      </c>
      <c r="I281" s="439" t="s">
        <v>68</v>
      </c>
      <c r="J281" s="430" t="s">
        <v>1401</v>
      </c>
      <c r="K281" s="430" t="s">
        <v>1402</v>
      </c>
      <c r="L281" s="430"/>
      <c r="M281" s="430" t="s">
        <v>68</v>
      </c>
      <c r="N281" s="432">
        <v>46076</v>
      </c>
      <c r="O281" s="430" t="s">
        <v>70</v>
      </c>
      <c r="P281" s="430" t="s">
        <v>585</v>
      </c>
      <c r="Q281" s="430" t="s">
        <v>103</v>
      </c>
      <c r="R281" s="431" t="str">
        <f>_xlfn.XLOOKUP(PV_DATA[[#This Row],[New Ark SKU]],Table9[New Ark SKU],Table9[Connector],,0)</f>
        <v>H4(Com)</v>
      </c>
      <c r="S281" s="442" t="str">
        <f>_xlfn.XLOOKUP(PV_DATA[[#This Row],[New Ark SKU]],Table9[New Ark SKU],Table9[Cable],,0)</f>
        <v>±1400mm</v>
      </c>
      <c r="T281" s="433">
        <v>620</v>
      </c>
      <c r="U281" s="1062">
        <f>720*17</f>
        <v>12240</v>
      </c>
      <c r="V281" s="457">
        <f>PV_DATA[[#This Row],[QUANTITY]]*PV_DATA[[#This Row],[WATT]]/1000000</f>
        <v>7.5888</v>
      </c>
      <c r="W281" s="435">
        <f>PV_DATA[[#This Row],[QUANTITY]]/PV_DATA[[#This Row],[Qty/Pallet]]</f>
        <v>340</v>
      </c>
      <c r="X281" s="1015">
        <f>PV_DATA[[#This Row],[QUANTITY]]/PV_DATA[[#This Row],[Qty/CT]]</f>
        <v>17</v>
      </c>
      <c r="Y281" s="430" t="s">
        <v>75</v>
      </c>
      <c r="Z281" s="430" t="str">
        <f t="shared" si="1"/>
        <v>COMPLETED</v>
      </c>
      <c r="AA281" s="430"/>
      <c r="AB281" s="437">
        <v>46087</v>
      </c>
      <c r="AC281" s="438">
        <f>IF(PV_DATA[[#This Row],[Pick-Up Date]]&lt;&gt;"",_xlfn.ISOWEEKNUM(PV_DATA[[#This Row],[Pick-Up Date]]),"")</f>
        <v>10</v>
      </c>
      <c r="AD281" s="439" t="s">
        <v>1411</v>
      </c>
      <c r="AE281" s="430"/>
      <c r="AF281" s="430" t="s">
        <v>122</v>
      </c>
      <c r="AG281" s="430" t="s">
        <v>123</v>
      </c>
      <c r="AH281" s="430" t="s">
        <v>1404</v>
      </c>
      <c r="AI281" s="437">
        <v>46092</v>
      </c>
      <c r="AJ281" s="437">
        <v>46098</v>
      </c>
      <c r="AK281" s="441">
        <v>46098</v>
      </c>
      <c r="AL281" s="437">
        <v>46146</v>
      </c>
      <c r="AM281" s="437">
        <v>46160</v>
      </c>
      <c r="AN281" s="437">
        <v>46160</v>
      </c>
      <c r="AO281" s="430" t="s">
        <v>156</v>
      </c>
      <c r="AP281" s="430" t="s">
        <v>1405</v>
      </c>
      <c r="AQ281" s="430" t="s">
        <v>161</v>
      </c>
      <c r="AR281" s="430" t="s">
        <v>1412</v>
      </c>
      <c r="AS281" s="430" t="s">
        <v>1413</v>
      </c>
      <c r="AT281" s="482" t="s">
        <v>1414</v>
      </c>
      <c r="AU28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62</v>
      </c>
      <c r="AW281" s="437" cm="1">
        <f t="array" ref="AW28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46160</v>
      </c>
      <c r="AX28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81" s="437">
        <f>IF(ISERROR(PV_DATA[[#This Row],[New Ark PO status]]),"",_xlfn.XLOOKUP(PV_DATA[[#This Row],[SPTN-PVHK New Ark PO'#]],New_Ark_Data[Purchase order Number],New_Ark_Data[Estimated time of arrival],"",0))</f>
        <v>46160</v>
      </c>
      <c r="AZ281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81" s="437">
        <f>IFERROR(PV_DATA[[#This Row],[ODP ETA Port]]+PV_DATA[[#This Row],[Customs/Leg3 Assumption]],"n/a")</f>
        <v>46160</v>
      </c>
      <c r="BB281" s="433">
        <f>YEAR(PV_DATA[[#This Row],[ETA for New Ark update]])</f>
        <v>2026</v>
      </c>
      <c r="BC281" s="430">
        <f>MONTH(PV_DATA[[#This Row],[ETA for New Ark update]])</f>
        <v>5</v>
      </c>
      <c r="BD281" s="430">
        <f>IFERROR(_xlfn.ISOWEEKNUM(PV_DATA[[#This Row],[ETA for New Ark update]]),0)</f>
        <v>21</v>
      </c>
      <c r="BE281" s="431">
        <f>_xlfn.XLOOKUP(PV_DATA[[#This Row],[New Ark SKU]],Table9[New Ark SKU],Table9[Total PCS per Pallet],,0)</f>
        <v>36</v>
      </c>
      <c r="BF281" s="431">
        <f>_xlfn.XLOOKUP(PV_DATA[[#This Row],[New Ark SKU]],Table9[New Ark SKU],Table9[Total PCS per 40HQ Container],,0)</f>
        <v>720</v>
      </c>
      <c r="BG281" s="431" t="str">
        <f>_xlfn.XLOOKUP(PV_DATA[[#This Row],[New Ark SKU]],Table9[New Ark SKU],Table9[Back Glass],,0)</f>
        <v>Redirection Film</v>
      </c>
      <c r="BH281" s="431" t="str">
        <f>_xlfn.XLOOKUP(PV_DATA[[#This Row],[PORT DESTINATION]],Table12[PORT DESTINATION],Table12[Cosco Line],,0)</f>
        <v>n/a</v>
      </c>
      <c r="BJ281" s="430"/>
    </row>
    <row r="282" spans="1:62" ht="10.5" hidden="1">
      <c r="A282" s="462" t="s">
        <v>1415</v>
      </c>
      <c r="B282" s="462" t="s">
        <v>111</v>
      </c>
      <c r="C282" s="462" t="str">
        <f>IFERROR(LEFT(PV_DATA[[#This Row],[TCL REFERENCE]],FIND(".",PV_DATA[[#This Row],[TCL REFERENCE]],1)-1),"Main Line")</f>
        <v>26Feb004</v>
      </c>
      <c r="D282" s="462" t="s">
        <v>113</v>
      </c>
      <c r="E282" s="462" t="s">
        <v>144</v>
      </c>
      <c r="F282" s="462" t="str" cm="1">
        <f t="array" ref="F28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82" s="462" t="s">
        <v>156</v>
      </c>
      <c r="H282" s="462" t="s">
        <v>68</v>
      </c>
      <c r="I282" s="439" t="s">
        <v>68</v>
      </c>
      <c r="J282" s="430" t="s">
        <v>1401</v>
      </c>
      <c r="K282" s="430" t="s">
        <v>1402</v>
      </c>
      <c r="L282" s="430"/>
      <c r="M282" s="430" t="s">
        <v>68</v>
      </c>
      <c r="N282" s="432">
        <v>46076</v>
      </c>
      <c r="O282" s="430" t="s">
        <v>70</v>
      </c>
      <c r="P282" s="430" t="s">
        <v>329</v>
      </c>
      <c r="Q282" s="430" t="s">
        <v>330</v>
      </c>
      <c r="R282" s="431" t="str">
        <f>_xlfn.XLOOKUP(PV_DATA[[#This Row],[New Ark SKU]],Table9[New Ark SKU],Table9[Connector],,0)</f>
        <v>H4(Com)</v>
      </c>
      <c r="S282" s="442" t="str">
        <f>_xlfn.XLOOKUP(PV_DATA[[#This Row],[New Ark SKU]],Table9[New Ark SKU],Table9[Cable],,0)</f>
        <v>±1400mm</v>
      </c>
      <c r="T282" s="433">
        <v>625</v>
      </c>
      <c r="U282" s="1062">
        <f>720*17</f>
        <v>12240</v>
      </c>
      <c r="V282" s="457">
        <f>PV_DATA[[#This Row],[QUANTITY]]*PV_DATA[[#This Row],[WATT]]/1000000</f>
        <v>7.65</v>
      </c>
      <c r="W282" s="435">
        <f>PV_DATA[[#This Row],[QUANTITY]]/PV_DATA[[#This Row],[Qty/Pallet]]</f>
        <v>340</v>
      </c>
      <c r="X282" s="1015">
        <f>PV_DATA[[#This Row],[QUANTITY]]/PV_DATA[[#This Row],[Qty/CT]]</f>
        <v>17</v>
      </c>
      <c r="Y282" s="430" t="s">
        <v>75</v>
      </c>
      <c r="Z282" s="430" t="str">
        <f t="shared" si="1"/>
        <v>COMPLETED</v>
      </c>
      <c r="AA282" s="430"/>
      <c r="AB282" s="437">
        <v>46094</v>
      </c>
      <c r="AC282" s="438">
        <f>IF(PV_DATA[[#This Row],[Pick-Up Date]]&lt;&gt;"",_xlfn.ISOWEEKNUM(PV_DATA[[#This Row],[Pick-Up Date]]),"")</f>
        <v>11</v>
      </c>
      <c r="AD282" s="439" t="s">
        <v>1416</v>
      </c>
      <c r="AE282" s="430"/>
      <c r="AF282" s="430" t="s">
        <v>122</v>
      </c>
      <c r="AG282" s="430" t="s">
        <v>123</v>
      </c>
      <c r="AH282" s="430" t="s">
        <v>1404</v>
      </c>
      <c r="AI282" s="437">
        <v>46099</v>
      </c>
      <c r="AJ282" s="437">
        <v>46101</v>
      </c>
      <c r="AK282" s="441">
        <v>46105</v>
      </c>
      <c r="AL282" s="437">
        <v>46154</v>
      </c>
      <c r="AM282" s="437">
        <v>46172</v>
      </c>
      <c r="AN282" s="437">
        <v>46172</v>
      </c>
      <c r="AO282" s="430" t="s">
        <v>156</v>
      </c>
      <c r="AP282" s="430" t="s">
        <v>1417</v>
      </c>
      <c r="AQ282" s="430" t="s">
        <v>161</v>
      </c>
      <c r="AR282" s="430" t="s">
        <v>1418</v>
      </c>
      <c r="AS282" s="430" t="s">
        <v>1419</v>
      </c>
      <c r="AT282" s="482" t="s">
        <v>1420</v>
      </c>
      <c r="AU28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67</v>
      </c>
      <c r="AW282" s="437" cm="1">
        <f t="array" ref="AW28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46172</v>
      </c>
      <c r="AX28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82" s="437">
        <f>IF(ISERROR(PV_DATA[[#This Row],[New Ark PO status]]),"",_xlfn.XLOOKUP(PV_DATA[[#This Row],[SPTN-PVHK New Ark PO'#]],New_Ark_Data[Purchase order Number],New_Ark_Data[Estimated time of arrival],"",0))</f>
        <v>46168</v>
      </c>
      <c r="AZ282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82" s="437">
        <f>IFERROR(PV_DATA[[#This Row],[ODP ETA Port]]+PV_DATA[[#This Row],[Customs/Leg3 Assumption]],"n/a")</f>
        <v>46172</v>
      </c>
      <c r="BB282" s="433">
        <f>YEAR(PV_DATA[[#This Row],[ETA for New Ark update]])</f>
        <v>2026</v>
      </c>
      <c r="BC282" s="430">
        <f>MONTH(PV_DATA[[#This Row],[ETA for New Ark update]])</f>
        <v>5</v>
      </c>
      <c r="BD282" s="430">
        <f>IFERROR(_xlfn.ISOWEEKNUM(PV_DATA[[#This Row],[ETA for New Ark update]]),0)</f>
        <v>22</v>
      </c>
      <c r="BE282" s="431">
        <f>_xlfn.XLOOKUP(PV_DATA[[#This Row],[New Ark SKU]],Table9[New Ark SKU],Table9[Total PCS per Pallet],,0)</f>
        <v>36</v>
      </c>
      <c r="BF282" s="431">
        <f>_xlfn.XLOOKUP(PV_DATA[[#This Row],[New Ark SKU]],Table9[New Ark SKU],Table9[Total PCS per 40HQ Container],,0)</f>
        <v>720</v>
      </c>
      <c r="BG282" s="431" t="str">
        <f>_xlfn.XLOOKUP(PV_DATA[[#This Row],[New Ark SKU]],Table9[New Ark SKU],Table9[Back Glass],,0)</f>
        <v>Redirection Film</v>
      </c>
      <c r="BH282" s="431" t="str">
        <f>_xlfn.XLOOKUP(PV_DATA[[#This Row],[PORT DESTINATION]],Table12[PORT DESTINATION],Table12[Cosco Line],,0)</f>
        <v>n/a</v>
      </c>
      <c r="BJ282" s="430"/>
    </row>
    <row r="283" spans="1:62" ht="10.5" hidden="1">
      <c r="A283" s="462" t="s">
        <v>1421</v>
      </c>
      <c r="B283" s="462" t="s">
        <v>111</v>
      </c>
      <c r="C283" s="462" t="str">
        <f>IFERROR(LEFT(PV_DATA[[#This Row],[TCL REFERENCE]],FIND(".",PV_DATA[[#This Row],[TCL REFERENCE]],1)-1),"Main Line")</f>
        <v>26Feb003</v>
      </c>
      <c r="D283" s="462" t="s">
        <v>113</v>
      </c>
      <c r="E283" s="462" t="s">
        <v>144</v>
      </c>
      <c r="F283" s="462" t="str" cm="1">
        <f t="array" ref="F28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83" s="462" t="s">
        <v>156</v>
      </c>
      <c r="H283" s="462" t="s">
        <v>68</v>
      </c>
      <c r="I283" s="439" t="s">
        <v>68</v>
      </c>
      <c r="J283" s="430" t="s">
        <v>1401</v>
      </c>
      <c r="K283" s="430" t="s">
        <v>1402</v>
      </c>
      <c r="L283" s="430"/>
      <c r="M283" s="430" t="s">
        <v>68</v>
      </c>
      <c r="N283" s="432">
        <v>46076</v>
      </c>
      <c r="O283" s="430" t="s">
        <v>70</v>
      </c>
      <c r="P283" s="430" t="s">
        <v>585</v>
      </c>
      <c r="Q283" s="430" t="s">
        <v>103</v>
      </c>
      <c r="R283" s="431" t="str">
        <f>_xlfn.XLOOKUP(PV_DATA[[#This Row],[New Ark SKU]],Table9[New Ark SKU],Table9[Connector],,0)</f>
        <v>H4(Com)</v>
      </c>
      <c r="S283" s="442" t="str">
        <f>_xlfn.XLOOKUP(PV_DATA[[#This Row],[New Ark SKU]],Table9[New Ark SKU],Table9[Cable],,0)</f>
        <v>±1400mm</v>
      </c>
      <c r="T283" s="433">
        <v>620</v>
      </c>
      <c r="U283" s="1062">
        <f>720*17</f>
        <v>12240</v>
      </c>
      <c r="V283" s="457">
        <f>PV_DATA[[#This Row],[QUANTITY]]*PV_DATA[[#This Row],[WATT]]/1000000</f>
        <v>7.5888</v>
      </c>
      <c r="W283" s="435">
        <f>PV_DATA[[#This Row],[QUANTITY]]/PV_DATA[[#This Row],[Qty/Pallet]]</f>
        <v>340</v>
      </c>
      <c r="X283" s="1015">
        <f>PV_DATA[[#This Row],[QUANTITY]]/PV_DATA[[#This Row],[Qty/CT]]</f>
        <v>17</v>
      </c>
      <c r="Y283" s="430" t="s">
        <v>75</v>
      </c>
      <c r="Z283" s="430" t="str">
        <f t="shared" si="1"/>
        <v>COMPLETED</v>
      </c>
      <c r="AA283" s="430"/>
      <c r="AB283" s="437">
        <v>46095</v>
      </c>
      <c r="AC283" s="438">
        <f>IF(PV_DATA[[#This Row],[Pick-Up Date]]&lt;&gt;"",_xlfn.ISOWEEKNUM(PV_DATA[[#This Row],[Pick-Up Date]]),"")</f>
        <v>11</v>
      </c>
      <c r="AD283" s="439" t="s">
        <v>1422</v>
      </c>
      <c r="AE283" s="430"/>
      <c r="AF283" s="430" t="s">
        <v>122</v>
      </c>
      <c r="AG283" s="430" t="s">
        <v>123</v>
      </c>
      <c r="AH283" s="430" t="s">
        <v>1404</v>
      </c>
      <c r="AI283" s="437">
        <v>46099</v>
      </c>
      <c r="AJ283" s="437">
        <v>46101</v>
      </c>
      <c r="AK283" s="441">
        <v>46105</v>
      </c>
      <c r="AL283" s="437">
        <v>46154</v>
      </c>
      <c r="AM283" s="437">
        <v>46172</v>
      </c>
      <c r="AN283" s="437">
        <v>46172</v>
      </c>
      <c r="AO283" s="430" t="s">
        <v>156</v>
      </c>
      <c r="AP283" s="430" t="s">
        <v>1417</v>
      </c>
      <c r="AQ283" s="430" t="s">
        <v>161</v>
      </c>
      <c r="AR283" s="430" t="s">
        <v>1423</v>
      </c>
      <c r="AS283" s="430" t="s">
        <v>1424</v>
      </c>
      <c r="AT283" s="482" t="s">
        <v>1425</v>
      </c>
      <c r="AU28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67</v>
      </c>
      <c r="AW283" s="437" cm="1">
        <f t="array" ref="AW28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46172</v>
      </c>
      <c r="AX28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83" s="437">
        <f>IF(ISERROR(PV_DATA[[#This Row],[New Ark PO status]]),"",_xlfn.XLOOKUP(PV_DATA[[#This Row],[SPTN-PVHK New Ark PO'#]],New_Ark_Data[Purchase order Number],New_Ark_Data[Estimated time of arrival],"",0))</f>
        <v>46168</v>
      </c>
      <c r="AZ283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83" s="437">
        <f>IFERROR(PV_DATA[[#This Row],[ODP ETA Port]]+PV_DATA[[#This Row],[Customs/Leg3 Assumption]],"n/a")</f>
        <v>46172</v>
      </c>
      <c r="BB283" s="433">
        <f>YEAR(PV_DATA[[#This Row],[ETA for New Ark update]])</f>
        <v>2026</v>
      </c>
      <c r="BC283" s="430">
        <f>MONTH(PV_DATA[[#This Row],[ETA for New Ark update]])</f>
        <v>5</v>
      </c>
      <c r="BD283" s="430">
        <f>IFERROR(_xlfn.ISOWEEKNUM(PV_DATA[[#This Row],[ETA for New Ark update]]),0)</f>
        <v>22</v>
      </c>
      <c r="BE283" s="431">
        <f>_xlfn.XLOOKUP(PV_DATA[[#This Row],[New Ark SKU]],Table9[New Ark SKU],Table9[Total PCS per Pallet],,0)</f>
        <v>36</v>
      </c>
      <c r="BF283" s="431">
        <f>_xlfn.XLOOKUP(PV_DATA[[#This Row],[New Ark SKU]],Table9[New Ark SKU],Table9[Total PCS per 40HQ Container],,0)</f>
        <v>720</v>
      </c>
      <c r="BG283" s="431" t="str">
        <f>_xlfn.XLOOKUP(PV_DATA[[#This Row],[New Ark SKU]],Table9[New Ark SKU],Table9[Back Glass],,0)</f>
        <v>Redirection Film</v>
      </c>
      <c r="BH283" s="431" t="str">
        <f>_xlfn.XLOOKUP(PV_DATA[[#This Row],[PORT DESTINATION]],Table12[PORT DESTINATION],Table12[Cosco Line],,0)</f>
        <v>n/a</v>
      </c>
      <c r="BJ283" s="430"/>
    </row>
    <row r="284" spans="1:62" ht="10.5" hidden="1">
      <c r="A284" s="462" t="s">
        <v>1426</v>
      </c>
      <c r="B284" s="462" t="s">
        <v>111</v>
      </c>
      <c r="C284" s="462" t="str">
        <f>IFERROR(LEFT(PV_DATA[[#This Row],[TCL REFERENCE]],FIND(".",PV_DATA[[#This Row],[TCL REFERENCE]],1)-1),"Main Line")</f>
        <v>26JAN001</v>
      </c>
      <c r="D284" s="462" t="s">
        <v>113</v>
      </c>
      <c r="E284" s="462" t="s">
        <v>64</v>
      </c>
      <c r="F284" s="462" t="str" cm="1">
        <f t="array" ref="F28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284" s="462" t="s">
        <v>402</v>
      </c>
      <c r="H284" s="462" t="s">
        <v>67</v>
      </c>
      <c r="I284" s="439" t="s">
        <v>822</v>
      </c>
      <c r="J284" s="430" t="s">
        <v>1428</v>
      </c>
      <c r="K284" s="430" t="s">
        <v>328</v>
      </c>
      <c r="L284" s="430"/>
      <c r="M284" s="430" t="s">
        <v>68</v>
      </c>
      <c r="N284" s="432">
        <v>46045</v>
      </c>
      <c r="O284" s="430" t="s">
        <v>713</v>
      </c>
      <c r="P284" s="430" t="s">
        <v>1429</v>
      </c>
      <c r="Q284" s="430" t="s">
        <v>1430</v>
      </c>
      <c r="R284" s="431" t="str">
        <f>_xlfn.XLOOKUP(PV_DATA[[#This Row],[New Ark SKU]],Table9[New Ark SKU],Table9[Connector],,0)</f>
        <v>EVO2A</v>
      </c>
      <c r="S284" s="442" t="str">
        <f>_xlfn.XLOOKUP(PV_DATA[[#This Row],[New Ark SKU]],Table9[New Ark SKU],Table9[Cable],,0)</f>
        <v>±1500mm</v>
      </c>
      <c r="T284" s="433">
        <v>620</v>
      </c>
      <c r="U284" s="1062">
        <f>4176+72</f>
        <v>4248</v>
      </c>
      <c r="V284" s="434">
        <f>PV_DATA[[#This Row],[QUANTITY]]*PV_DATA[[#This Row],[WATT]]/1000000</f>
        <v>2.6337600000000001</v>
      </c>
      <c r="W284" s="435">
        <f>PV_DATA[[#This Row],[QUANTITY]]/PV_DATA[[#This Row],[Qty/Pallet]]</f>
        <v>118</v>
      </c>
      <c r="X284" s="1015">
        <f>PV_DATA[[#This Row],[QUANTITY]]/PV_DATA[[#This Row],[Qty/CT]]</f>
        <v>5.9</v>
      </c>
      <c r="Y284" s="430" t="s">
        <v>75</v>
      </c>
      <c r="Z284" s="430" t="str">
        <f t="shared" si="1"/>
        <v>COMPLETED</v>
      </c>
      <c r="AA284" s="430"/>
      <c r="AB284" s="437">
        <v>46087</v>
      </c>
      <c r="AC284" s="438">
        <f>IF(PV_DATA[[#This Row],[Pick-Up Date]]&lt;&gt;"",_xlfn.ISOWEEKNUM(PV_DATA[[#This Row],[Pick-Up Date]]),"")</f>
        <v>10</v>
      </c>
      <c r="AD284" s="439" t="s">
        <v>1431</v>
      </c>
      <c r="AE284" s="430"/>
      <c r="AF284" s="430" t="s">
        <v>122</v>
      </c>
      <c r="AG284" s="430" t="s">
        <v>123</v>
      </c>
      <c r="AH284" s="430" t="s">
        <v>356</v>
      </c>
      <c r="AI284" s="437">
        <v>46096</v>
      </c>
      <c r="AJ284" s="437">
        <v>46103</v>
      </c>
      <c r="AK284" s="441">
        <v>46101</v>
      </c>
      <c r="AL284" s="437">
        <v>46133</v>
      </c>
      <c r="AM284" s="437">
        <v>46139</v>
      </c>
      <c r="AN284" s="437">
        <v>46141</v>
      </c>
      <c r="AO284" s="430" t="s">
        <v>402</v>
      </c>
      <c r="AP284" s="430" t="s">
        <v>1432</v>
      </c>
      <c r="AQ284" s="430" t="s">
        <v>161</v>
      </c>
      <c r="AR284" s="430" t="s">
        <v>1433</v>
      </c>
      <c r="AS284" s="430" t="s">
        <v>1434</v>
      </c>
      <c r="AT284" s="482" t="s">
        <v>1434</v>
      </c>
      <c r="AU28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W284" s="437" cm="1">
        <f t="array" ref="AW28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8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84" s="437">
        <f>IF(ISERROR(PV_DATA[[#This Row],[New Ark PO status]]),"",_xlfn.XLOOKUP(PV_DATA[[#This Row],[SPTN-PVHK New Ark PO'#]],New_Ark_Data[Purchase order Number],New_Ark_Data[Estimated time of arrival],"",0))</f>
        <v>46153</v>
      </c>
      <c r="AZ284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284" s="437">
        <f>IFERROR(PV_DATA[[#This Row],[ODP ETA Port]]+PV_DATA[[#This Row],[Customs/Leg3 Assumption]],"n/a")</f>
        <v>46151</v>
      </c>
      <c r="BB284" s="433">
        <f>YEAR(PV_DATA[[#This Row],[ETA for New Ark update]])</f>
        <v>2026</v>
      </c>
      <c r="BC284" s="430">
        <f>MONTH(PV_DATA[[#This Row],[ETA for New Ark update]])</f>
        <v>5</v>
      </c>
      <c r="BD284" s="430">
        <f>IFERROR(_xlfn.ISOWEEKNUM(PV_DATA[[#This Row],[ETA for New Ark update]]),0)</f>
        <v>19</v>
      </c>
      <c r="BE284" s="431">
        <f>_xlfn.XLOOKUP(PV_DATA[[#This Row],[New Ark SKU]],Table9[New Ark SKU],Table9[Total PCS per Pallet],,0)</f>
        <v>36</v>
      </c>
      <c r="BF284" s="431">
        <f>_xlfn.XLOOKUP(PV_DATA[[#This Row],[New Ark SKU]],Table9[New Ark SKU],Table9[Total PCS per 40HQ Container],,0)</f>
        <v>720</v>
      </c>
      <c r="BG284" s="431" t="str">
        <f>_xlfn.XLOOKUP(PV_DATA[[#This Row],[New Ark SKU]],Table9[New Ark SKU],Table9[Back Glass],,0)</f>
        <v>White glazing</v>
      </c>
      <c r="BH284" s="431" t="str">
        <f>_xlfn.XLOOKUP(PV_DATA[[#This Row],[PORT DESTINATION]],Table12[PORT DESTINATION],Table12[Cosco Line],,0)</f>
        <v>AEU</v>
      </c>
      <c r="BJ284" s="430"/>
    </row>
    <row r="285" spans="1:62" ht="10.5" hidden="1">
      <c r="A285" s="462" t="s">
        <v>1435</v>
      </c>
      <c r="B285" s="462" t="s">
        <v>111</v>
      </c>
      <c r="C285" s="462" t="str">
        <f>IFERROR(LEFT(PV_DATA[[#This Row],[TCL REFERENCE]],FIND(".",PV_DATA[[#This Row],[TCL REFERENCE]],1)-1),"Main Line")</f>
        <v>26JAN001</v>
      </c>
      <c r="D285" s="462" t="s">
        <v>113</v>
      </c>
      <c r="E285" s="462" t="s">
        <v>64</v>
      </c>
      <c r="F285" s="462" t="str" cm="1">
        <f t="array" ref="F28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285" s="462" t="s">
        <v>402</v>
      </c>
      <c r="H285" s="462" t="s">
        <v>67</v>
      </c>
      <c r="I285" s="439" t="s">
        <v>822</v>
      </c>
      <c r="J285" s="430" t="s">
        <v>1428</v>
      </c>
      <c r="K285" s="430" t="s">
        <v>328</v>
      </c>
      <c r="L285" s="430"/>
      <c r="M285" s="430" t="s">
        <v>68</v>
      </c>
      <c r="N285" s="432">
        <v>46045</v>
      </c>
      <c r="O285" s="430" t="s">
        <v>713</v>
      </c>
      <c r="P285" s="430" t="s">
        <v>1429</v>
      </c>
      <c r="Q285" s="430" t="s">
        <v>1430</v>
      </c>
      <c r="R285" s="431" t="str">
        <f>_xlfn.XLOOKUP(PV_DATA[[#This Row],[New Ark SKU]],Table9[New Ark SKU],Table9[Connector],,0)</f>
        <v>EVO2A</v>
      </c>
      <c r="S285" s="442" t="str">
        <f>_xlfn.XLOOKUP(PV_DATA[[#This Row],[New Ark SKU]],Table9[New Ark SKU],Table9[Cable],,0)</f>
        <v>±1500mm</v>
      </c>
      <c r="T285" s="433">
        <v>620</v>
      </c>
      <c r="U285" s="1062">
        <f>4032-72</f>
        <v>3960</v>
      </c>
      <c r="V285" s="434">
        <f>PV_DATA[[#This Row],[QUANTITY]]*PV_DATA[[#This Row],[WATT]]/1000000</f>
        <v>2.4552</v>
      </c>
      <c r="W285" s="435">
        <f>PV_DATA[[#This Row],[QUANTITY]]/PV_DATA[[#This Row],[Qty/Pallet]]</f>
        <v>110</v>
      </c>
      <c r="X285" s="1015">
        <f>PV_DATA[[#This Row],[QUANTITY]]/PV_DATA[[#This Row],[Qty/CT]]</f>
        <v>5.5</v>
      </c>
      <c r="Y285" s="430" t="s">
        <v>75</v>
      </c>
      <c r="Z285" s="430" t="str">
        <f t="shared" si="1"/>
        <v>COMPLETED</v>
      </c>
      <c r="AA285" s="430"/>
      <c r="AB285" s="437">
        <v>46087</v>
      </c>
      <c r="AC285" s="438">
        <f>IF(PV_DATA[[#This Row],[Pick-Up Date]]&lt;&gt;"",_xlfn.ISOWEEKNUM(PV_DATA[[#This Row],[Pick-Up Date]]),"")</f>
        <v>10</v>
      </c>
      <c r="AD285" s="439" t="s">
        <v>1436</v>
      </c>
      <c r="AE285" s="430"/>
      <c r="AF285" s="430" t="s">
        <v>122</v>
      </c>
      <c r="AG285" s="430" t="s">
        <v>123</v>
      </c>
      <c r="AH285" s="430" t="s">
        <v>356</v>
      </c>
      <c r="AI285" s="437">
        <v>46096</v>
      </c>
      <c r="AJ285" s="437">
        <v>46103</v>
      </c>
      <c r="AK285" s="441">
        <v>46101</v>
      </c>
      <c r="AL285" s="437">
        <v>46133</v>
      </c>
      <c r="AM285" s="437">
        <v>46139</v>
      </c>
      <c r="AN285" s="437">
        <v>46141</v>
      </c>
      <c r="AO285" s="430" t="s">
        <v>402</v>
      </c>
      <c r="AP285" s="430" t="s">
        <v>1432</v>
      </c>
      <c r="AQ285" s="430" t="s">
        <v>161</v>
      </c>
      <c r="AR285" s="430" t="s">
        <v>1433</v>
      </c>
      <c r="AS285" s="430" t="s">
        <v>1434</v>
      </c>
      <c r="AT285" s="482" t="s">
        <v>1434</v>
      </c>
      <c r="AU28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W285" s="437" cm="1">
        <f t="array" ref="AW28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8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85" s="437">
        <f>IF(ISERROR(PV_DATA[[#This Row],[New Ark PO status]]),"",_xlfn.XLOOKUP(PV_DATA[[#This Row],[SPTN-PVHK New Ark PO'#]],New_Ark_Data[Purchase order Number],New_Ark_Data[Estimated time of arrival],"",0))</f>
        <v>46153</v>
      </c>
      <c r="AZ285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285" s="437">
        <f>IFERROR(PV_DATA[[#This Row],[ODP ETA Port]]+PV_DATA[[#This Row],[Customs/Leg3 Assumption]],"n/a")</f>
        <v>46151</v>
      </c>
      <c r="BB285" s="433">
        <f>YEAR(PV_DATA[[#This Row],[ETA for New Ark update]])</f>
        <v>2026</v>
      </c>
      <c r="BC285" s="430">
        <f>MONTH(PV_DATA[[#This Row],[ETA for New Ark update]])</f>
        <v>5</v>
      </c>
      <c r="BD285" s="430">
        <f>IFERROR(_xlfn.ISOWEEKNUM(PV_DATA[[#This Row],[ETA for New Ark update]]),0)</f>
        <v>19</v>
      </c>
      <c r="BE285" s="431">
        <f>_xlfn.XLOOKUP(PV_DATA[[#This Row],[New Ark SKU]],Table9[New Ark SKU],Table9[Total PCS per Pallet],,0)</f>
        <v>36</v>
      </c>
      <c r="BF285" s="431">
        <f>_xlfn.XLOOKUP(PV_DATA[[#This Row],[New Ark SKU]],Table9[New Ark SKU],Table9[Total PCS per 40HQ Container],,0)</f>
        <v>720</v>
      </c>
      <c r="BG285" s="431" t="str">
        <f>_xlfn.XLOOKUP(PV_DATA[[#This Row],[New Ark SKU]],Table9[New Ark SKU],Table9[Back Glass],,0)</f>
        <v>White glazing</v>
      </c>
      <c r="BH285" s="431" t="str">
        <f>_xlfn.XLOOKUP(PV_DATA[[#This Row],[PORT DESTINATION]],Table12[PORT DESTINATION],Table12[Cosco Line],,0)</f>
        <v>AEU</v>
      </c>
      <c r="BJ285" s="430"/>
    </row>
    <row r="286" spans="1:62" ht="10.5" hidden="1">
      <c r="A286" s="462" t="s">
        <v>1437</v>
      </c>
      <c r="B286" s="462" t="s">
        <v>111</v>
      </c>
      <c r="C286" s="462" t="str">
        <f>IFERROR(LEFT(PV_DATA[[#This Row],[TCL REFERENCE]],FIND(".",PV_DATA[[#This Row],[TCL REFERENCE]],1)-1),"Main Line")</f>
        <v>26Mar026</v>
      </c>
      <c r="D286" s="462" t="s">
        <v>113</v>
      </c>
      <c r="E286" s="462" t="s">
        <v>64</v>
      </c>
      <c r="F286" s="462" t="str" cm="1">
        <f t="array" ref="F28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286" s="462" t="s">
        <v>402</v>
      </c>
      <c r="H286" s="462" t="s">
        <v>67</v>
      </c>
      <c r="I286" s="439" t="s">
        <v>822</v>
      </c>
      <c r="J286" s="430" t="s">
        <v>1184</v>
      </c>
      <c r="K286" s="430" t="s">
        <v>328</v>
      </c>
      <c r="L286" s="430"/>
      <c r="M286" s="430" t="s">
        <v>68</v>
      </c>
      <c r="N286" s="432">
        <v>46045</v>
      </c>
      <c r="O286" s="430" t="s">
        <v>713</v>
      </c>
      <c r="P286" s="430" t="s">
        <v>1185</v>
      </c>
      <c r="Q286" s="430" t="s">
        <v>1186</v>
      </c>
      <c r="R286" s="431" t="str">
        <f>_xlfn.XLOOKUP(PV_DATA[[#This Row],[New Ark SKU]],Table9[New Ark SKU],Table9[Connector],,0)</f>
        <v>EVO2A</v>
      </c>
      <c r="S286" s="442" t="str">
        <f>_xlfn.XLOOKUP(PV_DATA[[#This Row],[New Ark SKU]],Table9[New Ark SKU],Table9[Cable],,0)</f>
        <v>±1500mm</v>
      </c>
      <c r="T286" s="433">
        <v>615</v>
      </c>
      <c r="U286" s="1062">
        <f>3168+72</f>
        <v>3240</v>
      </c>
      <c r="V286" s="434">
        <f>PV_DATA[[#This Row],[QUANTITY]]*PV_DATA[[#This Row],[WATT]]/1000000</f>
        <v>1.9925999999999999</v>
      </c>
      <c r="W286" s="435">
        <f>PV_DATA[[#This Row],[QUANTITY]]/PV_DATA[[#This Row],[Qty/Pallet]]</f>
        <v>90</v>
      </c>
      <c r="X286" s="1015">
        <f>PV_DATA[[#This Row],[QUANTITY]]/PV_DATA[[#This Row],[Qty/CT]]</f>
        <v>4.5</v>
      </c>
      <c r="Y286" s="430" t="s">
        <v>75</v>
      </c>
      <c r="Z286" s="430" t="str">
        <f t="shared" si="1"/>
        <v>COMPLETED</v>
      </c>
      <c r="AA286" s="430"/>
      <c r="AB286" s="437">
        <v>46087</v>
      </c>
      <c r="AC286" s="438">
        <f>IF(PV_DATA[[#This Row],[Pick-Up Date]]&lt;&gt;"",_xlfn.ISOWEEKNUM(PV_DATA[[#This Row],[Pick-Up Date]]),"")</f>
        <v>10</v>
      </c>
      <c r="AD286" s="439" t="s">
        <v>1438</v>
      </c>
      <c r="AE286" s="430"/>
      <c r="AF286" s="430" t="s">
        <v>122</v>
      </c>
      <c r="AG286" s="430" t="s">
        <v>123</v>
      </c>
      <c r="AH286" s="430" t="s">
        <v>356</v>
      </c>
      <c r="AI286" s="437">
        <v>46096</v>
      </c>
      <c r="AJ286" s="437">
        <v>46103</v>
      </c>
      <c r="AK286" s="441">
        <v>46101</v>
      </c>
      <c r="AL286" s="437">
        <v>46133</v>
      </c>
      <c r="AM286" s="437">
        <v>46139</v>
      </c>
      <c r="AN286" s="437">
        <v>46141</v>
      </c>
      <c r="AO286" s="430" t="s">
        <v>402</v>
      </c>
      <c r="AP286" s="430" t="s">
        <v>1432</v>
      </c>
      <c r="AQ286" s="430" t="s">
        <v>161</v>
      </c>
      <c r="AR286" s="430" t="s">
        <v>1433</v>
      </c>
      <c r="AS286" s="430" t="s">
        <v>1434</v>
      </c>
      <c r="AT286" s="482" t="s">
        <v>1434</v>
      </c>
      <c r="AU28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W286" s="437" cm="1">
        <f t="array" ref="AW28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46141</v>
      </c>
      <c r="AX28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86" s="437">
        <f>IF(ISERROR(PV_DATA[[#This Row],[New Ark PO status]]),"",_xlfn.XLOOKUP(PV_DATA[[#This Row],[SPTN-PVHK New Ark PO'#]],New_Ark_Data[Purchase order Number],New_Ark_Data[Estimated time of arrival],"",0))</f>
        <v>46153</v>
      </c>
      <c r="AZ286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286" s="437">
        <f>IFERROR(PV_DATA[[#This Row],[ODP ETA Port]]+PV_DATA[[#This Row],[Customs/Leg3 Assumption]],"n/a")</f>
        <v>46151</v>
      </c>
      <c r="BB286" s="433">
        <f>YEAR(PV_DATA[[#This Row],[ETA for New Ark update]])</f>
        <v>2026</v>
      </c>
      <c r="BC286" s="430">
        <f>MONTH(PV_DATA[[#This Row],[ETA for New Ark update]])</f>
        <v>5</v>
      </c>
      <c r="BD286" s="430">
        <f>IFERROR(_xlfn.ISOWEEKNUM(PV_DATA[[#This Row],[ETA for New Ark update]]),0)</f>
        <v>19</v>
      </c>
      <c r="BE286" s="431">
        <f>_xlfn.XLOOKUP(PV_DATA[[#This Row],[New Ark SKU]],Table9[New Ark SKU],Table9[Total PCS per Pallet],,0)</f>
        <v>36</v>
      </c>
      <c r="BF286" s="431">
        <f>_xlfn.XLOOKUP(PV_DATA[[#This Row],[New Ark SKU]],Table9[New Ark SKU],Table9[Total PCS per 40HQ Container],,0)</f>
        <v>720</v>
      </c>
      <c r="BG286" s="431" t="str">
        <f>_xlfn.XLOOKUP(PV_DATA[[#This Row],[New Ark SKU]],Table9[New Ark SKU],Table9[Back Glass],,0)</f>
        <v>White glazing</v>
      </c>
      <c r="BH286" s="431" t="str">
        <f>_xlfn.XLOOKUP(PV_DATA[[#This Row],[PORT DESTINATION]],Table12[PORT DESTINATION],Table12[Cosco Line],,0)</f>
        <v>AEU</v>
      </c>
      <c r="BJ286" s="430"/>
    </row>
    <row r="287" spans="1:62" s="431" customFormat="1" ht="10.5" hidden="1">
      <c r="A287" s="462" t="s">
        <v>1439</v>
      </c>
      <c r="B287" s="462" t="s">
        <v>111</v>
      </c>
      <c r="C287" s="462" t="str">
        <f>IFERROR(LEFT(PV_DATA[[#This Row],[TCL REFERENCE]],FIND(".",PV_DATA[[#This Row],[TCL REFERENCE]],1)-1),"Main Line")</f>
        <v>Main Line</v>
      </c>
      <c r="D287" s="462" t="s">
        <v>113</v>
      </c>
      <c r="E287" s="462" t="s">
        <v>64</v>
      </c>
      <c r="F287" s="462" t="str" cm="1">
        <f t="array" ref="F28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87" s="462" t="s">
        <v>402</v>
      </c>
      <c r="H287" s="462" t="s">
        <v>67</v>
      </c>
      <c r="I287" s="439" t="s">
        <v>689</v>
      </c>
      <c r="J287" s="430" t="s">
        <v>1440</v>
      </c>
      <c r="K287" s="430"/>
      <c r="L287" s="430"/>
      <c r="M287" s="430" t="s">
        <v>68</v>
      </c>
      <c r="N287" s="432">
        <v>46045</v>
      </c>
      <c r="O287" s="430" t="s">
        <v>713</v>
      </c>
      <c r="P287" s="430" t="s">
        <v>1185</v>
      </c>
      <c r="Q287" s="430" t="s">
        <v>1186</v>
      </c>
      <c r="R287" s="431" t="str">
        <f>_xlfn.XLOOKUP(PV_DATA[[#This Row],[New Ark SKU]],Table9[New Ark SKU],Table9[Connector],,0)</f>
        <v>EVO2A</v>
      </c>
      <c r="S287" s="442" t="str">
        <f>_xlfn.XLOOKUP(PV_DATA[[#This Row],[New Ark SKU]],Table9[New Ark SKU],Table9[Cable],,0)</f>
        <v>±1500mm</v>
      </c>
      <c r="T287" s="433">
        <v>615</v>
      </c>
      <c r="U287" s="1062">
        <v>3852</v>
      </c>
      <c r="V287" s="434">
        <f>PV_DATA[[#This Row],[QUANTITY]]*PV_DATA[[#This Row],[WATT]]/1000000</f>
        <v>2.3689800000000001</v>
      </c>
      <c r="W287" s="435">
        <f>PV_DATA[[#This Row],[QUANTITY]]/PV_DATA[[#This Row],[Qty/Pallet]]</f>
        <v>107</v>
      </c>
      <c r="X287" s="1015">
        <f>PV_DATA[[#This Row],[QUANTITY]]/PV_DATA[[#This Row],[Qty/CT]]</f>
        <v>5.35</v>
      </c>
      <c r="Y287" s="430" t="s">
        <v>75</v>
      </c>
      <c r="Z287" s="430" t="str">
        <f t="shared" si="1"/>
        <v>COMPLETED</v>
      </c>
      <c r="AA287" s="430"/>
      <c r="AB287" s="437">
        <v>46085</v>
      </c>
      <c r="AC287" s="438">
        <f>IF(PV_DATA[[#This Row],[Pick-Up Date]]&lt;&gt;"",_xlfn.ISOWEEKNUM(PV_DATA[[#This Row],[Pick-Up Date]]),"")</f>
        <v>10</v>
      </c>
      <c r="AD287" s="439" t="s">
        <v>1441</v>
      </c>
      <c r="AE287" s="430"/>
      <c r="AF287" s="430" t="s">
        <v>122</v>
      </c>
      <c r="AG287" s="430" t="s">
        <v>123</v>
      </c>
      <c r="AH287" s="430" t="s">
        <v>105</v>
      </c>
      <c r="AI287" s="437">
        <v>46096</v>
      </c>
      <c r="AJ287" s="437">
        <v>46103</v>
      </c>
      <c r="AK287" s="441">
        <v>46103</v>
      </c>
      <c r="AL287" s="437">
        <v>46133</v>
      </c>
      <c r="AM287" s="437">
        <v>46150</v>
      </c>
      <c r="AN287" s="437">
        <v>46148</v>
      </c>
      <c r="AO287" s="430" t="s">
        <v>402</v>
      </c>
      <c r="AP287" s="430" t="s">
        <v>889</v>
      </c>
      <c r="AQ287" s="430" t="s">
        <v>80</v>
      </c>
      <c r="AR287" s="430" t="s">
        <v>1442</v>
      </c>
      <c r="AS287" s="430" t="s">
        <v>1443</v>
      </c>
      <c r="AT287" s="482" t="s">
        <v>1443</v>
      </c>
      <c r="AU28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V287" s="430"/>
      <c r="AW287" s="437" cm="1">
        <f t="array" ref="AW28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28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87" s="437">
        <f>IF(ISERROR(PV_DATA[[#This Row],[New Ark PO status]]),"",_xlfn.XLOOKUP(PV_DATA[[#This Row],[SPTN-PVHK New Ark PO'#]],New_Ark_Data[Purchase order Number],New_Ark_Data[Estimated time of arrival],"",0))</f>
        <v>46164</v>
      </c>
      <c r="AZ287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87" s="437">
        <f>IFERROR(PV_DATA[[#This Row],[ODP ETA Port]]+PV_DATA[[#This Row],[Customs/Leg3 Assumption]],"n/a")</f>
        <v>46155</v>
      </c>
      <c r="BB287" s="433">
        <f>YEAR(PV_DATA[[#This Row],[ETA for New Ark update]])</f>
        <v>2026</v>
      </c>
      <c r="BC287" s="430">
        <f>MONTH(PV_DATA[[#This Row],[ETA for New Ark update]])</f>
        <v>5</v>
      </c>
      <c r="BD287" s="430">
        <f>IFERROR(_xlfn.ISOWEEKNUM(PV_DATA[[#This Row],[ETA for New Ark update]]),0)</f>
        <v>20</v>
      </c>
      <c r="BE287" s="431">
        <f>_xlfn.XLOOKUP(PV_DATA[[#This Row],[New Ark SKU]],Table9[New Ark SKU],Table9[Total PCS per Pallet],,0)</f>
        <v>36</v>
      </c>
      <c r="BF287" s="431">
        <f>_xlfn.XLOOKUP(PV_DATA[[#This Row],[New Ark SKU]],Table9[New Ark SKU],Table9[Total PCS per 40HQ Container],,0)</f>
        <v>720</v>
      </c>
      <c r="BG287" s="431" t="str">
        <f>_xlfn.XLOOKUP(PV_DATA[[#This Row],[New Ark SKU]],Table9[New Ark SKU],Table9[Back Glass],,0)</f>
        <v>White glazing</v>
      </c>
      <c r="BH287" s="431" t="str">
        <f>_xlfn.XLOOKUP(PV_DATA[[#This Row],[PORT DESTINATION]],Table12[PORT DESTINATION],Table12[Cosco Line],,0)</f>
        <v>AEU</v>
      </c>
    </row>
    <row r="288" spans="1:62" s="431" customFormat="1" ht="10.5" hidden="1">
      <c r="A288" s="462" t="s">
        <v>1444</v>
      </c>
      <c r="B288" s="462" t="s">
        <v>111</v>
      </c>
      <c r="C288" s="462" t="str">
        <f>IFERROR(LEFT(PV_DATA[[#This Row],[TCL REFERENCE]],FIND(".",PV_DATA[[#This Row],[TCL REFERENCE]],1)-1),"Main Line")</f>
        <v>26Mar021</v>
      </c>
      <c r="D288" s="462" t="s">
        <v>113</v>
      </c>
      <c r="E288" s="462" t="s">
        <v>64</v>
      </c>
      <c r="F288" s="462" t="str" cm="1">
        <f t="array" ref="F28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88" s="462" t="s">
        <v>402</v>
      </c>
      <c r="H288" s="462" t="s">
        <v>67</v>
      </c>
      <c r="I288" s="439" t="s">
        <v>689</v>
      </c>
      <c r="J288" s="430" t="s">
        <v>1446</v>
      </c>
      <c r="K288" s="430"/>
      <c r="L288" s="430"/>
      <c r="M288" s="430" t="s">
        <v>68</v>
      </c>
      <c r="N288" s="432">
        <v>46045</v>
      </c>
      <c r="O288" s="430" t="s">
        <v>713</v>
      </c>
      <c r="P288" s="430" t="s">
        <v>1429</v>
      </c>
      <c r="Q288" s="430" t="s">
        <v>1430</v>
      </c>
      <c r="R288" s="431" t="str">
        <f>_xlfn.XLOOKUP(PV_DATA[[#This Row],[New Ark SKU]],Table9[New Ark SKU],Table9[Connector],,0)</f>
        <v>EVO2A</v>
      </c>
      <c r="S288" s="442" t="str">
        <f>_xlfn.XLOOKUP(PV_DATA[[#This Row],[New Ark SKU]],Table9[New Ark SKU],Table9[Cable],,0)</f>
        <v>±1500mm</v>
      </c>
      <c r="T288" s="433">
        <v>620</v>
      </c>
      <c r="U288" s="1062">
        <f>3420-72</f>
        <v>3348</v>
      </c>
      <c r="V288" s="434">
        <f>PV_DATA[[#This Row],[QUANTITY]]*PV_DATA[[#This Row],[WATT]]/1000000</f>
        <v>2.0757599999999998</v>
      </c>
      <c r="W288" s="435">
        <f>PV_DATA[[#This Row],[QUANTITY]]/PV_DATA[[#This Row],[Qty/Pallet]]</f>
        <v>93</v>
      </c>
      <c r="X288" s="1015">
        <f>PV_DATA[[#This Row],[QUANTITY]]/PV_DATA[[#This Row],[Qty/CT]]</f>
        <v>4.6500000000000004</v>
      </c>
      <c r="Y288" s="430" t="s">
        <v>75</v>
      </c>
      <c r="Z288" s="430" t="str">
        <f t="shared" si="1"/>
        <v>COMPLETED</v>
      </c>
      <c r="AA288" s="430"/>
      <c r="AB288" s="437">
        <v>46085</v>
      </c>
      <c r="AC288" s="438">
        <f>IF(PV_DATA[[#This Row],[Pick-Up Date]]&lt;&gt;"",_xlfn.ISOWEEKNUM(PV_DATA[[#This Row],[Pick-Up Date]]),"")</f>
        <v>10</v>
      </c>
      <c r="AD288" s="439" t="s">
        <v>1447</v>
      </c>
      <c r="AE288" s="430"/>
      <c r="AF288" s="430" t="s">
        <v>122</v>
      </c>
      <c r="AG288" s="430" t="s">
        <v>123</v>
      </c>
      <c r="AH288" s="430" t="s">
        <v>105</v>
      </c>
      <c r="AI288" s="437">
        <v>46096</v>
      </c>
      <c r="AJ288" s="437">
        <v>46103</v>
      </c>
      <c r="AK288" s="441">
        <v>46103</v>
      </c>
      <c r="AL288" s="437">
        <v>46133</v>
      </c>
      <c r="AM288" s="437">
        <v>46150</v>
      </c>
      <c r="AN288" s="437">
        <v>46148</v>
      </c>
      <c r="AO288" s="430" t="s">
        <v>402</v>
      </c>
      <c r="AP288" s="430" t="s">
        <v>889</v>
      </c>
      <c r="AQ288" s="430" t="s">
        <v>80</v>
      </c>
      <c r="AR288" s="430" t="s">
        <v>1442</v>
      </c>
      <c r="AS288" s="430" t="s">
        <v>1443</v>
      </c>
      <c r="AT288" s="482" t="s">
        <v>1443</v>
      </c>
      <c r="AU28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V288" s="430"/>
      <c r="AW288" s="437" cm="1">
        <f t="array" ref="AW28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28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88" s="437">
        <f>IF(ISERROR(PV_DATA[[#This Row],[New Ark PO status]]),"",_xlfn.XLOOKUP(PV_DATA[[#This Row],[SPTN-PVHK New Ark PO'#]],New_Ark_Data[Purchase order Number],New_Ark_Data[Estimated time of arrival],"",0))</f>
        <v>46164</v>
      </c>
      <c r="AZ288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88" s="437">
        <f>IFERROR(PV_DATA[[#This Row],[ODP ETA Port]]+PV_DATA[[#This Row],[Customs/Leg3 Assumption]],"n/a")</f>
        <v>46155</v>
      </c>
      <c r="BB288" s="433">
        <f>YEAR(PV_DATA[[#This Row],[ETA for New Ark update]])</f>
        <v>2026</v>
      </c>
      <c r="BC288" s="430">
        <f>MONTH(PV_DATA[[#This Row],[ETA for New Ark update]])</f>
        <v>5</v>
      </c>
      <c r="BD288" s="430">
        <f>IFERROR(_xlfn.ISOWEEKNUM(PV_DATA[[#This Row],[ETA for New Ark update]]),0)</f>
        <v>20</v>
      </c>
      <c r="BE288" s="431">
        <f>_xlfn.XLOOKUP(PV_DATA[[#This Row],[New Ark SKU]],Table9[New Ark SKU],Table9[Total PCS per Pallet],,0)</f>
        <v>36</v>
      </c>
      <c r="BF288" s="431">
        <f>_xlfn.XLOOKUP(PV_DATA[[#This Row],[New Ark SKU]],Table9[New Ark SKU],Table9[Total PCS per 40HQ Container],,0)</f>
        <v>720</v>
      </c>
      <c r="BG288" s="431" t="str">
        <f>_xlfn.XLOOKUP(PV_DATA[[#This Row],[New Ark SKU]],Table9[New Ark SKU],Table9[Back Glass],,0)</f>
        <v>White glazing</v>
      </c>
      <c r="BH288" s="431" t="str">
        <f>_xlfn.XLOOKUP(PV_DATA[[#This Row],[PORT DESTINATION]],Table12[PORT DESTINATION],Table12[Cosco Line],,0)</f>
        <v>AEU</v>
      </c>
    </row>
    <row r="289" spans="1:62" ht="10.5" hidden="1">
      <c r="A289" s="462" t="s">
        <v>1448</v>
      </c>
      <c r="B289" s="462" t="s">
        <v>111</v>
      </c>
      <c r="C289" s="462" t="str">
        <f>IFERROR(LEFT(PV_DATA[[#This Row],[TCL REFERENCE]],FIND(".",PV_DATA[[#This Row],[TCL REFERENCE]],1)-1),"Main Line")</f>
        <v>26Feb010</v>
      </c>
      <c r="D289" s="462" t="s">
        <v>63</v>
      </c>
      <c r="E289" s="462" t="s">
        <v>144</v>
      </c>
      <c r="F289" s="462" t="str" cm="1">
        <f t="array" ref="F28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89" s="462" t="s">
        <v>402</v>
      </c>
      <c r="H289" s="712" t="s">
        <v>1449</v>
      </c>
      <c r="I289" s="462" t="s">
        <v>689</v>
      </c>
      <c r="J289" s="430" t="s">
        <v>1450</v>
      </c>
      <c r="K289" s="437" t="s">
        <v>1451</v>
      </c>
      <c r="L289" s="450">
        <v>6</v>
      </c>
      <c r="M289" s="430" t="s">
        <v>840</v>
      </c>
      <c r="N289" s="437">
        <v>46076</v>
      </c>
      <c r="O289" s="436" t="s">
        <v>132</v>
      </c>
      <c r="P289" s="430" t="s">
        <v>1062</v>
      </c>
      <c r="Q289" s="430" t="s">
        <v>1063</v>
      </c>
      <c r="R289" s="431" t="str">
        <f>_xlfn.XLOOKUP(PV_DATA[[#This Row],[New Ark SKU]],Table9[New Ark SKU],Table9[Connector],,0)</f>
        <v>EVO2A</v>
      </c>
      <c r="S289" s="442" t="str">
        <f>_xlfn.XLOOKUP(PV_DATA[[#This Row],[New Ark SKU]],Table9[New Ark SKU],Table9[Cable],,0)</f>
        <v>±1200mm</v>
      </c>
      <c r="T289" s="430">
        <v>470</v>
      </c>
      <c r="U289" s="1064">
        <f>864*3</f>
        <v>2592</v>
      </c>
      <c r="V289" s="458">
        <f>PV_DATA[[#This Row],[QUANTITY]]*PV_DATA[[#This Row],[WATT]]/1000000</f>
        <v>1.21824</v>
      </c>
      <c r="W289" s="430">
        <f>PV_DATA[[#This Row],[QUANTITY]]/PV_DATA[[#This Row],[Qty/Pallet]]</f>
        <v>72</v>
      </c>
      <c r="X289" s="1030">
        <f>PV_DATA[[#This Row],[QUANTITY]]/PV_DATA[[#This Row],[Qty/CT]]</f>
        <v>3</v>
      </c>
      <c r="Y289" s="430" t="s">
        <v>75</v>
      </c>
      <c r="Z289" s="430" t="str">
        <f t="shared" si="1"/>
        <v>COMPLETED</v>
      </c>
      <c r="AA289" s="437"/>
      <c r="AB289" s="437">
        <v>46086</v>
      </c>
      <c r="AC289" s="431">
        <f>IF(PV_DATA[[#This Row],[Pick-Up Date]]&lt;&gt;"",_xlfn.ISOWEEKNUM(PV_DATA[[#This Row],[Pick-Up Date]]),"")</f>
        <v>10</v>
      </c>
      <c r="AD289" s="437" t="s">
        <v>1452</v>
      </c>
      <c r="AE289" s="437"/>
      <c r="AF289" s="437" t="s">
        <v>122</v>
      </c>
      <c r="AG289" s="437" t="s">
        <v>123</v>
      </c>
      <c r="AH289" s="430" t="s">
        <v>105</v>
      </c>
      <c r="AI289" s="437">
        <v>46096</v>
      </c>
      <c r="AJ289" s="437">
        <v>46103</v>
      </c>
      <c r="AK289" s="437">
        <v>46103</v>
      </c>
      <c r="AL289" s="437">
        <v>46133</v>
      </c>
      <c r="AM289" s="437">
        <v>46150</v>
      </c>
      <c r="AN289" s="437">
        <v>46148</v>
      </c>
      <c r="AO289" s="430" t="s">
        <v>402</v>
      </c>
      <c r="AP289" s="430" t="s">
        <v>889</v>
      </c>
      <c r="AQ289" s="437" t="s">
        <v>80</v>
      </c>
      <c r="AR289" s="437" t="s">
        <v>1453</v>
      </c>
      <c r="AS289" s="430" t="s">
        <v>1454</v>
      </c>
      <c r="AT289" s="482" t="s">
        <v>1443</v>
      </c>
      <c r="AU28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289" s="437" cm="1">
        <f t="array" ref="AW28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28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89" s="441">
        <f>IF(ISERROR(PV_DATA[[#This Row],[New Ark PO status]]),"",_xlfn.XLOOKUP(PV_DATA[[#This Row],[SPTN-PVHK New Ark PO'#]],New_Ark_Data[Purchase order Number],New_Ark_Data[Estimated time of arrival],"",0))</f>
        <v>46139</v>
      </c>
      <c r="AZ289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89" s="437">
        <f>IFERROR(PV_DATA[[#This Row],[ODP ETA Port]]+PV_DATA[[#This Row],[Customs/Leg3 Assumption]],"n/a")</f>
        <v>46148</v>
      </c>
      <c r="BB289" s="442">
        <f>YEAR(PV_DATA[[#This Row],[ETA for New Ark update]])</f>
        <v>2026</v>
      </c>
      <c r="BC289" s="431">
        <f>MONTH(PV_DATA[[#This Row],[ETA for New Ark update]])</f>
        <v>5</v>
      </c>
      <c r="BD289" s="430">
        <f>IFERROR(_xlfn.ISOWEEKNUM(PV_DATA[[#This Row],[ETA for New Ark update]]),0)</f>
        <v>19</v>
      </c>
      <c r="BE289" s="431">
        <f>_xlfn.XLOOKUP(PV_DATA[[#This Row],[New Ark SKU]],Table9[New Ark SKU],Table9[Total PCS per Pallet],,0)</f>
        <v>36</v>
      </c>
      <c r="BF289" s="431">
        <f>_xlfn.XLOOKUP(PV_DATA[[#This Row],[New Ark SKU]],Table9[New Ark SKU],Table9[Total PCS per 40HQ Container],,0)</f>
        <v>864</v>
      </c>
      <c r="BG289" s="431" t="str">
        <f>_xlfn.XLOOKUP(PV_DATA[[#This Row],[New Ark SKU]],Table9[New Ark SKU],Table9[Back Glass],,0)</f>
        <v>White glazing</v>
      </c>
      <c r="BH289" s="431" t="str">
        <f>_xlfn.XLOOKUP(PV_DATA[[#This Row],[PORT DESTINATION]],Table12[PORT DESTINATION],Table12[Cosco Line],,0)</f>
        <v>AEU</v>
      </c>
      <c r="BJ289" s="430"/>
    </row>
    <row r="290" spans="1:62" ht="10.5" hidden="1">
      <c r="A290" s="462" t="s">
        <v>1455</v>
      </c>
      <c r="B290" s="713" t="s">
        <v>111</v>
      </c>
      <c r="C290" s="713" t="str">
        <f>IFERROR(LEFT(PV_DATA[[#This Row],[TCL REFERENCE]],FIND(".",PV_DATA[[#This Row],[TCL REFERENCE]],1)-1),"Main Line")</f>
        <v>26Feb010</v>
      </c>
      <c r="D290" s="713" t="s">
        <v>63</v>
      </c>
      <c r="E290" s="462" t="s">
        <v>144</v>
      </c>
      <c r="F290" s="462" t="str" cm="1">
        <f t="array" ref="F29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290" s="462" t="s">
        <v>402</v>
      </c>
      <c r="H290" s="462" t="s">
        <v>1449</v>
      </c>
      <c r="I290" s="462" t="s">
        <v>689</v>
      </c>
      <c r="J290" s="430" t="s">
        <v>1450</v>
      </c>
      <c r="K290" s="437" t="s">
        <v>1451</v>
      </c>
      <c r="L290" s="450">
        <v>7</v>
      </c>
      <c r="M290" s="430" t="s">
        <v>840</v>
      </c>
      <c r="N290" s="437">
        <v>46076</v>
      </c>
      <c r="O290" s="437" t="s">
        <v>132</v>
      </c>
      <c r="P290" s="430" t="s">
        <v>1062</v>
      </c>
      <c r="Q290" s="430" t="s">
        <v>1063</v>
      </c>
      <c r="R290" s="431" t="str">
        <f>_xlfn.XLOOKUP(PV_DATA[[#This Row],[New Ark SKU]],Table9[New Ark SKU],Table9[Connector],,0)</f>
        <v>EVO2A</v>
      </c>
      <c r="S290" s="442" t="str">
        <f>_xlfn.XLOOKUP(PV_DATA[[#This Row],[New Ark SKU]],Table9[New Ark SKU],Table9[Cable],,0)</f>
        <v>±1200mm</v>
      </c>
      <c r="T290" s="430">
        <v>470</v>
      </c>
      <c r="U290" s="1064">
        <f>864*2</f>
        <v>1728</v>
      </c>
      <c r="V290" s="458">
        <f>PV_DATA[[#This Row],[QUANTITY]]*PV_DATA[[#This Row],[WATT]]/1000000</f>
        <v>0.81215999999999999</v>
      </c>
      <c r="W290" s="430">
        <f>PV_DATA[[#This Row],[QUANTITY]]/PV_DATA[[#This Row],[Qty/Pallet]]</f>
        <v>48</v>
      </c>
      <c r="X290" s="1023">
        <f>PV_DATA[[#This Row],[QUANTITY]]/PV_DATA[[#This Row],[Qty/CT]]</f>
        <v>2</v>
      </c>
      <c r="Y290" s="430" t="s">
        <v>75</v>
      </c>
      <c r="Z290" s="430" t="str">
        <f t="shared" si="1"/>
        <v>COMPLETED</v>
      </c>
      <c r="AA290" s="431" t="s">
        <v>1456</v>
      </c>
      <c r="AB290" s="437">
        <v>46086</v>
      </c>
      <c r="AC290" s="430">
        <f>IF(PV_DATA[[#This Row],[Pick-Up Date]]&lt;&gt;"",_xlfn.ISOWEEKNUM(PV_DATA[[#This Row],[Pick-Up Date]]),"")</f>
        <v>10</v>
      </c>
      <c r="AD290" s="430" t="s">
        <v>1457</v>
      </c>
      <c r="AE290" s="430"/>
      <c r="AF290" s="430" t="s">
        <v>122</v>
      </c>
      <c r="AG290" s="430" t="s">
        <v>123</v>
      </c>
      <c r="AH290" s="430" t="s">
        <v>105</v>
      </c>
      <c r="AI290" s="437">
        <v>46096</v>
      </c>
      <c r="AJ290" s="437">
        <v>46103</v>
      </c>
      <c r="AK290" s="437">
        <v>46103</v>
      </c>
      <c r="AL290" s="437">
        <v>46133</v>
      </c>
      <c r="AM290" s="437">
        <v>46150</v>
      </c>
      <c r="AN290" s="437">
        <v>46148</v>
      </c>
      <c r="AO290" s="430" t="s">
        <v>402</v>
      </c>
      <c r="AP290" s="430" t="s">
        <v>889</v>
      </c>
      <c r="AQ290" s="430" t="s">
        <v>80</v>
      </c>
      <c r="AR290" s="430" t="s">
        <v>1453</v>
      </c>
      <c r="AS290" s="430" t="s">
        <v>1454</v>
      </c>
      <c r="AT290" s="482" t="s">
        <v>1443</v>
      </c>
      <c r="AU29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290" s="437" cm="1">
        <f t="array" ref="AW29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29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90" s="437">
        <f>IF(ISERROR(PV_DATA[[#This Row],[New Ark PO status]]),"",_xlfn.XLOOKUP(PV_DATA[[#This Row],[SPTN-PVHK New Ark PO'#]],New_Ark_Data[Purchase order Number],New_Ark_Data[Estimated time of arrival],"",0))</f>
        <v>46164</v>
      </c>
      <c r="AZ290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290" s="437">
        <f>IFERROR(PV_DATA[[#This Row],[ODP ETA Port]]+PV_DATA[[#This Row],[Customs/Leg3 Assumption]],"n/a")</f>
        <v>46148</v>
      </c>
      <c r="BB290" s="433">
        <f>YEAR(PV_DATA[[#This Row],[ETA for New Ark update]])</f>
        <v>2026</v>
      </c>
      <c r="BC290" s="430">
        <f>MONTH(PV_DATA[[#This Row],[ETA for New Ark update]])</f>
        <v>5</v>
      </c>
      <c r="BD290" s="430">
        <f>IFERROR(_xlfn.ISOWEEKNUM(PV_DATA[[#This Row],[ETA for New Ark update]]),0)</f>
        <v>19</v>
      </c>
      <c r="BE290" s="431">
        <f>_xlfn.XLOOKUP(PV_DATA[[#This Row],[New Ark SKU]],Table9[New Ark SKU],Table9[Total PCS per Pallet],,0)</f>
        <v>36</v>
      </c>
      <c r="BF290" s="431">
        <f>_xlfn.XLOOKUP(PV_DATA[[#This Row],[New Ark SKU]],Table9[New Ark SKU],Table9[Total PCS per 40HQ Container],,0)</f>
        <v>864</v>
      </c>
      <c r="BG290" s="431" t="str">
        <f>_xlfn.XLOOKUP(PV_DATA[[#This Row],[New Ark SKU]],Table9[New Ark SKU],Table9[Back Glass],,0)</f>
        <v>White glazing</v>
      </c>
      <c r="BH290" s="431" t="str">
        <f>_xlfn.XLOOKUP(PV_DATA[[#This Row],[PORT DESTINATION]],Table12[PORT DESTINATION],Table12[Cosco Line],,0)</f>
        <v>AEU</v>
      </c>
      <c r="BJ290" s="430"/>
    </row>
    <row r="291" spans="1:62" ht="10.5" hidden="1">
      <c r="A291" s="462" t="s">
        <v>1458</v>
      </c>
      <c r="B291" s="462" t="s">
        <v>111</v>
      </c>
      <c r="C291" s="462" t="str">
        <f>IFERROR(LEFT(PV_DATA[[#This Row],[TCL REFERENCE]],FIND(".",PV_DATA[[#This Row],[TCL REFERENCE]],1)-1),"Main Line")</f>
        <v>26Feb025</v>
      </c>
      <c r="D291" s="462" t="s">
        <v>63</v>
      </c>
      <c r="E291" s="462" t="s">
        <v>64</v>
      </c>
      <c r="F291" s="462" t="str" cm="1">
        <f t="array" ref="F29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91" s="462" t="s">
        <v>402</v>
      </c>
      <c r="H291" s="462" t="s">
        <v>67</v>
      </c>
      <c r="I291" s="439" t="s">
        <v>689</v>
      </c>
      <c r="J291" s="430" t="s">
        <v>1460</v>
      </c>
      <c r="K291" s="430"/>
      <c r="L291" s="430"/>
      <c r="M291" s="430" t="s">
        <v>68</v>
      </c>
      <c r="N291" s="432">
        <v>46097</v>
      </c>
      <c r="O291" s="430" t="s">
        <v>70</v>
      </c>
      <c r="P291" s="430" t="s">
        <v>1461</v>
      </c>
      <c r="Q291" s="430" t="s">
        <v>103</v>
      </c>
      <c r="R291" s="431" t="str">
        <f>_xlfn.XLOOKUP(PV_DATA[[#This Row],[New Ark SKU]],Table9[New Ark SKU],Table9[Connector],,0)</f>
        <v>EVO2A</v>
      </c>
      <c r="S291" s="442" t="str">
        <f>_xlfn.XLOOKUP(PV_DATA[[#This Row],[New Ark SKU]],Table9[New Ark SKU],Table9[Cable],,0)</f>
        <v>±1400mm</v>
      </c>
      <c r="T291" s="433">
        <v>620</v>
      </c>
      <c r="U291" s="1062">
        <f>720*11</f>
        <v>7920</v>
      </c>
      <c r="V291" s="434">
        <f>PV_DATA[[#This Row],[QUANTITY]]*PV_DATA[[#This Row],[WATT]]/1000000</f>
        <v>4.9104000000000001</v>
      </c>
      <c r="W291" s="435">
        <f>PV_DATA[[#This Row],[QUANTITY]]/PV_DATA[[#This Row],[Qty/Pallet]]</f>
        <v>220</v>
      </c>
      <c r="X291" s="1015">
        <f>PV_DATA[[#This Row],[QUANTITY]]/PV_DATA[[#This Row],[Qty/CT]]</f>
        <v>11</v>
      </c>
      <c r="Y291" s="430" t="s">
        <v>75</v>
      </c>
      <c r="Z291" s="430" t="str">
        <f t="shared" si="1"/>
        <v>COMPLETED</v>
      </c>
      <c r="AA291" s="430" t="s">
        <v>1456</v>
      </c>
      <c r="AB291" s="437">
        <v>46090</v>
      </c>
      <c r="AC291" s="438">
        <f>IF(PV_DATA[[#This Row],[Pick-Up Date]]&lt;&gt;"",_xlfn.ISOWEEKNUM(PV_DATA[[#This Row],[Pick-Up Date]]),"")</f>
        <v>11</v>
      </c>
      <c r="AD291" s="439" t="s">
        <v>1462</v>
      </c>
      <c r="AE291" s="430"/>
      <c r="AF291" s="430" t="s">
        <v>122</v>
      </c>
      <c r="AG291" s="430" t="s">
        <v>123</v>
      </c>
      <c r="AH291" s="430" t="s">
        <v>105</v>
      </c>
      <c r="AI291" s="437">
        <v>46096</v>
      </c>
      <c r="AJ291" s="437">
        <v>46103</v>
      </c>
      <c r="AK291" s="441">
        <v>46103</v>
      </c>
      <c r="AL291" s="437">
        <v>46133</v>
      </c>
      <c r="AM291" s="437">
        <v>46150</v>
      </c>
      <c r="AN291" s="437">
        <v>46148</v>
      </c>
      <c r="AO291" s="430" t="s">
        <v>402</v>
      </c>
      <c r="AP291" s="430" t="s">
        <v>889</v>
      </c>
      <c r="AQ291" s="430" t="s">
        <v>80</v>
      </c>
      <c r="AR291" s="430" t="s">
        <v>1463</v>
      </c>
      <c r="AS291" s="430" t="s">
        <v>1464</v>
      </c>
      <c r="AT291" s="482" t="s">
        <v>1464</v>
      </c>
      <c r="AU29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291" s="437" cm="1">
        <f t="array" ref="AW29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29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91" s="437">
        <f>IF(ISERROR(PV_DATA[[#This Row],[New Ark PO status]]),"",_xlfn.XLOOKUP(PV_DATA[[#This Row],[SPTN-PVHK New Ark PO'#]],New_Ark_Data[Purchase order Number],New_Ark_Data[Estimated time of arrival],"",0))</f>
        <v>46164</v>
      </c>
      <c r="AZ291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91" s="437">
        <f>IFERROR(PV_DATA[[#This Row],[ODP ETA Port]]+PV_DATA[[#This Row],[Customs/Leg3 Assumption]],"n/a")</f>
        <v>46155</v>
      </c>
      <c r="BB291" s="433">
        <f>YEAR(PV_DATA[[#This Row],[ETA for New Ark update]])</f>
        <v>2026</v>
      </c>
      <c r="BC291" s="430">
        <f>MONTH(PV_DATA[[#This Row],[ETA for New Ark update]])</f>
        <v>5</v>
      </c>
      <c r="BD291" s="430">
        <f>IFERROR(_xlfn.ISOWEEKNUM(PV_DATA[[#This Row],[ETA for New Ark update]]),0)</f>
        <v>20</v>
      </c>
      <c r="BE291" s="431">
        <f>_xlfn.XLOOKUP(PV_DATA[[#This Row],[New Ark SKU]],Table9[New Ark SKU],Table9[Total PCS per Pallet],,0)</f>
        <v>36</v>
      </c>
      <c r="BF291" s="431">
        <f>_xlfn.XLOOKUP(PV_DATA[[#This Row],[New Ark SKU]],Table9[New Ark SKU],Table9[Total PCS per 40HQ Container],,0)</f>
        <v>720</v>
      </c>
      <c r="BG291" s="431" t="str">
        <f>_xlfn.XLOOKUP(PV_DATA[[#This Row],[New Ark SKU]],Table9[New Ark SKU],Table9[Back Glass],,0)</f>
        <v>Redirection Film</v>
      </c>
      <c r="BH291" s="431" t="str">
        <f>_xlfn.XLOOKUP(PV_DATA[[#This Row],[PORT DESTINATION]],Table12[PORT DESTINATION],Table12[Cosco Line],,0)</f>
        <v>AEU</v>
      </c>
      <c r="BJ291" s="430"/>
    </row>
    <row r="292" spans="1:62" ht="10.5" hidden="1">
      <c r="A292" s="462" t="s">
        <v>1465</v>
      </c>
      <c r="B292" s="462" t="s">
        <v>111</v>
      </c>
      <c r="C292" s="462" t="str">
        <f>IFERROR(LEFT(PV_DATA[[#This Row],[TCL REFERENCE]],FIND(".",PV_DATA[[#This Row],[TCL REFERENCE]],1)-1),"Main Line")</f>
        <v>26Feb010</v>
      </c>
      <c r="D292" s="462" t="s">
        <v>63</v>
      </c>
      <c r="E292" s="462" t="s">
        <v>64</v>
      </c>
      <c r="F292" s="462" t="str" cm="1">
        <f t="array" ref="F29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92" s="462" t="s">
        <v>402</v>
      </c>
      <c r="H292" s="462" t="s">
        <v>67</v>
      </c>
      <c r="I292" s="439" t="s">
        <v>689</v>
      </c>
      <c r="J292" s="430" t="s">
        <v>101</v>
      </c>
      <c r="K292" s="430"/>
      <c r="L292" s="430"/>
      <c r="M292" s="430" t="s">
        <v>68</v>
      </c>
      <c r="N292" s="432">
        <v>46076</v>
      </c>
      <c r="O292" s="430" t="s">
        <v>132</v>
      </c>
      <c r="P292" s="430" t="s">
        <v>1062</v>
      </c>
      <c r="Q292" s="430" t="s">
        <v>1063</v>
      </c>
      <c r="R292" s="431" t="str">
        <f>_xlfn.XLOOKUP(PV_DATA[[#This Row],[New Ark SKU]],Table9[New Ark SKU],Table9[Connector],,0)</f>
        <v>EVO2A</v>
      </c>
      <c r="S292" s="442" t="str">
        <f>_xlfn.XLOOKUP(PV_DATA[[#This Row],[New Ark SKU]],Table9[New Ark SKU],Table9[Cable],,0)</f>
        <v>±1200mm</v>
      </c>
      <c r="T292" s="433">
        <v>470</v>
      </c>
      <c r="U292" s="1062">
        <f>864*4</f>
        <v>3456</v>
      </c>
      <c r="V292" s="434">
        <f>PV_DATA[[#This Row],[QUANTITY]]*PV_DATA[[#This Row],[WATT]]/1000000</f>
        <v>1.62432</v>
      </c>
      <c r="W292" s="435">
        <f>PV_DATA[[#This Row],[QUANTITY]]/PV_DATA[[#This Row],[Qty/Pallet]]</f>
        <v>96</v>
      </c>
      <c r="X292" s="1015">
        <f>PV_DATA[[#This Row],[QUANTITY]]/PV_DATA[[#This Row],[Qty/CT]]</f>
        <v>4</v>
      </c>
      <c r="Y292" s="430" t="s">
        <v>75</v>
      </c>
      <c r="Z292" s="430" t="str">
        <f t="shared" si="1"/>
        <v>COMPLETED</v>
      </c>
      <c r="AA292" s="430"/>
      <c r="AB292" s="437">
        <v>46091</v>
      </c>
      <c r="AC292" s="438">
        <f>IF(PV_DATA[[#This Row],[Pick-Up Date]]&lt;&gt;"",_xlfn.ISOWEEKNUM(PV_DATA[[#This Row],[Pick-Up Date]]),"")</f>
        <v>11</v>
      </c>
      <c r="AD292" s="439" t="s">
        <v>1466</v>
      </c>
      <c r="AE292" s="430"/>
      <c r="AF292" s="430" t="s">
        <v>122</v>
      </c>
      <c r="AG292" s="430" t="s">
        <v>123</v>
      </c>
      <c r="AH292" s="430" t="s">
        <v>105</v>
      </c>
      <c r="AI292" s="437">
        <v>46096</v>
      </c>
      <c r="AJ292" s="437">
        <v>46103</v>
      </c>
      <c r="AK292" s="441">
        <v>46103</v>
      </c>
      <c r="AL292" s="437">
        <v>46133</v>
      </c>
      <c r="AM292" s="437">
        <v>46150</v>
      </c>
      <c r="AN292" s="437">
        <v>46148</v>
      </c>
      <c r="AO292" s="430" t="s">
        <v>402</v>
      </c>
      <c r="AP292" s="430" t="s">
        <v>889</v>
      </c>
      <c r="AQ292" s="430" t="s">
        <v>80</v>
      </c>
      <c r="AR292" s="430" t="s">
        <v>1463</v>
      </c>
      <c r="AS292" s="430" t="s">
        <v>1464</v>
      </c>
      <c r="AT292" s="482" t="s">
        <v>1464</v>
      </c>
      <c r="AU29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292" s="437" cm="1">
        <f t="array" ref="AW29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29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92" s="437">
        <f>IF(ISERROR(PV_DATA[[#This Row],[New Ark PO status]]),"",_xlfn.XLOOKUP(PV_DATA[[#This Row],[SPTN-PVHK New Ark PO'#]],New_Ark_Data[Purchase order Number],New_Ark_Data[Estimated time of arrival],"",0))</f>
        <v>46164</v>
      </c>
      <c r="AZ29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92" s="437">
        <f>IFERROR(PV_DATA[[#This Row],[ODP ETA Port]]+PV_DATA[[#This Row],[Customs/Leg3 Assumption]],"n/a")</f>
        <v>46155</v>
      </c>
      <c r="BB292" s="433">
        <f>YEAR(PV_DATA[[#This Row],[ETA for New Ark update]])</f>
        <v>2026</v>
      </c>
      <c r="BC292" s="430">
        <f>MONTH(PV_DATA[[#This Row],[ETA for New Ark update]])</f>
        <v>5</v>
      </c>
      <c r="BD292" s="430">
        <f>IFERROR(_xlfn.ISOWEEKNUM(PV_DATA[[#This Row],[ETA for New Ark update]]),0)</f>
        <v>20</v>
      </c>
      <c r="BE292" s="431">
        <f>_xlfn.XLOOKUP(PV_DATA[[#This Row],[New Ark SKU]],Table9[New Ark SKU],Table9[Total PCS per Pallet],,0)</f>
        <v>36</v>
      </c>
      <c r="BF292" s="431">
        <f>_xlfn.XLOOKUP(PV_DATA[[#This Row],[New Ark SKU]],Table9[New Ark SKU],Table9[Total PCS per 40HQ Container],,0)</f>
        <v>864</v>
      </c>
      <c r="BG292" s="431" t="str">
        <f>_xlfn.XLOOKUP(PV_DATA[[#This Row],[New Ark SKU]],Table9[New Ark SKU],Table9[Back Glass],,0)</f>
        <v>White glazing</v>
      </c>
      <c r="BH292" s="431" t="str">
        <f>_xlfn.XLOOKUP(PV_DATA[[#This Row],[PORT DESTINATION]],Table12[PORT DESTINATION],Table12[Cosco Line],,0)</f>
        <v>AEU</v>
      </c>
      <c r="BJ292" s="430"/>
    </row>
    <row r="293" spans="1:62" ht="10.5" hidden="1">
      <c r="A293" s="462" t="s">
        <v>1467</v>
      </c>
      <c r="B293" s="462" t="s">
        <v>111</v>
      </c>
      <c r="C293" s="462" t="str">
        <f>IFERROR(LEFT(PV_DATA[[#This Row],[TCL REFERENCE]],FIND(".",PV_DATA[[#This Row],[TCL REFERENCE]],1)-1),"Main Line")</f>
        <v>26Feb025</v>
      </c>
      <c r="D293" s="462" t="s">
        <v>63</v>
      </c>
      <c r="E293" s="462" t="s">
        <v>64</v>
      </c>
      <c r="F293" s="462" t="str" cm="1">
        <f t="array" ref="F29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93" s="462" t="s">
        <v>402</v>
      </c>
      <c r="H293" s="462" t="s">
        <v>67</v>
      </c>
      <c r="I293" s="439" t="s">
        <v>689</v>
      </c>
      <c r="J293" s="430" t="s">
        <v>101</v>
      </c>
      <c r="K293" s="430"/>
      <c r="L293" s="430"/>
      <c r="M293" s="430" t="s">
        <v>68</v>
      </c>
      <c r="N293" s="432">
        <v>46097</v>
      </c>
      <c r="O293" s="430" t="s">
        <v>70</v>
      </c>
      <c r="P293" s="430" t="s">
        <v>1461</v>
      </c>
      <c r="Q293" s="430" t="s">
        <v>103</v>
      </c>
      <c r="R293" s="431" t="str">
        <f>_xlfn.XLOOKUP(PV_DATA[[#This Row],[New Ark SKU]],Table9[New Ark SKU],Table9[Connector],,0)</f>
        <v>EVO2A</v>
      </c>
      <c r="S293" s="442" t="str">
        <f>_xlfn.XLOOKUP(PV_DATA[[#This Row],[New Ark SKU]],Table9[New Ark SKU],Table9[Cable],,0)</f>
        <v>±1400mm</v>
      </c>
      <c r="T293" s="433">
        <v>620</v>
      </c>
      <c r="U293" s="1062">
        <f>720*3</f>
        <v>2160</v>
      </c>
      <c r="V293" s="434">
        <f>PV_DATA[[#This Row],[QUANTITY]]*PV_DATA[[#This Row],[WATT]]/1000000</f>
        <v>1.3391999999999999</v>
      </c>
      <c r="W293" s="435">
        <f>PV_DATA[[#This Row],[QUANTITY]]/PV_DATA[[#This Row],[Qty/Pallet]]</f>
        <v>60</v>
      </c>
      <c r="X293" s="1015">
        <f>PV_DATA[[#This Row],[QUANTITY]]/PV_DATA[[#This Row],[Qty/CT]]</f>
        <v>3</v>
      </c>
      <c r="Y293" s="430" t="s">
        <v>75</v>
      </c>
      <c r="Z293" s="430" t="str">
        <f t="shared" si="1"/>
        <v>COMPLETED</v>
      </c>
      <c r="AA293" s="430" t="s">
        <v>1456</v>
      </c>
      <c r="AB293" s="437">
        <v>46092</v>
      </c>
      <c r="AC293" s="438">
        <f>IF(PV_DATA[[#This Row],[Pick-Up Date]]&lt;&gt;"",_xlfn.ISOWEEKNUM(PV_DATA[[#This Row],[Pick-Up Date]]),"")</f>
        <v>11</v>
      </c>
      <c r="AD293" s="439" t="s">
        <v>1468</v>
      </c>
      <c r="AE293" s="430"/>
      <c r="AF293" s="430" t="s">
        <v>122</v>
      </c>
      <c r="AG293" s="430" t="s">
        <v>123</v>
      </c>
      <c r="AH293" s="430" t="s">
        <v>105</v>
      </c>
      <c r="AI293" s="437">
        <v>46096</v>
      </c>
      <c r="AJ293" s="437">
        <v>46103</v>
      </c>
      <c r="AK293" s="441">
        <v>46103</v>
      </c>
      <c r="AL293" s="437">
        <v>46133</v>
      </c>
      <c r="AM293" s="437">
        <v>46150</v>
      </c>
      <c r="AN293" s="437">
        <v>46148</v>
      </c>
      <c r="AO293" s="430" t="s">
        <v>402</v>
      </c>
      <c r="AP293" s="430" t="s">
        <v>889</v>
      </c>
      <c r="AQ293" s="430" t="s">
        <v>80</v>
      </c>
      <c r="AR293" s="430" t="s">
        <v>919</v>
      </c>
      <c r="AS293" s="430" t="s">
        <v>920</v>
      </c>
      <c r="AT293" s="482" t="s">
        <v>920</v>
      </c>
      <c r="AU29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293" s="437" cm="1">
        <f t="array" ref="AW29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29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93" s="437">
        <f>IF(ISERROR(PV_DATA[[#This Row],[New Ark PO status]]),"",_xlfn.XLOOKUP(PV_DATA[[#This Row],[SPTN-PVHK New Ark PO'#]],New_Ark_Data[Purchase order Number],New_Ark_Data[Estimated time of arrival],"",0))</f>
        <v>46164</v>
      </c>
      <c r="AZ29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93" s="437">
        <f>IFERROR(PV_DATA[[#This Row],[ODP ETA Port]]+PV_DATA[[#This Row],[Customs/Leg3 Assumption]],"n/a")</f>
        <v>46155</v>
      </c>
      <c r="BB293" s="433">
        <f>YEAR(PV_DATA[[#This Row],[ETA for New Ark update]])</f>
        <v>2026</v>
      </c>
      <c r="BC293" s="430">
        <f>MONTH(PV_DATA[[#This Row],[ETA for New Ark update]])</f>
        <v>5</v>
      </c>
      <c r="BD293" s="430">
        <f>IFERROR(_xlfn.ISOWEEKNUM(PV_DATA[[#This Row],[ETA for New Ark update]]),0)</f>
        <v>20</v>
      </c>
      <c r="BE293" s="431">
        <f>_xlfn.XLOOKUP(PV_DATA[[#This Row],[New Ark SKU]],Table9[New Ark SKU],Table9[Total PCS per Pallet],,0)</f>
        <v>36</v>
      </c>
      <c r="BF293" s="431">
        <f>_xlfn.XLOOKUP(PV_DATA[[#This Row],[New Ark SKU]],Table9[New Ark SKU],Table9[Total PCS per 40HQ Container],,0)</f>
        <v>720</v>
      </c>
      <c r="BG293" s="431" t="str">
        <f>_xlfn.XLOOKUP(PV_DATA[[#This Row],[New Ark SKU]],Table9[New Ark SKU],Table9[Back Glass],,0)</f>
        <v>Redirection Film</v>
      </c>
      <c r="BH293" s="431" t="str">
        <f>_xlfn.XLOOKUP(PV_DATA[[#This Row],[PORT DESTINATION]],Table12[PORT DESTINATION],Table12[Cosco Line],,0)</f>
        <v>AEU</v>
      </c>
      <c r="BJ293" s="430"/>
    </row>
    <row r="294" spans="1:62" ht="10.5" hidden="1">
      <c r="A294" s="462" t="s">
        <v>1469</v>
      </c>
      <c r="B294" s="462" t="s">
        <v>111</v>
      </c>
      <c r="C294" s="462" t="str">
        <f>IFERROR(LEFT(PV_DATA[[#This Row],[TCL REFERENCE]],FIND(".",PV_DATA[[#This Row],[TCL REFERENCE]],1)-1),"Main Line")</f>
        <v>26Feb025</v>
      </c>
      <c r="D294" s="462" t="s">
        <v>63</v>
      </c>
      <c r="E294" s="462" t="s">
        <v>64</v>
      </c>
      <c r="F294" s="462" t="str" cm="1">
        <f t="array" ref="F29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94" s="462" t="s">
        <v>402</v>
      </c>
      <c r="H294" s="462" t="s">
        <v>67</v>
      </c>
      <c r="I294" s="439" t="s">
        <v>689</v>
      </c>
      <c r="J294" s="430" t="s">
        <v>917</v>
      </c>
      <c r="K294" s="430"/>
      <c r="L294" s="430"/>
      <c r="M294" s="430" t="s">
        <v>68</v>
      </c>
      <c r="N294" s="432">
        <v>46097</v>
      </c>
      <c r="O294" s="430" t="s">
        <v>70</v>
      </c>
      <c r="P294" s="430" t="s">
        <v>1461</v>
      </c>
      <c r="Q294" s="430" t="s">
        <v>103</v>
      </c>
      <c r="R294" s="431" t="str">
        <f>_xlfn.XLOOKUP(PV_DATA[[#This Row],[New Ark SKU]],Table9[New Ark SKU],Table9[Connector],,0)</f>
        <v>EVO2A</v>
      </c>
      <c r="S294" s="442" t="str">
        <f>_xlfn.XLOOKUP(PV_DATA[[#This Row],[New Ark SKU]],Table9[New Ark SKU],Table9[Cable],,0)</f>
        <v>±1400mm</v>
      </c>
      <c r="T294" s="433">
        <v>620</v>
      </c>
      <c r="U294" s="1062">
        <f>720*4</f>
        <v>2880</v>
      </c>
      <c r="V294" s="434">
        <f>PV_DATA[[#This Row],[QUANTITY]]*PV_DATA[[#This Row],[WATT]]/1000000</f>
        <v>1.7856000000000001</v>
      </c>
      <c r="W294" s="435">
        <f>PV_DATA[[#This Row],[QUANTITY]]/PV_DATA[[#This Row],[Qty/Pallet]]</f>
        <v>80</v>
      </c>
      <c r="X294" s="1015">
        <f>PV_DATA[[#This Row],[QUANTITY]]/PV_DATA[[#This Row],[Qty/CT]]</f>
        <v>4</v>
      </c>
      <c r="Y294" s="430" t="s">
        <v>75</v>
      </c>
      <c r="Z294" s="430" t="str">
        <f t="shared" si="1"/>
        <v>COMPLETED</v>
      </c>
      <c r="AA294" s="430" t="s">
        <v>1456</v>
      </c>
      <c r="AB294" s="437">
        <v>46092</v>
      </c>
      <c r="AC294" s="438">
        <f>IF(PV_DATA[[#This Row],[Pick-Up Date]]&lt;&gt;"",_xlfn.ISOWEEKNUM(PV_DATA[[#This Row],[Pick-Up Date]]),"")</f>
        <v>11</v>
      </c>
      <c r="AD294" s="439" t="s">
        <v>1470</v>
      </c>
      <c r="AE294" s="430"/>
      <c r="AF294" s="430" t="s">
        <v>122</v>
      </c>
      <c r="AG294" s="430" t="s">
        <v>123</v>
      </c>
      <c r="AH294" s="430" t="s">
        <v>105</v>
      </c>
      <c r="AI294" s="437">
        <v>46096</v>
      </c>
      <c r="AJ294" s="437">
        <v>46103</v>
      </c>
      <c r="AK294" s="441">
        <v>46103</v>
      </c>
      <c r="AL294" s="437">
        <v>46133</v>
      </c>
      <c r="AM294" s="437">
        <v>46150</v>
      </c>
      <c r="AN294" s="437">
        <v>46148</v>
      </c>
      <c r="AO294" s="430" t="s">
        <v>402</v>
      </c>
      <c r="AP294" s="430" t="s">
        <v>889</v>
      </c>
      <c r="AQ294" s="430" t="s">
        <v>80</v>
      </c>
      <c r="AR294" s="430" t="s">
        <v>919</v>
      </c>
      <c r="AS294" s="430" t="s">
        <v>920</v>
      </c>
      <c r="AT294" s="482" t="s">
        <v>920</v>
      </c>
      <c r="AU29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294" s="437" cm="1">
        <f t="array" ref="AW29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29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94" s="437">
        <f>IF(ISERROR(PV_DATA[[#This Row],[New Ark PO status]]),"",_xlfn.XLOOKUP(PV_DATA[[#This Row],[SPTN-PVHK New Ark PO'#]],New_Ark_Data[Purchase order Number],New_Ark_Data[Estimated time of arrival],"",0))</f>
        <v>46164</v>
      </c>
      <c r="AZ29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94" s="437">
        <f>IFERROR(PV_DATA[[#This Row],[ODP ETA Port]]+PV_DATA[[#This Row],[Customs/Leg3 Assumption]],"n/a")</f>
        <v>46155</v>
      </c>
      <c r="BB294" s="433">
        <f>YEAR(PV_DATA[[#This Row],[ETA for New Ark update]])</f>
        <v>2026</v>
      </c>
      <c r="BC294" s="430">
        <f>MONTH(PV_DATA[[#This Row],[ETA for New Ark update]])</f>
        <v>5</v>
      </c>
      <c r="BD294" s="430">
        <f>IFERROR(_xlfn.ISOWEEKNUM(PV_DATA[[#This Row],[ETA for New Ark update]]),0)</f>
        <v>20</v>
      </c>
      <c r="BE294" s="431">
        <f>_xlfn.XLOOKUP(PV_DATA[[#This Row],[New Ark SKU]],Table9[New Ark SKU],Table9[Total PCS per Pallet],,0)</f>
        <v>36</v>
      </c>
      <c r="BF294" s="431">
        <f>_xlfn.XLOOKUP(PV_DATA[[#This Row],[New Ark SKU]],Table9[New Ark SKU],Table9[Total PCS per 40HQ Container],,0)</f>
        <v>720</v>
      </c>
      <c r="BG294" s="431" t="str">
        <f>_xlfn.XLOOKUP(PV_DATA[[#This Row],[New Ark SKU]],Table9[New Ark SKU],Table9[Back Glass],,0)</f>
        <v>Redirection Film</v>
      </c>
      <c r="BH294" s="431" t="str">
        <f>_xlfn.XLOOKUP(PV_DATA[[#This Row],[PORT DESTINATION]],Table12[PORT DESTINATION],Table12[Cosco Line],,0)</f>
        <v>AEU</v>
      </c>
      <c r="BJ294" s="430"/>
    </row>
    <row r="295" spans="1:62" ht="10.5" hidden="1">
      <c r="A295" s="462" t="s">
        <v>1471</v>
      </c>
      <c r="B295" s="462" t="s">
        <v>111</v>
      </c>
      <c r="C295" s="462" t="str">
        <f>IFERROR(LEFT(PV_DATA[[#This Row],[TCL REFERENCE]],FIND(".",PV_DATA[[#This Row],[TCL REFERENCE]],1)-1),"Main Line")</f>
        <v>26Feb026</v>
      </c>
      <c r="D295" s="462" t="s">
        <v>63</v>
      </c>
      <c r="E295" s="462" t="s">
        <v>64</v>
      </c>
      <c r="F295" s="462" t="str" cm="1">
        <f t="array" ref="F29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95" s="462" t="s">
        <v>402</v>
      </c>
      <c r="H295" s="462" t="s">
        <v>67</v>
      </c>
      <c r="I295" s="439" t="s">
        <v>822</v>
      </c>
      <c r="J295" s="430" t="s">
        <v>1047</v>
      </c>
      <c r="K295" s="430"/>
      <c r="L295" s="430"/>
      <c r="M295" s="430" t="s">
        <v>68</v>
      </c>
      <c r="N295" s="432">
        <v>46069</v>
      </c>
      <c r="O295" s="430" t="s">
        <v>70</v>
      </c>
      <c r="P295" s="430" t="s">
        <v>1002</v>
      </c>
      <c r="Q295" s="430" t="s">
        <v>330</v>
      </c>
      <c r="R295" s="431" t="str">
        <f>_xlfn.XLOOKUP(PV_DATA[[#This Row],[New Ark SKU]],Table9[New Ark SKU],Table9[Connector],,0)</f>
        <v>EVO2A</v>
      </c>
      <c r="S295" s="442" t="str">
        <f>_xlfn.XLOOKUP(PV_DATA[[#This Row],[New Ark SKU]],Table9[New Ark SKU],Table9[Cable],,0)</f>
        <v>±1400mm</v>
      </c>
      <c r="T295" s="433">
        <v>625</v>
      </c>
      <c r="U295" s="1062">
        <v>7200</v>
      </c>
      <c r="V295" s="434">
        <f>PV_DATA[[#This Row],[QUANTITY]]*PV_DATA[[#This Row],[WATT]]/1000000</f>
        <v>4.5</v>
      </c>
      <c r="W295" s="435">
        <f>PV_DATA[[#This Row],[QUANTITY]]/PV_DATA[[#This Row],[Qty/Pallet]]</f>
        <v>200</v>
      </c>
      <c r="X295" s="1015">
        <f>PV_DATA[[#This Row],[QUANTITY]]/PV_DATA[[#This Row],[Qty/CT]]</f>
        <v>10</v>
      </c>
      <c r="Y295" s="430" t="s">
        <v>75</v>
      </c>
      <c r="Z295" s="430" t="str">
        <f t="shared" si="1"/>
        <v>COMPLETED</v>
      </c>
      <c r="AA295" s="430" t="s">
        <v>1472</v>
      </c>
      <c r="AB295" s="437">
        <v>46090</v>
      </c>
      <c r="AC295" s="438">
        <f>IF(PV_DATA[[#This Row],[Pick-Up Date]]&lt;&gt;"",_xlfn.ISOWEEKNUM(PV_DATA[[#This Row],[Pick-Up Date]]),"")</f>
        <v>11</v>
      </c>
      <c r="AD295" s="439" t="s">
        <v>1473</v>
      </c>
      <c r="AE295" s="430"/>
      <c r="AF295" s="430" t="s">
        <v>122</v>
      </c>
      <c r="AG295" s="430" t="s">
        <v>123</v>
      </c>
      <c r="AH295" s="430" t="s">
        <v>105</v>
      </c>
      <c r="AI295" s="437">
        <v>46096</v>
      </c>
      <c r="AJ295" s="437">
        <v>46103</v>
      </c>
      <c r="AK295" s="441">
        <v>46103</v>
      </c>
      <c r="AL295" s="437">
        <v>46133</v>
      </c>
      <c r="AM295" s="437">
        <v>46150</v>
      </c>
      <c r="AN295" s="437">
        <v>46148</v>
      </c>
      <c r="AO295" s="430" t="s">
        <v>402</v>
      </c>
      <c r="AP295" s="430" t="s">
        <v>889</v>
      </c>
      <c r="AQ295" s="430" t="s">
        <v>80</v>
      </c>
      <c r="AR295" s="430" t="s">
        <v>1474</v>
      </c>
      <c r="AS295" s="430" t="s">
        <v>1475</v>
      </c>
      <c r="AT295" s="482" t="s">
        <v>1475</v>
      </c>
      <c r="AU29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295" s="437" cm="1">
        <f t="array" ref="AW29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29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95" s="437">
        <f>IF(ISERROR(PV_DATA[[#This Row],[New Ark PO status]]),"",_xlfn.XLOOKUP(PV_DATA[[#This Row],[SPTN-PVHK New Ark PO'#]],New_Ark_Data[Purchase order Number],New_Ark_Data[Estimated time of arrival],"",0))</f>
        <v>46164</v>
      </c>
      <c r="AZ29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95" s="437">
        <f>IFERROR(PV_DATA[[#This Row],[ODP ETA Port]]+PV_DATA[[#This Row],[Customs/Leg3 Assumption]],"n/a")</f>
        <v>46155</v>
      </c>
      <c r="BB295" s="433">
        <f>YEAR(PV_DATA[[#This Row],[ETA for New Ark update]])</f>
        <v>2026</v>
      </c>
      <c r="BC295" s="430">
        <f>MONTH(PV_DATA[[#This Row],[ETA for New Ark update]])</f>
        <v>5</v>
      </c>
      <c r="BD295" s="430">
        <f>IFERROR(_xlfn.ISOWEEKNUM(PV_DATA[[#This Row],[ETA for New Ark update]]),0)</f>
        <v>20</v>
      </c>
      <c r="BE295" s="431">
        <f>_xlfn.XLOOKUP(PV_DATA[[#This Row],[New Ark SKU]],Table9[New Ark SKU],Table9[Total PCS per Pallet],,0)</f>
        <v>36</v>
      </c>
      <c r="BF295" s="431">
        <f>_xlfn.XLOOKUP(PV_DATA[[#This Row],[New Ark SKU]],Table9[New Ark SKU],Table9[Total PCS per 40HQ Container],,0)</f>
        <v>720</v>
      </c>
      <c r="BG295" s="431" t="str">
        <f>_xlfn.XLOOKUP(PV_DATA[[#This Row],[New Ark SKU]],Table9[New Ark SKU],Table9[Back Glass],,0)</f>
        <v>Redirection Film</v>
      </c>
      <c r="BH295" s="431" t="str">
        <f>_xlfn.XLOOKUP(PV_DATA[[#This Row],[PORT DESTINATION]],Table12[PORT DESTINATION],Table12[Cosco Line],,0)</f>
        <v>AEU</v>
      </c>
      <c r="BJ295" s="430"/>
    </row>
    <row r="296" spans="1:62" ht="10.5" hidden="1">
      <c r="A296" s="462" t="s">
        <v>1476</v>
      </c>
      <c r="B296" s="462" t="s">
        <v>111</v>
      </c>
      <c r="C296" s="462" t="str">
        <f>IFERROR(LEFT(PV_DATA[[#This Row],[TCL REFERENCE]],FIND(".",PV_DATA[[#This Row],[TCL REFERENCE]],1)-1),"Main Line")</f>
        <v>26Feb008</v>
      </c>
      <c r="D296" s="462" t="s">
        <v>63</v>
      </c>
      <c r="E296" s="462" t="s">
        <v>64</v>
      </c>
      <c r="F296" s="462" t="str" cm="1">
        <f t="array" ref="F29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96" s="462" t="s">
        <v>402</v>
      </c>
      <c r="H296" s="462" t="s">
        <v>67</v>
      </c>
      <c r="I296" s="439" t="s">
        <v>689</v>
      </c>
      <c r="J296" s="430" t="s">
        <v>483</v>
      </c>
      <c r="K296" s="430"/>
      <c r="L296" s="430"/>
      <c r="M296" s="430" t="s">
        <v>68</v>
      </c>
      <c r="N296" s="432">
        <v>46083</v>
      </c>
      <c r="O296" s="430" t="s">
        <v>473</v>
      </c>
      <c r="P296" s="430" t="s">
        <v>474</v>
      </c>
      <c r="Q296" s="430" t="s">
        <v>1319</v>
      </c>
      <c r="R296" s="431" t="str">
        <f>_xlfn.XLOOKUP(PV_DATA[[#This Row],[New Ark SKU]],Table9[New Ark SKU],Table9[Connector],,0)</f>
        <v>EVO2A</v>
      </c>
      <c r="S296" s="442" t="str">
        <f>_xlfn.XLOOKUP(PV_DATA[[#This Row],[New Ark SKU]],Table9[New Ark SKU],Table9[Cable],,0)</f>
        <v>±1200mm</v>
      </c>
      <c r="T296" s="433">
        <v>460</v>
      </c>
      <c r="U296" s="1062">
        <v>8640</v>
      </c>
      <c r="V296" s="434">
        <f>PV_DATA[[#This Row],[QUANTITY]]*PV_DATA[[#This Row],[WATT]]/1000000</f>
        <v>3.9744000000000002</v>
      </c>
      <c r="W296" s="435">
        <f>PV_DATA[[#This Row],[QUANTITY]]/PV_DATA[[#This Row],[Qty/Pallet]]</f>
        <v>240</v>
      </c>
      <c r="X296" s="1015">
        <f>PV_DATA[[#This Row],[QUANTITY]]/PV_DATA[[#This Row],[Qty/CT]]</f>
        <v>10</v>
      </c>
      <c r="Y296" s="430" t="s">
        <v>75</v>
      </c>
      <c r="Z296" s="430" t="str">
        <f t="shared" si="1"/>
        <v>COMPLETED</v>
      </c>
      <c r="AA296" s="430" t="s">
        <v>1477</v>
      </c>
      <c r="AB296" s="437">
        <v>46092</v>
      </c>
      <c r="AC296" s="438">
        <f>IF(PV_DATA[[#This Row],[Pick-Up Date]]&lt;&gt;"",_xlfn.ISOWEEKNUM(PV_DATA[[#This Row],[Pick-Up Date]]),"")</f>
        <v>11</v>
      </c>
      <c r="AD296" s="439" t="s">
        <v>1478</v>
      </c>
      <c r="AE296" s="430"/>
      <c r="AF296" s="430" t="s">
        <v>122</v>
      </c>
      <c r="AG296" s="430" t="s">
        <v>123</v>
      </c>
      <c r="AH296" s="430" t="s">
        <v>105</v>
      </c>
      <c r="AI296" s="437">
        <v>46096</v>
      </c>
      <c r="AJ296" s="437">
        <v>46103</v>
      </c>
      <c r="AK296" s="441">
        <v>46103</v>
      </c>
      <c r="AL296" s="437">
        <v>46133</v>
      </c>
      <c r="AM296" s="437">
        <v>46150</v>
      </c>
      <c r="AN296" s="437">
        <v>46148</v>
      </c>
      <c r="AO296" s="430" t="s">
        <v>402</v>
      </c>
      <c r="AP296" s="430" t="s">
        <v>889</v>
      </c>
      <c r="AQ296" s="430" t="s">
        <v>80</v>
      </c>
      <c r="AR296" s="430" t="s">
        <v>1479</v>
      </c>
      <c r="AS296" s="430" t="s">
        <v>1480</v>
      </c>
      <c r="AT296" s="482" t="s">
        <v>1480</v>
      </c>
      <c r="AU29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296" s="437" cm="1">
        <f t="array" ref="AW29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29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96" s="437">
        <f>IF(ISERROR(PV_DATA[[#This Row],[New Ark PO status]]),"",_xlfn.XLOOKUP(PV_DATA[[#This Row],[SPTN-PVHK New Ark PO'#]],New_Ark_Data[Purchase order Number],New_Ark_Data[Estimated time of arrival],"",0))</f>
        <v>46164</v>
      </c>
      <c r="AZ29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96" s="437">
        <f>IFERROR(PV_DATA[[#This Row],[ODP ETA Port]]+PV_DATA[[#This Row],[Customs/Leg3 Assumption]],"n/a")</f>
        <v>46155</v>
      </c>
      <c r="BB296" s="433">
        <f>YEAR(PV_DATA[[#This Row],[ETA for New Ark update]])</f>
        <v>2026</v>
      </c>
      <c r="BC296" s="430">
        <f>MONTH(PV_DATA[[#This Row],[ETA for New Ark update]])</f>
        <v>5</v>
      </c>
      <c r="BD296" s="430">
        <f>IFERROR(_xlfn.ISOWEEKNUM(PV_DATA[[#This Row],[ETA for New Ark update]]),0)</f>
        <v>20</v>
      </c>
      <c r="BE296" s="431">
        <f>_xlfn.XLOOKUP(PV_DATA[[#This Row],[New Ark SKU]],Table9[New Ark SKU],Table9[Total PCS per Pallet],,0)</f>
        <v>36</v>
      </c>
      <c r="BF296" s="431">
        <f>_xlfn.XLOOKUP(PV_DATA[[#This Row],[New Ark SKU]],Table9[New Ark SKU],Table9[Total PCS per 40HQ Container],,0)</f>
        <v>864</v>
      </c>
      <c r="BG296" s="431" t="str">
        <f>_xlfn.XLOOKUP(PV_DATA[[#This Row],[New Ark SKU]],Table9[New Ark SKU],Table9[Back Glass],,0)</f>
        <v>Black glazing</v>
      </c>
      <c r="BH296" s="431" t="str">
        <f>_xlfn.XLOOKUP(PV_DATA[[#This Row],[PORT DESTINATION]],Table12[PORT DESTINATION],Table12[Cosco Line],,0)</f>
        <v>AEU</v>
      </c>
      <c r="BJ296" s="430"/>
    </row>
    <row r="297" spans="1:62" ht="10.5" hidden="1">
      <c r="A297" s="462" t="s">
        <v>1481</v>
      </c>
      <c r="B297" s="462" t="s">
        <v>111</v>
      </c>
      <c r="C297" s="462" t="str">
        <f>IFERROR(LEFT(PV_DATA[[#This Row],[TCL REFERENCE]],FIND(".",PV_DATA[[#This Row],[TCL REFERENCE]],1)-1),"Main Line")</f>
        <v>26Feb032</v>
      </c>
      <c r="D297" s="462" t="s">
        <v>63</v>
      </c>
      <c r="E297" s="462" t="s">
        <v>64</v>
      </c>
      <c r="F297" s="462" t="str" cm="1">
        <f t="array" ref="F29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97" s="462" t="s">
        <v>402</v>
      </c>
      <c r="H297" s="462" t="s">
        <v>67</v>
      </c>
      <c r="I297" s="439" t="s">
        <v>689</v>
      </c>
      <c r="J297" s="430" t="s">
        <v>101</v>
      </c>
      <c r="K297" s="430"/>
      <c r="L297" s="430"/>
      <c r="M297" s="430" t="s">
        <v>68</v>
      </c>
      <c r="N297" s="432">
        <v>46093</v>
      </c>
      <c r="O297" s="430" t="s">
        <v>70</v>
      </c>
      <c r="P297" s="459" t="s">
        <v>1483</v>
      </c>
      <c r="Q297" s="430" t="s">
        <v>1484</v>
      </c>
      <c r="R297" s="431" t="str">
        <f>_xlfn.XLOOKUP(PV_DATA[[#This Row],[New Ark SKU]],Table9[New Ark SKU],Table9[Connector],,0)</f>
        <v>EVO2A</v>
      </c>
      <c r="S297" s="442" t="str">
        <f>_xlfn.XLOOKUP(PV_DATA[[#This Row],[New Ark SKU]],Table9[New Ark SKU],Table9[Cable],,0)</f>
        <v>±1400mm</v>
      </c>
      <c r="T297" s="433">
        <v>725</v>
      </c>
      <c r="U297" s="1062">
        <v>8910</v>
      </c>
      <c r="V297" s="434">
        <f>PV_DATA[[#This Row],[QUANTITY]]*PV_DATA[[#This Row],[WATT]]/1000000</f>
        <v>6.4597499999999997</v>
      </c>
      <c r="W297" s="435">
        <v>270</v>
      </c>
      <c r="X297" s="1015">
        <v>15</v>
      </c>
      <c r="Y297" s="430" t="s">
        <v>75</v>
      </c>
      <c r="Z297" s="430" t="str">
        <f t="shared" si="1"/>
        <v>COMPLETED</v>
      </c>
      <c r="AA297" s="430" t="s">
        <v>1456</v>
      </c>
      <c r="AB297" s="437">
        <v>46094</v>
      </c>
      <c r="AC297" s="438">
        <f>IF(PV_DATA[[#This Row],[Pick-Up Date]]&lt;&gt;"",_xlfn.ISOWEEKNUM(PV_DATA[[#This Row],[Pick-Up Date]]),"")</f>
        <v>11</v>
      </c>
      <c r="AD297" s="439" t="s">
        <v>1485</v>
      </c>
      <c r="AE297" s="430"/>
      <c r="AF297" s="430" t="s">
        <v>122</v>
      </c>
      <c r="AG297" s="430" t="s">
        <v>123</v>
      </c>
      <c r="AH297" s="430" t="s">
        <v>105</v>
      </c>
      <c r="AI297" s="437">
        <v>46097</v>
      </c>
      <c r="AJ297" s="437">
        <v>46112</v>
      </c>
      <c r="AK297" s="441">
        <v>46112</v>
      </c>
      <c r="AL297" s="437">
        <v>46134</v>
      </c>
      <c r="AM297" s="437">
        <v>46154</v>
      </c>
      <c r="AN297" s="437">
        <v>46157</v>
      </c>
      <c r="AO297" s="430" t="s">
        <v>402</v>
      </c>
      <c r="AP297" s="430" t="s">
        <v>1486</v>
      </c>
      <c r="AQ297" s="430" t="s">
        <v>80</v>
      </c>
      <c r="AR297" s="430" t="s">
        <v>1487</v>
      </c>
      <c r="AS297" s="430" t="s">
        <v>1488</v>
      </c>
      <c r="AT297" s="482" t="s">
        <v>1488</v>
      </c>
      <c r="AU29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297" s="437" cm="1">
        <f t="array" ref="AW29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46157</v>
      </c>
      <c r="AX29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97" s="437">
        <f>IF(ISERROR(PV_DATA[[#This Row],[New Ark PO status]]),"",_xlfn.XLOOKUP(PV_DATA[[#This Row],[SPTN-PVHK New Ark PO'#]],New_Ark_Data[Purchase order Number],New_Ark_Data[Estimated time of arrival],"",0))</f>
        <v>46169</v>
      </c>
      <c r="AZ297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97" s="437">
        <f>IFERROR(PV_DATA[[#This Row],[ODP ETA Port]]+PV_DATA[[#This Row],[Customs/Leg3 Assumption]],"n/a")</f>
        <v>46164</v>
      </c>
      <c r="BB297" s="433">
        <f>YEAR(PV_DATA[[#This Row],[ETA for New Ark update]])</f>
        <v>2026</v>
      </c>
      <c r="BC297" s="430">
        <f>MONTH(PV_DATA[[#This Row],[ETA for New Ark update]])</f>
        <v>5</v>
      </c>
      <c r="BD297" s="430">
        <f>IFERROR(_xlfn.ISOWEEKNUM(PV_DATA[[#This Row],[ETA for New Ark update]]),0)</f>
        <v>21</v>
      </c>
      <c r="BE297" s="431">
        <v>33</v>
      </c>
      <c r="BF297" s="431">
        <v>594</v>
      </c>
      <c r="BG297" s="431" t="str">
        <f>_xlfn.XLOOKUP(PV_DATA[[#This Row],[New Ark SKU]],Table9[New Ark SKU],Table9[Back Glass],,0)</f>
        <v>Redirection Film</v>
      </c>
      <c r="BH297" s="431" t="str">
        <f>_xlfn.XLOOKUP(PV_DATA[[#This Row],[PORT DESTINATION]],Table12[PORT DESTINATION],Table12[Cosco Line],,0)</f>
        <v>AEU</v>
      </c>
      <c r="BJ297" s="430"/>
    </row>
    <row r="298" spans="1:62" ht="10.5" hidden="1">
      <c r="A298" s="462" t="s">
        <v>1489</v>
      </c>
      <c r="B298" s="462" t="s">
        <v>111</v>
      </c>
      <c r="C298" s="462" t="str">
        <f>IFERROR(LEFT(PV_DATA[[#This Row],[TCL REFERENCE]],FIND(".",PV_DATA[[#This Row],[TCL REFERENCE]],1)-1),"Main Line")</f>
        <v>26Feb007</v>
      </c>
      <c r="D298" s="462" t="s">
        <v>63</v>
      </c>
      <c r="E298" s="462" t="s">
        <v>64</v>
      </c>
      <c r="F298" s="462" t="str" cm="1">
        <f t="array" ref="F29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98" s="462" t="s">
        <v>402</v>
      </c>
      <c r="H298" s="462" t="s">
        <v>67</v>
      </c>
      <c r="I298" s="439" t="s">
        <v>689</v>
      </c>
      <c r="J298" s="430" t="s">
        <v>1490</v>
      </c>
      <c r="K298" s="430"/>
      <c r="L298" s="430"/>
      <c r="M298" s="430" t="s">
        <v>68</v>
      </c>
      <c r="N298" s="432">
        <v>46083</v>
      </c>
      <c r="O298" s="430" t="s">
        <v>473</v>
      </c>
      <c r="P298" s="430" t="s">
        <v>529</v>
      </c>
      <c r="Q298" s="430" t="s">
        <v>1311</v>
      </c>
      <c r="R298" s="431" t="str">
        <f>_xlfn.XLOOKUP(PV_DATA[[#This Row],[New Ark SKU]],Table9[New Ark SKU],Table9[Connector],,0)</f>
        <v>EVO2A</v>
      </c>
      <c r="S298" s="442" t="str">
        <f>_xlfn.XLOOKUP(PV_DATA[[#This Row],[New Ark SKU]],Table9[New Ark SKU],Table9[Cable],,0)</f>
        <v>±1200mm</v>
      </c>
      <c r="T298" s="433">
        <v>455</v>
      </c>
      <c r="U298" s="1062">
        <f>864*5</f>
        <v>4320</v>
      </c>
      <c r="V298" s="434">
        <f>PV_DATA[[#This Row],[QUANTITY]]*PV_DATA[[#This Row],[WATT]]/1000000</f>
        <v>1.9656</v>
      </c>
      <c r="W298" s="435">
        <f>PV_DATA[[#This Row],[QUANTITY]]/PV_DATA[[#This Row],[Qty/Pallet]]</f>
        <v>120</v>
      </c>
      <c r="X298" s="1015">
        <f>PV_DATA[[#This Row],[QUANTITY]]/PV_DATA[[#This Row],[Qty/CT]]</f>
        <v>5</v>
      </c>
      <c r="Y298" s="430" t="s">
        <v>75</v>
      </c>
      <c r="Z298" s="430" t="str">
        <f t="shared" si="1"/>
        <v>COMPLETED</v>
      </c>
      <c r="AA298" s="430" t="s">
        <v>1491</v>
      </c>
      <c r="AB298" s="437">
        <v>46093</v>
      </c>
      <c r="AC298" s="438">
        <f>IF(PV_DATA[[#This Row],[Pick-Up Date]]&lt;&gt;"",_xlfn.ISOWEEKNUM(PV_DATA[[#This Row],[Pick-Up Date]]),"")</f>
        <v>11</v>
      </c>
      <c r="AD298" s="439" t="s">
        <v>1492</v>
      </c>
      <c r="AE298" s="430"/>
      <c r="AF298" s="430" t="s">
        <v>122</v>
      </c>
      <c r="AG298" s="430" t="s">
        <v>123</v>
      </c>
      <c r="AH298" s="430" t="s">
        <v>105</v>
      </c>
      <c r="AI298" s="437">
        <v>46097</v>
      </c>
      <c r="AJ298" s="437">
        <v>46100</v>
      </c>
      <c r="AK298" s="441">
        <v>46102</v>
      </c>
      <c r="AL298" s="437">
        <v>46134</v>
      </c>
      <c r="AM298" s="437">
        <v>46143</v>
      </c>
      <c r="AN298" s="437">
        <v>46144</v>
      </c>
      <c r="AO298" s="430" t="s">
        <v>402</v>
      </c>
      <c r="AP298" s="430" t="s">
        <v>1486</v>
      </c>
      <c r="AQ298" s="430" t="s">
        <v>80</v>
      </c>
      <c r="AR298" s="430" t="s">
        <v>1493</v>
      </c>
      <c r="AS298" s="430" t="s">
        <v>1494</v>
      </c>
      <c r="AT298" s="482" t="s">
        <v>1494</v>
      </c>
      <c r="AU29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</v>
      </c>
      <c r="AW298" s="437" cm="1">
        <f t="array" ref="AW29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46144</v>
      </c>
      <c r="AX29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98" s="437">
        <f>IF(ISERROR(PV_DATA[[#This Row],[New Ark PO status]]),"",_xlfn.XLOOKUP(PV_DATA[[#This Row],[SPTN-PVHK New Ark PO'#]],New_Ark_Data[Purchase order Number],New_Ark_Data[Estimated time of arrival],"",0))</f>
        <v>46156</v>
      </c>
      <c r="AZ298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98" s="437">
        <f>IFERROR(PV_DATA[[#This Row],[ODP ETA Port]]+PV_DATA[[#This Row],[Customs/Leg3 Assumption]],"n/a")</f>
        <v>46151</v>
      </c>
      <c r="BB298" s="433">
        <f>YEAR(PV_DATA[[#This Row],[ETA for New Ark update]])</f>
        <v>2026</v>
      </c>
      <c r="BC298" s="430">
        <f>MONTH(PV_DATA[[#This Row],[ETA for New Ark update]])</f>
        <v>5</v>
      </c>
      <c r="BD298" s="430">
        <f>IFERROR(_xlfn.ISOWEEKNUM(PV_DATA[[#This Row],[ETA for New Ark update]]),0)</f>
        <v>19</v>
      </c>
      <c r="BE298" s="431">
        <f>_xlfn.XLOOKUP(PV_DATA[[#This Row],[New Ark SKU]],Table9[New Ark SKU],Table9[Total PCS per Pallet],,0)</f>
        <v>36</v>
      </c>
      <c r="BF298" s="431">
        <f>_xlfn.XLOOKUP(PV_DATA[[#This Row],[New Ark SKU]],Table9[New Ark SKU],Table9[Total PCS per 40HQ Container],,0)</f>
        <v>864</v>
      </c>
      <c r="BG298" s="431" t="str">
        <f>_xlfn.XLOOKUP(PV_DATA[[#This Row],[New Ark SKU]],Table9[New Ark SKU],Table9[Back Glass],,0)</f>
        <v>Black glazing</v>
      </c>
      <c r="BH298" s="431" t="str">
        <f>_xlfn.XLOOKUP(PV_DATA[[#This Row],[PORT DESTINATION]],Table12[PORT DESTINATION],Table12[Cosco Line],,0)</f>
        <v>AEU</v>
      </c>
      <c r="BJ298" s="430"/>
    </row>
    <row r="299" spans="1:62" ht="10.5" hidden="1">
      <c r="A299" s="462" t="s">
        <v>1495</v>
      </c>
      <c r="B299" s="462" t="s">
        <v>111</v>
      </c>
      <c r="C299" s="462" t="str">
        <f>IFERROR(LEFT(PV_DATA[[#This Row],[TCL REFERENCE]],FIND(".",PV_DATA[[#This Row],[TCL REFERENCE]],1)-1),"Main Line")</f>
        <v>26Feb026</v>
      </c>
      <c r="D299" s="462" t="s">
        <v>63</v>
      </c>
      <c r="E299" s="462" t="s">
        <v>64</v>
      </c>
      <c r="F299" s="462" t="str" cm="1">
        <f t="array" ref="F29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299" s="462" t="s">
        <v>402</v>
      </c>
      <c r="H299" s="462" t="s">
        <v>67</v>
      </c>
      <c r="I299" s="439" t="s">
        <v>822</v>
      </c>
      <c r="J299" s="430" t="s">
        <v>1047</v>
      </c>
      <c r="K299" s="430"/>
      <c r="L299" s="430"/>
      <c r="M299" s="430" t="s">
        <v>68</v>
      </c>
      <c r="N299" s="432">
        <v>46069</v>
      </c>
      <c r="O299" s="430" t="s">
        <v>70</v>
      </c>
      <c r="P299" s="430" t="s">
        <v>1002</v>
      </c>
      <c r="Q299" s="430" t="s">
        <v>330</v>
      </c>
      <c r="R299" s="431" t="str">
        <f>_xlfn.XLOOKUP(PV_DATA[[#This Row],[New Ark SKU]],Table9[New Ark SKU],Table9[Connector],,0)</f>
        <v>EVO2A</v>
      </c>
      <c r="S299" s="442" t="str">
        <f>_xlfn.XLOOKUP(PV_DATA[[#This Row],[New Ark SKU]],Table9[New Ark SKU],Table9[Cable],,0)</f>
        <v>±1400mm</v>
      </c>
      <c r="T299" s="433">
        <v>625</v>
      </c>
      <c r="U299" s="1062">
        <v>720</v>
      </c>
      <c r="V299" s="434">
        <f>PV_DATA[[#This Row],[QUANTITY]]*PV_DATA[[#This Row],[WATT]]/1000000</f>
        <v>0.45</v>
      </c>
      <c r="W299" s="435">
        <f>PV_DATA[[#This Row],[QUANTITY]]/PV_DATA[[#This Row],[Qty/Pallet]]</f>
        <v>20</v>
      </c>
      <c r="X299" s="1015">
        <f>PV_DATA[[#This Row],[QUANTITY]]/PV_DATA[[#This Row],[Qty/CT]]</f>
        <v>1</v>
      </c>
      <c r="Y299" s="430" t="s">
        <v>75</v>
      </c>
      <c r="Z299" s="430" t="str">
        <f t="shared" si="1"/>
        <v>COMPLETED</v>
      </c>
      <c r="AA299" s="430" t="s">
        <v>1472</v>
      </c>
      <c r="AB299" s="437">
        <v>46093</v>
      </c>
      <c r="AC299" s="438">
        <f>IF(PV_DATA[[#This Row],[Pick-Up Date]]&lt;&gt;"",_xlfn.ISOWEEKNUM(PV_DATA[[#This Row],[Pick-Up Date]]),"")</f>
        <v>11</v>
      </c>
      <c r="AD299" s="439" t="s">
        <v>1496</v>
      </c>
      <c r="AE299" s="430"/>
      <c r="AF299" s="430" t="s">
        <v>122</v>
      </c>
      <c r="AG299" s="430" t="s">
        <v>123</v>
      </c>
      <c r="AH299" s="430" t="s">
        <v>105</v>
      </c>
      <c r="AI299" s="437">
        <v>46096</v>
      </c>
      <c r="AJ299" s="437">
        <v>46100</v>
      </c>
      <c r="AK299" s="441">
        <v>46103</v>
      </c>
      <c r="AL299" s="437">
        <v>46133</v>
      </c>
      <c r="AM299" s="437">
        <v>46151</v>
      </c>
      <c r="AN299" s="437">
        <v>46153</v>
      </c>
      <c r="AO299" s="430" t="s">
        <v>402</v>
      </c>
      <c r="AP299" s="430" t="s">
        <v>1486</v>
      </c>
      <c r="AQ299" s="430" t="s">
        <v>80</v>
      </c>
      <c r="AR299" s="430" t="s">
        <v>1497</v>
      </c>
      <c r="AS299" s="430" t="s">
        <v>1498</v>
      </c>
      <c r="AT299" s="482" t="s">
        <v>1498</v>
      </c>
      <c r="AU29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299" s="437" cm="1">
        <f t="array" ref="AW29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46153</v>
      </c>
      <c r="AX29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299" s="437">
        <f>IF(ISERROR(PV_DATA[[#This Row],[New Ark PO status]]),"",_xlfn.XLOOKUP(PV_DATA[[#This Row],[SPTN-PVHK New Ark PO'#]],New_Ark_Data[Purchase order Number],New_Ark_Data[Estimated time of arrival],"",0))</f>
        <v>46160</v>
      </c>
      <c r="AZ299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299" s="437">
        <f>IFERROR(PV_DATA[[#This Row],[ODP ETA Port]]+PV_DATA[[#This Row],[Customs/Leg3 Assumption]],"n/a")</f>
        <v>46160</v>
      </c>
      <c r="BB299" s="433">
        <f>YEAR(PV_DATA[[#This Row],[ETA for New Ark update]])</f>
        <v>2026</v>
      </c>
      <c r="BC299" s="430">
        <f>MONTH(PV_DATA[[#This Row],[ETA for New Ark update]])</f>
        <v>5</v>
      </c>
      <c r="BD299" s="430">
        <f>IFERROR(_xlfn.ISOWEEKNUM(PV_DATA[[#This Row],[ETA for New Ark update]]),0)</f>
        <v>21</v>
      </c>
      <c r="BE299" s="431">
        <f>_xlfn.XLOOKUP(PV_DATA[[#This Row],[New Ark SKU]],Table9[New Ark SKU],Table9[Total PCS per Pallet],,0)</f>
        <v>36</v>
      </c>
      <c r="BF299" s="431">
        <f>_xlfn.XLOOKUP(PV_DATA[[#This Row],[New Ark SKU]],Table9[New Ark SKU],Table9[Total PCS per 40HQ Container],,0)</f>
        <v>720</v>
      </c>
      <c r="BG299" s="431" t="str">
        <f>_xlfn.XLOOKUP(PV_DATA[[#This Row],[New Ark SKU]],Table9[New Ark SKU],Table9[Back Glass],,0)</f>
        <v>Redirection Film</v>
      </c>
      <c r="BH299" s="431" t="str">
        <f>_xlfn.XLOOKUP(PV_DATA[[#This Row],[PORT DESTINATION]],Table12[PORT DESTINATION],Table12[Cosco Line],,0)</f>
        <v>AEU</v>
      </c>
      <c r="BJ299" s="430"/>
    </row>
    <row r="300" spans="1:62" ht="10.5" hidden="1">
      <c r="A300" s="462" t="s">
        <v>1499</v>
      </c>
      <c r="B300" s="462" t="s">
        <v>111</v>
      </c>
      <c r="C300" s="462" t="str">
        <f>IFERROR(LEFT(PV_DATA[[#This Row],[TCL REFERENCE]],FIND(".",PV_DATA[[#This Row],[TCL REFERENCE]],1)-1),"Main Line")</f>
        <v>26Feb008</v>
      </c>
      <c r="D300" s="462" t="s">
        <v>63</v>
      </c>
      <c r="E300" s="462" t="s">
        <v>64</v>
      </c>
      <c r="F300" s="462" t="str" cm="1">
        <f t="array" ref="F30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00" s="462" t="s">
        <v>402</v>
      </c>
      <c r="H300" s="462" t="s">
        <v>67</v>
      </c>
      <c r="I300" s="439" t="s">
        <v>689</v>
      </c>
      <c r="J300" s="430" t="s">
        <v>483</v>
      </c>
      <c r="K300" s="430"/>
      <c r="L300" s="430"/>
      <c r="M300" s="430" t="s">
        <v>68</v>
      </c>
      <c r="N300" s="432">
        <v>46083</v>
      </c>
      <c r="O300" s="430" t="s">
        <v>473</v>
      </c>
      <c r="P300" s="430" t="s">
        <v>474</v>
      </c>
      <c r="Q300" s="430" t="s">
        <v>1319</v>
      </c>
      <c r="R300" s="431" t="str">
        <f>_xlfn.XLOOKUP(PV_DATA[[#This Row],[New Ark SKU]],Table9[New Ark SKU],Table9[Connector],,0)</f>
        <v>EVO2A</v>
      </c>
      <c r="S300" s="442" t="str">
        <f>_xlfn.XLOOKUP(PV_DATA[[#This Row],[New Ark SKU]],Table9[New Ark SKU],Table9[Cable],,0)</f>
        <v>±1200mm</v>
      </c>
      <c r="T300" s="433">
        <v>460</v>
      </c>
      <c r="U300" s="1062">
        <v>864</v>
      </c>
      <c r="V300" s="434">
        <f>PV_DATA[[#This Row],[QUANTITY]]*PV_DATA[[#This Row],[WATT]]/1000000</f>
        <v>0.39744000000000002</v>
      </c>
      <c r="W300" s="435">
        <f>PV_DATA[[#This Row],[QUANTITY]]/PV_DATA[[#This Row],[Qty/Pallet]]</f>
        <v>24</v>
      </c>
      <c r="X300" s="1015">
        <f>PV_DATA[[#This Row],[QUANTITY]]/PV_DATA[[#This Row],[Qty/CT]]</f>
        <v>1</v>
      </c>
      <c r="Y300" s="430" t="s">
        <v>75</v>
      </c>
      <c r="Z300" s="430" t="str">
        <f t="shared" si="1"/>
        <v>COMPLETED</v>
      </c>
      <c r="AA300" s="430" t="s">
        <v>1500</v>
      </c>
      <c r="AB300" s="437">
        <v>46093</v>
      </c>
      <c r="AC300" s="438">
        <f>IF(PV_DATA[[#This Row],[Pick-Up Date]]&lt;&gt;"",_xlfn.ISOWEEKNUM(PV_DATA[[#This Row],[Pick-Up Date]]),"")</f>
        <v>11</v>
      </c>
      <c r="AD300" s="439" t="s">
        <v>1501</v>
      </c>
      <c r="AE300" s="430"/>
      <c r="AF300" s="430" t="s">
        <v>122</v>
      </c>
      <c r="AG300" s="430" t="s">
        <v>123</v>
      </c>
      <c r="AH300" s="430" t="s">
        <v>105</v>
      </c>
      <c r="AI300" s="437">
        <v>46097</v>
      </c>
      <c r="AJ300" s="437">
        <v>46100</v>
      </c>
      <c r="AK300" s="441">
        <v>46103</v>
      </c>
      <c r="AL300" s="437">
        <v>46134</v>
      </c>
      <c r="AM300" s="437">
        <v>46151</v>
      </c>
      <c r="AN300" s="437">
        <v>46153</v>
      </c>
      <c r="AO300" s="430" t="s">
        <v>402</v>
      </c>
      <c r="AP300" s="430" t="s">
        <v>1486</v>
      </c>
      <c r="AQ300" s="430" t="s">
        <v>80</v>
      </c>
      <c r="AR300" s="430" t="s">
        <v>1497</v>
      </c>
      <c r="AS300" s="430" t="s">
        <v>1498</v>
      </c>
      <c r="AT300" s="482" t="s">
        <v>1498</v>
      </c>
      <c r="AU30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300" s="437" cm="1">
        <f t="array" ref="AW30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46153</v>
      </c>
      <c r="AX30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00" s="437">
        <f>IF(ISERROR(PV_DATA[[#This Row],[New Ark PO status]]),"",_xlfn.XLOOKUP(PV_DATA[[#This Row],[SPTN-PVHK New Ark PO'#]],New_Ark_Data[Purchase order Number],New_Ark_Data[Estimated time of arrival],"",0))</f>
        <v>46160</v>
      </c>
      <c r="AZ300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00" s="437">
        <f>IFERROR(PV_DATA[[#This Row],[ODP ETA Port]]+PV_DATA[[#This Row],[Customs/Leg3 Assumption]],"n/a")</f>
        <v>46160</v>
      </c>
      <c r="BB300" s="433">
        <f>YEAR(PV_DATA[[#This Row],[ETA for New Ark update]])</f>
        <v>2026</v>
      </c>
      <c r="BC300" s="430">
        <f>MONTH(PV_DATA[[#This Row],[ETA for New Ark update]])</f>
        <v>5</v>
      </c>
      <c r="BD300" s="430">
        <f>IFERROR(_xlfn.ISOWEEKNUM(PV_DATA[[#This Row],[ETA for New Ark update]]),0)</f>
        <v>21</v>
      </c>
      <c r="BE300" s="431">
        <f>_xlfn.XLOOKUP(PV_DATA[[#This Row],[New Ark SKU]],Table9[New Ark SKU],Table9[Total PCS per Pallet],,0)</f>
        <v>36</v>
      </c>
      <c r="BF300" s="431">
        <f>_xlfn.XLOOKUP(PV_DATA[[#This Row],[New Ark SKU]],Table9[New Ark SKU],Table9[Total PCS per 40HQ Container],,0)</f>
        <v>864</v>
      </c>
      <c r="BG300" s="431" t="str">
        <f>_xlfn.XLOOKUP(PV_DATA[[#This Row],[New Ark SKU]],Table9[New Ark SKU],Table9[Back Glass],,0)</f>
        <v>Black glazing</v>
      </c>
      <c r="BH300" s="431" t="str">
        <f>_xlfn.XLOOKUP(PV_DATA[[#This Row],[PORT DESTINATION]],Table12[PORT DESTINATION],Table12[Cosco Line],,0)</f>
        <v>AEU</v>
      </c>
      <c r="BJ300" s="430"/>
    </row>
    <row r="301" spans="1:62" ht="10.5" hidden="1">
      <c r="A301" s="462" t="s">
        <v>1482</v>
      </c>
      <c r="B301" s="462" t="s">
        <v>111</v>
      </c>
      <c r="C301" s="462" t="str">
        <f>IFERROR(LEFT(PV_DATA[[#This Row],[TCL REFERENCE]],FIND(".",PV_DATA[[#This Row],[TCL REFERENCE]],1)-1),"Main Line")</f>
        <v>Main Line</v>
      </c>
      <c r="D301" s="462" t="s">
        <v>63</v>
      </c>
      <c r="E301" s="462" t="s">
        <v>64</v>
      </c>
      <c r="F301" s="462" t="str" cm="1">
        <f t="array" ref="F30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01" s="462" t="s">
        <v>402</v>
      </c>
      <c r="H301" s="462" t="s">
        <v>67</v>
      </c>
      <c r="I301" s="439" t="s">
        <v>689</v>
      </c>
      <c r="J301" s="430" t="s">
        <v>101</v>
      </c>
      <c r="K301" s="430"/>
      <c r="L301" s="430"/>
      <c r="M301" s="430" t="s">
        <v>68</v>
      </c>
      <c r="N301" s="432">
        <v>46093</v>
      </c>
      <c r="O301" s="430" t="s">
        <v>70</v>
      </c>
      <c r="P301" s="459" t="s">
        <v>1483</v>
      </c>
      <c r="Q301" s="430" t="s">
        <v>1484</v>
      </c>
      <c r="R301" s="431" t="str">
        <f>_xlfn.XLOOKUP(PV_DATA[[#This Row],[New Ark SKU]],Table9[New Ark SKU],Table9[Connector],,0)</f>
        <v>EVO2A</v>
      </c>
      <c r="S301" s="442" t="str">
        <f>_xlfn.XLOOKUP(PV_DATA[[#This Row],[New Ark SKU]],Table9[New Ark SKU],Table9[Cable],,0)</f>
        <v>±1400mm</v>
      </c>
      <c r="T301" s="433">
        <v>725</v>
      </c>
      <c r="U301" s="1062" cm="1">
        <f t="array" ref="U301">19008-fx_qty</f>
        <v>594</v>
      </c>
      <c r="V301" s="434">
        <f>PV_DATA[[#This Row],[QUANTITY]]*PV_DATA[[#This Row],[WATT]]/1000000</f>
        <v>0.43064999999999998</v>
      </c>
      <c r="W301" s="435">
        <v>18</v>
      </c>
      <c r="X301" s="1015">
        <v>1</v>
      </c>
      <c r="Y301" s="430" t="s">
        <v>75</v>
      </c>
      <c r="Z301" s="430" t="str">
        <f t="shared" si="1"/>
        <v>COMPLETED</v>
      </c>
      <c r="AA301" s="430" t="s">
        <v>1456</v>
      </c>
      <c r="AB301" s="437">
        <v>46093</v>
      </c>
      <c r="AC301" s="438">
        <f>IF(PV_DATA[[#This Row],[Pick-Up Date]]&lt;&gt;"",_xlfn.ISOWEEKNUM(PV_DATA[[#This Row],[Pick-Up Date]]),"")</f>
        <v>11</v>
      </c>
      <c r="AD301" s="439" t="s">
        <v>1502</v>
      </c>
      <c r="AE301" s="430"/>
      <c r="AF301" s="430" t="s">
        <v>122</v>
      </c>
      <c r="AG301" s="430" t="s">
        <v>123</v>
      </c>
      <c r="AH301" s="430" t="s">
        <v>105</v>
      </c>
      <c r="AI301" s="437">
        <v>46097</v>
      </c>
      <c r="AJ301" s="437">
        <v>46100</v>
      </c>
      <c r="AK301" s="441">
        <v>46103</v>
      </c>
      <c r="AL301" s="437">
        <v>46134</v>
      </c>
      <c r="AM301" s="437">
        <v>46151</v>
      </c>
      <c r="AN301" s="437">
        <v>46153</v>
      </c>
      <c r="AO301" s="430" t="s">
        <v>402</v>
      </c>
      <c r="AP301" s="430" t="s">
        <v>1486</v>
      </c>
      <c r="AQ301" s="430" t="s">
        <v>80</v>
      </c>
      <c r="AR301" s="430" t="s">
        <v>1497</v>
      </c>
      <c r="AS301" s="430" t="s">
        <v>1498</v>
      </c>
      <c r="AT301" s="482" t="s">
        <v>1498</v>
      </c>
      <c r="AU30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301" s="437" cm="1">
        <f t="array" ref="AW30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46153</v>
      </c>
      <c r="AX30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01" s="437">
        <f>IF(ISERROR(PV_DATA[[#This Row],[New Ark PO status]]),"",_xlfn.XLOOKUP(PV_DATA[[#This Row],[SPTN-PVHK New Ark PO'#]],New_Ark_Data[Purchase order Number],New_Ark_Data[Estimated time of arrival],"",0))</f>
        <v>46160</v>
      </c>
      <c r="AZ301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01" s="437">
        <f>IFERROR(PV_DATA[[#This Row],[ODP ETA Port]]+PV_DATA[[#This Row],[Customs/Leg3 Assumption]],"n/a")</f>
        <v>46160</v>
      </c>
      <c r="BB301" s="433">
        <f>YEAR(PV_DATA[[#This Row],[ETA for New Ark update]])</f>
        <v>2026</v>
      </c>
      <c r="BC301" s="430">
        <f>MONTH(PV_DATA[[#This Row],[ETA for New Ark update]])</f>
        <v>5</v>
      </c>
      <c r="BD301" s="430">
        <f>IFERROR(_xlfn.ISOWEEKNUM(PV_DATA[[#This Row],[ETA for New Ark update]]),0)</f>
        <v>21</v>
      </c>
      <c r="BE301" s="431">
        <v>33</v>
      </c>
      <c r="BF301" s="431">
        <v>594</v>
      </c>
      <c r="BG301" s="431" t="str">
        <f>_xlfn.XLOOKUP(PV_DATA[[#This Row],[New Ark SKU]],Table9[New Ark SKU],Table9[Back Glass],,0)</f>
        <v>Redirection Film</v>
      </c>
      <c r="BH301" s="431" t="str">
        <f>_xlfn.XLOOKUP(PV_DATA[[#This Row],[PORT DESTINATION]],Table12[PORT DESTINATION],Table12[Cosco Line],,0)</f>
        <v>AEU</v>
      </c>
      <c r="BJ301" s="430"/>
    </row>
    <row r="302" spans="1:62" ht="10.5" hidden="1">
      <c r="A302" s="462" t="s">
        <v>1503</v>
      </c>
      <c r="B302" s="462" t="s">
        <v>111</v>
      </c>
      <c r="C302" s="462" t="str">
        <f>IFERROR(LEFT(PV_DATA[[#This Row],[TCL REFERENCE]],FIND(".",PV_DATA[[#This Row],[TCL REFERENCE]],1)-1),"Main Line")</f>
        <v>26Feb007</v>
      </c>
      <c r="D302" s="462" t="s">
        <v>63</v>
      </c>
      <c r="E302" s="462" t="s">
        <v>64</v>
      </c>
      <c r="F302" s="462" t="str" cm="1">
        <f t="array" ref="F30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02" s="462" t="s">
        <v>402</v>
      </c>
      <c r="H302" s="462" t="s">
        <v>67</v>
      </c>
      <c r="I302" s="439" t="s">
        <v>689</v>
      </c>
      <c r="J302" s="430" t="s">
        <v>483</v>
      </c>
      <c r="K302" s="430"/>
      <c r="L302" s="430"/>
      <c r="M302" s="430" t="s">
        <v>68</v>
      </c>
      <c r="N302" s="432">
        <v>46083</v>
      </c>
      <c r="O302" s="430" t="s">
        <v>473</v>
      </c>
      <c r="P302" s="430" t="s">
        <v>529</v>
      </c>
      <c r="Q302" s="430" t="s">
        <v>1311</v>
      </c>
      <c r="R302" s="431" t="str">
        <f>_xlfn.XLOOKUP(PV_DATA[[#This Row],[New Ark SKU]],Table9[New Ark SKU],Table9[Connector],,0)</f>
        <v>EVO2A</v>
      </c>
      <c r="S302" s="442" t="str">
        <f>_xlfn.XLOOKUP(PV_DATA[[#This Row],[New Ark SKU]],Table9[New Ark SKU],Table9[Cable],,0)</f>
        <v>±1200mm</v>
      </c>
      <c r="T302" s="433">
        <v>455</v>
      </c>
      <c r="U302" s="1062">
        <v>6912</v>
      </c>
      <c r="V302" s="434">
        <f>PV_DATA[[#This Row],[QUANTITY]]*PV_DATA[[#This Row],[WATT]]/1000000</f>
        <v>3.1449600000000002</v>
      </c>
      <c r="W302" s="435">
        <f>PV_DATA[[#This Row],[QUANTITY]]/PV_DATA[[#This Row],[Qty/Pallet]]</f>
        <v>192</v>
      </c>
      <c r="X302" s="1015">
        <f>PV_DATA[[#This Row],[QUANTITY]]/PV_DATA[[#This Row],[Qty/CT]]</f>
        <v>8</v>
      </c>
      <c r="Y302" s="430" t="s">
        <v>75</v>
      </c>
      <c r="Z302" s="430" t="str">
        <f t="shared" si="1"/>
        <v>COMPLETED</v>
      </c>
      <c r="AA302" s="430" t="s">
        <v>1504</v>
      </c>
      <c r="AB302" s="437">
        <v>46093</v>
      </c>
      <c r="AC302" s="438">
        <f>IF(PV_DATA[[#This Row],[Pick-Up Date]]&lt;&gt;"",_xlfn.ISOWEEKNUM(PV_DATA[[#This Row],[Pick-Up Date]]),"")</f>
        <v>11</v>
      </c>
      <c r="AD302" s="439" t="s">
        <v>1505</v>
      </c>
      <c r="AE302" s="430"/>
      <c r="AF302" s="430" t="s">
        <v>122</v>
      </c>
      <c r="AG302" s="430" t="s">
        <v>123</v>
      </c>
      <c r="AH302" s="430" t="s">
        <v>105</v>
      </c>
      <c r="AI302" s="437">
        <v>46097</v>
      </c>
      <c r="AJ302" s="437">
        <v>46100</v>
      </c>
      <c r="AK302" s="441">
        <v>46103</v>
      </c>
      <c r="AL302" s="437">
        <v>46134</v>
      </c>
      <c r="AM302" s="437">
        <v>46151</v>
      </c>
      <c r="AN302" s="437">
        <v>46153</v>
      </c>
      <c r="AO302" s="430" t="s">
        <v>402</v>
      </c>
      <c r="AP302" s="430" t="s">
        <v>1486</v>
      </c>
      <c r="AQ302" s="430" t="s">
        <v>80</v>
      </c>
      <c r="AR302" s="430" t="s">
        <v>1497</v>
      </c>
      <c r="AS302" s="430" t="s">
        <v>1498</v>
      </c>
      <c r="AT302" s="482" t="s">
        <v>1498</v>
      </c>
      <c r="AU30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302" s="437" cm="1">
        <f t="array" ref="AW30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46153</v>
      </c>
      <c r="AX30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02" s="437">
        <f>IF(ISERROR(PV_DATA[[#This Row],[New Ark PO status]]),"",_xlfn.XLOOKUP(PV_DATA[[#This Row],[SPTN-PVHK New Ark PO'#]],New_Ark_Data[Purchase order Number],New_Ark_Data[Estimated time of arrival],"",0))</f>
        <v>46160</v>
      </c>
      <c r="AZ30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02" s="437">
        <f>IFERROR(PV_DATA[[#This Row],[ODP ETA Port]]+PV_DATA[[#This Row],[Customs/Leg3 Assumption]],"n/a")</f>
        <v>46160</v>
      </c>
      <c r="BB302" s="433">
        <f>YEAR(PV_DATA[[#This Row],[ETA for New Ark update]])</f>
        <v>2026</v>
      </c>
      <c r="BC302" s="430">
        <f>MONTH(PV_DATA[[#This Row],[ETA for New Ark update]])</f>
        <v>5</v>
      </c>
      <c r="BD302" s="430">
        <f>IFERROR(_xlfn.ISOWEEKNUM(PV_DATA[[#This Row],[ETA for New Ark update]]),0)</f>
        <v>21</v>
      </c>
      <c r="BE302" s="431">
        <f>_xlfn.XLOOKUP(PV_DATA[[#This Row],[New Ark SKU]],Table9[New Ark SKU],Table9[Total PCS per Pallet],,0)</f>
        <v>36</v>
      </c>
      <c r="BF302" s="431">
        <f>_xlfn.XLOOKUP(PV_DATA[[#This Row],[New Ark SKU]],Table9[New Ark SKU],Table9[Total PCS per 40HQ Container],,0)</f>
        <v>864</v>
      </c>
      <c r="BG302" s="431" t="str">
        <f>_xlfn.XLOOKUP(PV_DATA[[#This Row],[New Ark SKU]],Table9[New Ark SKU],Table9[Back Glass],,0)</f>
        <v>Black glazing</v>
      </c>
      <c r="BH302" s="431" t="str">
        <f>_xlfn.XLOOKUP(PV_DATA[[#This Row],[PORT DESTINATION]],Table12[PORT DESTINATION],Table12[Cosco Line],,0)</f>
        <v>AEU</v>
      </c>
      <c r="BJ302" s="430"/>
    </row>
    <row r="303" spans="1:62" ht="10.5" hidden="1">
      <c r="A303" s="462" t="s">
        <v>1506</v>
      </c>
      <c r="B303" s="462" t="s">
        <v>111</v>
      </c>
      <c r="C303" s="462" t="str">
        <f>IFERROR(LEFT(PV_DATA[[#This Row],[TCL REFERENCE]],FIND(".",PV_DATA[[#This Row],[TCL REFERENCE]],1)-1),"Main Line")</f>
        <v>26Feb037</v>
      </c>
      <c r="D303" s="462" t="s">
        <v>113</v>
      </c>
      <c r="E303" s="462" t="s">
        <v>64</v>
      </c>
      <c r="F303" s="462" t="str" cm="1">
        <f t="array" ref="F30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303" s="462" t="s">
        <v>402</v>
      </c>
      <c r="H303" s="462" t="s">
        <v>67</v>
      </c>
      <c r="I303" s="439" t="s">
        <v>822</v>
      </c>
      <c r="J303" s="430" t="s">
        <v>1327</v>
      </c>
      <c r="K303" s="430"/>
      <c r="L303" s="430"/>
      <c r="M303" s="430" t="s">
        <v>68</v>
      </c>
      <c r="N303" s="432" t="s">
        <v>68</v>
      </c>
      <c r="O303" s="430" t="s">
        <v>70</v>
      </c>
      <c r="P303" s="430" t="s">
        <v>218</v>
      </c>
      <c r="Q303" s="430" t="s">
        <v>219</v>
      </c>
      <c r="R303" s="431" t="str">
        <f>_xlfn.XLOOKUP(PV_DATA[[#This Row],[New Ark SKU]],Table9[New Ark SKU],Table9[Connector],,0)</f>
        <v>EVO2A</v>
      </c>
      <c r="S303" s="442" t="str">
        <f>_xlfn.XLOOKUP(PV_DATA[[#This Row],[New Ark SKU]],Table9[New Ark SKU],Table9[Cable],,0)</f>
        <v>±1400mm</v>
      </c>
      <c r="T303" s="433">
        <v>625</v>
      </c>
      <c r="U303" s="1062">
        <f>9*720</f>
        <v>6480</v>
      </c>
      <c r="V303" s="434">
        <f>PV_DATA[[#This Row],[QUANTITY]]*PV_DATA[[#This Row],[WATT]]/1000000</f>
        <v>4.05</v>
      </c>
      <c r="W303" s="435">
        <f>PV_DATA[[#This Row],[QUANTITY]]/PV_DATA[[#This Row],[Qty/Pallet]]</f>
        <v>180</v>
      </c>
      <c r="X303" s="1015">
        <f>PV_DATA[[#This Row],[QUANTITY]]/PV_DATA[[#This Row],[Qty/CT]]</f>
        <v>9</v>
      </c>
      <c r="Y303" s="430" t="s">
        <v>75</v>
      </c>
      <c r="Z303" s="430" t="str">
        <f t="shared" si="1"/>
        <v>COMPLETED</v>
      </c>
      <c r="AA303" s="430"/>
      <c r="AB303" s="437">
        <v>46091</v>
      </c>
      <c r="AC303" s="438">
        <f>IF(PV_DATA[[#This Row],[Pick-Up Date]]&lt;&gt;"",_xlfn.ISOWEEKNUM(PV_DATA[[#This Row],[Pick-Up Date]]),"")</f>
        <v>11</v>
      </c>
      <c r="AD303" s="439" t="s">
        <v>1507</v>
      </c>
      <c r="AE303" s="430"/>
      <c r="AF303" s="430" t="s">
        <v>122</v>
      </c>
      <c r="AG303" s="430" t="s">
        <v>123</v>
      </c>
      <c r="AH303" s="430" t="s">
        <v>78</v>
      </c>
      <c r="AI303" s="437">
        <v>46096</v>
      </c>
      <c r="AJ303" s="437">
        <v>46095</v>
      </c>
      <c r="AK303" s="441">
        <v>46095</v>
      </c>
      <c r="AL303" s="437">
        <v>46146</v>
      </c>
      <c r="AM303" s="437">
        <v>46153</v>
      </c>
      <c r="AN303" s="437">
        <v>46159</v>
      </c>
      <c r="AO303" s="430" t="s">
        <v>402</v>
      </c>
      <c r="AP303" s="430" t="s">
        <v>1508</v>
      </c>
      <c r="AQ303" s="430" t="s">
        <v>80</v>
      </c>
      <c r="AR303" s="430" t="s">
        <v>1509</v>
      </c>
      <c r="AS303" s="430" t="s">
        <v>1510</v>
      </c>
      <c r="AT303" s="482" t="s">
        <v>1510</v>
      </c>
      <c r="AU30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</v>
      </c>
      <c r="AW303" s="437" cm="1">
        <f t="array" ref="AW30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46159</v>
      </c>
      <c r="AX30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03" s="437">
        <f>IF(ISERROR(PV_DATA[[#This Row],[New Ark PO status]]),"",_xlfn.XLOOKUP(PV_DATA[[#This Row],[SPTN-PVHK New Ark PO'#]],New_Ark_Data[Purchase order Number],New_Ark_Data[Estimated time of arrival],"",0))</f>
        <v>46171</v>
      </c>
      <c r="AZ303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303" s="437">
        <f>IFERROR(PV_DATA[[#This Row],[ODP ETA Port]]+PV_DATA[[#This Row],[Customs/Leg3 Assumption]],"n/a")</f>
        <v>46167</v>
      </c>
      <c r="BB303" s="433">
        <f>YEAR(PV_DATA[[#This Row],[ETA for New Ark update]])</f>
        <v>2026</v>
      </c>
      <c r="BC303" s="430">
        <f>MONTH(PV_DATA[[#This Row],[ETA for New Ark update]])</f>
        <v>5</v>
      </c>
      <c r="BD303" s="430">
        <f>IFERROR(_xlfn.ISOWEEKNUM(PV_DATA[[#This Row],[ETA for New Ark update]]),0)</f>
        <v>22</v>
      </c>
      <c r="BE303" s="431">
        <f>_xlfn.XLOOKUP(PV_DATA[[#This Row],[New Ark SKU]],Table9[New Ark SKU],Table9[Total PCS per Pallet],,0)</f>
        <v>36</v>
      </c>
      <c r="BF303" s="431">
        <f>_xlfn.XLOOKUP(PV_DATA[[#This Row],[New Ark SKU]],Table9[New Ark SKU],Table9[Total PCS per 40HQ Container],,0)</f>
        <v>720</v>
      </c>
      <c r="BG303" s="431" t="str">
        <f>_xlfn.XLOOKUP(PV_DATA[[#This Row],[New Ark SKU]],Table9[New Ark SKU],Table9[Back Glass],,0)</f>
        <v>Redirection Film</v>
      </c>
      <c r="BH303" s="431" t="str">
        <f>_xlfn.XLOOKUP(PV_DATA[[#This Row],[PORT DESTINATION]],Table12[PORT DESTINATION],Table12[Cosco Line],,0)</f>
        <v>AEM</v>
      </c>
      <c r="BJ303" s="430"/>
    </row>
    <row r="304" spans="1:62" ht="10.5" hidden="1">
      <c r="A304" s="462" t="s">
        <v>1511</v>
      </c>
      <c r="B304" s="462" t="s">
        <v>111</v>
      </c>
      <c r="C304" s="462" t="str">
        <f>IFERROR(LEFT(PV_DATA[[#This Row],[TCL REFERENCE]],FIND(".",PV_DATA[[#This Row],[TCL REFERENCE]],1)-1),"Main Line")</f>
        <v>26Feb038</v>
      </c>
      <c r="D304" s="462" t="s">
        <v>113</v>
      </c>
      <c r="E304" s="462" t="s">
        <v>64</v>
      </c>
      <c r="F304" s="462" t="str" cm="1">
        <f t="array" ref="F30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304" s="462" t="s">
        <v>402</v>
      </c>
      <c r="H304" s="462" t="s">
        <v>67</v>
      </c>
      <c r="I304" s="439" t="s">
        <v>822</v>
      </c>
      <c r="J304" s="430" t="s">
        <v>1327</v>
      </c>
      <c r="K304" s="430"/>
      <c r="L304" s="430"/>
      <c r="M304" s="430" t="s">
        <v>68</v>
      </c>
      <c r="N304" s="432" t="s">
        <v>68</v>
      </c>
      <c r="O304" s="430" t="s">
        <v>70</v>
      </c>
      <c r="P304" s="430" t="s">
        <v>1334</v>
      </c>
      <c r="Q304" s="430" t="s">
        <v>1335</v>
      </c>
      <c r="R304" s="431" t="str">
        <f>_xlfn.XLOOKUP(PV_DATA[[#This Row],[New Ark SKU]],Table9[New Ark SKU],Table9[Connector],,0)</f>
        <v>EVO2A</v>
      </c>
      <c r="S304" s="442" t="str">
        <f>_xlfn.XLOOKUP(PV_DATA[[#This Row],[New Ark SKU]],Table9[New Ark SKU],Table9[Cable],,0)</f>
        <v>±1400mm</v>
      </c>
      <c r="T304" s="433">
        <v>630</v>
      </c>
      <c r="U304" s="1062">
        <f>720*6</f>
        <v>4320</v>
      </c>
      <c r="V304" s="434">
        <f>PV_DATA[[#This Row],[QUANTITY]]*PV_DATA[[#This Row],[WATT]]/1000000</f>
        <v>2.7216</v>
      </c>
      <c r="W304" s="435">
        <f>PV_DATA[[#This Row],[QUANTITY]]/PV_DATA[[#This Row],[Qty/Pallet]]</f>
        <v>120</v>
      </c>
      <c r="X304" s="1015">
        <f>PV_DATA[[#This Row],[QUANTITY]]/PV_DATA[[#This Row],[Qty/CT]]</f>
        <v>6</v>
      </c>
      <c r="Y304" s="430" t="s">
        <v>75</v>
      </c>
      <c r="Z304" s="430" t="str">
        <f t="shared" si="1"/>
        <v>COMPLETED</v>
      </c>
      <c r="AA304" s="430"/>
      <c r="AB304" s="437">
        <v>46091</v>
      </c>
      <c r="AC304" s="438">
        <f>IF(PV_DATA[[#This Row],[Pick-Up Date]]&lt;&gt;"",_xlfn.ISOWEEKNUM(PV_DATA[[#This Row],[Pick-Up Date]]),"")</f>
        <v>11</v>
      </c>
      <c r="AD304" s="439" t="s">
        <v>1512</v>
      </c>
      <c r="AE304" s="430"/>
      <c r="AF304" s="430" t="s">
        <v>122</v>
      </c>
      <c r="AG304" s="430" t="s">
        <v>123</v>
      </c>
      <c r="AH304" s="430" t="s">
        <v>78</v>
      </c>
      <c r="AI304" s="437">
        <v>46096</v>
      </c>
      <c r="AJ304" s="437">
        <v>46095</v>
      </c>
      <c r="AK304" s="441">
        <v>46095</v>
      </c>
      <c r="AL304" s="437">
        <v>46146</v>
      </c>
      <c r="AM304" s="437">
        <v>46153</v>
      </c>
      <c r="AN304" s="437">
        <v>46159</v>
      </c>
      <c r="AO304" s="430" t="s">
        <v>402</v>
      </c>
      <c r="AP304" s="430" t="s">
        <v>1508</v>
      </c>
      <c r="AQ304" s="430" t="s">
        <v>80</v>
      </c>
      <c r="AR304" s="430" t="s">
        <v>1509</v>
      </c>
      <c r="AS304" s="430" t="s">
        <v>1510</v>
      </c>
      <c r="AT304" s="482" t="s">
        <v>1510</v>
      </c>
      <c r="AU30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</v>
      </c>
      <c r="AW304" s="437" cm="1">
        <f t="array" ref="AW30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46159</v>
      </c>
      <c r="AX30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04" s="437">
        <f>IF(ISERROR(PV_DATA[[#This Row],[New Ark PO status]]),"",_xlfn.XLOOKUP(PV_DATA[[#This Row],[SPTN-PVHK New Ark PO'#]],New_Ark_Data[Purchase order Number],New_Ark_Data[Estimated time of arrival],"",0))</f>
        <v>46171</v>
      </c>
      <c r="AZ304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304" s="437">
        <f>IFERROR(PV_DATA[[#This Row],[ODP ETA Port]]+PV_DATA[[#This Row],[Customs/Leg3 Assumption]],"n/a")</f>
        <v>46167</v>
      </c>
      <c r="BB304" s="433">
        <f>YEAR(PV_DATA[[#This Row],[ETA for New Ark update]])</f>
        <v>2026</v>
      </c>
      <c r="BC304" s="430">
        <f>MONTH(PV_DATA[[#This Row],[ETA for New Ark update]])</f>
        <v>5</v>
      </c>
      <c r="BD304" s="430">
        <f>IFERROR(_xlfn.ISOWEEKNUM(PV_DATA[[#This Row],[ETA for New Ark update]]),0)</f>
        <v>22</v>
      </c>
      <c r="BE304" s="431">
        <f>_xlfn.XLOOKUP(PV_DATA[[#This Row],[New Ark SKU]],Table9[New Ark SKU],Table9[Total PCS per Pallet],,0)</f>
        <v>36</v>
      </c>
      <c r="BF304" s="431">
        <f>_xlfn.XLOOKUP(PV_DATA[[#This Row],[New Ark SKU]],Table9[New Ark SKU],Table9[Total PCS per 40HQ Container],,0)</f>
        <v>720</v>
      </c>
      <c r="BG304" s="431" t="str">
        <f>_xlfn.XLOOKUP(PV_DATA[[#This Row],[New Ark SKU]],Table9[New Ark SKU],Table9[Back Glass],,0)</f>
        <v>Transparent</v>
      </c>
      <c r="BH304" s="431" t="str">
        <f>_xlfn.XLOOKUP(PV_DATA[[#This Row],[PORT DESTINATION]],Table12[PORT DESTINATION],Table12[Cosco Line],,0)</f>
        <v>AEM</v>
      </c>
      <c r="BJ304" s="430"/>
    </row>
    <row r="305" spans="1:62" ht="10.5" hidden="1">
      <c r="A305" s="462" t="s">
        <v>1513</v>
      </c>
      <c r="B305" s="462" t="s">
        <v>111</v>
      </c>
      <c r="C305" s="462" t="str">
        <f>IFERROR(LEFT(PV_DATA[[#This Row],[TCL REFERENCE]],FIND(".",PV_DATA[[#This Row],[TCL REFERENCE]],1)-1),"Main Line")</f>
        <v>26Feb008</v>
      </c>
      <c r="D305" s="462" t="s">
        <v>63</v>
      </c>
      <c r="E305" s="462" t="s">
        <v>64</v>
      </c>
      <c r="F305" s="462" t="str" cm="1">
        <f t="array" ref="F30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305" s="462" t="s">
        <v>402</v>
      </c>
      <c r="H305" s="462" t="s">
        <v>115</v>
      </c>
      <c r="I305" s="439" t="s">
        <v>689</v>
      </c>
      <c r="J305" s="430" t="s">
        <v>646</v>
      </c>
      <c r="K305" s="430"/>
      <c r="L305" s="430"/>
      <c r="M305" s="430" t="s">
        <v>68</v>
      </c>
      <c r="N305" s="432">
        <v>46083</v>
      </c>
      <c r="O305" s="430" t="s">
        <v>473</v>
      </c>
      <c r="P305" s="430" t="s">
        <v>474</v>
      </c>
      <c r="Q305" s="430" t="s">
        <v>1319</v>
      </c>
      <c r="R305" s="431" t="str">
        <f>_xlfn.XLOOKUP(PV_DATA[[#This Row],[New Ark SKU]],Table9[New Ark SKU],Table9[Connector],,0)</f>
        <v>EVO2A</v>
      </c>
      <c r="S305" s="442" t="str">
        <f>_xlfn.XLOOKUP(PV_DATA[[#This Row],[New Ark SKU]],Table9[New Ark SKU],Table9[Cable],,0)</f>
        <v>±1200mm</v>
      </c>
      <c r="T305" s="433">
        <v>460</v>
      </c>
      <c r="U305" s="1062">
        <f>864*2</f>
        <v>1728</v>
      </c>
      <c r="V305" s="434">
        <f>PV_DATA[[#This Row],[QUANTITY]]*PV_DATA[[#This Row],[WATT]]/1000000</f>
        <v>0.79488000000000003</v>
      </c>
      <c r="W305" s="435">
        <f>PV_DATA[[#This Row],[QUANTITY]]/PV_DATA[[#This Row],[Qty/Pallet]]</f>
        <v>48</v>
      </c>
      <c r="X305" s="1015">
        <f>PV_DATA[[#This Row],[QUANTITY]]/PV_DATA[[#This Row],[Qty/CT]]</f>
        <v>2</v>
      </c>
      <c r="Y305" s="430" t="s">
        <v>75</v>
      </c>
      <c r="Z305" s="430" t="str">
        <f t="shared" si="1"/>
        <v>COMPLETED</v>
      </c>
      <c r="AA305" s="430" t="s">
        <v>1514</v>
      </c>
      <c r="AB305" s="437">
        <v>46088</v>
      </c>
      <c r="AC305" s="438">
        <f>IF(PV_DATA[[#This Row],[Pick-Up Date]]&lt;&gt;"",_xlfn.ISOWEEKNUM(PV_DATA[[#This Row],[Pick-Up Date]]),"")</f>
        <v>10</v>
      </c>
      <c r="AD305" s="439" t="s">
        <v>1515</v>
      </c>
      <c r="AE305" s="430"/>
      <c r="AF305" s="430" t="s">
        <v>122</v>
      </c>
      <c r="AG305" s="430" t="s">
        <v>123</v>
      </c>
      <c r="AH305" s="430" t="s">
        <v>124</v>
      </c>
      <c r="AI305" s="437">
        <v>46096</v>
      </c>
      <c r="AJ305" s="437">
        <v>46095</v>
      </c>
      <c r="AK305" s="441">
        <v>46095</v>
      </c>
      <c r="AL305" s="437">
        <v>46149</v>
      </c>
      <c r="AM305" s="437">
        <v>46162</v>
      </c>
      <c r="AN305" s="437">
        <v>46162</v>
      </c>
      <c r="AO305" s="430" t="s">
        <v>402</v>
      </c>
      <c r="AP305" s="430" t="s">
        <v>1508</v>
      </c>
      <c r="AQ305" s="430" t="s">
        <v>80</v>
      </c>
      <c r="AR305" s="430" t="s">
        <v>1516</v>
      </c>
      <c r="AS305" s="430" t="s">
        <v>1517</v>
      </c>
      <c r="AT305" s="482" t="s">
        <v>1517</v>
      </c>
      <c r="AU30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67</v>
      </c>
      <c r="AW305" s="437" cm="1">
        <f t="array" ref="AW30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46162</v>
      </c>
      <c r="AX30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05" s="437">
        <f>IF(ISERROR(PV_DATA[[#This Row],[New Ark PO status]]),"",_xlfn.XLOOKUP(PV_DATA[[#This Row],[SPTN-PVHK New Ark PO'#]],New_Ark_Data[Purchase order Number],New_Ark_Data[Estimated time of arrival],"",0))</f>
        <v>46176</v>
      </c>
      <c r="AZ305" s="44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305" s="437">
        <f>IFERROR(PV_DATA[[#This Row],[ODP ETA Port]]+PV_DATA[[#This Row],[Customs/Leg3 Assumption]],"n/a")</f>
        <v>46171</v>
      </c>
      <c r="BB305" s="433">
        <f>YEAR(PV_DATA[[#This Row],[ETA for New Ark update]])</f>
        <v>2026</v>
      </c>
      <c r="BC305" s="430">
        <f>MONTH(PV_DATA[[#This Row],[ETA for New Ark update]])</f>
        <v>5</v>
      </c>
      <c r="BD305" s="430">
        <f>IFERROR(_xlfn.ISOWEEKNUM(PV_DATA[[#This Row],[ETA for New Ark update]]),0)</f>
        <v>22</v>
      </c>
      <c r="BE305" s="431">
        <f>_xlfn.XLOOKUP(PV_DATA[[#This Row],[New Ark SKU]],Table9[New Ark SKU],Table9[Total PCS per Pallet],,0)</f>
        <v>36</v>
      </c>
      <c r="BF305" s="431">
        <f>_xlfn.XLOOKUP(PV_DATA[[#This Row],[New Ark SKU]],Table9[New Ark SKU],Table9[Total PCS per 40HQ Container],,0)</f>
        <v>864</v>
      </c>
      <c r="BG305" s="431" t="str">
        <f>_xlfn.XLOOKUP(PV_DATA[[#This Row],[New Ark SKU]],Table9[New Ark SKU],Table9[Back Glass],,0)</f>
        <v>Black glazing</v>
      </c>
      <c r="BH305" s="431" t="str">
        <f>_xlfn.XLOOKUP(PV_DATA[[#This Row],[PORT DESTINATION]],Table12[PORT DESTINATION],Table12[Cosco Line],,0)</f>
        <v>AEM</v>
      </c>
      <c r="BJ305" s="430"/>
    </row>
    <row r="306" spans="1:62" ht="10.5" hidden="1">
      <c r="A306" s="462" t="s">
        <v>1518</v>
      </c>
      <c r="B306" s="462" t="s">
        <v>1519</v>
      </c>
      <c r="C306" s="462" t="str">
        <f>IFERROR(LEFT(PV_DATA[[#This Row],[TCL REFERENCE]],FIND(".",PV_DATA[[#This Row],[TCL REFERENCE]],1)-1),"Main Line")</f>
        <v>26Feb027</v>
      </c>
      <c r="D306" s="462" t="s">
        <v>63</v>
      </c>
      <c r="E306" s="462" t="s">
        <v>64</v>
      </c>
      <c r="F306" s="462" t="str" cm="1">
        <f t="array" ref="F30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06" s="462" t="s">
        <v>402</v>
      </c>
      <c r="H306" s="462" t="s">
        <v>67</v>
      </c>
      <c r="I306" s="439" t="s">
        <v>689</v>
      </c>
      <c r="J306" s="430" t="s">
        <v>483</v>
      </c>
      <c r="K306" s="430"/>
      <c r="L306" s="430"/>
      <c r="M306" s="430" t="s">
        <v>68</v>
      </c>
      <c r="N306" s="432">
        <v>46090</v>
      </c>
      <c r="O306" s="430" t="s">
        <v>284</v>
      </c>
      <c r="P306" s="430" t="s">
        <v>1521</v>
      </c>
      <c r="Q306" s="430" t="s">
        <v>1522</v>
      </c>
      <c r="R306" s="431" t="str">
        <f>_xlfn.XLOOKUP(PV_DATA[[#This Row],[New Ark SKU]],Table9[New Ark SKU],Table9[Connector],,0)</f>
        <v>EVO2A</v>
      </c>
      <c r="S306" s="442" t="str">
        <f>_xlfn.XLOOKUP(PV_DATA[[#This Row],[New Ark SKU]],Table9[New Ark SKU],Table9[Cable],,0)</f>
        <v>±1200mm</v>
      </c>
      <c r="T306" s="433">
        <v>490</v>
      </c>
      <c r="U306" s="1062">
        <f>864*4</f>
        <v>3456</v>
      </c>
      <c r="V306" s="434">
        <f>PV_DATA[[#This Row],[QUANTITY]]*PV_DATA[[#This Row],[WATT]]/1000000</f>
        <v>1.6934400000000001</v>
      </c>
      <c r="W306" s="435">
        <f>PV_DATA[[#This Row],[QUANTITY]]/PV_DATA[[#This Row],[Qty/Pallet]]</f>
        <v>96</v>
      </c>
      <c r="X306" s="1015">
        <f>PV_DATA[[#This Row],[QUANTITY]]/PV_DATA[[#This Row],[Qty/CT]]</f>
        <v>4</v>
      </c>
      <c r="Y306" s="430" t="s">
        <v>75</v>
      </c>
      <c r="Z306" s="430" t="str">
        <f t="shared" si="1"/>
        <v>COMPLETED</v>
      </c>
      <c r="AA306" s="430" t="s">
        <v>1523</v>
      </c>
      <c r="AB306" s="437">
        <v>46091</v>
      </c>
      <c r="AC306" s="438">
        <f>IF(PV_DATA[[#This Row],[Pick-Up Date]]&lt;&gt;"",_xlfn.ISOWEEKNUM(PV_DATA[[#This Row],[Pick-Up Date]]),"")</f>
        <v>11</v>
      </c>
      <c r="AD306" s="439" t="s">
        <v>1524</v>
      </c>
      <c r="AE306" s="430"/>
      <c r="AF306" s="430" t="s">
        <v>1525</v>
      </c>
      <c r="AG306" s="430" t="s">
        <v>123</v>
      </c>
      <c r="AH306" s="430" t="s">
        <v>105</v>
      </c>
      <c r="AI306" s="437">
        <v>46100</v>
      </c>
      <c r="AJ306" s="437">
        <v>46100</v>
      </c>
      <c r="AK306" s="441">
        <v>46101</v>
      </c>
      <c r="AL306" s="437">
        <v>46143</v>
      </c>
      <c r="AM306" s="437">
        <v>46148</v>
      </c>
      <c r="AN306" s="437">
        <v>46161</v>
      </c>
      <c r="AO306" s="430" t="s">
        <v>402</v>
      </c>
      <c r="AP306" s="430" t="s">
        <v>1526</v>
      </c>
      <c r="AQ306" s="430" t="s">
        <v>161</v>
      </c>
      <c r="AR306" s="430" t="s">
        <v>1527</v>
      </c>
      <c r="AS306" s="430" t="s">
        <v>1528</v>
      </c>
      <c r="AT306" s="482" t="s">
        <v>1529</v>
      </c>
      <c r="AU30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</v>
      </c>
      <c r="AW306" s="437" cm="1">
        <f t="array" ref="AW30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46161</v>
      </c>
      <c r="AX30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06" s="437">
        <f>IF(ISERROR(PV_DATA[[#This Row],[New Ark PO status]]),"",_xlfn.XLOOKUP(PV_DATA[[#This Row],[SPTN-PVHK New Ark PO'#]],New_Ark_Data[Purchase order Number],New_Ark_Data[Estimated time of arrival],"",0))</f>
        <v>46176</v>
      </c>
      <c r="AZ30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06" s="437">
        <f>IFERROR(PV_DATA[[#This Row],[ODP ETA Port]]+PV_DATA[[#This Row],[Customs/Leg3 Assumption]],"n/a")</f>
        <v>46168</v>
      </c>
      <c r="BB306" s="433">
        <f>YEAR(PV_DATA[[#This Row],[ETA for New Ark update]])</f>
        <v>2026</v>
      </c>
      <c r="BC306" s="430">
        <f>MONTH(PV_DATA[[#This Row],[ETA for New Ark update]])</f>
        <v>5</v>
      </c>
      <c r="BD306" s="430">
        <f>IFERROR(_xlfn.ISOWEEKNUM(PV_DATA[[#This Row],[ETA for New Ark update]]),0)</f>
        <v>22</v>
      </c>
      <c r="BE306" s="431">
        <f>_xlfn.XLOOKUP(PV_DATA[[#This Row],[New Ark SKU]],Table9[New Ark SKU],Table9[Total PCS per Pallet],,0)</f>
        <v>36</v>
      </c>
      <c r="BF306" s="431">
        <f>_xlfn.XLOOKUP(PV_DATA[[#This Row],[New Ark SKU]],Table9[New Ark SKU],Table9[Total PCS per 40HQ Container],,0)</f>
        <v>864</v>
      </c>
      <c r="BG306" s="431" t="str">
        <f>_xlfn.XLOOKUP(PV_DATA[[#This Row],[New Ark SKU]],Table9[New Ark SKU],Table9[Back Glass],,0)</f>
        <v>Black glazing</v>
      </c>
      <c r="BH306" s="431" t="str">
        <f>_xlfn.XLOOKUP(PV_DATA[[#This Row],[PORT DESTINATION]],Table12[PORT DESTINATION],Table12[Cosco Line],,0)</f>
        <v>AEU</v>
      </c>
      <c r="BJ306" s="430"/>
    </row>
    <row r="307" spans="1:62" ht="10.5" hidden="1">
      <c r="A307" s="462" t="s">
        <v>1530</v>
      </c>
      <c r="B307" s="462" t="s">
        <v>1519</v>
      </c>
      <c r="C307" s="462" t="str">
        <f>IFERROR(LEFT(PV_DATA[[#This Row],[TCL REFERENCE]],FIND(".",PV_DATA[[#This Row],[TCL REFERENCE]],1)-1),"Main Line")</f>
        <v>26Feb028</v>
      </c>
      <c r="D307" s="462" t="s">
        <v>63</v>
      </c>
      <c r="E307" s="462" t="s">
        <v>64</v>
      </c>
      <c r="F307" s="462" t="str" cm="1">
        <f t="array" ref="F30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07" s="462" t="s">
        <v>402</v>
      </c>
      <c r="H307" s="462" t="s">
        <v>67</v>
      </c>
      <c r="I307" s="439" t="s">
        <v>689</v>
      </c>
      <c r="J307" s="430" t="s">
        <v>483</v>
      </c>
      <c r="K307" s="430"/>
      <c r="L307" s="430"/>
      <c r="M307" s="430" t="s">
        <v>68</v>
      </c>
      <c r="N307" s="432">
        <v>46090</v>
      </c>
      <c r="O307" s="430" t="s">
        <v>284</v>
      </c>
      <c r="P307" s="430" t="s">
        <v>1532</v>
      </c>
      <c r="Q307" s="430" t="s">
        <v>1533</v>
      </c>
      <c r="R307" s="431" t="str">
        <f>_xlfn.XLOOKUP(PV_DATA[[#This Row],[New Ark SKU]],Table9[New Ark SKU],Table9[Connector],,0)</f>
        <v>EVO2A</v>
      </c>
      <c r="S307" s="442" t="str">
        <f>_xlfn.XLOOKUP(PV_DATA[[#This Row],[New Ark SKU]],Table9[New Ark SKU],Table9[Cable],,0)</f>
        <v>±1200mm</v>
      </c>
      <c r="T307" s="433">
        <v>495</v>
      </c>
      <c r="U307" s="1062">
        <f>864*1</f>
        <v>864</v>
      </c>
      <c r="V307" s="434">
        <f>PV_DATA[[#This Row],[QUANTITY]]*PV_DATA[[#This Row],[WATT]]/1000000</f>
        <v>0.42768</v>
      </c>
      <c r="W307" s="435">
        <f>PV_DATA[[#This Row],[QUANTITY]]/PV_DATA[[#This Row],[Qty/Pallet]]</f>
        <v>24</v>
      </c>
      <c r="X307" s="1015">
        <f>PV_DATA[[#This Row],[QUANTITY]]/PV_DATA[[#This Row],[Qty/CT]]</f>
        <v>1</v>
      </c>
      <c r="Y307" s="430" t="s">
        <v>75</v>
      </c>
      <c r="Z307" s="430" t="str">
        <f t="shared" si="1"/>
        <v>COMPLETED</v>
      </c>
      <c r="AA307" s="430" t="s">
        <v>1534</v>
      </c>
      <c r="AB307" s="437">
        <v>46091</v>
      </c>
      <c r="AC307" s="438">
        <f>IF(PV_DATA[[#This Row],[Pick-Up Date]]&lt;&gt;"",_xlfn.ISOWEEKNUM(PV_DATA[[#This Row],[Pick-Up Date]]),"")</f>
        <v>11</v>
      </c>
      <c r="AD307" s="439" t="s">
        <v>1535</v>
      </c>
      <c r="AE307" s="430"/>
      <c r="AF307" s="430" t="s">
        <v>1525</v>
      </c>
      <c r="AG307" s="430" t="s">
        <v>123</v>
      </c>
      <c r="AH307" s="430" t="s">
        <v>105</v>
      </c>
      <c r="AI307" s="437">
        <v>46100</v>
      </c>
      <c r="AJ307" s="437">
        <v>46100</v>
      </c>
      <c r="AK307" s="441">
        <v>46101</v>
      </c>
      <c r="AL307" s="437">
        <v>46143</v>
      </c>
      <c r="AM307" s="437">
        <v>46148</v>
      </c>
      <c r="AN307" s="437">
        <v>46161</v>
      </c>
      <c r="AO307" s="430" t="s">
        <v>402</v>
      </c>
      <c r="AP307" s="430" t="s">
        <v>1526</v>
      </c>
      <c r="AQ307" s="430" t="s">
        <v>161</v>
      </c>
      <c r="AR307" s="430" t="s">
        <v>1527</v>
      </c>
      <c r="AS307" s="430" t="s">
        <v>1528</v>
      </c>
      <c r="AT307" s="482" t="s">
        <v>1529</v>
      </c>
      <c r="AU30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</v>
      </c>
      <c r="AW307" s="437" cm="1">
        <f t="array" ref="AW30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46161</v>
      </c>
      <c r="AX30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07" s="437">
        <f>IF(ISERROR(PV_DATA[[#This Row],[New Ark PO status]]),"",_xlfn.XLOOKUP(PV_DATA[[#This Row],[SPTN-PVHK New Ark PO'#]],New_Ark_Data[Purchase order Number],New_Ark_Data[Estimated time of arrival],"",0))</f>
        <v>46175</v>
      </c>
      <c r="AZ307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07" s="437">
        <f>IFERROR(PV_DATA[[#This Row],[ODP ETA Port]]+PV_DATA[[#This Row],[Customs/Leg3 Assumption]],"n/a")</f>
        <v>46168</v>
      </c>
      <c r="BB307" s="433">
        <f>YEAR(PV_DATA[[#This Row],[ETA for New Ark update]])</f>
        <v>2026</v>
      </c>
      <c r="BC307" s="430">
        <f>MONTH(PV_DATA[[#This Row],[ETA for New Ark update]])</f>
        <v>5</v>
      </c>
      <c r="BD307" s="430">
        <f>IFERROR(_xlfn.ISOWEEKNUM(PV_DATA[[#This Row],[ETA for New Ark update]]),0)</f>
        <v>22</v>
      </c>
      <c r="BE307" s="431">
        <f>_xlfn.XLOOKUP(PV_DATA[[#This Row],[New Ark SKU]],Table9[New Ark SKU],Table9[Total PCS per Pallet],,0)</f>
        <v>36</v>
      </c>
      <c r="BF307" s="431">
        <f>_xlfn.XLOOKUP(PV_DATA[[#This Row],[New Ark SKU]],Table9[New Ark SKU],Table9[Total PCS per 40HQ Container],,0)</f>
        <v>864</v>
      </c>
      <c r="BG307" s="431" t="str">
        <f>_xlfn.XLOOKUP(PV_DATA[[#This Row],[New Ark SKU]],Table9[New Ark SKU],Table9[Back Glass],,0)</f>
        <v>Black glazing</v>
      </c>
      <c r="BH307" s="431" t="str">
        <f>_xlfn.XLOOKUP(PV_DATA[[#This Row],[PORT DESTINATION]],Table12[PORT DESTINATION],Table12[Cosco Line],,0)</f>
        <v>AEU</v>
      </c>
      <c r="BJ307" s="430"/>
    </row>
    <row r="308" spans="1:62" ht="10.5" hidden="1">
      <c r="A308" s="462" t="s">
        <v>1536</v>
      </c>
      <c r="B308" s="462" t="s">
        <v>1519</v>
      </c>
      <c r="C308" s="462" t="str">
        <f>IFERROR(LEFT(PV_DATA[[#This Row],[TCL REFERENCE]],FIND(".",PV_DATA[[#This Row],[TCL REFERENCE]],1)-1),"Main Line")</f>
        <v>26Feb028</v>
      </c>
      <c r="D308" s="462" t="s">
        <v>63</v>
      </c>
      <c r="E308" s="462" t="s">
        <v>144</v>
      </c>
      <c r="F308" s="462" t="str" cm="1">
        <f t="array" ref="F30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08" s="462" t="s">
        <v>402</v>
      </c>
      <c r="H308" s="462" t="s">
        <v>538</v>
      </c>
      <c r="I308" s="439" t="s">
        <v>689</v>
      </c>
      <c r="J308" s="430" t="s">
        <v>1537</v>
      </c>
      <c r="K308" s="430" t="s">
        <v>1538</v>
      </c>
      <c r="L308" s="430"/>
      <c r="M308" s="430" t="s">
        <v>840</v>
      </c>
      <c r="N308" s="432">
        <v>46090</v>
      </c>
      <c r="O308" s="430" t="s">
        <v>284</v>
      </c>
      <c r="P308" s="430" t="s">
        <v>1532</v>
      </c>
      <c r="Q308" s="430" t="s">
        <v>1533</v>
      </c>
      <c r="R308" s="431" t="str">
        <f>_xlfn.XLOOKUP(PV_DATA[[#This Row],[New Ark SKU]],Table9[New Ark SKU],Table9[Connector],,0)</f>
        <v>EVO2A</v>
      </c>
      <c r="S308" s="442" t="str">
        <f>_xlfn.XLOOKUP(PV_DATA[[#This Row],[New Ark SKU]],Table9[New Ark SKU],Table9[Cable],,0)</f>
        <v>±1200mm</v>
      </c>
      <c r="T308" s="433">
        <v>495</v>
      </c>
      <c r="U308" s="1062">
        <f>864*1</f>
        <v>864</v>
      </c>
      <c r="V308" s="434">
        <f>PV_DATA[[#This Row],[QUANTITY]]*PV_DATA[[#This Row],[WATT]]/1000000</f>
        <v>0.42768</v>
      </c>
      <c r="W308" s="435">
        <f>PV_DATA[[#This Row],[QUANTITY]]/PV_DATA[[#This Row],[Qty/Pallet]]</f>
        <v>24</v>
      </c>
      <c r="X308" s="1015">
        <f>PV_DATA[[#This Row],[QUANTITY]]/PV_DATA[[#This Row],[Qty/CT]]</f>
        <v>1</v>
      </c>
      <c r="Y308" s="430" t="s">
        <v>75</v>
      </c>
      <c r="Z308" s="430" t="str">
        <f t="shared" si="1"/>
        <v>COMPLETED</v>
      </c>
      <c r="AA308" s="430" t="s">
        <v>1534</v>
      </c>
      <c r="AB308" s="437">
        <v>46093</v>
      </c>
      <c r="AC308" s="438">
        <f>IF(PV_DATA[[#This Row],[Pick-Up Date]]&lt;&gt;"",_xlfn.ISOWEEKNUM(PV_DATA[[#This Row],[Pick-Up Date]]),"")</f>
        <v>11</v>
      </c>
      <c r="AD308" s="439" t="s">
        <v>1539</v>
      </c>
      <c r="AE308" s="430"/>
      <c r="AF308" s="430" t="s">
        <v>1525</v>
      </c>
      <c r="AG308" s="430" t="s">
        <v>123</v>
      </c>
      <c r="AH308" s="430" t="s">
        <v>541</v>
      </c>
      <c r="AI308" s="437">
        <v>46101</v>
      </c>
      <c r="AJ308" s="437">
        <v>46100</v>
      </c>
      <c r="AK308" s="441">
        <v>46100</v>
      </c>
      <c r="AL308" s="437">
        <v>46161</v>
      </c>
      <c r="AM308" s="437">
        <v>46171</v>
      </c>
      <c r="AN308" s="437">
        <v>46172</v>
      </c>
      <c r="AO308" s="430" t="s">
        <v>402</v>
      </c>
      <c r="AP308" s="430" t="s">
        <v>1540</v>
      </c>
      <c r="AQ308" s="430" t="s">
        <v>161</v>
      </c>
      <c r="AR308" s="430" t="s">
        <v>1541</v>
      </c>
      <c r="AS308" s="430" t="s">
        <v>1542</v>
      </c>
      <c r="AT308" s="482" t="s">
        <v>1542</v>
      </c>
      <c r="AU30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W308" s="437" cm="1">
        <f t="array" ref="AW30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46172</v>
      </c>
      <c r="AX30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08" s="437">
        <f>IF(ISERROR(PV_DATA[[#This Row],[New Ark PO status]]),"",_xlfn.XLOOKUP(PV_DATA[[#This Row],[SPTN-PVHK New Ark PO'#]],New_Ark_Data[Purchase order Number],New_Ark_Data[Estimated time of arrival],"",0))</f>
        <v>46178</v>
      </c>
      <c r="AZ308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08" s="437">
        <f>IFERROR(PV_DATA[[#This Row],[ODP ETA Port]]+PV_DATA[[#This Row],[Customs/Leg3 Assumption]],"n/a")</f>
        <v>46172</v>
      </c>
      <c r="BB308" s="433">
        <f>YEAR(PV_DATA[[#This Row],[ETA for New Ark update]])</f>
        <v>2026</v>
      </c>
      <c r="BC308" s="430">
        <f>MONTH(PV_DATA[[#This Row],[ETA for New Ark update]])</f>
        <v>5</v>
      </c>
      <c r="BD308" s="430">
        <f>IFERROR(_xlfn.ISOWEEKNUM(PV_DATA[[#This Row],[ETA for New Ark update]]),0)</f>
        <v>22</v>
      </c>
      <c r="BE308" s="431">
        <f>_xlfn.XLOOKUP(PV_DATA[[#This Row],[New Ark SKU]],Table9[New Ark SKU],Table9[Total PCS per Pallet],,0)</f>
        <v>36</v>
      </c>
      <c r="BF308" s="431">
        <f>_xlfn.XLOOKUP(PV_DATA[[#This Row],[New Ark SKU]],Table9[New Ark SKU],Table9[Total PCS per 40HQ Container],,0)</f>
        <v>864</v>
      </c>
      <c r="BG308" s="431" t="str">
        <f>_xlfn.XLOOKUP(PV_DATA[[#This Row],[New Ark SKU]],Table9[New Ark SKU],Table9[Back Glass],,0)</f>
        <v>Black glazing</v>
      </c>
      <c r="BH308" s="431" t="str">
        <f>_xlfn.XLOOKUP(PV_DATA[[#This Row],[PORT DESTINATION]],Table12[PORT DESTINATION],Table12[Cosco Line],,0)</f>
        <v>AEU</v>
      </c>
      <c r="BJ308" s="430"/>
    </row>
    <row r="309" spans="1:62" ht="10.5" hidden="1">
      <c r="A309" s="462" t="s">
        <v>1543</v>
      </c>
      <c r="B309" s="462" t="s">
        <v>1519</v>
      </c>
      <c r="C309" s="462" t="str">
        <f>IFERROR(LEFT(PV_DATA[[#This Row],[TCL REFERENCE]],FIND(".",PV_DATA[[#This Row],[TCL REFERENCE]],1)-1),"Main Line")</f>
        <v>26Feb027</v>
      </c>
      <c r="D309" s="462" t="s">
        <v>63</v>
      </c>
      <c r="E309" s="462" t="s">
        <v>144</v>
      </c>
      <c r="F309" s="462" t="str" cm="1">
        <f t="array" ref="F30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09" s="462" t="s">
        <v>402</v>
      </c>
      <c r="H309" s="462" t="s">
        <v>538</v>
      </c>
      <c r="I309" s="439" t="s">
        <v>689</v>
      </c>
      <c r="J309" s="430" t="s">
        <v>1537</v>
      </c>
      <c r="K309" s="430" t="s">
        <v>1538</v>
      </c>
      <c r="L309" s="430"/>
      <c r="M309" s="430" t="s">
        <v>840</v>
      </c>
      <c r="N309" s="432">
        <v>46090</v>
      </c>
      <c r="O309" s="430" t="s">
        <v>284</v>
      </c>
      <c r="P309" s="430" t="s">
        <v>1521</v>
      </c>
      <c r="Q309" s="430" t="s">
        <v>1522</v>
      </c>
      <c r="R309" s="431" t="str">
        <f>_xlfn.XLOOKUP(PV_DATA[[#This Row],[New Ark SKU]],Table9[New Ark SKU],Table9[Connector],,0)</f>
        <v>EVO2A</v>
      </c>
      <c r="S309" s="442" t="str">
        <f>_xlfn.XLOOKUP(PV_DATA[[#This Row],[New Ark SKU]],Table9[New Ark SKU],Table9[Cable],,0)</f>
        <v>±1200mm</v>
      </c>
      <c r="T309" s="433">
        <v>490</v>
      </c>
      <c r="U309" s="1062">
        <f>864*2</f>
        <v>1728</v>
      </c>
      <c r="V309" s="434">
        <f>PV_DATA[[#This Row],[QUANTITY]]*PV_DATA[[#This Row],[WATT]]/1000000</f>
        <v>0.84672000000000003</v>
      </c>
      <c r="W309" s="435">
        <f>PV_DATA[[#This Row],[QUANTITY]]/PV_DATA[[#This Row],[Qty/Pallet]]</f>
        <v>48</v>
      </c>
      <c r="X309" s="1015">
        <f>PV_DATA[[#This Row],[QUANTITY]]/PV_DATA[[#This Row],[Qty/CT]]</f>
        <v>2</v>
      </c>
      <c r="Y309" s="430" t="s">
        <v>75</v>
      </c>
      <c r="Z309" s="430" t="str">
        <f t="shared" si="1"/>
        <v>COMPLETED</v>
      </c>
      <c r="AA309" s="430" t="s">
        <v>1544</v>
      </c>
      <c r="AB309" s="437">
        <v>46093</v>
      </c>
      <c r="AC309" s="438">
        <f>IF(PV_DATA[[#This Row],[Pick-Up Date]]&lt;&gt;"",_xlfn.ISOWEEKNUM(PV_DATA[[#This Row],[Pick-Up Date]]),"")</f>
        <v>11</v>
      </c>
      <c r="AD309" s="439" t="s">
        <v>1545</v>
      </c>
      <c r="AE309" s="430"/>
      <c r="AF309" s="430" t="s">
        <v>1525</v>
      </c>
      <c r="AG309" s="430" t="s">
        <v>123</v>
      </c>
      <c r="AH309" s="430" t="s">
        <v>541</v>
      </c>
      <c r="AI309" s="437">
        <v>46101</v>
      </c>
      <c r="AJ309" s="437">
        <v>46100</v>
      </c>
      <c r="AK309" s="441">
        <v>46100</v>
      </c>
      <c r="AL309" s="437">
        <v>46161</v>
      </c>
      <c r="AM309" s="437">
        <v>46171</v>
      </c>
      <c r="AN309" s="437">
        <v>46172</v>
      </c>
      <c r="AO309" s="430" t="s">
        <v>402</v>
      </c>
      <c r="AP309" s="430" t="s">
        <v>1540</v>
      </c>
      <c r="AQ309" s="430" t="s">
        <v>161</v>
      </c>
      <c r="AR309" s="430" t="s">
        <v>1541</v>
      </c>
      <c r="AS309" s="430" t="s">
        <v>1546</v>
      </c>
      <c r="AT309" s="482" t="s">
        <v>1542</v>
      </c>
      <c r="AU30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W309" s="437" cm="1">
        <f t="array" ref="AW30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46172</v>
      </c>
      <c r="AX30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09" s="437">
        <f>IF(ISERROR(PV_DATA[[#This Row],[New Ark PO status]]),"",_xlfn.XLOOKUP(PV_DATA[[#This Row],[SPTN-PVHK New Ark PO'#]],New_Ark_Data[Purchase order Number],New_Ark_Data[Estimated time of arrival],"",0))</f>
        <v>46178</v>
      </c>
      <c r="AZ309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09" s="437">
        <f>IFERROR(PV_DATA[[#This Row],[ODP ETA Port]]+PV_DATA[[#This Row],[Customs/Leg3 Assumption]],"n/a")</f>
        <v>46172</v>
      </c>
      <c r="BB309" s="433">
        <f>YEAR(PV_DATA[[#This Row],[ETA for New Ark update]])</f>
        <v>2026</v>
      </c>
      <c r="BC309" s="430">
        <f>MONTH(PV_DATA[[#This Row],[ETA for New Ark update]])</f>
        <v>5</v>
      </c>
      <c r="BD309" s="430">
        <f>IFERROR(_xlfn.ISOWEEKNUM(PV_DATA[[#This Row],[ETA for New Ark update]]),0)</f>
        <v>22</v>
      </c>
      <c r="BE309" s="431">
        <f>_xlfn.XLOOKUP(PV_DATA[[#This Row],[New Ark SKU]],Table9[New Ark SKU],Table9[Total PCS per Pallet],,0)</f>
        <v>36</v>
      </c>
      <c r="BF309" s="431">
        <f>_xlfn.XLOOKUP(PV_DATA[[#This Row],[New Ark SKU]],Table9[New Ark SKU],Table9[Total PCS per 40HQ Container],,0)</f>
        <v>864</v>
      </c>
      <c r="BG309" s="431" t="str">
        <f>_xlfn.XLOOKUP(PV_DATA[[#This Row],[New Ark SKU]],Table9[New Ark SKU],Table9[Back Glass],,0)</f>
        <v>Black glazing</v>
      </c>
      <c r="BH309" s="431" t="str">
        <f>_xlfn.XLOOKUP(PV_DATA[[#This Row],[PORT DESTINATION]],Table12[PORT DESTINATION],Table12[Cosco Line],,0)</f>
        <v>AEU</v>
      </c>
      <c r="BJ309" s="430"/>
    </row>
    <row r="310" spans="1:62" ht="10.5" hidden="1">
      <c r="A310" s="462" t="s">
        <v>1547</v>
      </c>
      <c r="B310" s="462" t="s">
        <v>111</v>
      </c>
      <c r="C310" s="462" t="str">
        <f>IFERROR(LEFT(PV_DATA[[#This Row],[TCL REFERENCE]],FIND(".",PV_DATA[[#This Row],[TCL REFERENCE]],1)-1),"Main Line")</f>
        <v>26Feb008</v>
      </c>
      <c r="D310" s="462" t="s">
        <v>63</v>
      </c>
      <c r="E310" s="462" t="s">
        <v>144</v>
      </c>
      <c r="F310" s="462" t="str" cm="1">
        <f t="array" ref="F31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10" s="462" t="s">
        <v>402</v>
      </c>
      <c r="H310" s="462" t="s">
        <v>538</v>
      </c>
      <c r="I310" s="439" t="s">
        <v>689</v>
      </c>
      <c r="J310" s="430" t="s">
        <v>1537</v>
      </c>
      <c r="K310" s="430" t="s">
        <v>1538</v>
      </c>
      <c r="L310" s="430"/>
      <c r="M310" s="430" t="s">
        <v>840</v>
      </c>
      <c r="N310" s="432">
        <v>46083</v>
      </c>
      <c r="O310" s="430" t="s">
        <v>473</v>
      </c>
      <c r="P310" s="430" t="s">
        <v>474</v>
      </c>
      <c r="Q310" s="430" t="s">
        <v>1319</v>
      </c>
      <c r="R310" s="431" t="str">
        <f>_xlfn.XLOOKUP(PV_DATA[[#This Row],[New Ark SKU]],Table9[New Ark SKU],Table9[Connector],,0)</f>
        <v>EVO2A</v>
      </c>
      <c r="S310" s="442" t="str">
        <f>_xlfn.XLOOKUP(PV_DATA[[#This Row],[New Ark SKU]],Table9[New Ark SKU],Table9[Cable],,0)</f>
        <v>±1200mm</v>
      </c>
      <c r="T310" s="433">
        <v>460</v>
      </c>
      <c r="U310" s="1062">
        <f>864*10</f>
        <v>8640</v>
      </c>
      <c r="V310" s="434">
        <f>PV_DATA[[#This Row],[QUANTITY]]*PV_DATA[[#This Row],[WATT]]/1000000</f>
        <v>3.9744000000000002</v>
      </c>
      <c r="W310" s="435">
        <f>PV_DATA[[#This Row],[QUANTITY]]/PV_DATA[[#This Row],[Qty/Pallet]]</f>
        <v>240</v>
      </c>
      <c r="X310" s="1015">
        <f>PV_DATA[[#This Row],[QUANTITY]]/PV_DATA[[#This Row],[Qty/CT]]</f>
        <v>10</v>
      </c>
      <c r="Y310" s="430" t="s">
        <v>75</v>
      </c>
      <c r="Z310" s="430" t="str">
        <f t="shared" ref="Z310:Z373" si="2">IF(AN310&lt;&gt;"","COMPLETED",IF(AK310&lt;&gt;"","IN-TRANSIT",""))</f>
        <v>COMPLETED</v>
      </c>
      <c r="AA310" s="430" t="s">
        <v>1548</v>
      </c>
      <c r="AB310" s="437">
        <v>46093</v>
      </c>
      <c r="AC310" s="438">
        <f>IF(PV_DATA[[#This Row],[Pick-Up Date]]&lt;&gt;"",_xlfn.ISOWEEKNUM(PV_DATA[[#This Row],[Pick-Up Date]]),"")</f>
        <v>11</v>
      </c>
      <c r="AD310" s="439" t="s">
        <v>1549</v>
      </c>
      <c r="AE310" s="430"/>
      <c r="AF310" s="430" t="s">
        <v>122</v>
      </c>
      <c r="AG310" s="430" t="s">
        <v>123</v>
      </c>
      <c r="AH310" s="430" t="s">
        <v>541</v>
      </c>
      <c r="AI310" s="437">
        <v>46103</v>
      </c>
      <c r="AJ310" s="437">
        <v>46102</v>
      </c>
      <c r="AK310" s="441">
        <v>46102</v>
      </c>
      <c r="AL310" s="437">
        <v>46161</v>
      </c>
      <c r="AM310" s="437">
        <v>46163</v>
      </c>
      <c r="AN310" s="437">
        <v>46163</v>
      </c>
      <c r="AO310" s="430" t="s">
        <v>402</v>
      </c>
      <c r="AP310" s="430" t="s">
        <v>1550</v>
      </c>
      <c r="AQ310" s="430" t="s">
        <v>161</v>
      </c>
      <c r="AR310" s="430" t="s">
        <v>1551</v>
      </c>
      <c r="AS310" s="430" t="s">
        <v>1552</v>
      </c>
      <c r="AT310" s="482" t="s">
        <v>1553</v>
      </c>
      <c r="AU31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61</v>
      </c>
      <c r="AW310" s="437" cm="1">
        <f t="array" ref="AW31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46163</v>
      </c>
      <c r="AX31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10" s="437">
        <f>IF(ISERROR(PV_DATA[[#This Row],[New Ark PO status]]),"",_xlfn.XLOOKUP(PV_DATA[[#This Row],[SPTN-PVHK New Ark PO'#]],New_Ark_Data[Purchase order Number],New_Ark_Data[Estimated time of arrival],"",0))</f>
        <v>46178</v>
      </c>
      <c r="AZ310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10" s="437">
        <f>IFERROR(PV_DATA[[#This Row],[ODP ETA Port]]+PV_DATA[[#This Row],[Customs/Leg3 Assumption]],"n/a")</f>
        <v>46163</v>
      </c>
      <c r="BB310" s="433">
        <f>YEAR(PV_DATA[[#This Row],[ETA for New Ark update]])</f>
        <v>2026</v>
      </c>
      <c r="BC310" s="430">
        <f>MONTH(PV_DATA[[#This Row],[ETA for New Ark update]])</f>
        <v>5</v>
      </c>
      <c r="BD310" s="430">
        <f>IFERROR(_xlfn.ISOWEEKNUM(PV_DATA[[#This Row],[ETA for New Ark update]]),0)</f>
        <v>21</v>
      </c>
      <c r="BE310" s="431">
        <f>_xlfn.XLOOKUP(PV_DATA[[#This Row],[New Ark SKU]],Table9[New Ark SKU],Table9[Total PCS per Pallet],,0)</f>
        <v>36</v>
      </c>
      <c r="BF310" s="431">
        <f>_xlfn.XLOOKUP(PV_DATA[[#This Row],[New Ark SKU]],Table9[New Ark SKU],Table9[Total PCS per 40HQ Container],,0)</f>
        <v>864</v>
      </c>
      <c r="BG310" s="431" t="str">
        <f>_xlfn.XLOOKUP(PV_DATA[[#This Row],[New Ark SKU]],Table9[New Ark SKU],Table9[Back Glass],,0)</f>
        <v>Black glazing</v>
      </c>
      <c r="BH310" s="431" t="str">
        <f>_xlfn.XLOOKUP(PV_DATA[[#This Row],[PORT DESTINATION]],Table12[PORT DESTINATION],Table12[Cosco Line],,0)</f>
        <v>AEU</v>
      </c>
      <c r="BJ310" s="430"/>
    </row>
    <row r="311" spans="1:62" ht="10.5" hidden="1">
      <c r="A311" s="462" t="s">
        <v>1554</v>
      </c>
      <c r="B311" s="462" t="s">
        <v>1519</v>
      </c>
      <c r="C311" s="462" t="str">
        <f>IFERROR(LEFT(PV_DATA[[#This Row],[TCL REFERENCE]],FIND(".",PV_DATA[[#This Row],[TCL REFERENCE]],1)-1),"Main Line")</f>
        <v>26Feb028</v>
      </c>
      <c r="D311" s="462" t="s">
        <v>63</v>
      </c>
      <c r="E311" s="462" t="s">
        <v>64</v>
      </c>
      <c r="F311" s="462" t="str" cm="1">
        <f t="array" ref="F31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311" s="462" t="s">
        <v>402</v>
      </c>
      <c r="H311" s="462" t="s">
        <v>311</v>
      </c>
      <c r="I311" s="439" t="s">
        <v>689</v>
      </c>
      <c r="J311" s="430" t="s">
        <v>1342</v>
      </c>
      <c r="K311" s="430"/>
      <c r="L311" s="430"/>
      <c r="M311" s="430" t="s">
        <v>68</v>
      </c>
      <c r="N311" s="432">
        <v>46090</v>
      </c>
      <c r="O311" s="430" t="s">
        <v>284</v>
      </c>
      <c r="P311" s="430" t="s">
        <v>1532</v>
      </c>
      <c r="Q311" s="430" t="s">
        <v>1533</v>
      </c>
      <c r="R311" s="431" t="str">
        <f>_xlfn.XLOOKUP(PV_DATA[[#This Row],[New Ark SKU]],Table9[New Ark SKU],Table9[Connector],,0)</f>
        <v>EVO2A</v>
      </c>
      <c r="S311" s="442" t="str">
        <f>_xlfn.XLOOKUP(PV_DATA[[#This Row],[New Ark SKU]],Table9[New Ark SKU],Table9[Cable],,0)</f>
        <v>±1200mm</v>
      </c>
      <c r="T311" s="433">
        <v>495</v>
      </c>
      <c r="U311" s="1062">
        <f>864*6</f>
        <v>5184</v>
      </c>
      <c r="V311" s="434">
        <f>PV_DATA[[#This Row],[QUANTITY]]*PV_DATA[[#This Row],[WATT]]/1000000</f>
        <v>2.5660799999999999</v>
      </c>
      <c r="W311" s="435">
        <f>PV_DATA[[#This Row],[QUANTITY]]/PV_DATA[[#This Row],[Qty/Pallet]]</f>
        <v>144</v>
      </c>
      <c r="X311" s="1015">
        <f>PV_DATA[[#This Row],[QUANTITY]]/PV_DATA[[#This Row],[Qty/CT]]</f>
        <v>6</v>
      </c>
      <c r="Y311" s="430" t="s">
        <v>75</v>
      </c>
      <c r="Z311" s="430" t="str">
        <f t="shared" si="2"/>
        <v>COMPLETED</v>
      </c>
      <c r="AA311" s="430"/>
      <c r="AB311" s="437">
        <v>46091</v>
      </c>
      <c r="AC311" s="438">
        <f>IF(PV_DATA[[#This Row],[Pick-Up Date]]&lt;&gt;"",_xlfn.ISOWEEKNUM(PV_DATA[[#This Row],[Pick-Up Date]]),"")</f>
        <v>11</v>
      </c>
      <c r="AD311" s="439" t="s">
        <v>1555</v>
      </c>
      <c r="AE311" s="430"/>
      <c r="AF311" s="430" t="s">
        <v>122</v>
      </c>
      <c r="AG311" s="430" t="s">
        <v>123</v>
      </c>
      <c r="AH311" s="430" t="s">
        <v>314</v>
      </c>
      <c r="AI311" s="437">
        <v>46096</v>
      </c>
      <c r="AJ311" s="437">
        <v>46095</v>
      </c>
      <c r="AK311" s="441">
        <v>46095</v>
      </c>
      <c r="AL311" s="437">
        <v>46141</v>
      </c>
      <c r="AM311" s="437">
        <v>46155</v>
      </c>
      <c r="AN311" s="437">
        <v>46155</v>
      </c>
      <c r="AO311" s="430" t="s">
        <v>402</v>
      </c>
      <c r="AP311" s="430" t="s">
        <v>1508</v>
      </c>
      <c r="AQ311" s="430" t="s">
        <v>80</v>
      </c>
      <c r="AR311" s="430" t="s">
        <v>1556</v>
      </c>
      <c r="AS311" s="430" t="s">
        <v>1557</v>
      </c>
      <c r="AT311" s="482" t="s">
        <v>1557</v>
      </c>
      <c r="AU31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</v>
      </c>
      <c r="AW311" s="437" cm="1">
        <f t="array" ref="AW31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46155</v>
      </c>
      <c r="AX31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11" s="437">
        <f>IF(ISERROR(PV_DATA[[#This Row],[New Ark PO status]]),"",_xlfn.XLOOKUP(PV_DATA[[#This Row],[SPTN-PVHK New Ark PO'#]],New_Ark_Data[Purchase order Number],New_Ark_Data[Estimated time of arrival],"",0))</f>
        <v>46169</v>
      </c>
      <c r="AZ311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311" s="437">
        <f>IFERROR(PV_DATA[[#This Row],[ODP ETA Port]]+PV_DATA[[#This Row],[Customs/Leg3 Assumption]],"n/a")</f>
        <v>46165</v>
      </c>
      <c r="BB311" s="433">
        <f>YEAR(PV_DATA[[#This Row],[ETA for New Ark update]])</f>
        <v>2026</v>
      </c>
      <c r="BC311" s="430">
        <f>MONTH(PV_DATA[[#This Row],[ETA for New Ark update]])</f>
        <v>5</v>
      </c>
      <c r="BD311" s="430">
        <f>IFERROR(_xlfn.ISOWEEKNUM(PV_DATA[[#This Row],[ETA for New Ark update]]),0)</f>
        <v>21</v>
      </c>
      <c r="BE311" s="431">
        <f>_xlfn.XLOOKUP(PV_DATA[[#This Row],[New Ark SKU]],Table9[New Ark SKU],Table9[Total PCS per Pallet],,0)</f>
        <v>36</v>
      </c>
      <c r="BF311" s="431">
        <f>_xlfn.XLOOKUP(PV_DATA[[#This Row],[New Ark SKU]],Table9[New Ark SKU],Table9[Total PCS per 40HQ Container],,0)</f>
        <v>864</v>
      </c>
      <c r="BG311" s="431" t="str">
        <f>_xlfn.XLOOKUP(PV_DATA[[#This Row],[New Ark SKU]],Table9[New Ark SKU],Table9[Back Glass],,0)</f>
        <v>Black glazing</v>
      </c>
      <c r="BH311" s="431" t="str">
        <f>_xlfn.XLOOKUP(PV_DATA[[#This Row],[PORT DESTINATION]],Table12[PORT DESTINATION],Table12[Cosco Line],,0)</f>
        <v>AEM</v>
      </c>
      <c r="BJ311" s="430"/>
    </row>
    <row r="312" spans="1:62" ht="10.5" hidden="1">
      <c r="A312" s="462" t="s">
        <v>1558</v>
      </c>
      <c r="B312" s="462" t="s">
        <v>1519</v>
      </c>
      <c r="C312" s="462" t="str">
        <f>IFERROR(LEFT(PV_DATA[[#This Row],[TCL REFERENCE]],FIND(".",PV_DATA[[#This Row],[TCL REFERENCE]],1)-1),"Main Line")</f>
        <v>26Feb027</v>
      </c>
      <c r="D312" s="462" t="s">
        <v>63</v>
      </c>
      <c r="E312" s="462" t="s">
        <v>64</v>
      </c>
      <c r="F312" s="462" t="str" cm="1">
        <f t="array" ref="F31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312" s="462" t="s">
        <v>402</v>
      </c>
      <c r="H312" s="462" t="s">
        <v>311</v>
      </c>
      <c r="I312" s="439" t="s">
        <v>689</v>
      </c>
      <c r="J312" s="430" t="s">
        <v>1559</v>
      </c>
      <c r="K312" s="430"/>
      <c r="L312" s="430"/>
      <c r="M312" s="430" t="s">
        <v>68</v>
      </c>
      <c r="N312" s="432">
        <v>46090</v>
      </c>
      <c r="O312" s="430" t="s">
        <v>284</v>
      </c>
      <c r="P312" s="430" t="s">
        <v>1521</v>
      </c>
      <c r="Q312" s="430" t="s">
        <v>1522</v>
      </c>
      <c r="R312" s="431" t="str">
        <f>_xlfn.XLOOKUP(PV_DATA[[#This Row],[New Ark SKU]],Table9[New Ark SKU],Table9[Connector],,0)</f>
        <v>EVO2A</v>
      </c>
      <c r="S312" s="442" t="str">
        <f>_xlfn.XLOOKUP(PV_DATA[[#This Row],[New Ark SKU]],Table9[New Ark SKU],Table9[Cable],,0)</f>
        <v>±1200mm</v>
      </c>
      <c r="T312" s="433">
        <v>490</v>
      </c>
      <c r="U312" s="1062">
        <f>864*3</f>
        <v>2592</v>
      </c>
      <c r="V312" s="434">
        <f>PV_DATA[[#This Row],[QUANTITY]]*PV_DATA[[#This Row],[WATT]]/1000000</f>
        <v>1.2700800000000001</v>
      </c>
      <c r="W312" s="435">
        <f>PV_DATA[[#This Row],[QUANTITY]]/PV_DATA[[#This Row],[Qty/Pallet]]</f>
        <v>72</v>
      </c>
      <c r="X312" s="1015">
        <f>PV_DATA[[#This Row],[QUANTITY]]/PV_DATA[[#This Row],[Qty/CT]]</f>
        <v>3</v>
      </c>
      <c r="Y312" s="430" t="s">
        <v>75</v>
      </c>
      <c r="Z312" s="430" t="str">
        <f t="shared" si="2"/>
        <v>COMPLETED</v>
      </c>
      <c r="AA312" s="430"/>
      <c r="AB312" s="437">
        <v>46093</v>
      </c>
      <c r="AC312" s="438">
        <f>IF(PV_DATA[[#This Row],[Pick-Up Date]]&lt;&gt;"",_xlfn.ISOWEEKNUM(PV_DATA[[#This Row],[Pick-Up Date]]),"")</f>
        <v>11</v>
      </c>
      <c r="AD312" s="439" t="s">
        <v>1560</v>
      </c>
      <c r="AE312" s="430"/>
      <c r="AF312" s="430" t="s">
        <v>122</v>
      </c>
      <c r="AG312" s="430" t="s">
        <v>123</v>
      </c>
      <c r="AH312" s="430" t="s">
        <v>1561</v>
      </c>
      <c r="AI312" s="437">
        <v>46099</v>
      </c>
      <c r="AJ312" s="437">
        <v>46099</v>
      </c>
      <c r="AK312" s="441">
        <v>46100</v>
      </c>
      <c r="AL312" s="437">
        <v>46157</v>
      </c>
      <c r="AM312" s="437">
        <v>46159</v>
      </c>
      <c r="AN312" s="437">
        <v>46158</v>
      </c>
      <c r="AO312" s="430" t="s">
        <v>402</v>
      </c>
      <c r="AP312" s="430" t="s">
        <v>1562</v>
      </c>
      <c r="AQ312" s="430" t="s">
        <v>80</v>
      </c>
      <c r="AR312" s="430" t="s">
        <v>1563</v>
      </c>
      <c r="AS312" s="430" t="s">
        <v>1564</v>
      </c>
      <c r="AT312" s="482" t="s">
        <v>1564</v>
      </c>
      <c r="AU31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W312" s="437" cm="1">
        <f t="array" ref="AW31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46158</v>
      </c>
      <c r="AX31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12" s="437">
        <f>IF(ISERROR(PV_DATA[[#This Row],[New Ark PO status]]),"",_xlfn.XLOOKUP(PV_DATA[[#This Row],[SPTN-PVHK New Ark PO'#]],New_Ark_Data[Purchase order Number],New_Ark_Data[Estimated time of arrival],"",0))</f>
        <v>46171</v>
      </c>
      <c r="AZ312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312" s="437">
        <f>IFERROR(PV_DATA[[#This Row],[ODP ETA Port]]+PV_DATA[[#This Row],[Customs/Leg3 Assumption]],"n/a")</f>
        <v>46168</v>
      </c>
      <c r="BB312" s="433">
        <f>YEAR(PV_DATA[[#This Row],[ETA for New Ark update]])</f>
        <v>2026</v>
      </c>
      <c r="BC312" s="430">
        <f>MONTH(PV_DATA[[#This Row],[ETA for New Ark update]])</f>
        <v>5</v>
      </c>
      <c r="BD312" s="430">
        <f>IFERROR(_xlfn.ISOWEEKNUM(PV_DATA[[#This Row],[ETA for New Ark update]]),0)</f>
        <v>22</v>
      </c>
      <c r="BE312" s="431">
        <f>_xlfn.XLOOKUP(PV_DATA[[#This Row],[New Ark SKU]],Table9[New Ark SKU],Table9[Total PCS per Pallet],,0)</f>
        <v>36</v>
      </c>
      <c r="BF312" s="431">
        <f>_xlfn.XLOOKUP(PV_DATA[[#This Row],[New Ark SKU]],Table9[New Ark SKU],Table9[Total PCS per 40HQ Container],,0)</f>
        <v>864</v>
      </c>
      <c r="BG312" s="431" t="str">
        <f>_xlfn.XLOOKUP(PV_DATA[[#This Row],[New Ark SKU]],Table9[New Ark SKU],Table9[Back Glass],,0)</f>
        <v>Black glazing</v>
      </c>
      <c r="BH312" s="431" t="str">
        <f>_xlfn.XLOOKUP(PV_DATA[[#This Row],[PORT DESTINATION]],Table12[PORT DESTINATION],Table12[Cosco Line],,0)</f>
        <v>AEM</v>
      </c>
      <c r="BJ312" s="430"/>
    </row>
    <row r="313" spans="1:62" ht="10.5" hidden="1">
      <c r="A313" s="462" t="s">
        <v>1565</v>
      </c>
      <c r="B313" s="462" t="s">
        <v>1566</v>
      </c>
      <c r="C313" s="462" t="str">
        <f>IFERROR(LEFT(PV_DATA[[#This Row],[TCL REFERENCE]],FIND(".",PV_DATA[[#This Row],[TCL REFERENCE]],1)-1),"Main Line")</f>
        <v>26Feb030</v>
      </c>
      <c r="D313" s="462" t="s">
        <v>63</v>
      </c>
      <c r="E313" s="462" t="s">
        <v>64</v>
      </c>
      <c r="F313" s="462" t="str" cm="1">
        <f t="array" ref="F31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13" s="462" t="s">
        <v>402</v>
      </c>
      <c r="H313" s="462" t="s">
        <v>67</v>
      </c>
      <c r="I313" s="439" t="s">
        <v>689</v>
      </c>
      <c r="J313" s="430" t="s">
        <v>1568</v>
      </c>
      <c r="K313" s="430"/>
      <c r="L313" s="430"/>
      <c r="M313" s="430" t="s">
        <v>68</v>
      </c>
      <c r="N313" s="432">
        <v>46090</v>
      </c>
      <c r="O313" s="430" t="s">
        <v>284</v>
      </c>
      <c r="P313" s="430" t="s">
        <v>1569</v>
      </c>
      <c r="Q313" s="430" t="s">
        <v>1570</v>
      </c>
      <c r="R313" s="431" t="str">
        <f>_xlfn.XLOOKUP(PV_DATA[[#This Row],[New Ark SKU]],Table9[New Ark SKU],Table9[Connector],,0)</f>
        <v>EVO2A</v>
      </c>
      <c r="S313" s="442" t="str">
        <f>_xlfn.XLOOKUP(PV_DATA[[#This Row],[New Ark SKU]],Table9[New Ark SKU],Table9[Cable],,0)</f>
        <v>±1400mm</v>
      </c>
      <c r="T313" s="433">
        <v>650</v>
      </c>
      <c r="U313" s="1062">
        <v>4320</v>
      </c>
      <c r="V313" s="434">
        <f>PV_DATA[[#This Row],[QUANTITY]]*PV_DATA[[#This Row],[WATT]]/1000000</f>
        <v>2.8079999999999998</v>
      </c>
      <c r="W313" s="435">
        <f>PV_DATA[[#This Row],[QUANTITY]]/PV_DATA[[#This Row],[Qty/Pallet]]</f>
        <v>120</v>
      </c>
      <c r="X313" s="1015">
        <f>PV_DATA[[#This Row],[QUANTITY]]/PV_DATA[[#This Row],[Qty/CT]]</f>
        <v>6</v>
      </c>
      <c r="Y313" s="430" t="s">
        <v>75</v>
      </c>
      <c r="Z313" s="430" t="str">
        <f t="shared" si="2"/>
        <v>COMPLETED</v>
      </c>
      <c r="AA313" s="430" t="s">
        <v>1571</v>
      </c>
      <c r="AB313" s="437">
        <v>46093</v>
      </c>
      <c r="AC313" s="438">
        <f>IF(PV_DATA[[#This Row],[Pick-Up Date]]&lt;&gt;"",_xlfn.ISOWEEKNUM(PV_DATA[[#This Row],[Pick-Up Date]]),"")</f>
        <v>11</v>
      </c>
      <c r="AD313" s="439" t="s">
        <v>1572</v>
      </c>
      <c r="AE313" s="430"/>
      <c r="AF313" s="430" t="s">
        <v>1525</v>
      </c>
      <c r="AG313" s="430" t="s">
        <v>123</v>
      </c>
      <c r="AH313" s="430" t="s">
        <v>105</v>
      </c>
      <c r="AI313" s="437">
        <v>46100</v>
      </c>
      <c r="AJ313" s="437">
        <v>46100</v>
      </c>
      <c r="AK313" s="441">
        <v>46101</v>
      </c>
      <c r="AL313" s="437">
        <v>46144</v>
      </c>
      <c r="AM313" s="437">
        <v>46159</v>
      </c>
      <c r="AN313" s="437">
        <v>46159</v>
      </c>
      <c r="AO313" s="430" t="s">
        <v>402</v>
      </c>
      <c r="AP313" s="430" t="s">
        <v>1526</v>
      </c>
      <c r="AQ313" s="430" t="s">
        <v>161</v>
      </c>
      <c r="AR313" s="430" t="s">
        <v>1573</v>
      </c>
      <c r="AS313" s="430" t="s">
        <v>1574</v>
      </c>
      <c r="AT313" s="482" t="s">
        <v>1575</v>
      </c>
      <c r="AU31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W313" s="437" cm="1">
        <f t="array" ref="AW31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46159</v>
      </c>
      <c r="AX31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13" s="437">
        <f>IF(ISERROR(PV_DATA[[#This Row],[New Ark PO status]]),"",_xlfn.XLOOKUP(PV_DATA[[#This Row],[SPTN-PVHK New Ark PO'#]],New_Ark_Data[Purchase order Number],New_Ark_Data[Estimated time of arrival],"",0))</f>
        <v>46176</v>
      </c>
      <c r="AZ31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13" s="437">
        <f>IFERROR(PV_DATA[[#This Row],[ODP ETA Port]]+PV_DATA[[#This Row],[Customs/Leg3 Assumption]],"n/a")</f>
        <v>46166</v>
      </c>
      <c r="BB313" s="433">
        <f>YEAR(PV_DATA[[#This Row],[ETA for New Ark update]])</f>
        <v>2026</v>
      </c>
      <c r="BC313" s="430">
        <f>MONTH(PV_DATA[[#This Row],[ETA for New Ark update]])</f>
        <v>5</v>
      </c>
      <c r="BD313" s="430">
        <f>IFERROR(_xlfn.ISOWEEKNUM(PV_DATA[[#This Row],[ETA for New Ark update]]),0)</f>
        <v>21</v>
      </c>
      <c r="BE313" s="431">
        <f>_xlfn.XLOOKUP(PV_DATA[[#This Row],[New Ark SKU]],Table9[New Ark SKU],Table9[Total PCS per Pallet],,0)</f>
        <v>36</v>
      </c>
      <c r="BF313" s="431">
        <f>_xlfn.XLOOKUP(PV_DATA[[#This Row],[New Ark SKU]],Table9[New Ark SKU],Table9[Total PCS per 40HQ Container],,0)</f>
        <v>720</v>
      </c>
      <c r="BG313" s="431" t="str">
        <f>_xlfn.XLOOKUP(PV_DATA[[#This Row],[New Ark SKU]],Table9[New Ark SKU],Table9[Back Glass],,0)</f>
        <v>White glazing</v>
      </c>
      <c r="BH313" s="431" t="str">
        <f>_xlfn.XLOOKUP(PV_DATA[[#This Row],[PORT DESTINATION]],Table12[PORT DESTINATION],Table12[Cosco Line],,0)</f>
        <v>AEU</v>
      </c>
      <c r="BJ313" s="430"/>
    </row>
    <row r="314" spans="1:62" ht="10.5" hidden="1">
      <c r="A314" s="462" t="s">
        <v>1576</v>
      </c>
      <c r="B314" s="462" t="s">
        <v>1566</v>
      </c>
      <c r="C314" s="462" t="str">
        <f>IFERROR(LEFT(PV_DATA[[#This Row],[TCL REFERENCE]],FIND(".",PV_DATA[[#This Row],[TCL REFERENCE]],1)-1),"Main Line")</f>
        <v>26Feb030</v>
      </c>
      <c r="D314" s="462" t="s">
        <v>63</v>
      </c>
      <c r="E314" s="462" t="s">
        <v>64</v>
      </c>
      <c r="F314" s="462" t="str" cm="1">
        <f t="array" ref="F31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14" s="462" t="s">
        <v>402</v>
      </c>
      <c r="H314" s="462" t="s">
        <v>67</v>
      </c>
      <c r="I314" s="439" t="s">
        <v>689</v>
      </c>
      <c r="J314" s="430" t="s">
        <v>1568</v>
      </c>
      <c r="K314" s="430"/>
      <c r="L314" s="430"/>
      <c r="M314" s="430" t="s">
        <v>68</v>
      </c>
      <c r="N314" s="432">
        <v>46097</v>
      </c>
      <c r="O314" s="430" t="s">
        <v>284</v>
      </c>
      <c r="P314" s="430" t="s">
        <v>1569</v>
      </c>
      <c r="Q314" s="430" t="s">
        <v>1570</v>
      </c>
      <c r="R314" s="431" t="str">
        <f>_xlfn.XLOOKUP(PV_DATA[[#This Row],[New Ark SKU]],Table9[New Ark SKU],Table9[Connector],,0)</f>
        <v>EVO2A</v>
      </c>
      <c r="S314" s="442" t="str">
        <f>_xlfn.XLOOKUP(PV_DATA[[#This Row],[New Ark SKU]],Table9[New Ark SKU],Table9[Cable],,0)</f>
        <v>±1400mm</v>
      </c>
      <c r="T314" s="433">
        <v>650</v>
      </c>
      <c r="U314" s="1062">
        <f>720*8</f>
        <v>5760</v>
      </c>
      <c r="V314" s="434">
        <f>PV_DATA[[#This Row],[QUANTITY]]*PV_DATA[[#This Row],[WATT]]/1000000</f>
        <v>3.7440000000000002</v>
      </c>
      <c r="W314" s="435">
        <f>PV_DATA[[#This Row],[QUANTITY]]/PV_DATA[[#This Row],[Qty/Pallet]]</f>
        <v>160</v>
      </c>
      <c r="X314" s="1015">
        <f>PV_DATA[[#This Row],[QUANTITY]]/PV_DATA[[#This Row],[Qty/CT]]</f>
        <v>8</v>
      </c>
      <c r="Y314" s="430" t="s">
        <v>75</v>
      </c>
      <c r="Z314" s="430" t="str">
        <f t="shared" si="2"/>
        <v>COMPLETED</v>
      </c>
      <c r="AA314" s="430" t="s">
        <v>1577</v>
      </c>
      <c r="AB314" s="437">
        <v>46095</v>
      </c>
      <c r="AC314" s="438">
        <f>IF(PV_DATA[[#This Row],[Pick-Up Date]]&lt;&gt;"",_xlfn.ISOWEEKNUM(PV_DATA[[#This Row],[Pick-Up Date]]),"")</f>
        <v>11</v>
      </c>
      <c r="AD314" s="439" t="s">
        <v>1578</v>
      </c>
      <c r="AE314" s="430"/>
      <c r="AF314" s="430" t="s">
        <v>1525</v>
      </c>
      <c r="AG314" s="430" t="s">
        <v>123</v>
      </c>
      <c r="AH314" s="430" t="s">
        <v>105</v>
      </c>
      <c r="AI314" s="437">
        <v>46100</v>
      </c>
      <c r="AJ314" s="437">
        <v>46100</v>
      </c>
      <c r="AK314" s="441">
        <v>46101</v>
      </c>
      <c r="AL314" s="437">
        <v>46144</v>
      </c>
      <c r="AM314" s="437">
        <v>46159</v>
      </c>
      <c r="AN314" s="437">
        <v>46159</v>
      </c>
      <c r="AO314" s="430" t="s">
        <v>402</v>
      </c>
      <c r="AP314" s="430" t="s">
        <v>1526</v>
      </c>
      <c r="AQ314" s="430" t="s">
        <v>161</v>
      </c>
      <c r="AR314" s="430" t="s">
        <v>1579</v>
      </c>
      <c r="AS314" s="430" t="s">
        <v>1580</v>
      </c>
      <c r="AT314" s="482" t="s">
        <v>1581</v>
      </c>
      <c r="AU31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W314" s="437" cm="1">
        <f t="array" ref="AW31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46159</v>
      </c>
      <c r="AX31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14" s="437">
        <f>IF(ISERROR(PV_DATA[[#This Row],[New Ark PO status]]),"",_xlfn.XLOOKUP(PV_DATA[[#This Row],[SPTN-PVHK New Ark PO'#]],New_Ark_Data[Purchase order Number],New_Ark_Data[Estimated time of arrival],"",0))</f>
        <v>46176</v>
      </c>
      <c r="AZ31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14" s="437">
        <f>IFERROR(PV_DATA[[#This Row],[ODP ETA Port]]+PV_DATA[[#This Row],[Customs/Leg3 Assumption]],"n/a")</f>
        <v>46166</v>
      </c>
      <c r="BB314" s="433">
        <f>YEAR(PV_DATA[[#This Row],[ETA for New Ark update]])</f>
        <v>2026</v>
      </c>
      <c r="BC314" s="430">
        <f>MONTH(PV_DATA[[#This Row],[ETA for New Ark update]])</f>
        <v>5</v>
      </c>
      <c r="BD314" s="430">
        <f>IFERROR(_xlfn.ISOWEEKNUM(PV_DATA[[#This Row],[ETA for New Ark update]]),0)</f>
        <v>21</v>
      </c>
      <c r="BE314" s="431">
        <f>_xlfn.XLOOKUP(PV_DATA[[#This Row],[New Ark SKU]],Table9[New Ark SKU],Table9[Total PCS per Pallet],,0)</f>
        <v>36</v>
      </c>
      <c r="BF314" s="431">
        <f>_xlfn.XLOOKUP(PV_DATA[[#This Row],[New Ark SKU]],Table9[New Ark SKU],Table9[Total PCS per 40HQ Container],,0)</f>
        <v>720</v>
      </c>
      <c r="BG314" s="431" t="str">
        <f>_xlfn.XLOOKUP(PV_DATA[[#This Row],[New Ark SKU]],Table9[New Ark SKU],Table9[Back Glass],,0)</f>
        <v>White glazing</v>
      </c>
      <c r="BH314" s="431" t="str">
        <f>_xlfn.XLOOKUP(PV_DATA[[#This Row],[PORT DESTINATION]],Table12[PORT DESTINATION],Table12[Cosco Line],,0)</f>
        <v>AEU</v>
      </c>
      <c r="BJ314" s="430"/>
    </row>
    <row r="315" spans="1:62" ht="10.5" hidden="1">
      <c r="A315" s="462" t="s">
        <v>1582</v>
      </c>
      <c r="B315" s="462" t="s">
        <v>1566</v>
      </c>
      <c r="C315" s="462" t="str">
        <f>IFERROR(LEFT(PV_DATA[[#This Row],[TCL REFERENCE]],FIND(".",PV_DATA[[#This Row],[TCL REFERENCE]],1)-1),"Main Line")</f>
        <v>26Feb029</v>
      </c>
      <c r="D315" s="462" t="s">
        <v>63</v>
      </c>
      <c r="E315" s="462" t="s">
        <v>64</v>
      </c>
      <c r="F315" s="462" t="str" cm="1">
        <f t="array" ref="F31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15" s="462" t="s">
        <v>402</v>
      </c>
      <c r="H315" s="462" t="s">
        <v>67</v>
      </c>
      <c r="I315" s="439" t="s">
        <v>689</v>
      </c>
      <c r="J315" s="430" t="s">
        <v>1568</v>
      </c>
      <c r="K315" s="430"/>
      <c r="L315" s="430"/>
      <c r="M315" s="430" t="s">
        <v>68</v>
      </c>
      <c r="N315" s="432">
        <v>46097</v>
      </c>
      <c r="O315" s="430" t="s">
        <v>284</v>
      </c>
      <c r="P315" s="430" t="s">
        <v>1584</v>
      </c>
      <c r="Q315" s="430" t="s">
        <v>1585</v>
      </c>
      <c r="R315" s="431" t="str">
        <f>_xlfn.XLOOKUP(PV_DATA[[#This Row],[New Ark SKU]],Table9[New Ark SKU],Table9[Connector],,0)</f>
        <v>EVO2A</v>
      </c>
      <c r="S315" s="442" t="str">
        <f>_xlfn.XLOOKUP(PV_DATA[[#This Row],[New Ark SKU]],Table9[New Ark SKU],Table9[Cable],,0)</f>
        <v>±1400mm</v>
      </c>
      <c r="T315" s="433">
        <v>645</v>
      </c>
      <c r="U315" s="1062">
        <v>1440</v>
      </c>
      <c r="V315" s="434">
        <f>PV_DATA[[#This Row],[QUANTITY]]*PV_DATA[[#This Row],[WATT]]/1000000</f>
        <v>0.92879999999999996</v>
      </c>
      <c r="W315" s="435">
        <f>PV_DATA[[#This Row],[QUANTITY]]/PV_DATA[[#This Row],[Qty/Pallet]]</f>
        <v>40</v>
      </c>
      <c r="X315" s="1015">
        <f>PV_DATA[[#This Row],[QUANTITY]]/PV_DATA[[#This Row],[Qty/CT]]</f>
        <v>2</v>
      </c>
      <c r="Y315" s="430" t="s">
        <v>75</v>
      </c>
      <c r="Z315" s="430" t="str">
        <f t="shared" si="2"/>
        <v>COMPLETED</v>
      </c>
      <c r="AA315" s="430" t="s">
        <v>1577</v>
      </c>
      <c r="AB315" s="437">
        <v>46095</v>
      </c>
      <c r="AC315" s="438">
        <f>IF(PV_DATA[[#This Row],[Pick-Up Date]]&lt;&gt;"",_xlfn.ISOWEEKNUM(PV_DATA[[#This Row],[Pick-Up Date]]),"")</f>
        <v>11</v>
      </c>
      <c r="AD315" s="439" t="s">
        <v>1586</v>
      </c>
      <c r="AE315" s="430"/>
      <c r="AF315" s="430" t="s">
        <v>1525</v>
      </c>
      <c r="AG315" s="430" t="s">
        <v>123</v>
      </c>
      <c r="AH315" s="430" t="s">
        <v>105</v>
      </c>
      <c r="AI315" s="437">
        <v>46100</v>
      </c>
      <c r="AJ315" s="437">
        <v>46100</v>
      </c>
      <c r="AK315" s="441">
        <v>46101</v>
      </c>
      <c r="AL315" s="437">
        <v>46144</v>
      </c>
      <c r="AM315" s="437">
        <v>46159</v>
      </c>
      <c r="AN315" s="437">
        <v>46159</v>
      </c>
      <c r="AO315" s="430" t="s">
        <v>402</v>
      </c>
      <c r="AP315" s="430" t="s">
        <v>1526</v>
      </c>
      <c r="AQ315" s="430" t="s">
        <v>161</v>
      </c>
      <c r="AR315" s="430" t="s">
        <v>1579</v>
      </c>
      <c r="AS315" s="430" t="s">
        <v>1580</v>
      </c>
      <c r="AT315" s="482" t="s">
        <v>1581</v>
      </c>
      <c r="AU31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W315" s="437" cm="1">
        <f t="array" ref="AW31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46159</v>
      </c>
      <c r="AX31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15" s="437">
        <f>IF(ISERROR(PV_DATA[[#This Row],[New Ark PO status]]),"",_xlfn.XLOOKUP(PV_DATA[[#This Row],[SPTN-PVHK New Ark PO'#]],New_Ark_Data[Purchase order Number],New_Ark_Data[Estimated time of arrival],"",0))</f>
        <v>46176</v>
      </c>
      <c r="AZ31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15" s="437">
        <f>IFERROR(PV_DATA[[#This Row],[ODP ETA Port]]+PV_DATA[[#This Row],[Customs/Leg3 Assumption]],"n/a")</f>
        <v>46166</v>
      </c>
      <c r="BB315" s="433">
        <f>YEAR(PV_DATA[[#This Row],[ETA for New Ark update]])</f>
        <v>2026</v>
      </c>
      <c r="BC315" s="430">
        <f>MONTH(PV_DATA[[#This Row],[ETA for New Ark update]])</f>
        <v>5</v>
      </c>
      <c r="BD315" s="430">
        <f>IFERROR(_xlfn.ISOWEEKNUM(PV_DATA[[#This Row],[ETA for New Ark update]]),0)</f>
        <v>21</v>
      </c>
      <c r="BE315" s="431">
        <f>_xlfn.XLOOKUP(PV_DATA[[#This Row],[New Ark SKU]],Table9[New Ark SKU],Table9[Total PCS per Pallet],,0)</f>
        <v>36</v>
      </c>
      <c r="BF315" s="431">
        <f>_xlfn.XLOOKUP(PV_DATA[[#This Row],[New Ark SKU]],Table9[New Ark SKU],Table9[Total PCS per 40HQ Container],,0)</f>
        <v>720</v>
      </c>
      <c r="BG315" s="431" t="str">
        <f>_xlfn.XLOOKUP(PV_DATA[[#This Row],[New Ark SKU]],Table9[New Ark SKU],Table9[Back Glass],,0)</f>
        <v>White glazing</v>
      </c>
      <c r="BH315" s="431" t="str">
        <f>_xlfn.XLOOKUP(PV_DATA[[#This Row],[PORT DESTINATION]],Table12[PORT DESTINATION],Table12[Cosco Line],,0)</f>
        <v>AEU</v>
      </c>
      <c r="BJ315" s="430"/>
    </row>
    <row r="316" spans="1:62" ht="10.5" hidden="1">
      <c r="A316" s="462" t="s">
        <v>1587</v>
      </c>
      <c r="B316" s="462" t="s">
        <v>111</v>
      </c>
      <c r="C316" s="462" t="str">
        <f>IFERROR(LEFT(PV_DATA[[#This Row],[TCL REFERENCE]],FIND(".",PV_DATA[[#This Row],[TCL REFERENCE]],1)-1),"Main Line")</f>
        <v>26Feb015</v>
      </c>
      <c r="D316" s="462" t="s">
        <v>63</v>
      </c>
      <c r="E316" s="462" t="s">
        <v>64</v>
      </c>
      <c r="F316" s="462" t="str" cm="1">
        <f t="array" ref="F31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16" s="462" t="s">
        <v>402</v>
      </c>
      <c r="H316" s="462" t="s">
        <v>67</v>
      </c>
      <c r="I316" s="439" t="s">
        <v>68</v>
      </c>
      <c r="J316" s="430" t="s">
        <v>1588</v>
      </c>
      <c r="K316" s="430"/>
      <c r="L316" s="430"/>
      <c r="M316" s="430" t="s">
        <v>68</v>
      </c>
      <c r="N316" s="432">
        <v>46048</v>
      </c>
      <c r="O316" s="430" t="s">
        <v>132</v>
      </c>
      <c r="P316" s="430" t="s">
        <v>133</v>
      </c>
      <c r="Q316" s="430" t="s">
        <v>134</v>
      </c>
      <c r="R316" s="431" t="str">
        <f>_xlfn.XLOOKUP(PV_DATA[[#This Row],[New Ark SKU]],Table9[New Ark SKU],Table9[Connector],,0)</f>
        <v>EVO2A</v>
      </c>
      <c r="S316" s="442" t="str">
        <f>_xlfn.XLOOKUP(PV_DATA[[#This Row],[New Ark SKU]],Table9[New Ark SKU],Table9[Cable],,0)</f>
        <v>±1400mm</v>
      </c>
      <c r="T316" s="433">
        <v>720</v>
      </c>
      <c r="U316" s="1062">
        <f>2*594</f>
        <v>1188</v>
      </c>
      <c r="V316" s="434">
        <f>PV_DATA[[#This Row],[QUANTITY]]*PV_DATA[[#This Row],[WATT]]/1000000</f>
        <v>0.85536000000000001</v>
      </c>
      <c r="W316" s="435">
        <f>PV_DATA[[#This Row],[QUANTITY]]/PV_DATA[[#This Row],[Qty/Pallet]]</f>
        <v>36</v>
      </c>
      <c r="X316" s="1015">
        <f>PV_DATA[[#This Row],[QUANTITY]]/PV_DATA[[#This Row],[Qty/CT]]</f>
        <v>2</v>
      </c>
      <c r="Y316" s="430" t="s">
        <v>75</v>
      </c>
      <c r="Z316" s="430" t="str">
        <f t="shared" si="2"/>
        <v>COMPLETED</v>
      </c>
      <c r="AA316" s="430"/>
      <c r="AB316" s="437">
        <v>46095</v>
      </c>
      <c r="AC316" s="438">
        <f>IF(PV_DATA[[#This Row],[Pick-Up Date]]&lt;&gt;"",_xlfn.ISOWEEKNUM(PV_DATA[[#This Row],[Pick-Up Date]]),"")</f>
        <v>11</v>
      </c>
      <c r="AD316" s="439" t="s">
        <v>1589</v>
      </c>
      <c r="AE316" s="430"/>
      <c r="AF316" s="430" t="s">
        <v>122</v>
      </c>
      <c r="AG316" s="430" t="s">
        <v>123</v>
      </c>
      <c r="AH316" s="430" t="s">
        <v>105</v>
      </c>
      <c r="AI316" s="437">
        <v>46099</v>
      </c>
      <c r="AJ316" s="437">
        <v>46098</v>
      </c>
      <c r="AK316" s="441">
        <v>46100</v>
      </c>
      <c r="AL316" s="437">
        <v>46149</v>
      </c>
      <c r="AM316" s="437">
        <v>46149</v>
      </c>
      <c r="AN316" s="437">
        <v>46149</v>
      </c>
      <c r="AO316" s="430" t="s">
        <v>402</v>
      </c>
      <c r="AP316" s="430" t="s">
        <v>1590</v>
      </c>
      <c r="AQ316" s="430" t="s">
        <v>161</v>
      </c>
      <c r="AR316" s="430" t="s">
        <v>1591</v>
      </c>
      <c r="AS316" s="430">
        <v>267391376</v>
      </c>
      <c r="AT316" s="431">
        <v>267391376</v>
      </c>
      <c r="AU31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W316" s="437" cm="1">
        <f t="array" ref="AW31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46149</v>
      </c>
      <c r="AX31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16" s="437">
        <f>IF(ISERROR(PV_DATA[[#This Row],[New Ark PO status]]),"",_xlfn.XLOOKUP(PV_DATA[[#This Row],[SPTN-PVHK New Ark PO'#]],New_Ark_Data[Purchase order Number],New_Ark_Data[Estimated time of arrival],"",0))</f>
        <v>46163</v>
      </c>
      <c r="AZ31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16" s="437">
        <f>IFERROR(PV_DATA[[#This Row],[ODP ETA Port]]+PV_DATA[[#This Row],[Customs/Leg3 Assumption]],"n/a")</f>
        <v>46156</v>
      </c>
      <c r="BB316" s="433">
        <f>YEAR(PV_DATA[[#This Row],[ETA for New Ark update]])</f>
        <v>2026</v>
      </c>
      <c r="BC316" s="430">
        <f>MONTH(PV_DATA[[#This Row],[ETA for New Ark update]])</f>
        <v>5</v>
      </c>
      <c r="BD316" s="430">
        <f>IFERROR(_xlfn.ISOWEEKNUM(PV_DATA[[#This Row],[ETA for New Ark update]]),0)</f>
        <v>20</v>
      </c>
      <c r="BE316" s="431">
        <f>_xlfn.XLOOKUP(PV_DATA[[#This Row],[New Ark SKU]],Table9[New Ark SKU],Table9[Total PCS per Pallet],,0)</f>
        <v>33</v>
      </c>
      <c r="BF316" s="431">
        <f>_xlfn.XLOOKUP(PV_DATA[[#This Row],[New Ark SKU]],Table9[New Ark SKU],Table9[Total PCS per 40HQ Container],,0)</f>
        <v>594</v>
      </c>
      <c r="BG316" s="431" t="str">
        <f>_xlfn.XLOOKUP(PV_DATA[[#This Row],[New Ark SKU]],Table9[New Ark SKU],Table9[Back Glass],,0)</f>
        <v>White glazing</v>
      </c>
      <c r="BH316" s="431" t="str">
        <f>_xlfn.XLOOKUP(PV_DATA[[#This Row],[PORT DESTINATION]],Table12[PORT DESTINATION],Table12[Cosco Line],,0)</f>
        <v>AEU</v>
      </c>
      <c r="BJ316" s="430"/>
    </row>
    <row r="317" spans="1:62" ht="10.5" hidden="1">
      <c r="A317" s="462" t="s">
        <v>1592</v>
      </c>
      <c r="B317" s="462" t="s">
        <v>61</v>
      </c>
      <c r="C317" s="462" t="str">
        <f>IFERROR(LEFT(PV_DATA[[#This Row],[TCL REFERENCE]],FIND(".",PV_DATA[[#This Row],[TCL REFERENCE]],1)-1),"Main Line")</f>
        <v>26Feb019</v>
      </c>
      <c r="D317" s="462" t="s">
        <v>63</v>
      </c>
      <c r="E317" s="462" t="s">
        <v>64</v>
      </c>
      <c r="F317" s="462" t="str" cm="1">
        <f t="array" ref="F31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317" s="462" t="s">
        <v>402</v>
      </c>
      <c r="H317" s="462" t="s">
        <v>67</v>
      </c>
      <c r="I317" s="439" t="s">
        <v>689</v>
      </c>
      <c r="J317" s="430" t="s">
        <v>1568</v>
      </c>
      <c r="K317" s="430"/>
      <c r="L317" s="430"/>
      <c r="M317" s="430" t="s">
        <v>68</v>
      </c>
      <c r="N317" s="432">
        <v>46083</v>
      </c>
      <c r="O317" s="430" t="s">
        <v>70</v>
      </c>
      <c r="P317" s="430" t="s">
        <v>71</v>
      </c>
      <c r="Q317" s="430" t="s">
        <v>72</v>
      </c>
      <c r="R317" s="431" t="str">
        <f>_xlfn.XLOOKUP(PV_DATA[[#This Row],[New Ark SKU]],Table9[New Ark SKU],Table9[Connector],,0)</f>
        <v>EVO2A</v>
      </c>
      <c r="S317" s="442" t="str">
        <f>_xlfn.XLOOKUP(PV_DATA[[#This Row],[New Ark SKU]],Table9[New Ark SKU],Table9[Cable],,0)</f>
        <v>±1200mm</v>
      </c>
      <c r="T317" s="433">
        <v>500</v>
      </c>
      <c r="U317" s="1062">
        <f>864*8</f>
        <v>6912</v>
      </c>
      <c r="V317" s="434">
        <f>PV_DATA[[#This Row],[QUANTITY]]*PV_DATA[[#This Row],[WATT]]/1000000</f>
        <v>3.456</v>
      </c>
      <c r="W317" s="435">
        <f>PV_DATA[[#This Row],[QUANTITY]]/PV_DATA[[#This Row],[Qty/Pallet]]</f>
        <v>192</v>
      </c>
      <c r="X317" s="1015">
        <f>PV_DATA[[#This Row],[QUANTITY]]/PV_DATA[[#This Row],[Qty/CT]]</f>
        <v>8</v>
      </c>
      <c r="Y317" s="430" t="s">
        <v>75</v>
      </c>
      <c r="Z317" s="430" t="str">
        <f t="shared" si="2"/>
        <v>COMPLETED</v>
      </c>
      <c r="AA317" s="430" t="s">
        <v>1594</v>
      </c>
      <c r="AB317" s="437">
        <v>46092</v>
      </c>
      <c r="AC317" s="438">
        <f>IF(PV_DATA[[#This Row],[Pick-Up Date]]&lt;&gt;"",_xlfn.ISOWEEKNUM(PV_DATA[[#This Row],[Pick-Up Date]]),"")</f>
        <v>11</v>
      </c>
      <c r="AD317" s="439" t="s">
        <v>1595</v>
      </c>
      <c r="AE317" s="430"/>
      <c r="AF317" s="430" t="s">
        <v>77</v>
      </c>
      <c r="AG317" s="430" t="s">
        <v>61</v>
      </c>
      <c r="AH317" s="430" t="s">
        <v>356</v>
      </c>
      <c r="AI317" s="437">
        <v>46098</v>
      </c>
      <c r="AJ317" s="437">
        <v>46098</v>
      </c>
      <c r="AK317" s="441">
        <v>46098</v>
      </c>
      <c r="AL317" s="437">
        <v>46147</v>
      </c>
      <c r="AM317" s="437">
        <v>46144</v>
      </c>
      <c r="AN317" s="437">
        <v>46144</v>
      </c>
      <c r="AO317" s="430" t="s">
        <v>402</v>
      </c>
      <c r="AP317" s="430" t="s">
        <v>1596</v>
      </c>
      <c r="AQ317" s="430" t="s">
        <v>161</v>
      </c>
      <c r="AR317" s="430" t="s">
        <v>986</v>
      </c>
      <c r="AS317" s="430" t="s">
        <v>1597</v>
      </c>
      <c r="AT317" s="431">
        <v>267064335</v>
      </c>
      <c r="AU31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317" s="437" cm="1">
        <f t="array" ref="AW31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46144</v>
      </c>
      <c r="AX31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17" s="437">
        <f>IF(ISERROR(PV_DATA[[#This Row],[New Ark PO status]]),"",_xlfn.XLOOKUP(PV_DATA[[#This Row],[SPTN-PVHK New Ark PO'#]],New_Ark_Data[Purchase order Number],New_Ark_Data[Estimated time of arrival],"",0))</f>
        <v>46158</v>
      </c>
      <c r="AZ317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317" s="437">
        <f>IFERROR(PV_DATA[[#This Row],[ODP ETA Port]]+PV_DATA[[#This Row],[Customs/Leg3 Assumption]],"n/a")</f>
        <v>46154</v>
      </c>
      <c r="BB317" s="433">
        <f>YEAR(PV_DATA[[#This Row],[ETA for New Ark update]])</f>
        <v>2026</v>
      </c>
      <c r="BC317" s="430">
        <f>MONTH(PV_DATA[[#This Row],[ETA for New Ark update]])</f>
        <v>5</v>
      </c>
      <c r="BD317" s="430">
        <f>IFERROR(_xlfn.ISOWEEKNUM(PV_DATA[[#This Row],[ETA for New Ark update]]),0)</f>
        <v>20</v>
      </c>
      <c r="BE317" s="431">
        <f>_xlfn.XLOOKUP(PV_DATA[[#This Row],[New Ark SKU]],Table9[New Ark SKU],Table9[Total PCS per Pallet],,0)</f>
        <v>36</v>
      </c>
      <c r="BF317" s="431">
        <f>_xlfn.XLOOKUP(PV_DATA[[#This Row],[New Ark SKU]],Table9[New Ark SKU],Table9[Total PCS per 40HQ Container],,0)</f>
        <v>864</v>
      </c>
      <c r="BG317" s="431" t="str">
        <f>_xlfn.XLOOKUP(PV_DATA[[#This Row],[New Ark SKU]],Table9[New Ark SKU],Table9[Back Glass],,0)</f>
        <v>Black glazing</v>
      </c>
      <c r="BH317" s="431" t="str">
        <f>_xlfn.XLOOKUP(PV_DATA[[#This Row],[PORT DESTINATION]],Table12[PORT DESTINATION],Table12[Cosco Line],,0)</f>
        <v>AEU</v>
      </c>
      <c r="BJ317" s="430"/>
    </row>
    <row r="318" spans="1:62" s="450" customFormat="1" ht="10.5" hidden="1">
      <c r="A318" s="446" t="s">
        <v>1598</v>
      </c>
      <c r="B318" s="446" t="s">
        <v>61</v>
      </c>
      <c r="C318" s="446" t="str">
        <f>IFERROR(LEFT(PV_DATA[[#This Row],[TCL REFERENCE]],FIND(".",PV_DATA[[#This Row],[TCL REFERENCE]],1)-1),"Main Line")</f>
        <v>26Feb019</v>
      </c>
      <c r="D318" s="446" t="s">
        <v>63</v>
      </c>
      <c r="E318" s="446" t="s">
        <v>144</v>
      </c>
      <c r="F318" s="446" t="str" cm="1">
        <f t="array" ref="F31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18" s="446" t="s">
        <v>402</v>
      </c>
      <c r="H318" s="446" t="s">
        <v>868</v>
      </c>
      <c r="I318" s="446" t="s">
        <v>689</v>
      </c>
      <c r="J318" s="450" t="s">
        <v>147</v>
      </c>
      <c r="K318" s="450" t="s">
        <v>870</v>
      </c>
      <c r="M318" s="450" t="s">
        <v>840</v>
      </c>
      <c r="N318" s="451">
        <v>46090</v>
      </c>
      <c r="O318" s="450" t="s">
        <v>70</v>
      </c>
      <c r="P318" s="450" t="s">
        <v>71</v>
      </c>
      <c r="Q318" s="450" t="s">
        <v>72</v>
      </c>
      <c r="R318" s="450" t="str">
        <f>_xlfn.XLOOKUP(PV_DATA[[#This Row],[New Ark SKU]],Table9[New Ark SKU],Table9[Connector],,0)</f>
        <v>EVO2A</v>
      </c>
      <c r="S318" s="452" t="str">
        <f>_xlfn.XLOOKUP(PV_DATA[[#This Row],[New Ark SKU]],Table9[New Ark SKU],Table9[Cable],,0)</f>
        <v>±1200mm</v>
      </c>
      <c r="T318" s="452">
        <v>500</v>
      </c>
      <c r="U318" s="1063">
        <f>864*2</f>
        <v>1728</v>
      </c>
      <c r="V318" s="453">
        <f>PV_DATA[[#This Row],[QUANTITY]]*PV_DATA[[#This Row],[WATT]]/1000000</f>
        <v>0.86399999999999999</v>
      </c>
      <c r="W318" s="454">
        <f>PV_DATA[[#This Row],[QUANTITY]]/PV_DATA[[#This Row],[Qty/Pallet]]</f>
        <v>48</v>
      </c>
      <c r="X318" s="1020">
        <f>PV_DATA[[#This Row],[QUANTITY]]/PV_DATA[[#This Row],[Qty/CT]]</f>
        <v>2</v>
      </c>
      <c r="Y318" s="450" t="s">
        <v>75</v>
      </c>
      <c r="Z318" s="450" t="str">
        <f t="shared" si="2"/>
        <v>COMPLETED</v>
      </c>
      <c r="AA318" s="450" t="s">
        <v>1599</v>
      </c>
      <c r="AB318" s="455">
        <v>46092</v>
      </c>
      <c r="AC318" s="456">
        <f>IF(PV_DATA[[#This Row],[Pick-Up Date]]&lt;&gt;"",_xlfn.ISOWEEKNUM(PV_DATA[[#This Row],[Pick-Up Date]]),"")</f>
        <v>11</v>
      </c>
      <c r="AD318" s="446" t="s">
        <v>1600</v>
      </c>
      <c r="AF318" s="450" t="s">
        <v>77</v>
      </c>
      <c r="AG318" s="450" t="s">
        <v>61</v>
      </c>
      <c r="AH318" s="450" t="s">
        <v>356</v>
      </c>
      <c r="AI318" s="455">
        <v>46098</v>
      </c>
      <c r="AJ318" s="455">
        <v>46098</v>
      </c>
      <c r="AK318" s="455">
        <v>46098</v>
      </c>
      <c r="AL318" s="455">
        <v>46147</v>
      </c>
      <c r="AM318" s="455">
        <v>46144</v>
      </c>
      <c r="AN318" s="455">
        <v>46144</v>
      </c>
      <c r="AO318" s="450" t="s">
        <v>402</v>
      </c>
      <c r="AP318" s="450" t="s">
        <v>1596</v>
      </c>
      <c r="AQ318" s="450" t="s">
        <v>161</v>
      </c>
      <c r="AR318" s="450" t="s">
        <v>1601</v>
      </c>
      <c r="AS318" s="450" t="s">
        <v>1602</v>
      </c>
      <c r="AT318" s="450">
        <v>267064412</v>
      </c>
      <c r="AU318" s="45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318" s="455" cm="1">
        <f t="array" ref="AW31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46144</v>
      </c>
      <c r="AX318" s="452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18" s="455">
        <f>IF(ISERROR(PV_DATA[[#This Row],[New Ark PO status]]),"",_xlfn.XLOOKUP(PV_DATA[[#This Row],[SPTN-PVHK New Ark PO'#]],New_Ark_Data[Purchase order Number],New_Ark_Data[Estimated time of arrival],"",0))</f>
        <v>46161</v>
      </c>
      <c r="AZ318" s="45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18" s="455">
        <f>IFERROR(PV_DATA[[#This Row],[ODP ETA Port]]+PV_DATA[[#This Row],[Customs/Leg3 Assumption]],"n/a")</f>
        <v>46144</v>
      </c>
      <c r="BB318" s="452">
        <f>YEAR(PV_DATA[[#This Row],[ETA for New Ark update]])</f>
        <v>2026</v>
      </c>
      <c r="BC318" s="450">
        <f>MONTH(PV_DATA[[#This Row],[ETA for New Ark update]])</f>
        <v>5</v>
      </c>
      <c r="BD318" s="450">
        <f>IFERROR(_xlfn.ISOWEEKNUM(PV_DATA[[#This Row],[ETA for New Ark update]]),0)</f>
        <v>18</v>
      </c>
      <c r="BE318" s="450">
        <f>_xlfn.XLOOKUP(PV_DATA[[#This Row],[New Ark SKU]],Table9[New Ark SKU],Table9[Total PCS per Pallet],,0)</f>
        <v>36</v>
      </c>
      <c r="BF318" s="450">
        <f>_xlfn.XLOOKUP(PV_DATA[[#This Row],[New Ark SKU]],Table9[New Ark SKU],Table9[Total PCS per 40HQ Container],,0)</f>
        <v>864</v>
      </c>
      <c r="BG318" s="450" t="str">
        <f>_xlfn.XLOOKUP(PV_DATA[[#This Row],[New Ark SKU]],Table9[New Ark SKU],Table9[Back Glass],,0)</f>
        <v>Black glazing</v>
      </c>
      <c r="BH318" s="450" t="str">
        <f>_xlfn.XLOOKUP(PV_DATA[[#This Row],[PORT DESTINATION]],Table12[PORT DESTINATION],Table12[Cosco Line],,0)</f>
        <v>AEU</v>
      </c>
    </row>
    <row r="319" spans="1:62" s="450" customFormat="1" ht="10.5" hidden="1">
      <c r="A319" s="446" t="s">
        <v>1603</v>
      </c>
      <c r="B319" s="446" t="s">
        <v>61</v>
      </c>
      <c r="C319" s="446" t="str">
        <f>IFERROR(LEFT(PV_DATA[[#This Row],[TCL REFERENCE]],FIND(".",PV_DATA[[#This Row],[TCL REFERENCE]],1)-1),"Main Line")</f>
        <v>26Feb019</v>
      </c>
      <c r="D319" s="446" t="s">
        <v>63</v>
      </c>
      <c r="E319" s="446" t="s">
        <v>64</v>
      </c>
      <c r="F319" s="446" t="str" cm="1">
        <f t="array" ref="F31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319" s="446" t="s">
        <v>402</v>
      </c>
      <c r="H319" s="446" t="s">
        <v>67</v>
      </c>
      <c r="I319" s="446" t="s">
        <v>689</v>
      </c>
      <c r="J319" s="450" t="s">
        <v>1604</v>
      </c>
      <c r="M319" s="450" t="s">
        <v>68</v>
      </c>
      <c r="N319" s="451">
        <v>46090</v>
      </c>
      <c r="O319" s="450" t="s">
        <v>70</v>
      </c>
      <c r="P319" s="450" t="s">
        <v>71</v>
      </c>
      <c r="Q319" s="450" t="s">
        <v>72</v>
      </c>
      <c r="R319" s="450" t="str">
        <f>_xlfn.XLOOKUP(PV_DATA[[#This Row],[New Ark SKU]],Table9[New Ark SKU],Table9[Connector],,0)</f>
        <v>EVO2A</v>
      </c>
      <c r="S319" s="452" t="str">
        <f>_xlfn.XLOOKUP(PV_DATA[[#This Row],[New Ark SKU]],Table9[New Ark SKU],Table9[Cable],,0)</f>
        <v>±1200mm</v>
      </c>
      <c r="T319" s="452">
        <v>500</v>
      </c>
      <c r="U319" s="1063">
        <f>864*2</f>
        <v>1728</v>
      </c>
      <c r="V319" s="453">
        <f>PV_DATA[[#This Row],[QUANTITY]]*PV_DATA[[#This Row],[WATT]]/1000000</f>
        <v>0.86399999999999999</v>
      </c>
      <c r="W319" s="454">
        <f>PV_DATA[[#This Row],[QUANTITY]]/PV_DATA[[#This Row],[Qty/Pallet]]</f>
        <v>48</v>
      </c>
      <c r="X319" s="1020">
        <f>PV_DATA[[#This Row],[QUANTITY]]/PV_DATA[[#This Row],[Qty/CT]]</f>
        <v>2</v>
      </c>
      <c r="Y319" s="450" t="s">
        <v>75</v>
      </c>
      <c r="Z319" s="450" t="str">
        <f t="shared" si="2"/>
        <v>COMPLETED</v>
      </c>
      <c r="AA319" s="450" t="s">
        <v>1599</v>
      </c>
      <c r="AB319" s="455">
        <v>46092</v>
      </c>
      <c r="AC319" s="456">
        <f>IF(PV_DATA[[#This Row],[Pick-Up Date]]&lt;&gt;"",_xlfn.ISOWEEKNUM(PV_DATA[[#This Row],[Pick-Up Date]]),"")</f>
        <v>11</v>
      </c>
      <c r="AD319" s="446" t="s">
        <v>1605</v>
      </c>
      <c r="AF319" s="450" t="s">
        <v>77</v>
      </c>
      <c r="AG319" s="450" t="s">
        <v>61</v>
      </c>
      <c r="AH319" s="450" t="s">
        <v>356</v>
      </c>
      <c r="AI319" s="455">
        <v>46098</v>
      </c>
      <c r="AJ319" s="455">
        <v>46098</v>
      </c>
      <c r="AK319" s="455">
        <v>46098</v>
      </c>
      <c r="AL319" s="455">
        <v>46147</v>
      </c>
      <c r="AM319" s="455">
        <v>46144</v>
      </c>
      <c r="AN319" s="455">
        <v>46144</v>
      </c>
      <c r="AO319" s="450" t="s">
        <v>402</v>
      </c>
      <c r="AP319" s="450" t="s">
        <v>1596</v>
      </c>
      <c r="AQ319" s="450" t="s">
        <v>161</v>
      </c>
      <c r="AR319" s="450" t="s">
        <v>1601</v>
      </c>
      <c r="AS319" s="450" t="s">
        <v>1606</v>
      </c>
      <c r="AT319" s="450">
        <v>267064412</v>
      </c>
      <c r="AU319" s="45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319" s="455" cm="1">
        <f t="array" ref="AW31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46144</v>
      </c>
      <c r="AX319" s="452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19" s="455">
        <f>IF(ISERROR(PV_DATA[[#This Row],[New Ark PO status]]),"",_xlfn.XLOOKUP(PV_DATA[[#This Row],[SPTN-PVHK New Ark PO'#]],New_Ark_Data[Purchase order Number],New_Ark_Data[Estimated time of arrival],"",0))</f>
        <v>46160</v>
      </c>
      <c r="AZ319" s="45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319" s="455">
        <f>IFERROR(PV_DATA[[#This Row],[ODP ETA Port]]+PV_DATA[[#This Row],[Customs/Leg3 Assumption]],"n/a")</f>
        <v>46154</v>
      </c>
      <c r="BB319" s="452">
        <f>YEAR(PV_DATA[[#This Row],[ETA for New Ark update]])</f>
        <v>2026</v>
      </c>
      <c r="BC319" s="450">
        <f>MONTH(PV_DATA[[#This Row],[ETA for New Ark update]])</f>
        <v>5</v>
      </c>
      <c r="BD319" s="450">
        <f>IFERROR(_xlfn.ISOWEEKNUM(PV_DATA[[#This Row],[ETA for New Ark update]]),0)</f>
        <v>20</v>
      </c>
      <c r="BE319" s="450">
        <f>_xlfn.XLOOKUP(PV_DATA[[#This Row],[New Ark SKU]],Table9[New Ark SKU],Table9[Total PCS per Pallet],,0)</f>
        <v>36</v>
      </c>
      <c r="BF319" s="450">
        <f>_xlfn.XLOOKUP(PV_DATA[[#This Row],[New Ark SKU]],Table9[New Ark SKU],Table9[Total PCS per 40HQ Container],,0)</f>
        <v>864</v>
      </c>
      <c r="BG319" s="450" t="str">
        <f>_xlfn.XLOOKUP(PV_DATA[[#This Row],[New Ark SKU]],Table9[New Ark SKU],Table9[Back Glass],,0)</f>
        <v>Black glazing</v>
      </c>
      <c r="BH319" s="450" t="str">
        <f>_xlfn.XLOOKUP(PV_DATA[[#This Row],[PORT DESTINATION]],Table12[PORT DESTINATION],Table12[Cosco Line],,0)</f>
        <v>AEU</v>
      </c>
    </row>
    <row r="320" spans="1:62" ht="10.5" hidden="1">
      <c r="A320" s="462" t="s">
        <v>1607</v>
      </c>
      <c r="B320" s="462" t="s">
        <v>61</v>
      </c>
      <c r="C320" s="462" t="str">
        <f>IFERROR(LEFT(PV_DATA[[#This Row],[TCL REFERENCE]],FIND(".",PV_DATA[[#This Row],[TCL REFERENCE]],1)-1),"Main Line")</f>
        <v>26Feb019</v>
      </c>
      <c r="D320" s="462" t="s">
        <v>63</v>
      </c>
      <c r="E320" s="462" t="s">
        <v>64</v>
      </c>
      <c r="F320" s="462" t="str" cm="1">
        <f t="array" ref="F32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320" s="462" t="s">
        <v>402</v>
      </c>
      <c r="H320" s="462" t="s">
        <v>67</v>
      </c>
      <c r="I320" s="439" t="s">
        <v>689</v>
      </c>
      <c r="J320" s="430" t="s">
        <v>690</v>
      </c>
      <c r="K320" s="430"/>
      <c r="L320" s="430"/>
      <c r="M320" s="430" t="s">
        <v>68</v>
      </c>
      <c r="N320" s="432">
        <v>46083</v>
      </c>
      <c r="O320" s="430" t="s">
        <v>70</v>
      </c>
      <c r="P320" s="430" t="s">
        <v>71</v>
      </c>
      <c r="Q320" s="430" t="s">
        <v>72</v>
      </c>
      <c r="R320" s="431" t="str">
        <f>_xlfn.XLOOKUP(PV_DATA[[#This Row],[New Ark SKU]],Table9[New Ark SKU],Table9[Connector],,0)</f>
        <v>EVO2A</v>
      </c>
      <c r="S320" s="442" t="str">
        <f>_xlfn.XLOOKUP(PV_DATA[[#This Row],[New Ark SKU]],Table9[New Ark SKU],Table9[Cable],,0)</f>
        <v>±1200mm</v>
      </c>
      <c r="T320" s="433">
        <v>500</v>
      </c>
      <c r="U320" s="1062">
        <f>864*6</f>
        <v>5184</v>
      </c>
      <c r="V320" s="434">
        <f>PV_DATA[[#This Row],[QUANTITY]]*PV_DATA[[#This Row],[WATT]]/1000000</f>
        <v>2.5920000000000001</v>
      </c>
      <c r="W320" s="435">
        <f>PV_DATA[[#This Row],[QUANTITY]]/PV_DATA[[#This Row],[Qty/Pallet]]</f>
        <v>144</v>
      </c>
      <c r="X320" s="1015">
        <f>PV_DATA[[#This Row],[QUANTITY]]/PV_DATA[[#This Row],[Qty/CT]]</f>
        <v>6</v>
      </c>
      <c r="Y320" s="430" t="s">
        <v>75</v>
      </c>
      <c r="Z320" s="430" t="str">
        <f t="shared" si="2"/>
        <v>COMPLETED</v>
      </c>
      <c r="AA320" s="430" t="s">
        <v>1608</v>
      </c>
      <c r="AB320" s="437">
        <v>46092</v>
      </c>
      <c r="AC320" s="438">
        <f>IF(PV_DATA[[#This Row],[Pick-Up Date]]&lt;&gt;"",_xlfn.ISOWEEKNUM(PV_DATA[[#This Row],[Pick-Up Date]]),"")</f>
        <v>11</v>
      </c>
      <c r="AD320" s="439" t="s">
        <v>1609</v>
      </c>
      <c r="AE320" s="430"/>
      <c r="AF320" s="430" t="s">
        <v>77</v>
      </c>
      <c r="AG320" s="430" t="s">
        <v>61</v>
      </c>
      <c r="AH320" s="430" t="s">
        <v>356</v>
      </c>
      <c r="AI320" s="437">
        <v>46098</v>
      </c>
      <c r="AJ320" s="437">
        <v>46098</v>
      </c>
      <c r="AK320" s="441">
        <v>46098</v>
      </c>
      <c r="AL320" s="437">
        <v>46147</v>
      </c>
      <c r="AM320" s="437">
        <v>46144</v>
      </c>
      <c r="AN320" s="437">
        <v>46144</v>
      </c>
      <c r="AO320" s="430" t="s">
        <v>402</v>
      </c>
      <c r="AP320" s="430" t="s">
        <v>1596</v>
      </c>
      <c r="AQ320" s="430" t="s">
        <v>161</v>
      </c>
      <c r="AR320" s="430" t="s">
        <v>1601</v>
      </c>
      <c r="AS320" s="430" t="s">
        <v>1606</v>
      </c>
      <c r="AT320" s="431">
        <v>267064412</v>
      </c>
      <c r="AU32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320" s="437" cm="1">
        <f t="array" ref="AW32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46144</v>
      </c>
      <c r="AX32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20" s="437">
        <f>IF(ISERROR(PV_DATA[[#This Row],[New Ark PO status]]),"",_xlfn.XLOOKUP(PV_DATA[[#This Row],[SPTN-PVHK New Ark PO'#]],New_Ark_Data[Purchase order Number],New_Ark_Data[Estimated time of arrival],"",0))</f>
        <v>46158</v>
      </c>
      <c r="AZ320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320" s="437">
        <f>IFERROR(PV_DATA[[#This Row],[ODP ETA Port]]+PV_DATA[[#This Row],[Customs/Leg3 Assumption]],"n/a")</f>
        <v>46154</v>
      </c>
      <c r="BB320" s="433">
        <f>YEAR(PV_DATA[[#This Row],[ETA for New Ark update]])</f>
        <v>2026</v>
      </c>
      <c r="BC320" s="430">
        <f>MONTH(PV_DATA[[#This Row],[ETA for New Ark update]])</f>
        <v>5</v>
      </c>
      <c r="BD320" s="430">
        <f>IFERROR(_xlfn.ISOWEEKNUM(PV_DATA[[#This Row],[ETA for New Ark update]]),0)</f>
        <v>20</v>
      </c>
      <c r="BE320" s="431">
        <f>_xlfn.XLOOKUP(PV_DATA[[#This Row],[New Ark SKU]],Table9[New Ark SKU],Table9[Total PCS per Pallet],,0)</f>
        <v>36</v>
      </c>
      <c r="BF320" s="431">
        <f>_xlfn.XLOOKUP(PV_DATA[[#This Row],[New Ark SKU]],Table9[New Ark SKU],Table9[Total PCS per 40HQ Container],,0)</f>
        <v>864</v>
      </c>
      <c r="BG320" s="431" t="str">
        <f>_xlfn.XLOOKUP(PV_DATA[[#This Row],[New Ark SKU]],Table9[New Ark SKU],Table9[Back Glass],,0)</f>
        <v>Black glazing</v>
      </c>
      <c r="BH320" s="431" t="str">
        <f>_xlfn.XLOOKUP(PV_DATA[[#This Row],[PORT DESTINATION]],Table12[PORT DESTINATION],Table12[Cosco Line],,0)</f>
        <v>AEU</v>
      </c>
      <c r="BJ320" s="430"/>
    </row>
    <row r="321" spans="1:62" ht="10.5" hidden="1">
      <c r="A321" s="462" t="s">
        <v>1610</v>
      </c>
      <c r="B321" s="462" t="s">
        <v>61</v>
      </c>
      <c r="C321" s="462" t="str">
        <f>IFERROR(LEFT(PV_DATA[[#This Row],[TCL REFERENCE]],FIND(".",PV_DATA[[#This Row],[TCL REFERENCE]],1)-1),"Main Line")</f>
        <v>26Feb020</v>
      </c>
      <c r="D321" s="462" t="s">
        <v>63</v>
      </c>
      <c r="E321" s="462" t="s">
        <v>64</v>
      </c>
      <c r="F321" s="462" t="str" cm="1">
        <f t="array" ref="F32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21" s="462" t="s">
        <v>402</v>
      </c>
      <c r="H321" s="462" t="s">
        <v>67</v>
      </c>
      <c r="I321" s="439" t="s">
        <v>689</v>
      </c>
      <c r="J321" s="430" t="s">
        <v>101</v>
      </c>
      <c r="K321" s="430"/>
      <c r="L321" s="430"/>
      <c r="M321" s="430" t="s">
        <v>68</v>
      </c>
      <c r="N321" s="432">
        <v>46104</v>
      </c>
      <c r="O321" s="430" t="s">
        <v>70</v>
      </c>
      <c r="P321" s="430" t="s">
        <v>1151</v>
      </c>
      <c r="Q321" s="430" t="s">
        <v>421</v>
      </c>
      <c r="R321" s="431" t="str">
        <f>_xlfn.XLOOKUP(PV_DATA[[#This Row],[New Ark SKU]],Table9[New Ark SKU],Table9[Connector],,0)</f>
        <v>EVO2A</v>
      </c>
      <c r="S321" s="442" t="str">
        <f>_xlfn.XLOOKUP(PV_DATA[[#This Row],[New Ark SKU]],Table9[New Ark SKU],Table9[Cable],,0)</f>
        <v>±1200mm</v>
      </c>
      <c r="T321" s="433">
        <v>505</v>
      </c>
      <c r="U321" s="1062">
        <f>864*3</f>
        <v>2592</v>
      </c>
      <c r="V321" s="434">
        <f>PV_DATA[[#This Row],[QUANTITY]]*PV_DATA[[#This Row],[WATT]]/1000000</f>
        <v>1.3089599999999999</v>
      </c>
      <c r="W321" s="435">
        <f>PV_DATA[[#This Row],[QUANTITY]]/PV_DATA[[#This Row],[Qty/Pallet]]</f>
        <v>72</v>
      </c>
      <c r="X321" s="1015">
        <f>PV_DATA[[#This Row],[QUANTITY]]/PV_DATA[[#This Row],[Qty/CT]]</f>
        <v>3</v>
      </c>
      <c r="Y321" s="430" t="s">
        <v>75</v>
      </c>
      <c r="Z321" s="430" t="str">
        <f t="shared" si="2"/>
        <v>COMPLETED</v>
      </c>
      <c r="AA321" s="430" t="s">
        <v>1456</v>
      </c>
      <c r="AB321" s="437">
        <v>46091</v>
      </c>
      <c r="AC321" s="438">
        <f>IF(PV_DATA[[#This Row],[Pick-Up Date]]&lt;&gt;"",_xlfn.ISOWEEKNUM(PV_DATA[[#This Row],[Pick-Up Date]]),"")</f>
        <v>11</v>
      </c>
      <c r="AD321" s="439" t="s">
        <v>1611</v>
      </c>
      <c r="AE321" s="430"/>
      <c r="AF321" s="430" t="s">
        <v>77</v>
      </c>
      <c r="AG321" s="430" t="s">
        <v>61</v>
      </c>
      <c r="AH321" s="430" t="s">
        <v>105</v>
      </c>
      <c r="AI321" s="437">
        <v>46095</v>
      </c>
      <c r="AJ321" s="437">
        <v>46095</v>
      </c>
      <c r="AK321" s="441">
        <v>46095</v>
      </c>
      <c r="AL321" s="437">
        <v>46142</v>
      </c>
      <c r="AM321" s="437">
        <v>46150</v>
      </c>
      <c r="AN321" s="437">
        <v>46148</v>
      </c>
      <c r="AO321" s="430" t="s">
        <v>402</v>
      </c>
      <c r="AP321" s="430" t="s">
        <v>925</v>
      </c>
      <c r="AQ321" s="430" t="s">
        <v>80</v>
      </c>
      <c r="AR321" s="430" t="s">
        <v>1612</v>
      </c>
      <c r="AS321" s="430" t="s">
        <v>1613</v>
      </c>
      <c r="AT321" s="482" t="s">
        <v>1613</v>
      </c>
      <c r="AU32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321" s="437" cm="1">
        <f t="array" ref="AW32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32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21" s="437">
        <f>IF(ISERROR(PV_DATA[[#This Row],[New Ark PO status]]),"",_xlfn.XLOOKUP(PV_DATA[[#This Row],[SPTN-PVHK New Ark PO'#]],New_Ark_Data[Purchase order Number],New_Ark_Data[Estimated time of arrival],"",0))</f>
        <v>46164</v>
      </c>
      <c r="AZ321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21" s="437">
        <f>IFERROR(PV_DATA[[#This Row],[ODP ETA Port]]+PV_DATA[[#This Row],[Customs/Leg3 Assumption]],"n/a")</f>
        <v>46155</v>
      </c>
      <c r="BB321" s="433">
        <f>YEAR(PV_DATA[[#This Row],[ETA for New Ark update]])</f>
        <v>2026</v>
      </c>
      <c r="BC321" s="430">
        <f>MONTH(PV_DATA[[#This Row],[ETA for New Ark update]])</f>
        <v>5</v>
      </c>
      <c r="BD321" s="430">
        <f>IFERROR(_xlfn.ISOWEEKNUM(PV_DATA[[#This Row],[ETA for New Ark update]]),0)</f>
        <v>20</v>
      </c>
      <c r="BE321" s="431">
        <f>_xlfn.XLOOKUP(PV_DATA[[#This Row],[New Ark SKU]],Table9[New Ark SKU],Table9[Total PCS per Pallet],,0)</f>
        <v>36</v>
      </c>
      <c r="BF321" s="431">
        <f>_xlfn.XLOOKUP(PV_DATA[[#This Row],[New Ark SKU]],Table9[New Ark SKU],Table9[Total PCS per 40HQ Container],,0)</f>
        <v>864</v>
      </c>
      <c r="BG321" s="431" t="str">
        <f>_xlfn.XLOOKUP(PV_DATA[[#This Row],[New Ark SKU]],Table9[New Ark SKU],Table9[Back Glass],,0)</f>
        <v>Black glazing</v>
      </c>
      <c r="BH321" s="431" t="str">
        <f>_xlfn.XLOOKUP(PV_DATA[[#This Row],[PORT DESTINATION]],Table12[PORT DESTINATION],Table12[Cosco Line],,0)</f>
        <v>AEU</v>
      </c>
      <c r="BJ321" s="430"/>
    </row>
    <row r="322" spans="1:62" ht="10.5" hidden="1">
      <c r="A322" s="462" t="s">
        <v>1614</v>
      </c>
      <c r="B322" s="462" t="s">
        <v>61</v>
      </c>
      <c r="C322" s="462" t="str">
        <f>IFERROR(LEFT(PV_DATA[[#This Row],[TCL REFERENCE]],FIND(".",PV_DATA[[#This Row],[TCL REFERENCE]],1)-1),"Main Line")</f>
        <v>26Feb017</v>
      </c>
      <c r="D322" s="462" t="s">
        <v>63</v>
      </c>
      <c r="E322" s="462" t="s">
        <v>144</v>
      </c>
      <c r="F322" s="462" t="str" cm="1">
        <f t="array" ref="F32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22" s="462" t="s">
        <v>402</v>
      </c>
      <c r="H322" s="462" t="s">
        <v>538</v>
      </c>
      <c r="I322" s="439" t="s">
        <v>689</v>
      </c>
      <c r="J322" s="430" t="s">
        <v>1615</v>
      </c>
      <c r="K322" s="430" t="s">
        <v>1538</v>
      </c>
      <c r="L322" s="430"/>
      <c r="M322" s="430" t="s">
        <v>840</v>
      </c>
      <c r="N322" s="432">
        <v>46076</v>
      </c>
      <c r="O322" s="430" t="s">
        <v>70</v>
      </c>
      <c r="P322" s="430" t="s">
        <v>195</v>
      </c>
      <c r="Q322" s="430" t="s">
        <v>196</v>
      </c>
      <c r="R322" s="431" t="str">
        <f>_xlfn.XLOOKUP(PV_DATA[[#This Row],[New Ark SKU]],Table9[New Ark SKU],Table9[Connector],,0)</f>
        <v>EVO2A</v>
      </c>
      <c r="S322" s="442" t="str">
        <f>_xlfn.XLOOKUP(PV_DATA[[#This Row],[New Ark SKU]],Table9[New Ark SKU],Table9[Cable],,0)</f>
        <v>±1200mm</v>
      </c>
      <c r="T322" s="433">
        <v>450</v>
      </c>
      <c r="U322" s="1062">
        <v>8424</v>
      </c>
      <c r="V322" s="434">
        <f>PV_DATA[[#This Row],[QUANTITY]]*PV_DATA[[#This Row],[WATT]]/1000000</f>
        <v>3.7907999999999999</v>
      </c>
      <c r="W322" s="435">
        <f>PV_DATA[[#This Row],[QUANTITY]]/PV_DATA[[#This Row],[Qty/Pallet]]</f>
        <v>234</v>
      </c>
      <c r="X322" s="1015">
        <f>PV_DATA[[#This Row],[QUANTITY]]/PV_DATA[[#This Row],[Qty/CT]]</f>
        <v>9</v>
      </c>
      <c r="Y322" s="430" t="s">
        <v>75</v>
      </c>
      <c r="Z322" s="430" t="str">
        <f t="shared" si="2"/>
        <v>COMPLETED</v>
      </c>
      <c r="AA322" s="430" t="s">
        <v>1456</v>
      </c>
      <c r="AB322" s="437">
        <v>46093</v>
      </c>
      <c r="AC322" s="438">
        <f>IF(PV_DATA[[#This Row],[Pick-Up Date]]&lt;&gt;"",_xlfn.ISOWEEKNUM(PV_DATA[[#This Row],[Pick-Up Date]]),"")</f>
        <v>11</v>
      </c>
      <c r="AD322" s="439" t="s">
        <v>1616</v>
      </c>
      <c r="AE322" s="430"/>
      <c r="AF322" s="430" t="s">
        <v>77</v>
      </c>
      <c r="AG322" s="430" t="s">
        <v>61</v>
      </c>
      <c r="AH322" s="430" t="s">
        <v>1617</v>
      </c>
      <c r="AI322" s="437">
        <v>46098</v>
      </c>
      <c r="AJ322" s="437">
        <v>46098</v>
      </c>
      <c r="AK322" s="441">
        <v>46097</v>
      </c>
      <c r="AL322" s="437">
        <v>46168</v>
      </c>
      <c r="AM322" s="437">
        <v>46157</v>
      </c>
      <c r="AN322" s="437">
        <v>46158</v>
      </c>
      <c r="AO322" s="430" t="s">
        <v>402</v>
      </c>
      <c r="AP322" s="430" t="s">
        <v>1618</v>
      </c>
      <c r="AQ322" s="430" t="s">
        <v>161</v>
      </c>
      <c r="AR322" s="430" t="s">
        <v>1619</v>
      </c>
      <c r="AS322" s="430" t="s">
        <v>1620</v>
      </c>
      <c r="AT322" s="482" t="s">
        <v>1620</v>
      </c>
      <c r="AU32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61</v>
      </c>
      <c r="AW322" s="437" cm="1">
        <f t="array" ref="AW32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46158</v>
      </c>
      <c r="AX32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22" s="437">
        <f>IF(ISERROR(PV_DATA[[#This Row],[New Ark PO status]]),"",_xlfn.XLOOKUP(PV_DATA[[#This Row],[SPTN-PVHK New Ark PO'#]],New_Ark_Data[Purchase order Number],New_Ark_Data[Estimated time of arrival],"",0))</f>
        <v>46182</v>
      </c>
      <c r="AZ322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22" s="437">
        <f>IFERROR(PV_DATA[[#This Row],[ODP ETA Port]]+PV_DATA[[#This Row],[Customs/Leg3 Assumption]],"n/a")</f>
        <v>46158</v>
      </c>
      <c r="BB322" s="433">
        <f>YEAR(PV_DATA[[#This Row],[ETA for New Ark update]])</f>
        <v>2026</v>
      </c>
      <c r="BC322" s="430">
        <f>MONTH(PV_DATA[[#This Row],[ETA for New Ark update]])</f>
        <v>5</v>
      </c>
      <c r="BD322" s="430">
        <f>IFERROR(_xlfn.ISOWEEKNUM(PV_DATA[[#This Row],[ETA for New Ark update]]),0)</f>
        <v>20</v>
      </c>
      <c r="BE322" s="431">
        <f>_xlfn.XLOOKUP(PV_DATA[[#This Row],[New Ark SKU]],Table9[New Ark SKU],Table9[Total PCS per Pallet],,0)</f>
        <v>36</v>
      </c>
      <c r="BF322" s="431">
        <f>_xlfn.XLOOKUP(PV_DATA[[#This Row],[New Ark SKU]],Table9[New Ark SKU],Table9[Total PCS per 40HQ Container],,0)</f>
        <v>936</v>
      </c>
      <c r="BG322" s="431" t="str">
        <f>_xlfn.XLOOKUP(PV_DATA[[#This Row],[New Ark SKU]],Table9[New Ark SKU],Table9[Back Glass],,0)</f>
        <v>Black glazing</v>
      </c>
      <c r="BH322" s="431" t="e">
        <f>_xlfn.XLOOKUP(PV_DATA[[#This Row],[PORT DESTINATION]],Table12[PORT DESTINATION],Table12[Cosco Line],,0)</f>
        <v>#N/A</v>
      </c>
      <c r="BJ322" s="430"/>
    </row>
    <row r="323" spans="1:62" ht="10.5" hidden="1">
      <c r="A323" s="462" t="s">
        <v>1621</v>
      </c>
      <c r="B323" s="462" t="s">
        <v>61</v>
      </c>
      <c r="C323" s="462" t="str">
        <f>IFERROR(LEFT(PV_DATA[[#This Row],[TCL REFERENCE]],FIND(".",PV_DATA[[#This Row],[TCL REFERENCE]],1)-1),"Main Line")</f>
        <v>26Feb020</v>
      </c>
      <c r="D323" s="462" t="s">
        <v>63</v>
      </c>
      <c r="E323" s="462" t="s">
        <v>64</v>
      </c>
      <c r="F323" s="462" t="str" cm="1">
        <f t="array" ref="F32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23" s="462" t="s">
        <v>402</v>
      </c>
      <c r="H323" s="462" t="s">
        <v>67</v>
      </c>
      <c r="I323" s="439" t="s">
        <v>689</v>
      </c>
      <c r="J323" s="430" t="s">
        <v>1622</v>
      </c>
      <c r="K323" s="430"/>
      <c r="L323" s="430"/>
      <c r="M323" s="430" t="s">
        <v>68</v>
      </c>
      <c r="N323" s="432">
        <v>46090</v>
      </c>
      <c r="O323" s="430" t="s">
        <v>70</v>
      </c>
      <c r="P323" s="430" t="s">
        <v>1151</v>
      </c>
      <c r="Q323" s="430" t="s">
        <v>421</v>
      </c>
      <c r="R323" s="431" t="str">
        <f>_xlfn.XLOOKUP(PV_DATA[[#This Row],[New Ark SKU]],Table9[New Ark SKU],Table9[Connector],,0)</f>
        <v>EVO2A</v>
      </c>
      <c r="S323" s="442" t="str">
        <f>_xlfn.XLOOKUP(PV_DATA[[#This Row],[New Ark SKU]],Table9[New Ark SKU],Table9[Cable],,0)</f>
        <v>±1200mm</v>
      </c>
      <c r="T323" s="433">
        <v>505</v>
      </c>
      <c r="U323" s="1062">
        <f>864*10</f>
        <v>8640</v>
      </c>
      <c r="V323" s="434">
        <f>PV_DATA[[#This Row],[QUANTITY]]*PV_DATA[[#This Row],[WATT]]/1000000</f>
        <v>4.3632</v>
      </c>
      <c r="W323" s="435">
        <f>PV_DATA[[#This Row],[QUANTITY]]/PV_DATA[[#This Row],[Qty/Pallet]]</f>
        <v>240</v>
      </c>
      <c r="X323" s="1015">
        <f>PV_DATA[[#This Row],[QUANTITY]]/PV_DATA[[#This Row],[Qty/CT]]</f>
        <v>10</v>
      </c>
      <c r="Y323" s="430" t="s">
        <v>75</v>
      </c>
      <c r="Z323" s="430" t="str">
        <f t="shared" si="2"/>
        <v>COMPLETED</v>
      </c>
      <c r="AA323" s="430"/>
      <c r="AB323" s="437">
        <v>46091</v>
      </c>
      <c r="AC323" s="438">
        <f>IF(PV_DATA[[#This Row],[Pick-Up Date]]&lt;&gt;"",_xlfn.ISOWEEKNUM(PV_DATA[[#This Row],[Pick-Up Date]]),"")</f>
        <v>11</v>
      </c>
      <c r="AD323" s="439" t="s">
        <v>1623</v>
      </c>
      <c r="AE323" s="430"/>
      <c r="AF323" s="430" t="s">
        <v>77</v>
      </c>
      <c r="AG323" s="430" t="s">
        <v>61</v>
      </c>
      <c r="AH323" s="430" t="s">
        <v>105</v>
      </c>
      <c r="AI323" s="437">
        <v>46095</v>
      </c>
      <c r="AJ323" s="437">
        <v>46095</v>
      </c>
      <c r="AK323" s="441">
        <v>46095</v>
      </c>
      <c r="AL323" s="437">
        <v>46142</v>
      </c>
      <c r="AM323" s="437">
        <v>46150</v>
      </c>
      <c r="AN323" s="437">
        <v>46148</v>
      </c>
      <c r="AO323" s="430" t="s">
        <v>402</v>
      </c>
      <c r="AP323" s="430" t="s">
        <v>925</v>
      </c>
      <c r="AQ323" s="430" t="s">
        <v>80</v>
      </c>
      <c r="AR323" s="430" t="s">
        <v>1624</v>
      </c>
      <c r="AS323" s="430" t="s">
        <v>1625</v>
      </c>
      <c r="AT323" s="482" t="s">
        <v>1625</v>
      </c>
      <c r="AU32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323" s="437" cm="1">
        <f t="array" ref="AW32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32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23" s="437">
        <f>IF(ISERROR(PV_DATA[[#This Row],[New Ark PO status]]),"",_xlfn.XLOOKUP(PV_DATA[[#This Row],[SPTN-PVHK New Ark PO'#]],New_Ark_Data[Purchase order Number],New_Ark_Data[Estimated time of arrival],"",0))</f>
        <v>46164</v>
      </c>
      <c r="AZ32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23" s="437">
        <f>IFERROR(PV_DATA[[#This Row],[ODP ETA Port]]+PV_DATA[[#This Row],[Customs/Leg3 Assumption]],"n/a")</f>
        <v>46155</v>
      </c>
      <c r="BB323" s="433">
        <f>YEAR(PV_DATA[[#This Row],[ETA for New Ark update]])</f>
        <v>2026</v>
      </c>
      <c r="BC323" s="430">
        <f>MONTH(PV_DATA[[#This Row],[ETA for New Ark update]])</f>
        <v>5</v>
      </c>
      <c r="BD323" s="430">
        <f>IFERROR(_xlfn.ISOWEEKNUM(PV_DATA[[#This Row],[ETA for New Ark update]]),0)</f>
        <v>20</v>
      </c>
      <c r="BE323" s="431">
        <f>_xlfn.XLOOKUP(PV_DATA[[#This Row],[New Ark SKU]],Table9[New Ark SKU],Table9[Total PCS per Pallet],,0)</f>
        <v>36</v>
      </c>
      <c r="BF323" s="431">
        <f>_xlfn.XLOOKUP(PV_DATA[[#This Row],[New Ark SKU]],Table9[New Ark SKU],Table9[Total PCS per 40HQ Container],,0)</f>
        <v>864</v>
      </c>
      <c r="BG323" s="431" t="str">
        <f>_xlfn.XLOOKUP(PV_DATA[[#This Row],[New Ark SKU]],Table9[New Ark SKU],Table9[Back Glass],,0)</f>
        <v>Black glazing</v>
      </c>
      <c r="BH323" s="431" t="str">
        <f>_xlfn.XLOOKUP(PV_DATA[[#This Row],[PORT DESTINATION]],Table12[PORT DESTINATION],Table12[Cosco Line],,0)</f>
        <v>AEU</v>
      </c>
      <c r="BJ323" s="430"/>
    </row>
    <row r="324" spans="1:62" ht="10.5" hidden="1">
      <c r="A324" s="462" t="s">
        <v>1626</v>
      </c>
      <c r="B324" s="462" t="s">
        <v>61</v>
      </c>
      <c r="C324" s="462" t="str">
        <f>IFERROR(LEFT(PV_DATA[[#This Row],[TCL REFERENCE]],FIND(".",PV_DATA[[#This Row],[TCL REFERENCE]],1)-1),"Main Line")</f>
        <v>Main Line</v>
      </c>
      <c r="D324" s="462" t="s">
        <v>113</v>
      </c>
      <c r="E324" s="462" t="s">
        <v>64</v>
      </c>
      <c r="F324" s="462" t="str" cm="1">
        <f t="array" ref="F32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24" s="462" t="s">
        <v>402</v>
      </c>
      <c r="H324" s="462" t="s">
        <v>67</v>
      </c>
      <c r="I324" s="439" t="s">
        <v>689</v>
      </c>
      <c r="J324" s="430" t="s">
        <v>1627</v>
      </c>
      <c r="K324" s="430"/>
      <c r="L324" s="430"/>
      <c r="M324" s="430" t="s">
        <v>68</v>
      </c>
      <c r="N324" s="432">
        <v>46045</v>
      </c>
      <c r="O324" s="430" t="s">
        <v>713</v>
      </c>
      <c r="P324" s="430" t="s">
        <v>1628</v>
      </c>
      <c r="Q324" s="430" t="s">
        <v>1629</v>
      </c>
      <c r="R324" s="431" t="str">
        <f>_xlfn.XLOOKUP(PV_DATA[[#This Row],[New Ark SKU]],Table9[New Ark SKU],Table9[Connector],,0)</f>
        <v>EVO2A</v>
      </c>
      <c r="S324" s="442" t="str">
        <f>_xlfn.XLOOKUP(PV_DATA[[#This Row],[New Ark SKU]],Table9[New Ark SKU],Table9[Cable],,0)</f>
        <v>±1600mm</v>
      </c>
      <c r="T324" s="433">
        <v>630</v>
      </c>
      <c r="U324" s="1062">
        <v>108</v>
      </c>
      <c r="V324" s="434">
        <f>PV_DATA[[#This Row],[QUANTITY]]*PV_DATA[[#This Row],[WATT]]/1000000</f>
        <v>6.8040000000000003E-2</v>
      </c>
      <c r="W324" s="435">
        <f>PV_DATA[[#This Row],[QUANTITY]]/PV_DATA[[#This Row],[Qty/Pallet]]</f>
        <v>3</v>
      </c>
      <c r="X324" s="1015">
        <f>PV_DATA[[#This Row],[QUANTITY]]/PV_DATA[[#This Row],[Qty/CT]]</f>
        <v>0.1875</v>
      </c>
      <c r="Y324" s="430" t="s">
        <v>75</v>
      </c>
      <c r="Z324" s="430" t="str">
        <f t="shared" si="2"/>
        <v>COMPLETED</v>
      </c>
      <c r="AA324" s="430"/>
      <c r="AB324" s="437">
        <v>46090</v>
      </c>
      <c r="AC324" s="438">
        <f>IF(PV_DATA[[#This Row],[Pick-Up Date]]&lt;&gt;"",_xlfn.ISOWEEKNUM(PV_DATA[[#This Row],[Pick-Up Date]]),"")</f>
        <v>11</v>
      </c>
      <c r="AD324" s="439" t="s">
        <v>1630</v>
      </c>
      <c r="AE324" s="430"/>
      <c r="AF324" s="430" t="s">
        <v>77</v>
      </c>
      <c r="AG324" s="430" t="s">
        <v>61</v>
      </c>
      <c r="AH324" s="430" t="s">
        <v>105</v>
      </c>
      <c r="AI324" s="437">
        <v>46096</v>
      </c>
      <c r="AJ324" s="437">
        <v>46103</v>
      </c>
      <c r="AK324" s="441">
        <v>46103</v>
      </c>
      <c r="AL324" s="437">
        <v>46139</v>
      </c>
      <c r="AM324" s="437">
        <v>46147</v>
      </c>
      <c r="AN324" s="437">
        <v>46147</v>
      </c>
      <c r="AO324" s="430" t="s">
        <v>402</v>
      </c>
      <c r="AP324" s="430" t="s">
        <v>1631</v>
      </c>
      <c r="AQ324" s="430" t="s">
        <v>161</v>
      </c>
      <c r="AR324" s="430" t="s">
        <v>1632</v>
      </c>
      <c r="AS324" s="430" t="s">
        <v>1633</v>
      </c>
      <c r="AT324" s="431">
        <v>267006396</v>
      </c>
      <c r="AU32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W324" s="437" cm="1">
        <f t="array" ref="AW32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46147</v>
      </c>
      <c r="AX32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24" s="437">
        <f>IF(ISERROR(PV_DATA[[#This Row],[New Ark PO status]]),"",_xlfn.XLOOKUP(PV_DATA[[#This Row],[SPTN-PVHK New Ark PO'#]],New_Ark_Data[Purchase order Number],New_Ark_Data[Estimated time of arrival],"",0))</f>
        <v>46154</v>
      </c>
      <c r="AZ32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24" s="437">
        <f>IFERROR(PV_DATA[[#This Row],[ODP ETA Port]]+PV_DATA[[#This Row],[Customs/Leg3 Assumption]],"n/a")</f>
        <v>46154</v>
      </c>
      <c r="BB324" s="433">
        <f>YEAR(PV_DATA[[#This Row],[ETA for New Ark update]])</f>
        <v>2026</v>
      </c>
      <c r="BC324" s="430">
        <f>MONTH(PV_DATA[[#This Row],[ETA for New Ark update]])</f>
        <v>5</v>
      </c>
      <c r="BD324" s="430">
        <f>IFERROR(_xlfn.ISOWEEKNUM(PV_DATA[[#This Row],[ETA for New Ark update]]),0)</f>
        <v>20</v>
      </c>
      <c r="BE324" s="431">
        <f>_xlfn.XLOOKUP(PV_DATA[[#This Row],[New Ark SKU]],Table9[New Ark SKU],Table9[Total PCS per Pallet],,0)</f>
        <v>36</v>
      </c>
      <c r="BF324" s="431">
        <f>_xlfn.XLOOKUP(PV_DATA[[#This Row],[New Ark SKU]],Table9[New Ark SKU],Table9[Total PCS per 40HQ Container],,0)</f>
        <v>576</v>
      </c>
      <c r="BG324" s="431" t="str">
        <f>_xlfn.XLOOKUP(PV_DATA[[#This Row],[New Ark SKU]],Table9[New Ark SKU],Table9[Back Glass],,0)</f>
        <v>White glazing</v>
      </c>
      <c r="BH324" s="431" t="str">
        <f>_xlfn.XLOOKUP(PV_DATA[[#This Row],[PORT DESTINATION]],Table12[PORT DESTINATION],Table12[Cosco Line],,0)</f>
        <v>AEU</v>
      </c>
      <c r="BJ324" s="430"/>
    </row>
    <row r="325" spans="1:62" ht="10.5" hidden="1">
      <c r="A325" s="462" t="s">
        <v>1634</v>
      </c>
      <c r="B325" s="462" t="s">
        <v>61</v>
      </c>
      <c r="C325" s="462" t="str">
        <f>IFERROR(LEFT(PV_DATA[[#This Row],[TCL REFERENCE]],FIND(".",PV_DATA[[#This Row],[TCL REFERENCE]],1)-1),"Main Line")</f>
        <v>26Mar022</v>
      </c>
      <c r="D325" s="462" t="s">
        <v>113</v>
      </c>
      <c r="E325" s="462" t="s">
        <v>64</v>
      </c>
      <c r="F325" s="462" t="str" cm="1">
        <f t="array" ref="F32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25" s="462" t="s">
        <v>402</v>
      </c>
      <c r="H325" s="462" t="s">
        <v>67</v>
      </c>
      <c r="I325" s="439" t="s">
        <v>689</v>
      </c>
      <c r="J325" s="430" t="s">
        <v>1635</v>
      </c>
      <c r="K325" s="430"/>
      <c r="L325" s="430"/>
      <c r="M325" s="430" t="s">
        <v>68</v>
      </c>
      <c r="N325" s="432">
        <v>46045</v>
      </c>
      <c r="O325" s="430" t="s">
        <v>713</v>
      </c>
      <c r="P325" s="430" t="s">
        <v>1164</v>
      </c>
      <c r="Q325" s="430" t="s">
        <v>1165</v>
      </c>
      <c r="R325" s="431" t="str">
        <f>_xlfn.XLOOKUP(PV_DATA[[#This Row],[New Ark SKU]],Table9[New Ark SKU],Table9[Connector],,0)</f>
        <v>EVO2A</v>
      </c>
      <c r="S325" s="442" t="str">
        <f>_xlfn.XLOOKUP(PV_DATA[[#This Row],[New Ark SKU]],Table9[New Ark SKU],Table9[Cable],,0)</f>
        <v>±1600mm</v>
      </c>
      <c r="T325" s="433">
        <v>620</v>
      </c>
      <c r="U325" s="1062">
        <f>9108-U326</f>
        <v>4500</v>
      </c>
      <c r="V325" s="434">
        <f>PV_DATA[[#This Row],[QUANTITY]]*PV_DATA[[#This Row],[WATT]]/1000000</f>
        <v>2.79</v>
      </c>
      <c r="W325" s="435">
        <f>PV_DATA[[#This Row],[QUANTITY]]/PV_DATA[[#This Row],[Qty/Pallet]]</f>
        <v>125</v>
      </c>
      <c r="X325" s="1015">
        <f>PV_DATA[[#This Row],[QUANTITY]]/PV_DATA[[#This Row],[Qty/CT]]</f>
        <v>7.8125</v>
      </c>
      <c r="Y325" s="430" t="s">
        <v>75</v>
      </c>
      <c r="Z325" s="430" t="str">
        <f t="shared" si="2"/>
        <v>COMPLETED</v>
      </c>
      <c r="AA325" s="430"/>
      <c r="AB325" s="437">
        <v>46090</v>
      </c>
      <c r="AC325" s="438">
        <f>IF(PV_DATA[[#This Row],[Pick-Up Date]]&lt;&gt;"",_xlfn.ISOWEEKNUM(PV_DATA[[#This Row],[Pick-Up Date]]),"")</f>
        <v>11</v>
      </c>
      <c r="AD325" s="439" t="s">
        <v>1636</v>
      </c>
      <c r="AE325" s="430"/>
      <c r="AF325" s="430" t="s">
        <v>77</v>
      </c>
      <c r="AG325" s="430" t="s">
        <v>61</v>
      </c>
      <c r="AH325" s="430" t="s">
        <v>105</v>
      </c>
      <c r="AI325" s="437">
        <v>46096</v>
      </c>
      <c r="AJ325" s="437">
        <v>46103</v>
      </c>
      <c r="AK325" s="441">
        <v>46103</v>
      </c>
      <c r="AL325" s="437">
        <v>46139</v>
      </c>
      <c r="AM325" s="437">
        <v>46147</v>
      </c>
      <c r="AN325" s="437">
        <v>46147</v>
      </c>
      <c r="AO325" s="430" t="s">
        <v>402</v>
      </c>
      <c r="AP325" s="430" t="s">
        <v>1631</v>
      </c>
      <c r="AQ325" s="430" t="s">
        <v>161</v>
      </c>
      <c r="AR325" s="430" t="s">
        <v>1632</v>
      </c>
      <c r="AS325" s="430" t="s">
        <v>1633</v>
      </c>
      <c r="AT325" s="431">
        <v>267006396</v>
      </c>
      <c r="AU32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W325" s="437" cm="1">
        <f t="array" ref="AW32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46147</v>
      </c>
      <c r="AX32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25" s="437">
        <f>IF(ISERROR(PV_DATA[[#This Row],[New Ark PO status]]),"",_xlfn.XLOOKUP(PV_DATA[[#This Row],[SPTN-PVHK New Ark PO'#]],New_Ark_Data[Purchase order Number],New_Ark_Data[Estimated time of arrival],"",0))</f>
        <v>46154</v>
      </c>
      <c r="AZ32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25" s="437">
        <f>IFERROR(PV_DATA[[#This Row],[ODP ETA Port]]+PV_DATA[[#This Row],[Customs/Leg3 Assumption]],"n/a")</f>
        <v>46154</v>
      </c>
      <c r="BB325" s="433">
        <f>YEAR(PV_DATA[[#This Row],[ETA for New Ark update]])</f>
        <v>2026</v>
      </c>
      <c r="BC325" s="430">
        <f>MONTH(PV_DATA[[#This Row],[ETA for New Ark update]])</f>
        <v>5</v>
      </c>
      <c r="BD325" s="430">
        <f>IFERROR(_xlfn.ISOWEEKNUM(PV_DATA[[#This Row],[ETA for New Ark update]]),0)</f>
        <v>20</v>
      </c>
      <c r="BE325" s="431">
        <f>_xlfn.XLOOKUP(PV_DATA[[#This Row],[New Ark SKU]],Table9[New Ark SKU],Table9[Total PCS per Pallet],,0)</f>
        <v>36</v>
      </c>
      <c r="BF325" s="431">
        <f>_xlfn.XLOOKUP(PV_DATA[[#This Row],[New Ark SKU]],Table9[New Ark SKU],Table9[Total PCS per 40HQ Container],,0)</f>
        <v>576</v>
      </c>
      <c r="BG325" s="431" t="str">
        <f>_xlfn.XLOOKUP(PV_DATA[[#This Row],[New Ark SKU]],Table9[New Ark SKU],Table9[Back Glass],,0)</f>
        <v>White glazing</v>
      </c>
      <c r="BH325" s="431" t="str">
        <f>_xlfn.XLOOKUP(PV_DATA[[#This Row],[PORT DESTINATION]],Table12[PORT DESTINATION],Table12[Cosco Line],,0)</f>
        <v>AEU</v>
      </c>
      <c r="BJ325" s="430"/>
    </row>
    <row r="326" spans="1:62" ht="10.5" hidden="1">
      <c r="A326" s="462" t="s">
        <v>1637</v>
      </c>
      <c r="B326" s="462" t="s">
        <v>61</v>
      </c>
      <c r="C326" s="462" t="str">
        <f>IFERROR(LEFT(PV_DATA[[#This Row],[TCL REFERENCE]],FIND(".",PV_DATA[[#This Row],[TCL REFERENCE]],1)-1),"Main Line")</f>
        <v>26Mar022</v>
      </c>
      <c r="D326" s="462" t="s">
        <v>113</v>
      </c>
      <c r="E326" s="462" t="s">
        <v>64</v>
      </c>
      <c r="F326" s="462" t="str" cm="1">
        <f t="array" ref="F32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26" s="462" t="s">
        <v>402</v>
      </c>
      <c r="H326" s="462" t="s">
        <v>67</v>
      </c>
      <c r="I326" s="439" t="s">
        <v>689</v>
      </c>
      <c r="J326" s="430" t="s">
        <v>1635</v>
      </c>
      <c r="K326" s="430"/>
      <c r="L326" s="430"/>
      <c r="M326" s="430" t="s">
        <v>68</v>
      </c>
      <c r="N326" s="432">
        <v>46045</v>
      </c>
      <c r="O326" s="430" t="s">
        <v>713</v>
      </c>
      <c r="P326" s="430" t="s">
        <v>1164</v>
      </c>
      <c r="Q326" s="430" t="s">
        <v>1165</v>
      </c>
      <c r="R326" s="431" t="str">
        <f>_xlfn.XLOOKUP(PV_DATA[[#This Row],[New Ark SKU]],Table9[New Ark SKU],Table9[Connector],,0)</f>
        <v>EVO2A</v>
      </c>
      <c r="S326" s="442" t="str">
        <f>_xlfn.XLOOKUP(PV_DATA[[#This Row],[New Ark SKU]],Table9[New Ark SKU],Table9[Cable],,0)</f>
        <v>±1600mm</v>
      </c>
      <c r="T326" s="433">
        <v>620</v>
      </c>
      <c r="U326" s="1062">
        <v>4608</v>
      </c>
      <c r="V326" s="434">
        <f>PV_DATA[[#This Row],[QUANTITY]]*PV_DATA[[#This Row],[WATT]]/1000000</f>
        <v>2.8569599999999999</v>
      </c>
      <c r="W326" s="435">
        <f>PV_DATA[[#This Row],[QUANTITY]]/PV_DATA[[#This Row],[Qty/Pallet]]</f>
        <v>128</v>
      </c>
      <c r="X326" s="1015">
        <f>PV_DATA[[#This Row],[QUANTITY]]/PV_DATA[[#This Row],[Qty/CT]]</f>
        <v>8</v>
      </c>
      <c r="Y326" s="430" t="s">
        <v>75</v>
      </c>
      <c r="Z326" s="430" t="str">
        <f t="shared" si="2"/>
        <v>COMPLETED</v>
      </c>
      <c r="AA326" s="430"/>
      <c r="AB326" s="437">
        <v>46090</v>
      </c>
      <c r="AC326" s="438">
        <f>IF(PV_DATA[[#This Row],[Pick-Up Date]]&lt;&gt;"",_xlfn.ISOWEEKNUM(PV_DATA[[#This Row],[Pick-Up Date]]),"")</f>
        <v>11</v>
      </c>
      <c r="AD326" s="439" t="s">
        <v>1638</v>
      </c>
      <c r="AE326" s="430"/>
      <c r="AF326" s="430" t="s">
        <v>77</v>
      </c>
      <c r="AG326" s="430" t="s">
        <v>61</v>
      </c>
      <c r="AH326" s="430" t="s">
        <v>105</v>
      </c>
      <c r="AI326" s="437">
        <v>46096</v>
      </c>
      <c r="AJ326" s="437">
        <v>46103</v>
      </c>
      <c r="AK326" s="441">
        <v>46103</v>
      </c>
      <c r="AL326" s="437">
        <v>46139</v>
      </c>
      <c r="AM326" s="437">
        <v>46147</v>
      </c>
      <c r="AN326" s="437">
        <v>46147</v>
      </c>
      <c r="AO326" s="430" t="s">
        <v>402</v>
      </c>
      <c r="AP326" s="430" t="s">
        <v>1631</v>
      </c>
      <c r="AQ326" s="430" t="s">
        <v>161</v>
      </c>
      <c r="AR326" s="430" t="s">
        <v>1632</v>
      </c>
      <c r="AS326" s="430" t="s">
        <v>1633</v>
      </c>
      <c r="AT326" s="431">
        <v>267006396</v>
      </c>
      <c r="AU32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W326" s="437" cm="1">
        <f t="array" ref="AW32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46147</v>
      </c>
      <c r="AX32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26" s="437">
        <f>IF(ISERROR(PV_DATA[[#This Row],[New Ark PO status]]),"",_xlfn.XLOOKUP(PV_DATA[[#This Row],[SPTN-PVHK New Ark PO'#]],New_Ark_Data[Purchase order Number],New_Ark_Data[Estimated time of arrival],"",0))</f>
        <v>46154</v>
      </c>
      <c r="AZ32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26" s="437">
        <f>IFERROR(PV_DATA[[#This Row],[ODP ETA Port]]+PV_DATA[[#This Row],[Customs/Leg3 Assumption]],"n/a")</f>
        <v>46154</v>
      </c>
      <c r="BB326" s="433">
        <f>YEAR(PV_DATA[[#This Row],[ETA for New Ark update]])</f>
        <v>2026</v>
      </c>
      <c r="BC326" s="430">
        <f>MONTH(PV_DATA[[#This Row],[ETA for New Ark update]])</f>
        <v>5</v>
      </c>
      <c r="BD326" s="430">
        <f>IFERROR(_xlfn.ISOWEEKNUM(PV_DATA[[#This Row],[ETA for New Ark update]]),0)</f>
        <v>20</v>
      </c>
      <c r="BE326" s="431">
        <f>_xlfn.XLOOKUP(PV_DATA[[#This Row],[New Ark SKU]],Table9[New Ark SKU],Table9[Total PCS per Pallet],,0)</f>
        <v>36</v>
      </c>
      <c r="BF326" s="431">
        <f>_xlfn.XLOOKUP(PV_DATA[[#This Row],[New Ark SKU]],Table9[New Ark SKU],Table9[Total PCS per 40HQ Container],,0)</f>
        <v>576</v>
      </c>
      <c r="BG326" s="431" t="str">
        <f>_xlfn.XLOOKUP(PV_DATA[[#This Row],[New Ark SKU]],Table9[New Ark SKU],Table9[Back Glass],,0)</f>
        <v>White glazing</v>
      </c>
      <c r="BH326" s="431" t="str">
        <f>_xlfn.XLOOKUP(PV_DATA[[#This Row],[PORT DESTINATION]],Table12[PORT DESTINATION],Table12[Cosco Line],,0)</f>
        <v>AEU</v>
      </c>
      <c r="BJ326" s="430"/>
    </row>
    <row r="327" spans="1:62" ht="10.5" hidden="1">
      <c r="A327" s="462" t="s">
        <v>1639</v>
      </c>
      <c r="B327" s="462" t="s">
        <v>61</v>
      </c>
      <c r="C327" s="462" t="str">
        <f>IFERROR(LEFT(PV_DATA[[#This Row],[TCL REFERENCE]],FIND(".",PV_DATA[[#This Row],[TCL REFERENCE]],1)-1),"Main Line")</f>
        <v>26Feb020</v>
      </c>
      <c r="D327" s="462" t="s">
        <v>63</v>
      </c>
      <c r="E327" s="462" t="s">
        <v>64</v>
      </c>
      <c r="F327" s="462" t="str" cm="1">
        <f t="array" ref="F32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27" s="462" t="s">
        <v>402</v>
      </c>
      <c r="H327" s="462" t="s">
        <v>67</v>
      </c>
      <c r="I327" s="439" t="s">
        <v>689</v>
      </c>
      <c r="J327" s="430" t="s">
        <v>101</v>
      </c>
      <c r="K327" s="430"/>
      <c r="L327" s="430"/>
      <c r="M327" s="430" t="s">
        <v>68</v>
      </c>
      <c r="N327" s="432">
        <v>46097</v>
      </c>
      <c r="O327" s="430" t="s">
        <v>70</v>
      </c>
      <c r="P327" s="430" t="s">
        <v>1151</v>
      </c>
      <c r="Q327" s="430" t="s">
        <v>421</v>
      </c>
      <c r="R327" s="431" t="str">
        <f>_xlfn.XLOOKUP(PV_DATA[[#This Row],[New Ark SKU]],Table9[New Ark SKU],Table9[Connector],,0)</f>
        <v>EVO2A</v>
      </c>
      <c r="S327" s="442" t="str">
        <f>_xlfn.XLOOKUP(PV_DATA[[#This Row],[New Ark SKU]],Table9[New Ark SKU],Table9[Cable],,0)</f>
        <v>±1200mm</v>
      </c>
      <c r="T327" s="433">
        <v>505</v>
      </c>
      <c r="U327" s="1062">
        <v>9504</v>
      </c>
      <c r="V327" s="434">
        <f>PV_DATA[[#This Row],[QUANTITY]]*PV_DATA[[#This Row],[WATT]]/1000000</f>
        <v>4.7995200000000002</v>
      </c>
      <c r="W327" s="435">
        <f>PV_DATA[[#This Row],[QUANTITY]]/PV_DATA[[#This Row],[Qty/Pallet]]</f>
        <v>264</v>
      </c>
      <c r="X327" s="1015">
        <f>PV_DATA[[#This Row],[QUANTITY]]/PV_DATA[[#This Row],[Qty/CT]]</f>
        <v>11</v>
      </c>
      <c r="Y327" s="430" t="s">
        <v>75</v>
      </c>
      <c r="Z327" s="430" t="str">
        <f t="shared" si="2"/>
        <v>COMPLETED</v>
      </c>
      <c r="AA327" s="430" t="s">
        <v>1456</v>
      </c>
      <c r="AB327" s="437">
        <v>46091</v>
      </c>
      <c r="AC327" s="438">
        <f>IF(PV_DATA[[#This Row],[Pick-Up Date]]&lt;&gt;"",_xlfn.ISOWEEKNUM(PV_DATA[[#This Row],[Pick-Up Date]]),"")</f>
        <v>11</v>
      </c>
      <c r="AD327" s="439" t="s">
        <v>1640</v>
      </c>
      <c r="AE327" s="430"/>
      <c r="AF327" s="430" t="s">
        <v>77</v>
      </c>
      <c r="AG327" s="430" t="s">
        <v>61</v>
      </c>
      <c r="AH327" s="430" t="s">
        <v>105</v>
      </c>
      <c r="AI327" s="437">
        <v>46095</v>
      </c>
      <c r="AJ327" s="437">
        <v>46095</v>
      </c>
      <c r="AK327" s="441">
        <v>46095</v>
      </c>
      <c r="AL327" s="437">
        <v>46142</v>
      </c>
      <c r="AM327" s="437">
        <v>46154</v>
      </c>
      <c r="AN327" s="437">
        <v>46157</v>
      </c>
      <c r="AO327" s="430" t="s">
        <v>402</v>
      </c>
      <c r="AP327" s="430" t="s">
        <v>925</v>
      </c>
      <c r="AQ327" s="430" t="s">
        <v>80</v>
      </c>
      <c r="AR327" s="430" t="s">
        <v>926</v>
      </c>
      <c r="AS327" s="430" t="s">
        <v>927</v>
      </c>
      <c r="AT327" s="482" t="s">
        <v>927</v>
      </c>
      <c r="AU32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62</v>
      </c>
      <c r="AW327" s="437" cm="1">
        <f t="array" ref="AW32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46157</v>
      </c>
      <c r="AX32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27" s="437">
        <f>IF(ISERROR(PV_DATA[[#This Row],[New Ark PO status]]),"",_xlfn.XLOOKUP(PV_DATA[[#This Row],[SPTN-PVHK New Ark PO'#]],New_Ark_Data[Purchase order Number],New_Ark_Data[Estimated time of arrival],"",0))</f>
        <v>46171</v>
      </c>
      <c r="AZ327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27" s="437">
        <f>IFERROR(PV_DATA[[#This Row],[ODP ETA Port]]+PV_DATA[[#This Row],[Customs/Leg3 Assumption]],"n/a")</f>
        <v>46164</v>
      </c>
      <c r="BB327" s="433">
        <f>YEAR(PV_DATA[[#This Row],[ETA for New Ark update]])</f>
        <v>2026</v>
      </c>
      <c r="BC327" s="430">
        <f>MONTH(PV_DATA[[#This Row],[ETA for New Ark update]])</f>
        <v>5</v>
      </c>
      <c r="BD327" s="430">
        <f>IFERROR(_xlfn.ISOWEEKNUM(PV_DATA[[#This Row],[ETA for New Ark update]]),0)</f>
        <v>21</v>
      </c>
      <c r="BE327" s="431">
        <f>_xlfn.XLOOKUP(PV_DATA[[#This Row],[New Ark SKU]],Table9[New Ark SKU],Table9[Total PCS per Pallet],,0)</f>
        <v>36</v>
      </c>
      <c r="BF327" s="431">
        <f>_xlfn.XLOOKUP(PV_DATA[[#This Row],[New Ark SKU]],Table9[New Ark SKU],Table9[Total PCS per 40HQ Container],,0)</f>
        <v>864</v>
      </c>
      <c r="BG327" s="431" t="str">
        <f>_xlfn.XLOOKUP(PV_DATA[[#This Row],[New Ark SKU]],Table9[New Ark SKU],Table9[Back Glass],,0)</f>
        <v>Black glazing</v>
      </c>
      <c r="BH327" s="431" t="str">
        <f>_xlfn.XLOOKUP(PV_DATA[[#This Row],[PORT DESTINATION]],Table12[PORT DESTINATION],Table12[Cosco Line],,0)</f>
        <v>AEU</v>
      </c>
      <c r="BJ327" s="430"/>
    </row>
    <row r="328" spans="1:62" hidden="1">
      <c r="A328" s="462" t="s">
        <v>1641</v>
      </c>
      <c r="B328" s="462" t="s">
        <v>111</v>
      </c>
      <c r="C328" s="462" t="str">
        <f>IFERROR(LEFT(PV_DATA[[#This Row],[TCL REFERENCE]],FIND(".",PV_DATA[[#This Row],[TCL REFERENCE]],1)-1),"Main Line")</f>
        <v>26Feb010</v>
      </c>
      <c r="D328" s="462" t="s">
        <v>63</v>
      </c>
      <c r="E328" s="462" t="s">
        <v>64</v>
      </c>
      <c r="F328" s="462" t="str" cm="1">
        <f t="array" ref="F32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328" s="462" t="s">
        <v>402</v>
      </c>
      <c r="H328" s="462" t="s">
        <v>451</v>
      </c>
      <c r="I328" s="439" t="s">
        <v>689</v>
      </c>
      <c r="J328" s="430" t="s">
        <v>1112</v>
      </c>
      <c r="K328" s="430" t="s">
        <v>1113</v>
      </c>
      <c r="L328" s="430"/>
      <c r="M328" s="430" t="s">
        <v>68</v>
      </c>
      <c r="N328" s="432">
        <v>46076</v>
      </c>
      <c r="O328" s="430" t="s">
        <v>132</v>
      </c>
      <c r="P328" s="430" t="s">
        <v>1062</v>
      </c>
      <c r="Q328" s="430" t="s">
        <v>1063</v>
      </c>
      <c r="R328" s="431" t="str">
        <f>_xlfn.XLOOKUP(PV_DATA[[#This Row],[New Ark SKU]],Table9[New Ark SKU],Table9[Connector],,0)</f>
        <v>EVO2A</v>
      </c>
      <c r="S328" s="442" t="str">
        <f>_xlfn.XLOOKUP(PV_DATA[[#This Row],[New Ark SKU]],Table9[New Ark SKU],Table9[Cable],,0)</f>
        <v>±1200mm</v>
      </c>
      <c r="T328" s="433">
        <v>470</v>
      </c>
      <c r="U328" s="1062">
        <f>4*864</f>
        <v>3456</v>
      </c>
      <c r="V328" s="434">
        <f>PV_DATA[[#This Row],[QUANTITY]]*PV_DATA[[#This Row],[WATT]]/1000000</f>
        <v>1.62432</v>
      </c>
      <c r="W328" s="435">
        <f>PV_DATA[[#This Row],[QUANTITY]]/PV_DATA[[#This Row],[Qty/Pallet]]</f>
        <v>96</v>
      </c>
      <c r="X328" s="1020">
        <f>PV_DATA[[#This Row],[QUANTITY]]/PV_DATA[[#This Row],[Qty/CT]]</f>
        <v>4</v>
      </c>
      <c r="Y328" s="430" t="s">
        <v>75</v>
      </c>
      <c r="Z328" s="430" t="str">
        <f t="shared" si="2"/>
        <v>COMPLETED</v>
      </c>
      <c r="AA328" s="430"/>
      <c r="AB328" s="437">
        <v>46097</v>
      </c>
      <c r="AC328" s="438">
        <f>IF(PV_DATA[[#This Row],[Pick-Up Date]]&lt;&gt;"",_xlfn.ISOWEEKNUM(PV_DATA[[#This Row],[Pick-Up Date]]),"")</f>
        <v>12</v>
      </c>
      <c r="AD328" s="439" t="s">
        <v>1642</v>
      </c>
      <c r="AE328" s="430"/>
      <c r="AF328" s="430" t="s">
        <v>4421</v>
      </c>
      <c r="AG328" s="430" t="s">
        <v>123</v>
      </c>
      <c r="AH328" s="430" t="s">
        <v>456</v>
      </c>
      <c r="AI328" s="437">
        <v>46103</v>
      </c>
      <c r="AJ328" s="437">
        <v>46110</v>
      </c>
      <c r="AK328" s="441">
        <v>46110</v>
      </c>
      <c r="AL328" s="437">
        <v>46141</v>
      </c>
      <c r="AM328" s="437">
        <v>46160</v>
      </c>
      <c r="AN328" s="437">
        <v>46157</v>
      </c>
      <c r="AO328" s="430" t="s">
        <v>402</v>
      </c>
      <c r="AP328" s="430" t="s">
        <v>1644</v>
      </c>
      <c r="AQ328" s="430" t="s">
        <v>80</v>
      </c>
      <c r="AR328" s="430" t="s">
        <v>1645</v>
      </c>
      <c r="AS328" s="430" t="s">
        <v>1646</v>
      </c>
      <c r="AT328" s="482" t="s">
        <v>1646</v>
      </c>
      <c r="AU32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328" s="437" cm="1">
        <f t="array" ref="AW32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46157</v>
      </c>
      <c r="AX32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28" s="437">
        <f>IF(ISERROR(PV_DATA[[#This Row],[New Ark PO status]]),"",_xlfn.XLOOKUP(PV_DATA[[#This Row],[SPTN-PVHK New Ark PO'#]],New_Ark_Data[Purchase order Number],New_Ark_Data[Estimated time of arrival],"",0))</f>
        <v>46171</v>
      </c>
      <c r="AZ328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28" s="437">
        <f>IFERROR(PV_DATA[[#This Row],[ODP ETA Port]]+PV_DATA[[#This Row],[Customs/Leg3 Assumption]],"n/a")</f>
        <v>46164</v>
      </c>
      <c r="BB328" s="433">
        <f>YEAR(PV_DATA[[#This Row],[ETA for New Ark update]])</f>
        <v>2026</v>
      </c>
      <c r="BC328" s="430">
        <f>MONTH(PV_DATA[[#This Row],[ETA for New Ark update]])</f>
        <v>5</v>
      </c>
      <c r="BD328" s="430">
        <f>IFERROR(_xlfn.ISOWEEKNUM(PV_DATA[[#This Row],[ETA for New Ark update]]),0)</f>
        <v>21</v>
      </c>
      <c r="BE328" s="431">
        <f>_xlfn.XLOOKUP(PV_DATA[[#This Row],[New Ark SKU]],Table9[New Ark SKU],Table9[Total PCS per Pallet],,0)</f>
        <v>36</v>
      </c>
      <c r="BF328" s="431">
        <f>_xlfn.XLOOKUP(PV_DATA[[#This Row],[New Ark SKU]],Table9[New Ark SKU],Table9[Total PCS per 40HQ Container],,0)</f>
        <v>864</v>
      </c>
      <c r="BG328" s="431" t="str">
        <f>_xlfn.XLOOKUP(PV_DATA[[#This Row],[New Ark SKU]],Table9[New Ark SKU],Table9[Back Glass],,0)</f>
        <v>White glazing</v>
      </c>
      <c r="BH328" s="431" t="str">
        <f>_xlfn.XLOOKUP(PV_DATA[[#This Row],[PORT DESTINATION]],Table12[PORT DESTINATION],Table12[Cosco Line],,0)</f>
        <v>AEU</v>
      </c>
      <c r="BJ328" s="430"/>
    </row>
    <row r="329" spans="1:62" ht="10.5" hidden="1">
      <c r="A329" s="462" t="s">
        <v>1647</v>
      </c>
      <c r="B329" s="462" t="s">
        <v>111</v>
      </c>
      <c r="C329" s="462" t="str">
        <f>IFERROR(LEFT(PV_DATA[[#This Row],[TCL REFERENCE]],FIND(".",PV_DATA[[#This Row],[TCL REFERENCE]],1)-1),"Main Line")</f>
        <v>26Feb010</v>
      </c>
      <c r="D329" s="462" t="s">
        <v>63</v>
      </c>
      <c r="E329" s="462" t="s">
        <v>64</v>
      </c>
      <c r="F329" s="462" t="str" cm="1">
        <f t="array" ref="F32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29" s="462" t="s">
        <v>402</v>
      </c>
      <c r="H329" s="462" t="s">
        <v>67</v>
      </c>
      <c r="I329" s="439" t="s">
        <v>869</v>
      </c>
      <c r="J329" s="430" t="s">
        <v>101</v>
      </c>
      <c r="K329" s="430"/>
      <c r="L329" s="430"/>
      <c r="M329" s="430" t="s">
        <v>68</v>
      </c>
      <c r="N329" s="432">
        <v>46076</v>
      </c>
      <c r="O329" s="430" t="s">
        <v>132</v>
      </c>
      <c r="P329" s="430" t="s">
        <v>1062</v>
      </c>
      <c r="Q329" s="430" t="s">
        <v>1063</v>
      </c>
      <c r="R329" s="431" t="str">
        <f>_xlfn.XLOOKUP(PV_DATA[[#This Row],[New Ark SKU]],Table9[New Ark SKU],Table9[Connector],,0)</f>
        <v>EVO2A</v>
      </c>
      <c r="S329" s="442" t="str">
        <f>_xlfn.XLOOKUP(PV_DATA[[#This Row],[New Ark SKU]],Table9[New Ark SKU],Table9[Cable],,0)</f>
        <v>±1200mm</v>
      </c>
      <c r="T329" s="433">
        <v>470</v>
      </c>
      <c r="U329" s="1062">
        <v>5184</v>
      </c>
      <c r="V329" s="434">
        <f>PV_DATA[[#This Row],[QUANTITY]]*PV_DATA[[#This Row],[WATT]]/1000000</f>
        <v>2.43648</v>
      </c>
      <c r="W329" s="435">
        <f>PV_DATA[[#This Row],[QUANTITY]]/PV_DATA[[#This Row],[Qty/Pallet]]</f>
        <v>144</v>
      </c>
      <c r="X329" s="1020">
        <f>PV_DATA[[#This Row],[QUANTITY]]/PV_DATA[[#This Row],[Qty/CT]]</f>
        <v>6</v>
      </c>
      <c r="Y329" s="430" t="s">
        <v>75</v>
      </c>
      <c r="Z329" s="430" t="str">
        <f t="shared" si="2"/>
        <v>COMPLETED</v>
      </c>
      <c r="AA329" s="430"/>
      <c r="AB329" s="437">
        <v>46095</v>
      </c>
      <c r="AC329" s="438">
        <f>IF(PV_DATA[[#This Row],[Pick-Up Date]]&lt;&gt;"",_xlfn.ISOWEEKNUM(PV_DATA[[#This Row],[Pick-Up Date]]),"")</f>
        <v>11</v>
      </c>
      <c r="AD329" s="439" t="s">
        <v>1648</v>
      </c>
      <c r="AE329" s="430"/>
      <c r="AF329" s="430" t="s">
        <v>122</v>
      </c>
      <c r="AG329" s="430" t="s">
        <v>123</v>
      </c>
      <c r="AH329" s="430" t="s">
        <v>105</v>
      </c>
      <c r="AI329" s="437">
        <v>46102</v>
      </c>
      <c r="AJ329" s="437">
        <v>46103</v>
      </c>
      <c r="AK329" s="441">
        <v>46103</v>
      </c>
      <c r="AL329" s="437">
        <v>46144</v>
      </c>
      <c r="AM329" s="437">
        <v>46151</v>
      </c>
      <c r="AN329" s="437">
        <v>46153</v>
      </c>
      <c r="AO329" s="430" t="s">
        <v>402</v>
      </c>
      <c r="AP329" s="430" t="s">
        <v>1644</v>
      </c>
      <c r="AQ329" s="430" t="s">
        <v>80</v>
      </c>
      <c r="AR329" s="430" t="s">
        <v>1649</v>
      </c>
      <c r="AS329" s="430" t="s">
        <v>1650</v>
      </c>
      <c r="AT329" s="482" t="s">
        <v>1650</v>
      </c>
      <c r="AU32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329" s="437" cm="1">
        <f t="array" ref="AW32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46153</v>
      </c>
      <c r="AX32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29" s="437">
        <f>IF(ISERROR(PV_DATA[[#This Row],[New Ark PO status]]),"",_xlfn.XLOOKUP(PV_DATA[[#This Row],[SPTN-PVHK New Ark PO'#]],New_Ark_Data[Purchase order Number],New_Ark_Data[Estimated time of arrival],"",0))</f>
        <v>46160</v>
      </c>
      <c r="AZ329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29" s="437">
        <f>IFERROR(PV_DATA[[#This Row],[ODP ETA Port]]+PV_DATA[[#This Row],[Customs/Leg3 Assumption]],"n/a")</f>
        <v>46160</v>
      </c>
      <c r="BB329" s="433">
        <f>YEAR(PV_DATA[[#This Row],[ETA for New Ark update]])</f>
        <v>2026</v>
      </c>
      <c r="BC329" s="430">
        <f>MONTH(PV_DATA[[#This Row],[ETA for New Ark update]])</f>
        <v>5</v>
      </c>
      <c r="BD329" s="430">
        <f>IFERROR(_xlfn.ISOWEEKNUM(PV_DATA[[#This Row],[ETA for New Ark update]]),0)</f>
        <v>21</v>
      </c>
      <c r="BE329" s="431">
        <f>_xlfn.XLOOKUP(PV_DATA[[#This Row],[New Ark SKU]],Table9[New Ark SKU],Table9[Total PCS per Pallet],,0)</f>
        <v>36</v>
      </c>
      <c r="BF329" s="431">
        <f>_xlfn.XLOOKUP(PV_DATA[[#This Row],[New Ark SKU]],Table9[New Ark SKU],Table9[Total PCS per 40HQ Container],,0)</f>
        <v>864</v>
      </c>
      <c r="BG329" s="431" t="str">
        <f>_xlfn.XLOOKUP(PV_DATA[[#This Row],[New Ark SKU]],Table9[New Ark SKU],Table9[Back Glass],,0)</f>
        <v>White glazing</v>
      </c>
      <c r="BH329" s="431" t="str">
        <f>_xlfn.XLOOKUP(PV_DATA[[#This Row],[PORT DESTINATION]],Table12[PORT DESTINATION],Table12[Cosco Line],,0)</f>
        <v>AEU</v>
      </c>
      <c r="BJ329" s="430"/>
    </row>
    <row r="330" spans="1:62" ht="10.5" hidden="1">
      <c r="A330" s="462" t="s">
        <v>1651</v>
      </c>
      <c r="B330" s="462" t="s">
        <v>111</v>
      </c>
      <c r="C330" s="462" t="str">
        <f>IFERROR(LEFT(PV_DATA[[#This Row],[TCL REFERENCE]],FIND(".",PV_DATA[[#This Row],[TCL REFERENCE]],1)-1),"Main Line")</f>
        <v>26Feb015</v>
      </c>
      <c r="D330" s="462" t="s">
        <v>63</v>
      </c>
      <c r="E330" s="462" t="s">
        <v>64</v>
      </c>
      <c r="F330" s="462" t="str" cm="1">
        <f t="array" ref="F33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30" s="462" t="s">
        <v>402</v>
      </c>
      <c r="H330" s="462" t="s">
        <v>67</v>
      </c>
      <c r="I330" s="439" t="s">
        <v>1395</v>
      </c>
      <c r="J330" s="430" t="s">
        <v>101</v>
      </c>
      <c r="K330" s="430"/>
      <c r="L330" s="430"/>
      <c r="M330" s="430" t="s">
        <v>68</v>
      </c>
      <c r="N330" s="432">
        <v>46048</v>
      </c>
      <c r="O330" s="430" t="s">
        <v>132</v>
      </c>
      <c r="P330" s="430" t="s">
        <v>133</v>
      </c>
      <c r="Q330" s="430" t="s">
        <v>134</v>
      </c>
      <c r="R330" s="431" t="str">
        <f>_xlfn.XLOOKUP(PV_DATA[[#This Row],[New Ark SKU]],Table9[New Ark SKU],Table9[Connector],,0)</f>
        <v>EVO2A</v>
      </c>
      <c r="S330" s="442" t="str">
        <f>_xlfn.XLOOKUP(PV_DATA[[#This Row],[New Ark SKU]],Table9[New Ark SKU],Table9[Cable],,0)</f>
        <v>±1400mm</v>
      </c>
      <c r="T330" s="433">
        <v>720</v>
      </c>
      <c r="U330" s="1062">
        <f>594*7</f>
        <v>4158</v>
      </c>
      <c r="V330" s="434">
        <f>PV_DATA[[#This Row],[QUANTITY]]*PV_DATA[[#This Row],[WATT]]/1000000</f>
        <v>2.99376</v>
      </c>
      <c r="W330" s="435">
        <f>PV_DATA[[#This Row],[QUANTITY]]/PV_DATA[[#This Row],[Qty/Pallet]]</f>
        <v>126</v>
      </c>
      <c r="X330" s="1020">
        <f>PV_DATA[[#This Row],[QUANTITY]]/PV_DATA[[#This Row],[Qty/CT]]</f>
        <v>7</v>
      </c>
      <c r="Y330" s="430" t="s">
        <v>75</v>
      </c>
      <c r="Z330" s="430" t="str">
        <f t="shared" si="2"/>
        <v>COMPLETED</v>
      </c>
      <c r="AA330" s="430"/>
      <c r="AB330" s="437">
        <v>46095</v>
      </c>
      <c r="AC330" s="438">
        <f>IF(PV_DATA[[#This Row],[Pick-Up Date]]&lt;&gt;"",_xlfn.ISOWEEKNUM(PV_DATA[[#This Row],[Pick-Up Date]]),"")</f>
        <v>11</v>
      </c>
      <c r="AD330" s="439" t="s">
        <v>1652</v>
      </c>
      <c r="AE330" s="430"/>
      <c r="AF330" s="430" t="s">
        <v>122</v>
      </c>
      <c r="AG330" s="430" t="s">
        <v>123</v>
      </c>
      <c r="AH330" s="430" t="s">
        <v>105</v>
      </c>
      <c r="AI330" s="437">
        <v>46102</v>
      </c>
      <c r="AJ330" s="437">
        <v>46103</v>
      </c>
      <c r="AK330" s="441">
        <v>46103</v>
      </c>
      <c r="AL330" s="437">
        <v>46144</v>
      </c>
      <c r="AM330" s="437">
        <v>46151</v>
      </c>
      <c r="AN330" s="437">
        <v>46153</v>
      </c>
      <c r="AO330" s="430" t="s">
        <v>402</v>
      </c>
      <c r="AP330" s="430" t="s">
        <v>1644</v>
      </c>
      <c r="AQ330" s="430" t="s">
        <v>80</v>
      </c>
      <c r="AR330" s="430" t="s">
        <v>1649</v>
      </c>
      <c r="AS330" s="430" t="s">
        <v>1650</v>
      </c>
      <c r="AT330" s="482" t="s">
        <v>1650</v>
      </c>
      <c r="AU33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330" s="437" cm="1">
        <f t="array" ref="AW33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46153</v>
      </c>
      <c r="AX33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30" s="437">
        <f>IF(ISERROR(PV_DATA[[#This Row],[New Ark PO status]]),"",_xlfn.XLOOKUP(PV_DATA[[#This Row],[SPTN-PVHK New Ark PO'#]],New_Ark_Data[Purchase order Number],New_Ark_Data[Estimated time of arrival],"",0))</f>
        <v>46160</v>
      </c>
      <c r="AZ330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30" s="437">
        <f>IFERROR(PV_DATA[[#This Row],[ODP ETA Port]]+PV_DATA[[#This Row],[Customs/Leg3 Assumption]],"n/a")</f>
        <v>46160</v>
      </c>
      <c r="BB330" s="433">
        <f>YEAR(PV_DATA[[#This Row],[ETA for New Ark update]])</f>
        <v>2026</v>
      </c>
      <c r="BC330" s="430">
        <f>MONTH(PV_DATA[[#This Row],[ETA for New Ark update]])</f>
        <v>5</v>
      </c>
      <c r="BD330" s="430">
        <f>IFERROR(_xlfn.ISOWEEKNUM(PV_DATA[[#This Row],[ETA for New Ark update]]),0)</f>
        <v>21</v>
      </c>
      <c r="BE330" s="431">
        <f>_xlfn.XLOOKUP(PV_DATA[[#This Row],[New Ark SKU]],Table9[New Ark SKU],Table9[Total PCS per Pallet],,0)</f>
        <v>33</v>
      </c>
      <c r="BF330" s="431">
        <f>_xlfn.XLOOKUP(PV_DATA[[#This Row],[New Ark SKU]],Table9[New Ark SKU],Table9[Total PCS per 40HQ Container],,0)</f>
        <v>594</v>
      </c>
      <c r="BG330" s="431" t="str">
        <f>_xlfn.XLOOKUP(PV_DATA[[#This Row],[New Ark SKU]],Table9[New Ark SKU],Table9[Back Glass],,0)</f>
        <v>White glazing</v>
      </c>
      <c r="BH330" s="431" t="str">
        <f>_xlfn.XLOOKUP(PV_DATA[[#This Row],[PORT DESTINATION]],Table12[PORT DESTINATION],Table12[Cosco Line],,0)</f>
        <v>AEU</v>
      </c>
      <c r="BJ330" s="430"/>
    </row>
    <row r="331" spans="1:62" ht="10.5" hidden="1">
      <c r="A331" s="462" t="s">
        <v>1653</v>
      </c>
      <c r="B331" s="462" t="s">
        <v>111</v>
      </c>
      <c r="C331" s="462" t="str">
        <f>IFERROR(LEFT(PV_DATA[[#This Row],[TCL REFERENCE]],FIND(".",PV_DATA[[#This Row],[TCL REFERENCE]],1)-1),"Main Line")</f>
        <v>26Feb015</v>
      </c>
      <c r="D331" s="462" t="s">
        <v>63</v>
      </c>
      <c r="E331" s="462" t="s">
        <v>64</v>
      </c>
      <c r="F331" s="462" t="str" cm="1">
        <f t="array" ref="F33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31" s="462" t="s">
        <v>402</v>
      </c>
      <c r="H331" s="462" t="s">
        <v>67</v>
      </c>
      <c r="I331" s="439" t="s">
        <v>689</v>
      </c>
      <c r="J331" s="430" t="s">
        <v>1654</v>
      </c>
      <c r="K331" s="430"/>
      <c r="L331" s="430"/>
      <c r="M331" s="430" t="s">
        <v>68</v>
      </c>
      <c r="N331" s="432">
        <v>46048</v>
      </c>
      <c r="O331" s="430" t="s">
        <v>132</v>
      </c>
      <c r="P331" s="430" t="s">
        <v>133</v>
      </c>
      <c r="Q331" s="430" t="s">
        <v>134</v>
      </c>
      <c r="R331" s="431" t="str">
        <f>_xlfn.XLOOKUP(PV_DATA[[#This Row],[New Ark SKU]],Table9[New Ark SKU],Table9[Connector],,0)</f>
        <v>EVO2A</v>
      </c>
      <c r="S331" s="442" t="str">
        <f>_xlfn.XLOOKUP(PV_DATA[[#This Row],[New Ark SKU]],Table9[New Ark SKU],Table9[Cable],,0)</f>
        <v>±1400mm</v>
      </c>
      <c r="T331" s="433">
        <v>720</v>
      </c>
      <c r="U331" s="1062">
        <f>2*594</f>
        <v>1188</v>
      </c>
      <c r="V331" s="434">
        <f>PV_DATA[[#This Row],[QUANTITY]]*PV_DATA[[#This Row],[WATT]]/1000000</f>
        <v>0.85536000000000001</v>
      </c>
      <c r="W331" s="435">
        <f>PV_DATA[[#This Row],[QUANTITY]]/PV_DATA[[#This Row],[Qty/Pallet]]</f>
        <v>36</v>
      </c>
      <c r="X331" s="1020">
        <f>PV_DATA[[#This Row],[QUANTITY]]/PV_DATA[[#This Row],[Qty/CT]]</f>
        <v>2</v>
      </c>
      <c r="Y331" s="430" t="s">
        <v>75</v>
      </c>
      <c r="Z331" s="430" t="str">
        <f t="shared" si="2"/>
        <v>COMPLETED</v>
      </c>
      <c r="AA331" s="430"/>
      <c r="AB331" s="437">
        <v>46095</v>
      </c>
      <c r="AC331" s="438">
        <f>IF(PV_DATA[[#This Row],[Pick-Up Date]]&lt;&gt;"",_xlfn.ISOWEEKNUM(PV_DATA[[#This Row],[Pick-Up Date]]),"")</f>
        <v>11</v>
      </c>
      <c r="AD331" s="439" t="s">
        <v>1655</v>
      </c>
      <c r="AE331" s="430"/>
      <c r="AF331" s="430" t="s">
        <v>122</v>
      </c>
      <c r="AG331" s="430" t="s">
        <v>123</v>
      </c>
      <c r="AH331" s="430" t="s">
        <v>105</v>
      </c>
      <c r="AI331" s="437">
        <v>46102</v>
      </c>
      <c r="AJ331" s="437">
        <v>46103</v>
      </c>
      <c r="AK331" s="441">
        <v>46103</v>
      </c>
      <c r="AL331" s="437">
        <v>46144</v>
      </c>
      <c r="AM331" s="437">
        <v>46151</v>
      </c>
      <c r="AN331" s="437">
        <v>46153</v>
      </c>
      <c r="AO331" s="430" t="s">
        <v>402</v>
      </c>
      <c r="AP331" s="430" t="s">
        <v>1644</v>
      </c>
      <c r="AQ331" s="430" t="s">
        <v>80</v>
      </c>
      <c r="AR331" s="430" t="s">
        <v>1649</v>
      </c>
      <c r="AS331" s="430" t="s">
        <v>1650</v>
      </c>
      <c r="AT331" s="482" t="s">
        <v>1650</v>
      </c>
      <c r="AU33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331" s="437" cm="1">
        <f t="array" ref="AW33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46153</v>
      </c>
      <c r="AX33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31" s="437">
        <f>IF(ISERROR(PV_DATA[[#This Row],[New Ark PO status]]),"",_xlfn.XLOOKUP(PV_DATA[[#This Row],[SPTN-PVHK New Ark PO'#]],New_Ark_Data[Purchase order Number],New_Ark_Data[Estimated time of arrival],"",0))</f>
        <v>46160</v>
      </c>
      <c r="AZ331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31" s="437">
        <f>IFERROR(PV_DATA[[#This Row],[ODP ETA Port]]+PV_DATA[[#This Row],[Customs/Leg3 Assumption]],"n/a")</f>
        <v>46160</v>
      </c>
      <c r="BB331" s="433">
        <f>YEAR(PV_DATA[[#This Row],[ETA for New Ark update]])</f>
        <v>2026</v>
      </c>
      <c r="BC331" s="430">
        <f>MONTH(PV_DATA[[#This Row],[ETA for New Ark update]])</f>
        <v>5</v>
      </c>
      <c r="BD331" s="430">
        <f>IFERROR(_xlfn.ISOWEEKNUM(PV_DATA[[#This Row],[ETA for New Ark update]]),0)</f>
        <v>21</v>
      </c>
      <c r="BE331" s="431">
        <f>_xlfn.XLOOKUP(PV_DATA[[#This Row],[New Ark SKU]],Table9[New Ark SKU],Table9[Total PCS per Pallet],,0)</f>
        <v>33</v>
      </c>
      <c r="BF331" s="431">
        <f>_xlfn.XLOOKUP(PV_DATA[[#This Row],[New Ark SKU]],Table9[New Ark SKU],Table9[Total PCS per 40HQ Container],,0)</f>
        <v>594</v>
      </c>
      <c r="BG331" s="431" t="str">
        <f>_xlfn.XLOOKUP(PV_DATA[[#This Row],[New Ark SKU]],Table9[New Ark SKU],Table9[Back Glass],,0)</f>
        <v>White glazing</v>
      </c>
      <c r="BH331" s="431" t="str">
        <f>_xlfn.XLOOKUP(PV_DATA[[#This Row],[PORT DESTINATION]],Table12[PORT DESTINATION],Table12[Cosco Line],,0)</f>
        <v>AEU</v>
      </c>
      <c r="BJ331" s="430"/>
    </row>
    <row r="332" spans="1:62" ht="10.5" hidden="1">
      <c r="A332" s="462" t="s">
        <v>1656</v>
      </c>
      <c r="B332" s="462" t="s">
        <v>111</v>
      </c>
      <c r="C332" s="462" t="str">
        <f>IFERROR(LEFT(PV_DATA[[#This Row],[TCL REFERENCE]],FIND(".",PV_DATA[[#This Row],[TCL REFERENCE]],1)-1),"Main Line")</f>
        <v>26Feb026</v>
      </c>
      <c r="D332" s="462" t="s">
        <v>63</v>
      </c>
      <c r="E332" s="462" t="s">
        <v>64</v>
      </c>
      <c r="F332" s="462" t="str" cm="1">
        <f t="array" ref="F33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32" s="462" t="s">
        <v>402</v>
      </c>
      <c r="H332" s="462" t="s">
        <v>67</v>
      </c>
      <c r="I332" s="439" t="s">
        <v>822</v>
      </c>
      <c r="J332" s="430" t="s">
        <v>1047</v>
      </c>
      <c r="K332" s="430"/>
      <c r="L332" s="430"/>
      <c r="M332" s="430" t="s">
        <v>68</v>
      </c>
      <c r="N332" s="432">
        <v>46069</v>
      </c>
      <c r="O332" s="430" t="s">
        <v>70</v>
      </c>
      <c r="P332" s="430" t="s">
        <v>1002</v>
      </c>
      <c r="Q332" s="430" t="s">
        <v>330</v>
      </c>
      <c r="R332" s="431" t="str">
        <f>_xlfn.XLOOKUP(PV_DATA[[#This Row],[New Ark SKU]],Table9[New Ark SKU],Table9[Connector],,0)</f>
        <v>EVO2A</v>
      </c>
      <c r="S332" s="442" t="str">
        <f>_xlfn.XLOOKUP(PV_DATA[[#This Row],[New Ark SKU]],Table9[New Ark SKU],Table9[Cable],,0)</f>
        <v>±1400mm</v>
      </c>
      <c r="T332" s="433">
        <v>625</v>
      </c>
      <c r="U332" s="1062">
        <v>7920</v>
      </c>
      <c r="V332" s="434">
        <f>PV_DATA[[#This Row],[QUANTITY]]*PV_DATA[[#This Row],[WATT]]/1000000</f>
        <v>4.95</v>
      </c>
      <c r="W332" s="435">
        <f>PV_DATA[[#This Row],[QUANTITY]]/PV_DATA[[#This Row],[Qty/Pallet]]</f>
        <v>220</v>
      </c>
      <c r="X332" s="1020">
        <f>PV_DATA[[#This Row],[QUANTITY]]/PV_DATA[[#This Row],[Qty/CT]]</f>
        <v>11</v>
      </c>
      <c r="Y332" s="430" t="s">
        <v>75</v>
      </c>
      <c r="Z332" s="430" t="str">
        <f t="shared" si="2"/>
        <v>COMPLETED</v>
      </c>
      <c r="AA332" s="430" t="s">
        <v>1500</v>
      </c>
      <c r="AB332" s="437">
        <v>46096</v>
      </c>
      <c r="AC332" s="438">
        <f>IF(PV_DATA[[#This Row],[Pick-Up Date]]&lt;&gt;"",_xlfn.ISOWEEKNUM(PV_DATA[[#This Row],[Pick-Up Date]]),"")</f>
        <v>11</v>
      </c>
      <c r="AD332" s="439" t="s">
        <v>1657</v>
      </c>
      <c r="AE332" s="430"/>
      <c r="AF332" s="430" t="s">
        <v>122</v>
      </c>
      <c r="AG332" s="430" t="s">
        <v>123</v>
      </c>
      <c r="AH332" s="430" t="s">
        <v>105</v>
      </c>
      <c r="AI332" s="437">
        <v>46103</v>
      </c>
      <c r="AJ332" s="437">
        <v>46103</v>
      </c>
      <c r="AK332" s="441">
        <v>46103</v>
      </c>
      <c r="AL332" s="437">
        <v>46140</v>
      </c>
      <c r="AM332" s="437">
        <v>46150</v>
      </c>
      <c r="AN332" s="437">
        <v>46148</v>
      </c>
      <c r="AO332" s="430" t="s">
        <v>402</v>
      </c>
      <c r="AP332" s="430" t="s">
        <v>925</v>
      </c>
      <c r="AQ332" s="430" t="s">
        <v>80</v>
      </c>
      <c r="AR332" s="430" t="s">
        <v>1658</v>
      </c>
      <c r="AS332" s="430" t="s">
        <v>1659</v>
      </c>
      <c r="AT332" s="482" t="s">
        <v>1659</v>
      </c>
      <c r="AU33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332" s="437" cm="1">
        <f t="array" ref="AW33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33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32" s="437">
        <f>IF(ISERROR(PV_DATA[[#This Row],[New Ark PO status]]),"",_xlfn.XLOOKUP(PV_DATA[[#This Row],[SPTN-PVHK New Ark PO'#]],New_Ark_Data[Purchase order Number],New_Ark_Data[Estimated time of arrival],"",0))</f>
        <v>46164</v>
      </c>
      <c r="AZ33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32" s="437">
        <f>IFERROR(PV_DATA[[#This Row],[ODP ETA Port]]+PV_DATA[[#This Row],[Customs/Leg3 Assumption]],"n/a")</f>
        <v>46155</v>
      </c>
      <c r="BB332" s="433">
        <f>YEAR(PV_DATA[[#This Row],[ETA for New Ark update]])</f>
        <v>2026</v>
      </c>
      <c r="BC332" s="430">
        <f>MONTH(PV_DATA[[#This Row],[ETA for New Ark update]])</f>
        <v>5</v>
      </c>
      <c r="BD332" s="430">
        <f>IFERROR(_xlfn.ISOWEEKNUM(PV_DATA[[#This Row],[ETA for New Ark update]]),0)</f>
        <v>20</v>
      </c>
      <c r="BE332" s="431">
        <f>_xlfn.XLOOKUP(PV_DATA[[#This Row],[New Ark SKU]],Table9[New Ark SKU],Table9[Total PCS per Pallet],,0)</f>
        <v>36</v>
      </c>
      <c r="BF332" s="431">
        <f>_xlfn.XLOOKUP(PV_DATA[[#This Row],[New Ark SKU]],Table9[New Ark SKU],Table9[Total PCS per 40HQ Container],,0)</f>
        <v>720</v>
      </c>
      <c r="BG332" s="431" t="str">
        <f>_xlfn.XLOOKUP(PV_DATA[[#This Row],[New Ark SKU]],Table9[New Ark SKU],Table9[Back Glass],,0)</f>
        <v>Redirection Film</v>
      </c>
      <c r="BH332" s="431" t="str">
        <f>_xlfn.XLOOKUP(PV_DATA[[#This Row],[PORT DESTINATION]],Table12[PORT DESTINATION],Table12[Cosco Line],,0)</f>
        <v>AEU</v>
      </c>
      <c r="BJ332" s="430"/>
    </row>
    <row r="333" spans="1:62" hidden="1">
      <c r="A333" s="462" t="s">
        <v>1660</v>
      </c>
      <c r="B333" s="462" t="s">
        <v>111</v>
      </c>
      <c r="C333" s="462" t="str">
        <f>IFERROR(LEFT(PV_DATA[[#This Row],[TCL REFERENCE]],FIND(".",PV_DATA[[#This Row],[TCL REFERENCE]],1)-1),"Main Line")</f>
        <v>26Feb032</v>
      </c>
      <c r="D333" s="462" t="s">
        <v>63</v>
      </c>
      <c r="E333" s="462" t="s">
        <v>64</v>
      </c>
      <c r="F333" s="462" t="str" cm="1">
        <f t="array" ref="F33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33" s="462" t="s">
        <v>402</v>
      </c>
      <c r="H333" s="462" t="s">
        <v>67</v>
      </c>
      <c r="I333" s="439" t="s">
        <v>689</v>
      </c>
      <c r="J333" s="430" t="s">
        <v>101</v>
      </c>
      <c r="K333" s="430"/>
      <c r="L333" s="430"/>
      <c r="M333" s="430" t="s">
        <v>68</v>
      </c>
      <c r="N333" s="432">
        <v>46093</v>
      </c>
      <c r="O333" s="430" t="s">
        <v>70</v>
      </c>
      <c r="P333" s="459" t="s">
        <v>1483</v>
      </c>
      <c r="Q333" s="430" t="s">
        <v>1484</v>
      </c>
      <c r="R333" s="431" t="str">
        <f>_xlfn.XLOOKUP(PV_DATA[[#This Row],[New Ark SKU]],Table9[New Ark SKU],Table9[Connector],,0)</f>
        <v>EVO2A</v>
      </c>
      <c r="S333" s="442" t="str">
        <f>_xlfn.XLOOKUP(PV_DATA[[#This Row],[New Ark SKU]],Table9[New Ark SKU],Table9[Cable],,0)</f>
        <v>±1400mm</v>
      </c>
      <c r="T333" s="433">
        <v>725</v>
      </c>
      <c r="U333" s="1062">
        <f>594*15</f>
        <v>8910</v>
      </c>
      <c r="V333" s="434">
        <f>PV_DATA[[#This Row],[QUANTITY]]*PV_DATA[[#This Row],[WATT]]/1000000</f>
        <v>6.4597499999999997</v>
      </c>
      <c r="W333" s="435">
        <v>270</v>
      </c>
      <c r="X333" s="1020">
        <v>15</v>
      </c>
      <c r="Y333" s="430" t="s">
        <v>75</v>
      </c>
      <c r="Z333" s="430" t="str">
        <f t="shared" si="2"/>
        <v>COMPLETED</v>
      </c>
      <c r="AA333" s="430"/>
      <c r="AB333" s="437">
        <v>46096</v>
      </c>
      <c r="AC333" s="438">
        <f>IF(PV_DATA[[#This Row],[Pick-Up Date]]&lt;&gt;"",_xlfn.ISOWEEKNUM(PV_DATA[[#This Row],[Pick-Up Date]]),"")</f>
        <v>11</v>
      </c>
      <c r="AD333" s="439" t="s">
        <v>1661</v>
      </c>
      <c r="AE333" s="430"/>
      <c r="AF333" s="430" t="s">
        <v>4422</v>
      </c>
      <c r="AG333" s="430" t="s">
        <v>123</v>
      </c>
      <c r="AH333" s="430" t="s">
        <v>105</v>
      </c>
      <c r="AI333" s="437">
        <v>46102</v>
      </c>
      <c r="AJ333" s="437">
        <v>46112</v>
      </c>
      <c r="AK333" s="441">
        <v>46112</v>
      </c>
      <c r="AL333" s="437">
        <v>46144</v>
      </c>
      <c r="AM333" s="437">
        <v>46154</v>
      </c>
      <c r="AN333" s="437">
        <v>46157</v>
      </c>
      <c r="AO333" s="430" t="s">
        <v>402</v>
      </c>
      <c r="AP333" s="430" t="s">
        <v>1644</v>
      </c>
      <c r="AQ333" s="430" t="s">
        <v>80</v>
      </c>
      <c r="AR333" s="430" t="s">
        <v>1662</v>
      </c>
      <c r="AS333" s="430" t="s">
        <v>1663</v>
      </c>
      <c r="AT333" s="482" t="s">
        <v>1663</v>
      </c>
      <c r="AU33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333" s="437" cm="1">
        <f t="array" ref="AW33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46157</v>
      </c>
      <c r="AX33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33" s="437">
        <f>IF(ISERROR(PV_DATA[[#This Row],[New Ark PO status]]),"",_xlfn.XLOOKUP(PV_DATA[[#This Row],[SPTN-PVHK New Ark PO'#]],New_Ark_Data[Purchase order Number],New_Ark_Data[Estimated time of arrival],"",0))</f>
        <v>46169</v>
      </c>
      <c r="AZ33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33" s="437">
        <f>IFERROR(PV_DATA[[#This Row],[ODP ETA Port]]+PV_DATA[[#This Row],[Customs/Leg3 Assumption]],"n/a")</f>
        <v>46164</v>
      </c>
      <c r="BB333" s="433">
        <f>YEAR(PV_DATA[[#This Row],[ETA for New Ark update]])</f>
        <v>2026</v>
      </c>
      <c r="BC333" s="430">
        <f>MONTH(PV_DATA[[#This Row],[ETA for New Ark update]])</f>
        <v>5</v>
      </c>
      <c r="BD333" s="430">
        <f>IFERROR(_xlfn.ISOWEEKNUM(PV_DATA[[#This Row],[ETA for New Ark update]]),0)</f>
        <v>21</v>
      </c>
      <c r="BE333" s="431">
        <v>33</v>
      </c>
      <c r="BF333" s="431">
        <v>594</v>
      </c>
      <c r="BG333" s="431" t="str">
        <f>_xlfn.XLOOKUP(PV_DATA[[#This Row],[New Ark SKU]],Table9[New Ark SKU],Table9[Back Glass],,0)</f>
        <v>Redirection Film</v>
      </c>
      <c r="BH333" s="431" t="str">
        <f>_xlfn.XLOOKUP(PV_DATA[[#This Row],[PORT DESTINATION]],Table12[PORT DESTINATION],Table12[Cosco Line],,0)</f>
        <v>AEU</v>
      </c>
      <c r="BJ333" s="430"/>
    </row>
    <row r="334" spans="1:62" ht="10.5" hidden="1">
      <c r="A334" s="462" t="s">
        <v>1664</v>
      </c>
      <c r="B334" s="462" t="s">
        <v>111</v>
      </c>
      <c r="C334" s="462" t="str">
        <f>IFERROR(LEFT(PV_DATA[[#This Row],[TCL REFERENCE]],FIND(".",PV_DATA[[#This Row],[TCL REFERENCE]],1)-1),"Main Line")</f>
        <v>26Feb032</v>
      </c>
      <c r="D334" s="462" t="s">
        <v>63</v>
      </c>
      <c r="E334" s="462" t="s">
        <v>64</v>
      </c>
      <c r="F334" s="462" t="str" cm="1">
        <f t="array" ref="F33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34" s="462" t="s">
        <v>402</v>
      </c>
      <c r="H334" s="462" t="s">
        <v>67</v>
      </c>
      <c r="I334" s="439" t="s">
        <v>689</v>
      </c>
      <c r="J334" s="430" t="s">
        <v>101</v>
      </c>
      <c r="K334" s="430"/>
      <c r="L334" s="430"/>
      <c r="M334" s="430" t="s">
        <v>68</v>
      </c>
      <c r="N334" s="432">
        <v>46093</v>
      </c>
      <c r="O334" s="430" t="s">
        <v>70</v>
      </c>
      <c r="P334" s="459" t="s">
        <v>1483</v>
      </c>
      <c r="Q334" s="430" t="s">
        <v>1484</v>
      </c>
      <c r="R334" s="431" t="str">
        <f>_xlfn.XLOOKUP(PV_DATA[[#This Row],[New Ark SKU]],Table9[New Ark SKU],Table9[Connector],,0)</f>
        <v>EVO2A</v>
      </c>
      <c r="S334" s="442" t="str">
        <f>_xlfn.XLOOKUP(PV_DATA[[#This Row],[New Ark SKU]],Table9[New Ark SKU],Table9[Cable],,0)</f>
        <v>±1400mm</v>
      </c>
      <c r="T334" s="433">
        <v>725</v>
      </c>
      <c r="U334" s="1062">
        <f>594*1</f>
        <v>594</v>
      </c>
      <c r="V334" s="434">
        <f>PV_DATA[[#This Row],[QUANTITY]]*PV_DATA[[#This Row],[WATT]]/1000000</f>
        <v>0.43064999999999998</v>
      </c>
      <c r="W334" s="435">
        <v>18</v>
      </c>
      <c r="X334" s="1015">
        <v>1</v>
      </c>
      <c r="Y334" s="430" t="s">
        <v>75</v>
      </c>
      <c r="Z334" s="430" t="str">
        <f t="shared" si="2"/>
        <v>COMPLETED</v>
      </c>
      <c r="AA334" s="430"/>
      <c r="AB334" s="437">
        <v>46097</v>
      </c>
      <c r="AC334" s="438">
        <f>IF(PV_DATA[[#This Row],[Pick-Up Date]]&lt;&gt;"",_xlfn.ISOWEEKNUM(PV_DATA[[#This Row],[Pick-Up Date]]),"")</f>
        <v>12</v>
      </c>
      <c r="AD334" s="439" t="s">
        <v>1665</v>
      </c>
      <c r="AE334" s="430"/>
      <c r="AF334" s="430" t="s">
        <v>122</v>
      </c>
      <c r="AG334" s="430" t="s">
        <v>123</v>
      </c>
      <c r="AH334" s="430" t="s">
        <v>105</v>
      </c>
      <c r="AI334" s="437">
        <v>46100</v>
      </c>
      <c r="AJ334" s="437">
        <v>46101</v>
      </c>
      <c r="AK334" s="441">
        <v>46101</v>
      </c>
      <c r="AL334" s="437">
        <v>46140</v>
      </c>
      <c r="AM334" s="437">
        <v>46151</v>
      </c>
      <c r="AN334" s="437">
        <v>46151</v>
      </c>
      <c r="AO334" s="430" t="s">
        <v>402</v>
      </c>
      <c r="AP334" s="430" t="s">
        <v>1666</v>
      </c>
      <c r="AQ334" s="430" t="s">
        <v>161</v>
      </c>
      <c r="AR334" s="430" t="s">
        <v>1667</v>
      </c>
      <c r="AS334" s="430" t="s">
        <v>1668</v>
      </c>
      <c r="AT334" s="482" t="s">
        <v>1669</v>
      </c>
      <c r="AU33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334" s="437" cm="1">
        <f t="array" ref="AW33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46151</v>
      </c>
      <c r="AX33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34" s="437">
        <f>IF(ISERROR(PV_DATA[[#This Row],[New Ark PO status]]),"",_xlfn.XLOOKUP(PV_DATA[[#This Row],[SPTN-PVHK New Ark PO'#]],New_Ark_Data[Purchase order Number],New_Ark_Data[Estimated time of arrival],"",0))</f>
        <v>46154</v>
      </c>
      <c r="AZ33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34" s="437">
        <f>IFERROR(PV_DATA[[#This Row],[ODP ETA Port]]+PV_DATA[[#This Row],[Customs/Leg3 Assumption]],"n/a")</f>
        <v>46158</v>
      </c>
      <c r="BB334" s="433">
        <f>YEAR(PV_DATA[[#This Row],[ETA for New Ark update]])</f>
        <v>2026</v>
      </c>
      <c r="BC334" s="430">
        <f>MONTH(PV_DATA[[#This Row],[ETA for New Ark update]])</f>
        <v>5</v>
      </c>
      <c r="BD334" s="430">
        <f>IFERROR(_xlfn.ISOWEEKNUM(PV_DATA[[#This Row],[ETA for New Ark update]]),0)</f>
        <v>20</v>
      </c>
      <c r="BE334" s="431">
        <v>33</v>
      </c>
      <c r="BF334" s="431">
        <v>594</v>
      </c>
      <c r="BG334" s="431" t="str">
        <f>_xlfn.XLOOKUP(PV_DATA[[#This Row],[New Ark SKU]],Table9[New Ark SKU],Table9[Back Glass],,0)</f>
        <v>Redirection Film</v>
      </c>
      <c r="BH334" s="431" t="str">
        <f>_xlfn.XLOOKUP(PV_DATA[[#This Row],[PORT DESTINATION]],Table12[PORT DESTINATION],Table12[Cosco Line],,0)</f>
        <v>AEU</v>
      </c>
      <c r="BJ334" s="430"/>
    </row>
    <row r="335" spans="1:62" ht="10.5" hidden="1">
      <c r="A335" s="462" t="s">
        <v>1670</v>
      </c>
      <c r="B335" s="462" t="s">
        <v>111</v>
      </c>
      <c r="C335" s="462" t="str">
        <f>IFERROR(LEFT(PV_DATA[[#This Row],[TCL REFERENCE]],FIND(".",PV_DATA[[#This Row],[TCL REFERENCE]],1)-1),"Main Line")</f>
        <v>26Feb015</v>
      </c>
      <c r="D335" s="462" t="s">
        <v>63</v>
      </c>
      <c r="E335" s="462" t="s">
        <v>64</v>
      </c>
      <c r="F335" s="462" t="str" cm="1">
        <f t="array" ref="F33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35" s="462" t="s">
        <v>402</v>
      </c>
      <c r="H335" s="462" t="s">
        <v>67</v>
      </c>
      <c r="I335" s="439" t="s">
        <v>689</v>
      </c>
      <c r="J335" s="430" t="s">
        <v>101</v>
      </c>
      <c r="K335" s="430"/>
      <c r="L335" s="430"/>
      <c r="M335" s="430" t="s">
        <v>68</v>
      </c>
      <c r="N335" s="432">
        <v>46048</v>
      </c>
      <c r="O335" s="430" t="s">
        <v>132</v>
      </c>
      <c r="P335" s="430" t="s">
        <v>133</v>
      </c>
      <c r="Q335" s="430" t="s">
        <v>134</v>
      </c>
      <c r="R335" s="431" t="str">
        <f>_xlfn.XLOOKUP(PV_DATA[[#This Row],[New Ark SKU]],Table9[New Ark SKU],Table9[Connector],,0)</f>
        <v>EVO2A</v>
      </c>
      <c r="S335" s="442" t="str">
        <f>_xlfn.XLOOKUP(PV_DATA[[#This Row],[New Ark SKU]],Table9[New Ark SKU],Table9[Cable],,0)</f>
        <v>±1400mm</v>
      </c>
      <c r="T335" s="433">
        <v>720</v>
      </c>
      <c r="U335" s="1062">
        <v>2970</v>
      </c>
      <c r="V335" s="434">
        <f>PV_DATA[[#This Row],[QUANTITY]]*PV_DATA[[#This Row],[WATT]]/1000000</f>
        <v>2.1383999999999999</v>
      </c>
      <c r="W335" s="435">
        <f>PV_DATA[[#This Row],[QUANTITY]]/PV_DATA[[#This Row],[Qty/Pallet]]</f>
        <v>90</v>
      </c>
      <c r="X335" s="1015">
        <f>PV_DATA[[#This Row],[QUANTITY]]/PV_DATA[[#This Row],[Qty/CT]]</f>
        <v>5</v>
      </c>
      <c r="Y335" s="430" t="s">
        <v>75</v>
      </c>
      <c r="Z335" s="430" t="str">
        <f t="shared" si="2"/>
        <v>COMPLETED</v>
      </c>
      <c r="AA335" s="430"/>
      <c r="AB335" s="437">
        <v>46097</v>
      </c>
      <c r="AC335" s="438">
        <f>IF(PV_DATA[[#This Row],[Pick-Up Date]]&lt;&gt;"",_xlfn.ISOWEEKNUM(PV_DATA[[#This Row],[Pick-Up Date]]),"")</f>
        <v>12</v>
      </c>
      <c r="AD335" s="439" t="s">
        <v>1671</v>
      </c>
      <c r="AE335" s="430"/>
      <c r="AF335" s="430" t="s">
        <v>122</v>
      </c>
      <c r="AG335" s="430" t="s">
        <v>123</v>
      </c>
      <c r="AH335" s="430" t="s">
        <v>105</v>
      </c>
      <c r="AI335" s="437">
        <v>46100</v>
      </c>
      <c r="AJ335" s="437">
        <v>46101</v>
      </c>
      <c r="AK335" s="441">
        <v>46101</v>
      </c>
      <c r="AL335" s="437">
        <v>46140</v>
      </c>
      <c r="AM335" s="437">
        <v>46151</v>
      </c>
      <c r="AN335" s="437">
        <v>46151</v>
      </c>
      <c r="AO335" s="430" t="s">
        <v>402</v>
      </c>
      <c r="AP335" s="430" t="s">
        <v>1666</v>
      </c>
      <c r="AQ335" s="430" t="s">
        <v>161</v>
      </c>
      <c r="AR335" s="430" t="s">
        <v>1667</v>
      </c>
      <c r="AS335" s="430" t="s">
        <v>1668</v>
      </c>
      <c r="AT335" s="482" t="s">
        <v>1669</v>
      </c>
      <c r="AU33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335" s="437" cm="1">
        <f t="array" ref="AW33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46151</v>
      </c>
      <c r="AX33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35" s="437">
        <f>IF(ISERROR(PV_DATA[[#This Row],[New Ark PO status]]),"",_xlfn.XLOOKUP(PV_DATA[[#This Row],[SPTN-PVHK New Ark PO'#]],New_Ark_Data[Purchase order Number],New_Ark_Data[Estimated time of arrival],"",0))</f>
        <v>46154</v>
      </c>
      <c r="AZ33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35" s="437">
        <f>IFERROR(PV_DATA[[#This Row],[ODP ETA Port]]+PV_DATA[[#This Row],[Customs/Leg3 Assumption]],"n/a")</f>
        <v>46158</v>
      </c>
      <c r="BB335" s="433">
        <f>YEAR(PV_DATA[[#This Row],[ETA for New Ark update]])</f>
        <v>2026</v>
      </c>
      <c r="BC335" s="430">
        <f>MONTH(PV_DATA[[#This Row],[ETA for New Ark update]])</f>
        <v>5</v>
      </c>
      <c r="BD335" s="430">
        <f>IFERROR(_xlfn.ISOWEEKNUM(PV_DATA[[#This Row],[ETA for New Ark update]]),0)</f>
        <v>20</v>
      </c>
      <c r="BE335" s="431">
        <f>_xlfn.XLOOKUP(PV_DATA[[#This Row],[New Ark SKU]],Table9[New Ark SKU],Table9[Total PCS per Pallet],,0)</f>
        <v>33</v>
      </c>
      <c r="BF335" s="431">
        <f>_xlfn.XLOOKUP(PV_DATA[[#This Row],[New Ark SKU]],Table9[New Ark SKU],Table9[Total PCS per 40HQ Container],,0)</f>
        <v>594</v>
      </c>
      <c r="BG335" s="431" t="str">
        <f>_xlfn.XLOOKUP(PV_DATA[[#This Row],[New Ark SKU]],Table9[New Ark SKU],Table9[Back Glass],,0)</f>
        <v>White glazing</v>
      </c>
      <c r="BH335" s="431" t="str">
        <f>_xlfn.XLOOKUP(PV_DATA[[#This Row],[PORT DESTINATION]],Table12[PORT DESTINATION],Table12[Cosco Line],,0)</f>
        <v>AEU</v>
      </c>
      <c r="BJ335" s="430"/>
    </row>
    <row r="336" spans="1:62" ht="10.5" hidden="1">
      <c r="A336" s="462" t="s">
        <v>1672</v>
      </c>
      <c r="B336" s="462" t="s">
        <v>111</v>
      </c>
      <c r="C336" s="462" t="str">
        <f>IFERROR(LEFT(PV_DATA[[#This Row],[TCL REFERENCE]],FIND(".",PV_DATA[[#This Row],[TCL REFERENCE]],1)-1),"Main Line")</f>
        <v>26Feb008</v>
      </c>
      <c r="D336" s="462" t="s">
        <v>63</v>
      </c>
      <c r="E336" s="462" t="s">
        <v>64</v>
      </c>
      <c r="F336" s="462" t="str" cm="1">
        <f t="array" ref="F33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36" s="462" t="s">
        <v>402</v>
      </c>
      <c r="H336" s="462" t="s">
        <v>67</v>
      </c>
      <c r="I336" s="439" t="s">
        <v>689</v>
      </c>
      <c r="J336" s="430" t="s">
        <v>483</v>
      </c>
      <c r="K336" s="430"/>
      <c r="L336" s="430"/>
      <c r="M336" s="430" t="s">
        <v>68</v>
      </c>
      <c r="N336" s="432">
        <v>46083</v>
      </c>
      <c r="O336" s="430" t="s">
        <v>473</v>
      </c>
      <c r="P336" s="430" t="s">
        <v>474</v>
      </c>
      <c r="Q336" s="430" t="s">
        <v>1319</v>
      </c>
      <c r="R336" s="431" t="str">
        <f>_xlfn.XLOOKUP(PV_DATA[[#This Row],[New Ark SKU]],Table9[New Ark SKU],Table9[Connector],,0)</f>
        <v>EVO2A</v>
      </c>
      <c r="S336" s="442" t="str">
        <f>_xlfn.XLOOKUP(PV_DATA[[#This Row],[New Ark SKU]],Table9[New Ark SKU],Table9[Cable],,0)</f>
        <v>±1200mm</v>
      </c>
      <c r="T336" s="433">
        <v>460</v>
      </c>
      <c r="U336" s="1062">
        <f>864*7</f>
        <v>6048</v>
      </c>
      <c r="V336" s="434">
        <f>PV_DATA[[#This Row],[QUANTITY]]*PV_DATA[[#This Row],[WATT]]/1000000</f>
        <v>2.7820800000000001</v>
      </c>
      <c r="W336" s="435">
        <f>PV_DATA[[#This Row],[QUANTITY]]/PV_DATA[[#This Row],[Qty/Pallet]]</f>
        <v>168</v>
      </c>
      <c r="X336" s="1015">
        <f>PV_DATA[[#This Row],[QUANTITY]]/PV_DATA[[#This Row],[Qty/CT]]</f>
        <v>7</v>
      </c>
      <c r="Y336" s="430" t="s">
        <v>75</v>
      </c>
      <c r="Z336" s="430" t="str">
        <f t="shared" si="2"/>
        <v>COMPLETED</v>
      </c>
      <c r="AA336" s="430" t="s">
        <v>1548</v>
      </c>
      <c r="AB336" s="437">
        <v>46097</v>
      </c>
      <c r="AC336" s="438">
        <f>IF(PV_DATA[[#This Row],[Pick-Up Date]]&lt;&gt;"",_xlfn.ISOWEEKNUM(PV_DATA[[#This Row],[Pick-Up Date]]),"")</f>
        <v>12</v>
      </c>
      <c r="AD336" s="439" t="s">
        <v>1673</v>
      </c>
      <c r="AE336" s="430"/>
      <c r="AF336" s="430" t="s">
        <v>122</v>
      </c>
      <c r="AG336" s="430" t="s">
        <v>123</v>
      </c>
      <c r="AH336" s="430" t="s">
        <v>105</v>
      </c>
      <c r="AI336" s="437">
        <v>46100</v>
      </c>
      <c r="AJ336" s="437">
        <v>46101</v>
      </c>
      <c r="AK336" s="441">
        <v>46101</v>
      </c>
      <c r="AL336" s="437">
        <v>46147</v>
      </c>
      <c r="AM336" s="437">
        <v>46151</v>
      </c>
      <c r="AN336" s="437">
        <v>46152</v>
      </c>
      <c r="AO336" s="430" t="s">
        <v>402</v>
      </c>
      <c r="AP336" s="430" t="s">
        <v>1674</v>
      </c>
      <c r="AQ336" s="430" t="s">
        <v>161</v>
      </c>
      <c r="AR336" s="430" t="s">
        <v>1675</v>
      </c>
      <c r="AS336" s="430" t="s">
        <v>1676</v>
      </c>
      <c r="AT336" s="482" t="s">
        <v>1677</v>
      </c>
      <c r="AU33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</v>
      </c>
      <c r="AW336" s="437" cm="1">
        <f t="array" ref="AW33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46152</v>
      </c>
      <c r="AX33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36" s="437">
        <f>IF(ISERROR(PV_DATA[[#This Row],[New Ark PO status]]),"",_xlfn.XLOOKUP(PV_DATA[[#This Row],[SPTN-PVHK New Ark PO'#]],New_Ark_Data[Purchase order Number],New_Ark_Data[Estimated time of arrival],"",0))</f>
        <v>46154</v>
      </c>
      <c r="AZ33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36" s="437">
        <f>IFERROR(PV_DATA[[#This Row],[ODP ETA Port]]+PV_DATA[[#This Row],[Customs/Leg3 Assumption]],"n/a")</f>
        <v>46159</v>
      </c>
      <c r="BB336" s="433">
        <f>YEAR(PV_DATA[[#This Row],[ETA for New Ark update]])</f>
        <v>2026</v>
      </c>
      <c r="BC336" s="430">
        <f>MONTH(PV_DATA[[#This Row],[ETA for New Ark update]])</f>
        <v>5</v>
      </c>
      <c r="BD336" s="430">
        <f>IFERROR(_xlfn.ISOWEEKNUM(PV_DATA[[#This Row],[ETA for New Ark update]]),0)</f>
        <v>20</v>
      </c>
      <c r="BE336" s="431">
        <f>_xlfn.XLOOKUP(PV_DATA[[#This Row],[New Ark SKU]],Table9[New Ark SKU],Table9[Total PCS per Pallet],,0)</f>
        <v>36</v>
      </c>
      <c r="BF336" s="431">
        <f>_xlfn.XLOOKUP(PV_DATA[[#This Row],[New Ark SKU]],Table9[New Ark SKU],Table9[Total PCS per 40HQ Container],,0)</f>
        <v>864</v>
      </c>
      <c r="BG336" s="431" t="str">
        <f>_xlfn.XLOOKUP(PV_DATA[[#This Row],[New Ark SKU]],Table9[New Ark SKU],Table9[Back Glass],,0)</f>
        <v>Black glazing</v>
      </c>
      <c r="BH336" s="431" t="str">
        <f>_xlfn.XLOOKUP(PV_DATA[[#This Row],[PORT DESTINATION]],Table12[PORT DESTINATION],Table12[Cosco Line],,0)</f>
        <v>AEU</v>
      </c>
      <c r="BJ336" s="430"/>
    </row>
    <row r="337" spans="1:62" ht="10.5" hidden="1">
      <c r="A337" s="462" t="s">
        <v>1678</v>
      </c>
      <c r="B337" s="462" t="s">
        <v>111</v>
      </c>
      <c r="C337" s="462" t="str">
        <f>IFERROR(LEFT(PV_DATA[[#This Row],[TCL REFERENCE]],FIND(".",PV_DATA[[#This Row],[TCL REFERENCE]],1)-1),"Main Line")</f>
        <v>26Feb033</v>
      </c>
      <c r="D337" s="462" t="s">
        <v>63</v>
      </c>
      <c r="E337" s="462" t="s">
        <v>64</v>
      </c>
      <c r="F337" s="462" t="str" cm="1">
        <f t="array" ref="F33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37" s="462" t="s">
        <v>402</v>
      </c>
      <c r="H337" s="462" t="s">
        <v>67</v>
      </c>
      <c r="I337" s="439" t="s">
        <v>689</v>
      </c>
      <c r="J337" s="430" t="s">
        <v>1680</v>
      </c>
      <c r="K337" s="430"/>
      <c r="L337" s="430"/>
      <c r="M337" s="430" t="s">
        <v>68</v>
      </c>
      <c r="N337" s="432">
        <v>46093</v>
      </c>
      <c r="O337" s="430" t="s">
        <v>70</v>
      </c>
      <c r="P337" s="430" t="s">
        <v>1681</v>
      </c>
      <c r="Q337" s="430" t="s">
        <v>1682</v>
      </c>
      <c r="R337" s="431" t="str">
        <f>_xlfn.XLOOKUP(PV_DATA[[#This Row],[New Ark SKU]],Table9[New Ark SKU],Table9[Connector],,0)</f>
        <v>EVO2A</v>
      </c>
      <c r="S337" s="442" t="str">
        <f>_xlfn.XLOOKUP(PV_DATA[[#This Row],[New Ark SKU]],Table9[New Ark SKU],Table9[Cable],,0)</f>
        <v>±1400mm</v>
      </c>
      <c r="T337" s="433">
        <v>730</v>
      </c>
      <c r="U337" s="1062">
        <f>594*3</f>
        <v>1782</v>
      </c>
      <c r="V337" s="434">
        <f>PV_DATA[[#This Row],[QUANTITY]]*PV_DATA[[#This Row],[WATT]]/1000000</f>
        <v>1.3008599999999999</v>
      </c>
      <c r="W337" s="435">
        <f>PV_DATA[[#This Row],[QUANTITY]]/PV_DATA[[#This Row],[Qty/Pallet]]</f>
        <v>54</v>
      </c>
      <c r="X337" s="1015">
        <f>PV_DATA[[#This Row],[QUANTITY]]/PV_DATA[[#This Row],[Qty/CT]]</f>
        <v>3</v>
      </c>
      <c r="Y337" s="430" t="s">
        <v>75</v>
      </c>
      <c r="Z337" s="430" t="str">
        <f t="shared" si="2"/>
        <v>COMPLETED</v>
      </c>
      <c r="AA337" s="430"/>
      <c r="AB337" s="437">
        <v>46096</v>
      </c>
      <c r="AC337" s="438">
        <f>IF(PV_DATA[[#This Row],[Pick-Up Date]]&lt;&gt;"",_xlfn.ISOWEEKNUM(PV_DATA[[#This Row],[Pick-Up Date]]),"")</f>
        <v>11</v>
      </c>
      <c r="AD337" s="439" t="s">
        <v>1683</v>
      </c>
      <c r="AE337" s="430"/>
      <c r="AF337" s="430" t="s">
        <v>122</v>
      </c>
      <c r="AG337" s="430" t="s">
        <v>123</v>
      </c>
      <c r="AH337" s="430" t="s">
        <v>105</v>
      </c>
      <c r="AI337" s="437">
        <v>46103</v>
      </c>
      <c r="AJ337" s="437">
        <v>46104</v>
      </c>
      <c r="AK337" s="441">
        <v>46104</v>
      </c>
      <c r="AL337" s="437">
        <v>46140</v>
      </c>
      <c r="AM337" s="437">
        <v>46151</v>
      </c>
      <c r="AN337" s="437">
        <v>46148</v>
      </c>
      <c r="AO337" s="430" t="s">
        <v>402</v>
      </c>
      <c r="AP337" s="430" t="s">
        <v>1684</v>
      </c>
      <c r="AQ337" s="430" t="s">
        <v>161</v>
      </c>
      <c r="AR337" s="430" t="s">
        <v>1685</v>
      </c>
      <c r="AS337" s="430" t="s">
        <v>1686</v>
      </c>
      <c r="AT337" s="482" t="s">
        <v>1687</v>
      </c>
      <c r="AU33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W337" s="437" cm="1">
        <f t="array" ref="AW33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33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37" s="437">
        <f>IF(ISERROR(PV_DATA[[#This Row],[New Ark PO status]]),"",_xlfn.XLOOKUP(PV_DATA[[#This Row],[SPTN-PVHK New Ark PO'#]],New_Ark_Data[Purchase order Number],New_Ark_Data[Estimated time of arrival],"",0))</f>
        <v>46156</v>
      </c>
      <c r="AZ337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37" s="437">
        <f>IFERROR(PV_DATA[[#This Row],[ODP ETA Port]]+PV_DATA[[#This Row],[Customs/Leg3 Assumption]],"n/a")</f>
        <v>46155</v>
      </c>
      <c r="BB337" s="433">
        <f>YEAR(PV_DATA[[#This Row],[ETA for New Ark update]])</f>
        <v>2026</v>
      </c>
      <c r="BC337" s="430">
        <f>MONTH(PV_DATA[[#This Row],[ETA for New Ark update]])</f>
        <v>5</v>
      </c>
      <c r="BD337" s="430">
        <f>IFERROR(_xlfn.ISOWEEKNUM(PV_DATA[[#This Row],[ETA for New Ark update]]),0)</f>
        <v>20</v>
      </c>
      <c r="BE337" s="431">
        <f>_xlfn.XLOOKUP(PV_DATA[[#This Row],[New Ark SKU]],Table9[New Ark SKU],Table9[Total PCS per Pallet],,0)</f>
        <v>33</v>
      </c>
      <c r="BF337" s="431">
        <f>_xlfn.XLOOKUP(PV_DATA[[#This Row],[New Ark SKU]],Table9[New Ark SKU],Table9[Total PCS per 40HQ Container],,0)</f>
        <v>594</v>
      </c>
      <c r="BG337" s="431" t="str">
        <f>_xlfn.XLOOKUP(PV_DATA[[#This Row],[New Ark SKU]],Table9[New Ark SKU],Table9[Back Glass],,0)</f>
        <v>Transparent</v>
      </c>
      <c r="BH337" s="431" t="str">
        <f>_xlfn.XLOOKUP(PV_DATA[[#This Row],[PORT DESTINATION]],Table12[PORT DESTINATION],Table12[Cosco Line],,0)</f>
        <v>AEU</v>
      </c>
      <c r="BJ337" s="430"/>
    </row>
    <row r="338" spans="1:62" ht="10.5" hidden="1">
      <c r="A338" s="462" t="s">
        <v>1688</v>
      </c>
      <c r="B338" s="462" t="s">
        <v>111</v>
      </c>
      <c r="C338" s="462" t="str">
        <f>IFERROR(LEFT(PV_DATA[[#This Row],[TCL REFERENCE]],FIND(".",PV_DATA[[#This Row],[TCL REFERENCE]],1)-1),"Main Line")</f>
        <v>26Feb025</v>
      </c>
      <c r="D338" s="462" t="s">
        <v>63</v>
      </c>
      <c r="E338" s="462" t="s">
        <v>64</v>
      </c>
      <c r="F338" s="462" t="str" cm="1">
        <f t="array" ref="F33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38" s="462" t="s">
        <v>402</v>
      </c>
      <c r="H338" s="462" t="s">
        <v>67</v>
      </c>
      <c r="I338" s="439" t="s">
        <v>689</v>
      </c>
      <c r="J338" s="430" t="s">
        <v>101</v>
      </c>
      <c r="K338" s="430"/>
      <c r="L338" s="430"/>
      <c r="M338" s="430" t="s">
        <v>68</v>
      </c>
      <c r="N338" s="432">
        <v>46097</v>
      </c>
      <c r="O338" s="430" t="s">
        <v>70</v>
      </c>
      <c r="P338" s="430" t="s">
        <v>1461</v>
      </c>
      <c r="Q338" s="430" t="s">
        <v>103</v>
      </c>
      <c r="R338" s="431" t="str">
        <f>_xlfn.XLOOKUP(PV_DATA[[#This Row],[New Ark SKU]],Table9[New Ark SKU],Table9[Connector],,0)</f>
        <v>EVO2A</v>
      </c>
      <c r="S338" s="442" t="str">
        <f>_xlfn.XLOOKUP(PV_DATA[[#This Row],[New Ark SKU]],Table9[New Ark SKU],Table9[Cable],,0)</f>
        <v>±1400mm</v>
      </c>
      <c r="T338" s="433">
        <v>620</v>
      </c>
      <c r="U338" s="1062">
        <f>720*3</f>
        <v>2160</v>
      </c>
      <c r="V338" s="434">
        <f>PV_DATA[[#This Row],[QUANTITY]]*PV_DATA[[#This Row],[WATT]]/1000000</f>
        <v>1.3391999999999999</v>
      </c>
      <c r="W338" s="435">
        <f>PV_DATA[[#This Row],[QUANTITY]]/PV_DATA[[#This Row],[Qty/Pallet]]</f>
        <v>60</v>
      </c>
      <c r="X338" s="1015">
        <f>PV_DATA[[#This Row],[QUANTITY]]/PV_DATA[[#This Row],[Qty/CT]]</f>
        <v>3</v>
      </c>
      <c r="Y338" s="430" t="s">
        <v>75</v>
      </c>
      <c r="Z338" s="430" t="str">
        <f t="shared" si="2"/>
        <v>COMPLETED</v>
      </c>
      <c r="AA338" s="430"/>
      <c r="AB338" s="437">
        <v>46096</v>
      </c>
      <c r="AC338" s="438">
        <f>IF(PV_DATA[[#This Row],[Pick-Up Date]]&lt;&gt;"",_xlfn.ISOWEEKNUM(PV_DATA[[#This Row],[Pick-Up Date]]),"")</f>
        <v>11</v>
      </c>
      <c r="AD338" s="439" t="s">
        <v>1689</v>
      </c>
      <c r="AE338" s="430"/>
      <c r="AF338" s="430" t="s">
        <v>122</v>
      </c>
      <c r="AG338" s="430" t="s">
        <v>123</v>
      </c>
      <c r="AH338" s="430" t="s">
        <v>105</v>
      </c>
      <c r="AI338" s="437">
        <v>46103</v>
      </c>
      <c r="AJ338" s="437">
        <v>46104</v>
      </c>
      <c r="AK338" s="441">
        <v>46104</v>
      </c>
      <c r="AL338" s="437">
        <v>46140</v>
      </c>
      <c r="AM338" s="437">
        <v>46151</v>
      </c>
      <c r="AN338" s="437">
        <v>46148</v>
      </c>
      <c r="AO338" s="430" t="s">
        <v>402</v>
      </c>
      <c r="AP338" s="430" t="s">
        <v>1684</v>
      </c>
      <c r="AQ338" s="430" t="s">
        <v>161</v>
      </c>
      <c r="AR338" s="430" t="s">
        <v>1685</v>
      </c>
      <c r="AS338" s="430" t="s">
        <v>1686</v>
      </c>
      <c r="AT338" s="482" t="s">
        <v>1687</v>
      </c>
      <c r="AU33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W338" s="437" cm="1">
        <f t="array" ref="AW33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33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38" s="437">
        <f>IF(ISERROR(PV_DATA[[#This Row],[New Ark PO status]]),"",_xlfn.XLOOKUP(PV_DATA[[#This Row],[SPTN-PVHK New Ark PO'#]],New_Ark_Data[Purchase order Number],New_Ark_Data[Estimated time of arrival],"",0))</f>
        <v>46156</v>
      </c>
      <c r="AZ338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38" s="437">
        <f>IFERROR(PV_DATA[[#This Row],[ODP ETA Port]]+PV_DATA[[#This Row],[Customs/Leg3 Assumption]],"n/a")</f>
        <v>46155</v>
      </c>
      <c r="BB338" s="433">
        <f>YEAR(PV_DATA[[#This Row],[ETA for New Ark update]])</f>
        <v>2026</v>
      </c>
      <c r="BC338" s="430">
        <f>MONTH(PV_DATA[[#This Row],[ETA for New Ark update]])</f>
        <v>5</v>
      </c>
      <c r="BD338" s="430">
        <f>IFERROR(_xlfn.ISOWEEKNUM(PV_DATA[[#This Row],[ETA for New Ark update]]),0)</f>
        <v>20</v>
      </c>
      <c r="BE338" s="431">
        <f>_xlfn.XLOOKUP(PV_DATA[[#This Row],[New Ark SKU]],Table9[New Ark SKU],Table9[Total PCS per Pallet],,0)</f>
        <v>36</v>
      </c>
      <c r="BF338" s="431">
        <f>_xlfn.XLOOKUP(PV_DATA[[#This Row],[New Ark SKU]],Table9[New Ark SKU],Table9[Total PCS per 40HQ Container],,0)</f>
        <v>720</v>
      </c>
      <c r="BG338" s="431" t="str">
        <f>_xlfn.XLOOKUP(PV_DATA[[#This Row],[New Ark SKU]],Table9[New Ark SKU],Table9[Back Glass],,0)</f>
        <v>Redirection Film</v>
      </c>
      <c r="BH338" s="431" t="str">
        <f>_xlfn.XLOOKUP(PV_DATA[[#This Row],[PORT DESTINATION]],Table12[PORT DESTINATION],Table12[Cosco Line],,0)</f>
        <v>AEU</v>
      </c>
      <c r="BJ338" s="430"/>
    </row>
    <row r="339" spans="1:62" hidden="1">
      <c r="A339" s="462" t="s">
        <v>1690</v>
      </c>
      <c r="B339" s="462" t="s">
        <v>111</v>
      </c>
      <c r="C339" s="462" t="str">
        <f>IFERROR(LEFT(PV_DATA[[#This Row],[TCL REFERENCE]],FIND(".",PV_DATA[[#This Row],[TCL REFERENCE]],1)-1),"Main Line")</f>
        <v>26Feb025</v>
      </c>
      <c r="D339" s="462" t="s">
        <v>63</v>
      </c>
      <c r="E339" s="462" t="s">
        <v>64</v>
      </c>
      <c r="F339" s="462" t="str" cm="1">
        <f t="array" ref="F33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39" s="462" t="s">
        <v>402</v>
      </c>
      <c r="H339" s="462" t="s">
        <v>67</v>
      </c>
      <c r="I339" s="439" t="s">
        <v>689</v>
      </c>
      <c r="J339" s="430" t="s">
        <v>101</v>
      </c>
      <c r="K339" s="430"/>
      <c r="L339" s="430"/>
      <c r="M339" s="430" t="s">
        <v>68</v>
      </c>
      <c r="N339" s="432">
        <v>46097</v>
      </c>
      <c r="O339" s="430" t="s">
        <v>70</v>
      </c>
      <c r="P339" s="430" t="s">
        <v>1461</v>
      </c>
      <c r="Q339" s="430" t="s">
        <v>103</v>
      </c>
      <c r="R339" s="431" t="str">
        <f>_xlfn.XLOOKUP(PV_DATA[[#This Row],[New Ark SKU]],Table9[New Ark SKU],Table9[Connector],,0)</f>
        <v>EVO2A</v>
      </c>
      <c r="S339" s="442" t="str">
        <f>_xlfn.XLOOKUP(PV_DATA[[#This Row],[New Ark SKU]],Table9[New Ark SKU],Table9[Cable],,0)</f>
        <v>±1400mm</v>
      </c>
      <c r="T339" s="433">
        <v>620</v>
      </c>
      <c r="U339" s="1062">
        <f>720*15</f>
        <v>10800</v>
      </c>
      <c r="V339" s="434">
        <f>PV_DATA[[#This Row],[QUANTITY]]*PV_DATA[[#This Row],[WATT]]/1000000</f>
        <v>6.6959999999999997</v>
      </c>
      <c r="W339" s="435">
        <f>PV_DATA[[#This Row],[QUANTITY]]/PV_DATA[[#This Row],[Qty/Pallet]]</f>
        <v>300</v>
      </c>
      <c r="X339" s="1020">
        <f>PV_DATA[[#This Row],[QUANTITY]]/PV_DATA[[#This Row],[Qty/CT]]</f>
        <v>15</v>
      </c>
      <c r="Y339" s="430" t="s">
        <v>75</v>
      </c>
      <c r="Z339" s="430" t="str">
        <f t="shared" si="2"/>
        <v>COMPLETED</v>
      </c>
      <c r="AA339" s="430"/>
      <c r="AB339" s="437">
        <v>46097</v>
      </c>
      <c r="AC339" s="438">
        <f>IF(PV_DATA[[#This Row],[Pick-Up Date]]&lt;&gt;"",_xlfn.ISOWEEKNUM(PV_DATA[[#This Row],[Pick-Up Date]]),"")</f>
        <v>12</v>
      </c>
      <c r="AD339" s="439" t="s">
        <v>1691</v>
      </c>
      <c r="AE339" s="430"/>
      <c r="AF339" s="430" t="s">
        <v>4421</v>
      </c>
      <c r="AG339" s="430" t="s">
        <v>123</v>
      </c>
      <c r="AH339" s="430" t="s">
        <v>105</v>
      </c>
      <c r="AI339" s="437">
        <v>46102</v>
      </c>
      <c r="AJ339" s="437">
        <v>46112</v>
      </c>
      <c r="AK339" s="441">
        <v>46112</v>
      </c>
      <c r="AL339" s="437">
        <v>46140</v>
      </c>
      <c r="AM339" s="437">
        <v>46154</v>
      </c>
      <c r="AN339" s="437">
        <v>46157</v>
      </c>
      <c r="AO339" s="430" t="s">
        <v>402</v>
      </c>
      <c r="AP339" s="430" t="s">
        <v>1644</v>
      </c>
      <c r="AQ339" s="430" t="s">
        <v>80</v>
      </c>
      <c r="AR339" s="430" t="s">
        <v>1692</v>
      </c>
      <c r="AS339" s="430" t="s">
        <v>1693</v>
      </c>
      <c r="AT339" s="482" t="s">
        <v>1693</v>
      </c>
      <c r="AU33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339" s="437" cm="1">
        <f t="array" ref="AW33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46157</v>
      </c>
      <c r="AX33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39" s="437">
        <f>IF(ISERROR(PV_DATA[[#This Row],[New Ark PO status]]),"",_xlfn.XLOOKUP(PV_DATA[[#This Row],[SPTN-PVHK New Ark PO'#]],New_Ark_Data[Purchase order Number],New_Ark_Data[Estimated time of arrival],"",0))</f>
        <v>46171</v>
      </c>
      <c r="AZ339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39" s="437">
        <f>IFERROR(PV_DATA[[#This Row],[ODP ETA Port]]+PV_DATA[[#This Row],[Customs/Leg3 Assumption]],"n/a")</f>
        <v>46164</v>
      </c>
      <c r="BB339" s="433">
        <f>YEAR(PV_DATA[[#This Row],[ETA for New Ark update]])</f>
        <v>2026</v>
      </c>
      <c r="BC339" s="430">
        <f>MONTH(PV_DATA[[#This Row],[ETA for New Ark update]])</f>
        <v>5</v>
      </c>
      <c r="BD339" s="430">
        <f>IFERROR(_xlfn.ISOWEEKNUM(PV_DATA[[#This Row],[ETA for New Ark update]]),0)</f>
        <v>21</v>
      </c>
      <c r="BE339" s="431">
        <f>_xlfn.XLOOKUP(PV_DATA[[#This Row],[New Ark SKU]],Table9[New Ark SKU],Table9[Total PCS per Pallet],,0)</f>
        <v>36</v>
      </c>
      <c r="BF339" s="431">
        <f>_xlfn.XLOOKUP(PV_DATA[[#This Row],[New Ark SKU]],Table9[New Ark SKU],Table9[Total PCS per 40HQ Container],,0)</f>
        <v>720</v>
      </c>
      <c r="BG339" s="431" t="str">
        <f>_xlfn.XLOOKUP(PV_DATA[[#This Row],[New Ark SKU]],Table9[New Ark SKU],Table9[Back Glass],,0)</f>
        <v>Redirection Film</v>
      </c>
      <c r="BH339" s="431" t="str">
        <f>_xlfn.XLOOKUP(PV_DATA[[#This Row],[PORT DESTINATION]],Table12[PORT DESTINATION],Table12[Cosco Line],,0)</f>
        <v>AEU</v>
      </c>
      <c r="BJ339" s="430"/>
    </row>
    <row r="340" spans="1:62" hidden="1">
      <c r="A340" s="462" t="s">
        <v>1679</v>
      </c>
      <c r="B340" s="462" t="s">
        <v>111</v>
      </c>
      <c r="C340" s="462" t="str">
        <f>IFERROR(LEFT(PV_DATA[[#This Row],[TCL REFERENCE]],FIND(".",PV_DATA[[#This Row],[TCL REFERENCE]],1)-1),"Main Line")</f>
        <v>Main Line</v>
      </c>
      <c r="D340" s="462" t="s">
        <v>63</v>
      </c>
      <c r="E340" s="462" t="s">
        <v>64</v>
      </c>
      <c r="F340" s="462" t="str" cm="1">
        <f t="array" ref="F34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40" s="462" t="s">
        <v>402</v>
      </c>
      <c r="H340" s="462" t="s">
        <v>67</v>
      </c>
      <c r="I340" s="439" t="s">
        <v>689</v>
      </c>
      <c r="J340" s="430" t="s">
        <v>1680</v>
      </c>
      <c r="K340" s="430"/>
      <c r="L340" s="430"/>
      <c r="M340" s="430" t="s">
        <v>68</v>
      </c>
      <c r="N340" s="432">
        <v>46093</v>
      </c>
      <c r="O340" s="430" t="s">
        <v>70</v>
      </c>
      <c r="P340" s="430" t="s">
        <v>1681</v>
      </c>
      <c r="Q340" s="430" t="s">
        <v>1682</v>
      </c>
      <c r="R340" s="431" t="str">
        <f>_xlfn.XLOOKUP(PV_DATA[[#This Row],[New Ark SKU]],Table9[New Ark SKU],Table9[Connector],,0)</f>
        <v>EVO2A</v>
      </c>
      <c r="S340" s="442" t="str">
        <f>_xlfn.XLOOKUP(PV_DATA[[#This Row],[New Ark SKU]],Table9[New Ark SKU],Table9[Cable],,0)</f>
        <v>±1400mm</v>
      </c>
      <c r="T340" s="433">
        <v>730</v>
      </c>
      <c r="U340" s="1062">
        <f>594*11</f>
        <v>6534</v>
      </c>
      <c r="V340" s="434">
        <f>PV_DATA[[#This Row],[QUANTITY]]*PV_DATA[[#This Row],[WATT]]/1000000</f>
        <v>4.7698200000000002</v>
      </c>
      <c r="W340" s="435">
        <f>PV_DATA[[#This Row],[QUANTITY]]/PV_DATA[[#This Row],[Qty/Pallet]]</f>
        <v>198</v>
      </c>
      <c r="X340" s="1020">
        <f>PV_DATA[[#This Row],[QUANTITY]]/PV_DATA[[#This Row],[Qty/CT]]</f>
        <v>11</v>
      </c>
      <c r="Y340" s="430" t="s">
        <v>75</v>
      </c>
      <c r="Z340" s="430" t="str">
        <f t="shared" si="2"/>
        <v>COMPLETED</v>
      </c>
      <c r="AA340" s="430"/>
      <c r="AB340" s="437">
        <v>46097</v>
      </c>
      <c r="AC340" s="438">
        <f>IF(PV_DATA[[#This Row],[Pick-Up Date]]&lt;&gt;"",_xlfn.ISOWEEKNUM(PV_DATA[[#This Row],[Pick-Up Date]]),"")</f>
        <v>12</v>
      </c>
      <c r="AD340" s="439" t="s">
        <v>1694</v>
      </c>
      <c r="AE340" s="430"/>
      <c r="AF340" s="430" t="s">
        <v>4423</v>
      </c>
      <c r="AG340" s="430" t="s">
        <v>123</v>
      </c>
      <c r="AH340" s="430" t="s">
        <v>105</v>
      </c>
      <c r="AI340" s="437">
        <v>46102</v>
      </c>
      <c r="AJ340" s="437">
        <v>46112</v>
      </c>
      <c r="AK340" s="441">
        <v>46112</v>
      </c>
      <c r="AL340" s="437">
        <v>46140</v>
      </c>
      <c r="AM340" s="437">
        <v>46154</v>
      </c>
      <c r="AN340" s="437">
        <v>46157</v>
      </c>
      <c r="AO340" s="430" t="s">
        <v>402</v>
      </c>
      <c r="AP340" s="430" t="s">
        <v>1644</v>
      </c>
      <c r="AQ340" s="430" t="s">
        <v>80</v>
      </c>
      <c r="AR340" s="430" t="s">
        <v>1695</v>
      </c>
      <c r="AS340" s="430" t="s">
        <v>1696</v>
      </c>
      <c r="AT340" s="482" t="s">
        <v>1696</v>
      </c>
      <c r="AU34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340" s="437" cm="1">
        <f t="array" ref="AW34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46157</v>
      </c>
      <c r="AX34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40" s="437">
        <f>IF(ISERROR(PV_DATA[[#This Row],[New Ark PO status]]),"",_xlfn.XLOOKUP(PV_DATA[[#This Row],[SPTN-PVHK New Ark PO'#]],New_Ark_Data[Purchase order Number],New_Ark_Data[Estimated time of arrival],"",0))</f>
        <v>46171</v>
      </c>
      <c r="AZ340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40" s="437">
        <f>IFERROR(PV_DATA[[#This Row],[ODP ETA Port]]+PV_DATA[[#This Row],[Customs/Leg3 Assumption]],"n/a")</f>
        <v>46164</v>
      </c>
      <c r="BB340" s="433">
        <f>YEAR(PV_DATA[[#This Row],[ETA for New Ark update]])</f>
        <v>2026</v>
      </c>
      <c r="BC340" s="430">
        <f>MONTH(PV_DATA[[#This Row],[ETA for New Ark update]])</f>
        <v>5</v>
      </c>
      <c r="BD340" s="430">
        <f>IFERROR(_xlfn.ISOWEEKNUM(PV_DATA[[#This Row],[ETA for New Ark update]]),0)</f>
        <v>21</v>
      </c>
      <c r="BE340" s="431">
        <f>_xlfn.XLOOKUP(PV_DATA[[#This Row],[New Ark SKU]],Table9[New Ark SKU],Table9[Total PCS per Pallet],,0)</f>
        <v>33</v>
      </c>
      <c r="BF340" s="431">
        <f>_xlfn.XLOOKUP(PV_DATA[[#This Row],[New Ark SKU]],Table9[New Ark SKU],Table9[Total PCS per 40HQ Container],,0)</f>
        <v>594</v>
      </c>
      <c r="BG340" s="431" t="str">
        <f>_xlfn.XLOOKUP(PV_DATA[[#This Row],[New Ark SKU]],Table9[New Ark SKU],Table9[Back Glass],,0)</f>
        <v>Transparent</v>
      </c>
      <c r="BH340" s="431" t="str">
        <f>_xlfn.XLOOKUP(PV_DATA[[#This Row],[PORT DESTINATION]],Table12[PORT DESTINATION],Table12[Cosco Line],,0)</f>
        <v>AEU</v>
      </c>
      <c r="BJ340" s="430"/>
    </row>
    <row r="341" spans="1:62" hidden="1">
      <c r="A341" s="462" t="s">
        <v>1697</v>
      </c>
      <c r="B341" s="462" t="s">
        <v>111</v>
      </c>
      <c r="C341" s="462" t="str">
        <f>IFERROR(LEFT(PV_DATA[[#This Row],[TCL REFERENCE]],FIND(".",PV_DATA[[#This Row],[TCL REFERENCE]],1)-1),"Main Line")</f>
        <v>26Feb025</v>
      </c>
      <c r="D341" s="462" t="s">
        <v>63</v>
      </c>
      <c r="E341" s="462" t="s">
        <v>64</v>
      </c>
      <c r="F341" s="462" t="str" cm="1">
        <f t="array" ref="F34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41" s="462" t="s">
        <v>402</v>
      </c>
      <c r="H341" s="462" t="s">
        <v>67</v>
      </c>
      <c r="I341" s="439" t="s">
        <v>689</v>
      </c>
      <c r="J341" s="430" t="s">
        <v>917</v>
      </c>
      <c r="K341" s="430"/>
      <c r="L341" s="430"/>
      <c r="M341" s="430" t="s">
        <v>68</v>
      </c>
      <c r="N341" s="432">
        <v>46097</v>
      </c>
      <c r="O341" s="430" t="s">
        <v>70</v>
      </c>
      <c r="P341" s="430" t="s">
        <v>1461</v>
      </c>
      <c r="Q341" s="430" t="s">
        <v>103</v>
      </c>
      <c r="R341" s="431" t="str">
        <f>_xlfn.XLOOKUP(PV_DATA[[#This Row],[New Ark SKU]],Table9[New Ark SKU],Table9[Connector],,0)</f>
        <v>EVO2A</v>
      </c>
      <c r="S341" s="442" t="str">
        <f>_xlfn.XLOOKUP(PV_DATA[[#This Row],[New Ark SKU]],Table9[New Ark SKU],Table9[Cable],,0)</f>
        <v>±1400mm</v>
      </c>
      <c r="T341" s="433">
        <v>620</v>
      </c>
      <c r="U341" s="1062">
        <f>720*2</f>
        <v>1440</v>
      </c>
      <c r="V341" s="434">
        <f>PV_DATA[[#This Row],[QUANTITY]]*PV_DATA[[#This Row],[WATT]]/1000000</f>
        <v>0.89280000000000004</v>
      </c>
      <c r="W341" s="435">
        <f>PV_DATA[[#This Row],[QUANTITY]]/PV_DATA[[#This Row],[Qty/Pallet]]</f>
        <v>40</v>
      </c>
      <c r="X341" s="1020">
        <f>PV_DATA[[#This Row],[QUANTITY]]/PV_DATA[[#This Row],[Qty/CT]]</f>
        <v>2</v>
      </c>
      <c r="Y341" s="430" t="s">
        <v>75</v>
      </c>
      <c r="Z341" s="430" t="str">
        <f t="shared" si="2"/>
        <v>COMPLETED</v>
      </c>
      <c r="AA341" s="430"/>
      <c r="AB341" s="437">
        <v>46098</v>
      </c>
      <c r="AC341" s="438">
        <f>IF(PV_DATA[[#This Row],[Pick-Up Date]]&lt;&gt;"",_xlfn.ISOWEEKNUM(PV_DATA[[#This Row],[Pick-Up Date]]),"")</f>
        <v>12</v>
      </c>
      <c r="AD341" s="439" t="s">
        <v>1698</v>
      </c>
      <c r="AE341" s="430"/>
      <c r="AF341" s="430" t="s">
        <v>4423</v>
      </c>
      <c r="AG341" s="430" t="s">
        <v>123</v>
      </c>
      <c r="AH341" s="430" t="s">
        <v>105</v>
      </c>
      <c r="AI341" s="437">
        <v>46103</v>
      </c>
      <c r="AJ341" s="437">
        <v>46112</v>
      </c>
      <c r="AK341" s="441">
        <v>46112</v>
      </c>
      <c r="AL341" s="437">
        <v>46140</v>
      </c>
      <c r="AM341" s="437">
        <v>46154</v>
      </c>
      <c r="AN341" s="437">
        <v>46157</v>
      </c>
      <c r="AO341" s="430" t="s">
        <v>402</v>
      </c>
      <c r="AP341" s="430" t="s">
        <v>925</v>
      </c>
      <c r="AQ341" s="430" t="s">
        <v>80</v>
      </c>
      <c r="AR341" s="430" t="s">
        <v>1699</v>
      </c>
      <c r="AS341" s="430" t="s">
        <v>1700</v>
      </c>
      <c r="AT341" s="482" t="s">
        <v>1700</v>
      </c>
      <c r="AU34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341" s="437" cm="1">
        <f t="array" ref="AW34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46157</v>
      </c>
      <c r="AX34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41" s="437">
        <f>IF(ISERROR(PV_DATA[[#This Row],[New Ark PO status]]),"",_xlfn.XLOOKUP(PV_DATA[[#This Row],[SPTN-PVHK New Ark PO'#]],New_Ark_Data[Purchase order Number],New_Ark_Data[Estimated time of arrival],"",0))</f>
        <v>46171</v>
      </c>
      <c r="AZ341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41" s="437">
        <f>IFERROR(PV_DATA[[#This Row],[ODP ETA Port]]+PV_DATA[[#This Row],[Customs/Leg3 Assumption]],"n/a")</f>
        <v>46164</v>
      </c>
      <c r="BB341" s="433">
        <f>YEAR(PV_DATA[[#This Row],[ETA for New Ark update]])</f>
        <v>2026</v>
      </c>
      <c r="BC341" s="430">
        <f>MONTH(PV_DATA[[#This Row],[ETA for New Ark update]])</f>
        <v>5</v>
      </c>
      <c r="BD341" s="430">
        <f>IFERROR(_xlfn.ISOWEEKNUM(PV_DATA[[#This Row],[ETA for New Ark update]]),0)</f>
        <v>21</v>
      </c>
      <c r="BE341" s="431">
        <f>_xlfn.XLOOKUP(PV_DATA[[#This Row],[New Ark SKU]],Table9[New Ark SKU],Table9[Total PCS per Pallet],,0)</f>
        <v>36</v>
      </c>
      <c r="BF341" s="431">
        <f>_xlfn.XLOOKUP(PV_DATA[[#This Row],[New Ark SKU]],Table9[New Ark SKU],Table9[Total PCS per 40HQ Container],,0)</f>
        <v>720</v>
      </c>
      <c r="BG341" s="431" t="str">
        <f>_xlfn.XLOOKUP(PV_DATA[[#This Row],[New Ark SKU]],Table9[New Ark SKU],Table9[Back Glass],,0)</f>
        <v>Redirection Film</v>
      </c>
      <c r="BH341" s="431" t="str">
        <f>_xlfn.XLOOKUP(PV_DATA[[#This Row],[PORT DESTINATION]],Table12[PORT DESTINATION],Table12[Cosco Line],,0)</f>
        <v>AEU</v>
      </c>
      <c r="BJ341" s="430"/>
    </row>
    <row r="342" spans="1:62" hidden="1">
      <c r="A342" s="462" t="s">
        <v>1701</v>
      </c>
      <c r="B342" s="462" t="s">
        <v>111</v>
      </c>
      <c r="C342" s="462" t="str">
        <f>IFERROR(LEFT(PV_DATA[[#This Row],[TCL REFERENCE]],FIND(".",PV_DATA[[#This Row],[TCL REFERENCE]],1)-1),"Main Line")</f>
        <v>26Feb010</v>
      </c>
      <c r="D342" s="462" t="s">
        <v>63</v>
      </c>
      <c r="E342" s="462" t="s">
        <v>64</v>
      </c>
      <c r="F342" s="462" t="str" cm="1">
        <f t="array" ref="F34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42" s="462" t="s">
        <v>402</v>
      </c>
      <c r="H342" s="462" t="s">
        <v>67</v>
      </c>
      <c r="I342" s="439" t="s">
        <v>689</v>
      </c>
      <c r="J342" s="430" t="s">
        <v>1702</v>
      </c>
      <c r="K342" s="430"/>
      <c r="L342" s="430"/>
      <c r="M342" s="430" t="s">
        <v>68</v>
      </c>
      <c r="N342" s="432">
        <v>46076</v>
      </c>
      <c r="O342" s="430" t="s">
        <v>132</v>
      </c>
      <c r="P342" s="430" t="s">
        <v>1062</v>
      </c>
      <c r="Q342" s="430" t="s">
        <v>1063</v>
      </c>
      <c r="R342" s="431" t="str">
        <f>_xlfn.XLOOKUP(PV_DATA[[#This Row],[New Ark SKU]],Table9[New Ark SKU],Table9[Connector],,0)</f>
        <v>EVO2A</v>
      </c>
      <c r="S342" s="442" t="str">
        <f>_xlfn.XLOOKUP(PV_DATA[[#This Row],[New Ark SKU]],Table9[New Ark SKU],Table9[Cable],,0)</f>
        <v>±1200mm</v>
      </c>
      <c r="T342" s="433">
        <v>470</v>
      </c>
      <c r="U342" s="1062">
        <v>1728</v>
      </c>
      <c r="V342" s="434">
        <f>PV_DATA[[#This Row],[QUANTITY]]*PV_DATA[[#This Row],[WATT]]/1000000</f>
        <v>0.81215999999999999</v>
      </c>
      <c r="W342" s="435">
        <f>PV_DATA[[#This Row],[QUANTITY]]/PV_DATA[[#This Row],[Qty/Pallet]]</f>
        <v>48</v>
      </c>
      <c r="X342" s="1020">
        <f>PV_DATA[[#This Row],[QUANTITY]]/PV_DATA[[#This Row],[Qty/CT]]</f>
        <v>2</v>
      </c>
      <c r="Y342" s="430" t="s">
        <v>75</v>
      </c>
      <c r="Z342" s="430" t="str">
        <f t="shared" si="2"/>
        <v>COMPLETED</v>
      </c>
      <c r="AA342" s="430"/>
      <c r="AB342" s="437">
        <v>46098</v>
      </c>
      <c r="AC342" s="438">
        <f>IF(PV_DATA[[#This Row],[Pick-Up Date]]&lt;&gt;"",_xlfn.ISOWEEKNUM(PV_DATA[[#This Row],[Pick-Up Date]]),"")</f>
        <v>12</v>
      </c>
      <c r="AD342" s="439" t="s">
        <v>1703</v>
      </c>
      <c r="AE342" s="430"/>
      <c r="AF342" s="430" t="s">
        <v>4423</v>
      </c>
      <c r="AG342" s="430" t="s">
        <v>123</v>
      </c>
      <c r="AH342" s="430" t="s">
        <v>105</v>
      </c>
      <c r="AI342" s="437">
        <v>46103</v>
      </c>
      <c r="AJ342" s="437">
        <v>46112</v>
      </c>
      <c r="AK342" s="441">
        <v>46112</v>
      </c>
      <c r="AL342" s="437">
        <v>46140</v>
      </c>
      <c r="AM342" s="437">
        <v>46154</v>
      </c>
      <c r="AN342" s="437">
        <v>46157</v>
      </c>
      <c r="AO342" s="430" t="s">
        <v>402</v>
      </c>
      <c r="AP342" s="430" t="s">
        <v>925</v>
      </c>
      <c r="AQ342" s="430" t="s">
        <v>80</v>
      </c>
      <c r="AR342" s="430" t="s">
        <v>1699</v>
      </c>
      <c r="AS342" s="430" t="s">
        <v>1700</v>
      </c>
      <c r="AT342" s="482" t="s">
        <v>1700</v>
      </c>
      <c r="AU34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342" s="437" cm="1">
        <f t="array" ref="AW34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46157</v>
      </c>
      <c r="AX34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42" s="437">
        <f>IF(ISERROR(PV_DATA[[#This Row],[New Ark PO status]]),"",_xlfn.XLOOKUP(PV_DATA[[#This Row],[SPTN-PVHK New Ark PO'#]],New_Ark_Data[Purchase order Number],New_Ark_Data[Estimated time of arrival],"",0))</f>
        <v>46171</v>
      </c>
      <c r="AZ34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42" s="437">
        <f>IFERROR(PV_DATA[[#This Row],[ODP ETA Port]]+PV_DATA[[#This Row],[Customs/Leg3 Assumption]],"n/a")</f>
        <v>46164</v>
      </c>
      <c r="BB342" s="433">
        <f>YEAR(PV_DATA[[#This Row],[ETA for New Ark update]])</f>
        <v>2026</v>
      </c>
      <c r="BC342" s="430">
        <f>MONTH(PV_DATA[[#This Row],[ETA for New Ark update]])</f>
        <v>5</v>
      </c>
      <c r="BD342" s="430">
        <f>IFERROR(_xlfn.ISOWEEKNUM(PV_DATA[[#This Row],[ETA for New Ark update]]),0)</f>
        <v>21</v>
      </c>
      <c r="BE342" s="431">
        <f>_xlfn.XLOOKUP(PV_DATA[[#This Row],[New Ark SKU]],Table9[New Ark SKU],Table9[Total PCS per Pallet],,0)</f>
        <v>36</v>
      </c>
      <c r="BF342" s="431">
        <f>_xlfn.XLOOKUP(PV_DATA[[#This Row],[New Ark SKU]],Table9[New Ark SKU],Table9[Total PCS per 40HQ Container],,0)</f>
        <v>864</v>
      </c>
      <c r="BG342" s="431" t="str">
        <f>_xlfn.XLOOKUP(PV_DATA[[#This Row],[New Ark SKU]],Table9[New Ark SKU],Table9[Back Glass],,0)</f>
        <v>White glazing</v>
      </c>
      <c r="BH342" s="431" t="str">
        <f>_xlfn.XLOOKUP(PV_DATA[[#This Row],[PORT DESTINATION]],Table12[PORT DESTINATION],Table12[Cosco Line],,0)</f>
        <v>AEU</v>
      </c>
      <c r="BJ342" s="430"/>
    </row>
    <row r="343" spans="1:62" hidden="1">
      <c r="A343" s="462" t="s">
        <v>1704</v>
      </c>
      <c r="B343" s="462" t="s">
        <v>111</v>
      </c>
      <c r="C343" s="462" t="str">
        <f>IFERROR(LEFT(PV_DATA[[#This Row],[TCL REFERENCE]],FIND(".",PV_DATA[[#This Row],[TCL REFERENCE]],1)-1),"Main Line")</f>
        <v>26Feb008</v>
      </c>
      <c r="D343" s="462" t="s">
        <v>63</v>
      </c>
      <c r="E343" s="462" t="s">
        <v>64</v>
      </c>
      <c r="F343" s="462" t="str" cm="1">
        <f t="array" ref="F34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43" s="462" t="s">
        <v>402</v>
      </c>
      <c r="H343" s="462" t="s">
        <v>67</v>
      </c>
      <c r="I343" s="439" t="s">
        <v>689</v>
      </c>
      <c r="J343" s="430" t="s">
        <v>483</v>
      </c>
      <c r="K343" s="430"/>
      <c r="L343" s="430"/>
      <c r="M343" s="430" t="s">
        <v>68</v>
      </c>
      <c r="N343" s="432">
        <v>46083</v>
      </c>
      <c r="O343" s="430" t="s">
        <v>473</v>
      </c>
      <c r="P343" s="430" t="s">
        <v>474</v>
      </c>
      <c r="Q343" s="430" t="s">
        <v>1319</v>
      </c>
      <c r="R343" s="431" t="str">
        <f>_xlfn.XLOOKUP(PV_DATA[[#This Row],[New Ark SKU]],Table9[New Ark SKU],Table9[Connector],,0)</f>
        <v>EVO2A</v>
      </c>
      <c r="S343" s="442" t="str">
        <f>_xlfn.XLOOKUP(PV_DATA[[#This Row],[New Ark SKU]],Table9[New Ark SKU],Table9[Cable],,0)</f>
        <v>±1200mm</v>
      </c>
      <c r="T343" s="433">
        <v>460</v>
      </c>
      <c r="U343" s="1062">
        <f>864*4</f>
        <v>3456</v>
      </c>
      <c r="V343" s="434">
        <f>PV_DATA[[#This Row],[QUANTITY]]*PV_DATA[[#This Row],[WATT]]/1000000</f>
        <v>1.5897600000000001</v>
      </c>
      <c r="W343" s="435">
        <f>PV_DATA[[#This Row],[QUANTITY]]/PV_DATA[[#This Row],[Qty/Pallet]]</f>
        <v>96</v>
      </c>
      <c r="X343" s="1020">
        <f>PV_DATA[[#This Row],[QUANTITY]]/PV_DATA[[#This Row],[Qty/CT]]</f>
        <v>4</v>
      </c>
      <c r="Y343" s="430" t="s">
        <v>75</v>
      </c>
      <c r="Z343" s="430" t="str">
        <f t="shared" si="2"/>
        <v>COMPLETED</v>
      </c>
      <c r="AA343" s="430"/>
      <c r="AB343" s="437">
        <v>46098</v>
      </c>
      <c r="AC343" s="438">
        <f>IF(PV_DATA[[#This Row],[Pick-Up Date]]&lt;&gt;"",_xlfn.ISOWEEKNUM(PV_DATA[[#This Row],[Pick-Up Date]]),"")</f>
        <v>12</v>
      </c>
      <c r="AD343" s="439" t="s">
        <v>1705</v>
      </c>
      <c r="AE343" s="430"/>
      <c r="AF343" s="430" t="s">
        <v>4424</v>
      </c>
      <c r="AG343" s="430" t="s">
        <v>123</v>
      </c>
      <c r="AH343" s="430" t="s">
        <v>105</v>
      </c>
      <c r="AI343" s="437">
        <v>46103</v>
      </c>
      <c r="AJ343" s="437">
        <v>46112</v>
      </c>
      <c r="AK343" s="441">
        <v>46112</v>
      </c>
      <c r="AL343" s="437">
        <v>46140</v>
      </c>
      <c r="AM343" s="437">
        <v>46154</v>
      </c>
      <c r="AN343" s="437">
        <v>46157</v>
      </c>
      <c r="AO343" s="430" t="s">
        <v>402</v>
      </c>
      <c r="AP343" s="430" t="s">
        <v>925</v>
      </c>
      <c r="AQ343" s="430" t="s">
        <v>80</v>
      </c>
      <c r="AR343" s="430" t="s">
        <v>1699</v>
      </c>
      <c r="AS343" s="430" t="s">
        <v>1700</v>
      </c>
      <c r="AT343" s="482" t="s">
        <v>1700</v>
      </c>
      <c r="AU34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343" s="437" cm="1">
        <f t="array" ref="AW34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46157</v>
      </c>
      <c r="AX34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43" s="437">
        <f>IF(ISERROR(PV_DATA[[#This Row],[New Ark PO status]]),"",_xlfn.XLOOKUP(PV_DATA[[#This Row],[SPTN-PVHK New Ark PO'#]],New_Ark_Data[Purchase order Number],New_Ark_Data[Estimated time of arrival],"",0))</f>
        <v>46171</v>
      </c>
      <c r="AZ34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43" s="437">
        <f>IFERROR(PV_DATA[[#This Row],[ODP ETA Port]]+PV_DATA[[#This Row],[Customs/Leg3 Assumption]],"n/a")</f>
        <v>46164</v>
      </c>
      <c r="BB343" s="433">
        <f>YEAR(PV_DATA[[#This Row],[ETA for New Ark update]])</f>
        <v>2026</v>
      </c>
      <c r="BC343" s="430">
        <f>MONTH(PV_DATA[[#This Row],[ETA for New Ark update]])</f>
        <v>5</v>
      </c>
      <c r="BD343" s="430">
        <f>IFERROR(_xlfn.ISOWEEKNUM(PV_DATA[[#This Row],[ETA for New Ark update]]),0)</f>
        <v>21</v>
      </c>
      <c r="BE343" s="431">
        <f>_xlfn.XLOOKUP(PV_DATA[[#This Row],[New Ark SKU]],Table9[New Ark SKU],Table9[Total PCS per Pallet],,0)</f>
        <v>36</v>
      </c>
      <c r="BF343" s="431">
        <f>_xlfn.XLOOKUP(PV_DATA[[#This Row],[New Ark SKU]],Table9[New Ark SKU],Table9[Total PCS per 40HQ Container],,0)</f>
        <v>864</v>
      </c>
      <c r="BG343" s="431" t="str">
        <f>_xlfn.XLOOKUP(PV_DATA[[#This Row],[New Ark SKU]],Table9[New Ark SKU],Table9[Back Glass],,0)</f>
        <v>Black glazing</v>
      </c>
      <c r="BH343" s="431" t="str">
        <f>_xlfn.XLOOKUP(PV_DATA[[#This Row],[PORT DESTINATION]],Table12[PORT DESTINATION],Table12[Cosco Line],,0)</f>
        <v>AEU</v>
      </c>
      <c r="BJ343" s="430"/>
    </row>
    <row r="344" spans="1:62" hidden="1">
      <c r="A344" s="462" t="s">
        <v>1706</v>
      </c>
      <c r="B344" s="462" t="s">
        <v>111</v>
      </c>
      <c r="C344" s="462" t="str">
        <f>IFERROR(LEFT(PV_DATA[[#This Row],[TCL REFERENCE]],FIND(".",PV_DATA[[#This Row],[TCL REFERENCE]],1)-1),"Main Line")</f>
        <v>26Feb026</v>
      </c>
      <c r="D344" s="462" t="s">
        <v>63</v>
      </c>
      <c r="E344" s="462" t="s">
        <v>64</v>
      </c>
      <c r="F344" s="462" t="str" cm="1">
        <f t="array" ref="F34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44" s="462" t="s">
        <v>402</v>
      </c>
      <c r="H344" s="462" t="s">
        <v>67</v>
      </c>
      <c r="I344" s="439" t="s">
        <v>689</v>
      </c>
      <c r="J344" s="430" t="s">
        <v>1707</v>
      </c>
      <c r="K344" s="430"/>
      <c r="L344" s="430"/>
      <c r="M344" s="430" t="s">
        <v>68</v>
      </c>
      <c r="N344" s="432">
        <v>46097</v>
      </c>
      <c r="O344" s="430" t="s">
        <v>70</v>
      </c>
      <c r="P344" s="430" t="s">
        <v>1002</v>
      </c>
      <c r="Q344" s="430" t="s">
        <v>330</v>
      </c>
      <c r="R344" s="431" t="str">
        <f>_xlfn.XLOOKUP(PV_DATA[[#This Row],[New Ark SKU]],Table9[New Ark SKU],Table9[Connector],,0)</f>
        <v>EVO2A</v>
      </c>
      <c r="S344" s="442" t="str">
        <f>_xlfn.XLOOKUP(PV_DATA[[#This Row],[New Ark SKU]],Table9[New Ark SKU],Table9[Cable],,0)</f>
        <v>±1400mm</v>
      </c>
      <c r="T344" s="433">
        <v>625</v>
      </c>
      <c r="U344" s="1062">
        <f>720*7</f>
        <v>5040</v>
      </c>
      <c r="V344" s="434">
        <f>PV_DATA[[#This Row],[QUANTITY]]*PV_DATA[[#This Row],[WATT]]/1000000</f>
        <v>3.15</v>
      </c>
      <c r="W344" s="435">
        <f>PV_DATA[[#This Row],[QUANTITY]]/PV_DATA[[#This Row],[Qty/Pallet]]</f>
        <v>140</v>
      </c>
      <c r="X344" s="1020">
        <f>PV_DATA[[#This Row],[QUANTITY]]/PV_DATA[[#This Row],[Qty/CT]]</f>
        <v>7</v>
      </c>
      <c r="Y344" s="430" t="s">
        <v>75</v>
      </c>
      <c r="Z344" s="430" t="str">
        <f t="shared" si="2"/>
        <v>COMPLETED</v>
      </c>
      <c r="AA344" s="430" t="s">
        <v>1504</v>
      </c>
      <c r="AB344" s="437">
        <v>46098</v>
      </c>
      <c r="AC344" s="438">
        <f>IF(PV_DATA[[#This Row],[Pick-Up Date]]&lt;&gt;"",_xlfn.ISOWEEKNUM(PV_DATA[[#This Row],[Pick-Up Date]]),"")</f>
        <v>12</v>
      </c>
      <c r="AD344" s="439" t="s">
        <v>1708</v>
      </c>
      <c r="AE344" s="430"/>
      <c r="AF344" s="430" t="s">
        <v>4423</v>
      </c>
      <c r="AG344" s="430" t="s">
        <v>123</v>
      </c>
      <c r="AH344" s="430" t="s">
        <v>105</v>
      </c>
      <c r="AI344" s="437">
        <v>46103</v>
      </c>
      <c r="AJ344" s="437">
        <v>46112</v>
      </c>
      <c r="AK344" s="441">
        <v>46112</v>
      </c>
      <c r="AL344" s="437">
        <v>46140</v>
      </c>
      <c r="AM344" s="437">
        <v>46154</v>
      </c>
      <c r="AN344" s="437">
        <v>46157</v>
      </c>
      <c r="AO344" s="430" t="s">
        <v>402</v>
      </c>
      <c r="AP344" s="430" t="s">
        <v>925</v>
      </c>
      <c r="AQ344" s="430" t="s">
        <v>80</v>
      </c>
      <c r="AR344" s="430" t="s">
        <v>1699</v>
      </c>
      <c r="AS344" s="430" t="s">
        <v>1700</v>
      </c>
      <c r="AT344" s="482" t="s">
        <v>1700</v>
      </c>
      <c r="AU34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344" s="437" cm="1">
        <f t="array" ref="AW34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46157</v>
      </c>
      <c r="AX34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44" s="437">
        <f>IF(ISERROR(PV_DATA[[#This Row],[New Ark PO status]]),"",_xlfn.XLOOKUP(PV_DATA[[#This Row],[SPTN-PVHK New Ark PO'#]],New_Ark_Data[Purchase order Number],New_Ark_Data[Estimated time of arrival],"",0))</f>
        <v>46169</v>
      </c>
      <c r="AZ34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44" s="437">
        <f>IFERROR(PV_DATA[[#This Row],[ODP ETA Port]]+PV_DATA[[#This Row],[Customs/Leg3 Assumption]],"n/a")</f>
        <v>46164</v>
      </c>
      <c r="BB344" s="433">
        <f>YEAR(PV_DATA[[#This Row],[ETA for New Ark update]])</f>
        <v>2026</v>
      </c>
      <c r="BC344" s="430">
        <f>MONTH(PV_DATA[[#This Row],[ETA for New Ark update]])</f>
        <v>5</v>
      </c>
      <c r="BD344" s="430">
        <f>IFERROR(_xlfn.ISOWEEKNUM(PV_DATA[[#This Row],[ETA for New Ark update]]),0)</f>
        <v>21</v>
      </c>
      <c r="BE344" s="431">
        <f>_xlfn.XLOOKUP(PV_DATA[[#This Row],[New Ark SKU]],Table9[New Ark SKU],Table9[Total PCS per Pallet],,0)</f>
        <v>36</v>
      </c>
      <c r="BF344" s="431">
        <f>_xlfn.XLOOKUP(PV_DATA[[#This Row],[New Ark SKU]],Table9[New Ark SKU],Table9[Total PCS per 40HQ Container],,0)</f>
        <v>720</v>
      </c>
      <c r="BG344" s="431" t="str">
        <f>_xlfn.XLOOKUP(PV_DATA[[#This Row],[New Ark SKU]],Table9[New Ark SKU],Table9[Back Glass],,0)</f>
        <v>Redirection Film</v>
      </c>
      <c r="BH344" s="431" t="str">
        <f>_xlfn.XLOOKUP(PV_DATA[[#This Row],[PORT DESTINATION]],Table12[PORT DESTINATION],Table12[Cosco Line],,0)</f>
        <v>AEU</v>
      </c>
      <c r="BJ344" s="430"/>
    </row>
    <row r="345" spans="1:62" hidden="1">
      <c r="A345" s="462" t="s">
        <v>1709</v>
      </c>
      <c r="B345" s="462" t="s">
        <v>111</v>
      </c>
      <c r="C345" s="462" t="str">
        <f>IFERROR(LEFT(PV_DATA[[#This Row],[TCL REFERENCE]],FIND(".",PV_DATA[[#This Row],[TCL REFERENCE]],1)-1),"Main Line")</f>
        <v>26Feb007</v>
      </c>
      <c r="D345" s="462" t="s">
        <v>63</v>
      </c>
      <c r="E345" s="462" t="s">
        <v>64</v>
      </c>
      <c r="F345" s="462" t="str" cm="1">
        <f t="array" ref="F34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45" s="462" t="s">
        <v>402</v>
      </c>
      <c r="H345" s="462" t="s">
        <v>67</v>
      </c>
      <c r="I345" s="439" t="s">
        <v>689</v>
      </c>
      <c r="J345" s="430" t="s">
        <v>483</v>
      </c>
      <c r="K345" s="430"/>
      <c r="L345" s="430"/>
      <c r="M345" s="430" t="s">
        <v>68</v>
      </c>
      <c r="N345" s="432">
        <v>46083</v>
      </c>
      <c r="O345" s="430" t="s">
        <v>473</v>
      </c>
      <c r="P345" s="430" t="s">
        <v>529</v>
      </c>
      <c r="Q345" s="430" t="s">
        <v>1311</v>
      </c>
      <c r="R345" s="431" t="str">
        <f>_xlfn.XLOOKUP(PV_DATA[[#This Row],[New Ark SKU]],Table9[New Ark SKU],Table9[Connector],,0)</f>
        <v>EVO2A</v>
      </c>
      <c r="S345" s="442" t="str">
        <f>_xlfn.XLOOKUP(PV_DATA[[#This Row],[New Ark SKU]],Table9[New Ark SKU],Table9[Cable],,0)</f>
        <v>±1200mm</v>
      </c>
      <c r="T345" s="433">
        <v>455</v>
      </c>
      <c r="U345" s="1062">
        <f>864*2</f>
        <v>1728</v>
      </c>
      <c r="V345" s="434">
        <f>PV_DATA[[#This Row],[QUANTITY]]*PV_DATA[[#This Row],[WATT]]/1000000</f>
        <v>0.78624000000000005</v>
      </c>
      <c r="W345" s="435">
        <f>PV_DATA[[#This Row],[QUANTITY]]/PV_DATA[[#This Row],[Qty/Pallet]]</f>
        <v>48</v>
      </c>
      <c r="X345" s="1020">
        <f>PV_DATA[[#This Row],[QUANTITY]]/PV_DATA[[#This Row],[Qty/CT]]</f>
        <v>2</v>
      </c>
      <c r="Y345" s="430" t="s">
        <v>75</v>
      </c>
      <c r="Z345" s="430" t="str">
        <f t="shared" si="2"/>
        <v>COMPLETED</v>
      </c>
      <c r="AA345" s="430" t="s">
        <v>1548</v>
      </c>
      <c r="AB345" s="437">
        <v>46098</v>
      </c>
      <c r="AC345" s="438">
        <f>IF(PV_DATA[[#This Row],[Pick-Up Date]]&lt;&gt;"",_xlfn.ISOWEEKNUM(PV_DATA[[#This Row],[Pick-Up Date]]),"")</f>
        <v>12</v>
      </c>
      <c r="AD345" s="439" t="s">
        <v>1710</v>
      </c>
      <c r="AE345" s="430"/>
      <c r="AF345" s="430" t="s">
        <v>4425</v>
      </c>
      <c r="AG345" s="430" t="s">
        <v>123</v>
      </c>
      <c r="AH345" s="430" t="s">
        <v>105</v>
      </c>
      <c r="AI345" s="437">
        <v>46103</v>
      </c>
      <c r="AJ345" s="437">
        <v>46112</v>
      </c>
      <c r="AK345" s="441">
        <v>46112</v>
      </c>
      <c r="AL345" s="437">
        <v>46140</v>
      </c>
      <c r="AM345" s="437">
        <v>46154</v>
      </c>
      <c r="AN345" s="437">
        <v>46157</v>
      </c>
      <c r="AO345" s="430" t="s">
        <v>402</v>
      </c>
      <c r="AP345" s="430" t="s">
        <v>925</v>
      </c>
      <c r="AQ345" s="430" t="s">
        <v>80</v>
      </c>
      <c r="AR345" s="430" t="s">
        <v>1711</v>
      </c>
      <c r="AS345" s="430" t="s">
        <v>1712</v>
      </c>
      <c r="AT345" s="482" t="s">
        <v>1712</v>
      </c>
      <c r="AU34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345" s="437" cm="1">
        <f t="array" ref="AW34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46157</v>
      </c>
      <c r="AX34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45" s="437">
        <f>IF(ISERROR(PV_DATA[[#This Row],[New Ark PO status]]),"",_xlfn.XLOOKUP(PV_DATA[[#This Row],[SPTN-PVHK New Ark PO'#]],New_Ark_Data[Purchase order Number],New_Ark_Data[Estimated time of arrival],"",0))</f>
        <v>46171</v>
      </c>
      <c r="AZ34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45" s="437">
        <f>IFERROR(PV_DATA[[#This Row],[ODP ETA Port]]+PV_DATA[[#This Row],[Customs/Leg3 Assumption]],"n/a")</f>
        <v>46164</v>
      </c>
      <c r="BB345" s="433">
        <f>YEAR(PV_DATA[[#This Row],[ETA for New Ark update]])</f>
        <v>2026</v>
      </c>
      <c r="BC345" s="430">
        <f>MONTH(PV_DATA[[#This Row],[ETA for New Ark update]])</f>
        <v>5</v>
      </c>
      <c r="BD345" s="430">
        <f>IFERROR(_xlfn.ISOWEEKNUM(PV_DATA[[#This Row],[ETA for New Ark update]]),0)</f>
        <v>21</v>
      </c>
      <c r="BE345" s="431">
        <f>_xlfn.XLOOKUP(PV_DATA[[#This Row],[New Ark SKU]],Table9[New Ark SKU],Table9[Total PCS per Pallet],,0)</f>
        <v>36</v>
      </c>
      <c r="BF345" s="431">
        <f>_xlfn.XLOOKUP(PV_DATA[[#This Row],[New Ark SKU]],Table9[New Ark SKU],Table9[Total PCS per 40HQ Container],,0)</f>
        <v>864</v>
      </c>
      <c r="BG345" s="431" t="str">
        <f>_xlfn.XLOOKUP(PV_DATA[[#This Row],[New Ark SKU]],Table9[New Ark SKU],Table9[Back Glass],,0)</f>
        <v>Black glazing</v>
      </c>
      <c r="BH345" s="431" t="str">
        <f>_xlfn.XLOOKUP(PV_DATA[[#This Row],[PORT DESTINATION]],Table12[PORT DESTINATION],Table12[Cosco Line],,0)</f>
        <v>AEU</v>
      </c>
      <c r="BJ345" s="430"/>
    </row>
    <row r="346" spans="1:62" hidden="1">
      <c r="A346" s="462" t="s">
        <v>1713</v>
      </c>
      <c r="B346" s="462" t="s">
        <v>111</v>
      </c>
      <c r="C346" s="462" t="str">
        <f>IFERROR(LEFT(PV_DATA[[#This Row],[TCL REFERENCE]],FIND(".",PV_DATA[[#This Row],[TCL REFERENCE]],1)-1),"Main Line")</f>
        <v>26Feb008</v>
      </c>
      <c r="D346" s="462" t="s">
        <v>63</v>
      </c>
      <c r="E346" s="462" t="s">
        <v>64</v>
      </c>
      <c r="F346" s="462" t="str" cm="1">
        <f t="array" ref="F34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46" s="462" t="s">
        <v>402</v>
      </c>
      <c r="H346" s="462" t="s">
        <v>67</v>
      </c>
      <c r="I346" s="439" t="s">
        <v>689</v>
      </c>
      <c r="J346" s="430" t="s">
        <v>483</v>
      </c>
      <c r="K346" s="430"/>
      <c r="L346" s="430"/>
      <c r="M346" s="430" t="s">
        <v>68</v>
      </c>
      <c r="N346" s="432">
        <v>46083</v>
      </c>
      <c r="O346" s="430" t="s">
        <v>473</v>
      </c>
      <c r="P346" s="430" t="s">
        <v>474</v>
      </c>
      <c r="Q346" s="430" t="s">
        <v>1319</v>
      </c>
      <c r="R346" s="431" t="str">
        <f>_xlfn.XLOOKUP(PV_DATA[[#This Row],[New Ark SKU]],Table9[New Ark SKU],Table9[Connector],,0)</f>
        <v>EVO2A</v>
      </c>
      <c r="S346" s="442" t="str">
        <f>_xlfn.XLOOKUP(PV_DATA[[#This Row],[New Ark SKU]],Table9[New Ark SKU],Table9[Cable],,0)</f>
        <v>±1200mm</v>
      </c>
      <c r="T346" s="433">
        <v>460</v>
      </c>
      <c r="U346" s="1062">
        <f>864*3</f>
        <v>2592</v>
      </c>
      <c r="V346" s="434">
        <f>PV_DATA[[#This Row],[QUANTITY]]*PV_DATA[[#This Row],[WATT]]/1000000</f>
        <v>1.19232</v>
      </c>
      <c r="W346" s="435">
        <f>PV_DATA[[#This Row],[QUANTITY]]/PV_DATA[[#This Row],[Qty/Pallet]]</f>
        <v>72</v>
      </c>
      <c r="X346" s="1020">
        <f>PV_DATA[[#This Row],[QUANTITY]]/PV_DATA[[#This Row],[Qty/CT]]</f>
        <v>3</v>
      </c>
      <c r="Y346" s="430" t="s">
        <v>75</v>
      </c>
      <c r="Z346" s="430" t="str">
        <f t="shared" si="2"/>
        <v>COMPLETED</v>
      </c>
      <c r="AA346" s="430"/>
      <c r="AB346" s="437">
        <v>46098</v>
      </c>
      <c r="AC346" s="438">
        <f>IF(PV_DATA[[#This Row],[Pick-Up Date]]&lt;&gt;"",_xlfn.ISOWEEKNUM(PV_DATA[[#This Row],[Pick-Up Date]]),"")</f>
        <v>12</v>
      </c>
      <c r="AD346" s="439" t="s">
        <v>1714</v>
      </c>
      <c r="AE346" s="430"/>
      <c r="AF346" s="430" t="s">
        <v>4425</v>
      </c>
      <c r="AG346" s="430" t="s">
        <v>123</v>
      </c>
      <c r="AH346" s="430" t="s">
        <v>105</v>
      </c>
      <c r="AI346" s="437">
        <v>46103</v>
      </c>
      <c r="AJ346" s="437">
        <v>46112</v>
      </c>
      <c r="AK346" s="441">
        <v>46112</v>
      </c>
      <c r="AL346" s="437">
        <v>46140</v>
      </c>
      <c r="AM346" s="437">
        <v>46154</v>
      </c>
      <c r="AN346" s="437">
        <v>46157</v>
      </c>
      <c r="AO346" s="430" t="s">
        <v>402</v>
      </c>
      <c r="AP346" s="430" t="s">
        <v>925</v>
      </c>
      <c r="AQ346" s="430" t="s">
        <v>80</v>
      </c>
      <c r="AR346" s="430" t="s">
        <v>1711</v>
      </c>
      <c r="AS346" s="430" t="s">
        <v>1712</v>
      </c>
      <c r="AT346" s="482" t="s">
        <v>1712</v>
      </c>
      <c r="AU34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346" s="437" cm="1">
        <f t="array" ref="AW34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46157</v>
      </c>
      <c r="AX34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46" s="437">
        <f>IF(ISERROR(PV_DATA[[#This Row],[New Ark PO status]]),"",_xlfn.XLOOKUP(PV_DATA[[#This Row],[SPTN-PVHK New Ark PO'#]],New_Ark_Data[Purchase order Number],New_Ark_Data[Estimated time of arrival],"",0))</f>
        <v>46171</v>
      </c>
      <c r="AZ34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46" s="437">
        <f>IFERROR(PV_DATA[[#This Row],[ODP ETA Port]]+PV_DATA[[#This Row],[Customs/Leg3 Assumption]],"n/a")</f>
        <v>46164</v>
      </c>
      <c r="BB346" s="433">
        <f>YEAR(PV_DATA[[#This Row],[ETA for New Ark update]])</f>
        <v>2026</v>
      </c>
      <c r="BC346" s="430">
        <f>MONTH(PV_DATA[[#This Row],[ETA for New Ark update]])</f>
        <v>5</v>
      </c>
      <c r="BD346" s="430">
        <f>IFERROR(_xlfn.ISOWEEKNUM(PV_DATA[[#This Row],[ETA for New Ark update]]),0)</f>
        <v>21</v>
      </c>
      <c r="BE346" s="431">
        <f>_xlfn.XLOOKUP(PV_DATA[[#This Row],[New Ark SKU]],Table9[New Ark SKU],Table9[Total PCS per Pallet],,0)</f>
        <v>36</v>
      </c>
      <c r="BF346" s="431">
        <f>_xlfn.XLOOKUP(PV_DATA[[#This Row],[New Ark SKU]],Table9[New Ark SKU],Table9[Total PCS per 40HQ Container],,0)</f>
        <v>864</v>
      </c>
      <c r="BG346" s="431" t="str">
        <f>_xlfn.XLOOKUP(PV_DATA[[#This Row],[New Ark SKU]],Table9[New Ark SKU],Table9[Back Glass],,0)</f>
        <v>Black glazing</v>
      </c>
      <c r="BH346" s="431" t="str">
        <f>_xlfn.XLOOKUP(PV_DATA[[#This Row],[PORT DESTINATION]],Table12[PORT DESTINATION],Table12[Cosco Line],,0)</f>
        <v>AEU</v>
      </c>
      <c r="BJ346" s="430"/>
    </row>
    <row r="347" spans="1:62" hidden="1">
      <c r="A347" s="462" t="s">
        <v>1715</v>
      </c>
      <c r="B347" s="462" t="s">
        <v>111</v>
      </c>
      <c r="C347" s="462" t="str">
        <f>IFERROR(LEFT(PV_DATA[[#This Row],[TCL REFERENCE]],FIND(".",PV_DATA[[#This Row],[TCL REFERENCE]],1)-1),"Main Line")</f>
        <v>26Feb007</v>
      </c>
      <c r="D347" s="462" t="s">
        <v>63</v>
      </c>
      <c r="E347" s="462" t="s">
        <v>64</v>
      </c>
      <c r="F347" s="462" t="str" cm="1">
        <f t="array" ref="F34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47" s="462" t="s">
        <v>402</v>
      </c>
      <c r="H347" s="462" t="s">
        <v>67</v>
      </c>
      <c r="I347" s="439" t="s">
        <v>689</v>
      </c>
      <c r="J347" s="430" t="s">
        <v>483</v>
      </c>
      <c r="K347" s="430"/>
      <c r="L347" s="430"/>
      <c r="M347" s="430" t="s">
        <v>68</v>
      </c>
      <c r="N347" s="432">
        <v>46083</v>
      </c>
      <c r="O347" s="430" t="s">
        <v>473</v>
      </c>
      <c r="P347" s="430" t="s">
        <v>529</v>
      </c>
      <c r="Q347" s="430" t="s">
        <v>1311</v>
      </c>
      <c r="R347" s="431" t="str">
        <f>_xlfn.XLOOKUP(PV_DATA[[#This Row],[New Ark SKU]],Table9[New Ark SKU],Table9[Connector],,0)</f>
        <v>EVO2A</v>
      </c>
      <c r="S347" s="442" t="str">
        <f>_xlfn.XLOOKUP(PV_DATA[[#This Row],[New Ark SKU]],Table9[New Ark SKU],Table9[Cable],,0)</f>
        <v>±1200mm</v>
      </c>
      <c r="T347" s="433">
        <v>455</v>
      </c>
      <c r="U347" s="1062">
        <f>864*2</f>
        <v>1728</v>
      </c>
      <c r="V347" s="434">
        <f>PV_DATA[[#This Row],[QUANTITY]]*PV_DATA[[#This Row],[WATT]]/1000000</f>
        <v>0.78624000000000005</v>
      </c>
      <c r="W347" s="435">
        <f>PV_DATA[[#This Row],[QUANTITY]]/PV_DATA[[#This Row],[Qty/Pallet]]</f>
        <v>48</v>
      </c>
      <c r="X347" s="1020">
        <f>PV_DATA[[#This Row],[QUANTITY]]/PV_DATA[[#This Row],[Qty/CT]]</f>
        <v>2</v>
      </c>
      <c r="Y347" s="430" t="s">
        <v>75</v>
      </c>
      <c r="Z347" s="430" t="str">
        <f t="shared" si="2"/>
        <v>COMPLETED</v>
      </c>
      <c r="AA347" s="430"/>
      <c r="AB347" s="437">
        <v>46099</v>
      </c>
      <c r="AC347" s="438">
        <f>IF(PV_DATA[[#This Row],[Pick-Up Date]]&lt;&gt;"",_xlfn.ISOWEEKNUM(PV_DATA[[#This Row],[Pick-Up Date]]),"")</f>
        <v>12</v>
      </c>
      <c r="AD347" s="439" t="s">
        <v>1716</v>
      </c>
      <c r="AE347" s="430"/>
      <c r="AF347" s="430" t="s">
        <v>4425</v>
      </c>
      <c r="AG347" s="430" t="s">
        <v>123</v>
      </c>
      <c r="AH347" s="430" t="s">
        <v>105</v>
      </c>
      <c r="AI347" s="437">
        <v>46103</v>
      </c>
      <c r="AJ347" s="437">
        <v>46112</v>
      </c>
      <c r="AK347" s="441">
        <v>46112</v>
      </c>
      <c r="AL347" s="437">
        <v>46140</v>
      </c>
      <c r="AM347" s="437">
        <v>46154</v>
      </c>
      <c r="AN347" s="437">
        <v>46157</v>
      </c>
      <c r="AO347" s="430" t="s">
        <v>402</v>
      </c>
      <c r="AP347" s="430" t="s">
        <v>925</v>
      </c>
      <c r="AQ347" s="430" t="s">
        <v>80</v>
      </c>
      <c r="AR347" s="430" t="s">
        <v>1711</v>
      </c>
      <c r="AS347" s="430" t="s">
        <v>1712</v>
      </c>
      <c r="AT347" s="482" t="s">
        <v>1712</v>
      </c>
      <c r="AU34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347" s="437" cm="1">
        <f t="array" ref="AW34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46157</v>
      </c>
      <c r="AX34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47" s="437">
        <f>IF(ISERROR(PV_DATA[[#This Row],[New Ark PO status]]),"",_xlfn.XLOOKUP(PV_DATA[[#This Row],[SPTN-PVHK New Ark PO'#]],New_Ark_Data[Purchase order Number],New_Ark_Data[Estimated time of arrival],"",0))</f>
        <v>46171</v>
      </c>
      <c r="AZ347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47" s="437">
        <f>IFERROR(PV_DATA[[#This Row],[ODP ETA Port]]+PV_DATA[[#This Row],[Customs/Leg3 Assumption]],"n/a")</f>
        <v>46164</v>
      </c>
      <c r="BB347" s="433">
        <f>YEAR(PV_DATA[[#This Row],[ETA for New Ark update]])</f>
        <v>2026</v>
      </c>
      <c r="BC347" s="430">
        <f>MONTH(PV_DATA[[#This Row],[ETA for New Ark update]])</f>
        <v>5</v>
      </c>
      <c r="BD347" s="430">
        <f>IFERROR(_xlfn.ISOWEEKNUM(PV_DATA[[#This Row],[ETA for New Ark update]]),0)</f>
        <v>21</v>
      </c>
      <c r="BE347" s="431">
        <f>_xlfn.XLOOKUP(PV_DATA[[#This Row],[New Ark SKU]],Table9[New Ark SKU],Table9[Total PCS per Pallet],,0)</f>
        <v>36</v>
      </c>
      <c r="BF347" s="431">
        <f>_xlfn.XLOOKUP(PV_DATA[[#This Row],[New Ark SKU]],Table9[New Ark SKU],Table9[Total PCS per 40HQ Container],,0)</f>
        <v>864</v>
      </c>
      <c r="BG347" s="431" t="str">
        <f>_xlfn.XLOOKUP(PV_DATA[[#This Row],[New Ark SKU]],Table9[New Ark SKU],Table9[Back Glass],,0)</f>
        <v>Black glazing</v>
      </c>
      <c r="BH347" s="431" t="str">
        <f>_xlfn.XLOOKUP(PV_DATA[[#This Row],[PORT DESTINATION]],Table12[PORT DESTINATION],Table12[Cosco Line],,0)</f>
        <v>AEU</v>
      </c>
      <c r="BJ347" s="430"/>
    </row>
    <row r="348" spans="1:62" hidden="1">
      <c r="A348" s="462" t="s">
        <v>1717</v>
      </c>
      <c r="B348" s="462" t="s">
        <v>111</v>
      </c>
      <c r="C348" s="462" t="str">
        <f>IFERROR(LEFT(PV_DATA[[#This Row],[TCL REFERENCE]],FIND(".",PV_DATA[[#This Row],[TCL REFERENCE]],1)-1),"Main Line")</f>
        <v>26Feb009</v>
      </c>
      <c r="D348" s="462" t="s">
        <v>63</v>
      </c>
      <c r="E348" s="462" t="s">
        <v>64</v>
      </c>
      <c r="F348" s="462" t="str" cm="1">
        <f t="array" ref="F34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48" s="462" t="s">
        <v>402</v>
      </c>
      <c r="H348" s="462" t="s">
        <v>67</v>
      </c>
      <c r="I348" s="439" t="s">
        <v>689</v>
      </c>
      <c r="J348" s="430" t="s">
        <v>101</v>
      </c>
      <c r="K348" s="430"/>
      <c r="L348" s="430"/>
      <c r="M348" s="430" t="s">
        <v>68</v>
      </c>
      <c r="N348" s="432">
        <v>46069</v>
      </c>
      <c r="O348" s="430" t="s">
        <v>132</v>
      </c>
      <c r="P348" s="430" t="s">
        <v>189</v>
      </c>
      <c r="Q348" s="430" t="s">
        <v>190</v>
      </c>
      <c r="R348" s="431" t="str">
        <f>_xlfn.XLOOKUP(PV_DATA[[#This Row],[New Ark SKU]],Table9[New Ark SKU],Table9[Connector],,0)</f>
        <v>EVO2A</v>
      </c>
      <c r="S348" s="442" t="str">
        <f>_xlfn.XLOOKUP(PV_DATA[[#This Row],[New Ark SKU]],Table9[New Ark SKU],Table9[Cable],,0)</f>
        <v>±1200mm</v>
      </c>
      <c r="T348" s="433">
        <v>465</v>
      </c>
      <c r="U348" s="1062">
        <f>864*3</f>
        <v>2592</v>
      </c>
      <c r="V348" s="434">
        <f>PV_DATA[[#This Row],[QUANTITY]]*PV_DATA[[#This Row],[WATT]]/1000000</f>
        <v>1.2052799999999999</v>
      </c>
      <c r="W348" s="435">
        <f>PV_DATA[[#This Row],[QUANTITY]]/PV_DATA[[#This Row],[Qty/Pallet]]</f>
        <v>72</v>
      </c>
      <c r="X348" s="1020">
        <f>PV_DATA[[#This Row],[QUANTITY]]/PV_DATA[[#This Row],[Qty/CT]]</f>
        <v>3</v>
      </c>
      <c r="Y348" s="430" t="s">
        <v>75</v>
      </c>
      <c r="Z348" s="430" t="str">
        <f t="shared" si="2"/>
        <v>COMPLETED</v>
      </c>
      <c r="AA348" s="430" t="s">
        <v>1548</v>
      </c>
      <c r="AB348" s="437">
        <v>46099</v>
      </c>
      <c r="AC348" s="438">
        <f>IF(PV_DATA[[#This Row],[Pick-Up Date]]&lt;&gt;"",_xlfn.ISOWEEKNUM(PV_DATA[[#This Row],[Pick-Up Date]]),"")</f>
        <v>12</v>
      </c>
      <c r="AD348" s="439" t="s">
        <v>1718</v>
      </c>
      <c r="AE348" s="430"/>
      <c r="AF348" s="430" t="s">
        <v>4425</v>
      </c>
      <c r="AG348" s="430" t="s">
        <v>123</v>
      </c>
      <c r="AH348" s="430" t="s">
        <v>105</v>
      </c>
      <c r="AI348" s="437">
        <v>46103</v>
      </c>
      <c r="AJ348" s="437">
        <v>46112</v>
      </c>
      <c r="AK348" s="441">
        <v>46112</v>
      </c>
      <c r="AL348" s="437">
        <v>46140</v>
      </c>
      <c r="AM348" s="437">
        <v>46154</v>
      </c>
      <c r="AN348" s="437">
        <v>46157</v>
      </c>
      <c r="AO348" s="430" t="s">
        <v>402</v>
      </c>
      <c r="AP348" s="430" t="s">
        <v>925</v>
      </c>
      <c r="AQ348" s="430" t="s">
        <v>80</v>
      </c>
      <c r="AR348" s="430" t="s">
        <v>1711</v>
      </c>
      <c r="AS348" s="430" t="s">
        <v>1712</v>
      </c>
      <c r="AT348" s="482" t="s">
        <v>1712</v>
      </c>
      <c r="AU34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348" s="437" cm="1">
        <f t="array" ref="AW34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46157</v>
      </c>
      <c r="AX34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48" s="437">
        <f>IF(ISERROR(PV_DATA[[#This Row],[New Ark PO status]]),"",_xlfn.XLOOKUP(PV_DATA[[#This Row],[SPTN-PVHK New Ark PO'#]],New_Ark_Data[Purchase order Number],New_Ark_Data[Estimated time of arrival],"",0))</f>
        <v>46171</v>
      </c>
      <c r="AZ348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48" s="437">
        <f>IFERROR(PV_DATA[[#This Row],[ODP ETA Port]]+PV_DATA[[#This Row],[Customs/Leg3 Assumption]],"n/a")</f>
        <v>46164</v>
      </c>
      <c r="BB348" s="433">
        <f>YEAR(PV_DATA[[#This Row],[ETA for New Ark update]])</f>
        <v>2026</v>
      </c>
      <c r="BC348" s="430">
        <f>MONTH(PV_DATA[[#This Row],[ETA for New Ark update]])</f>
        <v>5</v>
      </c>
      <c r="BD348" s="430">
        <f>IFERROR(_xlfn.ISOWEEKNUM(PV_DATA[[#This Row],[ETA for New Ark update]]),0)</f>
        <v>21</v>
      </c>
      <c r="BE348" s="431">
        <f>_xlfn.XLOOKUP(PV_DATA[[#This Row],[New Ark SKU]],Table9[New Ark SKU],Table9[Total PCS per Pallet],,0)</f>
        <v>36</v>
      </c>
      <c r="BF348" s="431">
        <f>_xlfn.XLOOKUP(PV_DATA[[#This Row],[New Ark SKU]],Table9[New Ark SKU],Table9[Total PCS per 40HQ Container],,0)</f>
        <v>864</v>
      </c>
      <c r="BG348" s="431" t="str">
        <f>_xlfn.XLOOKUP(PV_DATA[[#This Row],[New Ark SKU]],Table9[New Ark SKU],Table9[Back Glass],,0)</f>
        <v>White glazing</v>
      </c>
      <c r="BH348" s="431" t="str">
        <f>_xlfn.XLOOKUP(PV_DATA[[#This Row],[PORT DESTINATION]],Table12[PORT DESTINATION],Table12[Cosco Line],,0)</f>
        <v>AEU</v>
      </c>
      <c r="BJ348" s="430"/>
    </row>
    <row r="349" spans="1:62" hidden="1">
      <c r="A349" s="462" t="s">
        <v>1719</v>
      </c>
      <c r="B349" s="462" t="s">
        <v>111</v>
      </c>
      <c r="C349" s="462" t="str">
        <f>IFERROR(LEFT(PV_DATA[[#This Row],[TCL REFERENCE]],FIND(".",PV_DATA[[#This Row],[TCL REFERENCE]],1)-1),"Main Line")</f>
        <v>26Feb007</v>
      </c>
      <c r="D349" s="462" t="s">
        <v>63</v>
      </c>
      <c r="E349" s="462" t="s">
        <v>64</v>
      </c>
      <c r="F349" s="462" t="str" cm="1">
        <f t="array" ref="F34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49" s="462" t="s">
        <v>402</v>
      </c>
      <c r="H349" s="462" t="s">
        <v>67</v>
      </c>
      <c r="I349" s="439" t="s">
        <v>689</v>
      </c>
      <c r="J349" s="430" t="s">
        <v>96</v>
      </c>
      <c r="K349" s="430"/>
      <c r="L349" s="430"/>
      <c r="M349" s="430" t="s">
        <v>68</v>
      </c>
      <c r="N349" s="432">
        <v>46083</v>
      </c>
      <c r="O349" s="430" t="s">
        <v>473</v>
      </c>
      <c r="P349" s="430" t="s">
        <v>529</v>
      </c>
      <c r="Q349" s="430" t="s">
        <v>1311</v>
      </c>
      <c r="R349" s="431" t="str">
        <f>_xlfn.XLOOKUP(PV_DATA[[#This Row],[New Ark SKU]],Table9[New Ark SKU],Table9[Connector],,0)</f>
        <v>EVO2A</v>
      </c>
      <c r="S349" s="442" t="str">
        <f>_xlfn.XLOOKUP(PV_DATA[[#This Row],[New Ark SKU]],Table9[New Ark SKU],Table9[Cable],,0)</f>
        <v>±1200mm</v>
      </c>
      <c r="T349" s="433">
        <v>455</v>
      </c>
      <c r="U349" s="1062">
        <f>864*5</f>
        <v>4320</v>
      </c>
      <c r="V349" s="434">
        <f>PV_DATA[[#This Row],[QUANTITY]]*PV_DATA[[#This Row],[WATT]]/1000000</f>
        <v>1.9656</v>
      </c>
      <c r="W349" s="435">
        <f>PV_DATA[[#This Row],[QUANTITY]]/PV_DATA[[#This Row],[Qty/Pallet]]</f>
        <v>120</v>
      </c>
      <c r="X349" s="1020">
        <f>PV_DATA[[#This Row],[QUANTITY]]/PV_DATA[[#This Row],[Qty/CT]]</f>
        <v>5</v>
      </c>
      <c r="Y349" s="430" t="s">
        <v>75</v>
      </c>
      <c r="Z349" s="430" t="str">
        <f t="shared" si="2"/>
        <v>COMPLETED</v>
      </c>
      <c r="AA349" s="430"/>
      <c r="AB349" s="437">
        <v>46099</v>
      </c>
      <c r="AC349" s="438">
        <f>IF(PV_DATA[[#This Row],[Pick-Up Date]]&lt;&gt;"",_xlfn.ISOWEEKNUM(PV_DATA[[#This Row],[Pick-Up Date]]),"")</f>
        <v>12</v>
      </c>
      <c r="AD349" s="439" t="s">
        <v>1716</v>
      </c>
      <c r="AE349" s="430"/>
      <c r="AF349" s="430" t="s">
        <v>4425</v>
      </c>
      <c r="AG349" s="430" t="s">
        <v>123</v>
      </c>
      <c r="AH349" s="430" t="s">
        <v>105</v>
      </c>
      <c r="AI349" s="437">
        <v>46103</v>
      </c>
      <c r="AJ349" s="437">
        <v>46110</v>
      </c>
      <c r="AK349" s="441">
        <v>46110</v>
      </c>
      <c r="AL349" s="437">
        <v>46140</v>
      </c>
      <c r="AM349" s="437">
        <v>46169</v>
      </c>
      <c r="AN349" s="437">
        <v>46170</v>
      </c>
      <c r="AO349" s="430" t="s">
        <v>402</v>
      </c>
      <c r="AP349" s="430" t="s">
        <v>1720</v>
      </c>
      <c r="AQ349" s="430" t="s">
        <v>80</v>
      </c>
      <c r="AR349" s="430" t="s">
        <v>1721</v>
      </c>
      <c r="AS349" s="430" t="s">
        <v>1722</v>
      </c>
      <c r="AT349" s="482" t="s">
        <v>1722</v>
      </c>
      <c r="AU34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</v>
      </c>
      <c r="AW349" s="437" cm="1">
        <f t="array" ref="AW34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46170</v>
      </c>
      <c r="AX34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49" s="437">
        <f>IF(ISERROR(PV_DATA[[#This Row],[New Ark PO status]]),"",_xlfn.XLOOKUP(PV_DATA[[#This Row],[SPTN-PVHK New Ark PO'#]],New_Ark_Data[Purchase order Number],New_Ark_Data[Estimated time of arrival],"",0))</f>
        <v>46171</v>
      </c>
      <c r="AZ349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49" s="437">
        <f>IFERROR(PV_DATA[[#This Row],[ODP ETA Port]]+PV_DATA[[#This Row],[Customs/Leg3 Assumption]],"n/a")</f>
        <v>46177</v>
      </c>
      <c r="BB349" s="433">
        <f>YEAR(PV_DATA[[#This Row],[ETA for New Ark update]])</f>
        <v>2026</v>
      </c>
      <c r="BC349" s="430">
        <f>MONTH(PV_DATA[[#This Row],[ETA for New Ark update]])</f>
        <v>6</v>
      </c>
      <c r="BD349" s="430">
        <f>IFERROR(_xlfn.ISOWEEKNUM(PV_DATA[[#This Row],[ETA for New Ark update]]),0)</f>
        <v>23</v>
      </c>
      <c r="BE349" s="431">
        <f>_xlfn.XLOOKUP(PV_DATA[[#This Row],[New Ark SKU]],Table9[New Ark SKU],Table9[Total PCS per Pallet],,0)</f>
        <v>36</v>
      </c>
      <c r="BF349" s="431">
        <f>_xlfn.XLOOKUP(PV_DATA[[#This Row],[New Ark SKU]],Table9[New Ark SKU],Table9[Total PCS per 40HQ Container],,0)</f>
        <v>864</v>
      </c>
      <c r="BG349" s="431" t="str">
        <f>_xlfn.XLOOKUP(PV_DATA[[#This Row],[New Ark SKU]],Table9[New Ark SKU],Table9[Back Glass],,0)</f>
        <v>Black glazing</v>
      </c>
      <c r="BH349" s="431" t="str">
        <f>_xlfn.XLOOKUP(PV_DATA[[#This Row],[PORT DESTINATION]],Table12[PORT DESTINATION],Table12[Cosco Line],,0)</f>
        <v>AEU</v>
      </c>
      <c r="BJ349" s="430"/>
    </row>
    <row r="350" spans="1:62" hidden="1">
      <c r="A350" s="462" t="s">
        <v>1723</v>
      </c>
      <c r="B350" s="462" t="s">
        <v>111</v>
      </c>
      <c r="C350" s="462" t="str">
        <f>IFERROR(LEFT(PV_DATA[[#This Row],[TCL REFERENCE]],FIND(".",PV_DATA[[#This Row],[TCL REFERENCE]],1)-1),"Main Line")</f>
        <v>26Feb008</v>
      </c>
      <c r="D350" s="462" t="s">
        <v>63</v>
      </c>
      <c r="E350" s="462" t="s">
        <v>64</v>
      </c>
      <c r="F350" s="462" t="str" cm="1">
        <f t="array" ref="F35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350" s="462" t="s">
        <v>402</v>
      </c>
      <c r="H350" s="462" t="s">
        <v>311</v>
      </c>
      <c r="I350" s="439" t="s">
        <v>689</v>
      </c>
      <c r="J350" s="430" t="s">
        <v>1342</v>
      </c>
      <c r="K350" s="430"/>
      <c r="L350" s="430"/>
      <c r="M350" s="430" t="s">
        <v>68</v>
      </c>
      <c r="N350" s="432">
        <v>46083</v>
      </c>
      <c r="O350" s="430" t="s">
        <v>473</v>
      </c>
      <c r="P350" s="430" t="s">
        <v>474</v>
      </c>
      <c r="Q350" s="430" t="s">
        <v>1319</v>
      </c>
      <c r="R350" s="431" t="str">
        <f>_xlfn.XLOOKUP(PV_DATA[[#This Row],[New Ark SKU]],Table9[New Ark SKU],Table9[Connector],,0)</f>
        <v>EVO2A</v>
      </c>
      <c r="S350" s="442" t="str">
        <f>_xlfn.XLOOKUP(PV_DATA[[#This Row],[New Ark SKU]],Table9[New Ark SKU],Table9[Cable],,0)</f>
        <v>±1200mm</v>
      </c>
      <c r="T350" s="433">
        <v>460</v>
      </c>
      <c r="U350" s="1062">
        <f>864*3</f>
        <v>2592</v>
      </c>
      <c r="V350" s="434">
        <f>PV_DATA[[#This Row],[QUANTITY]]*PV_DATA[[#This Row],[WATT]]/1000000</f>
        <v>1.19232</v>
      </c>
      <c r="W350" s="435">
        <f>PV_DATA[[#This Row],[QUANTITY]]/PV_DATA[[#This Row],[Qty/Pallet]]</f>
        <v>72</v>
      </c>
      <c r="X350" s="1015">
        <f>PV_DATA[[#This Row],[QUANTITY]]/PV_DATA[[#This Row],[Qty/CT]]</f>
        <v>3</v>
      </c>
      <c r="Y350" s="430" t="s">
        <v>75</v>
      </c>
      <c r="Z350" s="430" t="str">
        <f t="shared" si="2"/>
        <v>COMPLETED</v>
      </c>
      <c r="AA350" s="430"/>
      <c r="AB350" s="437">
        <v>46104</v>
      </c>
      <c r="AC350" s="438">
        <f>IF(PV_DATA[[#This Row],[Pick-Up Date]]&lt;&gt;"",_xlfn.ISOWEEKNUM(PV_DATA[[#This Row],[Pick-Up Date]]),"")</f>
        <v>13</v>
      </c>
      <c r="AD350" s="439" t="s">
        <v>1724</v>
      </c>
      <c r="AE350" s="430"/>
      <c r="AF350" s="430" t="s">
        <v>4421</v>
      </c>
      <c r="AG350" s="430" t="s">
        <v>123</v>
      </c>
      <c r="AH350" s="430" t="s">
        <v>314</v>
      </c>
      <c r="AI350" s="437">
        <v>46111</v>
      </c>
      <c r="AJ350" s="437">
        <v>46114</v>
      </c>
      <c r="AK350" s="441">
        <v>46114</v>
      </c>
      <c r="AL350" s="437">
        <v>46155</v>
      </c>
      <c r="AM350" s="437">
        <v>46162</v>
      </c>
      <c r="AN350" s="437">
        <v>46162</v>
      </c>
      <c r="AO350" s="430" t="s">
        <v>402</v>
      </c>
      <c r="AP350" s="430" t="s">
        <v>1725</v>
      </c>
      <c r="AQ350" s="430" t="s">
        <v>80</v>
      </c>
      <c r="AR350" s="430" t="s">
        <v>1726</v>
      </c>
      <c r="AS350" s="430" t="s">
        <v>1727</v>
      </c>
      <c r="AT350" s="482" t="s">
        <v>1727</v>
      </c>
      <c r="AU35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</v>
      </c>
      <c r="AW350" s="437" cm="1">
        <f t="array" ref="AW35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46162</v>
      </c>
      <c r="AX35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50" s="437">
        <f>IF(ISERROR(PV_DATA[[#This Row],[New Ark PO status]]),"",_xlfn.XLOOKUP(PV_DATA[[#This Row],[SPTN-PVHK New Ark PO'#]],New_Ark_Data[Purchase order Number],New_Ark_Data[Estimated time of arrival],"",0))</f>
        <v>46176</v>
      </c>
      <c r="AZ350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350" s="437">
        <f>IFERROR(PV_DATA[[#This Row],[ODP ETA Port]]+PV_DATA[[#This Row],[Customs/Leg3 Assumption]],"n/a")</f>
        <v>46172</v>
      </c>
      <c r="BB350" s="433">
        <f>YEAR(PV_DATA[[#This Row],[ETA for New Ark update]])</f>
        <v>2026</v>
      </c>
      <c r="BC350" s="430">
        <f>MONTH(PV_DATA[[#This Row],[ETA for New Ark update]])</f>
        <v>5</v>
      </c>
      <c r="BD350" s="430">
        <f>IFERROR(_xlfn.ISOWEEKNUM(PV_DATA[[#This Row],[ETA for New Ark update]]),0)</f>
        <v>22</v>
      </c>
      <c r="BE350" s="431">
        <f>_xlfn.XLOOKUP(PV_DATA[[#This Row],[New Ark SKU]],Table9[New Ark SKU],Table9[Total PCS per Pallet],,0)</f>
        <v>36</v>
      </c>
      <c r="BF350" s="431">
        <f>_xlfn.XLOOKUP(PV_DATA[[#This Row],[New Ark SKU]],Table9[New Ark SKU],Table9[Total PCS per 40HQ Container],,0)</f>
        <v>864</v>
      </c>
      <c r="BG350" s="431" t="str">
        <f>_xlfn.XLOOKUP(PV_DATA[[#This Row],[New Ark SKU]],Table9[New Ark SKU],Table9[Back Glass],,0)</f>
        <v>Black glazing</v>
      </c>
      <c r="BH350" s="431" t="str">
        <f>_xlfn.XLOOKUP(PV_DATA[[#This Row],[PORT DESTINATION]],Table12[PORT DESTINATION],Table12[Cosco Line],,0)</f>
        <v>AEM</v>
      </c>
      <c r="BJ350" s="430"/>
    </row>
    <row r="351" spans="1:62" hidden="1">
      <c r="A351" s="462" t="s">
        <v>1728</v>
      </c>
      <c r="B351" s="462" t="s">
        <v>111</v>
      </c>
      <c r="C351" s="462" t="str">
        <f>IFERROR(LEFT(PV_DATA[[#This Row],[TCL REFERENCE]],FIND(".",PV_DATA[[#This Row],[TCL REFERENCE]],1)-1),"Main Line")</f>
        <v>26Feb005</v>
      </c>
      <c r="D351" s="462" t="s">
        <v>63</v>
      </c>
      <c r="E351" s="462" t="s">
        <v>64</v>
      </c>
      <c r="F351" s="462" t="str" cm="1">
        <f t="array" ref="F35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351" s="462" t="s">
        <v>402</v>
      </c>
      <c r="H351" s="462" t="s">
        <v>311</v>
      </c>
      <c r="I351" s="439" t="s">
        <v>689</v>
      </c>
      <c r="J351" s="430" t="s">
        <v>1730</v>
      </c>
      <c r="K351" s="430"/>
      <c r="L351" s="430"/>
      <c r="M351" s="430" t="s">
        <v>68</v>
      </c>
      <c r="N351" s="432">
        <v>46111</v>
      </c>
      <c r="O351" s="430" t="s">
        <v>170</v>
      </c>
      <c r="P351" s="430" t="s">
        <v>171</v>
      </c>
      <c r="Q351" s="430" t="s">
        <v>1731</v>
      </c>
      <c r="R351" s="431" t="str">
        <f>_xlfn.XLOOKUP(PV_DATA[[#This Row],[New Ark SKU]],Table9[New Ark SKU],Table9[Connector],,0)</f>
        <v>EVO2A</v>
      </c>
      <c r="S351" s="442" t="str">
        <f>_xlfn.XLOOKUP(PV_DATA[[#This Row],[New Ark SKU]],Table9[New Ark SKU],Table9[Cable],,0)</f>
        <v>±1400mm</v>
      </c>
      <c r="T351" s="433">
        <v>555</v>
      </c>
      <c r="U351" s="1062">
        <f>660*2</f>
        <v>1320</v>
      </c>
      <c r="V351" s="434">
        <f>PV_DATA[[#This Row],[QUANTITY]]*PV_DATA[[#This Row],[WATT]]/1000000</f>
        <v>0.73260000000000003</v>
      </c>
      <c r="W351" s="435">
        <f>PV_DATA[[#This Row],[QUANTITY]]/PV_DATA[[#This Row],[Qty/Pallet]]</f>
        <v>40</v>
      </c>
      <c r="X351" s="1015">
        <f>PV_DATA[[#This Row],[QUANTITY]]/PV_DATA[[#This Row],[Qty/CT]]</f>
        <v>2</v>
      </c>
      <c r="Y351" s="430" t="s">
        <v>75</v>
      </c>
      <c r="Z351" s="430" t="str">
        <f t="shared" si="2"/>
        <v>COMPLETED</v>
      </c>
      <c r="AA351" s="430"/>
      <c r="AB351" s="437">
        <v>46107</v>
      </c>
      <c r="AC351" s="438">
        <f>IF(PV_DATA[[#This Row],[Pick-Up Date]]&lt;&gt;"",_xlfn.ISOWEEKNUM(PV_DATA[[#This Row],[Pick-Up Date]]),"")</f>
        <v>13</v>
      </c>
      <c r="AD351" s="439" t="s">
        <v>1732</v>
      </c>
      <c r="AE351" s="430"/>
      <c r="AF351" s="430" t="s">
        <v>4426</v>
      </c>
      <c r="AG351" s="430" t="s">
        <v>123</v>
      </c>
      <c r="AH351" s="430" t="s">
        <v>314</v>
      </c>
      <c r="AI351" s="437">
        <v>46111</v>
      </c>
      <c r="AJ351" s="437">
        <v>46114</v>
      </c>
      <c r="AK351" s="441">
        <v>46114</v>
      </c>
      <c r="AL351" s="437">
        <v>46155</v>
      </c>
      <c r="AM351" s="437">
        <v>46162</v>
      </c>
      <c r="AN351" s="437">
        <v>46162</v>
      </c>
      <c r="AP351" s="430" t="s">
        <v>1725</v>
      </c>
      <c r="AQ351" s="430" t="s">
        <v>80</v>
      </c>
      <c r="AR351" s="430" t="s">
        <v>1726</v>
      </c>
      <c r="AS351" s="430" t="s">
        <v>1727</v>
      </c>
      <c r="AT351" s="482" t="s">
        <v>1727</v>
      </c>
      <c r="AU35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</v>
      </c>
      <c r="AW351" s="437" cm="1">
        <f t="array" ref="AW35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46162</v>
      </c>
      <c r="AX35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51" s="437">
        <f>IF(ISERROR(PV_DATA[[#This Row],[New Ark PO status]]),"",_xlfn.XLOOKUP(PV_DATA[[#This Row],[SPTN-PVHK New Ark PO'#]],New_Ark_Data[Purchase order Number],New_Ark_Data[Estimated time of arrival],"",0))</f>
        <v>46176</v>
      </c>
      <c r="AZ351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351" s="437">
        <f>IFERROR(PV_DATA[[#This Row],[ODP ETA Port]]+PV_DATA[[#This Row],[Customs/Leg3 Assumption]],"n/a")</f>
        <v>46172</v>
      </c>
      <c r="BB351" s="433">
        <f>YEAR(PV_DATA[[#This Row],[ETA for New Ark update]])</f>
        <v>2026</v>
      </c>
      <c r="BC351" s="430">
        <f>MONTH(PV_DATA[[#This Row],[ETA for New Ark update]])</f>
        <v>5</v>
      </c>
      <c r="BD351" s="430">
        <f>IFERROR(_xlfn.ISOWEEKNUM(PV_DATA[[#This Row],[ETA for New Ark update]]),0)</f>
        <v>22</v>
      </c>
      <c r="BE351" s="431">
        <f>_xlfn.XLOOKUP(PV_DATA[[#This Row],[New Ark SKU]],Table9[New Ark SKU],Table9[Total PCS per Pallet],,0)</f>
        <v>33</v>
      </c>
      <c r="BF351" s="431">
        <f>_xlfn.XLOOKUP(PV_DATA[[#This Row],[New Ark SKU]],Table9[New Ark SKU],Table9[Total PCS per 40HQ Container],,0)</f>
        <v>660</v>
      </c>
      <c r="BG351" s="431" t="str">
        <f>_xlfn.XLOOKUP(PV_DATA[[#This Row],[New Ark SKU]],Table9[New Ark SKU],Table9[Back Glass],,0)</f>
        <v>White glazing</v>
      </c>
      <c r="BH351" s="431" t="str">
        <f>_xlfn.XLOOKUP(PV_DATA[[#This Row],[PORT DESTINATION]],Table12[PORT DESTINATION],Table12[Cosco Line],,0)</f>
        <v>AEM</v>
      </c>
      <c r="BJ351" s="430"/>
    </row>
    <row r="352" spans="1:62" ht="10.5" hidden="1">
      <c r="A352" s="462" t="s">
        <v>1733</v>
      </c>
      <c r="B352" s="462" t="s">
        <v>111</v>
      </c>
      <c r="C352" s="462" t="str">
        <f>IFERROR(LEFT(PV_DATA[[#This Row],[TCL REFERENCE]],FIND(".",PV_DATA[[#This Row],[TCL REFERENCE]],1)-1),"Main Line")</f>
        <v>26Feb036</v>
      </c>
      <c r="D352" s="462" t="s">
        <v>113</v>
      </c>
      <c r="E352" s="462" t="s">
        <v>64</v>
      </c>
      <c r="F352" s="462" t="str" cm="1">
        <f t="array" ref="F35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352" s="462" t="s">
        <v>402</v>
      </c>
      <c r="H352" s="462" t="s">
        <v>67</v>
      </c>
      <c r="I352" s="439" t="s">
        <v>822</v>
      </c>
      <c r="J352" s="430" t="s">
        <v>1327</v>
      </c>
      <c r="K352" s="430"/>
      <c r="L352" s="430"/>
      <c r="M352" s="430" t="s">
        <v>68</v>
      </c>
      <c r="N352" s="432" t="s">
        <v>68</v>
      </c>
      <c r="O352" s="430" t="s">
        <v>70</v>
      </c>
      <c r="P352" s="430" t="s">
        <v>378</v>
      </c>
      <c r="Q352" s="459" t="s">
        <v>379</v>
      </c>
      <c r="R352" s="431" t="str">
        <f>_xlfn.XLOOKUP(PV_DATA[[#This Row],[New Ark SKU]],Table9[New Ark SKU],Table9[Connector],,0)</f>
        <v>EVO2A</v>
      </c>
      <c r="S352" s="442" t="str">
        <f>_xlfn.XLOOKUP(PV_DATA[[#This Row],[New Ark SKU]],Table9[New Ark SKU],Table9[Cable],,0)</f>
        <v>±1400mm</v>
      </c>
      <c r="T352" s="433">
        <v>620</v>
      </c>
      <c r="U352" s="1062">
        <f>720*2</f>
        <v>1440</v>
      </c>
      <c r="V352" s="434">
        <f>PV_DATA[[#This Row],[QUANTITY]]*PV_DATA[[#This Row],[WATT]]/1000000</f>
        <v>0.89280000000000004</v>
      </c>
      <c r="W352" s="435">
        <f>PV_DATA[[#This Row],[QUANTITY]]/PV_DATA[[#This Row],[Qty/Pallet]]</f>
        <v>40</v>
      </c>
      <c r="X352" s="1015">
        <f>PV_DATA[[#This Row],[QUANTITY]]/PV_DATA[[#This Row],[Qty/CT]]</f>
        <v>2</v>
      </c>
      <c r="Y352" s="430" t="s">
        <v>75</v>
      </c>
      <c r="Z352" s="430" t="str">
        <f t="shared" si="2"/>
        <v>COMPLETED</v>
      </c>
      <c r="AA352" s="430" t="s">
        <v>1735</v>
      </c>
      <c r="AB352" s="437">
        <v>46101</v>
      </c>
      <c r="AC352" s="438">
        <f>IF(PV_DATA[[#This Row],[Pick-Up Date]]&lt;&gt;"",_xlfn.ISOWEEKNUM(PV_DATA[[#This Row],[Pick-Up Date]]),"")</f>
        <v>12</v>
      </c>
      <c r="AD352" s="439" t="s">
        <v>1736</v>
      </c>
      <c r="AE352" s="430"/>
      <c r="AF352" s="430" t="s">
        <v>122</v>
      </c>
      <c r="AG352" s="430" t="s">
        <v>123</v>
      </c>
      <c r="AH352" s="430" t="s">
        <v>78</v>
      </c>
      <c r="AI352" s="437">
        <v>46105</v>
      </c>
      <c r="AJ352" s="437">
        <v>46105</v>
      </c>
      <c r="AK352" s="441">
        <v>46105</v>
      </c>
      <c r="AL352" s="437">
        <v>46154</v>
      </c>
      <c r="AM352" s="437">
        <v>46151</v>
      </c>
      <c r="AN352" s="437">
        <v>46151</v>
      </c>
      <c r="AO352" s="430" t="s">
        <v>402</v>
      </c>
      <c r="AP352" s="430" t="s">
        <v>930</v>
      </c>
      <c r="AQ352" s="430" t="s">
        <v>80</v>
      </c>
      <c r="AR352" s="430" t="s">
        <v>931</v>
      </c>
      <c r="AS352" s="430" t="s">
        <v>932</v>
      </c>
      <c r="AT352" s="482" t="s">
        <v>932</v>
      </c>
      <c r="AU35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352" s="437" cm="1">
        <f t="array" ref="AW35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46151</v>
      </c>
      <c r="AX35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52" s="437">
        <f>IF(ISERROR(PV_DATA[[#This Row],[New Ark PO status]]),"",_xlfn.XLOOKUP(PV_DATA[[#This Row],[SPTN-PVHK New Ark PO'#]],New_Ark_Data[Purchase order Number],New_Ark_Data[Estimated time of arrival],"",0))</f>
        <v>46161</v>
      </c>
      <c r="AZ352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352" s="437">
        <f>IFERROR(PV_DATA[[#This Row],[ODP ETA Port]]+PV_DATA[[#This Row],[Customs/Leg3 Assumption]],"n/a")</f>
        <v>46159</v>
      </c>
      <c r="BB352" s="433">
        <f>YEAR(PV_DATA[[#This Row],[ETA for New Ark update]])</f>
        <v>2026</v>
      </c>
      <c r="BC352" s="430">
        <f>MONTH(PV_DATA[[#This Row],[ETA for New Ark update]])</f>
        <v>5</v>
      </c>
      <c r="BD352" s="430">
        <f>IFERROR(_xlfn.ISOWEEKNUM(PV_DATA[[#This Row],[ETA for New Ark update]]),0)</f>
        <v>20</v>
      </c>
      <c r="BE352" s="431">
        <f>_xlfn.XLOOKUP(PV_DATA[[#This Row],[New Ark SKU]],Table9[New Ark SKU],Table9[Total PCS per Pallet],,0)</f>
        <v>36</v>
      </c>
      <c r="BF352" s="431">
        <f>_xlfn.XLOOKUP(PV_DATA[[#This Row],[New Ark SKU]],Table9[New Ark SKU],Table9[Total PCS per 40HQ Container],,0)</f>
        <v>720</v>
      </c>
      <c r="BG352" s="431" t="str">
        <f>_xlfn.XLOOKUP(PV_DATA[[#This Row],[New Ark SKU]],Table9[New Ark SKU],Table9[Back Glass],,0)</f>
        <v>Redirection Film</v>
      </c>
      <c r="BH352" s="431" t="str">
        <f>_xlfn.XLOOKUP(PV_DATA[[#This Row],[PORT DESTINATION]],Table12[PORT DESTINATION],Table12[Cosco Line],,0)</f>
        <v>AEM</v>
      </c>
      <c r="BJ352" s="430"/>
    </row>
    <row r="353" spans="1:62" ht="10.5" hidden="1">
      <c r="A353" s="462" t="s">
        <v>1737</v>
      </c>
      <c r="B353" s="462" t="s">
        <v>111</v>
      </c>
      <c r="C353" s="462" t="str">
        <f>IFERROR(LEFT(PV_DATA[[#This Row],[TCL REFERENCE]],FIND(".",PV_DATA[[#This Row],[TCL REFERENCE]],1)-1),"Main Line")</f>
        <v>26Feb036</v>
      </c>
      <c r="D353" s="462" t="s">
        <v>113</v>
      </c>
      <c r="E353" s="462" t="s">
        <v>64</v>
      </c>
      <c r="F353" s="462" t="str" cm="1">
        <f t="array" ref="F35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353" s="462" t="s">
        <v>402</v>
      </c>
      <c r="H353" s="462" t="s">
        <v>67</v>
      </c>
      <c r="I353" s="439" t="s">
        <v>822</v>
      </c>
      <c r="J353" s="430" t="s">
        <v>1327</v>
      </c>
      <c r="K353" s="430"/>
      <c r="L353" s="430"/>
      <c r="M353" s="430" t="s">
        <v>68</v>
      </c>
      <c r="N353" s="432" t="s">
        <v>68</v>
      </c>
      <c r="O353" s="430" t="s">
        <v>70</v>
      </c>
      <c r="P353" s="430" t="s">
        <v>378</v>
      </c>
      <c r="Q353" s="459" t="s">
        <v>379</v>
      </c>
      <c r="R353" s="431" t="str">
        <f>_xlfn.XLOOKUP(PV_DATA[[#This Row],[New Ark SKU]],Table9[New Ark SKU],Table9[Connector],,0)</f>
        <v>EVO2A</v>
      </c>
      <c r="S353" s="442" t="str">
        <f>_xlfn.XLOOKUP(PV_DATA[[#This Row],[New Ark SKU]],Table9[New Ark SKU],Table9[Cable],,0)</f>
        <v>±1400mm</v>
      </c>
      <c r="T353" s="433">
        <v>620</v>
      </c>
      <c r="U353" s="1062">
        <v>612</v>
      </c>
      <c r="V353" s="434">
        <f>PV_DATA[[#This Row],[QUANTITY]]*PV_DATA[[#This Row],[WATT]]/1000000</f>
        <v>0.37944</v>
      </c>
      <c r="W353" s="435">
        <f>PV_DATA[[#This Row],[QUANTITY]]/PV_DATA[[#This Row],[Qty/Pallet]]</f>
        <v>17</v>
      </c>
      <c r="X353" s="1015">
        <f>PV_DATA[[#This Row],[QUANTITY]]/PV_DATA[[#This Row],[Qty/CT]]</f>
        <v>0.85</v>
      </c>
      <c r="Y353" s="430" t="s">
        <v>75</v>
      </c>
      <c r="Z353" s="430" t="str">
        <f t="shared" si="2"/>
        <v>COMPLETED</v>
      </c>
      <c r="AA353" s="430"/>
      <c r="AB353" s="437">
        <v>46100</v>
      </c>
      <c r="AC353" s="438">
        <f>IF(PV_DATA[[#This Row],[Pick-Up Date]]&lt;&gt;"",_xlfn.ISOWEEKNUM(PV_DATA[[#This Row],[Pick-Up Date]]),"")</f>
        <v>12</v>
      </c>
      <c r="AD353" s="439" t="s">
        <v>1738</v>
      </c>
      <c r="AE353" s="430"/>
      <c r="AF353" s="430" t="s">
        <v>122</v>
      </c>
      <c r="AG353" s="430" t="s">
        <v>123</v>
      </c>
      <c r="AH353" s="430" t="s">
        <v>78</v>
      </c>
      <c r="AI353" s="437">
        <v>46105</v>
      </c>
      <c r="AJ353" s="437">
        <v>46105</v>
      </c>
      <c r="AK353" s="441">
        <v>46105</v>
      </c>
      <c r="AL353" s="437">
        <v>46154</v>
      </c>
      <c r="AM353" s="437">
        <v>46151</v>
      </c>
      <c r="AN353" s="437">
        <v>46151</v>
      </c>
      <c r="AO353" s="430" t="s">
        <v>402</v>
      </c>
      <c r="AP353" s="430" t="s">
        <v>1739</v>
      </c>
      <c r="AQ353" s="430" t="s">
        <v>80</v>
      </c>
      <c r="AR353" s="430" t="s">
        <v>931</v>
      </c>
      <c r="AS353" s="430" t="s">
        <v>932</v>
      </c>
      <c r="AT353" s="482" t="s">
        <v>932</v>
      </c>
      <c r="AU35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353" s="437" cm="1">
        <f t="array" ref="AW35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46151</v>
      </c>
      <c r="AX35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53" s="437">
        <f>IF(ISERROR(PV_DATA[[#This Row],[New Ark PO status]]),"",_xlfn.XLOOKUP(PV_DATA[[#This Row],[SPTN-PVHK New Ark PO'#]],New_Ark_Data[Purchase order Number],New_Ark_Data[Estimated time of arrival],"",0))</f>
        <v>46161</v>
      </c>
      <c r="AZ353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353" s="437">
        <f>IFERROR(PV_DATA[[#This Row],[ODP ETA Port]]+PV_DATA[[#This Row],[Customs/Leg3 Assumption]],"n/a")</f>
        <v>46159</v>
      </c>
      <c r="BB353" s="433">
        <f>YEAR(PV_DATA[[#This Row],[ETA for New Ark update]])</f>
        <v>2026</v>
      </c>
      <c r="BC353" s="430">
        <f>MONTH(PV_DATA[[#This Row],[ETA for New Ark update]])</f>
        <v>5</v>
      </c>
      <c r="BD353" s="430">
        <f>IFERROR(_xlfn.ISOWEEKNUM(PV_DATA[[#This Row],[ETA for New Ark update]]),0)</f>
        <v>20</v>
      </c>
      <c r="BE353" s="431">
        <f>_xlfn.XLOOKUP(PV_DATA[[#This Row],[New Ark SKU]],Table9[New Ark SKU],Table9[Total PCS per Pallet],,0)</f>
        <v>36</v>
      </c>
      <c r="BF353" s="431">
        <f>_xlfn.XLOOKUP(PV_DATA[[#This Row],[New Ark SKU]],Table9[New Ark SKU],Table9[Total PCS per 40HQ Container],,0)</f>
        <v>720</v>
      </c>
      <c r="BG353" s="431" t="str">
        <f>_xlfn.XLOOKUP(PV_DATA[[#This Row],[New Ark SKU]],Table9[New Ark SKU],Table9[Back Glass],,0)</f>
        <v>Redirection Film</v>
      </c>
      <c r="BH353" s="431" t="str">
        <f>_xlfn.XLOOKUP(PV_DATA[[#This Row],[PORT DESTINATION]],Table12[PORT DESTINATION],Table12[Cosco Line],,0)</f>
        <v>AEM</v>
      </c>
      <c r="BJ353" s="430"/>
    </row>
    <row r="354" spans="1:62" ht="10.5" hidden="1">
      <c r="A354" s="462" t="s">
        <v>1740</v>
      </c>
      <c r="B354" s="462" t="s">
        <v>111</v>
      </c>
      <c r="C354" s="462" t="str">
        <f>IFERROR(LEFT(PV_DATA[[#This Row],[TCL REFERENCE]],FIND(".",PV_DATA[[#This Row],[TCL REFERENCE]],1)-1),"Main Line")</f>
        <v>26Feb037</v>
      </c>
      <c r="D354" s="462" t="s">
        <v>113</v>
      </c>
      <c r="E354" s="462" t="s">
        <v>64</v>
      </c>
      <c r="F354" s="462" t="str" cm="1">
        <f t="array" ref="F35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354" s="462" t="s">
        <v>402</v>
      </c>
      <c r="H354" s="462" t="s">
        <v>67</v>
      </c>
      <c r="I354" s="439" t="s">
        <v>822</v>
      </c>
      <c r="J354" s="430" t="s">
        <v>1327</v>
      </c>
      <c r="K354" s="430"/>
      <c r="L354" s="430"/>
      <c r="M354" s="430" t="s">
        <v>68</v>
      </c>
      <c r="N354" s="432" t="s">
        <v>68</v>
      </c>
      <c r="O354" s="430" t="s">
        <v>70</v>
      </c>
      <c r="P354" s="430" t="s">
        <v>218</v>
      </c>
      <c r="Q354" s="459" t="s">
        <v>219</v>
      </c>
      <c r="R354" s="431" t="str">
        <f>_xlfn.XLOOKUP(PV_DATA[[#This Row],[New Ark SKU]],Table9[New Ark SKU],Table9[Connector],,0)</f>
        <v>EVO2A</v>
      </c>
      <c r="S354" s="442" t="str">
        <f>_xlfn.XLOOKUP(PV_DATA[[#This Row],[New Ark SKU]],Table9[New Ark SKU],Table9[Cable],,0)</f>
        <v>±1400mm</v>
      </c>
      <c r="T354" s="433">
        <v>625</v>
      </c>
      <c r="U354" s="1062">
        <v>1008</v>
      </c>
      <c r="V354" s="434">
        <f>PV_DATA[[#This Row],[QUANTITY]]*PV_DATA[[#This Row],[WATT]]/1000000</f>
        <v>0.63</v>
      </c>
      <c r="W354" s="435">
        <f>PV_DATA[[#This Row],[QUANTITY]]/PV_DATA[[#This Row],[Qty/Pallet]]</f>
        <v>28</v>
      </c>
      <c r="X354" s="1015">
        <f>PV_DATA[[#This Row],[QUANTITY]]/PV_DATA[[#This Row],[Qty/CT]]</f>
        <v>1.4</v>
      </c>
      <c r="Y354" s="430" t="s">
        <v>75</v>
      </c>
      <c r="Z354" s="430" t="str">
        <f t="shared" si="2"/>
        <v>COMPLETED</v>
      </c>
      <c r="AA354" s="430"/>
      <c r="AB354" s="437">
        <v>46100</v>
      </c>
      <c r="AC354" s="438">
        <f>IF(PV_DATA[[#This Row],[Pick-Up Date]]&lt;&gt;"",_xlfn.ISOWEEKNUM(PV_DATA[[#This Row],[Pick-Up Date]]),"")</f>
        <v>12</v>
      </c>
      <c r="AD354" s="439" t="s">
        <v>1741</v>
      </c>
      <c r="AE354" s="430"/>
      <c r="AF354" s="430" t="s">
        <v>122</v>
      </c>
      <c r="AG354" s="430" t="s">
        <v>123</v>
      </c>
      <c r="AH354" s="430" t="s">
        <v>78</v>
      </c>
      <c r="AI354" s="437">
        <v>46105</v>
      </c>
      <c r="AJ354" s="437">
        <v>46105</v>
      </c>
      <c r="AK354" s="441">
        <v>46105</v>
      </c>
      <c r="AL354" s="437">
        <v>46154</v>
      </c>
      <c r="AM354" s="437">
        <v>46151</v>
      </c>
      <c r="AN354" s="437">
        <v>46151</v>
      </c>
      <c r="AO354" s="430" t="s">
        <v>402</v>
      </c>
      <c r="AP354" s="430" t="s">
        <v>930</v>
      </c>
      <c r="AQ354" s="430" t="s">
        <v>80</v>
      </c>
      <c r="AR354" s="430" t="s">
        <v>931</v>
      </c>
      <c r="AS354" s="430" t="s">
        <v>932</v>
      </c>
      <c r="AT354" s="482" t="s">
        <v>932</v>
      </c>
      <c r="AU35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354" s="437" cm="1">
        <f t="array" ref="AW35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46151</v>
      </c>
      <c r="AX35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54" s="437">
        <f>IF(ISERROR(PV_DATA[[#This Row],[New Ark PO status]]),"",_xlfn.XLOOKUP(PV_DATA[[#This Row],[SPTN-PVHK New Ark PO'#]],New_Ark_Data[Purchase order Number],New_Ark_Data[Estimated time of arrival],"",0))</f>
        <v>46161</v>
      </c>
      <c r="AZ354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354" s="437">
        <f>IFERROR(PV_DATA[[#This Row],[ODP ETA Port]]+PV_DATA[[#This Row],[Customs/Leg3 Assumption]],"n/a")</f>
        <v>46159</v>
      </c>
      <c r="BB354" s="433">
        <f>YEAR(PV_DATA[[#This Row],[ETA for New Ark update]])</f>
        <v>2026</v>
      </c>
      <c r="BC354" s="430">
        <f>MONTH(PV_DATA[[#This Row],[ETA for New Ark update]])</f>
        <v>5</v>
      </c>
      <c r="BD354" s="430">
        <f>IFERROR(_xlfn.ISOWEEKNUM(PV_DATA[[#This Row],[ETA for New Ark update]]),0)</f>
        <v>20</v>
      </c>
      <c r="BE354" s="431">
        <f>_xlfn.XLOOKUP(PV_DATA[[#This Row],[New Ark SKU]],Table9[New Ark SKU],Table9[Total PCS per Pallet],,0)</f>
        <v>36</v>
      </c>
      <c r="BF354" s="431">
        <f>_xlfn.XLOOKUP(PV_DATA[[#This Row],[New Ark SKU]],Table9[New Ark SKU],Table9[Total PCS per 40HQ Container],,0)</f>
        <v>720</v>
      </c>
      <c r="BG354" s="431" t="str">
        <f>_xlfn.XLOOKUP(PV_DATA[[#This Row],[New Ark SKU]],Table9[New Ark SKU],Table9[Back Glass],,0)</f>
        <v>Redirection Film</v>
      </c>
      <c r="BH354" s="431" t="str">
        <f>_xlfn.XLOOKUP(PV_DATA[[#This Row],[PORT DESTINATION]],Table12[PORT DESTINATION],Table12[Cosco Line],,0)</f>
        <v>AEM</v>
      </c>
      <c r="BJ354" s="430"/>
    </row>
    <row r="355" spans="1:62" ht="10.5" hidden="1">
      <c r="A355" s="462" t="s">
        <v>1742</v>
      </c>
      <c r="B355" s="462" t="s">
        <v>111</v>
      </c>
      <c r="C355" s="462" t="str">
        <f>IFERROR(LEFT(PV_DATA[[#This Row],[TCL REFERENCE]],FIND(".",PV_DATA[[#This Row],[TCL REFERENCE]],1)-1),"Main Line")</f>
        <v>26Feb038</v>
      </c>
      <c r="D355" s="462" t="s">
        <v>113</v>
      </c>
      <c r="E355" s="462" t="s">
        <v>64</v>
      </c>
      <c r="F355" s="462" t="str" cm="1">
        <f t="array" ref="F35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355" s="462" t="s">
        <v>402</v>
      </c>
      <c r="H355" s="462" t="s">
        <v>67</v>
      </c>
      <c r="I355" s="439" t="s">
        <v>822</v>
      </c>
      <c r="J355" s="430" t="s">
        <v>1327</v>
      </c>
      <c r="K355" s="430"/>
      <c r="L355" s="430"/>
      <c r="M355" s="430" t="s">
        <v>68</v>
      </c>
      <c r="N355" s="432" t="s">
        <v>68</v>
      </c>
      <c r="O355" s="430" t="s">
        <v>70</v>
      </c>
      <c r="P355" s="430" t="s">
        <v>1334</v>
      </c>
      <c r="Q355" s="459" t="s">
        <v>1335</v>
      </c>
      <c r="R355" s="431" t="str">
        <f>_xlfn.XLOOKUP(PV_DATA[[#This Row],[New Ark SKU]],Table9[New Ark SKU],Table9[Connector],,0)</f>
        <v>EVO2A</v>
      </c>
      <c r="S355" s="442" t="str">
        <f>_xlfn.XLOOKUP(PV_DATA[[#This Row],[New Ark SKU]],Table9[New Ark SKU],Table9[Cable],,0)</f>
        <v>±1400mm</v>
      </c>
      <c r="T355" s="433">
        <v>630</v>
      </c>
      <c r="U355" s="1062">
        <v>540</v>
      </c>
      <c r="V355" s="434">
        <f>PV_DATA[[#This Row],[QUANTITY]]*PV_DATA[[#This Row],[WATT]]/1000000</f>
        <v>0.3402</v>
      </c>
      <c r="W355" s="435">
        <f>PV_DATA[[#This Row],[QUANTITY]]/PV_DATA[[#This Row],[Qty/Pallet]]</f>
        <v>15</v>
      </c>
      <c r="X355" s="1015">
        <f>PV_DATA[[#This Row],[QUANTITY]]/PV_DATA[[#This Row],[Qty/CT]]</f>
        <v>0.75</v>
      </c>
      <c r="Y355" s="430" t="s">
        <v>75</v>
      </c>
      <c r="Z355" s="430" t="str">
        <f t="shared" si="2"/>
        <v>COMPLETED</v>
      </c>
      <c r="AA355" s="430"/>
      <c r="AB355" s="437">
        <v>46100</v>
      </c>
      <c r="AC355" s="438">
        <f>IF(PV_DATA[[#This Row],[Pick-Up Date]]&lt;&gt;"",_xlfn.ISOWEEKNUM(PV_DATA[[#This Row],[Pick-Up Date]]),"")</f>
        <v>12</v>
      </c>
      <c r="AD355" s="439" t="s">
        <v>1743</v>
      </c>
      <c r="AE355" s="430"/>
      <c r="AF355" s="430" t="s">
        <v>122</v>
      </c>
      <c r="AG355" s="430" t="s">
        <v>123</v>
      </c>
      <c r="AH355" s="430" t="s">
        <v>78</v>
      </c>
      <c r="AI355" s="437">
        <v>46105</v>
      </c>
      <c r="AJ355" s="437">
        <v>46105</v>
      </c>
      <c r="AK355" s="441">
        <v>46105</v>
      </c>
      <c r="AL355" s="437">
        <v>46154</v>
      </c>
      <c r="AM355" s="437">
        <v>46151</v>
      </c>
      <c r="AN355" s="437">
        <v>46151</v>
      </c>
      <c r="AO355" s="430" t="s">
        <v>402</v>
      </c>
      <c r="AP355" s="430" t="s">
        <v>930</v>
      </c>
      <c r="AQ355" s="430" t="s">
        <v>80</v>
      </c>
      <c r="AR355" s="430" t="s">
        <v>931</v>
      </c>
      <c r="AS355" s="430" t="s">
        <v>932</v>
      </c>
      <c r="AT355" s="482" t="s">
        <v>932</v>
      </c>
      <c r="AU35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355" s="437" cm="1">
        <f t="array" ref="AW35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46151</v>
      </c>
      <c r="AX35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55" s="437">
        <f>IF(ISERROR(PV_DATA[[#This Row],[New Ark PO status]]),"",_xlfn.XLOOKUP(PV_DATA[[#This Row],[SPTN-PVHK New Ark PO'#]],New_Ark_Data[Purchase order Number],New_Ark_Data[Estimated time of arrival],"",0))</f>
        <v>46161</v>
      </c>
      <c r="AZ355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355" s="437">
        <f>IFERROR(PV_DATA[[#This Row],[ODP ETA Port]]+PV_DATA[[#This Row],[Customs/Leg3 Assumption]],"n/a")</f>
        <v>46159</v>
      </c>
      <c r="BB355" s="433">
        <f>YEAR(PV_DATA[[#This Row],[ETA for New Ark update]])</f>
        <v>2026</v>
      </c>
      <c r="BC355" s="430">
        <f>MONTH(PV_DATA[[#This Row],[ETA for New Ark update]])</f>
        <v>5</v>
      </c>
      <c r="BD355" s="430">
        <f>IFERROR(_xlfn.ISOWEEKNUM(PV_DATA[[#This Row],[ETA for New Ark update]]),0)</f>
        <v>20</v>
      </c>
      <c r="BE355" s="431">
        <f>_xlfn.XLOOKUP(PV_DATA[[#This Row],[New Ark SKU]],Table9[New Ark SKU],Table9[Total PCS per Pallet],,0)</f>
        <v>36</v>
      </c>
      <c r="BF355" s="431">
        <f>_xlfn.XLOOKUP(PV_DATA[[#This Row],[New Ark SKU]],Table9[New Ark SKU],Table9[Total PCS per 40HQ Container],,0)</f>
        <v>720</v>
      </c>
      <c r="BG355" s="431" t="str">
        <f>_xlfn.XLOOKUP(PV_DATA[[#This Row],[New Ark SKU]],Table9[New Ark SKU],Table9[Back Glass],,0)</f>
        <v>Transparent</v>
      </c>
      <c r="BH355" s="431" t="str">
        <f>_xlfn.XLOOKUP(PV_DATA[[#This Row],[PORT DESTINATION]],Table12[PORT DESTINATION],Table12[Cosco Line],,0)</f>
        <v>AEM</v>
      </c>
      <c r="BJ355" s="430"/>
    </row>
    <row r="356" spans="1:62" ht="10.5" hidden="1">
      <c r="A356" s="462" t="s">
        <v>1744</v>
      </c>
      <c r="B356" s="462" t="s">
        <v>111</v>
      </c>
      <c r="C356" s="462" t="str">
        <f>IFERROR(LEFT(PV_DATA[[#This Row],[TCL REFERENCE]],FIND(".",PV_DATA[[#This Row],[TCL REFERENCE]],1)-1),"Main Line")</f>
        <v>26Feb036</v>
      </c>
      <c r="D356" s="462" t="s">
        <v>113</v>
      </c>
      <c r="E356" s="462" t="s">
        <v>64</v>
      </c>
      <c r="F356" s="462" t="str" cm="1">
        <f t="array" ref="F35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356" s="462" t="s">
        <v>402</v>
      </c>
      <c r="H356" s="462" t="s">
        <v>67</v>
      </c>
      <c r="I356" s="439" t="s">
        <v>822</v>
      </c>
      <c r="J356" s="430" t="s">
        <v>1745</v>
      </c>
      <c r="K356" s="430"/>
      <c r="L356" s="430"/>
      <c r="M356" s="430" t="s">
        <v>68</v>
      </c>
      <c r="N356" s="432" t="s">
        <v>68</v>
      </c>
      <c r="O356" s="430" t="s">
        <v>70</v>
      </c>
      <c r="P356" s="430" t="s">
        <v>378</v>
      </c>
      <c r="Q356" s="459" t="s">
        <v>379</v>
      </c>
      <c r="R356" s="431" t="str">
        <f>_xlfn.XLOOKUP(PV_DATA[[#This Row],[New Ark SKU]],Table9[New Ark SKU],Table9[Connector],,0)</f>
        <v>EVO2A</v>
      </c>
      <c r="S356" s="442" t="str">
        <f>_xlfn.XLOOKUP(PV_DATA[[#This Row],[New Ark SKU]],Table9[New Ark SKU],Table9[Cable],,0)</f>
        <v>±1400mm</v>
      </c>
      <c r="T356" s="433">
        <v>620</v>
      </c>
      <c r="U356" s="1062">
        <v>288</v>
      </c>
      <c r="V356" s="434">
        <f>PV_DATA[[#This Row],[QUANTITY]]*PV_DATA[[#This Row],[WATT]]/1000000</f>
        <v>0.17856</v>
      </c>
      <c r="W356" s="435">
        <f>PV_DATA[[#This Row],[QUANTITY]]/PV_DATA[[#This Row],[Qty/Pallet]]</f>
        <v>8</v>
      </c>
      <c r="X356" s="1015">
        <f>PV_DATA[[#This Row],[QUANTITY]]/PV_DATA[[#This Row],[Qty/CT]]</f>
        <v>0.4</v>
      </c>
      <c r="Y356" s="430" t="s">
        <v>75</v>
      </c>
      <c r="Z356" s="430" t="str">
        <f t="shared" si="2"/>
        <v>COMPLETED</v>
      </c>
      <c r="AA356" s="430"/>
      <c r="AB356" s="437">
        <v>46100</v>
      </c>
      <c r="AC356" s="438">
        <f>IF(PV_DATA[[#This Row],[Pick-Up Date]]&lt;&gt;"",_xlfn.ISOWEEKNUM(PV_DATA[[#This Row],[Pick-Up Date]]),"")</f>
        <v>12</v>
      </c>
      <c r="AD356" s="439" t="s">
        <v>1746</v>
      </c>
      <c r="AE356" s="430"/>
      <c r="AF356" s="430" t="s">
        <v>122</v>
      </c>
      <c r="AG356" s="430" t="s">
        <v>123</v>
      </c>
      <c r="AH356" s="430" t="s">
        <v>78</v>
      </c>
      <c r="AI356" s="437">
        <v>46105</v>
      </c>
      <c r="AJ356" s="437">
        <v>46105</v>
      </c>
      <c r="AK356" s="441">
        <v>46105</v>
      </c>
      <c r="AL356" s="437">
        <v>46154</v>
      </c>
      <c r="AM356" s="437">
        <v>46151</v>
      </c>
      <c r="AN356" s="437">
        <v>46151</v>
      </c>
      <c r="AO356" s="430" t="s">
        <v>402</v>
      </c>
      <c r="AP356" s="430" t="s">
        <v>930</v>
      </c>
      <c r="AQ356" s="430" t="s">
        <v>80</v>
      </c>
      <c r="AR356" s="430" t="s">
        <v>931</v>
      </c>
      <c r="AS356" s="430" t="s">
        <v>932</v>
      </c>
      <c r="AT356" s="482" t="s">
        <v>932</v>
      </c>
      <c r="AU35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356" s="437" cm="1">
        <f t="array" ref="AW35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46151</v>
      </c>
      <c r="AX35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56" s="437">
        <f>IF(ISERROR(PV_DATA[[#This Row],[New Ark PO status]]),"",_xlfn.XLOOKUP(PV_DATA[[#This Row],[SPTN-PVHK New Ark PO'#]],New_Ark_Data[Purchase order Number],New_Ark_Data[Estimated time of arrival],"",0))</f>
        <v>46161</v>
      </c>
      <c r="AZ356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356" s="437">
        <f>IFERROR(PV_DATA[[#This Row],[ODP ETA Port]]+PV_DATA[[#This Row],[Customs/Leg3 Assumption]],"n/a")</f>
        <v>46159</v>
      </c>
      <c r="BB356" s="433">
        <f>YEAR(PV_DATA[[#This Row],[ETA for New Ark update]])</f>
        <v>2026</v>
      </c>
      <c r="BC356" s="430">
        <f>MONTH(PV_DATA[[#This Row],[ETA for New Ark update]])</f>
        <v>5</v>
      </c>
      <c r="BD356" s="430">
        <f>IFERROR(_xlfn.ISOWEEKNUM(PV_DATA[[#This Row],[ETA for New Ark update]]),0)</f>
        <v>20</v>
      </c>
      <c r="BE356" s="431">
        <f>_xlfn.XLOOKUP(PV_DATA[[#This Row],[New Ark SKU]],Table9[New Ark SKU],Table9[Total PCS per Pallet],,0)</f>
        <v>36</v>
      </c>
      <c r="BF356" s="431">
        <f>_xlfn.XLOOKUP(PV_DATA[[#This Row],[New Ark SKU]],Table9[New Ark SKU],Table9[Total PCS per 40HQ Container],,0)</f>
        <v>720</v>
      </c>
      <c r="BG356" s="431" t="str">
        <f>_xlfn.XLOOKUP(PV_DATA[[#This Row],[New Ark SKU]],Table9[New Ark SKU],Table9[Back Glass],,0)</f>
        <v>Redirection Film</v>
      </c>
      <c r="BH356" s="431" t="str">
        <f>_xlfn.XLOOKUP(PV_DATA[[#This Row],[PORT DESTINATION]],Table12[PORT DESTINATION],Table12[Cosco Line],,0)</f>
        <v>AEM</v>
      </c>
      <c r="BJ356" s="430"/>
    </row>
    <row r="357" spans="1:62" ht="10.5" hidden="1">
      <c r="A357" s="462" t="s">
        <v>1445</v>
      </c>
      <c r="B357" s="462" t="s">
        <v>111</v>
      </c>
      <c r="C357" s="462" t="str">
        <f>IFERROR(LEFT(PV_DATA[[#This Row],[TCL REFERENCE]],FIND(".",PV_DATA[[#This Row],[TCL REFERENCE]],1)-1),"Main Line")</f>
        <v>Main Line</v>
      </c>
      <c r="D357" s="462" t="s">
        <v>113</v>
      </c>
      <c r="E357" s="462" t="s">
        <v>64</v>
      </c>
      <c r="F357" s="462" t="str" cm="1">
        <f t="array" ref="F35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357" s="462" t="s">
        <v>402</v>
      </c>
      <c r="H357" s="462" t="s">
        <v>67</v>
      </c>
      <c r="I357" s="439" t="s">
        <v>689</v>
      </c>
      <c r="J357" s="430" t="s">
        <v>1747</v>
      </c>
      <c r="K357" s="430"/>
      <c r="L357" s="430"/>
      <c r="M357" s="430" t="s">
        <v>68</v>
      </c>
      <c r="N357" s="432">
        <v>46045</v>
      </c>
      <c r="O357" s="430" t="s">
        <v>713</v>
      </c>
      <c r="P357" s="430" t="s">
        <v>1429</v>
      </c>
      <c r="Q357" s="459" t="s">
        <v>1430</v>
      </c>
      <c r="R357" s="431" t="str">
        <f>_xlfn.XLOOKUP(PV_DATA[[#This Row],[New Ark SKU]],Table9[New Ark SKU],Table9[Connector],,0)</f>
        <v>EVO2A</v>
      </c>
      <c r="S357" s="442" t="str">
        <f>_xlfn.XLOOKUP(PV_DATA[[#This Row],[New Ark SKU]],Table9[New Ark SKU],Table9[Cable],,0)</f>
        <v>±1500mm</v>
      </c>
      <c r="T357" s="433">
        <v>620</v>
      </c>
      <c r="U357" s="1062" cm="1">
        <f t="array" ref="U357">3420-fx_qty</f>
        <v>72</v>
      </c>
      <c r="V357" s="434">
        <f>PV_DATA[[#This Row],[QUANTITY]]*PV_DATA[[#This Row],[WATT]]/1000000</f>
        <v>4.4639999999999999E-2</v>
      </c>
      <c r="W357" s="435">
        <f>PV_DATA[[#This Row],[QUANTITY]]/PV_DATA[[#This Row],[Qty/Pallet]]</f>
        <v>2</v>
      </c>
      <c r="X357" s="1015">
        <f>PV_DATA[[#This Row],[QUANTITY]]/PV_DATA[[#This Row],[Qty/CT]]</f>
        <v>0.1</v>
      </c>
      <c r="Y357" s="430" t="s">
        <v>75</v>
      </c>
      <c r="Z357" s="430" t="str">
        <f t="shared" si="2"/>
        <v>COMPLETED</v>
      </c>
      <c r="AA357" s="430"/>
      <c r="AB357" s="437">
        <v>46100</v>
      </c>
      <c r="AC357" s="438">
        <f>IF(PV_DATA[[#This Row],[Pick-Up Date]]&lt;&gt;"",_xlfn.ISOWEEKNUM(PV_DATA[[#This Row],[Pick-Up Date]]),"")</f>
        <v>12</v>
      </c>
      <c r="AD357" s="439" t="s">
        <v>1748</v>
      </c>
      <c r="AE357" s="430"/>
      <c r="AF357" s="430" t="s">
        <v>122</v>
      </c>
      <c r="AG357" s="430" t="s">
        <v>123</v>
      </c>
      <c r="AH357" s="430" t="s">
        <v>78</v>
      </c>
      <c r="AI357" s="437">
        <v>46105</v>
      </c>
      <c r="AJ357" s="437">
        <v>46105</v>
      </c>
      <c r="AK357" s="441">
        <v>46105</v>
      </c>
      <c r="AL357" s="437">
        <v>46154</v>
      </c>
      <c r="AM357" s="437">
        <v>46151</v>
      </c>
      <c r="AN357" s="437">
        <v>46151</v>
      </c>
      <c r="AO357" s="430" t="s">
        <v>402</v>
      </c>
      <c r="AP357" s="430" t="s">
        <v>930</v>
      </c>
      <c r="AQ357" s="430" t="s">
        <v>80</v>
      </c>
      <c r="AR357" s="430" t="s">
        <v>931</v>
      </c>
      <c r="AS357" s="430" t="s">
        <v>932</v>
      </c>
      <c r="AT357" s="482" t="s">
        <v>932</v>
      </c>
      <c r="AU35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357" s="437" cm="1">
        <f t="array" ref="AW35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46151</v>
      </c>
      <c r="AX35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57" s="437">
        <f>IF(ISERROR(PV_DATA[[#This Row],[New Ark PO status]]),"",_xlfn.XLOOKUP(PV_DATA[[#This Row],[SPTN-PVHK New Ark PO'#]],New_Ark_Data[Purchase order Number],New_Ark_Data[Estimated time of arrival],"",0))</f>
        <v>46161</v>
      </c>
      <c r="AZ357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357" s="437">
        <f>IFERROR(PV_DATA[[#This Row],[ODP ETA Port]]+PV_DATA[[#This Row],[Customs/Leg3 Assumption]],"n/a")</f>
        <v>46159</v>
      </c>
      <c r="BB357" s="433">
        <f>YEAR(PV_DATA[[#This Row],[ETA for New Ark update]])</f>
        <v>2026</v>
      </c>
      <c r="BC357" s="430">
        <f>MONTH(PV_DATA[[#This Row],[ETA for New Ark update]])</f>
        <v>5</v>
      </c>
      <c r="BD357" s="430">
        <f>IFERROR(_xlfn.ISOWEEKNUM(PV_DATA[[#This Row],[ETA for New Ark update]]),0)</f>
        <v>20</v>
      </c>
      <c r="BE357" s="431">
        <f>_xlfn.XLOOKUP(PV_DATA[[#This Row],[New Ark SKU]],Table9[New Ark SKU],Table9[Total PCS per Pallet],,0)</f>
        <v>36</v>
      </c>
      <c r="BF357" s="431">
        <f>_xlfn.XLOOKUP(PV_DATA[[#This Row],[New Ark SKU]],Table9[New Ark SKU],Table9[Total PCS per 40HQ Container],,0)</f>
        <v>720</v>
      </c>
      <c r="BG357" s="431" t="str">
        <f>_xlfn.XLOOKUP(PV_DATA[[#This Row],[New Ark SKU]],Table9[New Ark SKU],Table9[Back Glass],,0)</f>
        <v>White glazing</v>
      </c>
      <c r="BH357" s="431" t="str">
        <f>_xlfn.XLOOKUP(PV_DATA[[#This Row],[PORT DESTINATION]],Table12[PORT DESTINATION],Table12[Cosco Line],,0)</f>
        <v>AEM</v>
      </c>
      <c r="BJ357" s="430"/>
    </row>
    <row r="358" spans="1:62" ht="10.5" hidden="1">
      <c r="A358" s="462" t="s">
        <v>1749</v>
      </c>
      <c r="B358" s="462" t="s">
        <v>111</v>
      </c>
      <c r="C358" s="462" t="str">
        <f>IFERROR(LEFT(PV_DATA[[#This Row],[TCL REFERENCE]],FIND(".",PV_DATA[[#This Row],[TCL REFERENCE]],1)-1),"Main Line")</f>
        <v>26Feb015</v>
      </c>
      <c r="D358" s="462" t="s">
        <v>63</v>
      </c>
      <c r="E358" s="462" t="s">
        <v>144</v>
      </c>
      <c r="F358" s="462" t="str" cm="1">
        <f t="array" ref="F35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58" s="462" t="s">
        <v>402</v>
      </c>
      <c r="H358" s="462" t="s">
        <v>593</v>
      </c>
      <c r="I358" s="439" t="s">
        <v>869</v>
      </c>
      <c r="J358" s="430" t="s">
        <v>594</v>
      </c>
      <c r="K358" s="430" t="s">
        <v>1750</v>
      </c>
      <c r="L358" s="430"/>
      <c r="M358" s="430" t="s">
        <v>840</v>
      </c>
      <c r="N358" s="432">
        <v>46048</v>
      </c>
      <c r="O358" s="430" t="s">
        <v>132</v>
      </c>
      <c r="P358" s="430" t="s">
        <v>133</v>
      </c>
      <c r="Q358" s="430" t="s">
        <v>134</v>
      </c>
      <c r="R358" s="431" t="str">
        <f>_xlfn.XLOOKUP(PV_DATA[[#This Row],[New Ark SKU]],Table9[New Ark SKU],Table9[Connector],,0)</f>
        <v>EVO2A</v>
      </c>
      <c r="S358" s="442" t="str">
        <f>_xlfn.XLOOKUP(PV_DATA[[#This Row],[New Ark SKU]],Table9[New Ark SKU],Table9[Cable],,0)</f>
        <v>±1400mm</v>
      </c>
      <c r="T358" s="433">
        <v>720</v>
      </c>
      <c r="U358" s="1062">
        <f>594*5</f>
        <v>2970</v>
      </c>
      <c r="V358" s="434">
        <f>PV_DATA[[#This Row],[QUANTITY]]*PV_DATA[[#This Row],[WATT]]/1000000</f>
        <v>2.1383999999999999</v>
      </c>
      <c r="W358" s="435">
        <f>PV_DATA[[#This Row],[QUANTITY]]/PV_DATA[[#This Row],[Qty/Pallet]]</f>
        <v>90</v>
      </c>
      <c r="X358" s="1015">
        <f>PV_DATA[[#This Row],[QUANTITY]]/PV_DATA[[#This Row],[Qty/CT]]</f>
        <v>5</v>
      </c>
      <c r="Y358" s="430" t="s">
        <v>75</v>
      </c>
      <c r="Z358" s="430" t="str">
        <f t="shared" si="2"/>
        <v>COMPLETED</v>
      </c>
      <c r="AA358" s="430"/>
      <c r="AB358" s="437">
        <v>46100</v>
      </c>
      <c r="AC358" s="438">
        <f>IF(PV_DATA[[#This Row],[Pick-Up Date]]&lt;&gt;"",_xlfn.ISOWEEKNUM(PV_DATA[[#This Row],[Pick-Up Date]]),"")</f>
        <v>12</v>
      </c>
      <c r="AD358" s="439" t="s">
        <v>1751</v>
      </c>
      <c r="AE358" s="430" t="s">
        <v>1752</v>
      </c>
      <c r="AF358" s="430" t="s">
        <v>122</v>
      </c>
      <c r="AG358" s="430" t="s">
        <v>123</v>
      </c>
      <c r="AH358" s="430" t="s">
        <v>124</v>
      </c>
      <c r="AI358" s="437">
        <v>46106</v>
      </c>
      <c r="AJ358" s="437">
        <v>46108</v>
      </c>
      <c r="AK358" s="441">
        <v>46108</v>
      </c>
      <c r="AL358" s="437">
        <v>46149</v>
      </c>
      <c r="AM358" s="437">
        <v>46149</v>
      </c>
      <c r="AN358" s="437">
        <v>46149</v>
      </c>
      <c r="AO358" s="430" t="s">
        <v>402</v>
      </c>
      <c r="AP358" s="430" t="s">
        <v>1753</v>
      </c>
      <c r="AQ358" s="430" t="s">
        <v>80</v>
      </c>
      <c r="AR358" s="430" t="s">
        <v>1754</v>
      </c>
      <c r="AS358" s="430" t="s">
        <v>1755</v>
      </c>
      <c r="AT358" s="482" t="s">
        <v>1755</v>
      </c>
      <c r="AU35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W358" s="437" cm="1">
        <f t="array" ref="AW35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46149</v>
      </c>
      <c r="AX35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58" s="437">
        <f>IF(ISERROR(PV_DATA[[#This Row],[New Ark PO status]]),"",_xlfn.XLOOKUP(PV_DATA[[#This Row],[SPTN-PVHK New Ark PO'#]],New_Ark_Data[Purchase order Number],New_Ark_Data[Estimated time of arrival],"",0))</f>
        <v>46163</v>
      </c>
      <c r="AZ358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58" s="437">
        <f>IFERROR(PV_DATA[[#This Row],[ODP ETA Port]]+PV_DATA[[#This Row],[Customs/Leg3 Assumption]],"n/a")</f>
        <v>46149</v>
      </c>
      <c r="BB358" s="433">
        <f>YEAR(PV_DATA[[#This Row],[ETA for New Ark update]])</f>
        <v>2026</v>
      </c>
      <c r="BC358" s="430">
        <f>MONTH(PV_DATA[[#This Row],[ETA for New Ark update]])</f>
        <v>5</v>
      </c>
      <c r="BD358" s="430">
        <f>IFERROR(_xlfn.ISOWEEKNUM(PV_DATA[[#This Row],[ETA for New Ark update]]),0)</f>
        <v>19</v>
      </c>
      <c r="BE358" s="431">
        <f>_xlfn.XLOOKUP(PV_DATA[[#This Row],[New Ark SKU]],Table9[New Ark SKU],Table9[Total PCS per Pallet],,0)</f>
        <v>33</v>
      </c>
      <c r="BF358" s="431">
        <f>_xlfn.XLOOKUP(PV_DATA[[#This Row],[New Ark SKU]],Table9[New Ark SKU],Table9[Total PCS per 40HQ Container],,0)</f>
        <v>594</v>
      </c>
      <c r="BG358" s="431" t="str">
        <f>_xlfn.XLOOKUP(PV_DATA[[#This Row],[New Ark SKU]],Table9[New Ark SKU],Table9[Back Glass],,0)</f>
        <v>White glazing</v>
      </c>
      <c r="BH358" s="431" t="str">
        <f>_xlfn.XLOOKUP(PV_DATA[[#This Row],[PORT DESTINATION]],Table12[PORT DESTINATION],Table12[Cosco Line],,0)</f>
        <v>AEM</v>
      </c>
      <c r="BJ358" s="430"/>
    </row>
    <row r="359" spans="1:62" ht="10.5" hidden="1">
      <c r="A359" s="462" t="s">
        <v>1756</v>
      </c>
      <c r="B359" s="462" t="s">
        <v>1757</v>
      </c>
      <c r="C359" s="462" t="str">
        <f>IFERROR(LEFT(PV_DATA[[#This Row],[TCL REFERENCE]],FIND(".",PV_DATA[[#This Row],[TCL REFERENCE]],1)-1),"Main Line")</f>
        <v>26Feb019</v>
      </c>
      <c r="D359" s="462" t="s">
        <v>63</v>
      </c>
      <c r="E359" s="462" t="s">
        <v>144</v>
      </c>
      <c r="F359" s="462" t="str" cm="1">
        <f t="array" ref="F35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59" s="462" t="s">
        <v>402</v>
      </c>
      <c r="H359" s="462" t="s">
        <v>881</v>
      </c>
      <c r="I359" s="439" t="s">
        <v>689</v>
      </c>
      <c r="J359" s="430" t="s">
        <v>1758</v>
      </c>
      <c r="K359" s="430" t="s">
        <v>1759</v>
      </c>
      <c r="L359" s="430"/>
      <c r="M359" s="430" t="s">
        <v>840</v>
      </c>
      <c r="N359" s="432">
        <v>46090</v>
      </c>
      <c r="O359" s="430" t="s">
        <v>70</v>
      </c>
      <c r="P359" s="430" t="s">
        <v>71</v>
      </c>
      <c r="Q359" s="430" t="s">
        <v>72</v>
      </c>
      <c r="R359" s="431" t="str">
        <f>_xlfn.XLOOKUP(PV_DATA[[#This Row],[New Ark SKU]],Table9[New Ark SKU],Table9[Connector],,0)</f>
        <v>EVO2A</v>
      </c>
      <c r="S359" s="442" t="str">
        <f>_xlfn.XLOOKUP(PV_DATA[[#This Row],[New Ark SKU]],Table9[New Ark SKU],Table9[Cable],,0)</f>
        <v>±1200mm</v>
      </c>
      <c r="T359" s="433">
        <v>500</v>
      </c>
      <c r="U359" s="1062">
        <f>864*3</f>
        <v>2592</v>
      </c>
      <c r="V359" s="434">
        <f>PV_DATA[[#This Row],[QUANTITY]]*PV_DATA[[#This Row],[WATT]]/1000000</f>
        <v>1.296</v>
      </c>
      <c r="W359" s="435">
        <f>PV_DATA[[#This Row],[QUANTITY]]/PV_DATA[[#This Row],[Qty/Pallet]]</f>
        <v>72</v>
      </c>
      <c r="X359" s="1020">
        <f>PV_DATA[[#This Row],[QUANTITY]]/PV_DATA[[#This Row],[Qty/CT]]</f>
        <v>3</v>
      </c>
      <c r="Y359" s="430" t="s">
        <v>75</v>
      </c>
      <c r="Z359" s="430" t="str">
        <f t="shared" si="2"/>
        <v>COMPLETED</v>
      </c>
      <c r="AA359" s="430" t="s">
        <v>1760</v>
      </c>
      <c r="AB359" s="437">
        <v>46109</v>
      </c>
      <c r="AC359" s="438">
        <f>IF(PV_DATA[[#This Row],[Pick-Up Date]]&lt;&gt;"",_xlfn.ISOWEEKNUM(PV_DATA[[#This Row],[Pick-Up Date]]),"")</f>
        <v>13</v>
      </c>
      <c r="AD359" s="439" t="s">
        <v>1761</v>
      </c>
      <c r="AE359" s="430"/>
      <c r="AF359" s="430" t="s">
        <v>1762</v>
      </c>
      <c r="AG359" s="430" t="s">
        <v>123</v>
      </c>
      <c r="AH359" s="430" t="s">
        <v>888</v>
      </c>
      <c r="AI359" s="437">
        <v>46112</v>
      </c>
      <c r="AJ359" s="437">
        <v>46112</v>
      </c>
      <c r="AK359" s="441">
        <v>46113</v>
      </c>
      <c r="AL359" s="437">
        <v>46162</v>
      </c>
      <c r="AM359" s="437">
        <v>46162</v>
      </c>
      <c r="AN359" s="437">
        <v>46162</v>
      </c>
      <c r="AO359" s="430" t="s">
        <v>402</v>
      </c>
      <c r="AP359" s="430" t="s">
        <v>1763</v>
      </c>
      <c r="AQ359" s="430" t="s">
        <v>80</v>
      </c>
      <c r="AR359" s="430" t="s">
        <v>1764</v>
      </c>
      <c r="AS359" s="430" t="s">
        <v>1765</v>
      </c>
      <c r="AT359" s="482" t="s">
        <v>1765</v>
      </c>
      <c r="AU35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W359" s="437" cm="1">
        <f t="array" ref="AW35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46162</v>
      </c>
      <c r="AX35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59" s="437">
        <f>IF(ISERROR(PV_DATA[[#This Row],[New Ark PO status]]),"",_xlfn.XLOOKUP(PV_DATA[[#This Row],[SPTN-PVHK New Ark PO'#]],New_Ark_Data[Purchase order Number],New_Ark_Data[Estimated time of arrival],"",0))</f>
        <v>46176</v>
      </c>
      <c r="AZ359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59" s="437">
        <f>IFERROR(PV_DATA[[#This Row],[ODP ETA Port]]+PV_DATA[[#This Row],[Customs/Leg3 Assumption]],"n/a")</f>
        <v>46162</v>
      </c>
      <c r="BB359" s="433">
        <f>YEAR(PV_DATA[[#This Row],[ETA for New Ark update]])</f>
        <v>2026</v>
      </c>
      <c r="BC359" s="430">
        <f>MONTH(PV_DATA[[#This Row],[ETA for New Ark update]])</f>
        <v>5</v>
      </c>
      <c r="BD359" s="430">
        <f>IFERROR(_xlfn.ISOWEEKNUM(PV_DATA[[#This Row],[ETA for New Ark update]]),0)</f>
        <v>21</v>
      </c>
      <c r="BE359" s="431">
        <f>_xlfn.XLOOKUP(PV_DATA[[#This Row],[New Ark SKU]],Table9[New Ark SKU],Table9[Total PCS per Pallet],,0)</f>
        <v>36</v>
      </c>
      <c r="BF359" s="431">
        <f>_xlfn.XLOOKUP(PV_DATA[[#This Row],[New Ark SKU]],Table9[New Ark SKU],Table9[Total PCS per 40HQ Container],,0)</f>
        <v>864</v>
      </c>
      <c r="BG359" s="431" t="str">
        <f>_xlfn.XLOOKUP(PV_DATA[[#This Row],[New Ark SKU]],Table9[New Ark SKU],Table9[Back Glass],,0)</f>
        <v>Black glazing</v>
      </c>
      <c r="BH359" s="431" t="str">
        <f>_xlfn.XLOOKUP(PV_DATA[[#This Row],[PORT DESTINATION]],Table12[PORT DESTINATION],Table12[Cosco Line],,0)</f>
        <v>AEU</v>
      </c>
      <c r="BJ359" s="430"/>
    </row>
    <row r="360" spans="1:62" ht="10.5" hidden="1">
      <c r="A360" s="462" t="s">
        <v>1766</v>
      </c>
      <c r="B360" s="462" t="s">
        <v>1757</v>
      </c>
      <c r="C360" s="462" t="str">
        <f>IFERROR(LEFT(PV_DATA[[#This Row],[TCL REFERENCE]],FIND(".",PV_DATA[[#This Row],[TCL REFERENCE]],1)-1),"Main Line")</f>
        <v>26Feb019</v>
      </c>
      <c r="D360" s="462" t="s">
        <v>63</v>
      </c>
      <c r="E360" s="462" t="s">
        <v>64</v>
      </c>
      <c r="F360" s="462" t="str" cm="1">
        <f t="array" ref="F36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60" s="462" t="s">
        <v>402</v>
      </c>
      <c r="H360" s="462" t="s">
        <v>67</v>
      </c>
      <c r="I360" s="439" t="s">
        <v>689</v>
      </c>
      <c r="J360" s="430" t="s">
        <v>1767</v>
      </c>
      <c r="K360" s="430"/>
      <c r="L360" s="430"/>
      <c r="M360" s="430" t="s">
        <v>68</v>
      </c>
      <c r="N360" s="432">
        <v>46104</v>
      </c>
      <c r="O360" s="430" t="s">
        <v>70</v>
      </c>
      <c r="P360" s="430" t="s">
        <v>71</v>
      </c>
      <c r="Q360" s="430" t="s">
        <v>72</v>
      </c>
      <c r="R360" s="431" t="str">
        <f>_xlfn.XLOOKUP(PV_DATA[[#This Row],[New Ark SKU]],Table9[New Ark SKU],Table9[Connector],,0)</f>
        <v>EVO2A</v>
      </c>
      <c r="S360" s="442" t="str">
        <f>_xlfn.XLOOKUP(PV_DATA[[#This Row],[New Ark SKU]],Table9[New Ark SKU],Table9[Cable],,0)</f>
        <v>±1200mm</v>
      </c>
      <c r="T360" s="433">
        <v>500</v>
      </c>
      <c r="U360" s="1062">
        <f>864*3</f>
        <v>2592</v>
      </c>
      <c r="V360" s="434">
        <f>PV_DATA[[#This Row],[QUANTITY]]*PV_DATA[[#This Row],[WATT]]/1000000</f>
        <v>1.296</v>
      </c>
      <c r="W360" s="435">
        <f>PV_DATA[[#This Row],[QUANTITY]]/PV_DATA[[#This Row],[Qty/Pallet]]</f>
        <v>72</v>
      </c>
      <c r="X360" s="1020">
        <f>PV_DATA[[#This Row],[QUANTITY]]/PV_DATA[[#This Row],[Qty/CT]]</f>
        <v>3</v>
      </c>
      <c r="Y360" s="430" t="s">
        <v>75</v>
      </c>
      <c r="Z360" s="430" t="str">
        <f t="shared" si="2"/>
        <v>COMPLETED</v>
      </c>
      <c r="AA360" s="430" t="s">
        <v>1768</v>
      </c>
      <c r="AB360" s="437">
        <v>46097</v>
      </c>
      <c r="AC360" s="438">
        <f>IF(PV_DATA[[#This Row],[Pick-Up Date]]&lt;&gt;"",_xlfn.ISOWEEKNUM(PV_DATA[[#This Row],[Pick-Up Date]]),"")</f>
        <v>12</v>
      </c>
      <c r="AD360" s="439" t="s">
        <v>1769</v>
      </c>
      <c r="AE360" s="430"/>
      <c r="AF360" s="430" t="s">
        <v>122</v>
      </c>
      <c r="AG360" s="430" t="s">
        <v>123</v>
      </c>
      <c r="AH360" s="430" t="s">
        <v>105</v>
      </c>
      <c r="AI360" s="437">
        <v>46103</v>
      </c>
      <c r="AJ360" s="437">
        <v>46103</v>
      </c>
      <c r="AK360" s="441">
        <v>46103</v>
      </c>
      <c r="AL360" s="437">
        <v>46144</v>
      </c>
      <c r="AM360" s="437">
        <v>46151</v>
      </c>
      <c r="AN360" s="437">
        <v>46153</v>
      </c>
      <c r="AO360" s="430" t="s">
        <v>402</v>
      </c>
      <c r="AP360" s="430" t="s">
        <v>1720</v>
      </c>
      <c r="AQ360" s="430" t="s">
        <v>80</v>
      </c>
      <c r="AR360" s="430" t="s">
        <v>1770</v>
      </c>
      <c r="AS360" s="430" t="s">
        <v>1771</v>
      </c>
      <c r="AT360" s="482" t="s">
        <v>1771</v>
      </c>
      <c r="AU36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360" s="437" cm="1">
        <f t="array" ref="AW36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46153</v>
      </c>
      <c r="AX36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60" s="437">
        <f>IF(ISERROR(PV_DATA[[#This Row],[New Ark PO status]]),"",_xlfn.XLOOKUP(PV_DATA[[#This Row],[SPTN-PVHK New Ark PO'#]],New_Ark_Data[Purchase order Number],New_Ark_Data[Estimated time of arrival],"",0))</f>
        <v>46160</v>
      </c>
      <c r="AZ360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60" s="437">
        <f>IFERROR(PV_DATA[[#This Row],[ODP ETA Port]]+PV_DATA[[#This Row],[Customs/Leg3 Assumption]],"n/a")</f>
        <v>46160</v>
      </c>
      <c r="BB360" s="433">
        <f>YEAR(PV_DATA[[#This Row],[ETA for New Ark update]])</f>
        <v>2026</v>
      </c>
      <c r="BC360" s="430">
        <f>MONTH(PV_DATA[[#This Row],[ETA for New Ark update]])</f>
        <v>5</v>
      </c>
      <c r="BD360" s="430">
        <f>IFERROR(_xlfn.ISOWEEKNUM(PV_DATA[[#This Row],[ETA for New Ark update]]),0)</f>
        <v>21</v>
      </c>
      <c r="BE360" s="431">
        <f>_xlfn.XLOOKUP(PV_DATA[[#This Row],[New Ark SKU]],Table9[New Ark SKU],Table9[Total PCS per Pallet],,0)</f>
        <v>36</v>
      </c>
      <c r="BF360" s="431">
        <f>_xlfn.XLOOKUP(PV_DATA[[#This Row],[New Ark SKU]],Table9[New Ark SKU],Table9[Total PCS per 40HQ Container],,0)</f>
        <v>864</v>
      </c>
      <c r="BG360" s="431" t="str">
        <f>_xlfn.XLOOKUP(PV_DATA[[#This Row],[New Ark SKU]],Table9[New Ark SKU],Table9[Back Glass],,0)</f>
        <v>Black glazing</v>
      </c>
      <c r="BH360" s="431" t="str">
        <f>_xlfn.XLOOKUP(PV_DATA[[#This Row],[PORT DESTINATION]],Table12[PORT DESTINATION],Table12[Cosco Line],,0)</f>
        <v>AEU</v>
      </c>
      <c r="BJ360" s="430"/>
    </row>
    <row r="361" spans="1:62" ht="10.5" hidden="1">
      <c r="A361" s="462" t="s">
        <v>1772</v>
      </c>
      <c r="B361" s="462" t="s">
        <v>1757</v>
      </c>
      <c r="C361" s="462" t="str">
        <f>IFERROR(LEFT(PV_DATA[[#This Row],[TCL REFERENCE]],FIND(".",PV_DATA[[#This Row],[TCL REFERENCE]],1)-1),"Main Line")</f>
        <v>26Feb020</v>
      </c>
      <c r="D361" s="462" t="s">
        <v>63</v>
      </c>
      <c r="E361" s="462" t="s">
        <v>64</v>
      </c>
      <c r="F361" s="462" t="str" cm="1">
        <f t="array" ref="F36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61" s="462" t="s">
        <v>402</v>
      </c>
      <c r="H361" s="462" t="s">
        <v>67</v>
      </c>
      <c r="I361" s="439" t="s">
        <v>689</v>
      </c>
      <c r="J361" s="430" t="s">
        <v>101</v>
      </c>
      <c r="K361" s="430"/>
      <c r="L361" s="430"/>
      <c r="M361" s="430" t="s">
        <v>68</v>
      </c>
      <c r="N361" s="432">
        <v>46104</v>
      </c>
      <c r="O361" s="430" t="s">
        <v>70</v>
      </c>
      <c r="P361" s="430" t="s">
        <v>1151</v>
      </c>
      <c r="Q361" s="430" t="s">
        <v>421</v>
      </c>
      <c r="R361" s="431" t="str">
        <f>_xlfn.XLOOKUP(PV_DATA[[#This Row],[New Ark SKU]],Table9[New Ark SKU],Table9[Connector],,0)</f>
        <v>EVO2A</v>
      </c>
      <c r="S361" s="442" t="str">
        <f>_xlfn.XLOOKUP(PV_DATA[[#This Row],[New Ark SKU]],Table9[New Ark SKU],Table9[Cable],,0)</f>
        <v>±1200mm</v>
      </c>
      <c r="T361" s="433">
        <v>505</v>
      </c>
      <c r="U361" s="1062">
        <f>864*5</f>
        <v>4320</v>
      </c>
      <c r="V361" s="434">
        <f>PV_DATA[[#This Row],[QUANTITY]]*PV_DATA[[#This Row],[WATT]]/1000000</f>
        <v>2.1816</v>
      </c>
      <c r="W361" s="435">
        <f>PV_DATA[[#This Row],[QUANTITY]]/PV_DATA[[#This Row],[Qty/Pallet]]</f>
        <v>120</v>
      </c>
      <c r="X361" s="1020">
        <f>PV_DATA[[#This Row],[QUANTITY]]/PV_DATA[[#This Row],[Qty/CT]]</f>
        <v>5</v>
      </c>
      <c r="Y361" s="430" t="s">
        <v>75</v>
      </c>
      <c r="Z361" s="430" t="str">
        <f t="shared" si="2"/>
        <v>COMPLETED</v>
      </c>
      <c r="AA361" s="430" t="s">
        <v>1773</v>
      </c>
      <c r="AB361" s="437">
        <v>46097</v>
      </c>
      <c r="AC361" s="438">
        <f>IF(PV_DATA[[#This Row],[Pick-Up Date]]&lt;&gt;"",_xlfn.ISOWEEKNUM(PV_DATA[[#This Row],[Pick-Up Date]]),"")</f>
        <v>12</v>
      </c>
      <c r="AD361" s="439" t="s">
        <v>1774</v>
      </c>
      <c r="AE361" s="430"/>
      <c r="AF361" s="430" t="s">
        <v>122</v>
      </c>
      <c r="AG361" s="430" t="s">
        <v>123</v>
      </c>
      <c r="AH361" s="430" t="s">
        <v>105</v>
      </c>
      <c r="AI361" s="437">
        <v>46103</v>
      </c>
      <c r="AJ361" s="437">
        <v>46103</v>
      </c>
      <c r="AK361" s="441">
        <v>46103</v>
      </c>
      <c r="AL361" s="437">
        <v>46144</v>
      </c>
      <c r="AM361" s="437">
        <v>46151</v>
      </c>
      <c r="AN361" s="437">
        <v>46153</v>
      </c>
      <c r="AO361" s="430" t="s">
        <v>402</v>
      </c>
      <c r="AP361" s="430" t="s">
        <v>1720</v>
      </c>
      <c r="AQ361" s="430" t="s">
        <v>80</v>
      </c>
      <c r="AR361" s="430" t="s">
        <v>1770</v>
      </c>
      <c r="AS361" s="430" t="s">
        <v>1771</v>
      </c>
      <c r="AT361" s="482" t="s">
        <v>1771</v>
      </c>
      <c r="AU36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361" s="437" cm="1">
        <f t="array" ref="AW36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46153</v>
      </c>
      <c r="AX36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61" s="437">
        <f>IF(ISERROR(PV_DATA[[#This Row],[New Ark PO status]]),"",_xlfn.XLOOKUP(PV_DATA[[#This Row],[SPTN-PVHK New Ark PO'#]],New_Ark_Data[Purchase order Number],New_Ark_Data[Estimated time of arrival],"",0))</f>
        <v>46160</v>
      </c>
      <c r="AZ361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61" s="437">
        <f>IFERROR(PV_DATA[[#This Row],[ODP ETA Port]]+PV_DATA[[#This Row],[Customs/Leg3 Assumption]],"n/a")</f>
        <v>46160</v>
      </c>
      <c r="BB361" s="433">
        <f>YEAR(PV_DATA[[#This Row],[ETA for New Ark update]])</f>
        <v>2026</v>
      </c>
      <c r="BC361" s="430">
        <f>MONTH(PV_DATA[[#This Row],[ETA for New Ark update]])</f>
        <v>5</v>
      </c>
      <c r="BD361" s="430">
        <f>IFERROR(_xlfn.ISOWEEKNUM(PV_DATA[[#This Row],[ETA for New Ark update]]),0)</f>
        <v>21</v>
      </c>
      <c r="BE361" s="431">
        <f>_xlfn.XLOOKUP(PV_DATA[[#This Row],[New Ark SKU]],Table9[New Ark SKU],Table9[Total PCS per Pallet],,0)</f>
        <v>36</v>
      </c>
      <c r="BF361" s="431">
        <f>_xlfn.XLOOKUP(PV_DATA[[#This Row],[New Ark SKU]],Table9[New Ark SKU],Table9[Total PCS per 40HQ Container],,0)</f>
        <v>864</v>
      </c>
      <c r="BG361" s="431" t="str">
        <f>_xlfn.XLOOKUP(PV_DATA[[#This Row],[New Ark SKU]],Table9[New Ark SKU],Table9[Back Glass],,0)</f>
        <v>Black glazing</v>
      </c>
      <c r="BH361" s="431" t="str">
        <f>_xlfn.XLOOKUP(PV_DATA[[#This Row],[PORT DESTINATION]],Table12[PORT DESTINATION],Table12[Cosco Line],,0)</f>
        <v>AEU</v>
      </c>
      <c r="BJ361" s="430"/>
    </row>
    <row r="362" spans="1:62" hidden="1">
      <c r="A362" s="462" t="s">
        <v>1775</v>
      </c>
      <c r="B362" s="462" t="s">
        <v>1519</v>
      </c>
      <c r="C362" s="462" t="str">
        <f>IFERROR(LEFT(PV_DATA[[#This Row],[TCL REFERENCE]],FIND(".",PV_DATA[[#This Row],[TCL REFERENCE]],1)-1),"Main Line")</f>
        <v>26Feb027</v>
      </c>
      <c r="D362" s="462" t="s">
        <v>63</v>
      </c>
      <c r="E362" s="462" t="s">
        <v>64</v>
      </c>
      <c r="F362" s="462" t="str" cm="1">
        <f t="array" ref="F36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362" s="462" t="s">
        <v>402</v>
      </c>
      <c r="H362" s="462" t="s">
        <v>311</v>
      </c>
      <c r="I362" s="439" t="s">
        <v>689</v>
      </c>
      <c r="J362" s="430" t="s">
        <v>1342</v>
      </c>
      <c r="K362" s="430"/>
      <c r="L362" s="430"/>
      <c r="M362" s="430" t="s">
        <v>68</v>
      </c>
      <c r="N362" s="432">
        <v>46090</v>
      </c>
      <c r="O362" s="430" t="s">
        <v>284</v>
      </c>
      <c r="P362" s="430" t="s">
        <v>1521</v>
      </c>
      <c r="Q362" s="430" t="s">
        <v>1522</v>
      </c>
      <c r="R362" s="431" t="str">
        <f>_xlfn.XLOOKUP(PV_DATA[[#This Row],[New Ark SKU]],Table9[New Ark SKU],Table9[Connector],,0)</f>
        <v>EVO2A</v>
      </c>
      <c r="S362" s="442" t="str">
        <f>_xlfn.XLOOKUP(PV_DATA[[#This Row],[New Ark SKU]],Table9[New Ark SKU],Table9[Cable],,0)</f>
        <v>±1200mm</v>
      </c>
      <c r="T362" s="433">
        <v>490</v>
      </c>
      <c r="U362" s="1062">
        <f>864*7</f>
        <v>6048</v>
      </c>
      <c r="V362" s="434">
        <f>PV_DATA[[#This Row],[QUANTITY]]*PV_DATA[[#This Row],[WATT]]/1000000</f>
        <v>2.9635199999999999</v>
      </c>
      <c r="W362" s="435">
        <f>PV_DATA[[#This Row],[QUANTITY]]/PV_DATA[[#This Row],[Qty/Pallet]]</f>
        <v>168</v>
      </c>
      <c r="X362" s="1015">
        <f>PV_DATA[[#This Row],[QUANTITY]]/PV_DATA[[#This Row],[Qty/CT]]</f>
        <v>7</v>
      </c>
      <c r="Y362" s="430" t="s">
        <v>75</v>
      </c>
      <c r="Z362" s="430" t="str">
        <f t="shared" si="2"/>
        <v>COMPLETED</v>
      </c>
      <c r="AA362" s="430" t="s">
        <v>1544</v>
      </c>
      <c r="AB362" s="437">
        <v>46108</v>
      </c>
      <c r="AC362" s="438">
        <f>IF(PV_DATA[[#This Row],[Pick-Up Date]]&lt;&gt;"",_xlfn.ISOWEEKNUM(PV_DATA[[#This Row],[Pick-Up Date]]),"")</f>
        <v>13</v>
      </c>
      <c r="AD362" s="439" t="s">
        <v>1776</v>
      </c>
      <c r="AE362" s="430"/>
      <c r="AF362" s="430" t="s">
        <v>4427</v>
      </c>
      <c r="AG362" s="430" t="s">
        <v>123</v>
      </c>
      <c r="AH362" s="430" t="s">
        <v>314</v>
      </c>
      <c r="AI362" s="437">
        <v>46111</v>
      </c>
      <c r="AJ362" s="437">
        <v>46114</v>
      </c>
      <c r="AK362" s="441">
        <v>46114</v>
      </c>
      <c r="AL362" s="437">
        <v>46155</v>
      </c>
      <c r="AM362" s="437">
        <v>46159</v>
      </c>
      <c r="AN362" s="437">
        <v>46162</v>
      </c>
      <c r="AO362" s="430" t="s">
        <v>402</v>
      </c>
      <c r="AP362" s="430" t="s">
        <v>1725</v>
      </c>
      <c r="AQ362" s="430" t="s">
        <v>80</v>
      </c>
      <c r="AR362" s="430" t="s">
        <v>1777</v>
      </c>
      <c r="AS362" s="430" t="s">
        <v>1778</v>
      </c>
      <c r="AT362" s="482" t="s">
        <v>1778</v>
      </c>
      <c r="AU36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</v>
      </c>
      <c r="AW362" s="437" cm="1">
        <f t="array" ref="AW36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46162</v>
      </c>
      <c r="AX36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62" s="437">
        <f>IF(ISERROR(PV_DATA[[#This Row],[New Ark PO status]]),"",_xlfn.XLOOKUP(PV_DATA[[#This Row],[SPTN-PVHK New Ark PO'#]],New_Ark_Data[Purchase order Number],New_Ark_Data[Estimated time of arrival],"",0))</f>
        <v>46176</v>
      </c>
      <c r="AZ362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362" s="437">
        <f>IFERROR(PV_DATA[[#This Row],[ODP ETA Port]]+PV_DATA[[#This Row],[Customs/Leg3 Assumption]],"n/a")</f>
        <v>46172</v>
      </c>
      <c r="BB362" s="433">
        <f>YEAR(PV_DATA[[#This Row],[ETA for New Ark update]])</f>
        <v>2026</v>
      </c>
      <c r="BC362" s="430">
        <f>MONTH(PV_DATA[[#This Row],[ETA for New Ark update]])</f>
        <v>5</v>
      </c>
      <c r="BD362" s="430">
        <f>IFERROR(_xlfn.ISOWEEKNUM(PV_DATA[[#This Row],[ETA for New Ark update]]),0)</f>
        <v>22</v>
      </c>
      <c r="BE362" s="431">
        <f>_xlfn.XLOOKUP(PV_DATA[[#This Row],[New Ark SKU]],Table9[New Ark SKU],Table9[Total PCS per Pallet],,0)</f>
        <v>36</v>
      </c>
      <c r="BF362" s="431">
        <f>_xlfn.XLOOKUP(PV_DATA[[#This Row],[New Ark SKU]],Table9[New Ark SKU],Table9[Total PCS per 40HQ Container],,0)</f>
        <v>864</v>
      </c>
      <c r="BG362" s="431" t="str">
        <f>_xlfn.XLOOKUP(PV_DATA[[#This Row],[New Ark SKU]],Table9[New Ark SKU],Table9[Back Glass],,0)</f>
        <v>Black glazing</v>
      </c>
      <c r="BH362" s="431" t="str">
        <f>_xlfn.XLOOKUP(PV_DATA[[#This Row],[PORT DESTINATION]],Table12[PORT DESTINATION],Table12[Cosco Line],,0)</f>
        <v>AEM</v>
      </c>
      <c r="BJ362" s="430"/>
    </row>
    <row r="363" spans="1:62" ht="10.5" hidden="1">
      <c r="A363" s="462" t="s">
        <v>1779</v>
      </c>
      <c r="B363" s="462" t="s">
        <v>1566</v>
      </c>
      <c r="C363" s="462" t="str">
        <f>IFERROR(LEFT(PV_DATA[[#This Row],[TCL REFERENCE]],FIND(".",PV_DATA[[#This Row],[TCL REFERENCE]],1)-1),"Main Line")</f>
        <v>26Feb029</v>
      </c>
      <c r="D363" s="462" t="s">
        <v>63</v>
      </c>
      <c r="E363" s="462" t="s">
        <v>64</v>
      </c>
      <c r="F363" s="462" t="str" cm="1">
        <f t="array" ref="F36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63" s="462" t="s">
        <v>402</v>
      </c>
      <c r="H363" s="462" t="s">
        <v>67</v>
      </c>
      <c r="I363" s="439" t="s">
        <v>689</v>
      </c>
      <c r="J363" s="430" t="s">
        <v>1568</v>
      </c>
      <c r="K363" s="430"/>
      <c r="L363" s="430"/>
      <c r="M363" s="430" t="s">
        <v>68</v>
      </c>
      <c r="N363" s="432">
        <v>46097</v>
      </c>
      <c r="O363" s="430" t="s">
        <v>284</v>
      </c>
      <c r="P363" s="430" t="s">
        <v>1584</v>
      </c>
      <c r="Q363" s="430" t="s">
        <v>1585</v>
      </c>
      <c r="R363" s="431" t="str">
        <f>_xlfn.XLOOKUP(PV_DATA[[#This Row],[New Ark SKU]],Table9[New Ark SKU],Table9[Connector],,0)</f>
        <v>EVO2A</v>
      </c>
      <c r="S363" s="442" t="str">
        <f>_xlfn.XLOOKUP(PV_DATA[[#This Row],[New Ark SKU]],Table9[New Ark SKU],Table9[Cable],,0)</f>
        <v>±1400mm</v>
      </c>
      <c r="T363" s="433">
        <v>645</v>
      </c>
      <c r="U363" s="1062">
        <v>4320</v>
      </c>
      <c r="V363" s="434">
        <f>PV_DATA[[#This Row],[QUANTITY]]*PV_DATA[[#This Row],[WATT]]/1000000</f>
        <v>2.7864</v>
      </c>
      <c r="W363" s="435">
        <f>PV_DATA[[#This Row],[QUANTITY]]/PV_DATA[[#This Row],[Qty/Pallet]]</f>
        <v>120</v>
      </c>
      <c r="X363" s="1015">
        <f>PV_DATA[[#This Row],[QUANTITY]]/PV_DATA[[#This Row],[Qty/CT]]</f>
        <v>6</v>
      </c>
      <c r="Y363" s="430" t="s">
        <v>75</v>
      </c>
      <c r="Z363" s="430" t="str">
        <f t="shared" si="2"/>
        <v>COMPLETED</v>
      </c>
      <c r="AA363" s="430" t="s">
        <v>1780</v>
      </c>
      <c r="AB363" s="437">
        <v>46097</v>
      </c>
      <c r="AC363" s="438">
        <f>IF(PV_DATA[[#This Row],[Pick-Up Date]]&lt;&gt;"",_xlfn.ISOWEEKNUM(PV_DATA[[#This Row],[Pick-Up Date]]),"")</f>
        <v>12</v>
      </c>
      <c r="AD363" s="439" t="s">
        <v>1781</v>
      </c>
      <c r="AE363" s="430"/>
      <c r="AF363" s="430" t="s">
        <v>1525</v>
      </c>
      <c r="AG363" s="430" t="s">
        <v>123</v>
      </c>
      <c r="AH363" s="430" t="s">
        <v>105</v>
      </c>
      <c r="AI363" s="437">
        <v>46103</v>
      </c>
      <c r="AJ363" s="437">
        <v>46107</v>
      </c>
      <c r="AK363" s="441">
        <v>46107</v>
      </c>
      <c r="AL363" s="437">
        <v>46150</v>
      </c>
      <c r="AM363" s="437">
        <v>46148</v>
      </c>
      <c r="AN363" s="437">
        <v>46148</v>
      </c>
      <c r="AO363" s="430" t="s">
        <v>402</v>
      </c>
      <c r="AP363" s="430" t="s">
        <v>1782</v>
      </c>
      <c r="AQ363" s="430" t="s">
        <v>161</v>
      </c>
      <c r="AR363" s="430" t="s">
        <v>1783</v>
      </c>
      <c r="AS363" s="430" t="s">
        <v>1784</v>
      </c>
      <c r="AT363" s="482" t="s">
        <v>1784</v>
      </c>
      <c r="AU36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W363" s="437" cm="1">
        <f t="array" ref="AW36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36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63" s="437">
        <f>IF(ISERROR(PV_DATA[[#This Row],[New Ark PO status]]),"",_xlfn.XLOOKUP(PV_DATA[[#This Row],[SPTN-PVHK New Ark PO'#]],New_Ark_Data[Purchase order Number],New_Ark_Data[Estimated time of arrival],"",0))</f>
        <v>46164</v>
      </c>
      <c r="AZ36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63" s="437">
        <f>IFERROR(PV_DATA[[#This Row],[ODP ETA Port]]+PV_DATA[[#This Row],[Customs/Leg3 Assumption]],"n/a")</f>
        <v>46155</v>
      </c>
      <c r="BB363" s="433">
        <f>YEAR(PV_DATA[[#This Row],[ETA for New Ark update]])</f>
        <v>2026</v>
      </c>
      <c r="BC363" s="430">
        <f>MONTH(PV_DATA[[#This Row],[ETA for New Ark update]])</f>
        <v>5</v>
      </c>
      <c r="BD363" s="430">
        <f>IFERROR(_xlfn.ISOWEEKNUM(PV_DATA[[#This Row],[ETA for New Ark update]]),0)</f>
        <v>20</v>
      </c>
      <c r="BE363" s="431">
        <f>_xlfn.XLOOKUP(PV_DATA[[#This Row],[New Ark SKU]],Table9[New Ark SKU],Table9[Total PCS per Pallet],,0)</f>
        <v>36</v>
      </c>
      <c r="BF363" s="431">
        <f>_xlfn.XLOOKUP(PV_DATA[[#This Row],[New Ark SKU]],Table9[New Ark SKU],Table9[Total PCS per 40HQ Container],,0)</f>
        <v>720</v>
      </c>
      <c r="BG363" s="431" t="str">
        <f>_xlfn.XLOOKUP(PV_DATA[[#This Row],[New Ark SKU]],Table9[New Ark SKU],Table9[Back Glass],,0)</f>
        <v>White glazing</v>
      </c>
      <c r="BH363" s="431" t="str">
        <f>_xlfn.XLOOKUP(PV_DATA[[#This Row],[PORT DESTINATION]],Table12[PORT DESTINATION],Table12[Cosco Line],,0)</f>
        <v>AEU</v>
      </c>
      <c r="BJ363" s="430"/>
    </row>
    <row r="364" spans="1:62" ht="10.5" hidden="1">
      <c r="A364" s="462" t="s">
        <v>1785</v>
      </c>
      <c r="B364" s="462" t="s">
        <v>1566</v>
      </c>
      <c r="C364" s="462" t="str">
        <f>IFERROR(LEFT(PV_DATA[[#This Row],[TCL REFERENCE]],FIND(".",PV_DATA[[#This Row],[TCL REFERENCE]],1)-1),"Main Line")</f>
        <v>26Feb030</v>
      </c>
      <c r="D364" s="462" t="s">
        <v>63</v>
      </c>
      <c r="E364" s="462" t="s">
        <v>64</v>
      </c>
      <c r="F364" s="462" t="str" cm="1">
        <f t="array" ref="F36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64" s="462" t="s">
        <v>402</v>
      </c>
      <c r="H364" s="462" t="s">
        <v>67</v>
      </c>
      <c r="I364" s="439" t="s">
        <v>689</v>
      </c>
      <c r="J364" s="430" t="s">
        <v>1568</v>
      </c>
      <c r="K364" s="430"/>
      <c r="L364" s="430"/>
      <c r="M364" s="430" t="s">
        <v>68</v>
      </c>
      <c r="N364" s="432">
        <v>46097</v>
      </c>
      <c r="O364" s="430" t="s">
        <v>284</v>
      </c>
      <c r="P364" s="430" t="s">
        <v>1569</v>
      </c>
      <c r="Q364" s="430" t="s">
        <v>1570</v>
      </c>
      <c r="R364" s="431" t="str">
        <f>_xlfn.XLOOKUP(PV_DATA[[#This Row],[New Ark SKU]],Table9[New Ark SKU],Table9[Connector],,0)</f>
        <v>EVO2A</v>
      </c>
      <c r="S364" s="442" t="str">
        <f>_xlfn.XLOOKUP(PV_DATA[[#This Row],[New Ark SKU]],Table9[New Ark SKU],Table9[Cable],,0)</f>
        <v>±1400mm</v>
      </c>
      <c r="T364" s="433">
        <v>650</v>
      </c>
      <c r="U364" s="1062">
        <v>2880</v>
      </c>
      <c r="V364" s="434">
        <f>PV_DATA[[#This Row],[QUANTITY]]*PV_DATA[[#This Row],[WATT]]/1000000</f>
        <v>1.8720000000000001</v>
      </c>
      <c r="W364" s="435">
        <f>PV_DATA[[#This Row],[QUANTITY]]/PV_DATA[[#This Row],[Qty/Pallet]]</f>
        <v>80</v>
      </c>
      <c r="X364" s="1015">
        <f>PV_DATA[[#This Row],[QUANTITY]]/PV_DATA[[#This Row],[Qty/CT]]</f>
        <v>4</v>
      </c>
      <c r="Y364" s="430" t="s">
        <v>75</v>
      </c>
      <c r="Z364" s="430" t="str">
        <f t="shared" si="2"/>
        <v>COMPLETED</v>
      </c>
      <c r="AA364" s="430"/>
      <c r="AB364" s="437">
        <v>46097</v>
      </c>
      <c r="AC364" s="438">
        <f>IF(PV_DATA[[#This Row],[Pick-Up Date]]&lt;&gt;"",_xlfn.ISOWEEKNUM(PV_DATA[[#This Row],[Pick-Up Date]]),"")</f>
        <v>12</v>
      </c>
      <c r="AD364" s="439" t="s">
        <v>1786</v>
      </c>
      <c r="AE364" s="430"/>
      <c r="AF364" s="430" t="s">
        <v>1525</v>
      </c>
      <c r="AG364" s="430" t="s">
        <v>123</v>
      </c>
      <c r="AH364" s="430" t="s">
        <v>105</v>
      </c>
      <c r="AI364" s="437">
        <v>46103</v>
      </c>
      <c r="AJ364" s="437">
        <v>46107</v>
      </c>
      <c r="AK364" s="441">
        <v>46107</v>
      </c>
      <c r="AL364" s="437">
        <v>46150</v>
      </c>
      <c r="AM364" s="437">
        <v>46148</v>
      </c>
      <c r="AN364" s="437">
        <v>46148</v>
      </c>
      <c r="AO364" s="430" t="s">
        <v>402</v>
      </c>
      <c r="AP364" s="430" t="s">
        <v>1782</v>
      </c>
      <c r="AQ364" s="430" t="s">
        <v>161</v>
      </c>
      <c r="AR364" s="430" t="s">
        <v>1783</v>
      </c>
      <c r="AS364" s="430" t="s">
        <v>1784</v>
      </c>
      <c r="AT364" s="482" t="s">
        <v>1784</v>
      </c>
      <c r="AU36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W364" s="437" cm="1">
        <f t="array" ref="AW36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36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64" s="437">
        <f>IF(ISERROR(PV_DATA[[#This Row],[New Ark PO status]]),"",_xlfn.XLOOKUP(PV_DATA[[#This Row],[SPTN-PVHK New Ark PO'#]],New_Ark_Data[Purchase order Number],New_Ark_Data[Estimated time of arrival],"",0))</f>
        <v>46164</v>
      </c>
      <c r="AZ36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64" s="437">
        <f>IFERROR(PV_DATA[[#This Row],[ODP ETA Port]]+PV_DATA[[#This Row],[Customs/Leg3 Assumption]],"n/a")</f>
        <v>46155</v>
      </c>
      <c r="BB364" s="433">
        <f>YEAR(PV_DATA[[#This Row],[ETA for New Ark update]])</f>
        <v>2026</v>
      </c>
      <c r="BC364" s="430">
        <f>MONTH(PV_DATA[[#This Row],[ETA for New Ark update]])</f>
        <v>5</v>
      </c>
      <c r="BD364" s="430">
        <f>IFERROR(_xlfn.ISOWEEKNUM(PV_DATA[[#This Row],[ETA for New Ark update]]),0)</f>
        <v>20</v>
      </c>
      <c r="BE364" s="431">
        <f>_xlfn.XLOOKUP(PV_DATA[[#This Row],[New Ark SKU]],Table9[New Ark SKU],Table9[Total PCS per Pallet],,0)</f>
        <v>36</v>
      </c>
      <c r="BF364" s="431">
        <f>_xlfn.XLOOKUP(PV_DATA[[#This Row],[New Ark SKU]],Table9[New Ark SKU],Table9[Total PCS per 40HQ Container],,0)</f>
        <v>720</v>
      </c>
      <c r="BG364" s="431" t="str">
        <f>_xlfn.XLOOKUP(PV_DATA[[#This Row],[New Ark SKU]],Table9[New Ark SKU],Table9[Back Glass],,0)</f>
        <v>White glazing</v>
      </c>
      <c r="BH364" s="431" t="str">
        <f>_xlfn.XLOOKUP(PV_DATA[[#This Row],[PORT DESTINATION]],Table12[PORT DESTINATION],Table12[Cosco Line],,0)</f>
        <v>AEU</v>
      </c>
      <c r="BJ364" s="430"/>
    </row>
    <row r="365" spans="1:62" ht="10.5" hidden="1">
      <c r="A365" s="462" t="s">
        <v>1787</v>
      </c>
      <c r="B365" s="462" t="s">
        <v>1566</v>
      </c>
      <c r="C365" s="462" t="str">
        <f>IFERROR(LEFT(PV_DATA[[#This Row],[TCL REFERENCE]],FIND(".",PV_DATA[[#This Row],[TCL REFERENCE]],1)-1),"Main Line")</f>
        <v>26Feb029</v>
      </c>
      <c r="D365" s="462" t="s">
        <v>63</v>
      </c>
      <c r="E365" s="462" t="s">
        <v>64</v>
      </c>
      <c r="F365" s="462" t="str" cm="1">
        <f t="array" ref="F36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65" s="462" t="s">
        <v>402</v>
      </c>
      <c r="H365" s="462" t="s">
        <v>67</v>
      </c>
      <c r="I365" s="439" t="s">
        <v>689</v>
      </c>
      <c r="J365" s="430" t="s">
        <v>1568</v>
      </c>
      <c r="K365" s="430"/>
      <c r="L365" s="430"/>
      <c r="M365" s="430" t="s">
        <v>68</v>
      </c>
      <c r="N365" s="432">
        <v>46097</v>
      </c>
      <c r="O365" s="430" t="s">
        <v>284</v>
      </c>
      <c r="P365" s="430" t="s">
        <v>1584</v>
      </c>
      <c r="Q365" s="430" t="s">
        <v>1585</v>
      </c>
      <c r="R365" s="431" t="str">
        <f>_xlfn.XLOOKUP(PV_DATA[[#This Row],[New Ark SKU]],Table9[New Ark SKU],Table9[Connector],,0)</f>
        <v>EVO2A</v>
      </c>
      <c r="S365" s="442" t="str">
        <f>_xlfn.XLOOKUP(PV_DATA[[#This Row],[New Ark SKU]],Table9[New Ark SKU],Table9[Cable],,0)</f>
        <v>±1400mm</v>
      </c>
      <c r="T365" s="433">
        <v>645</v>
      </c>
      <c r="U365" s="1062">
        <f>720*9</f>
        <v>6480</v>
      </c>
      <c r="V365" s="434">
        <f>PV_DATA[[#This Row],[QUANTITY]]*PV_DATA[[#This Row],[WATT]]/1000000</f>
        <v>4.1795999999999998</v>
      </c>
      <c r="W365" s="435">
        <f>PV_DATA[[#This Row],[QUANTITY]]/PV_DATA[[#This Row],[Qty/Pallet]]</f>
        <v>180</v>
      </c>
      <c r="X365" s="1015">
        <f>PV_DATA[[#This Row],[QUANTITY]]/PV_DATA[[#This Row],[Qty/CT]]</f>
        <v>9</v>
      </c>
      <c r="Y365" s="430" t="s">
        <v>75</v>
      </c>
      <c r="Z365" s="430" t="str">
        <f t="shared" si="2"/>
        <v>COMPLETED</v>
      </c>
      <c r="AA365" s="430" t="s">
        <v>1788</v>
      </c>
      <c r="AB365" s="437">
        <v>46098</v>
      </c>
      <c r="AC365" s="438">
        <f>IF(PV_DATA[[#This Row],[Pick-Up Date]]&lt;&gt;"",_xlfn.ISOWEEKNUM(PV_DATA[[#This Row],[Pick-Up Date]]),"")</f>
        <v>12</v>
      </c>
      <c r="AD365" s="439" t="s">
        <v>1789</v>
      </c>
      <c r="AE365" s="430"/>
      <c r="AF365" s="430" t="s">
        <v>1525</v>
      </c>
      <c r="AG365" s="430" t="s">
        <v>123</v>
      </c>
      <c r="AH365" s="430" t="s">
        <v>105</v>
      </c>
      <c r="AI365" s="437">
        <v>46103</v>
      </c>
      <c r="AJ365" s="437">
        <v>46107</v>
      </c>
      <c r="AK365" s="441">
        <v>46107</v>
      </c>
      <c r="AL365" s="437">
        <v>46150</v>
      </c>
      <c r="AM365" s="437">
        <v>46148</v>
      </c>
      <c r="AN365" s="437">
        <v>46148</v>
      </c>
      <c r="AO365" s="430" t="s">
        <v>402</v>
      </c>
      <c r="AP365" s="430" t="s">
        <v>1782</v>
      </c>
      <c r="AQ365" s="430" t="s">
        <v>161</v>
      </c>
      <c r="AR365" s="430" t="s">
        <v>1790</v>
      </c>
      <c r="AS365" s="430" t="s">
        <v>1791</v>
      </c>
      <c r="AT365" s="482" t="s">
        <v>1792</v>
      </c>
      <c r="AU36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W365" s="437" cm="1">
        <f t="array" ref="AW36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36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65" s="437">
        <f>IF(ISERROR(PV_DATA[[#This Row],[New Ark PO status]]),"",_xlfn.XLOOKUP(PV_DATA[[#This Row],[SPTN-PVHK New Ark PO'#]],New_Ark_Data[Purchase order Number],New_Ark_Data[Estimated time of arrival],"",0))</f>
        <v>46156</v>
      </c>
      <c r="AZ36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65" s="437">
        <f>IFERROR(PV_DATA[[#This Row],[ODP ETA Port]]+PV_DATA[[#This Row],[Customs/Leg3 Assumption]],"n/a")</f>
        <v>46155</v>
      </c>
      <c r="BB365" s="433">
        <f>YEAR(PV_DATA[[#This Row],[ETA for New Ark update]])</f>
        <v>2026</v>
      </c>
      <c r="BC365" s="430">
        <f>MONTH(PV_DATA[[#This Row],[ETA for New Ark update]])</f>
        <v>5</v>
      </c>
      <c r="BD365" s="430">
        <f>IFERROR(_xlfn.ISOWEEKNUM(PV_DATA[[#This Row],[ETA for New Ark update]]),0)</f>
        <v>20</v>
      </c>
      <c r="BE365" s="431">
        <f>_xlfn.XLOOKUP(PV_DATA[[#This Row],[New Ark SKU]],Table9[New Ark SKU],Table9[Total PCS per Pallet],,0)</f>
        <v>36</v>
      </c>
      <c r="BF365" s="431">
        <f>_xlfn.XLOOKUP(PV_DATA[[#This Row],[New Ark SKU]],Table9[New Ark SKU],Table9[Total PCS per 40HQ Container],,0)</f>
        <v>720</v>
      </c>
      <c r="BG365" s="431" t="str">
        <f>_xlfn.XLOOKUP(PV_DATA[[#This Row],[New Ark SKU]],Table9[New Ark SKU],Table9[Back Glass],,0)</f>
        <v>White glazing</v>
      </c>
      <c r="BH365" s="431" t="str">
        <f>_xlfn.XLOOKUP(PV_DATA[[#This Row],[PORT DESTINATION]],Table12[PORT DESTINATION],Table12[Cosco Line],,0)</f>
        <v>AEU</v>
      </c>
      <c r="BJ365" s="430"/>
    </row>
    <row r="366" spans="1:62" ht="10.5" hidden="1">
      <c r="A366" s="462" t="s">
        <v>1793</v>
      </c>
      <c r="B366" s="462" t="s">
        <v>1566</v>
      </c>
      <c r="C366" s="462" t="str">
        <f>IFERROR(LEFT(PV_DATA[[#This Row],[TCL REFERENCE]],FIND(".",PV_DATA[[#This Row],[TCL REFERENCE]],1)-1),"Main Line")</f>
        <v>26Feb030</v>
      </c>
      <c r="D366" s="462" t="s">
        <v>63</v>
      </c>
      <c r="E366" s="462" t="s">
        <v>64</v>
      </c>
      <c r="F366" s="462" t="str" cm="1">
        <f t="array" ref="F36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66" s="462" t="s">
        <v>402</v>
      </c>
      <c r="H366" s="462" t="s">
        <v>67</v>
      </c>
      <c r="I366" s="439" t="s">
        <v>689</v>
      </c>
      <c r="J366" s="430" t="s">
        <v>1568</v>
      </c>
      <c r="K366" s="430"/>
      <c r="L366" s="430"/>
      <c r="M366" s="430" t="s">
        <v>68</v>
      </c>
      <c r="N366" s="432">
        <v>46097</v>
      </c>
      <c r="O366" s="430" t="s">
        <v>284</v>
      </c>
      <c r="P366" s="430" t="s">
        <v>1569</v>
      </c>
      <c r="Q366" s="430" t="s">
        <v>1570</v>
      </c>
      <c r="R366" s="431" t="str">
        <f>_xlfn.XLOOKUP(PV_DATA[[#This Row],[New Ark SKU]],Table9[New Ark SKU],Table9[Connector],,0)</f>
        <v>EVO2A</v>
      </c>
      <c r="S366" s="442" t="str">
        <f>_xlfn.XLOOKUP(PV_DATA[[#This Row],[New Ark SKU]],Table9[New Ark SKU],Table9[Cable],,0)</f>
        <v>±1400mm</v>
      </c>
      <c r="T366" s="433">
        <v>650</v>
      </c>
      <c r="U366" s="1062">
        <v>2880</v>
      </c>
      <c r="V366" s="434">
        <f>PV_DATA[[#This Row],[QUANTITY]]*PV_DATA[[#This Row],[WATT]]/1000000</f>
        <v>1.8720000000000001</v>
      </c>
      <c r="W366" s="435">
        <f>PV_DATA[[#This Row],[QUANTITY]]/PV_DATA[[#This Row],[Qty/Pallet]]</f>
        <v>80</v>
      </c>
      <c r="X366" s="1015">
        <f>PV_DATA[[#This Row],[QUANTITY]]/PV_DATA[[#This Row],[Qty/CT]]</f>
        <v>4</v>
      </c>
      <c r="Y366" s="430" t="s">
        <v>75</v>
      </c>
      <c r="Z366" s="430" t="str">
        <f t="shared" si="2"/>
        <v>COMPLETED</v>
      </c>
      <c r="AA366" s="430" t="s">
        <v>1794</v>
      </c>
      <c r="AB366" s="437">
        <v>46099</v>
      </c>
      <c r="AC366" s="438">
        <f>IF(PV_DATA[[#This Row],[Pick-Up Date]]&lt;&gt;"",_xlfn.ISOWEEKNUM(PV_DATA[[#This Row],[Pick-Up Date]]),"")</f>
        <v>12</v>
      </c>
      <c r="AD366" s="439" t="s">
        <v>1795</v>
      </c>
      <c r="AE366" s="430"/>
      <c r="AF366" s="430" t="s">
        <v>1525</v>
      </c>
      <c r="AG366" s="430" t="s">
        <v>123</v>
      </c>
      <c r="AH366" s="430" t="s">
        <v>105</v>
      </c>
      <c r="AI366" s="437">
        <v>46103</v>
      </c>
      <c r="AJ366" s="437">
        <v>46107</v>
      </c>
      <c r="AK366" s="441">
        <v>46107</v>
      </c>
      <c r="AL366" s="437">
        <v>46150</v>
      </c>
      <c r="AM366" s="437">
        <v>46148</v>
      </c>
      <c r="AN366" s="437">
        <v>46148</v>
      </c>
      <c r="AO366" s="430" t="s">
        <v>402</v>
      </c>
      <c r="AP366" s="430" t="s">
        <v>1782</v>
      </c>
      <c r="AQ366" s="430" t="s">
        <v>161</v>
      </c>
      <c r="AR366" s="430" t="s">
        <v>1796</v>
      </c>
      <c r="AS366" s="430" t="s">
        <v>1797</v>
      </c>
      <c r="AT366" s="482" t="s">
        <v>1798</v>
      </c>
      <c r="AU36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W366" s="437" cm="1">
        <f t="array" ref="AW36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36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66" s="437">
        <f>IF(ISERROR(PV_DATA[[#This Row],[New Ark PO status]]),"",_xlfn.XLOOKUP(PV_DATA[[#This Row],[SPTN-PVHK New Ark PO'#]],New_Ark_Data[Purchase order Number],New_Ark_Data[Estimated time of arrival],"",0))</f>
        <v>46164</v>
      </c>
      <c r="AZ36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66" s="437">
        <f>IFERROR(PV_DATA[[#This Row],[ODP ETA Port]]+PV_DATA[[#This Row],[Customs/Leg3 Assumption]],"n/a")</f>
        <v>46155</v>
      </c>
      <c r="BB366" s="433">
        <f>YEAR(PV_DATA[[#This Row],[ETA for New Ark update]])</f>
        <v>2026</v>
      </c>
      <c r="BC366" s="430">
        <f>MONTH(PV_DATA[[#This Row],[ETA for New Ark update]])</f>
        <v>5</v>
      </c>
      <c r="BD366" s="430">
        <f>IFERROR(_xlfn.ISOWEEKNUM(PV_DATA[[#This Row],[ETA for New Ark update]]),0)</f>
        <v>20</v>
      </c>
      <c r="BE366" s="431">
        <f>_xlfn.XLOOKUP(PV_DATA[[#This Row],[New Ark SKU]],Table9[New Ark SKU],Table9[Total PCS per Pallet],,0)</f>
        <v>36</v>
      </c>
      <c r="BF366" s="431">
        <f>_xlfn.XLOOKUP(PV_DATA[[#This Row],[New Ark SKU]],Table9[New Ark SKU],Table9[Total PCS per 40HQ Container],,0)</f>
        <v>720</v>
      </c>
      <c r="BG366" s="431" t="str">
        <f>_xlfn.XLOOKUP(PV_DATA[[#This Row],[New Ark SKU]],Table9[New Ark SKU],Table9[Back Glass],,0)</f>
        <v>White glazing</v>
      </c>
      <c r="BH366" s="431" t="str">
        <f>_xlfn.XLOOKUP(PV_DATA[[#This Row],[PORT DESTINATION]],Table12[PORT DESTINATION],Table12[Cosco Line],,0)</f>
        <v>AEU</v>
      </c>
      <c r="BJ366" s="430"/>
    </row>
    <row r="367" spans="1:62" ht="10.5" hidden="1">
      <c r="A367" s="462" t="s">
        <v>1799</v>
      </c>
      <c r="B367" s="462" t="s">
        <v>1566</v>
      </c>
      <c r="C367" s="462" t="str">
        <f>IFERROR(LEFT(PV_DATA[[#This Row],[TCL REFERENCE]],FIND(".",PV_DATA[[#This Row],[TCL REFERENCE]],1)-1),"Main Line")</f>
        <v>26Feb029</v>
      </c>
      <c r="D367" s="462" t="s">
        <v>63</v>
      </c>
      <c r="E367" s="462" t="s">
        <v>64</v>
      </c>
      <c r="F367" s="462" t="str" cm="1">
        <f t="array" ref="F36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67" s="462" t="s">
        <v>402</v>
      </c>
      <c r="H367" s="462" t="s">
        <v>67</v>
      </c>
      <c r="I367" s="439" t="s">
        <v>689</v>
      </c>
      <c r="J367" s="430" t="s">
        <v>1568</v>
      </c>
      <c r="K367" s="430"/>
      <c r="L367" s="430"/>
      <c r="M367" s="430" t="s">
        <v>68</v>
      </c>
      <c r="N367" s="432" t="s">
        <v>68</v>
      </c>
      <c r="O367" s="430" t="s">
        <v>284</v>
      </c>
      <c r="P367" s="430" t="s">
        <v>1584</v>
      </c>
      <c r="Q367" s="430" t="s">
        <v>1585</v>
      </c>
      <c r="R367" s="431" t="str">
        <f>_xlfn.XLOOKUP(PV_DATA[[#This Row],[New Ark SKU]],Table9[New Ark SKU],Table9[Connector],,0)</f>
        <v>EVO2A</v>
      </c>
      <c r="S367" s="442" t="str">
        <f>_xlfn.XLOOKUP(PV_DATA[[#This Row],[New Ark SKU]],Table9[New Ark SKU],Table9[Cable],,0)</f>
        <v>±1400mm</v>
      </c>
      <c r="T367" s="433">
        <v>645</v>
      </c>
      <c r="U367" s="1062">
        <v>3600</v>
      </c>
      <c r="V367" s="434">
        <f>PV_DATA[[#This Row],[QUANTITY]]*PV_DATA[[#This Row],[WATT]]/1000000</f>
        <v>2.3220000000000001</v>
      </c>
      <c r="W367" s="435">
        <f>PV_DATA[[#This Row],[QUANTITY]]/PV_DATA[[#This Row],[Qty/Pallet]]</f>
        <v>100</v>
      </c>
      <c r="X367" s="1015">
        <f>PV_DATA[[#This Row],[QUANTITY]]/PV_DATA[[#This Row],[Qty/CT]]</f>
        <v>5</v>
      </c>
      <c r="Y367" s="430" t="s">
        <v>75</v>
      </c>
      <c r="Z367" s="430" t="str">
        <f t="shared" si="2"/>
        <v>COMPLETED</v>
      </c>
      <c r="AA367" s="430"/>
      <c r="AB367" s="437">
        <v>46099</v>
      </c>
      <c r="AC367" s="438">
        <f>IF(PV_DATA[[#This Row],[Pick-Up Date]]&lt;&gt;"",_xlfn.ISOWEEKNUM(PV_DATA[[#This Row],[Pick-Up Date]]),"")</f>
        <v>12</v>
      </c>
      <c r="AD367" s="439" t="s">
        <v>1800</v>
      </c>
      <c r="AE367" s="430"/>
      <c r="AF367" s="430" t="s">
        <v>1525</v>
      </c>
      <c r="AG367" s="430" t="s">
        <v>123</v>
      </c>
      <c r="AH367" s="430" t="s">
        <v>105</v>
      </c>
      <c r="AI367" s="437">
        <v>46103</v>
      </c>
      <c r="AJ367" s="437">
        <v>46107</v>
      </c>
      <c r="AK367" s="441">
        <v>46107</v>
      </c>
      <c r="AL367" s="437">
        <v>46150</v>
      </c>
      <c r="AM367" s="437">
        <v>46148</v>
      </c>
      <c r="AN367" s="437">
        <v>46148</v>
      </c>
      <c r="AO367" s="430" t="s">
        <v>402</v>
      </c>
      <c r="AP367" s="430" t="s">
        <v>1782</v>
      </c>
      <c r="AQ367" s="430" t="s">
        <v>161</v>
      </c>
      <c r="AR367" s="430" t="s">
        <v>1796</v>
      </c>
      <c r="AS367" s="430" t="s">
        <v>1797</v>
      </c>
      <c r="AT367" s="482" t="s">
        <v>1798</v>
      </c>
      <c r="AU36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W367" s="437" cm="1">
        <f t="array" ref="AW36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36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67" s="437">
        <f>IF(ISERROR(PV_DATA[[#This Row],[New Ark PO status]]),"",_xlfn.XLOOKUP(PV_DATA[[#This Row],[SPTN-PVHK New Ark PO'#]],New_Ark_Data[Purchase order Number],New_Ark_Data[Estimated time of arrival],"",0))</f>
        <v>46156</v>
      </c>
      <c r="AZ367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67" s="437">
        <f>IFERROR(PV_DATA[[#This Row],[ODP ETA Port]]+PV_DATA[[#This Row],[Customs/Leg3 Assumption]],"n/a")</f>
        <v>46155</v>
      </c>
      <c r="BB367" s="433">
        <f>YEAR(PV_DATA[[#This Row],[ETA for New Ark update]])</f>
        <v>2026</v>
      </c>
      <c r="BC367" s="430">
        <f>MONTH(PV_DATA[[#This Row],[ETA for New Ark update]])</f>
        <v>5</v>
      </c>
      <c r="BD367" s="430">
        <f>IFERROR(_xlfn.ISOWEEKNUM(PV_DATA[[#This Row],[ETA for New Ark update]]),0)</f>
        <v>20</v>
      </c>
      <c r="BE367" s="431">
        <f>_xlfn.XLOOKUP(PV_DATA[[#This Row],[New Ark SKU]],Table9[New Ark SKU],Table9[Total PCS per Pallet],,0)</f>
        <v>36</v>
      </c>
      <c r="BF367" s="431">
        <f>_xlfn.XLOOKUP(PV_DATA[[#This Row],[New Ark SKU]],Table9[New Ark SKU],Table9[Total PCS per 40HQ Container],,0)</f>
        <v>720</v>
      </c>
      <c r="BG367" s="431" t="str">
        <f>_xlfn.XLOOKUP(PV_DATA[[#This Row],[New Ark SKU]],Table9[New Ark SKU],Table9[Back Glass],,0)</f>
        <v>White glazing</v>
      </c>
      <c r="BH367" s="431" t="str">
        <f>_xlfn.XLOOKUP(PV_DATA[[#This Row],[PORT DESTINATION]],Table12[PORT DESTINATION],Table12[Cosco Line],,0)</f>
        <v>AEU</v>
      </c>
      <c r="BJ367" s="430"/>
    </row>
    <row r="368" spans="1:62" ht="10.5" hidden="1">
      <c r="A368" s="462" t="s">
        <v>1801</v>
      </c>
      <c r="B368" s="462" t="s">
        <v>1802</v>
      </c>
      <c r="C368" s="462" t="str">
        <f>IFERROR(LEFT(PV_DATA[[#This Row],[TCL REFERENCE]],FIND(".",PV_DATA[[#This Row],[TCL REFERENCE]],1)-1),"Main Line")</f>
        <v>26Feb034</v>
      </c>
      <c r="D368" s="462" t="s">
        <v>113</v>
      </c>
      <c r="E368" s="462" t="s">
        <v>144</v>
      </c>
      <c r="F368" s="462" t="str" cm="1">
        <f t="array" ref="F36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68" s="462" t="s">
        <v>402</v>
      </c>
      <c r="H368" s="462" t="s">
        <v>1449</v>
      </c>
      <c r="I368" s="439" t="s">
        <v>822</v>
      </c>
      <c r="J368" s="430" t="s">
        <v>1804</v>
      </c>
      <c r="K368" s="430" t="s">
        <v>1805</v>
      </c>
      <c r="L368" s="430"/>
      <c r="M368" s="430" t="s">
        <v>840</v>
      </c>
      <c r="N368" s="432">
        <v>46097</v>
      </c>
      <c r="O368" s="430" t="s">
        <v>70</v>
      </c>
      <c r="P368" s="430" t="s">
        <v>1806</v>
      </c>
      <c r="Q368" s="430" t="s">
        <v>1807</v>
      </c>
      <c r="R368" s="431" t="str">
        <f>_xlfn.XLOOKUP(PV_DATA[[#This Row],[New Ark SKU]],Table9[New Ark SKU],Table9[Connector],,0)</f>
        <v>H4(Com)</v>
      </c>
      <c r="S368" s="442" t="str">
        <f>_xlfn.XLOOKUP(PV_DATA[[#This Row],[New Ark SKU]],Table9[New Ark SKU],Table9[Cable],,0)</f>
        <v>+400mm/-200mm</v>
      </c>
      <c r="T368" s="433">
        <v>720</v>
      </c>
      <c r="U368" s="1062">
        <f>594*6</f>
        <v>3564</v>
      </c>
      <c r="V368" s="434">
        <f>PV_DATA[[#This Row],[QUANTITY]]*PV_DATA[[#This Row],[WATT]]/1000000</f>
        <v>2.5660799999999999</v>
      </c>
      <c r="W368" s="435">
        <f>PV_DATA[[#This Row],[QUANTITY]]/PV_DATA[[#This Row],[Qty/Pallet]]</f>
        <v>108</v>
      </c>
      <c r="X368" s="1015">
        <f>PV_DATA[[#This Row],[QUANTITY]]/PV_DATA[[#This Row],[Qty/CT]]</f>
        <v>6</v>
      </c>
      <c r="Y368" s="430" t="s">
        <v>75</v>
      </c>
      <c r="Z368" s="430" t="str">
        <f t="shared" si="2"/>
        <v>COMPLETED</v>
      </c>
      <c r="AA368" s="430" t="s">
        <v>1809</v>
      </c>
      <c r="AB368" s="437">
        <v>46097</v>
      </c>
      <c r="AC368" s="438">
        <f>IF(PV_DATA[[#This Row],[Pick-Up Date]]&lt;&gt;"",_xlfn.ISOWEEKNUM(PV_DATA[[#This Row],[Pick-Up Date]]),"")</f>
        <v>12</v>
      </c>
      <c r="AD368" s="439" t="s">
        <v>1810</v>
      </c>
      <c r="AE368" s="430"/>
      <c r="AF368" s="430" t="s">
        <v>1525</v>
      </c>
      <c r="AG368" s="430" t="s">
        <v>123</v>
      </c>
      <c r="AH368" s="430" t="s">
        <v>105</v>
      </c>
      <c r="AI368" s="437">
        <v>46101</v>
      </c>
      <c r="AJ368" s="437">
        <v>46101</v>
      </c>
      <c r="AK368" s="441">
        <v>46101</v>
      </c>
      <c r="AL368" s="437">
        <v>46139</v>
      </c>
      <c r="AM368" s="437">
        <v>46143</v>
      </c>
      <c r="AN368" s="437">
        <v>46143</v>
      </c>
      <c r="AO368" s="430" t="s">
        <v>402</v>
      </c>
      <c r="AP368" s="430" t="s">
        <v>1811</v>
      </c>
      <c r="AQ368" s="430" t="s">
        <v>161</v>
      </c>
      <c r="AR368" s="430" t="s">
        <v>1812</v>
      </c>
      <c r="AS368" s="430">
        <v>285716532</v>
      </c>
      <c r="AT368" s="431">
        <v>285716532</v>
      </c>
      <c r="AU36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</v>
      </c>
      <c r="AW368" s="437" cm="1">
        <f t="array" ref="AW36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46143</v>
      </c>
      <c r="AX36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68" s="437">
        <f>IF(ISERROR(PV_DATA[[#This Row],[New Ark PO status]]),"",_xlfn.XLOOKUP(PV_DATA[[#This Row],[SPTN-PVHK New Ark PO'#]],New_Ark_Data[Purchase order Number],New_Ark_Data[Estimated time of arrival],"",0))</f>
        <v>46153</v>
      </c>
      <c r="AZ368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68" s="437">
        <f>IFERROR(PV_DATA[[#This Row],[ODP ETA Port]]+PV_DATA[[#This Row],[Customs/Leg3 Assumption]],"n/a")</f>
        <v>46143</v>
      </c>
      <c r="BB368" s="433">
        <f>YEAR(PV_DATA[[#This Row],[ETA for New Ark update]])</f>
        <v>2026</v>
      </c>
      <c r="BC368" s="430">
        <f>MONTH(PV_DATA[[#This Row],[ETA for New Ark update]])</f>
        <v>5</v>
      </c>
      <c r="BD368" s="430">
        <f>IFERROR(_xlfn.ISOWEEKNUM(PV_DATA[[#This Row],[ETA for New Ark update]]),0)</f>
        <v>18</v>
      </c>
      <c r="BE368" s="431">
        <f>_xlfn.XLOOKUP(PV_DATA[[#This Row],[New Ark SKU]],Table9[New Ark SKU],Table9[Total PCS per Pallet],,0)</f>
        <v>33</v>
      </c>
      <c r="BF368" s="431">
        <f>_xlfn.XLOOKUP(PV_DATA[[#This Row],[New Ark SKU]],Table9[New Ark SKU],Table9[Total PCS per 40HQ Container],,0)</f>
        <v>594</v>
      </c>
      <c r="BG368" s="431" t="str">
        <f>_xlfn.XLOOKUP(PV_DATA[[#This Row],[New Ark SKU]],Table9[New Ark SKU],Table9[Back Glass],,0)</f>
        <v>Transparent</v>
      </c>
      <c r="BH368" s="431" t="str">
        <f>_xlfn.XLOOKUP(PV_DATA[[#This Row],[PORT DESTINATION]],Table12[PORT DESTINATION],Table12[Cosco Line],,0)</f>
        <v>AEU</v>
      </c>
      <c r="BJ368" s="430"/>
    </row>
    <row r="369" spans="1:62" ht="10.5" hidden="1">
      <c r="A369" s="462" t="s">
        <v>1813</v>
      </c>
      <c r="B369" s="462" t="s">
        <v>1802</v>
      </c>
      <c r="C369" s="462" t="str">
        <f>IFERROR(LEFT(PV_DATA[[#This Row],[TCL REFERENCE]],FIND(".",PV_DATA[[#This Row],[TCL REFERENCE]],1)-1),"Main Line")</f>
        <v>26Feb034</v>
      </c>
      <c r="D369" s="462" t="s">
        <v>113</v>
      </c>
      <c r="E369" s="462" t="s">
        <v>144</v>
      </c>
      <c r="F369" s="462" t="str" cm="1">
        <f t="array" ref="F36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69" s="462" t="s">
        <v>402</v>
      </c>
      <c r="H369" s="462" t="s">
        <v>1449</v>
      </c>
      <c r="I369" s="439" t="s">
        <v>822</v>
      </c>
      <c r="J369" s="430" t="s">
        <v>1814</v>
      </c>
      <c r="K369" s="430" t="s">
        <v>1805</v>
      </c>
      <c r="L369" s="430"/>
      <c r="M369" s="430" t="s">
        <v>840</v>
      </c>
      <c r="N369" s="432">
        <v>46097</v>
      </c>
      <c r="O369" s="430" t="s">
        <v>70</v>
      </c>
      <c r="P369" s="430" t="s">
        <v>1806</v>
      </c>
      <c r="Q369" s="430" t="s">
        <v>1807</v>
      </c>
      <c r="R369" s="431" t="str">
        <f>_xlfn.XLOOKUP(PV_DATA[[#This Row],[New Ark SKU]],Table9[New Ark SKU],Table9[Connector],,0)</f>
        <v>H4(Com)</v>
      </c>
      <c r="S369" s="442" t="str">
        <f>_xlfn.XLOOKUP(PV_DATA[[#This Row],[New Ark SKU]],Table9[New Ark SKU],Table9[Cable],,0)</f>
        <v>+400mm/-200mm</v>
      </c>
      <c r="T369" s="433">
        <v>720</v>
      </c>
      <c r="U369" s="1062">
        <f>594*7</f>
        <v>4158</v>
      </c>
      <c r="V369" s="434">
        <f>PV_DATA[[#This Row],[QUANTITY]]*PV_DATA[[#This Row],[WATT]]/1000000</f>
        <v>2.99376</v>
      </c>
      <c r="W369" s="435">
        <f>PV_DATA[[#This Row],[QUANTITY]]/PV_DATA[[#This Row],[Qty/Pallet]]</f>
        <v>126</v>
      </c>
      <c r="X369" s="1015">
        <f>PV_DATA[[#This Row],[QUANTITY]]/PV_DATA[[#This Row],[Qty/CT]]</f>
        <v>7</v>
      </c>
      <c r="Y369" s="430" t="s">
        <v>75</v>
      </c>
      <c r="Z369" s="430" t="str">
        <f t="shared" si="2"/>
        <v>COMPLETED</v>
      </c>
      <c r="AA369" s="430" t="s">
        <v>1809</v>
      </c>
      <c r="AB369" s="437">
        <v>46096</v>
      </c>
      <c r="AC369" s="438">
        <f>IF(PV_DATA[[#This Row],[Pick-Up Date]]&lt;&gt;"",_xlfn.ISOWEEKNUM(PV_DATA[[#This Row],[Pick-Up Date]]),"")</f>
        <v>11</v>
      </c>
      <c r="AD369" s="439" t="s">
        <v>1815</v>
      </c>
      <c r="AE369" s="430"/>
      <c r="AF369" s="430" t="s">
        <v>1525</v>
      </c>
      <c r="AG369" s="430" t="s">
        <v>123</v>
      </c>
      <c r="AH369" s="430" t="s">
        <v>105</v>
      </c>
      <c r="AI369" s="437">
        <v>46101</v>
      </c>
      <c r="AJ369" s="437">
        <v>46101</v>
      </c>
      <c r="AK369" s="441">
        <v>46101</v>
      </c>
      <c r="AL369" s="437">
        <v>46139</v>
      </c>
      <c r="AM369" s="437">
        <v>46143</v>
      </c>
      <c r="AN369" s="437">
        <v>46143</v>
      </c>
      <c r="AO369" s="430" t="s">
        <v>402</v>
      </c>
      <c r="AP369" s="430" t="s">
        <v>1811</v>
      </c>
      <c r="AQ369" s="430" t="s">
        <v>161</v>
      </c>
      <c r="AR369" s="430" t="s">
        <v>1812</v>
      </c>
      <c r="AS369" s="430">
        <v>285716532</v>
      </c>
      <c r="AT369" s="431">
        <v>285716532</v>
      </c>
      <c r="AU36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</v>
      </c>
      <c r="AW369" s="437" cm="1">
        <f t="array" ref="AW36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46143</v>
      </c>
      <c r="AX36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69" s="437">
        <f>IF(ISERROR(PV_DATA[[#This Row],[New Ark PO status]]),"",_xlfn.XLOOKUP(PV_DATA[[#This Row],[SPTN-PVHK New Ark PO'#]],New_Ark_Data[Purchase order Number],New_Ark_Data[Estimated time of arrival],"",0))</f>
        <v>46153</v>
      </c>
      <c r="AZ369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69" s="437">
        <f>IFERROR(PV_DATA[[#This Row],[ODP ETA Port]]+PV_DATA[[#This Row],[Customs/Leg3 Assumption]],"n/a")</f>
        <v>46143</v>
      </c>
      <c r="BB369" s="433">
        <f>YEAR(PV_DATA[[#This Row],[ETA for New Ark update]])</f>
        <v>2026</v>
      </c>
      <c r="BC369" s="430">
        <f>MONTH(PV_DATA[[#This Row],[ETA for New Ark update]])</f>
        <v>5</v>
      </c>
      <c r="BD369" s="430">
        <f>IFERROR(_xlfn.ISOWEEKNUM(PV_DATA[[#This Row],[ETA for New Ark update]]),0)</f>
        <v>18</v>
      </c>
      <c r="BE369" s="431">
        <f>_xlfn.XLOOKUP(PV_DATA[[#This Row],[New Ark SKU]],Table9[New Ark SKU],Table9[Total PCS per Pallet],,0)</f>
        <v>33</v>
      </c>
      <c r="BF369" s="431">
        <f>_xlfn.XLOOKUP(PV_DATA[[#This Row],[New Ark SKU]],Table9[New Ark SKU],Table9[Total PCS per 40HQ Container],,0)</f>
        <v>594</v>
      </c>
      <c r="BG369" s="431" t="str">
        <f>_xlfn.XLOOKUP(PV_DATA[[#This Row],[New Ark SKU]],Table9[New Ark SKU],Table9[Back Glass],,0)</f>
        <v>Transparent</v>
      </c>
      <c r="BH369" s="431" t="str">
        <f>_xlfn.XLOOKUP(PV_DATA[[#This Row],[PORT DESTINATION]],Table12[PORT DESTINATION],Table12[Cosco Line],,0)</f>
        <v>AEU</v>
      </c>
      <c r="BJ369" s="430"/>
    </row>
    <row r="370" spans="1:62" ht="10.5" hidden="1">
      <c r="A370" s="462" t="s">
        <v>1816</v>
      </c>
      <c r="B370" s="462" t="s">
        <v>1802</v>
      </c>
      <c r="C370" s="462" t="str">
        <f>IFERROR(LEFT(PV_DATA[[#This Row],[TCL REFERENCE]],FIND(".",PV_DATA[[#This Row],[TCL REFERENCE]],1)-1),"Main Line")</f>
        <v>26Feb034</v>
      </c>
      <c r="D370" s="462" t="s">
        <v>113</v>
      </c>
      <c r="E370" s="462" t="s">
        <v>144</v>
      </c>
      <c r="F370" s="462" t="str" cm="1">
        <f t="array" ref="F37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70" s="462" t="s">
        <v>402</v>
      </c>
      <c r="H370" s="462" t="s">
        <v>1449</v>
      </c>
      <c r="I370" s="439" t="s">
        <v>822</v>
      </c>
      <c r="J370" s="430" t="s">
        <v>1817</v>
      </c>
      <c r="K370" s="430" t="s">
        <v>1805</v>
      </c>
      <c r="L370" s="430"/>
      <c r="M370" s="430" t="s">
        <v>840</v>
      </c>
      <c r="N370" s="432">
        <v>46097</v>
      </c>
      <c r="O370" s="430" t="s">
        <v>70</v>
      </c>
      <c r="P370" s="430" t="s">
        <v>1806</v>
      </c>
      <c r="Q370" s="430" t="s">
        <v>1807</v>
      </c>
      <c r="R370" s="431" t="str">
        <f>_xlfn.XLOOKUP(PV_DATA[[#This Row],[New Ark SKU]],Table9[New Ark SKU],Table9[Connector],,0)</f>
        <v>H4(Com)</v>
      </c>
      <c r="S370" s="442" t="str">
        <f>_xlfn.XLOOKUP(PV_DATA[[#This Row],[New Ark SKU]],Table9[New Ark SKU],Table9[Cable],,0)</f>
        <v>+400mm/-200mm</v>
      </c>
      <c r="T370" s="433">
        <v>720</v>
      </c>
      <c r="U370" s="1062">
        <f>594*10</f>
        <v>5940</v>
      </c>
      <c r="V370" s="434">
        <f>PV_DATA[[#This Row],[QUANTITY]]*PV_DATA[[#This Row],[WATT]]/1000000</f>
        <v>4.2767999999999997</v>
      </c>
      <c r="W370" s="435">
        <f>PV_DATA[[#This Row],[QUANTITY]]/PV_DATA[[#This Row],[Qty/Pallet]]</f>
        <v>180</v>
      </c>
      <c r="X370" s="1015">
        <f>PV_DATA[[#This Row],[QUANTITY]]/PV_DATA[[#This Row],[Qty/CT]]</f>
        <v>10</v>
      </c>
      <c r="Y370" s="430" t="s">
        <v>75</v>
      </c>
      <c r="Z370" s="430" t="str">
        <f t="shared" si="2"/>
        <v>COMPLETED</v>
      </c>
      <c r="AA370" s="430" t="s">
        <v>1809</v>
      </c>
      <c r="AB370" s="437">
        <v>46101</v>
      </c>
      <c r="AC370" s="438">
        <f>IF(PV_DATA[[#This Row],[Pick-Up Date]]&lt;&gt;"",_xlfn.ISOWEEKNUM(PV_DATA[[#This Row],[Pick-Up Date]]),"")</f>
        <v>12</v>
      </c>
      <c r="AD370" s="439" t="s">
        <v>1818</v>
      </c>
      <c r="AE370" s="430"/>
      <c r="AF370" s="430" t="s">
        <v>122</v>
      </c>
      <c r="AG370" s="430" t="s">
        <v>123</v>
      </c>
      <c r="AH370" s="430" t="s">
        <v>105</v>
      </c>
      <c r="AI370" s="437">
        <v>46105</v>
      </c>
      <c r="AJ370" s="437">
        <v>46115</v>
      </c>
      <c r="AK370" s="441">
        <v>46111</v>
      </c>
      <c r="AL370" s="437">
        <v>46147</v>
      </c>
      <c r="AM370" s="437">
        <v>46166</v>
      </c>
      <c r="AN370" s="437">
        <v>46167</v>
      </c>
      <c r="AO370" s="430" t="s">
        <v>402</v>
      </c>
      <c r="AP370" s="430" t="s">
        <v>1819</v>
      </c>
      <c r="AQ370" s="430" t="s">
        <v>161</v>
      </c>
      <c r="AR370" s="430" t="s">
        <v>1820</v>
      </c>
      <c r="AS370" s="430" t="s">
        <v>1821</v>
      </c>
      <c r="AT370" s="482" t="s">
        <v>1821</v>
      </c>
      <c r="AU37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W370" s="437" cm="1">
        <f t="array" ref="AW37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46167</v>
      </c>
      <c r="AX37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70" s="437">
        <f>IF(ISERROR(PV_DATA[[#This Row],[New Ark PO status]]),"",_xlfn.XLOOKUP(PV_DATA[[#This Row],[SPTN-PVHK New Ark PO'#]],New_Ark_Data[Purchase order Number],New_Ark_Data[Estimated time of arrival],"",0))</f>
        <v>46161</v>
      </c>
      <c r="AZ370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70" s="437">
        <f>IFERROR(PV_DATA[[#This Row],[ODP ETA Port]]+PV_DATA[[#This Row],[Customs/Leg3 Assumption]],"n/a")</f>
        <v>46167</v>
      </c>
      <c r="BB370" s="433">
        <f>YEAR(PV_DATA[[#This Row],[ETA for New Ark update]])</f>
        <v>2026</v>
      </c>
      <c r="BC370" s="430">
        <f>MONTH(PV_DATA[[#This Row],[ETA for New Ark update]])</f>
        <v>5</v>
      </c>
      <c r="BD370" s="430">
        <f>IFERROR(_xlfn.ISOWEEKNUM(PV_DATA[[#This Row],[ETA for New Ark update]]),0)</f>
        <v>22</v>
      </c>
      <c r="BE370" s="431">
        <f>_xlfn.XLOOKUP(PV_DATA[[#This Row],[New Ark SKU]],Table9[New Ark SKU],Table9[Total PCS per Pallet],,0)</f>
        <v>33</v>
      </c>
      <c r="BF370" s="431">
        <f>_xlfn.XLOOKUP(PV_DATA[[#This Row],[New Ark SKU]],Table9[New Ark SKU],Table9[Total PCS per 40HQ Container],,0)</f>
        <v>594</v>
      </c>
      <c r="BG370" s="431" t="str">
        <f>_xlfn.XLOOKUP(PV_DATA[[#This Row],[New Ark SKU]],Table9[New Ark SKU],Table9[Back Glass],,0)</f>
        <v>Transparent</v>
      </c>
      <c r="BH370" s="431" t="str">
        <f>_xlfn.XLOOKUP(PV_DATA[[#This Row],[PORT DESTINATION]],Table12[PORT DESTINATION],Table12[Cosco Line],,0)</f>
        <v>AEU</v>
      </c>
      <c r="BJ370" s="430"/>
    </row>
    <row r="371" spans="1:62" ht="10.5" hidden="1">
      <c r="A371" s="462" t="s">
        <v>1822</v>
      </c>
      <c r="B371" s="462" t="s">
        <v>1802</v>
      </c>
      <c r="C371" s="462" t="str">
        <f>IFERROR(LEFT(PV_DATA[[#This Row],[TCL REFERENCE]],FIND(".",PV_DATA[[#This Row],[TCL REFERENCE]],1)-1),"Main Line")</f>
        <v>26Feb034</v>
      </c>
      <c r="D371" s="462" t="s">
        <v>113</v>
      </c>
      <c r="E371" s="462" t="s">
        <v>144</v>
      </c>
      <c r="F371" s="462" t="str" cm="1">
        <f t="array" ref="F37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71" s="462" t="s">
        <v>402</v>
      </c>
      <c r="H371" s="462" t="s">
        <v>1449</v>
      </c>
      <c r="I371" s="439" t="s">
        <v>822</v>
      </c>
      <c r="J371" s="430" t="s">
        <v>1823</v>
      </c>
      <c r="K371" s="430" t="s">
        <v>1805</v>
      </c>
      <c r="L371" s="430"/>
      <c r="M371" s="430" t="s">
        <v>840</v>
      </c>
      <c r="N371" s="432">
        <v>46097</v>
      </c>
      <c r="O371" s="430" t="s">
        <v>70</v>
      </c>
      <c r="P371" s="430" t="s">
        <v>1806</v>
      </c>
      <c r="Q371" s="430" t="s">
        <v>1807</v>
      </c>
      <c r="R371" s="431" t="str">
        <f>_xlfn.XLOOKUP(PV_DATA[[#This Row],[New Ark SKU]],Table9[New Ark SKU],Table9[Connector],,0)</f>
        <v>H4(Com)</v>
      </c>
      <c r="S371" s="442" t="str">
        <f>_xlfn.XLOOKUP(PV_DATA[[#This Row],[New Ark SKU]],Table9[New Ark SKU],Table9[Cable],,0)</f>
        <v>+400mm/-200mm</v>
      </c>
      <c r="T371" s="433">
        <v>720</v>
      </c>
      <c r="U371" s="1062">
        <f>594*9</f>
        <v>5346</v>
      </c>
      <c r="V371" s="434">
        <f>PV_DATA[[#This Row],[QUANTITY]]*PV_DATA[[#This Row],[WATT]]/1000000</f>
        <v>3.8491200000000001</v>
      </c>
      <c r="W371" s="435">
        <f>PV_DATA[[#This Row],[QUANTITY]]/PV_DATA[[#This Row],[Qty/Pallet]]</f>
        <v>162</v>
      </c>
      <c r="X371" s="1015">
        <f>PV_DATA[[#This Row],[QUANTITY]]/PV_DATA[[#This Row],[Qty/CT]]</f>
        <v>9</v>
      </c>
      <c r="Y371" s="430" t="s">
        <v>75</v>
      </c>
      <c r="Z371" s="430" t="str">
        <f t="shared" si="2"/>
        <v>COMPLETED</v>
      </c>
      <c r="AA371" s="430" t="s">
        <v>1809</v>
      </c>
      <c r="AB371" s="437">
        <v>46100</v>
      </c>
      <c r="AC371" s="438">
        <f>IF(PV_DATA[[#This Row],[Pick-Up Date]]&lt;&gt;"",_xlfn.ISOWEEKNUM(PV_DATA[[#This Row],[Pick-Up Date]]),"")</f>
        <v>12</v>
      </c>
      <c r="AD371" s="439" t="s">
        <v>1824</v>
      </c>
      <c r="AE371" s="430"/>
      <c r="AF371" s="430" t="s">
        <v>122</v>
      </c>
      <c r="AG371" s="430" t="s">
        <v>123</v>
      </c>
      <c r="AH371" s="430" t="s">
        <v>105</v>
      </c>
      <c r="AI371" s="437">
        <v>46105</v>
      </c>
      <c r="AJ371" s="437">
        <v>46115</v>
      </c>
      <c r="AK371" s="441">
        <v>46111</v>
      </c>
      <c r="AL371" s="437">
        <v>46147</v>
      </c>
      <c r="AM371" s="437">
        <v>46166</v>
      </c>
      <c r="AN371" s="437">
        <v>46167</v>
      </c>
      <c r="AO371" s="430" t="s">
        <v>402</v>
      </c>
      <c r="AP371" s="430" t="s">
        <v>1819</v>
      </c>
      <c r="AQ371" s="430" t="s">
        <v>161</v>
      </c>
      <c r="AR371" s="430" t="s">
        <v>1820</v>
      </c>
      <c r="AS371" s="430" t="s">
        <v>1821</v>
      </c>
      <c r="AT371" s="482" t="s">
        <v>1821</v>
      </c>
      <c r="AU37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W371" s="437" cm="1">
        <f t="array" ref="AW37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46167</v>
      </c>
      <c r="AX37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71" s="437">
        <f>IF(ISERROR(PV_DATA[[#This Row],[New Ark PO status]]),"",_xlfn.XLOOKUP(PV_DATA[[#This Row],[SPTN-PVHK New Ark PO'#]],New_Ark_Data[Purchase order Number],New_Ark_Data[Estimated time of arrival],"",0))</f>
        <v>46161</v>
      </c>
      <c r="AZ371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71" s="437">
        <f>IFERROR(PV_DATA[[#This Row],[ODP ETA Port]]+PV_DATA[[#This Row],[Customs/Leg3 Assumption]],"n/a")</f>
        <v>46167</v>
      </c>
      <c r="BB371" s="433">
        <f>YEAR(PV_DATA[[#This Row],[ETA for New Ark update]])</f>
        <v>2026</v>
      </c>
      <c r="BC371" s="430">
        <f>MONTH(PV_DATA[[#This Row],[ETA for New Ark update]])</f>
        <v>5</v>
      </c>
      <c r="BD371" s="430">
        <f>IFERROR(_xlfn.ISOWEEKNUM(PV_DATA[[#This Row],[ETA for New Ark update]]),0)</f>
        <v>22</v>
      </c>
      <c r="BE371" s="431">
        <f>_xlfn.XLOOKUP(PV_DATA[[#This Row],[New Ark SKU]],Table9[New Ark SKU],Table9[Total PCS per Pallet],,0)</f>
        <v>33</v>
      </c>
      <c r="BF371" s="431">
        <f>_xlfn.XLOOKUP(PV_DATA[[#This Row],[New Ark SKU]],Table9[New Ark SKU],Table9[Total PCS per 40HQ Container],,0)</f>
        <v>594</v>
      </c>
      <c r="BG371" s="431" t="str">
        <f>_xlfn.XLOOKUP(PV_DATA[[#This Row],[New Ark SKU]],Table9[New Ark SKU],Table9[Back Glass],,0)</f>
        <v>Transparent</v>
      </c>
      <c r="BH371" s="431" t="str">
        <f>_xlfn.XLOOKUP(PV_DATA[[#This Row],[PORT DESTINATION]],Table12[PORT DESTINATION],Table12[Cosco Line],,0)</f>
        <v>AEU</v>
      </c>
      <c r="BJ371" s="430"/>
    </row>
    <row r="372" spans="1:62" ht="10.5" hidden="1">
      <c r="A372" s="462" t="s">
        <v>1825</v>
      </c>
      <c r="B372" s="462" t="s">
        <v>1802</v>
      </c>
      <c r="C372" s="462" t="str">
        <f>IFERROR(LEFT(PV_DATA[[#This Row],[TCL REFERENCE]],FIND(".",PV_DATA[[#This Row],[TCL REFERENCE]],1)-1),"Main Line")</f>
        <v>26Feb034</v>
      </c>
      <c r="D372" s="462" t="s">
        <v>113</v>
      </c>
      <c r="E372" s="462" t="s">
        <v>144</v>
      </c>
      <c r="F372" s="462" t="str" cm="1">
        <f t="array" ref="F37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72" s="462" t="s">
        <v>402</v>
      </c>
      <c r="H372" s="462" t="s">
        <v>1449</v>
      </c>
      <c r="I372" s="439" t="s">
        <v>822</v>
      </c>
      <c r="J372" s="430" t="s">
        <v>1826</v>
      </c>
      <c r="K372" s="430" t="s">
        <v>1805</v>
      </c>
      <c r="L372" s="430"/>
      <c r="M372" s="430" t="s">
        <v>840</v>
      </c>
      <c r="N372" s="432">
        <v>46097</v>
      </c>
      <c r="O372" s="430" t="s">
        <v>70</v>
      </c>
      <c r="P372" s="430" t="s">
        <v>1806</v>
      </c>
      <c r="Q372" s="430" t="s">
        <v>1807</v>
      </c>
      <c r="R372" s="431" t="str">
        <f>_xlfn.XLOOKUP(PV_DATA[[#This Row],[New Ark SKU]],Table9[New Ark SKU],Table9[Connector],,0)</f>
        <v>H4(Com)</v>
      </c>
      <c r="S372" s="442" t="str">
        <f>_xlfn.XLOOKUP(PV_DATA[[#This Row],[New Ark SKU]],Table9[New Ark SKU],Table9[Cable],,0)</f>
        <v>+400mm/-200mm</v>
      </c>
      <c r="T372" s="433">
        <v>720</v>
      </c>
      <c r="U372" s="1062">
        <f>594*8</f>
        <v>4752</v>
      </c>
      <c r="V372" s="434">
        <f>PV_DATA[[#This Row],[QUANTITY]]*PV_DATA[[#This Row],[WATT]]/1000000</f>
        <v>3.42144</v>
      </c>
      <c r="W372" s="435">
        <f>PV_DATA[[#This Row],[QUANTITY]]/PV_DATA[[#This Row],[Qty/Pallet]]</f>
        <v>144</v>
      </c>
      <c r="X372" s="1015">
        <f>PV_DATA[[#This Row],[QUANTITY]]/PV_DATA[[#This Row],[Qty/CT]]</f>
        <v>8</v>
      </c>
      <c r="Y372" s="430" t="s">
        <v>75</v>
      </c>
      <c r="Z372" s="430" t="str">
        <f t="shared" si="2"/>
        <v>COMPLETED</v>
      </c>
      <c r="AA372" s="430" t="s">
        <v>1809</v>
      </c>
      <c r="AB372" s="437">
        <v>46099</v>
      </c>
      <c r="AC372" s="438">
        <f>IF(PV_DATA[[#This Row],[Pick-Up Date]]&lt;&gt;"",_xlfn.ISOWEEKNUM(PV_DATA[[#This Row],[Pick-Up Date]]),"")</f>
        <v>12</v>
      </c>
      <c r="AD372" s="439" t="s">
        <v>1827</v>
      </c>
      <c r="AE372" s="430"/>
      <c r="AF372" s="430" t="s">
        <v>1525</v>
      </c>
      <c r="AG372" s="430" t="s">
        <v>123</v>
      </c>
      <c r="AH372" s="430" t="s">
        <v>105</v>
      </c>
      <c r="AI372" s="437">
        <v>46105</v>
      </c>
      <c r="AJ372" s="437">
        <v>46107</v>
      </c>
      <c r="AK372" s="441">
        <v>46107</v>
      </c>
      <c r="AL372" s="437">
        <v>46150</v>
      </c>
      <c r="AM372" s="437">
        <v>46148</v>
      </c>
      <c r="AN372" s="437">
        <v>46148</v>
      </c>
      <c r="AO372" s="430" t="s">
        <v>402</v>
      </c>
      <c r="AP372" s="430" t="s">
        <v>1782</v>
      </c>
      <c r="AQ372" s="430" t="s">
        <v>161</v>
      </c>
      <c r="AR372" s="430" t="s">
        <v>1828</v>
      </c>
      <c r="AS372" s="430" t="s">
        <v>1829</v>
      </c>
      <c r="AT372" s="482" t="s">
        <v>1830</v>
      </c>
      <c r="AU37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W372" s="437" cm="1">
        <f t="array" ref="AW37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46148</v>
      </c>
      <c r="AX37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72" s="437">
        <f>IF(ISERROR(PV_DATA[[#This Row],[New Ark PO status]]),"",_xlfn.XLOOKUP(PV_DATA[[#This Row],[SPTN-PVHK New Ark PO'#]],New_Ark_Data[Purchase order Number],New_Ark_Data[Estimated time of arrival],"",0))</f>
        <v>46164</v>
      </c>
      <c r="AZ372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72" s="437">
        <f>IFERROR(PV_DATA[[#This Row],[ODP ETA Port]]+PV_DATA[[#This Row],[Customs/Leg3 Assumption]],"n/a")</f>
        <v>46148</v>
      </c>
      <c r="BB372" s="433">
        <f>YEAR(PV_DATA[[#This Row],[ETA for New Ark update]])</f>
        <v>2026</v>
      </c>
      <c r="BC372" s="430">
        <f>MONTH(PV_DATA[[#This Row],[ETA for New Ark update]])</f>
        <v>5</v>
      </c>
      <c r="BD372" s="430">
        <f>IFERROR(_xlfn.ISOWEEKNUM(PV_DATA[[#This Row],[ETA for New Ark update]]),0)</f>
        <v>19</v>
      </c>
      <c r="BE372" s="431">
        <f>_xlfn.XLOOKUP(PV_DATA[[#This Row],[New Ark SKU]],Table9[New Ark SKU],Table9[Total PCS per Pallet],,0)</f>
        <v>33</v>
      </c>
      <c r="BF372" s="431">
        <f>_xlfn.XLOOKUP(PV_DATA[[#This Row],[New Ark SKU]],Table9[New Ark SKU],Table9[Total PCS per 40HQ Container],,0)</f>
        <v>594</v>
      </c>
      <c r="BG372" s="431" t="str">
        <f>_xlfn.XLOOKUP(PV_DATA[[#This Row],[New Ark SKU]],Table9[New Ark SKU],Table9[Back Glass],,0)</f>
        <v>Transparent</v>
      </c>
      <c r="BH372" s="431" t="str">
        <f>_xlfn.XLOOKUP(PV_DATA[[#This Row],[PORT DESTINATION]],Table12[PORT DESTINATION],Table12[Cosco Line],,0)</f>
        <v>AEU</v>
      </c>
      <c r="BJ372" s="430"/>
    </row>
    <row r="373" spans="1:62" ht="10.5" hidden="1">
      <c r="A373" s="462" t="s">
        <v>1831</v>
      </c>
      <c r="B373" s="462" t="s">
        <v>61</v>
      </c>
      <c r="C373" s="462" t="str">
        <f>IFERROR(LEFT(PV_DATA[[#This Row],[TCL REFERENCE]],FIND(".",PV_DATA[[#This Row],[TCL REFERENCE]],1)-1),"Main Line")</f>
        <v>26Feb020</v>
      </c>
      <c r="D373" s="462" t="s">
        <v>63</v>
      </c>
      <c r="E373" s="462" t="s">
        <v>64</v>
      </c>
      <c r="F373" s="462" t="str" cm="1">
        <f t="array" ref="F37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373" s="462" t="s">
        <v>402</v>
      </c>
      <c r="H373" s="462" t="s">
        <v>451</v>
      </c>
      <c r="I373" s="439" t="s">
        <v>689</v>
      </c>
      <c r="J373" s="430" t="s">
        <v>1832</v>
      </c>
      <c r="K373" s="430"/>
      <c r="L373" s="430"/>
      <c r="M373" s="430" t="s">
        <v>68</v>
      </c>
      <c r="N373" s="432">
        <v>46097</v>
      </c>
      <c r="O373" s="430" t="s">
        <v>70</v>
      </c>
      <c r="P373" s="430" t="s">
        <v>1151</v>
      </c>
      <c r="Q373" s="430" t="s">
        <v>421</v>
      </c>
      <c r="R373" s="431" t="str">
        <f>_xlfn.XLOOKUP(PV_DATA[[#This Row],[New Ark SKU]],Table9[New Ark SKU],Table9[Connector],,0)</f>
        <v>EVO2A</v>
      </c>
      <c r="S373" s="442" t="str">
        <f>_xlfn.XLOOKUP(PV_DATA[[#This Row],[New Ark SKU]],Table9[New Ark SKU],Table9[Cable],,0)</f>
        <v>±1200mm</v>
      </c>
      <c r="T373" s="433">
        <v>505</v>
      </c>
      <c r="U373" s="1062">
        <f>864*2</f>
        <v>1728</v>
      </c>
      <c r="V373" s="434">
        <f>PV_DATA[[#This Row],[QUANTITY]]*PV_DATA[[#This Row],[WATT]]/1000000</f>
        <v>0.87263999999999997</v>
      </c>
      <c r="W373" s="435">
        <f>PV_DATA[[#This Row],[QUANTITY]]/PV_DATA[[#This Row],[Qty/Pallet]]</f>
        <v>48</v>
      </c>
      <c r="X373" s="1015">
        <f>PV_DATA[[#This Row],[QUANTITY]]/PV_DATA[[#This Row],[Qty/CT]]</f>
        <v>2</v>
      </c>
      <c r="Y373" s="430" t="s">
        <v>75</v>
      </c>
      <c r="Z373" s="430" t="str">
        <f t="shared" si="2"/>
        <v>COMPLETED</v>
      </c>
      <c r="AA373" s="430" t="s">
        <v>1456</v>
      </c>
      <c r="AB373" s="437">
        <v>46096</v>
      </c>
      <c r="AC373" s="438">
        <f>IF(PV_DATA[[#This Row],[Pick-Up Date]]&lt;&gt;"",_xlfn.ISOWEEKNUM(PV_DATA[[#This Row],[Pick-Up Date]]),"")</f>
        <v>11</v>
      </c>
      <c r="AD373" s="439" t="s">
        <v>1833</v>
      </c>
      <c r="AE373" s="430"/>
      <c r="AF373" s="430" t="s">
        <v>77</v>
      </c>
      <c r="AG373" s="430" t="s">
        <v>61</v>
      </c>
      <c r="AH373" s="430" t="s">
        <v>456</v>
      </c>
      <c r="AI373" s="437">
        <v>46102</v>
      </c>
      <c r="AJ373" s="437">
        <v>46101</v>
      </c>
      <c r="AK373" s="441">
        <v>46101</v>
      </c>
      <c r="AL373" s="437">
        <v>46152</v>
      </c>
      <c r="AM373" s="437">
        <v>46154</v>
      </c>
      <c r="AN373" s="437">
        <v>46155</v>
      </c>
      <c r="AO373" s="430" t="s">
        <v>402</v>
      </c>
      <c r="AP373" s="430" t="s">
        <v>1834</v>
      </c>
      <c r="AQ373" s="430" t="s">
        <v>161</v>
      </c>
      <c r="AR373" s="430" t="s">
        <v>1835</v>
      </c>
      <c r="AS373" s="430" t="s">
        <v>1836</v>
      </c>
      <c r="AT373" s="482" t="s">
        <v>1836</v>
      </c>
      <c r="AU37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</v>
      </c>
      <c r="AW373" s="437" cm="1">
        <f t="array" ref="AW37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46155</v>
      </c>
      <c r="AX37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73" s="437">
        <f>IF(ISERROR(PV_DATA[[#This Row],[New Ark PO status]]),"",_xlfn.XLOOKUP(PV_DATA[[#This Row],[SPTN-PVHK New Ark PO'#]],New_Ark_Data[Purchase order Number],New_Ark_Data[Estimated time of arrival],"",0))</f>
        <v>46167</v>
      </c>
      <c r="AZ37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73" s="437">
        <f>IFERROR(PV_DATA[[#This Row],[ODP ETA Port]]+PV_DATA[[#This Row],[Customs/Leg3 Assumption]],"n/a")</f>
        <v>46162</v>
      </c>
      <c r="BB373" s="433">
        <f>YEAR(PV_DATA[[#This Row],[ETA for New Ark update]])</f>
        <v>2026</v>
      </c>
      <c r="BC373" s="430">
        <f>MONTH(PV_DATA[[#This Row],[ETA for New Ark update]])</f>
        <v>5</v>
      </c>
      <c r="BD373" s="430">
        <f>IFERROR(_xlfn.ISOWEEKNUM(PV_DATA[[#This Row],[ETA for New Ark update]]),0)</f>
        <v>21</v>
      </c>
      <c r="BE373" s="431">
        <f>_xlfn.XLOOKUP(PV_DATA[[#This Row],[New Ark SKU]],Table9[New Ark SKU],Table9[Total PCS per Pallet],,0)</f>
        <v>36</v>
      </c>
      <c r="BF373" s="431">
        <f>_xlfn.XLOOKUP(PV_DATA[[#This Row],[New Ark SKU]],Table9[New Ark SKU],Table9[Total PCS per 40HQ Container],,0)</f>
        <v>864</v>
      </c>
      <c r="BG373" s="431" t="str">
        <f>_xlfn.XLOOKUP(PV_DATA[[#This Row],[New Ark SKU]],Table9[New Ark SKU],Table9[Back Glass],,0)</f>
        <v>Black glazing</v>
      </c>
      <c r="BH373" s="431" t="str">
        <f>_xlfn.XLOOKUP(PV_DATA[[#This Row],[PORT DESTINATION]],Table12[PORT DESTINATION],Table12[Cosco Line],,0)</f>
        <v>AEU</v>
      </c>
      <c r="BJ373" s="430"/>
    </row>
    <row r="374" spans="1:62" ht="10.5" hidden="1">
      <c r="A374" s="462" t="s">
        <v>1837</v>
      </c>
      <c r="B374" s="462" t="s">
        <v>61</v>
      </c>
      <c r="C374" s="462" t="str">
        <f>IFERROR(LEFT(PV_DATA[[#This Row],[TCL REFERENCE]],FIND(".",PV_DATA[[#This Row],[TCL REFERENCE]],1)-1),"Main Line")</f>
        <v>26Feb022</v>
      </c>
      <c r="D374" s="462" t="s">
        <v>63</v>
      </c>
      <c r="E374" s="462" t="s">
        <v>64</v>
      </c>
      <c r="F374" s="462" t="str" cm="1">
        <f t="array" ref="F37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374" s="462" t="s">
        <v>402</v>
      </c>
      <c r="H374" s="462" t="s">
        <v>67</v>
      </c>
      <c r="I374" s="439" t="s">
        <v>869</v>
      </c>
      <c r="J374" s="430" t="s">
        <v>690</v>
      </c>
      <c r="K374" s="430"/>
      <c r="L374" s="430"/>
      <c r="M374" s="430" t="s">
        <v>68</v>
      </c>
      <c r="N374" s="432">
        <v>46104</v>
      </c>
      <c r="O374" s="430" t="s">
        <v>70</v>
      </c>
      <c r="P374" s="430" t="s">
        <v>204</v>
      </c>
      <c r="Q374" s="430" t="s">
        <v>205</v>
      </c>
      <c r="R374" s="431" t="str">
        <f>_xlfn.XLOOKUP(PV_DATA[[#This Row],[New Ark SKU]],Table9[New Ark SKU],Table9[Connector],,0)</f>
        <v>EVO2A</v>
      </c>
      <c r="S374" s="442" t="str">
        <f>_xlfn.XLOOKUP(PV_DATA[[#This Row],[New Ark SKU]],Table9[New Ark SKU],Table9[Cable],,0)</f>
        <v>±1200mm</v>
      </c>
      <c r="T374" s="433">
        <v>455</v>
      </c>
      <c r="U374" s="1062">
        <v>936</v>
      </c>
      <c r="V374" s="434">
        <f>PV_DATA[[#This Row],[QUANTITY]]*PV_DATA[[#This Row],[WATT]]/1000000</f>
        <v>0.42587999999999998</v>
      </c>
      <c r="W374" s="435">
        <f>PV_DATA[[#This Row],[QUANTITY]]/PV_DATA[[#This Row],[Qty/Pallet]]</f>
        <v>26</v>
      </c>
      <c r="X374" s="1015">
        <f>PV_DATA[[#This Row],[QUANTITY]]/PV_DATA[[#This Row],[Qty/CT]]</f>
        <v>1</v>
      </c>
      <c r="Y374" s="430" t="s">
        <v>75</v>
      </c>
      <c r="Z374" s="430" t="str">
        <f t="shared" ref="Z374:Z434" si="3">IF(AN374&lt;&gt;"","COMPLETED",IF(AK374&lt;&gt;"","IN-TRANSIT",""))</f>
        <v>COMPLETED</v>
      </c>
      <c r="AA374" s="430" t="s">
        <v>1839</v>
      </c>
      <c r="AB374" s="437">
        <v>46098</v>
      </c>
      <c r="AC374" s="438">
        <f>IF(PV_DATA[[#This Row],[Pick-Up Date]]&lt;&gt;"",_xlfn.ISOWEEKNUM(PV_DATA[[#This Row],[Pick-Up Date]]),"")</f>
        <v>12</v>
      </c>
      <c r="AD374" s="439" t="s">
        <v>1840</v>
      </c>
      <c r="AE374" s="430"/>
      <c r="AF374" s="430" t="s">
        <v>77</v>
      </c>
      <c r="AG374" s="430" t="s">
        <v>61</v>
      </c>
      <c r="AH374" s="430" t="s">
        <v>356</v>
      </c>
      <c r="AI374" s="437">
        <v>46103</v>
      </c>
      <c r="AJ374" s="437">
        <v>46103</v>
      </c>
      <c r="AK374" s="441">
        <v>46103</v>
      </c>
      <c r="AL374" s="437">
        <v>46154</v>
      </c>
      <c r="AM374" s="437">
        <v>46161</v>
      </c>
      <c r="AN374" s="437">
        <v>46162</v>
      </c>
      <c r="AO374" s="430" t="s">
        <v>402</v>
      </c>
      <c r="AP374" s="430" t="s">
        <v>937</v>
      </c>
      <c r="AQ374" s="430" t="s">
        <v>80</v>
      </c>
      <c r="AR374" s="430" t="s">
        <v>1841</v>
      </c>
      <c r="AS374" s="430" t="s">
        <v>1842</v>
      </c>
      <c r="AT374" s="482" t="s">
        <v>1842</v>
      </c>
      <c r="AU37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W374" s="437" cm="1">
        <f t="array" ref="AW37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46162</v>
      </c>
      <c r="AX37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74" s="437">
        <f>IF(ISERROR(PV_DATA[[#This Row],[New Ark PO status]]),"",_xlfn.XLOOKUP(PV_DATA[[#This Row],[SPTN-PVHK New Ark PO'#]],New_Ark_Data[Purchase order Number],New_Ark_Data[Estimated time of arrival],"",0))</f>
        <v>46176</v>
      </c>
      <c r="AZ374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374" s="437">
        <f>IFERROR(PV_DATA[[#This Row],[ODP ETA Port]]+PV_DATA[[#This Row],[Customs/Leg3 Assumption]],"n/a")</f>
        <v>46172</v>
      </c>
      <c r="BB374" s="433">
        <f>YEAR(PV_DATA[[#This Row],[ETA for New Ark update]])</f>
        <v>2026</v>
      </c>
      <c r="BC374" s="430">
        <f>MONTH(PV_DATA[[#This Row],[ETA for New Ark update]])</f>
        <v>5</v>
      </c>
      <c r="BD374" s="430">
        <f>IFERROR(_xlfn.ISOWEEKNUM(PV_DATA[[#This Row],[ETA for New Ark update]]),0)</f>
        <v>22</v>
      </c>
      <c r="BE374" s="431">
        <f>_xlfn.XLOOKUP(PV_DATA[[#This Row],[New Ark SKU]],Table9[New Ark SKU],Table9[Total PCS per Pallet],,0)</f>
        <v>36</v>
      </c>
      <c r="BF374" s="431">
        <f>_xlfn.XLOOKUP(PV_DATA[[#This Row],[New Ark SKU]],Table9[New Ark SKU],Table9[Total PCS per 40HQ Container],,0)</f>
        <v>936</v>
      </c>
      <c r="BG374" s="431" t="str">
        <f>_xlfn.XLOOKUP(PV_DATA[[#This Row],[New Ark SKU]],Table9[New Ark SKU],Table9[Back Glass],,0)</f>
        <v>Transparent</v>
      </c>
      <c r="BH374" s="431" t="str">
        <f>_xlfn.XLOOKUP(PV_DATA[[#This Row],[PORT DESTINATION]],Table12[PORT DESTINATION],Table12[Cosco Line],,0)</f>
        <v>AEU</v>
      </c>
      <c r="BJ374" s="430"/>
    </row>
    <row r="375" spans="1:62" ht="10.5" hidden="1">
      <c r="A375" s="462" t="s">
        <v>1843</v>
      </c>
      <c r="B375" s="462" t="s">
        <v>61</v>
      </c>
      <c r="C375" s="462" t="str">
        <f>IFERROR(LEFT(PV_DATA[[#This Row],[TCL REFERENCE]],FIND(".",PV_DATA[[#This Row],[TCL REFERENCE]],1)-1),"Main Line")</f>
        <v>26Feb022</v>
      </c>
      <c r="D375" s="462" t="s">
        <v>63</v>
      </c>
      <c r="E375" s="462" t="s">
        <v>64</v>
      </c>
      <c r="F375" s="462" t="str" cm="1">
        <f t="array" ref="F37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375" s="462" t="s">
        <v>402</v>
      </c>
      <c r="H375" s="462" t="s">
        <v>67</v>
      </c>
      <c r="I375" s="439" t="s">
        <v>869</v>
      </c>
      <c r="J375" s="430" t="s">
        <v>96</v>
      </c>
      <c r="K375" s="430"/>
      <c r="L375" s="430"/>
      <c r="M375" s="430" t="s">
        <v>68</v>
      </c>
      <c r="N375" s="432">
        <v>46104</v>
      </c>
      <c r="O375" s="430" t="s">
        <v>70</v>
      </c>
      <c r="P375" s="430" t="s">
        <v>204</v>
      </c>
      <c r="Q375" s="430" t="s">
        <v>205</v>
      </c>
      <c r="R375" s="431" t="str">
        <f>_xlfn.XLOOKUP(PV_DATA[[#This Row],[New Ark SKU]],Table9[New Ark SKU],Table9[Connector],,0)</f>
        <v>EVO2A</v>
      </c>
      <c r="S375" s="442" t="str">
        <f>_xlfn.XLOOKUP(PV_DATA[[#This Row],[New Ark SKU]],Table9[New Ark SKU],Table9[Cable],,0)</f>
        <v>±1200mm</v>
      </c>
      <c r="T375" s="433">
        <v>455</v>
      </c>
      <c r="U375" s="1062">
        <f>936*2</f>
        <v>1872</v>
      </c>
      <c r="V375" s="434">
        <f>PV_DATA[[#This Row],[QUANTITY]]*PV_DATA[[#This Row],[WATT]]/1000000</f>
        <v>0.85175999999999996</v>
      </c>
      <c r="W375" s="435">
        <f>PV_DATA[[#This Row],[QUANTITY]]/PV_DATA[[#This Row],[Qty/Pallet]]</f>
        <v>52</v>
      </c>
      <c r="X375" s="1015">
        <f>PV_DATA[[#This Row],[QUANTITY]]/PV_DATA[[#This Row],[Qty/CT]]</f>
        <v>2</v>
      </c>
      <c r="Y375" s="430" t="s">
        <v>951</v>
      </c>
      <c r="Z375" s="430" t="str">
        <f t="shared" si="3"/>
        <v>COMPLETED</v>
      </c>
      <c r="AA375" s="430" t="s">
        <v>1839</v>
      </c>
      <c r="AB375" s="437">
        <v>46098</v>
      </c>
      <c r="AC375" s="438">
        <f>IF(PV_DATA[[#This Row],[Pick-Up Date]]&lt;&gt;"",_xlfn.ISOWEEKNUM(PV_DATA[[#This Row],[Pick-Up Date]]),"")</f>
        <v>12</v>
      </c>
      <c r="AD375" s="439" t="s">
        <v>1844</v>
      </c>
      <c r="AE375" s="430"/>
      <c r="AF375" s="430" t="s">
        <v>77</v>
      </c>
      <c r="AG375" s="430" t="s">
        <v>61</v>
      </c>
      <c r="AH375" s="430" t="s">
        <v>78</v>
      </c>
      <c r="AI375" s="437">
        <v>46103</v>
      </c>
      <c r="AJ375" s="437">
        <v>46103</v>
      </c>
      <c r="AK375" s="441">
        <v>46103</v>
      </c>
      <c r="AL375" s="437">
        <v>46161</v>
      </c>
      <c r="AM375" s="437">
        <v>46182</v>
      </c>
      <c r="AN375" s="437">
        <v>46183</v>
      </c>
      <c r="AO375" s="430" t="s">
        <v>402</v>
      </c>
      <c r="AP375" s="430" t="s">
        <v>937</v>
      </c>
      <c r="AQ375" s="430" t="s">
        <v>80</v>
      </c>
      <c r="AR375" s="430" t="s">
        <v>1845</v>
      </c>
      <c r="AS375" s="430" t="s">
        <v>1846</v>
      </c>
      <c r="AT375" s="482" t="s">
        <v>1846</v>
      </c>
      <c r="AU37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80</v>
      </c>
      <c r="AW375" s="437" cm="1">
        <f t="array" ref="AW37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46183</v>
      </c>
      <c r="AX37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75" s="437">
        <f>IF(ISERROR(PV_DATA[[#This Row],[New Ark PO status]]),"",_xlfn.XLOOKUP(PV_DATA[[#This Row],[SPTN-PVHK New Ark PO'#]],New_Ark_Data[Purchase order Number],New_Ark_Data[Estimated time of arrival],"",0))</f>
        <v>46195</v>
      </c>
      <c r="AZ375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375" s="437">
        <f>IFERROR(PV_DATA[[#This Row],[ODP ETA Port]]+PV_DATA[[#This Row],[Customs/Leg3 Assumption]],"n/a")</f>
        <v>46191</v>
      </c>
      <c r="BB375" s="433">
        <f>YEAR(PV_DATA[[#This Row],[ETA for New Ark update]])</f>
        <v>2026</v>
      </c>
      <c r="BC375" s="430">
        <f>MONTH(PV_DATA[[#This Row],[ETA for New Ark update]])</f>
        <v>6</v>
      </c>
      <c r="BD375" s="430">
        <f>IFERROR(_xlfn.ISOWEEKNUM(PV_DATA[[#This Row],[ETA for New Ark update]]),0)</f>
        <v>25</v>
      </c>
      <c r="BE375" s="431">
        <f>_xlfn.XLOOKUP(PV_DATA[[#This Row],[New Ark SKU]],Table9[New Ark SKU],Table9[Total PCS per Pallet],,0)</f>
        <v>36</v>
      </c>
      <c r="BF375" s="431">
        <f>_xlfn.XLOOKUP(PV_DATA[[#This Row],[New Ark SKU]],Table9[New Ark SKU],Table9[Total PCS per 40HQ Container],,0)</f>
        <v>936</v>
      </c>
      <c r="BG375" s="431" t="str">
        <f>_xlfn.XLOOKUP(PV_DATA[[#This Row],[New Ark SKU]],Table9[New Ark SKU],Table9[Back Glass],,0)</f>
        <v>Transparent</v>
      </c>
      <c r="BH375" s="431" t="str">
        <f>_xlfn.XLOOKUP(PV_DATA[[#This Row],[PORT DESTINATION]],Table12[PORT DESTINATION],Table12[Cosco Line],,0)</f>
        <v>AEM</v>
      </c>
      <c r="BJ375" s="430"/>
    </row>
    <row r="376" spans="1:62" ht="10.5" hidden="1">
      <c r="A376" s="462" t="s">
        <v>1847</v>
      </c>
      <c r="B376" s="462" t="s">
        <v>61</v>
      </c>
      <c r="C376" s="462" t="str">
        <f>IFERROR(LEFT(PV_DATA[[#This Row],[TCL REFERENCE]],FIND(".",PV_DATA[[#This Row],[TCL REFERENCE]],1)-1),"Main Line")</f>
        <v>26Feb022</v>
      </c>
      <c r="D376" s="462" t="s">
        <v>63</v>
      </c>
      <c r="E376" s="462" t="s">
        <v>64</v>
      </c>
      <c r="F376" s="462" t="str" cm="1">
        <f t="array" ref="F37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376" s="462" t="s">
        <v>402</v>
      </c>
      <c r="H376" s="462" t="s">
        <v>67</v>
      </c>
      <c r="I376" s="439" t="s">
        <v>869</v>
      </c>
      <c r="J376" s="430" t="s">
        <v>96</v>
      </c>
      <c r="K376" s="430"/>
      <c r="L376" s="430"/>
      <c r="M376" s="430" t="s">
        <v>68</v>
      </c>
      <c r="N376" s="432">
        <v>46104</v>
      </c>
      <c r="O376" s="430" t="s">
        <v>70</v>
      </c>
      <c r="P376" s="430" t="s">
        <v>204</v>
      </c>
      <c r="Q376" s="430" t="s">
        <v>205</v>
      </c>
      <c r="R376" s="431" t="str">
        <f>_xlfn.XLOOKUP(PV_DATA[[#This Row],[New Ark SKU]],Table9[New Ark SKU],Table9[Connector],,0)</f>
        <v>EVO2A</v>
      </c>
      <c r="S376" s="442" t="str">
        <f>_xlfn.XLOOKUP(PV_DATA[[#This Row],[New Ark SKU]],Table9[New Ark SKU],Table9[Cable],,0)</f>
        <v>±1200mm</v>
      </c>
      <c r="T376" s="433">
        <v>455</v>
      </c>
      <c r="U376" s="1062">
        <f>3744-936*2</f>
        <v>1872</v>
      </c>
      <c r="V376" s="434">
        <f>PV_DATA[[#This Row],[QUANTITY]]*PV_DATA[[#This Row],[WATT]]/1000000</f>
        <v>0.85175999999999996</v>
      </c>
      <c r="W376" s="435">
        <f>PV_DATA[[#This Row],[QUANTITY]]/PV_DATA[[#This Row],[Qty/Pallet]]</f>
        <v>52</v>
      </c>
      <c r="X376" s="1015">
        <f>PV_DATA[[#This Row],[QUANTITY]]/PV_DATA[[#This Row],[Qty/CT]]</f>
        <v>2</v>
      </c>
      <c r="Y376" s="430" t="s">
        <v>951</v>
      </c>
      <c r="Z376" s="430" t="str">
        <f t="shared" si="3"/>
        <v>COMPLETED</v>
      </c>
      <c r="AA376" s="430" t="s">
        <v>1839</v>
      </c>
      <c r="AB376" s="437">
        <v>46098</v>
      </c>
      <c r="AC376" s="438">
        <f>IF(PV_DATA[[#This Row],[Pick-Up Date]]&lt;&gt;"",_xlfn.ISOWEEKNUM(PV_DATA[[#This Row],[Pick-Up Date]]),"")</f>
        <v>12</v>
      </c>
      <c r="AD376" s="439" t="s">
        <v>1848</v>
      </c>
      <c r="AE376" s="430"/>
      <c r="AF376" s="430" t="s">
        <v>77</v>
      </c>
      <c r="AG376" s="430" t="s">
        <v>61</v>
      </c>
      <c r="AH376" s="430" t="s">
        <v>78</v>
      </c>
      <c r="AI376" s="437">
        <v>46103</v>
      </c>
      <c r="AJ376" s="437">
        <v>46103</v>
      </c>
      <c r="AK376" s="441">
        <v>46103</v>
      </c>
      <c r="AL376" s="437">
        <v>46161</v>
      </c>
      <c r="AM376" s="437">
        <v>46182</v>
      </c>
      <c r="AN376" s="437">
        <v>46183</v>
      </c>
      <c r="AO376" s="430" t="s">
        <v>402</v>
      </c>
      <c r="AP376" s="430" t="s">
        <v>937</v>
      </c>
      <c r="AQ376" s="430" t="s">
        <v>80</v>
      </c>
      <c r="AR376" s="430" t="s">
        <v>1845</v>
      </c>
      <c r="AS376" s="430" t="s">
        <v>1846</v>
      </c>
      <c r="AT376" s="482" t="s">
        <v>1846</v>
      </c>
      <c r="AU37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80</v>
      </c>
      <c r="AW376" s="437" cm="1">
        <f t="array" ref="AW37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46183</v>
      </c>
      <c r="AX37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76" s="437">
        <f>IF(ISERROR(PV_DATA[[#This Row],[New Ark PO status]]),"",_xlfn.XLOOKUP(PV_DATA[[#This Row],[SPTN-PVHK New Ark PO'#]],New_Ark_Data[Purchase order Number],New_Ark_Data[Estimated time of arrival],"",0))</f>
        <v>46196</v>
      </c>
      <c r="AZ376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376" s="437">
        <f>IFERROR(PV_DATA[[#This Row],[ODP ETA Port]]+PV_DATA[[#This Row],[Customs/Leg3 Assumption]],"n/a")</f>
        <v>46191</v>
      </c>
      <c r="BB376" s="433">
        <f>YEAR(PV_DATA[[#This Row],[ETA for New Ark update]])</f>
        <v>2026</v>
      </c>
      <c r="BC376" s="430">
        <f>MONTH(PV_DATA[[#This Row],[ETA for New Ark update]])</f>
        <v>6</v>
      </c>
      <c r="BD376" s="430">
        <f>IFERROR(_xlfn.ISOWEEKNUM(PV_DATA[[#This Row],[ETA for New Ark update]]),0)</f>
        <v>25</v>
      </c>
      <c r="BE376" s="431">
        <f>_xlfn.XLOOKUP(PV_DATA[[#This Row],[New Ark SKU]],Table9[New Ark SKU],Table9[Total PCS per Pallet],,0)</f>
        <v>36</v>
      </c>
      <c r="BF376" s="431">
        <f>_xlfn.XLOOKUP(PV_DATA[[#This Row],[New Ark SKU]],Table9[New Ark SKU],Table9[Total PCS per 40HQ Container],,0)</f>
        <v>936</v>
      </c>
      <c r="BG376" s="431" t="str">
        <f>_xlfn.XLOOKUP(PV_DATA[[#This Row],[New Ark SKU]],Table9[New Ark SKU],Table9[Back Glass],,0)</f>
        <v>Transparent</v>
      </c>
      <c r="BH376" s="431" t="str">
        <f>_xlfn.XLOOKUP(PV_DATA[[#This Row],[PORT DESTINATION]],Table12[PORT DESTINATION],Table12[Cosco Line],,0)</f>
        <v>AEM</v>
      </c>
      <c r="BJ376" s="430"/>
    </row>
    <row r="377" spans="1:62" ht="10.5" hidden="1">
      <c r="A377" s="462" t="s">
        <v>1849</v>
      </c>
      <c r="B377" s="462" t="s">
        <v>61</v>
      </c>
      <c r="C377" s="462" t="str">
        <f>IFERROR(LEFT(PV_DATA[[#This Row],[TCL REFERENCE]],FIND(".",PV_DATA[[#This Row],[TCL REFERENCE]],1)-1),"Main Line")</f>
        <v>26Feb022</v>
      </c>
      <c r="D377" s="462" t="s">
        <v>63</v>
      </c>
      <c r="E377" s="462" t="s">
        <v>64</v>
      </c>
      <c r="F377" s="462" t="str" cm="1">
        <f t="array" ref="F37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377" s="462" t="s">
        <v>402</v>
      </c>
      <c r="H377" s="462" t="s">
        <v>67</v>
      </c>
      <c r="I377" s="439" t="s">
        <v>869</v>
      </c>
      <c r="J377" s="430" t="s">
        <v>690</v>
      </c>
      <c r="K377" s="430"/>
      <c r="L377" s="430"/>
      <c r="M377" s="430" t="s">
        <v>68</v>
      </c>
      <c r="N377" s="432">
        <v>46104</v>
      </c>
      <c r="O377" s="430" t="s">
        <v>70</v>
      </c>
      <c r="P377" s="430" t="s">
        <v>204</v>
      </c>
      <c r="Q377" s="430" t="s">
        <v>205</v>
      </c>
      <c r="R377" s="431" t="str">
        <f>_xlfn.XLOOKUP(PV_DATA[[#This Row],[New Ark SKU]],Table9[New Ark SKU],Table9[Connector],,0)</f>
        <v>EVO2A</v>
      </c>
      <c r="S377" s="442" t="str">
        <f>_xlfn.XLOOKUP(PV_DATA[[#This Row],[New Ark SKU]],Table9[New Ark SKU],Table9[Cable],,0)</f>
        <v>±1200mm</v>
      </c>
      <c r="T377" s="433">
        <v>455</v>
      </c>
      <c r="U377" s="1062">
        <v>1872</v>
      </c>
      <c r="V377" s="434">
        <f>PV_DATA[[#This Row],[QUANTITY]]*PV_DATA[[#This Row],[WATT]]/1000000</f>
        <v>0.85175999999999996</v>
      </c>
      <c r="W377" s="435">
        <f>PV_DATA[[#This Row],[QUANTITY]]/PV_DATA[[#This Row],[Qty/Pallet]]</f>
        <v>52</v>
      </c>
      <c r="X377" s="1015">
        <f>PV_DATA[[#This Row],[QUANTITY]]/PV_DATA[[#This Row],[Qty/CT]]</f>
        <v>2</v>
      </c>
      <c r="Y377" s="430" t="s">
        <v>75</v>
      </c>
      <c r="Z377" s="430" t="str">
        <f t="shared" si="3"/>
        <v>COMPLETED</v>
      </c>
      <c r="AA377" s="430"/>
      <c r="AB377" s="437">
        <v>46098</v>
      </c>
      <c r="AC377" s="438">
        <f>IF(PV_DATA[[#This Row],[Pick-Up Date]]&lt;&gt;"",_xlfn.ISOWEEKNUM(PV_DATA[[#This Row],[Pick-Up Date]]),"")</f>
        <v>12</v>
      </c>
      <c r="AD377" s="439" t="s">
        <v>1850</v>
      </c>
      <c r="AE377" s="430"/>
      <c r="AF377" s="430" t="s">
        <v>77</v>
      </c>
      <c r="AG377" s="430" t="s">
        <v>61</v>
      </c>
      <c r="AH377" s="430" t="s">
        <v>78</v>
      </c>
      <c r="AI377" s="437">
        <v>46103</v>
      </c>
      <c r="AJ377" s="437">
        <v>46103</v>
      </c>
      <c r="AK377" s="441">
        <v>46103</v>
      </c>
      <c r="AL377" s="437">
        <v>46161</v>
      </c>
      <c r="AM377" s="437">
        <v>46166</v>
      </c>
      <c r="AN377" s="437">
        <v>46164</v>
      </c>
      <c r="AO377" s="430" t="s">
        <v>402</v>
      </c>
      <c r="AP377" s="430" t="s">
        <v>937</v>
      </c>
      <c r="AQ377" s="430" t="s">
        <v>80</v>
      </c>
      <c r="AR377" s="430" t="s">
        <v>1851</v>
      </c>
      <c r="AS377" s="430" t="s">
        <v>1852</v>
      </c>
      <c r="AT377" s="482" t="s">
        <v>1852</v>
      </c>
      <c r="AU37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61</v>
      </c>
      <c r="AW377" s="437" cm="1">
        <f t="array" ref="AW37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46164</v>
      </c>
      <c r="AX37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77" s="437">
        <f>IF(ISERROR(PV_DATA[[#This Row],[New Ark PO status]]),"",_xlfn.XLOOKUP(PV_DATA[[#This Row],[SPTN-PVHK New Ark PO'#]],New_Ark_Data[Purchase order Number],New_Ark_Data[Estimated time of arrival],"",0))</f>
        <v>46178</v>
      </c>
      <c r="AZ377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377" s="437">
        <f>IFERROR(PV_DATA[[#This Row],[ODP ETA Port]]+PV_DATA[[#This Row],[Customs/Leg3 Assumption]],"n/a")</f>
        <v>46172</v>
      </c>
      <c r="BB377" s="433">
        <f>YEAR(PV_DATA[[#This Row],[ETA for New Ark update]])</f>
        <v>2026</v>
      </c>
      <c r="BC377" s="430">
        <f>MONTH(PV_DATA[[#This Row],[ETA for New Ark update]])</f>
        <v>5</v>
      </c>
      <c r="BD377" s="430">
        <f>IFERROR(_xlfn.ISOWEEKNUM(PV_DATA[[#This Row],[ETA for New Ark update]]),0)</f>
        <v>22</v>
      </c>
      <c r="BE377" s="431">
        <f>_xlfn.XLOOKUP(PV_DATA[[#This Row],[New Ark SKU]],Table9[New Ark SKU],Table9[Total PCS per Pallet],,0)</f>
        <v>36</v>
      </c>
      <c r="BF377" s="431">
        <f>_xlfn.XLOOKUP(PV_DATA[[#This Row],[New Ark SKU]],Table9[New Ark SKU],Table9[Total PCS per 40HQ Container],,0)</f>
        <v>936</v>
      </c>
      <c r="BG377" s="431" t="str">
        <f>_xlfn.XLOOKUP(PV_DATA[[#This Row],[New Ark SKU]],Table9[New Ark SKU],Table9[Back Glass],,0)</f>
        <v>Transparent</v>
      </c>
      <c r="BH377" s="431" t="str">
        <f>_xlfn.XLOOKUP(PV_DATA[[#This Row],[PORT DESTINATION]],Table12[PORT DESTINATION],Table12[Cosco Line],,0)</f>
        <v>AEM</v>
      </c>
      <c r="BJ377" s="430"/>
    </row>
    <row r="378" spans="1:62" hidden="1">
      <c r="A378" s="462" t="s">
        <v>1853</v>
      </c>
      <c r="B378" s="462" t="s">
        <v>1802</v>
      </c>
      <c r="C378" s="462" t="str">
        <f>IFERROR(LEFT(PV_DATA[[#This Row],[TCL REFERENCE]],FIND(".",PV_DATA[[#This Row],[TCL REFERENCE]],1)-1),"Main Line")</f>
        <v>26Feb034</v>
      </c>
      <c r="D378" s="462" t="s">
        <v>113</v>
      </c>
      <c r="E378" s="462" t="s">
        <v>144</v>
      </c>
      <c r="F378" s="462" t="str" cm="1">
        <f t="array" ref="F37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78" s="462" t="s">
        <v>402</v>
      </c>
      <c r="H378" s="462" t="s">
        <v>1449</v>
      </c>
      <c r="I378" s="439" t="s">
        <v>822</v>
      </c>
      <c r="J378" s="430" t="s">
        <v>1854</v>
      </c>
      <c r="K378" s="430" t="s">
        <v>1805</v>
      </c>
      <c r="L378" s="430"/>
      <c r="M378" s="430" t="s">
        <v>840</v>
      </c>
      <c r="N378" s="432">
        <v>46097</v>
      </c>
      <c r="O378" s="430" t="s">
        <v>70</v>
      </c>
      <c r="P378" s="430" t="s">
        <v>1806</v>
      </c>
      <c r="Q378" s="430" t="s">
        <v>1807</v>
      </c>
      <c r="R378" s="431" t="str">
        <f>_xlfn.XLOOKUP(PV_DATA[[#This Row],[New Ark SKU]],Table9[New Ark SKU],Table9[Connector],,0)</f>
        <v>H4(Com)</v>
      </c>
      <c r="S378" s="442" t="str">
        <f>_xlfn.XLOOKUP(PV_DATA[[#This Row],[New Ark SKU]],Table9[New Ark SKU],Table9[Cable],,0)</f>
        <v>+400mm/-200mm</v>
      </c>
      <c r="T378" s="433">
        <v>720</v>
      </c>
      <c r="U378" s="1062">
        <f>594*3</f>
        <v>1782</v>
      </c>
      <c r="V378" s="434">
        <f>PV_DATA[[#This Row],[QUANTITY]]*PV_DATA[[#This Row],[WATT]]/1000000</f>
        <v>1.28304</v>
      </c>
      <c r="W378" s="435">
        <f>PV_DATA[[#This Row],[QUANTITY]]/PV_DATA[[#This Row],[Qty/Pallet]]</f>
        <v>54</v>
      </c>
      <c r="X378" s="1015">
        <f>PV_DATA[[#This Row],[QUANTITY]]/PV_DATA[[#This Row],[Qty/CT]]</f>
        <v>3</v>
      </c>
      <c r="Y378" s="430" t="s">
        <v>75</v>
      </c>
      <c r="Z378" s="430" t="str">
        <f t="shared" si="3"/>
        <v>COMPLETED</v>
      </c>
      <c r="AA378" s="430" t="s">
        <v>1809</v>
      </c>
      <c r="AB378" s="437">
        <v>46106</v>
      </c>
      <c r="AC378" s="438">
        <f>IF(PV_DATA[[#This Row],[Pick-Up Date]]&lt;&gt;"",_xlfn.ISOWEEKNUM(PV_DATA[[#This Row],[Pick-Up Date]]),"")</f>
        <v>13</v>
      </c>
      <c r="AD378" s="439" t="s">
        <v>1855</v>
      </c>
      <c r="AE378" s="430"/>
      <c r="AF378" s="460" t="s">
        <v>4428</v>
      </c>
      <c r="AG378" s="460" t="s">
        <v>123</v>
      </c>
      <c r="AH378" s="430" t="s">
        <v>105</v>
      </c>
      <c r="AI378" s="437">
        <v>46110</v>
      </c>
      <c r="AJ378" s="437">
        <v>46110</v>
      </c>
      <c r="AK378" s="441">
        <v>46110</v>
      </c>
      <c r="AL378" s="437">
        <v>46150</v>
      </c>
      <c r="AM378" s="437">
        <v>46169</v>
      </c>
      <c r="AN378" s="437">
        <v>46170</v>
      </c>
      <c r="AO378" s="430" t="s">
        <v>402</v>
      </c>
      <c r="AP378" s="430" t="s">
        <v>1720</v>
      </c>
      <c r="AQ378" s="430" t="s">
        <v>80</v>
      </c>
      <c r="AR378" s="430" t="s">
        <v>1856</v>
      </c>
      <c r="AS378" s="430" t="s">
        <v>1857</v>
      </c>
      <c r="AT378" s="482" t="s">
        <v>1857</v>
      </c>
      <c r="AU37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</v>
      </c>
      <c r="AW378" s="437" cm="1">
        <f t="array" ref="AW37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46170</v>
      </c>
      <c r="AX37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78" s="437">
        <f>IF(ISERROR(PV_DATA[[#This Row],[New Ark PO status]]),"",_xlfn.XLOOKUP(PV_DATA[[#This Row],[SPTN-PVHK New Ark PO'#]],New_Ark_Data[Purchase order Number],New_Ark_Data[Estimated time of arrival],"",0))</f>
        <v>46164</v>
      </c>
      <c r="AZ378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78" s="437">
        <f>IFERROR(PV_DATA[[#This Row],[ODP ETA Port]]+PV_DATA[[#This Row],[Customs/Leg3 Assumption]],"n/a")</f>
        <v>46170</v>
      </c>
      <c r="BB378" s="433">
        <f>YEAR(PV_DATA[[#This Row],[ETA for New Ark update]])</f>
        <v>2026</v>
      </c>
      <c r="BC378" s="430">
        <f>MONTH(PV_DATA[[#This Row],[ETA for New Ark update]])</f>
        <v>5</v>
      </c>
      <c r="BD378" s="430">
        <f>IFERROR(_xlfn.ISOWEEKNUM(PV_DATA[[#This Row],[ETA for New Ark update]]),0)</f>
        <v>22</v>
      </c>
      <c r="BE378" s="431">
        <f>_xlfn.XLOOKUP(PV_DATA[[#This Row],[New Ark SKU]],Table9[New Ark SKU],Table9[Total PCS per Pallet],,0)</f>
        <v>33</v>
      </c>
      <c r="BF378" s="431">
        <f>_xlfn.XLOOKUP(PV_DATA[[#This Row],[New Ark SKU]],Table9[New Ark SKU],Table9[Total PCS per 40HQ Container],,0)</f>
        <v>594</v>
      </c>
      <c r="BG378" s="431" t="str">
        <f>_xlfn.XLOOKUP(PV_DATA[[#This Row],[New Ark SKU]],Table9[New Ark SKU],Table9[Back Glass],,0)</f>
        <v>Transparent</v>
      </c>
      <c r="BH378" s="431" t="str">
        <f>_xlfn.XLOOKUP(PV_DATA[[#This Row],[PORT DESTINATION]],Table12[PORT DESTINATION],Table12[Cosco Line],,0)</f>
        <v>AEU</v>
      </c>
      <c r="BJ378" s="430"/>
    </row>
    <row r="379" spans="1:62" s="439" customFormat="1" ht="12.75" hidden="1" customHeight="1">
      <c r="A379" s="462" t="s">
        <v>1858</v>
      </c>
      <c r="B379" s="462" t="s">
        <v>1802</v>
      </c>
      <c r="C379" s="462" t="str">
        <f>IFERROR(LEFT(PV_DATA[[#This Row],[TCL REFERENCE]],FIND(".",PV_DATA[[#This Row],[TCL REFERENCE]],1)-1),"Main Line")</f>
        <v>26Feb034</v>
      </c>
      <c r="D379" s="462" t="s">
        <v>113</v>
      </c>
      <c r="E379" s="462" t="s">
        <v>144</v>
      </c>
      <c r="F379" s="462" t="str" cm="1">
        <f t="array" ref="F37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79" s="462" t="s">
        <v>402</v>
      </c>
      <c r="H379" s="462" t="s">
        <v>1449</v>
      </c>
      <c r="I379" s="439" t="s">
        <v>822</v>
      </c>
      <c r="J379" s="430" t="s">
        <v>1854</v>
      </c>
      <c r="K379" s="430" t="s">
        <v>1805</v>
      </c>
      <c r="L379" s="430"/>
      <c r="M379" s="430" t="s">
        <v>840</v>
      </c>
      <c r="N379" s="432">
        <v>46097</v>
      </c>
      <c r="O379" s="430" t="s">
        <v>70</v>
      </c>
      <c r="P379" s="430" t="s">
        <v>1806</v>
      </c>
      <c r="Q379" s="430" t="s">
        <v>1807</v>
      </c>
      <c r="R379" s="431" t="str">
        <f>_xlfn.XLOOKUP(PV_DATA[[#This Row],[New Ark SKU]],Table9[New Ark SKU],Table9[Connector],,0)</f>
        <v>H4(Com)</v>
      </c>
      <c r="S379" s="442" t="str">
        <f>_xlfn.XLOOKUP(PV_DATA[[#This Row],[New Ark SKU]],Table9[New Ark SKU],Table9[Cable],,0)</f>
        <v>+400mm/-200mm</v>
      </c>
      <c r="T379" s="433">
        <v>720</v>
      </c>
      <c r="U379" s="1062">
        <f>594*2</f>
        <v>1188</v>
      </c>
      <c r="V379" s="434">
        <f>PV_DATA[[#This Row],[QUANTITY]]*PV_DATA[[#This Row],[WATT]]/1000000</f>
        <v>0.85536000000000001</v>
      </c>
      <c r="W379" s="435">
        <f>PV_DATA[[#This Row],[QUANTITY]]/PV_DATA[[#This Row],[Qty/Pallet]]</f>
        <v>36</v>
      </c>
      <c r="X379" s="1015">
        <f>PV_DATA[[#This Row],[QUANTITY]]/PV_DATA[[#This Row],[Qty/CT]]</f>
        <v>2</v>
      </c>
      <c r="Y379" s="430" t="s">
        <v>75</v>
      </c>
      <c r="Z379" s="430" t="str">
        <f t="shared" si="3"/>
        <v>COMPLETED</v>
      </c>
      <c r="AA379" s="430" t="s">
        <v>1809</v>
      </c>
      <c r="AB379" s="437">
        <v>46107</v>
      </c>
      <c r="AC379" s="438">
        <f>IF(PV_DATA[[#This Row],[Pick-Up Date]]&lt;&gt;"",_xlfn.ISOWEEKNUM(PV_DATA[[#This Row],[Pick-Up Date]]),"")</f>
        <v>13</v>
      </c>
      <c r="AD379" s="439" t="s">
        <v>1859</v>
      </c>
      <c r="AE379" s="430"/>
      <c r="AF379" s="460" t="s">
        <v>4428</v>
      </c>
      <c r="AG379" s="460" t="s">
        <v>123</v>
      </c>
      <c r="AH379" s="430" t="s">
        <v>105</v>
      </c>
      <c r="AI379" s="437">
        <v>46110</v>
      </c>
      <c r="AJ379" s="437">
        <v>46112</v>
      </c>
      <c r="AK379" s="441">
        <v>46112</v>
      </c>
      <c r="AL379" s="437">
        <v>46147</v>
      </c>
      <c r="AM379" s="437">
        <v>46154</v>
      </c>
      <c r="AN379" s="437">
        <v>46157</v>
      </c>
      <c r="AO379" s="430" t="s">
        <v>402</v>
      </c>
      <c r="AP379" s="430" t="s">
        <v>937</v>
      </c>
      <c r="AQ379" s="430" t="s">
        <v>80</v>
      </c>
      <c r="AR379" s="430" t="s">
        <v>1860</v>
      </c>
      <c r="AS379" s="430" t="s">
        <v>1861</v>
      </c>
      <c r="AT379" s="482" t="s">
        <v>1861</v>
      </c>
      <c r="AU37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V379" s="430"/>
      <c r="AW379" s="437" cm="1">
        <f t="array" ref="AW37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46157</v>
      </c>
      <c r="AX37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79" s="437">
        <f>IF(ISERROR(PV_DATA[[#This Row],[New Ark PO status]]),"",_xlfn.XLOOKUP(PV_DATA[[#This Row],[SPTN-PVHK New Ark PO'#]],New_Ark_Data[Purchase order Number],New_Ark_Data[Estimated time of arrival],"",0))</f>
        <v>46161</v>
      </c>
      <c r="AZ379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79" s="437">
        <f>IFERROR(PV_DATA[[#This Row],[ODP ETA Port]]+PV_DATA[[#This Row],[Customs/Leg3 Assumption]],"n/a")</f>
        <v>46157</v>
      </c>
      <c r="BB379" s="433">
        <f>YEAR(PV_DATA[[#This Row],[ETA for New Ark update]])</f>
        <v>2026</v>
      </c>
      <c r="BC379" s="430">
        <f>MONTH(PV_DATA[[#This Row],[ETA for New Ark update]])</f>
        <v>5</v>
      </c>
      <c r="BD379" s="430">
        <f>IFERROR(_xlfn.ISOWEEKNUM(PV_DATA[[#This Row],[ETA for New Ark update]]),0)</f>
        <v>20</v>
      </c>
      <c r="BE379" s="431">
        <f>_xlfn.XLOOKUP(PV_DATA[[#This Row],[New Ark SKU]],Table9[New Ark SKU],Table9[Total PCS per Pallet],,0)</f>
        <v>33</v>
      </c>
      <c r="BF379" s="431">
        <f>_xlfn.XLOOKUP(PV_DATA[[#This Row],[New Ark SKU]],Table9[New Ark SKU],Table9[Total PCS per 40HQ Container],,0)</f>
        <v>594</v>
      </c>
      <c r="BG379" s="431" t="str">
        <f>_xlfn.XLOOKUP(PV_DATA[[#This Row],[New Ark SKU]],Table9[New Ark SKU],Table9[Back Glass],,0)</f>
        <v>Transparent</v>
      </c>
      <c r="BH379" s="431" t="str">
        <f>_xlfn.XLOOKUP(PV_DATA[[#This Row],[PORT DESTINATION]],Table12[PORT DESTINATION],Table12[Cosco Line],,0)</f>
        <v>AEU</v>
      </c>
    </row>
    <row r="380" spans="1:62" s="431" customFormat="1" ht="12.75" hidden="1" customHeight="1">
      <c r="A380" s="462" t="s">
        <v>1862</v>
      </c>
      <c r="B380" s="462" t="s">
        <v>111</v>
      </c>
      <c r="C380" s="462" t="str">
        <f>IFERROR(LEFT(PV_DATA[[#This Row],[TCL REFERENCE]],FIND(".",PV_DATA[[#This Row],[TCL REFERENCE]],1)-1),"Main Line")</f>
        <v>26Feb009</v>
      </c>
      <c r="D380" s="462" t="s">
        <v>63</v>
      </c>
      <c r="E380" s="462" t="s">
        <v>64</v>
      </c>
      <c r="F380" s="462" t="str" cm="1">
        <f t="array" ref="F38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80" s="462" t="s">
        <v>402</v>
      </c>
      <c r="H380" s="462" t="s">
        <v>67</v>
      </c>
      <c r="I380" s="439" t="s">
        <v>689</v>
      </c>
      <c r="J380" s="430" t="s">
        <v>293</v>
      </c>
      <c r="K380" s="430"/>
      <c r="L380" s="430"/>
      <c r="M380" s="430" t="s">
        <v>68</v>
      </c>
      <c r="N380" s="432" t="s">
        <v>68</v>
      </c>
      <c r="O380" s="430" t="s">
        <v>132</v>
      </c>
      <c r="P380" s="430" t="s">
        <v>189</v>
      </c>
      <c r="Q380" s="430" t="s">
        <v>190</v>
      </c>
      <c r="R380" s="431" t="str">
        <f>_xlfn.XLOOKUP(PV_DATA[[#This Row],[New Ark SKU]],Table9[New Ark SKU],Table9[Connector],,0)</f>
        <v>EVO2A</v>
      </c>
      <c r="S380" s="442" t="str">
        <f>_xlfn.XLOOKUP(PV_DATA[[#This Row],[New Ark SKU]],Table9[New Ark SKU],Table9[Cable],,0)</f>
        <v>±1200mm</v>
      </c>
      <c r="T380" s="433">
        <v>465</v>
      </c>
      <c r="U380" s="1062">
        <v>864</v>
      </c>
      <c r="V380" s="434">
        <f>PV_DATA[[#This Row],[QUANTITY]]*PV_DATA[[#This Row],[WATT]]/1000000</f>
        <v>0.40176000000000001</v>
      </c>
      <c r="W380" s="435">
        <f>PV_DATA[[#This Row],[QUANTITY]]/PV_DATA[[#This Row],[Qty/Pallet]]</f>
        <v>24</v>
      </c>
      <c r="X380" s="1015">
        <f>PV_DATA[[#This Row],[QUANTITY]]/PV_DATA[[#This Row],[Qty/CT]]</f>
        <v>1</v>
      </c>
      <c r="Y380" s="430" t="s">
        <v>75</v>
      </c>
      <c r="Z380" s="430" t="str">
        <f t="shared" si="3"/>
        <v>COMPLETED</v>
      </c>
      <c r="AA380" s="430"/>
      <c r="AB380" s="437">
        <v>46103</v>
      </c>
      <c r="AC380" s="438">
        <f>IF(PV_DATA[[#This Row],[Pick-Up Date]]&lt;&gt;"",_xlfn.ISOWEEKNUM(PV_DATA[[#This Row],[Pick-Up Date]]),"")</f>
        <v>12</v>
      </c>
      <c r="AD380" s="439" t="s">
        <v>1863</v>
      </c>
      <c r="AE380" s="430"/>
      <c r="AF380" s="430" t="s">
        <v>1643</v>
      </c>
      <c r="AG380" s="430" t="s">
        <v>123</v>
      </c>
      <c r="AH380" s="430" t="s">
        <v>105</v>
      </c>
      <c r="AI380" s="437">
        <v>46110</v>
      </c>
      <c r="AJ380" s="437">
        <v>46112</v>
      </c>
      <c r="AK380" s="441">
        <v>46112</v>
      </c>
      <c r="AL380" s="437">
        <v>46147</v>
      </c>
      <c r="AM380" s="437">
        <v>46154</v>
      </c>
      <c r="AN380" s="437">
        <v>46157</v>
      </c>
      <c r="AO380" s="430" t="s">
        <v>402</v>
      </c>
      <c r="AP380" s="430" t="s">
        <v>937</v>
      </c>
      <c r="AQ380" s="430" t="s">
        <v>80</v>
      </c>
      <c r="AR380" s="430" t="s">
        <v>1864</v>
      </c>
      <c r="AS380" s="430" t="s">
        <v>1865</v>
      </c>
      <c r="AT380" s="482" t="s">
        <v>1866</v>
      </c>
      <c r="AU38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V380" s="430"/>
      <c r="AW380" s="437" cm="1">
        <f t="array" ref="AW38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46157</v>
      </c>
      <c r="AX38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80" s="437">
        <f>IF(ISERROR(PV_DATA[[#This Row],[New Ark PO status]]),"",_xlfn.XLOOKUP(PV_DATA[[#This Row],[SPTN-PVHK New Ark PO'#]],New_Ark_Data[Purchase order Number],New_Ark_Data[Estimated time of arrival],"",0))</f>
        <v>46167</v>
      </c>
      <c r="AZ380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80" s="437">
        <f>IFERROR(PV_DATA[[#This Row],[ODP ETA Port]]+PV_DATA[[#This Row],[Customs/Leg3 Assumption]],"n/a")</f>
        <v>46164</v>
      </c>
      <c r="BB380" s="433">
        <f>YEAR(PV_DATA[[#This Row],[ETA for New Ark update]])</f>
        <v>2026</v>
      </c>
      <c r="BC380" s="430">
        <f>MONTH(PV_DATA[[#This Row],[ETA for New Ark update]])</f>
        <v>5</v>
      </c>
      <c r="BD380" s="430">
        <f>IFERROR(_xlfn.ISOWEEKNUM(PV_DATA[[#This Row],[ETA for New Ark update]]),0)</f>
        <v>21</v>
      </c>
      <c r="BE380" s="431">
        <f>_xlfn.XLOOKUP(PV_DATA[[#This Row],[New Ark SKU]],Table9[New Ark SKU],Table9[Total PCS per Pallet],,0)</f>
        <v>36</v>
      </c>
      <c r="BF380" s="431">
        <f>_xlfn.XLOOKUP(PV_DATA[[#This Row],[New Ark SKU]],Table9[New Ark SKU],Table9[Total PCS per 40HQ Container],,0)</f>
        <v>864</v>
      </c>
      <c r="BG380" s="431" t="str">
        <f>_xlfn.XLOOKUP(PV_DATA[[#This Row],[New Ark SKU]],Table9[New Ark SKU],Table9[Back Glass],,0)</f>
        <v>White glazing</v>
      </c>
      <c r="BH380" s="431" t="str">
        <f>_xlfn.XLOOKUP(PV_DATA[[#This Row],[PORT DESTINATION]],Table12[PORT DESTINATION],Table12[Cosco Line],,0)</f>
        <v>AEU</v>
      </c>
    </row>
    <row r="381" spans="1:62" ht="10.5" hidden="1">
      <c r="A381" s="462" t="s">
        <v>1867</v>
      </c>
      <c r="B381" s="462" t="s">
        <v>111</v>
      </c>
      <c r="C381" s="462" t="str">
        <f>IFERROR(LEFT(PV_DATA[[#This Row],[TCL REFERENCE]],FIND(".",PV_DATA[[#This Row],[TCL REFERENCE]],1)-1),"Main Line")</f>
        <v>26Feb009</v>
      </c>
      <c r="D381" s="712" t="s">
        <v>63</v>
      </c>
      <c r="E381" s="439" t="s">
        <v>144</v>
      </c>
      <c r="F381" s="462" t="str" cm="1">
        <f t="array" ref="F38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81" s="439" t="s">
        <v>402</v>
      </c>
      <c r="H381" s="714" t="s">
        <v>1449</v>
      </c>
      <c r="I381" s="462" t="s">
        <v>689</v>
      </c>
      <c r="J381" s="430" t="s">
        <v>1450</v>
      </c>
      <c r="K381" s="437" t="s">
        <v>1451</v>
      </c>
      <c r="L381" s="450">
        <v>5</v>
      </c>
      <c r="M381" s="430" t="s">
        <v>840</v>
      </c>
      <c r="N381" s="437">
        <v>46069</v>
      </c>
      <c r="O381" s="430" t="s">
        <v>132</v>
      </c>
      <c r="P381" s="430" t="s">
        <v>189</v>
      </c>
      <c r="Q381" s="437" t="s">
        <v>190</v>
      </c>
      <c r="R381" s="431" t="str">
        <f>_xlfn.XLOOKUP(PV_DATA[[#This Row],[New Ark SKU]],Table9[New Ark SKU],Table9[Connector],,0)</f>
        <v>EVO2A</v>
      </c>
      <c r="S381" s="442" t="str">
        <f>_xlfn.XLOOKUP(PV_DATA[[#This Row],[New Ark SKU]],Table9[New Ark SKU],Table9[Cable],,0)</f>
        <v>±1200mm</v>
      </c>
      <c r="T381" s="433">
        <v>465</v>
      </c>
      <c r="U381" s="1064">
        <f>864*4</f>
        <v>3456</v>
      </c>
      <c r="V381" s="458">
        <f>PV_DATA[[#This Row],[QUANTITY]]*PV_DATA[[#This Row],[WATT]]/1000000</f>
        <v>1.60704</v>
      </c>
      <c r="W381" s="430">
        <f>PV_DATA[[#This Row],[QUANTITY]]/PV_DATA[[#This Row],[Qty/Pallet]]</f>
        <v>96</v>
      </c>
      <c r="X381" s="1058">
        <f>PV_DATA[[#This Row],[QUANTITY]]/PV_DATA[[#This Row],[Qty/CT]]</f>
        <v>4</v>
      </c>
      <c r="Y381" s="430" t="s">
        <v>75</v>
      </c>
      <c r="Z381" s="430" t="str">
        <f t="shared" si="3"/>
        <v>COMPLETED</v>
      </c>
      <c r="AA381" s="430" t="s">
        <v>1868</v>
      </c>
      <c r="AB381" s="437">
        <v>46103</v>
      </c>
      <c r="AC381" s="430">
        <f>IF(PV_DATA[[#This Row],[Pick-Up Date]]&lt;&gt;"",_xlfn.ISOWEEKNUM(PV_DATA[[#This Row],[Pick-Up Date]]),"")</f>
        <v>12</v>
      </c>
      <c r="AD381" s="430" t="s">
        <v>1869</v>
      </c>
      <c r="AE381" s="430"/>
      <c r="AF381" s="430" t="s">
        <v>1643</v>
      </c>
      <c r="AG381" s="430" t="s">
        <v>123</v>
      </c>
      <c r="AH381" s="430" t="s">
        <v>105</v>
      </c>
      <c r="AI381" s="437">
        <v>46110</v>
      </c>
      <c r="AJ381" s="437">
        <v>46112</v>
      </c>
      <c r="AK381" s="437">
        <v>46112</v>
      </c>
      <c r="AL381" s="437">
        <v>46147</v>
      </c>
      <c r="AM381" s="437">
        <v>46154</v>
      </c>
      <c r="AN381" s="437">
        <v>46157</v>
      </c>
      <c r="AO381" s="430" t="s">
        <v>402</v>
      </c>
      <c r="AP381" s="430" t="s">
        <v>937</v>
      </c>
      <c r="AQ381" s="430" t="s">
        <v>80</v>
      </c>
      <c r="AR381" s="431" t="s">
        <v>1870</v>
      </c>
      <c r="AS381" s="431" t="s">
        <v>1866</v>
      </c>
      <c r="AT381" s="482" t="s">
        <v>1866</v>
      </c>
      <c r="AU38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V381" s="431"/>
      <c r="AW381" s="437" cm="1">
        <f t="array" ref="AW38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46157</v>
      </c>
      <c r="AX38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81" s="437">
        <f>IF(ISERROR(PV_DATA[[#This Row],[New Ark PO status]]),"",_xlfn.XLOOKUP(PV_DATA[[#This Row],[SPTN-PVHK New Ark PO'#]],New_Ark_Data[Purchase order Number],New_Ark_Data[Estimated time of arrival],"",0))</f>
        <v>46139</v>
      </c>
      <c r="AZ381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81" s="437">
        <f>IFERROR(PV_DATA[[#This Row],[ODP ETA Port]]+PV_DATA[[#This Row],[Customs/Leg3 Assumption]],"n/a")</f>
        <v>46157</v>
      </c>
      <c r="BB381" s="433">
        <f>YEAR(PV_DATA[[#This Row],[ETA for New Ark update]])</f>
        <v>2026</v>
      </c>
      <c r="BC381" s="430">
        <f>MONTH(PV_DATA[[#This Row],[ETA for New Ark update]])</f>
        <v>5</v>
      </c>
      <c r="BD381" s="430">
        <f>IFERROR(_xlfn.ISOWEEKNUM(PV_DATA[[#This Row],[ETA for New Ark update]]),0)</f>
        <v>20</v>
      </c>
      <c r="BE381" s="431">
        <f>_xlfn.XLOOKUP(PV_DATA[[#This Row],[New Ark SKU]],Table9[New Ark SKU],Table9[Total PCS per Pallet],,0)</f>
        <v>36</v>
      </c>
      <c r="BF381" s="431">
        <f>_xlfn.XLOOKUP(PV_DATA[[#This Row],[New Ark SKU]],Table9[New Ark SKU],Table9[Total PCS per 40HQ Container],,0)</f>
        <v>864</v>
      </c>
      <c r="BG381" s="431" t="str">
        <f>_xlfn.XLOOKUP(PV_DATA[[#This Row],[New Ark SKU]],Table9[New Ark SKU],Table9[Back Glass],,0)</f>
        <v>White glazing</v>
      </c>
      <c r="BH381" s="431" t="str">
        <f>_xlfn.XLOOKUP(PV_DATA[[#This Row],[PORT DESTINATION]],Table12[PORT DESTINATION],Table12[Cosco Line],,0)</f>
        <v>AEU</v>
      </c>
      <c r="BJ381" s="430"/>
    </row>
    <row r="382" spans="1:62" ht="10.5" hidden="1">
      <c r="A382" s="439" t="s">
        <v>1871</v>
      </c>
      <c r="B382" s="446" t="s">
        <v>111</v>
      </c>
      <c r="C382" s="446" t="str">
        <f>IFERROR(LEFT(PV_DATA[[#This Row],[TCL REFERENCE]],FIND(".",PV_DATA[[#This Row],[TCL REFERENCE]],1)-1),"Main Line")</f>
        <v>26Feb009</v>
      </c>
      <c r="D382" s="446" t="s">
        <v>63</v>
      </c>
      <c r="E382" s="439" t="s">
        <v>144</v>
      </c>
      <c r="F382" s="462" t="str" cm="1">
        <f t="array" ref="F38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82" s="439" t="s">
        <v>402</v>
      </c>
      <c r="H382" s="715" t="s">
        <v>1449</v>
      </c>
      <c r="I382" s="439" t="s">
        <v>689</v>
      </c>
      <c r="J382" s="431" t="s">
        <v>1450</v>
      </c>
      <c r="K382" s="437" t="s">
        <v>1451</v>
      </c>
      <c r="L382" s="450">
        <v>10</v>
      </c>
      <c r="M382" s="430" t="s">
        <v>840</v>
      </c>
      <c r="N382" s="437">
        <v>46069</v>
      </c>
      <c r="O382" s="430" t="s">
        <v>132</v>
      </c>
      <c r="P382" s="431" t="s">
        <v>189</v>
      </c>
      <c r="Q382" s="431" t="s">
        <v>190</v>
      </c>
      <c r="R382" s="431" t="str">
        <f>_xlfn.XLOOKUP(PV_DATA[[#This Row],[New Ark SKU]],Table9[New Ark SKU],Table9[Connector],,0)</f>
        <v>EVO2A</v>
      </c>
      <c r="S382" s="442" t="str">
        <f>_xlfn.XLOOKUP(PV_DATA[[#This Row],[New Ark SKU]],Table9[New Ark SKU],Table9[Cable],,0)</f>
        <v>±1200mm</v>
      </c>
      <c r="T382" s="433">
        <v>465</v>
      </c>
      <c r="U382" s="1064">
        <f>864*1</f>
        <v>864</v>
      </c>
      <c r="V382" s="458">
        <f>PV_DATA[[#This Row],[QUANTITY]]*PV_DATA[[#This Row],[WATT]]/1000000</f>
        <v>0.40176000000000001</v>
      </c>
      <c r="W382" s="430">
        <f>PV_DATA[[#This Row],[QUANTITY]]/PV_DATA[[#This Row],[Qty/Pallet]]</f>
        <v>24</v>
      </c>
      <c r="X382" s="1023">
        <f>PV_DATA[[#This Row],[QUANTITY]]/PV_DATA[[#This Row],[Qty/CT]]</f>
        <v>1</v>
      </c>
      <c r="Y382" s="430" t="s">
        <v>75</v>
      </c>
      <c r="Z382" s="430" t="str">
        <f t="shared" si="3"/>
        <v>COMPLETED</v>
      </c>
      <c r="AA382" s="441"/>
      <c r="AB382" s="441">
        <v>46103</v>
      </c>
      <c r="AC382" s="431">
        <f>IF(PV_DATA[[#This Row],[Pick-Up Date]]&lt;&gt;"",_xlfn.ISOWEEKNUM(PV_DATA[[#This Row],[Pick-Up Date]]),"")</f>
        <v>12</v>
      </c>
      <c r="AD382" s="441" t="s">
        <v>1872</v>
      </c>
      <c r="AE382" s="441"/>
      <c r="AF382" s="441" t="s">
        <v>1643</v>
      </c>
      <c r="AG382" s="441" t="s">
        <v>123</v>
      </c>
      <c r="AH382" s="430" t="s">
        <v>105</v>
      </c>
      <c r="AI382" s="437">
        <v>46110</v>
      </c>
      <c r="AJ382" s="441">
        <v>46112</v>
      </c>
      <c r="AK382" s="441">
        <v>46112</v>
      </c>
      <c r="AL382" s="437">
        <v>46147</v>
      </c>
      <c r="AM382" s="437">
        <v>46154</v>
      </c>
      <c r="AN382" s="437">
        <v>46157</v>
      </c>
      <c r="AO382" s="431" t="s">
        <v>402</v>
      </c>
      <c r="AP382" s="431" t="s">
        <v>937</v>
      </c>
      <c r="AQ382" s="441" t="s">
        <v>80</v>
      </c>
      <c r="AR382" s="441" t="s">
        <v>1870</v>
      </c>
      <c r="AS382" s="431" t="s">
        <v>1866</v>
      </c>
      <c r="AT382" s="482" t="s">
        <v>1866</v>
      </c>
      <c r="AU38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V382" s="431"/>
      <c r="AW382" s="441" cm="1">
        <f t="array" ref="AW38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46157</v>
      </c>
      <c r="AX38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82" s="441">
        <f>IF(ISERROR(PV_DATA[[#This Row],[New Ark PO status]]),"",_xlfn.XLOOKUP(PV_DATA[[#This Row],[SPTN-PVHK New Ark PO'#]],New_Ark_Data[Purchase order Number],New_Ark_Data[Estimated time of arrival],"",0))</f>
        <v>46167</v>
      </c>
      <c r="AZ382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82" s="437">
        <f>IFERROR(PV_DATA[[#This Row],[ODP ETA Port]]+PV_DATA[[#This Row],[Customs/Leg3 Assumption]],"n/a")</f>
        <v>46157</v>
      </c>
      <c r="BB382" s="442">
        <f>YEAR(PV_DATA[[#This Row],[ETA for New Ark update]])</f>
        <v>2026</v>
      </c>
      <c r="BC382" s="431">
        <f>MONTH(PV_DATA[[#This Row],[ETA for New Ark update]])</f>
        <v>5</v>
      </c>
      <c r="BD382" s="431">
        <f>IFERROR(_xlfn.ISOWEEKNUM(PV_DATA[[#This Row],[ETA for New Ark update]]),0)</f>
        <v>20</v>
      </c>
      <c r="BE382" s="431">
        <f>_xlfn.XLOOKUP(PV_DATA[[#This Row],[New Ark SKU]],Table9[New Ark SKU],Table9[Total PCS per Pallet],,0)</f>
        <v>36</v>
      </c>
      <c r="BF382" s="431">
        <f>_xlfn.XLOOKUP(PV_DATA[[#This Row],[New Ark SKU]],Table9[New Ark SKU],Table9[Total PCS per 40HQ Container],,0)</f>
        <v>864</v>
      </c>
      <c r="BG382" s="431" t="str">
        <f>_xlfn.XLOOKUP(PV_DATA[[#This Row],[New Ark SKU]],Table9[New Ark SKU],Table9[Back Glass],,0)</f>
        <v>White glazing</v>
      </c>
      <c r="BH382" s="431" t="str">
        <f>_xlfn.XLOOKUP(PV_DATA[[#This Row],[PORT DESTINATION]],Table12[PORT DESTINATION],Table12[Cosco Line],,0)</f>
        <v>AEU</v>
      </c>
      <c r="BJ382" s="430"/>
    </row>
    <row r="383" spans="1:62" ht="10.5" hidden="1">
      <c r="A383" s="462" t="s">
        <v>1873</v>
      </c>
      <c r="B383" s="462" t="s">
        <v>111</v>
      </c>
      <c r="C383" s="462" t="str">
        <f>IFERROR(LEFT(PV_DATA[[#This Row],[TCL REFERENCE]],FIND(".",PV_DATA[[#This Row],[TCL REFERENCE]],1)-1),"Main Line")</f>
        <v>26Feb009</v>
      </c>
      <c r="D383" s="462" t="s">
        <v>63</v>
      </c>
      <c r="E383" s="462" t="s">
        <v>64</v>
      </c>
      <c r="F383" s="462" t="str" cm="1">
        <f t="array" ref="F38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83" s="462" t="s">
        <v>402</v>
      </c>
      <c r="H383" s="462" t="s">
        <v>67</v>
      </c>
      <c r="I383" s="439" t="s">
        <v>689</v>
      </c>
      <c r="J383" s="430" t="s">
        <v>101</v>
      </c>
      <c r="K383" s="430"/>
      <c r="L383" s="430"/>
      <c r="M383" s="430" t="s">
        <v>68</v>
      </c>
      <c r="N383" s="432">
        <v>46069</v>
      </c>
      <c r="O383" s="430" t="s">
        <v>132</v>
      </c>
      <c r="P383" s="430" t="s">
        <v>189</v>
      </c>
      <c r="Q383" s="430" t="s">
        <v>190</v>
      </c>
      <c r="R383" s="431" t="str">
        <f>_xlfn.XLOOKUP(PV_DATA[[#This Row],[New Ark SKU]],Table9[New Ark SKU],Table9[Connector],,0)</f>
        <v>EVO2A</v>
      </c>
      <c r="S383" s="442" t="str">
        <f>_xlfn.XLOOKUP(PV_DATA[[#This Row],[New Ark SKU]],Table9[New Ark SKU],Table9[Cable],,0)</f>
        <v>±1200mm</v>
      </c>
      <c r="T383" s="433">
        <v>465</v>
      </c>
      <c r="U383" s="1062">
        <f>864*3</f>
        <v>2592</v>
      </c>
      <c r="V383" s="434">
        <f>PV_DATA[[#This Row],[QUANTITY]]*PV_DATA[[#This Row],[WATT]]/1000000</f>
        <v>1.2052799999999999</v>
      </c>
      <c r="W383" s="435">
        <f>PV_DATA[[#This Row],[QUANTITY]]/PV_DATA[[#This Row],[Qty/Pallet]]</f>
        <v>72</v>
      </c>
      <c r="X383" s="1015">
        <f>PV_DATA[[#This Row],[QUANTITY]]/PV_DATA[[#This Row],[Qty/CT]]</f>
        <v>3</v>
      </c>
      <c r="Y383" s="430" t="s">
        <v>75</v>
      </c>
      <c r="Z383" s="430" t="str">
        <f t="shared" si="3"/>
        <v>COMPLETED</v>
      </c>
      <c r="AA383" s="430"/>
      <c r="AB383" s="437">
        <v>46103</v>
      </c>
      <c r="AC383" s="438">
        <f>IF(PV_DATA[[#This Row],[Pick-Up Date]]&lt;&gt;"",_xlfn.ISOWEEKNUM(PV_DATA[[#This Row],[Pick-Up Date]]),"")</f>
        <v>12</v>
      </c>
      <c r="AD383" s="462" t="s">
        <v>1874</v>
      </c>
      <c r="AE383" s="430"/>
      <c r="AF383" s="430" t="s">
        <v>1643</v>
      </c>
      <c r="AG383" s="430" t="s">
        <v>123</v>
      </c>
      <c r="AH383" s="430" t="s">
        <v>105</v>
      </c>
      <c r="AI383" s="437">
        <v>46110</v>
      </c>
      <c r="AJ383" s="437">
        <v>46112</v>
      </c>
      <c r="AK383" s="441">
        <v>46112</v>
      </c>
      <c r="AL383" s="437">
        <v>46147</v>
      </c>
      <c r="AM383" s="437">
        <v>46154</v>
      </c>
      <c r="AN383" s="437">
        <v>46157</v>
      </c>
      <c r="AO383" s="430" t="s">
        <v>402</v>
      </c>
      <c r="AP383" s="430" t="s">
        <v>937</v>
      </c>
      <c r="AQ383" s="430" t="s">
        <v>80</v>
      </c>
      <c r="AR383" s="430" t="s">
        <v>1864</v>
      </c>
      <c r="AS383" s="430" t="s">
        <v>1865</v>
      </c>
      <c r="AT383" s="482" t="s">
        <v>1866</v>
      </c>
      <c r="AU38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383" s="437" cm="1">
        <f t="array" ref="AW38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46157</v>
      </c>
      <c r="AX38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83" s="437">
        <f>IF(ISERROR(PV_DATA[[#This Row],[New Ark PO status]]),"",_xlfn.XLOOKUP(PV_DATA[[#This Row],[SPTN-PVHK New Ark PO'#]],New_Ark_Data[Purchase order Number],New_Ark_Data[Estimated time of arrival],"",0))</f>
        <v>46173</v>
      </c>
      <c r="AZ38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83" s="437">
        <f>IFERROR(PV_DATA[[#This Row],[ODP ETA Port]]+PV_DATA[[#This Row],[Customs/Leg3 Assumption]],"n/a")</f>
        <v>46164</v>
      </c>
      <c r="BB383" s="433">
        <f>YEAR(PV_DATA[[#This Row],[ETA for New Ark update]])</f>
        <v>2026</v>
      </c>
      <c r="BC383" s="430">
        <f>MONTH(PV_DATA[[#This Row],[ETA for New Ark update]])</f>
        <v>5</v>
      </c>
      <c r="BD383" s="430">
        <f>IFERROR(_xlfn.ISOWEEKNUM(PV_DATA[[#This Row],[ETA for New Ark update]]),0)</f>
        <v>21</v>
      </c>
      <c r="BE383" s="431">
        <f>_xlfn.XLOOKUP(PV_DATA[[#This Row],[New Ark SKU]],Table9[New Ark SKU],Table9[Total PCS per Pallet],,0)</f>
        <v>36</v>
      </c>
      <c r="BF383" s="431">
        <f>_xlfn.XLOOKUP(PV_DATA[[#This Row],[New Ark SKU]],Table9[New Ark SKU],Table9[Total PCS per 40HQ Container],,0)</f>
        <v>864</v>
      </c>
      <c r="BG383" s="431" t="str">
        <f>_xlfn.XLOOKUP(PV_DATA[[#This Row],[New Ark SKU]],Table9[New Ark SKU],Table9[Back Glass],,0)</f>
        <v>White glazing</v>
      </c>
      <c r="BH383" s="431" t="str">
        <f>_xlfn.XLOOKUP(PV_DATA[[#This Row],[PORT DESTINATION]],Table12[PORT DESTINATION],Table12[Cosco Line],,0)</f>
        <v>AEU</v>
      </c>
      <c r="BJ383" s="430"/>
    </row>
    <row r="384" spans="1:62" ht="10.5" hidden="1">
      <c r="A384" s="462" t="s">
        <v>1875</v>
      </c>
      <c r="B384" s="462" t="s">
        <v>111</v>
      </c>
      <c r="C384" s="462" t="s">
        <v>1876</v>
      </c>
      <c r="D384" s="462" t="s">
        <v>63</v>
      </c>
      <c r="E384" s="462" t="s">
        <v>64</v>
      </c>
      <c r="F384" s="462" t="str" cm="1">
        <f t="array" ref="F38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384" s="462" t="s">
        <v>402</v>
      </c>
      <c r="H384" s="462" t="s">
        <v>67</v>
      </c>
      <c r="I384" s="439" t="s">
        <v>689</v>
      </c>
      <c r="J384" s="430" t="s">
        <v>483</v>
      </c>
      <c r="K384" s="430"/>
      <c r="L384" s="430"/>
      <c r="M384" s="430" t="s">
        <v>68</v>
      </c>
      <c r="N384" s="432">
        <v>46083</v>
      </c>
      <c r="O384" s="430" t="s">
        <v>473</v>
      </c>
      <c r="P384" s="430" t="s">
        <v>529</v>
      </c>
      <c r="Q384" s="430" t="s">
        <v>1311</v>
      </c>
      <c r="R384" s="431" t="str">
        <f>_xlfn.XLOOKUP(PV_DATA[[#This Row],[New Ark SKU]],Table9[New Ark SKU],Table9[Connector],,0)</f>
        <v>EVO2A</v>
      </c>
      <c r="S384" s="442" t="str">
        <f>_xlfn.XLOOKUP(PV_DATA[[#This Row],[New Ark SKU]],Table9[New Ark SKU],Table9[Cable],,0)</f>
        <v>±1200mm</v>
      </c>
      <c r="T384" s="433">
        <v>455</v>
      </c>
      <c r="U384" s="1062">
        <f>864*5</f>
        <v>4320</v>
      </c>
      <c r="V384" s="434">
        <f>PV_DATA[[#This Row],[QUANTITY]]*PV_DATA[[#This Row],[WATT]]/1000000</f>
        <v>1.9656</v>
      </c>
      <c r="W384" s="435">
        <f>PV_DATA[[#This Row],[QUANTITY]]/PV_DATA[[#This Row],[Qty/Pallet]]</f>
        <v>120</v>
      </c>
      <c r="X384" s="1015">
        <f>PV_DATA[[#This Row],[QUANTITY]]/PV_DATA[[#This Row],[Qty/CT]]</f>
        <v>5</v>
      </c>
      <c r="Y384" s="430" t="s">
        <v>75</v>
      </c>
      <c r="Z384" s="430" t="str">
        <f t="shared" si="3"/>
        <v>COMPLETED</v>
      </c>
      <c r="AA384" s="430" t="s">
        <v>1548</v>
      </c>
      <c r="AB384" s="437">
        <v>46102</v>
      </c>
      <c r="AC384" s="438">
        <f>IF(PV_DATA[[#This Row],[Pick-Up Date]]&lt;&gt;"",_xlfn.ISOWEEKNUM(PV_DATA[[#This Row],[Pick-Up Date]]),"")</f>
        <v>12</v>
      </c>
      <c r="AD384" s="439" t="s">
        <v>1877</v>
      </c>
      <c r="AE384" s="430"/>
      <c r="AF384" s="430" t="s">
        <v>1643</v>
      </c>
      <c r="AG384" s="430" t="s">
        <v>123</v>
      </c>
      <c r="AH384" s="430" t="s">
        <v>105</v>
      </c>
      <c r="AI384" s="437">
        <v>46111</v>
      </c>
      <c r="AJ384" s="437">
        <v>46111</v>
      </c>
      <c r="AK384" s="441">
        <v>46111</v>
      </c>
      <c r="AL384" s="437">
        <v>46148</v>
      </c>
      <c r="AM384" s="437">
        <v>46157</v>
      </c>
      <c r="AN384" s="437">
        <v>46156</v>
      </c>
      <c r="AO384" s="430" t="s">
        <v>402</v>
      </c>
      <c r="AP384" s="430" t="s">
        <v>1878</v>
      </c>
      <c r="AQ384" s="430" t="s">
        <v>80</v>
      </c>
      <c r="AR384" s="430" t="s">
        <v>1879</v>
      </c>
      <c r="AS384" s="430" t="s">
        <v>1880</v>
      </c>
      <c r="AT384" s="482" t="s">
        <v>1880</v>
      </c>
      <c r="AU38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384" s="437" cm="1">
        <f t="array" ref="AW38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46156</v>
      </c>
      <c r="AX38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84" s="437">
        <f>IF(ISERROR(PV_DATA[[#This Row],[New Ark PO status]]),"",_xlfn.XLOOKUP(PV_DATA[[#This Row],[SPTN-PVHK New Ark PO'#]],New_Ark_Data[Purchase order Number],New_Ark_Data[Estimated time of arrival],"",0))</f>
        <v>46170</v>
      </c>
      <c r="AZ38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84" s="437">
        <f>IFERROR(PV_DATA[[#This Row],[ODP ETA Port]]+PV_DATA[[#This Row],[Customs/Leg3 Assumption]],"n/a")</f>
        <v>46163</v>
      </c>
      <c r="BB384" s="433">
        <f>YEAR(PV_DATA[[#This Row],[ETA for New Ark update]])</f>
        <v>2026</v>
      </c>
      <c r="BC384" s="430">
        <f>MONTH(PV_DATA[[#This Row],[ETA for New Ark update]])</f>
        <v>5</v>
      </c>
      <c r="BD384" s="430">
        <f>IFERROR(_xlfn.ISOWEEKNUM(PV_DATA[[#This Row],[ETA for New Ark update]]),0)</f>
        <v>21</v>
      </c>
      <c r="BE384" s="431">
        <f>_xlfn.XLOOKUP(PV_DATA[[#This Row],[New Ark SKU]],Table9[New Ark SKU],Table9[Total PCS per Pallet],,0)</f>
        <v>36</v>
      </c>
      <c r="BF384" s="431">
        <f>_xlfn.XLOOKUP(PV_DATA[[#This Row],[New Ark SKU]],Table9[New Ark SKU],Table9[Total PCS per 40HQ Container],,0)</f>
        <v>864</v>
      </c>
      <c r="BG384" s="431" t="str">
        <f>_xlfn.XLOOKUP(PV_DATA[[#This Row],[New Ark SKU]],Table9[New Ark SKU],Table9[Back Glass],,0)</f>
        <v>Black glazing</v>
      </c>
      <c r="BH384" s="431" t="str">
        <f>_xlfn.XLOOKUP(PV_DATA[[#This Row],[PORT DESTINATION]],Table12[PORT DESTINATION],Table12[Cosco Line],,0)</f>
        <v>AEU</v>
      </c>
      <c r="BJ384" s="430"/>
    </row>
    <row r="385" spans="1:62" ht="10.5" hidden="1">
      <c r="A385" s="462" t="s">
        <v>1881</v>
      </c>
      <c r="B385" s="462" t="s">
        <v>1757</v>
      </c>
      <c r="C385" s="462" t="str">
        <f>IFERROR(LEFT(PV_DATA[[#This Row],[TCL REFERENCE]],FIND(".",PV_DATA[[#This Row],[TCL REFERENCE]],1)-1),"Main Line")</f>
        <v>26Feb020</v>
      </c>
      <c r="D385" s="462" t="s">
        <v>63</v>
      </c>
      <c r="E385" s="462" t="s">
        <v>144</v>
      </c>
      <c r="F385" s="462" t="str" cm="1">
        <f t="array" ref="F38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85" s="462" t="s">
        <v>146</v>
      </c>
      <c r="H385" s="462" t="s">
        <v>157</v>
      </c>
      <c r="I385" s="439" t="s">
        <v>689</v>
      </c>
      <c r="J385" s="430" t="s">
        <v>157</v>
      </c>
      <c r="K385" s="430" t="s">
        <v>1882</v>
      </c>
      <c r="L385" s="430"/>
      <c r="M385" s="430" t="s">
        <v>840</v>
      </c>
      <c r="N385" s="432">
        <v>46104</v>
      </c>
      <c r="O385" s="430" t="s">
        <v>70</v>
      </c>
      <c r="P385" s="430" t="s">
        <v>1151</v>
      </c>
      <c r="Q385" s="430" t="s">
        <v>421</v>
      </c>
      <c r="R385" s="431" t="str">
        <f>_xlfn.XLOOKUP(PV_DATA[[#This Row],[New Ark SKU]],Table9[New Ark SKU],Table9[Connector],,0)</f>
        <v>EVO2A</v>
      </c>
      <c r="S385" s="442" t="str">
        <f>_xlfn.XLOOKUP(PV_DATA[[#This Row],[New Ark SKU]],Table9[New Ark SKU],Table9[Cable],,0)</f>
        <v>±1200mm</v>
      </c>
      <c r="T385" s="433">
        <v>505</v>
      </c>
      <c r="U385" s="1062">
        <f>864*2</f>
        <v>1728</v>
      </c>
      <c r="V385" s="434">
        <f>PV_DATA[[#This Row],[QUANTITY]]*PV_DATA[[#This Row],[WATT]]/1000000</f>
        <v>0.87263999999999997</v>
      </c>
      <c r="W385" s="435">
        <f>PV_DATA[[#This Row],[QUANTITY]]/PV_DATA[[#This Row],[Qty/Pallet]]</f>
        <v>48</v>
      </c>
      <c r="X385" s="1015">
        <f>PV_DATA[[#This Row],[QUANTITY]]/PV_DATA[[#This Row],[Qty/CT]]</f>
        <v>2</v>
      </c>
      <c r="Y385" s="430" t="s">
        <v>75</v>
      </c>
      <c r="Z385" s="430" t="str">
        <f t="shared" si="3"/>
        <v>COMPLETED</v>
      </c>
      <c r="AA385" s="430" t="s">
        <v>1883</v>
      </c>
      <c r="AB385" s="437">
        <v>46109</v>
      </c>
      <c r="AC385" s="438">
        <f>IF(PV_DATA[[#This Row],[Pick-Up Date]]&lt;&gt;"",_xlfn.ISOWEEKNUM(PV_DATA[[#This Row],[Pick-Up Date]]),"")</f>
        <v>13</v>
      </c>
      <c r="AD385" s="439" t="s">
        <v>1884</v>
      </c>
      <c r="AE385" s="430"/>
      <c r="AF385" s="430" t="s">
        <v>1762</v>
      </c>
      <c r="AG385" s="430" t="s">
        <v>123</v>
      </c>
      <c r="AH385" s="430" t="s">
        <v>159</v>
      </c>
      <c r="AI385" s="437">
        <v>46113</v>
      </c>
      <c r="AJ385" s="437">
        <v>46113</v>
      </c>
      <c r="AK385" s="441">
        <v>46113</v>
      </c>
      <c r="AL385" s="437">
        <v>46172</v>
      </c>
      <c r="AM385" s="437">
        <v>46172</v>
      </c>
      <c r="AN385" s="437">
        <v>46172</v>
      </c>
      <c r="AO385" s="430" t="s">
        <v>402</v>
      </c>
      <c r="AP385" s="430" t="s">
        <v>1885</v>
      </c>
      <c r="AQ385" s="430" t="s">
        <v>161</v>
      </c>
      <c r="AR385" s="430" t="s">
        <v>1886</v>
      </c>
      <c r="AS385" s="430">
        <v>267445298</v>
      </c>
      <c r="AT385" s="431">
        <v>267445298</v>
      </c>
      <c r="AU38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W385" s="437" cm="1">
        <f t="array" ref="AW38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46172</v>
      </c>
      <c r="AX38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85" s="437">
        <f>IF(ISERROR(PV_DATA[[#This Row],[New Ark PO status]]),"",_xlfn.XLOOKUP(PV_DATA[[#This Row],[SPTN-PVHK New Ark PO'#]],New_Ark_Data[Purchase order Number],New_Ark_Data[Estimated time of arrival],"",0))</f>
        <v>46185</v>
      </c>
      <c r="AZ385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85" s="437">
        <f>IFERROR(PV_DATA[[#This Row],[ODP ETA Port]]+PV_DATA[[#This Row],[Customs/Leg3 Assumption]],"n/a")</f>
        <v>46172</v>
      </c>
      <c r="BB385" s="433">
        <f>YEAR(PV_DATA[[#This Row],[ETA for New Ark update]])</f>
        <v>2026</v>
      </c>
      <c r="BC385" s="430">
        <f>MONTH(PV_DATA[[#This Row],[ETA for New Ark update]])</f>
        <v>5</v>
      </c>
      <c r="BD385" s="430">
        <f>IFERROR(_xlfn.ISOWEEKNUM(PV_DATA[[#This Row],[ETA for New Ark update]]),0)</f>
        <v>22</v>
      </c>
      <c r="BE385" s="431">
        <f>_xlfn.XLOOKUP(PV_DATA[[#This Row],[New Ark SKU]],Table9[New Ark SKU],Table9[Total PCS per Pallet],,0)</f>
        <v>36</v>
      </c>
      <c r="BF385" s="431">
        <f>_xlfn.XLOOKUP(PV_DATA[[#This Row],[New Ark SKU]],Table9[New Ark SKU],Table9[Total PCS per 40HQ Container],,0)</f>
        <v>864</v>
      </c>
      <c r="BG385" s="431" t="str">
        <f>_xlfn.XLOOKUP(PV_DATA[[#This Row],[New Ark SKU]],Table9[New Ark SKU],Table9[Back Glass],,0)</f>
        <v>Black glazing</v>
      </c>
      <c r="BH385" s="431" t="str">
        <f>_xlfn.XLOOKUP(PV_DATA[[#This Row],[PORT DESTINATION]],Table12[PORT DESTINATION],Table12[Cosco Line],,0)</f>
        <v>AEU</v>
      </c>
      <c r="BJ385" s="430"/>
    </row>
    <row r="386" spans="1:62" hidden="1">
      <c r="A386" s="462" t="s">
        <v>1887</v>
      </c>
      <c r="B386" s="462" t="s">
        <v>1888</v>
      </c>
      <c r="C386" s="462" t="str">
        <f>IFERROR(LEFT(PV_DATA[[#This Row],[TCL REFERENCE]],FIND(".",PV_DATA[[#This Row],[TCL REFERENCE]],1)-1),"Main Line")</f>
        <v>26Feb017</v>
      </c>
      <c r="D386" s="462" t="s">
        <v>63</v>
      </c>
      <c r="E386" s="462" t="s">
        <v>144</v>
      </c>
      <c r="F386" s="462" t="str" cm="1">
        <f t="array" ref="F386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86" s="462" t="s">
        <v>402</v>
      </c>
      <c r="H386" s="462" t="s">
        <v>157</v>
      </c>
      <c r="I386" s="439" t="s">
        <v>689</v>
      </c>
      <c r="J386" s="430" t="s">
        <v>157</v>
      </c>
      <c r="K386" s="430" t="s">
        <v>1882</v>
      </c>
      <c r="L386" s="430"/>
      <c r="M386" s="430" t="s">
        <v>840</v>
      </c>
      <c r="N386" s="432">
        <v>46069</v>
      </c>
      <c r="O386" s="430" t="s">
        <v>70</v>
      </c>
      <c r="P386" s="430" t="s">
        <v>195</v>
      </c>
      <c r="Q386" s="430" t="s">
        <v>196</v>
      </c>
      <c r="R386" s="431" t="str">
        <f>_xlfn.XLOOKUP(PV_DATA[[#This Row],[New Ark SKU]],Table9[New Ark SKU],Table9[Connector],,0)</f>
        <v>EVO2A</v>
      </c>
      <c r="S386" s="442" t="str">
        <f>_xlfn.XLOOKUP(PV_DATA[[#This Row],[New Ark SKU]],Table9[New Ark SKU],Table9[Cable],,0)</f>
        <v>±1200mm</v>
      </c>
      <c r="T386" s="433">
        <v>450</v>
      </c>
      <c r="U386" s="1062">
        <f>936*2</f>
        <v>1872</v>
      </c>
      <c r="V386" s="434">
        <f>PV_DATA[[#This Row],[QUANTITY]]*PV_DATA[[#This Row],[WATT]]/1000000</f>
        <v>0.84240000000000004</v>
      </c>
      <c r="W386" s="435">
        <f>PV_DATA[[#This Row],[QUANTITY]]/PV_DATA[[#This Row],[Qty/Pallet]]</f>
        <v>52</v>
      </c>
      <c r="X386" s="1015">
        <f>PV_DATA[[#This Row],[QUANTITY]]/PV_DATA[[#This Row],[Qty/CT]]</f>
        <v>2</v>
      </c>
      <c r="Y386" s="430" t="s">
        <v>75</v>
      </c>
      <c r="Z386" s="430" t="str">
        <f t="shared" si="3"/>
        <v>COMPLETED</v>
      </c>
      <c r="AA386" s="430" t="s">
        <v>1889</v>
      </c>
      <c r="AB386" s="437">
        <v>46108</v>
      </c>
      <c r="AC386" s="438">
        <f>IF(PV_DATA[[#This Row],[Pick-Up Date]]&lt;&gt;"",_xlfn.ISOWEEKNUM(PV_DATA[[#This Row],[Pick-Up Date]]),"")</f>
        <v>13</v>
      </c>
      <c r="AD386" s="439" t="s">
        <v>1890</v>
      </c>
      <c r="AE386" s="430"/>
      <c r="AF386" s="430" t="s">
        <v>4429</v>
      </c>
      <c r="AG386" s="430" t="s">
        <v>123</v>
      </c>
      <c r="AH386" s="430" t="s">
        <v>159</v>
      </c>
      <c r="AI386" s="437">
        <v>46113</v>
      </c>
      <c r="AJ386" s="437">
        <v>46113</v>
      </c>
      <c r="AK386" s="441">
        <v>46113</v>
      </c>
      <c r="AL386" s="437">
        <v>46172</v>
      </c>
      <c r="AM386" s="437">
        <v>46172</v>
      </c>
      <c r="AN386" s="437">
        <v>46172</v>
      </c>
      <c r="AO386" s="430" t="s">
        <v>402</v>
      </c>
      <c r="AP386" s="430" t="s">
        <v>1885</v>
      </c>
      <c r="AQ386" s="430" t="s">
        <v>161</v>
      </c>
      <c r="AR386" s="430" t="s">
        <v>1886</v>
      </c>
      <c r="AS386" s="430">
        <v>267445298</v>
      </c>
      <c r="AT386" s="431">
        <v>267721245</v>
      </c>
      <c r="AU38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W386" s="437" cm="1">
        <f t="array" ref="AW38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46172</v>
      </c>
      <c r="AX38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86" s="437">
        <f>IF(ISERROR(PV_DATA[[#This Row],[New Ark PO status]]),"",_xlfn.XLOOKUP(PV_DATA[[#This Row],[SPTN-PVHK New Ark PO'#]],New_Ark_Data[Purchase order Number],New_Ark_Data[Estimated time of arrival],"",0))</f>
        <v>46185</v>
      </c>
      <c r="AZ386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86" s="437">
        <f>IFERROR(PV_DATA[[#This Row],[ODP ETA Port]]+PV_DATA[[#This Row],[Customs/Leg3 Assumption]],"n/a")</f>
        <v>46172</v>
      </c>
      <c r="BB386" s="433">
        <f>YEAR(PV_DATA[[#This Row],[ETA for New Ark update]])</f>
        <v>2026</v>
      </c>
      <c r="BC386" s="430">
        <f>MONTH(PV_DATA[[#This Row],[ETA for New Ark update]])</f>
        <v>5</v>
      </c>
      <c r="BD386" s="430">
        <f>IFERROR(_xlfn.ISOWEEKNUM(PV_DATA[[#This Row],[ETA for New Ark update]]),0)</f>
        <v>22</v>
      </c>
      <c r="BE386" s="431">
        <f>_xlfn.XLOOKUP(PV_DATA[[#This Row],[New Ark SKU]],Table9[New Ark SKU],Table9[Total PCS per Pallet],,0)</f>
        <v>36</v>
      </c>
      <c r="BF386" s="431">
        <f>_xlfn.XLOOKUP(PV_DATA[[#This Row],[New Ark SKU]],Table9[New Ark SKU],Table9[Total PCS per 40HQ Container],,0)</f>
        <v>936</v>
      </c>
      <c r="BG386" s="431" t="str">
        <f>_xlfn.XLOOKUP(PV_DATA[[#This Row],[New Ark SKU]],Table9[New Ark SKU],Table9[Back Glass],,0)</f>
        <v>Black glazing</v>
      </c>
      <c r="BH386" s="431" t="str">
        <f>_xlfn.XLOOKUP(PV_DATA[[#This Row],[PORT DESTINATION]],Table12[PORT DESTINATION],Table12[Cosco Line],,0)</f>
        <v>AEU</v>
      </c>
      <c r="BJ386" s="430"/>
    </row>
    <row r="387" spans="1:62" hidden="1">
      <c r="A387" s="462" t="s">
        <v>1892</v>
      </c>
      <c r="B387" s="462" t="s">
        <v>111</v>
      </c>
      <c r="C387" s="462" t="str">
        <f>IFERROR(LEFT(PV_DATA[[#This Row],[TCL REFERENCE]],FIND(".",PV_DATA[[#This Row],[TCL REFERENCE]],1)-1),"Main Line")</f>
        <v>26Feb014</v>
      </c>
      <c r="D387" s="462" t="s">
        <v>63</v>
      </c>
      <c r="E387" s="462" t="s">
        <v>144</v>
      </c>
      <c r="F387" s="462" t="str" cm="1">
        <f t="array" ref="F38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87" s="462" t="s">
        <v>402</v>
      </c>
      <c r="H387" s="462" t="s">
        <v>593</v>
      </c>
      <c r="I387" s="439" t="s">
        <v>869</v>
      </c>
      <c r="J387" s="430" t="s">
        <v>594</v>
      </c>
      <c r="K387" s="430" t="s">
        <v>1124</v>
      </c>
      <c r="L387" s="430"/>
      <c r="M387" s="430" t="s">
        <v>840</v>
      </c>
      <c r="N387" s="432">
        <v>46111</v>
      </c>
      <c r="O387" s="430" t="s">
        <v>132</v>
      </c>
      <c r="P387" s="430" t="s">
        <v>1894</v>
      </c>
      <c r="Q387" s="430" t="s">
        <v>1895</v>
      </c>
      <c r="R387" s="431" t="str">
        <f>_xlfn.XLOOKUP(PV_DATA[[#This Row],[New Ark SKU]],Table9[New Ark SKU],Table9[Connector],,0)</f>
        <v>EVO2A</v>
      </c>
      <c r="S387" s="442" t="str">
        <f>_xlfn.XLOOKUP(PV_DATA[[#This Row],[New Ark SKU]],Table9[New Ark SKU],Table9[Cable],,0)</f>
        <v>±1400mm</v>
      </c>
      <c r="T387" s="433">
        <v>560</v>
      </c>
      <c r="U387" s="1062">
        <v>3300</v>
      </c>
      <c r="V387" s="434">
        <f>PV_DATA[[#This Row],[QUANTITY]]*PV_DATA[[#This Row],[WATT]]/1000000</f>
        <v>1.8480000000000001</v>
      </c>
      <c r="W387" s="435">
        <f>PV_DATA[[#This Row],[QUANTITY]]/PV_DATA[[#This Row],[Qty/Pallet]]</f>
        <v>100</v>
      </c>
      <c r="X387" s="1015">
        <f>PV_DATA[[#This Row],[QUANTITY]]/PV_DATA[[#This Row],[Qty/CT]]</f>
        <v>5</v>
      </c>
      <c r="Y387" s="430" t="s">
        <v>75</v>
      </c>
      <c r="Z387" s="430" t="str">
        <f t="shared" si="3"/>
        <v>COMPLETED</v>
      </c>
      <c r="AA387" s="430" t="s">
        <v>1896</v>
      </c>
      <c r="AB387" s="437">
        <v>46108</v>
      </c>
      <c r="AC387" s="438">
        <f>IF(PV_DATA[[#This Row],[Pick-Up Date]]&lt;&gt;"",_xlfn.ISOWEEKNUM(PV_DATA[[#This Row],[Pick-Up Date]]),"")</f>
        <v>13</v>
      </c>
      <c r="AD387" s="439" t="s">
        <v>1897</v>
      </c>
      <c r="AE387" s="430"/>
      <c r="AF387" s="430" t="s">
        <v>4426</v>
      </c>
      <c r="AG387" s="430" t="s">
        <v>123</v>
      </c>
      <c r="AH387" s="430" t="s">
        <v>124</v>
      </c>
      <c r="AI387" s="437">
        <v>46114</v>
      </c>
      <c r="AJ387" s="437">
        <v>46115</v>
      </c>
      <c r="AK387" s="441">
        <v>46117</v>
      </c>
      <c r="AL387" s="437">
        <v>46156</v>
      </c>
      <c r="AM387" s="437">
        <v>46156</v>
      </c>
      <c r="AN387" s="437">
        <v>46158</v>
      </c>
      <c r="AO387" s="430" t="s">
        <v>402</v>
      </c>
      <c r="AP387" s="430" t="s">
        <v>1898</v>
      </c>
      <c r="AQ387" s="430" t="s">
        <v>80</v>
      </c>
      <c r="AR387" s="430" t="s">
        <v>1899</v>
      </c>
      <c r="AS387" s="430" t="s">
        <v>1900</v>
      </c>
      <c r="AT387" s="482" t="s">
        <v>1900</v>
      </c>
      <c r="AU38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W387" s="437" cm="1">
        <f t="array" ref="AW38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46158</v>
      </c>
      <c r="AX38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87" s="437">
        <f>IF(ISERROR(PV_DATA[[#This Row],[New Ark PO status]]),"",_xlfn.XLOOKUP(PV_DATA[[#This Row],[SPTN-PVHK New Ark PO'#]],New_Ark_Data[Purchase order Number],New_Ark_Data[Estimated time of arrival],"",0))</f>
        <v>46170</v>
      </c>
      <c r="AZ387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87" s="437">
        <f>IFERROR(PV_DATA[[#This Row],[ODP ETA Port]]+PV_DATA[[#This Row],[Customs/Leg3 Assumption]],"n/a")</f>
        <v>46158</v>
      </c>
      <c r="BB387" s="433">
        <f>YEAR(PV_DATA[[#This Row],[ETA for New Ark update]])</f>
        <v>2026</v>
      </c>
      <c r="BC387" s="430">
        <f>MONTH(PV_DATA[[#This Row],[ETA for New Ark update]])</f>
        <v>5</v>
      </c>
      <c r="BD387" s="430">
        <f>IFERROR(_xlfn.ISOWEEKNUM(PV_DATA[[#This Row],[ETA for New Ark update]]),0)</f>
        <v>20</v>
      </c>
      <c r="BE387" s="431">
        <f>_xlfn.XLOOKUP(PV_DATA[[#This Row],[New Ark SKU]],Table9[New Ark SKU],Table9[Total PCS per Pallet],,0)</f>
        <v>33</v>
      </c>
      <c r="BF387" s="431">
        <f>_xlfn.XLOOKUP(PV_DATA[[#This Row],[New Ark SKU]],Table9[New Ark SKU],Table9[Total PCS per 40HQ Container],,0)</f>
        <v>660</v>
      </c>
      <c r="BG387" s="431" t="str">
        <f>_xlfn.XLOOKUP(PV_DATA[[#This Row],[New Ark SKU]],Table9[New Ark SKU],Table9[Back Glass],,0)</f>
        <v>White glazing</v>
      </c>
      <c r="BH387" s="431" t="str">
        <f>_xlfn.XLOOKUP(PV_DATA[[#This Row],[PORT DESTINATION]],Table12[PORT DESTINATION],Table12[Cosco Line],,0)</f>
        <v>AEM</v>
      </c>
      <c r="BJ387" s="430"/>
    </row>
    <row r="388" spans="1:62" hidden="1">
      <c r="A388" s="462" t="s">
        <v>1901</v>
      </c>
      <c r="B388" s="462" t="s">
        <v>111</v>
      </c>
      <c r="C388" s="462" t="str">
        <f>IFERROR(LEFT(PV_DATA[[#This Row],[TCL REFERENCE]],FIND(".",PV_DATA[[#This Row],[TCL REFERENCE]],1)-1),"Main Line")</f>
        <v>26Feb013</v>
      </c>
      <c r="D388" s="462" t="s">
        <v>63</v>
      </c>
      <c r="E388" s="462" t="s">
        <v>144</v>
      </c>
      <c r="F388" s="462" t="str" cm="1">
        <f t="array" ref="F38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88" s="462" t="s">
        <v>402</v>
      </c>
      <c r="H388" s="462" t="s">
        <v>1903</v>
      </c>
      <c r="I388" s="439" t="s">
        <v>869</v>
      </c>
      <c r="J388" s="430" t="s">
        <v>1903</v>
      </c>
      <c r="K388" s="430" t="s">
        <v>1904</v>
      </c>
      <c r="L388" s="430"/>
      <c r="M388" s="430" t="s">
        <v>840</v>
      </c>
      <c r="N388" s="432">
        <v>46111</v>
      </c>
      <c r="O388" s="430" t="s">
        <v>132</v>
      </c>
      <c r="P388" s="430" t="s">
        <v>1905</v>
      </c>
      <c r="Q388" s="430" t="s">
        <v>1906</v>
      </c>
      <c r="R388" s="431" t="str">
        <f>_xlfn.XLOOKUP(PV_DATA[[#This Row],[New Ark SKU]],Table9[New Ark SKU],Table9[Connector],,0)</f>
        <v>EVO2A</v>
      </c>
      <c r="S388" s="442" t="str">
        <f>_xlfn.XLOOKUP(PV_DATA[[#This Row],[New Ark SKU]],Table9[New Ark SKU],Table9[Cable],,0)</f>
        <v>±1400mm</v>
      </c>
      <c r="T388" s="433">
        <v>555</v>
      </c>
      <c r="U388" s="1062">
        <f>4*660</f>
        <v>2640</v>
      </c>
      <c r="V388" s="434">
        <f>PV_DATA[[#This Row],[QUANTITY]]*PV_DATA[[#This Row],[WATT]]/1000000</f>
        <v>1.4652000000000001</v>
      </c>
      <c r="W388" s="435">
        <f>PV_DATA[[#This Row],[QUANTITY]]/PV_DATA[[#This Row],[Qty/Pallet]]</f>
        <v>80</v>
      </c>
      <c r="X388" s="1015">
        <f>PV_DATA[[#This Row],[QUANTITY]]/PV_DATA[[#This Row],[Qty/CT]]</f>
        <v>4</v>
      </c>
      <c r="Y388" s="430" t="s">
        <v>75</v>
      </c>
      <c r="Z388" s="430" t="str">
        <f t="shared" si="3"/>
        <v>COMPLETED</v>
      </c>
      <c r="AA388" s="430" t="s">
        <v>1907</v>
      </c>
      <c r="AB388" s="437">
        <v>46106</v>
      </c>
      <c r="AC388" s="438">
        <f>IF(PV_DATA[[#This Row],[Pick-Up Date]]&lt;&gt;"",_xlfn.ISOWEEKNUM(PV_DATA[[#This Row],[Pick-Up Date]]),"")</f>
        <v>13</v>
      </c>
      <c r="AD388" s="439" t="s">
        <v>1908</v>
      </c>
      <c r="AE388" s="430"/>
      <c r="AF388" s="430" t="s">
        <v>4426</v>
      </c>
      <c r="AG388" s="430" t="s">
        <v>123</v>
      </c>
      <c r="AH388" s="430" t="s">
        <v>124</v>
      </c>
      <c r="AI388" s="437">
        <v>46111</v>
      </c>
      <c r="AJ388" s="437">
        <v>46114</v>
      </c>
      <c r="AK388" s="441">
        <v>46114</v>
      </c>
      <c r="AL388" s="437">
        <v>46163</v>
      </c>
      <c r="AM388" s="437">
        <v>46170</v>
      </c>
      <c r="AN388" s="437">
        <v>46171</v>
      </c>
      <c r="AO388" s="430" t="s">
        <v>402</v>
      </c>
      <c r="AP388" s="430" t="s">
        <v>1725</v>
      </c>
      <c r="AQ388" s="430" t="s">
        <v>80</v>
      </c>
      <c r="AR388" s="430" t="s">
        <v>1909</v>
      </c>
      <c r="AS388" s="430" t="s">
        <v>1910</v>
      </c>
      <c r="AT388" s="482" t="s">
        <v>1910</v>
      </c>
      <c r="AU38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</v>
      </c>
      <c r="AW388" s="437" cm="1">
        <f t="array" ref="AW38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46171</v>
      </c>
      <c r="AX38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88" s="437">
        <f>IF(ISERROR(PV_DATA[[#This Row],[New Ark PO status]]),"",_xlfn.XLOOKUP(PV_DATA[[#This Row],[SPTN-PVHK New Ark PO'#]],New_Ark_Data[Purchase order Number],New_Ark_Data[Estimated time of arrival],"",0))</f>
        <v>46177</v>
      </c>
      <c r="AZ388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88" s="437">
        <f>IFERROR(PV_DATA[[#This Row],[ODP ETA Port]]+PV_DATA[[#This Row],[Customs/Leg3 Assumption]],"n/a")</f>
        <v>46171</v>
      </c>
      <c r="BB388" s="433">
        <f>YEAR(PV_DATA[[#This Row],[ETA for New Ark update]])</f>
        <v>2026</v>
      </c>
      <c r="BC388" s="430">
        <f>MONTH(PV_DATA[[#This Row],[ETA for New Ark update]])</f>
        <v>5</v>
      </c>
      <c r="BD388" s="430">
        <f>IFERROR(_xlfn.ISOWEEKNUM(PV_DATA[[#This Row],[ETA for New Ark update]]),0)</f>
        <v>22</v>
      </c>
      <c r="BE388" s="431">
        <f>_xlfn.XLOOKUP(PV_DATA[[#This Row],[New Ark SKU]],Table9[New Ark SKU],Table9[Total PCS per Pallet],,0)</f>
        <v>33</v>
      </c>
      <c r="BF388" s="431">
        <f>_xlfn.XLOOKUP(PV_DATA[[#This Row],[New Ark SKU]],Table9[New Ark SKU],Table9[Total PCS per 40HQ Container],,0)</f>
        <v>660</v>
      </c>
      <c r="BG388" s="431" t="str">
        <f>_xlfn.XLOOKUP(PV_DATA[[#This Row],[New Ark SKU]],Table9[New Ark SKU],Table9[Back Glass],,0)</f>
        <v>White glazing</v>
      </c>
      <c r="BH388" s="431" t="str">
        <f>_xlfn.XLOOKUP(PV_DATA[[#This Row],[PORT DESTINATION]],Table12[PORT DESTINATION],Table12[Cosco Line],,0)</f>
        <v>AEM</v>
      </c>
      <c r="BJ388" s="430"/>
    </row>
    <row r="389" spans="1:62" hidden="1">
      <c r="A389" s="462" t="s">
        <v>1911</v>
      </c>
      <c r="B389" s="462" t="s">
        <v>111</v>
      </c>
      <c r="C389" s="462" t="str">
        <f>IFERROR(LEFT(PV_DATA[[#This Row],[TCL REFERENCE]],FIND(".",PV_DATA[[#This Row],[TCL REFERENCE]],1)-1),"Main Line")</f>
        <v>26Feb013</v>
      </c>
      <c r="D389" s="462" t="s">
        <v>63</v>
      </c>
      <c r="E389" s="462" t="s">
        <v>144</v>
      </c>
      <c r="F389" s="462" t="str" cm="1">
        <f t="array" ref="F38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89" s="462" t="s">
        <v>402</v>
      </c>
      <c r="H389" s="462" t="s">
        <v>1912</v>
      </c>
      <c r="I389" s="439" t="s">
        <v>869</v>
      </c>
      <c r="J389" s="430" t="s">
        <v>1913</v>
      </c>
      <c r="K389" s="430" t="s">
        <v>1914</v>
      </c>
      <c r="L389" s="430"/>
      <c r="M389" s="430" t="s">
        <v>840</v>
      </c>
      <c r="N389" s="432">
        <v>46111</v>
      </c>
      <c r="O389" s="430" t="s">
        <v>132</v>
      </c>
      <c r="P389" s="430" t="s">
        <v>1905</v>
      </c>
      <c r="Q389" s="430" t="s">
        <v>1906</v>
      </c>
      <c r="R389" s="431" t="str">
        <f>_xlfn.XLOOKUP(PV_DATA[[#This Row],[New Ark SKU]],Table9[New Ark SKU],Table9[Connector],,0)</f>
        <v>EVO2A</v>
      </c>
      <c r="S389" s="442" t="str">
        <f>_xlfn.XLOOKUP(PV_DATA[[#This Row],[New Ark SKU]],Table9[New Ark SKU],Table9[Cable],,0)</f>
        <v>±1400mm</v>
      </c>
      <c r="T389" s="433">
        <v>555</v>
      </c>
      <c r="U389" s="1062">
        <f>2*660</f>
        <v>1320</v>
      </c>
      <c r="V389" s="434">
        <f>PV_DATA[[#This Row],[QUANTITY]]*PV_DATA[[#This Row],[WATT]]/1000000</f>
        <v>0.73260000000000003</v>
      </c>
      <c r="W389" s="435">
        <f>PV_DATA[[#This Row],[QUANTITY]]/PV_DATA[[#This Row],[Qty/Pallet]]</f>
        <v>40</v>
      </c>
      <c r="X389" s="1015">
        <f>PV_DATA[[#This Row],[QUANTITY]]/PV_DATA[[#This Row],[Qty/CT]]</f>
        <v>2</v>
      </c>
      <c r="Y389" s="430" t="s">
        <v>75</v>
      </c>
      <c r="Z389" s="430" t="str">
        <f t="shared" si="3"/>
        <v>COMPLETED</v>
      </c>
      <c r="AA389" s="430" t="s">
        <v>1907</v>
      </c>
      <c r="AB389" s="437">
        <v>46106</v>
      </c>
      <c r="AC389" s="438">
        <f>IF(PV_DATA[[#This Row],[Pick-Up Date]]&lt;&gt;"",_xlfn.ISOWEEKNUM(PV_DATA[[#This Row],[Pick-Up Date]]),"")</f>
        <v>13</v>
      </c>
      <c r="AD389" s="439" t="s">
        <v>1915</v>
      </c>
      <c r="AE389" s="430"/>
      <c r="AF389" s="430" t="s">
        <v>4426</v>
      </c>
      <c r="AG389" s="430" t="s">
        <v>123</v>
      </c>
      <c r="AH389" s="430" t="s">
        <v>124</v>
      </c>
      <c r="AI389" s="437">
        <v>46111</v>
      </c>
      <c r="AJ389" s="437">
        <v>46114</v>
      </c>
      <c r="AK389" s="441">
        <v>46114</v>
      </c>
      <c r="AL389" s="437">
        <v>46163</v>
      </c>
      <c r="AM389" s="437">
        <v>46170</v>
      </c>
      <c r="AN389" s="437">
        <v>46171</v>
      </c>
      <c r="AO389" s="430" t="s">
        <v>402</v>
      </c>
      <c r="AP389" s="430" t="s">
        <v>1725</v>
      </c>
      <c r="AQ389" s="430" t="s">
        <v>80</v>
      </c>
      <c r="AR389" s="430" t="s">
        <v>1916</v>
      </c>
      <c r="AS389" s="430" t="s">
        <v>1917</v>
      </c>
      <c r="AT389" s="482" t="s">
        <v>1917</v>
      </c>
      <c r="AU38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</v>
      </c>
      <c r="AW389" s="437" cm="1">
        <f t="array" ref="AW38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46171</v>
      </c>
      <c r="AX38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89" s="437">
        <f>IF(ISERROR(PV_DATA[[#This Row],[New Ark PO status]]),"",_xlfn.XLOOKUP(PV_DATA[[#This Row],[SPTN-PVHK New Ark PO'#]],New_Ark_Data[Purchase order Number],New_Ark_Data[Estimated time of arrival],"",0))</f>
        <v>46177</v>
      </c>
      <c r="AZ389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89" s="437">
        <f>IFERROR(PV_DATA[[#This Row],[ODP ETA Port]]+PV_DATA[[#This Row],[Customs/Leg3 Assumption]],"n/a")</f>
        <v>46171</v>
      </c>
      <c r="BB389" s="433">
        <f>YEAR(PV_DATA[[#This Row],[ETA for New Ark update]])</f>
        <v>2026</v>
      </c>
      <c r="BC389" s="430">
        <f>MONTH(PV_DATA[[#This Row],[ETA for New Ark update]])</f>
        <v>5</v>
      </c>
      <c r="BD389" s="430">
        <f>IFERROR(_xlfn.ISOWEEKNUM(PV_DATA[[#This Row],[ETA for New Ark update]]),0)</f>
        <v>22</v>
      </c>
      <c r="BE389" s="431">
        <f>_xlfn.XLOOKUP(PV_DATA[[#This Row],[New Ark SKU]],Table9[New Ark SKU],Table9[Total PCS per Pallet],,0)</f>
        <v>33</v>
      </c>
      <c r="BF389" s="431">
        <f>_xlfn.XLOOKUP(PV_DATA[[#This Row],[New Ark SKU]],Table9[New Ark SKU],Table9[Total PCS per 40HQ Container],,0)</f>
        <v>660</v>
      </c>
      <c r="BG389" s="431" t="str">
        <f>_xlfn.XLOOKUP(PV_DATA[[#This Row],[New Ark SKU]],Table9[New Ark SKU],Table9[Back Glass],,0)</f>
        <v>White glazing</v>
      </c>
      <c r="BH389" s="431" t="str">
        <f>_xlfn.XLOOKUP(PV_DATA[[#This Row],[PORT DESTINATION]],Table12[PORT DESTINATION],Table12[Cosco Line],,0)</f>
        <v>AEM</v>
      </c>
      <c r="BJ389" s="430"/>
    </row>
    <row r="390" spans="1:62" hidden="1">
      <c r="A390" s="462" t="s">
        <v>1918</v>
      </c>
      <c r="B390" s="462" t="s">
        <v>111</v>
      </c>
      <c r="C390" s="462" t="str">
        <f>IFERROR(LEFT(PV_DATA[[#This Row],[TCL REFERENCE]],FIND(".",PV_DATA[[#This Row],[TCL REFERENCE]],1)-1),"Main Line")</f>
        <v>26Feb013</v>
      </c>
      <c r="D390" s="462" t="s">
        <v>63</v>
      </c>
      <c r="E390" s="462" t="s">
        <v>144</v>
      </c>
      <c r="F390" s="462" t="str" cm="1">
        <f t="array" ref="F39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90" s="462" t="s">
        <v>402</v>
      </c>
      <c r="H390" s="462" t="s">
        <v>1912</v>
      </c>
      <c r="I390" s="439" t="s">
        <v>869</v>
      </c>
      <c r="J390" s="430" t="s">
        <v>1913</v>
      </c>
      <c r="K390" s="430" t="s">
        <v>1914</v>
      </c>
      <c r="L390" s="430"/>
      <c r="M390" s="430" t="s">
        <v>840</v>
      </c>
      <c r="N390" s="432">
        <v>46111</v>
      </c>
      <c r="O390" s="430" t="s">
        <v>132</v>
      </c>
      <c r="P390" s="430" t="s">
        <v>1905</v>
      </c>
      <c r="Q390" s="430" t="s">
        <v>1906</v>
      </c>
      <c r="R390" s="431" t="str">
        <f>_xlfn.XLOOKUP(PV_DATA[[#This Row],[New Ark SKU]],Table9[New Ark SKU],Table9[Connector],,0)</f>
        <v>EVO2A</v>
      </c>
      <c r="S390" s="442" t="str">
        <f>_xlfn.XLOOKUP(PV_DATA[[#This Row],[New Ark SKU]],Table9[New Ark SKU],Table9[Cable],,0)</f>
        <v>±1400mm</v>
      </c>
      <c r="T390" s="433">
        <v>555</v>
      </c>
      <c r="U390" s="1062">
        <f>2*660</f>
        <v>1320</v>
      </c>
      <c r="V390" s="434">
        <f>PV_DATA[[#This Row],[QUANTITY]]*PV_DATA[[#This Row],[WATT]]/1000000</f>
        <v>0.73260000000000003</v>
      </c>
      <c r="W390" s="435">
        <f>PV_DATA[[#This Row],[QUANTITY]]/PV_DATA[[#This Row],[Qty/Pallet]]</f>
        <v>40</v>
      </c>
      <c r="X390" s="1015">
        <f>PV_DATA[[#This Row],[QUANTITY]]/PV_DATA[[#This Row],[Qty/CT]]</f>
        <v>2</v>
      </c>
      <c r="Y390" s="430" t="s">
        <v>75</v>
      </c>
      <c r="Z390" s="430" t="str">
        <f t="shared" si="3"/>
        <v>COMPLETED</v>
      </c>
      <c r="AA390" s="430" t="s">
        <v>1907</v>
      </c>
      <c r="AB390" s="437">
        <v>46108</v>
      </c>
      <c r="AC390" s="438">
        <f>IF(PV_DATA[[#This Row],[Pick-Up Date]]&lt;&gt;"",_xlfn.ISOWEEKNUM(PV_DATA[[#This Row],[Pick-Up Date]]),"")</f>
        <v>13</v>
      </c>
      <c r="AD390" s="439" t="s">
        <v>1919</v>
      </c>
      <c r="AE390" s="430"/>
      <c r="AF390" s="430" t="s">
        <v>4426</v>
      </c>
      <c r="AG390" s="430" t="s">
        <v>123</v>
      </c>
      <c r="AH390" s="430" t="s">
        <v>124</v>
      </c>
      <c r="AI390" s="437">
        <v>46114</v>
      </c>
      <c r="AJ390" s="437">
        <v>46116</v>
      </c>
      <c r="AK390" s="441">
        <v>46116</v>
      </c>
      <c r="AL390" s="437">
        <v>46156</v>
      </c>
      <c r="AM390" s="437">
        <v>46164</v>
      </c>
      <c r="AN390" s="437">
        <v>46165</v>
      </c>
      <c r="AO390" s="430" t="s">
        <v>402</v>
      </c>
      <c r="AP390" s="430" t="s">
        <v>1920</v>
      </c>
      <c r="AQ390" s="430" t="s">
        <v>80</v>
      </c>
      <c r="AR390" s="430" t="s">
        <v>1921</v>
      </c>
      <c r="AS390" s="430" t="s">
        <v>1922</v>
      </c>
      <c r="AT390" s="482" t="s">
        <v>1922</v>
      </c>
      <c r="AU39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W390" s="437" cm="1">
        <f t="array" ref="AW39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46165</v>
      </c>
      <c r="AX39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90" s="437">
        <f>IF(ISERROR(PV_DATA[[#This Row],[New Ark PO status]]),"",_xlfn.XLOOKUP(PV_DATA[[#This Row],[SPTN-PVHK New Ark PO'#]],New_Ark_Data[Purchase order Number],New_Ark_Data[Estimated time of arrival],"",0))</f>
        <v>46170</v>
      </c>
      <c r="AZ390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90" s="437">
        <f>IFERROR(PV_DATA[[#This Row],[ODP ETA Port]]+PV_DATA[[#This Row],[Customs/Leg3 Assumption]],"n/a")</f>
        <v>46165</v>
      </c>
      <c r="BB390" s="433">
        <f>YEAR(PV_DATA[[#This Row],[ETA for New Ark update]])</f>
        <v>2026</v>
      </c>
      <c r="BC390" s="430">
        <f>MONTH(PV_DATA[[#This Row],[ETA for New Ark update]])</f>
        <v>5</v>
      </c>
      <c r="BD390" s="430">
        <f>IFERROR(_xlfn.ISOWEEKNUM(PV_DATA[[#This Row],[ETA for New Ark update]]),0)</f>
        <v>21</v>
      </c>
      <c r="BE390" s="431">
        <f>_xlfn.XLOOKUP(PV_DATA[[#This Row],[New Ark SKU]],Table9[New Ark SKU],Table9[Total PCS per Pallet],,0)</f>
        <v>33</v>
      </c>
      <c r="BF390" s="431">
        <f>_xlfn.XLOOKUP(PV_DATA[[#This Row],[New Ark SKU]],Table9[New Ark SKU],Table9[Total PCS per 40HQ Container],,0)</f>
        <v>660</v>
      </c>
      <c r="BG390" s="431" t="str">
        <f>_xlfn.XLOOKUP(PV_DATA[[#This Row],[New Ark SKU]],Table9[New Ark SKU],Table9[Back Glass],,0)</f>
        <v>White glazing</v>
      </c>
      <c r="BH390" s="431" t="str">
        <f>_xlfn.XLOOKUP(PV_DATA[[#This Row],[PORT DESTINATION]],Table12[PORT DESTINATION],Table12[Cosco Line],,0)</f>
        <v>AEM</v>
      </c>
      <c r="BJ390" s="430"/>
    </row>
    <row r="391" spans="1:62" ht="10.5" hidden="1">
      <c r="A391" s="462" t="s">
        <v>1923</v>
      </c>
      <c r="B391" s="462" t="s">
        <v>1757</v>
      </c>
      <c r="C391" s="462" t="str">
        <f>IFERROR(LEFT(PV_DATA[[#This Row],[TCL REFERENCE]],FIND(".",PV_DATA[[#This Row],[TCL REFERENCE]],1)-1),"Main Line")</f>
        <v>26Feb019</v>
      </c>
      <c r="D391" s="462" t="s">
        <v>63</v>
      </c>
      <c r="E391" s="462" t="s">
        <v>144</v>
      </c>
      <c r="F391" s="462" t="str" cm="1">
        <f t="array" ref="F39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91" s="462" t="s">
        <v>402</v>
      </c>
      <c r="H391" s="462" t="s">
        <v>1029</v>
      </c>
      <c r="I391" s="439" t="s">
        <v>689</v>
      </c>
      <c r="J391" s="430" t="s">
        <v>1924</v>
      </c>
      <c r="K391" s="430" t="s">
        <v>1925</v>
      </c>
      <c r="L391" s="430"/>
      <c r="M391" s="430" t="s">
        <v>840</v>
      </c>
      <c r="N391" s="432">
        <v>46104</v>
      </c>
      <c r="O391" s="430" t="s">
        <v>70</v>
      </c>
      <c r="P391" s="430" t="s">
        <v>71</v>
      </c>
      <c r="Q391" s="430" t="s">
        <v>72</v>
      </c>
      <c r="R391" s="431" t="str">
        <f>_xlfn.XLOOKUP(PV_DATA[[#This Row],[New Ark SKU]],Table9[New Ark SKU],Table9[Connector],,0)</f>
        <v>EVO2A</v>
      </c>
      <c r="S391" s="442" t="str">
        <f>_xlfn.XLOOKUP(PV_DATA[[#This Row],[New Ark SKU]],Table9[New Ark SKU],Table9[Cable],,0)</f>
        <v>±1200mm</v>
      </c>
      <c r="T391" s="433">
        <v>500</v>
      </c>
      <c r="U391" s="1062">
        <f>864*3</f>
        <v>2592</v>
      </c>
      <c r="V391" s="434">
        <f>PV_DATA[[#This Row],[QUANTITY]]*PV_DATA[[#This Row],[WATT]]/1000000</f>
        <v>1.296</v>
      </c>
      <c r="W391" s="435">
        <f>PV_DATA[[#This Row],[QUANTITY]]/PV_DATA[[#This Row],[Qty/Pallet]]</f>
        <v>72</v>
      </c>
      <c r="X391" s="1015">
        <f>PV_DATA[[#This Row],[QUANTITY]]/PV_DATA[[#This Row],[Qty/CT]]</f>
        <v>3</v>
      </c>
      <c r="Y391" s="430" t="s">
        <v>75</v>
      </c>
      <c r="Z391" s="430" t="str">
        <f t="shared" si="3"/>
        <v>COMPLETED</v>
      </c>
      <c r="AA391" s="430" t="s">
        <v>1926</v>
      </c>
      <c r="AB391" s="437">
        <v>46105</v>
      </c>
      <c r="AC391" s="438">
        <f>IF(PV_DATA[[#This Row],[Pick-Up Date]]&lt;&gt;"",_xlfn.ISOWEEKNUM(PV_DATA[[#This Row],[Pick-Up Date]]),"")</f>
        <v>13</v>
      </c>
      <c r="AD391" s="439" t="s">
        <v>1927</v>
      </c>
      <c r="AE391" s="430"/>
      <c r="AF391" s="430" t="s">
        <v>1762</v>
      </c>
      <c r="AG391" s="430" t="s">
        <v>123</v>
      </c>
      <c r="AH391" s="430" t="s">
        <v>888</v>
      </c>
      <c r="AI391" s="437">
        <v>46108</v>
      </c>
      <c r="AJ391" s="437">
        <v>46109</v>
      </c>
      <c r="AK391" s="441">
        <v>46109</v>
      </c>
      <c r="AL391" s="437">
        <v>46172</v>
      </c>
      <c r="AM391" s="437">
        <v>46172</v>
      </c>
      <c r="AN391" s="437">
        <v>46174</v>
      </c>
      <c r="AO391" s="430" t="s">
        <v>402</v>
      </c>
      <c r="AP391" s="430" t="s">
        <v>1928</v>
      </c>
      <c r="AQ391" s="430" t="s">
        <v>161</v>
      </c>
      <c r="AR391" s="430" t="s">
        <v>1929</v>
      </c>
      <c r="AS391" s="430" t="s">
        <v>1930</v>
      </c>
      <c r="AT391" s="431">
        <v>267777421</v>
      </c>
      <c r="AU39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65</v>
      </c>
      <c r="AW391" s="437" cm="1">
        <f t="array" ref="AW39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46174</v>
      </c>
      <c r="AX39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91" s="437">
        <f>IF(ISERROR(PV_DATA[[#This Row],[New Ark PO status]]),"",_xlfn.XLOOKUP(PV_DATA[[#This Row],[SPTN-PVHK New Ark PO'#]],New_Ark_Data[Purchase order Number],New_Ark_Data[Estimated time of arrival],"",0))</f>
        <v>46185</v>
      </c>
      <c r="AZ391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91" s="437">
        <f>IFERROR(PV_DATA[[#This Row],[ODP ETA Port]]+PV_DATA[[#This Row],[Customs/Leg3 Assumption]],"n/a")</f>
        <v>46174</v>
      </c>
      <c r="BB391" s="433">
        <f>YEAR(PV_DATA[[#This Row],[ETA for New Ark update]])</f>
        <v>2026</v>
      </c>
      <c r="BC391" s="430">
        <f>MONTH(PV_DATA[[#This Row],[ETA for New Ark update]])</f>
        <v>6</v>
      </c>
      <c r="BD391" s="430">
        <f>IFERROR(_xlfn.ISOWEEKNUM(PV_DATA[[#This Row],[ETA for New Ark update]]),0)</f>
        <v>23</v>
      </c>
      <c r="BE391" s="431">
        <f>_xlfn.XLOOKUP(PV_DATA[[#This Row],[New Ark SKU]],Table9[New Ark SKU],Table9[Total PCS per Pallet],,0)</f>
        <v>36</v>
      </c>
      <c r="BF391" s="431">
        <f>_xlfn.XLOOKUP(PV_DATA[[#This Row],[New Ark SKU]],Table9[New Ark SKU],Table9[Total PCS per 40HQ Container],,0)</f>
        <v>864</v>
      </c>
      <c r="BG391" s="431" t="str">
        <f>_xlfn.XLOOKUP(PV_DATA[[#This Row],[New Ark SKU]],Table9[New Ark SKU],Table9[Back Glass],,0)</f>
        <v>Black glazing</v>
      </c>
      <c r="BH391" s="431" t="str">
        <f>_xlfn.XLOOKUP(PV_DATA[[#This Row],[PORT DESTINATION]],Table12[PORT DESTINATION],Table12[Cosco Line],,0)</f>
        <v>AEU</v>
      </c>
      <c r="BJ391" s="430"/>
    </row>
    <row r="392" spans="1:62" ht="10.5" hidden="1">
      <c r="A392" s="462" t="s">
        <v>1931</v>
      </c>
      <c r="B392" s="462" t="s">
        <v>1757</v>
      </c>
      <c r="C392" s="462" t="str">
        <f>IFERROR(LEFT(PV_DATA[[#This Row],[TCL REFERENCE]],FIND(".",PV_DATA[[#This Row],[TCL REFERENCE]],1)-1),"Main Line")</f>
        <v>26Feb019</v>
      </c>
      <c r="D392" s="462" t="s">
        <v>63</v>
      </c>
      <c r="E392" s="462" t="s">
        <v>144</v>
      </c>
      <c r="F392" s="462" t="str" cm="1">
        <f t="array" ref="F39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92" s="462" t="s">
        <v>402</v>
      </c>
      <c r="H392" s="462" t="s">
        <v>1029</v>
      </c>
      <c r="I392" s="439" t="s">
        <v>689</v>
      </c>
      <c r="J392" s="430" t="s">
        <v>1924</v>
      </c>
      <c r="K392" s="430" t="s">
        <v>1925</v>
      </c>
      <c r="L392" s="430"/>
      <c r="M392" s="430" t="s">
        <v>840</v>
      </c>
      <c r="N392" s="432">
        <v>46104</v>
      </c>
      <c r="O392" s="430" t="s">
        <v>70</v>
      </c>
      <c r="P392" s="430" t="s">
        <v>71</v>
      </c>
      <c r="Q392" s="430" t="s">
        <v>72</v>
      </c>
      <c r="R392" s="431" t="str">
        <f>_xlfn.XLOOKUP(PV_DATA[[#This Row],[New Ark SKU]],Table9[New Ark SKU],Table9[Connector],,0)</f>
        <v>EVO2A</v>
      </c>
      <c r="S392" s="442" t="str">
        <f>_xlfn.XLOOKUP(PV_DATA[[#This Row],[New Ark SKU]],Table9[New Ark SKU],Table9[Cable],,0)</f>
        <v>±1200mm</v>
      </c>
      <c r="T392" s="433">
        <v>500</v>
      </c>
      <c r="U392" s="1062">
        <f>864*2</f>
        <v>1728</v>
      </c>
      <c r="V392" s="434">
        <f>PV_DATA[[#This Row],[QUANTITY]]*PV_DATA[[#This Row],[WATT]]/1000000</f>
        <v>0.86399999999999999</v>
      </c>
      <c r="W392" s="435">
        <f>PV_DATA[[#This Row],[QUANTITY]]/PV_DATA[[#This Row],[Qty/Pallet]]</f>
        <v>48</v>
      </c>
      <c r="X392" s="1015">
        <f>PV_DATA[[#This Row],[QUANTITY]]/PV_DATA[[#This Row],[Qty/CT]]</f>
        <v>2</v>
      </c>
      <c r="Y392" s="430" t="s">
        <v>75</v>
      </c>
      <c r="Z392" s="430" t="str">
        <f t="shared" si="3"/>
        <v>COMPLETED</v>
      </c>
      <c r="AA392" s="430" t="s">
        <v>1926</v>
      </c>
      <c r="AB392" s="437">
        <v>46105</v>
      </c>
      <c r="AC392" s="438">
        <f>IF(PV_DATA[[#This Row],[Pick-Up Date]]&lt;&gt;"",_xlfn.ISOWEEKNUM(PV_DATA[[#This Row],[Pick-Up Date]]),"")</f>
        <v>13</v>
      </c>
      <c r="AD392" s="439" t="s">
        <v>1932</v>
      </c>
      <c r="AE392" s="430"/>
      <c r="AF392" s="430" t="s">
        <v>1762</v>
      </c>
      <c r="AG392" s="430" t="s">
        <v>123</v>
      </c>
      <c r="AH392" s="430" t="s">
        <v>888</v>
      </c>
      <c r="AI392" s="437">
        <v>46108</v>
      </c>
      <c r="AJ392" s="437">
        <v>46109</v>
      </c>
      <c r="AK392" s="441">
        <v>46109</v>
      </c>
      <c r="AL392" s="437">
        <v>46172</v>
      </c>
      <c r="AM392" s="437">
        <v>46172</v>
      </c>
      <c r="AN392" s="437">
        <v>46174</v>
      </c>
      <c r="AO392" s="430" t="s">
        <v>402</v>
      </c>
      <c r="AP392" s="430" t="s">
        <v>1928</v>
      </c>
      <c r="AQ392" s="430" t="s">
        <v>161</v>
      </c>
      <c r="AR392" s="430" t="s">
        <v>1929</v>
      </c>
      <c r="AS392" s="430" t="s">
        <v>1930</v>
      </c>
      <c r="AT392" s="431">
        <v>267777421</v>
      </c>
      <c r="AU39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65</v>
      </c>
      <c r="AW392" s="437" cm="1">
        <f t="array" ref="AW39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46174</v>
      </c>
      <c r="AX39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92" s="437">
        <f>IF(ISERROR(PV_DATA[[#This Row],[New Ark PO status]]),"",_xlfn.XLOOKUP(PV_DATA[[#This Row],[SPTN-PVHK New Ark PO'#]],New_Ark_Data[Purchase order Number],New_Ark_Data[Estimated time of arrival],"",0))</f>
        <v>46185</v>
      </c>
      <c r="AZ392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92" s="437">
        <f>IFERROR(PV_DATA[[#This Row],[ODP ETA Port]]+PV_DATA[[#This Row],[Customs/Leg3 Assumption]],"n/a")</f>
        <v>46174</v>
      </c>
      <c r="BB392" s="433">
        <f>YEAR(PV_DATA[[#This Row],[ETA for New Ark update]])</f>
        <v>2026</v>
      </c>
      <c r="BC392" s="430">
        <f>MONTH(PV_DATA[[#This Row],[ETA for New Ark update]])</f>
        <v>6</v>
      </c>
      <c r="BD392" s="430">
        <f>IFERROR(_xlfn.ISOWEEKNUM(PV_DATA[[#This Row],[ETA for New Ark update]]),0)</f>
        <v>23</v>
      </c>
      <c r="BE392" s="431">
        <f>_xlfn.XLOOKUP(PV_DATA[[#This Row],[New Ark SKU]],Table9[New Ark SKU],Table9[Total PCS per Pallet],,0)</f>
        <v>36</v>
      </c>
      <c r="BF392" s="431">
        <f>_xlfn.XLOOKUP(PV_DATA[[#This Row],[New Ark SKU]],Table9[New Ark SKU],Table9[Total PCS per 40HQ Container],,0)</f>
        <v>864</v>
      </c>
      <c r="BG392" s="431" t="str">
        <f>_xlfn.XLOOKUP(PV_DATA[[#This Row],[New Ark SKU]],Table9[New Ark SKU],Table9[Back Glass],,0)</f>
        <v>Black glazing</v>
      </c>
      <c r="BH392" s="431" t="str">
        <f>_xlfn.XLOOKUP(PV_DATA[[#This Row],[PORT DESTINATION]],Table12[PORT DESTINATION],Table12[Cosco Line],,0)</f>
        <v>AEU</v>
      </c>
      <c r="BJ392" s="430"/>
    </row>
    <row r="393" spans="1:62" hidden="1">
      <c r="A393" s="462" t="s">
        <v>1933</v>
      </c>
      <c r="B393" s="462" t="s">
        <v>61</v>
      </c>
      <c r="C393" s="462" t="str">
        <f>IFERROR(LEFT(PV_DATA[[#This Row],[TCL REFERENCE]],FIND(".",PV_DATA[[#This Row],[TCL REFERENCE]],1)-1),"Main Line")</f>
        <v>26Feb022</v>
      </c>
      <c r="D393" s="462" t="s">
        <v>63</v>
      </c>
      <c r="E393" s="462" t="s">
        <v>64</v>
      </c>
      <c r="F393" s="462" t="str" cm="1">
        <f t="array" ref="F39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393" s="462" t="s">
        <v>402</v>
      </c>
      <c r="H393" s="462" t="s">
        <v>67</v>
      </c>
      <c r="I393" s="439" t="s">
        <v>869</v>
      </c>
      <c r="J393" s="430" t="s">
        <v>96</v>
      </c>
      <c r="K393" s="430"/>
      <c r="L393" s="430"/>
      <c r="M393" s="430" t="s">
        <v>68</v>
      </c>
      <c r="N393" s="432">
        <v>46104</v>
      </c>
      <c r="O393" s="430" t="s">
        <v>70</v>
      </c>
      <c r="P393" s="430" t="s">
        <v>204</v>
      </c>
      <c r="Q393" s="430" t="s">
        <v>205</v>
      </c>
      <c r="R393" s="431" t="str">
        <f>_xlfn.XLOOKUP(PV_DATA[[#This Row],[New Ark SKU]],Table9[New Ark SKU],Table9[Connector],,0)</f>
        <v>EVO2A</v>
      </c>
      <c r="S393" s="442" t="str">
        <f>_xlfn.XLOOKUP(PV_DATA[[#This Row],[New Ark SKU]],Table9[New Ark SKU],Table9[Cable],,0)</f>
        <v>±1200mm</v>
      </c>
      <c r="T393" s="433">
        <v>455</v>
      </c>
      <c r="U393" s="1062">
        <v>936</v>
      </c>
      <c r="V393" s="434">
        <f>PV_DATA[[#This Row],[QUANTITY]]*PV_DATA[[#This Row],[WATT]]/1000000</f>
        <v>0.42587999999999998</v>
      </c>
      <c r="W393" s="435">
        <f>PV_DATA[[#This Row],[QUANTITY]]/PV_DATA[[#This Row],[Qty/Pallet]]</f>
        <v>26</v>
      </c>
      <c r="X393" s="1015">
        <f>PV_DATA[[#This Row],[QUANTITY]]/PV_DATA[[#This Row],[Qty/CT]]</f>
        <v>1</v>
      </c>
      <c r="Y393" s="430" t="s">
        <v>951</v>
      </c>
      <c r="Z393" s="430" t="str">
        <f t="shared" si="3"/>
        <v>COMPLETED</v>
      </c>
      <c r="AA393" s="430"/>
      <c r="AB393" s="437">
        <v>46106</v>
      </c>
      <c r="AC393" s="438">
        <f>IF(PV_DATA[[#This Row],[Pick-Up Date]]&lt;&gt;"",_xlfn.ISOWEEKNUM(PV_DATA[[#This Row],[Pick-Up Date]]),"")</f>
        <v>13</v>
      </c>
      <c r="AD393" s="439" t="s">
        <v>1934</v>
      </c>
      <c r="AE393" s="430"/>
      <c r="AF393" s="430" t="s">
        <v>4430</v>
      </c>
      <c r="AG393" s="430" t="s">
        <v>61</v>
      </c>
      <c r="AH393" s="430" t="s">
        <v>78</v>
      </c>
      <c r="AI393" s="437">
        <v>46110</v>
      </c>
      <c r="AJ393" s="437">
        <v>46110</v>
      </c>
      <c r="AK393" s="441">
        <v>46110</v>
      </c>
      <c r="AL393" s="437">
        <v>46168</v>
      </c>
      <c r="AM393" s="437">
        <v>46190</v>
      </c>
      <c r="AN393" s="437">
        <v>46191</v>
      </c>
      <c r="AO393" s="430" t="s">
        <v>402</v>
      </c>
      <c r="AP393" s="430" t="s">
        <v>1936</v>
      </c>
      <c r="AQ393" s="430" t="s">
        <v>80</v>
      </c>
      <c r="AR393" s="430" t="s">
        <v>1937</v>
      </c>
      <c r="AS393" s="430" t="s">
        <v>1938</v>
      </c>
      <c r="AT393" s="482" t="s">
        <v>1938</v>
      </c>
      <c r="AU39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81</v>
      </c>
      <c r="AW393" s="437" cm="1">
        <f t="array" ref="AW39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46191</v>
      </c>
      <c r="AX39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93" s="437">
        <f>IF(ISERROR(PV_DATA[[#This Row],[New Ark PO status]]),"",_xlfn.XLOOKUP(PV_DATA[[#This Row],[SPTN-PVHK New Ark PO'#]],New_Ark_Data[Purchase order Number],New_Ark_Data[Estimated time of arrival],"",0))</f>
        <v>46205</v>
      </c>
      <c r="AZ393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393" s="437">
        <f>IFERROR(PV_DATA[[#This Row],[ODP ETA Port]]+PV_DATA[[#This Row],[Customs/Leg3 Assumption]],"n/a")</f>
        <v>46199</v>
      </c>
      <c r="BB393" s="433">
        <f>YEAR(PV_DATA[[#This Row],[ETA for New Ark update]])</f>
        <v>2026</v>
      </c>
      <c r="BC393" s="430">
        <f>MONTH(PV_DATA[[#This Row],[ETA for New Ark update]])</f>
        <v>6</v>
      </c>
      <c r="BD393" s="430">
        <f>IFERROR(_xlfn.ISOWEEKNUM(PV_DATA[[#This Row],[ETA for New Ark update]]),0)</f>
        <v>26</v>
      </c>
      <c r="BE393" s="431">
        <f>_xlfn.XLOOKUP(PV_DATA[[#This Row],[New Ark SKU]],Table9[New Ark SKU],Table9[Total PCS per Pallet],,0)</f>
        <v>36</v>
      </c>
      <c r="BF393" s="431">
        <f>_xlfn.XLOOKUP(PV_DATA[[#This Row],[New Ark SKU]],Table9[New Ark SKU],Table9[Total PCS per 40HQ Container],,0)</f>
        <v>936</v>
      </c>
      <c r="BG393" s="431" t="str">
        <f>_xlfn.XLOOKUP(PV_DATA[[#This Row],[New Ark SKU]],Table9[New Ark SKU],Table9[Back Glass],,0)</f>
        <v>Transparent</v>
      </c>
      <c r="BH393" s="431" t="str">
        <f>_xlfn.XLOOKUP(PV_DATA[[#This Row],[PORT DESTINATION]],Table12[PORT DESTINATION],Table12[Cosco Line],,0)</f>
        <v>AEM</v>
      </c>
      <c r="BJ393" s="430"/>
    </row>
    <row r="394" spans="1:62" hidden="1">
      <c r="A394" s="462" t="s">
        <v>1939</v>
      </c>
      <c r="B394" s="462" t="s">
        <v>61</v>
      </c>
      <c r="C394" s="462" t="str">
        <f>IFERROR(LEFT(PV_DATA[[#This Row],[TCL REFERENCE]],FIND(".",PV_DATA[[#This Row],[TCL REFERENCE]],1)-1),"Main Line")</f>
        <v>26Feb021</v>
      </c>
      <c r="D394" s="462" t="s">
        <v>63</v>
      </c>
      <c r="E394" s="462" t="s">
        <v>64</v>
      </c>
      <c r="F394" s="462" t="str" cm="1">
        <f t="array" ref="F39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394" s="462" t="s">
        <v>402</v>
      </c>
      <c r="H394" s="462" t="s">
        <v>67</v>
      </c>
      <c r="I394" s="439" t="s">
        <v>869</v>
      </c>
      <c r="J394" s="430" t="s">
        <v>96</v>
      </c>
      <c r="K394" s="430"/>
      <c r="L394" s="430"/>
      <c r="M394" s="430" t="s">
        <v>68</v>
      </c>
      <c r="N394" s="432">
        <v>46104</v>
      </c>
      <c r="O394" s="430" t="s">
        <v>70</v>
      </c>
      <c r="P394" s="430" t="s">
        <v>91</v>
      </c>
      <c r="Q394" s="430" t="s">
        <v>92</v>
      </c>
      <c r="R394" s="431" t="str">
        <f>_xlfn.XLOOKUP(PV_DATA[[#This Row],[New Ark SKU]],Table9[New Ark SKU],Table9[Connector],,0)</f>
        <v>EVO2A</v>
      </c>
      <c r="S394" s="442" t="str">
        <f>_xlfn.XLOOKUP(PV_DATA[[#This Row],[New Ark SKU]],Table9[New Ark SKU],Table9[Cable],,0)</f>
        <v>±1200mm</v>
      </c>
      <c r="T394" s="433">
        <v>450</v>
      </c>
      <c r="U394" s="1062">
        <v>936</v>
      </c>
      <c r="V394" s="434">
        <f>PV_DATA[[#This Row],[QUANTITY]]*PV_DATA[[#This Row],[WATT]]/1000000</f>
        <v>0.42120000000000002</v>
      </c>
      <c r="W394" s="435">
        <f>PV_DATA[[#This Row],[QUANTITY]]/PV_DATA[[#This Row],[Qty/Pallet]]</f>
        <v>26</v>
      </c>
      <c r="X394" s="1015">
        <f>PV_DATA[[#This Row],[QUANTITY]]/PV_DATA[[#This Row],[Qty/CT]]</f>
        <v>1</v>
      </c>
      <c r="Y394" s="430" t="s">
        <v>951</v>
      </c>
      <c r="Z394" s="430" t="str">
        <f t="shared" si="3"/>
        <v>COMPLETED</v>
      </c>
      <c r="AA394" s="430" t="s">
        <v>1907</v>
      </c>
      <c r="AB394" s="437">
        <v>46106</v>
      </c>
      <c r="AC394" s="438">
        <f>IF(PV_DATA[[#This Row],[Pick-Up Date]]&lt;&gt;"",_xlfn.ISOWEEKNUM(PV_DATA[[#This Row],[Pick-Up Date]]),"")</f>
        <v>13</v>
      </c>
      <c r="AD394" s="439" t="s">
        <v>1941</v>
      </c>
      <c r="AE394" s="430"/>
      <c r="AF394" s="430" t="s">
        <v>4430</v>
      </c>
      <c r="AG394" s="430" t="s">
        <v>61</v>
      </c>
      <c r="AH394" s="430" t="s">
        <v>78</v>
      </c>
      <c r="AI394" s="437">
        <v>46110</v>
      </c>
      <c r="AJ394" s="437">
        <v>46110</v>
      </c>
      <c r="AK394" s="441">
        <v>46110</v>
      </c>
      <c r="AL394" s="437">
        <v>46168</v>
      </c>
      <c r="AM394" s="437">
        <v>46190</v>
      </c>
      <c r="AN394" s="437">
        <v>46191</v>
      </c>
      <c r="AO394" s="430" t="s">
        <v>402</v>
      </c>
      <c r="AP394" s="430" t="s">
        <v>1936</v>
      </c>
      <c r="AQ394" s="430" t="s">
        <v>80</v>
      </c>
      <c r="AR394" s="430" t="s">
        <v>1937</v>
      </c>
      <c r="AS394" s="430" t="s">
        <v>1938</v>
      </c>
      <c r="AT394" s="482" t="s">
        <v>1938</v>
      </c>
      <c r="AU39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81</v>
      </c>
      <c r="AW394" s="437" cm="1">
        <f t="array" ref="AW39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46191</v>
      </c>
      <c r="AX39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94" s="437">
        <f>IF(ISERROR(PV_DATA[[#This Row],[New Ark PO status]]),"",_xlfn.XLOOKUP(PV_DATA[[#This Row],[SPTN-PVHK New Ark PO'#]],New_Ark_Data[Purchase order Number],New_Ark_Data[Estimated time of arrival],"",0))</f>
        <v>46205</v>
      </c>
      <c r="AZ394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394" s="437">
        <f>IFERROR(PV_DATA[[#This Row],[ODP ETA Port]]+PV_DATA[[#This Row],[Customs/Leg3 Assumption]],"n/a")</f>
        <v>46199</v>
      </c>
      <c r="BB394" s="433">
        <f>YEAR(PV_DATA[[#This Row],[ETA for New Ark update]])</f>
        <v>2026</v>
      </c>
      <c r="BC394" s="430">
        <f>MONTH(PV_DATA[[#This Row],[ETA for New Ark update]])</f>
        <v>6</v>
      </c>
      <c r="BD394" s="430">
        <f>IFERROR(_xlfn.ISOWEEKNUM(PV_DATA[[#This Row],[ETA for New Ark update]]),0)</f>
        <v>26</v>
      </c>
      <c r="BE394" s="431">
        <f>_xlfn.XLOOKUP(PV_DATA[[#This Row],[New Ark SKU]],Table9[New Ark SKU],Table9[Total PCS per Pallet],,0)</f>
        <v>36</v>
      </c>
      <c r="BF394" s="431">
        <f>_xlfn.XLOOKUP(PV_DATA[[#This Row],[New Ark SKU]],Table9[New Ark SKU],Table9[Total PCS per 40HQ Container],,0)</f>
        <v>936</v>
      </c>
      <c r="BG394" s="431" t="str">
        <f>_xlfn.XLOOKUP(PV_DATA[[#This Row],[New Ark SKU]],Table9[New Ark SKU],Table9[Back Glass],,0)</f>
        <v>Transparent</v>
      </c>
      <c r="BH394" s="431" t="str">
        <f>_xlfn.XLOOKUP(PV_DATA[[#This Row],[PORT DESTINATION]],Table12[PORT DESTINATION],Table12[Cosco Line],,0)</f>
        <v>AEM</v>
      </c>
      <c r="BJ394" s="430"/>
    </row>
    <row r="395" spans="1:62" ht="10.5" hidden="1">
      <c r="A395" s="462" t="s">
        <v>1942</v>
      </c>
      <c r="B395" s="462" t="s">
        <v>1757</v>
      </c>
      <c r="C395" s="462" t="str">
        <f>IFERROR(LEFT(PV_DATA[[#This Row],[TCL REFERENCE]],FIND(".",PV_DATA[[#This Row],[TCL REFERENCE]],1)-1),"Main Line")</f>
        <v>26Feb019</v>
      </c>
      <c r="D395" s="462" t="s">
        <v>63</v>
      </c>
      <c r="E395" s="462" t="s">
        <v>144</v>
      </c>
      <c r="F395" s="462" t="str" cm="1">
        <f t="array" ref="F39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95" s="462" t="s">
        <v>402</v>
      </c>
      <c r="H395" s="462" t="s">
        <v>881</v>
      </c>
      <c r="I395" s="439" t="s">
        <v>689</v>
      </c>
      <c r="J395" s="430" t="s">
        <v>1758</v>
      </c>
      <c r="K395" s="430" t="s">
        <v>1759</v>
      </c>
      <c r="L395" s="430"/>
      <c r="M395" s="430" t="s">
        <v>840</v>
      </c>
      <c r="N395" s="432">
        <v>46090</v>
      </c>
      <c r="O395" s="430" t="s">
        <v>70</v>
      </c>
      <c r="P395" s="730" t="s">
        <v>71</v>
      </c>
      <c r="Q395" s="430" t="s">
        <v>72</v>
      </c>
      <c r="R395" s="431" t="str">
        <f>_xlfn.XLOOKUP(PV_DATA[[#This Row],[New Ark SKU]],Table9[New Ark SKU],Table9[Connector],,0)</f>
        <v>EVO2A</v>
      </c>
      <c r="S395" s="442" t="str">
        <f>_xlfn.XLOOKUP(PV_DATA[[#This Row],[New Ark SKU]],Table9[New Ark SKU],Table9[Cable],,0)</f>
        <v>±1200mm</v>
      </c>
      <c r="T395" s="433">
        <v>500</v>
      </c>
      <c r="U395" s="1062">
        <f>864*3</f>
        <v>2592</v>
      </c>
      <c r="V395" s="434">
        <f>PV_DATA[[#This Row],[QUANTITY]]*PV_DATA[[#This Row],[WATT]]/1000000</f>
        <v>1.296</v>
      </c>
      <c r="W395" s="435">
        <f>PV_DATA[[#This Row],[QUANTITY]]/PV_DATA[[#This Row],[Qty/Pallet]]</f>
        <v>72</v>
      </c>
      <c r="X395" s="1015">
        <f>PV_DATA[[#This Row],[QUANTITY]]/PV_DATA[[#This Row],[Qty/CT]]</f>
        <v>3</v>
      </c>
      <c r="Y395" s="430" t="s">
        <v>75</v>
      </c>
      <c r="Z395" s="430" t="str">
        <f t="shared" si="3"/>
        <v>COMPLETED</v>
      </c>
      <c r="AA395" s="430" t="s">
        <v>1760</v>
      </c>
      <c r="AB395" s="437">
        <v>46117</v>
      </c>
      <c r="AC395" s="438">
        <f>IF(PV_DATA[[#This Row],[Pick-Up Date]]&lt;&gt;"",_xlfn.ISOWEEKNUM(PV_DATA[[#This Row],[Pick-Up Date]]),"")</f>
        <v>14</v>
      </c>
      <c r="AD395" s="439" t="s">
        <v>1943</v>
      </c>
      <c r="AE395" s="430"/>
      <c r="AF395" s="430" t="s">
        <v>1762</v>
      </c>
      <c r="AG395" s="430" t="s">
        <v>123</v>
      </c>
      <c r="AH395" s="430" t="s">
        <v>888</v>
      </c>
      <c r="AI395" s="437">
        <v>46120</v>
      </c>
      <c r="AJ395" s="437">
        <v>46120</v>
      </c>
      <c r="AK395" s="441">
        <v>46120</v>
      </c>
      <c r="AL395" s="437">
        <v>46169</v>
      </c>
      <c r="AM395" s="437">
        <v>46169</v>
      </c>
      <c r="AN395" s="437">
        <v>46169</v>
      </c>
      <c r="AO395" s="430" t="s">
        <v>402</v>
      </c>
      <c r="AP395" s="430" t="s">
        <v>1944</v>
      </c>
      <c r="AQ395" s="430" t="s">
        <v>80</v>
      </c>
      <c r="AR395" s="430" t="s">
        <v>1945</v>
      </c>
      <c r="AS395" s="430" t="s">
        <v>1946</v>
      </c>
      <c r="AT395" s="482" t="s">
        <v>1946</v>
      </c>
      <c r="AU39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W395" s="437" cm="1">
        <f t="array" ref="AW39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46169</v>
      </c>
      <c r="AX39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95" s="437">
        <f>IF(ISERROR(PV_DATA[[#This Row],[New Ark PO status]]),"",_xlfn.XLOOKUP(PV_DATA[[#This Row],[SPTN-PVHK New Ark PO'#]],New_Ark_Data[Purchase order Number],New_Ark_Data[Estimated time of arrival],"",0))</f>
        <v>46183</v>
      </c>
      <c r="AZ395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95" s="437">
        <f>IFERROR(PV_DATA[[#This Row],[ODP ETA Port]]+PV_DATA[[#This Row],[Customs/Leg3 Assumption]],"n/a")</f>
        <v>46169</v>
      </c>
      <c r="BB395" s="433">
        <f>YEAR(PV_DATA[[#This Row],[ETA for New Ark update]])</f>
        <v>2026</v>
      </c>
      <c r="BC395" s="430">
        <f>MONTH(PV_DATA[[#This Row],[ETA for New Ark update]])</f>
        <v>5</v>
      </c>
      <c r="BD395" s="430">
        <f>IFERROR(_xlfn.ISOWEEKNUM(PV_DATA[[#This Row],[ETA for New Ark update]]),0)</f>
        <v>22</v>
      </c>
      <c r="BE395" s="431">
        <f>_xlfn.XLOOKUP(PV_DATA[[#This Row],[New Ark SKU]],Table9[New Ark SKU],Table9[Total PCS per Pallet],,0)</f>
        <v>36</v>
      </c>
      <c r="BF395" s="431">
        <f>_xlfn.XLOOKUP(PV_DATA[[#This Row],[New Ark SKU]],Table9[New Ark SKU],Table9[Total PCS per 40HQ Container],,0)</f>
        <v>864</v>
      </c>
      <c r="BG395" s="431" t="str">
        <f>_xlfn.XLOOKUP(PV_DATA[[#This Row],[New Ark SKU]],Table9[New Ark SKU],Table9[Back Glass],,0)</f>
        <v>Black glazing</v>
      </c>
      <c r="BH395" s="431" t="str">
        <f>_xlfn.XLOOKUP(PV_DATA[[#This Row],[PORT DESTINATION]],Table12[PORT DESTINATION],Table12[Cosco Line],,0)</f>
        <v>AEU</v>
      </c>
      <c r="BJ395" s="430"/>
    </row>
    <row r="396" spans="1:62" ht="10.5" hidden="1">
      <c r="A396" s="462" t="s">
        <v>1947</v>
      </c>
      <c r="B396" s="462" t="s">
        <v>1757</v>
      </c>
      <c r="C396" s="462" t="str">
        <f>IFERROR(LEFT(PV_DATA[[#This Row],[TCL REFERENCE]],FIND(".",PV_DATA[[#This Row],[TCL REFERENCE]],1)-1),"Main Line")</f>
        <v>26Feb020</v>
      </c>
      <c r="D396" s="462" t="s">
        <v>63</v>
      </c>
      <c r="E396" s="462" t="s">
        <v>64</v>
      </c>
      <c r="F396" s="462" t="str" cm="1">
        <f t="array" ref="F39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396" s="462" t="s">
        <v>402</v>
      </c>
      <c r="H396" s="462" t="s">
        <v>451</v>
      </c>
      <c r="I396" s="439" t="s">
        <v>689</v>
      </c>
      <c r="J396" s="430" t="s">
        <v>1832</v>
      </c>
      <c r="K396" s="430"/>
      <c r="L396" s="430"/>
      <c r="M396" s="430" t="s">
        <v>68</v>
      </c>
      <c r="N396" s="432">
        <v>46104</v>
      </c>
      <c r="O396" s="430" t="s">
        <v>70</v>
      </c>
      <c r="P396" s="430" t="s">
        <v>1151</v>
      </c>
      <c r="Q396" s="430" t="s">
        <v>421</v>
      </c>
      <c r="R396" s="431" t="str">
        <f>_xlfn.XLOOKUP(PV_DATA[[#This Row],[New Ark SKU]],Table9[New Ark SKU],Table9[Connector],,0)</f>
        <v>EVO2A</v>
      </c>
      <c r="S396" s="442" t="str">
        <f>_xlfn.XLOOKUP(PV_DATA[[#This Row],[New Ark SKU]],Table9[New Ark SKU],Table9[Cable],,0)</f>
        <v>±1200mm</v>
      </c>
      <c r="T396" s="433">
        <v>505</v>
      </c>
      <c r="U396" s="1062">
        <f>864*2</f>
        <v>1728</v>
      </c>
      <c r="V396" s="434">
        <f>PV_DATA[[#This Row],[QUANTITY]]*PV_DATA[[#This Row],[WATT]]/1000000</f>
        <v>0.87263999999999997</v>
      </c>
      <c r="W396" s="435">
        <f>PV_DATA[[#This Row],[QUANTITY]]/PV_DATA[[#This Row],[Qty/Pallet]]</f>
        <v>48</v>
      </c>
      <c r="X396" s="1015">
        <f>PV_DATA[[#This Row],[QUANTITY]]/PV_DATA[[#This Row],[Qty/CT]]</f>
        <v>2</v>
      </c>
      <c r="Y396" s="430" t="s">
        <v>75</v>
      </c>
      <c r="Z396" s="430" t="str">
        <f t="shared" si="3"/>
        <v>COMPLETED</v>
      </c>
      <c r="AA396" s="430" t="s">
        <v>1883</v>
      </c>
      <c r="AB396" s="437">
        <v>46115</v>
      </c>
      <c r="AC396" s="438">
        <f>IF(PV_DATA[[#This Row],[Pick-Up Date]]&lt;&gt;"",_xlfn.ISOWEEKNUM(PV_DATA[[#This Row],[Pick-Up Date]]),"")</f>
        <v>14</v>
      </c>
      <c r="AD396" s="439" t="s">
        <v>1948</v>
      </c>
      <c r="AE396" s="430"/>
      <c r="AF396" s="430" t="s">
        <v>1762</v>
      </c>
      <c r="AG396" s="430" t="s">
        <v>123</v>
      </c>
      <c r="AH396" s="430" t="s">
        <v>456</v>
      </c>
      <c r="AI396" s="437">
        <v>46118</v>
      </c>
      <c r="AJ396" s="437">
        <v>46118</v>
      </c>
      <c r="AK396" s="441">
        <v>46119</v>
      </c>
      <c r="AL396" s="437">
        <v>46155</v>
      </c>
      <c r="AM396" s="437">
        <v>46166</v>
      </c>
      <c r="AN396" s="437">
        <v>46167</v>
      </c>
      <c r="AO396" s="430" t="s">
        <v>402</v>
      </c>
      <c r="AP396" s="430" t="s">
        <v>1949</v>
      </c>
      <c r="AQ396" s="430" t="s">
        <v>80</v>
      </c>
      <c r="AR396" s="430" t="s">
        <v>1950</v>
      </c>
      <c r="AS396" s="430" t="s">
        <v>1951</v>
      </c>
      <c r="AT396" s="482" t="s">
        <v>1951</v>
      </c>
      <c r="AU39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</v>
      </c>
      <c r="AW396" s="437" cm="1">
        <f t="array" ref="AW39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46167</v>
      </c>
      <c r="AX39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96" s="437">
        <f>IF(ISERROR(PV_DATA[[#This Row],[New Ark PO status]]),"",_xlfn.XLOOKUP(PV_DATA[[#This Row],[SPTN-PVHK New Ark PO'#]],New_Ark_Data[Purchase order Number],New_Ark_Data[Estimated time of arrival],"",0))</f>
        <v>46181</v>
      </c>
      <c r="AZ39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396" s="437">
        <f>IFERROR(PV_DATA[[#This Row],[ODP ETA Port]]+PV_DATA[[#This Row],[Customs/Leg3 Assumption]],"n/a")</f>
        <v>46174</v>
      </c>
      <c r="BB396" s="433">
        <f>YEAR(PV_DATA[[#This Row],[ETA for New Ark update]])</f>
        <v>2026</v>
      </c>
      <c r="BC396" s="430">
        <f>MONTH(PV_DATA[[#This Row],[ETA for New Ark update]])</f>
        <v>6</v>
      </c>
      <c r="BD396" s="430">
        <f>IFERROR(_xlfn.ISOWEEKNUM(PV_DATA[[#This Row],[ETA for New Ark update]]),0)</f>
        <v>23</v>
      </c>
      <c r="BE396" s="431">
        <f>_xlfn.XLOOKUP(PV_DATA[[#This Row],[New Ark SKU]],Table9[New Ark SKU],Table9[Total PCS per Pallet],,0)</f>
        <v>36</v>
      </c>
      <c r="BF396" s="431">
        <f>_xlfn.XLOOKUP(PV_DATA[[#This Row],[New Ark SKU]],Table9[New Ark SKU],Table9[Total PCS per 40HQ Container],,0)</f>
        <v>864</v>
      </c>
      <c r="BG396" s="431" t="str">
        <f>_xlfn.XLOOKUP(PV_DATA[[#This Row],[New Ark SKU]],Table9[New Ark SKU],Table9[Back Glass],,0)</f>
        <v>Black glazing</v>
      </c>
      <c r="BH396" s="431" t="str">
        <f>_xlfn.XLOOKUP(PV_DATA[[#This Row],[PORT DESTINATION]],Table12[PORT DESTINATION],Table12[Cosco Line],,0)</f>
        <v>AEU</v>
      </c>
      <c r="BJ396" s="430"/>
    </row>
    <row r="397" spans="1:62" hidden="1">
      <c r="A397" s="462" t="s">
        <v>1952</v>
      </c>
      <c r="B397" s="462" t="s">
        <v>1802</v>
      </c>
      <c r="C397" s="462" t="str">
        <f>IFERROR(LEFT(PV_DATA[[#This Row],[TCL REFERENCE]],FIND(".",PV_DATA[[#This Row],[TCL REFERENCE]],1)-1),"Main Line")</f>
        <v>26Feb034</v>
      </c>
      <c r="D397" s="462" t="s">
        <v>113</v>
      </c>
      <c r="E397" s="462" t="s">
        <v>144</v>
      </c>
      <c r="F397" s="462" t="str" cm="1">
        <f t="array" ref="F39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97" s="462" t="s">
        <v>402</v>
      </c>
      <c r="H397" s="462" t="s">
        <v>1449</v>
      </c>
      <c r="I397" s="439" t="s">
        <v>822</v>
      </c>
      <c r="J397" s="430" t="s">
        <v>1854</v>
      </c>
      <c r="K397" s="430" t="s">
        <v>1805</v>
      </c>
      <c r="L397" s="430"/>
      <c r="M397" s="430" t="s">
        <v>840</v>
      </c>
      <c r="N397" s="432">
        <v>46097</v>
      </c>
      <c r="O397" s="430" t="s">
        <v>70</v>
      </c>
      <c r="P397" s="430" t="s">
        <v>1806</v>
      </c>
      <c r="Q397" s="430" t="s">
        <v>1807</v>
      </c>
      <c r="R397" s="431" t="str">
        <f>_xlfn.XLOOKUP(PV_DATA[[#This Row],[New Ark SKU]],Table9[New Ark SKU],Table9[Connector],,0)</f>
        <v>H4(Com)</v>
      </c>
      <c r="S397" s="442" t="str">
        <f>_xlfn.XLOOKUP(PV_DATA[[#This Row],[New Ark SKU]],Table9[New Ark SKU],Table9[Cable],,0)</f>
        <v>+400mm/-200mm</v>
      </c>
      <c r="T397" s="433">
        <v>720</v>
      </c>
      <c r="U397" s="1062">
        <f>594*3</f>
        <v>1782</v>
      </c>
      <c r="V397" s="434">
        <f>PV_DATA[[#This Row],[QUANTITY]]*PV_DATA[[#This Row],[WATT]]/1000000</f>
        <v>1.28304</v>
      </c>
      <c r="W397" s="435">
        <f>PV_DATA[[#This Row],[QUANTITY]]/PV_DATA[[#This Row],[Qty/Pallet]]</f>
        <v>54</v>
      </c>
      <c r="X397" s="1015">
        <f>PV_DATA[[#This Row],[QUANTITY]]/PV_DATA[[#This Row],[Qty/CT]]</f>
        <v>3</v>
      </c>
      <c r="Y397" s="430" t="s">
        <v>75</v>
      </c>
      <c r="Z397" s="430" t="str">
        <f t="shared" si="3"/>
        <v>COMPLETED</v>
      </c>
      <c r="AA397" s="430" t="s">
        <v>1809</v>
      </c>
      <c r="AB397" s="437">
        <v>46115</v>
      </c>
      <c r="AC397" s="438">
        <f>IF(PV_DATA[[#This Row],[Pick-Up Date]]&lt;&gt;"",_xlfn.ISOWEEKNUM(PV_DATA[[#This Row],[Pick-Up Date]]),"")</f>
        <v>14</v>
      </c>
      <c r="AD397" s="439" t="s">
        <v>1953</v>
      </c>
      <c r="AE397" s="430"/>
      <c r="AF397" s="430" t="s">
        <v>4431</v>
      </c>
      <c r="AG397" s="430" t="s">
        <v>123</v>
      </c>
      <c r="AH397" s="430" t="s">
        <v>105</v>
      </c>
      <c r="AI397" s="437">
        <v>46118</v>
      </c>
      <c r="AJ397" s="437">
        <v>46119</v>
      </c>
      <c r="AK397" s="441">
        <v>46119</v>
      </c>
      <c r="AL397" s="437">
        <v>46155</v>
      </c>
      <c r="AM397" s="437">
        <v>46163</v>
      </c>
      <c r="AN397" s="437">
        <v>46163</v>
      </c>
      <c r="AO397" s="430" t="s">
        <v>402</v>
      </c>
      <c r="AP397" s="430" t="s">
        <v>1949</v>
      </c>
      <c r="AQ397" s="430" t="s">
        <v>80</v>
      </c>
      <c r="AR397" s="430" t="s">
        <v>1954</v>
      </c>
      <c r="AS397" s="430" t="s">
        <v>1955</v>
      </c>
      <c r="AT397" s="482" t="s">
        <v>1955</v>
      </c>
      <c r="AU39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W397" s="437" cm="1">
        <f t="array" ref="AW39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46163</v>
      </c>
      <c r="AX39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97" s="437">
        <f>IF(ISERROR(PV_DATA[[#This Row],[New Ark PO status]]),"",_xlfn.XLOOKUP(PV_DATA[[#This Row],[SPTN-PVHK New Ark PO'#]],New_Ark_Data[Purchase order Number],New_Ark_Data[Estimated time of arrival],"",0))</f>
        <v>46155</v>
      </c>
      <c r="AZ397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97" s="437">
        <f>IFERROR(PV_DATA[[#This Row],[ODP ETA Port]]+PV_DATA[[#This Row],[Customs/Leg3 Assumption]],"n/a")</f>
        <v>46163</v>
      </c>
      <c r="BB397" s="433">
        <f>YEAR(PV_DATA[[#This Row],[ETA for New Ark update]])</f>
        <v>2026</v>
      </c>
      <c r="BC397" s="430">
        <f>MONTH(PV_DATA[[#This Row],[ETA for New Ark update]])</f>
        <v>5</v>
      </c>
      <c r="BD397" s="430">
        <f>IFERROR(_xlfn.ISOWEEKNUM(PV_DATA[[#This Row],[ETA for New Ark update]]),0)</f>
        <v>21</v>
      </c>
      <c r="BE397" s="431">
        <f>_xlfn.XLOOKUP(PV_DATA[[#This Row],[New Ark SKU]],Table9[New Ark SKU],Table9[Total PCS per Pallet],,0)</f>
        <v>33</v>
      </c>
      <c r="BF397" s="431">
        <f>_xlfn.XLOOKUP(PV_DATA[[#This Row],[New Ark SKU]],Table9[New Ark SKU],Table9[Total PCS per 40HQ Container],,0)</f>
        <v>594</v>
      </c>
      <c r="BG397" s="431" t="str">
        <f>_xlfn.XLOOKUP(PV_DATA[[#This Row],[New Ark SKU]],Table9[New Ark SKU],Table9[Back Glass],,0)</f>
        <v>Transparent</v>
      </c>
      <c r="BH397" s="431" t="str">
        <f>_xlfn.XLOOKUP(PV_DATA[[#This Row],[PORT DESTINATION]],Table12[PORT DESTINATION],Table12[Cosco Line],,0)</f>
        <v>AEU</v>
      </c>
      <c r="BJ397" s="430"/>
    </row>
    <row r="398" spans="1:62" hidden="1">
      <c r="A398" s="462" t="s">
        <v>1956</v>
      </c>
      <c r="B398" s="462" t="s">
        <v>1802</v>
      </c>
      <c r="C398" s="462" t="str">
        <f>IFERROR(LEFT(PV_DATA[[#This Row],[TCL REFERENCE]],FIND(".",PV_DATA[[#This Row],[TCL REFERENCE]],1)-1),"Main Line")</f>
        <v>26Feb034</v>
      </c>
      <c r="D398" s="462" t="s">
        <v>113</v>
      </c>
      <c r="E398" s="462" t="s">
        <v>144</v>
      </c>
      <c r="F398" s="462" t="str" cm="1">
        <f t="array" ref="F39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98" s="462" t="s">
        <v>402</v>
      </c>
      <c r="H398" s="462" t="s">
        <v>1449</v>
      </c>
      <c r="I398" s="439" t="s">
        <v>822</v>
      </c>
      <c r="J398" s="430" t="s">
        <v>1957</v>
      </c>
      <c r="K398" s="430" t="s">
        <v>1805</v>
      </c>
      <c r="L398" s="430"/>
      <c r="M398" s="430" t="s">
        <v>840</v>
      </c>
      <c r="N398" s="432">
        <v>46104</v>
      </c>
      <c r="O398" s="430" t="s">
        <v>70</v>
      </c>
      <c r="P398" s="430" t="s">
        <v>1806</v>
      </c>
      <c r="Q398" s="430" t="s">
        <v>1807</v>
      </c>
      <c r="R398" s="431" t="str">
        <f>_xlfn.XLOOKUP(PV_DATA[[#This Row],[New Ark SKU]],Table9[New Ark SKU],Table9[Connector],,0)</f>
        <v>H4(Com)</v>
      </c>
      <c r="S398" s="442" t="str">
        <f>_xlfn.XLOOKUP(PV_DATA[[#This Row],[New Ark SKU]],Table9[New Ark SKU],Table9[Cable],,0)</f>
        <v>+400mm/-200mm</v>
      </c>
      <c r="T398" s="433">
        <v>720</v>
      </c>
      <c r="U398" s="1062">
        <f>594*6</f>
        <v>3564</v>
      </c>
      <c r="V398" s="434">
        <f>PV_DATA[[#This Row],[QUANTITY]]*PV_DATA[[#This Row],[WATT]]/1000000</f>
        <v>2.5660799999999999</v>
      </c>
      <c r="W398" s="435">
        <f>PV_DATA[[#This Row],[QUANTITY]]/PV_DATA[[#This Row],[Qty/Pallet]]</f>
        <v>108</v>
      </c>
      <c r="X398" s="1015">
        <f>PV_DATA[[#This Row],[QUANTITY]]/PV_DATA[[#This Row],[Qty/CT]]</f>
        <v>6</v>
      </c>
      <c r="Y398" s="430" t="s">
        <v>75</v>
      </c>
      <c r="Z398" s="430" t="str">
        <f t="shared" si="3"/>
        <v>COMPLETED</v>
      </c>
      <c r="AA398" s="430" t="s">
        <v>1958</v>
      </c>
      <c r="AB398" s="437">
        <v>46114</v>
      </c>
      <c r="AC398" s="438">
        <f>IF(PV_DATA[[#This Row],[Pick-Up Date]]&lt;&gt;"",_xlfn.ISOWEEKNUM(PV_DATA[[#This Row],[Pick-Up Date]]),"")</f>
        <v>14</v>
      </c>
      <c r="AD398" s="439" t="s">
        <v>1959</v>
      </c>
      <c r="AE398" s="430"/>
      <c r="AF398" s="430" t="s">
        <v>4427</v>
      </c>
      <c r="AG398" s="430" t="s">
        <v>123</v>
      </c>
      <c r="AH398" s="430" t="s">
        <v>105</v>
      </c>
      <c r="AI398" s="437">
        <v>46117</v>
      </c>
      <c r="AJ398" s="437">
        <v>46118</v>
      </c>
      <c r="AK398" s="441">
        <v>46118</v>
      </c>
      <c r="AL398" s="437">
        <v>46154</v>
      </c>
      <c r="AM398" s="437">
        <v>46164</v>
      </c>
      <c r="AN398" s="437">
        <v>46164</v>
      </c>
      <c r="AO398" s="430" t="s">
        <v>402</v>
      </c>
      <c r="AP398" s="430" t="s">
        <v>1960</v>
      </c>
      <c r="AQ398" s="430" t="s">
        <v>80</v>
      </c>
      <c r="AR398" s="430" t="s">
        <v>1961</v>
      </c>
      <c r="AS398" s="430" t="s">
        <v>1962</v>
      </c>
      <c r="AT398" s="482" t="s">
        <v>1962</v>
      </c>
      <c r="AU39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398" s="437" cm="1">
        <f t="array" ref="AW39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46164</v>
      </c>
      <c r="AX39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98" s="437">
        <f>IF(ISERROR(PV_DATA[[#This Row],[New Ark PO status]]),"",_xlfn.XLOOKUP(PV_DATA[[#This Row],[SPTN-PVHK New Ark PO'#]],New_Ark_Data[Purchase order Number],New_Ark_Data[Estimated time of arrival],"",0))</f>
        <v>46154</v>
      </c>
      <c r="AZ398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98" s="437">
        <f>IFERROR(PV_DATA[[#This Row],[ODP ETA Port]]+PV_DATA[[#This Row],[Customs/Leg3 Assumption]],"n/a")</f>
        <v>46164</v>
      </c>
      <c r="BB398" s="433">
        <f>YEAR(PV_DATA[[#This Row],[ETA for New Ark update]])</f>
        <v>2026</v>
      </c>
      <c r="BC398" s="430">
        <f>MONTH(PV_DATA[[#This Row],[ETA for New Ark update]])</f>
        <v>5</v>
      </c>
      <c r="BD398" s="430">
        <f>IFERROR(_xlfn.ISOWEEKNUM(PV_DATA[[#This Row],[ETA for New Ark update]]),0)</f>
        <v>21</v>
      </c>
      <c r="BE398" s="431">
        <f>_xlfn.XLOOKUP(PV_DATA[[#This Row],[New Ark SKU]],Table9[New Ark SKU],Table9[Total PCS per Pallet],,0)</f>
        <v>33</v>
      </c>
      <c r="BF398" s="431">
        <f>_xlfn.XLOOKUP(PV_DATA[[#This Row],[New Ark SKU]],Table9[New Ark SKU],Table9[Total PCS per 40HQ Container],,0)</f>
        <v>594</v>
      </c>
      <c r="BG398" s="431" t="str">
        <f>_xlfn.XLOOKUP(PV_DATA[[#This Row],[New Ark SKU]],Table9[New Ark SKU],Table9[Back Glass],,0)</f>
        <v>Transparent</v>
      </c>
      <c r="BH398" s="431" t="str">
        <f>_xlfn.XLOOKUP(PV_DATA[[#This Row],[PORT DESTINATION]],Table12[PORT DESTINATION],Table12[Cosco Line],,0)</f>
        <v>AEU</v>
      </c>
      <c r="BJ398" s="430"/>
    </row>
    <row r="399" spans="1:62" hidden="1">
      <c r="A399" s="462" t="s">
        <v>1963</v>
      </c>
      <c r="B399" s="462" t="s">
        <v>1802</v>
      </c>
      <c r="C399" s="462" t="str">
        <f>IFERROR(LEFT(PV_DATA[[#This Row],[TCL REFERENCE]],FIND(".",PV_DATA[[#This Row],[TCL REFERENCE]],1)-1),"Main Line")</f>
        <v>26Feb034</v>
      </c>
      <c r="D399" s="462" t="s">
        <v>113</v>
      </c>
      <c r="E399" s="462" t="s">
        <v>144</v>
      </c>
      <c r="F399" s="462" t="str" cm="1">
        <f t="array" ref="F39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399" s="462" t="s">
        <v>402</v>
      </c>
      <c r="H399" s="462" t="s">
        <v>1449</v>
      </c>
      <c r="I399" s="439" t="s">
        <v>822</v>
      </c>
      <c r="J399" s="430" t="s">
        <v>1964</v>
      </c>
      <c r="K399" s="430" t="s">
        <v>1805</v>
      </c>
      <c r="L399" s="430"/>
      <c r="M399" s="430" t="s">
        <v>840</v>
      </c>
      <c r="N399" s="432">
        <v>46104</v>
      </c>
      <c r="O399" s="430" t="s">
        <v>70</v>
      </c>
      <c r="P399" s="430" t="s">
        <v>1806</v>
      </c>
      <c r="Q399" s="430" t="s">
        <v>1807</v>
      </c>
      <c r="R399" s="431" t="str">
        <f>_xlfn.XLOOKUP(PV_DATA[[#This Row],[New Ark SKU]],Table9[New Ark SKU],Table9[Connector],,0)</f>
        <v>H4(Com)</v>
      </c>
      <c r="S399" s="442" t="str">
        <f>_xlfn.XLOOKUP(PV_DATA[[#This Row],[New Ark SKU]],Table9[New Ark SKU],Table9[Cable],,0)</f>
        <v>+400mm/-200mm</v>
      </c>
      <c r="T399" s="433">
        <v>720</v>
      </c>
      <c r="U399" s="1062">
        <f>594*2</f>
        <v>1188</v>
      </c>
      <c r="V399" s="434">
        <f>PV_DATA[[#This Row],[QUANTITY]]*PV_DATA[[#This Row],[WATT]]/1000000</f>
        <v>0.85536000000000001</v>
      </c>
      <c r="W399" s="435">
        <f>PV_DATA[[#This Row],[QUANTITY]]/PV_DATA[[#This Row],[Qty/Pallet]]</f>
        <v>36</v>
      </c>
      <c r="X399" s="1015">
        <f>PV_DATA[[#This Row],[QUANTITY]]/PV_DATA[[#This Row],[Qty/CT]]</f>
        <v>2</v>
      </c>
      <c r="Y399" s="430" t="s">
        <v>75</v>
      </c>
      <c r="Z399" s="430" t="str">
        <f t="shared" si="3"/>
        <v>COMPLETED</v>
      </c>
      <c r="AA399" s="430" t="s">
        <v>1958</v>
      </c>
      <c r="AB399" s="437">
        <v>46114</v>
      </c>
      <c r="AC399" s="438">
        <f>IF(PV_DATA[[#This Row],[Pick-Up Date]]&lt;&gt;"",_xlfn.ISOWEEKNUM(PV_DATA[[#This Row],[Pick-Up Date]]),"")</f>
        <v>14</v>
      </c>
      <c r="AD399" s="439" t="s">
        <v>1965</v>
      </c>
      <c r="AE399" s="430"/>
      <c r="AF399" s="430" t="s">
        <v>4427</v>
      </c>
      <c r="AG399" s="430" t="s">
        <v>123</v>
      </c>
      <c r="AH399" s="430" t="s">
        <v>105</v>
      </c>
      <c r="AI399" s="437">
        <v>46117</v>
      </c>
      <c r="AJ399" s="437">
        <v>46118</v>
      </c>
      <c r="AK399" s="441">
        <v>46118</v>
      </c>
      <c r="AL399" s="437">
        <v>46154</v>
      </c>
      <c r="AM399" s="437">
        <v>46164</v>
      </c>
      <c r="AN399" s="437">
        <v>46164</v>
      </c>
      <c r="AO399" s="430" t="s">
        <v>402</v>
      </c>
      <c r="AP399" s="430" t="s">
        <v>1960</v>
      </c>
      <c r="AQ399" s="430" t="s">
        <v>80</v>
      </c>
      <c r="AR399" s="430" t="s">
        <v>1966</v>
      </c>
      <c r="AS399" s="430" t="s">
        <v>1967</v>
      </c>
      <c r="AT399" s="482" t="s">
        <v>1967</v>
      </c>
      <c r="AU39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399" s="437" cm="1">
        <f t="array" ref="AW39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46164</v>
      </c>
      <c r="AX39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399" s="437">
        <f>IF(ISERROR(PV_DATA[[#This Row],[New Ark PO status]]),"",_xlfn.XLOOKUP(PV_DATA[[#This Row],[SPTN-PVHK New Ark PO'#]],New_Ark_Data[Purchase order Number],New_Ark_Data[Estimated time of arrival],"",0))</f>
        <v>46154</v>
      </c>
      <c r="AZ399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399" s="437">
        <f>IFERROR(PV_DATA[[#This Row],[ODP ETA Port]]+PV_DATA[[#This Row],[Customs/Leg3 Assumption]],"n/a")</f>
        <v>46164</v>
      </c>
      <c r="BB399" s="433">
        <f>YEAR(PV_DATA[[#This Row],[ETA for New Ark update]])</f>
        <v>2026</v>
      </c>
      <c r="BC399" s="430">
        <f>MONTH(PV_DATA[[#This Row],[ETA for New Ark update]])</f>
        <v>5</v>
      </c>
      <c r="BD399" s="430">
        <f>IFERROR(_xlfn.ISOWEEKNUM(PV_DATA[[#This Row],[ETA for New Ark update]]),0)</f>
        <v>21</v>
      </c>
      <c r="BE399" s="431">
        <f>_xlfn.XLOOKUP(PV_DATA[[#This Row],[New Ark SKU]],Table9[New Ark SKU],Table9[Total PCS per Pallet],,0)</f>
        <v>33</v>
      </c>
      <c r="BF399" s="431">
        <f>_xlfn.XLOOKUP(PV_DATA[[#This Row],[New Ark SKU]],Table9[New Ark SKU],Table9[Total PCS per 40HQ Container],,0)</f>
        <v>594</v>
      </c>
      <c r="BG399" s="431" t="str">
        <f>_xlfn.XLOOKUP(PV_DATA[[#This Row],[New Ark SKU]],Table9[New Ark SKU],Table9[Back Glass],,0)</f>
        <v>Transparent</v>
      </c>
      <c r="BH399" s="431" t="str">
        <f>_xlfn.XLOOKUP(PV_DATA[[#This Row],[PORT DESTINATION]],Table12[PORT DESTINATION],Table12[Cosco Line],,0)</f>
        <v>AEU</v>
      </c>
      <c r="BJ399" s="430"/>
    </row>
    <row r="400" spans="1:62" hidden="1">
      <c r="A400" s="462" t="s">
        <v>1968</v>
      </c>
      <c r="B400" s="462" t="s">
        <v>1802</v>
      </c>
      <c r="C400" s="462" t="str">
        <f>IFERROR(LEFT(PV_DATA[[#This Row],[TCL REFERENCE]],FIND(".",PV_DATA[[#This Row],[TCL REFERENCE]],1)-1),"Main Line")</f>
        <v>26Feb034</v>
      </c>
      <c r="D400" s="462" t="s">
        <v>113</v>
      </c>
      <c r="E400" s="462" t="s">
        <v>144</v>
      </c>
      <c r="F400" s="462" t="str" cm="1">
        <f t="array" ref="F40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400" s="462" t="s">
        <v>402</v>
      </c>
      <c r="H400" s="462" t="s">
        <v>1449</v>
      </c>
      <c r="I400" s="439" t="s">
        <v>822</v>
      </c>
      <c r="J400" s="430" t="s">
        <v>1957</v>
      </c>
      <c r="K400" s="430" t="s">
        <v>1805</v>
      </c>
      <c r="L400" s="430"/>
      <c r="M400" s="430" t="s">
        <v>840</v>
      </c>
      <c r="N400" s="432">
        <v>46104</v>
      </c>
      <c r="O400" s="430" t="s">
        <v>70</v>
      </c>
      <c r="P400" s="430" t="s">
        <v>1806</v>
      </c>
      <c r="Q400" s="430" t="s">
        <v>1807</v>
      </c>
      <c r="R400" s="431" t="str">
        <f>_xlfn.XLOOKUP(PV_DATA[[#This Row],[New Ark SKU]],Table9[New Ark SKU],Table9[Connector],,0)</f>
        <v>H4(Com)</v>
      </c>
      <c r="S400" s="442" t="str">
        <f>_xlfn.XLOOKUP(PV_DATA[[#This Row],[New Ark SKU]],Table9[New Ark SKU],Table9[Cable],,0)</f>
        <v>+400mm/-200mm</v>
      </c>
      <c r="T400" s="433">
        <v>720</v>
      </c>
      <c r="U400" s="1062">
        <f>594*3</f>
        <v>1782</v>
      </c>
      <c r="V400" s="434">
        <f>PV_DATA[[#This Row],[QUANTITY]]*PV_DATA[[#This Row],[WATT]]/1000000</f>
        <v>1.28304</v>
      </c>
      <c r="W400" s="435">
        <f>PV_DATA[[#This Row],[QUANTITY]]/PV_DATA[[#This Row],[Qty/Pallet]]</f>
        <v>54</v>
      </c>
      <c r="X400" s="1015">
        <f>PV_DATA[[#This Row],[QUANTITY]]/PV_DATA[[#This Row],[Qty/CT]]</f>
        <v>3</v>
      </c>
      <c r="Y400" s="430" t="s">
        <v>75</v>
      </c>
      <c r="Z400" s="430" t="str">
        <f t="shared" si="3"/>
        <v>COMPLETED</v>
      </c>
      <c r="AA400" s="430" t="s">
        <v>1958</v>
      </c>
      <c r="AB400" s="437">
        <v>46114</v>
      </c>
      <c r="AC400" s="438">
        <f>IF(PV_DATA[[#This Row],[Pick-Up Date]]&lt;&gt;"",_xlfn.ISOWEEKNUM(PV_DATA[[#This Row],[Pick-Up Date]]),"")</f>
        <v>14</v>
      </c>
      <c r="AD400" s="439" t="s">
        <v>1969</v>
      </c>
      <c r="AE400" s="430"/>
      <c r="AF400" s="430" t="s">
        <v>4427</v>
      </c>
      <c r="AG400" s="430" t="s">
        <v>123</v>
      </c>
      <c r="AH400" s="430" t="s">
        <v>105</v>
      </c>
      <c r="AI400" s="437">
        <v>46117</v>
      </c>
      <c r="AJ400" s="437">
        <v>46118</v>
      </c>
      <c r="AK400" s="441">
        <v>46118</v>
      </c>
      <c r="AL400" s="437">
        <v>46154</v>
      </c>
      <c r="AM400" s="437">
        <v>46164</v>
      </c>
      <c r="AN400" s="437">
        <v>46164</v>
      </c>
      <c r="AO400" s="430" t="s">
        <v>402</v>
      </c>
      <c r="AP400" s="430" t="s">
        <v>1960</v>
      </c>
      <c r="AQ400" s="430" t="s">
        <v>80</v>
      </c>
      <c r="AR400" s="430" t="s">
        <v>1966</v>
      </c>
      <c r="AS400" s="430" t="s">
        <v>1967</v>
      </c>
      <c r="AT400" s="482" t="s">
        <v>1967</v>
      </c>
      <c r="AU40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400" s="437" cm="1">
        <f t="array" ref="AW40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46164</v>
      </c>
      <c r="AX40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00" s="437">
        <f>IF(ISERROR(PV_DATA[[#This Row],[New Ark PO status]]),"",_xlfn.XLOOKUP(PV_DATA[[#This Row],[SPTN-PVHK New Ark PO'#]],New_Ark_Data[Purchase order Number],New_Ark_Data[Estimated time of arrival],"",0))</f>
        <v>46168</v>
      </c>
      <c r="AZ400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400" s="437">
        <f>IFERROR(PV_DATA[[#This Row],[ODP ETA Port]]+PV_DATA[[#This Row],[Customs/Leg3 Assumption]],"n/a")</f>
        <v>46164</v>
      </c>
      <c r="BB400" s="433">
        <f>YEAR(PV_DATA[[#This Row],[ETA for New Ark update]])</f>
        <v>2026</v>
      </c>
      <c r="BC400" s="430">
        <f>MONTH(PV_DATA[[#This Row],[ETA for New Ark update]])</f>
        <v>5</v>
      </c>
      <c r="BD400" s="430">
        <f>IFERROR(_xlfn.ISOWEEKNUM(PV_DATA[[#This Row],[ETA for New Ark update]]),0)</f>
        <v>21</v>
      </c>
      <c r="BE400" s="431">
        <f>_xlfn.XLOOKUP(PV_DATA[[#This Row],[New Ark SKU]],Table9[New Ark SKU],Table9[Total PCS per Pallet],,0)</f>
        <v>33</v>
      </c>
      <c r="BF400" s="431">
        <f>_xlfn.XLOOKUP(PV_DATA[[#This Row],[New Ark SKU]],Table9[New Ark SKU],Table9[Total PCS per 40HQ Container],,0)</f>
        <v>594</v>
      </c>
      <c r="BG400" s="431" t="str">
        <f>_xlfn.XLOOKUP(PV_DATA[[#This Row],[New Ark SKU]],Table9[New Ark SKU],Table9[Back Glass],,0)</f>
        <v>Transparent</v>
      </c>
      <c r="BH400" s="431" t="str">
        <f>_xlfn.XLOOKUP(PV_DATA[[#This Row],[PORT DESTINATION]],Table12[PORT DESTINATION],Table12[Cosco Line],,0)</f>
        <v>AEU</v>
      </c>
      <c r="BJ400" s="430"/>
    </row>
    <row r="401" spans="1:62" hidden="1">
      <c r="A401" s="462" t="s">
        <v>1970</v>
      </c>
      <c r="B401" s="462" t="s">
        <v>1802</v>
      </c>
      <c r="C401" s="462" t="str">
        <f>IFERROR(LEFT(PV_DATA[[#This Row],[TCL REFERENCE]],FIND(".",PV_DATA[[#This Row],[TCL REFERENCE]],1)-1),"Main Line")</f>
        <v>26Feb034</v>
      </c>
      <c r="D401" s="462" t="s">
        <v>113</v>
      </c>
      <c r="E401" s="462" t="s">
        <v>144</v>
      </c>
      <c r="F401" s="462" t="str" cm="1">
        <f t="array" ref="F40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401" s="462" t="s">
        <v>402</v>
      </c>
      <c r="H401" s="462" t="s">
        <v>1449</v>
      </c>
      <c r="I401" s="439" t="s">
        <v>822</v>
      </c>
      <c r="J401" s="430" t="s">
        <v>1964</v>
      </c>
      <c r="K401" s="430" t="s">
        <v>1805</v>
      </c>
      <c r="L401" s="430"/>
      <c r="M401" s="430" t="s">
        <v>840</v>
      </c>
      <c r="N401" s="432">
        <v>46104</v>
      </c>
      <c r="O401" s="430" t="s">
        <v>70</v>
      </c>
      <c r="P401" s="430" t="s">
        <v>1806</v>
      </c>
      <c r="Q401" s="430" t="s">
        <v>1807</v>
      </c>
      <c r="R401" s="431" t="str">
        <f>_xlfn.XLOOKUP(PV_DATA[[#This Row],[New Ark SKU]],Table9[New Ark SKU],Table9[Connector],,0)</f>
        <v>H4(Com)</v>
      </c>
      <c r="S401" s="442" t="str">
        <f>_xlfn.XLOOKUP(PV_DATA[[#This Row],[New Ark SKU]],Table9[New Ark SKU],Table9[Cable],,0)</f>
        <v>+400mm/-200mm</v>
      </c>
      <c r="T401" s="433">
        <v>720</v>
      </c>
      <c r="U401" s="1062">
        <f>594*1</f>
        <v>594</v>
      </c>
      <c r="V401" s="434">
        <f>PV_DATA[[#This Row],[QUANTITY]]*PV_DATA[[#This Row],[WATT]]/1000000</f>
        <v>0.42768</v>
      </c>
      <c r="W401" s="435">
        <f>PV_DATA[[#This Row],[QUANTITY]]/PV_DATA[[#This Row],[Qty/Pallet]]</f>
        <v>18</v>
      </c>
      <c r="X401" s="1015">
        <f>PV_DATA[[#This Row],[QUANTITY]]/PV_DATA[[#This Row],[Qty/CT]]</f>
        <v>1</v>
      </c>
      <c r="Y401" s="430" t="s">
        <v>75</v>
      </c>
      <c r="Z401" s="430" t="str">
        <f t="shared" si="3"/>
        <v>COMPLETED</v>
      </c>
      <c r="AA401" s="430" t="s">
        <v>1958</v>
      </c>
      <c r="AB401" s="437">
        <v>46113</v>
      </c>
      <c r="AC401" s="438">
        <f>IF(PV_DATA[[#This Row],[Pick-Up Date]]&lt;&gt;"",_xlfn.ISOWEEKNUM(PV_DATA[[#This Row],[Pick-Up Date]]),"")</f>
        <v>14</v>
      </c>
      <c r="AD401" s="439" t="s">
        <v>1971</v>
      </c>
      <c r="AE401" s="430"/>
      <c r="AF401" s="430" t="s">
        <v>4427</v>
      </c>
      <c r="AG401" s="430" t="s">
        <v>123</v>
      </c>
      <c r="AH401" s="430" t="s">
        <v>105</v>
      </c>
      <c r="AI401" s="437">
        <v>46116</v>
      </c>
      <c r="AJ401" s="437">
        <v>46117</v>
      </c>
      <c r="AK401" s="441">
        <v>46117</v>
      </c>
      <c r="AL401" s="437">
        <v>46158</v>
      </c>
      <c r="AM401" s="437">
        <v>46159</v>
      </c>
      <c r="AN401" s="437">
        <v>46159</v>
      </c>
      <c r="AO401" s="430" t="s">
        <v>402</v>
      </c>
      <c r="AP401" s="430" t="s">
        <v>1972</v>
      </c>
      <c r="AQ401" s="430" t="s">
        <v>80</v>
      </c>
      <c r="AR401" s="430" t="s">
        <v>1973</v>
      </c>
      <c r="AS401" s="430" t="s">
        <v>1974</v>
      </c>
      <c r="AT401" s="482" t="s">
        <v>1974</v>
      </c>
      <c r="AU40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</v>
      </c>
      <c r="AW401" s="437" cm="1">
        <f t="array" ref="AW40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46159</v>
      </c>
      <c r="AX40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01" s="437">
        <f>IF(ISERROR(PV_DATA[[#This Row],[New Ark PO status]]),"",_xlfn.XLOOKUP(PV_DATA[[#This Row],[SPTN-PVHK New Ark PO'#]],New_Ark_Data[Purchase order Number],New_Ark_Data[Estimated time of arrival],"",0))</f>
        <v>46157</v>
      </c>
      <c r="AZ401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401" s="437">
        <f>IFERROR(PV_DATA[[#This Row],[ODP ETA Port]]+PV_DATA[[#This Row],[Customs/Leg3 Assumption]],"n/a")</f>
        <v>46159</v>
      </c>
      <c r="BB401" s="433">
        <f>YEAR(PV_DATA[[#This Row],[ETA for New Ark update]])</f>
        <v>2026</v>
      </c>
      <c r="BC401" s="430">
        <f>MONTH(PV_DATA[[#This Row],[ETA for New Ark update]])</f>
        <v>5</v>
      </c>
      <c r="BD401" s="430">
        <f>IFERROR(_xlfn.ISOWEEKNUM(PV_DATA[[#This Row],[ETA for New Ark update]]),0)</f>
        <v>20</v>
      </c>
      <c r="BE401" s="431">
        <f>_xlfn.XLOOKUP(PV_DATA[[#This Row],[New Ark SKU]],Table9[New Ark SKU],Table9[Total PCS per Pallet],,0)</f>
        <v>33</v>
      </c>
      <c r="BF401" s="431">
        <f>_xlfn.XLOOKUP(PV_DATA[[#This Row],[New Ark SKU]],Table9[New Ark SKU],Table9[Total PCS per 40HQ Container],,0)</f>
        <v>594</v>
      </c>
      <c r="BG401" s="431" t="str">
        <f>_xlfn.XLOOKUP(PV_DATA[[#This Row],[New Ark SKU]],Table9[New Ark SKU],Table9[Back Glass],,0)</f>
        <v>Transparent</v>
      </c>
      <c r="BH401" s="431" t="str">
        <f>_xlfn.XLOOKUP(PV_DATA[[#This Row],[PORT DESTINATION]],Table12[PORT DESTINATION],Table12[Cosco Line],,0)</f>
        <v>AEU</v>
      </c>
      <c r="BJ401" s="430"/>
    </row>
    <row r="402" spans="1:62" hidden="1">
      <c r="A402" s="462" t="s">
        <v>1975</v>
      </c>
      <c r="B402" s="462" t="s">
        <v>111</v>
      </c>
      <c r="C402" s="462" t="str">
        <f>IFERROR(LEFT(PV_DATA[[#This Row],[TCL REFERENCE]],FIND(".",PV_DATA[[#This Row],[TCL REFERENCE]],1)-1),"Main Line")</f>
        <v>26Feb006</v>
      </c>
      <c r="D402" s="462" t="s">
        <v>63</v>
      </c>
      <c r="E402" s="462" t="s">
        <v>64</v>
      </c>
      <c r="F402" s="462" t="str" cm="1">
        <f t="array" ref="F40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402" s="462" t="s">
        <v>402</v>
      </c>
      <c r="H402" s="462" t="s">
        <v>311</v>
      </c>
      <c r="I402" s="439" t="s">
        <v>882</v>
      </c>
      <c r="J402" s="430" t="s">
        <v>96</v>
      </c>
      <c r="K402" s="430"/>
      <c r="L402" s="430"/>
      <c r="M402" s="430" t="s">
        <v>68</v>
      </c>
      <c r="N402" s="432">
        <v>46111</v>
      </c>
      <c r="O402" s="430" t="s">
        <v>170</v>
      </c>
      <c r="P402" s="430" t="s">
        <v>1977</v>
      </c>
      <c r="Q402" s="430" t="s">
        <v>1978</v>
      </c>
      <c r="R402" s="431" t="str">
        <f>_xlfn.XLOOKUP(PV_DATA[[#This Row],[New Ark SKU]],Table9[New Ark SKU],Table9[Connector],,0)</f>
        <v>EVO2A</v>
      </c>
      <c r="S402" s="442" t="str">
        <f>_xlfn.XLOOKUP(PV_DATA[[#This Row],[New Ark SKU]],Table9[New Ark SKU],Table9[Cable],,0)</f>
        <v>±1400mm</v>
      </c>
      <c r="T402" s="433">
        <v>560</v>
      </c>
      <c r="U402" s="1062">
        <v>3300</v>
      </c>
      <c r="V402" s="434">
        <f>PV_DATA[[#This Row],[QUANTITY]]*PV_DATA[[#This Row],[WATT]]/1000000</f>
        <v>1.8480000000000001</v>
      </c>
      <c r="W402" s="435">
        <f>PV_DATA[[#This Row],[QUANTITY]]/PV_DATA[[#This Row],[Qty/Pallet]]</f>
        <v>100</v>
      </c>
      <c r="X402" s="1015">
        <f>PV_DATA[[#This Row],[QUANTITY]]/PV_DATA[[#This Row],[Qty/CT]]</f>
        <v>5</v>
      </c>
      <c r="Y402" s="430" t="s">
        <v>75</v>
      </c>
      <c r="Z402" s="430" t="str">
        <f t="shared" si="3"/>
        <v>COMPLETED</v>
      </c>
      <c r="AA402" s="430"/>
      <c r="AB402" s="437">
        <v>46113</v>
      </c>
      <c r="AC402" s="438">
        <f>IF(PV_DATA[[#This Row],[Pick-Up Date]]&lt;&gt;"",_xlfn.ISOWEEKNUM(PV_DATA[[#This Row],[Pick-Up Date]]),"")</f>
        <v>14</v>
      </c>
      <c r="AD402" s="439" t="s">
        <v>1979</v>
      </c>
      <c r="AE402" s="430"/>
      <c r="AF402" s="430" t="s">
        <v>4427</v>
      </c>
      <c r="AG402" s="430" t="s">
        <v>123</v>
      </c>
      <c r="AH402" s="430" t="s">
        <v>314</v>
      </c>
      <c r="AI402" s="437">
        <v>46115</v>
      </c>
      <c r="AJ402" s="437">
        <v>46119</v>
      </c>
      <c r="AK402" s="441">
        <v>46119</v>
      </c>
      <c r="AL402" s="437">
        <v>46162</v>
      </c>
      <c r="AM402" s="437">
        <v>46169</v>
      </c>
      <c r="AN402" s="437">
        <v>46169</v>
      </c>
      <c r="AO402" s="430" t="s">
        <v>402</v>
      </c>
      <c r="AP402" s="430" t="s">
        <v>1980</v>
      </c>
      <c r="AQ402" s="430" t="s">
        <v>80</v>
      </c>
      <c r="AR402" s="430" t="s">
        <v>1981</v>
      </c>
      <c r="AS402" s="430" t="s">
        <v>1982</v>
      </c>
      <c r="AT402" s="482" t="s">
        <v>1982</v>
      </c>
      <c r="AU40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402" s="437" cm="1">
        <f t="array" ref="AW40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46169</v>
      </c>
      <c r="AX40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02" s="437">
        <f>IF(ISERROR(PV_DATA[[#This Row],[New Ark PO status]]),"",_xlfn.XLOOKUP(PV_DATA[[#This Row],[SPTN-PVHK New Ark PO'#]],New_Ark_Data[Purchase order Number],New_Ark_Data[Estimated time of arrival],"",0))</f>
        <v>46183</v>
      </c>
      <c r="AZ402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02" s="437">
        <f>IFERROR(PV_DATA[[#This Row],[ODP ETA Port]]+PV_DATA[[#This Row],[Customs/Leg3 Assumption]],"n/a")</f>
        <v>46179</v>
      </c>
      <c r="BB402" s="433">
        <f>YEAR(PV_DATA[[#This Row],[ETA for New Ark update]])</f>
        <v>2026</v>
      </c>
      <c r="BC402" s="430">
        <f>MONTH(PV_DATA[[#This Row],[ETA for New Ark update]])</f>
        <v>6</v>
      </c>
      <c r="BD402" s="430">
        <f>IFERROR(_xlfn.ISOWEEKNUM(PV_DATA[[#This Row],[ETA for New Ark update]]),0)</f>
        <v>23</v>
      </c>
      <c r="BE402" s="431">
        <f>_xlfn.XLOOKUP(PV_DATA[[#This Row],[New Ark SKU]],Table9[New Ark SKU],Table9[Total PCS per Pallet],,0)</f>
        <v>33</v>
      </c>
      <c r="BF402" s="431">
        <f>_xlfn.XLOOKUP(PV_DATA[[#This Row],[New Ark SKU]],Table9[New Ark SKU],Table9[Total PCS per 40HQ Container],,0)</f>
        <v>660</v>
      </c>
      <c r="BG402" s="431" t="str">
        <f>_xlfn.XLOOKUP(PV_DATA[[#This Row],[New Ark SKU]],Table9[New Ark SKU],Table9[Back Glass],,0)</f>
        <v>White glazing</v>
      </c>
      <c r="BH402" s="431" t="str">
        <f>_xlfn.XLOOKUP(PV_DATA[[#This Row],[PORT DESTINATION]],Table12[PORT DESTINATION],Table12[Cosco Line],,0)</f>
        <v>AEM</v>
      </c>
      <c r="BJ402" s="430"/>
    </row>
    <row r="403" spans="1:62" hidden="1">
      <c r="A403" s="462" t="s">
        <v>1983</v>
      </c>
      <c r="B403" s="462" t="s">
        <v>111</v>
      </c>
      <c r="C403" s="462" t="str">
        <f>IFERROR(LEFT(PV_DATA[[#This Row],[TCL REFERENCE]],FIND(".",PV_DATA[[#This Row],[TCL REFERENCE]],1)-1),"Main Line")</f>
        <v>26Feb005</v>
      </c>
      <c r="D403" s="462" t="s">
        <v>63</v>
      </c>
      <c r="E403" s="462" t="s">
        <v>64</v>
      </c>
      <c r="F403" s="462" t="str" cm="1">
        <f t="array" ref="F40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403" s="462" t="s">
        <v>402</v>
      </c>
      <c r="H403" s="462" t="s">
        <v>311</v>
      </c>
      <c r="I403" s="439" t="s">
        <v>1395</v>
      </c>
      <c r="J403" s="430" t="s">
        <v>96</v>
      </c>
      <c r="K403" s="430"/>
      <c r="L403" s="430"/>
      <c r="M403" s="430" t="s">
        <v>68</v>
      </c>
      <c r="N403" s="432">
        <v>46111</v>
      </c>
      <c r="O403" s="430" t="s">
        <v>170</v>
      </c>
      <c r="P403" s="430" t="s">
        <v>171</v>
      </c>
      <c r="Q403" s="430" t="s">
        <v>1731</v>
      </c>
      <c r="R403" s="431" t="str">
        <f>_xlfn.XLOOKUP(PV_DATA[[#This Row],[New Ark SKU]],Table9[New Ark SKU],Table9[Connector],,0)</f>
        <v>EVO2A</v>
      </c>
      <c r="S403" s="442" t="str">
        <f>_xlfn.XLOOKUP(PV_DATA[[#This Row],[New Ark SKU]],Table9[New Ark SKU],Table9[Cable],,0)</f>
        <v>±1400mm</v>
      </c>
      <c r="T403" s="433">
        <v>555</v>
      </c>
      <c r="U403" s="1062">
        <v>1980</v>
      </c>
      <c r="V403" s="434">
        <f>PV_DATA[[#This Row],[QUANTITY]]*PV_DATA[[#This Row],[WATT]]/1000000</f>
        <v>1.0989</v>
      </c>
      <c r="W403" s="435">
        <f>PV_DATA[[#This Row],[QUANTITY]]/PV_DATA[[#This Row],[Qty/Pallet]]</f>
        <v>60</v>
      </c>
      <c r="X403" s="1015">
        <f>PV_DATA[[#This Row],[QUANTITY]]/PV_DATA[[#This Row],[Qty/CT]]</f>
        <v>3</v>
      </c>
      <c r="Y403" s="430" t="s">
        <v>75</v>
      </c>
      <c r="Z403" s="430" t="str">
        <f t="shared" si="3"/>
        <v>COMPLETED</v>
      </c>
      <c r="AA403" s="430"/>
      <c r="AB403" s="437">
        <v>46113</v>
      </c>
      <c r="AC403" s="438">
        <f>IF(PV_DATA[[#This Row],[Pick-Up Date]]&lt;&gt;"",_xlfn.ISOWEEKNUM(PV_DATA[[#This Row],[Pick-Up Date]]),"")</f>
        <v>14</v>
      </c>
      <c r="AD403" s="439" t="s">
        <v>1984</v>
      </c>
      <c r="AE403" s="430"/>
      <c r="AF403" s="430" t="s">
        <v>4427</v>
      </c>
      <c r="AG403" s="430" t="s">
        <v>123</v>
      </c>
      <c r="AH403" s="430" t="s">
        <v>314</v>
      </c>
      <c r="AI403" s="437">
        <v>46115</v>
      </c>
      <c r="AJ403" s="437">
        <v>46119</v>
      </c>
      <c r="AK403" s="441">
        <v>46119</v>
      </c>
      <c r="AL403" s="437">
        <v>46162</v>
      </c>
      <c r="AM403" s="437">
        <v>46169</v>
      </c>
      <c r="AN403" s="437">
        <v>46169</v>
      </c>
      <c r="AO403" s="430" t="s">
        <v>402</v>
      </c>
      <c r="AP403" s="430" t="s">
        <v>1980</v>
      </c>
      <c r="AQ403" s="430" t="s">
        <v>80</v>
      </c>
      <c r="AR403" s="430" t="s">
        <v>1981</v>
      </c>
      <c r="AS403" s="430" t="s">
        <v>1982</v>
      </c>
      <c r="AT403" s="482" t="s">
        <v>1982</v>
      </c>
      <c r="AU40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403" s="437" cm="1">
        <f t="array" ref="AW40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46169</v>
      </c>
      <c r="AX40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03" s="437">
        <f>IF(ISERROR(PV_DATA[[#This Row],[New Ark PO status]]),"",_xlfn.XLOOKUP(PV_DATA[[#This Row],[SPTN-PVHK New Ark PO'#]],New_Ark_Data[Purchase order Number],New_Ark_Data[Estimated time of arrival],"",0))</f>
        <v>46183</v>
      </c>
      <c r="AZ403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03" s="437">
        <f>IFERROR(PV_DATA[[#This Row],[ODP ETA Port]]+PV_DATA[[#This Row],[Customs/Leg3 Assumption]],"n/a")</f>
        <v>46179</v>
      </c>
      <c r="BB403" s="433">
        <f>YEAR(PV_DATA[[#This Row],[ETA for New Ark update]])</f>
        <v>2026</v>
      </c>
      <c r="BC403" s="430">
        <f>MONTH(PV_DATA[[#This Row],[ETA for New Ark update]])</f>
        <v>6</v>
      </c>
      <c r="BD403" s="430">
        <f>IFERROR(_xlfn.ISOWEEKNUM(PV_DATA[[#This Row],[ETA for New Ark update]]),0)</f>
        <v>23</v>
      </c>
      <c r="BE403" s="431">
        <f>_xlfn.XLOOKUP(PV_DATA[[#This Row],[New Ark SKU]],Table9[New Ark SKU],Table9[Total PCS per Pallet],,0)</f>
        <v>33</v>
      </c>
      <c r="BF403" s="431">
        <f>_xlfn.XLOOKUP(PV_DATA[[#This Row],[New Ark SKU]],Table9[New Ark SKU],Table9[Total PCS per 40HQ Container],,0)</f>
        <v>660</v>
      </c>
      <c r="BG403" s="431" t="str">
        <f>_xlfn.XLOOKUP(PV_DATA[[#This Row],[New Ark SKU]],Table9[New Ark SKU],Table9[Back Glass],,0)</f>
        <v>White glazing</v>
      </c>
      <c r="BH403" s="431" t="str">
        <f>_xlfn.XLOOKUP(PV_DATA[[#This Row],[PORT DESTINATION]],Table12[PORT DESTINATION],Table12[Cosco Line],,0)</f>
        <v>AEM</v>
      </c>
      <c r="BJ403" s="430"/>
    </row>
    <row r="404" spans="1:62" hidden="1">
      <c r="A404" s="462" t="s">
        <v>1985</v>
      </c>
      <c r="B404" s="462" t="s">
        <v>111</v>
      </c>
      <c r="C404" s="462" t="str">
        <f>IFERROR(LEFT(PV_DATA[[#This Row],[TCL REFERENCE]],FIND(".",PV_DATA[[#This Row],[TCL REFERENCE]],1)-1),"Main Line")</f>
        <v>26Feb006</v>
      </c>
      <c r="D404" s="462" t="s">
        <v>63</v>
      </c>
      <c r="E404" s="462" t="s">
        <v>64</v>
      </c>
      <c r="F404" s="462" t="str" cm="1">
        <f t="array" ref="F40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404" s="462" t="s">
        <v>402</v>
      </c>
      <c r="H404" s="462" t="s">
        <v>311</v>
      </c>
      <c r="I404" s="439" t="s">
        <v>882</v>
      </c>
      <c r="J404" s="430" t="s">
        <v>96</v>
      </c>
      <c r="K404" s="430"/>
      <c r="L404" s="430"/>
      <c r="M404" s="430" t="s">
        <v>68</v>
      </c>
      <c r="N404" s="432">
        <v>46111</v>
      </c>
      <c r="O404" s="430" t="s">
        <v>170</v>
      </c>
      <c r="P404" s="430" t="s">
        <v>1977</v>
      </c>
      <c r="Q404" s="430" t="s">
        <v>1978</v>
      </c>
      <c r="R404" s="431" t="str">
        <f>_xlfn.XLOOKUP(PV_DATA[[#This Row],[New Ark SKU]],Table9[New Ark SKU],Table9[Connector],,0)</f>
        <v>EVO2A</v>
      </c>
      <c r="S404" s="442" t="str">
        <f>_xlfn.XLOOKUP(PV_DATA[[#This Row],[New Ark SKU]],Table9[New Ark SKU],Table9[Cable],,0)</f>
        <v>±1400mm</v>
      </c>
      <c r="T404" s="433">
        <v>560</v>
      </c>
      <c r="U404" s="1062">
        <f>660*9</f>
        <v>5940</v>
      </c>
      <c r="V404" s="434">
        <f>PV_DATA[[#This Row],[QUANTITY]]*PV_DATA[[#This Row],[WATT]]/1000000</f>
        <v>3.3264</v>
      </c>
      <c r="W404" s="435">
        <f>PV_DATA[[#This Row],[QUANTITY]]/PV_DATA[[#This Row],[Qty/Pallet]]</f>
        <v>180</v>
      </c>
      <c r="X404" s="1015">
        <f>PV_DATA[[#This Row],[QUANTITY]]/PV_DATA[[#This Row],[Qty/CT]]</f>
        <v>9</v>
      </c>
      <c r="Y404" s="430" t="s">
        <v>75</v>
      </c>
      <c r="Z404" s="430" t="str">
        <f t="shared" si="3"/>
        <v>COMPLETED</v>
      </c>
      <c r="AA404" s="430" t="s">
        <v>1986</v>
      </c>
      <c r="AB404" s="437">
        <v>46113</v>
      </c>
      <c r="AC404" s="438">
        <f>IF(PV_DATA[[#This Row],[Pick-Up Date]]&lt;&gt;"",_xlfn.ISOWEEKNUM(PV_DATA[[#This Row],[Pick-Up Date]]),"")</f>
        <v>14</v>
      </c>
      <c r="AD404" s="439" t="s">
        <v>1987</v>
      </c>
      <c r="AE404" s="430"/>
      <c r="AF404" s="430" t="s">
        <v>4427</v>
      </c>
      <c r="AG404" s="430" t="s">
        <v>123</v>
      </c>
      <c r="AH404" s="430" t="s">
        <v>314</v>
      </c>
      <c r="AI404" s="437">
        <v>46116</v>
      </c>
      <c r="AJ404" s="437">
        <v>46119</v>
      </c>
      <c r="AK404" s="441">
        <v>46119</v>
      </c>
      <c r="AL404" s="437">
        <v>46162</v>
      </c>
      <c r="AM404" s="437">
        <v>46169</v>
      </c>
      <c r="AN404" s="437">
        <v>46169</v>
      </c>
      <c r="AO404" s="430" t="s">
        <v>402</v>
      </c>
      <c r="AP404" s="430" t="s">
        <v>1980</v>
      </c>
      <c r="AQ404" s="430" t="s">
        <v>80</v>
      </c>
      <c r="AR404" s="430" t="s">
        <v>1988</v>
      </c>
      <c r="AS404" s="430" t="s">
        <v>1989</v>
      </c>
      <c r="AT404" s="482" t="s">
        <v>1989</v>
      </c>
      <c r="AU40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404" s="437" cm="1">
        <f t="array" ref="AW40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46169</v>
      </c>
      <c r="AX40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04" s="437">
        <f>IF(ISERROR(PV_DATA[[#This Row],[New Ark PO status]]),"",_xlfn.XLOOKUP(PV_DATA[[#This Row],[SPTN-PVHK New Ark PO'#]],New_Ark_Data[Purchase order Number],New_Ark_Data[Estimated time of arrival],"",0))</f>
        <v>46183</v>
      </c>
      <c r="AZ404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04" s="437">
        <f>IFERROR(PV_DATA[[#This Row],[ODP ETA Port]]+PV_DATA[[#This Row],[Customs/Leg3 Assumption]],"n/a")</f>
        <v>46179</v>
      </c>
      <c r="BB404" s="433">
        <f>YEAR(PV_DATA[[#This Row],[ETA for New Ark update]])</f>
        <v>2026</v>
      </c>
      <c r="BC404" s="430">
        <f>MONTH(PV_DATA[[#This Row],[ETA for New Ark update]])</f>
        <v>6</v>
      </c>
      <c r="BD404" s="430">
        <f>IFERROR(_xlfn.ISOWEEKNUM(PV_DATA[[#This Row],[ETA for New Ark update]]),0)</f>
        <v>23</v>
      </c>
      <c r="BE404" s="431">
        <f>_xlfn.XLOOKUP(PV_DATA[[#This Row],[New Ark SKU]],Table9[New Ark SKU],Table9[Total PCS per Pallet],,0)</f>
        <v>33</v>
      </c>
      <c r="BF404" s="431">
        <f>_xlfn.XLOOKUP(PV_DATA[[#This Row],[New Ark SKU]],Table9[New Ark SKU],Table9[Total PCS per 40HQ Container],,0)</f>
        <v>660</v>
      </c>
      <c r="BG404" s="431" t="str">
        <f>_xlfn.XLOOKUP(PV_DATA[[#This Row],[New Ark SKU]],Table9[New Ark SKU],Table9[Back Glass],,0)</f>
        <v>White glazing</v>
      </c>
      <c r="BH404" s="431" t="str">
        <f>_xlfn.XLOOKUP(PV_DATA[[#This Row],[PORT DESTINATION]],Table12[PORT DESTINATION],Table12[Cosco Line],,0)</f>
        <v>AEM</v>
      </c>
      <c r="BJ404" s="430"/>
    </row>
    <row r="405" spans="1:62" hidden="1">
      <c r="A405" s="462" t="s">
        <v>1990</v>
      </c>
      <c r="B405" s="462" t="s">
        <v>111</v>
      </c>
      <c r="C405" s="462" t="str">
        <f>IFERROR(LEFT(PV_DATA[[#This Row],[TCL REFERENCE]],FIND(".",PV_DATA[[#This Row],[TCL REFERENCE]],1)-1),"Main Line")</f>
        <v>26Feb006</v>
      </c>
      <c r="D405" s="462" t="s">
        <v>63</v>
      </c>
      <c r="E405" s="462" t="s">
        <v>64</v>
      </c>
      <c r="F405" s="462" t="str" cm="1">
        <f t="array" ref="F40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05" s="462" t="s">
        <v>402</v>
      </c>
      <c r="H405" s="462" t="s">
        <v>67</v>
      </c>
      <c r="I405" s="439" t="s">
        <v>882</v>
      </c>
      <c r="J405" s="430" t="s">
        <v>69</v>
      </c>
      <c r="K405" s="430"/>
      <c r="L405" s="430"/>
      <c r="M405" s="430" t="s">
        <v>68</v>
      </c>
      <c r="N405" s="432">
        <v>46111</v>
      </c>
      <c r="O405" s="430" t="s">
        <v>170</v>
      </c>
      <c r="P405" s="430" t="s">
        <v>1977</v>
      </c>
      <c r="Q405" s="430" t="s">
        <v>1978</v>
      </c>
      <c r="R405" s="431" t="str">
        <f>_xlfn.XLOOKUP(PV_DATA[[#This Row],[New Ark SKU]],Table9[New Ark SKU],Table9[Connector],,0)</f>
        <v>EVO2A</v>
      </c>
      <c r="S405" s="442" t="str">
        <f>_xlfn.XLOOKUP(PV_DATA[[#This Row],[New Ark SKU]],Table9[New Ark SKU],Table9[Cable],,0)</f>
        <v>±1400mm</v>
      </c>
      <c r="T405" s="433">
        <v>560</v>
      </c>
      <c r="U405" s="1062">
        <v>3267</v>
      </c>
      <c r="V405" s="434">
        <f>PV_DATA[[#This Row],[QUANTITY]]*PV_DATA[[#This Row],[WATT]]/1000000</f>
        <v>1.82952</v>
      </c>
      <c r="W405" s="435">
        <f>PV_DATA[[#This Row],[QUANTITY]]/PV_DATA[[#This Row],[Qty/Pallet]]</f>
        <v>99</v>
      </c>
      <c r="X405" s="1058">
        <f>PV_DATA[[#This Row],[QUANTITY]]/PV_DATA[[#This Row],[Qty/CT]]</f>
        <v>4.95</v>
      </c>
      <c r="Y405" s="430" t="s">
        <v>75</v>
      </c>
      <c r="Z405" s="430" t="str">
        <f t="shared" si="3"/>
        <v>COMPLETED</v>
      </c>
      <c r="AA405" s="430" t="s">
        <v>1991</v>
      </c>
      <c r="AB405" s="437">
        <v>46116</v>
      </c>
      <c r="AC405" s="438">
        <f>IF(PV_DATA[[#This Row],[Pick-Up Date]]&lt;&gt;"",_xlfn.ISOWEEKNUM(PV_DATA[[#This Row],[Pick-Up Date]]),"")</f>
        <v>14</v>
      </c>
      <c r="AD405" s="439" t="s">
        <v>1992</v>
      </c>
      <c r="AE405" s="430"/>
      <c r="AF405" s="430" t="s">
        <v>4427</v>
      </c>
      <c r="AG405" s="430" t="s">
        <v>123</v>
      </c>
      <c r="AH405" s="430" t="s">
        <v>78</v>
      </c>
      <c r="AI405" s="437">
        <v>46119</v>
      </c>
      <c r="AJ405" s="437">
        <v>46120</v>
      </c>
      <c r="AK405" s="441">
        <v>46120</v>
      </c>
      <c r="AL405" s="437">
        <v>46168</v>
      </c>
      <c r="AM405" s="437">
        <v>46166</v>
      </c>
      <c r="AN405" s="437">
        <v>46164</v>
      </c>
      <c r="AO405" s="430" t="s">
        <v>402</v>
      </c>
      <c r="AP405" s="430" t="s">
        <v>1993</v>
      </c>
      <c r="AQ405" s="430" t="s">
        <v>80</v>
      </c>
      <c r="AR405" s="430" t="s">
        <v>1994</v>
      </c>
      <c r="AS405" s="430" t="s">
        <v>1995</v>
      </c>
      <c r="AT405" s="482" t="s">
        <v>1995</v>
      </c>
      <c r="AU40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W405" s="437" cm="1">
        <f t="array" ref="AW40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46164</v>
      </c>
      <c r="AX40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05" s="437">
        <f>IF(ISERROR(PV_DATA[[#This Row],[New Ark PO status]]),"",_xlfn.XLOOKUP(PV_DATA[[#This Row],[SPTN-PVHK New Ark PO'#]],New_Ark_Data[Purchase order Number],New_Ark_Data[Estimated time of arrival],"",0))</f>
        <v>46178</v>
      </c>
      <c r="AZ405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405" s="437">
        <f>IFERROR(PV_DATA[[#This Row],[ODP ETA Port]]+PV_DATA[[#This Row],[Customs/Leg3 Assumption]],"n/a")</f>
        <v>46172</v>
      </c>
      <c r="BB405" s="433">
        <f>YEAR(PV_DATA[[#This Row],[ETA for New Ark update]])</f>
        <v>2026</v>
      </c>
      <c r="BC405" s="430">
        <f>MONTH(PV_DATA[[#This Row],[ETA for New Ark update]])</f>
        <v>5</v>
      </c>
      <c r="BD405" s="430">
        <f>IFERROR(_xlfn.ISOWEEKNUM(PV_DATA[[#This Row],[ETA for New Ark update]]),0)</f>
        <v>22</v>
      </c>
      <c r="BE405" s="431">
        <f>_xlfn.XLOOKUP(PV_DATA[[#This Row],[New Ark SKU]],Table9[New Ark SKU],Table9[Total PCS per Pallet],,0)</f>
        <v>33</v>
      </c>
      <c r="BF405" s="431">
        <f>_xlfn.XLOOKUP(PV_DATA[[#This Row],[New Ark SKU]],Table9[New Ark SKU],Table9[Total PCS per 40HQ Container],,0)</f>
        <v>660</v>
      </c>
      <c r="BG405" s="431" t="str">
        <f>_xlfn.XLOOKUP(PV_DATA[[#This Row],[New Ark SKU]],Table9[New Ark SKU],Table9[Back Glass],,0)</f>
        <v>White glazing</v>
      </c>
      <c r="BH405" s="431" t="str">
        <f>_xlfn.XLOOKUP(PV_DATA[[#This Row],[PORT DESTINATION]],Table12[PORT DESTINATION],Table12[Cosco Line],,0)</f>
        <v>AEM</v>
      </c>
      <c r="BJ405" s="430"/>
    </row>
    <row r="406" spans="1:62" hidden="1">
      <c r="A406" s="462" t="s">
        <v>1996</v>
      </c>
      <c r="B406" s="462" t="s">
        <v>111</v>
      </c>
      <c r="C406" s="462" t="str">
        <f>IFERROR(LEFT(PV_DATA[[#This Row],[TCL REFERENCE]],FIND(".",PV_DATA[[#This Row],[TCL REFERENCE]],1)-1),"Main Line")</f>
        <v>26Feb005</v>
      </c>
      <c r="D406" s="462" t="s">
        <v>63</v>
      </c>
      <c r="E406" s="462" t="s">
        <v>64</v>
      </c>
      <c r="F406" s="462" t="str" cm="1">
        <f t="array" ref="F40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406" s="462" t="s">
        <v>402</v>
      </c>
      <c r="H406" s="462" t="s">
        <v>311</v>
      </c>
      <c r="I406" s="439" t="s">
        <v>1395</v>
      </c>
      <c r="J406" s="430" t="s">
        <v>96</v>
      </c>
      <c r="K406" s="430"/>
      <c r="L406" s="430"/>
      <c r="M406" s="430" t="s">
        <v>68</v>
      </c>
      <c r="N406" s="432">
        <v>46111</v>
      </c>
      <c r="O406" s="430" t="s">
        <v>170</v>
      </c>
      <c r="P406" s="430" t="s">
        <v>171</v>
      </c>
      <c r="Q406" s="430" t="s">
        <v>1731</v>
      </c>
      <c r="R406" s="431" t="str">
        <f>_xlfn.XLOOKUP(PV_DATA[[#This Row],[New Ark SKU]],Table9[New Ark SKU],Table9[Connector],,0)</f>
        <v>EVO2A</v>
      </c>
      <c r="S406" s="442" t="str">
        <f>_xlfn.XLOOKUP(PV_DATA[[#This Row],[New Ark SKU]],Table9[New Ark SKU],Table9[Cable],,0)</f>
        <v>±1400mm</v>
      </c>
      <c r="T406" s="433">
        <v>555</v>
      </c>
      <c r="U406" s="1062">
        <f>660*5</f>
        <v>3300</v>
      </c>
      <c r="V406" s="434">
        <f>PV_DATA[[#This Row],[QUANTITY]]*PV_DATA[[#This Row],[WATT]]/1000000</f>
        <v>1.8314999999999999</v>
      </c>
      <c r="W406" s="435">
        <f>PV_DATA[[#This Row],[QUANTITY]]/PV_DATA[[#This Row],[Qty/Pallet]]</f>
        <v>100</v>
      </c>
      <c r="X406" s="1015">
        <f>PV_DATA[[#This Row],[QUANTITY]]/PV_DATA[[#This Row],[Qty/CT]]</f>
        <v>5</v>
      </c>
      <c r="Y406" s="430" t="s">
        <v>951</v>
      </c>
      <c r="Z406" s="430" t="str">
        <f t="shared" si="3"/>
        <v>COMPLETED</v>
      </c>
      <c r="AA406" s="430" t="s">
        <v>1997</v>
      </c>
      <c r="AB406" s="437">
        <v>46117</v>
      </c>
      <c r="AC406" s="438">
        <f>IF(PV_DATA[[#This Row],[Pick-Up Date]]&lt;&gt;"",_xlfn.ISOWEEKNUM(PV_DATA[[#This Row],[Pick-Up Date]]),"")</f>
        <v>14</v>
      </c>
      <c r="AD406" s="439" t="s">
        <v>1998</v>
      </c>
      <c r="AE406" s="430"/>
      <c r="AF406" s="430" t="s">
        <v>4432</v>
      </c>
      <c r="AG406" s="430" t="s">
        <v>123</v>
      </c>
      <c r="AH406" s="430" t="s">
        <v>1561</v>
      </c>
      <c r="AI406" s="437">
        <v>46124</v>
      </c>
      <c r="AJ406" s="437">
        <v>46125</v>
      </c>
      <c r="AK406" s="441">
        <v>46125</v>
      </c>
      <c r="AL406" s="437">
        <v>46167</v>
      </c>
      <c r="AM406" s="437">
        <v>46182</v>
      </c>
      <c r="AN406" s="437">
        <v>46182</v>
      </c>
      <c r="AO406" s="430" t="s">
        <v>402</v>
      </c>
      <c r="AP406" s="430" t="s">
        <v>2000</v>
      </c>
      <c r="AQ406" s="430" t="s">
        <v>80</v>
      </c>
      <c r="AR406" s="430" t="s">
        <v>2001</v>
      </c>
      <c r="AS406" s="430" t="s">
        <v>2002</v>
      </c>
      <c r="AT406" s="482" t="s">
        <v>2002</v>
      </c>
      <c r="AU40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</v>
      </c>
      <c r="AW406" s="437" cm="1">
        <f t="array" ref="AW40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46182</v>
      </c>
      <c r="AX40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06" s="437">
        <f>IF(ISERROR(PV_DATA[[#This Row],[New Ark PO status]]),"",_xlfn.XLOOKUP(PV_DATA[[#This Row],[SPTN-PVHK New Ark PO'#]],New_Ark_Data[Purchase order Number],New_Ark_Data[Estimated time of arrival],"",0))</f>
        <v>46202</v>
      </c>
      <c r="AZ406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06" s="437">
        <f>IFERROR(PV_DATA[[#This Row],[ODP ETA Port]]+PV_DATA[[#This Row],[Customs/Leg3 Assumption]],"n/a")</f>
        <v>46192</v>
      </c>
      <c r="BB406" s="433">
        <f>YEAR(PV_DATA[[#This Row],[ETA for New Ark update]])</f>
        <v>2026</v>
      </c>
      <c r="BC406" s="430">
        <f>MONTH(PV_DATA[[#This Row],[ETA for New Ark update]])</f>
        <v>6</v>
      </c>
      <c r="BD406" s="430">
        <f>IFERROR(_xlfn.ISOWEEKNUM(PV_DATA[[#This Row],[ETA for New Ark update]]),0)</f>
        <v>25</v>
      </c>
      <c r="BE406" s="431">
        <f>_xlfn.XLOOKUP(PV_DATA[[#This Row],[New Ark SKU]],Table9[New Ark SKU],Table9[Total PCS per Pallet],,0)</f>
        <v>33</v>
      </c>
      <c r="BF406" s="431">
        <f>_xlfn.XLOOKUP(PV_DATA[[#This Row],[New Ark SKU]],Table9[New Ark SKU],Table9[Total PCS per 40HQ Container],,0)</f>
        <v>660</v>
      </c>
      <c r="BG406" s="431" t="str">
        <f>_xlfn.XLOOKUP(PV_DATA[[#This Row],[New Ark SKU]],Table9[New Ark SKU],Table9[Back Glass],,0)</f>
        <v>White glazing</v>
      </c>
      <c r="BH406" s="431" t="str">
        <f>_xlfn.XLOOKUP(PV_DATA[[#This Row],[PORT DESTINATION]],Table12[PORT DESTINATION],Table12[Cosco Line],,0)</f>
        <v>AEM</v>
      </c>
      <c r="BJ406" s="430"/>
    </row>
    <row r="407" spans="1:62" hidden="1">
      <c r="A407" s="462" t="s">
        <v>2003</v>
      </c>
      <c r="B407" s="462" t="s">
        <v>61</v>
      </c>
      <c r="C407" s="462" t="str">
        <f>IFERROR(LEFT(PV_DATA[[#This Row],[TCL REFERENCE]],FIND(".",PV_DATA[[#This Row],[TCL REFERENCE]],1)-1),"Main Line")</f>
        <v>26Feb022</v>
      </c>
      <c r="D407" s="462" t="s">
        <v>63</v>
      </c>
      <c r="E407" s="462" t="s">
        <v>64</v>
      </c>
      <c r="F407" s="462" t="str" cm="1">
        <f t="array" ref="F40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07" s="462" t="s">
        <v>402</v>
      </c>
      <c r="H407" s="462" t="s">
        <v>67</v>
      </c>
      <c r="I407" s="439" t="s">
        <v>2004</v>
      </c>
      <c r="J407" s="430" t="s">
        <v>96</v>
      </c>
      <c r="K407" s="430"/>
      <c r="L407" s="430"/>
      <c r="M407" s="430" t="s">
        <v>68</v>
      </c>
      <c r="N407" s="432">
        <v>46111</v>
      </c>
      <c r="O407" s="430" t="s">
        <v>70</v>
      </c>
      <c r="P407" s="430" t="s">
        <v>204</v>
      </c>
      <c r="Q407" s="430" t="s">
        <v>205</v>
      </c>
      <c r="R407" s="431" t="str">
        <f>_xlfn.XLOOKUP(PV_DATA[[#This Row],[New Ark SKU]],Table9[New Ark SKU],Table9[Connector],,0)</f>
        <v>EVO2A</v>
      </c>
      <c r="S407" s="442" t="str">
        <f>_xlfn.XLOOKUP(PV_DATA[[#This Row],[New Ark SKU]],Table9[New Ark SKU],Table9[Cable],,0)</f>
        <v>±1200mm</v>
      </c>
      <c r="T407" s="433">
        <v>455</v>
      </c>
      <c r="U407" s="1062">
        <f>936*2</f>
        <v>1872</v>
      </c>
      <c r="V407" s="434">
        <f>PV_DATA[[#This Row],[QUANTITY]]*PV_DATA[[#This Row],[WATT]]/1000000</f>
        <v>0.85175999999999996</v>
      </c>
      <c r="W407" s="435">
        <f>PV_DATA[[#This Row],[QUANTITY]]/PV_DATA[[#This Row],[Qty/Pallet]]</f>
        <v>52</v>
      </c>
      <c r="X407" s="1015">
        <f>PV_DATA[[#This Row],[QUANTITY]]/PV_DATA[[#This Row],[Qty/CT]]</f>
        <v>2</v>
      </c>
      <c r="Y407" s="430" t="s">
        <v>75</v>
      </c>
      <c r="Z407" s="430" t="str">
        <f t="shared" si="3"/>
        <v>COMPLETED</v>
      </c>
      <c r="AA407" s="430" t="s">
        <v>1896</v>
      </c>
      <c r="AB407" s="437">
        <v>46111</v>
      </c>
      <c r="AC407" s="438">
        <f>IF(PV_DATA[[#This Row],[Pick-Up Date]]&lt;&gt;"",_xlfn.ISOWEEKNUM(PV_DATA[[#This Row],[Pick-Up Date]]),"")</f>
        <v>14</v>
      </c>
      <c r="AD407" s="439" t="s">
        <v>2005</v>
      </c>
      <c r="AE407" s="430"/>
      <c r="AF407" s="430" t="s">
        <v>4430</v>
      </c>
      <c r="AG407" s="430" t="s">
        <v>61</v>
      </c>
      <c r="AH407" s="430" t="s">
        <v>78</v>
      </c>
      <c r="AI407" s="437">
        <v>46116</v>
      </c>
      <c r="AJ407" s="437">
        <v>46116</v>
      </c>
      <c r="AK407" s="441">
        <v>46117</v>
      </c>
      <c r="AL407" s="437">
        <v>46181</v>
      </c>
      <c r="AM407" s="437">
        <v>46171</v>
      </c>
      <c r="AN407" s="437">
        <v>46175</v>
      </c>
      <c r="AO407" s="430" t="s">
        <v>402</v>
      </c>
      <c r="AP407" s="430" t="s">
        <v>2006</v>
      </c>
      <c r="AQ407" s="430" t="s">
        <v>80</v>
      </c>
      <c r="AR407" s="430" t="s">
        <v>2007</v>
      </c>
      <c r="AS407" s="430" t="s">
        <v>2008</v>
      </c>
      <c r="AT407" s="482" t="s">
        <v>2008</v>
      </c>
      <c r="AU40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W407" s="437" cm="1">
        <f t="array" ref="AW40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46175</v>
      </c>
      <c r="AX40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07" s="437">
        <f>IF(ISERROR(PV_DATA[[#This Row],[New Ark PO status]]),"",_xlfn.XLOOKUP(PV_DATA[[#This Row],[SPTN-PVHK New Ark PO'#]],New_Ark_Data[Purchase order Number],New_Ark_Data[Estimated time of arrival],"",0))</f>
        <v>46188</v>
      </c>
      <c r="AZ407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407" s="437">
        <f>IFERROR(PV_DATA[[#This Row],[ODP ETA Port]]+PV_DATA[[#This Row],[Customs/Leg3 Assumption]],"n/a")</f>
        <v>46183</v>
      </c>
      <c r="BB407" s="433">
        <f>YEAR(PV_DATA[[#This Row],[ETA for New Ark update]])</f>
        <v>2026</v>
      </c>
      <c r="BC407" s="430">
        <f>MONTH(PV_DATA[[#This Row],[ETA for New Ark update]])</f>
        <v>6</v>
      </c>
      <c r="BD407" s="430">
        <f>IFERROR(_xlfn.ISOWEEKNUM(PV_DATA[[#This Row],[ETA for New Ark update]]),0)</f>
        <v>24</v>
      </c>
      <c r="BE407" s="431">
        <f>_xlfn.XLOOKUP(PV_DATA[[#This Row],[New Ark SKU]],Table9[New Ark SKU],Table9[Total PCS per Pallet],,0)</f>
        <v>36</v>
      </c>
      <c r="BF407" s="431">
        <f>_xlfn.XLOOKUP(PV_DATA[[#This Row],[New Ark SKU]],Table9[New Ark SKU],Table9[Total PCS per 40HQ Container],,0)</f>
        <v>936</v>
      </c>
      <c r="BG407" s="431" t="str">
        <f>_xlfn.XLOOKUP(PV_DATA[[#This Row],[New Ark SKU]],Table9[New Ark SKU],Table9[Back Glass],,0)</f>
        <v>Transparent</v>
      </c>
      <c r="BH407" s="431" t="str">
        <f>_xlfn.XLOOKUP(PV_DATA[[#This Row],[PORT DESTINATION]],Table12[PORT DESTINATION],Table12[Cosco Line],,0)</f>
        <v>AEM</v>
      </c>
      <c r="BJ407" s="430"/>
    </row>
    <row r="408" spans="1:62" hidden="1">
      <c r="A408" s="462" t="s">
        <v>2009</v>
      </c>
      <c r="B408" s="462" t="s">
        <v>61</v>
      </c>
      <c r="C408" s="462" t="str">
        <f>IFERROR(LEFT(PV_DATA[[#This Row],[TCL REFERENCE]],FIND(".",PV_DATA[[#This Row],[TCL REFERENCE]],1)-1),"Main Line")</f>
        <v>26Feb022</v>
      </c>
      <c r="D408" s="462" t="s">
        <v>63</v>
      </c>
      <c r="E408" s="462" t="s">
        <v>64</v>
      </c>
      <c r="F408" s="462" t="str" cm="1">
        <f t="array" ref="F40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08" s="462" t="s">
        <v>402</v>
      </c>
      <c r="H408" s="462" t="s">
        <v>67</v>
      </c>
      <c r="I408" s="439" t="s">
        <v>2004</v>
      </c>
      <c r="J408" s="430" t="s">
        <v>96</v>
      </c>
      <c r="K408" s="430"/>
      <c r="L408" s="430"/>
      <c r="M408" s="430" t="s">
        <v>68</v>
      </c>
      <c r="N408" s="432">
        <v>46111</v>
      </c>
      <c r="O408" s="430" t="s">
        <v>70</v>
      </c>
      <c r="P408" s="430" t="s">
        <v>204</v>
      </c>
      <c r="Q408" s="430" t="s">
        <v>205</v>
      </c>
      <c r="R408" s="431" t="str">
        <f>_xlfn.XLOOKUP(PV_DATA[[#This Row],[New Ark SKU]],Table9[New Ark SKU],Table9[Connector],,0)</f>
        <v>EVO2A</v>
      </c>
      <c r="S408" s="442" t="str">
        <f>_xlfn.XLOOKUP(PV_DATA[[#This Row],[New Ark SKU]],Table9[New Ark SKU],Table9[Cable],,0)</f>
        <v>±1200mm</v>
      </c>
      <c r="T408" s="433">
        <v>455</v>
      </c>
      <c r="U408" s="1062">
        <f>936*4</f>
        <v>3744</v>
      </c>
      <c r="V408" s="434">
        <f>PV_DATA[[#This Row],[QUANTITY]]*PV_DATA[[#This Row],[WATT]]/1000000</f>
        <v>1.7035199999999999</v>
      </c>
      <c r="W408" s="435">
        <f>PV_DATA[[#This Row],[QUANTITY]]/PV_DATA[[#This Row],[Qty/Pallet]]</f>
        <v>104</v>
      </c>
      <c r="X408" s="1015">
        <f>PV_DATA[[#This Row],[QUANTITY]]/PV_DATA[[#This Row],[Qty/CT]]</f>
        <v>4</v>
      </c>
      <c r="Y408" s="430" t="s">
        <v>75</v>
      </c>
      <c r="Z408" s="430" t="str">
        <f t="shared" si="3"/>
        <v>COMPLETED</v>
      </c>
      <c r="AA408" s="430" t="s">
        <v>1896</v>
      </c>
      <c r="AB408" s="437">
        <v>46111</v>
      </c>
      <c r="AC408" s="438">
        <f>IF(PV_DATA[[#This Row],[Pick-Up Date]]&lt;&gt;"",_xlfn.ISOWEEKNUM(PV_DATA[[#This Row],[Pick-Up Date]]),"")</f>
        <v>14</v>
      </c>
      <c r="AD408" s="439" t="s">
        <v>2010</v>
      </c>
      <c r="AE408" s="430"/>
      <c r="AF408" s="430" t="s">
        <v>4430</v>
      </c>
      <c r="AG408" s="430" t="s">
        <v>61</v>
      </c>
      <c r="AH408" s="430" t="s">
        <v>78</v>
      </c>
      <c r="AI408" s="437">
        <v>46116</v>
      </c>
      <c r="AJ408" s="437">
        <v>46116</v>
      </c>
      <c r="AK408" s="441">
        <v>46117</v>
      </c>
      <c r="AL408" s="437">
        <v>46181</v>
      </c>
      <c r="AM408" s="437">
        <v>46181</v>
      </c>
      <c r="AN408" s="437">
        <v>46179</v>
      </c>
      <c r="AO408" s="430" t="s">
        <v>402</v>
      </c>
      <c r="AP408" s="430" t="s">
        <v>2006</v>
      </c>
      <c r="AQ408" s="430" t="s">
        <v>80</v>
      </c>
      <c r="AR408" s="430" t="s">
        <v>2011</v>
      </c>
      <c r="AS408" s="430" t="s">
        <v>2012</v>
      </c>
      <c r="AT408" s="482" t="s">
        <v>2012</v>
      </c>
      <c r="AU40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62</v>
      </c>
      <c r="AW408" s="437" cm="1">
        <f t="array" ref="AW40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46179</v>
      </c>
      <c r="AX40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08" s="437">
        <f>IF(ISERROR(PV_DATA[[#This Row],[New Ark PO status]]),"",_xlfn.XLOOKUP(PV_DATA[[#This Row],[SPTN-PVHK New Ark PO'#]],New_Ark_Data[Purchase order Number],New_Ark_Data[Estimated time of arrival],"",0))</f>
        <v>46192</v>
      </c>
      <c r="AZ408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408" s="437">
        <f>IFERROR(PV_DATA[[#This Row],[ODP ETA Port]]+PV_DATA[[#This Row],[Customs/Leg3 Assumption]],"n/a")</f>
        <v>46187</v>
      </c>
      <c r="BB408" s="433">
        <f>YEAR(PV_DATA[[#This Row],[ETA for New Ark update]])</f>
        <v>2026</v>
      </c>
      <c r="BC408" s="430">
        <f>MONTH(PV_DATA[[#This Row],[ETA for New Ark update]])</f>
        <v>6</v>
      </c>
      <c r="BD408" s="430">
        <f>IFERROR(_xlfn.ISOWEEKNUM(PV_DATA[[#This Row],[ETA for New Ark update]]),0)</f>
        <v>24</v>
      </c>
      <c r="BE408" s="431">
        <f>_xlfn.XLOOKUP(PV_DATA[[#This Row],[New Ark SKU]],Table9[New Ark SKU],Table9[Total PCS per Pallet],,0)</f>
        <v>36</v>
      </c>
      <c r="BF408" s="431">
        <f>_xlfn.XLOOKUP(PV_DATA[[#This Row],[New Ark SKU]],Table9[New Ark SKU],Table9[Total PCS per 40HQ Container],,0)</f>
        <v>936</v>
      </c>
      <c r="BG408" s="431" t="str">
        <f>_xlfn.XLOOKUP(PV_DATA[[#This Row],[New Ark SKU]],Table9[New Ark SKU],Table9[Back Glass],,0)</f>
        <v>Transparent</v>
      </c>
      <c r="BH408" s="431" t="str">
        <f>_xlfn.XLOOKUP(PV_DATA[[#This Row],[PORT DESTINATION]],Table12[PORT DESTINATION],Table12[Cosco Line],,0)</f>
        <v>AEM</v>
      </c>
      <c r="BJ408" s="430"/>
    </row>
    <row r="409" spans="1:62" hidden="1">
      <c r="A409" s="462" t="s">
        <v>2013</v>
      </c>
      <c r="B409" s="462" t="s">
        <v>61</v>
      </c>
      <c r="C409" s="462" t="str">
        <f>IFERROR(LEFT(PV_DATA[[#This Row],[TCL REFERENCE]],FIND(".",PV_DATA[[#This Row],[TCL REFERENCE]],1)-1),"Main Line")</f>
        <v>26Feb021</v>
      </c>
      <c r="D409" s="462" t="s">
        <v>63</v>
      </c>
      <c r="E409" s="462" t="s">
        <v>64</v>
      </c>
      <c r="F409" s="462" t="str" cm="1">
        <f t="array" ref="F40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09" s="462" t="s">
        <v>402</v>
      </c>
      <c r="H409" s="462" t="s">
        <v>67</v>
      </c>
      <c r="I409" s="439" t="s">
        <v>882</v>
      </c>
      <c r="J409" s="430" t="s">
        <v>96</v>
      </c>
      <c r="K409" s="463"/>
      <c r="L409" s="463"/>
      <c r="M409" s="430" t="s">
        <v>68</v>
      </c>
      <c r="N409" s="432">
        <v>46111</v>
      </c>
      <c r="O409" s="430" t="s">
        <v>70</v>
      </c>
      <c r="P409" s="430" t="s">
        <v>91</v>
      </c>
      <c r="Q409" s="430" t="s">
        <v>92</v>
      </c>
      <c r="R409" s="431" t="str">
        <f>_xlfn.XLOOKUP(PV_DATA[[#This Row],[New Ark SKU]],Table9[New Ark SKU],Table9[Connector],,0)</f>
        <v>EVO2A</v>
      </c>
      <c r="S409" s="442" t="str">
        <f>_xlfn.XLOOKUP(PV_DATA[[#This Row],[New Ark SKU]],Table9[New Ark SKU],Table9[Cable],,0)</f>
        <v>±1200mm</v>
      </c>
      <c r="T409" s="433">
        <v>450</v>
      </c>
      <c r="U409" s="1062">
        <f>936*1</f>
        <v>936</v>
      </c>
      <c r="V409" s="457">
        <f>PV_DATA[[#This Row],[QUANTITY]]*PV_DATA[[#This Row],[WATT]]/1000000</f>
        <v>0.42120000000000002</v>
      </c>
      <c r="W409" s="435">
        <f>PV_DATA[[#This Row],[QUANTITY]]/PV_DATA[[#This Row],[Qty/Pallet]]</f>
        <v>26</v>
      </c>
      <c r="X409" s="1015">
        <f>PV_DATA[[#This Row],[QUANTITY]]/PV_DATA[[#This Row],[Qty/CT]]</f>
        <v>1</v>
      </c>
      <c r="Y409" s="430" t="s">
        <v>75</v>
      </c>
      <c r="Z409" s="430" t="str">
        <f t="shared" si="3"/>
        <v>COMPLETED</v>
      </c>
      <c r="AA409" s="430" t="s">
        <v>1991</v>
      </c>
      <c r="AB409" s="437">
        <v>46111</v>
      </c>
      <c r="AC409" s="438">
        <f>IF(PV_DATA[[#This Row],[Pick-Up Date]]&lt;&gt;"",_xlfn.ISOWEEKNUM(PV_DATA[[#This Row],[Pick-Up Date]]),"")</f>
        <v>14</v>
      </c>
      <c r="AD409" s="439" t="s">
        <v>2014</v>
      </c>
      <c r="AE409" s="430"/>
      <c r="AF409" s="430" t="s">
        <v>4430</v>
      </c>
      <c r="AG409" s="430" t="s">
        <v>61</v>
      </c>
      <c r="AH409" s="430" t="s">
        <v>356</v>
      </c>
      <c r="AI409" s="437">
        <v>46116</v>
      </c>
      <c r="AJ409" s="437">
        <v>46116</v>
      </c>
      <c r="AK409" s="441">
        <v>46117</v>
      </c>
      <c r="AL409" s="437">
        <v>46168</v>
      </c>
      <c r="AM409" s="437">
        <v>46170</v>
      </c>
      <c r="AN409" s="437">
        <v>46170</v>
      </c>
      <c r="AO409" s="430" t="s">
        <v>402</v>
      </c>
      <c r="AP409" s="430" t="s">
        <v>2006</v>
      </c>
      <c r="AQ409" s="430" t="s">
        <v>80</v>
      </c>
      <c r="AR409" s="430" t="s">
        <v>2015</v>
      </c>
      <c r="AS409" s="430" t="s">
        <v>2016</v>
      </c>
      <c r="AT409" s="482" t="s">
        <v>2016</v>
      </c>
      <c r="AU40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409" s="437" cm="1">
        <f t="array" ref="AW40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46170</v>
      </c>
      <c r="AX40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09" s="437">
        <f>IF(ISERROR(PV_DATA[[#This Row],[New Ark PO status]]),"",_xlfn.XLOOKUP(PV_DATA[[#This Row],[SPTN-PVHK New Ark PO'#]],New_Ark_Data[Purchase order Number],New_Ark_Data[Estimated time of arrival],"",0))</f>
        <v>46184</v>
      </c>
      <c r="AZ409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09" s="437">
        <f>IFERROR(PV_DATA[[#This Row],[ODP ETA Port]]+PV_DATA[[#This Row],[Customs/Leg3 Assumption]],"n/a")</f>
        <v>46180</v>
      </c>
      <c r="BB409" s="433">
        <f>YEAR(PV_DATA[[#This Row],[ETA for New Ark update]])</f>
        <v>2026</v>
      </c>
      <c r="BC409" s="430">
        <f>MONTH(PV_DATA[[#This Row],[ETA for New Ark update]])</f>
        <v>6</v>
      </c>
      <c r="BD409" s="430">
        <f>IFERROR(_xlfn.ISOWEEKNUM(PV_DATA[[#This Row],[ETA for New Ark update]]),0)</f>
        <v>23</v>
      </c>
      <c r="BE409" s="431">
        <f>_xlfn.XLOOKUP(PV_DATA[[#This Row],[New Ark SKU]],Table9[New Ark SKU],Table9[Total PCS per Pallet],,0)</f>
        <v>36</v>
      </c>
      <c r="BF409" s="431">
        <f>_xlfn.XLOOKUP(PV_DATA[[#This Row],[New Ark SKU]],Table9[New Ark SKU],Table9[Total PCS per 40HQ Container],,0)</f>
        <v>936</v>
      </c>
      <c r="BG409" s="431" t="str">
        <f>_xlfn.XLOOKUP(PV_DATA[[#This Row],[New Ark SKU]],Table9[New Ark SKU],Table9[Back Glass],,0)</f>
        <v>Transparent</v>
      </c>
      <c r="BH409" s="431" t="str">
        <f>_xlfn.XLOOKUP(PV_DATA[[#This Row],[PORT DESTINATION]],Table12[PORT DESTINATION],Table12[Cosco Line],,0)</f>
        <v>AEU</v>
      </c>
      <c r="BJ409" s="430"/>
    </row>
    <row r="410" spans="1:62" ht="10.5" hidden="1">
      <c r="A410" s="462" t="s">
        <v>2017</v>
      </c>
      <c r="B410" s="462" t="s">
        <v>1757</v>
      </c>
      <c r="C410" s="462" t="str">
        <f>IFERROR(LEFT(PV_DATA[[#This Row],[TCL REFERENCE]],FIND(".",PV_DATA[[#This Row],[TCL REFERENCE]],1)-1),"Main Line")</f>
        <v>26Feb019</v>
      </c>
      <c r="D410" s="462" t="s">
        <v>63</v>
      </c>
      <c r="E410" s="462" t="s">
        <v>144</v>
      </c>
      <c r="F410" s="462" t="str" cm="1">
        <f t="array" ref="F41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410" s="462" t="s">
        <v>402</v>
      </c>
      <c r="H410" s="462" t="s">
        <v>881</v>
      </c>
      <c r="I410" s="439" t="s">
        <v>689</v>
      </c>
      <c r="J410" s="430" t="s">
        <v>1758</v>
      </c>
      <c r="K410" s="430" t="s">
        <v>1759</v>
      </c>
      <c r="L410" s="430"/>
      <c r="M410" s="430" t="s">
        <v>840</v>
      </c>
      <c r="N410" s="432">
        <v>46090</v>
      </c>
      <c r="O410" s="430" t="s">
        <v>70</v>
      </c>
      <c r="P410" s="430" t="s">
        <v>71</v>
      </c>
      <c r="Q410" s="430" t="s">
        <v>72</v>
      </c>
      <c r="R410" s="431" t="str">
        <f>_xlfn.XLOOKUP(PV_DATA[[#This Row],[New Ark SKU]],Table9[New Ark SKU],Table9[Connector],,0)</f>
        <v>EVO2A</v>
      </c>
      <c r="S410" s="442" t="str">
        <f>_xlfn.XLOOKUP(PV_DATA[[#This Row],[New Ark SKU]],Table9[New Ark SKU],Table9[Cable],,0)</f>
        <v>±1200mm</v>
      </c>
      <c r="T410" s="433">
        <v>500</v>
      </c>
      <c r="U410" s="1062">
        <f>864*4</f>
        <v>3456</v>
      </c>
      <c r="V410" s="434">
        <f>PV_DATA[[#This Row],[QUANTITY]]*PV_DATA[[#This Row],[WATT]]/1000000</f>
        <v>1.728</v>
      </c>
      <c r="W410" s="435">
        <f>PV_DATA[[#This Row],[QUANTITY]]/PV_DATA[[#This Row],[Qty/Pallet]]</f>
        <v>96</v>
      </c>
      <c r="X410" s="1015">
        <f>PV_DATA[[#This Row],[QUANTITY]]/PV_DATA[[#This Row],[Qty/CT]]</f>
        <v>4</v>
      </c>
      <c r="Y410" s="430" t="s">
        <v>75</v>
      </c>
      <c r="Z410" s="430" t="str">
        <f t="shared" si="3"/>
        <v>COMPLETED</v>
      </c>
      <c r="AA410" s="430" t="s">
        <v>1760</v>
      </c>
      <c r="AB410" s="437">
        <v>46118</v>
      </c>
      <c r="AC410" s="438">
        <f>IF(PV_DATA[[#This Row],[Pick-Up Date]]&lt;&gt;"",_xlfn.ISOWEEKNUM(PV_DATA[[#This Row],[Pick-Up Date]]),"")</f>
        <v>15</v>
      </c>
      <c r="AD410" s="439" t="s">
        <v>2018</v>
      </c>
      <c r="AE410" s="430"/>
      <c r="AF410" s="430" t="s">
        <v>1762</v>
      </c>
      <c r="AG410" s="430" t="s">
        <v>123</v>
      </c>
      <c r="AH410" s="430" t="s">
        <v>888</v>
      </c>
      <c r="AI410" s="437">
        <v>46123</v>
      </c>
      <c r="AJ410" s="437">
        <v>46123</v>
      </c>
      <c r="AK410" s="441">
        <v>46123</v>
      </c>
      <c r="AL410" s="437">
        <v>46177</v>
      </c>
      <c r="AM410" s="437">
        <v>46174</v>
      </c>
      <c r="AN410" s="437">
        <v>46176</v>
      </c>
      <c r="AO410" s="430" t="s">
        <v>402</v>
      </c>
      <c r="AP410" s="430" t="s">
        <v>2019</v>
      </c>
      <c r="AQ410" s="430" t="s">
        <v>161</v>
      </c>
      <c r="AR410" s="430" t="s">
        <v>2020</v>
      </c>
      <c r="AS410" s="430" t="s">
        <v>2021</v>
      </c>
      <c r="AT410" s="482" t="s">
        <v>2022</v>
      </c>
      <c r="AU41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410" s="437" cm="1">
        <f t="array" ref="AW41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46176</v>
      </c>
      <c r="AX41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10" s="437">
        <f>IF(ISERROR(PV_DATA[[#This Row],[New Ark PO status]]),"",_xlfn.XLOOKUP(PV_DATA[[#This Row],[SPTN-PVHK New Ark PO'#]],New_Ark_Data[Purchase order Number],New_Ark_Data[Estimated time of arrival],"",0))</f>
        <v>46195</v>
      </c>
      <c r="AZ410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410" s="437">
        <f>IFERROR(PV_DATA[[#This Row],[ODP ETA Port]]+PV_DATA[[#This Row],[Customs/Leg3 Assumption]],"n/a")</f>
        <v>46176</v>
      </c>
      <c r="BB410" s="433">
        <f>YEAR(PV_DATA[[#This Row],[ETA for New Ark update]])</f>
        <v>2026</v>
      </c>
      <c r="BC410" s="430">
        <f>MONTH(PV_DATA[[#This Row],[ETA for New Ark update]])</f>
        <v>6</v>
      </c>
      <c r="BD410" s="430">
        <f>IFERROR(_xlfn.ISOWEEKNUM(PV_DATA[[#This Row],[ETA for New Ark update]]),0)</f>
        <v>23</v>
      </c>
      <c r="BE410" s="431">
        <f>_xlfn.XLOOKUP(PV_DATA[[#This Row],[New Ark SKU]],Table9[New Ark SKU],Table9[Total PCS per Pallet],,0)</f>
        <v>36</v>
      </c>
      <c r="BF410" s="431">
        <f>_xlfn.XLOOKUP(PV_DATA[[#This Row],[New Ark SKU]],Table9[New Ark SKU],Table9[Total PCS per 40HQ Container],,0)</f>
        <v>864</v>
      </c>
      <c r="BG410" s="431" t="str">
        <f>_xlfn.XLOOKUP(PV_DATA[[#This Row],[New Ark SKU]],Table9[New Ark SKU],Table9[Back Glass],,0)</f>
        <v>Black glazing</v>
      </c>
      <c r="BH410" s="431" t="str">
        <f>_xlfn.XLOOKUP(PV_DATA[[#This Row],[PORT DESTINATION]],Table12[PORT DESTINATION],Table12[Cosco Line],,0)</f>
        <v>AEU</v>
      </c>
      <c r="BJ410" s="430"/>
    </row>
    <row r="411" spans="1:62" ht="10.5" hidden="1">
      <c r="A411" s="462" t="s">
        <v>2023</v>
      </c>
      <c r="B411" s="462" t="s">
        <v>1757</v>
      </c>
      <c r="C411" s="462" t="str">
        <f>IFERROR(LEFT(PV_DATA[[#This Row],[TCL REFERENCE]],FIND(".",PV_DATA[[#This Row],[TCL REFERENCE]],1)-1),"Main Line")</f>
        <v>26Feb019</v>
      </c>
      <c r="D411" s="462" t="s">
        <v>63</v>
      </c>
      <c r="E411" s="462" t="s">
        <v>144</v>
      </c>
      <c r="F411" s="462" t="str" cm="1">
        <f t="array" ref="F41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411" s="462" t="s">
        <v>402</v>
      </c>
      <c r="H411" s="462" t="s">
        <v>881</v>
      </c>
      <c r="I411" s="439" t="s">
        <v>689</v>
      </c>
      <c r="J411" s="430" t="s">
        <v>1758</v>
      </c>
      <c r="K411" s="430" t="s">
        <v>2024</v>
      </c>
      <c r="L411" s="430"/>
      <c r="M411" s="430" t="s">
        <v>840</v>
      </c>
      <c r="N411" s="432">
        <v>46090</v>
      </c>
      <c r="O411" s="430" t="s">
        <v>70</v>
      </c>
      <c r="P411" s="430" t="s">
        <v>71</v>
      </c>
      <c r="Q411" s="430" t="s">
        <v>72</v>
      </c>
      <c r="R411" s="431" t="str">
        <f>_xlfn.XLOOKUP(PV_DATA[[#This Row],[New Ark SKU]],Table9[New Ark SKU],Table9[Connector],,0)</f>
        <v>EVO2A</v>
      </c>
      <c r="S411" s="442" t="str">
        <f>_xlfn.XLOOKUP(PV_DATA[[#This Row],[New Ark SKU]],Table9[New Ark SKU],Table9[Cable],,0)</f>
        <v>±1200mm</v>
      </c>
      <c r="T411" s="433">
        <v>500</v>
      </c>
      <c r="U411" s="1062">
        <f>864*5</f>
        <v>4320</v>
      </c>
      <c r="V411" s="434">
        <f>PV_DATA[[#This Row],[QUANTITY]]*PV_DATA[[#This Row],[WATT]]/1000000</f>
        <v>2.16</v>
      </c>
      <c r="W411" s="435">
        <f>PV_DATA[[#This Row],[QUANTITY]]/PV_DATA[[#This Row],[Qty/Pallet]]</f>
        <v>120</v>
      </c>
      <c r="X411" s="1015">
        <f>PV_DATA[[#This Row],[QUANTITY]]/PV_DATA[[#This Row],[Qty/CT]]</f>
        <v>5</v>
      </c>
      <c r="Y411" s="430" t="s">
        <v>75</v>
      </c>
      <c r="Z411" s="430" t="str">
        <f t="shared" si="3"/>
        <v>COMPLETED</v>
      </c>
      <c r="AA411" s="430" t="s">
        <v>1760</v>
      </c>
      <c r="AB411" s="437">
        <v>46118</v>
      </c>
      <c r="AC411" s="438">
        <f>IF(PV_DATA[[#This Row],[Pick-Up Date]]&lt;&gt;"",_xlfn.ISOWEEKNUM(PV_DATA[[#This Row],[Pick-Up Date]]),"")</f>
        <v>15</v>
      </c>
      <c r="AD411" s="439" t="s">
        <v>2025</v>
      </c>
      <c r="AE411" s="430"/>
      <c r="AF411" s="430" t="s">
        <v>1762</v>
      </c>
      <c r="AG411" s="430" t="s">
        <v>123</v>
      </c>
      <c r="AH411" s="430" t="s">
        <v>888</v>
      </c>
      <c r="AI411" s="437">
        <v>46123</v>
      </c>
      <c r="AJ411" s="437">
        <v>46123</v>
      </c>
      <c r="AK411" s="441">
        <v>46123</v>
      </c>
      <c r="AL411" s="437">
        <v>46177</v>
      </c>
      <c r="AM411" s="437">
        <v>46174</v>
      </c>
      <c r="AN411" s="437">
        <v>46176</v>
      </c>
      <c r="AO411" s="430" t="s">
        <v>402</v>
      </c>
      <c r="AP411" s="430" t="s">
        <v>2019</v>
      </c>
      <c r="AQ411" s="430" t="s">
        <v>161</v>
      </c>
      <c r="AR411" s="430" t="s">
        <v>2020</v>
      </c>
      <c r="AS411" s="430" t="s">
        <v>2026</v>
      </c>
      <c r="AT411" s="482" t="s">
        <v>2022</v>
      </c>
      <c r="AU41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411" s="437" cm="1">
        <f t="array" ref="AW41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46176</v>
      </c>
      <c r="AX41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11" s="437">
        <f>IF(ISERROR(PV_DATA[[#This Row],[New Ark PO status]]),"",_xlfn.XLOOKUP(PV_DATA[[#This Row],[SPTN-PVHK New Ark PO'#]],New_Ark_Data[Purchase order Number],New_Ark_Data[Estimated time of arrival],"",0))</f>
        <v>46195</v>
      </c>
      <c r="AZ411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411" s="437">
        <f>IFERROR(PV_DATA[[#This Row],[ODP ETA Port]]+PV_DATA[[#This Row],[Customs/Leg3 Assumption]],"n/a")</f>
        <v>46176</v>
      </c>
      <c r="BB411" s="433">
        <f>YEAR(PV_DATA[[#This Row],[ETA for New Ark update]])</f>
        <v>2026</v>
      </c>
      <c r="BC411" s="430">
        <f>MONTH(PV_DATA[[#This Row],[ETA for New Ark update]])</f>
        <v>6</v>
      </c>
      <c r="BD411" s="430">
        <f>IFERROR(_xlfn.ISOWEEKNUM(PV_DATA[[#This Row],[ETA for New Ark update]]),0)</f>
        <v>23</v>
      </c>
      <c r="BE411" s="431">
        <f>_xlfn.XLOOKUP(PV_DATA[[#This Row],[New Ark SKU]],Table9[New Ark SKU],Table9[Total PCS per Pallet],,0)</f>
        <v>36</v>
      </c>
      <c r="BF411" s="431">
        <f>_xlfn.XLOOKUP(PV_DATA[[#This Row],[New Ark SKU]],Table9[New Ark SKU],Table9[Total PCS per 40HQ Container],,0)</f>
        <v>864</v>
      </c>
      <c r="BG411" s="431" t="str">
        <f>_xlfn.XLOOKUP(PV_DATA[[#This Row],[New Ark SKU]],Table9[New Ark SKU],Table9[Back Glass],,0)</f>
        <v>Black glazing</v>
      </c>
      <c r="BH411" s="431" t="str">
        <f>_xlfn.XLOOKUP(PV_DATA[[#This Row],[PORT DESTINATION]],Table12[PORT DESTINATION],Table12[Cosco Line],,0)</f>
        <v>AEU</v>
      </c>
      <c r="BJ411" s="430"/>
    </row>
    <row r="412" spans="1:62" ht="10.5" hidden="1">
      <c r="A412" s="462" t="s">
        <v>2027</v>
      </c>
      <c r="B412" s="462" t="s">
        <v>1757</v>
      </c>
      <c r="C412" s="462" t="str">
        <f>IFERROR(LEFT(PV_DATA[[#This Row],[TCL REFERENCE]],FIND(".",PV_DATA[[#This Row],[TCL REFERENCE]],1)-1),"Main Line")</f>
        <v>26Feb019</v>
      </c>
      <c r="D412" s="462" t="s">
        <v>63</v>
      </c>
      <c r="E412" s="462" t="s">
        <v>144</v>
      </c>
      <c r="F412" s="462" t="str" cm="1">
        <f t="array" ref="F41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412" s="462" t="s">
        <v>402</v>
      </c>
      <c r="H412" s="462" t="s">
        <v>881</v>
      </c>
      <c r="I412" s="439" t="s">
        <v>689</v>
      </c>
      <c r="J412" s="430" t="s">
        <v>1758</v>
      </c>
      <c r="K412" s="430" t="s">
        <v>2028</v>
      </c>
      <c r="L412" s="430"/>
      <c r="M412" s="430" t="s">
        <v>840</v>
      </c>
      <c r="N412" s="432">
        <v>46090</v>
      </c>
      <c r="O412" s="430" t="s">
        <v>70</v>
      </c>
      <c r="P412" s="430" t="s">
        <v>71</v>
      </c>
      <c r="Q412" s="430" t="s">
        <v>72</v>
      </c>
      <c r="R412" s="431" t="str">
        <f>_xlfn.XLOOKUP(PV_DATA[[#This Row],[New Ark SKU]],Table9[New Ark SKU],Table9[Connector],,0)</f>
        <v>EVO2A</v>
      </c>
      <c r="S412" s="442" t="str">
        <f>_xlfn.XLOOKUP(PV_DATA[[#This Row],[New Ark SKU]],Table9[New Ark SKU],Table9[Cable],,0)</f>
        <v>±1200mm</v>
      </c>
      <c r="T412" s="433">
        <v>500</v>
      </c>
      <c r="U412" s="1062">
        <f>864*5</f>
        <v>4320</v>
      </c>
      <c r="V412" s="434">
        <f>PV_DATA[[#This Row],[QUANTITY]]*PV_DATA[[#This Row],[WATT]]/1000000</f>
        <v>2.16</v>
      </c>
      <c r="W412" s="435">
        <f>PV_DATA[[#This Row],[QUANTITY]]/PV_DATA[[#This Row],[Qty/Pallet]]</f>
        <v>120</v>
      </c>
      <c r="X412" s="1015">
        <f>PV_DATA[[#This Row],[QUANTITY]]/PV_DATA[[#This Row],[Qty/CT]]</f>
        <v>5</v>
      </c>
      <c r="Y412" s="430" t="s">
        <v>75</v>
      </c>
      <c r="Z412" s="430" t="str">
        <f t="shared" si="3"/>
        <v>COMPLETED</v>
      </c>
      <c r="AA412" s="430" t="s">
        <v>2029</v>
      </c>
      <c r="AB412" s="437">
        <v>46118</v>
      </c>
      <c r="AC412" s="438">
        <f>IF(PV_DATA[[#This Row],[Pick-Up Date]]&lt;&gt;"",_xlfn.ISOWEEKNUM(PV_DATA[[#This Row],[Pick-Up Date]]),"")</f>
        <v>15</v>
      </c>
      <c r="AD412" s="439" t="s">
        <v>2030</v>
      </c>
      <c r="AE412" s="430"/>
      <c r="AF412" s="430" t="s">
        <v>1762</v>
      </c>
      <c r="AG412" s="430" t="s">
        <v>123</v>
      </c>
      <c r="AH412" s="430" t="s">
        <v>888</v>
      </c>
      <c r="AI412" s="437">
        <v>46123</v>
      </c>
      <c r="AJ412" s="437">
        <v>46123</v>
      </c>
      <c r="AK412" s="441">
        <v>46123</v>
      </c>
      <c r="AL412" s="437">
        <v>46177</v>
      </c>
      <c r="AM412" s="437">
        <v>46174</v>
      </c>
      <c r="AN412" s="437">
        <v>46176</v>
      </c>
      <c r="AO412" s="430" t="s">
        <v>402</v>
      </c>
      <c r="AP412" s="430" t="s">
        <v>2019</v>
      </c>
      <c r="AQ412" s="430" t="s">
        <v>161</v>
      </c>
      <c r="AR412" s="430" t="s">
        <v>2020</v>
      </c>
      <c r="AS412" s="430" t="s">
        <v>2026</v>
      </c>
      <c r="AT412" s="482" t="s">
        <v>2022</v>
      </c>
      <c r="AU41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412" s="437" cm="1">
        <f t="array" ref="AW41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46176</v>
      </c>
      <c r="AX41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12" s="437">
        <f>IF(ISERROR(PV_DATA[[#This Row],[New Ark PO status]]),"",_xlfn.XLOOKUP(PV_DATA[[#This Row],[SPTN-PVHK New Ark PO'#]],New_Ark_Data[Purchase order Number],New_Ark_Data[Estimated time of arrival],"",0))</f>
        <v>46195</v>
      </c>
      <c r="AZ412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412" s="437">
        <f>IFERROR(PV_DATA[[#This Row],[ODP ETA Port]]+PV_DATA[[#This Row],[Customs/Leg3 Assumption]],"n/a")</f>
        <v>46176</v>
      </c>
      <c r="BB412" s="433">
        <f>YEAR(PV_DATA[[#This Row],[ETA for New Ark update]])</f>
        <v>2026</v>
      </c>
      <c r="BC412" s="430">
        <f>MONTH(PV_DATA[[#This Row],[ETA for New Ark update]])</f>
        <v>6</v>
      </c>
      <c r="BD412" s="430">
        <f>IFERROR(_xlfn.ISOWEEKNUM(PV_DATA[[#This Row],[ETA for New Ark update]]),0)</f>
        <v>23</v>
      </c>
      <c r="BE412" s="431">
        <f>_xlfn.XLOOKUP(PV_DATA[[#This Row],[New Ark SKU]],Table9[New Ark SKU],Table9[Total PCS per Pallet],,0)</f>
        <v>36</v>
      </c>
      <c r="BF412" s="431">
        <f>_xlfn.XLOOKUP(PV_DATA[[#This Row],[New Ark SKU]],Table9[New Ark SKU],Table9[Total PCS per 40HQ Container],,0)</f>
        <v>864</v>
      </c>
      <c r="BG412" s="431" t="str">
        <f>_xlfn.XLOOKUP(PV_DATA[[#This Row],[New Ark SKU]],Table9[New Ark SKU],Table9[Back Glass],,0)</f>
        <v>Black glazing</v>
      </c>
      <c r="BH412" s="431" t="str">
        <f>_xlfn.XLOOKUP(PV_DATA[[#This Row],[PORT DESTINATION]],Table12[PORT DESTINATION],Table12[Cosco Line],,0)</f>
        <v>AEU</v>
      </c>
      <c r="BJ412" s="430"/>
    </row>
    <row r="413" spans="1:62" ht="10.5" hidden="1">
      <c r="A413" s="462" t="s">
        <v>2031</v>
      </c>
      <c r="B413" s="462" t="s">
        <v>1757</v>
      </c>
      <c r="C413" s="462" t="str">
        <f>IFERROR(LEFT(PV_DATA[[#This Row],[TCL REFERENCE]],FIND(".",PV_DATA[[#This Row],[TCL REFERENCE]],1)-1),"Main Line")</f>
        <v>26Feb020</v>
      </c>
      <c r="D413" s="462" t="s">
        <v>63</v>
      </c>
      <c r="E413" s="462" t="s">
        <v>64</v>
      </c>
      <c r="F413" s="462" t="str" cm="1">
        <f t="array" ref="F41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413" s="462" t="s">
        <v>402</v>
      </c>
      <c r="H413" s="462" t="s">
        <v>451</v>
      </c>
      <c r="I413" s="439" t="s">
        <v>689</v>
      </c>
      <c r="J413" s="430" t="s">
        <v>1832</v>
      </c>
      <c r="K413" s="430"/>
      <c r="L413" s="430"/>
      <c r="M413" s="430" t="s">
        <v>68</v>
      </c>
      <c r="N413" s="432">
        <v>46104</v>
      </c>
      <c r="O413" s="430" t="s">
        <v>70</v>
      </c>
      <c r="P413" s="430" t="s">
        <v>1151</v>
      </c>
      <c r="Q413" s="430" t="s">
        <v>421</v>
      </c>
      <c r="R413" s="431" t="str">
        <f>_xlfn.XLOOKUP(PV_DATA[[#This Row],[New Ark SKU]],Table9[New Ark SKU],Table9[Connector],,0)</f>
        <v>EVO2A</v>
      </c>
      <c r="S413" s="442" t="str">
        <f>_xlfn.XLOOKUP(PV_DATA[[#This Row],[New Ark SKU]],Table9[New Ark SKU],Table9[Cable],,0)</f>
        <v>±1200mm</v>
      </c>
      <c r="T413" s="433">
        <v>505</v>
      </c>
      <c r="U413" s="1062">
        <f>864*4</f>
        <v>3456</v>
      </c>
      <c r="V413" s="434">
        <f>PV_DATA[[#This Row],[QUANTITY]]*PV_DATA[[#This Row],[WATT]]/1000000</f>
        <v>1.7452799999999999</v>
      </c>
      <c r="W413" s="435">
        <f>PV_DATA[[#This Row],[QUANTITY]]/PV_DATA[[#This Row],[Qty/Pallet]]</f>
        <v>96</v>
      </c>
      <c r="X413" s="1015">
        <f>PV_DATA[[#This Row],[QUANTITY]]/PV_DATA[[#This Row],[Qty/CT]]</f>
        <v>4</v>
      </c>
      <c r="Y413" s="430" t="s">
        <v>75</v>
      </c>
      <c r="Z413" s="430" t="str">
        <f t="shared" si="3"/>
        <v>COMPLETED</v>
      </c>
      <c r="AA413" s="430" t="s">
        <v>1883</v>
      </c>
      <c r="AB413" s="437">
        <v>46123</v>
      </c>
      <c r="AC413" s="438">
        <f>IF(PV_DATA[[#This Row],[Pick-Up Date]]&lt;&gt;"",_xlfn.ISOWEEKNUM(PV_DATA[[#This Row],[Pick-Up Date]]),"")</f>
        <v>15</v>
      </c>
      <c r="AD413" s="439" t="s">
        <v>2032</v>
      </c>
      <c r="AE413" s="430"/>
      <c r="AF413" s="430" t="s">
        <v>1762</v>
      </c>
      <c r="AG413" s="430" t="s">
        <v>123</v>
      </c>
      <c r="AH413" s="430" t="s">
        <v>456</v>
      </c>
      <c r="AI413" s="437">
        <v>46125</v>
      </c>
      <c r="AJ413" s="437">
        <v>46125</v>
      </c>
      <c r="AK413" s="441">
        <v>46126</v>
      </c>
      <c r="AL413" s="437">
        <v>46171</v>
      </c>
      <c r="AM413" s="437">
        <v>46176</v>
      </c>
      <c r="AN413" s="437">
        <v>46178</v>
      </c>
      <c r="AO413" s="430" t="s">
        <v>402</v>
      </c>
      <c r="AP413" s="430" t="s">
        <v>2033</v>
      </c>
      <c r="AQ413" s="430" t="s">
        <v>161</v>
      </c>
      <c r="AR413" s="430" t="s">
        <v>2034</v>
      </c>
      <c r="AS413" s="430" t="s">
        <v>2035</v>
      </c>
      <c r="AT413" s="482" t="s">
        <v>2036</v>
      </c>
      <c r="AU41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</v>
      </c>
      <c r="AW413" s="437" cm="1">
        <f t="array" ref="AW41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46178</v>
      </c>
      <c r="AX41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13" s="437">
        <f>IF(ISERROR(PV_DATA[[#This Row],[New Ark PO status]]),"",_xlfn.XLOOKUP(PV_DATA[[#This Row],[SPTN-PVHK New Ark PO'#]],New_Ark_Data[Purchase order Number],New_Ark_Data[Estimated time of arrival],"",0))</f>
        <v>46192</v>
      </c>
      <c r="AZ41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13" s="437">
        <f>IFERROR(PV_DATA[[#This Row],[ODP ETA Port]]+PV_DATA[[#This Row],[Customs/Leg3 Assumption]],"n/a")</f>
        <v>46185</v>
      </c>
      <c r="BB413" s="433">
        <f>YEAR(PV_DATA[[#This Row],[ETA for New Ark update]])</f>
        <v>2026</v>
      </c>
      <c r="BC413" s="430">
        <f>MONTH(PV_DATA[[#This Row],[ETA for New Ark update]])</f>
        <v>6</v>
      </c>
      <c r="BD413" s="430">
        <f>IFERROR(_xlfn.ISOWEEKNUM(PV_DATA[[#This Row],[ETA for New Ark update]]),0)</f>
        <v>24</v>
      </c>
      <c r="BE413" s="431">
        <f>_xlfn.XLOOKUP(PV_DATA[[#This Row],[New Ark SKU]],Table9[New Ark SKU],Table9[Total PCS per Pallet],,0)</f>
        <v>36</v>
      </c>
      <c r="BF413" s="431">
        <f>_xlfn.XLOOKUP(PV_DATA[[#This Row],[New Ark SKU]],Table9[New Ark SKU],Table9[Total PCS per 40HQ Container],,0)</f>
        <v>864</v>
      </c>
      <c r="BG413" s="431" t="str">
        <f>_xlfn.XLOOKUP(PV_DATA[[#This Row],[New Ark SKU]],Table9[New Ark SKU],Table9[Back Glass],,0)</f>
        <v>Black glazing</v>
      </c>
      <c r="BH413" s="431" t="str">
        <f>_xlfn.XLOOKUP(PV_DATA[[#This Row],[PORT DESTINATION]],Table12[PORT DESTINATION],Table12[Cosco Line],,0)</f>
        <v>AEU</v>
      </c>
      <c r="BJ413" s="430"/>
    </row>
    <row r="414" spans="1:62" hidden="1">
      <c r="A414" s="462" t="s">
        <v>2037</v>
      </c>
      <c r="B414" s="462" t="s">
        <v>1888</v>
      </c>
      <c r="C414" s="462" t="str">
        <f>IFERROR(LEFT(PV_DATA[[#This Row],[TCL REFERENCE]],FIND(".",PV_DATA[[#This Row],[TCL REFERENCE]],1)-1),"Main Line")</f>
        <v>26Feb017</v>
      </c>
      <c r="D414" s="462" t="s">
        <v>63</v>
      </c>
      <c r="E414" s="462" t="s">
        <v>64</v>
      </c>
      <c r="F414" s="462" t="str" cm="1">
        <f t="array" ref="F41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414" s="462" t="s">
        <v>402</v>
      </c>
      <c r="H414" s="462" t="s">
        <v>451</v>
      </c>
      <c r="I414" s="439" t="s">
        <v>689</v>
      </c>
      <c r="J414" s="430" t="s">
        <v>96</v>
      </c>
      <c r="K414" s="430"/>
      <c r="L414" s="430"/>
      <c r="M414" s="430" t="s">
        <v>68</v>
      </c>
      <c r="N414" s="432">
        <v>46111</v>
      </c>
      <c r="O414" s="430" t="s">
        <v>70</v>
      </c>
      <c r="P414" s="430" t="s">
        <v>195</v>
      </c>
      <c r="Q414" s="430" t="s">
        <v>196</v>
      </c>
      <c r="R414" s="431" t="str">
        <f>_xlfn.XLOOKUP(PV_DATA[[#This Row],[New Ark SKU]],Table9[New Ark SKU],Table9[Connector],,0)</f>
        <v>EVO2A</v>
      </c>
      <c r="S414" s="442" t="str">
        <f>_xlfn.XLOOKUP(PV_DATA[[#This Row],[New Ark SKU]],Table9[New Ark SKU],Table9[Cable],,0)</f>
        <v>±1200mm</v>
      </c>
      <c r="T414" s="433">
        <v>450</v>
      </c>
      <c r="U414" s="1062">
        <f>936*2</f>
        <v>1872</v>
      </c>
      <c r="V414" s="434">
        <f>PV_DATA[[#This Row],[QUANTITY]]*PV_DATA[[#This Row],[WATT]]/1000000</f>
        <v>0.84240000000000004</v>
      </c>
      <c r="W414" s="435">
        <f>PV_DATA[[#This Row],[QUANTITY]]/PV_DATA[[#This Row],[Qty/Pallet]]</f>
        <v>52</v>
      </c>
      <c r="X414" s="1015">
        <f>PV_DATA[[#This Row],[QUANTITY]]/PV_DATA[[#This Row],[Qty/CT]]</f>
        <v>2</v>
      </c>
      <c r="Y414" s="430" t="s">
        <v>75</v>
      </c>
      <c r="Z414" s="430" t="str">
        <f t="shared" si="3"/>
        <v>COMPLETED</v>
      </c>
      <c r="AA414" s="430" t="s">
        <v>2038</v>
      </c>
      <c r="AB414" s="437">
        <v>46123</v>
      </c>
      <c r="AC414" s="438">
        <f>IF(PV_DATA[[#This Row],[Pick-Up Date]]&lt;&gt;"",_xlfn.ISOWEEKNUM(PV_DATA[[#This Row],[Pick-Up Date]]),"")</f>
        <v>15</v>
      </c>
      <c r="AD414" s="439" t="s">
        <v>2039</v>
      </c>
      <c r="AE414" s="430"/>
      <c r="AF414" s="430" t="s">
        <v>4429</v>
      </c>
      <c r="AG414" s="430" t="s">
        <v>123</v>
      </c>
      <c r="AH414" s="430" t="s">
        <v>456</v>
      </c>
      <c r="AI414" s="437">
        <v>46125</v>
      </c>
      <c r="AJ414" s="437">
        <v>46125</v>
      </c>
      <c r="AK414" s="441">
        <v>46126</v>
      </c>
      <c r="AL414" s="437">
        <v>46171</v>
      </c>
      <c r="AM414" s="437">
        <v>46176</v>
      </c>
      <c r="AN414" s="437">
        <v>46178</v>
      </c>
      <c r="AO414" s="430" t="s">
        <v>402</v>
      </c>
      <c r="AP414" s="430" t="s">
        <v>2033</v>
      </c>
      <c r="AQ414" s="430" t="s">
        <v>161</v>
      </c>
      <c r="AR414" s="430" t="s">
        <v>2040</v>
      </c>
      <c r="AS414" s="430" t="s">
        <v>2041</v>
      </c>
      <c r="AT414" s="482" t="s">
        <v>2042</v>
      </c>
      <c r="AU41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</v>
      </c>
      <c r="AW414" s="437" cm="1">
        <f t="array" ref="AW41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46178</v>
      </c>
      <c r="AX41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14" s="437">
        <f>IF(ISERROR(PV_DATA[[#This Row],[New Ark PO status]]),"",_xlfn.XLOOKUP(PV_DATA[[#This Row],[SPTN-PVHK New Ark PO'#]],New_Ark_Data[Purchase order Number],New_Ark_Data[Estimated time of arrival],"",0))</f>
        <v>46192</v>
      </c>
      <c r="AZ41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14" s="437">
        <f>IFERROR(PV_DATA[[#This Row],[ODP ETA Port]]+PV_DATA[[#This Row],[Customs/Leg3 Assumption]],"n/a")</f>
        <v>46185</v>
      </c>
      <c r="BB414" s="433">
        <f>YEAR(PV_DATA[[#This Row],[ETA for New Ark update]])</f>
        <v>2026</v>
      </c>
      <c r="BC414" s="430">
        <f>MONTH(PV_DATA[[#This Row],[ETA for New Ark update]])</f>
        <v>6</v>
      </c>
      <c r="BD414" s="430">
        <f>IFERROR(_xlfn.ISOWEEKNUM(PV_DATA[[#This Row],[ETA for New Ark update]]),0)</f>
        <v>24</v>
      </c>
      <c r="BE414" s="431">
        <f>_xlfn.XLOOKUP(PV_DATA[[#This Row],[New Ark SKU]],Table9[New Ark SKU],Table9[Total PCS per Pallet],,0)</f>
        <v>36</v>
      </c>
      <c r="BF414" s="431">
        <f>_xlfn.XLOOKUP(PV_DATA[[#This Row],[New Ark SKU]],Table9[New Ark SKU],Table9[Total PCS per 40HQ Container],,0)</f>
        <v>936</v>
      </c>
      <c r="BG414" s="431" t="str">
        <f>_xlfn.XLOOKUP(PV_DATA[[#This Row],[New Ark SKU]],Table9[New Ark SKU],Table9[Back Glass],,0)</f>
        <v>Black glazing</v>
      </c>
      <c r="BH414" s="431" t="str">
        <f>_xlfn.XLOOKUP(PV_DATA[[#This Row],[PORT DESTINATION]],Table12[PORT DESTINATION],Table12[Cosco Line],,0)</f>
        <v>AEU</v>
      </c>
      <c r="BJ414" s="430"/>
    </row>
    <row r="415" spans="1:62" s="450" customFormat="1" ht="10.5" hidden="1">
      <c r="A415" s="462" t="s">
        <v>2043</v>
      </c>
      <c r="B415" s="462" t="s">
        <v>1757</v>
      </c>
      <c r="C415" s="462" t="str">
        <f>IFERROR(LEFT(PV_DATA[[#This Row],[TCL REFERENCE]],FIND(".",PV_DATA[[#This Row],[TCL REFERENCE]],1)-1),"Main Line")</f>
        <v>26Feb020</v>
      </c>
      <c r="D415" s="462" t="s">
        <v>63</v>
      </c>
      <c r="E415" s="462" t="s">
        <v>64</v>
      </c>
      <c r="F415" s="462" t="str" cm="1">
        <f t="array" ref="F41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415" s="462" t="s">
        <v>402</v>
      </c>
      <c r="H415" s="462" t="s">
        <v>451</v>
      </c>
      <c r="I415" s="439" t="s">
        <v>689</v>
      </c>
      <c r="J415" s="430" t="s">
        <v>1832</v>
      </c>
      <c r="K415" s="430"/>
      <c r="L415" s="430"/>
      <c r="M415" s="430" t="s">
        <v>68</v>
      </c>
      <c r="N415" s="432">
        <v>46104</v>
      </c>
      <c r="O415" s="430" t="s">
        <v>70</v>
      </c>
      <c r="P415" s="430" t="s">
        <v>1151</v>
      </c>
      <c r="Q415" s="430" t="s">
        <v>421</v>
      </c>
      <c r="R415" s="431" t="str">
        <f>_xlfn.XLOOKUP(PV_DATA[[#This Row],[New Ark SKU]],Table9[New Ark SKU],Table9[Connector],,0)</f>
        <v>EVO2A</v>
      </c>
      <c r="S415" s="442" t="str">
        <f>_xlfn.XLOOKUP(PV_DATA[[#This Row],[New Ark SKU]],Table9[New Ark SKU],Table9[Cable],,0)</f>
        <v>±1200mm</v>
      </c>
      <c r="T415" s="433">
        <v>505</v>
      </c>
      <c r="U415" s="1062">
        <f>864*5</f>
        <v>4320</v>
      </c>
      <c r="V415" s="434">
        <f>PV_DATA[[#This Row],[QUANTITY]]*PV_DATA[[#This Row],[WATT]]/1000000</f>
        <v>2.1816</v>
      </c>
      <c r="W415" s="435">
        <f>PV_DATA[[#This Row],[QUANTITY]]/PV_DATA[[#This Row],[Qty/Pallet]]</f>
        <v>120</v>
      </c>
      <c r="X415" s="1015">
        <f>PV_DATA[[#This Row],[QUANTITY]]/PV_DATA[[#This Row],[Qty/CT]]</f>
        <v>5</v>
      </c>
      <c r="Y415" s="430" t="s">
        <v>75</v>
      </c>
      <c r="Z415" s="430" t="str">
        <f t="shared" si="3"/>
        <v>COMPLETED</v>
      </c>
      <c r="AA415" s="430" t="s">
        <v>1883</v>
      </c>
      <c r="AB415" s="437">
        <v>46121</v>
      </c>
      <c r="AC415" s="438">
        <f>IF(PV_DATA[[#This Row],[Pick-Up Date]]&lt;&gt;"",_xlfn.ISOWEEKNUM(PV_DATA[[#This Row],[Pick-Up Date]]),"")</f>
        <v>15</v>
      </c>
      <c r="AD415" s="439" t="s">
        <v>2044</v>
      </c>
      <c r="AE415" s="430"/>
      <c r="AF415" s="430" t="s">
        <v>1762</v>
      </c>
      <c r="AG415" s="430" t="s">
        <v>123</v>
      </c>
      <c r="AH415" s="430" t="s">
        <v>456</v>
      </c>
      <c r="AI415" s="437">
        <v>46124</v>
      </c>
      <c r="AJ415" s="437">
        <v>46125</v>
      </c>
      <c r="AK415" s="441">
        <v>46125</v>
      </c>
      <c r="AL415" s="437">
        <v>46165</v>
      </c>
      <c r="AM415" s="437">
        <v>46165</v>
      </c>
      <c r="AN415" s="437">
        <v>46168</v>
      </c>
      <c r="AO415" s="430" t="s">
        <v>402</v>
      </c>
      <c r="AP415" s="430" t="s">
        <v>2045</v>
      </c>
      <c r="AQ415" s="430" t="s">
        <v>80</v>
      </c>
      <c r="AR415" s="430" t="s">
        <v>2046</v>
      </c>
      <c r="AS415" s="430" t="s">
        <v>2047</v>
      </c>
      <c r="AT415" s="482" t="s">
        <v>2047</v>
      </c>
      <c r="AU41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</v>
      </c>
      <c r="AV415" s="430"/>
      <c r="AW415" s="437" cm="1">
        <f t="array" ref="AW41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46168</v>
      </c>
      <c r="AX41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15" s="437">
        <f>IF(ISERROR(PV_DATA[[#This Row],[New Ark PO status]]),"",_xlfn.XLOOKUP(PV_DATA[[#This Row],[SPTN-PVHK New Ark PO'#]],New_Ark_Data[Purchase order Number],New_Ark_Data[Estimated time of arrival],"",0))</f>
        <v>46181</v>
      </c>
      <c r="AZ41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15" s="437">
        <f>IFERROR(PV_DATA[[#This Row],[ODP ETA Port]]+PV_DATA[[#This Row],[Customs/Leg3 Assumption]],"n/a")</f>
        <v>46175</v>
      </c>
      <c r="BB415" s="433">
        <f>YEAR(PV_DATA[[#This Row],[ETA for New Ark update]])</f>
        <v>2026</v>
      </c>
      <c r="BC415" s="430">
        <f>MONTH(PV_DATA[[#This Row],[ETA for New Ark update]])</f>
        <v>6</v>
      </c>
      <c r="BD415" s="430">
        <f>IFERROR(_xlfn.ISOWEEKNUM(PV_DATA[[#This Row],[ETA for New Ark update]]),0)</f>
        <v>23</v>
      </c>
      <c r="BE415" s="431">
        <f>_xlfn.XLOOKUP(PV_DATA[[#This Row],[New Ark SKU]],Table9[New Ark SKU],Table9[Total PCS per Pallet],,0)</f>
        <v>36</v>
      </c>
      <c r="BF415" s="431">
        <f>_xlfn.XLOOKUP(PV_DATA[[#This Row],[New Ark SKU]],Table9[New Ark SKU],Table9[Total PCS per 40HQ Container],,0)</f>
        <v>864</v>
      </c>
      <c r="BG415" s="431" t="str">
        <f>_xlfn.XLOOKUP(PV_DATA[[#This Row],[New Ark SKU]],Table9[New Ark SKU],Table9[Back Glass],,0)</f>
        <v>Black glazing</v>
      </c>
      <c r="BH415" s="431" t="str">
        <f>_xlfn.XLOOKUP(PV_DATA[[#This Row],[PORT DESTINATION]],Table12[PORT DESTINATION],Table12[Cosco Line],,0)</f>
        <v>AEU</v>
      </c>
    </row>
    <row r="416" spans="1:62" s="431" customFormat="1" hidden="1">
      <c r="A416" s="462" t="s">
        <v>2048</v>
      </c>
      <c r="B416" s="462" t="s">
        <v>1802</v>
      </c>
      <c r="C416" s="462" t="str">
        <f>IFERROR(LEFT(PV_DATA[[#This Row],[TCL REFERENCE]],FIND(".",PV_DATA[[#This Row],[TCL REFERENCE]],1)-1),"Main Line")</f>
        <v>26Feb034</v>
      </c>
      <c r="D416" s="462" t="s">
        <v>113</v>
      </c>
      <c r="E416" s="462" t="s">
        <v>144</v>
      </c>
      <c r="F416" s="462" t="str" cm="1">
        <f t="array" ref="F416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416" s="462" t="s">
        <v>402</v>
      </c>
      <c r="H416" s="462" t="s">
        <v>1449</v>
      </c>
      <c r="I416" s="439" t="s">
        <v>822</v>
      </c>
      <c r="J416" s="430" t="s">
        <v>1964</v>
      </c>
      <c r="K416" s="430" t="s">
        <v>1805</v>
      </c>
      <c r="L416" s="430"/>
      <c r="M416" s="430" t="s">
        <v>840</v>
      </c>
      <c r="N416" s="432">
        <v>46104</v>
      </c>
      <c r="O416" s="430" t="s">
        <v>70</v>
      </c>
      <c r="P416" s="430" t="s">
        <v>1806</v>
      </c>
      <c r="Q416" s="430" t="s">
        <v>1807</v>
      </c>
      <c r="R416" s="431" t="str">
        <f>_xlfn.XLOOKUP(PV_DATA[[#This Row],[New Ark SKU]],Table9[New Ark SKU],Table9[Connector],,0)</f>
        <v>H4(Com)</v>
      </c>
      <c r="S416" s="442" t="str">
        <f>_xlfn.XLOOKUP(PV_DATA[[#This Row],[New Ark SKU]],Table9[New Ark SKU],Table9[Cable],,0)</f>
        <v>+400mm/-200mm</v>
      </c>
      <c r="T416" s="433">
        <v>720</v>
      </c>
      <c r="U416" s="1062">
        <f>594*5</f>
        <v>2970</v>
      </c>
      <c r="V416" s="434">
        <f>PV_DATA[[#This Row],[QUANTITY]]*PV_DATA[[#This Row],[WATT]]/1000000</f>
        <v>2.1383999999999999</v>
      </c>
      <c r="W416" s="435">
        <f>PV_DATA[[#This Row],[QUANTITY]]/PV_DATA[[#This Row],[Qty/Pallet]]</f>
        <v>90</v>
      </c>
      <c r="X416" s="1015">
        <f>PV_DATA[[#This Row],[QUANTITY]]/PV_DATA[[#This Row],[Qty/CT]]</f>
        <v>5</v>
      </c>
      <c r="Y416" s="430" t="s">
        <v>75</v>
      </c>
      <c r="Z416" s="430" t="str">
        <f t="shared" si="3"/>
        <v>COMPLETED</v>
      </c>
      <c r="AA416" s="430" t="s">
        <v>1958</v>
      </c>
      <c r="AB416" s="437">
        <v>46121</v>
      </c>
      <c r="AC416" s="438">
        <f>IF(PV_DATA[[#This Row],[Pick-Up Date]]&lt;&gt;"",_xlfn.ISOWEEKNUM(PV_DATA[[#This Row],[Pick-Up Date]]),"")</f>
        <v>15</v>
      </c>
      <c r="AD416" s="439" t="s">
        <v>2049</v>
      </c>
      <c r="AE416" s="430"/>
      <c r="AF416" s="430" t="s">
        <v>4427</v>
      </c>
      <c r="AG416" s="430" t="s">
        <v>123</v>
      </c>
      <c r="AH416" s="430" t="s">
        <v>105</v>
      </c>
      <c r="AI416" s="437">
        <v>46124</v>
      </c>
      <c r="AJ416" s="437">
        <v>46125</v>
      </c>
      <c r="AK416" s="441">
        <v>46125</v>
      </c>
      <c r="AL416" s="437">
        <v>46169</v>
      </c>
      <c r="AM416" s="437">
        <v>46172</v>
      </c>
      <c r="AN416" s="437">
        <v>46170</v>
      </c>
      <c r="AO416" s="430" t="s">
        <v>402</v>
      </c>
      <c r="AP416" s="430" t="s">
        <v>2045</v>
      </c>
      <c r="AQ416" s="430" t="s">
        <v>80</v>
      </c>
      <c r="AR416" s="430" t="s">
        <v>2050</v>
      </c>
      <c r="AS416" s="430" t="s">
        <v>2051</v>
      </c>
      <c r="AT416" s="482" t="s">
        <v>2051</v>
      </c>
      <c r="AU41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V416" s="430"/>
      <c r="AW416" s="437" cm="1">
        <f t="array" ref="AW41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46170</v>
      </c>
      <c r="AX41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16" s="437">
        <f>IF(ISERROR(PV_DATA[[#This Row],[New Ark PO status]]),"",_xlfn.XLOOKUP(PV_DATA[[#This Row],[SPTN-PVHK New Ark PO'#]],New_Ark_Data[Purchase order Number],New_Ark_Data[Estimated time of arrival],"",0))</f>
        <v>46177</v>
      </c>
      <c r="AZ416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416" s="437">
        <f>IFERROR(PV_DATA[[#This Row],[ODP ETA Port]]+PV_DATA[[#This Row],[Customs/Leg3 Assumption]],"n/a")</f>
        <v>46170</v>
      </c>
      <c r="BB416" s="433">
        <f>YEAR(PV_DATA[[#This Row],[ETA for New Ark update]])</f>
        <v>2026</v>
      </c>
      <c r="BC416" s="430">
        <f>MONTH(PV_DATA[[#This Row],[ETA for New Ark update]])</f>
        <v>5</v>
      </c>
      <c r="BD416" s="430">
        <f>IFERROR(_xlfn.ISOWEEKNUM(PV_DATA[[#This Row],[ETA for New Ark update]]),0)</f>
        <v>22</v>
      </c>
      <c r="BE416" s="431">
        <f>_xlfn.XLOOKUP(PV_DATA[[#This Row],[New Ark SKU]],Table9[New Ark SKU],Table9[Total PCS per Pallet],,0)</f>
        <v>33</v>
      </c>
      <c r="BF416" s="431">
        <f>_xlfn.XLOOKUP(PV_DATA[[#This Row],[New Ark SKU]],Table9[New Ark SKU],Table9[Total PCS per 40HQ Container],,0)</f>
        <v>594</v>
      </c>
      <c r="BG416" s="431" t="str">
        <f>_xlfn.XLOOKUP(PV_DATA[[#This Row],[New Ark SKU]],Table9[New Ark SKU],Table9[Back Glass],,0)</f>
        <v>Transparent</v>
      </c>
      <c r="BH416" s="431" t="str">
        <f>_xlfn.XLOOKUP(PV_DATA[[#This Row],[PORT DESTINATION]],Table12[PORT DESTINATION],Table12[Cosco Line],,0)</f>
        <v>AEU</v>
      </c>
    </row>
    <row r="417" spans="1:62" hidden="1">
      <c r="A417" s="446" t="s">
        <v>2052</v>
      </c>
      <c r="B417" s="716" t="s">
        <v>1888</v>
      </c>
      <c r="C417" s="446" t="str">
        <f>IFERROR(LEFT(PV_DATA[[#This Row],[TCL REFERENCE]],FIND(".",PV_DATA[[#This Row],[TCL REFERENCE]],1)-1),"Main Line")</f>
        <v>26Feb017</v>
      </c>
      <c r="D417" s="717" t="s">
        <v>63</v>
      </c>
      <c r="E417" s="718" t="s">
        <v>144</v>
      </c>
      <c r="F417" s="462" t="str" cm="1">
        <f t="array" ref="F41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417" s="446" t="s">
        <v>402</v>
      </c>
      <c r="H417" s="446" t="s">
        <v>1449</v>
      </c>
      <c r="I417" s="718" t="s">
        <v>689</v>
      </c>
      <c r="J417" s="450" t="s">
        <v>2053</v>
      </c>
      <c r="K417" s="455" t="s">
        <v>1451</v>
      </c>
      <c r="L417" s="450">
        <v>3</v>
      </c>
      <c r="M417" s="450" t="s">
        <v>840</v>
      </c>
      <c r="N417" s="455">
        <v>46104</v>
      </c>
      <c r="O417" s="455" t="s">
        <v>70</v>
      </c>
      <c r="P417" s="450" t="s">
        <v>195</v>
      </c>
      <c r="Q417" s="450" t="s">
        <v>196</v>
      </c>
      <c r="R417" s="431" t="str">
        <f>_xlfn.XLOOKUP(PV_DATA[[#This Row],[New Ark SKU]],Table9[New Ark SKU],Table9[Connector],,0)</f>
        <v>EVO2A</v>
      </c>
      <c r="S417" s="442" t="str">
        <f>_xlfn.XLOOKUP(PV_DATA[[#This Row],[New Ark SKU]],Table9[New Ark SKU],Table9[Cable],,0)</f>
        <v>±1200mm</v>
      </c>
      <c r="T417" s="450">
        <v>450</v>
      </c>
      <c r="U417" s="1065">
        <f>936*11</f>
        <v>10296</v>
      </c>
      <c r="V417" s="464">
        <f>PV_DATA[[#This Row],[QUANTITY]]*PV_DATA[[#This Row],[WATT]]/1000000</f>
        <v>4.6332000000000004</v>
      </c>
      <c r="W417" s="450">
        <f>PV_DATA[[#This Row],[QUANTITY]]/PV_DATA[[#This Row],[Qty/Pallet]]</f>
        <v>286</v>
      </c>
      <c r="X417" s="1059">
        <f>PV_DATA[[#This Row],[QUANTITY]]/PV_DATA[[#This Row],[Qty/CT]]</f>
        <v>11</v>
      </c>
      <c r="Y417" s="450" t="s">
        <v>75</v>
      </c>
      <c r="Z417" s="430" t="str">
        <f t="shared" si="3"/>
        <v>COMPLETED</v>
      </c>
      <c r="AA417" s="450" t="s">
        <v>2054</v>
      </c>
      <c r="AB417" s="455">
        <v>46120</v>
      </c>
      <c r="AC417" s="438">
        <f>IF(PV_DATA[[#This Row],[Pick-Up Date]]&lt;&gt;"",_xlfn.ISOWEEKNUM(PV_DATA[[#This Row],[Pick-Up Date]]),"")</f>
        <v>15</v>
      </c>
      <c r="AD417" s="450" t="s">
        <v>2055</v>
      </c>
      <c r="AE417" s="437"/>
      <c r="AF417" s="455" t="s">
        <v>4429</v>
      </c>
      <c r="AG417" s="455" t="s">
        <v>123</v>
      </c>
      <c r="AH417" s="450" t="s">
        <v>105</v>
      </c>
      <c r="AI417" s="455">
        <v>46124</v>
      </c>
      <c r="AJ417" s="455">
        <v>46127</v>
      </c>
      <c r="AK417" s="455">
        <v>46127</v>
      </c>
      <c r="AL417" s="455">
        <v>46161</v>
      </c>
      <c r="AM417" s="455">
        <v>46172</v>
      </c>
      <c r="AN417" s="455">
        <v>46174</v>
      </c>
      <c r="AO417" s="450" t="s">
        <v>402</v>
      </c>
      <c r="AP417" s="450" t="s">
        <v>2006</v>
      </c>
      <c r="AQ417" s="450" t="s">
        <v>80</v>
      </c>
      <c r="AR417" s="450" t="s">
        <v>2056</v>
      </c>
      <c r="AS417" s="450" t="s">
        <v>2057</v>
      </c>
      <c r="AT417" s="482" t="s">
        <v>2058</v>
      </c>
      <c r="AU41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V417" s="450"/>
      <c r="AW417" s="455" cm="1">
        <f t="array" ref="AW41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46174</v>
      </c>
      <c r="AX41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17" s="455">
        <f>IF(ISERROR(PV_DATA[[#This Row],[New Ark PO status]]),"",_xlfn.XLOOKUP(PV_DATA[[#This Row],[SPTN-PVHK New Ark PO'#]],New_Ark_Data[Purchase order Number],New_Ark_Data[Estimated time of arrival],"",0))</f>
        <v>46168</v>
      </c>
      <c r="AZ417" s="45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417" s="437">
        <f>IFERROR(PV_DATA[[#This Row],[ODP ETA Port]]+PV_DATA[[#This Row],[Customs/Leg3 Assumption]],"n/a")</f>
        <v>46174</v>
      </c>
      <c r="BB417" s="452">
        <f>YEAR(PV_DATA[[#This Row],[ETA for New Ark update]])</f>
        <v>2026</v>
      </c>
      <c r="BC417" s="450">
        <f>MONTH(PV_DATA[[#This Row],[ETA for New Ark update]])</f>
        <v>6</v>
      </c>
      <c r="BD417" s="450">
        <f>IFERROR(_xlfn.ISOWEEKNUM(PV_DATA[[#This Row],[ETA for New Ark update]]),0)</f>
        <v>23</v>
      </c>
      <c r="BE417" s="431">
        <f>_xlfn.XLOOKUP(PV_DATA[[#This Row],[New Ark SKU]],Table9[New Ark SKU],Table9[Total PCS per Pallet],,0)</f>
        <v>36</v>
      </c>
      <c r="BF417" s="431">
        <f>_xlfn.XLOOKUP(PV_DATA[[#This Row],[New Ark SKU]],Table9[New Ark SKU],Table9[Total PCS per 40HQ Container],,0)</f>
        <v>936</v>
      </c>
      <c r="BG417" s="431" t="str">
        <f>_xlfn.XLOOKUP(PV_DATA[[#This Row],[New Ark SKU]],Table9[New Ark SKU],Table9[Back Glass],,0)</f>
        <v>Black glazing</v>
      </c>
      <c r="BH417" s="431" t="str">
        <f>_xlfn.XLOOKUP(PV_DATA[[#This Row],[PORT DESTINATION]],Table12[PORT DESTINATION],Table12[Cosco Line],,0)</f>
        <v>AEU</v>
      </c>
      <c r="BJ417" s="430"/>
    </row>
    <row r="418" spans="1:62" hidden="1">
      <c r="A418" s="439" t="s">
        <v>2059</v>
      </c>
      <c r="B418" s="719" t="s">
        <v>1888</v>
      </c>
      <c r="C418" s="439" t="str">
        <f>IFERROR(LEFT(PV_DATA[[#This Row],[TCL REFERENCE]],FIND(".",PV_DATA[[#This Row],[TCL REFERENCE]],1)-1),"Main Line")</f>
        <v>26Feb017</v>
      </c>
      <c r="D418" s="439" t="s">
        <v>63</v>
      </c>
      <c r="E418" s="719" t="s">
        <v>144</v>
      </c>
      <c r="F418" s="462" t="str" cm="1">
        <f t="array" ref="F41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418" s="719" t="s">
        <v>402</v>
      </c>
      <c r="H418" s="719" t="s">
        <v>1449</v>
      </c>
      <c r="I418" s="439" t="s">
        <v>689</v>
      </c>
      <c r="J418" s="431" t="s">
        <v>2053</v>
      </c>
      <c r="K418" s="431" t="s">
        <v>1451</v>
      </c>
      <c r="L418" s="450">
        <v>4</v>
      </c>
      <c r="M418" s="431" t="s">
        <v>840</v>
      </c>
      <c r="N418" s="441">
        <v>46104</v>
      </c>
      <c r="O418" s="431" t="s">
        <v>70</v>
      </c>
      <c r="P418" s="431" t="s">
        <v>195</v>
      </c>
      <c r="Q418" s="431" t="s">
        <v>196</v>
      </c>
      <c r="R418" s="431" t="str">
        <f>_xlfn.XLOOKUP(PV_DATA[[#This Row],[New Ark SKU]],Table9[New Ark SKU],Table9[Connector],,0)</f>
        <v>EVO2A</v>
      </c>
      <c r="S418" s="442" t="str">
        <f>_xlfn.XLOOKUP(PV_DATA[[#This Row],[New Ark SKU]],Table9[New Ark SKU],Table9[Cable],,0)</f>
        <v>±1200mm</v>
      </c>
      <c r="T418" s="431">
        <v>450</v>
      </c>
      <c r="U418" s="1062">
        <f>936*3</f>
        <v>2808</v>
      </c>
      <c r="V418" s="434">
        <f>PV_DATA[[#This Row],[QUANTITY]]*PV_DATA[[#This Row],[WATT]]/1000000</f>
        <v>1.2636000000000001</v>
      </c>
      <c r="W418" s="435">
        <f>PV_DATA[[#This Row],[QUANTITY]]/PV_DATA[[#This Row],[Qty/Pallet]]</f>
        <v>78</v>
      </c>
      <c r="X418" s="1015">
        <f>PV_DATA[[#This Row],[QUANTITY]]/PV_DATA[[#This Row],[Qty/CT]]</f>
        <v>3</v>
      </c>
      <c r="Y418" s="430" t="s">
        <v>75</v>
      </c>
      <c r="Z418" s="430" t="str">
        <f t="shared" si="3"/>
        <v>COMPLETED</v>
      </c>
      <c r="AA418" s="431" t="s">
        <v>2054</v>
      </c>
      <c r="AB418" s="441">
        <v>46121</v>
      </c>
      <c r="AC418" s="438">
        <f>IF(PV_DATA[[#This Row],[Pick-Up Date]]&lt;&gt;"",_xlfn.ISOWEEKNUM(PV_DATA[[#This Row],[Pick-Up Date]]),"")</f>
        <v>15</v>
      </c>
      <c r="AD418" s="431" t="s">
        <v>2060</v>
      </c>
      <c r="AE418" s="431"/>
      <c r="AF418" s="431" t="s">
        <v>4429</v>
      </c>
      <c r="AG418" s="431" t="s">
        <v>123</v>
      </c>
      <c r="AH418" s="431" t="s">
        <v>105</v>
      </c>
      <c r="AI418" s="441">
        <v>46124</v>
      </c>
      <c r="AJ418" s="441">
        <v>46125</v>
      </c>
      <c r="AK418" s="441">
        <v>46125</v>
      </c>
      <c r="AL418" s="441">
        <v>46169</v>
      </c>
      <c r="AM418" s="441">
        <v>46172</v>
      </c>
      <c r="AN418" s="441">
        <v>46170</v>
      </c>
      <c r="AO418" s="431" t="s">
        <v>402</v>
      </c>
      <c r="AP418" s="431" t="s">
        <v>2045</v>
      </c>
      <c r="AQ418" s="431" t="s">
        <v>80</v>
      </c>
      <c r="AR418" s="431" t="s">
        <v>2061</v>
      </c>
      <c r="AS418" s="431" t="s">
        <v>2062</v>
      </c>
      <c r="AT418" s="482" t="s">
        <v>2062</v>
      </c>
      <c r="AU41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V418" s="431"/>
      <c r="AW418" s="441" cm="1">
        <f t="array" ref="AW41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46170</v>
      </c>
      <c r="AX41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18" s="441">
        <f>IF(ISERROR(PV_DATA[[#This Row],[New Ark PO status]]),"",_xlfn.XLOOKUP(PV_DATA[[#This Row],[SPTN-PVHK New Ark PO'#]],New_Ark_Data[Purchase order Number],New_Ark_Data[Estimated time of arrival],"",0))</f>
        <v>46184</v>
      </c>
      <c r="AZ418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418" s="437">
        <f>IFERROR(PV_DATA[[#This Row],[ODP ETA Port]]+PV_DATA[[#This Row],[Customs/Leg3 Assumption]],"n/a")</f>
        <v>46170</v>
      </c>
      <c r="BB418" s="442">
        <f>YEAR(PV_DATA[[#This Row],[ETA for New Ark update]])</f>
        <v>2026</v>
      </c>
      <c r="BC418" s="431">
        <f>MONTH(PV_DATA[[#This Row],[ETA for New Ark update]])</f>
        <v>5</v>
      </c>
      <c r="BD418" s="431">
        <f>IFERROR(_xlfn.ISOWEEKNUM(PV_DATA[[#This Row],[ETA for New Ark update]]),0)</f>
        <v>22</v>
      </c>
      <c r="BE418" s="431">
        <f>_xlfn.XLOOKUP(PV_DATA[[#This Row],[New Ark SKU]],Table9[New Ark SKU],Table9[Total PCS per Pallet],,0)</f>
        <v>36</v>
      </c>
      <c r="BF418" s="431">
        <f>_xlfn.XLOOKUP(PV_DATA[[#This Row],[New Ark SKU]],Table9[New Ark SKU],Table9[Total PCS per 40HQ Container],,0)</f>
        <v>936</v>
      </c>
      <c r="BG418" s="431" t="str">
        <f>_xlfn.XLOOKUP(PV_DATA[[#This Row],[New Ark SKU]],Table9[New Ark SKU],Table9[Back Glass],,0)</f>
        <v>Black glazing</v>
      </c>
      <c r="BH418" s="431" t="str">
        <f>_xlfn.XLOOKUP(PV_DATA[[#This Row],[PORT DESTINATION]],Table12[PORT DESTINATION],Table12[Cosco Line],,0)</f>
        <v>AEU</v>
      </c>
      <c r="BJ418" s="430"/>
    </row>
    <row r="419" spans="1:62" hidden="1">
      <c r="A419" s="462" t="s">
        <v>2063</v>
      </c>
      <c r="B419" s="462" t="s">
        <v>1888</v>
      </c>
      <c r="C419" s="462" t="str">
        <f>IFERROR(LEFT(PV_DATA[[#This Row],[TCL REFERENCE]],FIND(".",PV_DATA[[#This Row],[TCL REFERENCE]],1)-1),"Main Line")</f>
        <v>26Feb017</v>
      </c>
      <c r="D419" s="462" t="s">
        <v>63</v>
      </c>
      <c r="E419" s="462" t="s">
        <v>64</v>
      </c>
      <c r="F419" s="462" t="str" cm="1">
        <f t="array" ref="F41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419" s="462" t="s">
        <v>402</v>
      </c>
      <c r="H419" s="462" t="s">
        <v>67</v>
      </c>
      <c r="I419" s="439" t="s">
        <v>689</v>
      </c>
      <c r="J419" s="430" t="s">
        <v>483</v>
      </c>
      <c r="K419" s="430"/>
      <c r="L419" s="430"/>
      <c r="M419" s="431" t="s">
        <v>68</v>
      </c>
      <c r="N419" s="432">
        <v>46104</v>
      </c>
      <c r="O419" s="430" t="s">
        <v>70</v>
      </c>
      <c r="P419" s="430" t="s">
        <v>195</v>
      </c>
      <c r="Q419" s="430" t="s">
        <v>196</v>
      </c>
      <c r="R419" s="431" t="str">
        <f>_xlfn.XLOOKUP(PV_DATA[[#This Row],[New Ark SKU]],Table9[New Ark SKU],Table9[Connector],,0)</f>
        <v>EVO2A</v>
      </c>
      <c r="S419" s="442" t="str">
        <f>_xlfn.XLOOKUP(PV_DATA[[#This Row],[New Ark SKU]],Table9[New Ark SKU],Table9[Cable],,0)</f>
        <v>±1200mm</v>
      </c>
      <c r="T419" s="433">
        <v>450</v>
      </c>
      <c r="U419" s="1062">
        <f>936*1</f>
        <v>936</v>
      </c>
      <c r="V419" s="434">
        <f>PV_DATA[[#This Row],[QUANTITY]]*PV_DATA[[#This Row],[WATT]]/1000000</f>
        <v>0.42120000000000002</v>
      </c>
      <c r="W419" s="435">
        <f>PV_DATA[[#This Row],[QUANTITY]]/PV_DATA[[#This Row],[Qty/Pallet]]</f>
        <v>26</v>
      </c>
      <c r="X419" s="1015">
        <f>PV_DATA[[#This Row],[QUANTITY]]/PV_DATA[[#This Row],[Qty/CT]]</f>
        <v>1</v>
      </c>
      <c r="Y419" s="430" t="s">
        <v>75</v>
      </c>
      <c r="Z419" s="430" t="str">
        <f t="shared" si="3"/>
        <v>COMPLETED</v>
      </c>
      <c r="AA419" s="430" t="s">
        <v>2054</v>
      </c>
      <c r="AB419" s="437">
        <v>46120</v>
      </c>
      <c r="AC419" s="438">
        <f>IF(PV_DATA[[#This Row],[Pick-Up Date]]&lt;&gt;"",_xlfn.ISOWEEKNUM(PV_DATA[[#This Row],[Pick-Up Date]]),"")</f>
        <v>15</v>
      </c>
      <c r="AD419" s="439" t="s">
        <v>2064</v>
      </c>
      <c r="AE419" s="430"/>
      <c r="AF419" s="430" t="s">
        <v>4429</v>
      </c>
      <c r="AG419" s="430" t="s">
        <v>123</v>
      </c>
      <c r="AH419" s="430" t="s">
        <v>105</v>
      </c>
      <c r="AI419" s="437">
        <v>46124</v>
      </c>
      <c r="AJ419" s="437">
        <v>46125</v>
      </c>
      <c r="AK419" s="441">
        <v>46125</v>
      </c>
      <c r="AL419" s="437">
        <v>46165</v>
      </c>
      <c r="AM419" s="437">
        <v>46165</v>
      </c>
      <c r="AN419" s="437">
        <v>46166</v>
      </c>
      <c r="AO419" s="430" t="s">
        <v>402</v>
      </c>
      <c r="AP419" s="430" t="s">
        <v>2065</v>
      </c>
      <c r="AQ419" s="430" t="s">
        <v>80</v>
      </c>
      <c r="AR419" s="430" t="s">
        <v>2066</v>
      </c>
      <c r="AS419" s="430" t="s">
        <v>2067</v>
      </c>
      <c r="AT419" s="482" t="s">
        <v>2067</v>
      </c>
      <c r="AU41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W419" s="437" cm="1">
        <f t="array" ref="AW41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46166</v>
      </c>
      <c r="AX41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19" s="437">
        <f>IF(ISERROR(PV_DATA[[#This Row],[New Ark PO status]]),"",_xlfn.XLOOKUP(PV_DATA[[#This Row],[SPTN-PVHK New Ark PO'#]],New_Ark_Data[Purchase order Number],New_Ark_Data[Estimated time of arrival],"",0))</f>
        <v>46181</v>
      </c>
      <c r="AZ419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19" s="437">
        <f>IFERROR(PV_DATA[[#This Row],[ODP ETA Port]]+PV_DATA[[#This Row],[Customs/Leg3 Assumption]],"n/a")</f>
        <v>46173</v>
      </c>
      <c r="BB419" s="433">
        <f>YEAR(PV_DATA[[#This Row],[ETA for New Ark update]])</f>
        <v>2026</v>
      </c>
      <c r="BC419" s="430">
        <f>MONTH(PV_DATA[[#This Row],[ETA for New Ark update]])</f>
        <v>5</v>
      </c>
      <c r="BD419" s="430">
        <f>IFERROR(_xlfn.ISOWEEKNUM(PV_DATA[[#This Row],[ETA for New Ark update]]),0)</f>
        <v>22</v>
      </c>
      <c r="BE419" s="431">
        <f>_xlfn.XLOOKUP(PV_DATA[[#This Row],[New Ark SKU]],Table9[New Ark SKU],Table9[Total PCS per Pallet],,0)</f>
        <v>36</v>
      </c>
      <c r="BF419" s="431">
        <f>_xlfn.XLOOKUP(PV_DATA[[#This Row],[New Ark SKU]],Table9[New Ark SKU],Table9[Total PCS per 40HQ Container],,0)</f>
        <v>936</v>
      </c>
      <c r="BG419" s="431" t="str">
        <f>_xlfn.XLOOKUP(PV_DATA[[#This Row],[New Ark SKU]],Table9[New Ark SKU],Table9[Back Glass],,0)</f>
        <v>Black glazing</v>
      </c>
      <c r="BH419" s="431" t="str">
        <f>_xlfn.XLOOKUP(PV_DATA[[#This Row],[PORT DESTINATION]],Table12[PORT DESTINATION],Table12[Cosco Line],,0)</f>
        <v>AEU</v>
      </c>
      <c r="BJ419" s="430"/>
    </row>
    <row r="420" spans="1:62" hidden="1">
      <c r="A420" s="462" t="s">
        <v>2068</v>
      </c>
      <c r="B420" s="462" t="s">
        <v>1888</v>
      </c>
      <c r="C420" s="462" t="str">
        <f>IFERROR(LEFT(PV_DATA[[#This Row],[TCL REFERENCE]],FIND(".",PV_DATA[[#This Row],[TCL REFERENCE]],1)-1),"Main Line")</f>
        <v>26Feb017</v>
      </c>
      <c r="D420" s="462" t="s">
        <v>63</v>
      </c>
      <c r="E420" s="462" t="s">
        <v>64</v>
      </c>
      <c r="F420" s="462" t="str" cm="1">
        <f t="array" ref="F42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420" s="462" t="s">
        <v>402</v>
      </c>
      <c r="H420" s="462" t="s">
        <v>67</v>
      </c>
      <c r="I420" s="439" t="s">
        <v>689</v>
      </c>
      <c r="J420" s="430" t="s">
        <v>483</v>
      </c>
      <c r="K420" s="430"/>
      <c r="L420" s="430"/>
      <c r="M420" s="431" t="s">
        <v>68</v>
      </c>
      <c r="N420" s="432">
        <v>46111</v>
      </c>
      <c r="O420" s="430" t="s">
        <v>70</v>
      </c>
      <c r="P420" s="430" t="s">
        <v>195</v>
      </c>
      <c r="Q420" s="430" t="s">
        <v>196</v>
      </c>
      <c r="R420" s="431" t="str">
        <f>_xlfn.XLOOKUP(PV_DATA[[#This Row],[New Ark SKU]],Table9[New Ark SKU],Table9[Connector],,0)</f>
        <v>EVO2A</v>
      </c>
      <c r="S420" s="442" t="str">
        <f>_xlfn.XLOOKUP(PV_DATA[[#This Row],[New Ark SKU]],Table9[New Ark SKU],Table9[Cable],,0)</f>
        <v>±1200mm</v>
      </c>
      <c r="T420" s="433">
        <v>450</v>
      </c>
      <c r="U420" s="1062">
        <v>936</v>
      </c>
      <c r="V420" s="434">
        <f>PV_DATA[[#This Row],[QUANTITY]]*PV_DATA[[#This Row],[WATT]]/1000000</f>
        <v>0.42120000000000002</v>
      </c>
      <c r="W420" s="435">
        <f>PV_DATA[[#This Row],[QUANTITY]]/PV_DATA[[#This Row],[Qty/Pallet]]</f>
        <v>26</v>
      </c>
      <c r="X420" s="1015">
        <f>PV_DATA[[#This Row],[QUANTITY]]/PV_DATA[[#This Row],[Qty/CT]]</f>
        <v>1</v>
      </c>
      <c r="Y420" s="430" t="s">
        <v>75</v>
      </c>
      <c r="Z420" s="430" t="str">
        <f t="shared" si="3"/>
        <v>COMPLETED</v>
      </c>
      <c r="AA420" s="430"/>
      <c r="AB420" s="437">
        <v>46120</v>
      </c>
      <c r="AC420" s="438">
        <f>IF(PV_DATA[[#This Row],[Pick-Up Date]]&lt;&gt;"",_xlfn.ISOWEEKNUM(PV_DATA[[#This Row],[Pick-Up Date]]),"")</f>
        <v>15</v>
      </c>
      <c r="AD420" s="439" t="s">
        <v>2069</v>
      </c>
      <c r="AE420" s="430"/>
      <c r="AF420" s="430" t="s">
        <v>4429</v>
      </c>
      <c r="AG420" s="430" t="s">
        <v>123</v>
      </c>
      <c r="AH420" s="430" t="s">
        <v>105</v>
      </c>
      <c r="AI420" s="437">
        <v>46124</v>
      </c>
      <c r="AJ420" s="437">
        <v>46125</v>
      </c>
      <c r="AK420" s="441">
        <v>46125</v>
      </c>
      <c r="AL420" s="437">
        <v>46165</v>
      </c>
      <c r="AM420" s="437">
        <v>46165</v>
      </c>
      <c r="AN420" s="437">
        <v>46166</v>
      </c>
      <c r="AO420" s="430" t="s">
        <v>402</v>
      </c>
      <c r="AP420" s="430" t="s">
        <v>2065</v>
      </c>
      <c r="AQ420" s="430" t="s">
        <v>80</v>
      </c>
      <c r="AR420" s="430" t="s">
        <v>2066</v>
      </c>
      <c r="AS420" s="430" t="s">
        <v>2067</v>
      </c>
      <c r="AT420" s="482" t="s">
        <v>2067</v>
      </c>
      <c r="AU42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W420" s="437" cm="1">
        <f t="array" ref="AW42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46166</v>
      </c>
      <c r="AX42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20" s="437">
        <f>IF(ISERROR(PV_DATA[[#This Row],[New Ark PO status]]),"",_xlfn.XLOOKUP(PV_DATA[[#This Row],[SPTN-PVHK New Ark PO'#]],New_Ark_Data[Purchase order Number],New_Ark_Data[Estimated time of arrival],"",0))</f>
        <v>46181</v>
      </c>
      <c r="AZ420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20" s="437">
        <f>IFERROR(PV_DATA[[#This Row],[ODP ETA Port]]+PV_DATA[[#This Row],[Customs/Leg3 Assumption]],"n/a")</f>
        <v>46173</v>
      </c>
      <c r="BB420" s="433">
        <f>YEAR(PV_DATA[[#This Row],[ETA for New Ark update]])</f>
        <v>2026</v>
      </c>
      <c r="BC420" s="430">
        <f>MONTH(PV_DATA[[#This Row],[ETA for New Ark update]])</f>
        <v>5</v>
      </c>
      <c r="BD420" s="430">
        <f>IFERROR(_xlfn.ISOWEEKNUM(PV_DATA[[#This Row],[ETA for New Ark update]]),0)</f>
        <v>22</v>
      </c>
      <c r="BE420" s="431">
        <f>_xlfn.XLOOKUP(PV_DATA[[#This Row],[New Ark SKU]],Table9[New Ark SKU],Table9[Total PCS per Pallet],,0)</f>
        <v>36</v>
      </c>
      <c r="BF420" s="431">
        <f>_xlfn.XLOOKUP(PV_DATA[[#This Row],[New Ark SKU]],Table9[New Ark SKU],Table9[Total PCS per 40HQ Container],,0)</f>
        <v>936</v>
      </c>
      <c r="BG420" s="431" t="str">
        <f>_xlfn.XLOOKUP(PV_DATA[[#This Row],[New Ark SKU]],Table9[New Ark SKU],Table9[Back Glass],,0)</f>
        <v>Black glazing</v>
      </c>
      <c r="BH420" s="431" t="str">
        <f>_xlfn.XLOOKUP(PV_DATA[[#This Row],[PORT DESTINATION]],Table12[PORT DESTINATION],Table12[Cosco Line],,0)</f>
        <v>AEU</v>
      </c>
      <c r="BJ420" s="430"/>
    </row>
    <row r="421" spans="1:62" hidden="1">
      <c r="A421" s="462" t="s">
        <v>1893</v>
      </c>
      <c r="B421" s="462" t="s">
        <v>111</v>
      </c>
      <c r="C421" s="462" t="str">
        <f>IFERROR(LEFT(PV_DATA[[#This Row],[TCL REFERENCE]],FIND(".",PV_DATA[[#This Row],[TCL REFERENCE]],1)-1),"Main Line")</f>
        <v>Main Line</v>
      </c>
      <c r="D421" s="462" t="s">
        <v>63</v>
      </c>
      <c r="E421" s="462" t="s">
        <v>144</v>
      </c>
      <c r="F421" s="462" t="str" cm="1">
        <f t="array" ref="F42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421" s="462" t="s">
        <v>402</v>
      </c>
      <c r="H421" s="462" t="s">
        <v>593</v>
      </c>
      <c r="I421" s="439" t="s">
        <v>689</v>
      </c>
      <c r="J421" s="430" t="s">
        <v>2070</v>
      </c>
      <c r="K421" s="430" t="s">
        <v>2071</v>
      </c>
      <c r="L421" s="430"/>
      <c r="M421" s="430" t="s">
        <v>840</v>
      </c>
      <c r="N421" s="432">
        <v>46111</v>
      </c>
      <c r="O421" s="430" t="s">
        <v>132</v>
      </c>
      <c r="P421" s="430" t="s">
        <v>1894</v>
      </c>
      <c r="Q421" s="430" t="s">
        <v>1895</v>
      </c>
      <c r="R421" s="431" t="str">
        <f>_xlfn.XLOOKUP(PV_DATA[[#This Row],[New Ark SKU]],Table9[New Ark SKU],Table9[Connector],,0)</f>
        <v>EVO2A</v>
      </c>
      <c r="S421" s="442" t="str">
        <f>_xlfn.XLOOKUP(PV_DATA[[#This Row],[New Ark SKU]],Table9[New Ark SKU],Table9[Cable],,0)</f>
        <v>±1400mm</v>
      </c>
      <c r="T421" s="433">
        <v>560</v>
      </c>
      <c r="U421" s="1062" cm="1">
        <f t="array" ref="U421">5940-fx_qty</f>
        <v>2640</v>
      </c>
      <c r="V421" s="434">
        <f>PV_DATA[[#This Row],[QUANTITY]]*PV_DATA[[#This Row],[WATT]]/1000000</f>
        <v>1.4783999999999999</v>
      </c>
      <c r="W421" s="435">
        <f>PV_DATA[[#This Row],[QUANTITY]]/PV_DATA[[#This Row],[Qty/Pallet]]</f>
        <v>80</v>
      </c>
      <c r="X421" s="1015">
        <f>PV_DATA[[#This Row],[QUANTITY]]/PV_DATA[[#This Row],[Qty/CT]]</f>
        <v>4</v>
      </c>
      <c r="Y421" s="430" t="s">
        <v>951</v>
      </c>
      <c r="Z421" s="430" t="str">
        <f t="shared" si="3"/>
        <v>COMPLETED</v>
      </c>
      <c r="AA421" s="430" t="s">
        <v>1896</v>
      </c>
      <c r="AB421" s="437">
        <v>46119</v>
      </c>
      <c r="AC421" s="438">
        <f>IF(PV_DATA[[#This Row],[Pick-Up Date]]&lt;&gt;"",_xlfn.ISOWEEKNUM(PV_DATA[[#This Row],[Pick-Up Date]]),"")</f>
        <v>15</v>
      </c>
      <c r="AD421" s="439" t="s">
        <v>2072</v>
      </c>
      <c r="AE421" s="430"/>
      <c r="AF421" s="430" t="s">
        <v>4427</v>
      </c>
      <c r="AG421" s="430" t="s">
        <v>123</v>
      </c>
      <c r="AH421" s="430" t="s">
        <v>124</v>
      </c>
      <c r="AI421" s="437">
        <v>46122</v>
      </c>
      <c r="AJ421" s="437">
        <v>46122</v>
      </c>
      <c r="AK421" s="441">
        <v>46124</v>
      </c>
      <c r="AL421" s="437">
        <v>46177</v>
      </c>
      <c r="AM421" s="437">
        <v>46207</v>
      </c>
      <c r="AN421" s="437">
        <v>46207</v>
      </c>
      <c r="AO421" s="430" t="s">
        <v>402</v>
      </c>
      <c r="AP421" s="430" t="s">
        <v>2073</v>
      </c>
      <c r="AQ421" s="430" t="s">
        <v>80</v>
      </c>
      <c r="AR421" s="430" t="s">
        <v>2074</v>
      </c>
      <c r="AS421" s="430" t="s">
        <v>2075</v>
      </c>
      <c r="AT421" s="482" t="s">
        <v>2075</v>
      </c>
      <c r="AU42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83</v>
      </c>
      <c r="AW421" s="437" cm="1">
        <f t="array" ref="AW42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46207</v>
      </c>
      <c r="AX42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21" s="437">
        <f>IF(ISERROR(PV_DATA[[#This Row],[New Ark PO status]]),"",_xlfn.XLOOKUP(PV_DATA[[#This Row],[SPTN-PVHK New Ark PO'#]],New_Ark_Data[Purchase order Number],New_Ark_Data[Estimated time of arrival],"",0))</f>
        <v>46191</v>
      </c>
      <c r="AZ421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421" s="437">
        <f>IFERROR(PV_DATA[[#This Row],[ODP ETA Port]]+PV_DATA[[#This Row],[Customs/Leg3 Assumption]],"n/a")</f>
        <v>46207</v>
      </c>
      <c r="BB421" s="433">
        <f>YEAR(PV_DATA[[#This Row],[ETA for New Ark update]])</f>
        <v>2026</v>
      </c>
      <c r="BC421" s="430">
        <f>MONTH(PV_DATA[[#This Row],[ETA for New Ark update]])</f>
        <v>7</v>
      </c>
      <c r="BD421" s="430">
        <f>IFERROR(_xlfn.ISOWEEKNUM(PV_DATA[[#This Row],[ETA for New Ark update]]),0)</f>
        <v>27</v>
      </c>
      <c r="BE421" s="431">
        <f>_xlfn.XLOOKUP(PV_DATA[[#This Row],[New Ark SKU]],Table9[New Ark SKU],Table9[Total PCS per Pallet],,0)</f>
        <v>33</v>
      </c>
      <c r="BF421" s="431">
        <f>_xlfn.XLOOKUP(PV_DATA[[#This Row],[New Ark SKU]],Table9[New Ark SKU],Table9[Total PCS per 40HQ Container],,0)</f>
        <v>660</v>
      </c>
      <c r="BG421" s="431" t="str">
        <f>_xlfn.XLOOKUP(PV_DATA[[#This Row],[New Ark SKU]],Table9[New Ark SKU],Table9[Back Glass],,0)</f>
        <v>White glazing</v>
      </c>
      <c r="BH421" s="431" t="str">
        <f>_xlfn.XLOOKUP(PV_DATA[[#This Row],[PORT DESTINATION]],Table12[PORT DESTINATION],Table12[Cosco Line],,0)</f>
        <v>AEM</v>
      </c>
      <c r="BJ421" s="430"/>
    </row>
    <row r="422" spans="1:62" hidden="1">
      <c r="A422" s="462" t="s">
        <v>2076</v>
      </c>
      <c r="B422" s="462" t="s">
        <v>111</v>
      </c>
      <c r="C422" s="462" t="str">
        <f>IFERROR(LEFT(PV_DATA[[#This Row],[TCL REFERENCE]],FIND(".",PV_DATA[[#This Row],[TCL REFERENCE]],1)-1),"Main Line")</f>
        <v>26Feb005</v>
      </c>
      <c r="D422" s="462" t="s">
        <v>63</v>
      </c>
      <c r="E422" s="462" t="s">
        <v>64</v>
      </c>
      <c r="F422" s="462" t="str" cm="1">
        <f t="array" ref="F42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422" s="462" t="s">
        <v>402</v>
      </c>
      <c r="H422" s="462" t="s">
        <v>311</v>
      </c>
      <c r="I422" s="439" t="s">
        <v>1395</v>
      </c>
      <c r="J422" s="430" t="s">
        <v>96</v>
      </c>
      <c r="K422" s="430"/>
      <c r="L422" s="430"/>
      <c r="M422" s="430" t="s">
        <v>68</v>
      </c>
      <c r="N422" s="432">
        <v>46111</v>
      </c>
      <c r="O422" s="430" t="s">
        <v>170</v>
      </c>
      <c r="P422" s="430" t="s">
        <v>171</v>
      </c>
      <c r="Q422" s="430" t="s">
        <v>1731</v>
      </c>
      <c r="R422" s="431" t="str">
        <f>_xlfn.XLOOKUP(PV_DATA[[#This Row],[New Ark SKU]],Table9[New Ark SKU],Table9[Connector],,0)</f>
        <v>EVO2A</v>
      </c>
      <c r="S422" s="442" t="str">
        <f>_xlfn.XLOOKUP(PV_DATA[[#This Row],[New Ark SKU]],Table9[New Ark SKU],Table9[Cable],,0)</f>
        <v>±1400mm</v>
      </c>
      <c r="T422" s="433">
        <v>555</v>
      </c>
      <c r="U422" s="1062">
        <v>2640</v>
      </c>
      <c r="V422" s="434">
        <f>PV_DATA[[#This Row],[QUANTITY]]*PV_DATA[[#This Row],[WATT]]/1000000</f>
        <v>1.4652000000000001</v>
      </c>
      <c r="W422" s="435">
        <f>PV_DATA[[#This Row],[QUANTITY]]/PV_DATA[[#This Row],[Qty/Pallet]]</f>
        <v>80</v>
      </c>
      <c r="X422" s="1015">
        <f>PV_DATA[[#This Row],[QUANTITY]]/PV_DATA[[#This Row],[Qty/CT]]</f>
        <v>4</v>
      </c>
      <c r="Y422" s="430" t="s">
        <v>75</v>
      </c>
      <c r="Z422" s="430" t="str">
        <f t="shared" si="3"/>
        <v>COMPLETED</v>
      </c>
      <c r="AA422" s="430" t="s">
        <v>2077</v>
      </c>
      <c r="AB422" s="437">
        <v>46117</v>
      </c>
      <c r="AC422" s="438">
        <f>IF(PV_DATA[[#This Row],[Pick-Up Date]]&lt;&gt;"",_xlfn.ISOWEEKNUM(PV_DATA[[#This Row],[Pick-Up Date]]),"")</f>
        <v>14</v>
      </c>
      <c r="AD422" s="439" t="s">
        <v>2078</v>
      </c>
      <c r="AE422" s="430"/>
      <c r="AF422" s="430" t="s">
        <v>4432</v>
      </c>
      <c r="AG422" s="430" t="s">
        <v>123</v>
      </c>
      <c r="AH422" s="430" t="s">
        <v>314</v>
      </c>
      <c r="AI422" s="437">
        <v>46122</v>
      </c>
      <c r="AJ422" s="437">
        <v>46122</v>
      </c>
      <c r="AK422" s="441">
        <v>46124</v>
      </c>
      <c r="AL422" s="437">
        <v>46169</v>
      </c>
      <c r="AM422" s="437">
        <v>46169</v>
      </c>
      <c r="AN422" s="437">
        <v>46175</v>
      </c>
      <c r="AO422" s="430" t="s">
        <v>402</v>
      </c>
      <c r="AP422" s="430" t="s">
        <v>2073</v>
      </c>
      <c r="AQ422" s="430" t="s">
        <v>80</v>
      </c>
      <c r="AR422" s="430" t="s">
        <v>2079</v>
      </c>
      <c r="AS422" s="430" t="s">
        <v>2080</v>
      </c>
      <c r="AT422" s="482" t="s">
        <v>2080</v>
      </c>
      <c r="AU42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</v>
      </c>
      <c r="AW422" s="437" cm="1">
        <f t="array" ref="AW42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46175</v>
      </c>
      <c r="AX42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22" s="437">
        <f>IF(ISERROR(PV_DATA[[#This Row],[New Ark PO status]]),"",_xlfn.XLOOKUP(PV_DATA[[#This Row],[SPTN-PVHK New Ark PO'#]],New_Ark_Data[Purchase order Number],New_Ark_Data[Estimated time of arrival],"",0))</f>
        <v>46190</v>
      </c>
      <c r="AZ422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22" s="437">
        <f>IFERROR(PV_DATA[[#This Row],[ODP ETA Port]]+PV_DATA[[#This Row],[Customs/Leg3 Assumption]],"n/a")</f>
        <v>46185</v>
      </c>
      <c r="BB422" s="433">
        <f>YEAR(PV_DATA[[#This Row],[ETA for New Ark update]])</f>
        <v>2026</v>
      </c>
      <c r="BC422" s="430">
        <f>MONTH(PV_DATA[[#This Row],[ETA for New Ark update]])</f>
        <v>6</v>
      </c>
      <c r="BD422" s="430">
        <f>IFERROR(_xlfn.ISOWEEKNUM(PV_DATA[[#This Row],[ETA for New Ark update]]),0)</f>
        <v>24</v>
      </c>
      <c r="BE422" s="431">
        <f>_xlfn.XLOOKUP(PV_DATA[[#This Row],[New Ark SKU]],Table9[New Ark SKU],Table9[Total PCS per Pallet],,0)</f>
        <v>33</v>
      </c>
      <c r="BF422" s="431">
        <f>_xlfn.XLOOKUP(PV_DATA[[#This Row],[New Ark SKU]],Table9[New Ark SKU],Table9[Total PCS per 40HQ Container],,0)</f>
        <v>660</v>
      </c>
      <c r="BG422" s="431" t="str">
        <f>_xlfn.XLOOKUP(PV_DATA[[#This Row],[New Ark SKU]],Table9[New Ark SKU],Table9[Back Glass],,0)</f>
        <v>White glazing</v>
      </c>
      <c r="BH422" s="431" t="str">
        <f>_xlfn.XLOOKUP(PV_DATA[[#This Row],[PORT DESTINATION]],Table12[PORT DESTINATION],Table12[Cosco Line],,0)</f>
        <v>AEM</v>
      </c>
      <c r="BJ422" s="430"/>
    </row>
    <row r="423" spans="1:62" hidden="1">
      <c r="A423" s="462" t="s">
        <v>2081</v>
      </c>
      <c r="B423" s="462" t="s">
        <v>111</v>
      </c>
      <c r="C423" s="462" t="str">
        <f>IFERROR(LEFT(PV_DATA[[#This Row],[TCL REFERENCE]],FIND(".",PV_DATA[[#This Row],[TCL REFERENCE]],1)-1),"Main Line")</f>
        <v>26Feb005</v>
      </c>
      <c r="D423" s="462" t="s">
        <v>63</v>
      </c>
      <c r="E423" s="462" t="s">
        <v>64</v>
      </c>
      <c r="F423" s="462" t="str" cm="1">
        <f t="array" ref="F42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423" s="462" t="s">
        <v>402</v>
      </c>
      <c r="H423" s="462" t="s">
        <v>311</v>
      </c>
      <c r="I423" s="439" t="s">
        <v>1395</v>
      </c>
      <c r="J423" s="430" t="s">
        <v>96</v>
      </c>
      <c r="K423" s="430"/>
      <c r="L423" s="430"/>
      <c r="M423" s="430" t="s">
        <v>68</v>
      </c>
      <c r="N423" s="432">
        <v>46111</v>
      </c>
      <c r="O423" s="430" t="s">
        <v>170</v>
      </c>
      <c r="P423" s="430" t="s">
        <v>171</v>
      </c>
      <c r="Q423" s="430" t="s">
        <v>1731</v>
      </c>
      <c r="R423" s="431" t="str">
        <f>_xlfn.XLOOKUP(PV_DATA[[#This Row],[New Ark SKU]],Table9[New Ark SKU],Table9[Connector],,0)</f>
        <v>EVO2A</v>
      </c>
      <c r="S423" s="442" t="str">
        <f>_xlfn.XLOOKUP(PV_DATA[[#This Row],[New Ark SKU]],Table9[New Ark SKU],Table9[Cable],,0)</f>
        <v>±1400mm</v>
      </c>
      <c r="T423" s="433">
        <v>555</v>
      </c>
      <c r="U423" s="1062">
        <f>660*1</f>
        <v>660</v>
      </c>
      <c r="V423" s="434">
        <f>PV_DATA[[#This Row],[QUANTITY]]*PV_DATA[[#This Row],[WATT]]/1000000</f>
        <v>0.36630000000000001</v>
      </c>
      <c r="W423" s="435">
        <f>PV_DATA[[#This Row],[QUANTITY]]/PV_DATA[[#This Row],[Qty/Pallet]]</f>
        <v>20</v>
      </c>
      <c r="X423" s="1015">
        <f>PV_DATA[[#This Row],[QUANTITY]]/PV_DATA[[#This Row],[Qty/CT]]</f>
        <v>1</v>
      </c>
      <c r="Y423" s="430" t="s">
        <v>75</v>
      </c>
      <c r="Z423" s="430" t="str">
        <f t="shared" si="3"/>
        <v>COMPLETED</v>
      </c>
      <c r="AA423" s="430" t="s">
        <v>2082</v>
      </c>
      <c r="AB423" s="437">
        <v>46117</v>
      </c>
      <c r="AC423" s="438">
        <f>IF(PV_DATA[[#This Row],[Pick-Up Date]]&lt;&gt;"",_xlfn.ISOWEEKNUM(PV_DATA[[#This Row],[Pick-Up Date]]),"")</f>
        <v>14</v>
      </c>
      <c r="AD423" s="439" t="s">
        <v>2083</v>
      </c>
      <c r="AE423" s="430"/>
      <c r="AF423" s="430" t="s">
        <v>4432</v>
      </c>
      <c r="AG423" s="430" t="s">
        <v>123</v>
      </c>
      <c r="AH423" s="430" t="s">
        <v>1561</v>
      </c>
      <c r="AI423" s="437">
        <v>46122</v>
      </c>
      <c r="AJ423" s="437">
        <v>46122</v>
      </c>
      <c r="AK423" s="441">
        <v>46124</v>
      </c>
      <c r="AL423" s="437">
        <v>46166</v>
      </c>
      <c r="AM423" s="437">
        <v>46174</v>
      </c>
      <c r="AN423" s="437">
        <v>46174</v>
      </c>
      <c r="AO423" s="430" t="s">
        <v>402</v>
      </c>
      <c r="AP423" s="430" t="s">
        <v>2073</v>
      </c>
      <c r="AQ423" s="430" t="s">
        <v>80</v>
      </c>
      <c r="AR423" s="430" t="s">
        <v>2084</v>
      </c>
      <c r="AS423" s="430" t="s">
        <v>2085</v>
      </c>
      <c r="AT423" s="482" t="s">
        <v>2085</v>
      </c>
      <c r="AU42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423" s="437" cm="1">
        <f t="array" ref="AW42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46174</v>
      </c>
      <c r="AX42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23" s="437">
        <f>IF(ISERROR(PV_DATA[[#This Row],[New Ark PO status]]),"",_xlfn.XLOOKUP(PV_DATA[[#This Row],[SPTN-PVHK New Ark PO'#]],New_Ark_Data[Purchase order Number],New_Ark_Data[Estimated time of arrival],"",0))</f>
        <v>46189</v>
      </c>
      <c r="AZ423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23" s="437">
        <f>IFERROR(PV_DATA[[#This Row],[ODP ETA Port]]+PV_DATA[[#This Row],[Customs/Leg3 Assumption]],"n/a")</f>
        <v>46184</v>
      </c>
      <c r="BB423" s="433">
        <f>YEAR(PV_DATA[[#This Row],[ETA for New Ark update]])</f>
        <v>2026</v>
      </c>
      <c r="BC423" s="430">
        <f>MONTH(PV_DATA[[#This Row],[ETA for New Ark update]])</f>
        <v>6</v>
      </c>
      <c r="BD423" s="430">
        <f>IFERROR(_xlfn.ISOWEEKNUM(PV_DATA[[#This Row],[ETA for New Ark update]]),0)</f>
        <v>24</v>
      </c>
      <c r="BE423" s="431">
        <f>_xlfn.XLOOKUP(PV_DATA[[#This Row],[New Ark SKU]],Table9[New Ark SKU],Table9[Total PCS per Pallet],,0)</f>
        <v>33</v>
      </c>
      <c r="BF423" s="431">
        <f>_xlfn.XLOOKUP(PV_DATA[[#This Row],[New Ark SKU]],Table9[New Ark SKU],Table9[Total PCS per 40HQ Container],,0)</f>
        <v>660</v>
      </c>
      <c r="BG423" s="431" t="str">
        <f>_xlfn.XLOOKUP(PV_DATA[[#This Row],[New Ark SKU]],Table9[New Ark SKU],Table9[Back Glass],,0)</f>
        <v>White glazing</v>
      </c>
      <c r="BH423" s="431" t="str">
        <f>_xlfn.XLOOKUP(PV_DATA[[#This Row],[PORT DESTINATION]],Table12[PORT DESTINATION],Table12[Cosco Line],,0)</f>
        <v>AEM</v>
      </c>
      <c r="BJ423" s="430"/>
    </row>
    <row r="424" spans="1:62" hidden="1">
      <c r="A424" s="462" t="s">
        <v>2086</v>
      </c>
      <c r="B424" s="462" t="s">
        <v>61</v>
      </c>
      <c r="C424" s="462" t="str">
        <f>IFERROR(LEFT(PV_DATA[[#This Row],[TCL REFERENCE]],FIND(".",PV_DATA[[#This Row],[TCL REFERENCE]],1)-1),"Main Line")</f>
        <v>26Feb023</v>
      </c>
      <c r="D424" s="462" t="s">
        <v>63</v>
      </c>
      <c r="E424" s="462" t="s">
        <v>64</v>
      </c>
      <c r="F424" s="462" t="str" cm="1">
        <f t="array" ref="F42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24" s="462" t="s">
        <v>402</v>
      </c>
      <c r="H424" s="462" t="s">
        <v>67</v>
      </c>
      <c r="I424" s="439" t="s">
        <v>869</v>
      </c>
      <c r="J424" s="430" t="s">
        <v>96</v>
      </c>
      <c r="K424" s="430"/>
      <c r="L424" s="430"/>
      <c r="M424" s="430" t="s">
        <v>68</v>
      </c>
      <c r="N424" s="432">
        <v>46111</v>
      </c>
      <c r="O424" s="430" t="s">
        <v>70</v>
      </c>
      <c r="P424" s="430" t="s">
        <v>706</v>
      </c>
      <c r="Q424" s="430" t="s">
        <v>707</v>
      </c>
      <c r="R424" s="431" t="str">
        <f>_xlfn.XLOOKUP(PV_DATA[[#This Row],[New Ark SKU]],Table9[New Ark SKU],Table9[Connector],,0)</f>
        <v>EVO2A</v>
      </c>
      <c r="S424" s="442" t="str">
        <f>_xlfn.XLOOKUP(PV_DATA[[#This Row],[New Ark SKU]],Table9[New Ark SKU],Table9[Cable],,0)</f>
        <v>±1200mm</v>
      </c>
      <c r="T424" s="433">
        <v>500</v>
      </c>
      <c r="U424" s="1062">
        <f>864*4</f>
        <v>3456</v>
      </c>
      <c r="V424" s="434">
        <f>PV_DATA[[#This Row],[QUANTITY]]*PV_DATA[[#This Row],[WATT]]/1000000</f>
        <v>1.728</v>
      </c>
      <c r="W424" s="435">
        <f>PV_DATA[[#This Row],[QUANTITY]]/PV_DATA[[#This Row],[Qty/Pallet]]</f>
        <v>96</v>
      </c>
      <c r="X424" s="1015">
        <f>PV_DATA[[#This Row],[QUANTITY]]/PV_DATA[[#This Row],[Qty/CT]]</f>
        <v>4</v>
      </c>
      <c r="Y424" s="430" t="s">
        <v>951</v>
      </c>
      <c r="Z424" s="430" t="str">
        <f t="shared" si="3"/>
        <v>COMPLETED</v>
      </c>
      <c r="AA424" s="430" t="s">
        <v>2088</v>
      </c>
      <c r="AB424" s="437">
        <v>46119</v>
      </c>
      <c r="AC424" s="438">
        <f>IF(PV_DATA[[#This Row],[Pick-Up Date]]&lt;&gt;"",_xlfn.ISOWEEKNUM(PV_DATA[[#This Row],[Pick-Up Date]]),"")</f>
        <v>15</v>
      </c>
      <c r="AD424" s="439" t="s">
        <v>2089</v>
      </c>
      <c r="AE424" s="430"/>
      <c r="AF424" s="430" t="s">
        <v>4430</v>
      </c>
      <c r="AG424" s="430" t="s">
        <v>61</v>
      </c>
      <c r="AH424" s="430" t="s">
        <v>78</v>
      </c>
      <c r="AI424" s="437">
        <v>46123</v>
      </c>
      <c r="AJ424" s="437">
        <v>46123</v>
      </c>
      <c r="AK424" s="441">
        <v>46122</v>
      </c>
      <c r="AL424" s="437">
        <v>46188</v>
      </c>
      <c r="AM424" s="437">
        <v>46193</v>
      </c>
      <c r="AN424" s="437">
        <v>46195</v>
      </c>
      <c r="AO424" s="430" t="s">
        <v>402</v>
      </c>
      <c r="AP424" s="430" t="s">
        <v>2090</v>
      </c>
      <c r="AQ424" s="430" t="s">
        <v>80</v>
      </c>
      <c r="AR424" s="430" t="s">
        <v>2091</v>
      </c>
      <c r="AS424" s="430" t="s">
        <v>2092</v>
      </c>
      <c r="AT424" s="482" t="s">
        <v>2092</v>
      </c>
      <c r="AU42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73</v>
      </c>
      <c r="AW424" s="437" cm="1">
        <f t="array" ref="AW42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46195</v>
      </c>
      <c r="AX42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24" s="437">
        <f>IF(ISERROR(PV_DATA[[#This Row],[New Ark PO status]]),"",_xlfn.XLOOKUP(PV_DATA[[#This Row],[SPTN-PVHK New Ark PO'#]],New_Ark_Data[Purchase order Number],New_Ark_Data[Estimated time of arrival],"",0))</f>
        <v>46206</v>
      </c>
      <c r="AZ424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424" s="437">
        <f>IFERROR(PV_DATA[[#This Row],[ODP ETA Port]]+PV_DATA[[#This Row],[Customs/Leg3 Assumption]],"n/a")</f>
        <v>46203</v>
      </c>
      <c r="BB424" s="433">
        <f>YEAR(PV_DATA[[#This Row],[ETA for New Ark update]])</f>
        <v>2026</v>
      </c>
      <c r="BC424" s="430">
        <f>MONTH(PV_DATA[[#This Row],[ETA for New Ark update]])</f>
        <v>6</v>
      </c>
      <c r="BD424" s="430">
        <f>IFERROR(_xlfn.ISOWEEKNUM(PV_DATA[[#This Row],[ETA for New Ark update]]),0)</f>
        <v>27</v>
      </c>
      <c r="BE424" s="431">
        <f>_xlfn.XLOOKUP(PV_DATA[[#This Row],[New Ark SKU]],Table9[New Ark SKU],Table9[Total PCS per Pallet],,0)</f>
        <v>36</v>
      </c>
      <c r="BF424" s="431">
        <f>_xlfn.XLOOKUP(PV_DATA[[#This Row],[New Ark SKU]],Table9[New Ark SKU],Table9[Total PCS per 40HQ Container],,0)</f>
        <v>864</v>
      </c>
      <c r="BG424" s="431" t="str">
        <f>_xlfn.XLOOKUP(PV_DATA[[#This Row],[New Ark SKU]],Table9[New Ark SKU],Table9[Back Glass],,0)</f>
        <v>Black glazing</v>
      </c>
      <c r="BH424" s="431" t="str">
        <f>_xlfn.XLOOKUP(PV_DATA[[#This Row],[PORT DESTINATION]],Table12[PORT DESTINATION],Table12[Cosco Line],,0)</f>
        <v>AEM</v>
      </c>
      <c r="BJ424" s="430"/>
    </row>
    <row r="425" spans="1:62" hidden="1">
      <c r="A425" s="462" t="s">
        <v>2093</v>
      </c>
      <c r="B425" s="462" t="s">
        <v>61</v>
      </c>
      <c r="C425" s="462" t="str">
        <f>IFERROR(LEFT(PV_DATA[[#This Row],[TCL REFERENCE]],FIND(".",PV_DATA[[#This Row],[TCL REFERENCE]],1)-1),"Main Line")</f>
        <v>26Feb021</v>
      </c>
      <c r="D425" s="462" t="s">
        <v>63</v>
      </c>
      <c r="E425" s="462" t="s">
        <v>64</v>
      </c>
      <c r="F425" s="462" t="str" cm="1">
        <f t="array" ref="F42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25" s="462" t="s">
        <v>402</v>
      </c>
      <c r="H425" s="462" t="s">
        <v>67</v>
      </c>
      <c r="I425" s="439" t="s">
        <v>882</v>
      </c>
      <c r="J425" s="430" t="s">
        <v>96</v>
      </c>
      <c r="K425" s="430"/>
      <c r="L425" s="430"/>
      <c r="M425" s="430" t="s">
        <v>68</v>
      </c>
      <c r="N425" s="432">
        <v>46111</v>
      </c>
      <c r="O425" s="430" t="s">
        <v>70</v>
      </c>
      <c r="P425" s="430" t="s">
        <v>91</v>
      </c>
      <c r="Q425" s="430" t="s">
        <v>92</v>
      </c>
      <c r="R425" s="431" t="str">
        <f>_xlfn.XLOOKUP(PV_DATA[[#This Row],[New Ark SKU]],Table9[New Ark SKU],Table9[Connector],,0)</f>
        <v>EVO2A</v>
      </c>
      <c r="S425" s="442" t="str">
        <f>_xlfn.XLOOKUP(PV_DATA[[#This Row],[New Ark SKU]],Table9[New Ark SKU],Table9[Cable],,0)</f>
        <v>±1200mm</v>
      </c>
      <c r="T425" s="433">
        <v>450</v>
      </c>
      <c r="U425" s="1062">
        <f>936*1</f>
        <v>936</v>
      </c>
      <c r="V425" s="434">
        <f>PV_DATA[[#This Row],[QUANTITY]]*PV_DATA[[#This Row],[WATT]]/1000000</f>
        <v>0.42120000000000002</v>
      </c>
      <c r="W425" s="435">
        <f>PV_DATA[[#This Row],[QUANTITY]]/PV_DATA[[#This Row],[Qty/Pallet]]</f>
        <v>26</v>
      </c>
      <c r="X425" s="1015">
        <f>PV_DATA[[#This Row],[QUANTITY]]/PV_DATA[[#This Row],[Qty/CT]]</f>
        <v>1</v>
      </c>
      <c r="Y425" s="430" t="s">
        <v>75</v>
      </c>
      <c r="Z425" s="430" t="str">
        <f t="shared" si="3"/>
        <v>COMPLETED</v>
      </c>
      <c r="AA425" s="430" t="s">
        <v>1991</v>
      </c>
      <c r="AB425" s="437">
        <v>46119</v>
      </c>
      <c r="AC425" s="438">
        <f>IF(PV_DATA[[#This Row],[Pick-Up Date]]&lt;&gt;"",_xlfn.ISOWEEKNUM(PV_DATA[[#This Row],[Pick-Up Date]]),"")</f>
        <v>15</v>
      </c>
      <c r="AD425" s="439" t="s">
        <v>2094</v>
      </c>
      <c r="AE425" s="430"/>
      <c r="AF425" s="430" t="s">
        <v>4430</v>
      </c>
      <c r="AG425" s="430" t="s">
        <v>61</v>
      </c>
      <c r="AH425" s="430" t="s">
        <v>356</v>
      </c>
      <c r="AI425" s="437">
        <v>46123</v>
      </c>
      <c r="AJ425" s="437">
        <v>46123</v>
      </c>
      <c r="AK425" s="441">
        <v>46122</v>
      </c>
      <c r="AL425" s="437">
        <v>46175</v>
      </c>
      <c r="AM425" s="437">
        <v>46174</v>
      </c>
      <c r="AN425" s="437">
        <v>46175</v>
      </c>
      <c r="AO425" s="430" t="s">
        <v>402</v>
      </c>
      <c r="AP425" s="430" t="s">
        <v>2090</v>
      </c>
      <c r="AQ425" s="430" t="s">
        <v>80</v>
      </c>
      <c r="AR425" s="430" t="s">
        <v>2095</v>
      </c>
      <c r="AS425" s="430" t="s">
        <v>2096</v>
      </c>
      <c r="AT425" s="482" t="s">
        <v>2096</v>
      </c>
      <c r="AU42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425" s="437" cm="1">
        <f t="array" ref="AW42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46175</v>
      </c>
      <c r="AX42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25" s="437">
        <f>IF(ISERROR(PV_DATA[[#This Row],[New Ark PO status]]),"",_xlfn.XLOOKUP(PV_DATA[[#This Row],[SPTN-PVHK New Ark PO'#]],New_Ark_Data[Purchase order Number],New_Ark_Data[Estimated time of arrival],"",0))</f>
        <v>46189</v>
      </c>
      <c r="AZ425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25" s="437">
        <f>IFERROR(PV_DATA[[#This Row],[ODP ETA Port]]+PV_DATA[[#This Row],[Customs/Leg3 Assumption]],"n/a")</f>
        <v>46185</v>
      </c>
      <c r="BB425" s="433">
        <f>YEAR(PV_DATA[[#This Row],[ETA for New Ark update]])</f>
        <v>2026</v>
      </c>
      <c r="BC425" s="430">
        <f>MONTH(PV_DATA[[#This Row],[ETA for New Ark update]])</f>
        <v>6</v>
      </c>
      <c r="BD425" s="430">
        <f>IFERROR(_xlfn.ISOWEEKNUM(PV_DATA[[#This Row],[ETA for New Ark update]]),0)</f>
        <v>24</v>
      </c>
      <c r="BE425" s="431">
        <f>_xlfn.XLOOKUP(PV_DATA[[#This Row],[New Ark SKU]],Table9[New Ark SKU],Table9[Total PCS per Pallet],,0)</f>
        <v>36</v>
      </c>
      <c r="BF425" s="431">
        <f>_xlfn.XLOOKUP(PV_DATA[[#This Row],[New Ark SKU]],Table9[New Ark SKU],Table9[Total PCS per 40HQ Container],,0)</f>
        <v>936</v>
      </c>
      <c r="BG425" s="431" t="str">
        <f>_xlfn.XLOOKUP(PV_DATA[[#This Row],[New Ark SKU]],Table9[New Ark SKU],Table9[Back Glass],,0)</f>
        <v>Transparent</v>
      </c>
      <c r="BH425" s="431" t="str">
        <f>_xlfn.XLOOKUP(PV_DATA[[#This Row],[PORT DESTINATION]],Table12[PORT DESTINATION],Table12[Cosco Line],,0)</f>
        <v>AEU</v>
      </c>
      <c r="BJ425" s="430"/>
    </row>
    <row r="426" spans="1:62" hidden="1">
      <c r="A426" s="462" t="s">
        <v>2097</v>
      </c>
      <c r="B426" s="462" t="s">
        <v>61</v>
      </c>
      <c r="C426" s="462" t="str">
        <f>IFERROR(LEFT(PV_DATA[[#This Row],[TCL REFERENCE]],FIND(".",PV_DATA[[#This Row],[TCL REFERENCE]],1)-1),"Main Line")</f>
        <v>26Feb023</v>
      </c>
      <c r="D426" s="462" t="s">
        <v>63</v>
      </c>
      <c r="E426" s="462" t="s">
        <v>64</v>
      </c>
      <c r="F426" s="462" t="str" cm="1">
        <f t="array" ref="F42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26" s="462" t="s">
        <v>402</v>
      </c>
      <c r="H426" s="462" t="s">
        <v>67</v>
      </c>
      <c r="I426" s="439" t="s">
        <v>869</v>
      </c>
      <c r="J426" s="430" t="s">
        <v>96</v>
      </c>
      <c r="K426" s="430"/>
      <c r="L426" s="430"/>
      <c r="M426" s="430" t="s">
        <v>68</v>
      </c>
      <c r="N426" s="432">
        <v>46111</v>
      </c>
      <c r="O426" s="430" t="s">
        <v>70</v>
      </c>
      <c r="P426" s="430" t="s">
        <v>706</v>
      </c>
      <c r="Q426" s="430" t="s">
        <v>707</v>
      </c>
      <c r="R426" s="431" t="str">
        <f>_xlfn.XLOOKUP(PV_DATA[[#This Row],[New Ark SKU]],Table9[New Ark SKU],Table9[Connector],,0)</f>
        <v>EVO2A</v>
      </c>
      <c r="S426" s="442" t="str">
        <f>_xlfn.XLOOKUP(PV_DATA[[#This Row],[New Ark SKU]],Table9[New Ark SKU],Table9[Cable],,0)</f>
        <v>±1200mm</v>
      </c>
      <c r="T426" s="433">
        <v>500</v>
      </c>
      <c r="U426" s="1062">
        <f>864*1</f>
        <v>864</v>
      </c>
      <c r="V426" s="434">
        <f>PV_DATA[[#This Row],[QUANTITY]]*PV_DATA[[#This Row],[WATT]]/1000000</f>
        <v>0.432</v>
      </c>
      <c r="W426" s="435">
        <f>PV_DATA[[#This Row],[QUANTITY]]/PV_DATA[[#This Row],[Qty/Pallet]]</f>
        <v>24</v>
      </c>
      <c r="X426" s="1015">
        <f>PV_DATA[[#This Row],[QUANTITY]]/PV_DATA[[#This Row],[Qty/CT]]</f>
        <v>1</v>
      </c>
      <c r="Y426" s="430" t="s">
        <v>951</v>
      </c>
      <c r="Z426" s="430" t="str">
        <f t="shared" si="3"/>
        <v>COMPLETED</v>
      </c>
      <c r="AA426" s="430" t="s">
        <v>2088</v>
      </c>
      <c r="AB426" s="437">
        <v>46121</v>
      </c>
      <c r="AC426" s="438">
        <f>IF(PV_DATA[[#This Row],[Pick-Up Date]]&lt;&gt;"",_xlfn.ISOWEEKNUM(PV_DATA[[#This Row],[Pick-Up Date]]),"")</f>
        <v>15</v>
      </c>
      <c r="AD426" s="439" t="s">
        <v>2098</v>
      </c>
      <c r="AE426" s="430"/>
      <c r="AF426" s="430" t="s">
        <v>4430</v>
      </c>
      <c r="AG426" s="430" t="s">
        <v>61</v>
      </c>
      <c r="AH426" s="430" t="s">
        <v>356</v>
      </c>
      <c r="AI426" s="437">
        <v>46128</v>
      </c>
      <c r="AJ426" s="437">
        <v>46136</v>
      </c>
      <c r="AK426" s="441">
        <v>46136</v>
      </c>
      <c r="AL426" s="437">
        <v>46182</v>
      </c>
      <c r="AM426" s="437">
        <v>46196</v>
      </c>
      <c r="AN426" s="437">
        <v>46203</v>
      </c>
      <c r="AO426" s="430" t="s">
        <v>402</v>
      </c>
      <c r="AP426" s="430" t="s">
        <v>2099</v>
      </c>
      <c r="AQ426" s="430" t="s">
        <v>161</v>
      </c>
      <c r="AR426" s="430" t="s">
        <v>2100</v>
      </c>
      <c r="AS426" s="430" t="s">
        <v>2101</v>
      </c>
      <c r="AT426" s="482" t="s">
        <v>2101</v>
      </c>
      <c r="AU42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67</v>
      </c>
      <c r="AW426" s="437" cm="1">
        <f t="array" ref="AW42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46203</v>
      </c>
      <c r="AX42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26" s="437">
        <f>IF(ISERROR(PV_DATA[[#This Row],[New Ark PO status]]),"",_xlfn.XLOOKUP(PV_DATA[[#This Row],[SPTN-PVHK New Ark PO'#]],New_Ark_Data[Purchase order Number],New_Ark_Data[Estimated time of arrival],"",0))</f>
        <v>46210</v>
      </c>
      <c r="AZ426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26" s="437">
        <f>IFERROR(PV_DATA[[#This Row],[ODP ETA Port]]+PV_DATA[[#This Row],[Customs/Leg3 Assumption]],"n/a")</f>
        <v>46213</v>
      </c>
      <c r="BB426" s="433">
        <f>YEAR(PV_DATA[[#This Row],[ETA for New Ark update]])</f>
        <v>2026</v>
      </c>
      <c r="BC426" s="430">
        <f>MONTH(PV_DATA[[#This Row],[ETA for New Ark update]])</f>
        <v>7</v>
      </c>
      <c r="BD426" s="430">
        <f>IFERROR(_xlfn.ISOWEEKNUM(PV_DATA[[#This Row],[ETA for New Ark update]]),0)</f>
        <v>28</v>
      </c>
      <c r="BE426" s="431">
        <f>_xlfn.XLOOKUP(PV_DATA[[#This Row],[New Ark SKU]],Table9[New Ark SKU],Table9[Total PCS per Pallet],,0)</f>
        <v>36</v>
      </c>
      <c r="BF426" s="431">
        <f>_xlfn.XLOOKUP(PV_DATA[[#This Row],[New Ark SKU]],Table9[New Ark SKU],Table9[Total PCS per 40HQ Container],,0)</f>
        <v>864</v>
      </c>
      <c r="BG426" s="431" t="str">
        <f>_xlfn.XLOOKUP(PV_DATA[[#This Row],[New Ark SKU]],Table9[New Ark SKU],Table9[Back Glass],,0)</f>
        <v>Black glazing</v>
      </c>
      <c r="BH426" s="431" t="str">
        <f>_xlfn.XLOOKUP(PV_DATA[[#This Row],[PORT DESTINATION]],Table12[PORT DESTINATION],Table12[Cosco Line],,0)</f>
        <v>AEU</v>
      </c>
      <c r="BJ426" s="430"/>
    </row>
    <row r="427" spans="1:62" s="431" customFormat="1" hidden="1">
      <c r="A427" s="462" t="s">
        <v>2102</v>
      </c>
      <c r="B427" s="462" t="s">
        <v>61</v>
      </c>
      <c r="C427" s="462" t="str">
        <f>IFERROR(LEFT(PV_DATA[[#This Row],[TCL REFERENCE]],FIND(".",PV_DATA[[#This Row],[TCL REFERENCE]],1)-1),"Main Line")</f>
        <v>26Feb021</v>
      </c>
      <c r="D427" s="462" t="s">
        <v>63</v>
      </c>
      <c r="E427" s="462" t="s">
        <v>64</v>
      </c>
      <c r="F427" s="462" t="str" cm="1">
        <f t="array" ref="F42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27" s="462" t="s">
        <v>402</v>
      </c>
      <c r="H427" s="462" t="s">
        <v>67</v>
      </c>
      <c r="I427" s="439" t="s">
        <v>1395</v>
      </c>
      <c r="J427" s="430" t="s">
        <v>96</v>
      </c>
      <c r="K427" s="463"/>
      <c r="L427" s="463"/>
      <c r="M427" s="430" t="s">
        <v>68</v>
      </c>
      <c r="N427" s="432">
        <v>46104</v>
      </c>
      <c r="O427" s="430" t="s">
        <v>70</v>
      </c>
      <c r="P427" s="430" t="s">
        <v>91</v>
      </c>
      <c r="Q427" s="430" t="s">
        <v>92</v>
      </c>
      <c r="R427" s="431" t="str">
        <f>_xlfn.XLOOKUP(PV_DATA[[#This Row],[New Ark SKU]],Table9[New Ark SKU],Table9[Connector],,0)</f>
        <v>EVO2A</v>
      </c>
      <c r="S427" s="442" t="str">
        <f>_xlfn.XLOOKUP(PV_DATA[[#This Row],[New Ark SKU]],Table9[New Ark SKU],Table9[Cable],,0)</f>
        <v>±1200mm</v>
      </c>
      <c r="T427" s="433">
        <v>450</v>
      </c>
      <c r="U427" s="1066">
        <f>936*0</f>
        <v>0</v>
      </c>
      <c r="V427" s="434">
        <f>PV_DATA[[#This Row],[QUANTITY]]*PV_DATA[[#This Row],[WATT]]/1000000</f>
        <v>0</v>
      </c>
      <c r="W427" s="435">
        <f>PV_DATA[[#This Row],[QUANTITY]]/PV_DATA[[#This Row],[Qty/Pallet]]</f>
        <v>0</v>
      </c>
      <c r="X427" s="1015">
        <f>PV_DATA[[#This Row],[QUANTITY]]/PV_DATA[[#This Row],[Qty/CT]]</f>
        <v>0</v>
      </c>
      <c r="Y427" s="430" t="s">
        <v>951</v>
      </c>
      <c r="Z427" s="430" t="str">
        <f t="shared" si="3"/>
        <v>COMPLETED</v>
      </c>
      <c r="AA427" s="430" t="s">
        <v>1907</v>
      </c>
      <c r="AB427" s="437">
        <v>46121</v>
      </c>
      <c r="AC427" s="438">
        <f>IF(PV_DATA[[#This Row],[Pick-Up Date]]&lt;&gt;"",_xlfn.ISOWEEKNUM(PV_DATA[[#This Row],[Pick-Up Date]]),"")</f>
        <v>15</v>
      </c>
      <c r="AD427" s="439" t="s">
        <v>2103</v>
      </c>
      <c r="AE427" s="430"/>
      <c r="AF427" s="430" t="s">
        <v>4430</v>
      </c>
      <c r="AG427" s="430" t="s">
        <v>61</v>
      </c>
      <c r="AH427" s="430" t="s">
        <v>356</v>
      </c>
      <c r="AI427" s="437">
        <v>46128</v>
      </c>
      <c r="AJ427" s="437">
        <v>46136</v>
      </c>
      <c r="AK427" s="441">
        <v>46136</v>
      </c>
      <c r="AL427" s="437">
        <v>46182</v>
      </c>
      <c r="AM427" s="437">
        <v>46196</v>
      </c>
      <c r="AN427" s="437">
        <v>46203</v>
      </c>
      <c r="AO427" s="430" t="s">
        <v>402</v>
      </c>
      <c r="AP427" s="430" t="s">
        <v>2099</v>
      </c>
      <c r="AQ427" s="430" t="s">
        <v>161</v>
      </c>
      <c r="AR427" s="430" t="s">
        <v>2100</v>
      </c>
      <c r="AS427" s="430" t="s">
        <v>2101</v>
      </c>
      <c r="AT427" s="482" t="s">
        <v>2101</v>
      </c>
      <c r="AU42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67</v>
      </c>
      <c r="AV427" s="430"/>
      <c r="AW427" s="437" cm="1">
        <f t="array" ref="AW42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46203</v>
      </c>
      <c r="AX42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27" s="437">
        <f>IF(ISERROR(PV_DATA[[#This Row],[New Ark PO status]]),"",_xlfn.XLOOKUP(PV_DATA[[#This Row],[SPTN-PVHK New Ark PO'#]],New_Ark_Data[Purchase order Number],New_Ark_Data[Estimated time of arrival],"",0))</f>
        <v>46209</v>
      </c>
      <c r="AZ427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27" s="437">
        <f>IFERROR(PV_DATA[[#This Row],[ODP ETA Port]]+PV_DATA[[#This Row],[Customs/Leg3 Assumption]],"n/a")</f>
        <v>46213</v>
      </c>
      <c r="BB427" s="433">
        <f>YEAR(PV_DATA[[#This Row],[ETA for New Ark update]])</f>
        <v>2026</v>
      </c>
      <c r="BC427" s="430">
        <f>MONTH(PV_DATA[[#This Row],[ETA for New Ark update]])</f>
        <v>7</v>
      </c>
      <c r="BD427" s="430">
        <f>IFERROR(_xlfn.ISOWEEKNUM(PV_DATA[[#This Row],[ETA for New Ark update]]),0)</f>
        <v>28</v>
      </c>
      <c r="BE427" s="431">
        <f>_xlfn.XLOOKUP(PV_DATA[[#This Row],[New Ark SKU]],Table9[New Ark SKU],Table9[Total PCS per Pallet],,0)</f>
        <v>36</v>
      </c>
      <c r="BF427" s="431">
        <f>_xlfn.XLOOKUP(PV_DATA[[#This Row],[New Ark SKU]],Table9[New Ark SKU],Table9[Total PCS per 40HQ Container],,0)</f>
        <v>936</v>
      </c>
      <c r="BG427" s="431" t="str">
        <f>_xlfn.XLOOKUP(PV_DATA[[#This Row],[New Ark SKU]],Table9[New Ark SKU],Table9[Back Glass],,0)</f>
        <v>Transparent</v>
      </c>
      <c r="BH427" s="431" t="str">
        <f>_xlfn.XLOOKUP(PV_DATA[[#This Row],[PORT DESTINATION]],Table12[PORT DESTINATION],Table12[Cosco Line],,0)</f>
        <v>AEU</v>
      </c>
    </row>
    <row r="428" spans="1:62" s="431" customFormat="1" ht="11.25" hidden="1" customHeight="1">
      <c r="A428" s="439" t="s">
        <v>2104</v>
      </c>
      <c r="B428" s="439" t="s">
        <v>61</v>
      </c>
      <c r="C428" s="439" t="str">
        <f>IFERROR(LEFT(PV_DATA[[#This Row],[TCL REFERENCE]],FIND(".",PV_DATA[[#This Row],[TCL REFERENCE]],1)-1),"Main Line")</f>
        <v>26Feb022</v>
      </c>
      <c r="D428" s="439" t="s">
        <v>63</v>
      </c>
      <c r="E428" s="439" t="s">
        <v>64</v>
      </c>
      <c r="F428" s="462" t="str" cm="1">
        <f t="array" ref="F42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28" s="439" t="s">
        <v>402</v>
      </c>
      <c r="H428" s="439" t="s">
        <v>67</v>
      </c>
      <c r="I428" s="439" t="s">
        <v>2004</v>
      </c>
      <c r="J428" s="430" t="s">
        <v>96</v>
      </c>
      <c r="M428" s="431" t="s">
        <v>68</v>
      </c>
      <c r="N428" s="461">
        <v>46111</v>
      </c>
      <c r="O428" s="431" t="s">
        <v>70</v>
      </c>
      <c r="P428" s="431" t="s">
        <v>204</v>
      </c>
      <c r="Q428" s="431" t="s">
        <v>205</v>
      </c>
      <c r="R428" s="431" t="str">
        <f>_xlfn.XLOOKUP(PV_DATA[[#This Row],[New Ark SKU]],Table9[New Ark SKU],Table9[Connector],,0)</f>
        <v>EVO2A</v>
      </c>
      <c r="S428" s="442" t="str">
        <f>_xlfn.XLOOKUP(PV_DATA[[#This Row],[New Ark SKU]],Table9[New Ark SKU],Table9[Cable],,0)</f>
        <v>±1200mm</v>
      </c>
      <c r="T428" s="442">
        <v>455</v>
      </c>
      <c r="U428" s="1067">
        <f>936*4</f>
        <v>3744</v>
      </c>
      <c r="V428" s="448">
        <f>PV_DATA[[#This Row],[QUANTITY]]*PV_DATA[[#This Row],[WATT]]/1000000</f>
        <v>1.7035199999999999</v>
      </c>
      <c r="W428" s="466">
        <f>PV_DATA[[#This Row],[QUANTITY]]/PV_DATA[[#This Row],[Qty/Pallet]]</f>
        <v>104</v>
      </c>
      <c r="X428" s="1019">
        <f>PV_DATA[[#This Row],[QUANTITY]]/PV_DATA[[#This Row],[Qty/CT]]</f>
        <v>4</v>
      </c>
      <c r="Y428" s="431" t="s">
        <v>951</v>
      </c>
      <c r="Z428" s="430" t="str">
        <f t="shared" si="3"/>
        <v>COMPLETED</v>
      </c>
      <c r="AA428" s="431" t="s">
        <v>1896</v>
      </c>
      <c r="AB428" s="441">
        <v>46126</v>
      </c>
      <c r="AC428" s="467">
        <f>IF(PV_DATA[[#This Row],[Pick-Up Date]]&lt;&gt;"",_xlfn.ISOWEEKNUM(PV_DATA[[#This Row],[Pick-Up Date]]),"")</f>
        <v>16</v>
      </c>
      <c r="AD428" s="431" t="s">
        <v>2105</v>
      </c>
      <c r="AF428" s="431" t="s">
        <v>4430</v>
      </c>
      <c r="AG428" s="431" t="s">
        <v>61</v>
      </c>
      <c r="AH428" s="431" t="s">
        <v>356</v>
      </c>
      <c r="AI428" s="441">
        <v>46131</v>
      </c>
      <c r="AJ428" s="441">
        <v>46131</v>
      </c>
      <c r="AK428" s="441">
        <v>46131</v>
      </c>
      <c r="AL428" s="441">
        <v>46182</v>
      </c>
      <c r="AM428" s="441">
        <v>46196</v>
      </c>
      <c r="AN428" s="441">
        <v>46190</v>
      </c>
      <c r="AO428" s="441" t="s">
        <v>402</v>
      </c>
      <c r="AP428" s="441" t="s">
        <v>2106</v>
      </c>
      <c r="AQ428" s="441" t="s">
        <v>161</v>
      </c>
      <c r="AR428" s="441" t="s">
        <v>2107</v>
      </c>
      <c r="AS428" s="431" t="s">
        <v>2108</v>
      </c>
      <c r="AT428" s="431">
        <v>273285267</v>
      </c>
      <c r="AU42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W428" s="441" cm="1">
        <f t="array" ref="AW42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46190</v>
      </c>
      <c r="AX42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28" s="441">
        <f>IF(ISERROR(PV_DATA[[#This Row],[New Ark PO status]]),"",_xlfn.XLOOKUP(PV_DATA[[#This Row],[SPTN-PVHK New Ark PO'#]],New_Ark_Data[Purchase order Number],New_Ark_Data[Estimated time of arrival],"",0))</f>
        <v>46203</v>
      </c>
      <c r="AZ428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28" s="437">
        <f>IFERROR(PV_DATA[[#This Row],[ODP ETA Port]]+PV_DATA[[#This Row],[Customs/Leg3 Assumption]],"n/a")</f>
        <v>46200</v>
      </c>
      <c r="BB428" s="442">
        <f>YEAR(PV_DATA[[#This Row],[ETA for New Ark update]])</f>
        <v>2026</v>
      </c>
      <c r="BC428" s="431">
        <f>MONTH(PV_DATA[[#This Row],[ETA for New Ark update]])</f>
        <v>6</v>
      </c>
      <c r="BD428" s="431">
        <f>IFERROR(_xlfn.ISOWEEKNUM(PV_DATA[[#This Row],[ETA for New Ark update]]),0)</f>
        <v>26</v>
      </c>
      <c r="BE428" s="431">
        <f>_xlfn.XLOOKUP(PV_DATA[[#This Row],[New Ark SKU]],Table9[New Ark SKU],Table9[Total PCS per Pallet],,0)</f>
        <v>36</v>
      </c>
      <c r="BF428" s="431">
        <f>_xlfn.XLOOKUP(PV_DATA[[#This Row],[New Ark SKU]],Table9[New Ark SKU],Table9[Total PCS per 40HQ Container],,0)</f>
        <v>936</v>
      </c>
      <c r="BG428" s="431" t="str">
        <f>_xlfn.XLOOKUP(PV_DATA[[#This Row],[New Ark SKU]],Table9[New Ark SKU],Table9[Back Glass],,0)</f>
        <v>Transparent</v>
      </c>
      <c r="BH428" s="431" t="str">
        <f>_xlfn.XLOOKUP(PV_DATA[[#This Row],[PORT DESTINATION]],Table12[PORT DESTINATION],Table12[Cosco Line],,0)</f>
        <v>AEU</v>
      </c>
    </row>
    <row r="429" spans="1:62" s="431" customFormat="1" ht="11.25" hidden="1" customHeight="1">
      <c r="A429" s="439" t="s">
        <v>2109</v>
      </c>
      <c r="B429" s="439" t="s">
        <v>61</v>
      </c>
      <c r="C429" s="439" t="str">
        <f>IFERROR(LEFT(PV_DATA[[#This Row],[TCL REFERENCE]],FIND(".",PV_DATA[[#This Row],[TCL REFERENCE]],1)-1),"Main Line")</f>
        <v>26Feb022</v>
      </c>
      <c r="D429" s="439" t="s">
        <v>63</v>
      </c>
      <c r="E429" s="439" t="s">
        <v>64</v>
      </c>
      <c r="F429" s="462" t="str" cm="1">
        <f t="array" ref="F42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29" s="439" t="s">
        <v>402</v>
      </c>
      <c r="H429" s="439" t="s">
        <v>67</v>
      </c>
      <c r="I429" s="439" t="s">
        <v>1395</v>
      </c>
      <c r="J429" s="430" t="s">
        <v>96</v>
      </c>
      <c r="M429" s="431" t="s">
        <v>68</v>
      </c>
      <c r="N429" s="461">
        <v>46111</v>
      </c>
      <c r="O429" s="431" t="s">
        <v>70</v>
      </c>
      <c r="P429" s="431" t="s">
        <v>204</v>
      </c>
      <c r="Q429" s="431" t="s">
        <v>205</v>
      </c>
      <c r="R429" s="431" t="str">
        <f>_xlfn.XLOOKUP(PV_DATA[[#This Row],[New Ark SKU]],Table9[New Ark SKU],Table9[Connector],,0)</f>
        <v>EVO2A</v>
      </c>
      <c r="S429" s="442" t="str">
        <f>_xlfn.XLOOKUP(PV_DATA[[#This Row],[New Ark SKU]],Table9[New Ark SKU],Table9[Cable],,0)</f>
        <v>±1200mm</v>
      </c>
      <c r="T429" s="442">
        <v>455</v>
      </c>
      <c r="U429" s="1067">
        <f>936*6</f>
        <v>5616</v>
      </c>
      <c r="V429" s="448">
        <f>PV_DATA[[#This Row],[QUANTITY]]*PV_DATA[[#This Row],[WATT]]/1000000</f>
        <v>2.5552800000000002</v>
      </c>
      <c r="W429" s="466">
        <f>PV_DATA[[#This Row],[QUANTITY]]/PV_DATA[[#This Row],[Qty/Pallet]]</f>
        <v>156</v>
      </c>
      <c r="X429" s="1019">
        <f>PV_DATA[[#This Row],[QUANTITY]]/PV_DATA[[#This Row],[Qty/CT]]</f>
        <v>6</v>
      </c>
      <c r="Y429" s="431" t="s">
        <v>951</v>
      </c>
      <c r="Z429" s="430" t="str">
        <f t="shared" si="3"/>
        <v>COMPLETED</v>
      </c>
      <c r="AA429" s="431" t="s">
        <v>1896</v>
      </c>
      <c r="AB429" s="441">
        <v>46126</v>
      </c>
      <c r="AC429" s="467">
        <f>IF(PV_DATA[[#This Row],[Pick-Up Date]]&lt;&gt;"",_xlfn.ISOWEEKNUM(PV_DATA[[#This Row],[Pick-Up Date]]),"")</f>
        <v>16</v>
      </c>
      <c r="AD429" s="431" t="s">
        <v>2110</v>
      </c>
      <c r="AF429" s="431" t="s">
        <v>4430</v>
      </c>
      <c r="AG429" s="431" t="s">
        <v>61</v>
      </c>
      <c r="AH429" s="431" t="s">
        <v>356</v>
      </c>
      <c r="AI429" s="441">
        <v>46131</v>
      </c>
      <c r="AJ429" s="441">
        <v>46131</v>
      </c>
      <c r="AK429" s="441">
        <v>46131</v>
      </c>
      <c r="AL429" s="441">
        <v>46182</v>
      </c>
      <c r="AM429" s="441">
        <v>46196</v>
      </c>
      <c r="AN429" s="441">
        <v>46190</v>
      </c>
      <c r="AO429" s="441" t="s">
        <v>402</v>
      </c>
      <c r="AP429" s="441" t="s">
        <v>2106</v>
      </c>
      <c r="AQ429" s="441" t="s">
        <v>161</v>
      </c>
      <c r="AR429" s="441" t="s">
        <v>2107</v>
      </c>
      <c r="AS429" s="431" t="s">
        <v>2108</v>
      </c>
      <c r="AT429" s="431">
        <v>273285267</v>
      </c>
      <c r="AU42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W429" s="441" cm="1">
        <f t="array" ref="AW42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46190</v>
      </c>
      <c r="AX42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29" s="441">
        <f>IF(ISERROR(PV_DATA[[#This Row],[New Ark PO status]]),"",_xlfn.XLOOKUP(PV_DATA[[#This Row],[SPTN-PVHK New Ark PO'#]],New_Ark_Data[Purchase order Number],New_Ark_Data[Estimated time of arrival],"",0))</f>
        <v>46203</v>
      </c>
      <c r="AZ429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29" s="437">
        <f>IFERROR(PV_DATA[[#This Row],[ODP ETA Port]]+PV_DATA[[#This Row],[Customs/Leg3 Assumption]],"n/a")</f>
        <v>46200</v>
      </c>
      <c r="BB429" s="442">
        <f>YEAR(PV_DATA[[#This Row],[ETA for New Ark update]])</f>
        <v>2026</v>
      </c>
      <c r="BC429" s="431">
        <f>MONTH(PV_DATA[[#This Row],[ETA for New Ark update]])</f>
        <v>6</v>
      </c>
      <c r="BD429" s="431">
        <f>IFERROR(_xlfn.ISOWEEKNUM(PV_DATA[[#This Row],[ETA for New Ark update]]),0)</f>
        <v>26</v>
      </c>
      <c r="BE429" s="431">
        <f>_xlfn.XLOOKUP(PV_DATA[[#This Row],[New Ark SKU]],Table9[New Ark SKU],Table9[Total PCS per Pallet],,0)</f>
        <v>36</v>
      </c>
      <c r="BF429" s="431">
        <f>_xlfn.XLOOKUP(PV_DATA[[#This Row],[New Ark SKU]],Table9[New Ark SKU],Table9[Total PCS per 40HQ Container],,0)</f>
        <v>936</v>
      </c>
      <c r="BG429" s="431" t="str">
        <f>_xlfn.XLOOKUP(PV_DATA[[#This Row],[New Ark SKU]],Table9[New Ark SKU],Table9[Back Glass],,0)</f>
        <v>Transparent</v>
      </c>
      <c r="BH429" s="431" t="str">
        <f>_xlfn.XLOOKUP(PV_DATA[[#This Row],[PORT DESTINATION]],Table12[PORT DESTINATION],Table12[Cosco Line],,0)</f>
        <v>AEU</v>
      </c>
    </row>
    <row r="430" spans="1:62" s="431" customFormat="1" hidden="1">
      <c r="A430" s="439" t="s">
        <v>2111</v>
      </c>
      <c r="B430" s="439" t="s">
        <v>1888</v>
      </c>
      <c r="C430" s="439" t="str">
        <f>IFERROR(LEFT(PV_DATA[[#This Row],[TCL REFERENCE]],FIND(".",PV_DATA[[#This Row],[TCL REFERENCE]],1)-1),"Main Line")</f>
        <v>26Feb017</v>
      </c>
      <c r="D430" s="439" t="s">
        <v>63</v>
      </c>
      <c r="E430" s="439" t="s">
        <v>144</v>
      </c>
      <c r="F430" s="462" t="str" cm="1">
        <f t="array" ref="F43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430" s="439" t="s">
        <v>402</v>
      </c>
      <c r="H430" s="439" t="s">
        <v>538</v>
      </c>
      <c r="I430" s="439" t="s">
        <v>689</v>
      </c>
      <c r="J430" s="431" t="s">
        <v>1615</v>
      </c>
      <c r="K430" s="431" t="s">
        <v>1538</v>
      </c>
      <c r="M430" s="468" t="s">
        <v>840</v>
      </c>
      <c r="N430" s="461">
        <v>46076</v>
      </c>
      <c r="O430" s="431" t="s">
        <v>70</v>
      </c>
      <c r="P430" s="431" t="s">
        <v>195</v>
      </c>
      <c r="Q430" s="431" t="s">
        <v>196</v>
      </c>
      <c r="R430" s="431" t="str">
        <f>_xlfn.XLOOKUP(PV_DATA[[#This Row],[New Ark SKU]],Table9[New Ark SKU],Table9[Connector],,0)</f>
        <v>EVO2A</v>
      </c>
      <c r="S430" s="442" t="str">
        <f>_xlfn.XLOOKUP(PV_DATA[[#This Row],[New Ark SKU]],Table9[New Ark SKU],Table9[Cable],,0)</f>
        <v>±1200mm</v>
      </c>
      <c r="T430" s="442">
        <v>450</v>
      </c>
      <c r="U430" s="1067">
        <v>936</v>
      </c>
      <c r="V430" s="448">
        <f>PV_DATA[[#This Row],[QUANTITY]]*PV_DATA[[#This Row],[WATT]]/1000000</f>
        <v>0.42120000000000002</v>
      </c>
      <c r="W430" s="466">
        <f>PV_DATA[[#This Row],[QUANTITY]]/PV_DATA[[#This Row],[Qty/Pallet]]</f>
        <v>26</v>
      </c>
      <c r="X430" s="1019">
        <f>PV_DATA[[#This Row],[QUANTITY]]/PV_DATA[[#This Row],[Qty/CT]]</f>
        <v>1</v>
      </c>
      <c r="Y430" s="431" t="s">
        <v>951</v>
      </c>
      <c r="Z430" s="430" t="str">
        <f t="shared" si="3"/>
        <v>COMPLETED</v>
      </c>
      <c r="AA430" s="431" t="s">
        <v>1889</v>
      </c>
      <c r="AB430" s="441">
        <v>46128</v>
      </c>
      <c r="AC430" s="467">
        <f>IF(PV_DATA[[#This Row],[Pick-Up Date]]&lt;&gt;"",_xlfn.ISOWEEKNUM(PV_DATA[[#This Row],[Pick-Up Date]]),"")</f>
        <v>16</v>
      </c>
      <c r="AD430" s="431" t="s">
        <v>2112</v>
      </c>
      <c r="AF430" s="431" t="s">
        <v>4429</v>
      </c>
      <c r="AG430" s="431" t="s">
        <v>123</v>
      </c>
      <c r="AH430" s="431" t="s">
        <v>541</v>
      </c>
      <c r="AI430" s="441">
        <v>46131</v>
      </c>
      <c r="AJ430" s="441">
        <v>46141</v>
      </c>
      <c r="AK430" s="441">
        <v>46141</v>
      </c>
      <c r="AL430" s="441">
        <v>46192</v>
      </c>
      <c r="AM430" s="441">
        <v>46188</v>
      </c>
      <c r="AN430" s="441">
        <v>46190</v>
      </c>
      <c r="AO430" s="431" t="s">
        <v>402</v>
      </c>
      <c r="AP430" s="431" t="s">
        <v>2113</v>
      </c>
      <c r="AQ430" s="431" t="s">
        <v>80</v>
      </c>
      <c r="AR430" s="431" t="s">
        <v>2114</v>
      </c>
      <c r="AS430" s="431" t="s">
        <v>2115</v>
      </c>
      <c r="AT430" s="482" t="s">
        <v>2115</v>
      </c>
      <c r="AU43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W430" s="441" cm="1">
        <f t="array" ref="AW43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46190</v>
      </c>
      <c r="AX43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30" s="441">
        <f>IF(ISERROR(PV_DATA[[#This Row],[New Ark PO status]]),"",_xlfn.XLOOKUP(PV_DATA[[#This Row],[SPTN-PVHK New Ark PO'#]],New_Ark_Data[Purchase order Number],New_Ark_Data[Estimated time of arrival],"",0))</f>
        <v>46192</v>
      </c>
      <c r="AZ430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430" s="437">
        <f>IFERROR(PV_DATA[[#This Row],[ODP ETA Port]]+PV_DATA[[#This Row],[Customs/Leg3 Assumption]],"n/a")</f>
        <v>46190</v>
      </c>
      <c r="BB430" s="442">
        <f>YEAR(PV_DATA[[#This Row],[ETA for New Ark update]])</f>
        <v>2026</v>
      </c>
      <c r="BC430" s="431">
        <f>MONTH(PV_DATA[[#This Row],[ETA for New Ark update]])</f>
        <v>6</v>
      </c>
      <c r="BD430" s="431">
        <f>IFERROR(_xlfn.ISOWEEKNUM(PV_DATA[[#This Row],[ETA for New Ark update]]),0)</f>
        <v>25</v>
      </c>
      <c r="BE430" s="431">
        <f>_xlfn.XLOOKUP(PV_DATA[[#This Row],[New Ark SKU]],Table9[New Ark SKU],Table9[Total PCS per Pallet],,0)</f>
        <v>36</v>
      </c>
      <c r="BF430" s="431">
        <f>_xlfn.XLOOKUP(PV_DATA[[#This Row],[New Ark SKU]],Table9[New Ark SKU],Table9[Total PCS per 40HQ Container],,0)</f>
        <v>936</v>
      </c>
      <c r="BG430" s="431" t="str">
        <f>_xlfn.XLOOKUP(PV_DATA[[#This Row],[New Ark SKU]],Table9[New Ark SKU],Table9[Back Glass],,0)</f>
        <v>Black glazing</v>
      </c>
      <c r="BH430" s="431" t="str">
        <f>_xlfn.XLOOKUP(PV_DATA[[#This Row],[PORT DESTINATION]],Table12[PORT DESTINATION],Table12[Cosco Line],,0)</f>
        <v>AEU</v>
      </c>
    </row>
    <row r="431" spans="1:62" s="431" customFormat="1" hidden="1">
      <c r="A431" s="439" t="s">
        <v>2116</v>
      </c>
      <c r="B431" s="439" t="s">
        <v>1888</v>
      </c>
      <c r="C431" s="439" t="str">
        <f>IFERROR(LEFT(PV_DATA[[#This Row],[TCL REFERENCE]],FIND(".",PV_DATA[[#This Row],[TCL REFERENCE]],1)-1),"Main Line")</f>
        <v>26Feb017</v>
      </c>
      <c r="D431" s="439" t="s">
        <v>63</v>
      </c>
      <c r="E431" s="439" t="s">
        <v>144</v>
      </c>
      <c r="F431" s="462" t="str" cm="1">
        <f t="array" ref="F43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431" s="439" t="s">
        <v>402</v>
      </c>
      <c r="H431" s="439" t="s">
        <v>538</v>
      </c>
      <c r="I431" s="439" t="s">
        <v>689</v>
      </c>
      <c r="J431" s="431" t="s">
        <v>1615</v>
      </c>
      <c r="K431" s="431" t="s">
        <v>1538</v>
      </c>
      <c r="M431" s="468" t="s">
        <v>840</v>
      </c>
      <c r="N431" s="461">
        <v>46069</v>
      </c>
      <c r="O431" s="431" t="s">
        <v>70</v>
      </c>
      <c r="P431" s="431" t="s">
        <v>195</v>
      </c>
      <c r="Q431" s="431" t="s">
        <v>196</v>
      </c>
      <c r="R431" s="431" t="str">
        <f>_xlfn.XLOOKUP(PV_DATA[[#This Row],[New Ark SKU]],Table9[New Ark SKU],Table9[Connector],,0)</f>
        <v>EVO2A</v>
      </c>
      <c r="S431" s="442" t="str">
        <f>_xlfn.XLOOKUP(PV_DATA[[#This Row],[New Ark SKU]],Table9[New Ark SKU],Table9[Cable],,0)</f>
        <v>±1200mm</v>
      </c>
      <c r="T431" s="442">
        <v>450</v>
      </c>
      <c r="U431" s="1067">
        <f>936*5</f>
        <v>4680</v>
      </c>
      <c r="V431" s="448">
        <f>PV_DATA[[#This Row],[QUANTITY]]*PV_DATA[[#This Row],[WATT]]/1000000</f>
        <v>2.1059999999999999</v>
      </c>
      <c r="W431" s="466">
        <f>PV_DATA[[#This Row],[QUANTITY]]/PV_DATA[[#This Row],[Qty/Pallet]]</f>
        <v>130</v>
      </c>
      <c r="X431" s="1019">
        <f>PV_DATA[[#This Row],[QUANTITY]]/PV_DATA[[#This Row],[Qty/CT]]</f>
        <v>5</v>
      </c>
      <c r="Y431" s="431" t="s">
        <v>951</v>
      </c>
      <c r="Z431" s="430" t="str">
        <f t="shared" si="3"/>
        <v>COMPLETED</v>
      </c>
      <c r="AA431" s="431" t="s">
        <v>1889</v>
      </c>
      <c r="AB431" s="441">
        <v>46128</v>
      </c>
      <c r="AC431" s="467">
        <f>IF(PV_DATA[[#This Row],[Pick-Up Date]]&lt;&gt;"",_xlfn.ISOWEEKNUM(PV_DATA[[#This Row],[Pick-Up Date]]),"")</f>
        <v>16</v>
      </c>
      <c r="AD431" s="431" t="s">
        <v>2117</v>
      </c>
      <c r="AF431" s="431" t="s">
        <v>4429</v>
      </c>
      <c r="AG431" s="431" t="s">
        <v>123</v>
      </c>
      <c r="AH431" s="431" t="s">
        <v>541</v>
      </c>
      <c r="AI431" s="441">
        <v>46131</v>
      </c>
      <c r="AJ431" s="441">
        <v>46141</v>
      </c>
      <c r="AK431" s="441">
        <v>46141</v>
      </c>
      <c r="AL431" s="441">
        <v>46192</v>
      </c>
      <c r="AM431" s="441">
        <v>46188</v>
      </c>
      <c r="AN431" s="441">
        <v>46190</v>
      </c>
      <c r="AO431" s="431" t="s">
        <v>402</v>
      </c>
      <c r="AP431" s="431" t="s">
        <v>2113</v>
      </c>
      <c r="AQ431" s="431" t="s">
        <v>80</v>
      </c>
      <c r="AR431" s="431" t="s">
        <v>2114</v>
      </c>
      <c r="AS431" s="431" t="s">
        <v>2115</v>
      </c>
      <c r="AT431" s="482" t="s">
        <v>2115</v>
      </c>
      <c r="AU43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W431" s="441" cm="1">
        <f t="array" ref="AW43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46190</v>
      </c>
      <c r="AX43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31" s="441">
        <f>IF(ISERROR(PV_DATA[[#This Row],[New Ark PO status]]),"",_xlfn.XLOOKUP(PV_DATA[[#This Row],[SPTN-PVHK New Ark PO'#]],New_Ark_Data[Purchase order Number],New_Ark_Data[Estimated time of arrival],"",0))</f>
        <v>46192</v>
      </c>
      <c r="AZ431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431" s="437">
        <f>IFERROR(PV_DATA[[#This Row],[ODP ETA Port]]+PV_DATA[[#This Row],[Customs/Leg3 Assumption]],"n/a")</f>
        <v>46190</v>
      </c>
      <c r="BB431" s="442">
        <f>YEAR(PV_DATA[[#This Row],[ETA for New Ark update]])</f>
        <v>2026</v>
      </c>
      <c r="BC431" s="431">
        <f>MONTH(PV_DATA[[#This Row],[ETA for New Ark update]])</f>
        <v>6</v>
      </c>
      <c r="BD431" s="431">
        <f>IFERROR(_xlfn.ISOWEEKNUM(PV_DATA[[#This Row],[ETA for New Ark update]]),0)</f>
        <v>25</v>
      </c>
      <c r="BE431" s="431">
        <f>_xlfn.XLOOKUP(PV_DATA[[#This Row],[New Ark SKU]],Table9[New Ark SKU],Table9[Total PCS per Pallet],,0)</f>
        <v>36</v>
      </c>
      <c r="BF431" s="431">
        <f>_xlfn.XLOOKUP(PV_DATA[[#This Row],[New Ark SKU]],Table9[New Ark SKU],Table9[Total PCS per 40HQ Container],,0)</f>
        <v>936</v>
      </c>
      <c r="BG431" s="431" t="str">
        <f>_xlfn.XLOOKUP(PV_DATA[[#This Row],[New Ark SKU]],Table9[New Ark SKU],Table9[Back Glass],,0)</f>
        <v>Black glazing</v>
      </c>
      <c r="BH431" s="431" t="str">
        <f>_xlfn.XLOOKUP(PV_DATA[[#This Row],[PORT DESTINATION]],Table12[PORT DESTINATION],Table12[Cosco Line],,0)</f>
        <v>AEU</v>
      </c>
    </row>
    <row r="432" spans="1:62" s="431" customFormat="1" hidden="1">
      <c r="A432" s="439" t="s">
        <v>2118</v>
      </c>
      <c r="B432" s="439" t="s">
        <v>1888</v>
      </c>
      <c r="C432" s="439" t="str">
        <f>IFERROR(LEFT(PV_DATA[[#This Row],[TCL REFERENCE]],FIND(".",PV_DATA[[#This Row],[TCL REFERENCE]],1)-1),"Main Line")</f>
        <v>26Feb017</v>
      </c>
      <c r="D432" s="439" t="s">
        <v>63</v>
      </c>
      <c r="E432" s="446" t="s">
        <v>64</v>
      </c>
      <c r="F432" s="462" t="str" cm="1">
        <f t="array" ref="F43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432" s="439" t="s">
        <v>402</v>
      </c>
      <c r="H432" s="439" t="s">
        <v>67</v>
      </c>
      <c r="I432" s="439" t="s">
        <v>689</v>
      </c>
      <c r="J432" s="430" t="s">
        <v>96</v>
      </c>
      <c r="M432" s="430" t="s">
        <v>840</v>
      </c>
      <c r="N432" s="461">
        <v>46111</v>
      </c>
      <c r="O432" s="431" t="s">
        <v>70</v>
      </c>
      <c r="P432" s="431" t="s">
        <v>195</v>
      </c>
      <c r="Q432" s="431" t="s">
        <v>196</v>
      </c>
      <c r="R432" s="431" t="str">
        <f>_xlfn.XLOOKUP(PV_DATA[[#This Row],[New Ark SKU]],Table9[New Ark SKU],Table9[Connector],,0)</f>
        <v>EVO2A</v>
      </c>
      <c r="S432" s="442" t="str">
        <f>_xlfn.XLOOKUP(PV_DATA[[#This Row],[New Ark SKU]],Table9[New Ark SKU],Table9[Cable],,0)</f>
        <v>±1200mm</v>
      </c>
      <c r="T432" s="442">
        <v>450</v>
      </c>
      <c r="U432" s="1067">
        <f>936*2</f>
        <v>1872</v>
      </c>
      <c r="V432" s="448">
        <f>PV_DATA[[#This Row],[QUANTITY]]*PV_DATA[[#This Row],[WATT]]/1000000</f>
        <v>0.84240000000000004</v>
      </c>
      <c r="W432" s="466">
        <f>PV_DATA[[#This Row],[QUANTITY]]/PV_DATA[[#This Row],[Qty/Pallet]]</f>
        <v>52</v>
      </c>
      <c r="X432" s="1019">
        <f>PV_DATA[[#This Row],[QUANTITY]]/PV_DATA[[#This Row],[Qty/CT]]</f>
        <v>2</v>
      </c>
      <c r="Y432" s="430" t="s">
        <v>75</v>
      </c>
      <c r="Z432" s="430" t="str">
        <f t="shared" si="3"/>
        <v>COMPLETED</v>
      </c>
      <c r="AA432" s="431" t="s">
        <v>2038</v>
      </c>
      <c r="AB432" s="441">
        <v>46125</v>
      </c>
      <c r="AC432" s="467">
        <f>IF(PV_DATA[[#This Row],[Pick-Up Date]]&lt;&gt;"",_xlfn.ISOWEEKNUM(PV_DATA[[#This Row],[Pick-Up Date]]),"")</f>
        <v>16</v>
      </c>
      <c r="AD432" s="431" t="s">
        <v>2119</v>
      </c>
      <c r="AF432" s="431" t="s">
        <v>4429</v>
      </c>
      <c r="AG432" s="431" t="s">
        <v>123</v>
      </c>
      <c r="AH432" s="431" t="s">
        <v>105</v>
      </c>
      <c r="AI432" s="441">
        <v>46129</v>
      </c>
      <c r="AJ432" s="441">
        <v>46130</v>
      </c>
      <c r="AK432" s="441">
        <v>46129</v>
      </c>
      <c r="AL432" s="441">
        <v>46172</v>
      </c>
      <c r="AM432" s="441">
        <v>46179</v>
      </c>
      <c r="AN432" s="441">
        <v>46180</v>
      </c>
      <c r="AO432" s="441" t="s">
        <v>402</v>
      </c>
      <c r="AP432" s="441" t="s">
        <v>2120</v>
      </c>
      <c r="AQ432" s="441" t="s">
        <v>161</v>
      </c>
      <c r="AR432" s="441" t="s">
        <v>2121</v>
      </c>
      <c r="AS432" s="431" t="s">
        <v>2122</v>
      </c>
      <c r="AT432" s="482" t="s">
        <v>2123</v>
      </c>
      <c r="AU43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</v>
      </c>
      <c r="AW432" s="441" cm="1">
        <f t="array" ref="AW43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46180</v>
      </c>
      <c r="AX43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32" s="441">
        <f>IF(ISERROR(PV_DATA[[#This Row],[New Ark PO status]]),"",_xlfn.XLOOKUP(PV_DATA[[#This Row],[SPTN-PVHK New Ark PO'#]],New_Ark_Data[Purchase order Number],New_Ark_Data[Estimated time of arrival],"",0))</f>
        <v>46195</v>
      </c>
      <c r="AZ43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32" s="437">
        <f>IFERROR(PV_DATA[[#This Row],[ODP ETA Port]]+PV_DATA[[#This Row],[Customs/Leg3 Assumption]],"n/a")</f>
        <v>46187</v>
      </c>
      <c r="BB432" s="442">
        <f>YEAR(PV_DATA[[#This Row],[ETA for New Ark update]])</f>
        <v>2026</v>
      </c>
      <c r="BC432" s="431">
        <f>MONTH(PV_DATA[[#This Row],[ETA for New Ark update]])</f>
        <v>6</v>
      </c>
      <c r="BD432" s="431">
        <f>IFERROR(_xlfn.ISOWEEKNUM(PV_DATA[[#This Row],[ETA for New Ark update]]),0)</f>
        <v>24</v>
      </c>
      <c r="BE432" s="431">
        <f>_xlfn.XLOOKUP(PV_DATA[[#This Row],[New Ark SKU]],Table9[New Ark SKU],Table9[Total PCS per Pallet],,0)</f>
        <v>36</v>
      </c>
      <c r="BF432" s="431">
        <f>_xlfn.XLOOKUP(PV_DATA[[#This Row],[New Ark SKU]],Table9[New Ark SKU],Table9[Total PCS per 40HQ Container],,0)</f>
        <v>936</v>
      </c>
      <c r="BG432" s="431" t="str">
        <f>_xlfn.XLOOKUP(PV_DATA[[#This Row],[New Ark SKU]],Table9[New Ark SKU],Table9[Back Glass],,0)</f>
        <v>Black glazing</v>
      </c>
      <c r="BH432" s="431" t="str">
        <f>_xlfn.XLOOKUP(PV_DATA[[#This Row],[PORT DESTINATION]],Table12[PORT DESTINATION],Table12[Cosco Line],,0)</f>
        <v>AEU</v>
      </c>
    </row>
    <row r="433" spans="1:60" s="431" customFormat="1" hidden="1">
      <c r="A433" s="439" t="s">
        <v>2124</v>
      </c>
      <c r="B433" s="439" t="s">
        <v>1888</v>
      </c>
      <c r="C433" s="439" t="str">
        <f>IFERROR(LEFT(PV_DATA[[#This Row],[TCL REFERENCE]],FIND(".",PV_DATA[[#This Row],[TCL REFERENCE]],1)-1),"Main Line")</f>
        <v>26Feb017</v>
      </c>
      <c r="D433" s="439" t="s">
        <v>63</v>
      </c>
      <c r="E433" s="439" t="s">
        <v>144</v>
      </c>
      <c r="F433" s="462" t="str" cm="1">
        <f t="array" ref="F43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433" s="439" t="s">
        <v>402</v>
      </c>
      <c r="H433" s="719" t="s">
        <v>1449</v>
      </c>
      <c r="I433" s="439" t="s">
        <v>689</v>
      </c>
      <c r="J433" s="431" t="s">
        <v>2125</v>
      </c>
      <c r="K433" s="431" t="s">
        <v>1451</v>
      </c>
      <c r="L433" s="450">
        <v>1</v>
      </c>
      <c r="M433" s="431" t="s">
        <v>840</v>
      </c>
      <c r="N433" s="461">
        <v>46111</v>
      </c>
      <c r="O433" s="431" t="s">
        <v>70</v>
      </c>
      <c r="P433" s="431" t="s">
        <v>195</v>
      </c>
      <c r="Q433" s="431" t="s">
        <v>196</v>
      </c>
      <c r="R433" s="431" t="str">
        <f>_xlfn.XLOOKUP(PV_DATA[[#This Row],[New Ark SKU]],Table9[New Ark SKU],Table9[Connector],,0)</f>
        <v>EVO2A</v>
      </c>
      <c r="S433" s="442" t="str">
        <f>_xlfn.XLOOKUP(PV_DATA[[#This Row],[New Ark SKU]],Table9[New Ark SKU],Table9[Cable],,0)</f>
        <v>±1200mm</v>
      </c>
      <c r="T433" s="442">
        <v>450</v>
      </c>
      <c r="U433" s="1067">
        <f>936*5</f>
        <v>4680</v>
      </c>
      <c r="V433" s="448">
        <f>PV_DATA[[#This Row],[QUANTITY]]*PV_DATA[[#This Row],[WATT]]/1000000</f>
        <v>2.1059999999999999</v>
      </c>
      <c r="W433" s="466">
        <f>PV_DATA[[#This Row],[QUANTITY]]/PV_DATA[[#This Row],[Qty/Pallet]]</f>
        <v>130</v>
      </c>
      <c r="X433" s="1019">
        <f>PV_DATA[[#This Row],[QUANTITY]]/PV_DATA[[#This Row],[Qty/CT]]</f>
        <v>5</v>
      </c>
      <c r="Y433" s="430" t="s">
        <v>75</v>
      </c>
      <c r="Z433" s="430" t="str">
        <f t="shared" si="3"/>
        <v>COMPLETED</v>
      </c>
      <c r="AA433" s="431" t="s">
        <v>2038</v>
      </c>
      <c r="AB433" s="441">
        <v>46125</v>
      </c>
      <c r="AC433" s="467">
        <f>IF(PV_DATA[[#This Row],[Pick-Up Date]]&lt;&gt;"",_xlfn.ISOWEEKNUM(PV_DATA[[#This Row],[Pick-Up Date]]),"")</f>
        <v>16</v>
      </c>
      <c r="AD433" s="431" t="s">
        <v>2126</v>
      </c>
      <c r="AF433" s="431" t="s">
        <v>4429</v>
      </c>
      <c r="AG433" s="431" t="s">
        <v>123</v>
      </c>
      <c r="AH433" s="431" t="s">
        <v>105</v>
      </c>
      <c r="AI433" s="441">
        <v>46129</v>
      </c>
      <c r="AJ433" s="441">
        <v>46130</v>
      </c>
      <c r="AK433" s="441">
        <v>46129</v>
      </c>
      <c r="AL433" s="441">
        <v>46172</v>
      </c>
      <c r="AM433" s="441">
        <v>46179</v>
      </c>
      <c r="AN433" s="441">
        <v>46180</v>
      </c>
      <c r="AO433" s="441" t="s">
        <v>402</v>
      </c>
      <c r="AP433" s="441" t="s">
        <v>2120</v>
      </c>
      <c r="AQ433" s="441" t="s">
        <v>161</v>
      </c>
      <c r="AR433" s="441" t="s">
        <v>2127</v>
      </c>
      <c r="AS433" s="431" t="s">
        <v>2128</v>
      </c>
      <c r="AT433" s="482" t="s">
        <v>2123</v>
      </c>
      <c r="AU43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</v>
      </c>
      <c r="AW433" s="441" cm="1">
        <f t="array" ref="AW43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46180</v>
      </c>
      <c r="AX43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33" s="441">
        <f>IF(ISERROR(PV_DATA[[#This Row],[New Ark PO status]]),"",_xlfn.XLOOKUP(PV_DATA[[#This Row],[SPTN-PVHK New Ark PO'#]],New_Ark_Data[Purchase order Number],New_Ark_Data[Estimated time of arrival],"",0))</f>
        <v>46178</v>
      </c>
      <c r="AZ433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433" s="437">
        <f>IFERROR(PV_DATA[[#This Row],[ODP ETA Port]]+PV_DATA[[#This Row],[Customs/Leg3 Assumption]],"n/a")</f>
        <v>46180</v>
      </c>
      <c r="BB433" s="442">
        <f>YEAR(PV_DATA[[#This Row],[ETA for New Ark update]])</f>
        <v>2026</v>
      </c>
      <c r="BC433" s="431">
        <f>MONTH(PV_DATA[[#This Row],[ETA for New Ark update]])</f>
        <v>6</v>
      </c>
      <c r="BD433" s="431">
        <f>IFERROR(_xlfn.ISOWEEKNUM(PV_DATA[[#This Row],[ETA for New Ark update]]),0)</f>
        <v>23</v>
      </c>
      <c r="BE433" s="431">
        <f>_xlfn.XLOOKUP(PV_DATA[[#This Row],[New Ark SKU]],Table9[New Ark SKU],Table9[Total PCS per Pallet],,0)</f>
        <v>36</v>
      </c>
      <c r="BF433" s="431">
        <f>_xlfn.XLOOKUP(PV_DATA[[#This Row],[New Ark SKU]],Table9[New Ark SKU],Table9[Total PCS per 40HQ Container],,0)</f>
        <v>936</v>
      </c>
      <c r="BG433" s="431" t="str">
        <f>_xlfn.XLOOKUP(PV_DATA[[#This Row],[New Ark SKU]],Table9[New Ark SKU],Table9[Back Glass],,0)</f>
        <v>Black glazing</v>
      </c>
      <c r="BH433" s="431" t="str">
        <f>_xlfn.XLOOKUP(PV_DATA[[#This Row],[PORT DESTINATION]],Table12[PORT DESTINATION],Table12[Cosco Line],,0)</f>
        <v>AEU</v>
      </c>
    </row>
    <row r="434" spans="1:60" s="431" customFormat="1" hidden="1">
      <c r="A434" s="439" t="s">
        <v>2129</v>
      </c>
      <c r="B434" s="439" t="s">
        <v>1888</v>
      </c>
      <c r="C434" s="439" t="str">
        <f>IFERROR(LEFT(PV_DATA[[#This Row],[TCL REFERENCE]],FIND(".",PV_DATA[[#This Row],[TCL REFERENCE]],1)-1),"Main Line")</f>
        <v>26Feb017</v>
      </c>
      <c r="D434" s="439" t="s">
        <v>63</v>
      </c>
      <c r="E434" s="439" t="s">
        <v>144</v>
      </c>
      <c r="F434" s="462" t="str" cm="1">
        <f t="array" ref="F43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434" s="439" t="s">
        <v>402</v>
      </c>
      <c r="H434" s="719" t="s">
        <v>1449</v>
      </c>
      <c r="I434" s="439" t="s">
        <v>689</v>
      </c>
      <c r="J434" s="431" t="s">
        <v>2125</v>
      </c>
      <c r="K434" s="431" t="s">
        <v>1451</v>
      </c>
      <c r="L434" s="450">
        <v>2</v>
      </c>
      <c r="M434" s="431" t="s">
        <v>840</v>
      </c>
      <c r="N434" s="461">
        <v>46111</v>
      </c>
      <c r="O434" s="431" t="s">
        <v>70</v>
      </c>
      <c r="P434" s="431" t="s">
        <v>195</v>
      </c>
      <c r="Q434" s="431" t="s">
        <v>196</v>
      </c>
      <c r="R434" s="431" t="str">
        <f>_xlfn.XLOOKUP(PV_DATA[[#This Row],[New Ark SKU]],Table9[New Ark SKU],Table9[Connector],,0)</f>
        <v>EVO2A</v>
      </c>
      <c r="S434" s="442" t="str">
        <f>_xlfn.XLOOKUP(PV_DATA[[#This Row],[New Ark SKU]],Table9[New Ark SKU],Table9[Cable],,0)</f>
        <v>±1200mm</v>
      </c>
      <c r="T434" s="442">
        <v>450</v>
      </c>
      <c r="U434" s="1067">
        <v>4680</v>
      </c>
      <c r="V434" s="448">
        <f>PV_DATA[[#This Row],[QUANTITY]]*PV_DATA[[#This Row],[WATT]]/1000000</f>
        <v>2.1059999999999999</v>
      </c>
      <c r="W434" s="466">
        <f>PV_DATA[[#This Row],[QUANTITY]]/PV_DATA[[#This Row],[Qty/Pallet]]</f>
        <v>130</v>
      </c>
      <c r="X434" s="1019">
        <f>PV_DATA[[#This Row],[QUANTITY]]/PV_DATA[[#This Row],[Qty/CT]]</f>
        <v>5</v>
      </c>
      <c r="Y434" s="430" t="s">
        <v>75</v>
      </c>
      <c r="Z434" s="430" t="str">
        <f t="shared" si="3"/>
        <v>COMPLETED</v>
      </c>
      <c r="AA434" s="431" t="s">
        <v>2038</v>
      </c>
      <c r="AB434" s="441">
        <v>46125</v>
      </c>
      <c r="AC434" s="467">
        <f>IF(PV_DATA[[#This Row],[Pick-Up Date]]&lt;&gt;"",_xlfn.ISOWEEKNUM(PV_DATA[[#This Row],[Pick-Up Date]]),"")</f>
        <v>16</v>
      </c>
      <c r="AD434" s="431" t="s">
        <v>2130</v>
      </c>
      <c r="AF434" s="431" t="s">
        <v>4429</v>
      </c>
      <c r="AG434" s="431" t="s">
        <v>123</v>
      </c>
      <c r="AH434" s="431" t="s">
        <v>105</v>
      </c>
      <c r="AI434" s="441">
        <v>46129</v>
      </c>
      <c r="AJ434" s="441">
        <v>46130</v>
      </c>
      <c r="AK434" s="441">
        <v>46129</v>
      </c>
      <c r="AL434" s="441">
        <v>46172</v>
      </c>
      <c r="AM434" s="441">
        <v>46179</v>
      </c>
      <c r="AN434" s="441">
        <v>46180</v>
      </c>
      <c r="AO434" s="441" t="s">
        <v>402</v>
      </c>
      <c r="AP434" s="441" t="s">
        <v>2120</v>
      </c>
      <c r="AQ434" s="441" t="s">
        <v>161</v>
      </c>
      <c r="AR434" s="441" t="s">
        <v>2127</v>
      </c>
      <c r="AS434" s="431" t="s">
        <v>2128</v>
      </c>
      <c r="AT434" s="482" t="s">
        <v>2123</v>
      </c>
      <c r="AU43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</v>
      </c>
      <c r="AW434" s="441" cm="1">
        <f t="array" ref="AW43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46180</v>
      </c>
      <c r="AX43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34" s="441">
        <f>IF(ISERROR(PV_DATA[[#This Row],[New Ark PO status]]),"",_xlfn.XLOOKUP(PV_DATA[[#This Row],[SPTN-PVHK New Ark PO'#]],New_Ark_Data[Purchase order Number],New_Ark_Data[Estimated time of arrival],"",0))</f>
        <v>46178</v>
      </c>
      <c r="AZ434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434" s="437">
        <f>IFERROR(PV_DATA[[#This Row],[ODP ETA Port]]+PV_DATA[[#This Row],[Customs/Leg3 Assumption]],"n/a")</f>
        <v>46180</v>
      </c>
      <c r="BB434" s="442">
        <f>YEAR(PV_DATA[[#This Row],[ETA for New Ark update]])</f>
        <v>2026</v>
      </c>
      <c r="BC434" s="431">
        <f>MONTH(PV_DATA[[#This Row],[ETA for New Ark update]])</f>
        <v>6</v>
      </c>
      <c r="BD434" s="431">
        <f>IFERROR(_xlfn.ISOWEEKNUM(PV_DATA[[#This Row],[ETA for New Ark update]]),0)</f>
        <v>23</v>
      </c>
      <c r="BE434" s="431">
        <f>_xlfn.XLOOKUP(PV_DATA[[#This Row],[New Ark SKU]],Table9[New Ark SKU],Table9[Total PCS per Pallet],,0)</f>
        <v>36</v>
      </c>
      <c r="BF434" s="431">
        <f>_xlfn.XLOOKUP(PV_DATA[[#This Row],[New Ark SKU]],Table9[New Ark SKU],Table9[Total PCS per 40HQ Container],,0)</f>
        <v>936</v>
      </c>
      <c r="BG434" s="431" t="str">
        <f>_xlfn.XLOOKUP(PV_DATA[[#This Row],[New Ark SKU]],Table9[New Ark SKU],Table9[Back Glass],,0)</f>
        <v>Black glazing</v>
      </c>
      <c r="BH434" s="431" t="str">
        <f>_xlfn.XLOOKUP(PV_DATA[[#This Row],[PORT DESTINATION]],Table12[PORT DESTINATION],Table12[Cosco Line],,0)</f>
        <v>AEU</v>
      </c>
    </row>
    <row r="435" spans="1:60" s="431" customFormat="1" ht="10.5" hidden="1">
      <c r="A435" s="439" t="s">
        <v>2131</v>
      </c>
      <c r="B435" s="439" t="s">
        <v>2132</v>
      </c>
      <c r="C435" s="439" t="str">
        <f>IFERROR(LEFT(PV_DATA[[#This Row],[TCL REFERENCE]],FIND(".",PV_DATA[[#This Row],[TCL REFERENCE]],1)-1),"Main Line")</f>
        <v>26Apr006</v>
      </c>
      <c r="D435" s="439" t="s">
        <v>63</v>
      </c>
      <c r="E435" s="439" t="s">
        <v>64</v>
      </c>
      <c r="F435" s="462" t="str" cm="1">
        <f t="array" ref="F43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435" s="439" t="s">
        <v>402</v>
      </c>
      <c r="H435" s="439" t="s">
        <v>67</v>
      </c>
      <c r="I435" s="439"/>
      <c r="J435" s="430" t="s">
        <v>96</v>
      </c>
      <c r="M435" s="431" t="s">
        <v>68</v>
      </c>
      <c r="N435" s="432" t="s">
        <v>68</v>
      </c>
      <c r="O435" s="431" t="s">
        <v>550</v>
      </c>
      <c r="P435" s="431" t="s">
        <v>2134</v>
      </c>
      <c r="Q435" s="431" t="s">
        <v>2135</v>
      </c>
      <c r="R435" s="431" t="str">
        <f>_xlfn.XLOOKUP(PV_DATA[[#This Row],[New Ark SKU]],Table9[New Ark SKU],Table9[Connector],,0)</f>
        <v>EVO2A</v>
      </c>
      <c r="S435" s="442" t="str">
        <f>_xlfn.XLOOKUP(PV_DATA[[#This Row],[New Ark SKU]],Table9[New Ark SKU],Table9[Cable],,0)</f>
        <v>±1350mm</v>
      </c>
      <c r="T435" s="442">
        <v>515</v>
      </c>
      <c r="U435" s="1067">
        <v>792</v>
      </c>
      <c r="V435" s="448">
        <f>PV_DATA[[#This Row],[QUANTITY]]*PV_DATA[[#This Row],[WATT]]/1000000</f>
        <v>0.40788000000000002</v>
      </c>
      <c r="W435" s="466">
        <f>PV_DATA[[#This Row],[QUANTITY]]/PV_DATA[[#This Row],[Qty/Pallet]]</f>
        <v>22</v>
      </c>
      <c r="X435" s="1019">
        <f>PV_DATA[[#This Row],[QUANTITY]]/PV_DATA[[#This Row],[Qty/CT]]</f>
        <v>1</v>
      </c>
      <c r="Y435" s="430" t="s">
        <v>75</v>
      </c>
      <c r="Z435" s="430" t="str">
        <f t="shared" ref="Z435:Z498" si="4">IF(AN435&lt;&gt;"","COMPLETED",IF(AK435&lt;&gt;"","IN-TRANSIT",""))</f>
        <v>COMPLETED</v>
      </c>
      <c r="AB435" s="441">
        <v>46126</v>
      </c>
      <c r="AC435" s="467">
        <f>IF(PV_DATA[[#This Row],[Pick-Up Date]]&lt;&gt;"",_xlfn.ISOWEEKNUM(PV_DATA[[#This Row],[Pick-Up Date]]),"")</f>
        <v>16</v>
      </c>
      <c r="AD435" s="431" t="s">
        <v>2137</v>
      </c>
      <c r="AF435" s="431" t="s">
        <v>123</v>
      </c>
      <c r="AG435" s="431" t="s">
        <v>123</v>
      </c>
      <c r="AH435" s="431" t="s">
        <v>105</v>
      </c>
      <c r="AI435" s="441">
        <v>46131</v>
      </c>
      <c r="AJ435" s="441">
        <v>46130</v>
      </c>
      <c r="AK435" s="441">
        <v>46130</v>
      </c>
      <c r="AL435" s="441">
        <v>46172</v>
      </c>
      <c r="AM435" s="455">
        <v>46175</v>
      </c>
      <c r="AN435" s="441">
        <v>46175</v>
      </c>
      <c r="AO435" s="441" t="s">
        <v>402</v>
      </c>
      <c r="AP435" s="431" t="s">
        <v>2138</v>
      </c>
      <c r="AQ435" s="431" t="s">
        <v>80</v>
      </c>
      <c r="AR435" s="431" t="s">
        <v>2139</v>
      </c>
      <c r="AS435" s="431" t="s">
        <v>2140</v>
      </c>
      <c r="AT435" s="482" t="s">
        <v>2140</v>
      </c>
      <c r="AU43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V435" s="441"/>
      <c r="AW435" s="441" cm="1">
        <f t="array" ref="AW43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46175</v>
      </c>
      <c r="AX43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35" s="441">
        <f>IF(ISERROR(PV_DATA[[#This Row],[New Ark PO status]]),"",_xlfn.XLOOKUP(PV_DATA[[#This Row],[SPTN-PVHK New Ark PO'#]],New_Ark_Data[Purchase order Number],New_Ark_Data[Estimated time of arrival],"",0))</f>
        <v>46189</v>
      </c>
      <c r="AZ43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35" s="437">
        <f>IFERROR(PV_DATA[[#This Row],[ODP ETA Port]]+PV_DATA[[#This Row],[Customs/Leg3 Assumption]],"n/a")</f>
        <v>46182</v>
      </c>
      <c r="BB435" s="442">
        <f>YEAR(PV_DATA[[#This Row],[ETA for New Ark update]])</f>
        <v>2026</v>
      </c>
      <c r="BC435" s="431">
        <f>MONTH(PV_DATA[[#This Row],[ETA for New Ark update]])</f>
        <v>6</v>
      </c>
      <c r="BD435" s="431">
        <f>IFERROR(_xlfn.ISOWEEKNUM(PV_DATA[[#This Row],[ETA for New Ark update]]),0)</f>
        <v>24</v>
      </c>
      <c r="BE435" s="431">
        <f>_xlfn.XLOOKUP(PV_DATA[[#This Row],[New Ark SKU]],Table9[New Ark SKU],Table9[Total PCS per Pallet],,0)</f>
        <v>36</v>
      </c>
      <c r="BF435" s="431">
        <f>_xlfn.XLOOKUP(PV_DATA[[#This Row],[New Ark SKU]],Table9[New Ark SKU],Table9[Total PCS per 40HQ Container],,0)</f>
        <v>792</v>
      </c>
      <c r="BG435" s="431" t="str">
        <f>_xlfn.XLOOKUP(PV_DATA[[#This Row],[New Ark SKU]],Table9[New Ark SKU],Table9[Back Glass],,0)</f>
        <v>Black glazing</v>
      </c>
      <c r="BH435" s="431" t="str">
        <f>_xlfn.XLOOKUP(PV_DATA[[#This Row],[PORT DESTINATION]],Table12[PORT DESTINATION],Table12[Cosco Line],,0)</f>
        <v>AEU</v>
      </c>
    </row>
    <row r="436" spans="1:60" s="431" customFormat="1" hidden="1">
      <c r="A436" s="439" t="s">
        <v>2141</v>
      </c>
      <c r="B436" s="439" t="s">
        <v>111</v>
      </c>
      <c r="C436" s="439" t="str">
        <f>IFERROR(LEFT(PV_DATA[[#This Row],[TCL REFERENCE]],FIND(".",PV_DATA[[#This Row],[TCL REFERENCE]],1)-1),"Main Line")</f>
        <v>26Feb005</v>
      </c>
      <c r="D436" s="439" t="s">
        <v>63</v>
      </c>
      <c r="E436" s="439" t="s">
        <v>64</v>
      </c>
      <c r="F436" s="462" t="str" cm="1">
        <f t="array" ref="F43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436" s="439" t="s">
        <v>402</v>
      </c>
      <c r="H436" s="439" t="s">
        <v>311</v>
      </c>
      <c r="I436" s="439" t="s">
        <v>882</v>
      </c>
      <c r="J436" s="430" t="s">
        <v>96</v>
      </c>
      <c r="M436" s="431" t="s">
        <v>68</v>
      </c>
      <c r="N436" s="461">
        <v>46111</v>
      </c>
      <c r="O436" s="431" t="s">
        <v>170</v>
      </c>
      <c r="P436" s="431" t="s">
        <v>171</v>
      </c>
      <c r="Q436" s="431" t="s">
        <v>1731</v>
      </c>
      <c r="R436" s="431" t="str">
        <f>_xlfn.XLOOKUP(PV_DATA[[#This Row],[New Ark SKU]],Table9[New Ark SKU],Table9[Connector],,0)</f>
        <v>EVO2A</v>
      </c>
      <c r="S436" s="442" t="str">
        <f>_xlfn.XLOOKUP(PV_DATA[[#This Row],[New Ark SKU]],Table9[New Ark SKU],Table9[Cable],,0)</f>
        <v>±1400mm</v>
      </c>
      <c r="T436" s="442">
        <v>555</v>
      </c>
      <c r="U436" s="1067">
        <f>660*6</f>
        <v>3960</v>
      </c>
      <c r="V436" s="448">
        <f>PV_DATA[[#This Row],[QUANTITY]]*PV_DATA[[#This Row],[WATT]]/1000000</f>
        <v>2.1978</v>
      </c>
      <c r="W436" s="466">
        <f>PV_DATA[[#This Row],[QUANTITY]]/PV_DATA[[#This Row],[Qty/Pallet]]</f>
        <v>120</v>
      </c>
      <c r="X436" s="1019">
        <f>PV_DATA[[#This Row],[QUANTITY]]/PV_DATA[[#This Row],[Qty/CT]]</f>
        <v>6</v>
      </c>
      <c r="Y436" s="431" t="s">
        <v>951</v>
      </c>
      <c r="Z436" s="430" t="str">
        <f t="shared" si="4"/>
        <v>COMPLETED</v>
      </c>
      <c r="AA436" s="431" t="s">
        <v>2082</v>
      </c>
      <c r="AB436" s="441">
        <v>46122</v>
      </c>
      <c r="AC436" s="445">
        <f>IF(PV_DATA[[#This Row],[Pick-Up Date]]&lt;&gt;"",_xlfn.ISOWEEKNUM(PV_DATA[[#This Row],[Pick-Up Date]]),"")</f>
        <v>15</v>
      </c>
      <c r="AD436" s="431" t="s">
        <v>2142</v>
      </c>
      <c r="AF436" s="431" t="s">
        <v>4432</v>
      </c>
      <c r="AG436" s="431" t="s">
        <v>123</v>
      </c>
      <c r="AH436" s="431" t="s">
        <v>314</v>
      </c>
      <c r="AI436" s="441">
        <v>46129</v>
      </c>
      <c r="AJ436" s="441">
        <v>46129</v>
      </c>
      <c r="AK436" s="441">
        <v>46131</v>
      </c>
      <c r="AL436" s="441">
        <v>46176</v>
      </c>
      <c r="AM436" s="441">
        <v>46182</v>
      </c>
      <c r="AN436" s="441">
        <v>46182</v>
      </c>
      <c r="AO436" s="441" t="s">
        <v>402</v>
      </c>
      <c r="AP436" s="431" t="s">
        <v>2143</v>
      </c>
      <c r="AQ436" s="431" t="s">
        <v>80</v>
      </c>
      <c r="AR436" s="431" t="s">
        <v>2144</v>
      </c>
      <c r="AS436" s="431" t="s">
        <v>2145</v>
      </c>
      <c r="AT436" s="482" t="s">
        <v>2145</v>
      </c>
      <c r="AU43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</v>
      </c>
      <c r="AW436" s="441" cm="1">
        <f t="array" ref="AW43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46182</v>
      </c>
      <c r="AX43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36" s="441">
        <f>IF(ISERROR(PV_DATA[[#This Row],[New Ark PO status]]),"",_xlfn.XLOOKUP(PV_DATA[[#This Row],[SPTN-PVHK New Ark PO'#]],New_Ark_Data[Purchase order Number],New_Ark_Data[Estimated time of arrival],"",0))</f>
        <v>46196</v>
      </c>
      <c r="AZ436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36" s="437">
        <f>IFERROR(PV_DATA[[#This Row],[ODP ETA Port]]+PV_DATA[[#This Row],[Customs/Leg3 Assumption]],"n/a")</f>
        <v>46192</v>
      </c>
      <c r="BB436" s="442">
        <f>YEAR(PV_DATA[[#This Row],[ETA for New Ark update]])</f>
        <v>2026</v>
      </c>
      <c r="BC436" s="431">
        <f>MONTH(PV_DATA[[#This Row],[ETA for New Ark update]])</f>
        <v>6</v>
      </c>
      <c r="BD436" s="431">
        <f>IFERROR(_xlfn.ISOWEEKNUM(PV_DATA[[#This Row],[ETA for New Ark update]]),0)</f>
        <v>25</v>
      </c>
      <c r="BE436" s="431">
        <f>_xlfn.XLOOKUP(PV_DATA[[#This Row],[New Ark SKU]],Table9[New Ark SKU],Table9[Total PCS per Pallet],,0)</f>
        <v>33</v>
      </c>
      <c r="BF436" s="431">
        <f>_xlfn.XLOOKUP(PV_DATA[[#This Row],[New Ark SKU]],Table9[New Ark SKU],Table9[Total PCS per 40HQ Container],,0)</f>
        <v>660</v>
      </c>
      <c r="BG436" s="431" t="str">
        <f>_xlfn.XLOOKUP(PV_DATA[[#This Row],[New Ark SKU]],Table9[New Ark SKU],Table9[Back Glass],,0)</f>
        <v>White glazing</v>
      </c>
      <c r="BH436" s="431" t="str">
        <f>_xlfn.XLOOKUP(PV_DATA[[#This Row],[PORT DESTINATION]],Table12[PORT DESTINATION],Table12[Cosco Line],,0)</f>
        <v>AEM</v>
      </c>
    </row>
    <row r="437" spans="1:60" s="431" customFormat="1" hidden="1">
      <c r="A437" s="439" t="s">
        <v>2146</v>
      </c>
      <c r="B437" s="439" t="s">
        <v>111</v>
      </c>
      <c r="C437" s="439" t="str">
        <f>IFERROR(LEFT(PV_DATA[[#This Row],[TCL REFERENCE]],FIND(".",PV_DATA[[#This Row],[TCL REFERENCE]],1)-1),"Main Line")</f>
        <v>26Feb006</v>
      </c>
      <c r="D437" s="439" t="s">
        <v>63</v>
      </c>
      <c r="E437" s="439" t="s">
        <v>64</v>
      </c>
      <c r="F437" s="462" t="str" cm="1">
        <f t="array" ref="F43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437" s="439" t="s">
        <v>402</v>
      </c>
      <c r="H437" s="439" t="s">
        <v>311</v>
      </c>
      <c r="I437" s="439" t="s">
        <v>882</v>
      </c>
      <c r="J437" s="430" t="s">
        <v>96</v>
      </c>
      <c r="M437" s="431" t="s">
        <v>68</v>
      </c>
      <c r="N437" s="461">
        <v>46111</v>
      </c>
      <c r="O437" s="431" t="s">
        <v>170</v>
      </c>
      <c r="P437" s="431" t="s">
        <v>1977</v>
      </c>
      <c r="Q437" s="431" t="s">
        <v>1978</v>
      </c>
      <c r="R437" s="431" t="str">
        <f>_xlfn.XLOOKUP(PV_DATA[[#This Row],[New Ark SKU]],Table9[New Ark SKU],Table9[Connector],,0)</f>
        <v>EVO2A</v>
      </c>
      <c r="S437" s="442" t="str">
        <f>_xlfn.XLOOKUP(PV_DATA[[#This Row],[New Ark SKU]],Table9[New Ark SKU],Table9[Cable],,0)</f>
        <v>±1400mm</v>
      </c>
      <c r="T437" s="442">
        <v>560</v>
      </c>
      <c r="U437" s="1067">
        <v>1320</v>
      </c>
      <c r="V437" s="448">
        <f>PV_DATA[[#This Row],[QUANTITY]]*PV_DATA[[#This Row],[WATT]]/1000000</f>
        <v>0.73919999999999997</v>
      </c>
      <c r="W437" s="466">
        <f>PV_DATA[[#This Row],[QUANTITY]]/PV_DATA[[#This Row],[Qty/Pallet]]</f>
        <v>40</v>
      </c>
      <c r="X437" s="1019">
        <f>PV_DATA[[#This Row],[QUANTITY]]/PV_DATA[[#This Row],[Qty/CT]]</f>
        <v>2</v>
      </c>
      <c r="Y437" s="431" t="s">
        <v>951</v>
      </c>
      <c r="Z437" s="430" t="str">
        <f t="shared" si="4"/>
        <v>COMPLETED</v>
      </c>
      <c r="AA437" s="431" t="s">
        <v>2147</v>
      </c>
      <c r="AB437" s="441">
        <v>46122</v>
      </c>
      <c r="AC437" s="445">
        <f>IF(PV_DATA[[#This Row],[Pick-Up Date]]&lt;&gt;"",_xlfn.ISOWEEKNUM(PV_DATA[[#This Row],[Pick-Up Date]]),"")</f>
        <v>15</v>
      </c>
      <c r="AD437" s="431" t="s">
        <v>2148</v>
      </c>
      <c r="AF437" s="431" t="s">
        <v>4432</v>
      </c>
      <c r="AG437" s="431" t="s">
        <v>123</v>
      </c>
      <c r="AH437" s="431" t="s">
        <v>314</v>
      </c>
      <c r="AI437" s="441">
        <v>46129</v>
      </c>
      <c r="AJ437" s="441">
        <v>46129</v>
      </c>
      <c r="AK437" s="441">
        <v>46131</v>
      </c>
      <c r="AL437" s="441">
        <v>46176</v>
      </c>
      <c r="AM437" s="441">
        <v>46182</v>
      </c>
      <c r="AN437" s="441">
        <v>46182</v>
      </c>
      <c r="AO437" s="441" t="s">
        <v>402</v>
      </c>
      <c r="AP437" s="431" t="s">
        <v>2143</v>
      </c>
      <c r="AQ437" s="431" t="s">
        <v>80</v>
      </c>
      <c r="AR437" s="431" t="s">
        <v>2144</v>
      </c>
      <c r="AS437" s="431" t="s">
        <v>2145</v>
      </c>
      <c r="AT437" s="482" t="s">
        <v>2145</v>
      </c>
      <c r="AU43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</v>
      </c>
      <c r="AW437" s="441" cm="1">
        <f t="array" ref="AW43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46182</v>
      </c>
      <c r="AX43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37" s="441">
        <f>IF(ISERROR(PV_DATA[[#This Row],[New Ark PO status]]),"",_xlfn.XLOOKUP(PV_DATA[[#This Row],[SPTN-PVHK New Ark PO'#]],New_Ark_Data[Purchase order Number],New_Ark_Data[Estimated time of arrival],"",0))</f>
        <v>46196</v>
      </c>
      <c r="AZ437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37" s="437">
        <f>IFERROR(PV_DATA[[#This Row],[ODP ETA Port]]+PV_DATA[[#This Row],[Customs/Leg3 Assumption]],"n/a")</f>
        <v>46192</v>
      </c>
      <c r="BB437" s="442">
        <f>YEAR(PV_DATA[[#This Row],[ETA for New Ark update]])</f>
        <v>2026</v>
      </c>
      <c r="BC437" s="431">
        <f>MONTH(PV_DATA[[#This Row],[ETA for New Ark update]])</f>
        <v>6</v>
      </c>
      <c r="BD437" s="431">
        <f>IFERROR(_xlfn.ISOWEEKNUM(PV_DATA[[#This Row],[ETA for New Ark update]]),0)</f>
        <v>25</v>
      </c>
      <c r="BE437" s="431">
        <f>_xlfn.XLOOKUP(PV_DATA[[#This Row],[New Ark SKU]],Table9[New Ark SKU],Table9[Total PCS per Pallet],,0)</f>
        <v>33</v>
      </c>
      <c r="BF437" s="431">
        <f>_xlfn.XLOOKUP(PV_DATA[[#This Row],[New Ark SKU]],Table9[New Ark SKU],Table9[Total PCS per 40HQ Container],,0)</f>
        <v>660</v>
      </c>
      <c r="BG437" s="431" t="str">
        <f>_xlfn.XLOOKUP(PV_DATA[[#This Row],[New Ark SKU]],Table9[New Ark SKU],Table9[Back Glass],,0)</f>
        <v>White glazing</v>
      </c>
      <c r="BH437" s="431" t="str">
        <f>_xlfn.XLOOKUP(PV_DATA[[#This Row],[PORT DESTINATION]],Table12[PORT DESTINATION],Table12[Cosco Line],,0)</f>
        <v>AEM</v>
      </c>
    </row>
    <row r="438" spans="1:60" s="431" customFormat="1" ht="10.5" hidden="1">
      <c r="A438" s="439" t="s">
        <v>2149</v>
      </c>
      <c r="B438" s="439" t="s">
        <v>2132</v>
      </c>
      <c r="C438" s="439" t="str">
        <f>IFERROR(LEFT(PV_DATA[[#This Row],[TCL REFERENCE]],FIND(".",PV_DATA[[#This Row],[TCL REFERENCE]],1)-1),"Main Line")</f>
        <v>26Apr005</v>
      </c>
      <c r="D438" s="439" t="s">
        <v>63</v>
      </c>
      <c r="E438" s="439" t="s">
        <v>64</v>
      </c>
      <c r="F438" s="462" t="str" cm="1">
        <f t="array" ref="F43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38" s="439" t="s">
        <v>402</v>
      </c>
      <c r="H438" s="439" t="s">
        <v>67</v>
      </c>
      <c r="I438" s="439"/>
      <c r="J438" s="430" t="s">
        <v>96</v>
      </c>
      <c r="M438" s="431" t="s">
        <v>68</v>
      </c>
      <c r="N438" s="432" t="s">
        <v>68</v>
      </c>
      <c r="O438" s="431" t="s">
        <v>550</v>
      </c>
      <c r="P438" s="431" t="s">
        <v>551</v>
      </c>
      <c r="Q438" s="431" t="s">
        <v>2151</v>
      </c>
      <c r="R438" s="431" t="str">
        <f>_xlfn.XLOOKUP(PV_DATA[[#This Row],[New Ark SKU]],Table9[New Ark SKU],Table9[Connector],,0)</f>
        <v>EVO2A</v>
      </c>
      <c r="S438" s="442" t="str">
        <f>_xlfn.XLOOKUP(PV_DATA[[#This Row],[New Ark SKU]],Table9[New Ark SKU],Table9[Cable],,0)</f>
        <v>±1350mm</v>
      </c>
      <c r="T438" s="442">
        <v>510</v>
      </c>
      <c r="U438" s="1067">
        <v>792</v>
      </c>
      <c r="V438" s="448">
        <f>PV_DATA[[#This Row],[QUANTITY]]*PV_DATA[[#This Row],[WATT]]/1000000</f>
        <v>0.40392</v>
      </c>
      <c r="W438" s="466">
        <f>PV_DATA[[#This Row],[QUANTITY]]/PV_DATA[[#This Row],[Qty/Pallet]]</f>
        <v>22</v>
      </c>
      <c r="X438" s="1019">
        <f>PV_DATA[[#This Row],[QUANTITY]]/PV_DATA[[#This Row],[Qty/CT]]</f>
        <v>1</v>
      </c>
      <c r="Y438" s="431" t="s">
        <v>951</v>
      </c>
      <c r="Z438" s="430" t="str">
        <f t="shared" si="4"/>
        <v>COMPLETED</v>
      </c>
      <c r="AA438" s="431" t="s">
        <v>2152</v>
      </c>
      <c r="AB438" s="441">
        <v>46129</v>
      </c>
      <c r="AC438" s="467">
        <f>IF(PV_DATA[[#This Row],[Pick-Up Date]]&lt;&gt;"",_xlfn.ISOWEEKNUM(PV_DATA[[#This Row],[Pick-Up Date]]),"")</f>
        <v>16</v>
      </c>
      <c r="AD438" s="431" t="s">
        <v>2153</v>
      </c>
      <c r="AF438" s="431" t="s">
        <v>123</v>
      </c>
      <c r="AG438" s="431" t="s">
        <v>123</v>
      </c>
      <c r="AH438" s="431" t="s">
        <v>78</v>
      </c>
      <c r="AI438" s="441">
        <v>46134</v>
      </c>
      <c r="AJ438" s="441">
        <v>46136</v>
      </c>
      <c r="AK438" s="441">
        <v>46138</v>
      </c>
      <c r="AL438" s="441">
        <v>46175</v>
      </c>
      <c r="AM438" s="455">
        <v>46188</v>
      </c>
      <c r="AN438" s="441">
        <v>46191</v>
      </c>
      <c r="AO438" s="441" t="s">
        <v>402</v>
      </c>
      <c r="AP438" s="431" t="s">
        <v>2154</v>
      </c>
      <c r="AQ438" s="431" t="s">
        <v>80</v>
      </c>
      <c r="AR438" s="431" t="s">
        <v>2155</v>
      </c>
      <c r="AS438" s="431" t="s">
        <v>2156</v>
      </c>
      <c r="AT438" s="482" t="s">
        <v>2156</v>
      </c>
      <c r="AU43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V438" s="441"/>
      <c r="AW438" s="441" cm="1">
        <f t="array" ref="AW43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46191</v>
      </c>
      <c r="AX43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38" s="441">
        <f>IF(ISERROR(PV_DATA[[#This Row],[New Ark PO status]]),"",_xlfn.XLOOKUP(PV_DATA[[#This Row],[SPTN-PVHK New Ark PO'#]],New_Ark_Data[Purchase order Number],New_Ark_Data[Estimated time of arrival],"",0))</f>
        <v>46205</v>
      </c>
      <c r="AZ438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438" s="437">
        <f>IFERROR(PV_DATA[[#This Row],[ODP ETA Port]]+PV_DATA[[#This Row],[Customs/Leg3 Assumption]],"n/a")</f>
        <v>46199</v>
      </c>
      <c r="BB438" s="442">
        <f>YEAR(PV_DATA[[#This Row],[ETA for New Ark update]])</f>
        <v>2026</v>
      </c>
      <c r="BC438" s="431">
        <f>MONTH(PV_DATA[[#This Row],[ETA for New Ark update]])</f>
        <v>6</v>
      </c>
      <c r="BD438" s="431">
        <f>IFERROR(_xlfn.ISOWEEKNUM(PV_DATA[[#This Row],[ETA for New Ark update]]),0)</f>
        <v>26</v>
      </c>
      <c r="BE438" s="431">
        <f>_xlfn.XLOOKUP(PV_DATA[[#This Row],[New Ark SKU]],Table9[New Ark SKU],Table9[Total PCS per Pallet],,0)</f>
        <v>36</v>
      </c>
      <c r="BF438" s="431">
        <f>_xlfn.XLOOKUP(PV_DATA[[#This Row],[New Ark SKU]],Table9[New Ark SKU],Table9[Total PCS per 40HQ Container],,0)</f>
        <v>792</v>
      </c>
      <c r="BG438" s="431" t="str">
        <f>_xlfn.XLOOKUP(PV_DATA[[#This Row],[New Ark SKU]],Table9[New Ark SKU],Table9[Back Glass],,0)</f>
        <v>Black glazing</v>
      </c>
      <c r="BH438" s="431" t="str">
        <f>_xlfn.XLOOKUP(PV_DATA[[#This Row],[PORT DESTINATION]],Table12[PORT DESTINATION],Table12[Cosco Line],,0)</f>
        <v>AEM</v>
      </c>
    </row>
    <row r="439" spans="1:60" s="431" customFormat="1" ht="10.5" hidden="1">
      <c r="A439" s="439" t="s">
        <v>2157</v>
      </c>
      <c r="B439" s="439" t="s">
        <v>2132</v>
      </c>
      <c r="C439" s="439" t="str">
        <f>IFERROR(LEFT(PV_DATA[[#This Row],[TCL REFERENCE]],FIND(".",PV_DATA[[#This Row],[TCL REFERENCE]],1)-1),"Main Line")</f>
        <v>26Apr006</v>
      </c>
      <c r="D439" s="439" t="s">
        <v>63</v>
      </c>
      <c r="E439" s="439" t="s">
        <v>64</v>
      </c>
      <c r="F439" s="462" t="str" cm="1">
        <f t="array" ref="F43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39" s="439" t="s">
        <v>402</v>
      </c>
      <c r="H439" s="439" t="s">
        <v>67</v>
      </c>
      <c r="I439" s="439"/>
      <c r="J439" s="430" t="s">
        <v>96</v>
      </c>
      <c r="M439" s="431" t="s">
        <v>68</v>
      </c>
      <c r="N439" s="432" t="s">
        <v>68</v>
      </c>
      <c r="O439" s="431" t="s">
        <v>550</v>
      </c>
      <c r="P439" s="431" t="s">
        <v>2134</v>
      </c>
      <c r="Q439" s="431" t="s">
        <v>2135</v>
      </c>
      <c r="R439" s="431" t="str">
        <f>_xlfn.XLOOKUP(PV_DATA[[#This Row],[New Ark SKU]],Table9[New Ark SKU],Table9[Connector],,0)</f>
        <v>EVO2A</v>
      </c>
      <c r="S439" s="442" t="str">
        <f>_xlfn.XLOOKUP(PV_DATA[[#This Row],[New Ark SKU]],Table9[New Ark SKU],Table9[Cable],,0)</f>
        <v>±1350mm</v>
      </c>
      <c r="T439" s="442">
        <v>515</v>
      </c>
      <c r="U439" s="1067">
        <v>792</v>
      </c>
      <c r="V439" s="448">
        <f>PV_DATA[[#This Row],[QUANTITY]]*PV_DATA[[#This Row],[WATT]]/1000000</f>
        <v>0.40788000000000002</v>
      </c>
      <c r="W439" s="466">
        <f>PV_DATA[[#This Row],[QUANTITY]]/PV_DATA[[#This Row],[Qty/Pallet]]</f>
        <v>22</v>
      </c>
      <c r="X439" s="1019">
        <f>PV_DATA[[#This Row],[QUANTITY]]/PV_DATA[[#This Row],[Qty/CT]]</f>
        <v>1</v>
      </c>
      <c r="Y439" s="431" t="s">
        <v>951</v>
      </c>
      <c r="Z439" s="430" t="str">
        <f t="shared" si="4"/>
        <v>COMPLETED</v>
      </c>
      <c r="AA439" s="431" t="s">
        <v>2152</v>
      </c>
      <c r="AB439" s="441">
        <v>46128</v>
      </c>
      <c r="AC439" s="467">
        <f>IF(PV_DATA[[#This Row],[Pick-Up Date]]&lt;&gt;"",_xlfn.ISOWEEKNUM(PV_DATA[[#This Row],[Pick-Up Date]]),"")</f>
        <v>16</v>
      </c>
      <c r="AD439" s="431" t="s">
        <v>2158</v>
      </c>
      <c r="AE439" s="431" t="s">
        <v>2159</v>
      </c>
      <c r="AF439" s="431" t="s">
        <v>123</v>
      </c>
      <c r="AG439" s="431" t="s">
        <v>123</v>
      </c>
      <c r="AH439" s="431" t="s">
        <v>78</v>
      </c>
      <c r="AI439" s="441">
        <v>46134</v>
      </c>
      <c r="AJ439" s="441">
        <v>46136</v>
      </c>
      <c r="AK439" s="441">
        <v>46138</v>
      </c>
      <c r="AL439" s="441">
        <v>46175</v>
      </c>
      <c r="AM439" s="455">
        <v>46188</v>
      </c>
      <c r="AN439" s="441">
        <v>46191</v>
      </c>
      <c r="AO439" s="441" t="s">
        <v>402</v>
      </c>
      <c r="AP439" s="431" t="s">
        <v>2154</v>
      </c>
      <c r="AQ439" s="431" t="s">
        <v>80</v>
      </c>
      <c r="AR439" s="431" t="s">
        <v>2155</v>
      </c>
      <c r="AS439" s="431" t="s">
        <v>2156</v>
      </c>
      <c r="AT439" s="482" t="s">
        <v>2156</v>
      </c>
      <c r="AU43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V439" s="441"/>
      <c r="AW439" s="441" cm="1">
        <f t="array" ref="AW43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46191</v>
      </c>
      <c r="AX43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39" s="441">
        <f>IF(ISERROR(PV_DATA[[#This Row],[New Ark PO status]]),"",_xlfn.XLOOKUP(PV_DATA[[#This Row],[SPTN-PVHK New Ark PO'#]],New_Ark_Data[Purchase order Number],New_Ark_Data[Estimated time of arrival],"",0))</f>
        <v>46205</v>
      </c>
      <c r="AZ439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439" s="437">
        <f>IFERROR(PV_DATA[[#This Row],[ODP ETA Port]]+PV_DATA[[#This Row],[Customs/Leg3 Assumption]],"n/a")</f>
        <v>46199</v>
      </c>
      <c r="BB439" s="442">
        <f>YEAR(PV_DATA[[#This Row],[ETA for New Ark update]])</f>
        <v>2026</v>
      </c>
      <c r="BC439" s="431">
        <f>MONTH(PV_DATA[[#This Row],[ETA for New Ark update]])</f>
        <v>6</v>
      </c>
      <c r="BD439" s="431">
        <f>IFERROR(_xlfn.ISOWEEKNUM(PV_DATA[[#This Row],[ETA for New Ark update]]),0)</f>
        <v>26</v>
      </c>
      <c r="BE439" s="431">
        <f>_xlfn.XLOOKUP(PV_DATA[[#This Row],[New Ark SKU]],Table9[New Ark SKU],Table9[Total PCS per Pallet],,0)</f>
        <v>36</v>
      </c>
      <c r="BF439" s="431">
        <f>_xlfn.XLOOKUP(PV_DATA[[#This Row],[New Ark SKU]],Table9[New Ark SKU],Table9[Total PCS per 40HQ Container],,0)</f>
        <v>792</v>
      </c>
      <c r="BG439" s="431" t="str">
        <f>_xlfn.XLOOKUP(PV_DATA[[#This Row],[New Ark SKU]],Table9[New Ark SKU],Table9[Back Glass],,0)</f>
        <v>Black glazing</v>
      </c>
      <c r="BH439" s="431" t="str">
        <f>_xlfn.XLOOKUP(PV_DATA[[#This Row],[PORT DESTINATION]],Table12[PORT DESTINATION],Table12[Cosco Line],,0)</f>
        <v>AEM</v>
      </c>
    </row>
    <row r="440" spans="1:60" s="431" customFormat="1" hidden="1">
      <c r="A440" s="439" t="s">
        <v>2160</v>
      </c>
      <c r="B440" s="439" t="s">
        <v>61</v>
      </c>
      <c r="C440" s="439" t="str">
        <f>IFERROR(LEFT(PV_DATA[[#This Row],[TCL REFERENCE]],FIND(".",PV_DATA[[#This Row],[TCL REFERENCE]],1)-1),"Main Line")</f>
        <v>26Feb021</v>
      </c>
      <c r="D440" s="439" t="s">
        <v>63</v>
      </c>
      <c r="E440" s="439" t="s">
        <v>64</v>
      </c>
      <c r="F440" s="462" t="str" cm="1">
        <f t="array" ref="F44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40" s="439" t="s">
        <v>402</v>
      </c>
      <c r="H440" s="439" t="s">
        <v>67</v>
      </c>
      <c r="I440" s="439" t="s">
        <v>1395</v>
      </c>
      <c r="J440" s="430" t="s">
        <v>96</v>
      </c>
      <c r="M440" s="430" t="s">
        <v>68</v>
      </c>
      <c r="N440" s="461">
        <v>46111</v>
      </c>
      <c r="O440" s="431" t="s">
        <v>70</v>
      </c>
      <c r="P440" s="431" t="s">
        <v>91</v>
      </c>
      <c r="Q440" s="431" t="s">
        <v>92</v>
      </c>
      <c r="R440" s="431" t="str">
        <f>_xlfn.XLOOKUP(PV_DATA[[#This Row],[New Ark SKU]],Table9[New Ark SKU],Table9[Connector],,0)</f>
        <v>EVO2A</v>
      </c>
      <c r="S440" s="442" t="str">
        <f>_xlfn.XLOOKUP(PV_DATA[[#This Row],[New Ark SKU]],Table9[New Ark SKU],Table9[Cable],,0)</f>
        <v>±1200mm</v>
      </c>
      <c r="T440" s="442">
        <v>450</v>
      </c>
      <c r="U440" s="1067">
        <f>936*8</f>
        <v>7488</v>
      </c>
      <c r="V440" s="448">
        <f>PV_DATA[[#This Row],[QUANTITY]]*PV_DATA[[#This Row],[WATT]]/1000000</f>
        <v>3.3696000000000002</v>
      </c>
      <c r="W440" s="466">
        <f>PV_DATA[[#This Row],[QUANTITY]]/PV_DATA[[#This Row],[Qty/Pallet]]</f>
        <v>208</v>
      </c>
      <c r="X440" s="1019">
        <f>PV_DATA[[#This Row],[QUANTITY]]/PV_DATA[[#This Row],[Qty/CT]]</f>
        <v>8</v>
      </c>
      <c r="Y440" s="431" t="s">
        <v>951</v>
      </c>
      <c r="Z440" s="430" t="str">
        <f t="shared" si="4"/>
        <v>COMPLETED</v>
      </c>
      <c r="AA440" s="431" t="s">
        <v>1991</v>
      </c>
      <c r="AB440" s="441">
        <v>46127</v>
      </c>
      <c r="AC440" s="467">
        <f>IF(PV_DATA[[#This Row],[Pick-Up Date]]&lt;&gt;"",_xlfn.ISOWEEKNUM(PV_DATA[[#This Row],[Pick-Up Date]]),"")</f>
        <v>16</v>
      </c>
      <c r="AD440" s="431" t="s">
        <v>2161</v>
      </c>
      <c r="AF440" s="489" t="s">
        <v>4430</v>
      </c>
      <c r="AG440" s="489" t="s">
        <v>61</v>
      </c>
      <c r="AH440" s="489" t="s">
        <v>356</v>
      </c>
      <c r="AI440" s="585">
        <v>46131</v>
      </c>
      <c r="AJ440" s="441">
        <v>46131</v>
      </c>
      <c r="AK440" s="441">
        <v>46131</v>
      </c>
      <c r="AL440" s="441">
        <v>46182</v>
      </c>
      <c r="AM440" s="441">
        <v>46196</v>
      </c>
      <c r="AN440" s="441">
        <v>46190</v>
      </c>
      <c r="AO440" s="441" t="s">
        <v>402</v>
      </c>
      <c r="AP440" s="441" t="s">
        <v>2106</v>
      </c>
      <c r="AQ440" s="441" t="s">
        <v>161</v>
      </c>
      <c r="AR440" s="441" t="s">
        <v>2162</v>
      </c>
      <c r="AS440" s="431" t="s">
        <v>2163</v>
      </c>
      <c r="AT440" s="431">
        <v>273285266</v>
      </c>
      <c r="AU44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W440" s="441" cm="1">
        <f t="array" ref="AW44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46190</v>
      </c>
      <c r="AX44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40" s="441">
        <f>IF(ISERROR(PV_DATA[[#This Row],[New Ark PO status]]),"",_xlfn.XLOOKUP(PV_DATA[[#This Row],[SPTN-PVHK New Ark PO'#]],New_Ark_Data[Purchase order Number],New_Ark_Data[Estimated time of arrival],"",0))</f>
        <v>46204</v>
      </c>
      <c r="AZ440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40" s="437">
        <f>IFERROR(PV_DATA[[#This Row],[ODP ETA Port]]+PV_DATA[[#This Row],[Customs/Leg3 Assumption]],"n/a")</f>
        <v>46200</v>
      </c>
      <c r="BB440" s="442">
        <f>YEAR(PV_DATA[[#This Row],[ETA for New Ark update]])</f>
        <v>2026</v>
      </c>
      <c r="BC440" s="431">
        <f>MONTH(PV_DATA[[#This Row],[ETA for New Ark update]])</f>
        <v>6</v>
      </c>
      <c r="BD440" s="431">
        <f>IFERROR(_xlfn.ISOWEEKNUM(PV_DATA[[#This Row],[ETA for New Ark update]]),0)</f>
        <v>26</v>
      </c>
      <c r="BE440" s="431">
        <f>_xlfn.XLOOKUP(PV_DATA[[#This Row],[New Ark SKU]],Table9[New Ark SKU],Table9[Total PCS per Pallet],,0)</f>
        <v>36</v>
      </c>
      <c r="BF440" s="431">
        <f>_xlfn.XLOOKUP(PV_DATA[[#This Row],[New Ark SKU]],Table9[New Ark SKU],Table9[Total PCS per 40HQ Container],,0)</f>
        <v>936</v>
      </c>
      <c r="BG440" s="431" t="str">
        <f>_xlfn.XLOOKUP(PV_DATA[[#This Row],[New Ark SKU]],Table9[New Ark SKU],Table9[Back Glass],,0)</f>
        <v>Transparent</v>
      </c>
      <c r="BH440" s="431" t="str">
        <f>_xlfn.XLOOKUP(PV_DATA[[#This Row],[PORT DESTINATION]],Table12[PORT DESTINATION],Table12[Cosco Line],,0)</f>
        <v>AEU</v>
      </c>
    </row>
    <row r="441" spans="1:60" s="431" customFormat="1" hidden="1">
      <c r="A441" s="439" t="s">
        <v>2164</v>
      </c>
      <c r="B441" s="439" t="s">
        <v>61</v>
      </c>
      <c r="C441" s="439" t="str">
        <f>IFERROR(LEFT(PV_DATA[[#This Row],[TCL REFERENCE]],FIND(".",PV_DATA[[#This Row],[TCL REFERENCE]],1)-1),"Main Line")</f>
        <v>26Feb021</v>
      </c>
      <c r="D441" s="439" t="s">
        <v>63</v>
      </c>
      <c r="E441" s="462" t="s">
        <v>64</v>
      </c>
      <c r="F441" s="462" t="str" cm="1">
        <f t="array" ref="F44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41" s="439" t="s">
        <v>402</v>
      </c>
      <c r="H441" s="439" t="s">
        <v>67</v>
      </c>
      <c r="I441" s="439" t="s">
        <v>882</v>
      </c>
      <c r="J441" s="430" t="s">
        <v>96</v>
      </c>
      <c r="K441" s="443"/>
      <c r="L441" s="443"/>
      <c r="M441" s="430" t="s">
        <v>68</v>
      </c>
      <c r="N441" s="461">
        <v>46111</v>
      </c>
      <c r="O441" s="431" t="s">
        <v>70</v>
      </c>
      <c r="P441" s="431" t="s">
        <v>91</v>
      </c>
      <c r="Q441" s="431" t="s">
        <v>92</v>
      </c>
      <c r="R441" s="431" t="str">
        <f>_xlfn.XLOOKUP(PV_DATA[[#This Row],[New Ark SKU]],Table9[New Ark SKU],Table9[Connector],,0)</f>
        <v>EVO2A</v>
      </c>
      <c r="S441" s="442" t="str">
        <f>_xlfn.XLOOKUP(PV_DATA[[#This Row],[New Ark SKU]],Table9[New Ark SKU],Table9[Cable],,0)</f>
        <v>±1200mm</v>
      </c>
      <c r="T441" s="442">
        <v>450</v>
      </c>
      <c r="U441" s="1067">
        <f>936*2</f>
        <v>1872</v>
      </c>
      <c r="V441" s="444">
        <f>PV_DATA[[#This Row],[QUANTITY]]*PV_DATA[[#This Row],[WATT]]/1000000</f>
        <v>0.84240000000000004</v>
      </c>
      <c r="W441" s="466">
        <f>PV_DATA[[#This Row],[QUANTITY]]/PV_DATA[[#This Row],[Qty/Pallet]]</f>
        <v>52</v>
      </c>
      <c r="X441" s="1019">
        <f>PV_DATA[[#This Row],[QUANTITY]]/PV_DATA[[#This Row],[Qty/CT]]</f>
        <v>2</v>
      </c>
      <c r="Y441" s="431" t="s">
        <v>951</v>
      </c>
      <c r="Z441" s="430" t="str">
        <f t="shared" si="4"/>
        <v>COMPLETED</v>
      </c>
      <c r="AA441" s="431" t="s">
        <v>1991</v>
      </c>
      <c r="AB441" s="441">
        <v>46127</v>
      </c>
      <c r="AC441" s="467">
        <f>IF(PV_DATA[[#This Row],[Pick-Up Date]]&lt;&gt;"",_xlfn.ISOWEEKNUM(PV_DATA[[#This Row],[Pick-Up Date]]),"")</f>
        <v>16</v>
      </c>
      <c r="AD441" s="431" t="s">
        <v>2165</v>
      </c>
      <c r="AF441" s="489" t="s">
        <v>4430</v>
      </c>
      <c r="AG441" s="489" t="s">
        <v>61</v>
      </c>
      <c r="AH441" s="489" t="s">
        <v>356</v>
      </c>
      <c r="AI441" s="585">
        <v>46131</v>
      </c>
      <c r="AJ441" s="441">
        <v>46131</v>
      </c>
      <c r="AK441" s="441">
        <v>46131</v>
      </c>
      <c r="AL441" s="441">
        <v>46182</v>
      </c>
      <c r="AM441" s="441">
        <v>46196</v>
      </c>
      <c r="AN441" s="441">
        <v>46190</v>
      </c>
      <c r="AO441" s="441" t="s">
        <v>402</v>
      </c>
      <c r="AP441" s="441" t="s">
        <v>2106</v>
      </c>
      <c r="AQ441" s="441" t="s">
        <v>161</v>
      </c>
      <c r="AR441" s="441" t="s">
        <v>2162</v>
      </c>
      <c r="AS441" s="431" t="s">
        <v>2163</v>
      </c>
      <c r="AT441" s="431">
        <v>273285266</v>
      </c>
      <c r="AU44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W441" s="441" cm="1">
        <f t="array" ref="AW44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46190</v>
      </c>
      <c r="AX44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41" s="441">
        <f>IF(ISERROR(PV_DATA[[#This Row],[New Ark PO status]]),"",_xlfn.XLOOKUP(PV_DATA[[#This Row],[SPTN-PVHK New Ark PO'#]],New_Ark_Data[Purchase order Number],New_Ark_Data[Estimated time of arrival],"",0))</f>
        <v>46204</v>
      </c>
      <c r="AZ441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41" s="437">
        <f>IFERROR(PV_DATA[[#This Row],[ODP ETA Port]]+PV_DATA[[#This Row],[Customs/Leg3 Assumption]],"n/a")</f>
        <v>46200</v>
      </c>
      <c r="BB441" s="442">
        <f>YEAR(PV_DATA[[#This Row],[ETA for New Ark update]])</f>
        <v>2026</v>
      </c>
      <c r="BC441" s="431">
        <f>MONTH(PV_DATA[[#This Row],[ETA for New Ark update]])</f>
        <v>6</v>
      </c>
      <c r="BD441" s="431">
        <f>IFERROR(_xlfn.ISOWEEKNUM(PV_DATA[[#This Row],[ETA for New Ark update]]),0)</f>
        <v>26</v>
      </c>
      <c r="BE441" s="431">
        <f>_xlfn.XLOOKUP(PV_DATA[[#This Row],[New Ark SKU]],Table9[New Ark SKU],Table9[Total PCS per Pallet],,0)</f>
        <v>36</v>
      </c>
      <c r="BF441" s="431">
        <f>_xlfn.XLOOKUP(PV_DATA[[#This Row],[New Ark SKU]],Table9[New Ark SKU],Table9[Total PCS per 40HQ Container],,0)</f>
        <v>936</v>
      </c>
      <c r="BG441" s="431" t="str">
        <f>_xlfn.XLOOKUP(PV_DATA[[#This Row],[New Ark SKU]],Table9[New Ark SKU],Table9[Back Glass],,0)</f>
        <v>Transparent</v>
      </c>
      <c r="BH441" s="431" t="str">
        <f>_xlfn.XLOOKUP(PV_DATA[[#This Row],[PORT DESTINATION]],Table12[PORT DESTINATION],Table12[Cosco Line],,0)</f>
        <v>AEU</v>
      </c>
    </row>
    <row r="442" spans="1:60" s="431" customFormat="1" hidden="1">
      <c r="A442" s="439" t="s">
        <v>2166</v>
      </c>
      <c r="B442" s="439" t="s">
        <v>61</v>
      </c>
      <c r="C442" s="439" t="str">
        <f>IFERROR(LEFT(PV_DATA[[#This Row],[TCL REFERENCE]],FIND(".",PV_DATA[[#This Row],[TCL REFERENCE]],1)-1),"Main Line")</f>
        <v>26Feb023</v>
      </c>
      <c r="D442" s="439" t="s">
        <v>63</v>
      </c>
      <c r="E442" s="439" t="s">
        <v>64</v>
      </c>
      <c r="F442" s="462" t="str" cm="1">
        <f t="array" ref="F44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42" s="439" t="s">
        <v>402</v>
      </c>
      <c r="H442" s="439" t="s">
        <v>67</v>
      </c>
      <c r="I442" s="439" t="s">
        <v>869</v>
      </c>
      <c r="J442" s="430" t="s">
        <v>96</v>
      </c>
      <c r="M442" s="431" t="s">
        <v>68</v>
      </c>
      <c r="N442" s="461">
        <v>46111</v>
      </c>
      <c r="O442" s="431" t="s">
        <v>70</v>
      </c>
      <c r="P442" s="431" t="s">
        <v>706</v>
      </c>
      <c r="Q442" s="431" t="s">
        <v>707</v>
      </c>
      <c r="R442" s="431" t="str">
        <f>_xlfn.XLOOKUP(PV_DATA[[#This Row],[New Ark SKU]],Table9[New Ark SKU],Table9[Connector],,0)</f>
        <v>EVO2A</v>
      </c>
      <c r="S442" s="442" t="str">
        <f>_xlfn.XLOOKUP(PV_DATA[[#This Row],[New Ark SKU]],Table9[New Ark SKU],Table9[Cable],,0)</f>
        <v>±1200mm</v>
      </c>
      <c r="T442" s="442">
        <v>500</v>
      </c>
      <c r="U442" s="1067">
        <f>864*1</f>
        <v>864</v>
      </c>
      <c r="V442" s="448">
        <f>PV_DATA[[#This Row],[QUANTITY]]*PV_DATA[[#This Row],[WATT]]/1000000</f>
        <v>0.432</v>
      </c>
      <c r="W442" s="466">
        <f>PV_DATA[[#This Row],[QUANTITY]]/PV_DATA[[#This Row],[Qty/Pallet]]</f>
        <v>24</v>
      </c>
      <c r="X442" s="1019">
        <f>PV_DATA[[#This Row],[QUANTITY]]/PV_DATA[[#This Row],[Qty/CT]]</f>
        <v>1</v>
      </c>
      <c r="Y442" s="431" t="s">
        <v>951</v>
      </c>
      <c r="Z442" s="430" t="str">
        <f t="shared" si="4"/>
        <v>COMPLETED</v>
      </c>
      <c r="AA442" s="431" t="s">
        <v>2088</v>
      </c>
      <c r="AB442" s="441">
        <v>46125</v>
      </c>
      <c r="AC442" s="467">
        <f>IF(PV_DATA[[#This Row],[Pick-Up Date]]&lt;&gt;"",_xlfn.ISOWEEKNUM(PV_DATA[[#This Row],[Pick-Up Date]]),"")</f>
        <v>16</v>
      </c>
      <c r="AD442" s="431" t="s">
        <v>2167</v>
      </c>
      <c r="AF442" s="489" t="s">
        <v>4430</v>
      </c>
      <c r="AG442" s="489" t="s">
        <v>61</v>
      </c>
      <c r="AH442" s="489" t="s">
        <v>356</v>
      </c>
      <c r="AI442" s="585">
        <v>46129</v>
      </c>
      <c r="AJ442" s="441">
        <v>46129</v>
      </c>
      <c r="AK442" s="441">
        <v>46128</v>
      </c>
      <c r="AL442" s="441">
        <v>46182</v>
      </c>
      <c r="AM442" s="441">
        <v>46183</v>
      </c>
      <c r="AN442" s="441">
        <v>46182</v>
      </c>
      <c r="AO442" s="441" t="s">
        <v>402</v>
      </c>
      <c r="AP442" s="441" t="s">
        <v>2168</v>
      </c>
      <c r="AQ442" s="441" t="s">
        <v>80</v>
      </c>
      <c r="AR442" s="441" t="s">
        <v>2169</v>
      </c>
      <c r="AS442" s="441" t="s">
        <v>2170</v>
      </c>
      <c r="AT442" s="482" t="s">
        <v>2170</v>
      </c>
      <c r="AU44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</v>
      </c>
      <c r="AW442" s="441" cm="1">
        <f t="array" ref="AW44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46182</v>
      </c>
      <c r="AX44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42" s="441">
        <f>IF(ISERROR(PV_DATA[[#This Row],[New Ark PO status]]),"",_xlfn.XLOOKUP(PV_DATA[[#This Row],[SPTN-PVHK New Ark PO'#]],New_Ark_Data[Purchase order Number],New_Ark_Data[Estimated time of arrival],"",0))</f>
        <v>46198</v>
      </c>
      <c r="AZ442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42" s="437">
        <f>IFERROR(PV_DATA[[#This Row],[ODP ETA Port]]+PV_DATA[[#This Row],[Customs/Leg3 Assumption]],"n/a")</f>
        <v>46192</v>
      </c>
      <c r="BB442" s="442">
        <f>YEAR(PV_DATA[[#This Row],[ETA for New Ark update]])</f>
        <v>2026</v>
      </c>
      <c r="BC442" s="431">
        <f>MONTH(PV_DATA[[#This Row],[ETA for New Ark update]])</f>
        <v>6</v>
      </c>
      <c r="BD442" s="431">
        <f>IFERROR(_xlfn.ISOWEEKNUM(PV_DATA[[#This Row],[ETA for New Ark update]]),0)</f>
        <v>25</v>
      </c>
      <c r="BE442" s="431">
        <f>_xlfn.XLOOKUP(PV_DATA[[#This Row],[New Ark SKU]],Table9[New Ark SKU],Table9[Total PCS per Pallet],,0)</f>
        <v>36</v>
      </c>
      <c r="BF442" s="431">
        <f>_xlfn.XLOOKUP(PV_DATA[[#This Row],[New Ark SKU]],Table9[New Ark SKU],Table9[Total PCS per 40HQ Container],,0)</f>
        <v>864</v>
      </c>
      <c r="BG442" s="431" t="str">
        <f>_xlfn.XLOOKUP(PV_DATA[[#This Row],[New Ark SKU]],Table9[New Ark SKU],Table9[Back Glass],,0)</f>
        <v>Black glazing</v>
      </c>
      <c r="BH442" s="431" t="str">
        <f>_xlfn.XLOOKUP(PV_DATA[[#This Row],[PORT DESTINATION]],Table12[PORT DESTINATION],Table12[Cosco Line],,0)</f>
        <v>AEU</v>
      </c>
    </row>
    <row r="443" spans="1:60" s="431" customFormat="1" hidden="1">
      <c r="A443" s="439" t="s">
        <v>2171</v>
      </c>
      <c r="B443" s="439" t="s">
        <v>61</v>
      </c>
      <c r="C443" s="439" t="str">
        <f>IFERROR(LEFT(PV_DATA[[#This Row],[TCL REFERENCE]],FIND(".",PV_DATA[[#This Row],[TCL REFERENCE]],1)-1),"Main Line")</f>
        <v>26Feb024</v>
      </c>
      <c r="D443" s="439" t="s">
        <v>63</v>
      </c>
      <c r="E443" s="439" t="s">
        <v>64</v>
      </c>
      <c r="F443" s="462" t="str" cm="1">
        <f t="array" ref="F44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43" s="439" t="s">
        <v>402</v>
      </c>
      <c r="H443" s="439" t="s">
        <v>67</v>
      </c>
      <c r="I443" s="439" t="s">
        <v>882</v>
      </c>
      <c r="J443" s="430" t="s">
        <v>96</v>
      </c>
      <c r="M443" s="431" t="s">
        <v>68</v>
      </c>
      <c r="N443" s="461">
        <v>46111</v>
      </c>
      <c r="O443" s="431" t="s">
        <v>70</v>
      </c>
      <c r="P443" s="431" t="s">
        <v>691</v>
      </c>
      <c r="Q443" s="431" t="s">
        <v>692</v>
      </c>
      <c r="R443" s="431" t="str">
        <f>_xlfn.XLOOKUP(PV_DATA[[#This Row],[New Ark SKU]],Table9[New Ark SKU],Table9[Connector],,0)</f>
        <v>EVO2A</v>
      </c>
      <c r="S443" s="442" t="str">
        <f>_xlfn.XLOOKUP(PV_DATA[[#This Row],[New Ark SKU]],Table9[New Ark SKU],Table9[Cable],,0)</f>
        <v>±1200mm</v>
      </c>
      <c r="T443" s="442">
        <v>505</v>
      </c>
      <c r="U443" s="1067">
        <v>3456</v>
      </c>
      <c r="V443" s="448">
        <f>PV_DATA[[#This Row],[QUANTITY]]*PV_DATA[[#This Row],[WATT]]/1000000</f>
        <v>1.7452799999999999</v>
      </c>
      <c r="W443" s="466">
        <f>PV_DATA[[#This Row],[QUANTITY]]/PV_DATA[[#This Row],[Qty/Pallet]]</f>
        <v>96</v>
      </c>
      <c r="X443" s="1019">
        <f>PV_DATA[[#This Row],[QUANTITY]]/PV_DATA[[#This Row],[Qty/CT]]</f>
        <v>4</v>
      </c>
      <c r="Y443" s="431" t="s">
        <v>951</v>
      </c>
      <c r="Z443" s="430" t="str">
        <f t="shared" si="4"/>
        <v>COMPLETED</v>
      </c>
      <c r="AA443" s="431" t="s">
        <v>2088</v>
      </c>
      <c r="AB443" s="441">
        <v>46128</v>
      </c>
      <c r="AC443" s="467">
        <f>IF(PV_DATA[[#This Row],[Pick-Up Date]]&lt;&gt;"",_xlfn.ISOWEEKNUM(PV_DATA[[#This Row],[Pick-Up Date]]),"")</f>
        <v>16</v>
      </c>
      <c r="AD443" s="431" t="s">
        <v>2173</v>
      </c>
      <c r="AF443" s="489" t="s">
        <v>4430</v>
      </c>
      <c r="AG443" s="489" t="s">
        <v>61</v>
      </c>
      <c r="AH443" s="489" t="s">
        <v>78</v>
      </c>
      <c r="AI443" s="585">
        <v>46133</v>
      </c>
      <c r="AJ443" s="441">
        <v>46134</v>
      </c>
      <c r="AK443" s="441">
        <v>46133</v>
      </c>
      <c r="AL443" s="441">
        <v>46195</v>
      </c>
      <c r="AM443" s="441">
        <v>46200</v>
      </c>
      <c r="AN443" s="441">
        <v>46203</v>
      </c>
      <c r="AO443" s="441" t="s">
        <v>402</v>
      </c>
      <c r="AP443" s="441" t="s">
        <v>2174</v>
      </c>
      <c r="AQ443" s="441" t="s">
        <v>80</v>
      </c>
      <c r="AR443" s="441" t="s">
        <v>2175</v>
      </c>
      <c r="AS443" s="441" t="s">
        <v>2176</v>
      </c>
      <c r="AT443" s="482" t="s">
        <v>2176</v>
      </c>
      <c r="AU44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70</v>
      </c>
      <c r="AW443" s="441" cm="1">
        <f t="array" ref="AW44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46203</v>
      </c>
      <c r="AX44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43" s="441">
        <f>IF(ISERROR(PV_DATA[[#This Row],[New Ark PO status]]),"",_xlfn.XLOOKUP(PV_DATA[[#This Row],[SPTN-PVHK New Ark PO'#]],New_Ark_Data[Purchase order Number],New_Ark_Data[Estimated time of arrival],"",0))</f>
        <v>46216</v>
      </c>
      <c r="AZ443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443" s="437">
        <f>IFERROR(PV_DATA[[#This Row],[ODP ETA Port]]+PV_DATA[[#This Row],[Customs/Leg3 Assumption]],"n/a")</f>
        <v>46211</v>
      </c>
      <c r="BB443" s="442">
        <f>YEAR(PV_DATA[[#This Row],[ETA for New Ark update]])</f>
        <v>2026</v>
      </c>
      <c r="BC443" s="431">
        <f>MONTH(PV_DATA[[#This Row],[ETA for New Ark update]])</f>
        <v>7</v>
      </c>
      <c r="BD443" s="431">
        <f>IFERROR(_xlfn.ISOWEEKNUM(PV_DATA[[#This Row],[ETA for New Ark update]]),0)</f>
        <v>28</v>
      </c>
      <c r="BE443" s="431">
        <f>_xlfn.XLOOKUP(PV_DATA[[#This Row],[New Ark SKU]],Table9[New Ark SKU],Table9[Total PCS per Pallet],,0)</f>
        <v>36</v>
      </c>
      <c r="BF443" s="431">
        <f>_xlfn.XLOOKUP(PV_DATA[[#This Row],[New Ark SKU]],Table9[New Ark SKU],Table9[Total PCS per 40HQ Container],,0)</f>
        <v>864</v>
      </c>
      <c r="BG443" s="431" t="str">
        <f>_xlfn.XLOOKUP(PV_DATA[[#This Row],[New Ark SKU]],Table9[New Ark SKU],Table9[Back Glass],,0)</f>
        <v>Black glazing</v>
      </c>
      <c r="BH443" s="431" t="str">
        <f>_xlfn.XLOOKUP(PV_DATA[[#This Row],[PORT DESTINATION]],Table12[PORT DESTINATION],Table12[Cosco Line],,0)</f>
        <v>AEM</v>
      </c>
    </row>
    <row r="444" spans="1:60" s="431" customFormat="1" ht="15.75" hidden="1" customHeight="1">
      <c r="A444" s="439" t="s">
        <v>2177</v>
      </c>
      <c r="B444" s="439" t="s">
        <v>61</v>
      </c>
      <c r="C444" s="439" t="str">
        <f>IFERROR(LEFT(PV_DATA[[#This Row],[TCL REFERENCE]],FIND(".",PV_DATA[[#This Row],[TCL REFERENCE]],1)-1),"Main Line")</f>
        <v>26Feb024</v>
      </c>
      <c r="D444" s="439" t="s">
        <v>63</v>
      </c>
      <c r="E444" s="439" t="s">
        <v>64</v>
      </c>
      <c r="F444" s="462" t="str" cm="1">
        <f t="array" ref="F44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44" s="439" t="s">
        <v>402</v>
      </c>
      <c r="H444" s="439" t="s">
        <v>67</v>
      </c>
      <c r="I444" s="439" t="s">
        <v>882</v>
      </c>
      <c r="J444" s="430" t="s">
        <v>96</v>
      </c>
      <c r="M444" s="431" t="s">
        <v>68</v>
      </c>
      <c r="N444" s="461">
        <v>46111</v>
      </c>
      <c r="O444" s="431" t="s">
        <v>70</v>
      </c>
      <c r="P444" s="431" t="s">
        <v>691</v>
      </c>
      <c r="Q444" s="431" t="s">
        <v>692</v>
      </c>
      <c r="R444" s="431" t="str">
        <f>_xlfn.XLOOKUP(PV_DATA[[#This Row],[New Ark SKU]],Table9[New Ark SKU],Table9[Connector],,0)</f>
        <v>EVO2A</v>
      </c>
      <c r="S444" s="442" t="str">
        <f>_xlfn.XLOOKUP(PV_DATA[[#This Row],[New Ark SKU]],Table9[New Ark SKU],Table9[Cable],,0)</f>
        <v>±1200mm</v>
      </c>
      <c r="T444" s="442">
        <v>505</v>
      </c>
      <c r="U444" s="1067">
        <v>1728</v>
      </c>
      <c r="V444" s="448">
        <f>PV_DATA[[#This Row],[QUANTITY]]*PV_DATA[[#This Row],[WATT]]/1000000</f>
        <v>0.87263999999999997</v>
      </c>
      <c r="W444" s="466">
        <f>PV_DATA[[#This Row],[QUANTITY]]/PV_DATA[[#This Row],[Qty/Pallet]]</f>
        <v>48</v>
      </c>
      <c r="X444" s="1019">
        <f>PV_DATA[[#This Row],[QUANTITY]]/PV_DATA[[#This Row],[Qty/CT]]</f>
        <v>2</v>
      </c>
      <c r="Y444" s="431" t="s">
        <v>951</v>
      </c>
      <c r="Z444" s="430" t="str">
        <f t="shared" si="4"/>
        <v>COMPLETED</v>
      </c>
      <c r="AA444" s="431" t="s">
        <v>2088</v>
      </c>
      <c r="AB444" s="441">
        <v>46125</v>
      </c>
      <c r="AC444" s="467">
        <f>IF(PV_DATA[[#This Row],[Pick-Up Date]]&lt;&gt;"",_xlfn.ISOWEEKNUM(PV_DATA[[#This Row],[Pick-Up Date]]),"")</f>
        <v>16</v>
      </c>
      <c r="AD444" s="431" t="s">
        <v>2178</v>
      </c>
      <c r="AF444" s="489" t="s">
        <v>4430</v>
      </c>
      <c r="AG444" s="489" t="s">
        <v>61</v>
      </c>
      <c r="AH444" s="489" t="s">
        <v>78</v>
      </c>
      <c r="AI444" s="585">
        <v>46129</v>
      </c>
      <c r="AJ444" s="441">
        <v>46129</v>
      </c>
      <c r="AK444" s="441">
        <v>46128</v>
      </c>
      <c r="AL444" s="441">
        <v>46189</v>
      </c>
      <c r="AM444" s="441">
        <v>46184</v>
      </c>
      <c r="AN444" s="441">
        <v>46184</v>
      </c>
      <c r="AO444" s="441" t="s">
        <v>402</v>
      </c>
      <c r="AP444" s="441" t="s">
        <v>2179</v>
      </c>
      <c r="AQ444" s="441" t="s">
        <v>80</v>
      </c>
      <c r="AR444" s="441" t="s">
        <v>2180</v>
      </c>
      <c r="AS444" s="431" t="s">
        <v>2181</v>
      </c>
      <c r="AT444" s="482" t="s">
        <v>2181</v>
      </c>
      <c r="AU44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W444" s="441" cm="1">
        <f t="array" ref="AW44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46184</v>
      </c>
      <c r="AX44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44" s="441">
        <f>IF(ISERROR(PV_DATA[[#This Row],[New Ark PO status]]),"",_xlfn.XLOOKUP(PV_DATA[[#This Row],[SPTN-PVHK New Ark PO'#]],New_Ark_Data[Purchase order Number],New_Ark_Data[Estimated time of arrival],"",0))</f>
        <v>46197</v>
      </c>
      <c r="AZ444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444" s="437">
        <f>IFERROR(PV_DATA[[#This Row],[ODP ETA Port]]+PV_DATA[[#This Row],[Customs/Leg3 Assumption]],"n/a")</f>
        <v>46192</v>
      </c>
      <c r="BB444" s="442">
        <f>YEAR(PV_DATA[[#This Row],[ETA for New Ark update]])</f>
        <v>2026</v>
      </c>
      <c r="BC444" s="431">
        <f>MONTH(PV_DATA[[#This Row],[ETA for New Ark update]])</f>
        <v>6</v>
      </c>
      <c r="BD444" s="431">
        <f>IFERROR(_xlfn.ISOWEEKNUM(PV_DATA[[#This Row],[ETA for New Ark update]]),0)</f>
        <v>25</v>
      </c>
      <c r="BE444" s="431">
        <f>_xlfn.XLOOKUP(PV_DATA[[#This Row],[New Ark SKU]],Table9[New Ark SKU],Table9[Total PCS per Pallet],,0)</f>
        <v>36</v>
      </c>
      <c r="BF444" s="431">
        <f>_xlfn.XLOOKUP(PV_DATA[[#This Row],[New Ark SKU]],Table9[New Ark SKU],Table9[Total PCS per 40HQ Container],,0)</f>
        <v>864</v>
      </c>
      <c r="BG444" s="431" t="str">
        <f>_xlfn.XLOOKUP(PV_DATA[[#This Row],[New Ark SKU]],Table9[New Ark SKU],Table9[Back Glass],,0)</f>
        <v>Black glazing</v>
      </c>
      <c r="BH444" s="431" t="str">
        <f>_xlfn.XLOOKUP(PV_DATA[[#This Row],[PORT DESTINATION]],Table12[PORT DESTINATION],Table12[Cosco Line],,0)</f>
        <v>AEM</v>
      </c>
    </row>
    <row r="445" spans="1:60" s="431" customFormat="1" ht="10.5" hidden="1">
      <c r="A445" s="439" t="s">
        <v>2182</v>
      </c>
      <c r="B445" s="439" t="s">
        <v>2132</v>
      </c>
      <c r="C445" s="439" t="str">
        <f>IFERROR(LEFT(PV_DATA[[#This Row],[TCL REFERENCE]],FIND(".",PV_DATA[[#This Row],[TCL REFERENCE]],1)-1),"Main Line")</f>
        <v>26Apr005</v>
      </c>
      <c r="D445" s="439" t="s">
        <v>63</v>
      </c>
      <c r="E445" s="439" t="s">
        <v>64</v>
      </c>
      <c r="F445" s="462" t="str" cm="1">
        <f t="array" ref="F44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445" s="439" t="s">
        <v>402</v>
      </c>
      <c r="H445" s="439" t="s">
        <v>67</v>
      </c>
      <c r="I445" s="439" t="s">
        <v>1395</v>
      </c>
      <c r="J445" s="430" t="s">
        <v>96</v>
      </c>
      <c r="M445" s="431" t="s">
        <v>68</v>
      </c>
      <c r="N445" s="432" t="s">
        <v>68</v>
      </c>
      <c r="O445" s="431" t="s">
        <v>550</v>
      </c>
      <c r="P445" s="431" t="s">
        <v>551</v>
      </c>
      <c r="Q445" s="431" t="s">
        <v>2151</v>
      </c>
      <c r="R445" s="431" t="str">
        <f>_xlfn.XLOOKUP(PV_DATA[[#This Row],[New Ark SKU]],Table9[New Ark SKU],Table9[Connector],,0)</f>
        <v>EVO2A</v>
      </c>
      <c r="S445" s="442" t="str">
        <f>_xlfn.XLOOKUP(PV_DATA[[#This Row],[New Ark SKU]],Table9[New Ark SKU],Table9[Cable],,0)</f>
        <v>±1350mm</v>
      </c>
      <c r="T445" s="442">
        <v>510</v>
      </c>
      <c r="U445" s="1067">
        <v>1584</v>
      </c>
      <c r="V445" s="448">
        <f>PV_DATA[[#This Row],[QUANTITY]]*PV_DATA[[#This Row],[WATT]]/1000000</f>
        <v>0.80784</v>
      </c>
      <c r="W445" s="466">
        <f>PV_DATA[[#This Row],[QUANTITY]]/PV_DATA[[#This Row],[Qty/Pallet]]</f>
        <v>44</v>
      </c>
      <c r="X445" s="1019">
        <f>PV_DATA[[#This Row],[QUANTITY]]/PV_DATA[[#This Row],[Qty/CT]]</f>
        <v>2</v>
      </c>
      <c r="Y445" s="430" t="s">
        <v>75</v>
      </c>
      <c r="Z445" s="430" t="str">
        <f t="shared" si="4"/>
        <v>COMPLETED</v>
      </c>
      <c r="AA445" s="447" t="s">
        <v>2183</v>
      </c>
      <c r="AB445" s="441">
        <v>46135</v>
      </c>
      <c r="AC445" s="445">
        <f>IF(PV_DATA[[#This Row],[Pick-Up Date]]&lt;&gt;"",_xlfn.ISOWEEKNUM(PV_DATA[[#This Row],[Pick-Up Date]]),"")</f>
        <v>17</v>
      </c>
      <c r="AD445" s="439" t="s">
        <v>2184</v>
      </c>
      <c r="AF445" s="431" t="s">
        <v>123</v>
      </c>
      <c r="AG445" s="431" t="s">
        <v>123</v>
      </c>
      <c r="AH445" s="431" t="s">
        <v>105</v>
      </c>
      <c r="AI445" s="441">
        <v>46139</v>
      </c>
      <c r="AJ445" s="441">
        <v>46141</v>
      </c>
      <c r="AK445" s="441">
        <v>46141</v>
      </c>
      <c r="AL445" s="441">
        <v>46175</v>
      </c>
      <c r="AM445" s="441">
        <v>46179</v>
      </c>
      <c r="AN445" s="441">
        <v>46180</v>
      </c>
      <c r="AO445" s="431" t="s">
        <v>402</v>
      </c>
      <c r="AP445" s="431" t="s">
        <v>2174</v>
      </c>
      <c r="AQ445" s="431" t="s">
        <v>80</v>
      </c>
      <c r="AR445" s="431" t="s">
        <v>2185</v>
      </c>
      <c r="AS445" s="431" t="s">
        <v>2186</v>
      </c>
      <c r="AT445" s="482" t="s">
        <v>2186</v>
      </c>
      <c r="AU44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39</v>
      </c>
      <c r="AV445" s="441"/>
      <c r="AW445" s="441" cm="1">
        <f t="array" ref="AW44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46180</v>
      </c>
      <c r="AX44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45" s="441">
        <f>IF(ISERROR(PV_DATA[[#This Row],[New Ark PO status]]),"",_xlfn.XLOOKUP(PV_DATA[[#This Row],[SPTN-PVHK New Ark PO'#]],New_Ark_Data[Purchase order Number],New_Ark_Data[Estimated time of arrival],"",0))</f>
        <v>46192</v>
      </c>
      <c r="AZ44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45" s="437">
        <f>IFERROR(PV_DATA[[#This Row],[ODP ETA Port]]+PV_DATA[[#This Row],[Customs/Leg3 Assumption]],"n/a")</f>
        <v>46187</v>
      </c>
      <c r="BB445" s="442">
        <f>YEAR(PV_DATA[[#This Row],[ETA for New Ark update]])</f>
        <v>2026</v>
      </c>
      <c r="BC445" s="431">
        <f>MONTH(PV_DATA[[#This Row],[ETA for New Ark update]])</f>
        <v>6</v>
      </c>
      <c r="BD445" s="431">
        <f>IFERROR(_xlfn.ISOWEEKNUM(PV_DATA[[#This Row],[ETA for New Ark update]]),0)</f>
        <v>24</v>
      </c>
      <c r="BE445" s="431">
        <f>_xlfn.XLOOKUP(PV_DATA[[#This Row],[New Ark SKU]],Table9[New Ark SKU],Table9[Total PCS per Pallet],,0)</f>
        <v>36</v>
      </c>
      <c r="BF445" s="431">
        <f>_xlfn.XLOOKUP(PV_DATA[[#This Row],[New Ark SKU]],Table9[New Ark SKU],Table9[Total PCS per 40HQ Container],,0)</f>
        <v>792</v>
      </c>
      <c r="BG445" s="431" t="str">
        <f>_xlfn.XLOOKUP(PV_DATA[[#This Row],[New Ark SKU]],Table9[New Ark SKU],Table9[Back Glass],,0)</f>
        <v>Black glazing</v>
      </c>
      <c r="BH445" s="431" t="str">
        <f>_xlfn.XLOOKUP(PV_DATA[[#This Row],[PORT DESTINATION]],Table12[PORT DESTINATION],Table12[Cosco Line],,0)</f>
        <v>AEU</v>
      </c>
    </row>
    <row r="446" spans="1:60" s="431" customFormat="1" ht="10.5" hidden="1">
      <c r="A446" s="439" t="s">
        <v>2187</v>
      </c>
      <c r="B446" s="439" t="s">
        <v>2132</v>
      </c>
      <c r="C446" s="439" t="str">
        <f>IFERROR(LEFT(PV_DATA[[#This Row],[TCL REFERENCE]],FIND(".",PV_DATA[[#This Row],[TCL REFERENCE]],1)-1),"Main Line")</f>
        <v>26Apr006</v>
      </c>
      <c r="D446" s="439" t="s">
        <v>63</v>
      </c>
      <c r="E446" s="439" t="s">
        <v>64</v>
      </c>
      <c r="F446" s="462" t="str" cm="1">
        <f t="array" ref="F44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446" s="439" t="s">
        <v>402</v>
      </c>
      <c r="H446" s="439" t="s">
        <v>67</v>
      </c>
      <c r="I446" s="439" t="s">
        <v>689</v>
      </c>
      <c r="J446" s="430" t="s">
        <v>96</v>
      </c>
      <c r="M446" s="431" t="s">
        <v>68</v>
      </c>
      <c r="N446" s="432" t="s">
        <v>68</v>
      </c>
      <c r="O446" s="431" t="s">
        <v>550</v>
      </c>
      <c r="P446" s="431" t="s">
        <v>2134</v>
      </c>
      <c r="Q446" s="431" t="s">
        <v>2135</v>
      </c>
      <c r="R446" s="431" t="str">
        <f>_xlfn.XLOOKUP(PV_DATA[[#This Row],[New Ark SKU]],Table9[New Ark SKU],Table9[Connector],,0)</f>
        <v>EVO2A</v>
      </c>
      <c r="S446" s="442" t="str">
        <f>_xlfn.XLOOKUP(PV_DATA[[#This Row],[New Ark SKU]],Table9[New Ark SKU],Table9[Cable],,0)</f>
        <v>±1350mm</v>
      </c>
      <c r="T446" s="442">
        <v>515</v>
      </c>
      <c r="U446" s="1067">
        <f>3*792</f>
        <v>2376</v>
      </c>
      <c r="V446" s="448">
        <f>PV_DATA[[#This Row],[QUANTITY]]*PV_DATA[[#This Row],[WATT]]/1000000</f>
        <v>1.2236400000000001</v>
      </c>
      <c r="W446" s="466">
        <f>PV_DATA[[#This Row],[QUANTITY]]/PV_DATA[[#This Row],[Qty/Pallet]]</f>
        <v>66</v>
      </c>
      <c r="X446" s="1019">
        <f>PV_DATA[[#This Row],[QUANTITY]]/PV_DATA[[#This Row],[Qty/CT]]</f>
        <v>3</v>
      </c>
      <c r="Y446" s="430" t="s">
        <v>75</v>
      </c>
      <c r="Z446" s="430" t="str">
        <f t="shared" si="4"/>
        <v>COMPLETED</v>
      </c>
      <c r="AA446" s="447" t="s">
        <v>2183</v>
      </c>
      <c r="AB446" s="441">
        <v>46135</v>
      </c>
      <c r="AC446" s="467">
        <f>IF(PV_DATA[[#This Row],[Pick-Up Date]]&lt;&gt;"",_xlfn.ISOWEEKNUM(PV_DATA[[#This Row],[Pick-Up Date]]),"")</f>
        <v>17</v>
      </c>
      <c r="AD446" s="439" t="s">
        <v>2188</v>
      </c>
      <c r="AF446" s="431" t="s">
        <v>123</v>
      </c>
      <c r="AG446" s="431" t="s">
        <v>123</v>
      </c>
      <c r="AH446" s="431" t="s">
        <v>105</v>
      </c>
      <c r="AI446" s="441">
        <v>46139</v>
      </c>
      <c r="AJ446" s="441">
        <v>46141</v>
      </c>
      <c r="AK446" s="441">
        <v>46141</v>
      </c>
      <c r="AL446" s="441">
        <v>46175</v>
      </c>
      <c r="AM446" s="441">
        <v>46179</v>
      </c>
      <c r="AN446" s="441">
        <v>46180</v>
      </c>
      <c r="AO446" s="431" t="s">
        <v>402</v>
      </c>
      <c r="AP446" s="431" t="s">
        <v>2174</v>
      </c>
      <c r="AQ446" s="431" t="s">
        <v>80</v>
      </c>
      <c r="AR446" s="431" t="s">
        <v>2185</v>
      </c>
      <c r="AS446" s="431" t="s">
        <v>2186</v>
      </c>
      <c r="AT446" s="482" t="s">
        <v>2186</v>
      </c>
      <c r="AU44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39</v>
      </c>
      <c r="AV446" s="441"/>
      <c r="AW446" s="441" cm="1">
        <f t="array" ref="AW44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46180</v>
      </c>
      <c r="AX44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46" s="441">
        <f>IF(ISERROR(PV_DATA[[#This Row],[New Ark PO status]]),"",_xlfn.XLOOKUP(PV_DATA[[#This Row],[SPTN-PVHK New Ark PO'#]],New_Ark_Data[Purchase order Number],New_Ark_Data[Estimated time of arrival],"",0))</f>
        <v>46192</v>
      </c>
      <c r="AZ44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46" s="437">
        <f>IFERROR(PV_DATA[[#This Row],[ODP ETA Port]]+PV_DATA[[#This Row],[Customs/Leg3 Assumption]],"n/a")</f>
        <v>46187</v>
      </c>
      <c r="BB446" s="442">
        <f>YEAR(PV_DATA[[#This Row],[ETA for New Ark update]])</f>
        <v>2026</v>
      </c>
      <c r="BC446" s="431">
        <f>MONTH(PV_DATA[[#This Row],[ETA for New Ark update]])</f>
        <v>6</v>
      </c>
      <c r="BD446" s="431">
        <f>IFERROR(_xlfn.ISOWEEKNUM(PV_DATA[[#This Row],[ETA for New Ark update]]),0)</f>
        <v>24</v>
      </c>
      <c r="BE446" s="431">
        <f>_xlfn.XLOOKUP(PV_DATA[[#This Row],[New Ark SKU]],Table9[New Ark SKU],Table9[Total PCS per Pallet],,0)</f>
        <v>36</v>
      </c>
      <c r="BF446" s="431">
        <f>_xlfn.XLOOKUP(PV_DATA[[#This Row],[New Ark SKU]],Table9[New Ark SKU],Table9[Total PCS per 40HQ Container],,0)</f>
        <v>792</v>
      </c>
      <c r="BG446" s="431" t="str">
        <f>_xlfn.XLOOKUP(PV_DATA[[#This Row],[New Ark SKU]],Table9[New Ark SKU],Table9[Back Glass],,0)</f>
        <v>Black glazing</v>
      </c>
      <c r="BH446" s="431" t="str">
        <f>_xlfn.XLOOKUP(PV_DATA[[#This Row],[PORT DESTINATION]],Table12[PORT DESTINATION],Table12[Cosco Line],,0)</f>
        <v>AEU</v>
      </c>
    </row>
    <row r="447" spans="1:60" s="431" customFormat="1" ht="10.5" hidden="1">
      <c r="A447" s="439" t="s">
        <v>2189</v>
      </c>
      <c r="B447" s="439" t="s">
        <v>111</v>
      </c>
      <c r="C447" s="439" t="str">
        <f>IFERROR(LEFT(PV_DATA[[#This Row],[TCL REFERENCE]],FIND(".",PV_DATA[[#This Row],[TCL REFERENCE]],1)-1),"Main Line")</f>
        <v>26Apr004</v>
      </c>
      <c r="D447" s="439" t="s">
        <v>63</v>
      </c>
      <c r="E447" s="439" t="s">
        <v>64</v>
      </c>
      <c r="F447" s="462" t="str" cm="1">
        <f t="array" ref="F44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447" s="439" t="s">
        <v>402</v>
      </c>
      <c r="H447" s="439" t="s">
        <v>67</v>
      </c>
      <c r="I447" s="439"/>
      <c r="J447" s="430" t="s">
        <v>96</v>
      </c>
      <c r="M447" s="431" t="s">
        <v>68</v>
      </c>
      <c r="N447" s="461">
        <v>46139</v>
      </c>
      <c r="O447" s="431" t="s">
        <v>473</v>
      </c>
      <c r="P447" s="431" t="s">
        <v>474</v>
      </c>
      <c r="Q447" s="431" t="s">
        <v>1319</v>
      </c>
      <c r="R447" s="431" t="str">
        <f>_xlfn.XLOOKUP(PV_DATA[[#This Row],[New Ark SKU]],Table9[New Ark SKU],Table9[Connector],,0)</f>
        <v>EVO2A</v>
      </c>
      <c r="S447" s="442" t="str">
        <f>_xlfn.XLOOKUP(PV_DATA[[#This Row],[New Ark SKU]],Table9[New Ark SKU],Table9[Cable],,0)</f>
        <v>±1200mm</v>
      </c>
      <c r="T447" s="442">
        <v>460</v>
      </c>
      <c r="U447" s="1067">
        <f>864*8</f>
        <v>6912</v>
      </c>
      <c r="V447" s="448">
        <f>PV_DATA[[#This Row],[QUANTITY]]*PV_DATA[[#This Row],[WATT]]/1000000</f>
        <v>3.1795200000000001</v>
      </c>
      <c r="W447" s="466">
        <f>PV_DATA[[#This Row],[QUANTITY]]/PV_DATA[[#This Row],[Qty/Pallet]]</f>
        <v>192</v>
      </c>
      <c r="X447" s="1019">
        <f>PV_DATA[[#This Row],[QUANTITY]]/PV_DATA[[#This Row],[Qty/CT]]</f>
        <v>8</v>
      </c>
      <c r="Y447" s="431" t="s">
        <v>951</v>
      </c>
      <c r="Z447" s="430" t="str">
        <f t="shared" si="4"/>
        <v>COMPLETED</v>
      </c>
      <c r="AA447" s="447" t="s">
        <v>2191</v>
      </c>
      <c r="AB447" s="441">
        <v>46134</v>
      </c>
      <c r="AC447" s="445">
        <f>IF(PV_DATA[[#This Row],[Pick-Up Date]]&lt;&gt;"",_xlfn.ISOWEEKNUM(PV_DATA[[#This Row],[Pick-Up Date]]),"")</f>
        <v>17</v>
      </c>
      <c r="AD447" s="439" t="s">
        <v>2192</v>
      </c>
      <c r="AF447" s="431" t="s">
        <v>123</v>
      </c>
      <c r="AG447" s="431" t="s">
        <v>123</v>
      </c>
      <c r="AH447" s="431" t="s">
        <v>105</v>
      </c>
      <c r="AI447" s="469">
        <v>46138</v>
      </c>
      <c r="AJ447" s="441">
        <v>46138</v>
      </c>
      <c r="AK447" s="441">
        <v>46139</v>
      </c>
      <c r="AL447" s="441">
        <v>46188</v>
      </c>
      <c r="AM447" s="441">
        <v>46188</v>
      </c>
      <c r="AN447" s="441">
        <v>46195</v>
      </c>
      <c r="AQ447" s="431" t="s">
        <v>80</v>
      </c>
      <c r="AR447" s="431" t="s">
        <v>2193</v>
      </c>
      <c r="AS447" s="431" t="s">
        <v>2194</v>
      </c>
      <c r="AT447" s="482" t="s">
        <v>2194</v>
      </c>
      <c r="AU44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V447" s="441"/>
      <c r="AW447" s="441" cm="1">
        <f t="array" ref="AW44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46195</v>
      </c>
      <c r="AX44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47" s="441">
        <f>IF(ISERROR(PV_DATA[[#This Row],[New Ark PO status]]),"",_xlfn.XLOOKUP(PV_DATA[[#This Row],[SPTN-PVHK New Ark PO'#]],New_Ark_Data[Purchase order Number],New_Ark_Data[Estimated time of arrival],"",0))</f>
        <v>46203</v>
      </c>
      <c r="AZ447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47" s="437">
        <f>IFERROR(PV_DATA[[#This Row],[ODP ETA Port]]+PV_DATA[[#This Row],[Customs/Leg3 Assumption]],"n/a")</f>
        <v>46202</v>
      </c>
      <c r="BB447" s="442">
        <f>YEAR(PV_DATA[[#This Row],[ETA for New Ark update]])</f>
        <v>2026</v>
      </c>
      <c r="BC447" s="431">
        <f>MONTH(PV_DATA[[#This Row],[ETA for New Ark update]])</f>
        <v>6</v>
      </c>
      <c r="BD447" s="431">
        <f>IFERROR(_xlfn.ISOWEEKNUM(PV_DATA[[#This Row],[ETA for New Ark update]]),0)</f>
        <v>27</v>
      </c>
      <c r="BE447" s="431">
        <f>_xlfn.XLOOKUP(PV_DATA[[#This Row],[New Ark SKU]],Table9[New Ark SKU],Table9[Total PCS per Pallet],,0)</f>
        <v>36</v>
      </c>
      <c r="BF447" s="431">
        <f>_xlfn.XLOOKUP(PV_DATA[[#This Row],[New Ark SKU]],Table9[New Ark SKU],Table9[Total PCS per 40HQ Container],,0)</f>
        <v>864</v>
      </c>
      <c r="BG447" s="431" t="str">
        <f>_xlfn.XLOOKUP(PV_DATA[[#This Row],[New Ark SKU]],Table9[New Ark SKU],Table9[Back Glass],,0)</f>
        <v>Black glazing</v>
      </c>
      <c r="BH447" s="431" t="str">
        <f>_xlfn.XLOOKUP(PV_DATA[[#This Row],[PORT DESTINATION]],Table12[PORT DESTINATION],Table12[Cosco Line],,0)</f>
        <v>AEU</v>
      </c>
    </row>
    <row r="448" spans="1:60" s="431" customFormat="1" ht="10.5" hidden="1">
      <c r="A448" s="439" t="s">
        <v>2195</v>
      </c>
      <c r="B448" s="439" t="s">
        <v>2132</v>
      </c>
      <c r="C448" s="439" t="str">
        <f>IFERROR(LEFT(PV_DATA[[#This Row],[TCL REFERENCE]],FIND(".",PV_DATA[[#This Row],[TCL REFERENCE]],1)-1),"Main Line")</f>
        <v>26Apr006</v>
      </c>
      <c r="D448" s="439" t="s">
        <v>63</v>
      </c>
      <c r="E448" s="439" t="s">
        <v>64</v>
      </c>
      <c r="F448" s="462" t="str" cm="1">
        <f t="array" ref="F44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448" s="439" t="s">
        <v>402</v>
      </c>
      <c r="H448" s="439" t="s">
        <v>451</v>
      </c>
      <c r="I448" s="439" t="s">
        <v>689</v>
      </c>
      <c r="J448" s="430" t="s">
        <v>96</v>
      </c>
      <c r="M448" s="431" t="s">
        <v>68</v>
      </c>
      <c r="N448" s="432" t="s">
        <v>68</v>
      </c>
      <c r="O448" s="431" t="s">
        <v>550</v>
      </c>
      <c r="P448" s="431" t="s">
        <v>2134</v>
      </c>
      <c r="Q448" s="431" t="s">
        <v>2135</v>
      </c>
      <c r="R448" s="431" t="str">
        <f>_xlfn.XLOOKUP(PV_DATA[[#This Row],[New Ark SKU]],Table9[New Ark SKU],Table9[Connector],,0)</f>
        <v>EVO2A</v>
      </c>
      <c r="S448" s="442" t="str">
        <f>_xlfn.XLOOKUP(PV_DATA[[#This Row],[New Ark SKU]],Table9[New Ark SKU],Table9[Cable],,0)</f>
        <v>±1350mm</v>
      </c>
      <c r="T448" s="442">
        <v>515</v>
      </c>
      <c r="U448" s="1067">
        <f>1584*2</f>
        <v>3168</v>
      </c>
      <c r="V448" s="448">
        <f>PV_DATA[[#This Row],[QUANTITY]]*PV_DATA[[#This Row],[WATT]]/1000000</f>
        <v>1.6315200000000001</v>
      </c>
      <c r="W448" s="466">
        <f>PV_DATA[[#This Row],[QUANTITY]]/PV_DATA[[#This Row],[Qty/Pallet]]</f>
        <v>88</v>
      </c>
      <c r="X448" s="1019">
        <f>PV_DATA[[#This Row],[QUANTITY]]/PV_DATA[[#This Row],[Qty/CT]]</f>
        <v>4</v>
      </c>
      <c r="Y448" s="431" t="s">
        <v>951</v>
      </c>
      <c r="Z448" s="430" t="str">
        <f t="shared" si="4"/>
        <v>COMPLETED</v>
      </c>
      <c r="AA448" s="447" t="s">
        <v>2183</v>
      </c>
      <c r="AB448" s="441">
        <v>46135</v>
      </c>
      <c r="AC448" s="467">
        <f>IF(PV_DATA[[#This Row],[Pick-Up Date]]&lt;&gt;"",_xlfn.ISOWEEKNUM(PV_DATA[[#This Row],[Pick-Up Date]]),"")</f>
        <v>17</v>
      </c>
      <c r="AD448" s="439" t="s">
        <v>2196</v>
      </c>
      <c r="AF448" s="431" t="s">
        <v>123</v>
      </c>
      <c r="AG448" s="431" t="s">
        <v>123</v>
      </c>
      <c r="AH448" s="431" t="s">
        <v>456</v>
      </c>
      <c r="AI448" s="441">
        <v>46139</v>
      </c>
      <c r="AJ448" s="441">
        <v>46140</v>
      </c>
      <c r="AK448" s="441">
        <v>46141</v>
      </c>
      <c r="AL448" s="441">
        <v>46180</v>
      </c>
      <c r="AM448" s="455">
        <v>46190</v>
      </c>
      <c r="AN448" s="441">
        <v>46194</v>
      </c>
      <c r="AO448" s="431" t="s">
        <v>402</v>
      </c>
      <c r="AP448" s="431" t="s">
        <v>2197</v>
      </c>
      <c r="AQ448" s="431" t="s">
        <v>80</v>
      </c>
      <c r="AR448" s="431" t="s">
        <v>2198</v>
      </c>
      <c r="AS448" s="431" t="s">
        <v>2199</v>
      </c>
      <c r="AT448" s="482" t="s">
        <v>2199</v>
      </c>
      <c r="AU44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W448" s="441" cm="1">
        <f t="array" ref="AW44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46194</v>
      </c>
      <c r="AX44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48" s="441">
        <f>IF(ISERROR(PV_DATA[[#This Row],[New Ark PO status]]),"",_xlfn.XLOOKUP(PV_DATA[[#This Row],[SPTN-PVHK New Ark PO'#]],New_Ark_Data[Purchase order Number],New_Ark_Data[Estimated time of arrival],"",0))</f>
        <v>46205</v>
      </c>
      <c r="AZ448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48" s="437">
        <f>IFERROR(PV_DATA[[#This Row],[ODP ETA Port]]+PV_DATA[[#This Row],[Customs/Leg3 Assumption]],"n/a")</f>
        <v>46201</v>
      </c>
      <c r="BB448" s="442">
        <f>YEAR(PV_DATA[[#This Row],[ETA for New Ark update]])</f>
        <v>2026</v>
      </c>
      <c r="BC448" s="431">
        <f>MONTH(PV_DATA[[#This Row],[ETA for New Ark update]])</f>
        <v>6</v>
      </c>
      <c r="BD448" s="431">
        <f>IFERROR(_xlfn.ISOWEEKNUM(PV_DATA[[#This Row],[ETA for New Ark update]]),0)</f>
        <v>26</v>
      </c>
      <c r="BE448" s="431">
        <f>_xlfn.XLOOKUP(PV_DATA[[#This Row],[New Ark SKU]],Table9[New Ark SKU],Table9[Total PCS per Pallet],,0)</f>
        <v>36</v>
      </c>
      <c r="BF448" s="431">
        <f>_xlfn.XLOOKUP(PV_DATA[[#This Row],[New Ark SKU]],Table9[New Ark SKU],Table9[Total PCS per 40HQ Container],,0)</f>
        <v>792</v>
      </c>
      <c r="BG448" s="431" t="str">
        <f>_xlfn.XLOOKUP(PV_DATA[[#This Row],[New Ark SKU]],Table9[New Ark SKU],Table9[Back Glass],,0)</f>
        <v>Black glazing</v>
      </c>
      <c r="BH448" s="431" t="str">
        <f>_xlfn.XLOOKUP(PV_DATA[[#This Row],[PORT DESTINATION]],Table12[PORT DESTINATION],Table12[Cosco Line],,0)</f>
        <v>AEU</v>
      </c>
    </row>
    <row r="449" spans="1:60" s="431" customFormat="1" ht="10.5" hidden="1">
      <c r="A449" s="439" t="s">
        <v>2200</v>
      </c>
      <c r="B449" s="439" t="s">
        <v>2132</v>
      </c>
      <c r="C449" s="439" t="str">
        <f>IFERROR(LEFT(PV_DATA[[#This Row],[TCL REFERENCE]],FIND(".",PV_DATA[[#This Row],[TCL REFERENCE]],1)-1),"Main Line")</f>
        <v>26Apr005</v>
      </c>
      <c r="D449" s="439" t="s">
        <v>63</v>
      </c>
      <c r="E449" s="439" t="s">
        <v>64</v>
      </c>
      <c r="F449" s="462" t="str" cm="1">
        <f t="array" ref="F44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449" s="439" t="s">
        <v>402</v>
      </c>
      <c r="H449" s="439" t="s">
        <v>311</v>
      </c>
      <c r="I449" s="439" t="s">
        <v>1395</v>
      </c>
      <c r="J449" s="430" t="s">
        <v>96</v>
      </c>
      <c r="M449" s="431" t="s">
        <v>68</v>
      </c>
      <c r="N449" s="432" t="s">
        <v>68</v>
      </c>
      <c r="O449" s="431" t="s">
        <v>550</v>
      </c>
      <c r="P449" s="431" t="s">
        <v>551</v>
      </c>
      <c r="Q449" s="431" t="s">
        <v>2151</v>
      </c>
      <c r="R449" s="431" t="str">
        <f>_xlfn.XLOOKUP(PV_DATA[[#This Row],[New Ark SKU]],Table9[New Ark SKU],Table9[Connector],,0)</f>
        <v>EVO2A</v>
      </c>
      <c r="S449" s="442" t="str">
        <f>_xlfn.XLOOKUP(PV_DATA[[#This Row],[New Ark SKU]],Table9[New Ark SKU],Table9[Cable],,0)</f>
        <v>±1350mm</v>
      </c>
      <c r="T449" s="442">
        <v>510</v>
      </c>
      <c r="U449" s="1067">
        <v>792</v>
      </c>
      <c r="V449" s="448">
        <f>PV_DATA[[#This Row],[QUANTITY]]*PV_DATA[[#This Row],[WATT]]/1000000</f>
        <v>0.40392</v>
      </c>
      <c r="W449" s="466">
        <f>PV_DATA[[#This Row],[QUANTITY]]/PV_DATA[[#This Row],[Qty/Pallet]]</f>
        <v>22</v>
      </c>
      <c r="X449" s="1019">
        <f>PV_DATA[[#This Row],[QUANTITY]]/PV_DATA[[#This Row],[Qty/CT]]</f>
        <v>1</v>
      </c>
      <c r="Y449" s="431" t="s">
        <v>951</v>
      </c>
      <c r="Z449" s="430" t="str">
        <f t="shared" si="4"/>
        <v>COMPLETED</v>
      </c>
      <c r="AA449" s="447" t="s">
        <v>2201</v>
      </c>
      <c r="AB449" s="441">
        <v>46131</v>
      </c>
      <c r="AC449" s="467">
        <f>IF(PV_DATA[[#This Row],[Pick-Up Date]]&lt;&gt;"",_xlfn.ISOWEEKNUM(PV_DATA[[#This Row],[Pick-Up Date]]),"")</f>
        <v>16</v>
      </c>
      <c r="AD449" s="439" t="s">
        <v>2202</v>
      </c>
      <c r="AF449" s="431" t="s">
        <v>123</v>
      </c>
      <c r="AG449" s="431" t="s">
        <v>123</v>
      </c>
      <c r="AH449" s="431" t="s">
        <v>314</v>
      </c>
      <c r="AI449" s="441">
        <v>46136</v>
      </c>
      <c r="AJ449" s="441">
        <v>46136</v>
      </c>
      <c r="AK449" s="441">
        <v>46138</v>
      </c>
      <c r="AL449" s="441">
        <v>46183</v>
      </c>
      <c r="AM449" s="455">
        <v>46190</v>
      </c>
      <c r="AN449" s="441">
        <v>46190</v>
      </c>
      <c r="AO449" s="431" t="s">
        <v>402</v>
      </c>
      <c r="AP449" s="431" t="s">
        <v>2203</v>
      </c>
      <c r="AQ449" s="431" t="s">
        <v>80</v>
      </c>
      <c r="AR449" s="431" t="s">
        <v>2204</v>
      </c>
      <c r="AS449" s="431" t="s">
        <v>2205</v>
      </c>
      <c r="AT449" s="482" t="s">
        <v>2205</v>
      </c>
      <c r="AU44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</v>
      </c>
      <c r="AV449" s="441"/>
      <c r="AW449" s="441" cm="1">
        <f t="array" ref="AW44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46190</v>
      </c>
      <c r="AX44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49" s="441">
        <f>IF(ISERROR(PV_DATA[[#This Row],[New Ark PO status]]),"",_xlfn.XLOOKUP(PV_DATA[[#This Row],[SPTN-PVHK New Ark PO'#]],New_Ark_Data[Purchase order Number],New_Ark_Data[Estimated time of arrival],"",0))</f>
        <v>46204</v>
      </c>
      <c r="AZ449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49" s="437">
        <f>IFERROR(PV_DATA[[#This Row],[ODP ETA Port]]+PV_DATA[[#This Row],[Customs/Leg3 Assumption]],"n/a")</f>
        <v>46200</v>
      </c>
      <c r="BB449" s="442">
        <f>YEAR(PV_DATA[[#This Row],[ETA for New Ark update]])</f>
        <v>2026</v>
      </c>
      <c r="BC449" s="431">
        <f>MONTH(PV_DATA[[#This Row],[ETA for New Ark update]])</f>
        <v>6</v>
      </c>
      <c r="BD449" s="431">
        <f>IFERROR(_xlfn.ISOWEEKNUM(PV_DATA[[#This Row],[ETA for New Ark update]]),0)</f>
        <v>26</v>
      </c>
      <c r="BE449" s="431">
        <f>_xlfn.XLOOKUP(PV_DATA[[#This Row],[New Ark SKU]],Table9[New Ark SKU],Table9[Total PCS per Pallet],,0)</f>
        <v>36</v>
      </c>
      <c r="BF449" s="431">
        <f>_xlfn.XLOOKUP(PV_DATA[[#This Row],[New Ark SKU]],Table9[New Ark SKU],Table9[Total PCS per 40HQ Container],,0)</f>
        <v>792</v>
      </c>
      <c r="BG449" s="431" t="str">
        <f>_xlfn.XLOOKUP(PV_DATA[[#This Row],[New Ark SKU]],Table9[New Ark SKU],Table9[Back Glass],,0)</f>
        <v>Black glazing</v>
      </c>
      <c r="BH449" s="431" t="str">
        <f>_xlfn.XLOOKUP(PV_DATA[[#This Row],[PORT DESTINATION]],Table12[PORT DESTINATION],Table12[Cosco Line],,0)</f>
        <v>AEM</v>
      </c>
    </row>
    <row r="450" spans="1:60" s="431" customFormat="1" ht="10.5" hidden="1">
      <c r="A450" s="439" t="s">
        <v>2206</v>
      </c>
      <c r="B450" s="439" t="s">
        <v>2132</v>
      </c>
      <c r="C450" s="439" t="str">
        <f>IFERROR(LEFT(PV_DATA[[#This Row],[TCL REFERENCE]],FIND(".",PV_DATA[[#This Row],[TCL REFERENCE]],1)-1),"Main Line")</f>
        <v>26Apr006</v>
      </c>
      <c r="D450" s="439" t="s">
        <v>63</v>
      </c>
      <c r="E450" s="439" t="s">
        <v>64</v>
      </c>
      <c r="F450" s="462" t="str" cm="1">
        <f t="array" ref="F45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450" s="439" t="s">
        <v>402</v>
      </c>
      <c r="H450" s="439" t="s">
        <v>311</v>
      </c>
      <c r="I450" s="439" t="s">
        <v>1395</v>
      </c>
      <c r="J450" s="430" t="s">
        <v>96</v>
      </c>
      <c r="M450" s="431" t="s">
        <v>68</v>
      </c>
      <c r="N450" s="432" t="s">
        <v>68</v>
      </c>
      <c r="O450" s="431" t="s">
        <v>550</v>
      </c>
      <c r="P450" s="431" t="s">
        <v>2134</v>
      </c>
      <c r="Q450" s="431" t="s">
        <v>2135</v>
      </c>
      <c r="R450" s="431" t="str">
        <f>_xlfn.XLOOKUP(PV_DATA[[#This Row],[New Ark SKU]],Table9[New Ark SKU],Table9[Connector],,0)</f>
        <v>EVO2A</v>
      </c>
      <c r="S450" s="442" t="str">
        <f>_xlfn.XLOOKUP(PV_DATA[[#This Row],[New Ark SKU]],Table9[New Ark SKU],Table9[Cable],,0)</f>
        <v>±1350mm</v>
      </c>
      <c r="T450" s="442">
        <v>515</v>
      </c>
      <c r="U450" s="1067">
        <v>1584</v>
      </c>
      <c r="V450" s="448">
        <f>PV_DATA[[#This Row],[QUANTITY]]*PV_DATA[[#This Row],[WATT]]/1000000</f>
        <v>0.81576000000000004</v>
      </c>
      <c r="W450" s="466">
        <f>PV_DATA[[#This Row],[QUANTITY]]/PV_DATA[[#This Row],[Qty/Pallet]]</f>
        <v>44</v>
      </c>
      <c r="X450" s="1019">
        <f>PV_DATA[[#This Row],[QUANTITY]]/PV_DATA[[#This Row],[Qty/CT]]</f>
        <v>2</v>
      </c>
      <c r="Y450" s="431" t="s">
        <v>951</v>
      </c>
      <c r="Z450" s="430" t="str">
        <f t="shared" si="4"/>
        <v>COMPLETED</v>
      </c>
      <c r="AA450" s="447" t="s">
        <v>2201</v>
      </c>
      <c r="AB450" s="469">
        <v>46130</v>
      </c>
      <c r="AC450" s="467">
        <f>IF(PV_DATA[[#This Row],[Pick-Up Date]]&lt;&gt;"",_xlfn.ISOWEEKNUM(PV_DATA[[#This Row],[Pick-Up Date]]),"")</f>
        <v>16</v>
      </c>
      <c r="AD450" s="439" t="s">
        <v>2207</v>
      </c>
      <c r="AF450" s="431" t="s">
        <v>123</v>
      </c>
      <c r="AG450" s="431" t="s">
        <v>123</v>
      </c>
      <c r="AH450" s="431" t="s">
        <v>314</v>
      </c>
      <c r="AI450" s="441">
        <v>46136</v>
      </c>
      <c r="AJ450" s="441">
        <v>46136</v>
      </c>
      <c r="AK450" s="441">
        <v>46138</v>
      </c>
      <c r="AL450" s="441">
        <v>46183</v>
      </c>
      <c r="AM450" s="455">
        <v>46190</v>
      </c>
      <c r="AN450" s="441">
        <v>46190</v>
      </c>
      <c r="AO450" s="431" t="s">
        <v>402</v>
      </c>
      <c r="AP450" s="431" t="s">
        <v>2203</v>
      </c>
      <c r="AQ450" s="431" t="s">
        <v>80</v>
      </c>
      <c r="AR450" s="431" t="s">
        <v>2204</v>
      </c>
      <c r="AS450" s="431" t="s">
        <v>2205</v>
      </c>
      <c r="AT450" s="482" t="s">
        <v>2205</v>
      </c>
      <c r="AU45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</v>
      </c>
      <c r="AV450" s="441"/>
      <c r="AW450" s="441" cm="1">
        <f t="array" ref="AW45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46190</v>
      </c>
      <c r="AX45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50" s="441">
        <f>IF(ISERROR(PV_DATA[[#This Row],[New Ark PO status]]),"",_xlfn.XLOOKUP(PV_DATA[[#This Row],[SPTN-PVHK New Ark PO'#]],New_Ark_Data[Purchase order Number],New_Ark_Data[Estimated time of arrival],"",0))</f>
        <v>46204</v>
      </c>
      <c r="AZ450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50" s="437">
        <f>IFERROR(PV_DATA[[#This Row],[ODP ETA Port]]+PV_DATA[[#This Row],[Customs/Leg3 Assumption]],"n/a")</f>
        <v>46200</v>
      </c>
      <c r="BB450" s="442">
        <f>YEAR(PV_DATA[[#This Row],[ETA for New Ark update]])</f>
        <v>2026</v>
      </c>
      <c r="BC450" s="431">
        <f>MONTH(PV_DATA[[#This Row],[ETA for New Ark update]])</f>
        <v>6</v>
      </c>
      <c r="BD450" s="431">
        <f>IFERROR(_xlfn.ISOWEEKNUM(PV_DATA[[#This Row],[ETA for New Ark update]]),0)</f>
        <v>26</v>
      </c>
      <c r="BE450" s="431">
        <f>_xlfn.XLOOKUP(PV_DATA[[#This Row],[New Ark SKU]],Table9[New Ark SKU],Table9[Total PCS per Pallet],,0)</f>
        <v>36</v>
      </c>
      <c r="BF450" s="431">
        <f>_xlfn.XLOOKUP(PV_DATA[[#This Row],[New Ark SKU]],Table9[New Ark SKU],Table9[Total PCS per 40HQ Container],,0)</f>
        <v>792</v>
      </c>
      <c r="BG450" s="431" t="str">
        <f>_xlfn.XLOOKUP(PV_DATA[[#This Row],[New Ark SKU]],Table9[New Ark SKU],Table9[Back Glass],,0)</f>
        <v>Black glazing</v>
      </c>
      <c r="BH450" s="431" t="str">
        <f>_xlfn.XLOOKUP(PV_DATA[[#This Row],[PORT DESTINATION]],Table12[PORT DESTINATION],Table12[Cosco Line],,0)</f>
        <v>AEM</v>
      </c>
    </row>
    <row r="451" spans="1:60" s="431" customFormat="1" ht="10.5" hidden="1">
      <c r="A451" s="439" t="s">
        <v>2208</v>
      </c>
      <c r="B451" s="439" t="s">
        <v>2132</v>
      </c>
      <c r="C451" s="439" t="str">
        <f>IFERROR(LEFT(PV_DATA[[#This Row],[TCL REFERENCE]],FIND(".",PV_DATA[[#This Row],[TCL REFERENCE]],1)-1),"Main Line")</f>
        <v>26Apr006</v>
      </c>
      <c r="D451" s="439" t="s">
        <v>63</v>
      </c>
      <c r="E451" s="439" t="s">
        <v>64</v>
      </c>
      <c r="F451" s="462" t="str" cm="1">
        <f t="array" ref="F45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451" s="439" t="s">
        <v>402</v>
      </c>
      <c r="H451" s="439" t="s">
        <v>311</v>
      </c>
      <c r="I451" s="439" t="s">
        <v>822</v>
      </c>
      <c r="J451" s="430" t="s">
        <v>96</v>
      </c>
      <c r="M451" s="431" t="s">
        <v>68</v>
      </c>
      <c r="N451" s="432" t="s">
        <v>68</v>
      </c>
      <c r="O451" s="431" t="s">
        <v>550</v>
      </c>
      <c r="P451" s="431" t="s">
        <v>2134</v>
      </c>
      <c r="Q451" s="431" t="s">
        <v>2135</v>
      </c>
      <c r="R451" s="431" t="str">
        <f>_xlfn.XLOOKUP(PV_DATA[[#This Row],[New Ark SKU]],Table9[New Ark SKU],Table9[Connector],,0)</f>
        <v>EVO2A</v>
      </c>
      <c r="S451" s="442" t="str">
        <f>_xlfn.XLOOKUP(PV_DATA[[#This Row],[New Ark SKU]],Table9[New Ark SKU],Table9[Cable],,0)</f>
        <v>±1350mm</v>
      </c>
      <c r="T451" s="442">
        <v>515</v>
      </c>
      <c r="U451" s="1067">
        <f>5*792</f>
        <v>3960</v>
      </c>
      <c r="V451" s="434">
        <f>PV_DATA[[#This Row],[QUANTITY]]*PV_DATA[[#This Row],[WATT]]/1000000</f>
        <v>2.0394000000000001</v>
      </c>
      <c r="W451" s="466">
        <f>PV_DATA[[#This Row],[QUANTITY]]/PV_DATA[[#This Row],[Qty/Pallet]]</f>
        <v>110</v>
      </c>
      <c r="X451" s="1019">
        <f>PV_DATA[[#This Row],[QUANTITY]]/PV_DATA[[#This Row],[Qty/CT]]</f>
        <v>5</v>
      </c>
      <c r="Y451" s="431" t="s">
        <v>951</v>
      </c>
      <c r="Z451" s="430" t="str">
        <f t="shared" si="4"/>
        <v>COMPLETED</v>
      </c>
      <c r="AA451" s="447" t="s">
        <v>2209</v>
      </c>
      <c r="AB451" s="469">
        <v>46130</v>
      </c>
      <c r="AC451" s="467">
        <f>IF(PV_DATA[[#This Row],[Pick-Up Date]]&lt;&gt;"",_xlfn.ISOWEEKNUM(PV_DATA[[#This Row],[Pick-Up Date]]),"")</f>
        <v>16</v>
      </c>
      <c r="AD451" s="439" t="s">
        <v>2210</v>
      </c>
      <c r="AF451" s="431" t="s">
        <v>123</v>
      </c>
      <c r="AG451" s="431" t="s">
        <v>123</v>
      </c>
      <c r="AH451" s="431" t="s">
        <v>314</v>
      </c>
      <c r="AI451" s="441">
        <v>46136</v>
      </c>
      <c r="AJ451" s="441">
        <v>46136</v>
      </c>
      <c r="AK451" s="441">
        <v>46138</v>
      </c>
      <c r="AL451" s="441">
        <v>46183</v>
      </c>
      <c r="AM451" s="455">
        <v>46190</v>
      </c>
      <c r="AN451" s="441">
        <v>46190</v>
      </c>
      <c r="AO451" s="431" t="s">
        <v>402</v>
      </c>
      <c r="AP451" s="431" t="s">
        <v>2203</v>
      </c>
      <c r="AQ451" s="431" t="s">
        <v>80</v>
      </c>
      <c r="AR451" s="431" t="s">
        <v>2204</v>
      </c>
      <c r="AS451" s="431" t="s">
        <v>2205</v>
      </c>
      <c r="AT451" s="482" t="s">
        <v>2205</v>
      </c>
      <c r="AU45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</v>
      </c>
      <c r="AV451" s="441"/>
      <c r="AW451" s="441" cm="1">
        <f t="array" ref="AW45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46190</v>
      </c>
      <c r="AX45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51" s="441">
        <f>IF(ISERROR(PV_DATA[[#This Row],[New Ark PO status]]),"",_xlfn.XLOOKUP(PV_DATA[[#This Row],[SPTN-PVHK New Ark PO'#]],New_Ark_Data[Purchase order Number],New_Ark_Data[Estimated time of arrival],"",0))</f>
        <v>46204</v>
      </c>
      <c r="AZ451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51" s="437">
        <f>IFERROR(PV_DATA[[#This Row],[ODP ETA Port]]+PV_DATA[[#This Row],[Customs/Leg3 Assumption]],"n/a")</f>
        <v>46200</v>
      </c>
      <c r="BB451" s="442">
        <f>YEAR(PV_DATA[[#This Row],[ETA for New Ark update]])</f>
        <v>2026</v>
      </c>
      <c r="BC451" s="431">
        <f>MONTH(PV_DATA[[#This Row],[ETA for New Ark update]])</f>
        <v>6</v>
      </c>
      <c r="BD451" s="431">
        <f>IFERROR(_xlfn.ISOWEEKNUM(PV_DATA[[#This Row],[ETA for New Ark update]]),0)</f>
        <v>26</v>
      </c>
      <c r="BE451" s="431">
        <f>_xlfn.XLOOKUP(PV_DATA[[#This Row],[New Ark SKU]],Table9[New Ark SKU],Table9[Total PCS per Pallet],,0)</f>
        <v>36</v>
      </c>
      <c r="BF451" s="431">
        <f>_xlfn.XLOOKUP(PV_DATA[[#This Row],[New Ark SKU]],Table9[New Ark SKU],Table9[Total PCS per 40HQ Container],,0)</f>
        <v>792</v>
      </c>
      <c r="BG451" s="431" t="str">
        <f>_xlfn.XLOOKUP(PV_DATA[[#This Row],[New Ark SKU]],Table9[New Ark SKU],Table9[Back Glass],,0)</f>
        <v>Black glazing</v>
      </c>
      <c r="BH451" s="431" t="str">
        <f>_xlfn.XLOOKUP(PV_DATA[[#This Row],[PORT DESTINATION]],Table12[PORT DESTINATION],Table12[Cosco Line],,0)</f>
        <v>AEM</v>
      </c>
    </row>
    <row r="452" spans="1:60" s="431" customFormat="1" ht="10.5" hidden="1">
      <c r="A452" s="439" t="s">
        <v>2211</v>
      </c>
      <c r="B452" s="439" t="s">
        <v>2132</v>
      </c>
      <c r="C452" s="439" t="str">
        <f>IFERROR(LEFT(PV_DATA[[#This Row],[TCL REFERENCE]],FIND(".",PV_DATA[[#This Row],[TCL REFERENCE]],1)-1),"Main Line")</f>
        <v>26Apr006</v>
      </c>
      <c r="D452" s="439" t="s">
        <v>63</v>
      </c>
      <c r="E452" s="439" t="s">
        <v>64</v>
      </c>
      <c r="F452" s="462" t="str" cm="1">
        <f t="array" ref="F45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52" s="439" t="s">
        <v>402</v>
      </c>
      <c r="H452" s="439" t="s">
        <v>67</v>
      </c>
      <c r="I452" s="439" t="s">
        <v>689</v>
      </c>
      <c r="J452" s="430" t="s">
        <v>96</v>
      </c>
      <c r="M452" s="431" t="s">
        <v>68</v>
      </c>
      <c r="N452" s="432" t="s">
        <v>68</v>
      </c>
      <c r="O452" s="431" t="s">
        <v>550</v>
      </c>
      <c r="P452" s="431" t="s">
        <v>2134</v>
      </c>
      <c r="Q452" s="431" t="s">
        <v>2135</v>
      </c>
      <c r="R452" s="431" t="str">
        <f>_xlfn.XLOOKUP(PV_DATA[[#This Row],[New Ark SKU]],Table9[New Ark SKU],Table9[Connector],,0)</f>
        <v>EVO2A</v>
      </c>
      <c r="S452" s="442" t="str">
        <f>_xlfn.XLOOKUP(PV_DATA[[#This Row],[New Ark SKU]],Table9[New Ark SKU],Table9[Cable],,0)</f>
        <v>±1350mm</v>
      </c>
      <c r="T452" s="442">
        <v>515</v>
      </c>
      <c r="U452" s="1067">
        <f>4*792</f>
        <v>3168</v>
      </c>
      <c r="V452" s="434">
        <f>PV_DATA[[#This Row],[QUANTITY]]*PV_DATA[[#This Row],[WATT]]/1000000</f>
        <v>1.6315200000000001</v>
      </c>
      <c r="W452" s="466">
        <f>PV_DATA[[#This Row],[QUANTITY]]/PV_DATA[[#This Row],[Qty/Pallet]]</f>
        <v>88</v>
      </c>
      <c r="X452" s="1019">
        <f>PV_DATA[[#This Row],[QUANTITY]]/PV_DATA[[#This Row],[Qty/CT]]</f>
        <v>4</v>
      </c>
      <c r="Y452" s="431" t="s">
        <v>951</v>
      </c>
      <c r="Z452" s="430" t="str">
        <f t="shared" si="4"/>
        <v>COMPLETED</v>
      </c>
      <c r="AA452" s="447" t="s">
        <v>2212</v>
      </c>
      <c r="AB452" s="441">
        <v>46136</v>
      </c>
      <c r="AC452" s="467">
        <f>IF(PV_DATA[[#This Row],[Pick-Up Date]]&lt;&gt;"",_xlfn.ISOWEEKNUM(PV_DATA[[#This Row],[Pick-Up Date]]),"")</f>
        <v>17</v>
      </c>
      <c r="AD452" s="439" t="s">
        <v>2213</v>
      </c>
      <c r="AF452" s="431" t="s">
        <v>123</v>
      </c>
      <c r="AG452" s="431" t="s">
        <v>123</v>
      </c>
      <c r="AH452" s="431" t="s">
        <v>78</v>
      </c>
      <c r="AI452" s="441">
        <v>46136</v>
      </c>
      <c r="AJ452" s="441">
        <v>46140</v>
      </c>
      <c r="AK452" s="441">
        <v>46140</v>
      </c>
      <c r="AL452" s="441">
        <v>46188</v>
      </c>
      <c r="AM452" s="441">
        <v>46184</v>
      </c>
      <c r="AN452" s="441">
        <v>46184</v>
      </c>
      <c r="AO452" s="431" t="s">
        <v>402</v>
      </c>
      <c r="AP452" s="431" t="s">
        <v>2203</v>
      </c>
      <c r="AQ452" s="431" t="s">
        <v>80</v>
      </c>
      <c r="AR452" s="431" t="s">
        <v>2214</v>
      </c>
      <c r="AS452" s="431" t="s">
        <v>2215</v>
      </c>
      <c r="AT452" s="482" t="s">
        <v>2215</v>
      </c>
      <c r="AU45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V452" s="441"/>
      <c r="AW452" s="441" cm="1">
        <f t="array" ref="AW45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46184</v>
      </c>
      <c r="AX45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52" s="441">
        <f>IF(ISERROR(PV_DATA[[#This Row],[New Ark PO status]]),"",_xlfn.XLOOKUP(PV_DATA[[#This Row],[SPTN-PVHK New Ark PO'#]],New_Ark_Data[Purchase order Number],New_Ark_Data[Estimated time of arrival],"",0))</f>
        <v>46199</v>
      </c>
      <c r="AZ452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452" s="437">
        <f>IFERROR(PV_DATA[[#This Row],[ODP ETA Port]]+PV_DATA[[#This Row],[Customs/Leg3 Assumption]],"n/a")</f>
        <v>46192</v>
      </c>
      <c r="BB452" s="442">
        <f>YEAR(PV_DATA[[#This Row],[ETA for New Ark update]])</f>
        <v>2026</v>
      </c>
      <c r="BC452" s="431">
        <f>MONTH(PV_DATA[[#This Row],[ETA for New Ark update]])</f>
        <v>6</v>
      </c>
      <c r="BD452" s="431">
        <f>IFERROR(_xlfn.ISOWEEKNUM(PV_DATA[[#This Row],[ETA for New Ark update]]),0)</f>
        <v>25</v>
      </c>
      <c r="BE452" s="431">
        <f>_xlfn.XLOOKUP(PV_DATA[[#This Row],[New Ark SKU]],Table9[New Ark SKU],Table9[Total PCS per Pallet],,0)</f>
        <v>36</v>
      </c>
      <c r="BF452" s="431">
        <f>_xlfn.XLOOKUP(PV_DATA[[#This Row],[New Ark SKU]],Table9[New Ark SKU],Table9[Total PCS per 40HQ Container],,0)</f>
        <v>792</v>
      </c>
      <c r="BG452" s="431" t="str">
        <f>_xlfn.XLOOKUP(PV_DATA[[#This Row],[New Ark SKU]],Table9[New Ark SKU],Table9[Back Glass],,0)</f>
        <v>Black glazing</v>
      </c>
      <c r="BH452" s="431" t="str">
        <f>_xlfn.XLOOKUP(PV_DATA[[#This Row],[PORT DESTINATION]],Table12[PORT DESTINATION],Table12[Cosco Line],,0)</f>
        <v>AEM</v>
      </c>
    </row>
    <row r="453" spans="1:60" s="431" customFormat="1" ht="10.5" hidden="1">
      <c r="A453" s="439" t="s">
        <v>2216</v>
      </c>
      <c r="B453" s="439" t="s">
        <v>2132</v>
      </c>
      <c r="C453" s="439" t="str">
        <f>IFERROR(LEFT(PV_DATA[[#This Row],[TCL REFERENCE]],FIND(".",PV_DATA[[#This Row],[TCL REFERENCE]],1)-1),"Main Line")</f>
        <v>26Apr006</v>
      </c>
      <c r="D453" s="439" t="s">
        <v>63</v>
      </c>
      <c r="E453" s="439" t="s">
        <v>64</v>
      </c>
      <c r="F453" s="462" t="str" cm="1">
        <f t="array" ref="F45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453" s="439" t="s">
        <v>402</v>
      </c>
      <c r="H453" s="439" t="s">
        <v>311</v>
      </c>
      <c r="I453" s="439" t="s">
        <v>689</v>
      </c>
      <c r="J453" s="430" t="s">
        <v>96</v>
      </c>
      <c r="M453" s="431" t="s">
        <v>68</v>
      </c>
      <c r="N453" s="432" t="s">
        <v>68</v>
      </c>
      <c r="O453" s="431" t="s">
        <v>550</v>
      </c>
      <c r="P453" s="431" t="s">
        <v>2134</v>
      </c>
      <c r="Q453" s="431" t="s">
        <v>2135</v>
      </c>
      <c r="R453" s="431" t="str">
        <f>_xlfn.XLOOKUP(PV_DATA[[#This Row],[New Ark SKU]],Table9[New Ark SKU],Table9[Connector],,0)</f>
        <v>EVO2A</v>
      </c>
      <c r="S453" s="442" t="str">
        <f>_xlfn.XLOOKUP(PV_DATA[[#This Row],[New Ark SKU]],Table9[New Ark SKU],Table9[Cable],,0)</f>
        <v>±1350mm</v>
      </c>
      <c r="T453" s="442">
        <v>515</v>
      </c>
      <c r="U453" s="1067">
        <f>3*792</f>
        <v>2376</v>
      </c>
      <c r="V453" s="434">
        <f>PV_DATA[[#This Row],[QUANTITY]]*PV_DATA[[#This Row],[WATT]]/1000000</f>
        <v>1.2236400000000001</v>
      </c>
      <c r="W453" s="466">
        <f>PV_DATA[[#This Row],[QUANTITY]]/PV_DATA[[#This Row],[Qty/Pallet]]</f>
        <v>66</v>
      </c>
      <c r="X453" s="1019">
        <f>PV_DATA[[#This Row],[QUANTITY]]/PV_DATA[[#This Row],[Qty/CT]]</f>
        <v>3</v>
      </c>
      <c r="Y453" s="431" t="s">
        <v>951</v>
      </c>
      <c r="Z453" s="430" t="str">
        <f t="shared" si="4"/>
        <v>COMPLETED</v>
      </c>
      <c r="AA453" s="447" t="s">
        <v>2183</v>
      </c>
      <c r="AB453" s="441">
        <v>46136</v>
      </c>
      <c r="AC453" s="467">
        <f>IF(PV_DATA[[#This Row],[Pick-Up Date]]&lt;&gt;"",_xlfn.ISOWEEKNUM(PV_DATA[[#This Row],[Pick-Up Date]]),"")</f>
        <v>17</v>
      </c>
      <c r="AD453" s="439" t="s">
        <v>2217</v>
      </c>
      <c r="AF453" s="431" t="s">
        <v>123</v>
      </c>
      <c r="AG453" s="431" t="s">
        <v>123</v>
      </c>
      <c r="AH453" s="431" t="s">
        <v>1561</v>
      </c>
      <c r="AI453" s="441">
        <v>46140</v>
      </c>
      <c r="AJ453" s="441">
        <v>46140</v>
      </c>
      <c r="AK453" s="441">
        <v>46140</v>
      </c>
      <c r="AL453" s="441">
        <v>46199</v>
      </c>
      <c r="AM453" s="455">
        <v>46201</v>
      </c>
      <c r="AN453" s="441">
        <v>46198</v>
      </c>
      <c r="AO453" s="431" t="s">
        <v>402</v>
      </c>
      <c r="AP453" s="431" t="s">
        <v>2218</v>
      </c>
      <c r="AQ453" s="431" t="s">
        <v>80</v>
      </c>
      <c r="AR453" s="431" t="s">
        <v>2219</v>
      </c>
      <c r="AS453" s="431" t="s">
        <v>2220</v>
      </c>
      <c r="AT453" s="482" t="s">
        <v>2220</v>
      </c>
      <c r="AU45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V453" s="441"/>
      <c r="AW453" s="441" cm="1">
        <f t="array" ref="AW45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46198</v>
      </c>
      <c r="AX45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53" s="441">
        <f>IF(ISERROR(PV_DATA[[#This Row],[New Ark PO status]]),"",_xlfn.XLOOKUP(PV_DATA[[#This Row],[SPTN-PVHK New Ark PO'#]],New_Ark_Data[Purchase order Number],New_Ark_Data[Estimated time of arrival],"",0))</f>
        <v>46212</v>
      </c>
      <c r="AZ453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53" s="437">
        <f>IFERROR(PV_DATA[[#This Row],[ODP ETA Port]]+PV_DATA[[#This Row],[Customs/Leg3 Assumption]],"n/a")</f>
        <v>46208</v>
      </c>
      <c r="BB453" s="442">
        <f>YEAR(PV_DATA[[#This Row],[ETA for New Ark update]])</f>
        <v>2026</v>
      </c>
      <c r="BC453" s="431">
        <f>MONTH(PV_DATA[[#This Row],[ETA for New Ark update]])</f>
        <v>7</v>
      </c>
      <c r="BD453" s="431">
        <f>IFERROR(_xlfn.ISOWEEKNUM(PV_DATA[[#This Row],[ETA for New Ark update]]),0)</f>
        <v>27</v>
      </c>
      <c r="BE453" s="431">
        <f>_xlfn.XLOOKUP(PV_DATA[[#This Row],[New Ark SKU]],Table9[New Ark SKU],Table9[Total PCS per Pallet],,0)</f>
        <v>36</v>
      </c>
      <c r="BF453" s="431">
        <f>_xlfn.XLOOKUP(PV_DATA[[#This Row],[New Ark SKU]],Table9[New Ark SKU],Table9[Total PCS per 40HQ Container],,0)</f>
        <v>792</v>
      </c>
      <c r="BG453" s="431" t="str">
        <f>_xlfn.XLOOKUP(PV_DATA[[#This Row],[New Ark SKU]],Table9[New Ark SKU],Table9[Back Glass],,0)</f>
        <v>Black glazing</v>
      </c>
      <c r="BH453" s="431" t="str">
        <f>_xlfn.XLOOKUP(PV_DATA[[#This Row],[PORT DESTINATION]],Table12[PORT DESTINATION],Table12[Cosco Line],,0)</f>
        <v>AEM</v>
      </c>
    </row>
    <row r="454" spans="1:60" s="431" customFormat="1" ht="10.5" hidden="1">
      <c r="A454" s="439" t="s">
        <v>2221</v>
      </c>
      <c r="B454" s="439" t="s">
        <v>2132</v>
      </c>
      <c r="C454" s="439" t="str">
        <f>IFERROR(LEFT(PV_DATA[[#This Row],[TCL REFERENCE]],FIND(".",PV_DATA[[#This Row],[TCL REFERENCE]],1)-1),"Main Line")</f>
        <v>26Apr006</v>
      </c>
      <c r="D454" s="439" t="s">
        <v>63</v>
      </c>
      <c r="E454" s="439" t="s">
        <v>64</v>
      </c>
      <c r="F454" s="462" t="str" cm="1">
        <f t="array" ref="F45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454" s="439" t="s">
        <v>402</v>
      </c>
      <c r="H454" s="439" t="s">
        <v>115</v>
      </c>
      <c r="I454" s="439" t="s">
        <v>689</v>
      </c>
      <c r="J454" s="430" t="s">
        <v>96</v>
      </c>
      <c r="M454" s="431" t="s">
        <v>68</v>
      </c>
      <c r="N454" s="432" t="s">
        <v>68</v>
      </c>
      <c r="O454" s="431" t="s">
        <v>550</v>
      </c>
      <c r="P454" s="431" t="s">
        <v>2134</v>
      </c>
      <c r="Q454" s="431" t="s">
        <v>2135</v>
      </c>
      <c r="R454" s="431" t="str">
        <f>_xlfn.XLOOKUP(PV_DATA[[#This Row],[New Ark SKU]],Table9[New Ark SKU],Table9[Connector],,0)</f>
        <v>EVO2A</v>
      </c>
      <c r="S454" s="442" t="str">
        <f>_xlfn.XLOOKUP(PV_DATA[[#This Row],[New Ark SKU]],Table9[New Ark SKU],Table9[Cable],,0)</f>
        <v>±1350mm</v>
      </c>
      <c r="T454" s="442">
        <v>515</v>
      </c>
      <c r="U454" s="1067">
        <v>1584</v>
      </c>
      <c r="V454" s="434">
        <f>PV_DATA[[#This Row],[QUANTITY]]*PV_DATA[[#This Row],[WATT]]/1000000</f>
        <v>0.81576000000000004</v>
      </c>
      <c r="W454" s="466">
        <f>PV_DATA[[#This Row],[QUANTITY]]/PV_DATA[[#This Row],[Qty/Pallet]]</f>
        <v>44</v>
      </c>
      <c r="X454" s="1019">
        <f>PV_DATA[[#This Row],[QUANTITY]]/PV_DATA[[#This Row],[Qty/CT]]</f>
        <v>2</v>
      </c>
      <c r="Y454" s="430" t="s">
        <v>75</v>
      </c>
      <c r="Z454" s="430" t="str">
        <f t="shared" si="4"/>
        <v>COMPLETED</v>
      </c>
      <c r="AA454" s="447" t="s">
        <v>2183</v>
      </c>
      <c r="AB454" s="441">
        <v>46136</v>
      </c>
      <c r="AC454" s="467">
        <f>IF(PV_DATA[[#This Row],[Pick-Up Date]]&lt;&gt;"",_xlfn.ISOWEEKNUM(PV_DATA[[#This Row],[Pick-Up Date]]),"")</f>
        <v>17</v>
      </c>
      <c r="AD454" s="439" t="s">
        <v>2222</v>
      </c>
      <c r="AF454" s="431" t="s">
        <v>123</v>
      </c>
      <c r="AG454" s="431" t="s">
        <v>123</v>
      </c>
      <c r="AH454" s="431" t="s">
        <v>124</v>
      </c>
      <c r="AI454" s="441">
        <v>46139</v>
      </c>
      <c r="AJ454" s="441">
        <v>46140</v>
      </c>
      <c r="AK454" s="441">
        <v>46140</v>
      </c>
      <c r="AL454" s="441">
        <v>46184</v>
      </c>
      <c r="AM454" s="455">
        <v>46177</v>
      </c>
      <c r="AN454" s="441">
        <v>46178</v>
      </c>
      <c r="AO454" s="431" t="s">
        <v>402</v>
      </c>
      <c r="AP454" s="431" t="s">
        <v>2179</v>
      </c>
      <c r="AQ454" s="431" t="s">
        <v>80</v>
      </c>
      <c r="AR454" s="431" t="s">
        <v>2223</v>
      </c>
      <c r="AS454" s="431" t="s">
        <v>2224</v>
      </c>
      <c r="AT454" s="482" t="s">
        <v>2224</v>
      </c>
      <c r="AU45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</v>
      </c>
      <c r="AW454" s="441" cm="1">
        <f t="array" ref="AW45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46178</v>
      </c>
      <c r="AX45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54" s="441">
        <f>IF(ISERROR(PV_DATA[[#This Row],[New Ark PO status]]),"",_xlfn.XLOOKUP(PV_DATA[[#This Row],[SPTN-PVHK New Ark PO'#]],New_Ark_Data[Purchase order Number],New_Ark_Data[Estimated time of arrival],"",0))</f>
        <v>46191</v>
      </c>
      <c r="AZ454" s="44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454" s="437">
        <f>IFERROR(PV_DATA[[#This Row],[ODP ETA Port]]+PV_DATA[[#This Row],[Customs/Leg3 Assumption]],"n/a")</f>
        <v>46187</v>
      </c>
      <c r="BB454" s="442">
        <f>YEAR(PV_DATA[[#This Row],[ETA for New Ark update]])</f>
        <v>2026</v>
      </c>
      <c r="BC454" s="431">
        <f>MONTH(PV_DATA[[#This Row],[ETA for New Ark update]])</f>
        <v>6</v>
      </c>
      <c r="BD454" s="431">
        <f>IFERROR(_xlfn.ISOWEEKNUM(PV_DATA[[#This Row],[ETA for New Ark update]]),0)</f>
        <v>24</v>
      </c>
      <c r="BE454" s="431">
        <f>_xlfn.XLOOKUP(PV_DATA[[#This Row],[New Ark SKU]],Table9[New Ark SKU],Table9[Total PCS per Pallet],,0)</f>
        <v>36</v>
      </c>
      <c r="BF454" s="431">
        <f>_xlfn.XLOOKUP(PV_DATA[[#This Row],[New Ark SKU]],Table9[New Ark SKU],Table9[Total PCS per 40HQ Container],,0)</f>
        <v>792</v>
      </c>
      <c r="BG454" s="431" t="str">
        <f>_xlfn.XLOOKUP(PV_DATA[[#This Row],[New Ark SKU]],Table9[New Ark SKU],Table9[Back Glass],,0)</f>
        <v>Black glazing</v>
      </c>
      <c r="BH454" s="431" t="str">
        <f>_xlfn.XLOOKUP(PV_DATA[[#This Row],[PORT DESTINATION]],Table12[PORT DESTINATION],Table12[Cosco Line],,0)</f>
        <v>AEM</v>
      </c>
    </row>
    <row r="455" spans="1:60" s="431" customFormat="1" hidden="1">
      <c r="A455" s="439" t="s">
        <v>2225</v>
      </c>
      <c r="B455" s="439" t="s">
        <v>61</v>
      </c>
      <c r="C455" s="439" t="str">
        <f>IFERROR(LEFT(PV_DATA[[#This Row],[TCL REFERENCE]],FIND(".",PV_DATA[[#This Row],[TCL REFERENCE]],1)-1),"Main Line")</f>
        <v>26Feb021</v>
      </c>
      <c r="D455" s="439" t="s">
        <v>63</v>
      </c>
      <c r="E455" s="439" t="s">
        <v>64</v>
      </c>
      <c r="F455" s="462" t="str" cm="1">
        <f t="array" ref="F45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55" s="439" t="s">
        <v>402</v>
      </c>
      <c r="H455" s="439" t="s">
        <v>67</v>
      </c>
      <c r="I455" s="439" t="s">
        <v>1395</v>
      </c>
      <c r="J455" s="430" t="s">
        <v>96</v>
      </c>
      <c r="M455" s="431" t="s">
        <v>68</v>
      </c>
      <c r="N455" s="461">
        <v>46104</v>
      </c>
      <c r="O455" s="431" t="s">
        <v>70</v>
      </c>
      <c r="P455" s="431" t="s">
        <v>91</v>
      </c>
      <c r="Q455" s="431" t="s">
        <v>92</v>
      </c>
      <c r="R455" s="431" t="str">
        <f>_xlfn.XLOOKUP(PV_DATA[[#This Row],[New Ark SKU]],Table9[New Ark SKU],Table9[Connector],,0)</f>
        <v>EVO2A</v>
      </c>
      <c r="S455" s="442" t="str">
        <f>_xlfn.XLOOKUP(PV_DATA[[#This Row],[New Ark SKU]],Table9[New Ark SKU],Table9[Cable],,0)</f>
        <v>±1200mm</v>
      </c>
      <c r="T455" s="442">
        <v>450</v>
      </c>
      <c r="U455" s="1067">
        <f>936*2</f>
        <v>1872</v>
      </c>
      <c r="V455" s="448">
        <f>PV_DATA[[#This Row],[QUANTITY]]*PV_DATA[[#This Row],[WATT]]/1000000</f>
        <v>0.84240000000000004</v>
      </c>
      <c r="W455" s="466">
        <f>PV_DATA[[#This Row],[QUANTITY]]/PV_DATA[[#This Row],[Qty/Pallet]]</f>
        <v>52</v>
      </c>
      <c r="X455" s="1019">
        <f>PV_DATA[[#This Row],[QUANTITY]]/PV_DATA[[#This Row],[Qty/CT]]</f>
        <v>2</v>
      </c>
      <c r="Y455" s="431" t="s">
        <v>951</v>
      </c>
      <c r="Z455" s="430" t="str">
        <f t="shared" si="4"/>
        <v>COMPLETED</v>
      </c>
      <c r="AA455" s="431" t="s">
        <v>1907</v>
      </c>
      <c r="AB455" s="441">
        <v>46134</v>
      </c>
      <c r="AC455" s="467">
        <f>IF(PV_DATA[[#This Row],[Pick-Up Date]]&lt;&gt;"",_xlfn.ISOWEEKNUM(PV_DATA[[#This Row],[Pick-Up Date]]),"")</f>
        <v>17</v>
      </c>
      <c r="AD455" s="439" t="s">
        <v>2226</v>
      </c>
      <c r="AF455" s="431" t="s">
        <v>4430</v>
      </c>
      <c r="AG455" s="431" t="s">
        <v>61</v>
      </c>
      <c r="AH455" s="431" t="s">
        <v>78</v>
      </c>
      <c r="AI455" s="441">
        <v>46138</v>
      </c>
      <c r="AJ455" s="441">
        <v>46138</v>
      </c>
      <c r="AK455" s="441">
        <v>46138</v>
      </c>
      <c r="AL455" s="441">
        <v>46196</v>
      </c>
      <c r="AM455" s="437">
        <v>46207</v>
      </c>
      <c r="AN455" s="437">
        <v>46207</v>
      </c>
      <c r="AO455" s="441" t="s">
        <v>402</v>
      </c>
      <c r="AP455" s="441" t="s">
        <v>2227</v>
      </c>
      <c r="AQ455" s="441" t="s">
        <v>80</v>
      </c>
      <c r="AR455" s="441" t="s">
        <v>2228</v>
      </c>
      <c r="AS455" s="431" t="s">
        <v>2229</v>
      </c>
      <c r="AT455" s="482" t="s">
        <v>2229</v>
      </c>
      <c r="AU45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69</v>
      </c>
      <c r="AW455" s="441" cm="1">
        <f t="array" ref="AW45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46207</v>
      </c>
      <c r="AX45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55" s="441">
        <f>IF(ISERROR(PV_DATA[[#This Row],[New Ark PO status]]),"",_xlfn.XLOOKUP(PV_DATA[[#This Row],[SPTN-PVHK New Ark PO'#]],New_Ark_Data[Purchase order Number],New_Ark_Data[Estimated time of arrival],"",0))</f>
        <v>46220</v>
      </c>
      <c r="AZ455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455" s="437">
        <f>IFERROR(PV_DATA[[#This Row],[ODP ETA Port]]+PV_DATA[[#This Row],[Customs/Leg3 Assumption]],"n/a")</f>
        <v>46215</v>
      </c>
      <c r="BB455" s="442">
        <f>YEAR(PV_DATA[[#This Row],[ETA for New Ark update]])</f>
        <v>2026</v>
      </c>
      <c r="BC455" s="431">
        <f>MONTH(PV_DATA[[#This Row],[ETA for New Ark update]])</f>
        <v>7</v>
      </c>
      <c r="BD455" s="431">
        <f>IFERROR(_xlfn.ISOWEEKNUM(PV_DATA[[#This Row],[ETA for New Ark update]]),0)</f>
        <v>28</v>
      </c>
      <c r="BE455" s="431">
        <f>_xlfn.XLOOKUP(PV_DATA[[#This Row],[New Ark SKU]],Table9[New Ark SKU],Table9[Total PCS per Pallet],,0)</f>
        <v>36</v>
      </c>
      <c r="BF455" s="431">
        <f>_xlfn.XLOOKUP(PV_DATA[[#This Row],[New Ark SKU]],Table9[New Ark SKU],Table9[Total PCS per 40HQ Container],,0)</f>
        <v>936</v>
      </c>
      <c r="BG455" s="431" t="str">
        <f>_xlfn.XLOOKUP(PV_DATA[[#This Row],[New Ark SKU]],Table9[New Ark SKU],Table9[Back Glass],,0)</f>
        <v>Transparent</v>
      </c>
      <c r="BH455" s="431" t="str">
        <f>_xlfn.XLOOKUP(PV_DATA[[#This Row],[PORT DESTINATION]],Table12[PORT DESTINATION],Table12[Cosco Line],,0)</f>
        <v>AEM</v>
      </c>
    </row>
    <row r="456" spans="1:60" s="431" customFormat="1" hidden="1">
      <c r="A456" s="439" t="s">
        <v>2230</v>
      </c>
      <c r="B456" s="439" t="s">
        <v>61</v>
      </c>
      <c r="C456" s="439" t="str">
        <f>IFERROR(LEFT(PV_DATA[[#This Row],[TCL REFERENCE]],FIND(".",PV_DATA[[#This Row],[TCL REFERENCE]],1)-1),"Main Line")</f>
        <v>26Feb021</v>
      </c>
      <c r="D456" s="439" t="s">
        <v>63</v>
      </c>
      <c r="E456" s="439" t="s">
        <v>64</v>
      </c>
      <c r="F456" s="462" t="str" cm="1">
        <f t="array" ref="F45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56" s="439" t="s">
        <v>402</v>
      </c>
      <c r="H456" s="439" t="s">
        <v>67</v>
      </c>
      <c r="I456" s="439" t="s">
        <v>882</v>
      </c>
      <c r="J456" s="430" t="s">
        <v>96</v>
      </c>
      <c r="M456" s="431" t="s">
        <v>68</v>
      </c>
      <c r="N456" s="461">
        <v>46111</v>
      </c>
      <c r="O456" s="431" t="s">
        <v>70</v>
      </c>
      <c r="P456" s="431" t="s">
        <v>91</v>
      </c>
      <c r="Q456" s="431" t="s">
        <v>92</v>
      </c>
      <c r="R456" s="431" t="str">
        <f>_xlfn.XLOOKUP(PV_DATA[[#This Row],[New Ark SKU]],Table9[New Ark SKU],Table9[Connector],,0)</f>
        <v>EVO2A</v>
      </c>
      <c r="S456" s="442" t="str">
        <f>_xlfn.XLOOKUP(PV_DATA[[#This Row],[New Ark SKU]],Table9[New Ark SKU],Table9[Cable],,0)</f>
        <v>±1200mm</v>
      </c>
      <c r="T456" s="442">
        <v>450</v>
      </c>
      <c r="U456" s="1067">
        <f>936*4</f>
        <v>3744</v>
      </c>
      <c r="V456" s="448">
        <f>PV_DATA[[#This Row],[QUANTITY]]*PV_DATA[[#This Row],[WATT]]/1000000</f>
        <v>1.6848000000000001</v>
      </c>
      <c r="W456" s="466">
        <f>PV_DATA[[#This Row],[QUANTITY]]/PV_DATA[[#This Row],[Qty/Pallet]]</f>
        <v>104</v>
      </c>
      <c r="X456" s="1019">
        <f>PV_DATA[[#This Row],[QUANTITY]]/PV_DATA[[#This Row],[Qty/CT]]</f>
        <v>4</v>
      </c>
      <c r="Y456" s="431" t="s">
        <v>951</v>
      </c>
      <c r="Z456" s="430" t="str">
        <f t="shared" si="4"/>
        <v>COMPLETED</v>
      </c>
      <c r="AA456" s="431" t="s">
        <v>1991</v>
      </c>
      <c r="AB456" s="441">
        <v>46128</v>
      </c>
      <c r="AC456" s="467">
        <f>IF(PV_DATA[[#This Row],[Pick-Up Date]]&lt;&gt;"",_xlfn.ISOWEEKNUM(PV_DATA[[#This Row],[Pick-Up Date]]),"")</f>
        <v>16</v>
      </c>
      <c r="AD456" s="439" t="s">
        <v>2231</v>
      </c>
      <c r="AF456" s="431" t="s">
        <v>4430</v>
      </c>
      <c r="AG456" s="431" t="s">
        <v>61</v>
      </c>
      <c r="AH456" s="431" t="s">
        <v>356</v>
      </c>
      <c r="AI456" s="441">
        <v>46136</v>
      </c>
      <c r="AJ456" s="441">
        <v>46136</v>
      </c>
      <c r="AK456" s="441">
        <v>46136</v>
      </c>
      <c r="AL456" s="441">
        <v>46192</v>
      </c>
      <c r="AM456" s="441">
        <v>46196</v>
      </c>
      <c r="AN456" s="441">
        <v>46198</v>
      </c>
      <c r="AO456" s="441" t="s">
        <v>402</v>
      </c>
      <c r="AP456" s="441" t="s">
        <v>2232</v>
      </c>
      <c r="AQ456" s="441" t="s">
        <v>161</v>
      </c>
      <c r="AR456" s="441" t="s">
        <v>2233</v>
      </c>
      <c r="AS456" s="441" t="s">
        <v>2234</v>
      </c>
      <c r="AT456" s="482" t="s">
        <v>2234</v>
      </c>
      <c r="AU45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62</v>
      </c>
      <c r="AW456" s="441" cm="1">
        <f t="array" ref="AW45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46198</v>
      </c>
      <c r="AX45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56" s="441">
        <f>IF(ISERROR(PV_DATA[[#This Row],[New Ark PO status]]),"",_xlfn.XLOOKUP(PV_DATA[[#This Row],[SPTN-PVHK New Ark PO'#]],New_Ark_Data[Purchase order Number],New_Ark_Data[Estimated time of arrival],"",0))</f>
        <v>46209</v>
      </c>
      <c r="AZ456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56" s="437">
        <f>IFERROR(PV_DATA[[#This Row],[ODP ETA Port]]+PV_DATA[[#This Row],[Customs/Leg3 Assumption]],"n/a")</f>
        <v>46208</v>
      </c>
      <c r="BB456" s="442">
        <f>YEAR(PV_DATA[[#This Row],[ETA for New Ark update]])</f>
        <v>2026</v>
      </c>
      <c r="BC456" s="431">
        <f>MONTH(PV_DATA[[#This Row],[ETA for New Ark update]])</f>
        <v>7</v>
      </c>
      <c r="BD456" s="431">
        <f>IFERROR(_xlfn.ISOWEEKNUM(PV_DATA[[#This Row],[ETA for New Ark update]]),0)</f>
        <v>27</v>
      </c>
      <c r="BE456" s="431">
        <f>_xlfn.XLOOKUP(PV_DATA[[#This Row],[New Ark SKU]],Table9[New Ark SKU],Table9[Total PCS per Pallet],,0)</f>
        <v>36</v>
      </c>
      <c r="BF456" s="431">
        <f>_xlfn.XLOOKUP(PV_DATA[[#This Row],[New Ark SKU]],Table9[New Ark SKU],Table9[Total PCS per 40HQ Container],,0)</f>
        <v>936</v>
      </c>
      <c r="BG456" s="431" t="str">
        <f>_xlfn.XLOOKUP(PV_DATA[[#This Row],[New Ark SKU]],Table9[New Ark SKU],Table9[Back Glass],,0)</f>
        <v>Transparent</v>
      </c>
      <c r="BH456" s="431" t="str">
        <f>_xlfn.XLOOKUP(PV_DATA[[#This Row],[PORT DESTINATION]],Table12[PORT DESTINATION],Table12[Cosco Line],,0)</f>
        <v>AEU</v>
      </c>
    </row>
    <row r="457" spans="1:60" s="431" customFormat="1" hidden="1">
      <c r="A457" s="439" t="s">
        <v>2235</v>
      </c>
      <c r="B457" s="439" t="s">
        <v>61</v>
      </c>
      <c r="C457" s="439" t="str">
        <f>IFERROR(LEFT(PV_DATA[[#This Row],[TCL REFERENCE]],FIND(".",PV_DATA[[#This Row],[TCL REFERENCE]],1)-1),"Main Line")</f>
        <v>26Feb021</v>
      </c>
      <c r="D457" s="439" t="s">
        <v>63</v>
      </c>
      <c r="E457" s="439" t="s">
        <v>64</v>
      </c>
      <c r="F457" s="462" t="str" cm="1">
        <f t="array" ref="F45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57" s="439" t="s">
        <v>402</v>
      </c>
      <c r="H457" s="439" t="s">
        <v>67</v>
      </c>
      <c r="I457" s="439" t="s">
        <v>882</v>
      </c>
      <c r="J457" s="430" t="s">
        <v>96</v>
      </c>
      <c r="M457" s="431" t="s">
        <v>68</v>
      </c>
      <c r="N457" s="461">
        <v>46111</v>
      </c>
      <c r="O457" s="431" t="s">
        <v>70</v>
      </c>
      <c r="P457" s="431" t="s">
        <v>91</v>
      </c>
      <c r="Q457" s="431" t="s">
        <v>92</v>
      </c>
      <c r="R457" s="431" t="str">
        <f>_xlfn.XLOOKUP(PV_DATA[[#This Row],[New Ark SKU]],Table9[New Ark SKU],Table9[Connector],,0)</f>
        <v>EVO2A</v>
      </c>
      <c r="S457" s="442" t="str">
        <f>_xlfn.XLOOKUP(PV_DATA[[#This Row],[New Ark SKU]],Table9[New Ark SKU],Table9[Cable],,0)</f>
        <v>±1200mm</v>
      </c>
      <c r="T457" s="442">
        <v>450</v>
      </c>
      <c r="U457" s="1067">
        <f>936*2</f>
        <v>1872</v>
      </c>
      <c r="V457" s="448">
        <f>PV_DATA[[#This Row],[QUANTITY]]*PV_DATA[[#This Row],[WATT]]/1000000</f>
        <v>0.84240000000000004</v>
      </c>
      <c r="W457" s="466">
        <f>PV_DATA[[#This Row],[QUANTITY]]/PV_DATA[[#This Row],[Qty/Pallet]]</f>
        <v>52</v>
      </c>
      <c r="X457" s="1019">
        <f>PV_DATA[[#This Row],[QUANTITY]]/PV_DATA[[#This Row],[Qty/CT]]</f>
        <v>2</v>
      </c>
      <c r="Y457" s="431" t="s">
        <v>951</v>
      </c>
      <c r="Z457" s="430" t="str">
        <f t="shared" si="4"/>
        <v>COMPLETED</v>
      </c>
      <c r="AA457" s="431" t="s">
        <v>1991</v>
      </c>
      <c r="AB457" s="441">
        <v>46129</v>
      </c>
      <c r="AC457" s="467">
        <f>IF(PV_DATA[[#This Row],[Pick-Up Date]]&lt;&gt;"",_xlfn.ISOWEEKNUM(PV_DATA[[#This Row],[Pick-Up Date]]),"")</f>
        <v>16</v>
      </c>
      <c r="AD457" s="439" t="s">
        <v>2236</v>
      </c>
      <c r="AF457" s="431" t="s">
        <v>4430</v>
      </c>
      <c r="AG457" s="431" t="s">
        <v>61</v>
      </c>
      <c r="AH457" s="431" t="s">
        <v>356</v>
      </c>
      <c r="AI457" s="441">
        <v>46136</v>
      </c>
      <c r="AJ457" s="441">
        <v>46136</v>
      </c>
      <c r="AK457" s="441">
        <v>46136</v>
      </c>
      <c r="AL457" s="441">
        <v>46192</v>
      </c>
      <c r="AM457" s="441">
        <v>46196</v>
      </c>
      <c r="AN457" s="441">
        <v>46198</v>
      </c>
      <c r="AO457" s="441" t="s">
        <v>402</v>
      </c>
      <c r="AP457" s="441" t="s">
        <v>2232</v>
      </c>
      <c r="AQ457" s="441" t="s">
        <v>161</v>
      </c>
      <c r="AR457" s="441" t="s">
        <v>2233</v>
      </c>
      <c r="AS457" s="441" t="s">
        <v>2234</v>
      </c>
      <c r="AT457" s="482" t="s">
        <v>2234</v>
      </c>
      <c r="AU45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62</v>
      </c>
      <c r="AW457" s="441" cm="1">
        <f t="array" ref="AW45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46198</v>
      </c>
      <c r="AX45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57" s="441">
        <f>IF(ISERROR(PV_DATA[[#This Row],[New Ark PO status]]),"",_xlfn.XLOOKUP(PV_DATA[[#This Row],[SPTN-PVHK New Ark PO'#]],New_Ark_Data[Purchase order Number],New_Ark_Data[Estimated time of arrival],"",0))</f>
        <v>46210</v>
      </c>
      <c r="AZ457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57" s="437">
        <f>IFERROR(PV_DATA[[#This Row],[ODP ETA Port]]+PV_DATA[[#This Row],[Customs/Leg3 Assumption]],"n/a")</f>
        <v>46208</v>
      </c>
      <c r="BB457" s="442">
        <f>YEAR(PV_DATA[[#This Row],[ETA for New Ark update]])</f>
        <v>2026</v>
      </c>
      <c r="BC457" s="431">
        <f>MONTH(PV_DATA[[#This Row],[ETA for New Ark update]])</f>
        <v>7</v>
      </c>
      <c r="BD457" s="431">
        <f>IFERROR(_xlfn.ISOWEEKNUM(PV_DATA[[#This Row],[ETA for New Ark update]]),0)</f>
        <v>27</v>
      </c>
      <c r="BE457" s="431">
        <f>_xlfn.XLOOKUP(PV_DATA[[#This Row],[New Ark SKU]],Table9[New Ark SKU],Table9[Total PCS per Pallet],,0)</f>
        <v>36</v>
      </c>
      <c r="BF457" s="431">
        <f>_xlfn.XLOOKUP(PV_DATA[[#This Row],[New Ark SKU]],Table9[New Ark SKU],Table9[Total PCS per 40HQ Container],,0)</f>
        <v>936</v>
      </c>
      <c r="BG457" s="431" t="str">
        <f>_xlfn.XLOOKUP(PV_DATA[[#This Row],[New Ark SKU]],Table9[New Ark SKU],Table9[Back Glass],,0)</f>
        <v>Transparent</v>
      </c>
      <c r="BH457" s="431" t="str">
        <f>_xlfn.XLOOKUP(PV_DATA[[#This Row],[PORT DESTINATION]],Table12[PORT DESTINATION],Table12[Cosco Line],,0)</f>
        <v>AEU</v>
      </c>
    </row>
    <row r="458" spans="1:60" s="431" customFormat="1" hidden="1">
      <c r="A458" s="439" t="s">
        <v>2237</v>
      </c>
      <c r="B458" s="439" t="s">
        <v>61</v>
      </c>
      <c r="C458" s="439" t="str">
        <f>IFERROR(LEFT(PV_DATA[[#This Row],[TCL REFERENCE]],FIND(".",PV_DATA[[#This Row],[TCL REFERENCE]],1)-1),"Main Line")</f>
        <v>26Feb021</v>
      </c>
      <c r="D458" s="439" t="s">
        <v>63</v>
      </c>
      <c r="E458" s="462" t="s">
        <v>64</v>
      </c>
      <c r="F458" s="462" t="str" cm="1">
        <f t="array" ref="F45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58" s="439" t="s">
        <v>402</v>
      </c>
      <c r="H458" s="439" t="s">
        <v>67</v>
      </c>
      <c r="I458" s="439" t="s">
        <v>882</v>
      </c>
      <c r="J458" s="430" t="s">
        <v>96</v>
      </c>
      <c r="K458" s="443"/>
      <c r="L458" s="443"/>
      <c r="M458" s="430" t="s">
        <v>68</v>
      </c>
      <c r="N458" s="461">
        <v>46111</v>
      </c>
      <c r="O458" s="431" t="s">
        <v>70</v>
      </c>
      <c r="P458" s="431" t="s">
        <v>91</v>
      </c>
      <c r="Q458" s="431" t="s">
        <v>92</v>
      </c>
      <c r="R458" s="431" t="str">
        <f>_xlfn.XLOOKUP(PV_DATA[[#This Row],[New Ark SKU]],Table9[New Ark SKU],Table9[Connector],,0)</f>
        <v>EVO2A</v>
      </c>
      <c r="S458" s="442" t="str">
        <f>_xlfn.XLOOKUP(PV_DATA[[#This Row],[New Ark SKU]],Table9[New Ark SKU],Table9[Cable],,0)</f>
        <v>±1200mm</v>
      </c>
      <c r="T458" s="442">
        <v>450</v>
      </c>
      <c r="U458" s="1067">
        <f>936*1</f>
        <v>936</v>
      </c>
      <c r="V458" s="444">
        <f>PV_DATA[[#This Row],[QUANTITY]]*PV_DATA[[#This Row],[WATT]]/1000000</f>
        <v>0.42120000000000002</v>
      </c>
      <c r="W458" s="466">
        <f>PV_DATA[[#This Row],[QUANTITY]]/PV_DATA[[#This Row],[Qty/Pallet]]</f>
        <v>26</v>
      </c>
      <c r="X458" s="1019">
        <f>PV_DATA[[#This Row],[QUANTITY]]/PV_DATA[[#This Row],[Qty/CT]]</f>
        <v>1</v>
      </c>
      <c r="Y458" s="431" t="s">
        <v>951</v>
      </c>
      <c r="Z458" s="430" t="str">
        <f t="shared" si="4"/>
        <v>COMPLETED</v>
      </c>
      <c r="AA458" s="431" t="s">
        <v>1991</v>
      </c>
      <c r="AB458" s="441">
        <v>46129</v>
      </c>
      <c r="AC458" s="467">
        <f>IF(PV_DATA[[#This Row],[Pick-Up Date]]&lt;&gt;"",_xlfn.ISOWEEKNUM(PV_DATA[[#This Row],[Pick-Up Date]]),"")</f>
        <v>16</v>
      </c>
      <c r="AD458" s="439" t="s">
        <v>2238</v>
      </c>
      <c r="AF458" s="431" t="s">
        <v>4430</v>
      </c>
      <c r="AG458" s="431" t="s">
        <v>61</v>
      </c>
      <c r="AH458" s="431" t="s">
        <v>356</v>
      </c>
      <c r="AI458" s="441">
        <v>46136</v>
      </c>
      <c r="AJ458" s="441">
        <v>46136</v>
      </c>
      <c r="AK458" s="441">
        <v>46136</v>
      </c>
      <c r="AL458" s="441">
        <v>46192</v>
      </c>
      <c r="AM458" s="441">
        <v>46196</v>
      </c>
      <c r="AN458" s="441">
        <v>46198</v>
      </c>
      <c r="AO458" s="441" t="s">
        <v>402</v>
      </c>
      <c r="AP458" s="441" t="s">
        <v>2232</v>
      </c>
      <c r="AQ458" s="441" t="s">
        <v>161</v>
      </c>
      <c r="AR458" s="441" t="s">
        <v>2233</v>
      </c>
      <c r="AS458" s="441" t="s">
        <v>2234</v>
      </c>
      <c r="AT458" s="482" t="s">
        <v>2234</v>
      </c>
      <c r="AU45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62</v>
      </c>
      <c r="AW458" s="441" cm="1">
        <f t="array" ref="AW45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46198</v>
      </c>
      <c r="AX45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58" s="441">
        <f>IF(ISERROR(PV_DATA[[#This Row],[New Ark PO status]]),"",_xlfn.XLOOKUP(PV_DATA[[#This Row],[SPTN-PVHK New Ark PO'#]],New_Ark_Data[Purchase order Number],New_Ark_Data[Estimated time of arrival],"",0))</f>
        <v>46210</v>
      </c>
      <c r="AZ458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58" s="437">
        <f>IFERROR(PV_DATA[[#This Row],[ODP ETA Port]]+PV_DATA[[#This Row],[Customs/Leg3 Assumption]],"n/a")</f>
        <v>46208</v>
      </c>
      <c r="BB458" s="442">
        <f>YEAR(PV_DATA[[#This Row],[ETA for New Ark update]])</f>
        <v>2026</v>
      </c>
      <c r="BC458" s="431">
        <f>MONTH(PV_DATA[[#This Row],[ETA for New Ark update]])</f>
        <v>7</v>
      </c>
      <c r="BD458" s="431">
        <f>IFERROR(_xlfn.ISOWEEKNUM(PV_DATA[[#This Row],[ETA for New Ark update]]),0)</f>
        <v>27</v>
      </c>
      <c r="BE458" s="431">
        <f>_xlfn.XLOOKUP(PV_DATA[[#This Row],[New Ark SKU]],Table9[New Ark SKU],Table9[Total PCS per Pallet],,0)</f>
        <v>36</v>
      </c>
      <c r="BF458" s="431">
        <f>_xlfn.XLOOKUP(PV_DATA[[#This Row],[New Ark SKU]],Table9[New Ark SKU],Table9[Total PCS per 40HQ Container],,0)</f>
        <v>936</v>
      </c>
      <c r="BG458" s="431" t="str">
        <f>_xlfn.XLOOKUP(PV_DATA[[#This Row],[New Ark SKU]],Table9[New Ark SKU],Table9[Back Glass],,0)</f>
        <v>Transparent</v>
      </c>
      <c r="BH458" s="431" t="str">
        <f>_xlfn.XLOOKUP(PV_DATA[[#This Row],[PORT DESTINATION]],Table12[PORT DESTINATION],Table12[Cosco Line],,0)</f>
        <v>AEU</v>
      </c>
    </row>
    <row r="459" spans="1:60" s="431" customFormat="1" hidden="1">
      <c r="A459" s="439" t="s">
        <v>2239</v>
      </c>
      <c r="B459" s="439" t="s">
        <v>61</v>
      </c>
      <c r="C459" s="439" t="str">
        <f>IFERROR(LEFT(PV_DATA[[#This Row],[TCL REFERENCE]],FIND(".",PV_DATA[[#This Row],[TCL REFERENCE]],1)-1),"Main Line")</f>
        <v>26Feb021</v>
      </c>
      <c r="D459" s="439" t="s">
        <v>63</v>
      </c>
      <c r="E459" s="439" t="s">
        <v>64</v>
      </c>
      <c r="F459" s="462" t="str" cm="1">
        <f t="array" ref="F45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59" s="439" t="s">
        <v>402</v>
      </c>
      <c r="H459" s="439" t="s">
        <v>67</v>
      </c>
      <c r="I459" s="439" t="s">
        <v>882</v>
      </c>
      <c r="J459" s="430" t="s">
        <v>96</v>
      </c>
      <c r="M459" s="431" t="s">
        <v>68</v>
      </c>
      <c r="N459" s="461">
        <v>46111</v>
      </c>
      <c r="O459" s="431" t="s">
        <v>70</v>
      </c>
      <c r="P459" s="431" t="s">
        <v>91</v>
      </c>
      <c r="Q459" s="431" t="s">
        <v>92</v>
      </c>
      <c r="R459" s="431" t="str">
        <f>_xlfn.XLOOKUP(PV_DATA[[#This Row],[New Ark SKU]],Table9[New Ark SKU],Table9[Connector],,0)</f>
        <v>EVO2A</v>
      </c>
      <c r="S459" s="442" t="str">
        <f>_xlfn.XLOOKUP(PV_DATA[[#This Row],[New Ark SKU]],Table9[New Ark SKU],Table9[Cable],,0)</f>
        <v>±1200mm</v>
      </c>
      <c r="T459" s="442">
        <v>450</v>
      </c>
      <c r="U459" s="1067">
        <f>936*1</f>
        <v>936</v>
      </c>
      <c r="V459" s="448">
        <f>PV_DATA[[#This Row],[QUANTITY]]*PV_DATA[[#This Row],[WATT]]/1000000</f>
        <v>0.42120000000000002</v>
      </c>
      <c r="W459" s="466">
        <f>PV_DATA[[#This Row],[QUANTITY]]/PV_DATA[[#This Row],[Qty/Pallet]]</f>
        <v>26</v>
      </c>
      <c r="X459" s="1019">
        <f>PV_DATA[[#This Row],[QUANTITY]]/PV_DATA[[#This Row],[Qty/CT]]</f>
        <v>1</v>
      </c>
      <c r="Y459" s="431" t="s">
        <v>951</v>
      </c>
      <c r="Z459" s="430" t="str">
        <f t="shared" si="4"/>
        <v>COMPLETED</v>
      </c>
      <c r="AA459" s="431" t="s">
        <v>1991</v>
      </c>
      <c r="AB459" s="441">
        <v>46129</v>
      </c>
      <c r="AC459" s="467">
        <f>IF(PV_DATA[[#This Row],[Pick-Up Date]]&lt;&gt;"",_xlfn.ISOWEEKNUM(PV_DATA[[#This Row],[Pick-Up Date]]),"")</f>
        <v>16</v>
      </c>
      <c r="AD459" s="439" t="s">
        <v>2240</v>
      </c>
      <c r="AF459" s="431" t="s">
        <v>4430</v>
      </c>
      <c r="AG459" s="431" t="s">
        <v>61</v>
      </c>
      <c r="AH459" s="431" t="s">
        <v>356</v>
      </c>
      <c r="AI459" s="441">
        <v>46136</v>
      </c>
      <c r="AJ459" s="441">
        <v>46136</v>
      </c>
      <c r="AK459" s="441">
        <v>46136</v>
      </c>
      <c r="AL459" s="441">
        <v>46192</v>
      </c>
      <c r="AM459" s="441">
        <v>46196</v>
      </c>
      <c r="AN459" s="441">
        <v>46198</v>
      </c>
      <c r="AO459" s="441" t="s">
        <v>402</v>
      </c>
      <c r="AP459" s="441" t="s">
        <v>2232</v>
      </c>
      <c r="AQ459" s="441" t="s">
        <v>161</v>
      </c>
      <c r="AR459" s="441" t="s">
        <v>2233</v>
      </c>
      <c r="AS459" s="441" t="s">
        <v>2234</v>
      </c>
      <c r="AT459" s="482" t="s">
        <v>2234</v>
      </c>
      <c r="AU45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62</v>
      </c>
      <c r="AW459" s="441" cm="1">
        <f t="array" ref="AW45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46198</v>
      </c>
      <c r="AX45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59" s="441">
        <f>IF(ISERROR(PV_DATA[[#This Row],[New Ark PO status]]),"",_xlfn.XLOOKUP(PV_DATA[[#This Row],[SPTN-PVHK New Ark PO'#]],New_Ark_Data[Purchase order Number],New_Ark_Data[Estimated time of arrival],"",0))</f>
        <v>46210</v>
      </c>
      <c r="AZ459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59" s="437">
        <f>IFERROR(PV_DATA[[#This Row],[ODP ETA Port]]+PV_DATA[[#This Row],[Customs/Leg3 Assumption]],"n/a")</f>
        <v>46208</v>
      </c>
      <c r="BB459" s="442">
        <f>YEAR(PV_DATA[[#This Row],[ETA for New Ark update]])</f>
        <v>2026</v>
      </c>
      <c r="BC459" s="431">
        <f>MONTH(PV_DATA[[#This Row],[ETA for New Ark update]])</f>
        <v>7</v>
      </c>
      <c r="BD459" s="431">
        <f>IFERROR(_xlfn.ISOWEEKNUM(PV_DATA[[#This Row],[ETA for New Ark update]]),0)</f>
        <v>27</v>
      </c>
      <c r="BE459" s="431">
        <f>_xlfn.XLOOKUP(PV_DATA[[#This Row],[New Ark SKU]],Table9[New Ark SKU],Table9[Total PCS per Pallet],,0)</f>
        <v>36</v>
      </c>
      <c r="BF459" s="431">
        <f>_xlfn.XLOOKUP(PV_DATA[[#This Row],[New Ark SKU]],Table9[New Ark SKU],Table9[Total PCS per 40HQ Container],,0)</f>
        <v>936</v>
      </c>
      <c r="BG459" s="431" t="str">
        <f>_xlfn.XLOOKUP(PV_DATA[[#This Row],[New Ark SKU]],Table9[New Ark SKU],Table9[Back Glass],,0)</f>
        <v>Transparent</v>
      </c>
      <c r="BH459" s="431" t="str">
        <f>_xlfn.XLOOKUP(PV_DATA[[#This Row],[PORT DESTINATION]],Table12[PORT DESTINATION],Table12[Cosco Line],,0)</f>
        <v>AEU</v>
      </c>
    </row>
    <row r="460" spans="1:60" s="431" customFormat="1" hidden="1">
      <c r="A460" s="439" t="s">
        <v>2241</v>
      </c>
      <c r="B460" s="439" t="s">
        <v>61</v>
      </c>
      <c r="C460" s="439" t="str">
        <f>IFERROR(LEFT(PV_DATA[[#This Row],[TCL REFERENCE]],FIND(".",PV_DATA[[#This Row],[TCL REFERENCE]],1)-1),"Main Line")</f>
        <v>26Feb021</v>
      </c>
      <c r="D460" s="439" t="s">
        <v>63</v>
      </c>
      <c r="E460" s="439" t="s">
        <v>64</v>
      </c>
      <c r="F460" s="462" t="str" cm="1">
        <f t="array" ref="F46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60" s="439" t="s">
        <v>402</v>
      </c>
      <c r="H460" s="439" t="s">
        <v>67</v>
      </c>
      <c r="I460" s="439" t="s">
        <v>882</v>
      </c>
      <c r="J460" s="430" t="s">
        <v>96</v>
      </c>
      <c r="M460" s="431" t="s">
        <v>68</v>
      </c>
      <c r="N460" s="461">
        <v>46111</v>
      </c>
      <c r="O460" s="431" t="s">
        <v>70</v>
      </c>
      <c r="P460" s="431" t="s">
        <v>91</v>
      </c>
      <c r="Q460" s="431" t="s">
        <v>92</v>
      </c>
      <c r="R460" s="431" t="str">
        <f>_xlfn.XLOOKUP(PV_DATA[[#This Row],[New Ark SKU]],Table9[New Ark SKU],Table9[Connector],,0)</f>
        <v>EVO2A</v>
      </c>
      <c r="S460" s="442" t="str">
        <f>_xlfn.XLOOKUP(PV_DATA[[#This Row],[New Ark SKU]],Table9[New Ark SKU],Table9[Cable],,0)</f>
        <v>±1200mm</v>
      </c>
      <c r="T460" s="442">
        <v>450</v>
      </c>
      <c r="U460" s="1067">
        <f>936*1</f>
        <v>936</v>
      </c>
      <c r="V460" s="448">
        <f>PV_DATA[[#This Row],[QUANTITY]]*PV_DATA[[#This Row],[WATT]]/1000000</f>
        <v>0.42120000000000002</v>
      </c>
      <c r="W460" s="466">
        <f>PV_DATA[[#This Row],[QUANTITY]]/PV_DATA[[#This Row],[Qty/Pallet]]</f>
        <v>26</v>
      </c>
      <c r="X460" s="1019">
        <f>PV_DATA[[#This Row],[QUANTITY]]/PV_DATA[[#This Row],[Qty/CT]]</f>
        <v>1</v>
      </c>
      <c r="Y460" s="431" t="s">
        <v>951</v>
      </c>
      <c r="Z460" s="430" t="str">
        <f t="shared" si="4"/>
        <v>COMPLETED</v>
      </c>
      <c r="AA460" s="431" t="s">
        <v>1991</v>
      </c>
      <c r="AB460" s="441">
        <v>46129</v>
      </c>
      <c r="AC460" s="467">
        <f>IF(PV_DATA[[#This Row],[Pick-Up Date]]&lt;&gt;"",_xlfn.ISOWEEKNUM(PV_DATA[[#This Row],[Pick-Up Date]]),"")</f>
        <v>16</v>
      </c>
      <c r="AD460" s="439" t="s">
        <v>2242</v>
      </c>
      <c r="AF460" s="431" t="s">
        <v>4430</v>
      </c>
      <c r="AG460" s="431" t="s">
        <v>61</v>
      </c>
      <c r="AH460" s="431" t="s">
        <v>356</v>
      </c>
      <c r="AI460" s="441">
        <v>46136</v>
      </c>
      <c r="AJ460" s="441">
        <v>46136</v>
      </c>
      <c r="AK460" s="441">
        <v>46136</v>
      </c>
      <c r="AL460" s="441">
        <v>46192</v>
      </c>
      <c r="AM460" s="441">
        <v>46196</v>
      </c>
      <c r="AN460" s="441">
        <v>46198</v>
      </c>
      <c r="AO460" s="441" t="s">
        <v>402</v>
      </c>
      <c r="AP460" s="441" t="s">
        <v>2232</v>
      </c>
      <c r="AQ460" s="441" t="s">
        <v>161</v>
      </c>
      <c r="AR460" s="441" t="s">
        <v>2233</v>
      </c>
      <c r="AS460" s="441" t="s">
        <v>2234</v>
      </c>
      <c r="AT460" s="482" t="s">
        <v>2234</v>
      </c>
      <c r="AU46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62</v>
      </c>
      <c r="AW460" s="441" cm="1">
        <f t="array" ref="AW46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46198</v>
      </c>
      <c r="AX46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60" s="441">
        <f>IF(ISERROR(PV_DATA[[#This Row],[New Ark PO status]]),"",_xlfn.XLOOKUP(PV_DATA[[#This Row],[SPTN-PVHK New Ark PO'#]],New_Ark_Data[Purchase order Number],New_Ark_Data[Estimated time of arrival],"",0))</f>
        <v>46210</v>
      </c>
      <c r="AZ460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60" s="437">
        <f>IFERROR(PV_DATA[[#This Row],[ODP ETA Port]]+PV_DATA[[#This Row],[Customs/Leg3 Assumption]],"n/a")</f>
        <v>46208</v>
      </c>
      <c r="BB460" s="442">
        <f>YEAR(PV_DATA[[#This Row],[ETA for New Ark update]])</f>
        <v>2026</v>
      </c>
      <c r="BC460" s="431">
        <f>MONTH(PV_DATA[[#This Row],[ETA for New Ark update]])</f>
        <v>7</v>
      </c>
      <c r="BD460" s="431">
        <f>IFERROR(_xlfn.ISOWEEKNUM(PV_DATA[[#This Row],[ETA for New Ark update]]),0)</f>
        <v>27</v>
      </c>
      <c r="BE460" s="431">
        <f>_xlfn.XLOOKUP(PV_DATA[[#This Row],[New Ark SKU]],Table9[New Ark SKU],Table9[Total PCS per Pallet],,0)</f>
        <v>36</v>
      </c>
      <c r="BF460" s="431">
        <f>_xlfn.XLOOKUP(PV_DATA[[#This Row],[New Ark SKU]],Table9[New Ark SKU],Table9[Total PCS per 40HQ Container],,0)</f>
        <v>936</v>
      </c>
      <c r="BG460" s="431" t="str">
        <f>_xlfn.XLOOKUP(PV_DATA[[#This Row],[New Ark SKU]],Table9[New Ark SKU],Table9[Back Glass],,0)</f>
        <v>Transparent</v>
      </c>
      <c r="BH460" s="431" t="str">
        <f>_xlfn.XLOOKUP(PV_DATA[[#This Row],[PORT DESTINATION]],Table12[PORT DESTINATION],Table12[Cosco Line],,0)</f>
        <v>AEU</v>
      </c>
    </row>
    <row r="461" spans="1:60" s="431" customFormat="1" hidden="1">
      <c r="A461" s="439" t="s">
        <v>2243</v>
      </c>
      <c r="B461" s="439" t="s">
        <v>61</v>
      </c>
      <c r="C461" s="439" t="str">
        <f>IFERROR(LEFT(PV_DATA[[#This Row],[TCL REFERENCE]],FIND(".",PV_DATA[[#This Row],[TCL REFERENCE]],1)-1),"Main Line")</f>
        <v>26Feb021</v>
      </c>
      <c r="D461" s="439" t="s">
        <v>63</v>
      </c>
      <c r="E461" s="439" t="s">
        <v>64</v>
      </c>
      <c r="F461" s="462" t="str" cm="1">
        <f t="array" ref="F46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61" s="439" t="s">
        <v>402</v>
      </c>
      <c r="H461" s="439" t="s">
        <v>67</v>
      </c>
      <c r="I461" s="439" t="s">
        <v>882</v>
      </c>
      <c r="J461" s="430" t="s">
        <v>96</v>
      </c>
      <c r="M461" s="431" t="s">
        <v>68</v>
      </c>
      <c r="N461" s="461">
        <v>46111</v>
      </c>
      <c r="O461" s="431" t="s">
        <v>70</v>
      </c>
      <c r="P461" s="431" t="s">
        <v>91</v>
      </c>
      <c r="Q461" s="431" t="s">
        <v>92</v>
      </c>
      <c r="R461" s="431" t="str">
        <f>_xlfn.XLOOKUP(PV_DATA[[#This Row],[New Ark SKU]],Table9[New Ark SKU],Table9[Connector],,0)</f>
        <v>EVO2A</v>
      </c>
      <c r="S461" s="442" t="str">
        <f>_xlfn.XLOOKUP(PV_DATA[[#This Row],[New Ark SKU]],Table9[New Ark SKU],Table9[Cable],,0)</f>
        <v>±1200mm</v>
      </c>
      <c r="T461" s="442">
        <v>450</v>
      </c>
      <c r="U461" s="1067">
        <f>936*3</f>
        <v>2808</v>
      </c>
      <c r="V461" s="448">
        <f>PV_DATA[[#This Row],[QUANTITY]]*PV_DATA[[#This Row],[WATT]]/1000000</f>
        <v>1.2636000000000001</v>
      </c>
      <c r="W461" s="466">
        <f>PV_DATA[[#This Row],[QUANTITY]]/PV_DATA[[#This Row],[Qty/Pallet]]</f>
        <v>78</v>
      </c>
      <c r="X461" s="1019">
        <f>PV_DATA[[#This Row],[QUANTITY]]/PV_DATA[[#This Row],[Qty/CT]]</f>
        <v>3</v>
      </c>
      <c r="Y461" s="431" t="s">
        <v>951</v>
      </c>
      <c r="Z461" s="430" t="str">
        <f t="shared" si="4"/>
        <v>COMPLETED</v>
      </c>
      <c r="AA461" s="431" t="s">
        <v>1991</v>
      </c>
      <c r="AB461" s="441">
        <v>46129</v>
      </c>
      <c r="AC461" s="467">
        <f>IF(PV_DATA[[#This Row],[Pick-Up Date]]&lt;&gt;"",_xlfn.ISOWEEKNUM(PV_DATA[[#This Row],[Pick-Up Date]]),"")</f>
        <v>16</v>
      </c>
      <c r="AD461" s="439" t="s">
        <v>2244</v>
      </c>
      <c r="AF461" s="431" t="s">
        <v>4430</v>
      </c>
      <c r="AG461" s="431" t="s">
        <v>61</v>
      </c>
      <c r="AH461" s="431" t="s">
        <v>356</v>
      </c>
      <c r="AI461" s="441">
        <v>46136</v>
      </c>
      <c r="AJ461" s="441">
        <v>46136</v>
      </c>
      <c r="AK461" s="441">
        <v>46136</v>
      </c>
      <c r="AL461" s="441">
        <v>46192</v>
      </c>
      <c r="AM461" s="441">
        <v>46196</v>
      </c>
      <c r="AN461" s="441">
        <v>46198</v>
      </c>
      <c r="AO461" s="441" t="s">
        <v>402</v>
      </c>
      <c r="AP461" s="441" t="s">
        <v>2232</v>
      </c>
      <c r="AQ461" s="441" t="s">
        <v>161</v>
      </c>
      <c r="AR461" s="441" t="s">
        <v>2233</v>
      </c>
      <c r="AS461" s="441" t="s">
        <v>2234</v>
      </c>
      <c r="AT461" s="482" t="s">
        <v>2234</v>
      </c>
      <c r="AU46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62</v>
      </c>
      <c r="AW461" s="441" cm="1">
        <f t="array" ref="AW46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46198</v>
      </c>
      <c r="AX46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61" s="441">
        <f>IF(ISERROR(PV_DATA[[#This Row],[New Ark PO status]]),"",_xlfn.XLOOKUP(PV_DATA[[#This Row],[SPTN-PVHK New Ark PO'#]],New_Ark_Data[Purchase order Number],New_Ark_Data[Estimated time of arrival],"",0))</f>
        <v>46210</v>
      </c>
      <c r="AZ461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61" s="437">
        <f>IFERROR(PV_DATA[[#This Row],[ODP ETA Port]]+PV_DATA[[#This Row],[Customs/Leg3 Assumption]],"n/a")</f>
        <v>46208</v>
      </c>
      <c r="BB461" s="442">
        <f>YEAR(PV_DATA[[#This Row],[ETA for New Ark update]])</f>
        <v>2026</v>
      </c>
      <c r="BC461" s="431">
        <f>MONTH(PV_DATA[[#This Row],[ETA for New Ark update]])</f>
        <v>7</v>
      </c>
      <c r="BD461" s="431">
        <f>IFERROR(_xlfn.ISOWEEKNUM(PV_DATA[[#This Row],[ETA for New Ark update]]),0)</f>
        <v>27</v>
      </c>
      <c r="BE461" s="431">
        <f>_xlfn.XLOOKUP(PV_DATA[[#This Row],[New Ark SKU]],Table9[New Ark SKU],Table9[Total PCS per Pallet],,0)</f>
        <v>36</v>
      </c>
      <c r="BF461" s="431">
        <f>_xlfn.XLOOKUP(PV_DATA[[#This Row],[New Ark SKU]],Table9[New Ark SKU],Table9[Total PCS per 40HQ Container],,0)</f>
        <v>936</v>
      </c>
      <c r="BG461" s="431" t="str">
        <f>_xlfn.XLOOKUP(PV_DATA[[#This Row],[New Ark SKU]],Table9[New Ark SKU],Table9[Back Glass],,0)</f>
        <v>Transparent</v>
      </c>
      <c r="BH461" s="431" t="str">
        <f>_xlfn.XLOOKUP(PV_DATA[[#This Row],[PORT DESTINATION]],Table12[PORT DESTINATION],Table12[Cosco Line],,0)</f>
        <v>AEU</v>
      </c>
    </row>
    <row r="462" spans="1:60" s="431" customFormat="1" hidden="1">
      <c r="A462" s="439" t="s">
        <v>2245</v>
      </c>
      <c r="B462" s="439" t="s">
        <v>1888</v>
      </c>
      <c r="C462" s="439" t="str">
        <f>IFERROR(LEFT(PV_DATA[[#This Row],[TCL REFERENCE]],FIND(".",PV_DATA[[#This Row],[TCL REFERENCE]],1)-1),"Main Line")</f>
        <v>26Feb017</v>
      </c>
      <c r="D462" s="439" t="s">
        <v>63</v>
      </c>
      <c r="E462" s="439" t="s">
        <v>64</v>
      </c>
      <c r="F462" s="462" t="str" cm="1">
        <f t="array" ref="F46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462" s="439" t="s">
        <v>402</v>
      </c>
      <c r="H462" s="439" t="s">
        <v>451</v>
      </c>
      <c r="I462" s="439" t="s">
        <v>689</v>
      </c>
      <c r="J462" s="430" t="s">
        <v>96</v>
      </c>
      <c r="M462" s="431" t="s">
        <v>68</v>
      </c>
      <c r="N462" s="461">
        <v>46111</v>
      </c>
      <c r="O462" s="431" t="s">
        <v>70</v>
      </c>
      <c r="P462" s="431" t="s">
        <v>195</v>
      </c>
      <c r="Q462" s="431" t="s">
        <v>196</v>
      </c>
      <c r="R462" s="431" t="str">
        <f>_xlfn.XLOOKUP(PV_DATA[[#This Row],[New Ark SKU]],Table9[New Ark SKU],Table9[Connector],,0)</f>
        <v>EVO2A</v>
      </c>
      <c r="S462" s="442" t="str">
        <f>_xlfn.XLOOKUP(PV_DATA[[#This Row],[New Ark SKU]],Table9[New Ark SKU],Table9[Cable],,0)</f>
        <v>±1200mm</v>
      </c>
      <c r="T462" s="442">
        <v>450</v>
      </c>
      <c r="U462" s="1067">
        <f>936*2</f>
        <v>1872</v>
      </c>
      <c r="V462" s="448">
        <f>PV_DATA[[#This Row],[QUANTITY]]*PV_DATA[[#This Row],[WATT]]/1000000</f>
        <v>0.84240000000000004</v>
      </c>
      <c r="W462" s="466">
        <f>PV_DATA[[#This Row],[QUANTITY]]/PV_DATA[[#This Row],[Qty/Pallet]]</f>
        <v>52</v>
      </c>
      <c r="X462" s="1019">
        <f>PV_DATA[[#This Row],[QUANTITY]]/PV_DATA[[#This Row],[Qty/CT]]</f>
        <v>2</v>
      </c>
      <c r="Y462" s="431" t="s">
        <v>951</v>
      </c>
      <c r="Z462" s="430" t="str">
        <f t="shared" si="4"/>
        <v>COMPLETED</v>
      </c>
      <c r="AA462" s="431" t="s">
        <v>2038</v>
      </c>
      <c r="AB462" s="469">
        <v>46130</v>
      </c>
      <c r="AC462" s="467">
        <f>IF(PV_DATA[[#This Row],[Pick-Up Date]]&lt;&gt;"",_xlfn.ISOWEEKNUM(PV_DATA[[#This Row],[Pick-Up Date]]),"")</f>
        <v>16</v>
      </c>
      <c r="AD462" s="439" t="s">
        <v>2246</v>
      </c>
      <c r="AF462" s="431" t="s">
        <v>4429</v>
      </c>
      <c r="AG462" s="431" t="s">
        <v>123</v>
      </c>
      <c r="AH462" s="431" t="s">
        <v>456</v>
      </c>
      <c r="AI462" s="441">
        <v>46132</v>
      </c>
      <c r="AJ462" s="441">
        <v>46133</v>
      </c>
      <c r="AK462" s="441">
        <v>46134</v>
      </c>
      <c r="AL462" s="441">
        <v>46183</v>
      </c>
      <c r="AM462" s="441">
        <v>46189</v>
      </c>
      <c r="AN462" s="441">
        <v>46191</v>
      </c>
      <c r="AO462" s="431" t="s">
        <v>402</v>
      </c>
      <c r="AP462" s="431" t="s">
        <v>2247</v>
      </c>
      <c r="AQ462" s="431" t="s">
        <v>161</v>
      </c>
      <c r="AR462" s="431" t="s">
        <v>2248</v>
      </c>
      <c r="AS462" s="431" t="s">
        <v>2249</v>
      </c>
      <c r="AT462" s="482" t="s">
        <v>2250</v>
      </c>
      <c r="AU46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</v>
      </c>
      <c r="AW462" s="441" cm="1">
        <f t="array" ref="AW46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46191</v>
      </c>
      <c r="AX46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62" s="441">
        <f>IF(ISERROR(PV_DATA[[#This Row],[New Ark PO status]]),"",_xlfn.XLOOKUP(PV_DATA[[#This Row],[SPTN-PVHK New Ark PO'#]],New_Ark_Data[Purchase order Number],New_Ark_Data[Estimated time of arrival],"",0))</f>
        <v>46204</v>
      </c>
      <c r="AZ46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62" s="437">
        <f>IFERROR(PV_DATA[[#This Row],[ODP ETA Port]]+PV_DATA[[#This Row],[Customs/Leg3 Assumption]],"n/a")</f>
        <v>46198</v>
      </c>
      <c r="BB462" s="442">
        <f>YEAR(PV_DATA[[#This Row],[ETA for New Ark update]])</f>
        <v>2026</v>
      </c>
      <c r="BC462" s="431">
        <f>MONTH(PV_DATA[[#This Row],[ETA for New Ark update]])</f>
        <v>6</v>
      </c>
      <c r="BD462" s="431">
        <f>IFERROR(_xlfn.ISOWEEKNUM(PV_DATA[[#This Row],[ETA for New Ark update]]),0)</f>
        <v>26</v>
      </c>
      <c r="BE462" s="431">
        <f>_xlfn.XLOOKUP(PV_DATA[[#This Row],[New Ark SKU]],Table9[New Ark SKU],Table9[Total PCS per Pallet],,0)</f>
        <v>36</v>
      </c>
      <c r="BF462" s="431">
        <f>_xlfn.XLOOKUP(PV_DATA[[#This Row],[New Ark SKU]],Table9[New Ark SKU],Table9[Total PCS per 40HQ Container],,0)</f>
        <v>936</v>
      </c>
      <c r="BG462" s="431" t="str">
        <f>_xlfn.XLOOKUP(PV_DATA[[#This Row],[New Ark SKU]],Table9[New Ark SKU],Table9[Back Glass],,0)</f>
        <v>Black glazing</v>
      </c>
      <c r="BH462" s="431" t="str">
        <f>_xlfn.XLOOKUP(PV_DATA[[#This Row],[PORT DESTINATION]],Table12[PORT DESTINATION],Table12[Cosco Line],,0)</f>
        <v>AEU</v>
      </c>
    </row>
    <row r="463" spans="1:60" s="431" customFormat="1" hidden="1">
      <c r="A463" s="439" t="s">
        <v>2251</v>
      </c>
      <c r="B463" s="439" t="s">
        <v>1888</v>
      </c>
      <c r="C463" s="439" t="str">
        <f>IFERROR(LEFT(PV_DATA[[#This Row],[TCL REFERENCE]],FIND(".",PV_DATA[[#This Row],[TCL REFERENCE]],1)-1),"Main Line")</f>
        <v>26Feb017</v>
      </c>
      <c r="D463" s="439" t="s">
        <v>63</v>
      </c>
      <c r="E463" s="439" t="s">
        <v>144</v>
      </c>
      <c r="F463" s="462" t="str" cm="1">
        <f t="array" ref="F46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463" s="439" t="s">
        <v>402</v>
      </c>
      <c r="H463" s="439" t="s">
        <v>1080</v>
      </c>
      <c r="I463" s="439" t="s">
        <v>689</v>
      </c>
      <c r="J463" s="431" t="s">
        <v>2252</v>
      </c>
      <c r="K463" s="431" t="s">
        <v>2253</v>
      </c>
      <c r="L463" s="431">
        <v>1</v>
      </c>
      <c r="M463" s="431" t="s">
        <v>840</v>
      </c>
      <c r="N463" s="461">
        <v>46111</v>
      </c>
      <c r="O463" s="431" t="s">
        <v>70</v>
      </c>
      <c r="P463" s="431" t="s">
        <v>195</v>
      </c>
      <c r="Q463" s="431" t="s">
        <v>196</v>
      </c>
      <c r="R463" s="431" t="str">
        <f>_xlfn.XLOOKUP(PV_DATA[[#This Row],[New Ark SKU]],Table9[New Ark SKU],Table9[Connector],,0)</f>
        <v>EVO2A</v>
      </c>
      <c r="S463" s="442" t="str">
        <f>_xlfn.XLOOKUP(PV_DATA[[#This Row],[New Ark SKU]],Table9[New Ark SKU],Table9[Cable],,0)</f>
        <v>±1200mm</v>
      </c>
      <c r="T463" s="442">
        <v>450</v>
      </c>
      <c r="U463" s="1067">
        <f>936*2</f>
        <v>1872</v>
      </c>
      <c r="V463" s="448">
        <f>PV_DATA[[#This Row],[QUANTITY]]*PV_DATA[[#This Row],[WATT]]/1000000</f>
        <v>0.84240000000000004</v>
      </c>
      <c r="W463" s="466">
        <f>PV_DATA[[#This Row],[QUANTITY]]/PV_DATA[[#This Row],[Qty/Pallet]]</f>
        <v>52</v>
      </c>
      <c r="X463" s="1019">
        <f>PV_DATA[[#This Row],[QUANTITY]]/PV_DATA[[#This Row],[Qty/CT]]</f>
        <v>2</v>
      </c>
      <c r="Y463" s="431" t="s">
        <v>951</v>
      </c>
      <c r="Z463" s="430" t="str">
        <f t="shared" si="4"/>
        <v>COMPLETED</v>
      </c>
      <c r="AA463" s="431" t="s">
        <v>2038</v>
      </c>
      <c r="AB463" s="469">
        <v>46132</v>
      </c>
      <c r="AC463" s="467">
        <f>IF(PV_DATA[[#This Row],[Pick-Up Date]]&lt;&gt;"",_xlfn.ISOWEEKNUM(PV_DATA[[#This Row],[Pick-Up Date]]),"")</f>
        <v>17</v>
      </c>
      <c r="AD463" s="439" t="s">
        <v>2254</v>
      </c>
      <c r="AF463" s="431" t="s">
        <v>4429</v>
      </c>
      <c r="AG463" s="431" t="s">
        <v>123</v>
      </c>
      <c r="AH463" s="431" t="s">
        <v>1084</v>
      </c>
      <c r="AI463" s="441">
        <v>46137</v>
      </c>
      <c r="AJ463" s="441">
        <v>46137</v>
      </c>
      <c r="AK463" s="441">
        <v>46138</v>
      </c>
      <c r="AL463" s="441">
        <v>46182</v>
      </c>
      <c r="AM463" s="441">
        <v>46182</v>
      </c>
      <c r="AN463" s="441">
        <v>46193</v>
      </c>
      <c r="AO463" s="431" t="s">
        <v>402</v>
      </c>
      <c r="AP463" s="431" t="s">
        <v>2255</v>
      </c>
      <c r="AQ463" s="431" t="s">
        <v>161</v>
      </c>
      <c r="AR463" s="431" t="s">
        <v>2256</v>
      </c>
      <c r="AS463" s="431" t="s">
        <v>2257</v>
      </c>
      <c r="AT463" s="482" t="s">
        <v>2258</v>
      </c>
      <c r="AU46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55</v>
      </c>
      <c r="AW463" s="441" cm="1">
        <f t="array" ref="AW46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46193</v>
      </c>
      <c r="AX46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63" s="441">
        <f>IF(ISERROR(PV_DATA[[#This Row],[New Ark PO status]]),"",_xlfn.XLOOKUP(PV_DATA[[#This Row],[SPTN-PVHK New Ark PO'#]],New_Ark_Data[Purchase order Number],New_Ark_Data[Estimated time of arrival],"",0))</f>
        <v>46178</v>
      </c>
      <c r="AZ463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463" s="437">
        <f>IFERROR(PV_DATA[[#This Row],[ODP ETA Port]]+PV_DATA[[#This Row],[Customs/Leg3 Assumption]],"n/a")</f>
        <v>46193</v>
      </c>
      <c r="BB463" s="442">
        <f>YEAR(PV_DATA[[#This Row],[ETA for New Ark update]])</f>
        <v>2026</v>
      </c>
      <c r="BC463" s="431">
        <f>MONTH(PV_DATA[[#This Row],[ETA for New Ark update]])</f>
        <v>6</v>
      </c>
      <c r="BD463" s="431">
        <f>IFERROR(_xlfn.ISOWEEKNUM(PV_DATA[[#This Row],[ETA for New Ark update]]),0)</f>
        <v>25</v>
      </c>
      <c r="BE463" s="431">
        <f>_xlfn.XLOOKUP(PV_DATA[[#This Row],[New Ark SKU]],Table9[New Ark SKU],Table9[Total PCS per Pallet],,0)</f>
        <v>36</v>
      </c>
      <c r="BF463" s="431">
        <f>_xlfn.XLOOKUP(PV_DATA[[#This Row],[New Ark SKU]],Table9[New Ark SKU],Table9[Total PCS per 40HQ Container],,0)</f>
        <v>936</v>
      </c>
      <c r="BG463" s="431" t="str">
        <f>_xlfn.XLOOKUP(PV_DATA[[#This Row],[New Ark SKU]],Table9[New Ark SKU],Table9[Back Glass],,0)</f>
        <v>Black glazing</v>
      </c>
      <c r="BH463" s="431" t="str">
        <f>_xlfn.XLOOKUP(PV_DATA[[#This Row],[PORT DESTINATION]],Table12[PORT DESTINATION],Table12[Cosco Line],,0)</f>
        <v>AEU</v>
      </c>
    </row>
    <row r="464" spans="1:60" s="431" customFormat="1" ht="10.5" hidden="1">
      <c r="A464" s="439" t="s">
        <v>2259</v>
      </c>
      <c r="B464" s="439" t="s">
        <v>61</v>
      </c>
      <c r="C464" s="439" t="str">
        <f>IFERROR(LEFT(PV_DATA[[#This Row],[TCL REFERENCE]],FIND(".",PV_DATA[[#This Row],[TCL REFERENCE]],1)-1),"Main Line")</f>
        <v>26Apr014</v>
      </c>
      <c r="D464" s="439" t="s">
        <v>63</v>
      </c>
      <c r="E464" s="439" t="s">
        <v>64</v>
      </c>
      <c r="F464" s="462" t="str" cm="1">
        <f t="array" ref="F46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464" s="439" t="s">
        <v>402</v>
      </c>
      <c r="H464" s="439" t="s">
        <v>451</v>
      </c>
      <c r="I464" s="439" t="s">
        <v>869</v>
      </c>
      <c r="J464" s="431" t="s">
        <v>1832</v>
      </c>
      <c r="M464" s="431" t="s">
        <v>68</v>
      </c>
      <c r="N464" s="432" t="s">
        <v>68</v>
      </c>
      <c r="O464" s="431" t="s">
        <v>70</v>
      </c>
      <c r="P464" s="431" t="s">
        <v>1151</v>
      </c>
      <c r="Q464" s="431" t="s">
        <v>421</v>
      </c>
      <c r="R464" s="431" t="str">
        <f>_xlfn.XLOOKUP(PV_DATA[[#This Row],[New Ark SKU]],Table9[New Ark SKU],Table9[Connector],,0)</f>
        <v>EVO2A</v>
      </c>
      <c r="S464" s="442" t="str">
        <f>_xlfn.XLOOKUP(PV_DATA[[#This Row],[New Ark SKU]],Table9[New Ark SKU],Table9[Cable],,0)</f>
        <v>±1200mm</v>
      </c>
      <c r="T464" s="442">
        <v>505</v>
      </c>
      <c r="U464" s="1067">
        <f>864*5</f>
        <v>4320</v>
      </c>
      <c r="V464" s="448">
        <f>PV_DATA[[#This Row],[QUANTITY]]*PV_DATA[[#This Row],[WATT]]/1000000</f>
        <v>2.1816</v>
      </c>
      <c r="W464" s="466">
        <f>PV_DATA[[#This Row],[QUANTITY]]/PV_DATA[[#This Row],[Qty/Pallet]]</f>
        <v>120</v>
      </c>
      <c r="X464" s="1019">
        <f>PV_DATA[[#This Row],[QUANTITY]]/PV_DATA[[#This Row],[Qty/CT]]</f>
        <v>5</v>
      </c>
      <c r="Y464" s="431" t="s">
        <v>951</v>
      </c>
      <c r="Z464" s="430" t="str">
        <f t="shared" si="4"/>
        <v>COMPLETED</v>
      </c>
      <c r="AA464" s="431" t="s">
        <v>2261</v>
      </c>
      <c r="AB464" s="441">
        <v>46130</v>
      </c>
      <c r="AC464" s="467">
        <f>IF(PV_DATA[[#This Row],[Pick-Up Date]]&lt;&gt;"",_xlfn.ISOWEEKNUM(PV_DATA[[#This Row],[Pick-Up Date]]),"")</f>
        <v>16</v>
      </c>
      <c r="AD464" s="439" t="s">
        <v>2262</v>
      </c>
      <c r="AF464" s="431" t="s">
        <v>61</v>
      </c>
      <c r="AG464" s="431" t="s">
        <v>61</v>
      </c>
      <c r="AH464" s="431" t="s">
        <v>456</v>
      </c>
      <c r="AI464" s="441">
        <v>46137</v>
      </c>
      <c r="AJ464" s="441">
        <v>46137</v>
      </c>
      <c r="AK464" s="441">
        <v>46137</v>
      </c>
      <c r="AL464" s="441">
        <v>46187</v>
      </c>
      <c r="AM464" s="441">
        <v>46193</v>
      </c>
      <c r="AN464" s="441">
        <v>46195</v>
      </c>
      <c r="AO464" s="431" t="s">
        <v>402</v>
      </c>
      <c r="AP464" s="431" t="s">
        <v>2263</v>
      </c>
      <c r="AQ464" s="441" t="s">
        <v>161</v>
      </c>
      <c r="AR464" s="431" t="s">
        <v>2264</v>
      </c>
      <c r="AS464" s="431" t="s">
        <v>2265</v>
      </c>
      <c r="AT464" s="482" t="s">
        <v>2266</v>
      </c>
      <c r="AU46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V464" s="441"/>
      <c r="AW464" s="441" cm="1">
        <f t="array" ref="AW46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46195</v>
      </c>
      <c r="AX46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64" s="441">
        <f>IF(ISERROR(PV_DATA[[#This Row],[New Ark PO status]]),"",_xlfn.XLOOKUP(PV_DATA[[#This Row],[SPTN-PVHK New Ark PO'#]],New_Ark_Data[Purchase order Number],New_Ark_Data[Estimated time of arrival],"",0))</f>
        <v>46206</v>
      </c>
      <c r="AZ46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64" s="437">
        <f>IFERROR(PV_DATA[[#This Row],[ODP ETA Port]]+PV_DATA[[#This Row],[Customs/Leg3 Assumption]],"n/a")</f>
        <v>46202</v>
      </c>
      <c r="BB464" s="442">
        <f>YEAR(PV_DATA[[#This Row],[ETA for New Ark update]])</f>
        <v>2026</v>
      </c>
      <c r="BC464" s="431">
        <f>MONTH(PV_DATA[[#This Row],[ETA for New Ark update]])</f>
        <v>6</v>
      </c>
      <c r="BD464" s="431">
        <f>IFERROR(_xlfn.ISOWEEKNUM(PV_DATA[[#This Row],[ETA for New Ark update]]),0)</f>
        <v>27</v>
      </c>
      <c r="BE464" s="431">
        <f>_xlfn.XLOOKUP(PV_DATA[[#This Row],[New Ark SKU]],Table9[New Ark SKU],Table9[Total PCS per Pallet],,0)</f>
        <v>36</v>
      </c>
      <c r="BF464" s="431">
        <f>_xlfn.XLOOKUP(PV_DATA[[#This Row],[New Ark SKU]],Table9[New Ark SKU],Table9[Total PCS per 40HQ Container],,0)</f>
        <v>864</v>
      </c>
      <c r="BG464" s="431" t="str">
        <f>_xlfn.XLOOKUP(PV_DATA[[#This Row],[New Ark SKU]],Table9[New Ark SKU],Table9[Back Glass],,0)</f>
        <v>Black glazing</v>
      </c>
      <c r="BH464" s="431" t="str">
        <f>_xlfn.XLOOKUP(PV_DATA[[#This Row],[PORT DESTINATION]],Table12[PORT DESTINATION],Table12[Cosco Line],,0)</f>
        <v>AEU</v>
      </c>
    </row>
    <row r="465" spans="1:60" s="431" customFormat="1" ht="10.5" hidden="1">
      <c r="A465" s="439" t="s">
        <v>2267</v>
      </c>
      <c r="B465" s="439" t="s">
        <v>61</v>
      </c>
      <c r="C465" s="439" t="str">
        <f>IFERROR(LEFT(PV_DATA[[#This Row],[TCL REFERENCE]],FIND(".",PV_DATA[[#This Row],[TCL REFERENCE]],1)-1),"Main Line")</f>
        <v>26Apr013</v>
      </c>
      <c r="D465" s="439" t="s">
        <v>63</v>
      </c>
      <c r="E465" s="439" t="s">
        <v>64</v>
      </c>
      <c r="F465" s="462" t="str" cm="1">
        <f t="array" ref="F46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465" s="439" t="s">
        <v>402</v>
      </c>
      <c r="H465" s="439" t="s">
        <v>67</v>
      </c>
      <c r="I465" s="439" t="s">
        <v>1395</v>
      </c>
      <c r="J465" s="431" t="s">
        <v>578</v>
      </c>
      <c r="M465" s="431" t="s">
        <v>68</v>
      </c>
      <c r="N465" s="432" t="s">
        <v>68</v>
      </c>
      <c r="O465" s="431" t="s">
        <v>70</v>
      </c>
      <c r="P465" s="431" t="s">
        <v>71</v>
      </c>
      <c r="Q465" s="431" t="s">
        <v>72</v>
      </c>
      <c r="R465" s="431" t="str">
        <f>_xlfn.XLOOKUP(PV_DATA[[#This Row],[New Ark SKU]],Table9[New Ark SKU],Table9[Connector],,0)</f>
        <v>EVO2A</v>
      </c>
      <c r="S465" s="442" t="str">
        <f>_xlfn.XLOOKUP(PV_DATA[[#This Row],[New Ark SKU]],Table9[New Ark SKU],Table9[Cable],,0)</f>
        <v>±1200mm</v>
      </c>
      <c r="T465" s="442">
        <v>500</v>
      </c>
      <c r="U465" s="1067">
        <f>864*6</f>
        <v>5184</v>
      </c>
      <c r="V465" s="448">
        <f>PV_DATA[[#This Row],[QUANTITY]]*PV_DATA[[#This Row],[WATT]]/1000000</f>
        <v>2.5920000000000001</v>
      </c>
      <c r="W465" s="466">
        <f>PV_DATA[[#This Row],[QUANTITY]]/PV_DATA[[#This Row],[Qty/Pallet]]</f>
        <v>144</v>
      </c>
      <c r="X465" s="1019">
        <f>PV_DATA[[#This Row],[QUANTITY]]/PV_DATA[[#This Row],[Qty/CT]]</f>
        <v>6</v>
      </c>
      <c r="Y465" s="431" t="s">
        <v>951</v>
      </c>
      <c r="Z465" s="430" t="str">
        <f t="shared" si="4"/>
        <v>COMPLETED</v>
      </c>
      <c r="AA465" s="431" t="s">
        <v>2269</v>
      </c>
      <c r="AB465" s="441">
        <v>46133</v>
      </c>
      <c r="AC465" s="467">
        <f>IF(PV_DATA[[#This Row],[Pick-Up Date]]&lt;&gt;"",_xlfn.ISOWEEKNUM(PV_DATA[[#This Row],[Pick-Up Date]]),"")</f>
        <v>17</v>
      </c>
      <c r="AD465" s="439" t="s">
        <v>2270</v>
      </c>
      <c r="AF465" s="431" t="s">
        <v>77</v>
      </c>
      <c r="AG465" s="431" t="s">
        <v>61</v>
      </c>
      <c r="AH465" s="431" t="s">
        <v>105</v>
      </c>
      <c r="AI465" s="441">
        <v>46138</v>
      </c>
      <c r="AJ465" s="441">
        <v>46138</v>
      </c>
      <c r="AK465" s="441">
        <v>46138</v>
      </c>
      <c r="AL465" s="441">
        <v>46186</v>
      </c>
      <c r="AM465" s="441">
        <v>46186</v>
      </c>
      <c r="AN465" s="441">
        <v>46189</v>
      </c>
      <c r="AO465" s="431" t="s">
        <v>402</v>
      </c>
      <c r="AP465" s="431" t="s">
        <v>2271</v>
      </c>
      <c r="AQ465" s="441" t="s">
        <v>161</v>
      </c>
      <c r="AR465" s="431" t="s">
        <v>2272</v>
      </c>
      <c r="AS465" s="431" t="s">
        <v>2273</v>
      </c>
      <c r="AT465" s="482" t="s">
        <v>2273</v>
      </c>
      <c r="AU46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</v>
      </c>
      <c r="AV465" s="441"/>
      <c r="AW465" s="441" cm="1">
        <f t="array" ref="AW46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46189</v>
      </c>
      <c r="AX46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65" s="441">
        <f>IF(ISERROR(PV_DATA[[#This Row],[New Ark PO status]]),"",_xlfn.XLOOKUP(PV_DATA[[#This Row],[SPTN-PVHK New Ark PO'#]],New_Ark_Data[Purchase order Number],New_Ark_Data[Estimated time of arrival],"",0))</f>
        <v>46202</v>
      </c>
      <c r="AZ46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65" s="437">
        <f>IFERROR(PV_DATA[[#This Row],[ODP ETA Port]]+PV_DATA[[#This Row],[Customs/Leg3 Assumption]],"n/a")</f>
        <v>46196</v>
      </c>
      <c r="BB465" s="442">
        <f>YEAR(PV_DATA[[#This Row],[ETA for New Ark update]])</f>
        <v>2026</v>
      </c>
      <c r="BC465" s="431">
        <f>MONTH(PV_DATA[[#This Row],[ETA for New Ark update]])</f>
        <v>6</v>
      </c>
      <c r="BD465" s="431">
        <f>IFERROR(_xlfn.ISOWEEKNUM(PV_DATA[[#This Row],[ETA for New Ark update]]),0)</f>
        <v>26</v>
      </c>
      <c r="BE465" s="431">
        <f>_xlfn.XLOOKUP(PV_DATA[[#This Row],[New Ark SKU]],Table9[New Ark SKU],Table9[Total PCS per Pallet],,0)</f>
        <v>36</v>
      </c>
      <c r="BF465" s="431">
        <f>_xlfn.XLOOKUP(PV_DATA[[#This Row],[New Ark SKU]],Table9[New Ark SKU],Table9[Total PCS per 40HQ Container],,0)</f>
        <v>864</v>
      </c>
      <c r="BG465" s="431" t="str">
        <f>_xlfn.XLOOKUP(PV_DATA[[#This Row],[New Ark SKU]],Table9[New Ark SKU],Table9[Back Glass],,0)</f>
        <v>Black glazing</v>
      </c>
      <c r="BH465" s="431" t="str">
        <f>_xlfn.XLOOKUP(PV_DATA[[#This Row],[PORT DESTINATION]],Table12[PORT DESTINATION],Table12[Cosco Line],,0)</f>
        <v>AEU</v>
      </c>
    </row>
    <row r="466" spans="1:60" s="431" customFormat="1" ht="10.5" hidden="1">
      <c r="A466" s="439" t="s">
        <v>2274</v>
      </c>
      <c r="B466" s="439" t="s">
        <v>61</v>
      </c>
      <c r="C466" s="439" t="str">
        <f>IFERROR(LEFT(PV_DATA[[#This Row],[TCL REFERENCE]],FIND(".",PV_DATA[[#This Row],[TCL REFERENCE]],1)-1),"Main Line")</f>
        <v>26Apr014</v>
      </c>
      <c r="D466" s="439" t="s">
        <v>63</v>
      </c>
      <c r="E466" s="439" t="s">
        <v>64</v>
      </c>
      <c r="F466" s="462" t="str" cm="1">
        <f t="array" ref="F46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466" s="439" t="s">
        <v>402</v>
      </c>
      <c r="H466" s="439" t="s">
        <v>67</v>
      </c>
      <c r="I466" s="439" t="s">
        <v>882</v>
      </c>
      <c r="J466" s="430" t="s">
        <v>96</v>
      </c>
      <c r="M466" s="431" t="s">
        <v>68</v>
      </c>
      <c r="N466" s="432" t="s">
        <v>68</v>
      </c>
      <c r="O466" s="431" t="s">
        <v>70</v>
      </c>
      <c r="P466" s="431" t="s">
        <v>1151</v>
      </c>
      <c r="Q466" s="431" t="s">
        <v>421</v>
      </c>
      <c r="R466" s="431" t="str">
        <f>_xlfn.XLOOKUP(PV_DATA[[#This Row],[New Ark SKU]],Table9[New Ark SKU],Table9[Connector],,0)</f>
        <v>EVO2A</v>
      </c>
      <c r="S466" s="442" t="str">
        <f>_xlfn.XLOOKUP(PV_DATA[[#This Row],[New Ark SKU]],Table9[New Ark SKU],Table9[Cable],,0)</f>
        <v>±1200mm</v>
      </c>
      <c r="T466" s="442">
        <v>505</v>
      </c>
      <c r="U466" s="1067">
        <f>864*5</f>
        <v>4320</v>
      </c>
      <c r="V466" s="448">
        <f>PV_DATA[[#This Row],[QUANTITY]]*PV_DATA[[#This Row],[WATT]]/1000000</f>
        <v>2.1816</v>
      </c>
      <c r="W466" s="466">
        <f>PV_DATA[[#This Row],[QUANTITY]]/PV_DATA[[#This Row],[Qty/Pallet]]</f>
        <v>120</v>
      </c>
      <c r="X466" s="1019">
        <f>PV_DATA[[#This Row],[QUANTITY]]/PV_DATA[[#This Row],[Qty/CT]]</f>
        <v>5</v>
      </c>
      <c r="Y466" s="431" t="s">
        <v>951</v>
      </c>
      <c r="Z466" s="430" t="str">
        <f t="shared" si="4"/>
        <v>COMPLETED</v>
      </c>
      <c r="AA466" s="431" t="s">
        <v>2275</v>
      </c>
      <c r="AB466" s="441">
        <v>46133</v>
      </c>
      <c r="AC466" s="467">
        <f>IF(PV_DATA[[#This Row],[Pick-Up Date]]&lt;&gt;"",_xlfn.ISOWEEKNUM(PV_DATA[[#This Row],[Pick-Up Date]]),"")</f>
        <v>17</v>
      </c>
      <c r="AD466" s="439" t="s">
        <v>2276</v>
      </c>
      <c r="AF466" s="431" t="s">
        <v>61</v>
      </c>
      <c r="AG466" s="431" t="s">
        <v>61</v>
      </c>
      <c r="AH466" s="431" t="s">
        <v>105</v>
      </c>
      <c r="AI466" s="441">
        <v>46138</v>
      </c>
      <c r="AJ466" s="441">
        <v>46138</v>
      </c>
      <c r="AK466" s="441">
        <v>46138</v>
      </c>
      <c r="AL466" s="441">
        <v>46182</v>
      </c>
      <c r="AM466" s="441">
        <v>46185</v>
      </c>
      <c r="AN466" s="441">
        <v>46189</v>
      </c>
      <c r="AO466" s="431" t="s">
        <v>402</v>
      </c>
      <c r="AP466" s="431" t="s">
        <v>2227</v>
      </c>
      <c r="AQ466" s="431" t="s">
        <v>80</v>
      </c>
      <c r="AR466" s="431" t="s">
        <v>2277</v>
      </c>
      <c r="AS466" s="431" t="s">
        <v>2278</v>
      </c>
      <c r="AT466" s="482" t="s">
        <v>2278</v>
      </c>
      <c r="AU46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</v>
      </c>
      <c r="AV466" s="441"/>
      <c r="AW466" s="441" cm="1">
        <f t="array" ref="AW46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46189</v>
      </c>
      <c r="AX46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66" s="441">
        <f>IF(ISERROR(PV_DATA[[#This Row],[New Ark PO status]]),"",_xlfn.XLOOKUP(PV_DATA[[#This Row],[SPTN-PVHK New Ark PO'#]],New_Ark_Data[Purchase order Number],New_Ark_Data[Estimated time of arrival],"",0))</f>
        <v>46203</v>
      </c>
      <c r="AZ46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66" s="437">
        <f>IFERROR(PV_DATA[[#This Row],[ODP ETA Port]]+PV_DATA[[#This Row],[Customs/Leg3 Assumption]],"n/a")</f>
        <v>46196</v>
      </c>
      <c r="BB466" s="442">
        <f>YEAR(PV_DATA[[#This Row],[ETA for New Ark update]])</f>
        <v>2026</v>
      </c>
      <c r="BC466" s="431">
        <f>MONTH(PV_DATA[[#This Row],[ETA for New Ark update]])</f>
        <v>6</v>
      </c>
      <c r="BD466" s="431">
        <f>IFERROR(_xlfn.ISOWEEKNUM(PV_DATA[[#This Row],[ETA for New Ark update]]),0)</f>
        <v>26</v>
      </c>
      <c r="BE466" s="431">
        <f>_xlfn.XLOOKUP(PV_DATA[[#This Row],[New Ark SKU]],Table9[New Ark SKU],Table9[Total PCS per Pallet],,0)</f>
        <v>36</v>
      </c>
      <c r="BF466" s="431">
        <f>_xlfn.XLOOKUP(PV_DATA[[#This Row],[New Ark SKU]],Table9[New Ark SKU],Table9[Total PCS per 40HQ Container],,0)</f>
        <v>864</v>
      </c>
      <c r="BG466" s="431" t="str">
        <f>_xlfn.XLOOKUP(PV_DATA[[#This Row],[New Ark SKU]],Table9[New Ark SKU],Table9[Back Glass],,0)</f>
        <v>Black glazing</v>
      </c>
      <c r="BH466" s="431" t="str">
        <f>_xlfn.XLOOKUP(PV_DATA[[#This Row],[PORT DESTINATION]],Table12[PORT DESTINATION],Table12[Cosco Line],,0)</f>
        <v>AEU</v>
      </c>
    </row>
    <row r="467" spans="1:60" s="431" customFormat="1" ht="10.5" hidden="1">
      <c r="A467" s="439" t="s">
        <v>2279</v>
      </c>
      <c r="B467" s="439" t="s">
        <v>61</v>
      </c>
      <c r="C467" s="439" t="str">
        <f>IFERROR(LEFT(PV_DATA[[#This Row],[TCL REFERENCE]],FIND(".",PV_DATA[[#This Row],[TCL REFERENCE]],1)-1),"Main Line")</f>
        <v>26Apr014</v>
      </c>
      <c r="D467" s="439" t="s">
        <v>63</v>
      </c>
      <c r="E467" s="439" t="s">
        <v>64</v>
      </c>
      <c r="F467" s="462" t="str" cm="1">
        <f t="array" ref="F46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467" s="439" t="s">
        <v>402</v>
      </c>
      <c r="H467" s="439" t="s">
        <v>67</v>
      </c>
      <c r="I467" s="439" t="s">
        <v>882</v>
      </c>
      <c r="J467" s="430" t="s">
        <v>96</v>
      </c>
      <c r="M467" s="431" t="s">
        <v>68</v>
      </c>
      <c r="N467" s="432" t="s">
        <v>68</v>
      </c>
      <c r="O467" s="431" t="s">
        <v>70</v>
      </c>
      <c r="P467" s="431" t="s">
        <v>1151</v>
      </c>
      <c r="Q467" s="431" t="s">
        <v>421</v>
      </c>
      <c r="R467" s="431" t="str">
        <f>_xlfn.XLOOKUP(PV_DATA[[#This Row],[New Ark SKU]],Table9[New Ark SKU],Table9[Connector],,0)</f>
        <v>EVO2A</v>
      </c>
      <c r="S467" s="442" t="str">
        <f>_xlfn.XLOOKUP(PV_DATA[[#This Row],[New Ark SKU]],Table9[New Ark SKU],Table9[Cable],,0)</f>
        <v>±1200mm</v>
      </c>
      <c r="T467" s="442">
        <v>505</v>
      </c>
      <c r="U467" s="1067">
        <f>864*6</f>
        <v>5184</v>
      </c>
      <c r="V467" s="448">
        <f>PV_DATA[[#This Row],[QUANTITY]]*PV_DATA[[#This Row],[WATT]]/1000000</f>
        <v>2.6179199999999998</v>
      </c>
      <c r="W467" s="466">
        <f>PV_DATA[[#This Row],[QUANTITY]]/PV_DATA[[#This Row],[Qty/Pallet]]</f>
        <v>144</v>
      </c>
      <c r="X467" s="1019">
        <f>PV_DATA[[#This Row],[QUANTITY]]/PV_DATA[[#This Row],[Qty/CT]]</f>
        <v>6</v>
      </c>
      <c r="Y467" s="431" t="s">
        <v>951</v>
      </c>
      <c r="Z467" s="430" t="str">
        <f t="shared" si="4"/>
        <v>COMPLETED</v>
      </c>
      <c r="AA467" s="431" t="s">
        <v>2183</v>
      </c>
      <c r="AB467" s="441">
        <v>46135</v>
      </c>
      <c r="AC467" s="467">
        <f>IF(PV_DATA[[#This Row],[Pick-Up Date]]&lt;&gt;"",_xlfn.ISOWEEKNUM(PV_DATA[[#This Row],[Pick-Up Date]]),"")</f>
        <v>17</v>
      </c>
      <c r="AD467" s="439" t="s">
        <v>2280</v>
      </c>
      <c r="AF467" s="431" t="s">
        <v>61</v>
      </c>
      <c r="AG467" s="431" t="s">
        <v>61</v>
      </c>
      <c r="AH467" s="431" t="s">
        <v>105</v>
      </c>
      <c r="AI467" s="441">
        <v>46139</v>
      </c>
      <c r="AJ467" s="441">
        <v>46141</v>
      </c>
      <c r="AK467" s="441">
        <v>46140</v>
      </c>
      <c r="AL467" s="441">
        <v>46207</v>
      </c>
      <c r="AM467" s="441">
        <v>46200</v>
      </c>
      <c r="AN467" s="441">
        <v>46200</v>
      </c>
      <c r="AO467" s="431" t="s">
        <v>402</v>
      </c>
      <c r="AP467" s="431" t="s">
        <v>2281</v>
      </c>
      <c r="AQ467" s="431" t="s">
        <v>161</v>
      </c>
      <c r="AR467" s="431" t="s">
        <v>2282</v>
      </c>
      <c r="AS467" s="431" t="s">
        <v>2283</v>
      </c>
      <c r="AT467" s="482" t="s">
        <v>2284</v>
      </c>
      <c r="AU46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</v>
      </c>
      <c r="AV467" s="441"/>
      <c r="AW467" s="441" cm="1">
        <f t="array" ref="AW46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46200</v>
      </c>
      <c r="AX46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67" s="441">
        <f>IF(ISERROR(PV_DATA[[#This Row],[New Ark PO status]]),"",_xlfn.XLOOKUP(PV_DATA[[#This Row],[SPTN-PVHK New Ark PO'#]],New_Ark_Data[Purchase order Number],New_Ark_Data[Estimated time of arrival],"",0))</f>
        <v>46213</v>
      </c>
      <c r="AZ467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67" s="437">
        <f>IFERROR(PV_DATA[[#This Row],[ODP ETA Port]]+PV_DATA[[#This Row],[Customs/Leg3 Assumption]],"n/a")</f>
        <v>46207</v>
      </c>
      <c r="BB467" s="442">
        <f>YEAR(PV_DATA[[#This Row],[ETA for New Ark update]])</f>
        <v>2026</v>
      </c>
      <c r="BC467" s="431">
        <f>MONTH(PV_DATA[[#This Row],[ETA for New Ark update]])</f>
        <v>7</v>
      </c>
      <c r="BD467" s="431">
        <f>IFERROR(_xlfn.ISOWEEKNUM(PV_DATA[[#This Row],[ETA for New Ark update]]),0)</f>
        <v>27</v>
      </c>
      <c r="BE467" s="431">
        <f>_xlfn.XLOOKUP(PV_DATA[[#This Row],[New Ark SKU]],Table9[New Ark SKU],Table9[Total PCS per Pallet],,0)</f>
        <v>36</v>
      </c>
      <c r="BF467" s="431">
        <f>_xlfn.XLOOKUP(PV_DATA[[#This Row],[New Ark SKU]],Table9[New Ark SKU],Table9[Total PCS per 40HQ Container],,0)</f>
        <v>864</v>
      </c>
      <c r="BG467" s="431" t="str">
        <f>_xlfn.XLOOKUP(PV_DATA[[#This Row],[New Ark SKU]],Table9[New Ark SKU],Table9[Back Glass],,0)</f>
        <v>Black glazing</v>
      </c>
      <c r="BH467" s="431" t="str">
        <f>_xlfn.XLOOKUP(PV_DATA[[#This Row],[PORT DESTINATION]],Table12[PORT DESTINATION],Table12[Cosco Line],,0)</f>
        <v>AEU</v>
      </c>
    </row>
    <row r="468" spans="1:60" s="450" customFormat="1" ht="10.5" hidden="1">
      <c r="A468" s="446" t="s">
        <v>2285</v>
      </c>
      <c r="B468" s="446" t="s">
        <v>61</v>
      </c>
      <c r="C468" s="446" t="str">
        <f>IFERROR(LEFT(PV_DATA[[#This Row],[TCL REFERENCE]],FIND(".",PV_DATA[[#This Row],[TCL REFERENCE]],1)-1),"Main Line")</f>
        <v>26Apr011</v>
      </c>
      <c r="D468" s="446" t="s">
        <v>63</v>
      </c>
      <c r="E468" s="446" t="s">
        <v>144</v>
      </c>
      <c r="F468" s="446" t="str" cm="1">
        <f t="array" ref="F46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468" s="446" t="s">
        <v>402</v>
      </c>
      <c r="H468" s="446" t="s">
        <v>67</v>
      </c>
      <c r="I468" s="446" t="s">
        <v>689</v>
      </c>
      <c r="J468" s="450" t="s">
        <v>2287</v>
      </c>
      <c r="K468" s="450" t="s">
        <v>2288</v>
      </c>
      <c r="M468" s="450" t="s">
        <v>840</v>
      </c>
      <c r="N468" s="451">
        <v>46125</v>
      </c>
      <c r="O468" s="450" t="s">
        <v>70</v>
      </c>
      <c r="P468" s="450" t="s">
        <v>195</v>
      </c>
      <c r="Q468" s="450" t="s">
        <v>196</v>
      </c>
      <c r="R468" s="450" t="str">
        <f>_xlfn.XLOOKUP(PV_DATA[[#This Row],[New Ark SKU]],Table9[New Ark SKU],Table9[Connector],,0)</f>
        <v>EVO2A</v>
      </c>
      <c r="S468" s="442" t="str">
        <f>_xlfn.XLOOKUP(PV_DATA[[#This Row],[New Ark SKU]],Table9[New Ark SKU],Table9[Cable],,0)</f>
        <v>±1200mm</v>
      </c>
      <c r="T468" s="452">
        <v>450</v>
      </c>
      <c r="U468" s="1063">
        <f>3*936</f>
        <v>2808</v>
      </c>
      <c r="V468" s="453">
        <f>PV_DATA[[#This Row],[QUANTITY]]*PV_DATA[[#This Row],[WATT]]/1000000</f>
        <v>1.2636000000000001</v>
      </c>
      <c r="W468" s="454">
        <f>PV_DATA[[#This Row],[QUANTITY]]/PV_DATA[[#This Row],[Qty/Pallet]]</f>
        <v>78</v>
      </c>
      <c r="X468" s="1020">
        <f>PV_DATA[[#This Row],[QUANTITY]]/PV_DATA[[#This Row],[Qty/CT]]</f>
        <v>3</v>
      </c>
      <c r="Y468" s="470" t="s">
        <v>951</v>
      </c>
      <c r="Z468" s="430" t="str">
        <f t="shared" si="4"/>
        <v>COMPLETED</v>
      </c>
      <c r="AB468" s="455">
        <v>46135</v>
      </c>
      <c r="AC468" s="471">
        <f>IF(PV_DATA[[#This Row],[Pick-Up Date]]&lt;&gt;"",_xlfn.ISOWEEKNUM(PV_DATA[[#This Row],[Pick-Up Date]]),"")</f>
        <v>17</v>
      </c>
      <c r="AD468" s="446" t="s">
        <v>2289</v>
      </c>
      <c r="AF468" s="450" t="s">
        <v>77</v>
      </c>
      <c r="AG468" s="450" t="s">
        <v>61</v>
      </c>
      <c r="AH468" s="450" t="s">
        <v>105</v>
      </c>
      <c r="AI468" s="455">
        <v>46139</v>
      </c>
      <c r="AJ468" s="455">
        <v>46141</v>
      </c>
      <c r="AK468" s="455">
        <v>46140</v>
      </c>
      <c r="AL468" s="455">
        <v>46207</v>
      </c>
      <c r="AM468" s="455">
        <v>46200</v>
      </c>
      <c r="AN468" s="455">
        <v>46200</v>
      </c>
      <c r="AO468" s="450" t="s">
        <v>402</v>
      </c>
      <c r="AP468" s="450" t="s">
        <v>2281</v>
      </c>
      <c r="AQ468" s="450" t="s">
        <v>161</v>
      </c>
      <c r="AR468" s="450" t="s">
        <v>2290</v>
      </c>
      <c r="AS468" s="450" t="s">
        <v>2291</v>
      </c>
      <c r="AT468" s="482" t="s">
        <v>2292</v>
      </c>
      <c r="AU46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</v>
      </c>
      <c r="AV468" s="455"/>
      <c r="AW468" s="455" cm="1">
        <f t="array" ref="AW46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46200</v>
      </c>
      <c r="AX46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68" s="455">
        <f>IF(ISERROR(PV_DATA[[#This Row],[New Ark PO status]]),"",_xlfn.XLOOKUP(PV_DATA[[#This Row],[SPTN-PVHK New Ark PO'#]],New_Ark_Data[Purchase order Number],New_Ark_Data[Estimated time of arrival],"",0))</f>
        <v>46213</v>
      </c>
      <c r="AZ468" s="45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468" s="455">
        <f>IFERROR(PV_DATA[[#This Row],[ODP ETA Port]]+PV_DATA[[#This Row],[Customs/Leg3 Assumption]],"n/a")</f>
        <v>46200</v>
      </c>
      <c r="BB468" s="452">
        <f>YEAR(PV_DATA[[#This Row],[ETA for New Ark update]])</f>
        <v>2026</v>
      </c>
      <c r="BC468" s="450">
        <f>MONTH(PV_DATA[[#This Row],[ETA for New Ark update]])</f>
        <v>6</v>
      </c>
      <c r="BD468" s="450">
        <f>IFERROR(_xlfn.ISOWEEKNUM(PV_DATA[[#This Row],[ETA for New Ark update]]),0)</f>
        <v>26</v>
      </c>
      <c r="BE468" s="450">
        <f>_xlfn.XLOOKUP(PV_DATA[[#This Row],[New Ark SKU]],Table9[New Ark SKU],Table9[Total PCS per Pallet],,0)</f>
        <v>36</v>
      </c>
      <c r="BF468" s="450">
        <f>_xlfn.XLOOKUP(PV_DATA[[#This Row],[New Ark SKU]],Table9[New Ark SKU],Table9[Total PCS per 40HQ Container],,0)</f>
        <v>936</v>
      </c>
      <c r="BG468" s="431" t="str">
        <f>_xlfn.XLOOKUP(PV_DATA[[#This Row],[New Ark SKU]],Table9[New Ark SKU],Table9[Back Glass],,0)</f>
        <v>Black glazing</v>
      </c>
      <c r="BH468" s="450" t="str">
        <f>_xlfn.XLOOKUP(PV_DATA[[#This Row],[PORT DESTINATION]],Table12[PORT DESTINATION],Table12[Cosco Line],,0)</f>
        <v>AEU</v>
      </c>
    </row>
    <row r="469" spans="1:60" s="431" customFormat="1" ht="10.5" hidden="1">
      <c r="A469" s="439" t="s">
        <v>2293</v>
      </c>
      <c r="B469" s="439" t="s">
        <v>61</v>
      </c>
      <c r="C469" s="439" t="str">
        <f>IFERROR(LEFT(PV_DATA[[#This Row],[TCL REFERENCE]],FIND(".",PV_DATA[[#This Row],[TCL REFERENCE]],1)-1),"Main Line")</f>
        <v>26Apr011</v>
      </c>
      <c r="D469" s="439" t="s">
        <v>63</v>
      </c>
      <c r="E469" s="439" t="s">
        <v>64</v>
      </c>
      <c r="F469" s="462" t="str" cm="1">
        <f t="array" ref="F46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469" s="439" t="s">
        <v>402</v>
      </c>
      <c r="H469" s="439" t="s">
        <v>67</v>
      </c>
      <c r="I469" s="439" t="s">
        <v>689</v>
      </c>
      <c r="J469" s="430" t="s">
        <v>96</v>
      </c>
      <c r="M469" s="431" t="s">
        <v>68</v>
      </c>
      <c r="N469" s="461">
        <v>46125</v>
      </c>
      <c r="O469" s="431" t="s">
        <v>70</v>
      </c>
      <c r="P469" s="431" t="s">
        <v>195</v>
      </c>
      <c r="Q469" s="431" t="s">
        <v>196</v>
      </c>
      <c r="R469" s="431" t="str">
        <f>_xlfn.XLOOKUP(PV_DATA[[#This Row],[New Ark SKU]],Table9[New Ark SKU],Table9[Connector],,0)</f>
        <v>EVO2A</v>
      </c>
      <c r="S469" s="442" t="str">
        <f>_xlfn.XLOOKUP(PV_DATA[[#This Row],[New Ark SKU]],Table9[New Ark SKU],Table9[Cable],,0)</f>
        <v>±1200mm</v>
      </c>
      <c r="T469" s="442">
        <v>450</v>
      </c>
      <c r="U469" s="1067">
        <f>12*936</f>
        <v>11232</v>
      </c>
      <c r="V469" s="448">
        <f>PV_DATA[[#This Row],[QUANTITY]]*PV_DATA[[#This Row],[WATT]]/1000000</f>
        <v>5.0544000000000002</v>
      </c>
      <c r="W469" s="466">
        <f>PV_DATA[[#This Row],[QUANTITY]]/PV_DATA[[#This Row],[Qty/Pallet]]</f>
        <v>312</v>
      </c>
      <c r="X469" s="1019">
        <f>PV_DATA[[#This Row],[QUANTITY]]/PV_DATA[[#This Row],[Qty/CT]]</f>
        <v>12</v>
      </c>
      <c r="Y469" s="447" t="s">
        <v>951</v>
      </c>
      <c r="Z469" s="430" t="str">
        <f t="shared" si="4"/>
        <v>COMPLETED</v>
      </c>
      <c r="AB469" s="441">
        <v>46135</v>
      </c>
      <c r="AC469" s="467">
        <f>IF(PV_DATA[[#This Row],[Pick-Up Date]]&lt;&gt;"",_xlfn.ISOWEEKNUM(PV_DATA[[#This Row],[Pick-Up Date]]),"")</f>
        <v>17</v>
      </c>
      <c r="AD469" s="439" t="s">
        <v>2294</v>
      </c>
      <c r="AF469" s="431" t="s">
        <v>77</v>
      </c>
      <c r="AG469" s="431" t="s">
        <v>61</v>
      </c>
      <c r="AH469" s="431" t="s">
        <v>105</v>
      </c>
      <c r="AI469" s="441">
        <v>46139</v>
      </c>
      <c r="AJ469" s="441">
        <v>46141</v>
      </c>
      <c r="AK469" s="441">
        <v>46140</v>
      </c>
      <c r="AL469" s="441">
        <v>46207</v>
      </c>
      <c r="AM469" s="441">
        <v>46200</v>
      </c>
      <c r="AN469" s="441">
        <v>46200</v>
      </c>
      <c r="AO469" s="431" t="s">
        <v>402</v>
      </c>
      <c r="AP469" s="431" t="s">
        <v>2281</v>
      </c>
      <c r="AQ469" s="431" t="s">
        <v>161</v>
      </c>
      <c r="AR469" s="431" t="s">
        <v>2290</v>
      </c>
      <c r="AS469" s="431" t="s">
        <v>2295</v>
      </c>
      <c r="AT469" s="482" t="s">
        <v>2292</v>
      </c>
      <c r="AU46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</v>
      </c>
      <c r="AV469" s="441"/>
      <c r="AW469" s="441" cm="1">
        <f t="array" ref="AW46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46200</v>
      </c>
      <c r="AX46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69" s="441">
        <f>IF(ISERROR(PV_DATA[[#This Row],[New Ark PO status]]),"",_xlfn.XLOOKUP(PV_DATA[[#This Row],[SPTN-PVHK New Ark PO'#]],New_Ark_Data[Purchase order Number],New_Ark_Data[Estimated time of arrival],"",0))</f>
        <v>46213</v>
      </c>
      <c r="AZ469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69" s="437">
        <f>IFERROR(PV_DATA[[#This Row],[ODP ETA Port]]+PV_DATA[[#This Row],[Customs/Leg3 Assumption]],"n/a")</f>
        <v>46207</v>
      </c>
      <c r="BB469" s="442">
        <f>YEAR(PV_DATA[[#This Row],[ETA for New Ark update]])</f>
        <v>2026</v>
      </c>
      <c r="BC469" s="431">
        <f>MONTH(PV_DATA[[#This Row],[ETA for New Ark update]])</f>
        <v>7</v>
      </c>
      <c r="BD469" s="431">
        <f>IFERROR(_xlfn.ISOWEEKNUM(PV_DATA[[#This Row],[ETA for New Ark update]]),0)</f>
        <v>27</v>
      </c>
      <c r="BE469" s="431">
        <f>_xlfn.XLOOKUP(PV_DATA[[#This Row],[New Ark SKU]],Table9[New Ark SKU],Table9[Total PCS per Pallet],,0)</f>
        <v>36</v>
      </c>
      <c r="BF469" s="431">
        <f>_xlfn.XLOOKUP(PV_DATA[[#This Row],[New Ark SKU]],Table9[New Ark SKU],Table9[Total PCS per 40HQ Container],,0)</f>
        <v>936</v>
      </c>
      <c r="BG469" s="431" t="str">
        <f>_xlfn.XLOOKUP(PV_DATA[[#This Row],[New Ark SKU]],Table9[New Ark SKU],Table9[Back Glass],,0)</f>
        <v>Black glazing</v>
      </c>
      <c r="BH469" s="431" t="str">
        <f>_xlfn.XLOOKUP(PV_DATA[[#This Row],[PORT DESTINATION]],Table12[PORT DESTINATION],Table12[Cosco Line],,0)</f>
        <v>AEU</v>
      </c>
    </row>
    <row r="470" spans="1:60" s="431" customFormat="1" ht="10.5" hidden="1">
      <c r="A470" s="439" t="s">
        <v>2296</v>
      </c>
      <c r="B470" s="439" t="s">
        <v>111</v>
      </c>
      <c r="C470" s="439" t="str">
        <f>IFERROR(LEFT(PV_DATA[[#This Row],[TCL REFERENCE]],FIND(".",PV_DATA[[#This Row],[TCL REFERENCE]],1)-1),"Main Line")</f>
        <v>26Apr002</v>
      </c>
      <c r="D470" s="439" t="s">
        <v>113</v>
      </c>
      <c r="E470" s="439" t="s">
        <v>64</v>
      </c>
      <c r="F470" s="462" cm="1">
        <f t="array" ref="F470">_xlfn.IFS(PV_DATA[[#This Row],[New Ark PO Type]]="n/a","n/a",PV_DATA[[#This Row],[New Ark PO Type]]="Offshore","SPTN Offstore in Transit WH",TRUE,_xlfn.XLOOKUP(PV_DATA[[#This Row],[PORT DESTINATION]],LT_REF[PORT DESTINATION],LT_REF[New Ark WH],,0))</f>
        <v>0</v>
      </c>
      <c r="G470" s="439" t="s">
        <v>402</v>
      </c>
      <c r="H470" s="439" t="s">
        <v>451</v>
      </c>
      <c r="I470" s="439" t="s">
        <v>822</v>
      </c>
      <c r="J470" s="431" t="s">
        <v>2298</v>
      </c>
      <c r="M470" s="431" t="s">
        <v>68</v>
      </c>
      <c r="N470" s="461">
        <v>46132</v>
      </c>
      <c r="O470" s="431" t="s">
        <v>70</v>
      </c>
      <c r="P470" s="431" t="s">
        <v>2299</v>
      </c>
      <c r="Q470" s="431" t="s">
        <v>1682</v>
      </c>
      <c r="R470" s="431" t="str">
        <f>_xlfn.XLOOKUP(PV_DATA[[#This Row],[New Ark SKU]],Table9[New Ark SKU],Table9[Connector],,0)</f>
        <v>EVO2A</v>
      </c>
      <c r="S470" s="442" t="str">
        <f>_xlfn.XLOOKUP(PV_DATA[[#This Row],[New Ark SKU]],Table9[New Ark SKU],Table9[Cable],,0)</f>
        <v>+400mm/-200mm</v>
      </c>
      <c r="T470" s="442">
        <v>730</v>
      </c>
      <c r="U470" s="1067">
        <f>594*8</f>
        <v>4752</v>
      </c>
      <c r="V470" s="448">
        <f>PV_DATA[[#This Row],[QUANTITY]]*PV_DATA[[#This Row],[WATT]]/1000000</f>
        <v>3.46896</v>
      </c>
      <c r="W470" s="466">
        <f>PV_DATA[[#This Row],[QUANTITY]]/PV_DATA[[#This Row],[Qty/Pallet]]</f>
        <v>144</v>
      </c>
      <c r="X470" s="1019">
        <f>PV_DATA[[#This Row],[QUANTITY]]/PV_DATA[[#This Row],[Qty/CT]]</f>
        <v>8</v>
      </c>
      <c r="Y470" s="431" t="s">
        <v>951</v>
      </c>
      <c r="Z470" s="430" t="str">
        <f t="shared" si="4"/>
        <v>COMPLETED</v>
      </c>
      <c r="AA470" s="431" t="s">
        <v>2269</v>
      </c>
      <c r="AB470" s="441">
        <v>46138</v>
      </c>
      <c r="AC470" s="445">
        <f>IF(PV_DATA[[#This Row],[Pick-Up Date]]&lt;&gt;"",_xlfn.ISOWEEKNUM(PV_DATA[[#This Row],[Pick-Up Date]]),"")</f>
        <v>17</v>
      </c>
      <c r="AD470" s="431" t="s">
        <v>2300</v>
      </c>
      <c r="AF470" s="431" t="s">
        <v>122</v>
      </c>
      <c r="AG470" s="431" t="s">
        <v>123</v>
      </c>
      <c r="AH470" s="431" t="s">
        <v>2301</v>
      </c>
      <c r="AI470" s="441">
        <v>46144</v>
      </c>
      <c r="AJ470" s="441">
        <v>46144</v>
      </c>
      <c r="AK470" s="441">
        <v>46144</v>
      </c>
      <c r="AL470" s="441">
        <v>46197</v>
      </c>
      <c r="AM470" s="441">
        <v>46214</v>
      </c>
      <c r="AN470" s="441">
        <v>46213</v>
      </c>
      <c r="AO470" s="431" t="s">
        <v>402</v>
      </c>
      <c r="AP470" s="431" t="s">
        <v>2302</v>
      </c>
      <c r="AQ470" s="431" t="s">
        <v>161</v>
      </c>
      <c r="AR470" s="431" t="s">
        <v>2303</v>
      </c>
      <c r="AS470" s="431" t="s">
        <v>2304</v>
      </c>
      <c r="AT470" s="482" t="s">
        <v>2305</v>
      </c>
      <c r="AU47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69</v>
      </c>
      <c r="AV470" s="441"/>
      <c r="AW470" s="441" cm="1">
        <f t="array" ref="AW47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46213</v>
      </c>
      <c r="AX47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70" s="441">
        <f>IF(ISERROR(PV_DATA[[#This Row],[New Ark PO status]]),"",_xlfn.XLOOKUP(PV_DATA[[#This Row],[SPTN-PVHK New Ark PO'#]],New_Ark_Data[Purchase order Number],New_Ark_Data[Estimated time of arrival],"",0))</f>
        <v>46231</v>
      </c>
      <c r="AZ470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70" s="441">
        <f>IFERROR(PV_DATA[[#This Row],[ODP ETA Port]]+PV_DATA[[#This Row],[Customs/Leg3 Assumption]],"n/a")</f>
        <v>46220</v>
      </c>
      <c r="BB470" s="442">
        <f>YEAR(PV_DATA[[#This Row],[ETA for New Ark update]])</f>
        <v>2026</v>
      </c>
      <c r="BC470" s="431">
        <f>MONTH(PV_DATA[[#This Row],[ETA for New Ark update]])</f>
        <v>7</v>
      </c>
      <c r="BD470" s="431">
        <f>IFERROR(_xlfn.ISOWEEKNUM(PV_DATA[[#This Row],[ETA for New Ark update]]),0)</f>
        <v>29</v>
      </c>
      <c r="BE470" s="431">
        <f>_xlfn.XLOOKUP(PV_DATA[[#This Row],[New Ark SKU]],Table9[New Ark SKU],Table9[Total PCS per Pallet],,0)</f>
        <v>33</v>
      </c>
      <c r="BF470" s="431">
        <f>_xlfn.XLOOKUP(PV_DATA[[#This Row],[New Ark SKU]],Table9[New Ark SKU],Table9[Total PCS per 40HQ Container],,0)</f>
        <v>594</v>
      </c>
      <c r="BG470" s="431" t="str">
        <f>_xlfn.XLOOKUP(PV_DATA[[#This Row],[New Ark SKU]],Table9[New Ark SKU],Table9[Back Glass],,0)</f>
        <v>Transparent</v>
      </c>
      <c r="BH470" s="431" t="str">
        <f>_xlfn.XLOOKUP(PV_DATA[[#This Row],[PORT DESTINATION]],Table12[PORT DESTINATION],Table12[Cosco Line],,0)</f>
        <v>AEU</v>
      </c>
    </row>
    <row r="471" spans="1:60" s="431" customFormat="1" ht="10.5" hidden="1">
      <c r="A471" s="439" t="s">
        <v>2306</v>
      </c>
      <c r="B471" s="439" t="s">
        <v>111</v>
      </c>
      <c r="C471" s="439" t="str">
        <f>IFERROR(LEFT(PV_DATA[[#This Row],[TCL REFERENCE]],FIND(".",PV_DATA[[#This Row],[TCL REFERENCE]],1)-1),"Main Line")</f>
        <v>26Apr001</v>
      </c>
      <c r="D471" s="439" t="s">
        <v>113</v>
      </c>
      <c r="E471" s="439" t="s">
        <v>64</v>
      </c>
      <c r="F471" s="462" cm="1">
        <f t="array" ref="F471">_xlfn.IFS(PV_DATA[[#This Row],[New Ark PO Type]]="n/a","n/a",PV_DATA[[#This Row],[New Ark PO Type]]="Offshore","SPTN Offstore in Transit WH",TRUE,_xlfn.XLOOKUP(PV_DATA[[#This Row],[PORT DESTINATION]],LT_REF[PORT DESTINATION],LT_REF[New Ark WH],,0))</f>
        <v>0</v>
      </c>
      <c r="G471" s="439" t="s">
        <v>402</v>
      </c>
      <c r="H471" s="439" t="s">
        <v>451</v>
      </c>
      <c r="I471" s="439" t="s">
        <v>822</v>
      </c>
      <c r="J471" s="431" t="s">
        <v>2298</v>
      </c>
      <c r="M471" s="431" t="s">
        <v>68</v>
      </c>
      <c r="N471" s="461">
        <v>46132</v>
      </c>
      <c r="O471" s="431" t="s">
        <v>70</v>
      </c>
      <c r="P471" s="431" t="s">
        <v>2308</v>
      </c>
      <c r="Q471" s="431" t="s">
        <v>1484</v>
      </c>
      <c r="R471" s="431" t="str">
        <f>_xlfn.XLOOKUP(PV_DATA[[#This Row],[New Ark SKU]],Table9[New Ark SKU],Table9[Connector],,0)</f>
        <v>EVO2A</v>
      </c>
      <c r="S471" s="442" t="str">
        <f>_xlfn.XLOOKUP(PV_DATA[[#This Row],[New Ark SKU]],Table9[New Ark SKU],Table9[Cable],,0)</f>
        <v>+400mm/-200mm</v>
      </c>
      <c r="T471" s="442">
        <v>725</v>
      </c>
      <c r="U471" s="1067">
        <f>594*2</f>
        <v>1188</v>
      </c>
      <c r="V471" s="448">
        <f>PV_DATA[[#This Row],[QUANTITY]]*PV_DATA[[#This Row],[WATT]]/1000000</f>
        <v>0.86129999999999995</v>
      </c>
      <c r="W471" s="466">
        <f>PV_DATA[[#This Row],[QUANTITY]]/PV_DATA[[#This Row],[Qty/Pallet]]</f>
        <v>36</v>
      </c>
      <c r="X471" s="1019">
        <f>PV_DATA[[#This Row],[QUANTITY]]/PV_DATA[[#This Row],[Qty/CT]]</f>
        <v>2</v>
      </c>
      <c r="Y471" s="431" t="s">
        <v>951</v>
      </c>
      <c r="Z471" s="430" t="str">
        <f t="shared" si="4"/>
        <v>COMPLETED</v>
      </c>
      <c r="AA471" s="431" t="s">
        <v>2269</v>
      </c>
      <c r="AB471" s="441">
        <v>46138</v>
      </c>
      <c r="AC471" s="445">
        <f>IF(PV_DATA[[#This Row],[Pick-Up Date]]&lt;&gt;"",_xlfn.ISOWEEKNUM(PV_DATA[[#This Row],[Pick-Up Date]]),"")</f>
        <v>17</v>
      </c>
      <c r="AD471" s="431" t="s">
        <v>2309</v>
      </c>
      <c r="AF471" s="431" t="s">
        <v>122</v>
      </c>
      <c r="AG471" s="431" t="s">
        <v>123</v>
      </c>
      <c r="AH471" s="431" t="s">
        <v>2301</v>
      </c>
      <c r="AI471" s="441">
        <v>46144</v>
      </c>
      <c r="AJ471" s="441">
        <v>46144</v>
      </c>
      <c r="AK471" s="441">
        <v>46144</v>
      </c>
      <c r="AL471" s="441">
        <v>46197</v>
      </c>
      <c r="AM471" s="441">
        <v>46214</v>
      </c>
      <c r="AN471" s="441">
        <v>46213</v>
      </c>
      <c r="AO471" s="431" t="s">
        <v>402</v>
      </c>
      <c r="AP471" s="431" t="s">
        <v>2302</v>
      </c>
      <c r="AQ471" s="431" t="s">
        <v>161</v>
      </c>
      <c r="AR471" s="431" t="s">
        <v>2303</v>
      </c>
      <c r="AS471" s="431" t="s">
        <v>2304</v>
      </c>
      <c r="AT471" s="482" t="s">
        <v>2305</v>
      </c>
      <c r="AU47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69</v>
      </c>
      <c r="AV471" s="441"/>
      <c r="AW471" s="441" cm="1">
        <f t="array" ref="AW47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46213</v>
      </c>
      <c r="AX47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71" s="441">
        <f>IF(ISERROR(PV_DATA[[#This Row],[New Ark PO status]]),"",_xlfn.XLOOKUP(PV_DATA[[#This Row],[SPTN-PVHK New Ark PO'#]],New_Ark_Data[Purchase order Number],New_Ark_Data[Estimated time of arrival],"",0))</f>
        <v>46231</v>
      </c>
      <c r="AZ471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71" s="441">
        <f>IFERROR(PV_DATA[[#This Row],[ODP ETA Port]]+PV_DATA[[#This Row],[Customs/Leg3 Assumption]],"n/a")</f>
        <v>46220</v>
      </c>
      <c r="BB471" s="442">
        <f>YEAR(PV_DATA[[#This Row],[ETA for New Ark update]])</f>
        <v>2026</v>
      </c>
      <c r="BC471" s="431">
        <f>MONTH(PV_DATA[[#This Row],[ETA for New Ark update]])</f>
        <v>7</v>
      </c>
      <c r="BD471" s="431">
        <f>IFERROR(_xlfn.ISOWEEKNUM(PV_DATA[[#This Row],[ETA for New Ark update]]),0)</f>
        <v>29</v>
      </c>
      <c r="BE471" s="431">
        <f>_xlfn.XLOOKUP(PV_DATA[[#This Row],[New Ark SKU]],Table9[New Ark SKU],Table9[Total PCS per Pallet],,0)</f>
        <v>33</v>
      </c>
      <c r="BF471" s="431">
        <f>_xlfn.XLOOKUP(PV_DATA[[#This Row],[New Ark SKU]],Table9[New Ark SKU],Table9[Total PCS per 40HQ Container],,0)</f>
        <v>594</v>
      </c>
      <c r="BG471" s="431" t="str">
        <f>_xlfn.XLOOKUP(PV_DATA[[#This Row],[New Ark SKU]],Table9[New Ark SKU],Table9[Back Glass],,0)</f>
        <v>Transparent</v>
      </c>
      <c r="BH471" s="431" t="str">
        <f>_xlfn.XLOOKUP(PV_DATA[[#This Row],[PORT DESTINATION]],Table12[PORT DESTINATION],Table12[Cosco Line],,0)</f>
        <v>AEU</v>
      </c>
    </row>
    <row r="472" spans="1:60" s="431" customFormat="1" ht="10.5" hidden="1">
      <c r="A472" s="439" t="s">
        <v>2310</v>
      </c>
      <c r="B472" s="439" t="s">
        <v>111</v>
      </c>
      <c r="C472" s="439" t="str">
        <f>IFERROR(LEFT(PV_DATA[[#This Row],[TCL REFERENCE]],FIND(".",PV_DATA[[#This Row],[TCL REFERENCE]],1)-1),"Main Line")</f>
        <v>26Apr001</v>
      </c>
      <c r="D472" s="439" t="s">
        <v>113</v>
      </c>
      <c r="E472" s="439" t="s">
        <v>64</v>
      </c>
      <c r="F472" s="462" cm="1">
        <f t="array" ref="F472">_xlfn.IFS(PV_DATA[[#This Row],[New Ark PO Type]]="n/a","n/a",PV_DATA[[#This Row],[New Ark PO Type]]="Offshore","SPTN Offstore in Transit WH",TRUE,_xlfn.XLOOKUP(PV_DATA[[#This Row],[PORT DESTINATION]],LT_REF[PORT DESTINATION],LT_REF[New Ark WH],,0))</f>
        <v>0</v>
      </c>
      <c r="G472" s="439" t="s">
        <v>402</v>
      </c>
      <c r="H472" s="439" t="s">
        <v>451</v>
      </c>
      <c r="I472" s="439" t="s">
        <v>822</v>
      </c>
      <c r="J472" s="431" t="s">
        <v>2298</v>
      </c>
      <c r="M472" s="431" t="s">
        <v>68</v>
      </c>
      <c r="N472" s="461">
        <v>46132</v>
      </c>
      <c r="O472" s="431" t="s">
        <v>70</v>
      </c>
      <c r="P472" s="431" t="s">
        <v>2308</v>
      </c>
      <c r="Q472" s="431" t="s">
        <v>1484</v>
      </c>
      <c r="R472" s="431" t="str">
        <f>_xlfn.XLOOKUP(PV_DATA[[#This Row],[New Ark SKU]],Table9[New Ark SKU],Table9[Connector],,0)</f>
        <v>EVO2A</v>
      </c>
      <c r="S472" s="442" t="str">
        <f>_xlfn.XLOOKUP(PV_DATA[[#This Row],[New Ark SKU]],Table9[New Ark SKU],Table9[Cable],,0)</f>
        <v>+400mm/-200mm</v>
      </c>
      <c r="T472" s="442">
        <v>725</v>
      </c>
      <c r="U472" s="1067">
        <f>594*5</f>
        <v>2970</v>
      </c>
      <c r="V472" s="448">
        <f>PV_DATA[[#This Row],[QUANTITY]]*PV_DATA[[#This Row],[WATT]]/1000000</f>
        <v>2.1532499999999999</v>
      </c>
      <c r="W472" s="466">
        <f>PV_DATA[[#This Row],[QUANTITY]]/PV_DATA[[#This Row],[Qty/Pallet]]</f>
        <v>90</v>
      </c>
      <c r="X472" s="1019">
        <f>PV_DATA[[#This Row],[QUANTITY]]/PV_DATA[[#This Row],[Qty/CT]]</f>
        <v>5</v>
      </c>
      <c r="Y472" s="431" t="s">
        <v>951</v>
      </c>
      <c r="Z472" s="430" t="str">
        <f t="shared" si="4"/>
        <v>COMPLETED</v>
      </c>
      <c r="AB472" s="441">
        <v>46142</v>
      </c>
      <c r="AC472" s="445">
        <f>IF(PV_DATA[[#This Row],[Pick-Up Date]]&lt;&gt;"",_xlfn.ISOWEEKNUM(PV_DATA[[#This Row],[Pick-Up Date]]),"")</f>
        <v>18</v>
      </c>
      <c r="AD472" s="431" t="s">
        <v>2311</v>
      </c>
      <c r="AF472" s="431" t="s">
        <v>122</v>
      </c>
      <c r="AG472" s="431" t="s">
        <v>123</v>
      </c>
      <c r="AH472" s="431" t="s">
        <v>2301</v>
      </c>
      <c r="AI472" s="441">
        <v>46148</v>
      </c>
      <c r="AJ472" s="441">
        <v>46148</v>
      </c>
      <c r="AK472" s="441">
        <v>46148</v>
      </c>
      <c r="AL472" s="441">
        <v>46199</v>
      </c>
      <c r="AM472" s="441">
        <v>46210</v>
      </c>
      <c r="AN472" s="441">
        <v>46211</v>
      </c>
      <c r="AO472" s="431" t="s">
        <v>402</v>
      </c>
      <c r="AP472" s="431" t="s">
        <v>2312</v>
      </c>
      <c r="AQ472" s="431" t="s">
        <v>161</v>
      </c>
      <c r="AR472" s="431" t="s">
        <v>2313</v>
      </c>
      <c r="AS472" s="431" t="s">
        <v>2314</v>
      </c>
      <c r="AT472" s="482" t="s">
        <v>2315</v>
      </c>
      <c r="AU47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63</v>
      </c>
      <c r="AV472" s="441"/>
      <c r="AW472" s="441" cm="1">
        <f t="array" ref="AW47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46211</v>
      </c>
      <c r="AX47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72" s="441">
        <f>IF(ISERROR(PV_DATA[[#This Row],[New Ark PO status]]),"",_xlfn.XLOOKUP(PV_DATA[[#This Row],[SPTN-PVHK New Ark PO'#]],New_Ark_Data[Purchase order Number],New_Ark_Data[Estimated time of arrival],"",0))</f>
        <v>46231</v>
      </c>
      <c r="AZ47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72" s="441">
        <f>IFERROR(PV_DATA[[#This Row],[ODP ETA Port]]+PV_DATA[[#This Row],[Customs/Leg3 Assumption]],"n/a")</f>
        <v>46218</v>
      </c>
      <c r="BB472" s="442">
        <f>YEAR(PV_DATA[[#This Row],[ETA for New Ark update]])</f>
        <v>2026</v>
      </c>
      <c r="BC472" s="431">
        <f>MONTH(PV_DATA[[#This Row],[ETA for New Ark update]])</f>
        <v>7</v>
      </c>
      <c r="BD472" s="431">
        <f>IFERROR(_xlfn.ISOWEEKNUM(PV_DATA[[#This Row],[ETA for New Ark update]]),0)</f>
        <v>29</v>
      </c>
      <c r="BE472" s="431">
        <f>_xlfn.XLOOKUP(PV_DATA[[#This Row],[New Ark SKU]],Table9[New Ark SKU],Table9[Total PCS per Pallet],,0)</f>
        <v>33</v>
      </c>
      <c r="BF472" s="431">
        <f>_xlfn.XLOOKUP(PV_DATA[[#This Row],[New Ark SKU]],Table9[New Ark SKU],Table9[Total PCS per 40HQ Container],,0)</f>
        <v>594</v>
      </c>
      <c r="BG472" s="431" t="str">
        <f>_xlfn.XLOOKUP(PV_DATA[[#This Row],[New Ark SKU]],Table9[New Ark SKU],Table9[Back Glass],,0)</f>
        <v>Transparent</v>
      </c>
      <c r="BH472" s="431" t="str">
        <f>_xlfn.XLOOKUP(PV_DATA[[#This Row],[PORT DESTINATION]],Table12[PORT DESTINATION],Table12[Cosco Line],,0)</f>
        <v>AEU</v>
      </c>
    </row>
    <row r="473" spans="1:60" s="431" customFormat="1" ht="10.5" hidden="1">
      <c r="A473" s="439" t="s">
        <v>2316</v>
      </c>
      <c r="B473" s="439" t="s">
        <v>111</v>
      </c>
      <c r="C473" s="439" t="str">
        <f>IFERROR(LEFT(PV_DATA[[#This Row],[TCL REFERENCE]],FIND(".",PV_DATA[[#This Row],[TCL REFERENCE]],1)-1),"Main Line")</f>
        <v>26Apr002</v>
      </c>
      <c r="D473" s="439" t="s">
        <v>113</v>
      </c>
      <c r="E473" s="439" t="s">
        <v>64</v>
      </c>
      <c r="F473" s="462" cm="1">
        <f t="array" ref="F473">_xlfn.IFS(PV_DATA[[#This Row],[New Ark PO Type]]="n/a","n/a",PV_DATA[[#This Row],[New Ark PO Type]]="Offshore","SPTN Offstore in Transit WH",TRUE,_xlfn.XLOOKUP(PV_DATA[[#This Row],[PORT DESTINATION]],LT_REF[PORT DESTINATION],LT_REF[New Ark WH],,0))</f>
        <v>0</v>
      </c>
      <c r="G473" s="439" t="s">
        <v>402</v>
      </c>
      <c r="H473" s="439" t="s">
        <v>451</v>
      </c>
      <c r="I473" s="439" t="s">
        <v>822</v>
      </c>
      <c r="J473" s="431" t="s">
        <v>2298</v>
      </c>
      <c r="M473" s="431" t="s">
        <v>68</v>
      </c>
      <c r="N473" s="461">
        <v>46132</v>
      </c>
      <c r="O473" s="431" t="s">
        <v>70</v>
      </c>
      <c r="P473" s="431" t="s">
        <v>2299</v>
      </c>
      <c r="Q473" s="431" t="s">
        <v>1682</v>
      </c>
      <c r="R473" s="431" t="str">
        <f>_xlfn.XLOOKUP(PV_DATA[[#This Row],[New Ark SKU]],Table9[New Ark SKU],Table9[Connector],,0)</f>
        <v>EVO2A</v>
      </c>
      <c r="S473" s="442" t="str">
        <f>_xlfn.XLOOKUP(PV_DATA[[#This Row],[New Ark SKU]],Table9[New Ark SKU],Table9[Cable],,0)</f>
        <v>+400mm/-200mm</v>
      </c>
      <c r="T473" s="442">
        <v>730</v>
      </c>
      <c r="U473" s="1067">
        <f>594*5</f>
        <v>2970</v>
      </c>
      <c r="V473" s="448">
        <f>PV_DATA[[#This Row],[QUANTITY]]*PV_DATA[[#This Row],[WATT]]/1000000</f>
        <v>2.1680999999999999</v>
      </c>
      <c r="W473" s="466">
        <f>PV_DATA[[#This Row],[QUANTITY]]/PV_DATA[[#This Row],[Qty/Pallet]]</f>
        <v>90</v>
      </c>
      <c r="X473" s="1019">
        <f>PV_DATA[[#This Row],[QUANTITY]]/PV_DATA[[#This Row],[Qty/CT]]</f>
        <v>5</v>
      </c>
      <c r="Y473" s="431" t="s">
        <v>951</v>
      </c>
      <c r="Z473" s="430" t="str">
        <f t="shared" si="4"/>
        <v>COMPLETED</v>
      </c>
      <c r="AB473" s="441">
        <v>46142</v>
      </c>
      <c r="AC473" s="445">
        <f>IF(PV_DATA[[#This Row],[Pick-Up Date]]&lt;&gt;"",_xlfn.ISOWEEKNUM(PV_DATA[[#This Row],[Pick-Up Date]]),"")</f>
        <v>18</v>
      </c>
      <c r="AD473" s="431" t="s">
        <v>2317</v>
      </c>
      <c r="AF473" s="431" t="s">
        <v>122</v>
      </c>
      <c r="AG473" s="431" t="s">
        <v>123</v>
      </c>
      <c r="AH473" s="431" t="s">
        <v>2301</v>
      </c>
      <c r="AI473" s="441">
        <v>46148</v>
      </c>
      <c r="AJ473" s="441">
        <v>46148</v>
      </c>
      <c r="AK473" s="441">
        <v>46148</v>
      </c>
      <c r="AL473" s="441">
        <v>46199</v>
      </c>
      <c r="AM473" s="441">
        <v>46210</v>
      </c>
      <c r="AN473" s="441">
        <v>46211</v>
      </c>
      <c r="AO473" s="431" t="s">
        <v>402</v>
      </c>
      <c r="AP473" s="431" t="s">
        <v>2312</v>
      </c>
      <c r="AQ473" s="431" t="s">
        <v>161</v>
      </c>
      <c r="AR473" s="431" t="s">
        <v>2313</v>
      </c>
      <c r="AS473" s="431" t="s">
        <v>2314</v>
      </c>
      <c r="AT473" s="482" t="s">
        <v>2315</v>
      </c>
      <c r="AU47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63</v>
      </c>
      <c r="AV473" s="441"/>
      <c r="AW473" s="441" cm="1">
        <f t="array" ref="AW47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46211</v>
      </c>
      <c r="AX47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73" s="441">
        <f>IF(ISERROR(PV_DATA[[#This Row],[New Ark PO status]]),"",_xlfn.XLOOKUP(PV_DATA[[#This Row],[SPTN-PVHK New Ark PO'#]],New_Ark_Data[Purchase order Number],New_Ark_Data[Estimated time of arrival],"",0))</f>
        <v>46231</v>
      </c>
      <c r="AZ47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73" s="441">
        <f>IFERROR(PV_DATA[[#This Row],[ODP ETA Port]]+PV_DATA[[#This Row],[Customs/Leg3 Assumption]],"n/a")</f>
        <v>46218</v>
      </c>
      <c r="BB473" s="442">
        <f>YEAR(PV_DATA[[#This Row],[ETA for New Ark update]])</f>
        <v>2026</v>
      </c>
      <c r="BC473" s="431">
        <f>MONTH(PV_DATA[[#This Row],[ETA for New Ark update]])</f>
        <v>7</v>
      </c>
      <c r="BD473" s="431">
        <f>IFERROR(_xlfn.ISOWEEKNUM(PV_DATA[[#This Row],[ETA for New Ark update]]),0)</f>
        <v>29</v>
      </c>
      <c r="BE473" s="431">
        <f>_xlfn.XLOOKUP(PV_DATA[[#This Row],[New Ark SKU]],Table9[New Ark SKU],Table9[Total PCS per Pallet],,0)</f>
        <v>33</v>
      </c>
      <c r="BF473" s="431">
        <f>_xlfn.XLOOKUP(PV_DATA[[#This Row],[New Ark SKU]],Table9[New Ark SKU],Table9[Total PCS per 40HQ Container],,0)</f>
        <v>594</v>
      </c>
      <c r="BG473" s="431" t="str">
        <f>_xlfn.XLOOKUP(PV_DATA[[#This Row],[New Ark SKU]],Table9[New Ark SKU],Table9[Back Glass],,0)</f>
        <v>Transparent</v>
      </c>
      <c r="BH473" s="431" t="str">
        <f>_xlfn.XLOOKUP(PV_DATA[[#This Row],[PORT DESTINATION]],Table12[PORT DESTINATION],Table12[Cosco Line],,0)</f>
        <v>AEU</v>
      </c>
    </row>
    <row r="474" spans="1:60" s="431" customFormat="1" ht="10.5" hidden="1">
      <c r="A474" s="439" t="s">
        <v>2318</v>
      </c>
      <c r="B474" s="439" t="s">
        <v>2132</v>
      </c>
      <c r="C474" s="439" t="str">
        <f>IFERROR(LEFT(PV_DATA[[#This Row],[TCL REFERENCE]],FIND(".",PV_DATA[[#This Row],[TCL REFERENCE]],1)-1),"Main Line")</f>
        <v>26Apr005</v>
      </c>
      <c r="D474" s="439" t="s">
        <v>63</v>
      </c>
      <c r="E474" s="439" t="s">
        <v>64</v>
      </c>
      <c r="F474" s="462" t="str" cm="1">
        <f t="array" ref="F47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74" s="439" t="s">
        <v>402</v>
      </c>
      <c r="H474" s="439" t="s">
        <v>67</v>
      </c>
      <c r="I474" s="439" t="s">
        <v>1395</v>
      </c>
      <c r="J474" s="430" t="s">
        <v>96</v>
      </c>
      <c r="M474" s="431" t="s">
        <v>68</v>
      </c>
      <c r="N474" s="432" t="s">
        <v>68</v>
      </c>
      <c r="O474" s="431" t="s">
        <v>550</v>
      </c>
      <c r="P474" s="431" t="s">
        <v>551</v>
      </c>
      <c r="Q474" s="431" t="s">
        <v>2151</v>
      </c>
      <c r="R474" s="431" t="str">
        <f>_xlfn.XLOOKUP(PV_DATA[[#This Row],[New Ark SKU]],Table9[New Ark SKU],Table9[Connector],,0)</f>
        <v>EVO2A</v>
      </c>
      <c r="S474" s="442" t="str">
        <f>_xlfn.XLOOKUP(PV_DATA[[#This Row],[New Ark SKU]],Table9[New Ark SKU],Table9[Cable],,0)</f>
        <v>±1350mm</v>
      </c>
      <c r="T474" s="442">
        <v>510</v>
      </c>
      <c r="U474" s="1067">
        <f>792*4</f>
        <v>3168</v>
      </c>
      <c r="V474" s="434">
        <f>PV_DATA[[#This Row],[QUANTITY]]*PV_DATA[[#This Row],[WATT]]/1000000</f>
        <v>1.61568</v>
      </c>
      <c r="W474" s="466">
        <f>PV_DATA[[#This Row],[QUANTITY]]/PV_DATA[[#This Row],[Qty/Pallet]]</f>
        <v>88</v>
      </c>
      <c r="X474" s="1019">
        <f>PV_DATA[[#This Row],[QUANTITY]]/PV_DATA[[#This Row],[Qty/CT]]</f>
        <v>4</v>
      </c>
      <c r="Y474" s="431" t="s">
        <v>951</v>
      </c>
      <c r="Z474" s="430" t="str">
        <f t="shared" si="4"/>
        <v>COMPLETED</v>
      </c>
      <c r="AA474" s="431" t="s">
        <v>2319</v>
      </c>
      <c r="AB474" s="441">
        <v>46140</v>
      </c>
      <c r="AC474" s="467">
        <f>IF(PV_DATA[[#This Row],[Pick-Up Date]]&lt;&gt;"",_xlfn.ISOWEEKNUM(PV_DATA[[#This Row],[Pick-Up Date]]),"")</f>
        <v>18</v>
      </c>
      <c r="AD474" s="431" t="s">
        <v>2320</v>
      </c>
      <c r="AF474" s="431" t="s">
        <v>123</v>
      </c>
      <c r="AG474" s="431" t="s">
        <v>123</v>
      </c>
      <c r="AH474" s="431" t="s">
        <v>356</v>
      </c>
      <c r="AI474" s="441">
        <v>46144</v>
      </c>
      <c r="AJ474" s="441">
        <v>46145</v>
      </c>
      <c r="AK474" s="441">
        <v>46145</v>
      </c>
      <c r="AL474" s="441">
        <v>46181</v>
      </c>
      <c r="AM474" s="455">
        <v>46183</v>
      </c>
      <c r="AN474" s="455">
        <v>46183</v>
      </c>
      <c r="AO474" s="431" t="s">
        <v>402</v>
      </c>
      <c r="AP474" s="431" t="s">
        <v>2321</v>
      </c>
      <c r="AQ474" s="431" t="s">
        <v>161</v>
      </c>
      <c r="AR474" s="431" t="s">
        <v>2322</v>
      </c>
      <c r="AS474" s="431" t="s">
        <v>2323</v>
      </c>
      <c r="AT474" s="482" t="s">
        <v>2323</v>
      </c>
      <c r="AU47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</v>
      </c>
      <c r="AV474" s="441"/>
      <c r="AW474" s="441" cm="1">
        <f t="array" ref="AW47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46183</v>
      </c>
      <c r="AX47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74" s="441">
        <f>IF(ISERROR(PV_DATA[[#This Row],[New Ark PO status]]),"",_xlfn.XLOOKUP(PV_DATA[[#This Row],[SPTN-PVHK New Ark PO'#]],New_Ark_Data[Purchase order Number],New_Ark_Data[Estimated time of arrival],"",0))</f>
        <v>46198</v>
      </c>
      <c r="AZ474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74" s="441">
        <f>IFERROR(PV_DATA[[#This Row],[ODP ETA Port]]+PV_DATA[[#This Row],[Customs/Leg3 Assumption]],"n/a")</f>
        <v>46193</v>
      </c>
      <c r="BB474" s="442">
        <f>YEAR(PV_DATA[[#This Row],[ETA for New Ark update]])</f>
        <v>2026</v>
      </c>
      <c r="BC474" s="431">
        <f>MONTH(PV_DATA[[#This Row],[ETA for New Ark update]])</f>
        <v>6</v>
      </c>
      <c r="BD474" s="431">
        <f>IFERROR(_xlfn.ISOWEEKNUM(PV_DATA[[#This Row],[ETA for New Ark update]]),0)</f>
        <v>25</v>
      </c>
      <c r="BE474" s="431">
        <f>_xlfn.XLOOKUP(PV_DATA[[#This Row],[New Ark SKU]],Table9[New Ark SKU],Table9[Total PCS per Pallet],,0)</f>
        <v>36</v>
      </c>
      <c r="BF474" s="431">
        <f>_xlfn.XLOOKUP(PV_DATA[[#This Row],[New Ark SKU]],Table9[New Ark SKU],Table9[Total PCS per 40HQ Container],,0)</f>
        <v>792</v>
      </c>
      <c r="BG474" s="431" t="str">
        <f>_xlfn.XLOOKUP(PV_DATA[[#This Row],[New Ark SKU]],Table9[New Ark SKU],Table9[Back Glass],,0)</f>
        <v>Black glazing</v>
      </c>
      <c r="BH474" s="431" t="str">
        <f>_xlfn.XLOOKUP(PV_DATA[[#This Row],[PORT DESTINATION]],Table12[PORT DESTINATION],Table12[Cosco Line],,0)</f>
        <v>AEU</v>
      </c>
    </row>
    <row r="475" spans="1:60" s="431" customFormat="1" hidden="1">
      <c r="A475" s="439" t="s">
        <v>1016</v>
      </c>
      <c r="B475" s="439" t="s">
        <v>1888</v>
      </c>
      <c r="C475" s="439" t="str">
        <f>IFERROR(LEFT(PV_DATA[[#This Row],[TCL REFERENCE]],FIND(".",PV_DATA[[#This Row],[TCL REFERENCE]],1)-1),"Main Line")</f>
        <v>Main Line</v>
      </c>
      <c r="D475" s="439" t="s">
        <v>63</v>
      </c>
      <c r="E475" s="439" t="s">
        <v>64</v>
      </c>
      <c r="F475" s="462" t="str" cm="1">
        <f t="array" ref="F47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475" s="439" t="s">
        <v>402</v>
      </c>
      <c r="H475" s="439" t="s">
        <v>67</v>
      </c>
      <c r="I475" s="439" t="s">
        <v>689</v>
      </c>
      <c r="J475" s="430" t="s">
        <v>96</v>
      </c>
      <c r="M475" s="431" t="s">
        <v>68</v>
      </c>
      <c r="N475" s="461">
        <v>46111</v>
      </c>
      <c r="O475" s="431" t="s">
        <v>70</v>
      </c>
      <c r="P475" s="431" t="s">
        <v>195</v>
      </c>
      <c r="Q475" s="431" t="s">
        <v>196</v>
      </c>
      <c r="R475" s="431" t="str">
        <f>_xlfn.XLOOKUP(PV_DATA[[#This Row],[New Ark SKU]],Table9[New Ark SKU],Table9[Connector],,0)</f>
        <v>EVO2A</v>
      </c>
      <c r="S475" s="442" t="str">
        <f>_xlfn.XLOOKUP(PV_DATA[[#This Row],[New Ark SKU]],Table9[New Ark SKU],Table9[Cable],,0)</f>
        <v>±1200mm</v>
      </c>
      <c r="T475" s="442">
        <v>450</v>
      </c>
      <c r="U475" s="1067" cm="1">
        <f t="array" ref="U475">89856-fx_qty</f>
        <v>3744</v>
      </c>
      <c r="V475" s="448">
        <f>PV_DATA[[#This Row],[QUANTITY]]*PV_DATA[[#This Row],[WATT]]/1000000</f>
        <v>1.6848000000000001</v>
      </c>
      <c r="W475" s="466">
        <f>PV_DATA[[#This Row],[QUANTITY]]/PV_DATA[[#This Row],[Qty/Pallet]]</f>
        <v>104</v>
      </c>
      <c r="X475" s="1019">
        <f>PV_DATA[[#This Row],[QUANTITY]]/PV_DATA[[#This Row],[Qty/CT]]</f>
        <v>4</v>
      </c>
      <c r="Y475" s="431" t="s">
        <v>951</v>
      </c>
      <c r="Z475" s="430" t="str">
        <f t="shared" si="4"/>
        <v>COMPLETED</v>
      </c>
      <c r="AA475" s="431" t="s">
        <v>2038</v>
      </c>
      <c r="AB475" s="441">
        <v>46139</v>
      </c>
      <c r="AC475" s="445">
        <f>IF(PV_DATA[[#This Row],[Pick-Up Date]]&lt;&gt;"",_xlfn.ISOWEEKNUM(PV_DATA[[#This Row],[Pick-Up Date]]),"")</f>
        <v>18</v>
      </c>
      <c r="AD475" s="431" t="s">
        <v>2324</v>
      </c>
      <c r="AF475" s="431" t="s">
        <v>4429</v>
      </c>
      <c r="AG475" s="431" t="s">
        <v>123</v>
      </c>
      <c r="AH475" s="431" t="s">
        <v>105</v>
      </c>
      <c r="AI475" s="441">
        <v>46144</v>
      </c>
      <c r="AJ475" s="441">
        <v>46147</v>
      </c>
      <c r="AK475" s="441">
        <v>46147</v>
      </c>
      <c r="AL475" s="441">
        <v>46186</v>
      </c>
      <c r="AM475" s="441">
        <v>46200</v>
      </c>
      <c r="AN475" s="586">
        <v>46201</v>
      </c>
      <c r="AO475" s="431" t="s">
        <v>402</v>
      </c>
      <c r="AP475" s="431" t="s">
        <v>2302</v>
      </c>
      <c r="AQ475" s="431" t="s">
        <v>161</v>
      </c>
      <c r="AR475" s="431" t="s">
        <v>2325</v>
      </c>
      <c r="AS475" s="431" t="s">
        <v>2326</v>
      </c>
      <c r="AT475" s="482" t="s">
        <v>2326</v>
      </c>
      <c r="AU47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</v>
      </c>
      <c r="AW475" s="441" cm="1">
        <f t="array" ref="AW47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46201</v>
      </c>
      <c r="AX47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75" s="441">
        <f>IF(ISERROR(PV_DATA[[#This Row],[New Ark PO status]]),"",_xlfn.XLOOKUP(PV_DATA[[#This Row],[SPTN-PVHK New Ark PO'#]],New_Ark_Data[Purchase order Number],New_Ark_Data[Estimated time of arrival],"",0))</f>
        <v>46213</v>
      </c>
      <c r="AZ47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75" s="441">
        <f>IFERROR(PV_DATA[[#This Row],[ODP ETA Port]]+PV_DATA[[#This Row],[Customs/Leg3 Assumption]],"n/a")</f>
        <v>46208</v>
      </c>
      <c r="BB475" s="442">
        <f>YEAR(PV_DATA[[#This Row],[ETA for New Ark update]])</f>
        <v>2026</v>
      </c>
      <c r="BC475" s="431">
        <f>MONTH(PV_DATA[[#This Row],[ETA for New Ark update]])</f>
        <v>7</v>
      </c>
      <c r="BD475" s="431">
        <f>IFERROR(_xlfn.ISOWEEKNUM(PV_DATA[[#This Row],[ETA for New Ark update]]),0)</f>
        <v>27</v>
      </c>
      <c r="BE475" s="431">
        <f>_xlfn.XLOOKUP(PV_DATA[[#This Row],[New Ark SKU]],Table9[New Ark SKU],Table9[Total PCS per Pallet],,0)</f>
        <v>36</v>
      </c>
      <c r="BF475" s="431">
        <f>_xlfn.XLOOKUP(PV_DATA[[#This Row],[New Ark SKU]],Table9[New Ark SKU],Table9[Total PCS per 40HQ Container],,0)</f>
        <v>936</v>
      </c>
      <c r="BG475" s="431" t="str">
        <f>_xlfn.XLOOKUP(PV_DATA[[#This Row],[New Ark SKU]],Table9[New Ark SKU],Table9[Back Glass],,0)</f>
        <v>Black glazing</v>
      </c>
      <c r="BH475" s="431" t="str">
        <f>_xlfn.XLOOKUP(PV_DATA[[#This Row],[PORT DESTINATION]],Table12[PORT DESTINATION],Table12[Cosco Line],,0)</f>
        <v>AEU</v>
      </c>
    </row>
    <row r="476" spans="1:60" s="431" customFormat="1" ht="10.5" hidden="1">
      <c r="A476" s="439" t="s">
        <v>2327</v>
      </c>
      <c r="B476" s="439" t="s">
        <v>2132</v>
      </c>
      <c r="C476" s="439" t="str">
        <f>IFERROR(LEFT(PV_DATA[[#This Row],[TCL REFERENCE]],FIND(".",PV_DATA[[#This Row],[TCL REFERENCE]],1)-1),"Main Line")</f>
        <v>26Apr005</v>
      </c>
      <c r="D476" s="439" t="s">
        <v>63</v>
      </c>
      <c r="E476" s="439" t="s">
        <v>64</v>
      </c>
      <c r="F476" s="462" t="str" cm="1">
        <f t="array" ref="F47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476" s="439" t="s">
        <v>402</v>
      </c>
      <c r="H476" s="439" t="s">
        <v>67</v>
      </c>
      <c r="I476" s="439" t="s">
        <v>882</v>
      </c>
      <c r="J476" s="430" t="s">
        <v>96</v>
      </c>
      <c r="M476" s="431" t="s">
        <v>68</v>
      </c>
      <c r="N476" s="432" t="s">
        <v>68</v>
      </c>
      <c r="O476" s="431" t="s">
        <v>550</v>
      </c>
      <c r="P476" s="431" t="s">
        <v>551</v>
      </c>
      <c r="Q476" s="431" t="s">
        <v>2151</v>
      </c>
      <c r="R476" s="431" t="str">
        <f>_xlfn.XLOOKUP(PV_DATA[[#This Row],[New Ark SKU]],Table9[New Ark SKU],Table9[Connector],,0)</f>
        <v>EVO2A</v>
      </c>
      <c r="S476" s="442" t="str">
        <f>_xlfn.XLOOKUP(PV_DATA[[#This Row],[New Ark SKU]],Table9[New Ark SKU],Table9[Cable],,0)</f>
        <v>±1350mm</v>
      </c>
      <c r="T476" s="442">
        <v>510</v>
      </c>
      <c r="U476" s="1067">
        <v>1584</v>
      </c>
      <c r="V476" s="434">
        <f>PV_DATA[[#This Row],[QUANTITY]]*PV_DATA[[#This Row],[WATT]]/1000000</f>
        <v>0.80784</v>
      </c>
      <c r="W476" s="466">
        <f>PV_DATA[[#This Row],[QUANTITY]]/PV_DATA[[#This Row],[Qty/Pallet]]</f>
        <v>44</v>
      </c>
      <c r="X476" s="1019">
        <f>PV_DATA[[#This Row],[QUANTITY]]/PV_DATA[[#This Row],[Qty/CT]]</f>
        <v>2</v>
      </c>
      <c r="Y476" s="431" t="s">
        <v>951</v>
      </c>
      <c r="Z476" s="430" t="str">
        <f t="shared" si="4"/>
        <v>COMPLETED</v>
      </c>
      <c r="AA476" s="431" t="s">
        <v>2328</v>
      </c>
      <c r="AB476" s="441">
        <v>46139</v>
      </c>
      <c r="AC476" s="467">
        <f>IF(PV_DATA[[#This Row],[Pick-Up Date]]&lt;&gt;"",_xlfn.ISOWEEKNUM(PV_DATA[[#This Row],[Pick-Up Date]]),"")</f>
        <v>18</v>
      </c>
      <c r="AD476" s="431" t="s">
        <v>2329</v>
      </c>
      <c r="AF476" s="431" t="s">
        <v>123</v>
      </c>
      <c r="AG476" s="431" t="s">
        <v>123</v>
      </c>
      <c r="AH476" s="431" t="s">
        <v>105</v>
      </c>
      <c r="AI476" s="441">
        <v>46144</v>
      </c>
      <c r="AJ476" s="441">
        <v>46147</v>
      </c>
      <c r="AK476" s="441">
        <v>46147</v>
      </c>
      <c r="AL476" s="441">
        <v>46186</v>
      </c>
      <c r="AM476" s="441">
        <v>46200</v>
      </c>
      <c r="AN476" s="586">
        <v>46201</v>
      </c>
      <c r="AO476" s="431" t="s">
        <v>402</v>
      </c>
      <c r="AP476" s="431" t="s">
        <v>2302</v>
      </c>
      <c r="AQ476" s="431" t="s">
        <v>161</v>
      </c>
      <c r="AR476" s="431" t="s">
        <v>2330</v>
      </c>
      <c r="AS476" s="431" t="s">
        <v>2331</v>
      </c>
      <c r="AT476" s="482" t="s">
        <v>2331</v>
      </c>
      <c r="AU47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</v>
      </c>
      <c r="AV476" s="441"/>
      <c r="AW476" s="441" cm="1">
        <f t="array" ref="AW47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46201</v>
      </c>
      <c r="AX47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76" s="441">
        <f>IF(ISERROR(PV_DATA[[#This Row],[New Ark PO status]]),"",_xlfn.XLOOKUP(PV_DATA[[#This Row],[SPTN-PVHK New Ark PO'#]],New_Ark_Data[Purchase order Number],New_Ark_Data[Estimated time of arrival],"",0))</f>
        <v>46213</v>
      </c>
      <c r="AZ47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76" s="441">
        <f>IFERROR(PV_DATA[[#This Row],[ODP ETA Port]]+PV_DATA[[#This Row],[Customs/Leg3 Assumption]],"n/a")</f>
        <v>46208</v>
      </c>
      <c r="BB476" s="442">
        <f>YEAR(PV_DATA[[#This Row],[ETA for New Ark update]])</f>
        <v>2026</v>
      </c>
      <c r="BC476" s="431">
        <f>MONTH(PV_DATA[[#This Row],[ETA for New Ark update]])</f>
        <v>7</v>
      </c>
      <c r="BD476" s="431">
        <f>IFERROR(_xlfn.ISOWEEKNUM(PV_DATA[[#This Row],[ETA for New Ark update]]),0)</f>
        <v>27</v>
      </c>
      <c r="BE476" s="431">
        <f>_xlfn.XLOOKUP(PV_DATA[[#This Row],[New Ark SKU]],Table9[New Ark SKU],Table9[Total PCS per Pallet],,0)</f>
        <v>36</v>
      </c>
      <c r="BF476" s="431">
        <f>_xlfn.XLOOKUP(PV_DATA[[#This Row],[New Ark SKU]],Table9[New Ark SKU],Table9[Total PCS per 40HQ Container],,0)</f>
        <v>792</v>
      </c>
      <c r="BG476" s="431" t="str">
        <f>_xlfn.XLOOKUP(PV_DATA[[#This Row],[New Ark SKU]],Table9[New Ark SKU],Table9[Back Glass],,0)</f>
        <v>Black glazing</v>
      </c>
      <c r="BH476" s="431" t="str">
        <f>_xlfn.XLOOKUP(PV_DATA[[#This Row],[PORT DESTINATION]],Table12[PORT DESTINATION],Table12[Cosco Line],,0)</f>
        <v>AEU</v>
      </c>
    </row>
    <row r="477" spans="1:60" s="431" customFormat="1" ht="10.5" hidden="1">
      <c r="A477" s="439" t="s">
        <v>2332</v>
      </c>
      <c r="B477" s="439" t="s">
        <v>2132</v>
      </c>
      <c r="C477" s="439" t="str">
        <f>IFERROR(LEFT(PV_DATA[[#This Row],[TCL REFERENCE]],FIND(".",PV_DATA[[#This Row],[TCL REFERENCE]],1)-1),"Main Line")</f>
        <v>26Apr006</v>
      </c>
      <c r="D477" s="439" t="s">
        <v>63</v>
      </c>
      <c r="E477" s="439" t="s">
        <v>64</v>
      </c>
      <c r="F477" s="462" t="str" cm="1">
        <f t="array" ref="F47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477" s="439" t="s">
        <v>402</v>
      </c>
      <c r="H477" s="439" t="s">
        <v>67</v>
      </c>
      <c r="I477" s="439" t="s">
        <v>1395</v>
      </c>
      <c r="J477" s="430" t="s">
        <v>96</v>
      </c>
      <c r="M477" s="431" t="s">
        <v>68</v>
      </c>
      <c r="N477" s="432" t="s">
        <v>68</v>
      </c>
      <c r="O477" s="431" t="s">
        <v>550</v>
      </c>
      <c r="P477" s="431" t="s">
        <v>2134</v>
      </c>
      <c r="Q477" s="431" t="s">
        <v>2135</v>
      </c>
      <c r="R477" s="431" t="str">
        <f>_xlfn.XLOOKUP(PV_DATA[[#This Row],[New Ark SKU]],Table9[New Ark SKU],Table9[Connector],,0)</f>
        <v>EVO2A</v>
      </c>
      <c r="S477" s="442" t="str">
        <f>_xlfn.XLOOKUP(PV_DATA[[#This Row],[New Ark SKU]],Table9[New Ark SKU],Table9[Cable],,0)</f>
        <v>±1350mm</v>
      </c>
      <c r="T477" s="442">
        <v>515</v>
      </c>
      <c r="U477" s="1067">
        <v>1584</v>
      </c>
      <c r="V477" s="434">
        <f>PV_DATA[[#This Row],[QUANTITY]]*PV_DATA[[#This Row],[WATT]]/1000000</f>
        <v>0.81576000000000004</v>
      </c>
      <c r="W477" s="466">
        <f>PV_DATA[[#This Row],[QUANTITY]]/PV_DATA[[#This Row],[Qty/Pallet]]</f>
        <v>44</v>
      </c>
      <c r="X477" s="1019">
        <f>PV_DATA[[#This Row],[QUANTITY]]/PV_DATA[[#This Row],[Qty/CT]]</f>
        <v>2</v>
      </c>
      <c r="Y477" s="431" t="s">
        <v>951</v>
      </c>
      <c r="Z477" s="430" t="str">
        <f t="shared" si="4"/>
        <v>COMPLETED</v>
      </c>
      <c r="AA477" s="441" t="s">
        <v>2328</v>
      </c>
      <c r="AB477" s="441">
        <v>46139</v>
      </c>
      <c r="AC477" s="467">
        <f>IF(PV_DATA[[#This Row],[Pick-Up Date]]&lt;&gt;"",_xlfn.ISOWEEKNUM(PV_DATA[[#This Row],[Pick-Up Date]]),"")</f>
        <v>18</v>
      </c>
      <c r="AD477" s="431" t="s">
        <v>2333</v>
      </c>
      <c r="AF477" s="431" t="s">
        <v>123</v>
      </c>
      <c r="AG477" s="431" t="s">
        <v>123</v>
      </c>
      <c r="AH477" s="431" t="s">
        <v>105</v>
      </c>
      <c r="AI477" s="441">
        <v>46144</v>
      </c>
      <c r="AJ477" s="441">
        <v>46147</v>
      </c>
      <c r="AK477" s="441">
        <v>46147</v>
      </c>
      <c r="AL477" s="441">
        <v>46186</v>
      </c>
      <c r="AM477" s="441">
        <v>46200</v>
      </c>
      <c r="AN477" s="586">
        <v>46201</v>
      </c>
      <c r="AO477" s="431" t="s">
        <v>402</v>
      </c>
      <c r="AP477" s="431" t="s">
        <v>2302</v>
      </c>
      <c r="AQ477" s="431" t="s">
        <v>161</v>
      </c>
      <c r="AR477" s="431" t="s">
        <v>2330</v>
      </c>
      <c r="AS477" s="431" t="s">
        <v>2331</v>
      </c>
      <c r="AT477" s="482" t="s">
        <v>2331</v>
      </c>
      <c r="AU47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</v>
      </c>
      <c r="AV477" s="441"/>
      <c r="AW477" s="441" cm="1">
        <f t="array" ref="AW47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46201</v>
      </c>
      <c r="AX47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77" s="441">
        <f>IF(ISERROR(PV_DATA[[#This Row],[New Ark PO status]]),"",_xlfn.XLOOKUP(PV_DATA[[#This Row],[SPTN-PVHK New Ark PO'#]],New_Ark_Data[Purchase order Number],New_Ark_Data[Estimated time of arrival],"",0))</f>
        <v>46213</v>
      </c>
      <c r="AZ477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77" s="441">
        <f>IFERROR(PV_DATA[[#This Row],[ODP ETA Port]]+PV_DATA[[#This Row],[Customs/Leg3 Assumption]],"n/a")</f>
        <v>46208</v>
      </c>
      <c r="BB477" s="442">
        <f>YEAR(PV_DATA[[#This Row],[ETA for New Ark update]])</f>
        <v>2026</v>
      </c>
      <c r="BC477" s="431">
        <f>MONTH(PV_DATA[[#This Row],[ETA for New Ark update]])</f>
        <v>7</v>
      </c>
      <c r="BD477" s="431">
        <f>IFERROR(_xlfn.ISOWEEKNUM(PV_DATA[[#This Row],[ETA for New Ark update]]),0)</f>
        <v>27</v>
      </c>
      <c r="BE477" s="431">
        <f>_xlfn.XLOOKUP(PV_DATA[[#This Row],[New Ark SKU]],Table9[New Ark SKU],Table9[Total PCS per Pallet],,0)</f>
        <v>36</v>
      </c>
      <c r="BF477" s="431">
        <f>_xlfn.XLOOKUP(PV_DATA[[#This Row],[New Ark SKU]],Table9[New Ark SKU],Table9[Total PCS per 40HQ Container],,0)</f>
        <v>792</v>
      </c>
      <c r="BG477" s="431" t="str">
        <f>_xlfn.XLOOKUP(PV_DATA[[#This Row],[New Ark SKU]],Table9[New Ark SKU],Table9[Back Glass],,0)</f>
        <v>Black glazing</v>
      </c>
      <c r="BH477" s="431" t="str">
        <f>_xlfn.XLOOKUP(PV_DATA[[#This Row],[PORT DESTINATION]],Table12[PORT DESTINATION],Table12[Cosco Line],,0)</f>
        <v>AEU</v>
      </c>
    </row>
    <row r="478" spans="1:60" s="431" customFormat="1" ht="10.5" hidden="1">
      <c r="A478" s="439" t="s">
        <v>2334</v>
      </c>
      <c r="B478" s="439" t="s">
        <v>111</v>
      </c>
      <c r="C478" s="439" t="str">
        <f>IFERROR(LEFT(PV_DATA[[#This Row],[TCL REFERENCE]],FIND(".",PV_DATA[[#This Row],[TCL REFERENCE]],1)-1),"Main Line")</f>
        <v>26Apr004</v>
      </c>
      <c r="D478" s="439" t="s">
        <v>63</v>
      </c>
      <c r="E478" s="439" t="s">
        <v>64</v>
      </c>
      <c r="F478" s="462" t="str" cm="1">
        <f t="array" ref="F47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478" s="439" t="s">
        <v>402</v>
      </c>
      <c r="H478" s="439" t="s">
        <v>67</v>
      </c>
      <c r="I478" s="439" t="s">
        <v>689</v>
      </c>
      <c r="J478" s="430" t="s">
        <v>96</v>
      </c>
      <c r="M478" s="431" t="s">
        <v>68</v>
      </c>
      <c r="N478" s="461">
        <v>46139</v>
      </c>
      <c r="O478" s="431" t="s">
        <v>473</v>
      </c>
      <c r="P478" s="431" t="s">
        <v>474</v>
      </c>
      <c r="Q478" s="431" t="s">
        <v>1319</v>
      </c>
      <c r="R478" s="431" t="str">
        <f>_xlfn.XLOOKUP(PV_DATA[[#This Row],[New Ark SKU]],Table9[New Ark SKU],Table9[Connector],,0)</f>
        <v>EVO2A</v>
      </c>
      <c r="S478" s="442" t="str">
        <f>_xlfn.XLOOKUP(PV_DATA[[#This Row],[New Ark SKU]],Table9[New Ark SKU],Table9[Cable],,0)</f>
        <v>±1200mm</v>
      </c>
      <c r="T478" s="442">
        <v>460</v>
      </c>
      <c r="U478" s="1067">
        <f>864*2</f>
        <v>1728</v>
      </c>
      <c r="V478" s="448">
        <f>PV_DATA[[#This Row],[QUANTITY]]*PV_DATA[[#This Row],[WATT]]/1000000</f>
        <v>0.79488000000000003</v>
      </c>
      <c r="W478" s="466">
        <f>PV_DATA[[#This Row],[QUANTITY]]/PV_DATA[[#This Row],[Qty/Pallet]]</f>
        <v>48</v>
      </c>
      <c r="X478" s="1019">
        <f>PV_DATA[[#This Row],[QUANTITY]]/PV_DATA[[#This Row],[Qty/CT]]</f>
        <v>2</v>
      </c>
      <c r="Y478" s="431" t="s">
        <v>951</v>
      </c>
      <c r="Z478" s="430" t="str">
        <f t="shared" si="4"/>
        <v>COMPLETED</v>
      </c>
      <c r="AA478" s="447" t="s">
        <v>2183</v>
      </c>
      <c r="AB478" s="441">
        <v>46138</v>
      </c>
      <c r="AC478" s="445">
        <f>IF(PV_DATA[[#This Row],[Pick-Up Date]]&lt;&gt;"",_xlfn.ISOWEEKNUM(PV_DATA[[#This Row],[Pick-Up Date]]),"")</f>
        <v>17</v>
      </c>
      <c r="AD478" s="431" t="s">
        <v>2335</v>
      </c>
      <c r="AF478" s="431" t="s">
        <v>123</v>
      </c>
      <c r="AG478" s="431" t="s">
        <v>123</v>
      </c>
      <c r="AH478" s="431" t="s">
        <v>105</v>
      </c>
      <c r="AI478" s="441">
        <v>46144</v>
      </c>
      <c r="AJ478" s="441">
        <v>46147</v>
      </c>
      <c r="AK478" s="441">
        <v>46147</v>
      </c>
      <c r="AL478" s="441">
        <v>46186</v>
      </c>
      <c r="AM478" s="441">
        <v>46200</v>
      </c>
      <c r="AN478" s="586">
        <v>46201</v>
      </c>
      <c r="AO478" s="431" t="s">
        <v>402</v>
      </c>
      <c r="AP478" s="431" t="s">
        <v>2302</v>
      </c>
      <c r="AQ478" s="431" t="s">
        <v>161</v>
      </c>
      <c r="AR478" s="431" t="s">
        <v>2336</v>
      </c>
      <c r="AT478" s="482" t="s">
        <v>2337</v>
      </c>
      <c r="AU47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</v>
      </c>
      <c r="AV478" s="441"/>
      <c r="AW478" s="441" cm="1">
        <f t="array" ref="AW47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46201</v>
      </c>
      <c r="AX47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78" s="441">
        <f>IF(ISERROR(PV_DATA[[#This Row],[New Ark PO status]]),"",_xlfn.XLOOKUP(PV_DATA[[#This Row],[SPTN-PVHK New Ark PO'#]],New_Ark_Data[Purchase order Number],New_Ark_Data[Estimated time of arrival],"",0))</f>
        <v>46213</v>
      </c>
      <c r="AZ478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78" s="441">
        <f>IFERROR(PV_DATA[[#This Row],[ODP ETA Port]]+PV_DATA[[#This Row],[Customs/Leg3 Assumption]],"n/a")</f>
        <v>46208</v>
      </c>
      <c r="BB478" s="442">
        <f>YEAR(PV_DATA[[#This Row],[ETA for New Ark update]])</f>
        <v>2026</v>
      </c>
      <c r="BC478" s="431">
        <f>MONTH(PV_DATA[[#This Row],[ETA for New Ark update]])</f>
        <v>7</v>
      </c>
      <c r="BD478" s="431">
        <f>IFERROR(_xlfn.ISOWEEKNUM(PV_DATA[[#This Row],[ETA for New Ark update]]),0)</f>
        <v>27</v>
      </c>
      <c r="BE478" s="431">
        <f>_xlfn.XLOOKUP(PV_DATA[[#This Row],[New Ark SKU]],Table9[New Ark SKU],Table9[Total PCS per Pallet],,0)</f>
        <v>36</v>
      </c>
      <c r="BF478" s="431">
        <f>_xlfn.XLOOKUP(PV_DATA[[#This Row],[New Ark SKU]],Table9[New Ark SKU],Table9[Total PCS per 40HQ Container],,0)</f>
        <v>864</v>
      </c>
      <c r="BG478" s="431" t="str">
        <f>_xlfn.XLOOKUP(PV_DATA[[#This Row],[New Ark SKU]],Table9[New Ark SKU],Table9[Back Glass],,0)</f>
        <v>Black glazing</v>
      </c>
      <c r="BH478" s="431" t="str">
        <f>_xlfn.XLOOKUP(PV_DATA[[#This Row],[PORT DESTINATION]],Table12[PORT DESTINATION],Table12[Cosco Line],,0)</f>
        <v>AEU</v>
      </c>
    </row>
    <row r="479" spans="1:60" s="431" customFormat="1" ht="10.5" hidden="1">
      <c r="A479" s="439" t="s">
        <v>2338</v>
      </c>
      <c r="B479" s="439" t="s">
        <v>111</v>
      </c>
      <c r="C479" s="439" t="str">
        <f>IFERROR(LEFT(PV_DATA[[#This Row],[TCL REFERENCE]],FIND(".",PV_DATA[[#This Row],[TCL REFERENCE]],1)-1),"Main Line")</f>
        <v>26Apr004</v>
      </c>
      <c r="D479" s="439" t="s">
        <v>63</v>
      </c>
      <c r="E479" s="439" t="s">
        <v>64</v>
      </c>
      <c r="F479" s="462" t="str" cm="1">
        <f t="array" ref="F47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479" s="439" t="s">
        <v>402</v>
      </c>
      <c r="H479" s="439" t="s">
        <v>67</v>
      </c>
      <c r="I479" s="439" t="s">
        <v>689</v>
      </c>
      <c r="J479" s="430" t="s">
        <v>96</v>
      </c>
      <c r="M479" s="431" t="s">
        <v>68</v>
      </c>
      <c r="N479" s="461">
        <v>46139</v>
      </c>
      <c r="O479" s="431" t="s">
        <v>473</v>
      </c>
      <c r="P479" s="431" t="s">
        <v>474</v>
      </c>
      <c r="Q479" s="431" t="s">
        <v>1319</v>
      </c>
      <c r="R479" s="431" t="str">
        <f>_xlfn.XLOOKUP(PV_DATA[[#This Row],[New Ark SKU]],Table9[New Ark SKU],Table9[Connector],,0)</f>
        <v>EVO2A</v>
      </c>
      <c r="S479" s="442" t="str">
        <f>_xlfn.XLOOKUP(PV_DATA[[#This Row],[New Ark SKU]],Table9[New Ark SKU],Table9[Cable],,0)</f>
        <v>±1200mm</v>
      </c>
      <c r="T479" s="442">
        <v>460</v>
      </c>
      <c r="U479" s="1067">
        <f>864*2</f>
        <v>1728</v>
      </c>
      <c r="V479" s="448">
        <f>PV_DATA[[#This Row],[QUANTITY]]*PV_DATA[[#This Row],[WATT]]/1000000</f>
        <v>0.79488000000000003</v>
      </c>
      <c r="W479" s="466">
        <f>PV_DATA[[#This Row],[QUANTITY]]/PV_DATA[[#This Row],[Qty/Pallet]]</f>
        <v>48</v>
      </c>
      <c r="X479" s="1019">
        <f>PV_DATA[[#This Row],[QUANTITY]]/PV_DATA[[#This Row],[Qty/CT]]</f>
        <v>2</v>
      </c>
      <c r="Y479" s="431" t="s">
        <v>951</v>
      </c>
      <c r="Z479" s="430" t="str">
        <f t="shared" si="4"/>
        <v>COMPLETED</v>
      </c>
      <c r="AA479" s="447" t="s">
        <v>2183</v>
      </c>
      <c r="AB479" s="441">
        <v>46138</v>
      </c>
      <c r="AC479" s="445">
        <f>IF(PV_DATA[[#This Row],[Pick-Up Date]]&lt;&gt;"",_xlfn.ISOWEEKNUM(PV_DATA[[#This Row],[Pick-Up Date]]),"")</f>
        <v>17</v>
      </c>
      <c r="AD479" s="431" t="s">
        <v>2339</v>
      </c>
      <c r="AF479" s="431" t="s">
        <v>123</v>
      </c>
      <c r="AG479" s="431" t="s">
        <v>123</v>
      </c>
      <c r="AH479" s="431" t="s">
        <v>105</v>
      </c>
      <c r="AI479" s="441">
        <v>46144</v>
      </c>
      <c r="AJ479" s="441">
        <v>46147</v>
      </c>
      <c r="AK479" s="441">
        <v>46147</v>
      </c>
      <c r="AL479" s="441">
        <v>46186</v>
      </c>
      <c r="AM479" s="441">
        <v>46200</v>
      </c>
      <c r="AN479" s="586">
        <v>46201</v>
      </c>
      <c r="AO479" s="431" t="s">
        <v>402</v>
      </c>
      <c r="AP479" s="431" t="s">
        <v>2302</v>
      </c>
      <c r="AQ479" s="431" t="s">
        <v>161</v>
      </c>
      <c r="AR479" s="431" t="s">
        <v>2336</v>
      </c>
      <c r="AT479" s="482" t="s">
        <v>2337</v>
      </c>
      <c r="AU47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</v>
      </c>
      <c r="AV479" s="441"/>
      <c r="AW479" s="441" cm="1">
        <f t="array" ref="AW47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46201</v>
      </c>
      <c r="AX47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79" s="441">
        <f>IF(ISERROR(PV_DATA[[#This Row],[New Ark PO status]]),"",_xlfn.XLOOKUP(PV_DATA[[#This Row],[SPTN-PVHK New Ark PO'#]],New_Ark_Data[Purchase order Number],New_Ark_Data[Estimated time of arrival],"",0))</f>
        <v>46213</v>
      </c>
      <c r="AZ479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79" s="441">
        <f>IFERROR(PV_DATA[[#This Row],[ODP ETA Port]]+PV_DATA[[#This Row],[Customs/Leg3 Assumption]],"n/a")</f>
        <v>46208</v>
      </c>
      <c r="BB479" s="442">
        <f>YEAR(PV_DATA[[#This Row],[ETA for New Ark update]])</f>
        <v>2026</v>
      </c>
      <c r="BC479" s="431">
        <f>MONTH(PV_DATA[[#This Row],[ETA for New Ark update]])</f>
        <v>7</v>
      </c>
      <c r="BD479" s="431">
        <f>IFERROR(_xlfn.ISOWEEKNUM(PV_DATA[[#This Row],[ETA for New Ark update]]),0)</f>
        <v>27</v>
      </c>
      <c r="BE479" s="431">
        <f>_xlfn.XLOOKUP(PV_DATA[[#This Row],[New Ark SKU]],Table9[New Ark SKU],Table9[Total PCS per Pallet],,0)</f>
        <v>36</v>
      </c>
      <c r="BF479" s="431">
        <f>_xlfn.XLOOKUP(PV_DATA[[#This Row],[New Ark SKU]],Table9[New Ark SKU],Table9[Total PCS per 40HQ Container],,0)</f>
        <v>864</v>
      </c>
      <c r="BG479" s="431" t="str">
        <f>_xlfn.XLOOKUP(PV_DATA[[#This Row],[New Ark SKU]],Table9[New Ark SKU],Table9[Back Glass],,0)</f>
        <v>Black glazing</v>
      </c>
      <c r="BH479" s="431" t="str">
        <f>_xlfn.XLOOKUP(PV_DATA[[#This Row],[PORT DESTINATION]],Table12[PORT DESTINATION],Table12[Cosco Line],,0)</f>
        <v>AEU</v>
      </c>
    </row>
    <row r="480" spans="1:60" s="431" customFormat="1" ht="10.5" hidden="1">
      <c r="A480" s="439" t="s">
        <v>2340</v>
      </c>
      <c r="B480" s="439" t="s">
        <v>111</v>
      </c>
      <c r="C480" s="439" t="str">
        <f>IFERROR(LEFT(PV_DATA[[#This Row],[TCL REFERENCE]],FIND(".",PV_DATA[[#This Row],[TCL REFERENCE]],1)-1),"Main Line")</f>
        <v>26Apr004</v>
      </c>
      <c r="D480" s="439" t="s">
        <v>63</v>
      </c>
      <c r="E480" s="439" t="s">
        <v>64</v>
      </c>
      <c r="F480" s="462" t="str" cm="1">
        <f t="array" ref="F48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480" s="439" t="s">
        <v>402</v>
      </c>
      <c r="H480" s="439" t="s">
        <v>67</v>
      </c>
      <c r="I480" s="439" t="s">
        <v>689</v>
      </c>
      <c r="J480" s="430" t="s">
        <v>96</v>
      </c>
      <c r="M480" s="431" t="s">
        <v>68</v>
      </c>
      <c r="N480" s="461">
        <v>46139</v>
      </c>
      <c r="O480" s="431" t="s">
        <v>473</v>
      </c>
      <c r="P480" s="431" t="s">
        <v>474</v>
      </c>
      <c r="Q480" s="431" t="s">
        <v>1319</v>
      </c>
      <c r="R480" s="431" t="str">
        <f>_xlfn.XLOOKUP(PV_DATA[[#This Row],[New Ark SKU]],Table9[New Ark SKU],Table9[Connector],,0)</f>
        <v>EVO2A</v>
      </c>
      <c r="S480" s="442" t="str">
        <f>_xlfn.XLOOKUP(PV_DATA[[#This Row],[New Ark SKU]],Table9[New Ark SKU],Table9[Cable],,0)</f>
        <v>±1200mm</v>
      </c>
      <c r="T480" s="442">
        <v>460</v>
      </c>
      <c r="U480" s="1067">
        <v>2592</v>
      </c>
      <c r="V480" s="448">
        <f>PV_DATA[[#This Row],[QUANTITY]]*PV_DATA[[#This Row],[WATT]]/1000000</f>
        <v>1.19232</v>
      </c>
      <c r="W480" s="466">
        <f>PV_DATA[[#This Row],[QUANTITY]]/PV_DATA[[#This Row],[Qty/Pallet]]</f>
        <v>72</v>
      </c>
      <c r="X480" s="1019">
        <f>PV_DATA[[#This Row],[QUANTITY]]/PV_DATA[[#This Row],[Qty/CT]]</f>
        <v>3</v>
      </c>
      <c r="Y480" s="431" t="s">
        <v>951</v>
      </c>
      <c r="Z480" s="430" t="str">
        <f t="shared" si="4"/>
        <v>COMPLETED</v>
      </c>
      <c r="AB480" s="441">
        <v>46138</v>
      </c>
      <c r="AC480" s="445">
        <f>IF(PV_DATA[[#This Row],[Pick-Up Date]]&lt;&gt;"",_xlfn.ISOWEEKNUM(PV_DATA[[#This Row],[Pick-Up Date]]),"")</f>
        <v>17</v>
      </c>
      <c r="AD480" s="431" t="s">
        <v>2341</v>
      </c>
      <c r="AF480" s="431" t="s">
        <v>123</v>
      </c>
      <c r="AG480" s="431" t="s">
        <v>123</v>
      </c>
      <c r="AH480" s="431" t="s">
        <v>105</v>
      </c>
      <c r="AI480" s="441">
        <v>46144</v>
      </c>
      <c r="AJ480" s="441">
        <v>46147</v>
      </c>
      <c r="AK480" s="441">
        <v>46147</v>
      </c>
      <c r="AL480" s="441">
        <v>46186</v>
      </c>
      <c r="AM480" s="441">
        <v>46200</v>
      </c>
      <c r="AN480" s="586">
        <v>46201</v>
      </c>
      <c r="AO480" s="431" t="s">
        <v>402</v>
      </c>
      <c r="AP480" s="431" t="s">
        <v>2302</v>
      </c>
      <c r="AQ480" s="431" t="s">
        <v>161</v>
      </c>
      <c r="AR480" s="431" t="s">
        <v>2336</v>
      </c>
      <c r="AT480" s="482" t="s">
        <v>2337</v>
      </c>
      <c r="AU48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</v>
      </c>
      <c r="AV480" s="441"/>
      <c r="AW480" s="441" cm="1">
        <f t="array" ref="AW48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46201</v>
      </c>
      <c r="AX48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80" s="441">
        <f>IF(ISERROR(PV_DATA[[#This Row],[New Ark PO status]]),"",_xlfn.XLOOKUP(PV_DATA[[#This Row],[SPTN-PVHK New Ark PO'#]],New_Ark_Data[Purchase order Number],New_Ark_Data[Estimated time of arrival],"",0))</f>
        <v>46213</v>
      </c>
      <c r="AZ480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80" s="441">
        <f>IFERROR(PV_DATA[[#This Row],[ODP ETA Port]]+PV_DATA[[#This Row],[Customs/Leg3 Assumption]],"n/a")</f>
        <v>46208</v>
      </c>
      <c r="BB480" s="442">
        <f>YEAR(PV_DATA[[#This Row],[ETA for New Ark update]])</f>
        <v>2026</v>
      </c>
      <c r="BC480" s="431">
        <f>MONTH(PV_DATA[[#This Row],[ETA for New Ark update]])</f>
        <v>7</v>
      </c>
      <c r="BD480" s="431">
        <f>IFERROR(_xlfn.ISOWEEKNUM(PV_DATA[[#This Row],[ETA for New Ark update]]),0)</f>
        <v>27</v>
      </c>
      <c r="BE480" s="431">
        <f>_xlfn.XLOOKUP(PV_DATA[[#This Row],[New Ark SKU]],Table9[New Ark SKU],Table9[Total PCS per Pallet],,0)</f>
        <v>36</v>
      </c>
      <c r="BF480" s="431">
        <f>_xlfn.XLOOKUP(PV_DATA[[#This Row],[New Ark SKU]],Table9[New Ark SKU],Table9[Total PCS per 40HQ Container],,0)</f>
        <v>864</v>
      </c>
      <c r="BG480" s="431" t="str">
        <f>_xlfn.XLOOKUP(PV_DATA[[#This Row],[New Ark SKU]],Table9[New Ark SKU],Table9[Back Glass],,0)</f>
        <v>Black glazing</v>
      </c>
      <c r="BH480" s="431" t="str">
        <f>_xlfn.XLOOKUP(PV_DATA[[#This Row],[PORT DESTINATION]],Table12[PORT DESTINATION],Table12[Cosco Line],,0)</f>
        <v>AEU</v>
      </c>
    </row>
    <row r="481" spans="1:60" s="431" customFormat="1" ht="10.5" hidden="1">
      <c r="A481" s="439" t="s">
        <v>2342</v>
      </c>
      <c r="B481" s="439" t="s">
        <v>2132</v>
      </c>
      <c r="C481" s="439" t="str">
        <f>IFERROR(LEFT(PV_DATA[[#This Row],[TCL REFERENCE]],FIND(".",PV_DATA[[#This Row],[TCL REFERENCE]],1)-1),"Main Line")</f>
        <v>26Apr005</v>
      </c>
      <c r="D481" s="439" t="s">
        <v>63</v>
      </c>
      <c r="E481" s="439" t="s">
        <v>64</v>
      </c>
      <c r="F481" s="462" t="str" cm="1">
        <f t="array" ref="F48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81" s="439" t="s">
        <v>402</v>
      </c>
      <c r="H481" s="439" t="s">
        <v>67</v>
      </c>
      <c r="I481" s="439" t="s">
        <v>882</v>
      </c>
      <c r="J481" s="430" t="s">
        <v>96</v>
      </c>
      <c r="M481" s="431" t="s">
        <v>68</v>
      </c>
      <c r="N481" s="432" t="s">
        <v>68</v>
      </c>
      <c r="O481" s="431" t="s">
        <v>550</v>
      </c>
      <c r="P481" s="431" t="s">
        <v>551</v>
      </c>
      <c r="Q481" s="431" t="s">
        <v>2151</v>
      </c>
      <c r="R481" s="431" t="str">
        <f>_xlfn.XLOOKUP(PV_DATA[[#This Row],[New Ark SKU]],Table9[New Ark SKU],Table9[Connector],,0)</f>
        <v>EVO2A</v>
      </c>
      <c r="S481" s="442" t="str">
        <f>_xlfn.XLOOKUP(PV_DATA[[#This Row],[New Ark SKU]],Table9[New Ark SKU],Table9[Cable],,0)</f>
        <v>±1350mm</v>
      </c>
      <c r="T481" s="442">
        <v>510</v>
      </c>
      <c r="U481" s="1067">
        <v>1584</v>
      </c>
      <c r="V481" s="434">
        <f>PV_DATA[[#This Row],[QUANTITY]]*PV_DATA[[#This Row],[WATT]]/1000000</f>
        <v>0.80784</v>
      </c>
      <c r="W481" s="466">
        <f>PV_DATA[[#This Row],[QUANTITY]]/PV_DATA[[#This Row],[Qty/Pallet]]</f>
        <v>44</v>
      </c>
      <c r="X481" s="1019">
        <f>PV_DATA[[#This Row],[QUANTITY]]/PV_DATA[[#This Row],[Qty/CT]]</f>
        <v>2</v>
      </c>
      <c r="Y481" s="431" t="s">
        <v>951</v>
      </c>
      <c r="Z481" s="430" t="str">
        <f t="shared" si="4"/>
        <v>COMPLETED</v>
      </c>
      <c r="AA481" s="431" t="s">
        <v>2343</v>
      </c>
      <c r="AB481" s="441">
        <v>46141</v>
      </c>
      <c r="AC481" s="467">
        <f>IF(PV_DATA[[#This Row],[Pick-Up Date]]&lt;&gt;"",_xlfn.ISOWEEKNUM(PV_DATA[[#This Row],[Pick-Up Date]]),"")</f>
        <v>18</v>
      </c>
      <c r="AD481" s="431" t="s">
        <v>2344</v>
      </c>
      <c r="AF481" s="431" t="s">
        <v>123</v>
      </c>
      <c r="AG481" s="431" t="s">
        <v>123</v>
      </c>
      <c r="AH481" s="431" t="s">
        <v>78</v>
      </c>
      <c r="AI481" s="441">
        <v>46147</v>
      </c>
      <c r="AJ481" s="441">
        <v>46147</v>
      </c>
      <c r="AK481" s="441">
        <v>46147</v>
      </c>
      <c r="AL481" s="441">
        <v>46189</v>
      </c>
      <c r="AM481" s="455">
        <v>46196</v>
      </c>
      <c r="AN481" s="455">
        <v>46196</v>
      </c>
      <c r="AO481" s="431" t="s">
        <v>402</v>
      </c>
      <c r="AP481" s="431" t="s">
        <v>2345</v>
      </c>
      <c r="AQ481" s="431" t="s">
        <v>80</v>
      </c>
      <c r="AR481" s="431" t="s">
        <v>2346</v>
      </c>
      <c r="AS481" s="431" t="s">
        <v>2347</v>
      </c>
      <c r="AT481" s="482" t="s">
        <v>2347</v>
      </c>
      <c r="AU48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V481" s="441"/>
      <c r="AW481" s="441" cm="1">
        <f t="array" ref="AW48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46196</v>
      </c>
      <c r="AX48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81" s="441">
        <f>IF(ISERROR(PV_DATA[[#This Row],[New Ark PO status]]),"",_xlfn.XLOOKUP(PV_DATA[[#This Row],[SPTN-PVHK New Ark PO'#]],New_Ark_Data[Purchase order Number],New_Ark_Data[Estimated time of arrival],"",0))</f>
        <v>46209</v>
      </c>
      <c r="AZ481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481" s="441">
        <f>IFERROR(PV_DATA[[#This Row],[ODP ETA Port]]+PV_DATA[[#This Row],[Customs/Leg3 Assumption]],"n/a")</f>
        <v>46204</v>
      </c>
      <c r="BB481" s="442">
        <f>YEAR(PV_DATA[[#This Row],[ETA for New Ark update]])</f>
        <v>2026</v>
      </c>
      <c r="BC481" s="431">
        <f>MONTH(PV_DATA[[#This Row],[ETA for New Ark update]])</f>
        <v>7</v>
      </c>
      <c r="BD481" s="431">
        <f>IFERROR(_xlfn.ISOWEEKNUM(PV_DATA[[#This Row],[ETA for New Ark update]]),0)</f>
        <v>27</v>
      </c>
      <c r="BE481" s="431">
        <f>_xlfn.XLOOKUP(PV_DATA[[#This Row],[New Ark SKU]],Table9[New Ark SKU],Table9[Total PCS per Pallet],,0)</f>
        <v>36</v>
      </c>
      <c r="BF481" s="431">
        <f>_xlfn.XLOOKUP(PV_DATA[[#This Row],[New Ark SKU]],Table9[New Ark SKU],Table9[Total PCS per 40HQ Container],,0)</f>
        <v>792</v>
      </c>
      <c r="BG481" s="431" t="str">
        <f>_xlfn.XLOOKUP(PV_DATA[[#This Row],[New Ark SKU]],Table9[New Ark SKU],Table9[Back Glass],,0)</f>
        <v>Black glazing</v>
      </c>
      <c r="BH481" s="431" t="str">
        <f>_xlfn.XLOOKUP(PV_DATA[[#This Row],[PORT DESTINATION]],Table12[PORT DESTINATION],Table12[Cosco Line],,0)</f>
        <v>AEM</v>
      </c>
    </row>
    <row r="482" spans="1:60" s="431" customFormat="1" ht="10.5" hidden="1">
      <c r="A482" s="439" t="s">
        <v>2348</v>
      </c>
      <c r="B482" s="439" t="s">
        <v>2132</v>
      </c>
      <c r="C482" s="439" t="str">
        <f>IFERROR(LEFT(PV_DATA[[#This Row],[TCL REFERENCE]],FIND(".",PV_DATA[[#This Row],[TCL REFERENCE]],1)-1),"Main Line")</f>
        <v>26Apr006</v>
      </c>
      <c r="D482" s="439" t="s">
        <v>63</v>
      </c>
      <c r="E482" s="439" t="s">
        <v>64</v>
      </c>
      <c r="F482" s="462" t="str" cm="1">
        <f t="array" ref="F48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482" s="439" t="s">
        <v>402</v>
      </c>
      <c r="H482" s="439" t="s">
        <v>311</v>
      </c>
      <c r="I482" s="439" t="s">
        <v>822</v>
      </c>
      <c r="J482" s="430" t="s">
        <v>96</v>
      </c>
      <c r="M482" s="431" t="s">
        <v>68</v>
      </c>
      <c r="N482" s="432" t="s">
        <v>68</v>
      </c>
      <c r="O482" s="431" t="s">
        <v>550</v>
      </c>
      <c r="P482" s="431" t="s">
        <v>2134</v>
      </c>
      <c r="Q482" s="431" t="s">
        <v>2135</v>
      </c>
      <c r="R482" s="431" t="str">
        <f>_xlfn.XLOOKUP(PV_DATA[[#This Row],[New Ark SKU]],Table9[New Ark SKU],Table9[Connector],,0)</f>
        <v>EVO2A</v>
      </c>
      <c r="S482" s="442" t="str">
        <f>_xlfn.XLOOKUP(PV_DATA[[#This Row],[New Ark SKU]],Table9[New Ark SKU],Table9[Cable],,0)</f>
        <v>±1350mm</v>
      </c>
      <c r="T482" s="442">
        <v>515</v>
      </c>
      <c r="U482" s="1067">
        <f>792*1</f>
        <v>792</v>
      </c>
      <c r="V482" s="434">
        <f>PV_DATA[[#This Row],[QUANTITY]]*PV_DATA[[#This Row],[WATT]]/1000000</f>
        <v>0.40788000000000002</v>
      </c>
      <c r="W482" s="466">
        <f>PV_DATA[[#This Row],[QUANTITY]]/PV_DATA[[#This Row],[Qty/Pallet]]</f>
        <v>22</v>
      </c>
      <c r="X482" s="1019">
        <f>PV_DATA[[#This Row],[QUANTITY]]/PV_DATA[[#This Row],[Qty/CT]]</f>
        <v>1</v>
      </c>
      <c r="Y482" s="431" t="s">
        <v>951</v>
      </c>
      <c r="Z482" s="430" t="str">
        <f t="shared" si="4"/>
        <v>COMPLETED</v>
      </c>
      <c r="AA482" s="431" t="s">
        <v>2349</v>
      </c>
      <c r="AB482" s="441">
        <v>46138</v>
      </c>
      <c r="AC482" s="467">
        <f>IF(PV_DATA[[#This Row],[Pick-Up Date]]&lt;&gt;"",_xlfn.ISOWEEKNUM(PV_DATA[[#This Row],[Pick-Up Date]]),"")</f>
        <v>17</v>
      </c>
      <c r="AD482" s="431" t="s">
        <v>2350</v>
      </c>
      <c r="AF482" s="431" t="s">
        <v>123</v>
      </c>
      <c r="AG482" s="431" t="s">
        <v>123</v>
      </c>
      <c r="AH482" s="431" t="s">
        <v>314</v>
      </c>
      <c r="AI482" s="441">
        <v>46143</v>
      </c>
      <c r="AJ482" s="441">
        <v>46146</v>
      </c>
      <c r="AK482" s="441">
        <v>46146</v>
      </c>
      <c r="AL482" s="441">
        <v>46190</v>
      </c>
      <c r="AM482" s="455">
        <v>46197</v>
      </c>
      <c r="AN482" s="455">
        <v>46198</v>
      </c>
      <c r="AO482" s="431" t="s">
        <v>402</v>
      </c>
      <c r="AP482" s="431" t="s">
        <v>2351</v>
      </c>
      <c r="AQ482" s="431" t="s">
        <v>80</v>
      </c>
      <c r="AR482" s="431" t="s">
        <v>2352</v>
      </c>
      <c r="AS482" s="431" t="s">
        <v>2353</v>
      </c>
      <c r="AT482" s="482" t="s">
        <v>2353</v>
      </c>
      <c r="AU48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</v>
      </c>
      <c r="AV482" s="441"/>
      <c r="AW482" s="441" cm="1">
        <f t="array" ref="AW48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46198</v>
      </c>
      <c r="AX48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82" s="441">
        <f>IF(ISERROR(PV_DATA[[#This Row],[New Ark PO status]]),"",_xlfn.XLOOKUP(PV_DATA[[#This Row],[SPTN-PVHK New Ark PO'#]],New_Ark_Data[Purchase order Number],New_Ark_Data[Estimated time of arrival],"",0))</f>
        <v>46212</v>
      </c>
      <c r="AZ482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82" s="441">
        <f>IFERROR(PV_DATA[[#This Row],[ODP ETA Port]]+PV_DATA[[#This Row],[Customs/Leg3 Assumption]],"n/a")</f>
        <v>46208</v>
      </c>
      <c r="BB482" s="442">
        <f>YEAR(PV_DATA[[#This Row],[ETA for New Ark update]])</f>
        <v>2026</v>
      </c>
      <c r="BC482" s="431">
        <f>MONTH(PV_DATA[[#This Row],[ETA for New Ark update]])</f>
        <v>7</v>
      </c>
      <c r="BD482" s="431">
        <f>IFERROR(_xlfn.ISOWEEKNUM(PV_DATA[[#This Row],[ETA for New Ark update]]),0)</f>
        <v>27</v>
      </c>
      <c r="BE482" s="431">
        <f>_xlfn.XLOOKUP(PV_DATA[[#This Row],[New Ark SKU]],Table9[New Ark SKU],Table9[Total PCS per Pallet],,0)</f>
        <v>36</v>
      </c>
      <c r="BF482" s="431">
        <f>_xlfn.XLOOKUP(PV_DATA[[#This Row],[New Ark SKU]],Table9[New Ark SKU],Table9[Total PCS per 40HQ Container],,0)</f>
        <v>792</v>
      </c>
      <c r="BG482" s="431" t="str">
        <f>_xlfn.XLOOKUP(PV_DATA[[#This Row],[New Ark SKU]],Table9[New Ark SKU],Table9[Back Glass],,0)</f>
        <v>Black glazing</v>
      </c>
      <c r="BH482" s="431" t="str">
        <f>_xlfn.XLOOKUP(PV_DATA[[#This Row],[PORT DESTINATION]],Table12[PORT DESTINATION],Table12[Cosco Line],,0)</f>
        <v>AEM</v>
      </c>
    </row>
    <row r="483" spans="1:60" s="431" customFormat="1" ht="10.5" hidden="1">
      <c r="A483" s="439" t="s">
        <v>2354</v>
      </c>
      <c r="B483" s="439" t="s">
        <v>2132</v>
      </c>
      <c r="C483" s="439" t="str">
        <f>IFERROR(LEFT(PV_DATA[[#This Row],[TCL REFERENCE]],FIND(".",PV_DATA[[#This Row],[TCL REFERENCE]],1)-1),"Main Line")</f>
        <v>26Apr005</v>
      </c>
      <c r="D483" s="439" t="s">
        <v>63</v>
      </c>
      <c r="E483" s="439" t="s">
        <v>64</v>
      </c>
      <c r="F483" s="462" t="str" cm="1">
        <f t="array" ref="F48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483" s="439" t="s">
        <v>402</v>
      </c>
      <c r="H483" s="439" t="s">
        <v>311</v>
      </c>
      <c r="I483" s="439" t="s">
        <v>822</v>
      </c>
      <c r="J483" s="430" t="s">
        <v>96</v>
      </c>
      <c r="M483" s="431" t="s">
        <v>68</v>
      </c>
      <c r="N483" s="432" t="s">
        <v>68</v>
      </c>
      <c r="O483" s="431" t="s">
        <v>550</v>
      </c>
      <c r="P483" s="431" t="s">
        <v>551</v>
      </c>
      <c r="Q483" s="431" t="s">
        <v>2151</v>
      </c>
      <c r="R483" s="431" t="str">
        <f>_xlfn.XLOOKUP(PV_DATA[[#This Row],[New Ark SKU]],Table9[New Ark SKU],Table9[Connector],,0)</f>
        <v>EVO2A</v>
      </c>
      <c r="S483" s="442" t="str">
        <f>_xlfn.XLOOKUP(PV_DATA[[#This Row],[New Ark SKU]],Table9[New Ark SKU],Table9[Cable],,0)</f>
        <v>±1350mm</v>
      </c>
      <c r="T483" s="442">
        <v>510</v>
      </c>
      <c r="U483" s="1067">
        <f>792*3</f>
        <v>2376</v>
      </c>
      <c r="V483" s="434">
        <f>PV_DATA[[#This Row],[QUANTITY]]*PV_DATA[[#This Row],[WATT]]/1000000</f>
        <v>1.2117599999999999</v>
      </c>
      <c r="W483" s="466">
        <f>PV_DATA[[#This Row],[QUANTITY]]/PV_DATA[[#This Row],[Qty/Pallet]]</f>
        <v>66</v>
      </c>
      <c r="X483" s="1019">
        <f>PV_DATA[[#This Row],[QUANTITY]]/PV_DATA[[#This Row],[Qty/CT]]</f>
        <v>3</v>
      </c>
      <c r="Y483" s="431" t="s">
        <v>951</v>
      </c>
      <c r="Z483" s="430" t="str">
        <f t="shared" si="4"/>
        <v>COMPLETED</v>
      </c>
      <c r="AA483" s="431" t="s">
        <v>2349</v>
      </c>
      <c r="AB483" s="441">
        <v>46138</v>
      </c>
      <c r="AC483" s="467">
        <f>IF(PV_DATA[[#This Row],[Pick-Up Date]]&lt;&gt;"",_xlfn.ISOWEEKNUM(PV_DATA[[#This Row],[Pick-Up Date]]),"")</f>
        <v>17</v>
      </c>
      <c r="AD483" s="431" t="s">
        <v>2355</v>
      </c>
      <c r="AF483" s="431" t="s">
        <v>123</v>
      </c>
      <c r="AG483" s="431" t="s">
        <v>123</v>
      </c>
      <c r="AH483" s="431" t="s">
        <v>314</v>
      </c>
      <c r="AI483" s="441">
        <v>46143</v>
      </c>
      <c r="AJ483" s="441">
        <v>46146</v>
      </c>
      <c r="AK483" s="441">
        <v>46146</v>
      </c>
      <c r="AL483" s="441">
        <v>46190</v>
      </c>
      <c r="AM483" s="455">
        <v>46197</v>
      </c>
      <c r="AN483" s="455">
        <v>46198</v>
      </c>
      <c r="AO483" s="431" t="s">
        <v>402</v>
      </c>
      <c r="AP483" s="431" t="s">
        <v>2351</v>
      </c>
      <c r="AQ483" s="431" t="s">
        <v>80</v>
      </c>
      <c r="AR483" s="431" t="s">
        <v>2352</v>
      </c>
      <c r="AS483" s="431" t="s">
        <v>2353</v>
      </c>
      <c r="AT483" s="482" t="s">
        <v>2353</v>
      </c>
      <c r="AU48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</v>
      </c>
      <c r="AV483" s="441"/>
      <c r="AW483" s="441" cm="1">
        <f t="array" ref="AW48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46198</v>
      </c>
      <c r="AX48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83" s="441">
        <f>IF(ISERROR(PV_DATA[[#This Row],[New Ark PO status]]),"",_xlfn.XLOOKUP(PV_DATA[[#This Row],[SPTN-PVHK New Ark PO'#]],New_Ark_Data[Purchase order Number],New_Ark_Data[Estimated time of arrival],"",0))</f>
        <v>46212</v>
      </c>
      <c r="AZ483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83" s="441">
        <f>IFERROR(PV_DATA[[#This Row],[ODP ETA Port]]+PV_DATA[[#This Row],[Customs/Leg3 Assumption]],"n/a")</f>
        <v>46208</v>
      </c>
      <c r="BB483" s="442">
        <f>YEAR(PV_DATA[[#This Row],[ETA for New Ark update]])</f>
        <v>2026</v>
      </c>
      <c r="BC483" s="431">
        <f>MONTH(PV_DATA[[#This Row],[ETA for New Ark update]])</f>
        <v>7</v>
      </c>
      <c r="BD483" s="431">
        <f>IFERROR(_xlfn.ISOWEEKNUM(PV_DATA[[#This Row],[ETA for New Ark update]]),0)</f>
        <v>27</v>
      </c>
      <c r="BE483" s="431">
        <f>_xlfn.XLOOKUP(PV_DATA[[#This Row],[New Ark SKU]],Table9[New Ark SKU],Table9[Total PCS per Pallet],,0)</f>
        <v>36</v>
      </c>
      <c r="BF483" s="431">
        <f>_xlfn.XLOOKUP(PV_DATA[[#This Row],[New Ark SKU]],Table9[New Ark SKU],Table9[Total PCS per 40HQ Container],,0)</f>
        <v>792</v>
      </c>
      <c r="BG483" s="431" t="str">
        <f>_xlfn.XLOOKUP(PV_DATA[[#This Row],[New Ark SKU]],Table9[New Ark SKU],Table9[Back Glass],,0)</f>
        <v>Black glazing</v>
      </c>
      <c r="BH483" s="431" t="str">
        <f>_xlfn.XLOOKUP(PV_DATA[[#This Row],[PORT DESTINATION]],Table12[PORT DESTINATION],Table12[Cosco Line],,0)</f>
        <v>AEM</v>
      </c>
    </row>
    <row r="484" spans="1:60" s="431" customFormat="1" ht="12.75" hidden="1" customHeight="1">
      <c r="A484" s="439" t="s">
        <v>2356</v>
      </c>
      <c r="B484" s="439" t="s">
        <v>2132</v>
      </c>
      <c r="C484" s="439" t="str">
        <f>IFERROR(LEFT(PV_DATA[[#This Row],[TCL REFERENCE]],FIND(".",PV_DATA[[#This Row],[TCL REFERENCE]],1)-1),"Main Line")</f>
        <v>26Apr005</v>
      </c>
      <c r="D484" s="439" t="s">
        <v>63</v>
      </c>
      <c r="E484" s="439" t="s">
        <v>64</v>
      </c>
      <c r="F484" s="462" t="str" cm="1">
        <f t="array" ref="F48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484" s="439" t="s">
        <v>402</v>
      </c>
      <c r="H484" s="439" t="s">
        <v>311</v>
      </c>
      <c r="I484" s="439" t="s">
        <v>1395</v>
      </c>
      <c r="J484" s="430" t="s">
        <v>96</v>
      </c>
      <c r="M484" s="431" t="s">
        <v>68</v>
      </c>
      <c r="N484" s="432" t="s">
        <v>68</v>
      </c>
      <c r="O484" s="431" t="s">
        <v>550</v>
      </c>
      <c r="P484" s="431" t="s">
        <v>551</v>
      </c>
      <c r="Q484" s="431" t="s">
        <v>2151</v>
      </c>
      <c r="R484" s="431" t="str">
        <f>_xlfn.XLOOKUP(PV_DATA[[#This Row],[New Ark SKU]],Table9[New Ark SKU],Table9[Connector],,0)</f>
        <v>EVO2A</v>
      </c>
      <c r="S484" s="442" t="str">
        <f>_xlfn.XLOOKUP(PV_DATA[[#This Row],[New Ark SKU]],Table9[New Ark SKU],Table9[Cable],,0)</f>
        <v>±1350mm</v>
      </c>
      <c r="T484" s="442">
        <v>510</v>
      </c>
      <c r="U484" s="1067">
        <v>1584</v>
      </c>
      <c r="V484" s="434">
        <f>PV_DATA[[#This Row],[QUANTITY]]*PV_DATA[[#This Row],[WATT]]/1000000</f>
        <v>0.80784</v>
      </c>
      <c r="W484" s="466">
        <f>PV_DATA[[#This Row],[QUANTITY]]/PV_DATA[[#This Row],[Qty/Pallet]]</f>
        <v>44</v>
      </c>
      <c r="X484" s="1019">
        <f>PV_DATA[[#This Row],[QUANTITY]]/PV_DATA[[#This Row],[Qty/CT]]</f>
        <v>2</v>
      </c>
      <c r="Y484" s="431" t="s">
        <v>951</v>
      </c>
      <c r="Z484" s="430" t="str">
        <f t="shared" si="4"/>
        <v>COMPLETED</v>
      </c>
      <c r="AA484" s="431" t="s">
        <v>2357</v>
      </c>
      <c r="AB484" s="441">
        <v>46141</v>
      </c>
      <c r="AC484" s="467">
        <f>IF(PV_DATA[[#This Row],[Pick-Up Date]]&lt;&gt;"",_xlfn.ISOWEEKNUM(PV_DATA[[#This Row],[Pick-Up Date]]),"")</f>
        <v>18</v>
      </c>
      <c r="AD484" s="431" t="s">
        <v>2358</v>
      </c>
      <c r="AF484" s="431" t="s">
        <v>123</v>
      </c>
      <c r="AG484" s="431" t="s">
        <v>123</v>
      </c>
      <c r="AH484" s="431" t="s">
        <v>1561</v>
      </c>
      <c r="AI484" s="441">
        <v>46147</v>
      </c>
      <c r="AJ484" s="441">
        <v>46149</v>
      </c>
      <c r="AK484" s="441">
        <v>46149</v>
      </c>
      <c r="AL484" s="441">
        <v>46206</v>
      </c>
      <c r="AM484" s="441"/>
      <c r="AN484" s="441">
        <v>46205</v>
      </c>
      <c r="AO484" s="431" t="s">
        <v>402</v>
      </c>
      <c r="AP484" s="431" t="s">
        <v>2359</v>
      </c>
      <c r="AQ484" s="431" t="s">
        <v>80</v>
      </c>
      <c r="AR484" s="431" t="s">
        <v>2360</v>
      </c>
      <c r="AS484" s="431" t="s">
        <v>2361</v>
      </c>
      <c r="AT484" s="482" t="s">
        <v>2361</v>
      </c>
      <c r="AU48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V484" s="441"/>
      <c r="AW484" s="441" cm="1">
        <f t="array" ref="AW48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46205</v>
      </c>
      <c r="AX48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84" s="441">
        <f>IF(ISERROR(PV_DATA[[#This Row],[New Ark PO status]]),"",_xlfn.XLOOKUP(PV_DATA[[#This Row],[SPTN-PVHK New Ark PO'#]],New_Ark_Data[Purchase order Number],New_Ark_Data[Estimated time of arrival],"",0))</f>
        <v>46219</v>
      </c>
      <c r="AZ484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84" s="441">
        <f>IFERROR(PV_DATA[[#This Row],[ODP ETA Port]]+PV_DATA[[#This Row],[Customs/Leg3 Assumption]],"n/a")</f>
        <v>46215</v>
      </c>
      <c r="BB484" s="442">
        <f>YEAR(PV_DATA[[#This Row],[ETA for New Ark update]])</f>
        <v>2026</v>
      </c>
      <c r="BC484" s="431">
        <f>MONTH(PV_DATA[[#This Row],[ETA for New Ark update]])</f>
        <v>7</v>
      </c>
      <c r="BD484" s="431">
        <f>IFERROR(_xlfn.ISOWEEKNUM(PV_DATA[[#This Row],[ETA for New Ark update]]),0)</f>
        <v>28</v>
      </c>
      <c r="BE484" s="431">
        <f>_xlfn.XLOOKUP(PV_DATA[[#This Row],[New Ark SKU]],Table9[New Ark SKU],Table9[Total PCS per Pallet],,0)</f>
        <v>36</v>
      </c>
      <c r="BF484" s="431">
        <f>_xlfn.XLOOKUP(PV_DATA[[#This Row],[New Ark SKU]],Table9[New Ark SKU],Table9[Total PCS per 40HQ Container],,0)</f>
        <v>792</v>
      </c>
      <c r="BG484" s="431" t="str">
        <f>_xlfn.XLOOKUP(PV_DATA[[#This Row],[New Ark SKU]],Table9[New Ark SKU],Table9[Back Glass],,0)</f>
        <v>Black glazing</v>
      </c>
      <c r="BH484" s="431" t="str">
        <f>_xlfn.XLOOKUP(PV_DATA[[#This Row],[PORT DESTINATION]],Table12[PORT DESTINATION],Table12[Cosco Line],,0)</f>
        <v>AEM</v>
      </c>
    </row>
    <row r="485" spans="1:60" s="431" customFormat="1" ht="10.5" hidden="1">
      <c r="A485" s="439" t="s">
        <v>2362</v>
      </c>
      <c r="B485" s="439" t="s">
        <v>2132</v>
      </c>
      <c r="C485" s="439" t="str">
        <f>IFERROR(LEFT(PV_DATA[[#This Row],[TCL REFERENCE]],FIND(".",PV_DATA[[#This Row],[TCL REFERENCE]],1)-1),"Main Line")</f>
        <v>26Apr005</v>
      </c>
      <c r="D485" s="439" t="s">
        <v>63</v>
      </c>
      <c r="E485" s="439" t="s">
        <v>64</v>
      </c>
      <c r="F485" s="462" t="str" cm="1">
        <f t="array" ref="F48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485" s="439" t="s">
        <v>402</v>
      </c>
      <c r="H485" s="439" t="s">
        <v>115</v>
      </c>
      <c r="I485" s="439" t="s">
        <v>882</v>
      </c>
      <c r="J485" s="430" t="s">
        <v>96</v>
      </c>
      <c r="M485" s="431" t="s">
        <v>68</v>
      </c>
      <c r="N485" s="432" t="s">
        <v>68</v>
      </c>
      <c r="O485" s="431" t="s">
        <v>550</v>
      </c>
      <c r="P485" s="431" t="s">
        <v>551</v>
      </c>
      <c r="Q485" s="431" t="s">
        <v>2151</v>
      </c>
      <c r="R485" s="431" t="str">
        <f>_xlfn.XLOOKUP(PV_DATA[[#This Row],[New Ark SKU]],Table9[New Ark SKU],Table9[Connector],,0)</f>
        <v>EVO2A</v>
      </c>
      <c r="S485" s="442" t="str">
        <f>_xlfn.XLOOKUP(PV_DATA[[#This Row],[New Ark SKU]],Table9[New Ark SKU],Table9[Cable],,0)</f>
        <v>±1350mm</v>
      </c>
      <c r="T485" s="442">
        <v>510</v>
      </c>
      <c r="U485" s="1067">
        <f>792*2</f>
        <v>1584</v>
      </c>
      <c r="V485" s="434">
        <f>PV_DATA[[#This Row],[QUANTITY]]*PV_DATA[[#This Row],[WATT]]/1000000</f>
        <v>0.80784</v>
      </c>
      <c r="W485" s="466">
        <f>PV_DATA[[#This Row],[QUANTITY]]/PV_DATA[[#This Row],[Qty/Pallet]]</f>
        <v>44</v>
      </c>
      <c r="X485" s="1019">
        <f>PV_DATA[[#This Row],[QUANTITY]]/PV_DATA[[#This Row],[Qty/CT]]</f>
        <v>2</v>
      </c>
      <c r="Y485" s="431" t="s">
        <v>951</v>
      </c>
      <c r="Z485" s="430" t="str">
        <f t="shared" si="4"/>
        <v>COMPLETED</v>
      </c>
      <c r="AA485" s="431" t="s">
        <v>2343</v>
      </c>
      <c r="AB485" s="441">
        <v>46141</v>
      </c>
      <c r="AC485" s="467">
        <f>IF(PV_DATA[[#This Row],[Pick-Up Date]]&lt;&gt;"",_xlfn.ISOWEEKNUM(PV_DATA[[#This Row],[Pick-Up Date]]),"")</f>
        <v>18</v>
      </c>
      <c r="AD485" s="431" t="s">
        <v>2363</v>
      </c>
      <c r="AF485" s="431" t="s">
        <v>123</v>
      </c>
      <c r="AG485" s="431" t="s">
        <v>123</v>
      </c>
      <c r="AH485" s="431" t="s">
        <v>124</v>
      </c>
      <c r="AI485" s="441">
        <v>46147</v>
      </c>
      <c r="AJ485" s="441">
        <v>46147</v>
      </c>
      <c r="AK485" s="441">
        <v>46147</v>
      </c>
      <c r="AL485" s="441">
        <v>46184</v>
      </c>
      <c r="AM485" s="455">
        <v>46185</v>
      </c>
      <c r="AN485" s="455">
        <v>46192</v>
      </c>
      <c r="AO485" s="431" t="s">
        <v>402</v>
      </c>
      <c r="AP485" s="431" t="s">
        <v>2345</v>
      </c>
      <c r="AQ485" s="431" t="s">
        <v>80</v>
      </c>
      <c r="AR485" s="431" t="s">
        <v>2364</v>
      </c>
      <c r="AS485" s="431" t="s">
        <v>2365</v>
      </c>
      <c r="AT485" s="482" t="s">
        <v>2365</v>
      </c>
      <c r="AU48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V485" s="441"/>
      <c r="AW485" s="441" cm="1">
        <f t="array" ref="AW48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46192</v>
      </c>
      <c r="AX48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85" s="441">
        <f>IF(ISERROR(PV_DATA[[#This Row],[New Ark PO status]]),"",_xlfn.XLOOKUP(PV_DATA[[#This Row],[SPTN-PVHK New Ark PO'#]],New_Ark_Data[Purchase order Number],New_Ark_Data[Estimated time of arrival],"",0))</f>
        <v>46206</v>
      </c>
      <c r="AZ485" s="44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485" s="441">
        <f>IFERROR(PV_DATA[[#This Row],[ODP ETA Port]]+PV_DATA[[#This Row],[Customs/Leg3 Assumption]],"n/a")</f>
        <v>46201</v>
      </c>
      <c r="BB485" s="442">
        <f>YEAR(PV_DATA[[#This Row],[ETA for New Ark update]])</f>
        <v>2026</v>
      </c>
      <c r="BC485" s="431">
        <f>MONTH(PV_DATA[[#This Row],[ETA for New Ark update]])</f>
        <v>6</v>
      </c>
      <c r="BD485" s="431">
        <f>IFERROR(_xlfn.ISOWEEKNUM(PV_DATA[[#This Row],[ETA for New Ark update]]),0)</f>
        <v>26</v>
      </c>
      <c r="BE485" s="431">
        <f>_xlfn.XLOOKUP(PV_DATA[[#This Row],[New Ark SKU]],Table9[New Ark SKU],Table9[Total PCS per Pallet],,0)</f>
        <v>36</v>
      </c>
      <c r="BF485" s="431">
        <f>_xlfn.XLOOKUP(PV_DATA[[#This Row],[New Ark SKU]],Table9[New Ark SKU],Table9[Total PCS per 40HQ Container],,0)</f>
        <v>792</v>
      </c>
      <c r="BG485" s="431" t="str">
        <f>_xlfn.XLOOKUP(PV_DATA[[#This Row],[New Ark SKU]],Table9[New Ark SKU],Table9[Back Glass],,0)</f>
        <v>Black glazing</v>
      </c>
      <c r="BH485" s="431" t="str">
        <f>_xlfn.XLOOKUP(PV_DATA[[#This Row],[PORT DESTINATION]],Table12[PORT DESTINATION],Table12[Cosco Line],,0)</f>
        <v>AEM</v>
      </c>
    </row>
    <row r="486" spans="1:60" s="431" customFormat="1" ht="10.5" hidden="1">
      <c r="A486" s="439" t="s">
        <v>2366</v>
      </c>
      <c r="B486" s="439" t="s">
        <v>61</v>
      </c>
      <c r="C486" s="439" t="str">
        <f>IFERROR(LEFT(PV_DATA[[#This Row],[TCL REFERENCE]],FIND(".",PV_DATA[[#This Row],[TCL REFERENCE]],1)-1),"Main Line")</f>
        <v>26Apr014</v>
      </c>
      <c r="D486" s="439" t="s">
        <v>63</v>
      </c>
      <c r="E486" s="439" t="s">
        <v>64</v>
      </c>
      <c r="F486" s="462" t="str" cm="1">
        <f t="array" ref="F48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486" s="439" t="s">
        <v>402</v>
      </c>
      <c r="H486" s="439" t="s">
        <v>67</v>
      </c>
      <c r="I486" s="439" t="s">
        <v>882</v>
      </c>
      <c r="J486" s="430" t="s">
        <v>96</v>
      </c>
      <c r="M486" s="431" t="s">
        <v>68</v>
      </c>
      <c r="N486" s="432" t="s">
        <v>68</v>
      </c>
      <c r="O486" s="431" t="s">
        <v>70</v>
      </c>
      <c r="P486" s="431" t="s">
        <v>1151</v>
      </c>
      <c r="Q486" s="431" t="s">
        <v>421</v>
      </c>
      <c r="R486" s="431" t="str">
        <f>_xlfn.XLOOKUP(PV_DATA[[#This Row],[New Ark SKU]],Table9[New Ark SKU],Table9[Connector],,0)</f>
        <v>EVO2A</v>
      </c>
      <c r="S486" s="442" t="str">
        <f>_xlfn.XLOOKUP(PV_DATA[[#This Row],[New Ark SKU]],Table9[New Ark SKU],Table9[Cable],,0)</f>
        <v>±1200mm</v>
      </c>
      <c r="T486" s="442">
        <v>505</v>
      </c>
      <c r="U486" s="1067">
        <f>864*1</f>
        <v>864</v>
      </c>
      <c r="V486" s="448">
        <f>PV_DATA[[#This Row],[QUANTITY]]*PV_DATA[[#This Row],[WATT]]/1000000</f>
        <v>0.43631999999999999</v>
      </c>
      <c r="W486" s="466">
        <f>PV_DATA[[#This Row],[QUANTITY]]/PV_DATA[[#This Row],[Qty/Pallet]]</f>
        <v>24</v>
      </c>
      <c r="X486" s="1019">
        <f>PV_DATA[[#This Row],[QUANTITY]]/PV_DATA[[#This Row],[Qty/CT]]</f>
        <v>1</v>
      </c>
      <c r="Y486" s="431" t="s">
        <v>951</v>
      </c>
      <c r="Z486" s="430" t="str">
        <f t="shared" si="4"/>
        <v>COMPLETED</v>
      </c>
      <c r="AA486" s="431" t="s">
        <v>2183</v>
      </c>
      <c r="AB486" s="441">
        <v>46141</v>
      </c>
      <c r="AC486" s="467">
        <f>IF(PV_DATA[[#This Row],[Pick-Up Date]]&lt;&gt;"",_xlfn.ISOWEEKNUM(PV_DATA[[#This Row],[Pick-Up Date]]),"")</f>
        <v>18</v>
      </c>
      <c r="AD486" s="431" t="s">
        <v>2367</v>
      </c>
      <c r="AF486" s="431" t="s">
        <v>61</v>
      </c>
      <c r="AG486" s="431" t="s">
        <v>61</v>
      </c>
      <c r="AH486" s="431" t="s">
        <v>105</v>
      </c>
      <c r="AI486" s="441">
        <v>46146</v>
      </c>
      <c r="AJ486" s="441">
        <v>46146</v>
      </c>
      <c r="AK486" s="441">
        <v>46146</v>
      </c>
      <c r="AL486" s="441">
        <v>46200</v>
      </c>
      <c r="AM486" s="441">
        <v>46200</v>
      </c>
      <c r="AN486" s="441">
        <v>46202</v>
      </c>
      <c r="AO486" s="431" t="s">
        <v>402</v>
      </c>
      <c r="AP486" s="431" t="s">
        <v>2368</v>
      </c>
      <c r="AQ486" s="431" t="s">
        <v>80</v>
      </c>
      <c r="AR486" s="431" t="s">
        <v>2369</v>
      </c>
      <c r="AS486" s="431" t="s">
        <v>2370</v>
      </c>
      <c r="AT486" s="482" t="s">
        <v>2370</v>
      </c>
      <c r="AU48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V486" s="441"/>
      <c r="AW486" s="441" cm="1">
        <f t="array" ref="AW48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46202</v>
      </c>
      <c r="AX48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86" s="441">
        <f>IF(ISERROR(PV_DATA[[#This Row],[New Ark PO status]]),"",_xlfn.XLOOKUP(PV_DATA[[#This Row],[SPTN-PVHK New Ark PO'#]],New_Ark_Data[Purchase order Number],New_Ark_Data[Estimated time of arrival],"",0))</f>
        <v>46216</v>
      </c>
      <c r="AZ48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86" s="441">
        <f>IFERROR(PV_DATA[[#This Row],[ODP ETA Port]]+PV_DATA[[#This Row],[Customs/Leg3 Assumption]],"n/a")</f>
        <v>46209</v>
      </c>
      <c r="BB486" s="442">
        <f>YEAR(PV_DATA[[#This Row],[ETA for New Ark update]])</f>
        <v>2026</v>
      </c>
      <c r="BC486" s="431">
        <f>MONTH(PV_DATA[[#This Row],[ETA for New Ark update]])</f>
        <v>7</v>
      </c>
      <c r="BD486" s="431">
        <f>IFERROR(_xlfn.ISOWEEKNUM(PV_DATA[[#This Row],[ETA for New Ark update]]),0)</f>
        <v>28</v>
      </c>
      <c r="BE486" s="431">
        <f>_xlfn.XLOOKUP(PV_DATA[[#This Row],[New Ark SKU]],Table9[New Ark SKU],Table9[Total PCS per Pallet],,0)</f>
        <v>36</v>
      </c>
      <c r="BF486" s="431">
        <f>_xlfn.XLOOKUP(PV_DATA[[#This Row],[New Ark SKU]],Table9[New Ark SKU],Table9[Total PCS per 40HQ Container],,0)</f>
        <v>864</v>
      </c>
      <c r="BG486" s="431" t="str">
        <f>_xlfn.XLOOKUP(PV_DATA[[#This Row],[New Ark SKU]],Table9[New Ark SKU],Table9[Back Glass],,0)</f>
        <v>Black glazing</v>
      </c>
      <c r="BH486" s="431" t="str">
        <f>_xlfn.XLOOKUP(PV_DATA[[#This Row],[PORT DESTINATION]],Table12[PORT DESTINATION],Table12[Cosco Line],,0)</f>
        <v>AEU</v>
      </c>
    </row>
    <row r="487" spans="1:60" s="431" customFormat="1" ht="10.5" hidden="1">
      <c r="A487" s="439" t="s">
        <v>2371</v>
      </c>
      <c r="B487" s="439" t="s">
        <v>61</v>
      </c>
      <c r="C487" s="439" t="str">
        <f>IFERROR(LEFT(PV_DATA[[#This Row],[TCL REFERENCE]],FIND(".",PV_DATA[[#This Row],[TCL REFERENCE]],1)-1),"Main Line")</f>
        <v>Main Line</v>
      </c>
      <c r="D487" s="439" t="s">
        <v>63</v>
      </c>
      <c r="E487" s="439" t="s">
        <v>64</v>
      </c>
      <c r="F487" s="462" t="str" cm="1">
        <f t="array" ref="F48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487" s="439" t="s">
        <v>402</v>
      </c>
      <c r="H487" s="439" t="s">
        <v>67</v>
      </c>
      <c r="I487" s="439" t="s">
        <v>1395</v>
      </c>
      <c r="J487" s="431" t="s">
        <v>2372</v>
      </c>
      <c r="M487" s="431" t="s">
        <v>68</v>
      </c>
      <c r="N487" s="461">
        <v>46125</v>
      </c>
      <c r="O487" s="431" t="s">
        <v>70</v>
      </c>
      <c r="P487" s="431" t="s">
        <v>965</v>
      </c>
      <c r="Q487" s="431" t="s">
        <v>966</v>
      </c>
      <c r="R487" s="431" t="str">
        <f>_xlfn.XLOOKUP(PV_DATA[[#This Row],[New Ark SKU]],Table9[New Ark SKU],Table9[Connector],,0)</f>
        <v>EVO2A</v>
      </c>
      <c r="S487" s="442" t="str">
        <f>_xlfn.XLOOKUP(PV_DATA[[#This Row],[New Ark SKU]],Table9[New Ark SKU],Table9[Cable],,0)</f>
        <v>±1200mm</v>
      </c>
      <c r="T487" s="442">
        <v>455</v>
      </c>
      <c r="U487" s="1067" cm="1">
        <f t="array" ref="U487">4680-fx_qty</f>
        <v>4680</v>
      </c>
      <c r="V487" s="448">
        <f>PV_DATA[[#This Row],[QUANTITY]]*PV_DATA[[#This Row],[WATT]]/1000000</f>
        <v>2.1294</v>
      </c>
      <c r="W487" s="466">
        <f>PV_DATA[[#This Row],[QUANTITY]]/PV_DATA[[#This Row],[Qty/Pallet]]</f>
        <v>130</v>
      </c>
      <c r="X487" s="1019">
        <f>PV_DATA[[#This Row],[QUANTITY]]/PV_DATA[[#This Row],[Qty/CT]]</f>
        <v>5</v>
      </c>
      <c r="Y487" s="431" t="s">
        <v>951</v>
      </c>
      <c r="Z487" s="430" t="str">
        <f t="shared" si="4"/>
        <v>COMPLETED</v>
      </c>
      <c r="AA487" s="431" t="s">
        <v>2373</v>
      </c>
      <c r="AB487" s="441">
        <v>46141</v>
      </c>
      <c r="AC487" s="467">
        <f>IF(PV_DATA[[#This Row],[Pick-Up Date]]&lt;&gt;"",_xlfn.ISOWEEKNUM(PV_DATA[[#This Row],[Pick-Up Date]]),"")</f>
        <v>18</v>
      </c>
      <c r="AD487" s="431" t="s">
        <v>2374</v>
      </c>
      <c r="AF487" s="431" t="s">
        <v>77</v>
      </c>
      <c r="AG487" s="431" t="s">
        <v>61</v>
      </c>
      <c r="AH487" s="431" t="s">
        <v>105</v>
      </c>
      <c r="AI487" s="441">
        <v>46146</v>
      </c>
      <c r="AJ487" s="441">
        <v>46146</v>
      </c>
      <c r="AK487" s="441">
        <v>46146</v>
      </c>
      <c r="AL487" s="441">
        <v>46189</v>
      </c>
      <c r="AM487" s="441">
        <v>46197</v>
      </c>
      <c r="AN487" s="441">
        <v>46197</v>
      </c>
      <c r="AO487" s="431" t="s">
        <v>402</v>
      </c>
      <c r="AP487" s="431" t="s">
        <v>2368</v>
      </c>
      <c r="AQ487" s="431" t="s">
        <v>80</v>
      </c>
      <c r="AR487" s="431" t="s">
        <v>2375</v>
      </c>
      <c r="AS487" s="431" t="s">
        <v>2376</v>
      </c>
      <c r="AT487" s="482" t="s">
        <v>2376</v>
      </c>
      <c r="AU48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</v>
      </c>
      <c r="AV487" s="441"/>
      <c r="AW487" s="441" cm="1">
        <f t="array" ref="AW48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46197</v>
      </c>
      <c r="AX48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87" s="441">
        <f>IF(ISERROR(PV_DATA[[#This Row],[New Ark PO status]]),"",_xlfn.XLOOKUP(PV_DATA[[#This Row],[SPTN-PVHK New Ark PO'#]],New_Ark_Data[Purchase order Number],New_Ark_Data[Estimated time of arrival],"",0))</f>
        <v>46211</v>
      </c>
      <c r="AZ487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87" s="441">
        <f>IFERROR(PV_DATA[[#This Row],[ODP ETA Port]]+PV_DATA[[#This Row],[Customs/Leg3 Assumption]],"n/a")</f>
        <v>46204</v>
      </c>
      <c r="BB487" s="442">
        <f>YEAR(PV_DATA[[#This Row],[ETA for New Ark update]])</f>
        <v>2026</v>
      </c>
      <c r="BC487" s="431">
        <f>MONTH(PV_DATA[[#This Row],[ETA for New Ark update]])</f>
        <v>7</v>
      </c>
      <c r="BD487" s="431">
        <f>IFERROR(_xlfn.ISOWEEKNUM(PV_DATA[[#This Row],[ETA for New Ark update]]),0)</f>
        <v>27</v>
      </c>
      <c r="BE487" s="431">
        <f>_xlfn.XLOOKUP(PV_DATA[[#This Row],[New Ark SKU]],Table9[New Ark SKU],Table9[Total PCS per Pallet],,0)</f>
        <v>36</v>
      </c>
      <c r="BF487" s="431">
        <f>_xlfn.XLOOKUP(PV_DATA[[#This Row],[New Ark SKU]],Table9[New Ark SKU],Table9[Total PCS per 40HQ Container],,0)</f>
        <v>936</v>
      </c>
      <c r="BG487" s="431" t="str">
        <f>_xlfn.XLOOKUP(PV_DATA[[#This Row],[New Ark SKU]],Table9[New Ark SKU],Table9[Back Glass],,0)</f>
        <v>Black glazing</v>
      </c>
      <c r="BH487" s="431" t="str">
        <f>_xlfn.XLOOKUP(PV_DATA[[#This Row],[PORT DESTINATION]],Table12[PORT DESTINATION],Table12[Cosco Line],,0)</f>
        <v>AEU</v>
      </c>
    </row>
    <row r="488" spans="1:60" s="431" customFormat="1" ht="10.5" hidden="1">
      <c r="A488" s="439" t="s">
        <v>2377</v>
      </c>
      <c r="B488" s="439" t="s">
        <v>61</v>
      </c>
      <c r="C488" s="439" t="str">
        <f>IFERROR(LEFT(PV_DATA[[#This Row],[TCL REFERENCE]],FIND(".",PV_DATA[[#This Row],[TCL REFERENCE]],1)-1),"Main Line")</f>
        <v>26Apr014</v>
      </c>
      <c r="D488" s="439" t="s">
        <v>63</v>
      </c>
      <c r="E488" s="439" t="s">
        <v>64</v>
      </c>
      <c r="F488" s="462" t="str" cm="1">
        <f t="array" ref="F48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88" s="439" t="s">
        <v>402</v>
      </c>
      <c r="H488" s="439" t="s">
        <v>67</v>
      </c>
      <c r="I488" s="439" t="s">
        <v>869</v>
      </c>
      <c r="J488" s="430" t="s">
        <v>96</v>
      </c>
      <c r="M488" s="431" t="s">
        <v>68</v>
      </c>
      <c r="N488" s="432" t="s">
        <v>68</v>
      </c>
      <c r="O488" s="431" t="s">
        <v>70</v>
      </c>
      <c r="P488" s="431" t="s">
        <v>1151</v>
      </c>
      <c r="Q488" s="431" t="s">
        <v>421</v>
      </c>
      <c r="R488" s="431" t="str">
        <f>_xlfn.XLOOKUP(PV_DATA[[#This Row],[New Ark SKU]],Table9[New Ark SKU],Table9[Connector],,0)</f>
        <v>EVO2A</v>
      </c>
      <c r="S488" s="442" t="str">
        <f>_xlfn.XLOOKUP(PV_DATA[[#This Row],[New Ark SKU]],Table9[New Ark SKU],Table9[Cable],,0)</f>
        <v>±1200mm</v>
      </c>
      <c r="T488" s="442">
        <v>505</v>
      </c>
      <c r="U488" s="1067">
        <f>864*2</f>
        <v>1728</v>
      </c>
      <c r="V488" s="448">
        <f>PV_DATA[[#This Row],[QUANTITY]]*PV_DATA[[#This Row],[WATT]]/1000000</f>
        <v>0.87263999999999997</v>
      </c>
      <c r="W488" s="466">
        <f>PV_DATA[[#This Row],[QUANTITY]]/PV_DATA[[#This Row],[Qty/Pallet]]</f>
        <v>48</v>
      </c>
      <c r="X488" s="1019">
        <f>PV_DATA[[#This Row],[QUANTITY]]/PV_DATA[[#This Row],[Qty/CT]]</f>
        <v>2</v>
      </c>
      <c r="Y488" s="431" t="s">
        <v>951</v>
      </c>
      <c r="Z488" s="430" t="str">
        <f t="shared" si="4"/>
        <v>COMPLETED</v>
      </c>
      <c r="AA488" s="431" t="s">
        <v>2183</v>
      </c>
      <c r="AB488" s="441">
        <v>46141</v>
      </c>
      <c r="AC488" s="467">
        <f>IF(PV_DATA[[#This Row],[Pick-Up Date]]&lt;&gt;"",_xlfn.ISOWEEKNUM(PV_DATA[[#This Row],[Pick-Up Date]]),"")</f>
        <v>18</v>
      </c>
      <c r="AD488" s="431" t="s">
        <v>2378</v>
      </c>
      <c r="AF488" s="431" t="s">
        <v>77</v>
      </c>
      <c r="AG488" s="431" t="s">
        <v>61</v>
      </c>
      <c r="AH488" s="431" t="s">
        <v>78</v>
      </c>
      <c r="AI488" s="441">
        <v>46146</v>
      </c>
      <c r="AJ488" s="441">
        <v>46146</v>
      </c>
      <c r="AK488" s="441">
        <v>46146</v>
      </c>
      <c r="AL488" s="441">
        <v>46209</v>
      </c>
      <c r="AM488" s="441">
        <v>46209</v>
      </c>
      <c r="AN488" s="441">
        <v>46210</v>
      </c>
      <c r="AO488" s="431" t="s">
        <v>402</v>
      </c>
      <c r="AP488" s="431" t="s">
        <v>2368</v>
      </c>
      <c r="AQ488" s="431" t="s">
        <v>80</v>
      </c>
      <c r="AR488" s="431" t="s">
        <v>2379</v>
      </c>
      <c r="AS488" s="431" t="s">
        <v>2380</v>
      </c>
      <c r="AT488" s="482" t="s">
        <v>2380</v>
      </c>
      <c r="AU48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</v>
      </c>
      <c r="AV488" s="441"/>
      <c r="AW488" s="441" cm="1">
        <f t="array" ref="AW48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46210</v>
      </c>
      <c r="AX48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88" s="441">
        <f>IF(ISERROR(PV_DATA[[#This Row],[New Ark PO status]]),"",_xlfn.XLOOKUP(PV_DATA[[#This Row],[SPTN-PVHK New Ark PO'#]],New_Ark_Data[Purchase order Number],New_Ark_Data[Estimated time of arrival],"",0))</f>
        <v>46223</v>
      </c>
      <c r="AZ488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488" s="441">
        <f>IFERROR(PV_DATA[[#This Row],[ODP ETA Port]]+PV_DATA[[#This Row],[Customs/Leg3 Assumption]],"n/a")</f>
        <v>46218</v>
      </c>
      <c r="BB488" s="442">
        <f>YEAR(PV_DATA[[#This Row],[ETA for New Ark update]])</f>
        <v>2026</v>
      </c>
      <c r="BC488" s="431">
        <f>MONTH(PV_DATA[[#This Row],[ETA for New Ark update]])</f>
        <v>7</v>
      </c>
      <c r="BD488" s="431">
        <f>IFERROR(_xlfn.ISOWEEKNUM(PV_DATA[[#This Row],[ETA for New Ark update]]),0)</f>
        <v>29</v>
      </c>
      <c r="BE488" s="431">
        <f>_xlfn.XLOOKUP(PV_DATA[[#This Row],[New Ark SKU]],Table9[New Ark SKU],Table9[Total PCS per Pallet],,0)</f>
        <v>36</v>
      </c>
      <c r="BF488" s="431">
        <f>_xlfn.XLOOKUP(PV_DATA[[#This Row],[New Ark SKU]],Table9[New Ark SKU],Table9[Total PCS per 40HQ Container],,0)</f>
        <v>864</v>
      </c>
      <c r="BG488" s="431" t="str">
        <f>_xlfn.XLOOKUP(PV_DATA[[#This Row],[New Ark SKU]],Table9[New Ark SKU],Table9[Back Glass],,0)</f>
        <v>Black glazing</v>
      </c>
      <c r="BH488" s="431" t="str">
        <f>_xlfn.XLOOKUP(PV_DATA[[#This Row],[PORT DESTINATION]],Table12[PORT DESTINATION],Table12[Cosco Line],,0)</f>
        <v>AEM</v>
      </c>
    </row>
    <row r="489" spans="1:60" s="431" customFormat="1" ht="10.5" hidden="1">
      <c r="A489" s="439" t="s">
        <v>2381</v>
      </c>
      <c r="B489" s="439" t="s">
        <v>61</v>
      </c>
      <c r="C489" s="439" t="str">
        <f>IFERROR(LEFT(PV_DATA[[#This Row],[TCL REFERENCE]],FIND(".",PV_DATA[[#This Row],[TCL REFERENCE]],1)-1),"Main Line")</f>
        <v>26Apr014</v>
      </c>
      <c r="D489" s="439" t="s">
        <v>63</v>
      </c>
      <c r="E489" s="439" t="s">
        <v>144</v>
      </c>
      <c r="F489" s="439" t="str" cm="1">
        <f t="array" ref="F48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489" s="439" t="s">
        <v>146</v>
      </c>
      <c r="H489" s="439" t="s">
        <v>2382</v>
      </c>
      <c r="I489" s="439" t="s">
        <v>869</v>
      </c>
      <c r="J489" s="431" t="s">
        <v>2382</v>
      </c>
      <c r="K489" s="431" t="s">
        <v>2383</v>
      </c>
      <c r="L489" s="431" t="s">
        <v>2384</v>
      </c>
      <c r="M489" s="431" t="s">
        <v>840</v>
      </c>
      <c r="N489" s="461" t="s">
        <v>68</v>
      </c>
      <c r="O489" s="431" t="s">
        <v>70</v>
      </c>
      <c r="P489" s="431" t="s">
        <v>1151</v>
      </c>
      <c r="Q489" s="431" t="s">
        <v>421</v>
      </c>
      <c r="R489" s="431" t="str">
        <f>_xlfn.XLOOKUP(PV_DATA[[#This Row],[New Ark SKU]],Table9[New Ark SKU],Table9[Connector],,0)</f>
        <v>EVO2A</v>
      </c>
      <c r="S489" s="442" t="str">
        <f>_xlfn.XLOOKUP(PV_DATA[[#This Row],[New Ark SKU]],Table9[New Ark SKU],Table9[Cable],,0)</f>
        <v>±1200mm</v>
      </c>
      <c r="T489" s="442">
        <v>505</v>
      </c>
      <c r="U489" s="1067">
        <f>864*2</f>
        <v>1728</v>
      </c>
      <c r="V489" s="448">
        <f>PV_DATA[[#This Row],[QUANTITY]]*PV_DATA[[#This Row],[WATT]]/1000000</f>
        <v>0.87263999999999997</v>
      </c>
      <c r="W489" s="466">
        <f>PV_DATA[[#This Row],[QUANTITY]]/PV_DATA[[#This Row],[Qty/Pallet]]</f>
        <v>48</v>
      </c>
      <c r="X489" s="1019">
        <f>PV_DATA[[#This Row],[QUANTITY]]/PV_DATA[[#This Row],[Qty/CT]]</f>
        <v>2</v>
      </c>
      <c r="Y489" s="431" t="s">
        <v>951</v>
      </c>
      <c r="Z489" s="430" t="str">
        <f t="shared" si="4"/>
        <v>COMPLETED</v>
      </c>
      <c r="AA489" s="431" t="s">
        <v>2183</v>
      </c>
      <c r="AB489" s="441">
        <v>46141</v>
      </c>
      <c r="AC489" s="467">
        <f>IF(PV_DATA[[#This Row],[Pick-Up Date]]&lt;&gt;"",_xlfn.ISOWEEKNUM(PV_DATA[[#This Row],[Pick-Up Date]]),"")</f>
        <v>18</v>
      </c>
      <c r="AD489" s="431" t="s">
        <v>2385</v>
      </c>
      <c r="AF489" s="431" t="s">
        <v>77</v>
      </c>
      <c r="AG489" s="431" t="s">
        <v>61</v>
      </c>
      <c r="AH489" s="431" t="s">
        <v>78</v>
      </c>
      <c r="AI489" s="441">
        <v>46146</v>
      </c>
      <c r="AJ489" s="441">
        <v>46146</v>
      </c>
      <c r="AK489" s="441">
        <v>46146</v>
      </c>
      <c r="AL489" s="441">
        <v>46209</v>
      </c>
      <c r="AM489" s="441">
        <v>46209</v>
      </c>
      <c r="AN489" s="441">
        <v>46210</v>
      </c>
      <c r="AO489" s="431" t="s">
        <v>402</v>
      </c>
      <c r="AP489" s="431" t="s">
        <v>2368</v>
      </c>
      <c r="AQ489" s="431" t="s">
        <v>80</v>
      </c>
      <c r="AR489" s="431" t="s">
        <v>2379</v>
      </c>
      <c r="AS489" s="431" t="s">
        <v>2386</v>
      </c>
      <c r="AT489" s="482" t="s">
        <v>2380</v>
      </c>
      <c r="AU48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</v>
      </c>
      <c r="AV489" s="441"/>
      <c r="AW489" s="441" cm="1">
        <f t="array" ref="AW48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46210</v>
      </c>
      <c r="AX48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89" s="441">
        <f>IF(ISERROR(PV_DATA[[#This Row],[New Ark PO status]]),"",_xlfn.XLOOKUP(PV_DATA[[#This Row],[SPTN-PVHK New Ark PO'#]],New_Ark_Data[Purchase order Number],New_Ark_Data[Estimated time of arrival],"",0))</f>
        <v>46223</v>
      </c>
      <c r="AZ489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489" s="441">
        <f>IFERROR(PV_DATA[[#This Row],[ODP ETA Port]]+PV_DATA[[#This Row],[Customs/Leg3 Assumption]],"n/a")</f>
        <v>46210</v>
      </c>
      <c r="BB489" s="442">
        <f>YEAR(PV_DATA[[#This Row],[ETA for New Ark update]])</f>
        <v>2026</v>
      </c>
      <c r="BC489" s="431">
        <f>MONTH(PV_DATA[[#This Row],[ETA for New Ark update]])</f>
        <v>7</v>
      </c>
      <c r="BD489" s="431">
        <f>IFERROR(_xlfn.ISOWEEKNUM(PV_DATA[[#This Row],[ETA for New Ark update]]),0)</f>
        <v>28</v>
      </c>
      <c r="BE489" s="431">
        <f>_xlfn.XLOOKUP(PV_DATA[[#This Row],[New Ark SKU]],Table9[New Ark SKU],Table9[Total PCS per Pallet],,0)</f>
        <v>36</v>
      </c>
      <c r="BF489" s="431">
        <f>_xlfn.XLOOKUP(PV_DATA[[#This Row],[New Ark SKU]],Table9[New Ark SKU],Table9[Total PCS per 40HQ Container],,0)</f>
        <v>864</v>
      </c>
      <c r="BG489" s="431" t="str">
        <f>_xlfn.XLOOKUP(PV_DATA[[#This Row],[New Ark SKU]],Table9[New Ark SKU],Table9[Back Glass],,0)</f>
        <v>Black glazing</v>
      </c>
      <c r="BH489" s="431" t="str">
        <f>_xlfn.XLOOKUP(PV_DATA[[#This Row],[PORT DESTINATION]],Table12[PORT DESTINATION],Table12[Cosco Line],,0)</f>
        <v>AEM</v>
      </c>
    </row>
    <row r="490" spans="1:60" s="431" customFormat="1" ht="10.5" hidden="1">
      <c r="A490" s="439" t="s">
        <v>2387</v>
      </c>
      <c r="B490" s="439" t="s">
        <v>61</v>
      </c>
      <c r="C490" s="439" t="str">
        <f>IFERROR(LEFT(PV_DATA[[#This Row],[TCL REFERENCE]],FIND(".",PV_DATA[[#This Row],[TCL REFERENCE]],1)-1),"Main Line")</f>
        <v>26Apr013</v>
      </c>
      <c r="D490" s="439" t="s">
        <v>63</v>
      </c>
      <c r="E490" s="439" t="s">
        <v>144</v>
      </c>
      <c r="F490" s="462" t="str" cm="1">
        <f t="array" ref="F49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490" s="439" t="s">
        <v>402</v>
      </c>
      <c r="H490" s="439" t="s">
        <v>1029</v>
      </c>
      <c r="I490" s="439" t="s">
        <v>689</v>
      </c>
      <c r="J490" s="431" t="s">
        <v>2388</v>
      </c>
      <c r="K490" s="431" t="s">
        <v>2389</v>
      </c>
      <c r="L490" s="431">
        <v>1</v>
      </c>
      <c r="M490" s="431" t="s">
        <v>840</v>
      </c>
      <c r="N490" s="432" t="s">
        <v>68</v>
      </c>
      <c r="O490" s="431" t="s">
        <v>70</v>
      </c>
      <c r="P490" s="431" t="s">
        <v>71</v>
      </c>
      <c r="Q490" s="431" t="s">
        <v>72</v>
      </c>
      <c r="R490" s="431" t="str">
        <f>_xlfn.XLOOKUP(PV_DATA[[#This Row],[New Ark SKU]],Table9[New Ark SKU],Table9[Connector],,0)</f>
        <v>EVO2A</v>
      </c>
      <c r="S490" s="442" t="str">
        <f>_xlfn.XLOOKUP(PV_DATA[[#This Row],[New Ark SKU]],Table9[New Ark SKU],Table9[Cable],,0)</f>
        <v>±1200mm</v>
      </c>
      <c r="T490" s="442">
        <v>500</v>
      </c>
      <c r="U490" s="1067">
        <f>864*1</f>
        <v>864</v>
      </c>
      <c r="V490" s="448">
        <f>PV_DATA[[#This Row],[QUANTITY]]*PV_DATA[[#This Row],[WATT]]/1000000</f>
        <v>0.432</v>
      </c>
      <c r="W490" s="466">
        <f>PV_DATA[[#This Row],[QUANTITY]]/PV_DATA[[#This Row],[Qty/Pallet]]</f>
        <v>24</v>
      </c>
      <c r="X490" s="1019">
        <f>PV_DATA[[#This Row],[QUANTITY]]/PV_DATA[[#This Row],[Qty/CT]]</f>
        <v>1</v>
      </c>
      <c r="Y490" s="431" t="s">
        <v>951</v>
      </c>
      <c r="Z490" s="430" t="str">
        <f t="shared" si="4"/>
        <v>COMPLETED</v>
      </c>
      <c r="AB490" s="441">
        <v>46141</v>
      </c>
      <c r="AC490" s="467">
        <f>IF(PV_DATA[[#This Row],[Pick-Up Date]]&lt;&gt;"",_xlfn.ISOWEEKNUM(PV_DATA[[#This Row],[Pick-Up Date]]),"")</f>
        <v>18</v>
      </c>
      <c r="AD490" s="431" t="s">
        <v>2390</v>
      </c>
      <c r="AF490" s="431" t="s">
        <v>77</v>
      </c>
      <c r="AG490" s="431" t="s">
        <v>61</v>
      </c>
      <c r="AH490" s="431" t="s">
        <v>888</v>
      </c>
      <c r="AI490" s="441">
        <v>46146</v>
      </c>
      <c r="AJ490" s="441">
        <v>46146</v>
      </c>
      <c r="AK490" s="441">
        <v>46146</v>
      </c>
      <c r="AL490" s="441">
        <v>46204</v>
      </c>
      <c r="AM490" s="441">
        <v>46211</v>
      </c>
      <c r="AN490" s="441">
        <v>46211</v>
      </c>
      <c r="AO490" s="431" t="s">
        <v>402</v>
      </c>
      <c r="AP490" s="431" t="s">
        <v>2368</v>
      </c>
      <c r="AQ490" s="431" t="s">
        <v>80</v>
      </c>
      <c r="AR490" s="431" t="s">
        <v>2391</v>
      </c>
      <c r="AS490" s="431" t="s">
        <v>2392</v>
      </c>
      <c r="AT490" s="482" t="s">
        <v>2392</v>
      </c>
      <c r="AU49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65</v>
      </c>
      <c r="AV490" s="441"/>
      <c r="AW490" s="441" cm="1">
        <f t="array" ref="AW49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46211</v>
      </c>
      <c r="AX49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90" s="441">
        <f>IF(ISERROR(PV_DATA[[#This Row],[New Ark PO status]]),"",_xlfn.XLOOKUP(PV_DATA[[#This Row],[SPTN-PVHK New Ark PO'#]],New_Ark_Data[Purchase order Number],New_Ark_Data[Estimated time of arrival],"",0))</f>
        <v>46204</v>
      </c>
      <c r="AZ490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490" s="441">
        <f>IFERROR(PV_DATA[[#This Row],[ODP ETA Port]]+PV_DATA[[#This Row],[Customs/Leg3 Assumption]],"n/a")</f>
        <v>46211</v>
      </c>
      <c r="BB490" s="442">
        <f>YEAR(PV_DATA[[#This Row],[ETA for New Ark update]])</f>
        <v>2026</v>
      </c>
      <c r="BC490" s="431">
        <f>MONTH(PV_DATA[[#This Row],[ETA for New Ark update]])</f>
        <v>7</v>
      </c>
      <c r="BD490" s="431">
        <f>IFERROR(_xlfn.ISOWEEKNUM(PV_DATA[[#This Row],[ETA for New Ark update]]),0)</f>
        <v>28</v>
      </c>
      <c r="BE490" s="431">
        <f>_xlfn.XLOOKUP(PV_DATA[[#This Row],[New Ark SKU]],Table9[New Ark SKU],Table9[Total PCS per Pallet],,0)</f>
        <v>36</v>
      </c>
      <c r="BF490" s="431">
        <f>_xlfn.XLOOKUP(PV_DATA[[#This Row],[New Ark SKU]],Table9[New Ark SKU],Table9[Total PCS per 40HQ Container],,0)</f>
        <v>864</v>
      </c>
      <c r="BG490" s="431" t="str">
        <f>_xlfn.XLOOKUP(PV_DATA[[#This Row],[New Ark SKU]],Table9[New Ark SKU],Table9[Back Glass],,0)</f>
        <v>Black glazing</v>
      </c>
      <c r="BH490" s="431" t="str">
        <f>_xlfn.XLOOKUP(PV_DATA[[#This Row],[PORT DESTINATION]],Table12[PORT DESTINATION],Table12[Cosco Line],,0)</f>
        <v>AEU</v>
      </c>
    </row>
    <row r="491" spans="1:60" s="431" customFormat="1" ht="10.5" hidden="1">
      <c r="A491" s="439" t="s">
        <v>2393</v>
      </c>
      <c r="B491" s="439" t="s">
        <v>61</v>
      </c>
      <c r="C491" s="439" t="str">
        <f>IFERROR(LEFT(PV_DATA[[#This Row],[TCL REFERENCE]],FIND(".",PV_DATA[[#This Row],[TCL REFERENCE]],1)-1),"Main Line")</f>
        <v>26Apr013</v>
      </c>
      <c r="D491" s="439" t="s">
        <v>63</v>
      </c>
      <c r="E491" s="439" t="s">
        <v>144</v>
      </c>
      <c r="F491" s="462" t="str" cm="1">
        <f t="array" ref="F49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491" s="439" t="s">
        <v>402</v>
      </c>
      <c r="H491" s="439" t="s">
        <v>2394</v>
      </c>
      <c r="I491" s="439" t="s">
        <v>689</v>
      </c>
      <c r="J491" s="431" t="s">
        <v>2395</v>
      </c>
      <c r="K491" s="431" t="s">
        <v>2396</v>
      </c>
      <c r="M491" s="430" t="s">
        <v>840</v>
      </c>
      <c r="N491" s="432" t="s">
        <v>68</v>
      </c>
      <c r="O491" s="431" t="s">
        <v>70</v>
      </c>
      <c r="P491" s="431" t="s">
        <v>71</v>
      </c>
      <c r="Q491" s="431" t="s">
        <v>72</v>
      </c>
      <c r="R491" s="431" t="str">
        <f>_xlfn.XLOOKUP(PV_DATA[[#This Row],[New Ark SKU]],Table9[New Ark SKU],Table9[Connector],,0)</f>
        <v>EVO2A</v>
      </c>
      <c r="S491" s="442" t="str">
        <f>_xlfn.XLOOKUP(PV_DATA[[#This Row],[New Ark SKU]],Table9[New Ark SKU],Table9[Cable],,0)</f>
        <v>±1200mm</v>
      </c>
      <c r="T491" s="442">
        <v>500</v>
      </c>
      <c r="U491" s="1067">
        <f>864*6</f>
        <v>5184</v>
      </c>
      <c r="V491" s="448">
        <f>PV_DATA[[#This Row],[QUANTITY]]*PV_DATA[[#This Row],[WATT]]/1000000</f>
        <v>2.5920000000000001</v>
      </c>
      <c r="W491" s="466">
        <f>PV_DATA[[#This Row],[QUANTITY]]/PV_DATA[[#This Row],[Qty/Pallet]]</f>
        <v>144</v>
      </c>
      <c r="X491" s="1019">
        <f>PV_DATA[[#This Row],[QUANTITY]]/PV_DATA[[#This Row],[Qty/CT]]</f>
        <v>6</v>
      </c>
      <c r="Y491" s="431" t="s">
        <v>951</v>
      </c>
      <c r="Z491" s="430" t="str">
        <f t="shared" si="4"/>
        <v>COMPLETED</v>
      </c>
      <c r="AB491" s="441">
        <v>46136</v>
      </c>
      <c r="AC491" s="467">
        <f>IF(PV_DATA[[#This Row],[Pick-Up Date]]&lt;&gt;"",_xlfn.ISOWEEKNUM(PV_DATA[[#This Row],[Pick-Up Date]]),"")</f>
        <v>17</v>
      </c>
      <c r="AD491" s="431" t="s">
        <v>2397</v>
      </c>
      <c r="AF491" s="431" t="s">
        <v>77</v>
      </c>
      <c r="AG491" s="431" t="s">
        <v>61</v>
      </c>
      <c r="AH491" s="431" t="s">
        <v>888</v>
      </c>
      <c r="AI491" s="441">
        <v>46144</v>
      </c>
      <c r="AJ491" s="441">
        <v>46149</v>
      </c>
      <c r="AK491" s="441">
        <v>46149</v>
      </c>
      <c r="AL491" s="441">
        <v>46208</v>
      </c>
      <c r="AM491" s="441">
        <v>46206</v>
      </c>
      <c r="AN491" s="441">
        <v>46207</v>
      </c>
      <c r="AO491" s="431" t="s">
        <v>402</v>
      </c>
      <c r="AP491" s="431" t="s">
        <v>2398</v>
      </c>
      <c r="AQ491" s="431" t="s">
        <v>161</v>
      </c>
      <c r="AR491" s="431" t="s">
        <v>2399</v>
      </c>
      <c r="AS491" s="431" t="s">
        <v>2400</v>
      </c>
      <c r="AT491" s="482" t="s">
        <v>2401</v>
      </c>
      <c r="AU49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V491" s="441"/>
      <c r="AW491" s="441" cm="1">
        <f t="array" ref="AW49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46207</v>
      </c>
      <c r="AX49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91" s="441">
        <f>IF(ISERROR(PV_DATA[[#This Row],[New Ark PO status]]),"",_xlfn.XLOOKUP(PV_DATA[[#This Row],[SPTN-PVHK New Ark PO'#]],New_Ark_Data[Purchase order Number],New_Ark_Data[Estimated time of arrival],"",0))</f>
        <v>46203</v>
      </c>
      <c r="AZ491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491" s="441">
        <f>IFERROR(PV_DATA[[#This Row],[ODP ETA Port]]+PV_DATA[[#This Row],[Customs/Leg3 Assumption]],"n/a")</f>
        <v>46207</v>
      </c>
      <c r="BB491" s="442">
        <f>YEAR(PV_DATA[[#This Row],[ETA for New Ark update]])</f>
        <v>2026</v>
      </c>
      <c r="BC491" s="431">
        <f>MONTH(PV_DATA[[#This Row],[ETA for New Ark update]])</f>
        <v>7</v>
      </c>
      <c r="BD491" s="431">
        <f>IFERROR(_xlfn.ISOWEEKNUM(PV_DATA[[#This Row],[ETA for New Ark update]]),0)</f>
        <v>27</v>
      </c>
      <c r="BE491" s="431">
        <f>_xlfn.XLOOKUP(PV_DATA[[#This Row],[New Ark SKU]],Table9[New Ark SKU],Table9[Total PCS per Pallet],,0)</f>
        <v>36</v>
      </c>
      <c r="BF491" s="431">
        <f>_xlfn.XLOOKUP(PV_DATA[[#This Row],[New Ark SKU]],Table9[New Ark SKU],Table9[Total PCS per 40HQ Container],,0)</f>
        <v>864</v>
      </c>
      <c r="BG491" s="431" t="str">
        <f>_xlfn.XLOOKUP(PV_DATA[[#This Row],[New Ark SKU]],Table9[New Ark SKU],Table9[Back Glass],,0)</f>
        <v>Black glazing</v>
      </c>
      <c r="BH491" s="431" t="str">
        <f>_xlfn.XLOOKUP(PV_DATA[[#This Row],[PORT DESTINATION]],Table12[PORT DESTINATION],Table12[Cosco Line],,0)</f>
        <v>AEU</v>
      </c>
    </row>
    <row r="492" spans="1:60" s="431" customFormat="1" ht="10.5" hidden="1">
      <c r="A492" s="439" t="s">
        <v>2402</v>
      </c>
      <c r="B492" s="439" t="s">
        <v>61</v>
      </c>
      <c r="C492" s="439" t="str">
        <f>IFERROR(LEFT(PV_DATA[[#This Row],[TCL REFERENCE]],FIND(".",PV_DATA[[#This Row],[TCL REFERENCE]],1)-1),"Main Line")</f>
        <v>26Apr013</v>
      </c>
      <c r="D492" s="439" t="s">
        <v>63</v>
      </c>
      <c r="E492" s="439" t="s">
        <v>144</v>
      </c>
      <c r="F492" s="462" t="str" cm="1">
        <f t="array" ref="F49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492" s="439" t="s">
        <v>402</v>
      </c>
      <c r="H492" s="439" t="s">
        <v>1029</v>
      </c>
      <c r="I492" s="439" t="s">
        <v>689</v>
      </c>
      <c r="J492" s="431" t="s">
        <v>2388</v>
      </c>
      <c r="K492" s="431" t="s">
        <v>2389</v>
      </c>
      <c r="L492" s="431">
        <v>1</v>
      </c>
      <c r="M492" s="431" t="s">
        <v>840</v>
      </c>
      <c r="N492" s="432" t="s">
        <v>68</v>
      </c>
      <c r="O492" s="431" t="s">
        <v>70</v>
      </c>
      <c r="P492" s="431" t="s">
        <v>71</v>
      </c>
      <c r="Q492" s="431" t="s">
        <v>72</v>
      </c>
      <c r="R492" s="431" t="str">
        <f>_xlfn.XLOOKUP(PV_DATA[[#This Row],[New Ark SKU]],Table9[New Ark SKU],Table9[Connector],,0)</f>
        <v>EVO2A</v>
      </c>
      <c r="S492" s="442" t="str">
        <f>_xlfn.XLOOKUP(PV_DATA[[#This Row],[New Ark SKU]],Table9[New Ark SKU],Table9[Cable],,0)</f>
        <v>±1200mm</v>
      </c>
      <c r="T492" s="442">
        <v>500</v>
      </c>
      <c r="U492" s="1067">
        <f>864*5</f>
        <v>4320</v>
      </c>
      <c r="V492" s="448">
        <f>PV_DATA[[#This Row],[QUANTITY]]*PV_DATA[[#This Row],[WATT]]/1000000</f>
        <v>2.16</v>
      </c>
      <c r="W492" s="466">
        <f>PV_DATA[[#This Row],[QUANTITY]]/PV_DATA[[#This Row],[Qty/Pallet]]</f>
        <v>120</v>
      </c>
      <c r="X492" s="1019">
        <f>PV_DATA[[#This Row],[QUANTITY]]/PV_DATA[[#This Row],[Qty/CT]]</f>
        <v>5</v>
      </c>
      <c r="Y492" s="431" t="s">
        <v>951</v>
      </c>
      <c r="Z492" s="430" t="str">
        <f t="shared" si="4"/>
        <v>COMPLETED</v>
      </c>
      <c r="AB492" s="441">
        <v>46136</v>
      </c>
      <c r="AC492" s="467">
        <f>IF(PV_DATA[[#This Row],[Pick-Up Date]]&lt;&gt;"",_xlfn.ISOWEEKNUM(PV_DATA[[#This Row],[Pick-Up Date]]),"")</f>
        <v>17</v>
      </c>
      <c r="AD492" s="431" t="s">
        <v>2403</v>
      </c>
      <c r="AF492" s="431" t="s">
        <v>77</v>
      </c>
      <c r="AG492" s="431" t="s">
        <v>61</v>
      </c>
      <c r="AH492" s="431" t="s">
        <v>888</v>
      </c>
      <c r="AI492" s="441">
        <v>46144</v>
      </c>
      <c r="AJ492" s="441">
        <v>46149</v>
      </c>
      <c r="AK492" s="441">
        <v>46149</v>
      </c>
      <c r="AL492" s="441">
        <v>46208</v>
      </c>
      <c r="AM492" s="441">
        <v>46206</v>
      </c>
      <c r="AN492" s="441">
        <v>46207</v>
      </c>
      <c r="AO492" s="431" t="s">
        <v>402</v>
      </c>
      <c r="AP492" s="431" t="s">
        <v>2398</v>
      </c>
      <c r="AQ492" s="431" t="s">
        <v>161</v>
      </c>
      <c r="AR492" s="431" t="s">
        <v>2404</v>
      </c>
      <c r="AS492" s="431" t="s">
        <v>2405</v>
      </c>
      <c r="AT492" s="482" t="s">
        <v>2406</v>
      </c>
      <c r="AU49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V492" s="441"/>
      <c r="AW492" s="441" cm="1">
        <f t="array" ref="AW49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46207</v>
      </c>
      <c r="AX49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92" s="441">
        <f>IF(ISERROR(PV_DATA[[#This Row],[New Ark PO status]]),"",_xlfn.XLOOKUP(PV_DATA[[#This Row],[SPTN-PVHK New Ark PO'#]],New_Ark_Data[Purchase order Number],New_Ark_Data[Estimated time of arrival],"",0))</f>
        <v>46203</v>
      </c>
      <c r="AZ492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492" s="441">
        <f>IFERROR(PV_DATA[[#This Row],[ODP ETA Port]]+PV_DATA[[#This Row],[Customs/Leg3 Assumption]],"n/a")</f>
        <v>46207</v>
      </c>
      <c r="BB492" s="442">
        <f>YEAR(PV_DATA[[#This Row],[ETA for New Ark update]])</f>
        <v>2026</v>
      </c>
      <c r="BC492" s="431">
        <f>MONTH(PV_DATA[[#This Row],[ETA for New Ark update]])</f>
        <v>7</v>
      </c>
      <c r="BD492" s="431">
        <f>IFERROR(_xlfn.ISOWEEKNUM(PV_DATA[[#This Row],[ETA for New Ark update]]),0)</f>
        <v>27</v>
      </c>
      <c r="BE492" s="431">
        <f>_xlfn.XLOOKUP(PV_DATA[[#This Row],[New Ark SKU]],Table9[New Ark SKU],Table9[Total PCS per Pallet],,0)</f>
        <v>36</v>
      </c>
      <c r="BF492" s="431">
        <f>_xlfn.XLOOKUP(PV_DATA[[#This Row],[New Ark SKU]],Table9[New Ark SKU],Table9[Total PCS per 40HQ Container],,0)</f>
        <v>864</v>
      </c>
      <c r="BG492" s="431" t="str">
        <f>_xlfn.XLOOKUP(PV_DATA[[#This Row],[New Ark SKU]],Table9[New Ark SKU],Table9[Back Glass],,0)</f>
        <v>Black glazing</v>
      </c>
      <c r="BH492" s="431" t="str">
        <f>_xlfn.XLOOKUP(PV_DATA[[#This Row],[PORT DESTINATION]],Table12[PORT DESTINATION],Table12[Cosco Line],,0)</f>
        <v>AEU</v>
      </c>
    </row>
    <row r="493" spans="1:60" s="431" customFormat="1" hidden="1">
      <c r="A493" s="439" t="s">
        <v>2407</v>
      </c>
      <c r="B493" s="439" t="s">
        <v>1888</v>
      </c>
      <c r="C493" s="439" t="str">
        <f>IFERROR(LEFT(PV_DATA[[#This Row],[TCL REFERENCE]],FIND(".",PV_DATA[[#This Row],[TCL REFERENCE]],1)-1),"Main Line")</f>
        <v>26Feb017</v>
      </c>
      <c r="D493" s="439" t="s">
        <v>63</v>
      </c>
      <c r="E493" s="439" t="s">
        <v>144</v>
      </c>
      <c r="F493" s="462" t="str" cm="1">
        <f t="array" ref="F49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493" s="720" t="s">
        <v>402</v>
      </c>
      <c r="H493" s="720" t="s">
        <v>1080</v>
      </c>
      <c r="I493" s="720" t="s">
        <v>689</v>
      </c>
      <c r="J493" s="472" t="s">
        <v>2408</v>
      </c>
      <c r="K493" s="472" t="s">
        <v>2253</v>
      </c>
      <c r="L493" s="472">
        <v>2</v>
      </c>
      <c r="M493" s="472" t="s">
        <v>840</v>
      </c>
      <c r="N493" s="473">
        <v>46111</v>
      </c>
      <c r="O493" s="431" t="s">
        <v>70</v>
      </c>
      <c r="P493" s="431" t="s">
        <v>195</v>
      </c>
      <c r="Q493" s="431" t="s">
        <v>196</v>
      </c>
      <c r="R493" s="431" t="str">
        <f>_xlfn.XLOOKUP(PV_DATA[[#This Row],[New Ark SKU]],Table9[New Ark SKU],Table9[Connector],,0)</f>
        <v>EVO2A</v>
      </c>
      <c r="S493" s="442" t="str">
        <f>_xlfn.XLOOKUP(PV_DATA[[#This Row],[New Ark SKU]],Table9[New Ark SKU],Table9[Cable],,0)</f>
        <v>±1200mm</v>
      </c>
      <c r="T493" s="442">
        <v>450</v>
      </c>
      <c r="U493" s="1067">
        <f>936*2</f>
        <v>1872</v>
      </c>
      <c r="V493" s="448">
        <f>PV_DATA[[#This Row],[QUANTITY]]*PV_DATA[[#This Row],[WATT]]/1000000</f>
        <v>0.84240000000000004</v>
      </c>
      <c r="W493" s="466">
        <f>PV_DATA[[#This Row],[QUANTITY]]/PV_DATA[[#This Row],[Qty/Pallet]]</f>
        <v>52</v>
      </c>
      <c r="X493" s="1019">
        <f>PV_DATA[[#This Row],[QUANTITY]]/PV_DATA[[#This Row],[Qty/CT]]</f>
        <v>2</v>
      </c>
      <c r="Y493" s="431" t="s">
        <v>951</v>
      </c>
      <c r="Z493" s="430" t="str">
        <f t="shared" si="4"/>
        <v>COMPLETED</v>
      </c>
      <c r="AA493" s="431" t="s">
        <v>2038</v>
      </c>
      <c r="AB493" s="441">
        <v>46146</v>
      </c>
      <c r="AC493" s="445">
        <f>IF(PV_DATA[[#This Row],[Pick-Up Date]]&lt;&gt;"",_xlfn.ISOWEEKNUM(PV_DATA[[#This Row],[Pick-Up Date]]),"")</f>
        <v>19</v>
      </c>
      <c r="AD493" s="431" t="s">
        <v>2409</v>
      </c>
      <c r="AF493" s="431" t="s">
        <v>4429</v>
      </c>
      <c r="AG493" s="431" t="s">
        <v>123</v>
      </c>
      <c r="AH493" s="431" t="s">
        <v>1084</v>
      </c>
      <c r="AI493" s="441">
        <v>46150</v>
      </c>
      <c r="AJ493" s="441">
        <v>46155</v>
      </c>
      <c r="AK493" s="441">
        <v>46155</v>
      </c>
      <c r="AL493" s="441">
        <v>46191</v>
      </c>
      <c r="AM493" s="441">
        <v>46196</v>
      </c>
      <c r="AN493" s="441">
        <v>46196</v>
      </c>
      <c r="AO493" s="431" t="s">
        <v>402</v>
      </c>
      <c r="AP493" s="431" t="s">
        <v>2410</v>
      </c>
      <c r="AQ493" s="431" t="s">
        <v>161</v>
      </c>
      <c r="AR493" s="431" t="s">
        <v>2411</v>
      </c>
      <c r="AS493" s="431" t="s">
        <v>2412</v>
      </c>
      <c r="AT493" s="482" t="s">
        <v>2413</v>
      </c>
      <c r="AU49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W493" s="441" cm="1">
        <f t="array" ref="AW49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46196</v>
      </c>
      <c r="AX49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93" s="441">
        <f>IF(ISERROR(PV_DATA[[#This Row],[New Ark PO status]]),"",_xlfn.XLOOKUP(PV_DATA[[#This Row],[SPTN-PVHK New Ark PO'#]],New_Ark_Data[Purchase order Number],New_Ark_Data[Estimated time of arrival],"",0))</f>
        <v>46191</v>
      </c>
      <c r="AZ493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493" s="441">
        <f>IFERROR(PV_DATA[[#This Row],[ODP ETA Port]]+PV_DATA[[#This Row],[Customs/Leg3 Assumption]],"n/a")</f>
        <v>46196</v>
      </c>
      <c r="BB493" s="442">
        <f>YEAR(PV_DATA[[#This Row],[ETA for New Ark update]])</f>
        <v>2026</v>
      </c>
      <c r="BC493" s="431">
        <f>MONTH(PV_DATA[[#This Row],[ETA for New Ark update]])</f>
        <v>6</v>
      </c>
      <c r="BD493" s="431">
        <f>IFERROR(_xlfn.ISOWEEKNUM(PV_DATA[[#This Row],[ETA for New Ark update]]),0)</f>
        <v>26</v>
      </c>
      <c r="BE493" s="431">
        <f>_xlfn.XLOOKUP(PV_DATA[[#This Row],[New Ark SKU]],Table9[New Ark SKU],Table9[Total PCS per Pallet],,0)</f>
        <v>36</v>
      </c>
      <c r="BF493" s="431">
        <f>_xlfn.XLOOKUP(PV_DATA[[#This Row],[New Ark SKU]],Table9[New Ark SKU],Table9[Total PCS per 40HQ Container],,0)</f>
        <v>936</v>
      </c>
      <c r="BG493" s="431" t="str">
        <f>_xlfn.XLOOKUP(PV_DATA[[#This Row],[New Ark SKU]],Table9[New Ark SKU],Table9[Back Glass],,0)</f>
        <v>Black glazing</v>
      </c>
      <c r="BH493" s="431" t="str">
        <f>_xlfn.XLOOKUP(PV_DATA[[#This Row],[PORT DESTINATION]],Table12[PORT DESTINATION],Table12[Cosco Line],,0)</f>
        <v>AEU</v>
      </c>
    </row>
    <row r="494" spans="1:60" s="431" customFormat="1" ht="10.5" hidden="1">
      <c r="A494" s="439" t="s">
        <v>2414</v>
      </c>
      <c r="B494" s="439" t="s">
        <v>61</v>
      </c>
      <c r="C494" s="439" t="str">
        <f>IFERROR(LEFT(PV_DATA[[#This Row],[TCL REFERENCE]],FIND(".",PV_DATA[[#This Row],[TCL REFERENCE]],1)-1),"Main Line")</f>
        <v>26May001</v>
      </c>
      <c r="D494" s="439" t="s">
        <v>63</v>
      </c>
      <c r="E494" s="439" t="s">
        <v>64</v>
      </c>
      <c r="F494" s="462" t="str" cm="1">
        <f t="array" ref="F49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494" s="720" t="s">
        <v>402</v>
      </c>
      <c r="H494" s="720" t="s">
        <v>67</v>
      </c>
      <c r="I494" s="720" t="s">
        <v>1395</v>
      </c>
      <c r="J494" s="472" t="s">
        <v>96</v>
      </c>
      <c r="K494" s="472"/>
      <c r="L494" s="472"/>
      <c r="M494" s="472" t="s">
        <v>68</v>
      </c>
      <c r="N494" s="473">
        <v>46139</v>
      </c>
      <c r="O494" s="431" t="s">
        <v>550</v>
      </c>
      <c r="P494" s="431" t="s">
        <v>551</v>
      </c>
      <c r="Q494" s="431" t="s">
        <v>2151</v>
      </c>
      <c r="R494" s="431" t="str">
        <f>_xlfn.XLOOKUP(PV_DATA[[#This Row],[New Ark SKU]],Table9[New Ark SKU],Table9[Connector],,0)</f>
        <v>EVO2A</v>
      </c>
      <c r="S494" s="442" t="str">
        <f>_xlfn.XLOOKUP(PV_DATA[[#This Row],[New Ark SKU]],Table9[New Ark SKU],Table9[Cable],,0)</f>
        <v>±1350mm</v>
      </c>
      <c r="T494" s="442">
        <v>510</v>
      </c>
      <c r="U494" s="1067">
        <f>792*4</f>
        <v>3168</v>
      </c>
      <c r="V494" s="434">
        <f>PV_DATA[[#This Row],[QUANTITY]]*PV_DATA[[#This Row],[WATT]]/1000000</f>
        <v>1.61568</v>
      </c>
      <c r="W494" s="466">
        <f>PV_DATA[[#This Row],[QUANTITY]]/PV_DATA[[#This Row],[Qty/Pallet]]</f>
        <v>88</v>
      </c>
      <c r="X494" s="1019">
        <f>PV_DATA[[#This Row],[QUANTITY]]/PV_DATA[[#This Row],[Qty/CT]]</f>
        <v>4</v>
      </c>
      <c r="Y494" s="431" t="s">
        <v>951</v>
      </c>
      <c r="Z494" s="430" t="str">
        <f t="shared" si="4"/>
        <v>COMPLETED</v>
      </c>
      <c r="AA494" s="474" t="s">
        <v>2416</v>
      </c>
      <c r="AB494" s="441">
        <v>46153</v>
      </c>
      <c r="AC494" s="467">
        <f>IF(PV_DATA[[#This Row],[Pick-Up Date]]&lt;&gt;"",_xlfn.ISOWEEKNUM(PV_DATA[[#This Row],[Pick-Up Date]]),"")</f>
        <v>20</v>
      </c>
      <c r="AD494" s="431" t="s">
        <v>2417</v>
      </c>
      <c r="AF494" s="431" t="s">
        <v>122</v>
      </c>
      <c r="AG494" s="431" t="s">
        <v>123</v>
      </c>
      <c r="AH494" s="431" t="s">
        <v>356</v>
      </c>
      <c r="AI494" s="441">
        <v>46158</v>
      </c>
      <c r="AJ494" s="441">
        <v>46158</v>
      </c>
      <c r="AK494" s="441">
        <v>46158</v>
      </c>
      <c r="AL494" s="441">
        <v>46214</v>
      </c>
      <c r="AM494" s="441"/>
      <c r="AN494" s="441">
        <v>46217</v>
      </c>
      <c r="AO494" s="431" t="s">
        <v>402</v>
      </c>
      <c r="AP494" s="431" t="s">
        <v>2418</v>
      </c>
      <c r="AQ494" s="431" t="s">
        <v>161</v>
      </c>
      <c r="AR494" s="431" t="s">
        <v>2419</v>
      </c>
      <c r="AS494" s="431" t="s">
        <v>2420</v>
      </c>
      <c r="AT494" s="482" t="s">
        <v>2420</v>
      </c>
      <c r="AU49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V494" s="441"/>
      <c r="AW494" s="441" cm="1">
        <f t="array" ref="AW49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46217</v>
      </c>
      <c r="AX49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94" s="441">
        <f>IF(ISERROR(PV_DATA[[#This Row],[New Ark PO status]]),"",_xlfn.XLOOKUP(PV_DATA[[#This Row],[SPTN-PVHK New Ark PO'#]],New_Ark_Data[Purchase order Number],New_Ark_Data[Estimated time of arrival],"",0))</f>
        <v>46227</v>
      </c>
      <c r="AZ494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94" s="441">
        <f>IFERROR(PV_DATA[[#This Row],[ODP ETA Port]]+PV_DATA[[#This Row],[Customs/Leg3 Assumption]],"n/a")</f>
        <v>46227</v>
      </c>
      <c r="BB494" s="442">
        <f>YEAR(PV_DATA[[#This Row],[ETA for New Ark update]])</f>
        <v>2026</v>
      </c>
      <c r="BC494" s="431">
        <f>MONTH(PV_DATA[[#This Row],[ETA for New Ark update]])</f>
        <v>7</v>
      </c>
      <c r="BD494" s="431">
        <f>IFERROR(_xlfn.ISOWEEKNUM(PV_DATA[[#This Row],[ETA for New Ark update]]),0)</f>
        <v>30</v>
      </c>
      <c r="BE494" s="431">
        <f>_xlfn.XLOOKUP(PV_DATA[[#This Row],[New Ark SKU]],Table9[New Ark SKU],Table9[Total PCS per Pallet],,0)</f>
        <v>36</v>
      </c>
      <c r="BF494" s="431">
        <f>_xlfn.XLOOKUP(PV_DATA[[#This Row],[New Ark SKU]],Table9[New Ark SKU],Table9[Total PCS per 40HQ Container],,0)</f>
        <v>792</v>
      </c>
      <c r="BG494" s="431" t="str">
        <f>_xlfn.XLOOKUP(PV_DATA[[#This Row],[New Ark SKU]],Table9[New Ark SKU],Table9[Back Glass],,0)</f>
        <v>Black glazing</v>
      </c>
      <c r="BH494" s="431" t="str">
        <f>_xlfn.XLOOKUP(PV_DATA[[#This Row],[PORT DESTINATION]],Table12[PORT DESTINATION],Table12[Cosco Line],,0)</f>
        <v>AEU</v>
      </c>
    </row>
    <row r="495" spans="1:60" s="431" customFormat="1" ht="10.5" hidden="1">
      <c r="A495" s="439" t="s">
        <v>2421</v>
      </c>
      <c r="B495" s="439" t="s">
        <v>111</v>
      </c>
      <c r="C495" s="439" t="str">
        <f>IFERROR(LEFT(PV_DATA[[#This Row],[TCL REFERENCE]],FIND(".",PV_DATA[[#This Row],[TCL REFERENCE]],1)-1),"Main Line")</f>
        <v>26Apr010</v>
      </c>
      <c r="D495" s="439" t="s">
        <v>63</v>
      </c>
      <c r="E495" s="439" t="s">
        <v>64</v>
      </c>
      <c r="F495" s="462" t="str" cm="1">
        <f t="array" ref="F49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495" s="720" t="s">
        <v>402</v>
      </c>
      <c r="H495" s="720" t="s">
        <v>67</v>
      </c>
      <c r="I495" s="720" t="s">
        <v>689</v>
      </c>
      <c r="J495" s="472" t="s">
        <v>96</v>
      </c>
      <c r="K495" s="472"/>
      <c r="L495" s="472"/>
      <c r="M495" s="472" t="s">
        <v>68</v>
      </c>
      <c r="N495" s="473">
        <v>46146</v>
      </c>
      <c r="O495" s="431" t="s">
        <v>132</v>
      </c>
      <c r="P495" s="431" t="s">
        <v>1062</v>
      </c>
      <c r="Q495" s="431" t="s">
        <v>1063</v>
      </c>
      <c r="R495" s="431" t="str">
        <f>_xlfn.XLOOKUP(PV_DATA[[#This Row],[New Ark SKU]],Table9[New Ark SKU],Table9[Connector],,0)</f>
        <v>EVO2A</v>
      </c>
      <c r="S495" s="442" t="str">
        <f>_xlfn.XLOOKUP(PV_DATA[[#This Row],[New Ark SKU]],Table9[New Ark SKU],Table9[Cable],,0)</f>
        <v>±1200mm</v>
      </c>
      <c r="T495" s="442">
        <v>470</v>
      </c>
      <c r="U495" s="1067">
        <f>864*8</f>
        <v>6912</v>
      </c>
      <c r="V495" s="444">
        <f>PV_DATA[[#This Row],[QUANTITY]]*PV_DATA[[#This Row],[WATT]]/1000000</f>
        <v>3.24864</v>
      </c>
      <c r="W495" s="466">
        <f>PV_DATA[[#This Row],[QUANTITY]]/PV_DATA[[#This Row],[Qty/Pallet]]</f>
        <v>192</v>
      </c>
      <c r="X495" s="1019">
        <f>PV_DATA[[#This Row],[QUANTITY]]/PV_DATA[[#This Row],[Qty/CT]]</f>
        <v>8</v>
      </c>
      <c r="Y495" s="431" t="s">
        <v>951</v>
      </c>
      <c r="Z495" s="430" t="str">
        <f t="shared" si="4"/>
        <v>COMPLETED</v>
      </c>
      <c r="AA495" s="431" t="s">
        <v>2423</v>
      </c>
      <c r="AB495" s="441">
        <v>46147</v>
      </c>
      <c r="AC495" s="467">
        <f>IF(PV_DATA[[#This Row],[Pick-Up Date]]&lt;&gt;"",_xlfn.ISOWEEKNUM(PV_DATA[[#This Row],[Pick-Up Date]]),"")</f>
        <v>19</v>
      </c>
      <c r="AD495" s="431" t="s">
        <v>2424</v>
      </c>
      <c r="AF495" s="431" t="s">
        <v>123</v>
      </c>
      <c r="AG495" s="431" t="s">
        <v>123</v>
      </c>
      <c r="AH495" s="431" t="s">
        <v>105</v>
      </c>
      <c r="AI495" s="441">
        <v>46152</v>
      </c>
      <c r="AJ495" s="441">
        <v>46155</v>
      </c>
      <c r="AK495" s="441">
        <v>46155</v>
      </c>
      <c r="AL495" s="441">
        <v>46189</v>
      </c>
      <c r="AM495" s="441">
        <v>46197</v>
      </c>
      <c r="AN495" s="441">
        <v>46197</v>
      </c>
      <c r="AO495" s="431" t="s">
        <v>402</v>
      </c>
      <c r="AP495" s="431" t="s">
        <v>2368</v>
      </c>
      <c r="AQ495" s="431" t="s">
        <v>80</v>
      </c>
      <c r="AR495" s="431" t="s">
        <v>2425</v>
      </c>
      <c r="AS495" s="431" t="s">
        <v>2426</v>
      </c>
      <c r="AT495" s="482" t="s">
        <v>2426</v>
      </c>
      <c r="AU49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</v>
      </c>
      <c r="AV495" s="441"/>
      <c r="AW495" s="441" cm="1">
        <f t="array" ref="AW49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46197</v>
      </c>
      <c r="AX49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95" s="441">
        <f>IF(ISERROR(PV_DATA[[#This Row],[New Ark PO status]]),"",_xlfn.XLOOKUP(PV_DATA[[#This Row],[SPTN-PVHK New Ark PO'#]],New_Ark_Data[Purchase order Number],New_Ark_Data[Estimated time of arrival],"",0))</f>
        <v>46211</v>
      </c>
      <c r="AZ49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95" s="441">
        <f>IFERROR(PV_DATA[[#This Row],[ODP ETA Port]]+PV_DATA[[#This Row],[Customs/Leg3 Assumption]],"n/a")</f>
        <v>46204</v>
      </c>
      <c r="BB495" s="442">
        <f>YEAR(PV_DATA[[#This Row],[ETA for New Ark update]])</f>
        <v>2026</v>
      </c>
      <c r="BC495" s="431">
        <f>MONTH(PV_DATA[[#This Row],[ETA for New Ark update]])</f>
        <v>7</v>
      </c>
      <c r="BD495" s="431">
        <f>IFERROR(_xlfn.ISOWEEKNUM(PV_DATA[[#This Row],[ETA for New Ark update]]),0)</f>
        <v>27</v>
      </c>
      <c r="BE495" s="431">
        <f>_xlfn.XLOOKUP(PV_DATA[[#This Row],[New Ark SKU]],Table9[New Ark SKU],Table9[Total PCS per Pallet],,0)</f>
        <v>36</v>
      </c>
      <c r="BF495" s="431">
        <f>_xlfn.XLOOKUP(PV_DATA[[#This Row],[New Ark SKU]],Table9[New Ark SKU],Table9[Total PCS per 40HQ Container],,0)</f>
        <v>864</v>
      </c>
      <c r="BG495" s="431" t="str">
        <f>_xlfn.XLOOKUP(PV_DATA[[#This Row],[New Ark SKU]],Table9[New Ark SKU],Table9[Back Glass],,0)</f>
        <v>White glazing</v>
      </c>
      <c r="BH495" s="431" t="str">
        <f>_xlfn.XLOOKUP(PV_DATA[[#This Row],[PORT DESTINATION]],Table12[PORT DESTINATION],Table12[Cosco Line],,0)</f>
        <v>AEU</v>
      </c>
    </row>
    <row r="496" spans="1:60" s="431" customFormat="1" ht="10.5" hidden="1">
      <c r="A496" s="439" t="s">
        <v>2427</v>
      </c>
      <c r="B496" s="439" t="s">
        <v>111</v>
      </c>
      <c r="C496" s="439" t="str">
        <f>IFERROR(LEFT(PV_DATA[[#This Row],[TCL REFERENCE]],FIND(".",PV_DATA[[#This Row],[TCL REFERENCE]],1)-1),"Main Line")</f>
        <v>26Apr010</v>
      </c>
      <c r="D496" s="439" t="s">
        <v>63</v>
      </c>
      <c r="E496" s="439" t="s">
        <v>64</v>
      </c>
      <c r="F496" s="462" t="str" cm="1">
        <f t="array" ref="F49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496" s="720" t="s">
        <v>402</v>
      </c>
      <c r="H496" s="720" t="s">
        <v>451</v>
      </c>
      <c r="I496" s="720" t="s">
        <v>689</v>
      </c>
      <c r="J496" s="472" t="s">
        <v>96</v>
      </c>
      <c r="K496" s="472"/>
      <c r="L496" s="472"/>
      <c r="M496" s="472" t="s">
        <v>68</v>
      </c>
      <c r="N496" s="473">
        <v>46146</v>
      </c>
      <c r="O496" s="431" t="s">
        <v>132</v>
      </c>
      <c r="P496" s="431" t="s">
        <v>1062</v>
      </c>
      <c r="Q496" s="431" t="s">
        <v>1063</v>
      </c>
      <c r="R496" s="431" t="str">
        <f>_xlfn.XLOOKUP(PV_DATA[[#This Row],[New Ark SKU]],Table9[New Ark SKU],Table9[Connector],,0)</f>
        <v>EVO2A</v>
      </c>
      <c r="S496" s="442" t="str">
        <f>_xlfn.XLOOKUP(PV_DATA[[#This Row],[New Ark SKU]],Table9[New Ark SKU],Table9[Cable],,0)</f>
        <v>±1200mm</v>
      </c>
      <c r="T496" s="442">
        <v>470</v>
      </c>
      <c r="U496" s="1067">
        <f>864*2</f>
        <v>1728</v>
      </c>
      <c r="V496" s="444">
        <f>PV_DATA[[#This Row],[QUANTITY]]*PV_DATA[[#This Row],[WATT]]/1000000</f>
        <v>0.81215999999999999</v>
      </c>
      <c r="W496" s="466">
        <f>PV_DATA[[#This Row],[QUANTITY]]/PV_DATA[[#This Row],[Qty/Pallet]]</f>
        <v>48</v>
      </c>
      <c r="X496" s="1019">
        <f>PV_DATA[[#This Row],[QUANTITY]]/PV_DATA[[#This Row],[Qty/CT]]</f>
        <v>2</v>
      </c>
      <c r="Y496" s="431" t="s">
        <v>951</v>
      </c>
      <c r="Z496" s="430" t="str">
        <f t="shared" si="4"/>
        <v>COMPLETED</v>
      </c>
      <c r="AA496" s="431" t="s">
        <v>2428</v>
      </c>
      <c r="AB496" s="441">
        <v>46152</v>
      </c>
      <c r="AC496" s="467">
        <f>IF(PV_DATA[[#This Row],[Pick-Up Date]]&lt;&gt;"",_xlfn.ISOWEEKNUM(PV_DATA[[#This Row],[Pick-Up Date]]),"")</f>
        <v>19</v>
      </c>
      <c r="AD496" s="431" t="s">
        <v>2429</v>
      </c>
      <c r="AF496" s="431" t="s">
        <v>123</v>
      </c>
      <c r="AG496" s="431" t="s">
        <v>123</v>
      </c>
      <c r="AH496" s="431" t="s">
        <v>456</v>
      </c>
      <c r="AI496" s="441">
        <v>46156</v>
      </c>
      <c r="AJ496" s="441">
        <v>46155</v>
      </c>
      <c r="AK496" s="441">
        <v>46154</v>
      </c>
      <c r="AL496" s="441">
        <v>46193</v>
      </c>
      <c r="AM496" s="441">
        <v>46212</v>
      </c>
      <c r="AN496" s="441">
        <v>46213</v>
      </c>
      <c r="AO496" s="431" t="s">
        <v>402</v>
      </c>
      <c r="AP496" s="431" t="s">
        <v>2430</v>
      </c>
      <c r="AQ496" s="431" t="s">
        <v>161</v>
      </c>
      <c r="AR496" s="431" t="s">
        <v>2431</v>
      </c>
      <c r="AS496" s="431" t="s">
        <v>2432</v>
      </c>
      <c r="AT496" s="482" t="s">
        <v>2433</v>
      </c>
      <c r="AU49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V496" s="441"/>
      <c r="AW496" s="441" cm="1">
        <f t="array" ref="AW49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46213</v>
      </c>
      <c r="AX49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496" s="441">
        <f>IF(ISERROR(PV_DATA[[#This Row],[New Ark PO status]]),"",_xlfn.XLOOKUP(PV_DATA[[#This Row],[SPTN-PVHK New Ark PO'#]],New_Ark_Data[Purchase order Number],New_Ark_Data[Estimated time of arrival],"",0))</f>
        <v>46226</v>
      </c>
      <c r="AZ49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96" s="441">
        <f>IFERROR(PV_DATA[[#This Row],[ODP ETA Port]]+PV_DATA[[#This Row],[Customs/Leg3 Assumption]],"n/a")</f>
        <v>46220</v>
      </c>
      <c r="BB496" s="442">
        <f>YEAR(PV_DATA[[#This Row],[ETA for New Ark update]])</f>
        <v>2026</v>
      </c>
      <c r="BC496" s="431">
        <f>MONTH(PV_DATA[[#This Row],[ETA for New Ark update]])</f>
        <v>7</v>
      </c>
      <c r="BD496" s="431">
        <f>IFERROR(_xlfn.ISOWEEKNUM(PV_DATA[[#This Row],[ETA for New Ark update]]),0)</f>
        <v>29</v>
      </c>
      <c r="BE496" s="431">
        <f>_xlfn.XLOOKUP(PV_DATA[[#This Row],[New Ark SKU]],Table9[New Ark SKU],Table9[Total PCS per Pallet],,0)</f>
        <v>36</v>
      </c>
      <c r="BF496" s="431">
        <f>_xlfn.XLOOKUP(PV_DATA[[#This Row],[New Ark SKU]],Table9[New Ark SKU],Table9[Total PCS per 40HQ Container],,0)</f>
        <v>864</v>
      </c>
      <c r="BG496" s="431" t="str">
        <f>_xlfn.XLOOKUP(PV_DATA[[#This Row],[New Ark SKU]],Table9[New Ark SKU],Table9[Back Glass],,0)</f>
        <v>White glazing</v>
      </c>
      <c r="BH496" s="431" t="str">
        <f>_xlfn.XLOOKUP(PV_DATA[[#This Row],[PORT DESTINATION]],Table12[PORT DESTINATION],Table12[Cosco Line],,0)</f>
        <v>AEU</v>
      </c>
    </row>
    <row r="497" spans="1:60" s="431" customFormat="1" ht="10.5" hidden="1">
      <c r="A497" s="439" t="s">
        <v>2435</v>
      </c>
      <c r="B497" s="439" t="s">
        <v>111</v>
      </c>
      <c r="C497" s="439" t="str">
        <f>IFERROR(LEFT(PV_DATA[[#This Row],[TCL REFERENCE]],FIND(".",PV_DATA[[#This Row],[TCL REFERENCE]],1)-1),"Main Line")</f>
        <v>26Apr004</v>
      </c>
      <c r="D497" s="439" t="s">
        <v>63</v>
      </c>
      <c r="E497" s="439" t="s">
        <v>64</v>
      </c>
      <c r="F497" s="462" t="str" cm="1">
        <f t="array" ref="F49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497" s="720" t="s">
        <v>402</v>
      </c>
      <c r="H497" s="720" t="s">
        <v>451</v>
      </c>
      <c r="I497" s="720" t="s">
        <v>689</v>
      </c>
      <c r="J497" s="472" t="s">
        <v>96</v>
      </c>
      <c r="K497" s="472"/>
      <c r="L497" s="472"/>
      <c r="M497" s="472" t="s">
        <v>68</v>
      </c>
      <c r="N497" s="473">
        <v>46139</v>
      </c>
      <c r="O497" s="431" t="s">
        <v>473</v>
      </c>
      <c r="P497" s="431" t="s">
        <v>474</v>
      </c>
      <c r="Q497" s="431" t="s">
        <v>1319</v>
      </c>
      <c r="R497" s="431" t="str">
        <f>_xlfn.XLOOKUP(PV_DATA[[#This Row],[New Ark SKU]],Table9[New Ark SKU],Table9[Connector],,0)</f>
        <v>EVO2A</v>
      </c>
      <c r="S497" s="442" t="str">
        <f>_xlfn.XLOOKUP(PV_DATA[[#This Row],[New Ark SKU]],Table9[New Ark SKU],Table9[Cable],,0)</f>
        <v>±1200mm</v>
      </c>
      <c r="T497" s="442">
        <v>460</v>
      </c>
      <c r="U497" s="1067">
        <f>864*2</f>
        <v>1728</v>
      </c>
      <c r="V497" s="448">
        <f>PV_DATA[[#This Row],[QUANTITY]]*PV_DATA[[#This Row],[WATT]]/1000000</f>
        <v>0.79488000000000003</v>
      </c>
      <c r="W497" s="466">
        <f>PV_DATA[[#This Row],[QUANTITY]]/PV_DATA[[#This Row],[Qty/Pallet]]</f>
        <v>48</v>
      </c>
      <c r="X497" s="1019">
        <f>PV_DATA[[#This Row],[QUANTITY]]/PV_DATA[[#This Row],[Qty/CT]]</f>
        <v>2</v>
      </c>
      <c r="Y497" s="431" t="s">
        <v>951</v>
      </c>
      <c r="Z497" s="430" t="str">
        <f t="shared" si="4"/>
        <v>COMPLETED</v>
      </c>
      <c r="AA497" s="439" t="s">
        <v>2423</v>
      </c>
      <c r="AB497" s="441">
        <v>46152</v>
      </c>
      <c r="AC497" s="445">
        <f>IF(PV_DATA[[#This Row],[Pick-Up Date]]&lt;&gt;"",_xlfn.ISOWEEKNUM(PV_DATA[[#This Row],[Pick-Up Date]]),"")</f>
        <v>19</v>
      </c>
      <c r="AD497" s="431" t="s">
        <v>2436</v>
      </c>
      <c r="AF497" s="431" t="s">
        <v>123</v>
      </c>
      <c r="AG497" s="431" t="s">
        <v>123</v>
      </c>
      <c r="AH497" s="431" t="s">
        <v>456</v>
      </c>
      <c r="AI497" s="441">
        <v>46156</v>
      </c>
      <c r="AJ497" s="441">
        <v>46155</v>
      </c>
      <c r="AK497" s="441">
        <v>46154</v>
      </c>
      <c r="AL497" s="441">
        <v>46193</v>
      </c>
      <c r="AM497" s="441">
        <v>46212</v>
      </c>
      <c r="AN497" s="441">
        <v>46213</v>
      </c>
      <c r="AO497" s="431" t="s">
        <v>402</v>
      </c>
      <c r="AP497" s="431" t="s">
        <v>2430</v>
      </c>
      <c r="AQ497" s="431" t="s">
        <v>161</v>
      </c>
      <c r="AR497" s="431" t="s">
        <v>2431</v>
      </c>
      <c r="AS497" s="431" t="s">
        <v>2432</v>
      </c>
      <c r="AT497" s="482" t="s">
        <v>2433</v>
      </c>
      <c r="AU49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V497" s="441"/>
      <c r="AW497" s="441" cm="1">
        <f t="array" ref="AW49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46213</v>
      </c>
      <c r="AX49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97" s="441">
        <f>IF(ISERROR(PV_DATA[[#This Row],[New Ark PO status]]),"",_xlfn.XLOOKUP(PV_DATA[[#This Row],[SPTN-PVHK New Ark PO'#]],New_Ark_Data[Purchase order Number],New_Ark_Data[Estimated time of arrival],"",0))</f>
        <v>46226</v>
      </c>
      <c r="AZ497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497" s="441">
        <f>IFERROR(PV_DATA[[#This Row],[ODP ETA Port]]+PV_DATA[[#This Row],[Customs/Leg3 Assumption]],"n/a")</f>
        <v>46220</v>
      </c>
      <c r="BB497" s="442">
        <f>YEAR(PV_DATA[[#This Row],[ETA for New Ark update]])</f>
        <v>2026</v>
      </c>
      <c r="BC497" s="431">
        <f>MONTH(PV_DATA[[#This Row],[ETA for New Ark update]])</f>
        <v>7</v>
      </c>
      <c r="BD497" s="431">
        <f>IFERROR(_xlfn.ISOWEEKNUM(PV_DATA[[#This Row],[ETA for New Ark update]]),0)</f>
        <v>29</v>
      </c>
      <c r="BE497" s="431">
        <f>_xlfn.XLOOKUP(PV_DATA[[#This Row],[New Ark SKU]],Table9[New Ark SKU],Table9[Total PCS per Pallet],,0)</f>
        <v>36</v>
      </c>
      <c r="BF497" s="431">
        <f>_xlfn.XLOOKUP(PV_DATA[[#This Row],[New Ark SKU]],Table9[New Ark SKU],Table9[Total PCS per 40HQ Container],,0)</f>
        <v>864</v>
      </c>
      <c r="BG497" s="431" t="str">
        <f>_xlfn.XLOOKUP(PV_DATA[[#This Row],[New Ark SKU]],Table9[New Ark SKU],Table9[Back Glass],,0)</f>
        <v>Black glazing</v>
      </c>
      <c r="BH497" s="431" t="str">
        <f>_xlfn.XLOOKUP(PV_DATA[[#This Row],[PORT DESTINATION]],Table12[PORT DESTINATION],Table12[Cosco Line],,0)</f>
        <v>AEU</v>
      </c>
    </row>
    <row r="498" spans="1:60" s="431" customFormat="1" ht="10.5" hidden="1">
      <c r="A498" s="439" t="s">
        <v>2437</v>
      </c>
      <c r="B498" s="439" t="s">
        <v>2132</v>
      </c>
      <c r="C498" s="439" t="str">
        <f>IFERROR(LEFT(PV_DATA[[#This Row],[TCL REFERENCE]],FIND(".",PV_DATA[[#This Row],[TCL REFERENCE]],1)-1),"Main Line")</f>
        <v>26Apr008</v>
      </c>
      <c r="D498" s="439" t="s">
        <v>63</v>
      </c>
      <c r="E498" s="439" t="s">
        <v>64</v>
      </c>
      <c r="F498" s="462" t="str" cm="1">
        <f t="array" ref="F49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498" s="720" t="s">
        <v>402</v>
      </c>
      <c r="H498" s="720" t="s">
        <v>311</v>
      </c>
      <c r="I498" s="720" t="s">
        <v>882</v>
      </c>
      <c r="J498" s="472" t="s">
        <v>96</v>
      </c>
      <c r="K498" s="472"/>
      <c r="L498" s="472"/>
      <c r="M498" s="472" t="s">
        <v>68</v>
      </c>
      <c r="N498" s="473">
        <v>46146</v>
      </c>
      <c r="O498" s="431" t="s">
        <v>170</v>
      </c>
      <c r="P498" s="431" t="s">
        <v>1977</v>
      </c>
      <c r="Q498" s="431" t="s">
        <v>1978</v>
      </c>
      <c r="R498" s="431" t="str">
        <f>_xlfn.XLOOKUP(PV_DATA[[#This Row],[New Ark SKU]],Table9[New Ark SKU],Table9[Connector],,0)</f>
        <v>EVO2A</v>
      </c>
      <c r="S498" s="442" t="str">
        <f>_xlfn.XLOOKUP(PV_DATA[[#This Row],[New Ark SKU]],Table9[New Ark SKU],Table9[Cable],,0)</f>
        <v>±1400mm</v>
      </c>
      <c r="T498" s="442">
        <v>560</v>
      </c>
      <c r="U498" s="1067">
        <f>660*8</f>
        <v>5280</v>
      </c>
      <c r="V498" s="448">
        <f>PV_DATA[[#This Row],[QUANTITY]]*PV_DATA[[#This Row],[WATT]]/1000000</f>
        <v>2.9567999999999999</v>
      </c>
      <c r="W498" s="466">
        <f>PV_DATA[[#This Row],[QUANTITY]]/PV_DATA[[#This Row],[Qty/Pallet]]</f>
        <v>160</v>
      </c>
      <c r="X498" s="1019">
        <f>PV_DATA[[#This Row],[QUANTITY]]/PV_DATA[[#This Row],[Qty/CT]]</f>
        <v>8</v>
      </c>
      <c r="Y498" s="431" t="s">
        <v>951</v>
      </c>
      <c r="Z498" s="430" t="str">
        <f t="shared" si="4"/>
        <v>COMPLETED</v>
      </c>
      <c r="AA498" s="431" t="s">
        <v>2439</v>
      </c>
      <c r="AB498" s="441">
        <v>46150</v>
      </c>
      <c r="AC498" s="467">
        <f>IF(PV_DATA[[#This Row],[Pick-Up Date]]&lt;&gt;"",_xlfn.ISOWEEKNUM(PV_DATA[[#This Row],[Pick-Up Date]]),"")</f>
        <v>19</v>
      </c>
      <c r="AD498" s="431" t="s">
        <v>2440</v>
      </c>
      <c r="AF498" s="431" t="s">
        <v>123</v>
      </c>
      <c r="AG498" s="431" t="s">
        <v>123</v>
      </c>
      <c r="AH498" s="431" t="s">
        <v>314</v>
      </c>
      <c r="AI498" s="441">
        <v>46157</v>
      </c>
      <c r="AJ498" s="441">
        <v>46157</v>
      </c>
      <c r="AK498" s="441">
        <v>46157</v>
      </c>
      <c r="AL498" s="441">
        <v>46204</v>
      </c>
      <c r="AM498" s="441">
        <v>46205</v>
      </c>
      <c r="AN498" s="441">
        <v>46205</v>
      </c>
      <c r="AO498" s="431" t="s">
        <v>402</v>
      </c>
      <c r="AP498" s="431" t="s">
        <v>2441</v>
      </c>
      <c r="AQ498" s="431" t="s">
        <v>80</v>
      </c>
      <c r="AR498" s="431" t="s">
        <v>2442</v>
      </c>
      <c r="AS498" s="431" t="s">
        <v>2443</v>
      </c>
      <c r="AT498" s="482" t="s">
        <v>2443</v>
      </c>
      <c r="AU49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</v>
      </c>
      <c r="AV498" s="441"/>
      <c r="AW498" s="441" cm="1">
        <f t="array" ref="AW49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46205</v>
      </c>
      <c r="AX49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98" s="441">
        <f>IF(ISERROR(PV_DATA[[#This Row],[New Ark PO status]]),"",_xlfn.XLOOKUP(PV_DATA[[#This Row],[SPTN-PVHK New Ark PO'#]],New_Ark_Data[Purchase order Number],New_Ark_Data[Estimated time of arrival],"",0))</f>
        <v>46219</v>
      </c>
      <c r="AZ498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98" s="441">
        <f>IFERROR(PV_DATA[[#This Row],[ODP ETA Port]]+PV_DATA[[#This Row],[Customs/Leg3 Assumption]],"n/a")</f>
        <v>46215</v>
      </c>
      <c r="BB498" s="442">
        <f>YEAR(PV_DATA[[#This Row],[ETA for New Ark update]])</f>
        <v>2026</v>
      </c>
      <c r="BC498" s="431">
        <f>MONTH(PV_DATA[[#This Row],[ETA for New Ark update]])</f>
        <v>7</v>
      </c>
      <c r="BD498" s="431">
        <f>IFERROR(_xlfn.ISOWEEKNUM(PV_DATA[[#This Row],[ETA for New Ark update]]),0)</f>
        <v>28</v>
      </c>
      <c r="BE498" s="431">
        <f>_xlfn.XLOOKUP(PV_DATA[[#This Row],[New Ark SKU]],Table9[New Ark SKU],Table9[Total PCS per Pallet],,0)</f>
        <v>33</v>
      </c>
      <c r="BF498" s="431">
        <f>_xlfn.XLOOKUP(PV_DATA[[#This Row],[New Ark SKU]],Table9[New Ark SKU],Table9[Total PCS per 40HQ Container],,0)</f>
        <v>660</v>
      </c>
      <c r="BG498" s="431" t="str">
        <f>_xlfn.XLOOKUP(PV_DATA[[#This Row],[New Ark SKU]],Table9[New Ark SKU],Table9[Back Glass],,0)</f>
        <v>White glazing</v>
      </c>
      <c r="BH498" s="431" t="str">
        <f>_xlfn.XLOOKUP(PV_DATA[[#This Row],[PORT DESTINATION]],Table12[PORT DESTINATION],Table12[Cosco Line],,0)</f>
        <v>AEM</v>
      </c>
    </row>
    <row r="499" spans="1:60" s="431" customFormat="1" ht="10.5" hidden="1">
      <c r="A499" s="439" t="s">
        <v>2444</v>
      </c>
      <c r="B499" s="439" t="s">
        <v>61</v>
      </c>
      <c r="C499" s="439" t="str">
        <f>IFERROR(LEFT(PV_DATA[[#This Row],[TCL REFERENCE]],FIND(".",PV_DATA[[#This Row],[TCL REFERENCE]],1)-1),"Main Line")</f>
        <v>26May002</v>
      </c>
      <c r="D499" s="439" t="s">
        <v>63</v>
      </c>
      <c r="E499" s="439" t="s">
        <v>64</v>
      </c>
      <c r="F499" s="462" t="str" cm="1">
        <f t="array" ref="F49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499" s="720" t="s">
        <v>402</v>
      </c>
      <c r="H499" s="720" t="s">
        <v>311</v>
      </c>
      <c r="I499" s="720" t="s">
        <v>1395</v>
      </c>
      <c r="J499" s="472" t="s">
        <v>96</v>
      </c>
      <c r="K499" s="472"/>
      <c r="L499" s="472"/>
      <c r="M499" s="472" t="s">
        <v>68</v>
      </c>
      <c r="N499" s="473">
        <v>46139</v>
      </c>
      <c r="O499" s="431" t="s">
        <v>550</v>
      </c>
      <c r="P499" s="431" t="s">
        <v>2134</v>
      </c>
      <c r="Q499" s="431" t="s">
        <v>2135</v>
      </c>
      <c r="R499" s="431" t="str">
        <f>_xlfn.XLOOKUP(PV_DATA[[#This Row],[New Ark SKU]],Table9[New Ark SKU],Table9[Connector],,0)</f>
        <v>EVO2A</v>
      </c>
      <c r="S499" s="442" t="str">
        <f>_xlfn.XLOOKUP(PV_DATA[[#This Row],[New Ark SKU]],Table9[New Ark SKU],Table9[Cable],,0)</f>
        <v>±1350mm</v>
      </c>
      <c r="T499" s="442">
        <v>515</v>
      </c>
      <c r="U499" s="1067">
        <f>792*5</f>
        <v>3960</v>
      </c>
      <c r="V499" s="434">
        <f>PV_DATA[[#This Row],[QUANTITY]]*PV_DATA[[#This Row],[WATT]]/1000000</f>
        <v>2.0394000000000001</v>
      </c>
      <c r="W499" s="466">
        <f>PV_DATA[[#This Row],[QUANTITY]]/PV_DATA[[#This Row],[Qty/Pallet]]</f>
        <v>110</v>
      </c>
      <c r="X499" s="1019">
        <f>PV_DATA[[#This Row],[QUANTITY]]/PV_DATA[[#This Row],[Qty/CT]]</f>
        <v>5</v>
      </c>
      <c r="Y499" s="431" t="s">
        <v>951</v>
      </c>
      <c r="Z499" s="430" t="str">
        <f t="shared" ref="Z499:Z562" si="5">IF(AN499&lt;&gt;"","COMPLETED",IF(AK499&lt;&gt;"","IN-TRANSIT",""))</f>
        <v>COMPLETED</v>
      </c>
      <c r="AA499" s="474" t="s">
        <v>2416</v>
      </c>
      <c r="AB499" s="441">
        <v>46150</v>
      </c>
      <c r="AC499" s="467">
        <f>IF(PV_DATA[[#This Row],[Pick-Up Date]]&lt;&gt;"",_xlfn.ISOWEEKNUM(PV_DATA[[#This Row],[Pick-Up Date]]),"")</f>
        <v>19</v>
      </c>
      <c r="AD499" s="431" t="s">
        <v>2446</v>
      </c>
      <c r="AF499" s="431" t="s">
        <v>122</v>
      </c>
      <c r="AG499" s="431" t="s">
        <v>123</v>
      </c>
      <c r="AH499" s="431" t="s">
        <v>314</v>
      </c>
      <c r="AI499" s="441">
        <v>46157</v>
      </c>
      <c r="AJ499" s="441">
        <v>46157</v>
      </c>
      <c r="AK499" s="441">
        <v>46157</v>
      </c>
      <c r="AL499" s="441">
        <v>46204</v>
      </c>
      <c r="AM499" s="441">
        <v>46205</v>
      </c>
      <c r="AN499" s="441">
        <v>46205</v>
      </c>
      <c r="AO499" s="431" t="s">
        <v>402</v>
      </c>
      <c r="AP499" s="431" t="s">
        <v>2441</v>
      </c>
      <c r="AQ499" s="431" t="s">
        <v>80</v>
      </c>
      <c r="AR499" s="431" t="s">
        <v>2442</v>
      </c>
      <c r="AS499" s="431" t="s">
        <v>2443</v>
      </c>
      <c r="AT499" s="482" t="s">
        <v>2443</v>
      </c>
      <c r="AU49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</v>
      </c>
      <c r="AV499" s="441"/>
      <c r="AW499" s="441" cm="1">
        <f t="array" ref="AW49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46205</v>
      </c>
      <c r="AX49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499" s="441">
        <f>IF(ISERROR(PV_DATA[[#This Row],[New Ark PO status]]),"",_xlfn.XLOOKUP(PV_DATA[[#This Row],[SPTN-PVHK New Ark PO'#]],New_Ark_Data[Purchase order Number],New_Ark_Data[Estimated time of arrival],"",0))</f>
        <v>46219</v>
      </c>
      <c r="AZ499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499" s="441">
        <f>IFERROR(PV_DATA[[#This Row],[ODP ETA Port]]+PV_DATA[[#This Row],[Customs/Leg3 Assumption]],"n/a")</f>
        <v>46215</v>
      </c>
      <c r="BB499" s="442">
        <f>YEAR(PV_DATA[[#This Row],[ETA for New Ark update]])</f>
        <v>2026</v>
      </c>
      <c r="BC499" s="431">
        <f>MONTH(PV_DATA[[#This Row],[ETA for New Ark update]])</f>
        <v>7</v>
      </c>
      <c r="BD499" s="431">
        <f>IFERROR(_xlfn.ISOWEEKNUM(PV_DATA[[#This Row],[ETA for New Ark update]]),0)</f>
        <v>28</v>
      </c>
      <c r="BE499" s="431">
        <f>_xlfn.XLOOKUP(PV_DATA[[#This Row],[New Ark SKU]],Table9[New Ark SKU],Table9[Total PCS per Pallet],,0)</f>
        <v>36</v>
      </c>
      <c r="BF499" s="431">
        <f>_xlfn.XLOOKUP(PV_DATA[[#This Row],[New Ark SKU]],Table9[New Ark SKU],Table9[Total PCS per 40HQ Container],,0)</f>
        <v>792</v>
      </c>
      <c r="BG499" s="431" t="str">
        <f>_xlfn.XLOOKUP(PV_DATA[[#This Row],[New Ark SKU]],Table9[New Ark SKU],Table9[Back Glass],,0)</f>
        <v>Black glazing</v>
      </c>
      <c r="BH499" s="431" t="str">
        <f>_xlfn.XLOOKUP(PV_DATA[[#This Row],[PORT DESTINATION]],Table12[PORT DESTINATION],Table12[Cosco Line],,0)</f>
        <v>AEM</v>
      </c>
    </row>
    <row r="500" spans="1:60" s="431" customFormat="1" ht="10.5" hidden="1">
      <c r="A500" s="439" t="s">
        <v>2447</v>
      </c>
      <c r="B500" s="439" t="s">
        <v>61</v>
      </c>
      <c r="C500" s="439" t="str">
        <f>IFERROR(LEFT(PV_DATA[[#This Row],[TCL REFERENCE]],FIND(".",PV_DATA[[#This Row],[TCL REFERENCE]],1)-1),"Main Line")</f>
        <v>26May001</v>
      </c>
      <c r="D500" s="439" t="s">
        <v>63</v>
      </c>
      <c r="E500" s="439" t="s">
        <v>64</v>
      </c>
      <c r="F500" s="462" t="str" cm="1">
        <f t="array" ref="F50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500" s="720" t="s">
        <v>402</v>
      </c>
      <c r="H500" s="720" t="s">
        <v>67</v>
      </c>
      <c r="I500" s="720" t="s">
        <v>1395</v>
      </c>
      <c r="J500" s="472" t="s">
        <v>96</v>
      </c>
      <c r="K500" s="472"/>
      <c r="L500" s="472"/>
      <c r="M500" s="472" t="s">
        <v>68</v>
      </c>
      <c r="N500" s="473">
        <v>46139</v>
      </c>
      <c r="O500" s="431" t="s">
        <v>550</v>
      </c>
      <c r="P500" s="431" t="s">
        <v>551</v>
      </c>
      <c r="Q500" s="431" t="s">
        <v>2151</v>
      </c>
      <c r="R500" s="431" t="str">
        <f>_xlfn.XLOOKUP(PV_DATA[[#This Row],[New Ark SKU]],Table9[New Ark SKU],Table9[Connector],,0)</f>
        <v>EVO2A</v>
      </c>
      <c r="S500" s="442" t="str">
        <f>_xlfn.XLOOKUP(PV_DATA[[#This Row],[New Ark SKU]],Table9[New Ark SKU],Table9[Cable],,0)</f>
        <v>±1350mm</v>
      </c>
      <c r="T500" s="442">
        <v>510</v>
      </c>
      <c r="U500" s="1067">
        <f>792*1</f>
        <v>792</v>
      </c>
      <c r="V500" s="434">
        <f>PV_DATA[[#This Row],[QUANTITY]]*PV_DATA[[#This Row],[WATT]]/1000000</f>
        <v>0.40392</v>
      </c>
      <c r="W500" s="466">
        <f>PV_DATA[[#This Row],[QUANTITY]]/PV_DATA[[#This Row],[Qty/Pallet]]</f>
        <v>22</v>
      </c>
      <c r="X500" s="1019">
        <f>PV_DATA[[#This Row],[QUANTITY]]/PV_DATA[[#This Row],[Qty/CT]]</f>
        <v>1</v>
      </c>
      <c r="Y500" s="431" t="s">
        <v>951</v>
      </c>
      <c r="Z500" s="430" t="str">
        <f t="shared" si="5"/>
        <v>COMPLETED</v>
      </c>
      <c r="AB500" s="441">
        <v>46142</v>
      </c>
      <c r="AC500" s="467">
        <f>IF(PV_DATA[[#This Row],[Pick-Up Date]]&lt;&gt;"",_xlfn.ISOWEEKNUM(PV_DATA[[#This Row],[Pick-Up Date]]),"")</f>
        <v>18</v>
      </c>
      <c r="AD500" s="431" t="s">
        <v>2448</v>
      </c>
      <c r="AF500" s="431" t="s">
        <v>61</v>
      </c>
      <c r="AG500" s="431" t="s">
        <v>61</v>
      </c>
      <c r="AH500" s="431" t="s">
        <v>356</v>
      </c>
      <c r="AI500" s="441">
        <v>46155</v>
      </c>
      <c r="AJ500" s="441">
        <v>46155</v>
      </c>
      <c r="AK500" s="441">
        <v>46155</v>
      </c>
      <c r="AL500" s="441">
        <v>46203</v>
      </c>
      <c r="AM500" s="441"/>
      <c r="AN500" s="441">
        <v>46202</v>
      </c>
      <c r="AO500" s="431" t="s">
        <v>402</v>
      </c>
      <c r="AP500" s="431" t="s">
        <v>2449</v>
      </c>
      <c r="AQ500" s="431" t="s">
        <v>80</v>
      </c>
      <c r="AR500" s="431" t="s">
        <v>2450</v>
      </c>
      <c r="AS500" s="431" t="s">
        <v>2451</v>
      </c>
      <c r="AT500" s="482" t="s">
        <v>2451</v>
      </c>
      <c r="AU50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V500" s="441"/>
      <c r="AW500" s="441" cm="1">
        <f t="array" ref="AW50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46202</v>
      </c>
      <c r="AX50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00" s="441">
        <f>IF(ISERROR(PV_DATA[[#This Row],[New Ark PO status]]),"",_xlfn.XLOOKUP(PV_DATA[[#This Row],[SPTN-PVHK New Ark PO'#]],New_Ark_Data[Purchase order Number],New_Ark_Data[Estimated time of arrival],"",0))</f>
        <v>46217</v>
      </c>
      <c r="AZ500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500" s="441">
        <f>IFERROR(PV_DATA[[#This Row],[ODP ETA Port]]+PV_DATA[[#This Row],[Customs/Leg3 Assumption]],"n/a")</f>
        <v>46212</v>
      </c>
      <c r="BB500" s="442">
        <f>YEAR(PV_DATA[[#This Row],[ETA for New Ark update]])</f>
        <v>2026</v>
      </c>
      <c r="BC500" s="431">
        <f>MONTH(PV_DATA[[#This Row],[ETA for New Ark update]])</f>
        <v>7</v>
      </c>
      <c r="BD500" s="431">
        <f>IFERROR(_xlfn.ISOWEEKNUM(PV_DATA[[#This Row],[ETA for New Ark update]]),0)</f>
        <v>28</v>
      </c>
      <c r="BE500" s="431">
        <f>_xlfn.XLOOKUP(PV_DATA[[#This Row],[New Ark SKU]],Table9[New Ark SKU],Table9[Total PCS per Pallet],,0)</f>
        <v>36</v>
      </c>
      <c r="BF500" s="431">
        <f>_xlfn.XLOOKUP(PV_DATA[[#This Row],[New Ark SKU]],Table9[New Ark SKU],Table9[Total PCS per 40HQ Container],,0)</f>
        <v>792</v>
      </c>
      <c r="BG500" s="431" t="str">
        <f>_xlfn.XLOOKUP(PV_DATA[[#This Row],[New Ark SKU]],Table9[New Ark SKU],Table9[Back Glass],,0)</f>
        <v>Black glazing</v>
      </c>
      <c r="BH500" s="431" t="str">
        <f>_xlfn.XLOOKUP(PV_DATA[[#This Row],[PORT DESTINATION]],Table12[PORT DESTINATION],Table12[Cosco Line],,0)</f>
        <v>AEU</v>
      </c>
    </row>
    <row r="501" spans="1:60" s="431" customFormat="1" ht="10.5" hidden="1">
      <c r="A501" s="439" t="s">
        <v>4433</v>
      </c>
      <c r="B501" s="439" t="s">
        <v>61</v>
      </c>
      <c r="C501" s="439" t="str">
        <f>IFERROR(LEFT(PV_DATA[[#This Row],[TCL REFERENCE]],FIND(".",PV_DATA[[#This Row],[TCL REFERENCE]],1)-1),"Main Line")</f>
        <v>26May002</v>
      </c>
      <c r="D501" s="439" t="s">
        <v>63</v>
      </c>
      <c r="E501" s="439" t="s">
        <v>64</v>
      </c>
      <c r="F501" s="462" t="str" cm="1">
        <f t="array" ref="F50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501" s="720" t="s">
        <v>402</v>
      </c>
      <c r="H501" s="720" t="s">
        <v>451</v>
      </c>
      <c r="I501" s="720" t="s">
        <v>1395</v>
      </c>
      <c r="J501" s="472" t="s">
        <v>96</v>
      </c>
      <c r="K501" s="472"/>
      <c r="L501" s="472"/>
      <c r="M501" s="472" t="s">
        <v>68</v>
      </c>
      <c r="N501" s="473">
        <v>46139</v>
      </c>
      <c r="O501" s="431" t="s">
        <v>550</v>
      </c>
      <c r="P501" s="431" t="s">
        <v>2134</v>
      </c>
      <c r="Q501" s="431" t="s">
        <v>2135</v>
      </c>
      <c r="R501" s="431" t="str">
        <f>_xlfn.XLOOKUP(PV_DATA[[#This Row],[New Ark SKU]],Table9[New Ark SKU],Table9[Connector],,0)</f>
        <v>EVO2A</v>
      </c>
      <c r="S501" s="442" t="str">
        <f>_xlfn.XLOOKUP(PV_DATA[[#This Row],[New Ark SKU]],Table9[New Ark SKU],Table9[Cable],,0)</f>
        <v>±1350mm</v>
      </c>
      <c r="T501" s="442">
        <v>515</v>
      </c>
      <c r="U501" s="1067">
        <f>792*1</f>
        <v>792</v>
      </c>
      <c r="V501" s="434">
        <f>PV_DATA[[#This Row],[QUANTITY]]*PV_DATA[[#This Row],[WATT]]/1000000</f>
        <v>0.40788000000000002</v>
      </c>
      <c r="W501" s="466">
        <f>PV_DATA[[#This Row],[QUANTITY]]/PV_DATA[[#This Row],[Qty/Pallet]]</f>
        <v>22</v>
      </c>
      <c r="X501" s="1019">
        <f>PV_DATA[[#This Row],[QUANTITY]]/PV_DATA[[#This Row],[Qty/CT]]</f>
        <v>1</v>
      </c>
      <c r="Y501" s="431" t="s">
        <v>951</v>
      </c>
      <c r="Z501" s="430" t="str">
        <f t="shared" si="5"/>
        <v>COMPLETED</v>
      </c>
      <c r="AB501" s="441">
        <v>46142</v>
      </c>
      <c r="AC501" s="467">
        <f>IF(PV_DATA[[#This Row],[Pick-Up Date]]&lt;&gt;"",_xlfn.ISOWEEKNUM(PV_DATA[[#This Row],[Pick-Up Date]]),"")</f>
        <v>18</v>
      </c>
      <c r="AD501" s="431" t="s">
        <v>4434</v>
      </c>
      <c r="AF501" s="431" t="s">
        <v>61</v>
      </c>
      <c r="AG501" s="431" t="s">
        <v>61</v>
      </c>
      <c r="AH501" s="431" t="s">
        <v>456</v>
      </c>
      <c r="AI501" s="441">
        <v>46148</v>
      </c>
      <c r="AJ501" s="441">
        <v>46150</v>
      </c>
      <c r="AK501" s="441">
        <v>46150</v>
      </c>
      <c r="AL501" s="441">
        <v>46201</v>
      </c>
      <c r="AM501" s="441">
        <v>46208</v>
      </c>
      <c r="AN501" s="441">
        <v>46208</v>
      </c>
      <c r="AO501" s="431" t="s">
        <v>402</v>
      </c>
      <c r="AP501" s="431" t="s">
        <v>4435</v>
      </c>
      <c r="AQ501" s="431" t="s">
        <v>80</v>
      </c>
      <c r="AR501" s="431" t="s">
        <v>4436</v>
      </c>
      <c r="AS501" s="431" t="s">
        <v>4437</v>
      </c>
      <c r="AT501" s="482" t="s">
        <v>4437</v>
      </c>
      <c r="AU50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V501" s="441"/>
      <c r="AW501" s="441" cm="1">
        <f t="array" ref="AW50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46208</v>
      </c>
      <c r="AX50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01" s="441">
        <f>IF(ISERROR(PV_DATA[[#This Row],[New Ark PO status]]),"",_xlfn.XLOOKUP(PV_DATA[[#This Row],[SPTN-PVHK New Ark PO'#]],New_Ark_Data[Purchase order Number],New_Ark_Data[Estimated time of arrival],"",0))</f>
        <v>46223</v>
      </c>
      <c r="AZ501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01" s="441">
        <f>IFERROR(PV_DATA[[#This Row],[ODP ETA Port]]+PV_DATA[[#This Row],[Customs/Leg3 Assumption]],"n/a")</f>
        <v>46215</v>
      </c>
      <c r="BB501" s="442">
        <f>YEAR(PV_DATA[[#This Row],[ETA for New Ark update]])</f>
        <v>2026</v>
      </c>
      <c r="BC501" s="431">
        <f>MONTH(PV_DATA[[#This Row],[ETA for New Ark update]])</f>
        <v>7</v>
      </c>
      <c r="BD501" s="431">
        <f>IFERROR(_xlfn.ISOWEEKNUM(PV_DATA[[#This Row],[ETA for New Ark update]]),0)</f>
        <v>28</v>
      </c>
      <c r="BE501" s="431">
        <f>_xlfn.XLOOKUP(PV_DATA[[#This Row],[New Ark SKU]],Table9[New Ark SKU],Table9[Total PCS per Pallet],,0)</f>
        <v>36</v>
      </c>
      <c r="BF501" s="431">
        <f>_xlfn.XLOOKUP(PV_DATA[[#This Row],[New Ark SKU]],Table9[New Ark SKU],Table9[Total PCS per 40HQ Container],,0)</f>
        <v>792</v>
      </c>
      <c r="BG501" s="431" t="str">
        <f>_xlfn.XLOOKUP(PV_DATA[[#This Row],[New Ark SKU]],Table9[New Ark SKU],Table9[Back Glass],,0)</f>
        <v>Black glazing</v>
      </c>
      <c r="BH501" s="431" t="str">
        <f>_xlfn.XLOOKUP(PV_DATA[[#This Row],[PORT DESTINATION]],Table12[PORT DESTINATION],Table12[Cosco Line],,0)</f>
        <v>AEU</v>
      </c>
    </row>
    <row r="502" spans="1:60" s="431" customFormat="1" ht="10.5" hidden="1">
      <c r="A502" s="439" t="s">
        <v>4438</v>
      </c>
      <c r="B502" s="439" t="s">
        <v>61</v>
      </c>
      <c r="C502" s="439" t="str">
        <f>IFERROR(LEFT(PV_DATA[[#This Row],[TCL REFERENCE]],FIND(".",PV_DATA[[#This Row],[TCL REFERENCE]],1)-1),"Main Line")</f>
        <v>26May002</v>
      </c>
      <c r="D502" s="439" t="s">
        <v>63</v>
      </c>
      <c r="E502" s="439" t="s">
        <v>64</v>
      </c>
      <c r="F502" s="462" t="str" cm="1">
        <f t="array" ref="F50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502" s="720" t="s">
        <v>402</v>
      </c>
      <c r="H502" s="720" t="s">
        <v>67</v>
      </c>
      <c r="I502" s="720" t="s">
        <v>1395</v>
      </c>
      <c r="J502" s="472" t="s">
        <v>96</v>
      </c>
      <c r="K502" s="472"/>
      <c r="L502" s="472"/>
      <c r="M502" s="472" t="s">
        <v>68</v>
      </c>
      <c r="N502" s="473">
        <v>46139</v>
      </c>
      <c r="O502" s="431" t="s">
        <v>550</v>
      </c>
      <c r="P502" s="431" t="s">
        <v>2134</v>
      </c>
      <c r="Q502" s="431" t="s">
        <v>2135</v>
      </c>
      <c r="R502" s="431" t="str">
        <f>_xlfn.XLOOKUP(PV_DATA[[#This Row],[New Ark SKU]],Table9[New Ark SKU],Table9[Connector],,0)</f>
        <v>EVO2A</v>
      </c>
      <c r="S502" s="442" t="str">
        <f>_xlfn.XLOOKUP(PV_DATA[[#This Row],[New Ark SKU]],Table9[New Ark SKU],Table9[Cable],,0)</f>
        <v>±1350mm</v>
      </c>
      <c r="T502" s="442">
        <v>515</v>
      </c>
      <c r="U502" s="1067">
        <f>792*5</f>
        <v>3960</v>
      </c>
      <c r="V502" s="434">
        <f>PV_DATA[[#This Row],[QUANTITY]]*PV_DATA[[#This Row],[WATT]]/1000000</f>
        <v>2.0394000000000001</v>
      </c>
      <c r="W502" s="466">
        <f>PV_DATA[[#This Row],[QUANTITY]]/PV_DATA[[#This Row],[Qty/Pallet]]</f>
        <v>110</v>
      </c>
      <c r="X502" s="1019">
        <f>PV_DATA[[#This Row],[QUANTITY]]/PV_DATA[[#This Row],[Qty/CT]]</f>
        <v>5</v>
      </c>
      <c r="Y502" s="431" t="s">
        <v>951</v>
      </c>
      <c r="Z502" s="430" t="str">
        <f t="shared" si="5"/>
        <v>COMPLETED</v>
      </c>
      <c r="AB502" s="441">
        <v>46142</v>
      </c>
      <c r="AC502" s="467">
        <f>IF(PV_DATA[[#This Row],[Pick-Up Date]]&lt;&gt;"",_xlfn.ISOWEEKNUM(PV_DATA[[#This Row],[Pick-Up Date]]),"")</f>
        <v>18</v>
      </c>
      <c r="AD502" s="431" t="s">
        <v>4439</v>
      </c>
      <c r="AF502" s="431" t="s">
        <v>61</v>
      </c>
      <c r="AG502" s="431" t="s">
        <v>61</v>
      </c>
      <c r="AH502" s="431" t="s">
        <v>105</v>
      </c>
      <c r="AI502" s="441">
        <v>46155</v>
      </c>
      <c r="AJ502" s="441">
        <v>46155</v>
      </c>
      <c r="AK502" s="441">
        <v>46155</v>
      </c>
      <c r="AL502" s="441">
        <v>46196</v>
      </c>
      <c r="AM502" s="441"/>
      <c r="AN502" s="441">
        <v>46203</v>
      </c>
      <c r="AO502" s="431" t="s">
        <v>402</v>
      </c>
      <c r="AP502" s="431" t="s">
        <v>2449</v>
      </c>
      <c r="AQ502" s="431" t="s">
        <v>80</v>
      </c>
      <c r="AR502" s="431" t="s">
        <v>4440</v>
      </c>
      <c r="AS502" s="431" t="s">
        <v>4441</v>
      </c>
      <c r="AT502" s="482" t="s">
        <v>4441</v>
      </c>
      <c r="AU50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</v>
      </c>
      <c r="AV502" s="441"/>
      <c r="AW502" s="441" cm="1">
        <f t="array" ref="AW50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46203</v>
      </c>
      <c r="AX50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02" s="441">
        <f>IF(ISERROR(PV_DATA[[#This Row],[New Ark PO status]]),"",_xlfn.XLOOKUP(PV_DATA[[#This Row],[SPTN-PVHK New Ark PO'#]],New_Ark_Data[Purchase order Number],New_Ark_Data[Estimated time of arrival],"",0))</f>
        <v>46217</v>
      </c>
      <c r="AZ50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02" s="441">
        <f>IFERROR(PV_DATA[[#This Row],[ODP ETA Port]]+PV_DATA[[#This Row],[Customs/Leg3 Assumption]],"n/a")</f>
        <v>46210</v>
      </c>
      <c r="BB502" s="442">
        <f>YEAR(PV_DATA[[#This Row],[ETA for New Ark update]])</f>
        <v>2026</v>
      </c>
      <c r="BC502" s="431">
        <f>MONTH(PV_DATA[[#This Row],[ETA for New Ark update]])</f>
        <v>7</v>
      </c>
      <c r="BD502" s="431">
        <f>IFERROR(_xlfn.ISOWEEKNUM(PV_DATA[[#This Row],[ETA for New Ark update]]),0)</f>
        <v>28</v>
      </c>
      <c r="BE502" s="431">
        <f>_xlfn.XLOOKUP(PV_DATA[[#This Row],[New Ark SKU]],Table9[New Ark SKU],Table9[Total PCS per Pallet],,0)</f>
        <v>36</v>
      </c>
      <c r="BF502" s="431">
        <f>_xlfn.XLOOKUP(PV_DATA[[#This Row],[New Ark SKU]],Table9[New Ark SKU],Table9[Total PCS per 40HQ Container],,0)</f>
        <v>792</v>
      </c>
      <c r="BG502" s="431" t="str">
        <f>_xlfn.XLOOKUP(PV_DATA[[#This Row],[New Ark SKU]],Table9[New Ark SKU],Table9[Back Glass],,0)</f>
        <v>Black glazing</v>
      </c>
      <c r="BH502" s="431" t="str">
        <f>_xlfn.XLOOKUP(PV_DATA[[#This Row],[PORT DESTINATION]],Table12[PORT DESTINATION],Table12[Cosco Line],,0)</f>
        <v>AEU</v>
      </c>
    </row>
    <row r="503" spans="1:60" s="431" customFormat="1" ht="10.5" hidden="1">
      <c r="A503" s="439" t="s">
        <v>4442</v>
      </c>
      <c r="B503" s="439" t="s">
        <v>61</v>
      </c>
      <c r="C503" s="439" t="str">
        <f>IFERROR(LEFT(PV_DATA[[#This Row],[TCL REFERENCE]],FIND(".",PV_DATA[[#This Row],[TCL REFERENCE]],1)-1),"Main Line")</f>
        <v>26May001</v>
      </c>
      <c r="D503" s="439" t="s">
        <v>63</v>
      </c>
      <c r="E503" s="439" t="s">
        <v>64</v>
      </c>
      <c r="F503" s="462" t="str" cm="1">
        <f t="array" ref="F50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503" s="720" t="s">
        <v>402</v>
      </c>
      <c r="H503" s="720" t="s">
        <v>67</v>
      </c>
      <c r="I503" s="720" t="s">
        <v>1395</v>
      </c>
      <c r="J503" s="472" t="s">
        <v>96</v>
      </c>
      <c r="K503" s="472"/>
      <c r="L503" s="472"/>
      <c r="M503" s="472" t="s">
        <v>68</v>
      </c>
      <c r="N503" s="473">
        <v>46139</v>
      </c>
      <c r="O503" s="431" t="s">
        <v>550</v>
      </c>
      <c r="P503" s="431" t="s">
        <v>551</v>
      </c>
      <c r="Q503" s="431" t="s">
        <v>2151</v>
      </c>
      <c r="R503" s="431" t="str">
        <f>_xlfn.XLOOKUP(PV_DATA[[#This Row],[New Ark SKU]],Table9[New Ark SKU],Table9[Connector],,0)</f>
        <v>EVO2A</v>
      </c>
      <c r="S503" s="442" t="str">
        <f>_xlfn.XLOOKUP(PV_DATA[[#This Row],[New Ark SKU]],Table9[New Ark SKU],Table9[Cable],,0)</f>
        <v>±1350mm</v>
      </c>
      <c r="T503" s="442">
        <v>510</v>
      </c>
      <c r="U503" s="1067">
        <f>792*4</f>
        <v>3168</v>
      </c>
      <c r="V503" s="434">
        <f>PV_DATA[[#This Row],[QUANTITY]]*PV_DATA[[#This Row],[WATT]]/1000000</f>
        <v>1.61568</v>
      </c>
      <c r="W503" s="466">
        <f>PV_DATA[[#This Row],[QUANTITY]]/PV_DATA[[#This Row],[Qty/Pallet]]</f>
        <v>88</v>
      </c>
      <c r="X503" s="1019">
        <f>PV_DATA[[#This Row],[QUANTITY]]/PV_DATA[[#This Row],[Qty/CT]]</f>
        <v>4</v>
      </c>
      <c r="Y503" s="431" t="s">
        <v>951</v>
      </c>
      <c r="Z503" s="430" t="str">
        <f t="shared" si="5"/>
        <v>COMPLETED</v>
      </c>
      <c r="AB503" s="441">
        <v>46142</v>
      </c>
      <c r="AC503" s="467">
        <f>IF(PV_DATA[[#This Row],[Pick-Up Date]]&lt;&gt;"",_xlfn.ISOWEEKNUM(PV_DATA[[#This Row],[Pick-Up Date]]),"")</f>
        <v>18</v>
      </c>
      <c r="AD503" s="431" t="s">
        <v>4443</v>
      </c>
      <c r="AF503" s="431" t="s">
        <v>61</v>
      </c>
      <c r="AG503" s="431" t="s">
        <v>61</v>
      </c>
      <c r="AH503" s="431" t="s">
        <v>78</v>
      </c>
      <c r="AI503" s="441">
        <v>46155</v>
      </c>
      <c r="AJ503" s="441">
        <v>46155</v>
      </c>
      <c r="AK503" s="441">
        <v>46155</v>
      </c>
      <c r="AL503" s="441">
        <v>46216</v>
      </c>
      <c r="AM503" s="441"/>
      <c r="AN503" s="441">
        <v>46215</v>
      </c>
      <c r="AO503" s="431" t="s">
        <v>402</v>
      </c>
      <c r="AP503" s="431" t="s">
        <v>2449</v>
      </c>
      <c r="AQ503" s="431" t="s">
        <v>80</v>
      </c>
      <c r="AR503" s="431" t="s">
        <v>4444</v>
      </c>
      <c r="AS503" s="431" t="s">
        <v>4445</v>
      </c>
      <c r="AT503" s="482" t="s">
        <v>4445</v>
      </c>
      <c r="AU50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</v>
      </c>
      <c r="AV503" s="441"/>
      <c r="AW503" s="441" cm="1">
        <f t="array" ref="AW50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46215</v>
      </c>
      <c r="AX50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03" s="441">
        <f>IF(ISERROR(PV_DATA[[#This Row],[New Ark PO status]]),"",_xlfn.XLOOKUP(PV_DATA[[#This Row],[SPTN-PVHK New Ark PO'#]],New_Ark_Data[Purchase order Number],New_Ark_Data[Estimated time of arrival],"",0))</f>
        <v>46230</v>
      </c>
      <c r="AZ503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503" s="441">
        <f>IFERROR(PV_DATA[[#This Row],[ODP ETA Port]]+PV_DATA[[#This Row],[Customs/Leg3 Assumption]],"n/a")</f>
        <v>46223</v>
      </c>
      <c r="BB503" s="442">
        <f>YEAR(PV_DATA[[#This Row],[ETA for New Ark update]])</f>
        <v>2026</v>
      </c>
      <c r="BC503" s="431">
        <f>MONTH(PV_DATA[[#This Row],[ETA for New Ark update]])</f>
        <v>7</v>
      </c>
      <c r="BD503" s="431">
        <f>IFERROR(_xlfn.ISOWEEKNUM(PV_DATA[[#This Row],[ETA for New Ark update]]),0)</f>
        <v>30</v>
      </c>
      <c r="BE503" s="431">
        <f>_xlfn.XLOOKUP(PV_DATA[[#This Row],[New Ark SKU]],Table9[New Ark SKU],Table9[Total PCS per Pallet],,0)</f>
        <v>36</v>
      </c>
      <c r="BF503" s="431">
        <f>_xlfn.XLOOKUP(PV_DATA[[#This Row],[New Ark SKU]],Table9[New Ark SKU],Table9[Total PCS per 40HQ Container],,0)</f>
        <v>792</v>
      </c>
      <c r="BG503" s="431" t="str">
        <f>_xlfn.XLOOKUP(PV_DATA[[#This Row],[New Ark SKU]],Table9[New Ark SKU],Table9[Back Glass],,0)</f>
        <v>Black glazing</v>
      </c>
      <c r="BH503" s="431" t="str">
        <f>_xlfn.XLOOKUP(PV_DATA[[#This Row],[PORT DESTINATION]],Table12[PORT DESTINATION],Table12[Cosco Line],,0)</f>
        <v>AEM</v>
      </c>
    </row>
    <row r="504" spans="1:60" s="431" customFormat="1" ht="10.5" hidden="1">
      <c r="A504" s="439" t="s">
        <v>4446</v>
      </c>
      <c r="B504" s="439" t="s">
        <v>61</v>
      </c>
      <c r="C504" s="439" t="str">
        <f>IFERROR(LEFT(PV_DATA[[#This Row],[TCL REFERENCE]],FIND(".",PV_DATA[[#This Row],[TCL REFERENCE]],1)-1),"Main Line")</f>
        <v>26May001</v>
      </c>
      <c r="D504" s="439" t="s">
        <v>63</v>
      </c>
      <c r="E504" s="439" t="s">
        <v>64</v>
      </c>
      <c r="F504" s="462" t="str" cm="1">
        <f t="array" ref="F50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504" s="720" t="s">
        <v>402</v>
      </c>
      <c r="H504" s="720" t="s">
        <v>67</v>
      </c>
      <c r="I504" s="720" t="s">
        <v>1395</v>
      </c>
      <c r="J504" s="472" t="s">
        <v>96</v>
      </c>
      <c r="K504" s="472"/>
      <c r="L504" s="472"/>
      <c r="M504" s="472" t="s">
        <v>68</v>
      </c>
      <c r="N504" s="473">
        <v>46139</v>
      </c>
      <c r="O504" s="431" t="s">
        <v>550</v>
      </c>
      <c r="P504" s="431" t="s">
        <v>551</v>
      </c>
      <c r="Q504" s="431" t="s">
        <v>2151</v>
      </c>
      <c r="R504" s="431" t="str">
        <f>_xlfn.XLOOKUP(PV_DATA[[#This Row],[New Ark SKU]],Table9[New Ark SKU],Table9[Connector],,0)</f>
        <v>EVO2A</v>
      </c>
      <c r="S504" s="442" t="str">
        <f>_xlfn.XLOOKUP(PV_DATA[[#This Row],[New Ark SKU]],Table9[New Ark SKU],Table9[Cable],,0)</f>
        <v>±1350mm</v>
      </c>
      <c r="T504" s="442">
        <v>510</v>
      </c>
      <c r="U504" s="1067">
        <f>792*1</f>
        <v>792</v>
      </c>
      <c r="V504" s="434">
        <f>PV_DATA[[#This Row],[QUANTITY]]*PV_DATA[[#This Row],[WATT]]/1000000</f>
        <v>0.40392</v>
      </c>
      <c r="W504" s="466">
        <f>PV_DATA[[#This Row],[QUANTITY]]/PV_DATA[[#This Row],[Qty/Pallet]]</f>
        <v>22</v>
      </c>
      <c r="X504" s="1019">
        <f>PV_DATA[[#This Row],[QUANTITY]]/PV_DATA[[#This Row],[Qty/CT]]</f>
        <v>1</v>
      </c>
      <c r="Y504" s="431" t="s">
        <v>951</v>
      </c>
      <c r="Z504" s="430" t="str">
        <f t="shared" si="5"/>
        <v>COMPLETED</v>
      </c>
      <c r="AB504" s="441">
        <v>46142</v>
      </c>
      <c r="AC504" s="467">
        <f>IF(PV_DATA[[#This Row],[Pick-Up Date]]&lt;&gt;"",_xlfn.ISOWEEKNUM(PV_DATA[[#This Row],[Pick-Up Date]]),"")</f>
        <v>18</v>
      </c>
      <c r="AD504" s="431" t="s">
        <v>4447</v>
      </c>
      <c r="AF504" s="431" t="s">
        <v>61</v>
      </c>
      <c r="AG504" s="431" t="s">
        <v>61</v>
      </c>
      <c r="AH504" s="431" t="s">
        <v>78</v>
      </c>
      <c r="AI504" s="441">
        <v>46155</v>
      </c>
      <c r="AJ504" s="441">
        <v>46155</v>
      </c>
      <c r="AK504" s="441">
        <v>46155</v>
      </c>
      <c r="AL504" s="441">
        <v>46210</v>
      </c>
      <c r="AM504" s="441"/>
      <c r="AN504" s="441">
        <v>46211</v>
      </c>
      <c r="AO504" s="431" t="s">
        <v>402</v>
      </c>
      <c r="AP504" s="431" t="s">
        <v>2449</v>
      </c>
      <c r="AQ504" s="431" t="s">
        <v>80</v>
      </c>
      <c r="AR504" s="431" t="s">
        <v>4448</v>
      </c>
      <c r="AS504" s="431" t="s">
        <v>4449</v>
      </c>
      <c r="AT504" s="482" t="s">
        <v>4449</v>
      </c>
      <c r="AU50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V504" s="441"/>
      <c r="AW504" s="441" cm="1">
        <f t="array" ref="AW50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46211</v>
      </c>
      <c r="AX50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04" s="441">
        <f>IF(ISERROR(PV_DATA[[#This Row],[New Ark PO status]]),"",_xlfn.XLOOKUP(PV_DATA[[#This Row],[SPTN-PVHK New Ark PO'#]],New_Ark_Data[Purchase order Number],New_Ark_Data[Estimated time of arrival],"",0))</f>
        <v>46225</v>
      </c>
      <c r="AZ504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504" s="441">
        <f>IFERROR(PV_DATA[[#This Row],[ODP ETA Port]]+PV_DATA[[#This Row],[Customs/Leg3 Assumption]],"n/a")</f>
        <v>46219</v>
      </c>
      <c r="BB504" s="442">
        <f>YEAR(PV_DATA[[#This Row],[ETA for New Ark update]])</f>
        <v>2026</v>
      </c>
      <c r="BC504" s="431">
        <f>MONTH(PV_DATA[[#This Row],[ETA for New Ark update]])</f>
        <v>7</v>
      </c>
      <c r="BD504" s="431">
        <f>IFERROR(_xlfn.ISOWEEKNUM(PV_DATA[[#This Row],[ETA for New Ark update]]),0)</f>
        <v>29</v>
      </c>
      <c r="BE504" s="431">
        <f>_xlfn.XLOOKUP(PV_DATA[[#This Row],[New Ark SKU]],Table9[New Ark SKU],Table9[Total PCS per Pallet],,0)</f>
        <v>36</v>
      </c>
      <c r="BF504" s="431">
        <f>_xlfn.XLOOKUP(PV_DATA[[#This Row],[New Ark SKU]],Table9[New Ark SKU],Table9[Total PCS per 40HQ Container],,0)</f>
        <v>792</v>
      </c>
      <c r="BG504" s="431" t="str">
        <f>_xlfn.XLOOKUP(PV_DATA[[#This Row],[New Ark SKU]],Table9[New Ark SKU],Table9[Back Glass],,0)</f>
        <v>Black glazing</v>
      </c>
      <c r="BH504" s="431" t="str">
        <f>_xlfn.XLOOKUP(PV_DATA[[#This Row],[PORT DESTINATION]],Table12[PORT DESTINATION],Table12[Cosco Line],,0)</f>
        <v>AEM</v>
      </c>
    </row>
    <row r="505" spans="1:60" s="431" customFormat="1" ht="10.5" hidden="1">
      <c r="A505" s="439" t="s">
        <v>4450</v>
      </c>
      <c r="B505" s="439" t="s">
        <v>61</v>
      </c>
      <c r="C505" s="439" t="str">
        <f>IFERROR(LEFT(PV_DATA[[#This Row],[TCL REFERENCE]],FIND(".",PV_DATA[[#This Row],[TCL REFERENCE]],1)-1),"Main Line")</f>
        <v>26May002</v>
      </c>
      <c r="D505" s="439" t="s">
        <v>63</v>
      </c>
      <c r="E505" s="439" t="s">
        <v>64</v>
      </c>
      <c r="F505" s="462" t="str" cm="1">
        <f t="array" ref="F50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505" s="720" t="s">
        <v>402</v>
      </c>
      <c r="H505" s="720" t="s">
        <v>115</v>
      </c>
      <c r="I505" s="720" t="s">
        <v>1395</v>
      </c>
      <c r="J505" s="472" t="s">
        <v>96</v>
      </c>
      <c r="K505" s="472"/>
      <c r="L505" s="472"/>
      <c r="M505" s="472" t="s">
        <v>68</v>
      </c>
      <c r="N505" s="473">
        <v>46139</v>
      </c>
      <c r="O505" s="431" t="s">
        <v>550</v>
      </c>
      <c r="P505" s="431" t="s">
        <v>2134</v>
      </c>
      <c r="Q505" s="431" t="s">
        <v>2135</v>
      </c>
      <c r="R505" s="431" t="str">
        <f>_xlfn.XLOOKUP(PV_DATA[[#This Row],[New Ark SKU]],Table9[New Ark SKU],Table9[Connector],,0)</f>
        <v>EVO2A</v>
      </c>
      <c r="S505" s="442" t="str">
        <f>_xlfn.XLOOKUP(PV_DATA[[#This Row],[New Ark SKU]],Table9[New Ark SKU],Table9[Cable],,0)</f>
        <v>±1350mm</v>
      </c>
      <c r="T505" s="442">
        <v>515</v>
      </c>
      <c r="U505" s="1067">
        <f>792*1</f>
        <v>792</v>
      </c>
      <c r="V505" s="434">
        <f>PV_DATA[[#This Row],[QUANTITY]]*PV_DATA[[#This Row],[WATT]]/1000000</f>
        <v>0.40788000000000002</v>
      </c>
      <c r="W505" s="466">
        <f>PV_DATA[[#This Row],[QUANTITY]]/PV_DATA[[#This Row],[Qty/Pallet]]</f>
        <v>22</v>
      </c>
      <c r="X505" s="1019">
        <f>PV_DATA[[#This Row],[QUANTITY]]/PV_DATA[[#This Row],[Qty/CT]]</f>
        <v>1</v>
      </c>
      <c r="Y505" s="431" t="s">
        <v>951</v>
      </c>
      <c r="Z505" s="430" t="str">
        <f t="shared" si="5"/>
        <v>COMPLETED</v>
      </c>
      <c r="AB505" s="441">
        <v>46142</v>
      </c>
      <c r="AC505" s="467">
        <f>IF(PV_DATA[[#This Row],[Pick-Up Date]]&lt;&gt;"",_xlfn.ISOWEEKNUM(PV_DATA[[#This Row],[Pick-Up Date]]),"")</f>
        <v>18</v>
      </c>
      <c r="AD505" s="431" t="s">
        <v>4451</v>
      </c>
      <c r="AF505" s="431" t="s">
        <v>61</v>
      </c>
      <c r="AG505" s="431" t="s">
        <v>61</v>
      </c>
      <c r="AH505" s="431" t="s">
        <v>124</v>
      </c>
      <c r="AI505" s="441">
        <v>46155</v>
      </c>
      <c r="AJ505" s="441">
        <v>46155</v>
      </c>
      <c r="AK505" s="441">
        <v>46155</v>
      </c>
      <c r="AL505" s="441">
        <v>46204</v>
      </c>
      <c r="AM505" s="441"/>
      <c r="AN505" s="441">
        <v>46204</v>
      </c>
      <c r="AO505" s="431" t="s">
        <v>402</v>
      </c>
      <c r="AP505" s="431" t="s">
        <v>2449</v>
      </c>
      <c r="AQ505" s="431" t="s">
        <v>80</v>
      </c>
      <c r="AR505" s="431" t="s">
        <v>4452</v>
      </c>
      <c r="AS505" s="431" t="s">
        <v>4453</v>
      </c>
      <c r="AT505" s="482" t="s">
        <v>4453</v>
      </c>
      <c r="AU50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V505" s="441"/>
      <c r="AW505" s="441" cm="1">
        <f t="array" ref="AW50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46204</v>
      </c>
      <c r="AX50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05" s="441">
        <f>IF(ISERROR(PV_DATA[[#This Row],[New Ark PO status]]),"",_xlfn.XLOOKUP(PV_DATA[[#This Row],[SPTN-PVHK New Ark PO'#]],New_Ark_Data[Purchase order Number],New_Ark_Data[Estimated time of arrival],"",0))</f>
        <v>46218</v>
      </c>
      <c r="AZ505" s="44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505" s="441">
        <f>IFERROR(PV_DATA[[#This Row],[ODP ETA Port]]+PV_DATA[[#This Row],[Customs/Leg3 Assumption]],"n/a")</f>
        <v>46213</v>
      </c>
      <c r="BB505" s="442">
        <f>YEAR(PV_DATA[[#This Row],[ETA for New Ark update]])</f>
        <v>2026</v>
      </c>
      <c r="BC505" s="431">
        <f>MONTH(PV_DATA[[#This Row],[ETA for New Ark update]])</f>
        <v>7</v>
      </c>
      <c r="BD505" s="431">
        <f>IFERROR(_xlfn.ISOWEEKNUM(PV_DATA[[#This Row],[ETA for New Ark update]]),0)</f>
        <v>28</v>
      </c>
      <c r="BE505" s="431">
        <f>_xlfn.XLOOKUP(PV_DATA[[#This Row],[New Ark SKU]],Table9[New Ark SKU],Table9[Total PCS per Pallet],,0)</f>
        <v>36</v>
      </c>
      <c r="BF505" s="431">
        <f>_xlfn.XLOOKUP(PV_DATA[[#This Row],[New Ark SKU]],Table9[New Ark SKU],Table9[Total PCS per 40HQ Container],,0)</f>
        <v>792</v>
      </c>
      <c r="BG505" s="431" t="str">
        <f>_xlfn.XLOOKUP(PV_DATA[[#This Row],[New Ark SKU]],Table9[New Ark SKU],Table9[Back Glass],,0)</f>
        <v>Black glazing</v>
      </c>
      <c r="BH505" s="431" t="str">
        <f>_xlfn.XLOOKUP(PV_DATA[[#This Row],[PORT DESTINATION]],Table12[PORT DESTINATION],Table12[Cosco Line],,0)</f>
        <v>AEM</v>
      </c>
    </row>
    <row r="506" spans="1:60" s="431" customFormat="1" ht="10.5" hidden="1">
      <c r="A506" s="439" t="s">
        <v>4454</v>
      </c>
      <c r="B506" s="439" t="s">
        <v>61</v>
      </c>
      <c r="C506" s="439" t="str">
        <f>IFERROR(LEFT(PV_DATA[[#This Row],[TCL REFERENCE]],FIND(".",PV_DATA[[#This Row],[TCL REFERENCE]],1)-1),"Main Line")</f>
        <v>26May002</v>
      </c>
      <c r="D506" s="439" t="s">
        <v>63</v>
      </c>
      <c r="E506" s="439" t="s">
        <v>64</v>
      </c>
      <c r="F506" s="462" t="str" cm="1">
        <f t="array" ref="F50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506" s="720" t="s">
        <v>402</v>
      </c>
      <c r="H506" s="720" t="s">
        <v>115</v>
      </c>
      <c r="I506" s="720" t="s">
        <v>1395</v>
      </c>
      <c r="J506" s="472" t="s">
        <v>96</v>
      </c>
      <c r="K506" s="472"/>
      <c r="L506" s="472"/>
      <c r="M506" s="472" t="s">
        <v>68</v>
      </c>
      <c r="N506" s="473">
        <v>46139</v>
      </c>
      <c r="O506" s="431" t="s">
        <v>550</v>
      </c>
      <c r="P506" s="431" t="s">
        <v>2134</v>
      </c>
      <c r="Q506" s="431" t="s">
        <v>2135</v>
      </c>
      <c r="R506" s="431" t="str">
        <f>_xlfn.XLOOKUP(PV_DATA[[#This Row],[New Ark SKU]],Table9[New Ark SKU],Table9[Connector],,0)</f>
        <v>EVO2A</v>
      </c>
      <c r="S506" s="442" t="str">
        <f>_xlfn.XLOOKUP(PV_DATA[[#This Row],[New Ark SKU]],Table9[New Ark SKU],Table9[Cable],,0)</f>
        <v>±1350mm</v>
      </c>
      <c r="T506" s="442">
        <v>515</v>
      </c>
      <c r="U506" s="1067">
        <f>792*1</f>
        <v>792</v>
      </c>
      <c r="V506" s="434">
        <f>PV_DATA[[#This Row],[QUANTITY]]*PV_DATA[[#This Row],[WATT]]/1000000</f>
        <v>0.40788000000000002</v>
      </c>
      <c r="W506" s="466">
        <f>PV_DATA[[#This Row],[QUANTITY]]/PV_DATA[[#This Row],[Qty/Pallet]]</f>
        <v>22</v>
      </c>
      <c r="X506" s="1019">
        <f>PV_DATA[[#This Row],[QUANTITY]]/PV_DATA[[#This Row],[Qty/CT]]</f>
        <v>1</v>
      </c>
      <c r="Y506" s="431" t="s">
        <v>951</v>
      </c>
      <c r="Z506" s="430" t="str">
        <f t="shared" si="5"/>
        <v>COMPLETED</v>
      </c>
      <c r="AB506" s="441">
        <v>46142</v>
      </c>
      <c r="AC506" s="467">
        <f>IF(PV_DATA[[#This Row],[Pick-Up Date]]&lt;&gt;"",_xlfn.ISOWEEKNUM(PV_DATA[[#This Row],[Pick-Up Date]]),"")</f>
        <v>18</v>
      </c>
      <c r="AD506" s="431" t="s">
        <v>4455</v>
      </c>
      <c r="AF506" s="431" t="s">
        <v>61</v>
      </c>
      <c r="AG506" s="431" t="s">
        <v>61</v>
      </c>
      <c r="AH506" s="431" t="s">
        <v>124</v>
      </c>
      <c r="AI506" s="441">
        <v>46148</v>
      </c>
      <c r="AJ506" s="441">
        <v>46150</v>
      </c>
      <c r="AK506" s="441">
        <v>46150</v>
      </c>
      <c r="AL506" s="441">
        <v>46205</v>
      </c>
      <c r="AM506" s="441"/>
      <c r="AN506" s="441">
        <v>46205</v>
      </c>
      <c r="AO506" s="431" t="s">
        <v>402</v>
      </c>
      <c r="AP506" s="431" t="s">
        <v>4435</v>
      </c>
      <c r="AQ506" s="431" t="s">
        <v>80</v>
      </c>
      <c r="AR506" s="431" t="s">
        <v>4456</v>
      </c>
      <c r="AS506" s="431" t="s">
        <v>4457</v>
      </c>
      <c r="AT506" s="482" t="s">
        <v>4457</v>
      </c>
      <c r="AU50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55</v>
      </c>
      <c r="AV506" s="441"/>
      <c r="AW506" s="441" cm="1">
        <f t="array" ref="AW50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46205</v>
      </c>
      <c r="AX50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06" s="441">
        <f>IF(ISERROR(PV_DATA[[#This Row],[New Ark PO status]]),"",_xlfn.XLOOKUP(PV_DATA[[#This Row],[SPTN-PVHK New Ark PO'#]],New_Ark_Data[Purchase order Number],New_Ark_Data[Estimated time of arrival],"",0))</f>
        <v>46218</v>
      </c>
      <c r="AZ506" s="44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506" s="441">
        <f>IFERROR(PV_DATA[[#This Row],[ODP ETA Port]]+PV_DATA[[#This Row],[Customs/Leg3 Assumption]],"n/a")</f>
        <v>46214</v>
      </c>
      <c r="BB506" s="442">
        <f>YEAR(PV_DATA[[#This Row],[ETA for New Ark update]])</f>
        <v>2026</v>
      </c>
      <c r="BC506" s="431">
        <f>MONTH(PV_DATA[[#This Row],[ETA for New Ark update]])</f>
        <v>7</v>
      </c>
      <c r="BD506" s="431">
        <f>IFERROR(_xlfn.ISOWEEKNUM(PV_DATA[[#This Row],[ETA for New Ark update]]),0)</f>
        <v>28</v>
      </c>
      <c r="BE506" s="431">
        <f>_xlfn.XLOOKUP(PV_DATA[[#This Row],[New Ark SKU]],Table9[New Ark SKU],Table9[Total PCS per Pallet],,0)</f>
        <v>36</v>
      </c>
      <c r="BF506" s="431">
        <f>_xlfn.XLOOKUP(PV_DATA[[#This Row],[New Ark SKU]],Table9[New Ark SKU],Table9[Total PCS per 40HQ Container],,0)</f>
        <v>792</v>
      </c>
      <c r="BG506" s="431" t="str">
        <f>_xlfn.XLOOKUP(PV_DATA[[#This Row],[New Ark SKU]],Table9[New Ark SKU],Table9[Back Glass],,0)</f>
        <v>Black glazing</v>
      </c>
      <c r="BH506" s="431" t="str">
        <f>_xlfn.XLOOKUP(PV_DATA[[#This Row],[PORT DESTINATION]],Table12[PORT DESTINATION],Table12[Cosco Line],,0)</f>
        <v>AEM</v>
      </c>
    </row>
    <row r="507" spans="1:60" s="431" customFormat="1" ht="10.5" hidden="1">
      <c r="A507" s="439" t="s">
        <v>4458</v>
      </c>
      <c r="B507" s="439" t="s">
        <v>111</v>
      </c>
      <c r="C507" s="721" t="str">
        <f>IFERROR(LEFT(PV_DATA[[#This Row],[TCL REFERENCE]],FIND(".",PV_DATA[[#This Row],[TCL REFERENCE]],1)-1),"Main Line")</f>
        <v>26Apr001</v>
      </c>
      <c r="D507" s="721" t="s">
        <v>113</v>
      </c>
      <c r="E507" s="439" t="s">
        <v>64</v>
      </c>
      <c r="F507" s="462" cm="1">
        <f t="array" ref="F507">_xlfn.IFS(PV_DATA[[#This Row],[New Ark PO Type]]="n/a","n/a",PV_DATA[[#This Row],[New Ark PO Type]]="Offshore","SPTN Offstore in Transit WH",TRUE,_xlfn.XLOOKUP(PV_DATA[[#This Row],[PORT DESTINATION]],LT_REF[PORT DESTINATION],LT_REF[New Ark WH],,0))</f>
        <v>0</v>
      </c>
      <c r="G507" s="721" t="s">
        <v>402</v>
      </c>
      <c r="H507" s="721" t="s">
        <v>451</v>
      </c>
      <c r="I507" s="721" t="s">
        <v>822</v>
      </c>
      <c r="J507" s="475" t="s">
        <v>2298</v>
      </c>
      <c r="K507" s="475"/>
      <c r="L507" s="475"/>
      <c r="M507" s="475" t="s">
        <v>68</v>
      </c>
      <c r="N507" s="476">
        <v>46132</v>
      </c>
      <c r="O507" s="475" t="s">
        <v>70</v>
      </c>
      <c r="P507" s="431" t="s">
        <v>2308</v>
      </c>
      <c r="Q507" s="431" t="s">
        <v>1484</v>
      </c>
      <c r="R507" s="431" t="str">
        <f>_xlfn.XLOOKUP(PV_DATA[[#This Row],[New Ark SKU]],Table9[New Ark SKU],Table9[Connector],,0)</f>
        <v>EVO2A</v>
      </c>
      <c r="S507" s="442" t="str">
        <f>_xlfn.XLOOKUP(PV_DATA[[#This Row],[New Ark SKU]],Table9[New Ark SKU],Table9[Cable],,0)</f>
        <v>+400mm/-200mm</v>
      </c>
      <c r="T507" s="442">
        <v>725</v>
      </c>
      <c r="U507" s="1067">
        <f>594*5</f>
        <v>2970</v>
      </c>
      <c r="V507" s="448">
        <f>PV_DATA[[#This Row],[QUANTITY]]*PV_DATA[[#This Row],[WATT]]/1000000</f>
        <v>2.1532499999999999</v>
      </c>
      <c r="W507" s="466">
        <f>PV_DATA[[#This Row],[QUANTITY]]/PV_DATA[[#This Row],[Qty/Pallet]]</f>
        <v>90</v>
      </c>
      <c r="X507" s="1019">
        <f>PV_DATA[[#This Row],[QUANTITY]]/PV_DATA[[#This Row],[Qty/CT]]</f>
        <v>5</v>
      </c>
      <c r="Y507" s="431" t="s">
        <v>951</v>
      </c>
      <c r="Z507" s="430" t="str">
        <f t="shared" si="5"/>
        <v>COMPLETED</v>
      </c>
      <c r="AA507" s="474" t="s">
        <v>4459</v>
      </c>
      <c r="AB507" s="441">
        <v>46152</v>
      </c>
      <c r="AC507" s="445">
        <f>IF(PV_DATA[[#This Row],[Pick-Up Date]]&lt;&gt;"",_xlfn.ISOWEEKNUM(PV_DATA[[#This Row],[Pick-Up Date]]),"")</f>
        <v>19</v>
      </c>
      <c r="AD507" s="431" t="s">
        <v>4460</v>
      </c>
      <c r="AE507" s="475"/>
      <c r="AF507" s="431" t="s">
        <v>122</v>
      </c>
      <c r="AG507" s="431" t="s">
        <v>123</v>
      </c>
      <c r="AH507" s="431" t="s">
        <v>2301</v>
      </c>
      <c r="AI507" s="441">
        <v>46155</v>
      </c>
      <c r="AJ507" s="441">
        <v>46154</v>
      </c>
      <c r="AK507" s="441">
        <v>46154</v>
      </c>
      <c r="AL507" s="441">
        <v>46208</v>
      </c>
      <c r="AM507" s="441">
        <v>46212</v>
      </c>
      <c r="AN507" s="441">
        <v>46212</v>
      </c>
      <c r="AO507" s="431" t="s">
        <v>402</v>
      </c>
      <c r="AP507" s="431" t="s">
        <v>4461</v>
      </c>
      <c r="AQ507" s="431" t="s">
        <v>161</v>
      </c>
      <c r="AR507" s="431" t="s">
        <v>4462</v>
      </c>
      <c r="AS507" s="431" t="s">
        <v>4463</v>
      </c>
      <c r="AT507" s="482" t="s">
        <v>4464</v>
      </c>
      <c r="AU50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V507" s="441"/>
      <c r="AW507" s="441" cm="1">
        <f t="array" ref="AW50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46212</v>
      </c>
      <c r="AX50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07" s="441">
        <f>IF(ISERROR(PV_DATA[[#This Row],[New Ark PO status]]),"",_xlfn.XLOOKUP(PV_DATA[[#This Row],[SPTN-PVHK New Ark PO'#]],New_Ark_Data[Purchase order Number],New_Ark_Data[Estimated time of arrival],"",0))</f>
        <v>46239</v>
      </c>
      <c r="AZ507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07" s="441">
        <f>IFERROR(PV_DATA[[#This Row],[ODP ETA Port]]+PV_DATA[[#This Row],[Customs/Leg3 Assumption]],"n/a")</f>
        <v>46219</v>
      </c>
      <c r="BB507" s="442">
        <f>YEAR(PV_DATA[[#This Row],[ETA for New Ark update]])</f>
        <v>2026</v>
      </c>
      <c r="BC507" s="431">
        <f>MONTH(PV_DATA[[#This Row],[ETA for New Ark update]])</f>
        <v>7</v>
      </c>
      <c r="BD507" s="431">
        <f>IFERROR(_xlfn.ISOWEEKNUM(PV_DATA[[#This Row],[ETA for New Ark update]]),0)</f>
        <v>29</v>
      </c>
      <c r="BE507" s="431">
        <f>_xlfn.XLOOKUP(PV_DATA[[#This Row],[New Ark SKU]],Table9[New Ark SKU],Table9[Total PCS per Pallet],,0)</f>
        <v>33</v>
      </c>
      <c r="BF507" s="431">
        <f>_xlfn.XLOOKUP(PV_DATA[[#This Row],[New Ark SKU]],Table9[New Ark SKU],Table9[Total PCS per 40HQ Container],,0)</f>
        <v>594</v>
      </c>
      <c r="BG507" s="431" t="str">
        <f>_xlfn.XLOOKUP(PV_DATA[[#This Row],[New Ark SKU]],Table9[New Ark SKU],Table9[Back Glass],,0)</f>
        <v>Transparent</v>
      </c>
      <c r="BH507" s="431" t="str">
        <f>_xlfn.XLOOKUP(PV_DATA[[#This Row],[PORT DESTINATION]],Table12[PORT DESTINATION],Table12[Cosco Line],,0)</f>
        <v>AEU</v>
      </c>
    </row>
    <row r="508" spans="1:60" s="431" customFormat="1" ht="10.5" hidden="1">
      <c r="A508" s="439" t="s">
        <v>4465</v>
      </c>
      <c r="B508" s="439" t="s">
        <v>111</v>
      </c>
      <c r="C508" s="721" t="str">
        <f>IFERROR(LEFT(PV_DATA[[#This Row],[TCL REFERENCE]],FIND(".",PV_DATA[[#This Row],[TCL REFERENCE]],1)-1),"Main Line")</f>
        <v>26Apr002</v>
      </c>
      <c r="D508" s="721" t="s">
        <v>113</v>
      </c>
      <c r="E508" s="439" t="s">
        <v>64</v>
      </c>
      <c r="F508" s="462" cm="1">
        <f t="array" ref="F508">_xlfn.IFS(PV_DATA[[#This Row],[New Ark PO Type]]="n/a","n/a",PV_DATA[[#This Row],[New Ark PO Type]]="Offshore","SPTN Offstore in Transit WH",TRUE,_xlfn.XLOOKUP(PV_DATA[[#This Row],[PORT DESTINATION]],LT_REF[PORT DESTINATION],LT_REF[New Ark WH],,0))</f>
        <v>0</v>
      </c>
      <c r="G508" s="721" t="s">
        <v>402</v>
      </c>
      <c r="H508" s="721" t="s">
        <v>451</v>
      </c>
      <c r="I508" s="721" t="s">
        <v>822</v>
      </c>
      <c r="J508" s="475" t="s">
        <v>2298</v>
      </c>
      <c r="K508" s="475"/>
      <c r="L508" s="475"/>
      <c r="M508" s="475" t="s">
        <v>68</v>
      </c>
      <c r="N508" s="476">
        <v>46132</v>
      </c>
      <c r="O508" s="475" t="s">
        <v>70</v>
      </c>
      <c r="P508" s="431" t="s">
        <v>2299</v>
      </c>
      <c r="Q508" s="431" t="s">
        <v>1682</v>
      </c>
      <c r="R508" s="431" t="str">
        <f>_xlfn.XLOOKUP(PV_DATA[[#This Row],[New Ark SKU]],Table9[New Ark SKU],Table9[Connector],,0)</f>
        <v>EVO2A</v>
      </c>
      <c r="S508" s="442" t="str">
        <f>_xlfn.XLOOKUP(PV_DATA[[#This Row],[New Ark SKU]],Table9[New Ark SKU],Table9[Cable],,0)</f>
        <v>+400mm/-200mm</v>
      </c>
      <c r="T508" s="442">
        <v>730</v>
      </c>
      <c r="U508" s="1067">
        <v>1188</v>
      </c>
      <c r="V508" s="448">
        <f>PV_DATA[[#This Row],[QUANTITY]]*PV_DATA[[#This Row],[WATT]]/1000000</f>
        <v>0.86724000000000001</v>
      </c>
      <c r="W508" s="466">
        <f>PV_DATA[[#This Row],[QUANTITY]]/PV_DATA[[#This Row],[Qty/Pallet]]</f>
        <v>36</v>
      </c>
      <c r="X508" s="1019">
        <f>PV_DATA[[#This Row],[QUANTITY]]/PV_DATA[[#This Row],[Qty/CT]]</f>
        <v>2</v>
      </c>
      <c r="Y508" s="431" t="s">
        <v>951</v>
      </c>
      <c r="Z508" s="430" t="str">
        <f t="shared" si="5"/>
        <v>COMPLETED</v>
      </c>
      <c r="AA508" s="474" t="s">
        <v>4459</v>
      </c>
      <c r="AB508" s="441">
        <v>46152</v>
      </c>
      <c r="AC508" s="445">
        <f>IF(PV_DATA[[#This Row],[Pick-Up Date]]&lt;&gt;"",_xlfn.ISOWEEKNUM(PV_DATA[[#This Row],[Pick-Up Date]]),"")</f>
        <v>19</v>
      </c>
      <c r="AD508" s="431" t="s">
        <v>4466</v>
      </c>
      <c r="AE508" s="475"/>
      <c r="AF508" s="431" t="s">
        <v>122</v>
      </c>
      <c r="AG508" s="431" t="s">
        <v>123</v>
      </c>
      <c r="AH508" s="431" t="s">
        <v>2301</v>
      </c>
      <c r="AI508" s="441">
        <v>46155</v>
      </c>
      <c r="AJ508" s="441">
        <v>46154</v>
      </c>
      <c r="AK508" s="441">
        <v>46154</v>
      </c>
      <c r="AL508" s="441">
        <v>46208</v>
      </c>
      <c r="AM508" s="441">
        <v>46212</v>
      </c>
      <c r="AN508" s="441">
        <v>46212</v>
      </c>
      <c r="AO508" s="431" t="s">
        <v>402</v>
      </c>
      <c r="AP508" s="431" t="s">
        <v>4461</v>
      </c>
      <c r="AQ508" s="431" t="s">
        <v>161</v>
      </c>
      <c r="AR508" s="431" t="s">
        <v>4462</v>
      </c>
      <c r="AS508" s="431" t="s">
        <v>4463</v>
      </c>
      <c r="AT508" s="482" t="s">
        <v>4464</v>
      </c>
      <c r="AU50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V508" s="441"/>
      <c r="AW508" s="441" cm="1">
        <f t="array" ref="AW50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46212</v>
      </c>
      <c r="AX50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08" s="441">
        <f>IF(ISERROR(PV_DATA[[#This Row],[New Ark PO status]]),"",_xlfn.XLOOKUP(PV_DATA[[#This Row],[SPTN-PVHK New Ark PO'#]],New_Ark_Data[Purchase order Number],New_Ark_Data[Estimated time of arrival],"",0))</f>
        <v>46239</v>
      </c>
      <c r="AZ508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08" s="441">
        <f>IFERROR(PV_DATA[[#This Row],[ODP ETA Port]]+PV_DATA[[#This Row],[Customs/Leg3 Assumption]],"n/a")</f>
        <v>46219</v>
      </c>
      <c r="BB508" s="442">
        <f>YEAR(PV_DATA[[#This Row],[ETA for New Ark update]])</f>
        <v>2026</v>
      </c>
      <c r="BC508" s="431">
        <f>MONTH(PV_DATA[[#This Row],[ETA for New Ark update]])</f>
        <v>7</v>
      </c>
      <c r="BD508" s="431">
        <f>IFERROR(_xlfn.ISOWEEKNUM(PV_DATA[[#This Row],[ETA for New Ark update]]),0)</f>
        <v>29</v>
      </c>
      <c r="BE508" s="431">
        <f>_xlfn.XLOOKUP(PV_DATA[[#This Row],[New Ark SKU]],Table9[New Ark SKU],Table9[Total PCS per Pallet],,0)</f>
        <v>33</v>
      </c>
      <c r="BF508" s="431">
        <f>_xlfn.XLOOKUP(PV_DATA[[#This Row],[New Ark SKU]],Table9[New Ark SKU],Table9[Total PCS per 40HQ Container],,0)</f>
        <v>594</v>
      </c>
      <c r="BG508" s="431" t="str">
        <f>_xlfn.XLOOKUP(PV_DATA[[#This Row],[New Ark SKU]],Table9[New Ark SKU],Table9[Back Glass],,0)</f>
        <v>Transparent</v>
      </c>
      <c r="BH508" s="431" t="str">
        <f>_xlfn.XLOOKUP(PV_DATA[[#This Row],[PORT DESTINATION]],Table12[PORT DESTINATION],Table12[Cosco Line],,0)</f>
        <v>AEU</v>
      </c>
    </row>
    <row r="509" spans="1:60" s="431" customFormat="1" ht="10.5" hidden="1">
      <c r="A509" s="439" t="s">
        <v>4467</v>
      </c>
      <c r="B509" s="439" t="s">
        <v>111</v>
      </c>
      <c r="C509" s="721" t="str">
        <f>IFERROR(LEFT(PV_DATA[[#This Row],[TCL REFERENCE]],FIND(".",PV_DATA[[#This Row],[TCL REFERENCE]],1)-1),"Main Line")</f>
        <v>26Apr002</v>
      </c>
      <c r="D509" s="721" t="s">
        <v>113</v>
      </c>
      <c r="E509" s="439" t="s">
        <v>64</v>
      </c>
      <c r="F509" s="462" cm="1">
        <f t="array" ref="F509">_xlfn.IFS(PV_DATA[[#This Row],[New Ark PO Type]]="n/a","n/a",PV_DATA[[#This Row],[New Ark PO Type]]="Offshore","SPTN Offstore in Transit WH",TRUE,_xlfn.XLOOKUP(PV_DATA[[#This Row],[PORT DESTINATION]],LT_REF[PORT DESTINATION],LT_REF[New Ark WH],,0))</f>
        <v>0</v>
      </c>
      <c r="G509" s="721" t="s">
        <v>402</v>
      </c>
      <c r="H509" s="721" t="s">
        <v>451</v>
      </c>
      <c r="I509" s="721" t="s">
        <v>822</v>
      </c>
      <c r="J509" s="475" t="s">
        <v>2298</v>
      </c>
      <c r="K509" s="475"/>
      <c r="L509" s="475"/>
      <c r="M509" s="475" t="s">
        <v>68</v>
      </c>
      <c r="N509" s="476">
        <v>46132</v>
      </c>
      <c r="O509" s="475" t="s">
        <v>70</v>
      </c>
      <c r="P509" s="431" t="s">
        <v>2299</v>
      </c>
      <c r="Q509" s="431" t="s">
        <v>1682</v>
      </c>
      <c r="R509" s="431" t="str">
        <f>_xlfn.XLOOKUP(PV_DATA[[#This Row],[New Ark SKU]],Table9[New Ark SKU],Table9[Connector],,0)</f>
        <v>EVO2A</v>
      </c>
      <c r="S509" s="442" t="str">
        <f>_xlfn.XLOOKUP(PV_DATA[[#This Row],[New Ark SKU]],Table9[New Ark SKU],Table9[Cable],,0)</f>
        <v>+400mm/-200mm</v>
      </c>
      <c r="T509" s="442">
        <v>730</v>
      </c>
      <c r="U509" s="1067">
        <v>1782</v>
      </c>
      <c r="V509" s="448">
        <f>PV_DATA[[#This Row],[QUANTITY]]*PV_DATA[[#This Row],[WATT]]/1000000</f>
        <v>1.3008599999999999</v>
      </c>
      <c r="W509" s="466">
        <f>PV_DATA[[#This Row],[QUANTITY]]/PV_DATA[[#This Row],[Qty/Pallet]]</f>
        <v>54</v>
      </c>
      <c r="X509" s="1019">
        <f>PV_DATA[[#This Row],[QUANTITY]]/PV_DATA[[#This Row],[Qty/CT]]</f>
        <v>3</v>
      </c>
      <c r="Y509" s="431" t="s">
        <v>951</v>
      </c>
      <c r="Z509" s="430" t="str">
        <f t="shared" si="5"/>
        <v>COMPLETED</v>
      </c>
      <c r="AA509" s="439" t="s">
        <v>2416</v>
      </c>
      <c r="AB509" s="441">
        <v>46152</v>
      </c>
      <c r="AC509" s="445">
        <f>IF(PV_DATA[[#This Row],[Pick-Up Date]]&lt;&gt;"",_xlfn.ISOWEEKNUM(PV_DATA[[#This Row],[Pick-Up Date]]),"")</f>
        <v>19</v>
      </c>
      <c r="AD509" s="431" t="s">
        <v>4468</v>
      </c>
      <c r="AE509" s="475"/>
      <c r="AF509" s="431" t="s">
        <v>122</v>
      </c>
      <c r="AG509" s="431" t="s">
        <v>123</v>
      </c>
      <c r="AH509" s="431" t="s">
        <v>2301</v>
      </c>
      <c r="AI509" s="441">
        <v>46155</v>
      </c>
      <c r="AJ509" s="441">
        <v>46155</v>
      </c>
      <c r="AK509" s="441">
        <v>46155</v>
      </c>
      <c r="AL509" s="441">
        <v>46208</v>
      </c>
      <c r="AM509" s="441">
        <v>46212</v>
      </c>
      <c r="AN509" s="441">
        <v>46212</v>
      </c>
      <c r="AO509" s="431" t="s">
        <v>402</v>
      </c>
      <c r="AP509" s="431" t="s">
        <v>4461</v>
      </c>
      <c r="AQ509" s="431" t="s">
        <v>161</v>
      </c>
      <c r="AR509" s="431" t="s">
        <v>4469</v>
      </c>
      <c r="AS509" s="431" t="s">
        <v>4470</v>
      </c>
      <c r="AT509" s="482" t="s">
        <v>4471</v>
      </c>
      <c r="AU50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</v>
      </c>
      <c r="AV509" s="441"/>
      <c r="AW509" s="441" cm="1">
        <f t="array" ref="AW50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46212</v>
      </c>
      <c r="AX50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09" s="441">
        <f>IF(ISERROR(PV_DATA[[#This Row],[New Ark PO status]]),"",_xlfn.XLOOKUP(PV_DATA[[#This Row],[SPTN-PVHK New Ark PO'#]],New_Ark_Data[Purchase order Number],New_Ark_Data[Estimated time of arrival],"",0))</f>
        <v>46239</v>
      </c>
      <c r="AZ509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09" s="441">
        <f>IFERROR(PV_DATA[[#This Row],[ODP ETA Port]]+PV_DATA[[#This Row],[Customs/Leg3 Assumption]],"n/a")</f>
        <v>46219</v>
      </c>
      <c r="BB509" s="442">
        <f>YEAR(PV_DATA[[#This Row],[ETA for New Ark update]])</f>
        <v>2026</v>
      </c>
      <c r="BC509" s="431">
        <f>MONTH(PV_DATA[[#This Row],[ETA for New Ark update]])</f>
        <v>7</v>
      </c>
      <c r="BD509" s="431">
        <f>IFERROR(_xlfn.ISOWEEKNUM(PV_DATA[[#This Row],[ETA for New Ark update]]),0)</f>
        <v>29</v>
      </c>
      <c r="BE509" s="431">
        <f>_xlfn.XLOOKUP(PV_DATA[[#This Row],[New Ark SKU]],Table9[New Ark SKU],Table9[Total PCS per Pallet],,0)</f>
        <v>33</v>
      </c>
      <c r="BF509" s="431">
        <f>_xlfn.XLOOKUP(PV_DATA[[#This Row],[New Ark SKU]],Table9[New Ark SKU],Table9[Total PCS per 40HQ Container],,0)</f>
        <v>594</v>
      </c>
      <c r="BG509" s="431" t="str">
        <f>_xlfn.XLOOKUP(PV_DATA[[#This Row],[New Ark SKU]],Table9[New Ark SKU],Table9[Back Glass],,0)</f>
        <v>Transparent</v>
      </c>
      <c r="BH509" s="431" t="str">
        <f>_xlfn.XLOOKUP(PV_DATA[[#This Row],[PORT DESTINATION]],Table12[PORT DESTINATION],Table12[Cosco Line],,0)</f>
        <v>AEU</v>
      </c>
    </row>
    <row r="510" spans="1:60" s="431" customFormat="1" ht="10.5" hidden="1">
      <c r="A510" s="439" t="s">
        <v>4472</v>
      </c>
      <c r="B510" s="439" t="s">
        <v>111</v>
      </c>
      <c r="C510" s="721" t="str">
        <f>IFERROR(LEFT(PV_DATA[[#This Row],[TCL REFERENCE]],FIND(".",PV_DATA[[#This Row],[TCL REFERENCE]],1)-1),"Main Line")</f>
        <v>26Apr010</v>
      </c>
      <c r="D510" s="721" t="s">
        <v>63</v>
      </c>
      <c r="E510" s="439" t="s">
        <v>64</v>
      </c>
      <c r="F510" s="462" t="str" cm="1">
        <f t="array" ref="F51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510" s="721" t="s">
        <v>402</v>
      </c>
      <c r="H510" s="721" t="s">
        <v>451</v>
      </c>
      <c r="I510" s="721" t="s">
        <v>689</v>
      </c>
      <c r="J510" s="475" t="s">
        <v>96</v>
      </c>
      <c r="K510" s="475"/>
      <c r="L510" s="475"/>
      <c r="M510" s="475" t="s">
        <v>68</v>
      </c>
      <c r="N510" s="476">
        <v>46146</v>
      </c>
      <c r="O510" s="475" t="s">
        <v>132</v>
      </c>
      <c r="P510" s="431" t="s">
        <v>1062</v>
      </c>
      <c r="Q510" s="431" t="s">
        <v>1063</v>
      </c>
      <c r="R510" s="431" t="str">
        <f>_xlfn.XLOOKUP(PV_DATA[[#This Row],[New Ark SKU]],Table9[New Ark SKU],Table9[Connector],,0)</f>
        <v>EVO2A</v>
      </c>
      <c r="S510" s="442" t="str">
        <f>_xlfn.XLOOKUP(PV_DATA[[#This Row],[New Ark SKU]],Table9[New Ark SKU],Table9[Cable],,0)</f>
        <v>±1200mm</v>
      </c>
      <c r="T510" s="442">
        <v>470</v>
      </c>
      <c r="U510" s="1067">
        <f>864*3</f>
        <v>2592</v>
      </c>
      <c r="V510" s="444">
        <f>PV_DATA[[#This Row],[QUANTITY]]*PV_DATA[[#This Row],[WATT]]/1000000</f>
        <v>1.21824</v>
      </c>
      <c r="W510" s="466">
        <f>PV_DATA[[#This Row],[QUANTITY]]/PV_DATA[[#This Row],[Qty/Pallet]]</f>
        <v>72</v>
      </c>
      <c r="X510" s="1019">
        <f>PV_DATA[[#This Row],[QUANTITY]]/PV_DATA[[#This Row],[Qty/CT]]</f>
        <v>3</v>
      </c>
      <c r="Y510" s="431" t="s">
        <v>951</v>
      </c>
      <c r="Z510" s="430" t="str">
        <f t="shared" si="5"/>
        <v>COMPLETED</v>
      </c>
      <c r="AA510" s="431" t="s">
        <v>2428</v>
      </c>
      <c r="AB510" s="441">
        <v>46153</v>
      </c>
      <c r="AC510" s="467">
        <f>IF(PV_DATA[[#This Row],[Pick-Up Date]]&lt;&gt;"",_xlfn.ISOWEEKNUM(PV_DATA[[#This Row],[Pick-Up Date]]),"")</f>
        <v>20</v>
      </c>
      <c r="AD510" s="431" t="s">
        <v>4473</v>
      </c>
      <c r="AE510" s="475"/>
      <c r="AF510" s="431" t="s">
        <v>123</v>
      </c>
      <c r="AG510" s="431" t="s">
        <v>123</v>
      </c>
      <c r="AH510" s="431" t="s">
        <v>456</v>
      </c>
      <c r="AI510" s="441">
        <v>46160</v>
      </c>
      <c r="AJ510" s="441">
        <v>46159</v>
      </c>
      <c r="AK510" s="441">
        <v>46159</v>
      </c>
      <c r="AL510" s="441">
        <v>46201</v>
      </c>
      <c r="AM510" s="441"/>
      <c r="AN510" s="441">
        <v>46200</v>
      </c>
      <c r="AO510" s="431" t="s">
        <v>402</v>
      </c>
      <c r="AP510" s="431" t="s">
        <v>4474</v>
      </c>
      <c r="AQ510" s="431" t="s">
        <v>80</v>
      </c>
      <c r="AR510" s="431" t="s">
        <v>4475</v>
      </c>
      <c r="AS510" s="431" t="s">
        <v>4476</v>
      </c>
      <c r="AT510" s="482" t="s">
        <v>4476</v>
      </c>
      <c r="AU51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V510" s="441"/>
      <c r="AW510" s="441" cm="1">
        <f t="array" ref="AW51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46200</v>
      </c>
      <c r="AX51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10" s="441">
        <f>IF(ISERROR(PV_DATA[[#This Row],[New Ark PO status]]),"",_xlfn.XLOOKUP(PV_DATA[[#This Row],[SPTN-PVHK New Ark PO'#]],New_Ark_Data[Purchase order Number],New_Ark_Data[Estimated time of arrival],"",0))</f>
        <v>46216</v>
      </c>
      <c r="AZ510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10" s="441">
        <f>IFERROR(PV_DATA[[#This Row],[ODP ETA Port]]+PV_DATA[[#This Row],[Customs/Leg3 Assumption]],"n/a")</f>
        <v>46207</v>
      </c>
      <c r="BB510" s="442">
        <f>YEAR(PV_DATA[[#This Row],[ETA for New Ark update]])</f>
        <v>2026</v>
      </c>
      <c r="BC510" s="431">
        <f>MONTH(PV_DATA[[#This Row],[ETA for New Ark update]])</f>
        <v>7</v>
      </c>
      <c r="BD510" s="431">
        <f>IFERROR(_xlfn.ISOWEEKNUM(PV_DATA[[#This Row],[ETA for New Ark update]]),0)</f>
        <v>27</v>
      </c>
      <c r="BE510" s="431">
        <f>_xlfn.XLOOKUP(PV_DATA[[#This Row],[New Ark SKU]],Table9[New Ark SKU],Table9[Total PCS per Pallet],,0)</f>
        <v>36</v>
      </c>
      <c r="BF510" s="431">
        <f>_xlfn.XLOOKUP(PV_DATA[[#This Row],[New Ark SKU]],Table9[New Ark SKU],Table9[Total PCS per 40HQ Container],,0)</f>
        <v>864</v>
      </c>
      <c r="BG510" s="431" t="str">
        <f>_xlfn.XLOOKUP(PV_DATA[[#This Row],[New Ark SKU]],Table9[New Ark SKU],Table9[Back Glass],,0)</f>
        <v>White glazing</v>
      </c>
      <c r="BH510" s="431" t="str">
        <f>_xlfn.XLOOKUP(PV_DATA[[#This Row],[PORT DESTINATION]],Table12[PORT DESTINATION],Table12[Cosco Line],,0)</f>
        <v>AEU</v>
      </c>
    </row>
    <row r="511" spans="1:60" s="431" customFormat="1" ht="10.5" hidden="1">
      <c r="A511" s="439" t="s">
        <v>4477</v>
      </c>
      <c r="B511" s="439" t="s">
        <v>61</v>
      </c>
      <c r="C511" s="721" t="str">
        <f>IFERROR(LEFT(PV_DATA[[#This Row],[TCL REFERENCE]],FIND(".",PV_DATA[[#This Row],[TCL REFERENCE]],1)-1),"Main Line")</f>
        <v>26May002</v>
      </c>
      <c r="D511" s="721" t="s">
        <v>63</v>
      </c>
      <c r="E511" s="439" t="s">
        <v>64</v>
      </c>
      <c r="F511" s="462" t="str" cm="1">
        <f t="array" ref="F51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511" s="721" t="s">
        <v>402</v>
      </c>
      <c r="H511" s="721" t="s">
        <v>451</v>
      </c>
      <c r="I511" s="721" t="s">
        <v>1395</v>
      </c>
      <c r="J511" s="475" t="s">
        <v>96</v>
      </c>
      <c r="K511" s="475"/>
      <c r="L511" s="475"/>
      <c r="M511" s="475" t="s">
        <v>68</v>
      </c>
      <c r="N511" s="476">
        <v>46139</v>
      </c>
      <c r="O511" s="475" t="s">
        <v>550</v>
      </c>
      <c r="P511" s="431" t="s">
        <v>2134</v>
      </c>
      <c r="Q511" s="431" t="s">
        <v>2135</v>
      </c>
      <c r="R511" s="431" t="str">
        <f>_xlfn.XLOOKUP(PV_DATA[[#This Row],[New Ark SKU]],Table9[New Ark SKU],Table9[Connector],,0)</f>
        <v>EVO2A</v>
      </c>
      <c r="S511" s="442" t="str">
        <f>_xlfn.XLOOKUP(PV_DATA[[#This Row],[New Ark SKU]],Table9[New Ark SKU],Table9[Cable],,0)</f>
        <v>±1350mm</v>
      </c>
      <c r="T511" s="442">
        <v>515</v>
      </c>
      <c r="U511" s="1067">
        <f>792*2</f>
        <v>1584</v>
      </c>
      <c r="V511" s="434">
        <f>PV_DATA[[#This Row],[QUANTITY]]*PV_DATA[[#This Row],[WATT]]/1000000</f>
        <v>0.81576000000000004</v>
      </c>
      <c r="W511" s="466">
        <f>PV_DATA[[#This Row],[QUANTITY]]/PV_DATA[[#This Row],[Qty/Pallet]]</f>
        <v>44</v>
      </c>
      <c r="X511" s="1019">
        <f>PV_DATA[[#This Row],[QUANTITY]]/PV_DATA[[#This Row],[Qty/CT]]</f>
        <v>2</v>
      </c>
      <c r="Y511" s="431" t="s">
        <v>951</v>
      </c>
      <c r="Z511" s="430" t="str">
        <f t="shared" si="5"/>
        <v>COMPLETED</v>
      </c>
      <c r="AA511" s="474" t="s">
        <v>2416</v>
      </c>
      <c r="AB511" s="441">
        <v>46153</v>
      </c>
      <c r="AC511" s="467">
        <f>IF(PV_DATA[[#This Row],[Pick-Up Date]]&lt;&gt;"",_xlfn.ISOWEEKNUM(PV_DATA[[#This Row],[Pick-Up Date]]),"")</f>
        <v>20</v>
      </c>
      <c r="AD511" s="431" t="s">
        <v>4478</v>
      </c>
      <c r="AE511" s="475"/>
      <c r="AF511" s="431" t="s">
        <v>122</v>
      </c>
      <c r="AG511" s="431" t="s">
        <v>123</v>
      </c>
      <c r="AH511" s="431" t="s">
        <v>456</v>
      </c>
      <c r="AI511" s="441">
        <v>46158</v>
      </c>
      <c r="AJ511" s="441">
        <v>46159</v>
      </c>
      <c r="AK511" s="441">
        <v>46159</v>
      </c>
      <c r="AL511" s="437">
        <v>46199</v>
      </c>
      <c r="AM511" s="441"/>
      <c r="AN511" s="441">
        <v>46202</v>
      </c>
      <c r="AO511" s="431" t="s">
        <v>402</v>
      </c>
      <c r="AP511" s="431" t="s">
        <v>4479</v>
      </c>
      <c r="AQ511" s="431" t="s">
        <v>80</v>
      </c>
      <c r="AR511" s="431" t="s">
        <v>4480</v>
      </c>
      <c r="AS511" s="431" t="s">
        <v>4481</v>
      </c>
      <c r="AT511" s="482" t="s">
        <v>4481</v>
      </c>
      <c r="AU51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</v>
      </c>
      <c r="AV511" s="441"/>
      <c r="AW511" s="441" cm="1">
        <f t="array" ref="AW51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46202</v>
      </c>
      <c r="AX51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11" s="441">
        <f>IF(ISERROR(PV_DATA[[#This Row],[New Ark PO status]]),"",_xlfn.XLOOKUP(PV_DATA[[#This Row],[SPTN-PVHK New Ark PO'#]],New_Ark_Data[Purchase order Number],New_Ark_Data[Estimated time of arrival],"",0))</f>
        <v>46217</v>
      </c>
      <c r="AZ511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11" s="441">
        <f>IFERROR(PV_DATA[[#This Row],[ODP ETA Port]]+PV_DATA[[#This Row],[Customs/Leg3 Assumption]],"n/a")</f>
        <v>46209</v>
      </c>
      <c r="BB511" s="442">
        <f>YEAR(PV_DATA[[#This Row],[ETA for New Ark update]])</f>
        <v>2026</v>
      </c>
      <c r="BC511" s="431">
        <f>MONTH(PV_DATA[[#This Row],[ETA for New Ark update]])</f>
        <v>7</v>
      </c>
      <c r="BD511" s="431">
        <f>IFERROR(_xlfn.ISOWEEKNUM(PV_DATA[[#This Row],[ETA for New Ark update]]),0)</f>
        <v>28</v>
      </c>
      <c r="BE511" s="431">
        <f>_xlfn.XLOOKUP(PV_DATA[[#This Row],[New Ark SKU]],Table9[New Ark SKU],Table9[Total PCS per Pallet],,0)</f>
        <v>36</v>
      </c>
      <c r="BF511" s="431">
        <f>_xlfn.XLOOKUP(PV_DATA[[#This Row],[New Ark SKU]],Table9[New Ark SKU],Table9[Total PCS per 40HQ Container],,0)</f>
        <v>792</v>
      </c>
      <c r="BG511" s="431" t="str">
        <f>_xlfn.XLOOKUP(PV_DATA[[#This Row],[New Ark SKU]],Table9[New Ark SKU],Table9[Back Glass],,0)</f>
        <v>Black glazing</v>
      </c>
      <c r="BH511" s="431" t="str">
        <f>_xlfn.XLOOKUP(PV_DATA[[#This Row],[PORT DESTINATION]],Table12[PORT DESTINATION],Table12[Cosco Line],,0)</f>
        <v>AEU</v>
      </c>
    </row>
    <row r="512" spans="1:60" s="431" customFormat="1" ht="12.75" hidden="1" customHeight="1">
      <c r="A512" s="439" t="s">
        <v>4482</v>
      </c>
      <c r="B512" s="439" t="s">
        <v>2132</v>
      </c>
      <c r="C512" s="721" t="str">
        <f>IFERROR(LEFT(PV_DATA[[#This Row],[TCL REFERENCE]],FIND(".",PV_DATA[[#This Row],[TCL REFERENCE]],1)-1),"Main Line")</f>
        <v>26Apr008</v>
      </c>
      <c r="D512" s="721" t="s">
        <v>63</v>
      </c>
      <c r="E512" s="439" t="s">
        <v>64</v>
      </c>
      <c r="F512" s="462" t="str" cm="1">
        <f t="array" ref="F51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512" s="721" t="s">
        <v>402</v>
      </c>
      <c r="H512" s="721" t="s">
        <v>67</v>
      </c>
      <c r="I512" s="721" t="s">
        <v>689</v>
      </c>
      <c r="J512" s="475" t="s">
        <v>96</v>
      </c>
      <c r="K512" s="475"/>
      <c r="L512" s="475"/>
      <c r="M512" s="475" t="s">
        <v>68</v>
      </c>
      <c r="N512" s="476">
        <v>46146</v>
      </c>
      <c r="O512" s="475" t="s">
        <v>170</v>
      </c>
      <c r="P512" s="431" t="s">
        <v>1977</v>
      </c>
      <c r="Q512" s="431" t="s">
        <v>1978</v>
      </c>
      <c r="R512" s="431" t="str">
        <f>_xlfn.XLOOKUP(PV_DATA[[#This Row],[New Ark SKU]],Table9[New Ark SKU],Table9[Connector],,0)</f>
        <v>EVO2A</v>
      </c>
      <c r="S512" s="442" t="str">
        <f>_xlfn.XLOOKUP(PV_DATA[[#This Row],[New Ark SKU]],Table9[New Ark SKU],Table9[Cable],,0)</f>
        <v>±1400mm</v>
      </c>
      <c r="T512" s="442">
        <v>560</v>
      </c>
      <c r="U512" s="1067">
        <f>660*3</f>
        <v>1980</v>
      </c>
      <c r="V512" s="448">
        <f>PV_DATA[[#This Row],[QUANTITY]]*PV_DATA[[#This Row],[WATT]]/1000000</f>
        <v>1.1088</v>
      </c>
      <c r="W512" s="466">
        <f>PV_DATA[[#This Row],[QUANTITY]]/PV_DATA[[#This Row],[Qty/Pallet]]</f>
        <v>60</v>
      </c>
      <c r="X512" s="1019">
        <f>PV_DATA[[#This Row],[QUANTITY]]/PV_DATA[[#This Row],[Qty/CT]]</f>
        <v>3</v>
      </c>
      <c r="Y512" s="431" t="s">
        <v>951</v>
      </c>
      <c r="Z512" s="430" t="str">
        <f t="shared" si="5"/>
        <v>COMPLETED</v>
      </c>
      <c r="AA512" s="439" t="s">
        <v>4483</v>
      </c>
      <c r="AB512" s="441">
        <v>46156</v>
      </c>
      <c r="AC512" s="467">
        <f>IF(PV_DATA[[#This Row],[Pick-Up Date]]&lt;&gt;"",_xlfn.ISOWEEKNUM(PV_DATA[[#This Row],[Pick-Up Date]]),"")</f>
        <v>20</v>
      </c>
      <c r="AD512" s="431" t="s">
        <v>4484</v>
      </c>
      <c r="AE512" s="475"/>
      <c r="AF512" s="431" t="s">
        <v>123</v>
      </c>
      <c r="AG512" s="431" t="s">
        <v>123</v>
      </c>
      <c r="AH512" s="431" t="s">
        <v>105</v>
      </c>
      <c r="AI512" s="441">
        <v>46161</v>
      </c>
      <c r="AJ512" s="441">
        <v>46163</v>
      </c>
      <c r="AK512" s="441">
        <v>46163</v>
      </c>
      <c r="AL512" s="441">
        <v>46196</v>
      </c>
      <c r="AM512" s="441"/>
      <c r="AN512" s="441">
        <v>46203</v>
      </c>
      <c r="AO512" s="431" t="s">
        <v>402</v>
      </c>
      <c r="AP512" s="431" t="s">
        <v>2449</v>
      </c>
      <c r="AQ512" s="431" t="s">
        <v>80</v>
      </c>
      <c r="AR512" s="431" t="s">
        <v>4485</v>
      </c>
      <c r="AS512" s="431" t="s">
        <v>4486</v>
      </c>
      <c r="AT512" s="482" t="s">
        <v>4486</v>
      </c>
      <c r="AU51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V512" s="441"/>
      <c r="AW512" s="441" cm="1">
        <f t="array" ref="AW51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46203</v>
      </c>
      <c r="AX51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12" s="441">
        <f>IF(ISERROR(PV_DATA[[#This Row],[New Ark PO status]]),"",_xlfn.XLOOKUP(PV_DATA[[#This Row],[SPTN-PVHK New Ark PO'#]],New_Ark_Data[Purchase order Number],New_Ark_Data[Estimated time of arrival],"",0))</f>
        <v>46217</v>
      </c>
      <c r="AZ51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12" s="441">
        <f>IFERROR(PV_DATA[[#This Row],[ODP ETA Port]]+PV_DATA[[#This Row],[Customs/Leg3 Assumption]],"n/a")</f>
        <v>46210</v>
      </c>
      <c r="BB512" s="442">
        <f>YEAR(PV_DATA[[#This Row],[ETA for New Ark update]])</f>
        <v>2026</v>
      </c>
      <c r="BC512" s="431">
        <f>MONTH(PV_DATA[[#This Row],[ETA for New Ark update]])</f>
        <v>7</v>
      </c>
      <c r="BD512" s="431">
        <f>IFERROR(_xlfn.ISOWEEKNUM(PV_DATA[[#This Row],[ETA for New Ark update]]),0)</f>
        <v>28</v>
      </c>
      <c r="BE512" s="431">
        <f>_xlfn.XLOOKUP(PV_DATA[[#This Row],[New Ark SKU]],Table9[New Ark SKU],Table9[Total PCS per Pallet],,0)</f>
        <v>33</v>
      </c>
      <c r="BF512" s="431">
        <f>_xlfn.XLOOKUP(PV_DATA[[#This Row],[New Ark SKU]],Table9[New Ark SKU],Table9[Total PCS per 40HQ Container],,0)</f>
        <v>660</v>
      </c>
      <c r="BG512" s="431" t="str">
        <f>_xlfn.XLOOKUP(PV_DATA[[#This Row],[New Ark SKU]],Table9[New Ark SKU],Table9[Back Glass],,0)</f>
        <v>White glazing</v>
      </c>
      <c r="BH512" s="431" t="str">
        <f>_xlfn.XLOOKUP(PV_DATA[[#This Row],[PORT DESTINATION]],Table12[PORT DESTINATION],Table12[Cosco Line],,0)</f>
        <v>AEU</v>
      </c>
    </row>
    <row r="513" spans="1:60" s="431" customFormat="1" ht="10.5" hidden="1">
      <c r="A513" s="439" t="s">
        <v>4487</v>
      </c>
      <c r="B513" s="439" t="s">
        <v>111</v>
      </c>
      <c r="C513" s="721" t="str">
        <f>IFERROR(LEFT(PV_DATA[[#This Row],[TCL REFERENCE]],FIND(".",PV_DATA[[#This Row],[TCL REFERENCE]],1)-1),"Main Line")</f>
        <v>26May006</v>
      </c>
      <c r="D513" s="721" t="s">
        <v>63</v>
      </c>
      <c r="E513" s="722" t="s">
        <v>64</v>
      </c>
      <c r="F513" s="462" t="str" cm="1">
        <f t="array" ref="F51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513" s="721" t="s">
        <v>402</v>
      </c>
      <c r="H513" s="721" t="s">
        <v>67</v>
      </c>
      <c r="I513" s="721" t="s">
        <v>689</v>
      </c>
      <c r="J513" s="475" t="s">
        <v>96</v>
      </c>
      <c r="K513" s="475"/>
      <c r="L513" s="475"/>
      <c r="M513" s="475" t="s">
        <v>68</v>
      </c>
      <c r="N513" s="476">
        <v>46160</v>
      </c>
      <c r="O513" s="475" t="s">
        <v>132</v>
      </c>
      <c r="P513" s="431" t="s">
        <v>1062</v>
      </c>
      <c r="Q513" s="431" t="s">
        <v>1063</v>
      </c>
      <c r="R513" s="431" t="str">
        <f>_xlfn.XLOOKUP(PV_DATA[[#This Row],[New Ark SKU]],Table9[New Ark SKU],Table9[Connector],,0)</f>
        <v>EVO2A</v>
      </c>
      <c r="S513" s="442" t="str">
        <f>_xlfn.XLOOKUP(PV_DATA[[#This Row],[New Ark SKU]],Table9[New Ark SKU],Table9[Cable],,0)</f>
        <v>±1200mm</v>
      </c>
      <c r="T513" s="442">
        <v>470</v>
      </c>
      <c r="U513" s="1067">
        <f>864*5</f>
        <v>4320</v>
      </c>
      <c r="V513" s="448">
        <f>PV_DATA[[#This Row],[QUANTITY]]*PV_DATA[[#This Row],[WATT]]/1000000</f>
        <v>2.0304000000000002</v>
      </c>
      <c r="W513" s="466">
        <f>PV_DATA[[#This Row],[QUANTITY]]/PV_DATA[[#This Row],[Qty/Pallet]]</f>
        <v>120</v>
      </c>
      <c r="X513" s="1019">
        <f>PV_DATA[[#This Row],[QUANTITY]]/PV_DATA[[#This Row],[Qty/CT]]</f>
        <v>5</v>
      </c>
      <c r="Y513" s="431" t="s">
        <v>951</v>
      </c>
      <c r="Z513" s="430" t="str">
        <f t="shared" si="5"/>
        <v>COMPLETED</v>
      </c>
      <c r="AB513" s="441">
        <v>46156</v>
      </c>
      <c r="AC513" s="467">
        <f>IF(PV_DATA[[#This Row],[Pick-Up Date]]&lt;&gt;"",_xlfn.ISOWEEKNUM(PV_DATA[[#This Row],[Pick-Up Date]]),"")</f>
        <v>20</v>
      </c>
      <c r="AD513" s="431" t="s">
        <v>4488</v>
      </c>
      <c r="AE513" s="475"/>
      <c r="AF513" s="431" t="s">
        <v>123</v>
      </c>
      <c r="AG513" s="431" t="s">
        <v>123</v>
      </c>
      <c r="AH513" s="431" t="s">
        <v>105</v>
      </c>
      <c r="AI513" s="441">
        <v>46161</v>
      </c>
      <c r="AJ513" s="441">
        <v>46163</v>
      </c>
      <c r="AK513" s="441">
        <v>46163</v>
      </c>
      <c r="AL513" s="441">
        <v>46196</v>
      </c>
      <c r="AM513" s="441"/>
      <c r="AN513" s="441">
        <v>46203</v>
      </c>
      <c r="AP513" s="431" t="s">
        <v>2449</v>
      </c>
      <c r="AQ513" s="431" t="s">
        <v>80</v>
      </c>
      <c r="AR513" s="431" t="s">
        <v>4485</v>
      </c>
      <c r="AS513" s="431" t="s">
        <v>4486</v>
      </c>
      <c r="AT513" s="482" t="s">
        <v>4486</v>
      </c>
      <c r="AU51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V513" s="441"/>
      <c r="AW513" s="441" cm="1">
        <f t="array" ref="AW51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46203</v>
      </c>
      <c r="AX51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13" s="441">
        <f>IF(ISERROR(PV_DATA[[#This Row],[New Ark PO status]]),"",_xlfn.XLOOKUP(PV_DATA[[#This Row],[SPTN-PVHK New Ark PO'#]],New_Ark_Data[Purchase order Number],New_Ark_Data[Estimated time of arrival],"",0))</f>
        <v>46217</v>
      </c>
      <c r="AZ51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13" s="441">
        <f>IFERROR(PV_DATA[[#This Row],[ODP ETA Port]]+PV_DATA[[#This Row],[Customs/Leg3 Assumption]],"n/a")</f>
        <v>46210</v>
      </c>
      <c r="BB513" s="442">
        <f>YEAR(PV_DATA[[#This Row],[ETA for New Ark update]])</f>
        <v>2026</v>
      </c>
      <c r="BC513" s="431">
        <f>MONTH(PV_DATA[[#This Row],[ETA for New Ark update]])</f>
        <v>7</v>
      </c>
      <c r="BD513" s="431">
        <f>IFERROR(_xlfn.ISOWEEKNUM(PV_DATA[[#This Row],[ETA for New Ark update]]),0)</f>
        <v>28</v>
      </c>
      <c r="BE513" s="431">
        <f>_xlfn.XLOOKUP(PV_DATA[[#This Row],[New Ark SKU]],Table9[New Ark SKU],Table9[Total PCS per Pallet],,0)</f>
        <v>36</v>
      </c>
      <c r="BF513" s="431">
        <f>_xlfn.XLOOKUP(PV_DATA[[#This Row],[New Ark SKU]],Table9[New Ark SKU],Table9[Total PCS per 40HQ Container],,0)</f>
        <v>864</v>
      </c>
      <c r="BG513" s="431" t="str">
        <f>_xlfn.XLOOKUP(PV_DATA[[#This Row],[New Ark SKU]],Table9[New Ark SKU],Table9[Back Glass],,0)</f>
        <v>White glazing</v>
      </c>
      <c r="BH513" s="431" t="str">
        <f>_xlfn.XLOOKUP(PV_DATA[[#This Row],[PORT DESTINATION]],Table12[PORT DESTINATION],Table12[Cosco Line],,0)</f>
        <v>AEU</v>
      </c>
    </row>
    <row r="514" spans="1:60" s="431" customFormat="1" ht="15.75" hidden="1" customHeight="1">
      <c r="A514" s="439" t="s">
        <v>4489</v>
      </c>
      <c r="B514" s="439" t="s">
        <v>111</v>
      </c>
      <c r="C514" s="721" t="str">
        <f>IFERROR(LEFT(PV_DATA[[#This Row],[TCL REFERENCE]],FIND(".",PV_DATA[[#This Row],[TCL REFERENCE]],1)-1),"Main Line")</f>
        <v>26Apr010</v>
      </c>
      <c r="D514" s="721" t="s">
        <v>63</v>
      </c>
      <c r="E514" s="439" t="s">
        <v>64</v>
      </c>
      <c r="F514" s="462" t="str" cm="1">
        <f t="array" ref="F51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514" s="721" t="s">
        <v>402</v>
      </c>
      <c r="H514" s="721" t="s">
        <v>67</v>
      </c>
      <c r="I514" s="721" t="s">
        <v>689</v>
      </c>
      <c r="J514" s="475" t="s">
        <v>96</v>
      </c>
      <c r="K514" s="475"/>
      <c r="L514" s="475"/>
      <c r="M514" s="475" t="s">
        <v>68</v>
      </c>
      <c r="N514" s="476">
        <v>46146</v>
      </c>
      <c r="O514" s="475" t="s">
        <v>132</v>
      </c>
      <c r="P514" s="431" t="s">
        <v>1062</v>
      </c>
      <c r="Q514" s="431" t="s">
        <v>1063</v>
      </c>
      <c r="R514" s="431" t="str">
        <f>_xlfn.XLOOKUP(PV_DATA[[#This Row],[New Ark SKU]],Table9[New Ark SKU],Table9[Connector],,0)</f>
        <v>EVO2A</v>
      </c>
      <c r="S514" s="442" t="str">
        <f>_xlfn.XLOOKUP(PV_DATA[[#This Row],[New Ark SKU]],Table9[New Ark SKU],Table9[Cable],,0)</f>
        <v>±1200mm</v>
      </c>
      <c r="T514" s="442">
        <v>470</v>
      </c>
      <c r="U514" s="1067">
        <f>864*6</f>
        <v>5184</v>
      </c>
      <c r="V514" s="448">
        <f>PV_DATA[[#This Row],[QUANTITY]]*PV_DATA[[#This Row],[WATT]]/1000000</f>
        <v>2.43648</v>
      </c>
      <c r="W514" s="466">
        <f>PV_DATA[[#This Row],[QUANTITY]]/PV_DATA[[#This Row],[Qty/Pallet]]</f>
        <v>144</v>
      </c>
      <c r="X514" s="1019">
        <f>PV_DATA[[#This Row],[QUANTITY]]/PV_DATA[[#This Row],[Qty/CT]]</f>
        <v>6</v>
      </c>
      <c r="Y514" s="431" t="s">
        <v>951</v>
      </c>
      <c r="Z514" s="430" t="str">
        <f t="shared" si="5"/>
        <v>COMPLETED</v>
      </c>
      <c r="AA514" s="439" t="s">
        <v>2439</v>
      </c>
      <c r="AB514" s="441">
        <v>46152</v>
      </c>
      <c r="AC514" s="467">
        <f>IF(PV_DATA[[#This Row],[Pick-Up Date]]&lt;&gt;"",_xlfn.ISOWEEKNUM(PV_DATA[[#This Row],[Pick-Up Date]]),"")</f>
        <v>19</v>
      </c>
      <c r="AD514" s="431" t="s">
        <v>4490</v>
      </c>
      <c r="AE514" s="475"/>
      <c r="AF514" s="431" t="s">
        <v>123</v>
      </c>
      <c r="AG514" s="431" t="s">
        <v>123</v>
      </c>
      <c r="AH514" s="431" t="s">
        <v>105</v>
      </c>
      <c r="AI514" s="441">
        <v>46158</v>
      </c>
      <c r="AJ514" s="441">
        <v>46173</v>
      </c>
      <c r="AK514" s="441">
        <v>46173</v>
      </c>
      <c r="AL514" s="441">
        <v>46202</v>
      </c>
      <c r="AM514" s="441">
        <v>46210</v>
      </c>
      <c r="AN514" s="441">
        <v>46211</v>
      </c>
      <c r="AO514" s="431" t="s">
        <v>402</v>
      </c>
      <c r="AP514" s="431" t="s">
        <v>4491</v>
      </c>
      <c r="AQ514" s="431" t="s">
        <v>80</v>
      </c>
      <c r="AR514" s="431" t="s">
        <v>4492</v>
      </c>
      <c r="AS514" s="431" t="s">
        <v>4493</v>
      </c>
      <c r="AT514" s="482" t="s">
        <v>4493</v>
      </c>
      <c r="AU51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</v>
      </c>
      <c r="AV514" s="441"/>
      <c r="AW514" s="441" cm="1">
        <f t="array" ref="AW51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46211</v>
      </c>
      <c r="AX51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14" s="441">
        <f>IF(ISERROR(PV_DATA[[#This Row],[New Ark PO status]]),"",_xlfn.XLOOKUP(PV_DATA[[#This Row],[SPTN-PVHK New Ark PO'#]],New_Ark_Data[Purchase order Number],New_Ark_Data[Estimated time of arrival],"",0))</f>
        <v>46225</v>
      </c>
      <c r="AZ51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14" s="441">
        <f>IFERROR(PV_DATA[[#This Row],[ODP ETA Port]]+PV_DATA[[#This Row],[Customs/Leg3 Assumption]],"n/a")</f>
        <v>46218</v>
      </c>
      <c r="BB514" s="442">
        <f>YEAR(PV_DATA[[#This Row],[ETA for New Ark update]])</f>
        <v>2026</v>
      </c>
      <c r="BC514" s="431">
        <f>MONTH(PV_DATA[[#This Row],[ETA for New Ark update]])</f>
        <v>7</v>
      </c>
      <c r="BD514" s="431">
        <f>IFERROR(_xlfn.ISOWEEKNUM(PV_DATA[[#This Row],[ETA for New Ark update]]),0)</f>
        <v>29</v>
      </c>
      <c r="BE514" s="431">
        <f>_xlfn.XLOOKUP(PV_DATA[[#This Row],[New Ark SKU]],Table9[New Ark SKU],Table9[Total PCS per Pallet],,0)</f>
        <v>36</v>
      </c>
      <c r="BF514" s="431">
        <f>_xlfn.XLOOKUP(PV_DATA[[#This Row],[New Ark SKU]],Table9[New Ark SKU],Table9[Total PCS per 40HQ Container],,0)</f>
        <v>864</v>
      </c>
      <c r="BG514" s="431" t="str">
        <f>_xlfn.XLOOKUP(PV_DATA[[#This Row],[New Ark SKU]],Table9[New Ark SKU],Table9[Back Glass],,0)</f>
        <v>White glazing</v>
      </c>
      <c r="BH514" s="431" t="str">
        <f>_xlfn.XLOOKUP(PV_DATA[[#This Row],[PORT DESTINATION]],Table12[PORT DESTINATION],Table12[Cosco Line],,0)</f>
        <v>AEU</v>
      </c>
    </row>
    <row r="515" spans="1:60" s="431" customFormat="1" ht="14.25" hidden="1" customHeight="1">
      <c r="A515" s="439" t="s">
        <v>4494</v>
      </c>
      <c r="B515" s="439" t="s">
        <v>111</v>
      </c>
      <c r="C515" s="721" t="str">
        <f>IFERROR(LEFT(PV_DATA[[#This Row],[TCL REFERENCE]],FIND(".",PV_DATA[[#This Row],[TCL REFERENCE]],1)-1),"Main Line")</f>
        <v>26May015</v>
      </c>
      <c r="D515" s="721" t="s">
        <v>63</v>
      </c>
      <c r="E515" s="439" t="s">
        <v>64</v>
      </c>
      <c r="F515" s="462" t="str" cm="1">
        <f t="array" ref="F51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515" s="721" t="s">
        <v>402</v>
      </c>
      <c r="H515" s="721" t="s">
        <v>67</v>
      </c>
      <c r="I515" s="721" t="s">
        <v>2004</v>
      </c>
      <c r="J515" s="475" t="s">
        <v>96</v>
      </c>
      <c r="K515" s="475"/>
      <c r="L515" s="475"/>
      <c r="M515" s="475" t="s">
        <v>68</v>
      </c>
      <c r="N515" s="476" t="s">
        <v>68</v>
      </c>
      <c r="O515" s="475" t="s">
        <v>4495</v>
      </c>
      <c r="P515" s="431" t="s">
        <v>4496</v>
      </c>
      <c r="Q515" s="431" t="s">
        <v>4497</v>
      </c>
      <c r="R515" s="431" t="str">
        <f>_xlfn.XLOOKUP(PV_DATA[[#This Row],[New Ark SKU]],Table9[New Ark SKU],Table9[Connector],,0)</f>
        <v>EVO2A</v>
      </c>
      <c r="S515" s="442" t="str">
        <f>_xlfn.XLOOKUP(PV_DATA[[#This Row],[New Ark SKU]],Table9[New Ark SKU],Table9[Cable],,0)</f>
        <v>±1400mm</v>
      </c>
      <c r="T515" s="442">
        <v>640</v>
      </c>
      <c r="U515" s="1067">
        <v>720</v>
      </c>
      <c r="V515" s="448">
        <f>PV_DATA[[#This Row],[QUANTITY]]*PV_DATA[[#This Row],[WATT]]/1000000</f>
        <v>0.46079999999999999</v>
      </c>
      <c r="W515" s="466">
        <f>PV_DATA[[#This Row],[QUANTITY]]/PV_DATA[[#This Row],[Qty/Pallet]]</f>
        <v>20</v>
      </c>
      <c r="X515" s="1019">
        <f>PV_DATA[[#This Row],[QUANTITY]]/PV_DATA[[#This Row],[Qty/CT]]</f>
        <v>1</v>
      </c>
      <c r="Y515" s="431" t="s">
        <v>951</v>
      </c>
      <c r="Z515" s="430" t="str">
        <f t="shared" si="5"/>
        <v>COMPLETED</v>
      </c>
      <c r="AB515" s="441">
        <v>46156</v>
      </c>
      <c r="AC515" s="467">
        <f>IF(PV_DATA[[#This Row],[Pick-Up Date]]&lt;&gt;"",_xlfn.ISOWEEKNUM(PV_DATA[[#This Row],[Pick-Up Date]]),"")</f>
        <v>20</v>
      </c>
      <c r="AD515" s="431" t="s">
        <v>4498</v>
      </c>
      <c r="AE515" s="475"/>
      <c r="AF515" s="431" t="s">
        <v>4432</v>
      </c>
      <c r="AG515" s="431" t="s">
        <v>123</v>
      </c>
      <c r="AH515" s="431" t="s">
        <v>105</v>
      </c>
      <c r="AI515" s="441">
        <v>46160</v>
      </c>
      <c r="AJ515" s="441">
        <v>46163</v>
      </c>
      <c r="AK515" s="441">
        <v>46163</v>
      </c>
      <c r="AL515" s="441">
        <v>46196</v>
      </c>
      <c r="AM515" s="441"/>
      <c r="AN515" s="441">
        <v>46203</v>
      </c>
      <c r="AO515" s="431" t="s">
        <v>402</v>
      </c>
      <c r="AP515" s="431" t="s">
        <v>2449</v>
      </c>
      <c r="AQ515" s="431" t="s">
        <v>80</v>
      </c>
      <c r="AR515" s="431" t="s">
        <v>4499</v>
      </c>
      <c r="AS515" s="431" t="s">
        <v>4500</v>
      </c>
      <c r="AT515" s="482" t="s">
        <v>4500</v>
      </c>
      <c r="AU51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W515" s="441" cm="1">
        <f t="array" ref="AW51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46203</v>
      </c>
      <c r="AX51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15" s="441">
        <f>IF(ISERROR(PV_DATA[[#This Row],[New Ark PO status]]),"",_xlfn.XLOOKUP(PV_DATA[[#This Row],[SPTN-PVHK New Ark PO'#]],New_Ark_Data[Purchase order Number],New_Ark_Data[Estimated time of arrival],"",0))</f>
        <v>46217</v>
      </c>
      <c r="AZ51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15" s="441">
        <f>IFERROR(PV_DATA[[#This Row],[ODP ETA Port]]+PV_DATA[[#This Row],[Customs/Leg3 Assumption]],"n/a")</f>
        <v>46210</v>
      </c>
      <c r="BB515" s="442">
        <f>YEAR(PV_DATA[[#This Row],[ETA for New Ark update]])</f>
        <v>2026</v>
      </c>
      <c r="BC515" s="431">
        <f>MONTH(PV_DATA[[#This Row],[ETA for New Ark update]])</f>
        <v>7</v>
      </c>
      <c r="BD515" s="431">
        <f>IFERROR(_xlfn.ISOWEEKNUM(PV_DATA[[#This Row],[ETA for New Ark update]]),0)</f>
        <v>28</v>
      </c>
      <c r="BE515" s="431">
        <f>_xlfn.XLOOKUP(PV_DATA[[#This Row],[New Ark SKU]],Table9[New Ark SKU],Table9[Total PCS per Pallet],,0)</f>
        <v>36</v>
      </c>
      <c r="BF515" s="431">
        <f>_xlfn.XLOOKUP(PV_DATA[[#This Row],[New Ark SKU]],Table9[New Ark SKU],Table9[Total PCS per 40HQ Container],,0)</f>
        <v>720</v>
      </c>
      <c r="BG515" s="431" t="str">
        <f>_xlfn.XLOOKUP(PV_DATA[[#This Row],[New Ark SKU]],Table9[New Ark SKU],Table9[Back Glass],,0)</f>
        <v>Transparent</v>
      </c>
      <c r="BH515" s="431" t="str">
        <f>_xlfn.XLOOKUP(PV_DATA[[#This Row],[PORT DESTINATION]],Table12[PORT DESTINATION],Table12[Cosco Line],,0)</f>
        <v>AEU</v>
      </c>
    </row>
    <row r="516" spans="1:60" s="431" customFormat="1" ht="10.5" hidden="1">
      <c r="A516" s="439" t="s">
        <v>4501</v>
      </c>
      <c r="B516" s="439" t="s">
        <v>111</v>
      </c>
      <c r="C516" s="721" t="str">
        <f>IFERROR(LEFT(PV_DATA[[#This Row],[TCL REFERENCE]],FIND(".",PV_DATA[[#This Row],[TCL REFERENCE]],1)-1),"Main Line")</f>
        <v>26Apr009</v>
      </c>
      <c r="D516" s="721" t="s">
        <v>63</v>
      </c>
      <c r="E516" s="439" t="s">
        <v>64</v>
      </c>
      <c r="F516" s="462" t="str" cm="1">
        <f t="array" ref="F51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516" s="721" t="s">
        <v>402</v>
      </c>
      <c r="H516" s="721" t="s">
        <v>67</v>
      </c>
      <c r="I516" s="721" t="s">
        <v>689</v>
      </c>
      <c r="J516" s="475" t="s">
        <v>96</v>
      </c>
      <c r="K516" s="475"/>
      <c r="L516" s="475"/>
      <c r="M516" s="475" t="s">
        <v>68</v>
      </c>
      <c r="N516" s="476">
        <v>46146</v>
      </c>
      <c r="O516" s="475" t="s">
        <v>132</v>
      </c>
      <c r="P516" s="431" t="s">
        <v>189</v>
      </c>
      <c r="Q516" s="431" t="s">
        <v>190</v>
      </c>
      <c r="R516" s="431" t="str">
        <f>_xlfn.XLOOKUP(PV_DATA[[#This Row],[New Ark SKU]],Table9[New Ark SKU],Table9[Connector],,0)</f>
        <v>EVO2A</v>
      </c>
      <c r="S516" s="442" t="str">
        <f>_xlfn.XLOOKUP(PV_DATA[[#This Row],[New Ark SKU]],Table9[New Ark SKU],Table9[Cable],,0)</f>
        <v>±1200mm</v>
      </c>
      <c r="T516" s="442">
        <v>465</v>
      </c>
      <c r="U516" s="1067">
        <f>864*6</f>
        <v>5184</v>
      </c>
      <c r="V516" s="448">
        <f>PV_DATA[[#This Row],[QUANTITY]]*PV_DATA[[#This Row],[WATT]]/1000000</f>
        <v>2.4105599999999998</v>
      </c>
      <c r="W516" s="466">
        <f>PV_DATA[[#This Row],[QUANTITY]]/PV_DATA[[#This Row],[Qty/Pallet]]</f>
        <v>144</v>
      </c>
      <c r="X516" s="1019">
        <f>PV_DATA[[#This Row],[QUANTITY]]/PV_DATA[[#This Row],[Qty/CT]]</f>
        <v>6</v>
      </c>
      <c r="Y516" s="431" t="s">
        <v>951</v>
      </c>
      <c r="Z516" s="430" t="str">
        <f t="shared" si="5"/>
        <v>COMPLETED</v>
      </c>
      <c r="AA516" s="439" t="s">
        <v>4502</v>
      </c>
      <c r="AB516" s="441">
        <v>46157</v>
      </c>
      <c r="AC516" s="467">
        <f>IF(PV_DATA[[#This Row],[Pick-Up Date]]&lt;&gt;"",_xlfn.ISOWEEKNUM(PV_DATA[[#This Row],[Pick-Up Date]]),"")</f>
        <v>20</v>
      </c>
      <c r="AD516" s="431" t="s">
        <v>4503</v>
      </c>
      <c r="AE516" s="475"/>
      <c r="AF516" s="431" t="s">
        <v>123</v>
      </c>
      <c r="AG516" s="431" t="s">
        <v>123</v>
      </c>
      <c r="AH516" s="431" t="s">
        <v>78</v>
      </c>
      <c r="AI516" s="441">
        <v>46164</v>
      </c>
      <c r="AJ516" s="441">
        <v>46165</v>
      </c>
      <c r="AK516" s="441">
        <v>46165</v>
      </c>
      <c r="AL516" s="441">
        <v>46216</v>
      </c>
      <c r="AM516" s="441"/>
      <c r="AN516" s="441">
        <v>46215</v>
      </c>
      <c r="AO516" s="431" t="s">
        <v>402</v>
      </c>
      <c r="AP516" s="441" t="s">
        <v>4504</v>
      </c>
      <c r="AQ516" s="431" t="s">
        <v>80</v>
      </c>
      <c r="AR516" s="431" t="s">
        <v>4505</v>
      </c>
      <c r="AS516" s="431" t="s">
        <v>4506</v>
      </c>
      <c r="AT516" s="482" t="s">
        <v>4506</v>
      </c>
      <c r="AU51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V516" s="441"/>
      <c r="AW516" s="441" cm="1">
        <f t="array" ref="AW51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46215</v>
      </c>
      <c r="AX51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16" s="441">
        <f>IF(ISERROR(PV_DATA[[#This Row],[New Ark PO status]]),"",_xlfn.XLOOKUP(PV_DATA[[#This Row],[SPTN-PVHK New Ark PO'#]],New_Ark_Data[Purchase order Number],New_Ark_Data[Estimated time of arrival],"",0))</f>
        <v>46230</v>
      </c>
      <c r="AZ516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516" s="441">
        <f>IFERROR(PV_DATA[[#This Row],[ODP ETA Port]]+PV_DATA[[#This Row],[Customs/Leg3 Assumption]],"n/a")</f>
        <v>46223</v>
      </c>
      <c r="BB516" s="442">
        <f>YEAR(PV_DATA[[#This Row],[ETA for New Ark update]])</f>
        <v>2026</v>
      </c>
      <c r="BC516" s="431">
        <f>MONTH(PV_DATA[[#This Row],[ETA for New Ark update]])</f>
        <v>7</v>
      </c>
      <c r="BD516" s="431">
        <f>IFERROR(_xlfn.ISOWEEKNUM(PV_DATA[[#This Row],[ETA for New Ark update]]),0)</f>
        <v>30</v>
      </c>
      <c r="BE516" s="431">
        <f>_xlfn.XLOOKUP(PV_DATA[[#This Row],[New Ark SKU]],Table9[New Ark SKU],Table9[Total PCS per Pallet],,0)</f>
        <v>36</v>
      </c>
      <c r="BF516" s="431">
        <f>_xlfn.XLOOKUP(PV_DATA[[#This Row],[New Ark SKU]],Table9[New Ark SKU],Table9[Total PCS per 40HQ Container],,0)</f>
        <v>864</v>
      </c>
      <c r="BG516" s="431" t="str">
        <f>_xlfn.XLOOKUP(PV_DATA[[#This Row],[New Ark SKU]],Table9[New Ark SKU],Table9[Back Glass],,0)</f>
        <v>White glazing</v>
      </c>
      <c r="BH516" s="431" t="str">
        <f>_xlfn.XLOOKUP(PV_DATA[[#This Row],[PORT DESTINATION]],Table12[PORT DESTINATION],Table12[Cosco Line],,0)</f>
        <v>AEM</v>
      </c>
    </row>
    <row r="517" spans="1:60" s="431" customFormat="1" ht="10.5" hidden="1">
      <c r="A517" s="439" t="s">
        <v>4507</v>
      </c>
      <c r="B517" s="439" t="s">
        <v>111</v>
      </c>
      <c r="C517" s="721" t="str">
        <f>IFERROR(LEFT(PV_DATA[[#This Row],[TCL REFERENCE]],FIND(".",PV_DATA[[#This Row],[TCL REFERENCE]],1)-1),"Main Line")</f>
        <v>26Apr010</v>
      </c>
      <c r="D517" s="721" t="s">
        <v>63</v>
      </c>
      <c r="E517" s="439" t="s">
        <v>64</v>
      </c>
      <c r="F517" s="462" t="str" cm="1">
        <f t="array" ref="F51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517" s="721" t="s">
        <v>402</v>
      </c>
      <c r="H517" s="721" t="s">
        <v>67</v>
      </c>
      <c r="I517" s="721" t="s">
        <v>689</v>
      </c>
      <c r="J517" s="475" t="s">
        <v>96</v>
      </c>
      <c r="K517" s="475"/>
      <c r="L517" s="475"/>
      <c r="M517" s="475" t="s">
        <v>68</v>
      </c>
      <c r="N517" s="476">
        <v>46146</v>
      </c>
      <c r="O517" s="475" t="s">
        <v>132</v>
      </c>
      <c r="P517" s="431" t="s">
        <v>1062</v>
      </c>
      <c r="Q517" s="431" t="s">
        <v>1063</v>
      </c>
      <c r="R517" s="431" t="str">
        <f>_xlfn.XLOOKUP(PV_DATA[[#This Row],[New Ark SKU]],Table9[New Ark SKU],Table9[Connector],,0)</f>
        <v>EVO2A</v>
      </c>
      <c r="S517" s="442" t="str">
        <f>_xlfn.XLOOKUP(PV_DATA[[#This Row],[New Ark SKU]],Table9[New Ark SKU],Table9[Cable],,0)</f>
        <v>±1200mm</v>
      </c>
      <c r="T517" s="442">
        <v>470</v>
      </c>
      <c r="U517" s="1067">
        <f>864*1</f>
        <v>864</v>
      </c>
      <c r="V517" s="448">
        <f>PV_DATA[[#This Row],[QUANTITY]]*PV_DATA[[#This Row],[WATT]]/1000000</f>
        <v>0.40608</v>
      </c>
      <c r="W517" s="466">
        <f>PV_DATA[[#This Row],[QUANTITY]]/PV_DATA[[#This Row],[Qty/Pallet]]</f>
        <v>24</v>
      </c>
      <c r="X517" s="1019">
        <f>PV_DATA[[#This Row],[QUANTITY]]/PV_DATA[[#This Row],[Qty/CT]]</f>
        <v>1</v>
      </c>
      <c r="Y517" s="431" t="s">
        <v>951</v>
      </c>
      <c r="Z517" s="430" t="str">
        <f t="shared" si="5"/>
        <v>COMPLETED</v>
      </c>
      <c r="AA517" s="439" t="s">
        <v>2439</v>
      </c>
      <c r="AB517" s="469">
        <v>46158</v>
      </c>
      <c r="AC517" s="467">
        <f>IF(PV_DATA[[#This Row],[Pick-Up Date]]&lt;&gt;"",_xlfn.ISOWEEKNUM(PV_DATA[[#This Row],[Pick-Up Date]]),"")</f>
        <v>20</v>
      </c>
      <c r="AD517" s="431" t="s">
        <v>4508</v>
      </c>
      <c r="AE517" s="475"/>
      <c r="AF517" s="431" t="s">
        <v>123</v>
      </c>
      <c r="AG517" s="431" t="s">
        <v>123</v>
      </c>
      <c r="AH517" s="431" t="s">
        <v>78</v>
      </c>
      <c r="AI517" s="441">
        <v>46164</v>
      </c>
      <c r="AJ517" s="441">
        <v>46165</v>
      </c>
      <c r="AK517" s="441">
        <v>46165</v>
      </c>
      <c r="AL517" s="441">
        <v>46216</v>
      </c>
      <c r="AM517" s="441"/>
      <c r="AN517" s="441">
        <v>46215</v>
      </c>
      <c r="AO517" s="431" t="s">
        <v>402</v>
      </c>
      <c r="AP517" s="441" t="s">
        <v>4504</v>
      </c>
      <c r="AQ517" s="431" t="s">
        <v>80</v>
      </c>
      <c r="AR517" s="431" t="s">
        <v>4505</v>
      </c>
      <c r="AS517" s="431" t="s">
        <v>4506</v>
      </c>
      <c r="AT517" s="482" t="s">
        <v>4506</v>
      </c>
      <c r="AU51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V517" s="441"/>
      <c r="AW517" s="441" cm="1">
        <f t="array" ref="AW51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46215</v>
      </c>
      <c r="AX51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17" s="441">
        <f>IF(ISERROR(PV_DATA[[#This Row],[New Ark PO status]]),"",_xlfn.XLOOKUP(PV_DATA[[#This Row],[SPTN-PVHK New Ark PO'#]],New_Ark_Data[Purchase order Number],New_Ark_Data[Estimated time of arrival],"",0))</f>
        <v>46230</v>
      </c>
      <c r="AZ517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517" s="441">
        <f>IFERROR(PV_DATA[[#This Row],[ODP ETA Port]]+PV_DATA[[#This Row],[Customs/Leg3 Assumption]],"n/a")</f>
        <v>46223</v>
      </c>
      <c r="BB517" s="442">
        <f>YEAR(PV_DATA[[#This Row],[ETA for New Ark update]])</f>
        <v>2026</v>
      </c>
      <c r="BC517" s="431">
        <f>MONTH(PV_DATA[[#This Row],[ETA for New Ark update]])</f>
        <v>7</v>
      </c>
      <c r="BD517" s="431">
        <f>IFERROR(_xlfn.ISOWEEKNUM(PV_DATA[[#This Row],[ETA for New Ark update]]),0)</f>
        <v>30</v>
      </c>
      <c r="BE517" s="431">
        <f>_xlfn.XLOOKUP(PV_DATA[[#This Row],[New Ark SKU]],Table9[New Ark SKU],Table9[Total PCS per Pallet],,0)</f>
        <v>36</v>
      </c>
      <c r="BF517" s="431">
        <f>_xlfn.XLOOKUP(PV_DATA[[#This Row],[New Ark SKU]],Table9[New Ark SKU],Table9[Total PCS per 40HQ Container],,0)</f>
        <v>864</v>
      </c>
      <c r="BG517" s="431" t="str">
        <f>_xlfn.XLOOKUP(PV_DATA[[#This Row],[New Ark SKU]],Table9[New Ark SKU],Table9[Back Glass],,0)</f>
        <v>White glazing</v>
      </c>
      <c r="BH517" s="431" t="str">
        <f>_xlfn.XLOOKUP(PV_DATA[[#This Row],[PORT DESTINATION]],Table12[PORT DESTINATION],Table12[Cosco Line],,0)</f>
        <v>AEM</v>
      </c>
    </row>
    <row r="518" spans="1:60" s="431" customFormat="1" ht="10.5" hidden="1">
      <c r="A518" s="439" t="s">
        <v>4509</v>
      </c>
      <c r="B518" s="439" t="s">
        <v>111</v>
      </c>
      <c r="C518" s="721" t="str">
        <f>IFERROR(LEFT(PV_DATA[[#This Row],[TCL REFERENCE]],FIND(".",PV_DATA[[#This Row],[TCL REFERENCE]],1)-1),"Main Line")</f>
        <v>26Apr010</v>
      </c>
      <c r="D518" s="721" t="s">
        <v>63</v>
      </c>
      <c r="E518" s="439" t="s">
        <v>64</v>
      </c>
      <c r="F518" s="462" t="str" cm="1">
        <f t="array" ref="F51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518" s="721" t="s">
        <v>402</v>
      </c>
      <c r="H518" s="721" t="s">
        <v>67</v>
      </c>
      <c r="I518" s="721" t="s">
        <v>689</v>
      </c>
      <c r="J518" s="475" t="s">
        <v>96</v>
      </c>
      <c r="K518" s="475"/>
      <c r="L518" s="475"/>
      <c r="M518" s="475" t="s">
        <v>68</v>
      </c>
      <c r="N518" s="476">
        <v>46146</v>
      </c>
      <c r="O518" s="475" t="s">
        <v>132</v>
      </c>
      <c r="P518" s="431" t="s">
        <v>1062</v>
      </c>
      <c r="Q518" s="431" t="s">
        <v>1063</v>
      </c>
      <c r="R518" s="431" t="str">
        <f>_xlfn.XLOOKUP(PV_DATA[[#This Row],[New Ark SKU]],Table9[New Ark SKU],Table9[Connector],,0)</f>
        <v>EVO2A</v>
      </c>
      <c r="S518" s="442" t="str">
        <f>_xlfn.XLOOKUP(PV_DATA[[#This Row],[New Ark SKU]],Table9[New Ark SKU],Table9[Cable],,0)</f>
        <v>±1200mm</v>
      </c>
      <c r="T518" s="442">
        <v>470</v>
      </c>
      <c r="U518" s="1067">
        <f>864*6</f>
        <v>5184</v>
      </c>
      <c r="V518" s="448">
        <f>PV_DATA[[#This Row],[QUANTITY]]*PV_DATA[[#This Row],[WATT]]/1000000</f>
        <v>2.43648</v>
      </c>
      <c r="W518" s="466">
        <f>PV_DATA[[#This Row],[QUANTITY]]/PV_DATA[[#This Row],[Qty/Pallet]]</f>
        <v>144</v>
      </c>
      <c r="X518" s="1019">
        <f>PV_DATA[[#This Row],[QUANTITY]]/PV_DATA[[#This Row],[Qty/CT]]</f>
        <v>6</v>
      </c>
      <c r="Y518" s="431" t="s">
        <v>951</v>
      </c>
      <c r="Z518" s="430" t="str">
        <f t="shared" si="5"/>
        <v>COMPLETED</v>
      </c>
      <c r="AA518" s="439" t="s">
        <v>4510</v>
      </c>
      <c r="AB518" s="441">
        <v>46156</v>
      </c>
      <c r="AC518" s="467">
        <f>IF(PV_DATA[[#This Row],[Pick-Up Date]]&lt;&gt;"",_xlfn.ISOWEEKNUM(PV_DATA[[#This Row],[Pick-Up Date]]),"")</f>
        <v>20</v>
      </c>
      <c r="AD518" s="431" t="s">
        <v>4511</v>
      </c>
      <c r="AE518" s="475"/>
      <c r="AF518" s="431" t="s">
        <v>123</v>
      </c>
      <c r="AG518" s="431" t="s">
        <v>123</v>
      </c>
      <c r="AH518" s="431" t="s">
        <v>78</v>
      </c>
      <c r="AI518" s="441">
        <v>46161</v>
      </c>
      <c r="AJ518" s="441">
        <v>46160</v>
      </c>
      <c r="AK518" s="441">
        <v>46160</v>
      </c>
      <c r="AL518" s="441">
        <v>46203</v>
      </c>
      <c r="AM518" s="441">
        <v>46207</v>
      </c>
      <c r="AN518" s="441">
        <v>46207</v>
      </c>
      <c r="AO518" s="431" t="s">
        <v>402</v>
      </c>
      <c r="AP518" s="441" t="s">
        <v>4512</v>
      </c>
      <c r="AQ518" s="431" t="s">
        <v>80</v>
      </c>
      <c r="AR518" s="431" t="s">
        <v>4513</v>
      </c>
      <c r="AS518" s="431" t="s">
        <v>4514</v>
      </c>
      <c r="AT518" s="482" t="s">
        <v>4514</v>
      </c>
      <c r="AU51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V518" s="441"/>
      <c r="AW518" s="441" cm="1">
        <f t="array" ref="AW51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46207</v>
      </c>
      <c r="AX51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18" s="441">
        <f>IF(ISERROR(PV_DATA[[#This Row],[New Ark PO status]]),"",_xlfn.XLOOKUP(PV_DATA[[#This Row],[SPTN-PVHK New Ark PO'#]],New_Ark_Data[Purchase order Number],New_Ark_Data[Estimated time of arrival],"",0))</f>
        <v>46220</v>
      </c>
      <c r="AZ518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518" s="441">
        <f>IFERROR(PV_DATA[[#This Row],[ODP ETA Port]]+PV_DATA[[#This Row],[Customs/Leg3 Assumption]],"n/a")</f>
        <v>46215</v>
      </c>
      <c r="BB518" s="442">
        <f>YEAR(PV_DATA[[#This Row],[ETA for New Ark update]])</f>
        <v>2026</v>
      </c>
      <c r="BC518" s="431">
        <f>MONTH(PV_DATA[[#This Row],[ETA for New Ark update]])</f>
        <v>7</v>
      </c>
      <c r="BD518" s="431">
        <f>IFERROR(_xlfn.ISOWEEKNUM(PV_DATA[[#This Row],[ETA for New Ark update]]),0)</f>
        <v>28</v>
      </c>
      <c r="BE518" s="431">
        <f>_xlfn.XLOOKUP(PV_DATA[[#This Row],[New Ark SKU]],Table9[New Ark SKU],Table9[Total PCS per Pallet],,0)</f>
        <v>36</v>
      </c>
      <c r="BF518" s="431">
        <f>_xlfn.XLOOKUP(PV_DATA[[#This Row],[New Ark SKU]],Table9[New Ark SKU],Table9[Total PCS per 40HQ Container],,0)</f>
        <v>864</v>
      </c>
      <c r="BG518" s="431" t="str">
        <f>_xlfn.XLOOKUP(PV_DATA[[#This Row],[New Ark SKU]],Table9[New Ark SKU],Table9[Back Glass],,0)</f>
        <v>White glazing</v>
      </c>
      <c r="BH518" s="431" t="str">
        <f>_xlfn.XLOOKUP(PV_DATA[[#This Row],[PORT DESTINATION]],Table12[PORT DESTINATION],Table12[Cosco Line],,0)</f>
        <v>AEM</v>
      </c>
    </row>
    <row r="519" spans="1:60" s="431" customFormat="1" ht="12" hidden="1" customHeight="1">
      <c r="A519" s="439" t="s">
        <v>4515</v>
      </c>
      <c r="B519" s="439" t="s">
        <v>111</v>
      </c>
      <c r="C519" s="721" t="str">
        <f>IFERROR(LEFT(PV_DATA[[#This Row],[TCL REFERENCE]],FIND(".",PV_DATA[[#This Row],[TCL REFERENCE]],1)-1),"Main Line")</f>
        <v>26Apr010</v>
      </c>
      <c r="D519" s="721" t="s">
        <v>63</v>
      </c>
      <c r="E519" s="439" t="s">
        <v>64</v>
      </c>
      <c r="F519" s="462" t="str" cm="1">
        <f t="array" ref="F51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519" s="721" t="s">
        <v>402</v>
      </c>
      <c r="H519" s="721" t="s">
        <v>67</v>
      </c>
      <c r="I519" s="721" t="s">
        <v>689</v>
      </c>
      <c r="J519" s="475" t="s">
        <v>96</v>
      </c>
      <c r="K519" s="475"/>
      <c r="L519" s="475"/>
      <c r="M519" s="475" t="s">
        <v>68</v>
      </c>
      <c r="N519" s="476">
        <v>46146</v>
      </c>
      <c r="O519" s="475" t="s">
        <v>132</v>
      </c>
      <c r="P519" s="431" t="s">
        <v>1062</v>
      </c>
      <c r="Q519" s="431" t="s">
        <v>1063</v>
      </c>
      <c r="R519" s="431" t="str">
        <f>_xlfn.XLOOKUP(PV_DATA[[#This Row],[New Ark SKU]],Table9[New Ark SKU],Table9[Connector],,0)</f>
        <v>EVO2A</v>
      </c>
      <c r="S519" s="442" t="str">
        <f>_xlfn.XLOOKUP(PV_DATA[[#This Row],[New Ark SKU]],Table9[New Ark SKU],Table9[Cable],,0)</f>
        <v>±1200mm</v>
      </c>
      <c r="T519" s="442">
        <v>470</v>
      </c>
      <c r="U519" s="1067">
        <f>864*1</f>
        <v>864</v>
      </c>
      <c r="V519" s="448">
        <f>PV_DATA[[#This Row],[QUANTITY]]*PV_DATA[[#This Row],[WATT]]/1000000</f>
        <v>0.40608</v>
      </c>
      <c r="W519" s="466">
        <f>PV_DATA[[#This Row],[QUANTITY]]/PV_DATA[[#This Row],[Qty/Pallet]]</f>
        <v>24</v>
      </c>
      <c r="X519" s="1019">
        <f>PV_DATA[[#This Row],[QUANTITY]]/PV_DATA[[#This Row],[Qty/CT]]</f>
        <v>1</v>
      </c>
      <c r="Y519" s="431" t="s">
        <v>951</v>
      </c>
      <c r="Z519" s="430" t="str">
        <f t="shared" si="5"/>
        <v>COMPLETED</v>
      </c>
      <c r="AA519" s="439" t="s">
        <v>4516</v>
      </c>
      <c r="AB519" s="441">
        <v>46157</v>
      </c>
      <c r="AC519" s="467">
        <f>IF(PV_DATA[[#This Row],[Pick-Up Date]]&lt;&gt;"",_xlfn.ISOWEEKNUM(PV_DATA[[#This Row],[Pick-Up Date]]),"")</f>
        <v>20</v>
      </c>
      <c r="AD519" s="431" t="s">
        <v>4517</v>
      </c>
      <c r="AE519" s="475"/>
      <c r="AF519" s="431" t="s">
        <v>123</v>
      </c>
      <c r="AG519" s="431" t="s">
        <v>123</v>
      </c>
      <c r="AH519" s="431" t="s">
        <v>78</v>
      </c>
      <c r="AI519" s="441">
        <v>46161</v>
      </c>
      <c r="AJ519" s="441">
        <v>46160</v>
      </c>
      <c r="AK519" s="441">
        <v>46160</v>
      </c>
      <c r="AL519" s="441">
        <v>46203</v>
      </c>
      <c r="AM519" s="441">
        <v>46207</v>
      </c>
      <c r="AN519" s="441">
        <v>46207</v>
      </c>
      <c r="AO519" s="431" t="s">
        <v>402</v>
      </c>
      <c r="AP519" s="441" t="s">
        <v>4512</v>
      </c>
      <c r="AQ519" s="431" t="s">
        <v>80</v>
      </c>
      <c r="AR519" s="431" t="s">
        <v>4513</v>
      </c>
      <c r="AS519" s="431" t="s">
        <v>4514</v>
      </c>
      <c r="AT519" s="482" t="s">
        <v>4514</v>
      </c>
      <c r="AU51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V519" s="441"/>
      <c r="AW519" s="441" cm="1">
        <f t="array" ref="AW51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46207</v>
      </c>
      <c r="AX51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19" s="441">
        <f>IF(ISERROR(PV_DATA[[#This Row],[New Ark PO status]]),"",_xlfn.XLOOKUP(PV_DATA[[#This Row],[SPTN-PVHK New Ark PO'#]],New_Ark_Data[Purchase order Number],New_Ark_Data[Estimated time of arrival],"",0))</f>
        <v>46220</v>
      </c>
      <c r="AZ519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519" s="441">
        <f>IFERROR(PV_DATA[[#This Row],[ODP ETA Port]]+PV_DATA[[#This Row],[Customs/Leg3 Assumption]],"n/a")</f>
        <v>46215</v>
      </c>
      <c r="BB519" s="442">
        <f>YEAR(PV_DATA[[#This Row],[ETA for New Ark update]])</f>
        <v>2026</v>
      </c>
      <c r="BC519" s="431">
        <f>MONTH(PV_DATA[[#This Row],[ETA for New Ark update]])</f>
        <v>7</v>
      </c>
      <c r="BD519" s="431">
        <f>IFERROR(_xlfn.ISOWEEKNUM(PV_DATA[[#This Row],[ETA for New Ark update]]),0)</f>
        <v>28</v>
      </c>
      <c r="BE519" s="431">
        <f>_xlfn.XLOOKUP(PV_DATA[[#This Row],[New Ark SKU]],Table9[New Ark SKU],Table9[Total PCS per Pallet],,0)</f>
        <v>36</v>
      </c>
      <c r="BF519" s="431">
        <f>_xlfn.XLOOKUP(PV_DATA[[#This Row],[New Ark SKU]],Table9[New Ark SKU],Table9[Total PCS per 40HQ Container],,0)</f>
        <v>864</v>
      </c>
      <c r="BG519" s="431" t="str">
        <f>_xlfn.XLOOKUP(PV_DATA[[#This Row],[New Ark SKU]],Table9[New Ark SKU],Table9[Back Glass],,0)</f>
        <v>White glazing</v>
      </c>
      <c r="BH519" s="431" t="str">
        <f>_xlfn.XLOOKUP(PV_DATA[[#This Row],[PORT DESTINATION]],Table12[PORT DESTINATION],Table12[Cosco Line],,0)</f>
        <v>AEM</v>
      </c>
    </row>
    <row r="520" spans="1:60" s="431" customFormat="1" ht="10.5" hidden="1">
      <c r="A520" s="439" t="s">
        <v>4518</v>
      </c>
      <c r="B520" s="439" t="s">
        <v>111</v>
      </c>
      <c r="C520" s="721" t="str">
        <f>IFERROR(LEFT(PV_DATA[[#This Row],[TCL REFERENCE]],FIND(".",PV_DATA[[#This Row],[TCL REFERENCE]],1)-1),"Main Line")</f>
        <v>26Apr003</v>
      </c>
      <c r="D520" s="721" t="s">
        <v>63</v>
      </c>
      <c r="E520" s="439" t="s">
        <v>64</v>
      </c>
      <c r="F520" s="462" t="str" cm="1">
        <f t="array" ref="F52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520" s="721" t="s">
        <v>402</v>
      </c>
      <c r="H520" s="721" t="s">
        <v>311</v>
      </c>
      <c r="I520" s="721" t="s">
        <v>689</v>
      </c>
      <c r="J520" s="475" t="s">
        <v>96</v>
      </c>
      <c r="K520" s="475"/>
      <c r="L520" s="475"/>
      <c r="M520" s="475" t="s">
        <v>68</v>
      </c>
      <c r="N520" s="476">
        <v>46139</v>
      </c>
      <c r="O520" s="475" t="s">
        <v>473</v>
      </c>
      <c r="P520" s="431" t="s">
        <v>529</v>
      </c>
      <c r="Q520" s="431" t="s">
        <v>1311</v>
      </c>
      <c r="R520" s="431" t="str">
        <f>_xlfn.XLOOKUP(PV_DATA[[#This Row],[New Ark SKU]],Table9[New Ark SKU],Table9[Connector],,0)</f>
        <v>EVO2A</v>
      </c>
      <c r="S520" s="442" t="str">
        <f>_xlfn.XLOOKUP(PV_DATA[[#This Row],[New Ark SKU]],Table9[New Ark SKU],Table9[Cable],,0)</f>
        <v>±1200mm</v>
      </c>
      <c r="T520" s="442">
        <v>455</v>
      </c>
      <c r="U520" s="1067">
        <f>864*7</f>
        <v>6048</v>
      </c>
      <c r="V520" s="448">
        <f>PV_DATA[[#This Row],[QUANTITY]]*PV_DATA[[#This Row],[WATT]]/1000000</f>
        <v>2.7518400000000001</v>
      </c>
      <c r="W520" s="466">
        <f>PV_DATA[[#This Row],[QUANTITY]]/PV_DATA[[#This Row],[Qty/Pallet]]</f>
        <v>168</v>
      </c>
      <c r="X520" s="1019">
        <f>PV_DATA[[#This Row],[QUANTITY]]/PV_DATA[[#This Row],[Qty/CT]]</f>
        <v>7</v>
      </c>
      <c r="Y520" s="431" t="s">
        <v>951</v>
      </c>
      <c r="Z520" s="430" t="str">
        <f t="shared" si="5"/>
        <v>COMPLETED</v>
      </c>
      <c r="AA520" s="439" t="s">
        <v>2423</v>
      </c>
      <c r="AB520" s="441">
        <v>46151</v>
      </c>
      <c r="AC520" s="445">
        <f>IF(PV_DATA[[#This Row],[Pick-Up Date]]&lt;&gt;"",_xlfn.ISOWEEKNUM(PV_DATA[[#This Row],[Pick-Up Date]]),"")</f>
        <v>19</v>
      </c>
      <c r="AD520" s="431" t="s">
        <v>4519</v>
      </c>
      <c r="AE520" s="475"/>
      <c r="AF520" s="431" t="s">
        <v>123</v>
      </c>
      <c r="AG520" s="431" t="s">
        <v>123</v>
      </c>
      <c r="AH520" s="431" t="s">
        <v>314</v>
      </c>
      <c r="AI520" s="441">
        <v>46164</v>
      </c>
      <c r="AJ520" s="441">
        <v>46165</v>
      </c>
      <c r="AK520" s="441">
        <v>46165</v>
      </c>
      <c r="AL520" s="441">
        <v>46211</v>
      </c>
      <c r="AM520" s="441">
        <v>46218</v>
      </c>
      <c r="AN520" s="441">
        <v>46217</v>
      </c>
      <c r="AO520" s="431" t="s">
        <v>402</v>
      </c>
      <c r="AP520" s="431" t="s">
        <v>4504</v>
      </c>
      <c r="AQ520" s="431" t="s">
        <v>80</v>
      </c>
      <c r="AR520" s="431" t="s">
        <v>4520</v>
      </c>
      <c r="AS520" s="431" t="s">
        <v>4521</v>
      </c>
      <c r="AT520" s="482" t="s">
        <v>4521</v>
      </c>
      <c r="AU52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</v>
      </c>
      <c r="AV520" s="441"/>
      <c r="AW520" s="441" cm="1">
        <f t="array" ref="AW52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46217</v>
      </c>
      <c r="AX52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20" s="441">
        <f>IF(ISERROR(PV_DATA[[#This Row],[New Ark PO status]]),"",_xlfn.XLOOKUP(PV_DATA[[#This Row],[SPTN-PVHK New Ark PO'#]],New_Ark_Data[Purchase order Number],New_Ark_Data[Estimated time of arrival],"",0))</f>
        <v>46232</v>
      </c>
      <c r="AZ520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520" s="441">
        <f>IFERROR(PV_DATA[[#This Row],[ODP ETA Port]]+PV_DATA[[#This Row],[Customs/Leg3 Assumption]],"n/a")</f>
        <v>46227</v>
      </c>
      <c r="BB520" s="442">
        <f>YEAR(PV_DATA[[#This Row],[ETA for New Ark update]])</f>
        <v>2026</v>
      </c>
      <c r="BC520" s="431">
        <f>MONTH(PV_DATA[[#This Row],[ETA for New Ark update]])</f>
        <v>7</v>
      </c>
      <c r="BD520" s="431">
        <f>IFERROR(_xlfn.ISOWEEKNUM(PV_DATA[[#This Row],[ETA for New Ark update]]),0)</f>
        <v>30</v>
      </c>
      <c r="BE520" s="431">
        <f>_xlfn.XLOOKUP(PV_DATA[[#This Row],[New Ark SKU]],Table9[New Ark SKU],Table9[Total PCS per Pallet],,0)</f>
        <v>36</v>
      </c>
      <c r="BF520" s="431">
        <f>_xlfn.XLOOKUP(PV_DATA[[#This Row],[New Ark SKU]],Table9[New Ark SKU],Table9[Total PCS per 40HQ Container],,0)</f>
        <v>864</v>
      </c>
      <c r="BG520" s="431" t="str">
        <f>_xlfn.XLOOKUP(PV_DATA[[#This Row],[New Ark SKU]],Table9[New Ark SKU],Table9[Back Glass],,0)</f>
        <v>Black glazing</v>
      </c>
      <c r="BH520" s="431" t="str">
        <f>_xlfn.XLOOKUP(PV_DATA[[#This Row],[PORT DESTINATION]],Table12[PORT DESTINATION],Table12[Cosco Line],,0)</f>
        <v>AEM</v>
      </c>
    </row>
    <row r="521" spans="1:60" s="431" customFormat="1" ht="10.5" hidden="1">
      <c r="A521" s="439" t="s">
        <v>4522</v>
      </c>
      <c r="B521" s="439" t="s">
        <v>2132</v>
      </c>
      <c r="C521" s="721" t="str">
        <f>IFERROR(LEFT(PV_DATA[[#This Row],[TCL REFERENCE]],FIND(".",PV_DATA[[#This Row],[TCL REFERENCE]],1)-1),"Main Line")</f>
        <v>26Apr008</v>
      </c>
      <c r="D521" s="721" t="s">
        <v>63</v>
      </c>
      <c r="E521" s="439" t="s">
        <v>64</v>
      </c>
      <c r="F521" s="462" t="str" cm="1">
        <f t="array" ref="F52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521" s="721" t="s">
        <v>402</v>
      </c>
      <c r="H521" s="721" t="s">
        <v>311</v>
      </c>
      <c r="I521" s="721" t="s">
        <v>689</v>
      </c>
      <c r="J521" s="475" t="s">
        <v>96</v>
      </c>
      <c r="K521" s="475"/>
      <c r="L521" s="475"/>
      <c r="M521" s="475" t="s">
        <v>68</v>
      </c>
      <c r="N521" s="476">
        <v>46146</v>
      </c>
      <c r="O521" s="475" t="s">
        <v>170</v>
      </c>
      <c r="P521" s="431" t="s">
        <v>1977</v>
      </c>
      <c r="Q521" s="431" t="s">
        <v>1978</v>
      </c>
      <c r="R521" s="431" t="str">
        <f>_xlfn.XLOOKUP(PV_DATA[[#This Row],[New Ark SKU]],Table9[New Ark SKU],Table9[Connector],,0)</f>
        <v>EVO2A</v>
      </c>
      <c r="S521" s="442" t="str">
        <f>_xlfn.XLOOKUP(PV_DATA[[#This Row],[New Ark SKU]],Table9[New Ark SKU],Table9[Cable],,0)</f>
        <v>±1400mm</v>
      </c>
      <c r="T521" s="442">
        <v>560</v>
      </c>
      <c r="U521" s="1067">
        <v>3960</v>
      </c>
      <c r="V521" s="448">
        <f>PV_DATA[[#This Row],[QUANTITY]]*PV_DATA[[#This Row],[WATT]]/1000000</f>
        <v>2.2176</v>
      </c>
      <c r="W521" s="466">
        <f>PV_DATA[[#This Row],[QUANTITY]]/PV_DATA[[#This Row],[Qty/Pallet]]</f>
        <v>120</v>
      </c>
      <c r="X521" s="1019">
        <f>PV_DATA[[#This Row],[QUANTITY]]/PV_DATA[[#This Row],[Qty/CT]]</f>
        <v>6</v>
      </c>
      <c r="Y521" s="431" t="s">
        <v>951</v>
      </c>
      <c r="Z521" s="430" t="str">
        <f t="shared" si="5"/>
        <v>COMPLETED</v>
      </c>
      <c r="AA521" s="439" t="s">
        <v>4502</v>
      </c>
      <c r="AB521" s="441">
        <v>46158</v>
      </c>
      <c r="AC521" s="467">
        <f>IF(PV_DATA[[#This Row],[Pick-Up Date]]&lt;&gt;"",_xlfn.ISOWEEKNUM(PV_DATA[[#This Row],[Pick-Up Date]]),"")</f>
        <v>20</v>
      </c>
      <c r="AD521" s="431" t="s">
        <v>4523</v>
      </c>
      <c r="AE521" s="475"/>
      <c r="AF521" s="431" t="s">
        <v>123</v>
      </c>
      <c r="AG521" s="431" t="s">
        <v>123</v>
      </c>
      <c r="AH521" s="431" t="s">
        <v>314</v>
      </c>
      <c r="AI521" s="441">
        <v>46164</v>
      </c>
      <c r="AJ521" s="441">
        <v>46165</v>
      </c>
      <c r="AK521" s="441">
        <v>46165</v>
      </c>
      <c r="AL521" s="441">
        <v>46211</v>
      </c>
      <c r="AM521" s="441">
        <v>46218</v>
      </c>
      <c r="AN521" s="441">
        <v>46217</v>
      </c>
      <c r="AO521" s="431" t="s">
        <v>402</v>
      </c>
      <c r="AP521" s="431" t="s">
        <v>4504</v>
      </c>
      <c r="AQ521" s="431" t="s">
        <v>80</v>
      </c>
      <c r="AR521" s="431" t="s">
        <v>4524</v>
      </c>
      <c r="AS521" s="431" t="s">
        <v>4525</v>
      </c>
      <c r="AT521" s="482" t="s">
        <v>4525</v>
      </c>
      <c r="AU52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</v>
      </c>
      <c r="AV521" s="441"/>
      <c r="AW521" s="441" cm="1">
        <f t="array" ref="AW52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46217</v>
      </c>
      <c r="AX52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21" s="441">
        <f>IF(ISERROR(PV_DATA[[#This Row],[New Ark PO status]]),"",_xlfn.XLOOKUP(PV_DATA[[#This Row],[SPTN-PVHK New Ark PO'#]],New_Ark_Data[Purchase order Number],New_Ark_Data[Estimated time of arrival],"",0))</f>
        <v>46232</v>
      </c>
      <c r="AZ521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521" s="441">
        <f>IFERROR(PV_DATA[[#This Row],[ODP ETA Port]]+PV_DATA[[#This Row],[Customs/Leg3 Assumption]],"n/a")</f>
        <v>46227</v>
      </c>
      <c r="BB521" s="442">
        <f>YEAR(PV_DATA[[#This Row],[ETA for New Ark update]])</f>
        <v>2026</v>
      </c>
      <c r="BC521" s="431">
        <f>MONTH(PV_DATA[[#This Row],[ETA for New Ark update]])</f>
        <v>7</v>
      </c>
      <c r="BD521" s="431">
        <f>IFERROR(_xlfn.ISOWEEKNUM(PV_DATA[[#This Row],[ETA for New Ark update]]),0)</f>
        <v>30</v>
      </c>
      <c r="BE521" s="431">
        <f>_xlfn.XLOOKUP(PV_DATA[[#This Row],[New Ark SKU]],Table9[New Ark SKU],Table9[Total PCS per Pallet],,0)</f>
        <v>33</v>
      </c>
      <c r="BF521" s="431">
        <f>_xlfn.XLOOKUP(PV_DATA[[#This Row],[New Ark SKU]],Table9[New Ark SKU],Table9[Total PCS per 40HQ Container],,0)</f>
        <v>660</v>
      </c>
      <c r="BG521" s="431" t="str">
        <f>_xlfn.XLOOKUP(PV_DATA[[#This Row],[New Ark SKU]],Table9[New Ark SKU],Table9[Back Glass],,0)</f>
        <v>White glazing</v>
      </c>
      <c r="BH521" s="431" t="str">
        <f>_xlfn.XLOOKUP(PV_DATA[[#This Row],[PORT DESTINATION]],Table12[PORT DESTINATION],Table12[Cosco Line],,0)</f>
        <v>AEM</v>
      </c>
    </row>
    <row r="522" spans="1:60" s="431" customFormat="1" hidden="1">
      <c r="A522" s="439" t="s">
        <v>4526</v>
      </c>
      <c r="B522" s="439" t="s">
        <v>111</v>
      </c>
      <c r="C522" s="721" t="str">
        <f>IFERROR(LEFT(PV_DATA[[#This Row],[TCL REFERENCE]],FIND(".",PV_DATA[[#This Row],[TCL REFERENCE]],1)-1),"Main Line")</f>
        <v>26May016</v>
      </c>
      <c r="D522" s="721" t="s">
        <v>63</v>
      </c>
      <c r="E522" s="439" t="s">
        <v>144</v>
      </c>
      <c r="F522" s="462" t="str" cm="1">
        <f t="array" ref="F52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22" s="721" t="s">
        <v>402</v>
      </c>
      <c r="H522" s="721" t="s">
        <v>593</v>
      </c>
      <c r="I522" s="721" t="s">
        <v>2004</v>
      </c>
      <c r="J522" s="475" t="s">
        <v>4527</v>
      </c>
      <c r="K522" s="475" t="s">
        <v>4528</v>
      </c>
      <c r="L522" s="475"/>
      <c r="M522" s="430" t="s">
        <v>840</v>
      </c>
      <c r="N522" s="476" t="s">
        <v>68</v>
      </c>
      <c r="O522" s="475" t="s">
        <v>4495</v>
      </c>
      <c r="P522" s="431" t="s">
        <v>4529</v>
      </c>
      <c r="Q522" s="431" t="s">
        <v>4530</v>
      </c>
      <c r="R522" s="431" t="str">
        <f>_xlfn.XLOOKUP(PV_DATA[[#This Row],[New Ark SKU]],Table9[New Ark SKU],Table9[Connector],,0)</f>
        <v>EVO2A</v>
      </c>
      <c r="S522" s="442" t="str">
        <f>_xlfn.XLOOKUP(PV_DATA[[#This Row],[New Ark SKU]],Table9[New Ark SKU],Table9[Cable],,0)</f>
        <v>±1400mm</v>
      </c>
      <c r="T522" s="442">
        <v>645</v>
      </c>
      <c r="U522" s="1067">
        <v>2160</v>
      </c>
      <c r="V522" s="448">
        <f>PV_DATA[[#This Row],[QUANTITY]]*PV_DATA[[#This Row],[WATT]]/1000000</f>
        <v>1.3932</v>
      </c>
      <c r="W522" s="466">
        <f>PV_DATA[[#This Row],[QUANTITY]]/PV_DATA[[#This Row],[Qty/Pallet]]</f>
        <v>60</v>
      </c>
      <c r="X522" s="1019">
        <f>PV_DATA[[#This Row],[QUANTITY]]/PV_DATA[[#This Row],[Qty/CT]]</f>
        <v>3</v>
      </c>
      <c r="Y522" s="431" t="s">
        <v>951</v>
      </c>
      <c r="Z522" s="430" t="str">
        <f t="shared" si="5"/>
        <v>COMPLETED</v>
      </c>
      <c r="AB522" s="441">
        <v>46157</v>
      </c>
      <c r="AC522" s="467">
        <f>IF(PV_DATA[[#This Row],[Pick-Up Date]]&lt;&gt;"",_xlfn.ISOWEEKNUM(PV_DATA[[#This Row],[Pick-Up Date]]),"")</f>
        <v>20</v>
      </c>
      <c r="AD522" s="431" t="s">
        <v>4531</v>
      </c>
      <c r="AE522" s="475"/>
      <c r="AF522" s="431" t="s">
        <v>4432</v>
      </c>
      <c r="AG522" s="431" t="s">
        <v>123</v>
      </c>
      <c r="AH522" s="431" t="s">
        <v>124</v>
      </c>
      <c r="AI522" s="441">
        <v>46161</v>
      </c>
      <c r="AJ522" s="441">
        <v>46162</v>
      </c>
      <c r="AK522" s="441">
        <v>46162</v>
      </c>
      <c r="AL522" s="441">
        <v>46205</v>
      </c>
      <c r="AM522" s="441"/>
      <c r="AN522" s="441">
        <v>46205</v>
      </c>
      <c r="AO522" s="431" t="s">
        <v>402</v>
      </c>
      <c r="AP522" s="431" t="s">
        <v>4532</v>
      </c>
      <c r="AQ522" s="431" t="s">
        <v>80</v>
      </c>
      <c r="AR522" s="431" t="s">
        <v>4533</v>
      </c>
      <c r="AS522" s="431" t="s">
        <v>4534</v>
      </c>
      <c r="AT522" s="482" t="s">
        <v>4534</v>
      </c>
      <c r="AU52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</v>
      </c>
      <c r="AW522" s="441" cm="1">
        <f t="array" ref="AW52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46205</v>
      </c>
      <c r="AX52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22" s="441">
        <f>IF(ISERROR(PV_DATA[[#This Row],[New Ark PO status]]),"",_xlfn.XLOOKUP(PV_DATA[[#This Row],[SPTN-PVHK New Ark PO'#]],New_Ark_Data[Purchase order Number],New_Ark_Data[Estimated time of arrival],"",0))</f>
        <v>46205</v>
      </c>
      <c r="AZ522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22" s="441">
        <f>IFERROR(PV_DATA[[#This Row],[ODP ETA Port]]+PV_DATA[[#This Row],[Customs/Leg3 Assumption]],"n/a")</f>
        <v>46205</v>
      </c>
      <c r="BB522" s="442">
        <f>YEAR(PV_DATA[[#This Row],[ETA for New Ark update]])</f>
        <v>2026</v>
      </c>
      <c r="BC522" s="431">
        <f>MONTH(PV_DATA[[#This Row],[ETA for New Ark update]])</f>
        <v>7</v>
      </c>
      <c r="BD522" s="431">
        <f>IFERROR(_xlfn.ISOWEEKNUM(PV_DATA[[#This Row],[ETA for New Ark update]]),0)</f>
        <v>27</v>
      </c>
      <c r="BE522" s="431">
        <f>_xlfn.XLOOKUP(PV_DATA[[#This Row],[New Ark SKU]],Table9[New Ark SKU],Table9[Total PCS per Pallet],,0)</f>
        <v>36</v>
      </c>
      <c r="BF522" s="431">
        <f>_xlfn.XLOOKUP(PV_DATA[[#This Row],[New Ark SKU]],Table9[New Ark SKU],Table9[Total PCS per 40HQ Container],,0)</f>
        <v>720</v>
      </c>
      <c r="BG522" s="431" t="str">
        <f>_xlfn.XLOOKUP(PV_DATA[[#This Row],[New Ark SKU]],Table9[New Ark SKU],Table9[Back Glass],,0)</f>
        <v>Transparent</v>
      </c>
      <c r="BH522" s="431" t="str">
        <f>_xlfn.XLOOKUP(PV_DATA[[#This Row],[PORT DESTINATION]],Table12[PORT DESTINATION],Table12[Cosco Line],,0)</f>
        <v>AEM</v>
      </c>
    </row>
    <row r="523" spans="1:60" s="431" customFormat="1" ht="10.5" hidden="1">
      <c r="A523" s="439" t="s">
        <v>4535</v>
      </c>
      <c r="B523" s="439" t="s">
        <v>111</v>
      </c>
      <c r="C523" s="721" t="str">
        <f>IFERROR(LEFT(PV_DATA[[#This Row],[TCL REFERENCE]],FIND(".",PV_DATA[[#This Row],[TCL REFERENCE]],1)-1),"Main Line")</f>
        <v>26Apr004</v>
      </c>
      <c r="D523" s="721" t="s">
        <v>63</v>
      </c>
      <c r="E523" s="439" t="s">
        <v>64</v>
      </c>
      <c r="F523" s="462" t="str" cm="1">
        <f t="array" ref="F52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523" s="721" t="s">
        <v>402</v>
      </c>
      <c r="H523" s="721" t="s">
        <v>115</v>
      </c>
      <c r="I523" s="721" t="s">
        <v>689</v>
      </c>
      <c r="J523" s="475" t="s">
        <v>96</v>
      </c>
      <c r="K523" s="475"/>
      <c r="L523" s="475"/>
      <c r="M523" s="475" t="s">
        <v>68</v>
      </c>
      <c r="N523" s="476">
        <v>46139</v>
      </c>
      <c r="O523" s="475" t="s">
        <v>473</v>
      </c>
      <c r="P523" s="431" t="s">
        <v>474</v>
      </c>
      <c r="Q523" s="431" t="s">
        <v>1319</v>
      </c>
      <c r="R523" s="431" t="str">
        <f>_xlfn.XLOOKUP(PV_DATA[[#This Row],[New Ark SKU]],Table9[New Ark SKU],Table9[Connector],,0)</f>
        <v>EVO2A</v>
      </c>
      <c r="S523" s="442" t="str">
        <f>_xlfn.XLOOKUP(PV_DATA[[#This Row],[New Ark SKU]],Table9[New Ark SKU],Table9[Cable],,0)</f>
        <v>±1200mm</v>
      </c>
      <c r="T523" s="442">
        <v>460</v>
      </c>
      <c r="U523" s="1067">
        <f>864*2</f>
        <v>1728</v>
      </c>
      <c r="V523" s="448">
        <f>PV_DATA[[#This Row],[QUANTITY]]*PV_DATA[[#This Row],[WATT]]/1000000</f>
        <v>0.79488000000000003</v>
      </c>
      <c r="W523" s="466">
        <f>PV_DATA[[#This Row],[QUANTITY]]/PV_DATA[[#This Row],[Qty/Pallet]]</f>
        <v>48</v>
      </c>
      <c r="X523" s="1019">
        <f>PV_DATA[[#This Row],[QUANTITY]]/PV_DATA[[#This Row],[Qty/CT]]</f>
        <v>2</v>
      </c>
      <c r="Y523" s="431" t="s">
        <v>951</v>
      </c>
      <c r="Z523" s="430" t="str">
        <f t="shared" si="5"/>
        <v>COMPLETED</v>
      </c>
      <c r="AA523" s="439" t="s">
        <v>2423</v>
      </c>
      <c r="AB523" s="441">
        <v>46154</v>
      </c>
      <c r="AC523" s="445">
        <f>IF(PV_DATA[[#This Row],[Pick-Up Date]]&lt;&gt;"",_xlfn.ISOWEEKNUM(PV_DATA[[#This Row],[Pick-Up Date]]),"")</f>
        <v>20</v>
      </c>
      <c r="AD523" s="431" t="s">
        <v>4536</v>
      </c>
      <c r="AE523" s="475"/>
      <c r="AF523" s="431" t="s">
        <v>123</v>
      </c>
      <c r="AG523" s="431" t="s">
        <v>123</v>
      </c>
      <c r="AH523" s="431" t="s">
        <v>124</v>
      </c>
      <c r="AI523" s="441">
        <v>46161</v>
      </c>
      <c r="AJ523" s="441">
        <v>46162</v>
      </c>
      <c r="AK523" s="441">
        <v>46162</v>
      </c>
      <c r="AL523" s="441">
        <v>46205</v>
      </c>
      <c r="AM523" s="441"/>
      <c r="AN523" s="441">
        <v>46205</v>
      </c>
      <c r="AO523" s="431" t="s">
        <v>402</v>
      </c>
      <c r="AP523" s="431" t="s">
        <v>4532</v>
      </c>
      <c r="AQ523" s="431" t="s">
        <v>80</v>
      </c>
      <c r="AR523" s="431" t="s">
        <v>4537</v>
      </c>
      <c r="AS523" s="431" t="s">
        <v>4538</v>
      </c>
      <c r="AT523" s="482" t="s">
        <v>4538</v>
      </c>
      <c r="AU52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</v>
      </c>
      <c r="AV523" s="441"/>
      <c r="AW523" s="441" cm="1">
        <f t="array" ref="AW52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46205</v>
      </c>
      <c r="AX52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23" s="441">
        <f>IF(ISERROR(PV_DATA[[#This Row],[New Ark PO status]]),"",_xlfn.XLOOKUP(PV_DATA[[#This Row],[SPTN-PVHK New Ark PO'#]],New_Ark_Data[Purchase order Number],New_Ark_Data[Estimated time of arrival],"",0))</f>
        <v>46219</v>
      </c>
      <c r="AZ523" s="44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523" s="441">
        <f>IFERROR(PV_DATA[[#This Row],[ODP ETA Port]]+PV_DATA[[#This Row],[Customs/Leg3 Assumption]],"n/a")</f>
        <v>46214</v>
      </c>
      <c r="BB523" s="442">
        <f>YEAR(PV_DATA[[#This Row],[ETA for New Ark update]])</f>
        <v>2026</v>
      </c>
      <c r="BC523" s="431">
        <f>MONTH(PV_DATA[[#This Row],[ETA for New Ark update]])</f>
        <v>7</v>
      </c>
      <c r="BD523" s="431">
        <f>IFERROR(_xlfn.ISOWEEKNUM(PV_DATA[[#This Row],[ETA for New Ark update]]),0)</f>
        <v>28</v>
      </c>
      <c r="BE523" s="431">
        <f>_xlfn.XLOOKUP(PV_DATA[[#This Row],[New Ark SKU]],Table9[New Ark SKU],Table9[Total PCS per Pallet],,0)</f>
        <v>36</v>
      </c>
      <c r="BF523" s="431">
        <f>_xlfn.XLOOKUP(PV_DATA[[#This Row],[New Ark SKU]],Table9[New Ark SKU],Table9[Total PCS per 40HQ Container],,0)</f>
        <v>864</v>
      </c>
      <c r="BG523" s="431" t="str">
        <f>_xlfn.XLOOKUP(PV_DATA[[#This Row],[New Ark SKU]],Table9[New Ark SKU],Table9[Back Glass],,0)</f>
        <v>Black glazing</v>
      </c>
      <c r="BH523" s="431" t="str">
        <f>_xlfn.XLOOKUP(PV_DATA[[#This Row],[PORT DESTINATION]],Table12[PORT DESTINATION],Table12[Cosco Line],,0)</f>
        <v>AEM</v>
      </c>
    </row>
    <row r="524" spans="1:60" s="431" customFormat="1" ht="10.5" hidden="1">
      <c r="A524" s="439" t="s">
        <v>4539</v>
      </c>
      <c r="B524" s="439" t="s">
        <v>61</v>
      </c>
      <c r="C524" s="721" t="str">
        <f>IFERROR(LEFT(PV_DATA[[#This Row],[TCL REFERENCE]],FIND(".",PV_DATA[[#This Row],[TCL REFERENCE]],1)-1),"Main Line")</f>
        <v>26May010</v>
      </c>
      <c r="D524" s="721" t="s">
        <v>63</v>
      </c>
      <c r="E524" s="439" t="s">
        <v>64</v>
      </c>
      <c r="F524" s="462" t="str" cm="1">
        <f t="array" ref="F52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524" s="721" t="s">
        <v>402</v>
      </c>
      <c r="H524" s="721" t="s">
        <v>451</v>
      </c>
      <c r="I524" s="721" t="s">
        <v>689</v>
      </c>
      <c r="J524" s="475" t="s">
        <v>1832</v>
      </c>
      <c r="K524" s="475"/>
      <c r="L524" s="475"/>
      <c r="M524" s="475" t="s">
        <v>68</v>
      </c>
      <c r="N524" s="476">
        <v>46153</v>
      </c>
      <c r="O524" s="475" t="s">
        <v>4540</v>
      </c>
      <c r="P524" s="431" t="s">
        <v>1151</v>
      </c>
      <c r="Q524" s="431" t="s">
        <v>421</v>
      </c>
      <c r="R524" s="431" t="str">
        <f>_xlfn.XLOOKUP(PV_DATA[[#This Row],[New Ark SKU]],Table9[New Ark SKU],Table9[Connector],,0)</f>
        <v>EVO2A</v>
      </c>
      <c r="S524" s="442" t="str">
        <f>_xlfn.XLOOKUP(PV_DATA[[#This Row],[New Ark SKU]],Table9[New Ark SKU],Table9[Cable],,0)</f>
        <v>±1200mm</v>
      </c>
      <c r="T524" s="442">
        <v>505</v>
      </c>
      <c r="U524" s="1067">
        <v>864</v>
      </c>
      <c r="V524" s="448">
        <f>PV_DATA[[#This Row],[QUANTITY]]*PV_DATA[[#This Row],[WATT]]/1000000</f>
        <v>0.43631999999999999</v>
      </c>
      <c r="W524" s="466">
        <f>PV_DATA[[#This Row],[QUANTITY]]/PV_DATA[[#This Row],[Qty/Pallet]]</f>
        <v>24</v>
      </c>
      <c r="X524" s="1019">
        <f>PV_DATA[[#This Row],[QUANTITY]]/PV_DATA[[#This Row],[Qty/CT]]</f>
        <v>1</v>
      </c>
      <c r="Y524" s="431" t="s">
        <v>951</v>
      </c>
      <c r="Z524" s="430" t="str">
        <f t="shared" si="5"/>
        <v>COMPLETED</v>
      </c>
      <c r="AA524" s="431" t="s">
        <v>4541</v>
      </c>
      <c r="AB524" s="441">
        <v>46155</v>
      </c>
      <c r="AC524" s="467">
        <f>IF(PV_DATA[[#This Row],[Pick-Up Date]]&lt;&gt;"",_xlfn.ISOWEEKNUM(PV_DATA[[#This Row],[Pick-Up Date]]),"")</f>
        <v>20</v>
      </c>
      <c r="AD524" s="431" t="s">
        <v>4542</v>
      </c>
      <c r="AE524" s="475"/>
      <c r="AF524" s="431" t="s">
        <v>61</v>
      </c>
      <c r="AG524" s="431" t="s">
        <v>61</v>
      </c>
      <c r="AH524" s="431" t="s">
        <v>456</v>
      </c>
      <c r="AI524" s="441">
        <v>46164</v>
      </c>
      <c r="AJ524" s="441">
        <v>46164</v>
      </c>
      <c r="AK524" s="441">
        <v>46164</v>
      </c>
      <c r="AL524" s="441">
        <v>46216</v>
      </c>
      <c r="AM524" s="441"/>
      <c r="AN524" s="441">
        <v>46215</v>
      </c>
      <c r="AO524" s="431" t="s">
        <v>402</v>
      </c>
      <c r="AP524" s="431" t="s">
        <v>4543</v>
      </c>
      <c r="AQ524" s="431" t="s">
        <v>80</v>
      </c>
      <c r="AR524" s="431" t="s">
        <v>4544</v>
      </c>
      <c r="AS524" s="431" t="s">
        <v>4545</v>
      </c>
      <c r="AT524" s="482" t="s">
        <v>4545</v>
      </c>
      <c r="AU52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</v>
      </c>
      <c r="AV524" s="441"/>
      <c r="AW524" s="441" cm="1">
        <f t="array" ref="AW52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46215</v>
      </c>
      <c r="AX52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24" s="441">
        <f>IF(ISERROR(PV_DATA[[#This Row],[New Ark PO status]]),"",_xlfn.XLOOKUP(PV_DATA[[#This Row],[SPTN-PVHK New Ark PO'#]],New_Ark_Data[Purchase order Number],New_Ark_Data[Estimated time of arrival],"",0))</f>
        <v>46230</v>
      </c>
      <c r="AZ52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24" s="441">
        <f>IFERROR(PV_DATA[[#This Row],[ODP ETA Port]]+PV_DATA[[#This Row],[Customs/Leg3 Assumption]],"n/a")</f>
        <v>46222</v>
      </c>
      <c r="BB524" s="442">
        <f>YEAR(PV_DATA[[#This Row],[ETA for New Ark update]])</f>
        <v>2026</v>
      </c>
      <c r="BC524" s="431">
        <f>MONTH(PV_DATA[[#This Row],[ETA for New Ark update]])</f>
        <v>7</v>
      </c>
      <c r="BD524" s="431">
        <f>IFERROR(_xlfn.ISOWEEKNUM(PV_DATA[[#This Row],[ETA for New Ark update]]),0)</f>
        <v>29</v>
      </c>
      <c r="BE524" s="431">
        <f>_xlfn.XLOOKUP(PV_DATA[[#This Row],[New Ark SKU]],Table9[New Ark SKU],Table9[Total PCS per Pallet],,0)</f>
        <v>36</v>
      </c>
      <c r="BF524" s="431">
        <f>_xlfn.XLOOKUP(PV_DATA[[#This Row],[New Ark SKU]],Table9[New Ark SKU],Table9[Total PCS per 40HQ Container],,0)</f>
        <v>864</v>
      </c>
      <c r="BG524" s="431" t="str">
        <f>_xlfn.XLOOKUP(PV_DATA[[#This Row],[New Ark SKU]],Table9[New Ark SKU],Table9[Back Glass],,0)</f>
        <v>Black glazing</v>
      </c>
      <c r="BH524" s="431" t="str">
        <f>_xlfn.XLOOKUP(PV_DATA[[#This Row],[PORT DESTINATION]],Table12[PORT DESTINATION],Table12[Cosco Line],,0)</f>
        <v>AEU</v>
      </c>
    </row>
    <row r="525" spans="1:60" s="431" customFormat="1" ht="10.5" hidden="1">
      <c r="A525" s="439" t="s">
        <v>4546</v>
      </c>
      <c r="B525" s="439" t="s">
        <v>61</v>
      </c>
      <c r="C525" s="721" t="str">
        <f>IFERROR(LEFT(PV_DATA[[#This Row],[TCL REFERENCE]],FIND(".",PV_DATA[[#This Row],[TCL REFERENCE]],1)-1),"Main Line")</f>
        <v>26May010</v>
      </c>
      <c r="D525" s="721" t="s">
        <v>63</v>
      </c>
      <c r="E525" s="439" t="s">
        <v>64</v>
      </c>
      <c r="F525" s="462" t="str" cm="1">
        <f t="array" ref="F52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525" s="721" t="s">
        <v>402</v>
      </c>
      <c r="H525" s="721" t="s">
        <v>67</v>
      </c>
      <c r="I525" s="721" t="s">
        <v>689</v>
      </c>
      <c r="J525" s="475" t="s">
        <v>96</v>
      </c>
      <c r="K525" s="475"/>
      <c r="L525" s="475"/>
      <c r="M525" s="475" t="s">
        <v>68</v>
      </c>
      <c r="N525" s="476" t="s">
        <v>68</v>
      </c>
      <c r="O525" s="475" t="s">
        <v>4540</v>
      </c>
      <c r="P525" s="431" t="s">
        <v>1151</v>
      </c>
      <c r="Q525" s="431" t="s">
        <v>421</v>
      </c>
      <c r="R525" s="431" t="str">
        <f>_xlfn.XLOOKUP(PV_DATA[[#This Row],[New Ark SKU]],Table9[New Ark SKU],Table9[Connector],,0)</f>
        <v>EVO2A</v>
      </c>
      <c r="S525" s="442" t="str">
        <f>_xlfn.XLOOKUP(PV_DATA[[#This Row],[New Ark SKU]],Table9[New Ark SKU],Table9[Cable],,0)</f>
        <v>±1200mm</v>
      </c>
      <c r="T525" s="442">
        <v>505</v>
      </c>
      <c r="U525" s="1067">
        <v>4320</v>
      </c>
      <c r="V525" s="448">
        <f>PV_DATA[[#This Row],[QUANTITY]]*PV_DATA[[#This Row],[WATT]]/1000000</f>
        <v>2.1816</v>
      </c>
      <c r="W525" s="466">
        <f>PV_DATA[[#This Row],[QUANTITY]]/PV_DATA[[#This Row],[Qty/Pallet]]</f>
        <v>120</v>
      </c>
      <c r="X525" s="1019">
        <f>PV_DATA[[#This Row],[QUANTITY]]/PV_DATA[[#This Row],[Qty/CT]]</f>
        <v>5</v>
      </c>
      <c r="Y525" s="431" t="s">
        <v>951</v>
      </c>
      <c r="Z525" s="430" t="str">
        <f t="shared" si="5"/>
        <v>COMPLETED</v>
      </c>
      <c r="AA525" s="431" t="s">
        <v>4510</v>
      </c>
      <c r="AB525" s="441">
        <v>46155</v>
      </c>
      <c r="AC525" s="467">
        <f>IF(PV_DATA[[#This Row],[Pick-Up Date]]&lt;&gt;"",_xlfn.ISOWEEKNUM(PV_DATA[[#This Row],[Pick-Up Date]]),"")</f>
        <v>20</v>
      </c>
      <c r="AD525" s="431" t="s">
        <v>4547</v>
      </c>
      <c r="AE525" s="475"/>
      <c r="AF525" s="431" t="s">
        <v>61</v>
      </c>
      <c r="AG525" s="431" t="s">
        <v>61</v>
      </c>
      <c r="AH525" s="431" t="s">
        <v>105</v>
      </c>
      <c r="AI525" s="441">
        <v>46164</v>
      </c>
      <c r="AJ525" s="441">
        <v>46164</v>
      </c>
      <c r="AK525" s="441">
        <v>46164</v>
      </c>
      <c r="AL525" s="441">
        <v>46203</v>
      </c>
      <c r="AM525" s="441">
        <v>46210</v>
      </c>
      <c r="AN525" s="441">
        <v>46211</v>
      </c>
      <c r="AO525" s="431" t="s">
        <v>402</v>
      </c>
      <c r="AP525" s="431" t="s">
        <v>4543</v>
      </c>
      <c r="AQ525" s="431" t="s">
        <v>80</v>
      </c>
      <c r="AR525" s="431" t="s">
        <v>4548</v>
      </c>
      <c r="AS525" s="431" t="s">
        <v>4549</v>
      </c>
      <c r="AT525" s="482" t="s">
        <v>4549</v>
      </c>
      <c r="AU52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V525" s="441"/>
      <c r="AW525" s="441" cm="1">
        <f t="array" ref="AW52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46211</v>
      </c>
      <c r="AX52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25" s="441">
        <f>IF(ISERROR(PV_DATA[[#This Row],[New Ark PO status]]),"",_xlfn.XLOOKUP(PV_DATA[[#This Row],[SPTN-PVHK New Ark PO'#]],New_Ark_Data[Purchase order Number],New_Ark_Data[Estimated time of arrival],"",0))</f>
        <v>46225</v>
      </c>
      <c r="AZ52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25" s="441">
        <f>IFERROR(PV_DATA[[#This Row],[ODP ETA Port]]+PV_DATA[[#This Row],[Customs/Leg3 Assumption]],"n/a")</f>
        <v>46218</v>
      </c>
      <c r="BB525" s="442">
        <f>YEAR(PV_DATA[[#This Row],[ETA for New Ark update]])</f>
        <v>2026</v>
      </c>
      <c r="BC525" s="431">
        <f>MONTH(PV_DATA[[#This Row],[ETA for New Ark update]])</f>
        <v>7</v>
      </c>
      <c r="BD525" s="431">
        <f>IFERROR(_xlfn.ISOWEEKNUM(PV_DATA[[#This Row],[ETA for New Ark update]]),0)</f>
        <v>29</v>
      </c>
      <c r="BE525" s="431">
        <f>_xlfn.XLOOKUP(PV_DATA[[#This Row],[New Ark SKU]],Table9[New Ark SKU],Table9[Total PCS per Pallet],,0)</f>
        <v>36</v>
      </c>
      <c r="BF525" s="431">
        <f>_xlfn.XLOOKUP(PV_DATA[[#This Row],[New Ark SKU]],Table9[New Ark SKU],Table9[Total PCS per 40HQ Container],,0)</f>
        <v>864</v>
      </c>
      <c r="BG525" s="431" t="str">
        <f>_xlfn.XLOOKUP(PV_DATA[[#This Row],[New Ark SKU]],Table9[New Ark SKU],Table9[Back Glass],,0)</f>
        <v>Black glazing</v>
      </c>
      <c r="BH525" s="431" t="str">
        <f>_xlfn.XLOOKUP(PV_DATA[[#This Row],[PORT DESTINATION]],Table12[PORT DESTINATION],Table12[Cosco Line],,0)</f>
        <v>AEU</v>
      </c>
    </row>
    <row r="526" spans="1:60" s="431" customFormat="1" ht="10.5" hidden="1">
      <c r="A526" s="439" t="s">
        <v>4550</v>
      </c>
      <c r="B526" s="439" t="s">
        <v>61</v>
      </c>
      <c r="C526" s="721" t="str">
        <f>IFERROR(LEFT(PV_DATA[[#This Row],[TCL REFERENCE]],FIND(".",PV_DATA[[#This Row],[TCL REFERENCE]],1)-1),"Main Line")</f>
        <v>26Apr011</v>
      </c>
      <c r="D526" s="721" t="s">
        <v>63</v>
      </c>
      <c r="E526" s="439" t="s">
        <v>64</v>
      </c>
      <c r="F526" s="462" t="str" cm="1">
        <f t="array" ref="F52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526" s="721" t="s">
        <v>402</v>
      </c>
      <c r="H526" s="721" t="s">
        <v>67</v>
      </c>
      <c r="I526" s="721" t="s">
        <v>689</v>
      </c>
      <c r="J526" s="475" t="s">
        <v>96</v>
      </c>
      <c r="K526" s="475"/>
      <c r="L526" s="475"/>
      <c r="M526" s="475" t="s">
        <v>68</v>
      </c>
      <c r="N526" s="476">
        <v>46125</v>
      </c>
      <c r="O526" s="475" t="s">
        <v>70</v>
      </c>
      <c r="P526" s="431" t="s">
        <v>195</v>
      </c>
      <c r="Q526" s="431" t="s">
        <v>196</v>
      </c>
      <c r="R526" s="431" t="str">
        <f>_xlfn.XLOOKUP(PV_DATA[[#This Row],[New Ark SKU]],Table9[New Ark SKU],Table9[Connector],,0)</f>
        <v>EVO2A</v>
      </c>
      <c r="S526" s="442" t="str">
        <f>_xlfn.XLOOKUP(PV_DATA[[#This Row],[New Ark SKU]],Table9[New Ark SKU],Table9[Cable],,0)</f>
        <v>±1200mm</v>
      </c>
      <c r="T526" s="442">
        <v>450</v>
      </c>
      <c r="U526" s="1067">
        <f>936*4</f>
        <v>3744</v>
      </c>
      <c r="V526" s="448">
        <f>PV_DATA[[#This Row],[QUANTITY]]*PV_DATA[[#This Row],[WATT]]/1000000</f>
        <v>1.6848000000000001</v>
      </c>
      <c r="W526" s="466">
        <f>PV_DATA[[#This Row],[QUANTITY]]/PV_DATA[[#This Row],[Qty/Pallet]]</f>
        <v>104</v>
      </c>
      <c r="X526" s="1019">
        <f>PV_DATA[[#This Row],[QUANTITY]]/PV_DATA[[#This Row],[Qty/CT]]</f>
        <v>4</v>
      </c>
      <c r="Y526" s="431" t="s">
        <v>951</v>
      </c>
      <c r="Z526" s="430" t="str">
        <f t="shared" si="5"/>
        <v>COMPLETED</v>
      </c>
      <c r="AA526" s="431" t="s">
        <v>4551</v>
      </c>
      <c r="AB526" s="441">
        <v>46155</v>
      </c>
      <c r="AC526" s="467">
        <f>IF(PV_DATA[[#This Row],[Pick-Up Date]]&lt;&gt;"",_xlfn.ISOWEEKNUM(PV_DATA[[#This Row],[Pick-Up Date]]),"")</f>
        <v>20</v>
      </c>
      <c r="AD526" s="431" t="s">
        <v>4552</v>
      </c>
      <c r="AE526" s="475"/>
      <c r="AF526" s="431" t="s">
        <v>77</v>
      </c>
      <c r="AG526" s="431" t="s">
        <v>61</v>
      </c>
      <c r="AH526" s="431" t="s">
        <v>105</v>
      </c>
      <c r="AI526" s="441">
        <v>46164</v>
      </c>
      <c r="AJ526" s="441">
        <v>46164</v>
      </c>
      <c r="AK526" s="441">
        <v>46164</v>
      </c>
      <c r="AL526" s="441">
        <v>46203</v>
      </c>
      <c r="AM526" s="441">
        <v>46210</v>
      </c>
      <c r="AN526" s="441">
        <v>46211</v>
      </c>
      <c r="AO526" s="431" t="s">
        <v>402</v>
      </c>
      <c r="AP526" s="431" t="s">
        <v>4543</v>
      </c>
      <c r="AQ526" s="431" t="s">
        <v>80</v>
      </c>
      <c r="AR526" s="431" t="s">
        <v>4548</v>
      </c>
      <c r="AS526" s="431" t="s">
        <v>4549</v>
      </c>
      <c r="AT526" s="482" t="s">
        <v>4549</v>
      </c>
      <c r="AU52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V526" s="441"/>
      <c r="AW526" s="441" cm="1">
        <f t="array" ref="AW52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46211</v>
      </c>
      <c r="AX52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26" s="441">
        <f>IF(ISERROR(PV_DATA[[#This Row],[New Ark PO status]]),"",_xlfn.XLOOKUP(PV_DATA[[#This Row],[SPTN-PVHK New Ark PO'#]],New_Ark_Data[Purchase order Number],New_Ark_Data[Estimated time of arrival],"",0))</f>
        <v>46225</v>
      </c>
      <c r="AZ52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26" s="441">
        <f>IFERROR(PV_DATA[[#This Row],[ODP ETA Port]]+PV_DATA[[#This Row],[Customs/Leg3 Assumption]],"n/a")</f>
        <v>46218</v>
      </c>
      <c r="BB526" s="442">
        <f>YEAR(PV_DATA[[#This Row],[ETA for New Ark update]])</f>
        <v>2026</v>
      </c>
      <c r="BC526" s="431">
        <f>MONTH(PV_DATA[[#This Row],[ETA for New Ark update]])</f>
        <v>7</v>
      </c>
      <c r="BD526" s="431">
        <f>IFERROR(_xlfn.ISOWEEKNUM(PV_DATA[[#This Row],[ETA for New Ark update]]),0)</f>
        <v>29</v>
      </c>
      <c r="BE526" s="431">
        <f>_xlfn.XLOOKUP(PV_DATA[[#This Row],[New Ark SKU]],Table9[New Ark SKU],Table9[Total PCS per Pallet],,0)</f>
        <v>36</v>
      </c>
      <c r="BF526" s="431">
        <f>_xlfn.XLOOKUP(PV_DATA[[#This Row],[New Ark SKU]],Table9[New Ark SKU],Table9[Total PCS per 40HQ Container],,0)</f>
        <v>936</v>
      </c>
      <c r="BG526" s="431" t="str">
        <f>_xlfn.XLOOKUP(PV_DATA[[#This Row],[New Ark SKU]],Table9[New Ark SKU],Table9[Back Glass],,0)</f>
        <v>Black glazing</v>
      </c>
      <c r="BH526" s="431" t="str">
        <f>_xlfn.XLOOKUP(PV_DATA[[#This Row],[PORT DESTINATION]],Table12[PORT DESTINATION],Table12[Cosco Line],,0)</f>
        <v>AEU</v>
      </c>
    </row>
    <row r="527" spans="1:60" s="431" customFormat="1" ht="10.5" hidden="1">
      <c r="A527" s="439" t="s">
        <v>4553</v>
      </c>
      <c r="B527" s="439" t="s">
        <v>61</v>
      </c>
      <c r="C527" s="721" t="str">
        <f>IFERROR(LEFT(PV_DATA[[#This Row],[TCL REFERENCE]],FIND(".",PV_DATA[[#This Row],[TCL REFERENCE]],1)-1),"Main Line")</f>
        <v>26May009</v>
      </c>
      <c r="D527" s="721" t="s">
        <v>63</v>
      </c>
      <c r="E527" s="439" t="s">
        <v>144</v>
      </c>
      <c r="F527" s="462" t="str" cm="1">
        <f t="array" ref="F52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27" s="721" t="s">
        <v>402</v>
      </c>
      <c r="H527" s="721" t="s">
        <v>1029</v>
      </c>
      <c r="I527" s="721" t="s">
        <v>689</v>
      </c>
      <c r="J527" s="475" t="s">
        <v>4554</v>
      </c>
      <c r="K527" s="475" t="s">
        <v>2389</v>
      </c>
      <c r="L527" s="475">
        <v>2</v>
      </c>
      <c r="M527" s="475" t="s">
        <v>840</v>
      </c>
      <c r="N527" s="476">
        <v>46153</v>
      </c>
      <c r="O527" s="475" t="s">
        <v>4540</v>
      </c>
      <c r="P527" s="431" t="s">
        <v>71</v>
      </c>
      <c r="Q527" s="431" t="s">
        <v>72</v>
      </c>
      <c r="R527" s="431" t="str">
        <f>_xlfn.XLOOKUP(PV_DATA[[#This Row],[New Ark SKU]],Table9[New Ark SKU],Table9[Connector],,0)</f>
        <v>EVO2A</v>
      </c>
      <c r="S527" s="442" t="str">
        <f>_xlfn.XLOOKUP(PV_DATA[[#This Row],[New Ark SKU]],Table9[New Ark SKU],Table9[Cable],,0)</f>
        <v>±1200mm</v>
      </c>
      <c r="T527" s="442">
        <v>500</v>
      </c>
      <c r="U527" s="1067">
        <v>864</v>
      </c>
      <c r="V527" s="448">
        <f>PV_DATA[[#This Row],[QUANTITY]]*PV_DATA[[#This Row],[WATT]]/1000000</f>
        <v>0.432</v>
      </c>
      <c r="W527" s="466">
        <f>PV_DATA[[#This Row],[QUANTITY]]/PV_DATA[[#This Row],[Qty/Pallet]]</f>
        <v>24</v>
      </c>
      <c r="X527" s="1019">
        <f>PV_DATA[[#This Row],[QUANTITY]]/PV_DATA[[#This Row],[Qty/CT]]</f>
        <v>1</v>
      </c>
      <c r="Y527" s="431" t="s">
        <v>951</v>
      </c>
      <c r="Z527" s="430" t="str">
        <f t="shared" si="5"/>
        <v>COMPLETED</v>
      </c>
      <c r="AA527" s="431" t="s">
        <v>4555</v>
      </c>
      <c r="AB527" s="441">
        <v>46157</v>
      </c>
      <c r="AC527" s="467">
        <f>IF(PV_DATA[[#This Row],[Pick-Up Date]]&lt;&gt;"",_xlfn.ISOWEEKNUM(PV_DATA[[#This Row],[Pick-Up Date]]),"")</f>
        <v>20</v>
      </c>
      <c r="AD527" s="431" t="s">
        <v>4556</v>
      </c>
      <c r="AE527" s="475"/>
      <c r="AF527" s="431" t="s">
        <v>77</v>
      </c>
      <c r="AG527" s="431" t="s">
        <v>61</v>
      </c>
      <c r="AH527" s="431" t="s">
        <v>888</v>
      </c>
      <c r="AI527" s="441">
        <v>46164</v>
      </c>
      <c r="AJ527" s="441">
        <v>46164</v>
      </c>
      <c r="AK527" s="441">
        <v>46164</v>
      </c>
      <c r="AL527" s="441">
        <v>46225</v>
      </c>
      <c r="AM527" s="441">
        <v>46226</v>
      </c>
      <c r="AN527" s="441">
        <v>46225</v>
      </c>
      <c r="AO527" s="431" t="s">
        <v>402</v>
      </c>
      <c r="AP527" s="431" t="s">
        <v>4543</v>
      </c>
      <c r="AQ527" s="431" t="s">
        <v>80</v>
      </c>
      <c r="AR527" s="431" t="s">
        <v>4557</v>
      </c>
      <c r="AS527" s="431" t="s">
        <v>4558</v>
      </c>
      <c r="AT527" s="482" t="s">
        <v>4558</v>
      </c>
      <c r="AU52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61</v>
      </c>
      <c r="AV527" s="441"/>
      <c r="AW527" s="441" cm="1">
        <f t="array" ref="AW52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46225</v>
      </c>
      <c r="AX52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27" s="441">
        <f>IF(ISERROR(PV_DATA[[#This Row],[New Ark PO status]]),"",_xlfn.XLOOKUP(PV_DATA[[#This Row],[SPTN-PVHK New Ark PO'#]],New_Ark_Data[Purchase order Number],New_Ark_Data[Estimated time of arrival],"",0))</f>
        <v>46225</v>
      </c>
      <c r="AZ527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27" s="441">
        <f>IFERROR(PV_DATA[[#This Row],[ODP ETA Port]]+PV_DATA[[#This Row],[Customs/Leg3 Assumption]],"n/a")</f>
        <v>46225</v>
      </c>
      <c r="BB527" s="442">
        <f>YEAR(PV_DATA[[#This Row],[ETA for New Ark update]])</f>
        <v>2026</v>
      </c>
      <c r="BC527" s="431">
        <f>MONTH(PV_DATA[[#This Row],[ETA for New Ark update]])</f>
        <v>7</v>
      </c>
      <c r="BD527" s="431">
        <f>IFERROR(_xlfn.ISOWEEKNUM(PV_DATA[[#This Row],[ETA for New Ark update]]),0)</f>
        <v>30</v>
      </c>
      <c r="BE527" s="431">
        <f>_xlfn.XLOOKUP(PV_DATA[[#This Row],[New Ark SKU]],Table9[New Ark SKU],Table9[Total PCS per Pallet],,0)</f>
        <v>36</v>
      </c>
      <c r="BF527" s="431">
        <f>_xlfn.XLOOKUP(PV_DATA[[#This Row],[New Ark SKU]],Table9[New Ark SKU],Table9[Total PCS per 40HQ Container],,0)</f>
        <v>864</v>
      </c>
      <c r="BG527" s="431" t="str">
        <f>_xlfn.XLOOKUP(PV_DATA[[#This Row],[New Ark SKU]],Table9[New Ark SKU],Table9[Back Glass],,0)</f>
        <v>Black glazing</v>
      </c>
      <c r="BH527" s="431" t="str">
        <f>_xlfn.XLOOKUP(PV_DATA[[#This Row],[PORT DESTINATION]],Table12[PORT DESTINATION],Table12[Cosco Line],,0)</f>
        <v>AEU</v>
      </c>
    </row>
    <row r="528" spans="1:60" s="431" customFormat="1" ht="10.5" hidden="1">
      <c r="A528" s="439" t="s">
        <v>4559</v>
      </c>
      <c r="B528" s="439" t="s">
        <v>61</v>
      </c>
      <c r="C528" s="439" t="str">
        <f>IFERROR(LEFT(PV_DATA[[#This Row],[TCL REFERENCE]],FIND(".",PV_DATA[[#This Row],[TCL REFERENCE]],1)-1),"Main Line")</f>
        <v>26Apr014</v>
      </c>
      <c r="D528" s="439" t="s">
        <v>63</v>
      </c>
      <c r="E528" s="439" t="s">
        <v>144</v>
      </c>
      <c r="F528" s="439" t="str" cm="1">
        <f t="array" ref="F52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28" s="439" t="s">
        <v>146</v>
      </c>
      <c r="H528" s="439" t="s">
        <v>2382</v>
      </c>
      <c r="I528" s="439" t="s">
        <v>869</v>
      </c>
      <c r="J528" s="431" t="s">
        <v>2382</v>
      </c>
      <c r="K528" s="431" t="s">
        <v>4560</v>
      </c>
      <c r="L528" s="431">
        <v>1</v>
      </c>
      <c r="M528" s="431" t="s">
        <v>840</v>
      </c>
      <c r="N528" s="461" t="s">
        <v>68</v>
      </c>
      <c r="O528" s="431" t="s">
        <v>70</v>
      </c>
      <c r="P528" s="431" t="s">
        <v>1151</v>
      </c>
      <c r="Q528" s="431" t="s">
        <v>421</v>
      </c>
      <c r="R528" s="431" t="str">
        <f>_xlfn.XLOOKUP(PV_DATA[[#This Row],[New Ark SKU]],Table9[New Ark SKU],Table9[Connector],,0)</f>
        <v>EVO2A</v>
      </c>
      <c r="S528" s="442" t="str">
        <f>_xlfn.XLOOKUP(PV_DATA[[#This Row],[New Ark SKU]],Table9[New Ark SKU],Table9[Cable],,0)</f>
        <v>±1200mm</v>
      </c>
      <c r="T528" s="442">
        <v>505</v>
      </c>
      <c r="U528" s="1067">
        <f>864*1</f>
        <v>864</v>
      </c>
      <c r="V528" s="448">
        <f>PV_DATA[[#This Row],[QUANTITY]]*PV_DATA[[#This Row],[WATT]]/1000000</f>
        <v>0.43631999999999999</v>
      </c>
      <c r="W528" s="466">
        <f>PV_DATA[[#This Row],[QUANTITY]]/PV_DATA[[#This Row],[Qty/Pallet]]</f>
        <v>24</v>
      </c>
      <c r="X528" s="1019">
        <f>PV_DATA[[#This Row],[QUANTITY]]/PV_DATA[[#This Row],[Qty/CT]]</f>
        <v>1</v>
      </c>
      <c r="Y528" s="431" t="s">
        <v>951</v>
      </c>
      <c r="Z528" s="430" t="str">
        <f t="shared" si="5"/>
        <v>COMPLETED</v>
      </c>
      <c r="AA528" s="474" t="s">
        <v>4561</v>
      </c>
      <c r="AB528" s="441">
        <v>46153</v>
      </c>
      <c r="AC528" s="467">
        <f>IF(PV_DATA[[#This Row],[Pick-Up Date]]&lt;&gt;"",_xlfn.ISOWEEKNUM(PV_DATA[[#This Row],[Pick-Up Date]]),"")</f>
        <v>20</v>
      </c>
      <c r="AD528" s="431" t="s">
        <v>4562</v>
      </c>
      <c r="AF528" s="431" t="s">
        <v>77</v>
      </c>
      <c r="AG528" s="431" t="s">
        <v>61</v>
      </c>
      <c r="AH528" s="431" t="s">
        <v>78</v>
      </c>
      <c r="AI528" s="441">
        <v>46164</v>
      </c>
      <c r="AJ528" s="441">
        <v>46164</v>
      </c>
      <c r="AK528" s="441">
        <v>46164</v>
      </c>
      <c r="AL528" s="441">
        <v>46223</v>
      </c>
      <c r="AM528" s="441">
        <v>46235</v>
      </c>
      <c r="AN528" s="586">
        <f>IFERROR(IF(VLOOKUP(AT528,Vessel!A:I,9,FALSE)=0,"",VLOOKUP(AT528,Vessel!A:I,9,FALSE)),"")</f>
        <v>46236.239571759259</v>
      </c>
      <c r="AO528" s="431" t="s">
        <v>402</v>
      </c>
      <c r="AP528" s="431" t="s">
        <v>4543</v>
      </c>
      <c r="AQ528" s="431" t="s">
        <v>80</v>
      </c>
      <c r="AR528" s="431" t="s">
        <v>4563</v>
      </c>
      <c r="AS528" s="431" t="s">
        <v>4564</v>
      </c>
      <c r="AT528" s="482" t="s">
        <v>4564</v>
      </c>
      <c r="AU52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72.239571759258979</v>
      </c>
      <c r="AV528" s="441"/>
      <c r="AW528" s="441" cm="1">
        <f t="array" ref="AW52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46236.239571759259</v>
      </c>
      <c r="AX52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28" s="441">
        <f>IF(ISERROR(PV_DATA[[#This Row],[New Ark PO status]]),"",_xlfn.XLOOKUP(PV_DATA[[#This Row],[SPTN-PVHK New Ark PO'#]],New_Ark_Data[Purchase order Number],New_Ark_Data[Estimated time of arrival],"",0))</f>
        <v>46244</v>
      </c>
      <c r="AZ528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28" s="441">
        <f>IFERROR(PV_DATA[[#This Row],[ODP ETA Port]]+PV_DATA[[#This Row],[Customs/Leg3 Assumption]],"n/a")</f>
        <v>46236.239571759259</v>
      </c>
      <c r="BB528" s="442">
        <f>YEAR(PV_DATA[[#This Row],[ETA for New Ark update]])</f>
        <v>2026</v>
      </c>
      <c r="BC528" s="431">
        <f>MONTH(PV_DATA[[#This Row],[ETA for New Ark update]])</f>
        <v>8</v>
      </c>
      <c r="BD528" s="431">
        <f>IFERROR(_xlfn.ISOWEEKNUM(PV_DATA[[#This Row],[ETA for New Ark update]]),0)</f>
        <v>31</v>
      </c>
      <c r="BE528" s="431">
        <f>_xlfn.XLOOKUP(PV_DATA[[#This Row],[New Ark SKU]],Table9[New Ark SKU],Table9[Total PCS per Pallet],,0)</f>
        <v>36</v>
      </c>
      <c r="BF528" s="431">
        <f>_xlfn.XLOOKUP(PV_DATA[[#This Row],[New Ark SKU]],Table9[New Ark SKU],Table9[Total PCS per 40HQ Container],,0)</f>
        <v>864</v>
      </c>
      <c r="BG528" s="431" t="str">
        <f>_xlfn.XLOOKUP(PV_DATA[[#This Row],[New Ark SKU]],Table9[New Ark SKU],Table9[Back Glass],,0)</f>
        <v>Black glazing</v>
      </c>
      <c r="BH528" s="431" t="str">
        <f>_xlfn.XLOOKUP(PV_DATA[[#This Row],[PORT DESTINATION]],Table12[PORT DESTINATION],Table12[Cosco Line],,0)</f>
        <v>AEM</v>
      </c>
    </row>
    <row r="529" spans="1:60" s="431" customFormat="1" ht="10.5" hidden="1">
      <c r="A529" s="439" t="s">
        <v>4565</v>
      </c>
      <c r="B529" s="439" t="s">
        <v>61</v>
      </c>
      <c r="C529" s="439" t="str">
        <f>IFERROR(LEFT(PV_DATA[[#This Row],[TCL REFERENCE]],FIND(".",PV_DATA[[#This Row],[TCL REFERENCE]],1)-1),"Main Line")</f>
        <v>26Apr014</v>
      </c>
      <c r="D529" s="439" t="s">
        <v>63</v>
      </c>
      <c r="E529" s="439" t="s">
        <v>144</v>
      </c>
      <c r="F529" s="439" t="str" cm="1">
        <f t="array" ref="F52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29" s="439" t="s">
        <v>146</v>
      </c>
      <c r="H529" s="439" t="s">
        <v>2382</v>
      </c>
      <c r="I529" s="439" t="s">
        <v>869</v>
      </c>
      <c r="J529" s="431" t="s">
        <v>2382</v>
      </c>
      <c r="K529" s="431" t="s">
        <v>4566</v>
      </c>
      <c r="L529" s="431" t="s">
        <v>4567</v>
      </c>
      <c r="M529" s="431" t="s">
        <v>840</v>
      </c>
      <c r="N529" s="461" t="s">
        <v>68</v>
      </c>
      <c r="O529" s="431" t="s">
        <v>70</v>
      </c>
      <c r="P529" s="431" t="s">
        <v>1151</v>
      </c>
      <c r="Q529" s="431" t="s">
        <v>421</v>
      </c>
      <c r="R529" s="431" t="str">
        <f>_xlfn.XLOOKUP(PV_DATA[[#This Row],[New Ark SKU]],Table9[New Ark SKU],Table9[Connector],,0)</f>
        <v>EVO2A</v>
      </c>
      <c r="S529" s="442" t="str">
        <f>_xlfn.XLOOKUP(PV_DATA[[#This Row],[New Ark SKU]],Table9[New Ark SKU],Table9[Cable],,0)</f>
        <v>±1200mm</v>
      </c>
      <c r="T529" s="442">
        <v>505</v>
      </c>
      <c r="U529" s="1067">
        <f>864*3</f>
        <v>2592</v>
      </c>
      <c r="V529" s="448">
        <f>PV_DATA[[#This Row],[QUANTITY]]*PV_DATA[[#This Row],[WATT]]/1000000</f>
        <v>1.3089599999999999</v>
      </c>
      <c r="W529" s="466">
        <f>PV_DATA[[#This Row],[QUANTITY]]/PV_DATA[[#This Row],[Qty/Pallet]]</f>
        <v>72</v>
      </c>
      <c r="X529" s="1019">
        <f>PV_DATA[[#This Row],[QUANTITY]]/PV_DATA[[#This Row],[Qty/CT]]</f>
        <v>3</v>
      </c>
      <c r="Y529" s="431" t="s">
        <v>951</v>
      </c>
      <c r="Z529" s="430" t="str">
        <f t="shared" si="5"/>
        <v>COMPLETED</v>
      </c>
      <c r="AA529" s="474" t="s">
        <v>4561</v>
      </c>
      <c r="AB529" s="441">
        <v>46153</v>
      </c>
      <c r="AC529" s="467">
        <f>IF(PV_DATA[[#This Row],[Pick-Up Date]]&lt;&gt;"",_xlfn.ISOWEEKNUM(PV_DATA[[#This Row],[Pick-Up Date]]),"")</f>
        <v>20</v>
      </c>
      <c r="AD529" s="431" t="s">
        <v>4568</v>
      </c>
      <c r="AF529" s="431" t="s">
        <v>77</v>
      </c>
      <c r="AG529" s="431" t="s">
        <v>61</v>
      </c>
      <c r="AH529" s="431" t="s">
        <v>78</v>
      </c>
      <c r="AI529" s="441">
        <v>46164</v>
      </c>
      <c r="AJ529" s="441">
        <v>46164</v>
      </c>
      <c r="AK529" s="441">
        <v>46164</v>
      </c>
      <c r="AL529" s="441">
        <v>46223</v>
      </c>
      <c r="AM529" s="441">
        <v>46235</v>
      </c>
      <c r="AN529" s="586">
        <f>IFERROR(IF(VLOOKUP(AT529,Vessel!A:I,9,FALSE)=0,"",VLOOKUP(AT529,Vessel!A:I,9,FALSE)),"")</f>
        <v>46236.239571759259</v>
      </c>
      <c r="AO529" s="431" t="s">
        <v>402</v>
      </c>
      <c r="AP529" s="431" t="s">
        <v>4543</v>
      </c>
      <c r="AQ529" s="431" t="s">
        <v>80</v>
      </c>
      <c r="AR529" s="431" t="s">
        <v>4563</v>
      </c>
      <c r="AS529" s="431" t="s">
        <v>4564</v>
      </c>
      <c r="AT529" s="482" t="s">
        <v>4564</v>
      </c>
      <c r="AU52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72.239571759258979</v>
      </c>
      <c r="AV529" s="441"/>
      <c r="AW529" s="441" cm="1">
        <f t="array" ref="AW52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46236.239571759259</v>
      </c>
      <c r="AX52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29" s="441">
        <f>IF(ISERROR(PV_DATA[[#This Row],[New Ark PO status]]),"",_xlfn.XLOOKUP(PV_DATA[[#This Row],[SPTN-PVHK New Ark PO'#]],New_Ark_Data[Purchase order Number],New_Ark_Data[Estimated time of arrival],"",0))</f>
        <v>46244</v>
      </c>
      <c r="AZ529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29" s="441">
        <f>IFERROR(PV_DATA[[#This Row],[ODP ETA Port]]+PV_DATA[[#This Row],[Customs/Leg3 Assumption]],"n/a")</f>
        <v>46236.239571759259</v>
      </c>
      <c r="BB529" s="442">
        <f>YEAR(PV_DATA[[#This Row],[ETA for New Ark update]])</f>
        <v>2026</v>
      </c>
      <c r="BC529" s="431">
        <f>MONTH(PV_DATA[[#This Row],[ETA for New Ark update]])</f>
        <v>8</v>
      </c>
      <c r="BD529" s="431">
        <f>IFERROR(_xlfn.ISOWEEKNUM(PV_DATA[[#This Row],[ETA for New Ark update]]),0)</f>
        <v>31</v>
      </c>
      <c r="BE529" s="431">
        <f>_xlfn.XLOOKUP(PV_DATA[[#This Row],[New Ark SKU]],Table9[New Ark SKU],Table9[Total PCS per Pallet],,0)</f>
        <v>36</v>
      </c>
      <c r="BF529" s="431">
        <f>_xlfn.XLOOKUP(PV_DATA[[#This Row],[New Ark SKU]],Table9[New Ark SKU],Table9[Total PCS per 40HQ Container],,0)</f>
        <v>864</v>
      </c>
      <c r="BG529" s="431" t="str">
        <f>_xlfn.XLOOKUP(PV_DATA[[#This Row],[New Ark SKU]],Table9[New Ark SKU],Table9[Back Glass],,0)</f>
        <v>Black glazing</v>
      </c>
      <c r="BH529" s="431" t="str">
        <f>_xlfn.XLOOKUP(PV_DATA[[#This Row],[PORT DESTINATION]],Table12[PORT DESTINATION],Table12[Cosco Line],,0)</f>
        <v>AEM</v>
      </c>
    </row>
    <row r="530" spans="1:60" s="477" customFormat="1" ht="10.5" hidden="1">
      <c r="A530" s="439" t="s">
        <v>4569</v>
      </c>
      <c r="B530" s="439" t="s">
        <v>2132</v>
      </c>
      <c r="C530" s="721" t="str">
        <f>IFERROR(LEFT(PV_DATA[[#This Row],[TCL REFERENCE]],FIND(".",PV_DATA[[#This Row],[TCL REFERENCE]],1)-1),"Main Line")</f>
        <v>26Apr008</v>
      </c>
      <c r="D530" s="721" t="s">
        <v>63</v>
      </c>
      <c r="E530" s="439" t="s">
        <v>64</v>
      </c>
      <c r="F530" s="462" t="str" cm="1">
        <f t="array" ref="F53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530" s="721" t="s">
        <v>402</v>
      </c>
      <c r="H530" s="721" t="s">
        <v>115</v>
      </c>
      <c r="I530" s="721" t="s">
        <v>689</v>
      </c>
      <c r="J530" s="475" t="s">
        <v>96</v>
      </c>
      <c r="K530" s="475"/>
      <c r="L530" s="475"/>
      <c r="M530" s="475" t="s">
        <v>68</v>
      </c>
      <c r="N530" s="476">
        <v>46146</v>
      </c>
      <c r="O530" s="475" t="s">
        <v>170</v>
      </c>
      <c r="P530" s="431" t="s">
        <v>1977</v>
      </c>
      <c r="Q530" s="431" t="s">
        <v>1978</v>
      </c>
      <c r="R530" s="431" t="str">
        <f>_xlfn.XLOOKUP(PV_DATA[[#This Row],[New Ark SKU]],Table9[New Ark SKU],Table9[Connector],,0)</f>
        <v>EVO2A</v>
      </c>
      <c r="S530" s="442" t="str">
        <f>_xlfn.XLOOKUP(PV_DATA[[#This Row],[New Ark SKU]],Table9[New Ark SKU],Table9[Cable],,0)</f>
        <v>±1400mm</v>
      </c>
      <c r="T530" s="442">
        <v>560</v>
      </c>
      <c r="U530" s="1067">
        <f>660*2</f>
        <v>1320</v>
      </c>
      <c r="V530" s="448">
        <f>PV_DATA[[#This Row],[QUANTITY]]*PV_DATA[[#This Row],[WATT]]/1000000</f>
        <v>0.73919999999999997</v>
      </c>
      <c r="W530" s="466">
        <f>PV_DATA[[#This Row],[QUANTITY]]/PV_DATA[[#This Row],[Qty/Pallet]]</f>
        <v>40</v>
      </c>
      <c r="X530" s="1019">
        <f>PV_DATA[[#This Row],[QUANTITY]]/PV_DATA[[#This Row],[Qty/CT]]</f>
        <v>2</v>
      </c>
      <c r="Y530" s="431" t="s">
        <v>951</v>
      </c>
      <c r="Z530" s="430" t="str">
        <f t="shared" si="5"/>
        <v>COMPLETED</v>
      </c>
      <c r="AA530" s="431" t="s">
        <v>4570</v>
      </c>
      <c r="AB530" s="441">
        <v>46157</v>
      </c>
      <c r="AC530" s="467">
        <f>IF(PV_DATA[[#This Row],[Pick-Up Date]]&lt;&gt;"",_xlfn.ISOWEEKNUM(PV_DATA[[#This Row],[Pick-Up Date]]),"")</f>
        <v>20</v>
      </c>
      <c r="AD530" s="431" t="s">
        <v>4571</v>
      </c>
      <c r="AE530" s="475"/>
      <c r="AF530" s="431" t="s">
        <v>77</v>
      </c>
      <c r="AG530" s="431" t="s">
        <v>61</v>
      </c>
      <c r="AH530" s="431" t="s">
        <v>124</v>
      </c>
      <c r="AI530" s="441">
        <v>46164</v>
      </c>
      <c r="AJ530" s="441">
        <v>46164</v>
      </c>
      <c r="AK530" s="441">
        <v>46164</v>
      </c>
      <c r="AL530" s="441">
        <v>46218</v>
      </c>
      <c r="AM530" s="441">
        <v>46220</v>
      </c>
      <c r="AN530" s="441">
        <v>46221</v>
      </c>
      <c r="AO530" s="431" t="s">
        <v>402</v>
      </c>
      <c r="AP530" s="431" t="s">
        <v>4543</v>
      </c>
      <c r="AQ530" s="431" t="s">
        <v>80</v>
      </c>
      <c r="AR530" s="431" t="s">
        <v>4572</v>
      </c>
      <c r="AS530" s="431" t="s">
        <v>4573</v>
      </c>
      <c r="AT530" s="482" t="s">
        <v>4573</v>
      </c>
      <c r="AU53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</v>
      </c>
      <c r="AV530" s="441"/>
      <c r="AW530" s="441" cm="1">
        <f t="array" ref="AW53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46221</v>
      </c>
      <c r="AX53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30" s="441">
        <f>IF(ISERROR(PV_DATA[[#This Row],[New Ark PO status]]),"",_xlfn.XLOOKUP(PV_DATA[[#This Row],[SPTN-PVHK New Ark PO'#]],New_Ark_Data[Purchase order Number],New_Ark_Data[Estimated time of arrival],"",0))</f>
        <v>46234</v>
      </c>
      <c r="AZ530" s="44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530" s="441">
        <f>IFERROR(PV_DATA[[#This Row],[ODP ETA Port]]+PV_DATA[[#This Row],[Customs/Leg3 Assumption]],"n/a")</f>
        <v>46230</v>
      </c>
      <c r="BB530" s="442">
        <f>YEAR(PV_DATA[[#This Row],[ETA for New Ark update]])</f>
        <v>2026</v>
      </c>
      <c r="BC530" s="431">
        <f>MONTH(PV_DATA[[#This Row],[ETA for New Ark update]])</f>
        <v>7</v>
      </c>
      <c r="BD530" s="431">
        <f>IFERROR(_xlfn.ISOWEEKNUM(PV_DATA[[#This Row],[ETA for New Ark update]]),0)</f>
        <v>31</v>
      </c>
      <c r="BE530" s="431">
        <f>_xlfn.XLOOKUP(PV_DATA[[#This Row],[New Ark SKU]],Table9[New Ark SKU],Table9[Total PCS per Pallet],,0)</f>
        <v>33</v>
      </c>
      <c r="BF530" s="431">
        <f>_xlfn.XLOOKUP(PV_DATA[[#This Row],[New Ark SKU]],Table9[New Ark SKU],Table9[Total PCS per 40HQ Container],,0)</f>
        <v>660</v>
      </c>
      <c r="BG530" s="431" t="str">
        <f>_xlfn.XLOOKUP(PV_DATA[[#This Row],[New Ark SKU]],Table9[New Ark SKU],Table9[Back Glass],,0)</f>
        <v>White glazing</v>
      </c>
      <c r="BH530" s="431" t="str">
        <f>_xlfn.XLOOKUP(PV_DATA[[#This Row],[PORT DESTINATION]],Table12[PORT DESTINATION],Table12[Cosco Line],,0)</f>
        <v>AEM</v>
      </c>
    </row>
    <row r="531" spans="1:60" s="477" customFormat="1" ht="10.5" hidden="1">
      <c r="A531" s="439" t="s">
        <v>4574</v>
      </c>
      <c r="B531" s="439" t="s">
        <v>2132</v>
      </c>
      <c r="C531" s="721" t="str">
        <f>IFERROR(LEFT(PV_DATA[[#This Row],[TCL REFERENCE]],FIND(".",PV_DATA[[#This Row],[TCL REFERENCE]],1)-1),"Main Line")</f>
        <v>26Apr008</v>
      </c>
      <c r="D531" s="721" t="s">
        <v>63</v>
      </c>
      <c r="E531" s="439" t="s">
        <v>64</v>
      </c>
      <c r="F531" s="462" t="str" cm="1">
        <f t="array" ref="F53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531" s="721" t="s">
        <v>402</v>
      </c>
      <c r="H531" s="721" t="s">
        <v>115</v>
      </c>
      <c r="I531" s="721" t="s">
        <v>689</v>
      </c>
      <c r="J531" s="475" t="s">
        <v>96</v>
      </c>
      <c r="K531" s="475"/>
      <c r="L531" s="475"/>
      <c r="M531" s="475" t="s">
        <v>68</v>
      </c>
      <c r="N531" s="476">
        <v>46146</v>
      </c>
      <c r="O531" s="475" t="s">
        <v>170</v>
      </c>
      <c r="P531" s="431" t="s">
        <v>1977</v>
      </c>
      <c r="Q531" s="431" t="s">
        <v>1978</v>
      </c>
      <c r="R531" s="431" t="str">
        <f>_xlfn.XLOOKUP(PV_DATA[[#This Row],[New Ark SKU]],Table9[New Ark SKU],Table9[Connector],,0)</f>
        <v>EVO2A</v>
      </c>
      <c r="S531" s="442" t="str">
        <f>_xlfn.XLOOKUP(PV_DATA[[#This Row],[New Ark SKU]],Table9[New Ark SKU],Table9[Cable],,0)</f>
        <v>±1400mm</v>
      </c>
      <c r="T531" s="442">
        <v>560</v>
      </c>
      <c r="U531" s="1067">
        <f>660*1</f>
        <v>660</v>
      </c>
      <c r="V531" s="448">
        <f>PV_DATA[[#This Row],[QUANTITY]]*PV_DATA[[#This Row],[WATT]]/1000000</f>
        <v>0.36959999999999998</v>
      </c>
      <c r="W531" s="466">
        <f>PV_DATA[[#This Row],[QUANTITY]]/PV_DATA[[#This Row],[Qty/Pallet]]</f>
        <v>20</v>
      </c>
      <c r="X531" s="1019">
        <f>PV_DATA[[#This Row],[QUANTITY]]/PV_DATA[[#This Row],[Qty/CT]]</f>
        <v>1</v>
      </c>
      <c r="Y531" s="431" t="s">
        <v>951</v>
      </c>
      <c r="Z531" s="430" t="str">
        <f t="shared" si="5"/>
        <v>COMPLETED</v>
      </c>
      <c r="AA531" s="431" t="s">
        <v>4570</v>
      </c>
      <c r="AB531" s="441">
        <v>46157</v>
      </c>
      <c r="AC531" s="467">
        <f>IF(PV_DATA[[#This Row],[Pick-Up Date]]&lt;&gt;"",_xlfn.ISOWEEKNUM(PV_DATA[[#This Row],[Pick-Up Date]]),"")</f>
        <v>20</v>
      </c>
      <c r="AD531" s="431" t="s">
        <v>4575</v>
      </c>
      <c r="AE531" s="475"/>
      <c r="AF531" s="431" t="s">
        <v>77</v>
      </c>
      <c r="AG531" s="431" t="s">
        <v>61</v>
      </c>
      <c r="AH531" s="431" t="s">
        <v>124</v>
      </c>
      <c r="AI531" s="441">
        <v>46164</v>
      </c>
      <c r="AJ531" s="441">
        <v>46164</v>
      </c>
      <c r="AK531" s="441">
        <v>46164</v>
      </c>
      <c r="AL531" s="441">
        <v>46219</v>
      </c>
      <c r="AM531" s="441"/>
      <c r="AN531" s="441">
        <v>46219</v>
      </c>
      <c r="AO531" s="431" t="s">
        <v>402</v>
      </c>
      <c r="AP531" s="431" t="s">
        <v>4543</v>
      </c>
      <c r="AQ531" s="431" t="s">
        <v>80</v>
      </c>
      <c r="AR531" s="431" t="s">
        <v>4576</v>
      </c>
      <c r="AS531" s="431" t="s">
        <v>4577</v>
      </c>
      <c r="AT531" s="482" t="s">
        <v>4577</v>
      </c>
      <c r="AU53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55</v>
      </c>
      <c r="AV531" s="441"/>
      <c r="AW531" s="441" cm="1">
        <f t="array" ref="AW53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46219</v>
      </c>
      <c r="AX53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31" s="441">
        <f>IF(ISERROR(PV_DATA[[#This Row],[New Ark PO status]]),"",_xlfn.XLOOKUP(PV_DATA[[#This Row],[SPTN-PVHK New Ark PO'#]],New_Ark_Data[Purchase order Number],New_Ark_Data[Estimated time of arrival],"",0))</f>
        <v>46233</v>
      </c>
      <c r="AZ531" s="44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531" s="441">
        <f>IFERROR(PV_DATA[[#This Row],[ODP ETA Port]]+PV_DATA[[#This Row],[Customs/Leg3 Assumption]],"n/a")</f>
        <v>46228</v>
      </c>
      <c r="BB531" s="442">
        <f>YEAR(PV_DATA[[#This Row],[ETA for New Ark update]])</f>
        <v>2026</v>
      </c>
      <c r="BC531" s="431">
        <f>MONTH(PV_DATA[[#This Row],[ETA for New Ark update]])</f>
        <v>7</v>
      </c>
      <c r="BD531" s="431">
        <f>IFERROR(_xlfn.ISOWEEKNUM(PV_DATA[[#This Row],[ETA for New Ark update]]),0)</f>
        <v>30</v>
      </c>
      <c r="BE531" s="431">
        <f>_xlfn.XLOOKUP(PV_DATA[[#This Row],[New Ark SKU]],Table9[New Ark SKU],Table9[Total PCS per Pallet],,0)</f>
        <v>33</v>
      </c>
      <c r="BF531" s="431">
        <f>_xlfn.XLOOKUP(PV_DATA[[#This Row],[New Ark SKU]],Table9[New Ark SKU],Table9[Total PCS per 40HQ Container],,0)</f>
        <v>660</v>
      </c>
      <c r="BG531" s="431" t="str">
        <f>_xlfn.XLOOKUP(PV_DATA[[#This Row],[New Ark SKU]],Table9[New Ark SKU],Table9[Back Glass],,0)</f>
        <v>White glazing</v>
      </c>
      <c r="BH531" s="431" t="str">
        <f>_xlfn.XLOOKUP(PV_DATA[[#This Row],[PORT DESTINATION]],Table12[PORT DESTINATION],Table12[Cosco Line],,0)</f>
        <v>AEM</v>
      </c>
    </row>
    <row r="532" spans="1:60" s="431" customFormat="1" ht="10.5" hidden="1">
      <c r="A532" s="439" t="s">
        <v>4578</v>
      </c>
      <c r="B532" s="439" t="s">
        <v>111</v>
      </c>
      <c r="C532" s="439" t="str">
        <f>IFERROR(LEFT(PV_DATA[[#This Row],[TCL REFERENCE]],FIND(".",PV_DATA[[#This Row],[TCL REFERENCE]],1)-1),"Main Line")</f>
        <v>26Apr002</v>
      </c>
      <c r="D532" s="439" t="s">
        <v>113</v>
      </c>
      <c r="E532" s="439" t="s">
        <v>64</v>
      </c>
      <c r="F532" s="439" cm="1">
        <f t="array" ref="F532">_xlfn.IFS(PV_DATA[[#This Row],[New Ark PO Type]]="n/a","n/a",PV_DATA[[#This Row],[New Ark PO Type]]="Offshore","SPTN Offstore in Transit WH",TRUE,_xlfn.XLOOKUP(PV_DATA[[#This Row],[PORT DESTINATION]],LT_REF[PORT DESTINATION],LT_REF[New Ark WH],,0))</f>
        <v>0</v>
      </c>
      <c r="G532" s="439" t="s">
        <v>402</v>
      </c>
      <c r="H532" s="439" t="s">
        <v>451</v>
      </c>
      <c r="I532" s="439" t="s">
        <v>822</v>
      </c>
      <c r="J532" s="431" t="s">
        <v>2298</v>
      </c>
      <c r="M532" s="431" t="s">
        <v>68</v>
      </c>
      <c r="N532" s="461">
        <v>46132</v>
      </c>
      <c r="O532" s="431" t="s">
        <v>70</v>
      </c>
      <c r="P532" s="431" t="s">
        <v>2299</v>
      </c>
      <c r="Q532" s="431" t="s">
        <v>1682</v>
      </c>
      <c r="R532" s="431" t="str">
        <f>_xlfn.XLOOKUP(PV_DATA[[#This Row],[New Ark SKU]],Table9[New Ark SKU],Table9[Connector],,0)</f>
        <v>EVO2A</v>
      </c>
      <c r="S532" s="442" t="str">
        <f>_xlfn.XLOOKUP(PV_DATA[[#This Row],[New Ark SKU]],Table9[New Ark SKU],Table9[Cable],,0)</f>
        <v>+400mm/-200mm</v>
      </c>
      <c r="T532" s="442">
        <v>730</v>
      </c>
      <c r="U532" s="1067">
        <f>594*0.5</f>
        <v>297</v>
      </c>
      <c r="V532" s="448">
        <f>PV_DATA[[#This Row],[QUANTITY]]*PV_DATA[[#This Row],[WATT]]/1000000</f>
        <v>0.21681</v>
      </c>
      <c r="W532" s="466">
        <f>PV_DATA[[#This Row],[QUANTITY]]/PV_DATA[[#This Row],[Qty/Pallet]]</f>
        <v>9</v>
      </c>
      <c r="X532" s="1019">
        <f>PV_DATA[[#This Row],[QUANTITY]]/PV_DATA[[#This Row],[Qty/CT]]</f>
        <v>0.5</v>
      </c>
      <c r="Y532" s="431" t="s">
        <v>951</v>
      </c>
      <c r="Z532" s="430" t="str">
        <f t="shared" si="5"/>
        <v>COMPLETED</v>
      </c>
      <c r="AA532" s="474" t="s">
        <v>4459</v>
      </c>
      <c r="AB532" s="441">
        <v>46158</v>
      </c>
      <c r="AC532" s="445">
        <f>IF(PV_DATA[[#This Row],[Pick-Up Date]]&lt;&gt;"",_xlfn.ISOWEEKNUM(PV_DATA[[#This Row],[Pick-Up Date]]),"")</f>
        <v>20</v>
      </c>
      <c r="AD532" s="431" t="s">
        <v>4579</v>
      </c>
      <c r="AF532" s="431" t="s">
        <v>122</v>
      </c>
      <c r="AG532" s="431" t="s">
        <v>123</v>
      </c>
      <c r="AH532" s="431" t="s">
        <v>2301</v>
      </c>
      <c r="AI532" s="441">
        <v>46162</v>
      </c>
      <c r="AJ532" s="441">
        <v>46161</v>
      </c>
      <c r="AK532" s="441">
        <v>46161</v>
      </c>
      <c r="AL532" s="441">
        <v>46212</v>
      </c>
      <c r="AM532" s="441">
        <v>46235</v>
      </c>
      <c r="AN532" s="441">
        <v>46235</v>
      </c>
      <c r="AO532" s="431" t="s">
        <v>402</v>
      </c>
      <c r="AP532" s="431" t="s">
        <v>4580</v>
      </c>
      <c r="AQ532" s="431" t="s">
        <v>161</v>
      </c>
      <c r="AR532" s="431" t="s">
        <v>4581</v>
      </c>
      <c r="AS532" s="431" t="s">
        <v>4582</v>
      </c>
      <c r="AT532" s="482" t="s">
        <v>4583</v>
      </c>
      <c r="AU53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74</v>
      </c>
      <c r="AV532" s="441"/>
      <c r="AW532" s="441" cm="1">
        <f t="array" ref="AW53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46235</v>
      </c>
      <c r="AX53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32" s="441">
        <f>IF(ISERROR(PV_DATA[[#This Row],[New Ark PO status]]),"",_xlfn.XLOOKUP(PV_DATA[[#This Row],[SPTN-PVHK New Ark PO'#]],New_Ark_Data[Purchase order Number],New_Ark_Data[Estimated time of arrival],"",0))</f>
        <v>46248</v>
      </c>
      <c r="AZ53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32" s="441">
        <f>IFERROR(PV_DATA[[#This Row],[ODP ETA Port]]+PV_DATA[[#This Row],[Customs/Leg3 Assumption]],"n/a")</f>
        <v>46242</v>
      </c>
      <c r="BB532" s="442">
        <f>YEAR(PV_DATA[[#This Row],[ETA for New Ark update]])</f>
        <v>2026</v>
      </c>
      <c r="BC532" s="431">
        <f>MONTH(PV_DATA[[#This Row],[ETA for New Ark update]])</f>
        <v>8</v>
      </c>
      <c r="BD532" s="431">
        <f>IFERROR(_xlfn.ISOWEEKNUM(PV_DATA[[#This Row],[ETA for New Ark update]]),0)</f>
        <v>32</v>
      </c>
      <c r="BE532" s="431">
        <f>_xlfn.XLOOKUP(PV_DATA[[#This Row],[New Ark SKU]],Table9[New Ark SKU],Table9[Total PCS per Pallet],,0)</f>
        <v>33</v>
      </c>
      <c r="BF532" s="431">
        <f>_xlfn.XLOOKUP(PV_DATA[[#This Row],[New Ark SKU]],Table9[New Ark SKU],Table9[Total PCS per 40HQ Container],,0)</f>
        <v>594</v>
      </c>
      <c r="BG532" s="431" t="str">
        <f>_xlfn.XLOOKUP(PV_DATA[[#This Row],[New Ark SKU]],Table9[New Ark SKU],Table9[Back Glass],,0)</f>
        <v>Transparent</v>
      </c>
      <c r="BH532" s="431" t="str">
        <f>_xlfn.XLOOKUP(PV_DATA[[#This Row],[PORT DESTINATION]],Table12[PORT DESTINATION],Table12[Cosco Line],,0)</f>
        <v>AEU</v>
      </c>
    </row>
    <row r="533" spans="1:60" s="431" customFormat="1" ht="15.75" hidden="1" customHeight="1">
      <c r="A533" s="439" t="s">
        <v>4584</v>
      </c>
      <c r="B533" s="439" t="s">
        <v>111</v>
      </c>
      <c r="C533" s="439" t="str">
        <f>IFERROR(LEFT(PV_DATA[[#This Row],[TCL REFERENCE]],FIND(".",PV_DATA[[#This Row],[TCL REFERENCE]],1)-1),"Main Line")</f>
        <v>26Apr001</v>
      </c>
      <c r="D533" s="439" t="s">
        <v>113</v>
      </c>
      <c r="E533" s="439" t="s">
        <v>64</v>
      </c>
      <c r="F533" s="439" cm="1">
        <f t="array" ref="F533">_xlfn.IFS(PV_DATA[[#This Row],[New Ark PO Type]]="n/a","n/a",PV_DATA[[#This Row],[New Ark PO Type]]="Offshore","SPTN Offstore in Transit WH",TRUE,_xlfn.XLOOKUP(PV_DATA[[#This Row],[PORT DESTINATION]],LT_REF[PORT DESTINATION],LT_REF[New Ark WH],,0))</f>
        <v>0</v>
      </c>
      <c r="G533" s="439" t="s">
        <v>402</v>
      </c>
      <c r="H533" s="439" t="s">
        <v>451</v>
      </c>
      <c r="I533" s="439" t="s">
        <v>822</v>
      </c>
      <c r="J533" s="431" t="s">
        <v>2298</v>
      </c>
      <c r="M533" s="431" t="s">
        <v>68</v>
      </c>
      <c r="N533" s="461">
        <v>46132</v>
      </c>
      <c r="O533" s="431" t="s">
        <v>70</v>
      </c>
      <c r="P533" s="431" t="s">
        <v>2308</v>
      </c>
      <c r="Q533" s="431" t="s">
        <v>1484</v>
      </c>
      <c r="R533" s="431" t="str">
        <f>_xlfn.XLOOKUP(PV_DATA[[#This Row],[New Ark SKU]],Table9[New Ark SKU],Table9[Connector],,0)</f>
        <v>EVO2A</v>
      </c>
      <c r="S533" s="442" t="str">
        <f>_xlfn.XLOOKUP(PV_DATA[[#This Row],[New Ark SKU]],Table9[New Ark SKU],Table9[Cable],,0)</f>
        <v>+400mm/-200mm</v>
      </c>
      <c r="T533" s="442">
        <v>725</v>
      </c>
      <c r="U533" s="1067">
        <f>594*6.5</f>
        <v>3861</v>
      </c>
      <c r="V533" s="448">
        <f>PV_DATA[[#This Row],[QUANTITY]]*PV_DATA[[#This Row],[WATT]]/1000000</f>
        <v>2.7992249999999999</v>
      </c>
      <c r="W533" s="466">
        <f>PV_DATA[[#This Row],[QUANTITY]]/PV_DATA[[#This Row],[Qty/Pallet]]</f>
        <v>117</v>
      </c>
      <c r="X533" s="1019">
        <f>PV_DATA[[#This Row],[QUANTITY]]/PV_DATA[[#This Row],[Qty/CT]]</f>
        <v>6.5</v>
      </c>
      <c r="Y533" s="431" t="s">
        <v>951</v>
      </c>
      <c r="Z533" s="430" t="str">
        <f t="shared" si="5"/>
        <v>COMPLETED</v>
      </c>
      <c r="AA533" s="474" t="s">
        <v>4459</v>
      </c>
      <c r="AB533" s="441">
        <v>46158</v>
      </c>
      <c r="AC533" s="445">
        <f>IF(PV_DATA[[#This Row],[Pick-Up Date]]&lt;&gt;"",_xlfn.ISOWEEKNUM(PV_DATA[[#This Row],[Pick-Up Date]]),"")</f>
        <v>20</v>
      </c>
      <c r="AD533" s="431" t="s">
        <v>4585</v>
      </c>
      <c r="AF533" s="431" t="s">
        <v>122</v>
      </c>
      <c r="AG533" s="431" t="s">
        <v>123</v>
      </c>
      <c r="AH533" s="431" t="s">
        <v>2301</v>
      </c>
      <c r="AI533" s="441">
        <v>46162</v>
      </c>
      <c r="AJ533" s="441">
        <v>46161</v>
      </c>
      <c r="AK533" s="441">
        <v>46161</v>
      </c>
      <c r="AL533" s="441">
        <v>46212</v>
      </c>
      <c r="AM533" s="441">
        <v>46235</v>
      </c>
      <c r="AN533" s="441">
        <v>46235</v>
      </c>
      <c r="AO533" s="431" t="s">
        <v>402</v>
      </c>
      <c r="AP533" s="431" t="s">
        <v>4580</v>
      </c>
      <c r="AQ533" s="431" t="s">
        <v>161</v>
      </c>
      <c r="AR533" s="431" t="s">
        <v>4581</v>
      </c>
      <c r="AS533" s="431" t="s">
        <v>4582</v>
      </c>
      <c r="AT533" s="482" t="s">
        <v>4583</v>
      </c>
      <c r="AU53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74</v>
      </c>
      <c r="AV533" s="441"/>
      <c r="AW533" s="441" cm="1">
        <f t="array" ref="AW53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46235</v>
      </c>
      <c r="AX53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33" s="441">
        <f>IF(ISERROR(PV_DATA[[#This Row],[New Ark PO status]]),"",_xlfn.XLOOKUP(PV_DATA[[#This Row],[SPTN-PVHK New Ark PO'#]],New_Ark_Data[Purchase order Number],New_Ark_Data[Estimated time of arrival],"",0))</f>
        <v>46248</v>
      </c>
      <c r="AZ53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33" s="441">
        <f>IFERROR(PV_DATA[[#This Row],[ODP ETA Port]]+PV_DATA[[#This Row],[Customs/Leg3 Assumption]],"n/a")</f>
        <v>46242</v>
      </c>
      <c r="BB533" s="442">
        <f>YEAR(PV_DATA[[#This Row],[ETA for New Ark update]])</f>
        <v>2026</v>
      </c>
      <c r="BC533" s="431">
        <f>MONTH(PV_DATA[[#This Row],[ETA for New Ark update]])</f>
        <v>8</v>
      </c>
      <c r="BD533" s="431">
        <f>IFERROR(_xlfn.ISOWEEKNUM(PV_DATA[[#This Row],[ETA for New Ark update]]),0)</f>
        <v>32</v>
      </c>
      <c r="BE533" s="431">
        <f>_xlfn.XLOOKUP(PV_DATA[[#This Row],[New Ark SKU]],Table9[New Ark SKU],Table9[Total PCS per Pallet],,0)</f>
        <v>33</v>
      </c>
      <c r="BF533" s="431">
        <f>_xlfn.XLOOKUP(PV_DATA[[#This Row],[New Ark SKU]],Table9[New Ark SKU],Table9[Total PCS per 40HQ Container],,0)</f>
        <v>594</v>
      </c>
      <c r="BG533" s="431" t="str">
        <f>_xlfn.XLOOKUP(PV_DATA[[#This Row],[New Ark SKU]],Table9[New Ark SKU],Table9[Back Glass],,0)</f>
        <v>Transparent</v>
      </c>
      <c r="BH533" s="431" t="str">
        <f>_xlfn.XLOOKUP(PV_DATA[[#This Row],[PORT DESTINATION]],Table12[PORT DESTINATION],Table12[Cosco Line],,0)</f>
        <v>AEU</v>
      </c>
    </row>
    <row r="534" spans="1:60" s="431" customFormat="1" ht="16.5" hidden="1" customHeight="1">
      <c r="A534" s="439" t="s">
        <v>4586</v>
      </c>
      <c r="B534" s="439" t="s">
        <v>111</v>
      </c>
      <c r="C534" s="439" t="str">
        <f>IFERROR(LEFT(PV_DATA[[#This Row],[TCL REFERENCE]],FIND(".",PV_DATA[[#This Row],[TCL REFERENCE]],1)-1),"Main Line")</f>
        <v>26May006</v>
      </c>
      <c r="D534" s="439" t="s">
        <v>63</v>
      </c>
      <c r="E534" s="439" t="s">
        <v>64</v>
      </c>
      <c r="F534" s="439" t="str" cm="1">
        <f t="array" ref="F53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534" s="439" t="s">
        <v>402</v>
      </c>
      <c r="H534" s="439" t="s">
        <v>451</v>
      </c>
      <c r="I534" s="439" t="s">
        <v>2004</v>
      </c>
      <c r="J534" s="431" t="s">
        <v>4587</v>
      </c>
      <c r="M534" s="431" t="s">
        <v>68</v>
      </c>
      <c r="N534" s="461">
        <v>46160</v>
      </c>
      <c r="O534" s="431" t="s">
        <v>132</v>
      </c>
      <c r="P534" s="431" t="s">
        <v>1062</v>
      </c>
      <c r="Q534" s="431" t="s">
        <v>1063</v>
      </c>
      <c r="R534" s="431" t="str">
        <f>_xlfn.XLOOKUP(PV_DATA[[#This Row],[New Ark SKU]],Table9[New Ark SKU],Table9[Connector],,0)</f>
        <v>EVO2A</v>
      </c>
      <c r="S534" s="442" t="str">
        <f>_xlfn.XLOOKUP(PV_DATA[[#This Row],[New Ark SKU]],Table9[New Ark SKU],Table9[Cable],,0)</f>
        <v>±1200mm</v>
      </c>
      <c r="T534" s="442">
        <v>470</v>
      </c>
      <c r="U534" s="1067">
        <f>864*3</f>
        <v>2592</v>
      </c>
      <c r="V534" s="448">
        <f>PV_DATA[[#This Row],[QUANTITY]]*PV_DATA[[#This Row],[WATT]]/1000000</f>
        <v>1.21824</v>
      </c>
      <c r="W534" s="466">
        <f>PV_DATA[[#This Row],[QUANTITY]]/PV_DATA[[#This Row],[Qty/Pallet]]</f>
        <v>72</v>
      </c>
      <c r="X534" s="1019">
        <f>PV_DATA[[#This Row],[QUANTITY]]/PV_DATA[[#This Row],[Qty/CT]]</f>
        <v>3</v>
      </c>
      <c r="Y534" s="431" t="s">
        <v>951</v>
      </c>
      <c r="Z534" s="430" t="str">
        <f t="shared" si="5"/>
        <v>COMPLETED</v>
      </c>
      <c r="AA534" s="478" t="s">
        <v>4588</v>
      </c>
      <c r="AB534" s="441">
        <v>46162</v>
      </c>
      <c r="AC534" s="467">
        <f>IF(PV_DATA[[#This Row],[Pick-Up Date]]&lt;&gt;"",_xlfn.ISOWEEKNUM(PV_DATA[[#This Row],[Pick-Up Date]]),"")</f>
        <v>21</v>
      </c>
      <c r="AD534" s="431" t="s">
        <v>4589</v>
      </c>
      <c r="AF534" s="431" t="s">
        <v>123</v>
      </c>
      <c r="AG534" s="431" t="s">
        <v>123</v>
      </c>
      <c r="AH534" s="431" t="s">
        <v>456</v>
      </c>
      <c r="AI534" s="441">
        <v>46168</v>
      </c>
      <c r="AJ534" s="441">
        <v>46168</v>
      </c>
      <c r="AK534" s="441">
        <v>46168</v>
      </c>
      <c r="AL534" s="441">
        <v>46208</v>
      </c>
      <c r="AM534" s="441"/>
      <c r="AN534" s="441">
        <v>46208</v>
      </c>
      <c r="AO534" s="431" t="s">
        <v>402</v>
      </c>
      <c r="AP534" s="431" t="s">
        <v>4590</v>
      </c>
      <c r="AQ534" s="431" t="s">
        <v>80</v>
      </c>
      <c r="AR534" s="431" t="s">
        <v>4591</v>
      </c>
      <c r="AS534" s="431" t="s">
        <v>4592</v>
      </c>
      <c r="AT534" s="482" t="s">
        <v>4592</v>
      </c>
      <c r="AU53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V534" s="441"/>
      <c r="AW534" s="441" cm="1">
        <f t="array" ref="AW53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46208</v>
      </c>
      <c r="AX53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34" s="441">
        <f>IF(ISERROR(PV_DATA[[#This Row],[New Ark PO status]]),"",_xlfn.XLOOKUP(PV_DATA[[#This Row],[SPTN-PVHK New Ark PO'#]],New_Ark_Data[Purchase order Number],New_Ark_Data[Estimated time of arrival],"",0))</f>
        <v>46223</v>
      </c>
      <c r="AZ53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34" s="441">
        <f>IFERROR(PV_DATA[[#This Row],[ODP ETA Port]]+PV_DATA[[#This Row],[Customs/Leg3 Assumption]],"n/a")</f>
        <v>46215</v>
      </c>
      <c r="BB534" s="442">
        <f>YEAR(PV_DATA[[#This Row],[ETA for New Ark update]])</f>
        <v>2026</v>
      </c>
      <c r="BC534" s="431">
        <f>MONTH(PV_DATA[[#This Row],[ETA for New Ark update]])</f>
        <v>7</v>
      </c>
      <c r="BD534" s="431">
        <f>IFERROR(_xlfn.ISOWEEKNUM(PV_DATA[[#This Row],[ETA for New Ark update]]),0)</f>
        <v>28</v>
      </c>
      <c r="BE534" s="431">
        <f>_xlfn.XLOOKUP(PV_DATA[[#This Row],[New Ark SKU]],Table9[New Ark SKU],Table9[Total PCS per Pallet],,0)</f>
        <v>36</v>
      </c>
      <c r="BF534" s="431">
        <f>_xlfn.XLOOKUP(PV_DATA[[#This Row],[New Ark SKU]],Table9[New Ark SKU],Table9[Total PCS per 40HQ Container],,0)</f>
        <v>864</v>
      </c>
      <c r="BG534" s="431" t="str">
        <f>_xlfn.XLOOKUP(PV_DATA[[#This Row],[New Ark SKU]],Table9[New Ark SKU],Table9[Back Glass],,0)</f>
        <v>White glazing</v>
      </c>
      <c r="BH534" s="431" t="str">
        <f>_xlfn.XLOOKUP(PV_DATA[[#This Row],[PORT DESTINATION]],Table12[PORT DESTINATION],Table12[Cosco Line],,0)</f>
        <v>AEU</v>
      </c>
    </row>
    <row r="535" spans="1:60" s="431" customFormat="1" ht="10.5" hidden="1">
      <c r="A535" s="439" t="s">
        <v>4593</v>
      </c>
      <c r="B535" s="439" t="s">
        <v>111</v>
      </c>
      <c r="C535" s="439" t="str">
        <f>IFERROR(LEFT(PV_DATA[[#This Row],[TCL REFERENCE]],FIND(".",PV_DATA[[#This Row],[TCL REFERENCE]],1)-1),"Main Line")</f>
        <v>26May006</v>
      </c>
      <c r="D535" s="439" t="s">
        <v>63</v>
      </c>
      <c r="E535" s="439" t="s">
        <v>64</v>
      </c>
      <c r="F535" s="439" t="str" cm="1">
        <f t="array" ref="F53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535" s="439" t="s">
        <v>402</v>
      </c>
      <c r="H535" s="439" t="s">
        <v>67</v>
      </c>
      <c r="I535" s="439" t="s">
        <v>689</v>
      </c>
      <c r="J535" s="431" t="s">
        <v>96</v>
      </c>
      <c r="M535" s="431" t="s">
        <v>68</v>
      </c>
      <c r="N535" s="461">
        <v>46160</v>
      </c>
      <c r="O535" s="431" t="s">
        <v>132</v>
      </c>
      <c r="P535" s="431" t="s">
        <v>1062</v>
      </c>
      <c r="Q535" s="431" t="s">
        <v>1063</v>
      </c>
      <c r="R535" s="431" t="str">
        <f>_xlfn.XLOOKUP(PV_DATA[[#This Row],[New Ark SKU]],Table9[New Ark SKU],Table9[Connector],,0)</f>
        <v>EVO2A</v>
      </c>
      <c r="S535" s="442" t="str">
        <f>_xlfn.XLOOKUP(PV_DATA[[#This Row],[New Ark SKU]],Table9[New Ark SKU],Table9[Cable],,0)</f>
        <v>±1200mm</v>
      </c>
      <c r="T535" s="442">
        <v>470</v>
      </c>
      <c r="U535" s="1067">
        <f>864*4</f>
        <v>3456</v>
      </c>
      <c r="V535" s="448">
        <f>PV_DATA[[#This Row],[QUANTITY]]*PV_DATA[[#This Row],[WATT]]/1000000</f>
        <v>1.62432</v>
      </c>
      <c r="W535" s="466">
        <f>PV_DATA[[#This Row],[QUANTITY]]/PV_DATA[[#This Row],[Qty/Pallet]]</f>
        <v>96</v>
      </c>
      <c r="X535" s="1019">
        <f>PV_DATA[[#This Row],[QUANTITY]]/PV_DATA[[#This Row],[Qty/CT]]</f>
        <v>4</v>
      </c>
      <c r="Y535" s="431" t="s">
        <v>951</v>
      </c>
      <c r="Z535" s="430" t="str">
        <f t="shared" si="5"/>
        <v>COMPLETED</v>
      </c>
      <c r="AA535" s="478" t="s">
        <v>4588</v>
      </c>
      <c r="AB535" s="441">
        <v>46162</v>
      </c>
      <c r="AC535" s="467">
        <f>IF(PV_DATA[[#This Row],[Pick-Up Date]]&lt;&gt;"",_xlfn.ISOWEEKNUM(PV_DATA[[#This Row],[Pick-Up Date]]),"")</f>
        <v>21</v>
      </c>
      <c r="AD535" s="431" t="s">
        <v>4594</v>
      </c>
      <c r="AF535" s="431" t="s">
        <v>123</v>
      </c>
      <c r="AG535" s="431" t="s">
        <v>123</v>
      </c>
      <c r="AH535" s="431" t="s">
        <v>105</v>
      </c>
      <c r="AI535" s="441">
        <v>46170</v>
      </c>
      <c r="AJ535" s="441">
        <v>46173</v>
      </c>
      <c r="AK535" s="441">
        <v>46173</v>
      </c>
      <c r="AL535" s="441">
        <v>46203</v>
      </c>
      <c r="AM535" s="441">
        <v>46211</v>
      </c>
      <c r="AN535" s="441">
        <v>46211</v>
      </c>
      <c r="AO535" s="431" t="s">
        <v>402</v>
      </c>
      <c r="AP535" s="431" t="s">
        <v>4543</v>
      </c>
      <c r="AQ535" s="431" t="s">
        <v>80</v>
      </c>
      <c r="AR535" s="431" t="s">
        <v>4595</v>
      </c>
      <c r="AS535" s="431" t="s">
        <v>4596</v>
      </c>
      <c r="AT535" s="482" t="s">
        <v>4596</v>
      </c>
      <c r="AU53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</v>
      </c>
      <c r="AV535" s="441"/>
      <c r="AW535" s="441" cm="1">
        <f t="array" ref="AW53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46211</v>
      </c>
      <c r="AX53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35" s="441">
        <f>IF(ISERROR(PV_DATA[[#This Row],[New Ark PO status]]),"",_xlfn.XLOOKUP(PV_DATA[[#This Row],[SPTN-PVHK New Ark PO'#]],New_Ark_Data[Purchase order Number],New_Ark_Data[Estimated time of arrival],"",0))</f>
        <v>46225</v>
      </c>
      <c r="AZ53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35" s="441">
        <f>IFERROR(PV_DATA[[#This Row],[ODP ETA Port]]+PV_DATA[[#This Row],[Customs/Leg3 Assumption]],"n/a")</f>
        <v>46218</v>
      </c>
      <c r="BB535" s="442">
        <f>YEAR(PV_DATA[[#This Row],[ETA for New Ark update]])</f>
        <v>2026</v>
      </c>
      <c r="BC535" s="431">
        <f>MONTH(PV_DATA[[#This Row],[ETA for New Ark update]])</f>
        <v>7</v>
      </c>
      <c r="BD535" s="431">
        <f>IFERROR(_xlfn.ISOWEEKNUM(PV_DATA[[#This Row],[ETA for New Ark update]]),0)</f>
        <v>29</v>
      </c>
      <c r="BE535" s="431">
        <f>_xlfn.XLOOKUP(PV_DATA[[#This Row],[New Ark SKU]],Table9[New Ark SKU],Table9[Total PCS per Pallet],,0)</f>
        <v>36</v>
      </c>
      <c r="BF535" s="431">
        <f>_xlfn.XLOOKUP(PV_DATA[[#This Row],[New Ark SKU]],Table9[New Ark SKU],Table9[Total PCS per 40HQ Container],,0)</f>
        <v>864</v>
      </c>
      <c r="BG535" s="431" t="str">
        <f>_xlfn.XLOOKUP(PV_DATA[[#This Row],[New Ark SKU]],Table9[New Ark SKU],Table9[Back Glass],,0)</f>
        <v>White glazing</v>
      </c>
      <c r="BH535" s="431" t="str">
        <f>_xlfn.XLOOKUP(PV_DATA[[#This Row],[PORT DESTINATION]],Table12[PORT DESTINATION],Table12[Cosco Line],,0)</f>
        <v>AEU</v>
      </c>
    </row>
    <row r="536" spans="1:60" s="431" customFormat="1" hidden="1">
      <c r="A536" s="439" t="s">
        <v>4597</v>
      </c>
      <c r="B536" s="439" t="s">
        <v>111</v>
      </c>
      <c r="C536" s="439" t="str">
        <f>IFERROR(LEFT(PV_DATA[[#This Row],[TCL REFERENCE]],FIND(".",PV_DATA[[#This Row],[TCL REFERENCE]],1)-1),"Main Line")</f>
        <v>26May015</v>
      </c>
      <c r="D536" s="439" t="s">
        <v>63</v>
      </c>
      <c r="E536" s="439" t="s">
        <v>64</v>
      </c>
      <c r="F536" s="439" t="str" cm="1">
        <f t="array" ref="F53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536" s="439" t="s">
        <v>402</v>
      </c>
      <c r="H536" s="439" t="s">
        <v>67</v>
      </c>
      <c r="I536" s="439" t="s">
        <v>2004</v>
      </c>
      <c r="J536" s="431" t="s">
        <v>96</v>
      </c>
      <c r="M536" s="431" t="s">
        <v>68</v>
      </c>
      <c r="N536" s="461" t="s">
        <v>68</v>
      </c>
      <c r="O536" s="431" t="s">
        <v>4495</v>
      </c>
      <c r="P536" s="431" t="s">
        <v>4496</v>
      </c>
      <c r="Q536" s="431" t="s">
        <v>4497</v>
      </c>
      <c r="R536" s="431" t="str">
        <f>_xlfn.XLOOKUP(PV_DATA[[#This Row],[New Ark SKU]],Table9[New Ark SKU],Table9[Connector],,0)</f>
        <v>EVO2A</v>
      </c>
      <c r="S536" s="442" t="str">
        <f>_xlfn.XLOOKUP(PV_DATA[[#This Row],[New Ark SKU]],Table9[New Ark SKU],Table9[Cable],,0)</f>
        <v>±1400mm</v>
      </c>
      <c r="T536" s="442">
        <v>640</v>
      </c>
      <c r="U536" s="1067">
        <v>1440</v>
      </c>
      <c r="V536" s="448">
        <f>PV_DATA[[#This Row],[QUANTITY]]*PV_DATA[[#This Row],[WATT]]/1000000</f>
        <v>0.92159999999999997</v>
      </c>
      <c r="W536" s="466">
        <f>PV_DATA[[#This Row],[QUANTITY]]/PV_DATA[[#This Row],[Qty/Pallet]]</f>
        <v>40</v>
      </c>
      <c r="X536" s="1019">
        <f>PV_DATA[[#This Row],[QUANTITY]]/PV_DATA[[#This Row],[Qty/CT]]</f>
        <v>2</v>
      </c>
      <c r="Y536" s="431" t="s">
        <v>951</v>
      </c>
      <c r="Z536" s="430" t="str">
        <f t="shared" si="5"/>
        <v>COMPLETED</v>
      </c>
      <c r="AB536" s="441">
        <v>46162</v>
      </c>
      <c r="AC536" s="467">
        <f>IF(PV_DATA[[#This Row],[Pick-Up Date]]&lt;&gt;"",_xlfn.ISOWEEKNUM(PV_DATA[[#This Row],[Pick-Up Date]]),"")</f>
        <v>21</v>
      </c>
      <c r="AD536" s="431" t="s">
        <v>4598</v>
      </c>
      <c r="AF536" s="431" t="s">
        <v>4432</v>
      </c>
      <c r="AG536" s="431" t="s">
        <v>123</v>
      </c>
      <c r="AH536" s="431" t="s">
        <v>105</v>
      </c>
      <c r="AI536" s="441">
        <v>46170</v>
      </c>
      <c r="AJ536" s="441">
        <v>46173</v>
      </c>
      <c r="AK536" s="441">
        <v>46173</v>
      </c>
      <c r="AL536" s="441">
        <v>46203</v>
      </c>
      <c r="AM536" s="441">
        <v>46211</v>
      </c>
      <c r="AN536" s="441">
        <v>46211</v>
      </c>
      <c r="AO536" s="431" t="s">
        <v>402</v>
      </c>
      <c r="AP536" s="431" t="s">
        <v>4543</v>
      </c>
      <c r="AQ536" s="431" t="s">
        <v>80</v>
      </c>
      <c r="AR536" s="431" t="s">
        <v>4595</v>
      </c>
      <c r="AS536" s="431" t="s">
        <v>4596</v>
      </c>
      <c r="AT536" s="482" t="s">
        <v>4596</v>
      </c>
      <c r="AU53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</v>
      </c>
      <c r="AV536" s="441"/>
      <c r="AW536" s="441" cm="1">
        <f t="array" ref="AW53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46211</v>
      </c>
      <c r="AX53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36" s="441">
        <f>IF(ISERROR(PV_DATA[[#This Row],[New Ark PO status]]),"",_xlfn.XLOOKUP(PV_DATA[[#This Row],[SPTN-PVHK New Ark PO'#]],New_Ark_Data[Purchase order Number],New_Ark_Data[Estimated time of arrival],"",0))</f>
        <v>46225</v>
      </c>
      <c r="AZ53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36" s="441">
        <f>IFERROR(PV_DATA[[#This Row],[ODP ETA Port]]+PV_DATA[[#This Row],[Customs/Leg3 Assumption]],"n/a")</f>
        <v>46218</v>
      </c>
      <c r="BB536" s="442">
        <f>YEAR(PV_DATA[[#This Row],[ETA for New Ark update]])</f>
        <v>2026</v>
      </c>
      <c r="BC536" s="431">
        <f>MONTH(PV_DATA[[#This Row],[ETA for New Ark update]])</f>
        <v>7</v>
      </c>
      <c r="BD536" s="431">
        <f>IFERROR(_xlfn.ISOWEEKNUM(PV_DATA[[#This Row],[ETA for New Ark update]]),0)</f>
        <v>29</v>
      </c>
      <c r="BE536" s="431">
        <f>_xlfn.XLOOKUP(PV_DATA[[#This Row],[New Ark SKU]],Table9[New Ark SKU],Table9[Total PCS per Pallet],,0)</f>
        <v>36</v>
      </c>
      <c r="BF536" s="431">
        <f>_xlfn.XLOOKUP(PV_DATA[[#This Row],[New Ark SKU]],Table9[New Ark SKU],Table9[Total PCS per 40HQ Container],,0)</f>
        <v>720</v>
      </c>
      <c r="BG536" s="431" t="str">
        <f>_xlfn.XLOOKUP(PV_DATA[[#This Row],[New Ark SKU]],Table9[New Ark SKU],Table9[Back Glass],,0)</f>
        <v>Transparent</v>
      </c>
      <c r="BH536" s="431" t="str">
        <f>_xlfn.XLOOKUP(PV_DATA[[#This Row],[PORT DESTINATION]],Table12[PORT DESTINATION],Table12[Cosco Line],,0)</f>
        <v>AEU</v>
      </c>
    </row>
    <row r="537" spans="1:60" s="431" customFormat="1" ht="10.5" hidden="1">
      <c r="A537" s="439" t="s">
        <v>4599</v>
      </c>
      <c r="B537" s="439" t="s">
        <v>111</v>
      </c>
      <c r="C537" s="439" t="str">
        <f>IFERROR(LEFT(PV_DATA[[#This Row],[TCL REFERENCE]],FIND(".",PV_DATA[[#This Row],[TCL REFERENCE]],1)-1),"Main Line")</f>
        <v>26May011</v>
      </c>
      <c r="D537" s="439" t="s">
        <v>63</v>
      </c>
      <c r="E537" s="439" t="s">
        <v>144</v>
      </c>
      <c r="F537" s="439" t="str" cm="1">
        <f t="array" ref="F53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37" s="439" t="s">
        <v>402</v>
      </c>
      <c r="H537" s="719" t="s">
        <v>1449</v>
      </c>
      <c r="I537" s="439" t="s">
        <v>689</v>
      </c>
      <c r="J537" s="431" t="s">
        <v>4600</v>
      </c>
      <c r="K537" s="431" t="s">
        <v>1451</v>
      </c>
      <c r="L537" s="450">
        <v>12</v>
      </c>
      <c r="M537" s="431" t="s">
        <v>840</v>
      </c>
      <c r="N537" s="461">
        <v>46146</v>
      </c>
      <c r="O537" s="431" t="s">
        <v>4540</v>
      </c>
      <c r="P537" s="431" t="s">
        <v>4601</v>
      </c>
      <c r="Q537" s="431" t="s">
        <v>330</v>
      </c>
      <c r="R537" s="431" t="str">
        <f>_xlfn.XLOOKUP(PV_DATA[[#This Row],[New Ark SKU]],Table9[New Ark SKU],Table9[Connector],,0)</f>
        <v>H4(Com)</v>
      </c>
      <c r="S537" s="442" t="str">
        <f>_xlfn.XLOOKUP(PV_DATA[[#This Row],[New Ark SKU]],Table9[New Ark SKU],Table9[Cable],,0)</f>
        <v>+400mm/-200mm</v>
      </c>
      <c r="T537" s="442">
        <v>625</v>
      </c>
      <c r="U537" s="1067">
        <f>720*3</f>
        <v>2160</v>
      </c>
      <c r="V537" s="444">
        <f>PV_DATA[[#This Row],[QUANTITY]]*PV_DATA[[#This Row],[WATT]]/1000000</f>
        <v>1.35</v>
      </c>
      <c r="W537" s="466">
        <f>PV_DATA[[#This Row],[QUANTITY]]/PV_DATA[[#This Row],[Qty/Pallet]]</f>
        <v>60</v>
      </c>
      <c r="X537" s="1019">
        <f>PV_DATA[[#This Row],[QUANTITY]]/PV_DATA[[#This Row],[Qty/CT]]</f>
        <v>3</v>
      </c>
      <c r="Y537" s="431" t="s">
        <v>951</v>
      </c>
      <c r="Z537" s="430" t="str">
        <f t="shared" si="5"/>
        <v>COMPLETED</v>
      </c>
      <c r="AB537" s="441">
        <v>46161</v>
      </c>
      <c r="AC537" s="467">
        <f>IF(PV_DATA[[#This Row],[Pick-Up Date]]&lt;&gt;"",_xlfn.ISOWEEKNUM(PV_DATA[[#This Row],[Pick-Up Date]]),"")</f>
        <v>21</v>
      </c>
      <c r="AD537" s="431" t="s">
        <v>4602</v>
      </c>
      <c r="AF537" s="431" t="s">
        <v>122</v>
      </c>
      <c r="AG537" s="431" t="s">
        <v>123</v>
      </c>
      <c r="AH537" s="431" t="s">
        <v>105</v>
      </c>
      <c r="AI537" s="441">
        <v>46170</v>
      </c>
      <c r="AJ537" s="441">
        <v>46173</v>
      </c>
      <c r="AK537" s="441">
        <v>46173</v>
      </c>
      <c r="AL537" s="441">
        <v>46203</v>
      </c>
      <c r="AM537" s="441">
        <v>46210</v>
      </c>
      <c r="AN537" s="441">
        <v>46211</v>
      </c>
      <c r="AO537" s="431" t="s">
        <v>402</v>
      </c>
      <c r="AP537" s="431" t="s">
        <v>4543</v>
      </c>
      <c r="AQ537" s="431" t="s">
        <v>80</v>
      </c>
      <c r="AR537" s="431" t="s">
        <v>4603</v>
      </c>
      <c r="AS537" s="431" t="s">
        <v>4604</v>
      </c>
      <c r="AT537" s="482" t="s">
        <v>4604</v>
      </c>
      <c r="AU53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</v>
      </c>
      <c r="AV537" s="441"/>
      <c r="AW537" s="441" cm="1">
        <f t="array" ref="AW53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46211</v>
      </c>
      <c r="AX53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37" s="441">
        <f>IF(ISERROR(PV_DATA[[#This Row],[New Ark PO status]]),"",_xlfn.XLOOKUP(PV_DATA[[#This Row],[SPTN-PVHK New Ark PO'#]],New_Ark_Data[Purchase order Number],New_Ark_Data[Estimated time of arrival],"",0))</f>
        <v>46203</v>
      </c>
      <c r="AZ537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37" s="441">
        <f>IFERROR(PV_DATA[[#This Row],[ODP ETA Port]]+PV_DATA[[#This Row],[Customs/Leg3 Assumption]],"n/a")</f>
        <v>46211</v>
      </c>
      <c r="BB537" s="442">
        <f>YEAR(PV_DATA[[#This Row],[ETA for New Ark update]])</f>
        <v>2026</v>
      </c>
      <c r="BC537" s="431">
        <f>MONTH(PV_DATA[[#This Row],[ETA for New Ark update]])</f>
        <v>7</v>
      </c>
      <c r="BD537" s="431">
        <f>IFERROR(_xlfn.ISOWEEKNUM(PV_DATA[[#This Row],[ETA for New Ark update]]),0)</f>
        <v>28</v>
      </c>
      <c r="BE537" s="431">
        <f>_xlfn.XLOOKUP(PV_DATA[[#This Row],[New Ark SKU]],Table9[New Ark SKU],Table9[Total PCS per Pallet],,0)</f>
        <v>36</v>
      </c>
      <c r="BF537" s="431">
        <f>_xlfn.XLOOKUP(PV_DATA[[#This Row],[New Ark SKU]],Table9[New Ark SKU],Table9[Total PCS per 40HQ Container],,0)</f>
        <v>720</v>
      </c>
      <c r="BG537" s="431" t="str">
        <f>_xlfn.XLOOKUP(PV_DATA[[#This Row],[New Ark SKU]],Table9[New Ark SKU],Table9[Back Glass],,0)</f>
        <v>Transparent</v>
      </c>
      <c r="BH537" s="431" t="str">
        <f>_xlfn.XLOOKUP(PV_DATA[[#This Row],[PORT DESTINATION]],Table12[PORT DESTINATION],Table12[Cosco Line],,0)</f>
        <v>AEU</v>
      </c>
    </row>
    <row r="538" spans="1:60" s="431" customFormat="1" ht="10.5" hidden="1">
      <c r="A538" s="439" t="s">
        <v>4605</v>
      </c>
      <c r="B538" s="439" t="s">
        <v>111</v>
      </c>
      <c r="C538" s="439" t="str">
        <f>IFERROR(LEFT(PV_DATA[[#This Row],[TCL REFERENCE]],FIND(".",PV_DATA[[#This Row],[TCL REFERENCE]],1)-1),"Main Line")</f>
        <v>26May012</v>
      </c>
      <c r="D538" s="439" t="s">
        <v>63</v>
      </c>
      <c r="E538" s="439" t="s">
        <v>144</v>
      </c>
      <c r="F538" s="439" t="str" cm="1">
        <f t="array" ref="F53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38" s="439" t="s">
        <v>402</v>
      </c>
      <c r="H538" s="719" t="s">
        <v>1449</v>
      </c>
      <c r="I538" s="439" t="s">
        <v>689</v>
      </c>
      <c r="J538" s="431" t="s">
        <v>4600</v>
      </c>
      <c r="K538" s="431" t="s">
        <v>1451</v>
      </c>
      <c r="L538" s="450">
        <v>11</v>
      </c>
      <c r="M538" s="431" t="s">
        <v>840</v>
      </c>
      <c r="N538" s="461">
        <v>46146</v>
      </c>
      <c r="O538" s="431" t="s">
        <v>4540</v>
      </c>
      <c r="P538" s="431" t="s">
        <v>4606</v>
      </c>
      <c r="Q538" s="431" t="s">
        <v>4607</v>
      </c>
      <c r="R538" s="431" t="str">
        <f>_xlfn.XLOOKUP(PV_DATA[[#This Row],[New Ark SKU]],Table9[New Ark SKU],Table9[Connector],,0)</f>
        <v>H4(Com)</v>
      </c>
      <c r="S538" s="442" t="str">
        <f>_xlfn.XLOOKUP(PV_DATA[[#This Row],[New Ark SKU]],Table9[New Ark SKU],Table9[Cable],,0)</f>
        <v>+400mm/-200mm</v>
      </c>
      <c r="T538" s="442">
        <v>630</v>
      </c>
      <c r="U538" s="1067">
        <f>720*2</f>
        <v>1440</v>
      </c>
      <c r="V538" s="444">
        <f>PV_DATA[[#This Row],[QUANTITY]]*PV_DATA[[#This Row],[WATT]]/1000000</f>
        <v>0.90720000000000001</v>
      </c>
      <c r="W538" s="466">
        <f>PV_DATA[[#This Row],[QUANTITY]]/PV_DATA[[#This Row],[Qty/Pallet]]</f>
        <v>40</v>
      </c>
      <c r="X538" s="1019">
        <f>PV_DATA[[#This Row],[QUANTITY]]/PV_DATA[[#This Row],[Qty/CT]]</f>
        <v>2</v>
      </c>
      <c r="Y538" s="431" t="s">
        <v>951</v>
      </c>
      <c r="Z538" s="430" t="str">
        <f t="shared" si="5"/>
        <v>COMPLETED</v>
      </c>
      <c r="AB538" s="441">
        <v>46161</v>
      </c>
      <c r="AC538" s="467">
        <f>IF(PV_DATA[[#This Row],[Pick-Up Date]]&lt;&gt;"",_xlfn.ISOWEEKNUM(PV_DATA[[#This Row],[Pick-Up Date]]),"")</f>
        <v>21</v>
      </c>
      <c r="AD538" s="431" t="s">
        <v>4608</v>
      </c>
      <c r="AF538" s="431" t="s">
        <v>122</v>
      </c>
      <c r="AG538" s="431" t="s">
        <v>123</v>
      </c>
      <c r="AH538" s="431" t="s">
        <v>105</v>
      </c>
      <c r="AI538" s="441">
        <v>46170</v>
      </c>
      <c r="AJ538" s="441">
        <v>46173</v>
      </c>
      <c r="AK538" s="441">
        <v>46173</v>
      </c>
      <c r="AL538" s="441">
        <v>46203</v>
      </c>
      <c r="AM538" s="441">
        <v>46210</v>
      </c>
      <c r="AN538" s="441">
        <v>46211</v>
      </c>
      <c r="AO538" s="431" t="s">
        <v>402</v>
      </c>
      <c r="AP538" s="431" t="s">
        <v>4543</v>
      </c>
      <c r="AQ538" s="431" t="s">
        <v>80</v>
      </c>
      <c r="AR538" s="431" t="s">
        <v>4603</v>
      </c>
      <c r="AS538" s="431" t="s">
        <v>4604</v>
      </c>
      <c r="AT538" s="482" t="s">
        <v>4604</v>
      </c>
      <c r="AU53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</v>
      </c>
      <c r="AV538" s="441"/>
      <c r="AW538" s="441" cm="1">
        <f t="array" ref="AW53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46211</v>
      </c>
      <c r="AX53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38" s="441">
        <f>IF(ISERROR(PV_DATA[[#This Row],[New Ark PO status]]),"",_xlfn.XLOOKUP(PV_DATA[[#This Row],[SPTN-PVHK New Ark PO'#]],New_Ark_Data[Purchase order Number],New_Ark_Data[Estimated time of arrival],"",0))</f>
        <v>46203</v>
      </c>
      <c r="AZ538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38" s="441">
        <f>IFERROR(PV_DATA[[#This Row],[ODP ETA Port]]+PV_DATA[[#This Row],[Customs/Leg3 Assumption]],"n/a")</f>
        <v>46211</v>
      </c>
      <c r="BB538" s="442">
        <f>YEAR(PV_DATA[[#This Row],[ETA for New Ark update]])</f>
        <v>2026</v>
      </c>
      <c r="BC538" s="431">
        <f>MONTH(PV_DATA[[#This Row],[ETA for New Ark update]])</f>
        <v>7</v>
      </c>
      <c r="BD538" s="431">
        <f>IFERROR(_xlfn.ISOWEEKNUM(PV_DATA[[#This Row],[ETA for New Ark update]]),0)</f>
        <v>28</v>
      </c>
      <c r="BE538" s="431">
        <f>_xlfn.XLOOKUP(PV_DATA[[#This Row],[New Ark SKU]],Table9[New Ark SKU],Table9[Total PCS per Pallet],,0)</f>
        <v>36</v>
      </c>
      <c r="BF538" s="431">
        <f>_xlfn.XLOOKUP(PV_DATA[[#This Row],[New Ark SKU]],Table9[New Ark SKU],Table9[Total PCS per 40HQ Container],,0)</f>
        <v>720</v>
      </c>
      <c r="BG538" s="431" t="str">
        <f>_xlfn.XLOOKUP(PV_DATA[[#This Row],[New Ark SKU]],Table9[New Ark SKU],Table9[Back Glass],,0)</f>
        <v>Transparent</v>
      </c>
      <c r="BH538" s="431" t="str">
        <f>_xlfn.XLOOKUP(PV_DATA[[#This Row],[PORT DESTINATION]],Table12[PORT DESTINATION],Table12[Cosco Line],,0)</f>
        <v>AEU</v>
      </c>
    </row>
    <row r="539" spans="1:60" s="431" customFormat="1" ht="10.5" hidden="1">
      <c r="A539" s="439" t="s">
        <v>4609</v>
      </c>
      <c r="B539" s="439" t="s">
        <v>111</v>
      </c>
      <c r="C539" s="439" t="str">
        <f>IFERROR(LEFT(PV_DATA[[#This Row],[TCL REFERENCE]],FIND(".",PV_DATA[[#This Row],[TCL REFERENCE]],1)-1),"Main Line")</f>
        <v>26May011</v>
      </c>
      <c r="D539" s="439" t="s">
        <v>63</v>
      </c>
      <c r="E539" s="439" t="s">
        <v>144</v>
      </c>
      <c r="F539" s="439" t="str" cm="1">
        <f t="array" ref="F53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39" s="439" t="s">
        <v>402</v>
      </c>
      <c r="H539" s="719" t="s">
        <v>1449</v>
      </c>
      <c r="I539" s="439" t="s">
        <v>689</v>
      </c>
      <c r="J539" s="431" t="s">
        <v>4600</v>
      </c>
      <c r="K539" s="431" t="s">
        <v>1451</v>
      </c>
      <c r="L539" s="450">
        <v>9</v>
      </c>
      <c r="M539" s="431" t="s">
        <v>840</v>
      </c>
      <c r="N539" s="461">
        <v>46153</v>
      </c>
      <c r="O539" s="431" t="s">
        <v>4540</v>
      </c>
      <c r="P539" s="431" t="s">
        <v>4601</v>
      </c>
      <c r="Q539" s="431" t="s">
        <v>330</v>
      </c>
      <c r="R539" s="431" t="str">
        <f>_xlfn.XLOOKUP(PV_DATA[[#This Row],[New Ark SKU]],Table9[New Ark SKU],Table9[Connector],,0)</f>
        <v>H4(Com)</v>
      </c>
      <c r="S539" s="442" t="str">
        <f>_xlfn.XLOOKUP(PV_DATA[[#This Row],[New Ark SKU]],Table9[New Ark SKU],Table9[Cable],,0)</f>
        <v>+400mm/-200mm</v>
      </c>
      <c r="T539" s="442">
        <v>625</v>
      </c>
      <c r="U539" s="1067">
        <f>720*3</f>
        <v>2160</v>
      </c>
      <c r="V539" s="444">
        <f>PV_DATA[[#This Row],[QUANTITY]]*PV_DATA[[#This Row],[WATT]]/1000000</f>
        <v>1.35</v>
      </c>
      <c r="W539" s="466">
        <f>PV_DATA[[#This Row],[QUANTITY]]/PV_DATA[[#This Row],[Qty/Pallet]]</f>
        <v>60</v>
      </c>
      <c r="X539" s="1019">
        <f>PV_DATA[[#This Row],[QUANTITY]]/PV_DATA[[#This Row],[Qty/CT]]</f>
        <v>3</v>
      </c>
      <c r="Y539" s="431" t="s">
        <v>951</v>
      </c>
      <c r="Z539" s="430" t="str">
        <f t="shared" si="5"/>
        <v>COMPLETED</v>
      </c>
      <c r="AB539" s="441">
        <v>46159</v>
      </c>
      <c r="AC539" s="467">
        <f>IF(PV_DATA[[#This Row],[Pick-Up Date]]&lt;&gt;"",_xlfn.ISOWEEKNUM(PV_DATA[[#This Row],[Pick-Up Date]]),"")</f>
        <v>20</v>
      </c>
      <c r="AD539" s="431" t="s">
        <v>4610</v>
      </c>
      <c r="AF539" s="431" t="s">
        <v>122</v>
      </c>
      <c r="AG539" s="431" t="s">
        <v>123</v>
      </c>
      <c r="AH539" s="431" t="s">
        <v>105</v>
      </c>
      <c r="AI539" s="441">
        <v>46167</v>
      </c>
      <c r="AJ539" s="441">
        <v>46174</v>
      </c>
      <c r="AK539" s="441">
        <v>46174</v>
      </c>
      <c r="AL539" s="441">
        <v>46204</v>
      </c>
      <c r="AM539" s="441">
        <v>46226</v>
      </c>
      <c r="AN539" s="441">
        <v>46227</v>
      </c>
      <c r="AO539" s="431" t="s">
        <v>402</v>
      </c>
      <c r="AP539" s="431" t="s">
        <v>4611</v>
      </c>
      <c r="AQ539" s="431" t="s">
        <v>80</v>
      </c>
      <c r="AR539" s="431" t="s">
        <v>4612</v>
      </c>
      <c r="AS539" s="431" t="s">
        <v>4613</v>
      </c>
      <c r="AT539" s="482" t="s">
        <v>4613</v>
      </c>
      <c r="AU53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V539" s="441"/>
      <c r="AW539" s="441" cm="1">
        <f t="array" ref="AW53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46227</v>
      </c>
      <c r="AX53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39" s="441">
        <f>IF(ISERROR(PV_DATA[[#This Row],[New Ark PO status]]),"",_xlfn.XLOOKUP(PV_DATA[[#This Row],[SPTN-PVHK New Ark PO'#]],New_Ark_Data[Purchase order Number],New_Ark_Data[Estimated time of arrival],"",0))</f>
        <v>46204</v>
      </c>
      <c r="AZ539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39" s="441">
        <f>IFERROR(PV_DATA[[#This Row],[ODP ETA Port]]+PV_DATA[[#This Row],[Customs/Leg3 Assumption]],"n/a")</f>
        <v>46227</v>
      </c>
      <c r="BB539" s="442">
        <f>YEAR(PV_DATA[[#This Row],[ETA for New Ark update]])</f>
        <v>2026</v>
      </c>
      <c r="BC539" s="431">
        <f>MONTH(PV_DATA[[#This Row],[ETA for New Ark update]])</f>
        <v>7</v>
      </c>
      <c r="BD539" s="431">
        <f>IFERROR(_xlfn.ISOWEEKNUM(PV_DATA[[#This Row],[ETA for New Ark update]]),0)</f>
        <v>30</v>
      </c>
      <c r="BE539" s="431">
        <f>_xlfn.XLOOKUP(PV_DATA[[#This Row],[New Ark SKU]],Table9[New Ark SKU],Table9[Total PCS per Pallet],,0)</f>
        <v>36</v>
      </c>
      <c r="BF539" s="431">
        <f>_xlfn.XLOOKUP(PV_DATA[[#This Row],[New Ark SKU]],Table9[New Ark SKU],Table9[Total PCS per 40HQ Container],,0)</f>
        <v>720</v>
      </c>
      <c r="BG539" s="431" t="str">
        <f>_xlfn.XLOOKUP(PV_DATA[[#This Row],[New Ark SKU]],Table9[New Ark SKU],Table9[Back Glass],,0)</f>
        <v>Transparent</v>
      </c>
      <c r="BH539" s="431" t="str">
        <f>_xlfn.XLOOKUP(PV_DATA[[#This Row],[PORT DESTINATION]],Table12[PORT DESTINATION],Table12[Cosco Line],,0)</f>
        <v>AEU</v>
      </c>
    </row>
    <row r="540" spans="1:60" s="431" customFormat="1" ht="10.5" hidden="1">
      <c r="A540" s="439" t="s">
        <v>4614</v>
      </c>
      <c r="B540" s="439" t="s">
        <v>111</v>
      </c>
      <c r="C540" s="439" t="str">
        <f>IFERROR(LEFT(PV_DATA[[#This Row],[TCL REFERENCE]],FIND(".",PV_DATA[[#This Row],[TCL REFERENCE]],1)-1),"Main Line")</f>
        <v>26May012</v>
      </c>
      <c r="D540" s="439" t="s">
        <v>63</v>
      </c>
      <c r="E540" s="439" t="s">
        <v>144</v>
      </c>
      <c r="F540" s="439" t="str" cm="1">
        <f t="array" ref="F54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40" s="439" t="s">
        <v>402</v>
      </c>
      <c r="H540" s="719" t="s">
        <v>1449</v>
      </c>
      <c r="I540" s="439" t="s">
        <v>689</v>
      </c>
      <c r="J540" s="431" t="s">
        <v>4600</v>
      </c>
      <c r="K540" s="431" t="s">
        <v>1451</v>
      </c>
      <c r="L540" s="450">
        <v>8</v>
      </c>
      <c r="M540" s="431" t="s">
        <v>840</v>
      </c>
      <c r="N540" s="461">
        <v>46153</v>
      </c>
      <c r="O540" s="431" t="s">
        <v>4540</v>
      </c>
      <c r="P540" s="431" t="s">
        <v>4606</v>
      </c>
      <c r="Q540" s="431" t="s">
        <v>4607</v>
      </c>
      <c r="R540" s="431" t="str">
        <f>_xlfn.XLOOKUP(PV_DATA[[#This Row],[New Ark SKU]],Table9[New Ark SKU],Table9[Connector],,0)</f>
        <v>H4(Com)</v>
      </c>
      <c r="S540" s="442" t="str">
        <f>_xlfn.XLOOKUP(PV_DATA[[#This Row],[New Ark SKU]],Table9[New Ark SKU],Table9[Cable],,0)</f>
        <v>+400mm/-200mm</v>
      </c>
      <c r="T540" s="442">
        <v>630</v>
      </c>
      <c r="U540" s="1067">
        <f>720*2</f>
        <v>1440</v>
      </c>
      <c r="V540" s="444">
        <f>PV_DATA[[#This Row],[QUANTITY]]*PV_DATA[[#This Row],[WATT]]/1000000</f>
        <v>0.90720000000000001</v>
      </c>
      <c r="W540" s="466">
        <f>PV_DATA[[#This Row],[QUANTITY]]/PV_DATA[[#This Row],[Qty/Pallet]]</f>
        <v>40</v>
      </c>
      <c r="X540" s="1019">
        <f>PV_DATA[[#This Row],[QUANTITY]]/PV_DATA[[#This Row],[Qty/CT]]</f>
        <v>2</v>
      </c>
      <c r="Y540" s="431" t="s">
        <v>951</v>
      </c>
      <c r="Z540" s="430" t="str">
        <f t="shared" si="5"/>
        <v>COMPLETED</v>
      </c>
      <c r="AB540" s="441">
        <v>46159</v>
      </c>
      <c r="AC540" s="467">
        <f>IF(PV_DATA[[#This Row],[Pick-Up Date]]&lt;&gt;"",_xlfn.ISOWEEKNUM(PV_DATA[[#This Row],[Pick-Up Date]]),"")</f>
        <v>20</v>
      </c>
      <c r="AD540" s="431" t="s">
        <v>4615</v>
      </c>
      <c r="AF540" s="431" t="s">
        <v>122</v>
      </c>
      <c r="AG540" s="431" t="s">
        <v>123</v>
      </c>
      <c r="AH540" s="431" t="s">
        <v>105</v>
      </c>
      <c r="AI540" s="441">
        <v>46167</v>
      </c>
      <c r="AJ540" s="441">
        <v>46174</v>
      </c>
      <c r="AK540" s="441">
        <v>46174</v>
      </c>
      <c r="AL540" s="441">
        <v>46204</v>
      </c>
      <c r="AM540" s="441">
        <v>46226</v>
      </c>
      <c r="AN540" s="441">
        <v>46227</v>
      </c>
      <c r="AO540" s="431" t="s">
        <v>402</v>
      </c>
      <c r="AP540" s="431" t="s">
        <v>4611</v>
      </c>
      <c r="AQ540" s="431" t="s">
        <v>80</v>
      </c>
      <c r="AR540" s="431" t="s">
        <v>4612</v>
      </c>
      <c r="AS540" s="431" t="s">
        <v>4613</v>
      </c>
      <c r="AT540" s="482" t="s">
        <v>4613</v>
      </c>
      <c r="AU54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V540" s="441"/>
      <c r="AW540" s="441" cm="1">
        <f t="array" ref="AW54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46227</v>
      </c>
      <c r="AX54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40" s="441">
        <f>IF(ISERROR(PV_DATA[[#This Row],[New Ark PO status]]),"",_xlfn.XLOOKUP(PV_DATA[[#This Row],[SPTN-PVHK New Ark PO'#]],New_Ark_Data[Purchase order Number],New_Ark_Data[Estimated time of arrival],"",0))</f>
        <v>46204</v>
      </c>
      <c r="AZ540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40" s="441">
        <f>IFERROR(PV_DATA[[#This Row],[ODP ETA Port]]+PV_DATA[[#This Row],[Customs/Leg3 Assumption]],"n/a")</f>
        <v>46227</v>
      </c>
      <c r="BB540" s="442">
        <f>YEAR(PV_DATA[[#This Row],[ETA for New Ark update]])</f>
        <v>2026</v>
      </c>
      <c r="BC540" s="431">
        <f>MONTH(PV_DATA[[#This Row],[ETA for New Ark update]])</f>
        <v>7</v>
      </c>
      <c r="BD540" s="431">
        <f>IFERROR(_xlfn.ISOWEEKNUM(PV_DATA[[#This Row],[ETA for New Ark update]]),0)</f>
        <v>30</v>
      </c>
      <c r="BE540" s="431">
        <f>_xlfn.XLOOKUP(PV_DATA[[#This Row],[New Ark SKU]],Table9[New Ark SKU],Table9[Total PCS per Pallet],,0)</f>
        <v>36</v>
      </c>
      <c r="BF540" s="431">
        <f>_xlfn.XLOOKUP(PV_DATA[[#This Row],[New Ark SKU]],Table9[New Ark SKU],Table9[Total PCS per 40HQ Container],,0)</f>
        <v>720</v>
      </c>
      <c r="BG540" s="431" t="str">
        <f>_xlfn.XLOOKUP(PV_DATA[[#This Row],[New Ark SKU]],Table9[New Ark SKU],Table9[Back Glass],,0)</f>
        <v>Transparent</v>
      </c>
      <c r="BH540" s="431" t="str">
        <f>_xlfn.XLOOKUP(PV_DATA[[#This Row],[PORT DESTINATION]],Table12[PORT DESTINATION],Table12[Cosco Line],,0)</f>
        <v>AEU</v>
      </c>
    </row>
    <row r="541" spans="1:60" s="431" customFormat="1" ht="10.5" hidden="1">
      <c r="A541" s="439" t="s">
        <v>4616</v>
      </c>
      <c r="B541" s="439" t="s">
        <v>111</v>
      </c>
      <c r="C541" s="439" t="str">
        <f>IFERROR(LEFT(PV_DATA[[#This Row],[TCL REFERENCE]],FIND(".",PV_DATA[[#This Row],[TCL REFERENCE]],1)-1),"Main Line")</f>
        <v>26May012</v>
      </c>
      <c r="D541" s="439" t="s">
        <v>63</v>
      </c>
      <c r="E541" s="439" t="s">
        <v>144</v>
      </c>
      <c r="F541" s="439" t="str" cm="1">
        <f t="array" ref="F54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41" s="439" t="s">
        <v>402</v>
      </c>
      <c r="H541" s="719" t="s">
        <v>1449</v>
      </c>
      <c r="I541" s="439" t="s">
        <v>689</v>
      </c>
      <c r="J541" s="431" t="s">
        <v>4600</v>
      </c>
      <c r="K541" s="431" t="s">
        <v>1451</v>
      </c>
      <c r="L541" s="450">
        <v>13</v>
      </c>
      <c r="M541" s="431" t="s">
        <v>840</v>
      </c>
      <c r="N541" s="461">
        <v>46146</v>
      </c>
      <c r="O541" s="431" t="s">
        <v>4540</v>
      </c>
      <c r="P541" s="431" t="s">
        <v>4606</v>
      </c>
      <c r="Q541" s="431" t="s">
        <v>4607</v>
      </c>
      <c r="R541" s="431" t="str">
        <f>_xlfn.XLOOKUP(PV_DATA[[#This Row],[New Ark SKU]],Table9[New Ark SKU],Table9[Connector],,0)</f>
        <v>H4(Com)</v>
      </c>
      <c r="S541" s="442" t="str">
        <f>_xlfn.XLOOKUP(PV_DATA[[#This Row],[New Ark SKU]],Table9[New Ark SKU],Table9[Cable],,0)</f>
        <v>+400mm/-200mm</v>
      </c>
      <c r="T541" s="442">
        <v>630</v>
      </c>
      <c r="U541" s="1067">
        <f>720*8</f>
        <v>5760</v>
      </c>
      <c r="V541" s="444">
        <f>PV_DATA[[#This Row],[QUANTITY]]*PV_DATA[[#This Row],[WATT]]/1000000</f>
        <v>3.6288</v>
      </c>
      <c r="W541" s="466">
        <f>PV_DATA[[#This Row],[QUANTITY]]/PV_DATA[[#This Row],[Qty/Pallet]]</f>
        <v>160</v>
      </c>
      <c r="X541" s="1019">
        <f>PV_DATA[[#This Row],[QUANTITY]]/PV_DATA[[#This Row],[Qty/CT]]</f>
        <v>8</v>
      </c>
      <c r="Y541" s="431" t="s">
        <v>4363</v>
      </c>
      <c r="Z541" s="430" t="str">
        <f t="shared" si="5"/>
        <v>COMPLETED</v>
      </c>
      <c r="AB541" s="441">
        <v>46166</v>
      </c>
      <c r="AC541" s="467">
        <f>IF(PV_DATA[[#This Row],[Pick-Up Date]]&lt;&gt;"",_xlfn.ISOWEEKNUM(PV_DATA[[#This Row],[Pick-Up Date]]),"")</f>
        <v>21</v>
      </c>
      <c r="AD541" s="431" t="s">
        <v>4617</v>
      </c>
      <c r="AF541" s="431" t="s">
        <v>122</v>
      </c>
      <c r="AG541" s="431" t="s">
        <v>123</v>
      </c>
      <c r="AH541" s="431" t="s">
        <v>105</v>
      </c>
      <c r="AI541" s="441">
        <v>46173</v>
      </c>
      <c r="AJ541" s="441">
        <v>46190</v>
      </c>
      <c r="AK541" s="441">
        <v>46190</v>
      </c>
      <c r="AL541" s="441">
        <v>46223</v>
      </c>
      <c r="AM541" s="441">
        <v>46234</v>
      </c>
      <c r="AN541" s="441">
        <v>46234</v>
      </c>
      <c r="AO541" s="431" t="s">
        <v>402</v>
      </c>
      <c r="AP541" s="431" t="s">
        <v>4618</v>
      </c>
      <c r="AQ541" s="431" t="s">
        <v>80</v>
      </c>
      <c r="AR541" s="431" t="s">
        <v>4619</v>
      </c>
      <c r="AS541" s="431" t="s">
        <v>4620</v>
      </c>
      <c r="AT541" s="482" t="s">
        <v>4620</v>
      </c>
      <c r="AU54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V541" s="441"/>
      <c r="AW541" s="441" cm="1">
        <f t="array" ref="AW54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46234</v>
      </c>
      <c r="AX54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41" s="441">
        <f>IF(ISERROR(PV_DATA[[#This Row],[New Ark PO status]]),"",_xlfn.XLOOKUP(PV_DATA[[#This Row],[SPTN-PVHK New Ark PO'#]],New_Ark_Data[Purchase order Number],New_Ark_Data[Estimated time of arrival],"",0))</f>
        <v>46223</v>
      </c>
      <c r="AZ541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41" s="441">
        <f>IFERROR(PV_DATA[[#This Row],[ODP ETA Port]]+PV_DATA[[#This Row],[Customs/Leg3 Assumption]],"n/a")</f>
        <v>46234</v>
      </c>
      <c r="BB541" s="442">
        <f>YEAR(PV_DATA[[#This Row],[ETA for New Ark update]])</f>
        <v>2026</v>
      </c>
      <c r="BC541" s="431">
        <f>MONTH(PV_DATA[[#This Row],[ETA for New Ark update]])</f>
        <v>7</v>
      </c>
      <c r="BD541" s="431">
        <f>IFERROR(_xlfn.ISOWEEKNUM(PV_DATA[[#This Row],[ETA for New Ark update]]),0)</f>
        <v>31</v>
      </c>
      <c r="BE541" s="431">
        <f>_xlfn.XLOOKUP(PV_DATA[[#This Row],[New Ark SKU]],Table9[New Ark SKU],Table9[Total PCS per Pallet],,0)</f>
        <v>36</v>
      </c>
      <c r="BF541" s="431">
        <f>_xlfn.XLOOKUP(PV_DATA[[#This Row],[New Ark SKU]],Table9[New Ark SKU],Table9[Total PCS per 40HQ Container],,0)</f>
        <v>720</v>
      </c>
      <c r="BG541" s="431" t="str">
        <f>_xlfn.XLOOKUP(PV_DATA[[#This Row],[New Ark SKU]],Table9[New Ark SKU],Table9[Back Glass],,0)</f>
        <v>Transparent</v>
      </c>
      <c r="BH541" s="431" t="str">
        <f>_xlfn.XLOOKUP(PV_DATA[[#This Row],[PORT DESTINATION]],Table12[PORT DESTINATION],Table12[Cosco Line],,0)</f>
        <v>AEU</v>
      </c>
    </row>
    <row r="542" spans="1:60" s="431" customFormat="1" ht="10.5" hidden="1">
      <c r="A542" s="439" t="s">
        <v>4621</v>
      </c>
      <c r="B542" s="439" t="s">
        <v>111</v>
      </c>
      <c r="C542" s="439" t="str">
        <f>IFERROR(LEFT(PV_DATA[[#This Row],[TCL REFERENCE]],FIND(".",PV_DATA[[#This Row],[TCL REFERENCE]],1)-1),"Main Line")</f>
        <v>26May012</v>
      </c>
      <c r="D542" s="439" t="s">
        <v>63</v>
      </c>
      <c r="E542" s="439" t="s">
        <v>144</v>
      </c>
      <c r="F542" s="439" t="str" cm="1">
        <f t="array" ref="F54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42" s="439" t="s">
        <v>402</v>
      </c>
      <c r="H542" s="719" t="s">
        <v>1449</v>
      </c>
      <c r="I542" s="439" t="s">
        <v>689</v>
      </c>
      <c r="J542" s="431" t="s">
        <v>4600</v>
      </c>
      <c r="K542" s="431" t="s">
        <v>1451</v>
      </c>
      <c r="L542" s="450">
        <v>15</v>
      </c>
      <c r="M542" s="431" t="s">
        <v>840</v>
      </c>
      <c r="N542" s="461">
        <v>46153</v>
      </c>
      <c r="O542" s="431" t="s">
        <v>4540</v>
      </c>
      <c r="P542" s="431" t="s">
        <v>4606</v>
      </c>
      <c r="Q542" s="431" t="s">
        <v>4607</v>
      </c>
      <c r="R542" s="431" t="str">
        <f>_xlfn.XLOOKUP(PV_DATA[[#This Row],[New Ark SKU]],Table9[New Ark SKU],Table9[Connector],,0)</f>
        <v>H4(Com)</v>
      </c>
      <c r="S542" s="442" t="str">
        <f>_xlfn.XLOOKUP(PV_DATA[[#This Row],[New Ark SKU]],Table9[New Ark SKU],Table9[Cable],,0)</f>
        <v>+400mm/-200mm</v>
      </c>
      <c r="T542" s="442">
        <v>630</v>
      </c>
      <c r="U542" s="1067">
        <f>720*7</f>
        <v>5040</v>
      </c>
      <c r="V542" s="444">
        <f>PV_DATA[[#This Row],[QUANTITY]]*PV_DATA[[#This Row],[WATT]]/1000000</f>
        <v>3.1751999999999998</v>
      </c>
      <c r="W542" s="466">
        <f>PV_DATA[[#This Row],[QUANTITY]]/PV_DATA[[#This Row],[Qty/Pallet]]</f>
        <v>140</v>
      </c>
      <c r="X542" s="1019">
        <f>PV_DATA[[#This Row],[QUANTITY]]/PV_DATA[[#This Row],[Qty/CT]]</f>
        <v>7</v>
      </c>
      <c r="Y542" s="431" t="s">
        <v>4363</v>
      </c>
      <c r="Z542" s="430" t="str">
        <f t="shared" si="5"/>
        <v>COMPLETED</v>
      </c>
      <c r="AB542" s="441">
        <v>46167</v>
      </c>
      <c r="AC542" s="467">
        <f>IF(PV_DATA[[#This Row],[Pick-Up Date]]&lt;&gt;"",_xlfn.ISOWEEKNUM(PV_DATA[[#This Row],[Pick-Up Date]]),"")</f>
        <v>22</v>
      </c>
      <c r="AD542" s="431" t="s">
        <v>4622</v>
      </c>
      <c r="AF542" s="431" t="s">
        <v>122</v>
      </c>
      <c r="AG542" s="431" t="s">
        <v>123</v>
      </c>
      <c r="AH542" s="431" t="s">
        <v>105</v>
      </c>
      <c r="AI542" s="441">
        <v>46173</v>
      </c>
      <c r="AJ542" s="441">
        <v>46190</v>
      </c>
      <c r="AK542" s="441">
        <v>46190</v>
      </c>
      <c r="AL542" s="441">
        <v>46223</v>
      </c>
      <c r="AM542" s="441">
        <v>46234</v>
      </c>
      <c r="AN542" s="441">
        <v>46234</v>
      </c>
      <c r="AO542" s="431" t="s">
        <v>402</v>
      </c>
      <c r="AP542" s="431" t="s">
        <v>4618</v>
      </c>
      <c r="AQ542" s="431" t="s">
        <v>80</v>
      </c>
      <c r="AR542" s="431" t="s">
        <v>4623</v>
      </c>
      <c r="AS542" s="431" t="s">
        <v>4624</v>
      </c>
      <c r="AT542" s="482" t="s">
        <v>4624</v>
      </c>
      <c r="AU54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V542" s="441"/>
      <c r="AW542" s="441" cm="1">
        <f t="array" ref="AW54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46234</v>
      </c>
      <c r="AX54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42" s="441">
        <f>IF(ISERROR(PV_DATA[[#This Row],[New Ark PO status]]),"",_xlfn.XLOOKUP(PV_DATA[[#This Row],[SPTN-PVHK New Ark PO'#]],New_Ark_Data[Purchase order Number],New_Ark_Data[Estimated time of arrival],"",0))</f>
        <v>46223</v>
      </c>
      <c r="AZ542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42" s="441">
        <f>IFERROR(PV_DATA[[#This Row],[ODP ETA Port]]+PV_DATA[[#This Row],[Customs/Leg3 Assumption]],"n/a")</f>
        <v>46234</v>
      </c>
      <c r="BB542" s="442">
        <f>YEAR(PV_DATA[[#This Row],[ETA for New Ark update]])</f>
        <v>2026</v>
      </c>
      <c r="BC542" s="431">
        <f>MONTH(PV_DATA[[#This Row],[ETA for New Ark update]])</f>
        <v>7</v>
      </c>
      <c r="BD542" s="431">
        <f>IFERROR(_xlfn.ISOWEEKNUM(PV_DATA[[#This Row],[ETA for New Ark update]]),0)</f>
        <v>31</v>
      </c>
      <c r="BE542" s="431">
        <f>_xlfn.XLOOKUP(PV_DATA[[#This Row],[New Ark SKU]],Table9[New Ark SKU],Table9[Total PCS per Pallet],,0)</f>
        <v>36</v>
      </c>
      <c r="BF542" s="431">
        <f>_xlfn.XLOOKUP(PV_DATA[[#This Row],[New Ark SKU]],Table9[New Ark SKU],Table9[Total PCS per 40HQ Container],,0)</f>
        <v>720</v>
      </c>
      <c r="BG542" s="431" t="str">
        <f>_xlfn.XLOOKUP(PV_DATA[[#This Row],[New Ark SKU]],Table9[New Ark SKU],Table9[Back Glass],,0)</f>
        <v>Transparent</v>
      </c>
      <c r="BH542" s="431" t="str">
        <f>_xlfn.XLOOKUP(PV_DATA[[#This Row],[PORT DESTINATION]],Table12[PORT DESTINATION],Table12[Cosco Line],,0)</f>
        <v>AEU</v>
      </c>
    </row>
    <row r="543" spans="1:60" s="431" customFormat="1" ht="10.5" hidden="1">
      <c r="A543" s="439" t="s">
        <v>4625</v>
      </c>
      <c r="B543" s="439" t="s">
        <v>111</v>
      </c>
      <c r="C543" s="439" t="str">
        <f>IFERROR(LEFT(PV_DATA[[#This Row],[TCL REFERENCE]],FIND(".",PV_DATA[[#This Row],[TCL REFERENCE]],1)-1),"Main Line")</f>
        <v>26May012</v>
      </c>
      <c r="D543" s="439" t="s">
        <v>63</v>
      </c>
      <c r="E543" s="439" t="s">
        <v>144</v>
      </c>
      <c r="F543" s="439" t="str" cm="1">
        <f t="array" ref="F54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43" s="439" t="s">
        <v>402</v>
      </c>
      <c r="H543" s="719" t="s">
        <v>1449</v>
      </c>
      <c r="I543" s="439" t="s">
        <v>689</v>
      </c>
      <c r="J543" s="431" t="s">
        <v>4600</v>
      </c>
      <c r="K543" s="431" t="s">
        <v>1451</v>
      </c>
      <c r="L543" s="450">
        <v>14</v>
      </c>
      <c r="M543" s="431" t="s">
        <v>840</v>
      </c>
      <c r="N543" s="461">
        <v>46153</v>
      </c>
      <c r="O543" s="431" t="s">
        <v>4540</v>
      </c>
      <c r="P543" s="431" t="s">
        <v>4606</v>
      </c>
      <c r="Q543" s="431" t="s">
        <v>4607</v>
      </c>
      <c r="R543" s="431" t="str">
        <f>_xlfn.XLOOKUP(PV_DATA[[#This Row],[New Ark SKU]],Table9[New Ark SKU],Table9[Connector],,0)</f>
        <v>H4(Com)</v>
      </c>
      <c r="S543" s="442" t="str">
        <f>_xlfn.XLOOKUP(PV_DATA[[#This Row],[New Ark SKU]],Table9[New Ark SKU],Table9[Cable],,0)</f>
        <v>+400mm/-200mm</v>
      </c>
      <c r="T543" s="442">
        <v>630</v>
      </c>
      <c r="U543" s="1067">
        <f>720*8</f>
        <v>5760</v>
      </c>
      <c r="V543" s="444">
        <f>PV_DATA[[#This Row],[QUANTITY]]*PV_DATA[[#This Row],[WATT]]/1000000</f>
        <v>3.6288</v>
      </c>
      <c r="W543" s="466">
        <f>PV_DATA[[#This Row],[QUANTITY]]/PV_DATA[[#This Row],[Qty/Pallet]]</f>
        <v>160</v>
      </c>
      <c r="X543" s="1019">
        <f>PV_DATA[[#This Row],[QUANTITY]]/PV_DATA[[#This Row],[Qty/CT]]</f>
        <v>8</v>
      </c>
      <c r="Y543" s="431" t="s">
        <v>4363</v>
      </c>
      <c r="Z543" s="430" t="str">
        <f t="shared" si="5"/>
        <v>COMPLETED</v>
      </c>
      <c r="AB543" s="441">
        <v>46168</v>
      </c>
      <c r="AC543" s="467">
        <f>IF(PV_DATA[[#This Row],[Pick-Up Date]]&lt;&gt;"",_xlfn.ISOWEEKNUM(PV_DATA[[#This Row],[Pick-Up Date]]),"")</f>
        <v>22</v>
      </c>
      <c r="AD543" s="431" t="s">
        <v>4626</v>
      </c>
      <c r="AF543" s="431" t="s">
        <v>122</v>
      </c>
      <c r="AG543" s="431" t="s">
        <v>123</v>
      </c>
      <c r="AH543" s="431" t="s">
        <v>105</v>
      </c>
      <c r="AI543" s="441">
        <v>46173</v>
      </c>
      <c r="AJ543" s="441">
        <v>46190</v>
      </c>
      <c r="AK543" s="441">
        <v>46190</v>
      </c>
      <c r="AL543" s="441">
        <v>46223</v>
      </c>
      <c r="AM543" s="441">
        <v>46234</v>
      </c>
      <c r="AN543" s="441">
        <v>46234</v>
      </c>
      <c r="AO543" s="431" t="s">
        <v>402</v>
      </c>
      <c r="AP543" s="431" t="s">
        <v>4618</v>
      </c>
      <c r="AQ543" s="431" t="s">
        <v>80</v>
      </c>
      <c r="AR543" s="431" t="s">
        <v>4623</v>
      </c>
      <c r="AS543" s="431" t="s">
        <v>4624</v>
      </c>
      <c r="AT543" s="482" t="s">
        <v>4624</v>
      </c>
      <c r="AU54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V543" s="441"/>
      <c r="AW543" s="441" cm="1">
        <f t="array" ref="AW54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46234</v>
      </c>
      <c r="AX54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43" s="441">
        <f>IF(ISERROR(PV_DATA[[#This Row],[New Ark PO status]]),"",_xlfn.XLOOKUP(PV_DATA[[#This Row],[SPTN-PVHK New Ark PO'#]],New_Ark_Data[Purchase order Number],New_Ark_Data[Estimated time of arrival],"",0))</f>
        <v>46223</v>
      </c>
      <c r="AZ543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43" s="441">
        <f>IFERROR(PV_DATA[[#This Row],[ODP ETA Port]]+PV_DATA[[#This Row],[Customs/Leg3 Assumption]],"n/a")</f>
        <v>46234</v>
      </c>
      <c r="BB543" s="442">
        <f>YEAR(PV_DATA[[#This Row],[ETA for New Ark update]])</f>
        <v>2026</v>
      </c>
      <c r="BC543" s="431">
        <f>MONTH(PV_DATA[[#This Row],[ETA for New Ark update]])</f>
        <v>7</v>
      </c>
      <c r="BD543" s="431">
        <f>IFERROR(_xlfn.ISOWEEKNUM(PV_DATA[[#This Row],[ETA for New Ark update]]),0)</f>
        <v>31</v>
      </c>
      <c r="BE543" s="431">
        <f>_xlfn.XLOOKUP(PV_DATA[[#This Row],[New Ark SKU]],Table9[New Ark SKU],Table9[Total PCS per Pallet],,0)</f>
        <v>36</v>
      </c>
      <c r="BF543" s="431">
        <f>_xlfn.XLOOKUP(PV_DATA[[#This Row],[New Ark SKU]],Table9[New Ark SKU],Table9[Total PCS per 40HQ Container],,0)</f>
        <v>720</v>
      </c>
      <c r="BG543" s="431" t="str">
        <f>_xlfn.XLOOKUP(PV_DATA[[#This Row],[New Ark SKU]],Table9[New Ark SKU],Table9[Back Glass],,0)</f>
        <v>Transparent</v>
      </c>
      <c r="BH543" s="431" t="str">
        <f>_xlfn.XLOOKUP(PV_DATA[[#This Row],[PORT DESTINATION]],Table12[PORT DESTINATION],Table12[Cosco Line],,0)</f>
        <v>AEU</v>
      </c>
    </row>
    <row r="544" spans="1:60" s="431" customFormat="1" ht="10.5" hidden="1">
      <c r="A544" s="439" t="s">
        <v>4627</v>
      </c>
      <c r="B544" s="439" t="s">
        <v>111</v>
      </c>
      <c r="C544" s="439" t="str">
        <f>IFERROR(LEFT(PV_DATA[[#This Row],[TCL REFERENCE]],FIND(".",PV_DATA[[#This Row],[TCL REFERENCE]],1)-1),"Main Line")</f>
        <v>26May005</v>
      </c>
      <c r="D544" s="439" t="s">
        <v>63</v>
      </c>
      <c r="E544" s="439" t="s">
        <v>144</v>
      </c>
      <c r="F544" s="439" t="str" cm="1">
        <f t="array" ref="F54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44" s="439" t="s">
        <v>402</v>
      </c>
      <c r="H544" s="719" t="s">
        <v>1449</v>
      </c>
      <c r="I544" s="439" t="s">
        <v>689</v>
      </c>
      <c r="J544" s="431" t="s">
        <v>4628</v>
      </c>
      <c r="K544" s="431" t="s">
        <v>4629</v>
      </c>
      <c r="L544" s="431">
        <v>2</v>
      </c>
      <c r="M544" s="431" t="s">
        <v>840</v>
      </c>
      <c r="N544" s="461">
        <v>46160</v>
      </c>
      <c r="O544" s="431" t="s">
        <v>132</v>
      </c>
      <c r="P544" s="431" t="s">
        <v>189</v>
      </c>
      <c r="Q544" s="431" t="s">
        <v>190</v>
      </c>
      <c r="R544" s="431" t="str">
        <f>_xlfn.XLOOKUP(PV_DATA[[#This Row],[New Ark SKU]],Table9[New Ark SKU],Table9[Connector],,0)</f>
        <v>EVO2A</v>
      </c>
      <c r="S544" s="442" t="str">
        <f>_xlfn.XLOOKUP(PV_DATA[[#This Row],[New Ark SKU]],Table9[New Ark SKU],Table9[Cable],,0)</f>
        <v>±1200mm</v>
      </c>
      <c r="T544" s="442">
        <v>465</v>
      </c>
      <c r="U544" s="1067">
        <f>864*15</f>
        <v>12960</v>
      </c>
      <c r="V544" s="444">
        <f>PV_DATA[[#This Row],[QUANTITY]]*PV_DATA[[#This Row],[WATT]]/1000000</f>
        <v>6.0263999999999998</v>
      </c>
      <c r="W544" s="466">
        <f>PV_DATA[[#This Row],[QUANTITY]]/PV_DATA[[#This Row],[Qty/Pallet]]</f>
        <v>360</v>
      </c>
      <c r="X544" s="1019">
        <f>PV_DATA[[#This Row],[QUANTITY]]/PV_DATA[[#This Row],[Qty/CT]]</f>
        <v>15</v>
      </c>
      <c r="Y544" s="431" t="s">
        <v>4363</v>
      </c>
      <c r="Z544" s="430" t="str">
        <f t="shared" si="5"/>
        <v>COMPLETED</v>
      </c>
      <c r="AA544" s="478" t="s">
        <v>4630</v>
      </c>
      <c r="AB544" s="441">
        <v>46168</v>
      </c>
      <c r="AC544" s="467">
        <f>IF(PV_DATA[[#This Row],[Pick-Up Date]]&lt;&gt;"",_xlfn.ISOWEEKNUM(PV_DATA[[#This Row],[Pick-Up Date]]),"")</f>
        <v>22</v>
      </c>
      <c r="AD544" s="431" t="s">
        <v>4631</v>
      </c>
      <c r="AF544" s="431" t="s">
        <v>123</v>
      </c>
      <c r="AG544" s="431" t="s">
        <v>123</v>
      </c>
      <c r="AH544" s="431" t="s">
        <v>105</v>
      </c>
      <c r="AI544" s="441">
        <v>46173</v>
      </c>
      <c r="AJ544" s="441">
        <v>46190</v>
      </c>
      <c r="AK544" s="441">
        <v>46190</v>
      </c>
      <c r="AL544" s="441">
        <v>46223</v>
      </c>
      <c r="AM544" s="441">
        <v>46234</v>
      </c>
      <c r="AN544" s="441">
        <v>46234</v>
      </c>
      <c r="AO544" s="431" t="s">
        <v>402</v>
      </c>
      <c r="AP544" s="431" t="s">
        <v>4618</v>
      </c>
      <c r="AQ544" s="431" t="s">
        <v>80</v>
      </c>
      <c r="AR544" s="431" t="s">
        <v>4632</v>
      </c>
      <c r="AS544" s="431" t="s">
        <v>4633</v>
      </c>
      <c r="AT544" s="482" t="s">
        <v>4633</v>
      </c>
      <c r="AU54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V544" s="441"/>
      <c r="AW544" s="441" cm="1">
        <f t="array" ref="AW54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46234</v>
      </c>
      <c r="AX54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44" s="441">
        <f>IF(ISERROR(PV_DATA[[#This Row],[New Ark PO status]]),"",_xlfn.XLOOKUP(PV_DATA[[#This Row],[SPTN-PVHK New Ark PO'#]],New_Ark_Data[Purchase order Number],New_Ark_Data[Estimated time of arrival],"",0))</f>
        <v>46226</v>
      </c>
      <c r="AZ544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44" s="441">
        <f>IFERROR(PV_DATA[[#This Row],[ODP ETA Port]]+PV_DATA[[#This Row],[Customs/Leg3 Assumption]],"n/a")</f>
        <v>46234</v>
      </c>
      <c r="BB544" s="442">
        <f>YEAR(PV_DATA[[#This Row],[ETA for New Ark update]])</f>
        <v>2026</v>
      </c>
      <c r="BC544" s="431">
        <f>MONTH(PV_DATA[[#This Row],[ETA for New Ark update]])</f>
        <v>7</v>
      </c>
      <c r="BD544" s="431">
        <f>IFERROR(_xlfn.ISOWEEKNUM(PV_DATA[[#This Row],[ETA for New Ark update]]),0)</f>
        <v>31</v>
      </c>
      <c r="BE544" s="431">
        <f>_xlfn.XLOOKUP(PV_DATA[[#This Row],[New Ark SKU]],Table9[New Ark SKU],Table9[Total PCS per Pallet],,0)</f>
        <v>36</v>
      </c>
      <c r="BF544" s="431">
        <f>_xlfn.XLOOKUP(PV_DATA[[#This Row],[New Ark SKU]],Table9[New Ark SKU],Table9[Total PCS per 40HQ Container],,0)</f>
        <v>864</v>
      </c>
      <c r="BG544" s="431" t="str">
        <f>_xlfn.XLOOKUP(PV_DATA[[#This Row],[New Ark SKU]],Table9[New Ark SKU],Table9[Back Glass],,0)</f>
        <v>White glazing</v>
      </c>
      <c r="BH544" s="431" t="str">
        <f>_xlfn.XLOOKUP(PV_DATA[[#This Row],[PORT DESTINATION]],Table12[PORT DESTINATION],Table12[Cosco Line],,0)</f>
        <v>AEU</v>
      </c>
    </row>
    <row r="545" spans="1:60" s="431" customFormat="1" ht="10.5" hidden="1">
      <c r="A545" s="439" t="s">
        <v>4634</v>
      </c>
      <c r="B545" s="439" t="s">
        <v>2132</v>
      </c>
      <c r="C545" s="439" t="str">
        <f>IFERROR(LEFT(PV_DATA[[#This Row],[TCL REFERENCE]],FIND(".",PV_DATA[[#This Row],[TCL REFERENCE]],1)-1),"Main Line")</f>
        <v>26Apr007</v>
      </c>
      <c r="D545" s="439" t="s">
        <v>63</v>
      </c>
      <c r="E545" s="439" t="s">
        <v>64</v>
      </c>
      <c r="F545" s="439" t="str" cm="1">
        <f t="array" ref="F54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545" s="439" t="s">
        <v>402</v>
      </c>
      <c r="H545" s="439" t="s">
        <v>311</v>
      </c>
      <c r="I545" s="439" t="s">
        <v>689</v>
      </c>
      <c r="J545" s="431" t="s">
        <v>96</v>
      </c>
      <c r="M545" s="431" t="s">
        <v>68</v>
      </c>
      <c r="N545" s="461">
        <v>46146</v>
      </c>
      <c r="O545" s="431" t="s">
        <v>170</v>
      </c>
      <c r="P545" s="431" t="s">
        <v>171</v>
      </c>
      <c r="Q545" s="431" t="s">
        <v>1731</v>
      </c>
      <c r="R545" s="431" t="str">
        <f>_xlfn.XLOOKUP(PV_DATA[[#This Row],[New Ark SKU]],Table9[New Ark SKU],Table9[Connector],,0)</f>
        <v>EVO2A</v>
      </c>
      <c r="S545" s="442" t="str">
        <f>_xlfn.XLOOKUP(PV_DATA[[#This Row],[New Ark SKU]],Table9[New Ark SKU],Table9[Cable],,0)</f>
        <v>±1400mm</v>
      </c>
      <c r="T545" s="442">
        <v>555</v>
      </c>
      <c r="U545" s="1067">
        <f>660*6</f>
        <v>3960</v>
      </c>
      <c r="V545" s="448">
        <f>PV_DATA[[#This Row],[QUANTITY]]*PV_DATA[[#This Row],[WATT]]/1000000</f>
        <v>2.1978</v>
      </c>
      <c r="W545" s="466">
        <f>PV_DATA[[#This Row],[QUANTITY]]/PV_DATA[[#This Row],[Qty/Pallet]]</f>
        <v>120</v>
      </c>
      <c r="X545" s="1019">
        <f>PV_DATA[[#This Row],[QUANTITY]]/PV_DATA[[#This Row],[Qty/CT]]</f>
        <v>6</v>
      </c>
      <c r="Y545" s="431" t="s">
        <v>951</v>
      </c>
      <c r="Z545" s="430" t="str">
        <f t="shared" si="5"/>
        <v>COMPLETED</v>
      </c>
      <c r="AA545" s="431" t="s">
        <v>4635</v>
      </c>
      <c r="AB545" s="441">
        <v>46164</v>
      </c>
      <c r="AC545" s="467">
        <f>IF(PV_DATA[[#This Row],[Pick-Up Date]]&lt;&gt;"",_xlfn.ISOWEEKNUM(PV_DATA[[#This Row],[Pick-Up Date]]),"")</f>
        <v>21</v>
      </c>
      <c r="AD545" s="431" t="s">
        <v>4636</v>
      </c>
      <c r="AF545" s="431" t="s">
        <v>123</v>
      </c>
      <c r="AG545" s="431" t="s">
        <v>123</v>
      </c>
      <c r="AH545" s="431" t="s">
        <v>314</v>
      </c>
      <c r="AI545" s="441">
        <v>46171</v>
      </c>
      <c r="AJ545" s="441">
        <v>46172</v>
      </c>
      <c r="AK545" s="441">
        <v>46172</v>
      </c>
      <c r="AL545" s="441">
        <v>46218</v>
      </c>
      <c r="AM545" s="441">
        <v>46225</v>
      </c>
      <c r="AN545" s="441">
        <v>46225</v>
      </c>
      <c r="AO545" s="431" t="s">
        <v>402</v>
      </c>
      <c r="AP545" s="431" t="s">
        <v>4637</v>
      </c>
      <c r="AQ545" s="431" t="s">
        <v>80</v>
      </c>
      <c r="AR545" s="431" t="s">
        <v>4638</v>
      </c>
      <c r="AS545" s="431" t="s">
        <v>4639</v>
      </c>
      <c r="AT545" s="482" t="s">
        <v>4639</v>
      </c>
      <c r="AU54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V545" s="441"/>
      <c r="AW545" s="441" cm="1">
        <f t="array" ref="AW54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46225</v>
      </c>
      <c r="AX54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45" s="441">
        <f>IF(ISERROR(PV_DATA[[#This Row],[New Ark PO status]]),"",_xlfn.XLOOKUP(PV_DATA[[#This Row],[SPTN-PVHK New Ark PO'#]],New_Ark_Data[Purchase order Number],New_Ark_Data[Estimated time of arrival],"",0))</f>
        <v>46239</v>
      </c>
      <c r="AZ545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545" s="441">
        <f>IFERROR(PV_DATA[[#This Row],[ODP ETA Port]]+PV_DATA[[#This Row],[Customs/Leg3 Assumption]],"n/a")</f>
        <v>46235</v>
      </c>
      <c r="BB545" s="442">
        <f>YEAR(PV_DATA[[#This Row],[ETA for New Ark update]])</f>
        <v>2026</v>
      </c>
      <c r="BC545" s="431">
        <f>MONTH(PV_DATA[[#This Row],[ETA for New Ark update]])</f>
        <v>8</v>
      </c>
      <c r="BD545" s="431">
        <f>IFERROR(_xlfn.ISOWEEKNUM(PV_DATA[[#This Row],[ETA for New Ark update]]),0)</f>
        <v>31</v>
      </c>
      <c r="BE545" s="431">
        <f>_xlfn.XLOOKUP(PV_DATA[[#This Row],[New Ark SKU]],Table9[New Ark SKU],Table9[Total PCS per Pallet],,0)</f>
        <v>33</v>
      </c>
      <c r="BF545" s="431">
        <f>_xlfn.XLOOKUP(PV_DATA[[#This Row],[New Ark SKU]],Table9[New Ark SKU],Table9[Total PCS per 40HQ Container],,0)</f>
        <v>660</v>
      </c>
      <c r="BG545" s="431" t="str">
        <f>_xlfn.XLOOKUP(PV_DATA[[#This Row],[New Ark SKU]],Table9[New Ark SKU],Table9[Back Glass],,0)</f>
        <v>White glazing</v>
      </c>
      <c r="BH545" s="431" t="str">
        <f>_xlfn.XLOOKUP(PV_DATA[[#This Row],[PORT DESTINATION]],Table12[PORT DESTINATION],Table12[Cosco Line],,0)</f>
        <v>AEM</v>
      </c>
    </row>
    <row r="546" spans="1:60" s="431" customFormat="1" ht="10.5" hidden="1">
      <c r="A546" s="439" t="s">
        <v>4640</v>
      </c>
      <c r="B546" s="439" t="s">
        <v>2132</v>
      </c>
      <c r="C546" s="439" t="str">
        <f>IFERROR(LEFT(PV_DATA[[#This Row],[TCL REFERENCE]],FIND(".",PV_DATA[[#This Row],[TCL REFERENCE]],1)-1),"Main Line")</f>
        <v>26Apr008</v>
      </c>
      <c r="D546" s="439" t="s">
        <v>63</v>
      </c>
      <c r="E546" s="439" t="s">
        <v>64</v>
      </c>
      <c r="F546" s="439" t="str" cm="1">
        <f t="array" ref="F54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546" s="439" t="s">
        <v>402</v>
      </c>
      <c r="H546" s="439" t="s">
        <v>311</v>
      </c>
      <c r="I546" s="439" t="s">
        <v>689</v>
      </c>
      <c r="J546" s="431" t="s">
        <v>96</v>
      </c>
      <c r="M546" s="431" t="s">
        <v>68</v>
      </c>
      <c r="N546" s="461">
        <v>46146</v>
      </c>
      <c r="O546" s="431" t="s">
        <v>170</v>
      </c>
      <c r="P546" s="431" t="s">
        <v>1977</v>
      </c>
      <c r="Q546" s="431" t="s">
        <v>1978</v>
      </c>
      <c r="R546" s="431" t="str">
        <f>_xlfn.XLOOKUP(PV_DATA[[#This Row],[New Ark SKU]],Table9[New Ark SKU],Table9[Connector],,0)</f>
        <v>EVO2A</v>
      </c>
      <c r="S546" s="442" t="str">
        <f>_xlfn.XLOOKUP(PV_DATA[[#This Row],[New Ark SKU]],Table9[New Ark SKU],Table9[Cable],,0)</f>
        <v>±1400mm</v>
      </c>
      <c r="T546" s="442">
        <v>560</v>
      </c>
      <c r="U546" s="1067">
        <v>660</v>
      </c>
      <c r="V546" s="448">
        <f>PV_DATA[[#This Row],[QUANTITY]]*PV_DATA[[#This Row],[WATT]]/1000000</f>
        <v>0.36959999999999998</v>
      </c>
      <c r="W546" s="466">
        <f>PV_DATA[[#This Row],[QUANTITY]]/PV_DATA[[#This Row],[Qty/Pallet]]</f>
        <v>20</v>
      </c>
      <c r="X546" s="1019">
        <f>PV_DATA[[#This Row],[QUANTITY]]/PV_DATA[[#This Row],[Qty/CT]]</f>
        <v>1</v>
      </c>
      <c r="Y546" s="431" t="s">
        <v>951</v>
      </c>
      <c r="Z546" s="430" t="str">
        <f t="shared" si="5"/>
        <v>COMPLETED</v>
      </c>
      <c r="AA546" s="431" t="s">
        <v>4635</v>
      </c>
      <c r="AB546" s="441">
        <v>46165</v>
      </c>
      <c r="AC546" s="467">
        <f>IF(PV_DATA[[#This Row],[Pick-Up Date]]&lt;&gt;"",_xlfn.ISOWEEKNUM(PV_DATA[[#This Row],[Pick-Up Date]]),"")</f>
        <v>21</v>
      </c>
      <c r="AD546" s="431" t="s">
        <v>4641</v>
      </c>
      <c r="AF546" s="431" t="s">
        <v>123</v>
      </c>
      <c r="AG546" s="431" t="s">
        <v>123</v>
      </c>
      <c r="AH546" s="431" t="s">
        <v>314</v>
      </c>
      <c r="AI546" s="441">
        <v>46171</v>
      </c>
      <c r="AJ546" s="441">
        <v>46172</v>
      </c>
      <c r="AK546" s="441">
        <v>46172</v>
      </c>
      <c r="AL546" s="441">
        <v>46218</v>
      </c>
      <c r="AM546" s="441">
        <v>46225</v>
      </c>
      <c r="AN546" s="441">
        <v>46225</v>
      </c>
      <c r="AO546" s="431" t="s">
        <v>402</v>
      </c>
      <c r="AP546" s="431" t="s">
        <v>4637</v>
      </c>
      <c r="AQ546" s="431" t="s">
        <v>80</v>
      </c>
      <c r="AR546" s="431" t="s">
        <v>4638</v>
      </c>
      <c r="AS546" s="431" t="s">
        <v>4639</v>
      </c>
      <c r="AT546" s="482" t="s">
        <v>4639</v>
      </c>
      <c r="AU54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V546" s="441"/>
      <c r="AW546" s="441" cm="1">
        <f t="array" ref="AW54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46225</v>
      </c>
      <c r="AX54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46" s="441">
        <f>IF(ISERROR(PV_DATA[[#This Row],[New Ark PO status]]),"",_xlfn.XLOOKUP(PV_DATA[[#This Row],[SPTN-PVHK New Ark PO'#]],New_Ark_Data[Purchase order Number],New_Ark_Data[Estimated time of arrival],"",0))</f>
        <v>46239</v>
      </c>
      <c r="AZ546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546" s="441">
        <f>IFERROR(PV_DATA[[#This Row],[ODP ETA Port]]+PV_DATA[[#This Row],[Customs/Leg3 Assumption]],"n/a")</f>
        <v>46235</v>
      </c>
      <c r="BB546" s="442">
        <f>YEAR(PV_DATA[[#This Row],[ETA for New Ark update]])</f>
        <v>2026</v>
      </c>
      <c r="BC546" s="431">
        <f>MONTH(PV_DATA[[#This Row],[ETA for New Ark update]])</f>
        <v>8</v>
      </c>
      <c r="BD546" s="431">
        <f>IFERROR(_xlfn.ISOWEEKNUM(PV_DATA[[#This Row],[ETA for New Ark update]]),0)</f>
        <v>31</v>
      </c>
      <c r="BE546" s="431">
        <f>_xlfn.XLOOKUP(PV_DATA[[#This Row],[New Ark SKU]],Table9[New Ark SKU],Table9[Total PCS per Pallet],,0)</f>
        <v>33</v>
      </c>
      <c r="BF546" s="431">
        <f>_xlfn.XLOOKUP(PV_DATA[[#This Row],[New Ark SKU]],Table9[New Ark SKU],Table9[Total PCS per 40HQ Container],,0)</f>
        <v>660</v>
      </c>
      <c r="BG546" s="431" t="str">
        <f>_xlfn.XLOOKUP(PV_DATA[[#This Row],[New Ark SKU]],Table9[New Ark SKU],Table9[Back Glass],,0)</f>
        <v>White glazing</v>
      </c>
      <c r="BH546" s="431" t="str">
        <f>_xlfn.XLOOKUP(PV_DATA[[#This Row],[PORT DESTINATION]],Table12[PORT DESTINATION],Table12[Cosco Line],,0)</f>
        <v>AEM</v>
      </c>
    </row>
    <row r="547" spans="1:60" s="431" customFormat="1" ht="10.5" hidden="1">
      <c r="A547" s="439" t="s">
        <v>4642</v>
      </c>
      <c r="B547" s="439" t="s">
        <v>2132</v>
      </c>
      <c r="C547" s="439" t="str">
        <f>IFERROR(LEFT(PV_DATA[[#This Row],[TCL REFERENCE]],FIND(".",PV_DATA[[#This Row],[TCL REFERENCE]],1)-1),"Main Line")</f>
        <v>26Apr008</v>
      </c>
      <c r="D547" s="439" t="s">
        <v>63</v>
      </c>
      <c r="E547" s="439" t="s">
        <v>64</v>
      </c>
      <c r="F547" s="439" t="str" cm="1">
        <f t="array" ref="F54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547" s="439" t="s">
        <v>402</v>
      </c>
      <c r="H547" s="439" t="s">
        <v>311</v>
      </c>
      <c r="I547" s="439" t="s">
        <v>882</v>
      </c>
      <c r="J547" s="431" t="s">
        <v>96</v>
      </c>
      <c r="M547" s="431" t="s">
        <v>68</v>
      </c>
      <c r="N547" s="461">
        <v>46146</v>
      </c>
      <c r="O547" s="431" t="s">
        <v>170</v>
      </c>
      <c r="P547" s="431" t="s">
        <v>1977</v>
      </c>
      <c r="Q547" s="431" t="s">
        <v>1978</v>
      </c>
      <c r="R547" s="431" t="str">
        <f>_xlfn.XLOOKUP(PV_DATA[[#This Row],[New Ark SKU]],Table9[New Ark SKU],Table9[Connector],,0)</f>
        <v>EVO2A</v>
      </c>
      <c r="S547" s="442" t="str">
        <f>_xlfn.XLOOKUP(PV_DATA[[#This Row],[New Ark SKU]],Table9[New Ark SKU],Table9[Cable],,0)</f>
        <v>±1400mm</v>
      </c>
      <c r="T547" s="442">
        <v>560</v>
      </c>
      <c r="U547" s="1067">
        <v>1980</v>
      </c>
      <c r="V547" s="448">
        <f>PV_DATA[[#This Row],[QUANTITY]]*PV_DATA[[#This Row],[WATT]]/1000000</f>
        <v>1.1088</v>
      </c>
      <c r="W547" s="466">
        <f>PV_DATA[[#This Row],[QUANTITY]]/PV_DATA[[#This Row],[Qty/Pallet]]</f>
        <v>60</v>
      </c>
      <c r="X547" s="1019">
        <f>PV_DATA[[#This Row],[QUANTITY]]/PV_DATA[[#This Row],[Qty/CT]]</f>
        <v>3</v>
      </c>
      <c r="Y547" s="431" t="s">
        <v>951</v>
      </c>
      <c r="Z547" s="430" t="str">
        <f t="shared" si="5"/>
        <v>COMPLETED</v>
      </c>
      <c r="AA547" s="431" t="s">
        <v>4635</v>
      </c>
      <c r="AB547" s="441">
        <v>46165</v>
      </c>
      <c r="AC547" s="467">
        <f>IF(PV_DATA[[#This Row],[Pick-Up Date]]&lt;&gt;"",_xlfn.ISOWEEKNUM(PV_DATA[[#This Row],[Pick-Up Date]]),"")</f>
        <v>21</v>
      </c>
      <c r="AD547" s="431" t="s">
        <v>4643</v>
      </c>
      <c r="AF547" s="431" t="s">
        <v>123</v>
      </c>
      <c r="AG547" s="431" t="s">
        <v>123</v>
      </c>
      <c r="AH547" s="431" t="s">
        <v>1561</v>
      </c>
      <c r="AI547" s="441">
        <v>46171</v>
      </c>
      <c r="AJ547" s="441">
        <v>46172</v>
      </c>
      <c r="AK547" s="441">
        <v>46172</v>
      </c>
      <c r="AL547" s="441">
        <v>46220</v>
      </c>
      <c r="AM547" s="441">
        <v>46231</v>
      </c>
      <c r="AN547" s="441">
        <v>46227</v>
      </c>
      <c r="AO547" s="431" t="s">
        <v>402</v>
      </c>
      <c r="AP547" s="431" t="s">
        <v>4637</v>
      </c>
      <c r="AQ547" s="431" t="s">
        <v>80</v>
      </c>
      <c r="AR547" s="431" t="s">
        <v>4644</v>
      </c>
      <c r="AS547" s="431" t="s">
        <v>4645</v>
      </c>
      <c r="AT547" s="482" t="s">
        <v>4645</v>
      </c>
      <c r="AU54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55</v>
      </c>
      <c r="AV547" s="441"/>
      <c r="AW547" s="441" cm="1">
        <f t="array" ref="AW54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46227</v>
      </c>
      <c r="AX54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47" s="441">
        <f>IF(ISERROR(PV_DATA[[#This Row],[New Ark PO status]]),"",_xlfn.XLOOKUP(PV_DATA[[#This Row],[SPTN-PVHK New Ark PO'#]],New_Ark_Data[Purchase order Number],New_Ark_Data[Estimated time of arrival],"",0))</f>
        <v>46241</v>
      </c>
      <c r="AZ547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547" s="441">
        <f>IFERROR(PV_DATA[[#This Row],[ODP ETA Port]]+PV_DATA[[#This Row],[Customs/Leg3 Assumption]],"n/a")</f>
        <v>46237</v>
      </c>
      <c r="BB547" s="442">
        <f>YEAR(PV_DATA[[#This Row],[ETA for New Ark update]])</f>
        <v>2026</v>
      </c>
      <c r="BC547" s="431">
        <f>MONTH(PV_DATA[[#This Row],[ETA for New Ark update]])</f>
        <v>8</v>
      </c>
      <c r="BD547" s="431">
        <f>IFERROR(_xlfn.ISOWEEKNUM(PV_DATA[[#This Row],[ETA for New Ark update]]),0)</f>
        <v>32</v>
      </c>
      <c r="BE547" s="431">
        <f>_xlfn.XLOOKUP(PV_DATA[[#This Row],[New Ark SKU]],Table9[New Ark SKU],Table9[Total PCS per Pallet],,0)</f>
        <v>33</v>
      </c>
      <c r="BF547" s="431">
        <f>_xlfn.XLOOKUP(PV_DATA[[#This Row],[New Ark SKU]],Table9[New Ark SKU],Table9[Total PCS per 40HQ Container],,0)</f>
        <v>660</v>
      </c>
      <c r="BG547" s="431" t="str">
        <f>_xlfn.XLOOKUP(PV_DATA[[#This Row],[New Ark SKU]],Table9[New Ark SKU],Table9[Back Glass],,0)</f>
        <v>White glazing</v>
      </c>
      <c r="BH547" s="431" t="str">
        <f>_xlfn.XLOOKUP(PV_DATA[[#This Row],[PORT DESTINATION]],Table12[PORT DESTINATION],Table12[Cosco Line],,0)</f>
        <v>AEM</v>
      </c>
    </row>
    <row r="548" spans="1:60" s="431" customFormat="1" ht="10.5" hidden="1">
      <c r="A548" s="439" t="s">
        <v>4646</v>
      </c>
      <c r="B548" s="439" t="s">
        <v>2132</v>
      </c>
      <c r="C548" s="439" t="str">
        <f>IFERROR(LEFT(PV_DATA[[#This Row],[TCL REFERENCE]],FIND(".",PV_DATA[[#This Row],[TCL REFERENCE]],1)-1),"Main Line")</f>
        <v>26Apr008</v>
      </c>
      <c r="D548" s="439" t="s">
        <v>63</v>
      </c>
      <c r="E548" s="439" t="s">
        <v>64</v>
      </c>
      <c r="F548" s="439" t="str" cm="1">
        <f t="array" ref="F54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548" s="439" t="s">
        <v>402</v>
      </c>
      <c r="H548" s="439" t="s">
        <v>311</v>
      </c>
      <c r="I548" s="439" t="s">
        <v>882</v>
      </c>
      <c r="J548" s="431" t="s">
        <v>96</v>
      </c>
      <c r="M548" s="431" t="s">
        <v>68</v>
      </c>
      <c r="N548" s="461">
        <v>46146</v>
      </c>
      <c r="O548" s="431" t="s">
        <v>170</v>
      </c>
      <c r="P548" s="431" t="s">
        <v>1977</v>
      </c>
      <c r="Q548" s="431" t="s">
        <v>1978</v>
      </c>
      <c r="R548" s="431" t="str">
        <f>_xlfn.XLOOKUP(PV_DATA[[#This Row],[New Ark SKU]],Table9[New Ark SKU],Table9[Connector],,0)</f>
        <v>EVO2A</v>
      </c>
      <c r="S548" s="442" t="str">
        <f>_xlfn.XLOOKUP(PV_DATA[[#This Row],[New Ark SKU]],Table9[New Ark SKU],Table9[Cable],,0)</f>
        <v>±1400mm</v>
      </c>
      <c r="T548" s="442">
        <v>560</v>
      </c>
      <c r="U548" s="1067">
        <v>1320</v>
      </c>
      <c r="V548" s="448">
        <f>PV_DATA[[#This Row],[QUANTITY]]*PV_DATA[[#This Row],[WATT]]/1000000</f>
        <v>0.73919999999999997</v>
      </c>
      <c r="W548" s="466">
        <f>PV_DATA[[#This Row],[QUANTITY]]/PV_DATA[[#This Row],[Qty/Pallet]]</f>
        <v>40</v>
      </c>
      <c r="X548" s="1019">
        <f>PV_DATA[[#This Row],[QUANTITY]]/PV_DATA[[#This Row],[Qty/CT]]</f>
        <v>2</v>
      </c>
      <c r="Y548" s="431" t="s">
        <v>951</v>
      </c>
      <c r="Z548" s="430" t="str">
        <f t="shared" si="5"/>
        <v>COMPLETED</v>
      </c>
      <c r="AA548" s="431" t="s">
        <v>4635</v>
      </c>
      <c r="AB548" s="441">
        <v>46165</v>
      </c>
      <c r="AC548" s="467">
        <f>IF(PV_DATA[[#This Row],[Pick-Up Date]]&lt;&gt;"",_xlfn.ISOWEEKNUM(PV_DATA[[#This Row],[Pick-Up Date]]),"")</f>
        <v>21</v>
      </c>
      <c r="AD548" s="431" t="s">
        <v>4647</v>
      </c>
      <c r="AF548" s="431" t="s">
        <v>123</v>
      </c>
      <c r="AG548" s="431" t="s">
        <v>123</v>
      </c>
      <c r="AH548" s="431" t="s">
        <v>1561</v>
      </c>
      <c r="AI548" s="441">
        <v>46171</v>
      </c>
      <c r="AJ548" s="441">
        <v>46172</v>
      </c>
      <c r="AK548" s="441">
        <v>46172</v>
      </c>
      <c r="AL548" s="441">
        <v>46220</v>
      </c>
      <c r="AM548" s="441">
        <v>46231</v>
      </c>
      <c r="AN548" s="441">
        <v>46227</v>
      </c>
      <c r="AO548" s="431" t="s">
        <v>402</v>
      </c>
      <c r="AP548" s="431" t="s">
        <v>4637</v>
      </c>
      <c r="AQ548" s="431" t="s">
        <v>80</v>
      </c>
      <c r="AR548" s="431" t="s">
        <v>4644</v>
      </c>
      <c r="AS548" s="431" t="s">
        <v>4645</v>
      </c>
      <c r="AT548" s="482" t="s">
        <v>4645</v>
      </c>
      <c r="AU54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55</v>
      </c>
      <c r="AV548" s="441"/>
      <c r="AW548" s="441" cm="1">
        <f t="array" ref="AW54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46227</v>
      </c>
      <c r="AX54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48" s="441">
        <f>IF(ISERROR(PV_DATA[[#This Row],[New Ark PO status]]),"",_xlfn.XLOOKUP(PV_DATA[[#This Row],[SPTN-PVHK New Ark PO'#]],New_Ark_Data[Purchase order Number],New_Ark_Data[Estimated time of arrival],"",0))</f>
        <v>46241</v>
      </c>
      <c r="AZ548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548" s="441">
        <f>IFERROR(PV_DATA[[#This Row],[ODP ETA Port]]+PV_DATA[[#This Row],[Customs/Leg3 Assumption]],"n/a")</f>
        <v>46237</v>
      </c>
      <c r="BB548" s="442">
        <f>YEAR(PV_DATA[[#This Row],[ETA for New Ark update]])</f>
        <v>2026</v>
      </c>
      <c r="BC548" s="431">
        <f>MONTH(PV_DATA[[#This Row],[ETA for New Ark update]])</f>
        <v>8</v>
      </c>
      <c r="BD548" s="431">
        <f>IFERROR(_xlfn.ISOWEEKNUM(PV_DATA[[#This Row],[ETA for New Ark update]]),0)</f>
        <v>32</v>
      </c>
      <c r="BE548" s="431">
        <f>_xlfn.XLOOKUP(PV_DATA[[#This Row],[New Ark SKU]],Table9[New Ark SKU],Table9[Total PCS per Pallet],,0)</f>
        <v>33</v>
      </c>
      <c r="BF548" s="431">
        <f>_xlfn.XLOOKUP(PV_DATA[[#This Row],[New Ark SKU]],Table9[New Ark SKU],Table9[Total PCS per 40HQ Container],,0)</f>
        <v>660</v>
      </c>
      <c r="BG548" s="431" t="str">
        <f>_xlfn.XLOOKUP(PV_DATA[[#This Row],[New Ark SKU]],Table9[New Ark SKU],Table9[Back Glass],,0)</f>
        <v>White glazing</v>
      </c>
      <c r="BH548" s="431" t="str">
        <f>_xlfn.XLOOKUP(PV_DATA[[#This Row],[PORT DESTINATION]],Table12[PORT DESTINATION],Table12[Cosco Line],,0)</f>
        <v>AEM</v>
      </c>
    </row>
    <row r="549" spans="1:60" s="431" customFormat="1" ht="10.5" hidden="1">
      <c r="A549" s="439" t="s">
        <v>4648</v>
      </c>
      <c r="B549" s="439" t="s">
        <v>2132</v>
      </c>
      <c r="C549" s="439" t="str">
        <f>IFERROR(LEFT(PV_DATA[[#This Row],[TCL REFERENCE]],FIND(".",PV_DATA[[#This Row],[TCL REFERENCE]],1)-1),"Main Line")</f>
        <v>26Apr007</v>
      </c>
      <c r="D549" s="439" t="s">
        <v>63</v>
      </c>
      <c r="E549" s="439" t="s">
        <v>64</v>
      </c>
      <c r="F549" s="439" t="str" cm="1">
        <f t="array" ref="F54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549" s="439" t="s">
        <v>402</v>
      </c>
      <c r="H549" s="439" t="s">
        <v>311</v>
      </c>
      <c r="I549" s="439" t="s">
        <v>882</v>
      </c>
      <c r="J549" s="431" t="s">
        <v>96</v>
      </c>
      <c r="M549" s="431" t="s">
        <v>68</v>
      </c>
      <c r="N549" s="461">
        <v>46146</v>
      </c>
      <c r="O549" s="431" t="s">
        <v>170</v>
      </c>
      <c r="P549" s="431" t="s">
        <v>171</v>
      </c>
      <c r="Q549" s="431" t="s">
        <v>1731</v>
      </c>
      <c r="R549" s="431" t="str">
        <f>_xlfn.XLOOKUP(PV_DATA[[#This Row],[New Ark SKU]],Table9[New Ark SKU],Table9[Connector],,0)</f>
        <v>EVO2A</v>
      </c>
      <c r="S549" s="442" t="str">
        <f>_xlfn.XLOOKUP(PV_DATA[[#This Row],[New Ark SKU]],Table9[New Ark SKU],Table9[Cable],,0)</f>
        <v>±1400mm</v>
      </c>
      <c r="T549" s="442">
        <v>555</v>
      </c>
      <c r="U549" s="1067">
        <f>660*3</f>
        <v>1980</v>
      </c>
      <c r="V549" s="448">
        <f>PV_DATA[[#This Row],[QUANTITY]]*PV_DATA[[#This Row],[WATT]]/1000000</f>
        <v>1.0989</v>
      </c>
      <c r="W549" s="466">
        <f>PV_DATA[[#This Row],[QUANTITY]]/PV_DATA[[#This Row],[Qty/Pallet]]</f>
        <v>60</v>
      </c>
      <c r="X549" s="1019">
        <f>PV_DATA[[#This Row],[QUANTITY]]/PV_DATA[[#This Row],[Qty/CT]]</f>
        <v>3</v>
      </c>
      <c r="Y549" s="431" t="s">
        <v>951</v>
      </c>
      <c r="Z549" s="430" t="str">
        <f t="shared" si="5"/>
        <v>COMPLETED</v>
      </c>
      <c r="AA549" s="431" t="s">
        <v>4635</v>
      </c>
      <c r="AB549" s="441">
        <v>46165</v>
      </c>
      <c r="AC549" s="467">
        <f>IF(PV_DATA[[#This Row],[Pick-Up Date]]&lt;&gt;"",_xlfn.ISOWEEKNUM(PV_DATA[[#This Row],[Pick-Up Date]]),"")</f>
        <v>21</v>
      </c>
      <c r="AD549" s="431" t="s">
        <v>4649</v>
      </c>
      <c r="AF549" s="431" t="s">
        <v>123</v>
      </c>
      <c r="AG549" s="431" t="s">
        <v>123</v>
      </c>
      <c r="AH549" s="431" t="s">
        <v>1561</v>
      </c>
      <c r="AI549" s="441">
        <v>46171</v>
      </c>
      <c r="AJ549" s="441">
        <v>46172</v>
      </c>
      <c r="AK549" s="441">
        <v>46172</v>
      </c>
      <c r="AL549" s="441">
        <v>46220</v>
      </c>
      <c r="AM549" s="441">
        <v>46231</v>
      </c>
      <c r="AN549" s="441">
        <v>46227</v>
      </c>
      <c r="AO549" s="431" t="s">
        <v>402</v>
      </c>
      <c r="AP549" s="431" t="s">
        <v>4637</v>
      </c>
      <c r="AQ549" s="431" t="s">
        <v>80</v>
      </c>
      <c r="AR549" s="431" t="s">
        <v>4644</v>
      </c>
      <c r="AS549" s="431" t="s">
        <v>4645</v>
      </c>
      <c r="AT549" s="482" t="s">
        <v>4645</v>
      </c>
      <c r="AU54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55</v>
      </c>
      <c r="AV549" s="441"/>
      <c r="AW549" s="441" cm="1">
        <f t="array" ref="AW54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46227</v>
      </c>
      <c r="AX54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49" s="441">
        <f>IF(ISERROR(PV_DATA[[#This Row],[New Ark PO status]]),"",_xlfn.XLOOKUP(PV_DATA[[#This Row],[SPTN-PVHK New Ark PO'#]],New_Ark_Data[Purchase order Number],New_Ark_Data[Estimated time of arrival],"",0))</f>
        <v>46241</v>
      </c>
      <c r="AZ549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549" s="441">
        <f>IFERROR(PV_DATA[[#This Row],[ODP ETA Port]]+PV_DATA[[#This Row],[Customs/Leg3 Assumption]],"n/a")</f>
        <v>46237</v>
      </c>
      <c r="BB549" s="442">
        <f>YEAR(PV_DATA[[#This Row],[ETA for New Ark update]])</f>
        <v>2026</v>
      </c>
      <c r="BC549" s="431">
        <f>MONTH(PV_DATA[[#This Row],[ETA for New Ark update]])</f>
        <v>8</v>
      </c>
      <c r="BD549" s="431">
        <f>IFERROR(_xlfn.ISOWEEKNUM(PV_DATA[[#This Row],[ETA for New Ark update]]),0)</f>
        <v>32</v>
      </c>
      <c r="BE549" s="431">
        <f>_xlfn.XLOOKUP(PV_DATA[[#This Row],[New Ark SKU]],Table9[New Ark SKU],Table9[Total PCS per Pallet],,0)</f>
        <v>33</v>
      </c>
      <c r="BF549" s="431">
        <f>_xlfn.XLOOKUP(PV_DATA[[#This Row],[New Ark SKU]],Table9[New Ark SKU],Table9[Total PCS per 40HQ Container],,0)</f>
        <v>660</v>
      </c>
      <c r="BG549" s="431" t="str">
        <f>_xlfn.XLOOKUP(PV_DATA[[#This Row],[New Ark SKU]],Table9[New Ark SKU],Table9[Back Glass],,0)</f>
        <v>White glazing</v>
      </c>
      <c r="BH549" s="431" t="str">
        <f>_xlfn.XLOOKUP(PV_DATA[[#This Row],[PORT DESTINATION]],Table12[PORT DESTINATION],Table12[Cosco Line],,0)</f>
        <v>AEM</v>
      </c>
    </row>
    <row r="550" spans="1:60" s="431" customFormat="1" hidden="1">
      <c r="A550" s="439" t="s">
        <v>4650</v>
      </c>
      <c r="B550" s="439" t="s">
        <v>111</v>
      </c>
      <c r="C550" s="439" t="str">
        <f>IFERROR(LEFT(PV_DATA[[#This Row],[TCL REFERENCE]],FIND(".",PV_DATA[[#This Row],[TCL REFERENCE]],1)-1),"Main Line")</f>
        <v>26May016</v>
      </c>
      <c r="D550" s="439" t="s">
        <v>63</v>
      </c>
      <c r="E550" s="439" t="s">
        <v>144</v>
      </c>
      <c r="F550" s="439" t="str" cm="1">
        <f t="array" ref="F55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50" s="439" t="s">
        <v>402</v>
      </c>
      <c r="H550" s="439" t="s">
        <v>593</v>
      </c>
      <c r="I550" s="439" t="s">
        <v>2004</v>
      </c>
      <c r="J550" s="431" t="s">
        <v>4651</v>
      </c>
      <c r="K550" s="431" t="s">
        <v>4528</v>
      </c>
      <c r="M550" s="431" t="s">
        <v>840</v>
      </c>
      <c r="N550" s="461" t="s">
        <v>68</v>
      </c>
      <c r="O550" s="431" t="s">
        <v>4495</v>
      </c>
      <c r="P550" s="431" t="s">
        <v>4529</v>
      </c>
      <c r="Q550" s="431" t="s">
        <v>4530</v>
      </c>
      <c r="R550" s="431" t="str">
        <f>_xlfn.XLOOKUP(PV_DATA[[#This Row],[New Ark SKU]],Table9[New Ark SKU],Table9[Connector],,0)</f>
        <v>EVO2A</v>
      </c>
      <c r="S550" s="442" t="str">
        <f>_xlfn.XLOOKUP(PV_DATA[[#This Row],[New Ark SKU]],Table9[New Ark SKU],Table9[Cable],,0)</f>
        <v>±1400mm</v>
      </c>
      <c r="T550" s="442">
        <v>645</v>
      </c>
      <c r="U550" s="1067">
        <v>720</v>
      </c>
      <c r="V550" s="448">
        <f>PV_DATA[[#This Row],[QUANTITY]]*PV_DATA[[#This Row],[WATT]]/1000000</f>
        <v>0.46439999999999998</v>
      </c>
      <c r="W550" s="466">
        <f>PV_DATA[[#This Row],[QUANTITY]]/PV_DATA[[#This Row],[Qty/Pallet]]</f>
        <v>20</v>
      </c>
      <c r="X550" s="1019">
        <f>PV_DATA[[#This Row],[QUANTITY]]/PV_DATA[[#This Row],[Qty/CT]]</f>
        <v>1</v>
      </c>
      <c r="Y550" s="431" t="s">
        <v>951</v>
      </c>
      <c r="Z550" s="430" t="str">
        <f t="shared" si="5"/>
        <v>COMPLETED</v>
      </c>
      <c r="AB550" s="441">
        <v>46162</v>
      </c>
      <c r="AC550" s="467">
        <f>IF(PV_DATA[[#This Row],[Pick-Up Date]]&lt;&gt;"",_xlfn.ISOWEEKNUM(PV_DATA[[#This Row],[Pick-Up Date]]),"")</f>
        <v>21</v>
      </c>
      <c r="AD550" s="431" t="s">
        <v>4652</v>
      </c>
      <c r="AF550" s="431" t="s">
        <v>4432</v>
      </c>
      <c r="AG550" s="431" t="s">
        <v>123</v>
      </c>
      <c r="AH550" s="431" t="s">
        <v>124</v>
      </c>
      <c r="AI550" s="441">
        <v>46168</v>
      </c>
      <c r="AJ550" s="441">
        <v>46168</v>
      </c>
      <c r="AK550" s="441">
        <v>46168</v>
      </c>
      <c r="AL550" s="441">
        <v>46204</v>
      </c>
      <c r="AM550" s="441"/>
      <c r="AN550" s="441">
        <v>46204</v>
      </c>
      <c r="AO550" s="431" t="s">
        <v>402</v>
      </c>
      <c r="AP550" s="431" t="s">
        <v>4653</v>
      </c>
      <c r="AQ550" s="431" t="s">
        <v>80</v>
      </c>
      <c r="AR550" s="431" t="s">
        <v>4654</v>
      </c>
      <c r="AS550" s="431" t="s">
        <v>4655</v>
      </c>
      <c r="AT550" s="482" t="s">
        <v>4655</v>
      </c>
      <c r="AU55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36</v>
      </c>
      <c r="AW550" s="441" cm="1">
        <f t="array" ref="AW55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46204</v>
      </c>
      <c r="AX55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50" s="441">
        <f>IF(ISERROR(PV_DATA[[#This Row],[New Ark PO status]]),"",_xlfn.XLOOKUP(PV_DATA[[#This Row],[SPTN-PVHK New Ark PO'#]],New_Ark_Data[Purchase order Number],New_Ark_Data[Estimated time of arrival],"",0))</f>
        <v>46204</v>
      </c>
      <c r="AZ550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50" s="441">
        <f>IFERROR(PV_DATA[[#This Row],[ODP ETA Port]]+PV_DATA[[#This Row],[Customs/Leg3 Assumption]],"n/a")</f>
        <v>46204</v>
      </c>
      <c r="BB550" s="442">
        <f>YEAR(PV_DATA[[#This Row],[ETA for New Ark update]])</f>
        <v>2026</v>
      </c>
      <c r="BC550" s="431">
        <f>MONTH(PV_DATA[[#This Row],[ETA for New Ark update]])</f>
        <v>7</v>
      </c>
      <c r="BD550" s="431">
        <f>IFERROR(_xlfn.ISOWEEKNUM(PV_DATA[[#This Row],[ETA for New Ark update]]),0)</f>
        <v>27</v>
      </c>
      <c r="BE550" s="431">
        <f>_xlfn.XLOOKUP(PV_DATA[[#This Row],[New Ark SKU]],Table9[New Ark SKU],Table9[Total PCS per Pallet],,0)</f>
        <v>36</v>
      </c>
      <c r="BF550" s="431">
        <f>_xlfn.XLOOKUP(PV_DATA[[#This Row],[New Ark SKU]],Table9[New Ark SKU],Table9[Total PCS per 40HQ Container],,0)</f>
        <v>720</v>
      </c>
      <c r="BG550" s="431" t="str">
        <f>_xlfn.XLOOKUP(PV_DATA[[#This Row],[New Ark SKU]],Table9[New Ark SKU],Table9[Back Glass],,0)</f>
        <v>Transparent</v>
      </c>
      <c r="BH550" s="431" t="str">
        <f>_xlfn.XLOOKUP(PV_DATA[[#This Row],[PORT DESTINATION]],Table12[PORT DESTINATION],Table12[Cosco Line],,0)</f>
        <v>AEM</v>
      </c>
    </row>
    <row r="551" spans="1:60" s="450" customFormat="1" ht="10.5" hidden="1">
      <c r="A551" s="446" t="s">
        <v>4656</v>
      </c>
      <c r="B551" s="446" t="s">
        <v>111</v>
      </c>
      <c r="C551" s="446" t="str">
        <f>IFERROR(LEFT(PV_DATA[[#This Row],[TCL REFERENCE]],FIND(".",PV_DATA[[#This Row],[TCL REFERENCE]],1)-1),"Main Line")</f>
        <v>26May006</v>
      </c>
      <c r="D551" s="446" t="s">
        <v>63</v>
      </c>
      <c r="E551" s="446" t="s">
        <v>64</v>
      </c>
      <c r="F551" s="446" t="str" cm="1">
        <f t="array" ref="F55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551" s="446" t="s">
        <v>402</v>
      </c>
      <c r="H551" s="446" t="s">
        <v>115</v>
      </c>
      <c r="I551" s="446" t="s">
        <v>2004</v>
      </c>
      <c r="J551" s="450" t="s">
        <v>4657</v>
      </c>
      <c r="K551" s="537"/>
      <c r="M551" s="451" t="s">
        <v>68</v>
      </c>
      <c r="N551" s="451">
        <v>46160</v>
      </c>
      <c r="O551" s="450" t="s">
        <v>132</v>
      </c>
      <c r="P551" s="450" t="s">
        <v>1062</v>
      </c>
      <c r="Q551" s="450" t="s">
        <v>1063</v>
      </c>
      <c r="R551" s="450" t="str">
        <f>_xlfn.XLOOKUP(PV_DATA[[#This Row],[New Ark SKU]],Table9[New Ark SKU],Table9[Connector],,0)</f>
        <v>EVO2A</v>
      </c>
      <c r="S551" s="442" t="str">
        <f>_xlfn.XLOOKUP(PV_DATA[[#This Row],[New Ark SKU]],Table9[New Ark SKU],Table9[Cable],,0)</f>
        <v>±1200mm</v>
      </c>
      <c r="T551" s="452">
        <v>470</v>
      </c>
      <c r="U551" s="1063">
        <f>864*1</f>
        <v>864</v>
      </c>
      <c r="V551" s="453">
        <f>PV_DATA[[#This Row],[QUANTITY]]*PV_DATA[[#This Row],[WATT]]/1000000</f>
        <v>0.40608</v>
      </c>
      <c r="W551" s="454">
        <f>PV_DATA[[#This Row],[QUANTITY]]/PV_DATA[[#This Row],[Qty/Pallet]]</f>
        <v>24</v>
      </c>
      <c r="X551" s="1020">
        <f>PV_DATA[[#This Row],[QUANTITY]]/PV_DATA[[#This Row],[Qty/CT]]</f>
        <v>1</v>
      </c>
      <c r="Y551" s="450" t="s">
        <v>951</v>
      </c>
      <c r="Z551" s="430" t="str">
        <f t="shared" si="5"/>
        <v>COMPLETED</v>
      </c>
      <c r="AA551" s="538" t="s">
        <v>4588</v>
      </c>
      <c r="AB551" s="455">
        <v>46162</v>
      </c>
      <c r="AC551" s="471">
        <f>IF(PV_DATA[[#This Row],[Pick-Up Date]]&lt;&gt;"",_xlfn.ISOWEEKNUM(PV_DATA[[#This Row],[Pick-Up Date]]),"")</f>
        <v>21</v>
      </c>
      <c r="AD551" s="431" t="s">
        <v>4658</v>
      </c>
      <c r="AF551" s="450" t="s">
        <v>123</v>
      </c>
      <c r="AG551" s="450" t="s">
        <v>123</v>
      </c>
      <c r="AH551" s="450" t="s">
        <v>124</v>
      </c>
      <c r="AI551" s="455">
        <v>46168</v>
      </c>
      <c r="AJ551" s="455">
        <v>46168</v>
      </c>
      <c r="AK551" s="455">
        <v>46168</v>
      </c>
      <c r="AL551" s="455">
        <v>46204</v>
      </c>
      <c r="AM551" s="455"/>
      <c r="AN551" s="455">
        <v>46204</v>
      </c>
      <c r="AO551" s="450" t="s">
        <v>402</v>
      </c>
      <c r="AP551" s="450" t="s">
        <v>4653</v>
      </c>
      <c r="AQ551" s="450" t="s">
        <v>80</v>
      </c>
      <c r="AR551" s="450" t="s">
        <v>4659</v>
      </c>
      <c r="AS551" s="450" t="s">
        <v>4660</v>
      </c>
      <c r="AT551" s="482" t="s">
        <v>4655</v>
      </c>
      <c r="AU55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36</v>
      </c>
      <c r="AV551" s="455"/>
      <c r="AW551" s="455" cm="1">
        <f t="array" ref="AW55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46204</v>
      </c>
      <c r="AX55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51" s="455">
        <f>IF(ISERROR(PV_DATA[[#This Row],[New Ark PO status]]),"",_xlfn.XLOOKUP(PV_DATA[[#This Row],[SPTN-PVHK New Ark PO'#]],New_Ark_Data[Purchase order Number],New_Ark_Data[Estimated time of arrival],"",0))</f>
        <v>46218</v>
      </c>
      <c r="AZ551" s="45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551" s="455">
        <f>IFERROR(PV_DATA[[#This Row],[ODP ETA Port]]+PV_DATA[[#This Row],[Customs/Leg3 Assumption]],"n/a")</f>
        <v>46213</v>
      </c>
      <c r="BB551" s="452">
        <f>YEAR(PV_DATA[[#This Row],[ETA for New Ark update]])</f>
        <v>2026</v>
      </c>
      <c r="BC551" s="450">
        <f>MONTH(PV_DATA[[#This Row],[ETA for New Ark update]])</f>
        <v>7</v>
      </c>
      <c r="BD551" s="450">
        <f>IFERROR(_xlfn.ISOWEEKNUM(PV_DATA[[#This Row],[ETA for New Ark update]]),0)</f>
        <v>28</v>
      </c>
      <c r="BE551" s="450">
        <f>_xlfn.XLOOKUP(PV_DATA[[#This Row],[New Ark SKU]],Table9[New Ark SKU],Table9[Total PCS per Pallet],,0)</f>
        <v>36</v>
      </c>
      <c r="BF551" s="450">
        <f>_xlfn.XLOOKUP(PV_DATA[[#This Row],[New Ark SKU]],Table9[New Ark SKU],Table9[Total PCS per 40HQ Container],,0)</f>
        <v>864</v>
      </c>
      <c r="BG551" s="431" t="str">
        <f>_xlfn.XLOOKUP(PV_DATA[[#This Row],[New Ark SKU]],Table9[New Ark SKU],Table9[Back Glass],,0)</f>
        <v>White glazing</v>
      </c>
      <c r="BH551" s="450" t="str">
        <f>_xlfn.XLOOKUP(PV_DATA[[#This Row],[PORT DESTINATION]],Table12[PORT DESTINATION],Table12[Cosco Line],,0)</f>
        <v>AEM</v>
      </c>
    </row>
    <row r="552" spans="1:60" s="450" customFormat="1" ht="10.5" hidden="1">
      <c r="A552" s="446" t="s">
        <v>4661</v>
      </c>
      <c r="B552" s="446" t="s">
        <v>111</v>
      </c>
      <c r="C552" s="446" t="str">
        <f>IFERROR(LEFT(PV_DATA[[#This Row],[TCL REFERENCE]],FIND(".",PV_DATA[[#This Row],[TCL REFERENCE]],1)-1),"Main Line")</f>
        <v>26Apr009</v>
      </c>
      <c r="D552" s="446" t="s">
        <v>63</v>
      </c>
      <c r="E552" s="446" t="s">
        <v>64</v>
      </c>
      <c r="F552" s="446" t="str" cm="1">
        <f t="array" ref="F55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552" s="446" t="s">
        <v>402</v>
      </c>
      <c r="H552" s="446" t="s">
        <v>115</v>
      </c>
      <c r="I552" s="446" t="s">
        <v>2004</v>
      </c>
      <c r="J552" s="450" t="s">
        <v>4657</v>
      </c>
      <c r="K552" s="537"/>
      <c r="M552" s="451" t="s">
        <v>68</v>
      </c>
      <c r="N552" s="451">
        <v>46146</v>
      </c>
      <c r="O552" s="450" t="s">
        <v>132</v>
      </c>
      <c r="P552" s="450" t="s">
        <v>189</v>
      </c>
      <c r="Q552" s="450" t="s">
        <v>190</v>
      </c>
      <c r="R552" s="450" t="str">
        <f>_xlfn.XLOOKUP(PV_DATA[[#This Row],[New Ark SKU]],Table9[New Ark SKU],Table9[Connector],,0)</f>
        <v>EVO2A</v>
      </c>
      <c r="S552" s="442" t="str">
        <f>_xlfn.XLOOKUP(PV_DATA[[#This Row],[New Ark SKU]],Table9[New Ark SKU],Table9[Cable],,0)</f>
        <v>±1200mm</v>
      </c>
      <c r="T552" s="452">
        <v>465</v>
      </c>
      <c r="U552" s="1063">
        <f>864*4</f>
        <v>3456</v>
      </c>
      <c r="V552" s="453">
        <f>PV_DATA[[#This Row],[QUANTITY]]*PV_DATA[[#This Row],[WATT]]/1000000</f>
        <v>1.60704</v>
      </c>
      <c r="W552" s="454">
        <f>PV_DATA[[#This Row],[QUANTITY]]/PV_DATA[[#This Row],[Qty/Pallet]]</f>
        <v>96</v>
      </c>
      <c r="X552" s="1020">
        <f>PV_DATA[[#This Row],[QUANTITY]]/PV_DATA[[#This Row],[Qty/CT]]</f>
        <v>4</v>
      </c>
      <c r="Y552" s="450" t="s">
        <v>951</v>
      </c>
      <c r="Z552" s="430" t="str">
        <f t="shared" si="5"/>
        <v>COMPLETED</v>
      </c>
      <c r="AA552" s="538" t="s">
        <v>4662</v>
      </c>
      <c r="AB552" s="455">
        <v>46162</v>
      </c>
      <c r="AC552" s="471">
        <f>IF(PV_DATA[[#This Row],[Pick-Up Date]]&lt;&gt;"",_xlfn.ISOWEEKNUM(PV_DATA[[#This Row],[Pick-Up Date]]),"")</f>
        <v>21</v>
      </c>
      <c r="AD552" s="431" t="s">
        <v>4663</v>
      </c>
      <c r="AF552" s="450" t="s">
        <v>123</v>
      </c>
      <c r="AG552" s="450" t="s">
        <v>123</v>
      </c>
      <c r="AH552" s="450" t="s">
        <v>124</v>
      </c>
      <c r="AI552" s="455">
        <v>46168</v>
      </c>
      <c r="AJ552" s="455">
        <v>46168</v>
      </c>
      <c r="AK552" s="455">
        <v>46168</v>
      </c>
      <c r="AL552" s="455">
        <v>46204</v>
      </c>
      <c r="AM552" s="455"/>
      <c r="AN552" s="455">
        <v>46204</v>
      </c>
      <c r="AO552" s="450" t="s">
        <v>402</v>
      </c>
      <c r="AP552" s="450" t="s">
        <v>4653</v>
      </c>
      <c r="AQ552" s="450" t="s">
        <v>80</v>
      </c>
      <c r="AR552" s="450" t="s">
        <v>4659</v>
      </c>
      <c r="AS552" s="450" t="s">
        <v>4660</v>
      </c>
      <c r="AT552" s="482" t="s">
        <v>4655</v>
      </c>
      <c r="AU55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36</v>
      </c>
      <c r="AV552" s="455"/>
      <c r="AW552" s="455" cm="1">
        <f t="array" ref="AW55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46204</v>
      </c>
      <c r="AX55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52" s="455">
        <f>IF(ISERROR(PV_DATA[[#This Row],[New Ark PO status]]),"",_xlfn.XLOOKUP(PV_DATA[[#This Row],[SPTN-PVHK New Ark PO'#]],New_Ark_Data[Purchase order Number],New_Ark_Data[Estimated time of arrival],"",0))</f>
        <v>46218</v>
      </c>
      <c r="AZ552" s="45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552" s="455">
        <f>IFERROR(PV_DATA[[#This Row],[ODP ETA Port]]+PV_DATA[[#This Row],[Customs/Leg3 Assumption]],"n/a")</f>
        <v>46213</v>
      </c>
      <c r="BB552" s="452">
        <f>YEAR(PV_DATA[[#This Row],[ETA for New Ark update]])</f>
        <v>2026</v>
      </c>
      <c r="BC552" s="450">
        <f>MONTH(PV_DATA[[#This Row],[ETA for New Ark update]])</f>
        <v>7</v>
      </c>
      <c r="BD552" s="450">
        <f>IFERROR(_xlfn.ISOWEEKNUM(PV_DATA[[#This Row],[ETA for New Ark update]]),0)</f>
        <v>28</v>
      </c>
      <c r="BE552" s="450">
        <f>_xlfn.XLOOKUP(PV_DATA[[#This Row],[New Ark SKU]],Table9[New Ark SKU],Table9[Total PCS per Pallet],,0)</f>
        <v>36</v>
      </c>
      <c r="BF552" s="450">
        <f>_xlfn.XLOOKUP(PV_DATA[[#This Row],[New Ark SKU]],Table9[New Ark SKU],Table9[Total PCS per 40HQ Container],,0)</f>
        <v>864</v>
      </c>
      <c r="BG552" s="431" t="str">
        <f>_xlfn.XLOOKUP(PV_DATA[[#This Row],[New Ark SKU]],Table9[New Ark SKU],Table9[Back Glass],,0)</f>
        <v>White glazing</v>
      </c>
      <c r="BH552" s="450" t="str">
        <f>_xlfn.XLOOKUP(PV_DATA[[#This Row],[PORT DESTINATION]],Table12[PORT DESTINATION],Table12[Cosco Line],,0)</f>
        <v>AEM</v>
      </c>
    </row>
    <row r="553" spans="1:60" s="450" customFormat="1" ht="10.5" hidden="1">
      <c r="A553" s="446" t="s">
        <v>4664</v>
      </c>
      <c r="B553" s="446" t="s">
        <v>111</v>
      </c>
      <c r="C553" s="446" t="str">
        <f>IFERROR(LEFT(PV_DATA[[#This Row],[TCL REFERENCE]],FIND(".",PV_DATA[[#This Row],[TCL REFERENCE]],1)-1),"Main Line")</f>
        <v>26May005</v>
      </c>
      <c r="D553" s="446" t="s">
        <v>63</v>
      </c>
      <c r="E553" s="446" t="s">
        <v>64</v>
      </c>
      <c r="F553" s="446" t="str" cm="1">
        <f t="array" ref="F55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553" s="446" t="s">
        <v>402</v>
      </c>
      <c r="H553" s="446" t="s">
        <v>115</v>
      </c>
      <c r="I553" s="446" t="s">
        <v>2004</v>
      </c>
      <c r="J553" s="450" t="s">
        <v>4657</v>
      </c>
      <c r="K553" s="537"/>
      <c r="M553" s="451" t="s">
        <v>68</v>
      </c>
      <c r="N553" s="451">
        <v>46160</v>
      </c>
      <c r="O553" s="450" t="s">
        <v>132</v>
      </c>
      <c r="P553" s="450" t="s">
        <v>189</v>
      </c>
      <c r="Q553" s="450" t="s">
        <v>190</v>
      </c>
      <c r="R553" s="450" t="str">
        <f>_xlfn.XLOOKUP(PV_DATA[[#This Row],[New Ark SKU]],Table9[New Ark SKU],Table9[Connector],,0)</f>
        <v>EVO2A</v>
      </c>
      <c r="S553" s="442" t="str">
        <f>_xlfn.XLOOKUP(PV_DATA[[#This Row],[New Ark SKU]],Table9[New Ark SKU],Table9[Cable],,0)</f>
        <v>±1200mm</v>
      </c>
      <c r="T553" s="452">
        <v>465</v>
      </c>
      <c r="U553" s="1063">
        <f>864*1</f>
        <v>864</v>
      </c>
      <c r="V553" s="453">
        <f>PV_DATA[[#This Row],[QUANTITY]]*PV_DATA[[#This Row],[WATT]]/1000000</f>
        <v>0.40176000000000001</v>
      </c>
      <c r="W553" s="454">
        <f>PV_DATA[[#This Row],[QUANTITY]]/PV_DATA[[#This Row],[Qty/Pallet]]</f>
        <v>24</v>
      </c>
      <c r="X553" s="1020">
        <f>PV_DATA[[#This Row],[QUANTITY]]/PV_DATA[[#This Row],[Qty/CT]]</f>
        <v>1</v>
      </c>
      <c r="Y553" s="450" t="s">
        <v>951</v>
      </c>
      <c r="Z553" s="430" t="str">
        <f t="shared" si="5"/>
        <v>COMPLETED</v>
      </c>
      <c r="AA553" s="538" t="s">
        <v>4662</v>
      </c>
      <c r="AB553" s="455">
        <v>46162</v>
      </c>
      <c r="AC553" s="471">
        <f>IF(PV_DATA[[#This Row],[Pick-Up Date]]&lt;&gt;"",_xlfn.ISOWEEKNUM(PV_DATA[[#This Row],[Pick-Up Date]]),"")</f>
        <v>21</v>
      </c>
      <c r="AD553" s="431" t="s">
        <v>4665</v>
      </c>
      <c r="AF553" s="450" t="s">
        <v>123</v>
      </c>
      <c r="AG553" s="450" t="s">
        <v>123</v>
      </c>
      <c r="AH553" s="450" t="s">
        <v>124</v>
      </c>
      <c r="AI553" s="455">
        <v>46168</v>
      </c>
      <c r="AJ553" s="455">
        <v>46168</v>
      </c>
      <c r="AK553" s="455">
        <v>46168</v>
      </c>
      <c r="AL553" s="455">
        <v>46204</v>
      </c>
      <c r="AM553" s="455"/>
      <c r="AN553" s="455">
        <v>46204</v>
      </c>
      <c r="AO553" s="450" t="s">
        <v>402</v>
      </c>
      <c r="AP553" s="450" t="s">
        <v>4653</v>
      </c>
      <c r="AQ553" s="450" t="s">
        <v>80</v>
      </c>
      <c r="AR553" s="450" t="s">
        <v>4659</v>
      </c>
      <c r="AS553" s="450" t="s">
        <v>4660</v>
      </c>
      <c r="AT553" s="482" t="s">
        <v>4655</v>
      </c>
      <c r="AU55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36</v>
      </c>
      <c r="AV553" s="455"/>
      <c r="AW553" s="455" cm="1">
        <f t="array" ref="AW55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46204</v>
      </c>
      <c r="AX55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53" s="455">
        <f>IF(ISERROR(PV_DATA[[#This Row],[New Ark PO status]]),"",_xlfn.XLOOKUP(PV_DATA[[#This Row],[SPTN-PVHK New Ark PO'#]],New_Ark_Data[Purchase order Number],New_Ark_Data[Estimated time of arrival],"",0))</f>
        <v>46215</v>
      </c>
      <c r="AZ553" s="45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553" s="455">
        <f>IFERROR(PV_DATA[[#This Row],[ODP ETA Port]]+PV_DATA[[#This Row],[Customs/Leg3 Assumption]],"n/a")</f>
        <v>46213</v>
      </c>
      <c r="BB553" s="452">
        <f>YEAR(PV_DATA[[#This Row],[ETA for New Ark update]])</f>
        <v>2026</v>
      </c>
      <c r="BC553" s="450">
        <f>MONTH(PV_DATA[[#This Row],[ETA for New Ark update]])</f>
        <v>7</v>
      </c>
      <c r="BD553" s="450">
        <f>IFERROR(_xlfn.ISOWEEKNUM(PV_DATA[[#This Row],[ETA for New Ark update]]),0)</f>
        <v>28</v>
      </c>
      <c r="BE553" s="450">
        <f>_xlfn.XLOOKUP(PV_DATA[[#This Row],[New Ark SKU]],Table9[New Ark SKU],Table9[Total PCS per Pallet],,0)</f>
        <v>36</v>
      </c>
      <c r="BF553" s="450">
        <f>_xlfn.XLOOKUP(PV_DATA[[#This Row],[New Ark SKU]],Table9[New Ark SKU],Table9[Total PCS per 40HQ Container],,0)</f>
        <v>864</v>
      </c>
      <c r="BG553" s="431" t="str">
        <f>_xlfn.XLOOKUP(PV_DATA[[#This Row],[New Ark SKU]],Table9[New Ark SKU],Table9[Back Glass],,0)</f>
        <v>White glazing</v>
      </c>
      <c r="BH553" s="450" t="str">
        <f>_xlfn.XLOOKUP(PV_DATA[[#This Row],[PORT DESTINATION]],Table12[PORT DESTINATION],Table12[Cosco Line],,0)</f>
        <v>AEM</v>
      </c>
    </row>
    <row r="554" spans="1:60" s="431" customFormat="1" ht="10.5" hidden="1">
      <c r="A554" s="439" t="s">
        <v>4666</v>
      </c>
      <c r="B554" s="439" t="s">
        <v>61</v>
      </c>
      <c r="C554" s="439" t="str">
        <f>IFERROR(LEFT(PV_DATA[[#This Row],[TCL REFERENCE]],FIND(".",PV_DATA[[#This Row],[TCL REFERENCE]],1)-1),"Main Line")</f>
        <v>26May009</v>
      </c>
      <c r="D554" s="439" t="s">
        <v>63</v>
      </c>
      <c r="E554" s="439" t="s">
        <v>144</v>
      </c>
      <c r="F554" s="439" t="str" cm="1">
        <f t="array" ref="F55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54" s="439" t="s">
        <v>402</v>
      </c>
      <c r="H554" s="439" t="s">
        <v>1029</v>
      </c>
      <c r="I554" s="439" t="s">
        <v>689</v>
      </c>
      <c r="J554" s="431" t="s">
        <v>4554</v>
      </c>
      <c r="K554" s="431" t="s">
        <v>2389</v>
      </c>
      <c r="L554" s="431">
        <v>2</v>
      </c>
      <c r="M554" s="431" t="s">
        <v>840</v>
      </c>
      <c r="N554" s="461">
        <v>46153</v>
      </c>
      <c r="O554" s="431" t="s">
        <v>4540</v>
      </c>
      <c r="P554" s="431" t="s">
        <v>71</v>
      </c>
      <c r="Q554" s="431" t="s">
        <v>72</v>
      </c>
      <c r="R554" s="431" t="str">
        <f>_xlfn.XLOOKUP(PV_DATA[[#This Row],[New Ark SKU]],Table9[New Ark SKU],Table9[Connector],,0)</f>
        <v>EVO2A</v>
      </c>
      <c r="S554" s="442" t="str">
        <f>_xlfn.XLOOKUP(PV_DATA[[#This Row],[New Ark SKU]],Table9[New Ark SKU],Table9[Cable],,0)</f>
        <v>±1200mm</v>
      </c>
      <c r="T554" s="442">
        <v>500</v>
      </c>
      <c r="U554" s="1067">
        <v>4320</v>
      </c>
      <c r="V554" s="448">
        <f>PV_DATA[[#This Row],[QUANTITY]]*PV_DATA[[#This Row],[WATT]]/1000000</f>
        <v>2.16</v>
      </c>
      <c r="W554" s="466">
        <f>PV_DATA[[#This Row],[QUANTITY]]/PV_DATA[[#This Row],[Qty/Pallet]]</f>
        <v>120</v>
      </c>
      <c r="X554" s="1019">
        <f>PV_DATA[[#This Row],[QUANTITY]]/PV_DATA[[#This Row],[Qty/CT]]</f>
        <v>5</v>
      </c>
      <c r="Y554" s="431" t="s">
        <v>951</v>
      </c>
      <c r="Z554" s="430" t="str">
        <f t="shared" si="5"/>
        <v>COMPLETED</v>
      </c>
      <c r="AA554" s="431" t="s">
        <v>4662</v>
      </c>
      <c r="AB554" s="441">
        <v>46160</v>
      </c>
      <c r="AC554" s="467">
        <f>IF(PV_DATA[[#This Row],[Pick-Up Date]]&lt;&gt;"",_xlfn.ISOWEEKNUM(PV_DATA[[#This Row],[Pick-Up Date]]),"")</f>
        <v>21</v>
      </c>
      <c r="AD554" s="431" t="s">
        <v>4667</v>
      </c>
      <c r="AF554" s="431" t="s">
        <v>77</v>
      </c>
      <c r="AG554" s="431" t="s">
        <v>61</v>
      </c>
      <c r="AH554" s="431" t="s">
        <v>888</v>
      </c>
      <c r="AI554" s="441">
        <v>46164</v>
      </c>
      <c r="AJ554" s="441">
        <v>46164</v>
      </c>
      <c r="AK554" s="441">
        <v>46164</v>
      </c>
      <c r="AL554" s="441">
        <v>46225</v>
      </c>
      <c r="AM554" s="441"/>
      <c r="AN554" s="441">
        <v>46225</v>
      </c>
      <c r="AO554" s="431" t="s">
        <v>402</v>
      </c>
      <c r="AP554" s="431" t="s">
        <v>4543</v>
      </c>
      <c r="AQ554" s="431" t="s">
        <v>80</v>
      </c>
      <c r="AR554" s="431" t="s">
        <v>4668</v>
      </c>
      <c r="AS554" s="431" t="s">
        <v>4669</v>
      </c>
      <c r="AT554" s="482" t="s">
        <v>4669</v>
      </c>
      <c r="AU55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61</v>
      </c>
      <c r="AV554" s="441"/>
      <c r="AW554" s="441" cm="1">
        <f t="array" ref="AW55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46225</v>
      </c>
      <c r="AX55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54" s="441">
        <f>IF(ISERROR(PV_DATA[[#This Row],[New Ark PO status]]),"",_xlfn.XLOOKUP(PV_DATA[[#This Row],[SPTN-PVHK New Ark PO'#]],New_Ark_Data[Purchase order Number],New_Ark_Data[Estimated time of arrival],"",0))</f>
        <v>46225</v>
      </c>
      <c r="AZ554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54" s="441">
        <f>IFERROR(PV_DATA[[#This Row],[ODP ETA Port]]+PV_DATA[[#This Row],[Customs/Leg3 Assumption]],"n/a")</f>
        <v>46225</v>
      </c>
      <c r="BB554" s="442">
        <f>YEAR(PV_DATA[[#This Row],[ETA for New Ark update]])</f>
        <v>2026</v>
      </c>
      <c r="BC554" s="431">
        <f>MONTH(PV_DATA[[#This Row],[ETA for New Ark update]])</f>
        <v>7</v>
      </c>
      <c r="BD554" s="431">
        <f>IFERROR(_xlfn.ISOWEEKNUM(PV_DATA[[#This Row],[ETA for New Ark update]]),0)</f>
        <v>30</v>
      </c>
      <c r="BE554" s="431">
        <f>_xlfn.XLOOKUP(PV_DATA[[#This Row],[New Ark SKU]],Table9[New Ark SKU],Table9[Total PCS per Pallet],,0)</f>
        <v>36</v>
      </c>
      <c r="BF554" s="431">
        <f>_xlfn.XLOOKUP(PV_DATA[[#This Row],[New Ark SKU]],Table9[New Ark SKU],Table9[Total PCS per 40HQ Container],,0)</f>
        <v>864</v>
      </c>
      <c r="BG554" s="431" t="str">
        <f>_xlfn.XLOOKUP(PV_DATA[[#This Row],[New Ark SKU]],Table9[New Ark SKU],Table9[Back Glass],,0)</f>
        <v>Black glazing</v>
      </c>
      <c r="BH554" s="431" t="str">
        <f>_xlfn.XLOOKUP(PV_DATA[[#This Row],[PORT DESTINATION]],Table12[PORT DESTINATION],Table12[Cosco Line],,0)</f>
        <v>AEU</v>
      </c>
    </row>
    <row r="555" spans="1:60" s="431" customFormat="1" ht="10.5" hidden="1">
      <c r="A555" s="439" t="s">
        <v>4670</v>
      </c>
      <c r="B555" s="439" t="s">
        <v>61</v>
      </c>
      <c r="C555" s="439" t="str">
        <f>IFERROR(LEFT(PV_DATA[[#This Row],[TCL REFERENCE]],FIND(".",PV_DATA[[#This Row],[TCL REFERENCE]],1)-1),"Main Line")</f>
        <v>26May009</v>
      </c>
      <c r="D555" s="439" t="s">
        <v>63</v>
      </c>
      <c r="E555" s="439" t="s">
        <v>64</v>
      </c>
      <c r="F555" s="439" t="str" cm="1">
        <f t="array" ref="F55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555" s="439" t="s">
        <v>402</v>
      </c>
      <c r="H555" s="439" t="s">
        <v>67</v>
      </c>
      <c r="I555" s="439" t="s">
        <v>689</v>
      </c>
      <c r="J555" s="431" t="s">
        <v>96</v>
      </c>
      <c r="M555" s="431" t="s">
        <v>68</v>
      </c>
      <c r="N555" s="461" t="s">
        <v>68</v>
      </c>
      <c r="O555" s="431" t="s">
        <v>4540</v>
      </c>
      <c r="P555" s="431" t="s">
        <v>71</v>
      </c>
      <c r="Q555" s="431" t="s">
        <v>72</v>
      </c>
      <c r="R555" s="431" t="str">
        <f>_xlfn.XLOOKUP(PV_DATA[[#This Row],[New Ark SKU]],Table9[New Ark SKU],Table9[Connector],,0)</f>
        <v>EVO2A</v>
      </c>
      <c r="S555" s="442" t="str">
        <f>_xlfn.XLOOKUP(PV_DATA[[#This Row],[New Ark SKU]],Table9[New Ark SKU],Table9[Cable],,0)</f>
        <v>±1200mm</v>
      </c>
      <c r="T555" s="442">
        <v>500</v>
      </c>
      <c r="U555" s="1067">
        <v>1728</v>
      </c>
      <c r="V555" s="448">
        <f>PV_DATA[[#This Row],[QUANTITY]]*PV_DATA[[#This Row],[WATT]]/1000000</f>
        <v>0.86399999999999999</v>
      </c>
      <c r="W555" s="466">
        <f>PV_DATA[[#This Row],[QUANTITY]]/PV_DATA[[#This Row],[Qty/Pallet]]</f>
        <v>48</v>
      </c>
      <c r="X555" s="1019">
        <f>PV_DATA[[#This Row],[QUANTITY]]/PV_DATA[[#This Row],[Qty/CT]]</f>
        <v>2</v>
      </c>
      <c r="Y555" s="431" t="s">
        <v>951</v>
      </c>
      <c r="Z555" s="430" t="str">
        <f t="shared" si="5"/>
        <v>COMPLETED</v>
      </c>
      <c r="AA555" s="480" t="s">
        <v>4662</v>
      </c>
      <c r="AB555" s="441">
        <v>46160</v>
      </c>
      <c r="AC555" s="467">
        <f>IF(PV_DATA[[#This Row],[Pick-Up Date]]&lt;&gt;"",_xlfn.ISOWEEKNUM(PV_DATA[[#This Row],[Pick-Up Date]]),"")</f>
        <v>21</v>
      </c>
      <c r="AD555" s="431" t="s">
        <v>4671</v>
      </c>
      <c r="AF555" s="431" t="s">
        <v>61</v>
      </c>
      <c r="AG555" s="431" t="s">
        <v>61</v>
      </c>
      <c r="AH555" s="431" t="s">
        <v>105</v>
      </c>
      <c r="AI555" s="441">
        <v>46164</v>
      </c>
      <c r="AJ555" s="441">
        <v>46164</v>
      </c>
      <c r="AK555" s="441">
        <v>46164</v>
      </c>
      <c r="AL555" s="441">
        <v>46214</v>
      </c>
      <c r="AM555" s="441"/>
      <c r="AN555" s="441">
        <v>46218</v>
      </c>
      <c r="AO555" s="431" t="s">
        <v>402</v>
      </c>
      <c r="AP555" s="431" t="s">
        <v>4543</v>
      </c>
      <c r="AQ555" s="431" t="s">
        <v>80</v>
      </c>
      <c r="AR555" s="431" t="s">
        <v>4672</v>
      </c>
      <c r="AS555" s="431" t="s">
        <v>4673</v>
      </c>
      <c r="AT555" s="482" t="s">
        <v>4673</v>
      </c>
      <c r="AU55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</v>
      </c>
      <c r="AV555" s="441"/>
      <c r="AW555" s="441" cm="1">
        <f t="array" ref="AW55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46218</v>
      </c>
      <c r="AX55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55" s="441">
        <f>IF(ISERROR(PV_DATA[[#This Row],[New Ark PO status]]),"",_xlfn.XLOOKUP(PV_DATA[[#This Row],[SPTN-PVHK New Ark PO'#]],New_Ark_Data[Purchase order Number],New_Ark_Data[Estimated time of arrival],"",0))</f>
        <v>46230</v>
      </c>
      <c r="AZ55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55" s="441">
        <f>IFERROR(PV_DATA[[#This Row],[ODP ETA Port]]+PV_DATA[[#This Row],[Customs/Leg3 Assumption]],"n/a")</f>
        <v>46225</v>
      </c>
      <c r="BB555" s="442">
        <f>YEAR(PV_DATA[[#This Row],[ETA for New Ark update]])</f>
        <v>2026</v>
      </c>
      <c r="BC555" s="431">
        <f>MONTH(PV_DATA[[#This Row],[ETA for New Ark update]])</f>
        <v>7</v>
      </c>
      <c r="BD555" s="431">
        <f>IFERROR(_xlfn.ISOWEEKNUM(PV_DATA[[#This Row],[ETA for New Ark update]]),0)</f>
        <v>30</v>
      </c>
      <c r="BE555" s="431">
        <f>_xlfn.XLOOKUP(PV_DATA[[#This Row],[New Ark SKU]],Table9[New Ark SKU],Table9[Total PCS per Pallet],,0)</f>
        <v>36</v>
      </c>
      <c r="BF555" s="431">
        <f>_xlfn.XLOOKUP(PV_DATA[[#This Row],[New Ark SKU]],Table9[New Ark SKU],Table9[Total PCS per 40HQ Container],,0)</f>
        <v>864</v>
      </c>
      <c r="BG555" s="431" t="str">
        <f>_xlfn.XLOOKUP(PV_DATA[[#This Row],[New Ark SKU]],Table9[New Ark SKU],Table9[Back Glass],,0)</f>
        <v>Black glazing</v>
      </c>
      <c r="BH555" s="431" t="str">
        <f>_xlfn.XLOOKUP(PV_DATA[[#This Row],[PORT DESTINATION]],Table12[PORT DESTINATION],Table12[Cosco Line],,0)</f>
        <v>AEU</v>
      </c>
    </row>
    <row r="556" spans="1:60" s="431" customFormat="1" ht="10.5" hidden="1">
      <c r="A556" s="439" t="s">
        <v>4674</v>
      </c>
      <c r="B556" s="439" t="s">
        <v>61</v>
      </c>
      <c r="C556" s="439" t="str">
        <f>IFERROR(LEFT(PV_DATA[[#This Row],[TCL REFERENCE]],FIND(".",PV_DATA[[#This Row],[TCL REFERENCE]],1)-1),"Main Line")</f>
        <v>26May010</v>
      </c>
      <c r="D556" s="439" t="s">
        <v>63</v>
      </c>
      <c r="E556" s="439" t="s">
        <v>64</v>
      </c>
      <c r="F556" s="439" t="str" cm="1">
        <f t="array" ref="F55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556" s="439" t="s">
        <v>402</v>
      </c>
      <c r="H556" s="439" t="s">
        <v>67</v>
      </c>
      <c r="I556" s="439" t="s">
        <v>689</v>
      </c>
      <c r="J556" s="431" t="s">
        <v>96</v>
      </c>
      <c r="M556" s="431" t="s">
        <v>68</v>
      </c>
      <c r="N556" s="461" t="s">
        <v>68</v>
      </c>
      <c r="O556" s="431" t="s">
        <v>4540</v>
      </c>
      <c r="P556" s="431" t="s">
        <v>1151</v>
      </c>
      <c r="Q556" s="431" t="s">
        <v>421</v>
      </c>
      <c r="R556" s="431" t="str">
        <f>_xlfn.XLOOKUP(PV_DATA[[#This Row],[New Ark SKU]],Table9[New Ark SKU],Table9[Connector],,0)</f>
        <v>EVO2A</v>
      </c>
      <c r="S556" s="442" t="str">
        <f>_xlfn.XLOOKUP(PV_DATA[[#This Row],[New Ark SKU]],Table9[New Ark SKU],Table9[Cable],,0)</f>
        <v>±1200mm</v>
      </c>
      <c r="T556" s="442">
        <v>505</v>
      </c>
      <c r="U556" s="1067">
        <f>864*2</f>
        <v>1728</v>
      </c>
      <c r="V556" s="448">
        <f>PV_DATA[[#This Row],[QUANTITY]]*PV_DATA[[#This Row],[WATT]]/1000000</f>
        <v>0.87263999999999997</v>
      </c>
      <c r="W556" s="466">
        <f>PV_DATA[[#This Row],[QUANTITY]]/PV_DATA[[#This Row],[Qty/Pallet]]</f>
        <v>48</v>
      </c>
      <c r="X556" s="1019">
        <f>PV_DATA[[#This Row],[QUANTITY]]/PV_DATA[[#This Row],[Qty/CT]]</f>
        <v>2</v>
      </c>
      <c r="Y556" s="431" t="s">
        <v>951</v>
      </c>
      <c r="Z556" s="430" t="str">
        <f t="shared" si="5"/>
        <v>COMPLETED</v>
      </c>
      <c r="AA556" s="431" t="s">
        <v>4588</v>
      </c>
      <c r="AB556" s="441">
        <v>46160</v>
      </c>
      <c r="AC556" s="467">
        <f>IF(PV_DATA[[#This Row],[Pick-Up Date]]&lt;&gt;"",_xlfn.ISOWEEKNUM(PV_DATA[[#This Row],[Pick-Up Date]]),"")</f>
        <v>21</v>
      </c>
      <c r="AD556" s="431" t="s">
        <v>4675</v>
      </c>
      <c r="AF556" s="431" t="s">
        <v>61</v>
      </c>
      <c r="AG556" s="431" t="s">
        <v>61</v>
      </c>
      <c r="AH556" s="431" t="s">
        <v>105</v>
      </c>
      <c r="AI556" s="441">
        <v>46164</v>
      </c>
      <c r="AJ556" s="441">
        <v>46164</v>
      </c>
      <c r="AK556" s="441">
        <v>46164</v>
      </c>
      <c r="AL556" s="441">
        <v>46214</v>
      </c>
      <c r="AM556" s="441"/>
      <c r="AN556" s="441">
        <v>46218</v>
      </c>
      <c r="AO556" s="431" t="s">
        <v>402</v>
      </c>
      <c r="AP556" s="431" t="s">
        <v>4543</v>
      </c>
      <c r="AQ556" s="431" t="s">
        <v>80</v>
      </c>
      <c r="AR556" s="431" t="s">
        <v>4672</v>
      </c>
      <c r="AS556" s="431" t="s">
        <v>4673</v>
      </c>
      <c r="AT556" s="482" t="s">
        <v>4673</v>
      </c>
      <c r="AU55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</v>
      </c>
      <c r="AV556" s="441"/>
      <c r="AW556" s="441" cm="1">
        <f t="array" ref="AW55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46218</v>
      </c>
      <c r="AX55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56" s="441">
        <f>IF(ISERROR(PV_DATA[[#This Row],[New Ark PO status]]),"",_xlfn.XLOOKUP(PV_DATA[[#This Row],[SPTN-PVHK New Ark PO'#]],New_Ark_Data[Purchase order Number],New_Ark_Data[Estimated time of arrival],"",0))</f>
        <v>46230</v>
      </c>
      <c r="AZ55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56" s="441">
        <f>IFERROR(PV_DATA[[#This Row],[ODP ETA Port]]+PV_DATA[[#This Row],[Customs/Leg3 Assumption]],"n/a")</f>
        <v>46225</v>
      </c>
      <c r="BB556" s="442">
        <f>YEAR(PV_DATA[[#This Row],[ETA for New Ark update]])</f>
        <v>2026</v>
      </c>
      <c r="BC556" s="431">
        <f>MONTH(PV_DATA[[#This Row],[ETA for New Ark update]])</f>
        <v>7</v>
      </c>
      <c r="BD556" s="431">
        <f>IFERROR(_xlfn.ISOWEEKNUM(PV_DATA[[#This Row],[ETA for New Ark update]]),0)</f>
        <v>30</v>
      </c>
      <c r="BE556" s="431">
        <f>_xlfn.XLOOKUP(PV_DATA[[#This Row],[New Ark SKU]],Table9[New Ark SKU],Table9[Total PCS per Pallet],,0)</f>
        <v>36</v>
      </c>
      <c r="BF556" s="431">
        <f>_xlfn.XLOOKUP(PV_DATA[[#This Row],[New Ark SKU]],Table9[New Ark SKU],Table9[Total PCS per 40HQ Container],,0)</f>
        <v>864</v>
      </c>
      <c r="BG556" s="431" t="str">
        <f>_xlfn.XLOOKUP(PV_DATA[[#This Row],[New Ark SKU]],Table9[New Ark SKU],Table9[Back Glass],,0)</f>
        <v>Black glazing</v>
      </c>
      <c r="BH556" s="431" t="str">
        <f>_xlfn.XLOOKUP(PV_DATA[[#This Row],[PORT DESTINATION]],Table12[PORT DESTINATION],Table12[Cosco Line],,0)</f>
        <v>AEU</v>
      </c>
    </row>
    <row r="557" spans="1:60" s="431" customFormat="1" ht="10.5" hidden="1">
      <c r="A557" s="439" t="s">
        <v>4676</v>
      </c>
      <c r="B557" s="439" t="s">
        <v>61</v>
      </c>
      <c r="C557" s="439" t="str">
        <f>IFERROR(LEFT(PV_DATA[[#This Row],[TCL REFERENCE]],FIND(".",PV_DATA[[#This Row],[TCL REFERENCE]],1)-1),"Main Line")</f>
        <v>26May009</v>
      </c>
      <c r="D557" s="439" t="s">
        <v>63</v>
      </c>
      <c r="E557" s="439" t="s">
        <v>64</v>
      </c>
      <c r="F557" s="439" t="str" cm="1">
        <f t="array" ref="F55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557" s="439" t="s">
        <v>402</v>
      </c>
      <c r="H557" s="439" t="s">
        <v>67</v>
      </c>
      <c r="I557" s="439" t="s">
        <v>689</v>
      </c>
      <c r="J557" s="431" t="s">
        <v>96</v>
      </c>
      <c r="M557" s="431" t="s">
        <v>68</v>
      </c>
      <c r="N557" s="461" t="s">
        <v>68</v>
      </c>
      <c r="O557" s="431" t="s">
        <v>4540</v>
      </c>
      <c r="P557" s="431" t="s">
        <v>71</v>
      </c>
      <c r="Q557" s="431" t="s">
        <v>72</v>
      </c>
      <c r="R557" s="431" t="str">
        <f>_xlfn.XLOOKUP(PV_DATA[[#This Row],[New Ark SKU]],Table9[New Ark SKU],Table9[Connector],,0)</f>
        <v>EVO2A</v>
      </c>
      <c r="S557" s="442" t="str">
        <f>_xlfn.XLOOKUP(PV_DATA[[#This Row],[New Ark SKU]],Table9[New Ark SKU],Table9[Cable],,0)</f>
        <v>±1200mm</v>
      </c>
      <c r="T557" s="442">
        <v>500</v>
      </c>
      <c r="U557" s="1067">
        <v>4320</v>
      </c>
      <c r="V557" s="448">
        <f>PV_DATA[[#This Row],[QUANTITY]]*PV_DATA[[#This Row],[WATT]]/1000000</f>
        <v>2.16</v>
      </c>
      <c r="W557" s="466">
        <f>PV_DATA[[#This Row],[QUANTITY]]/PV_DATA[[#This Row],[Qty/Pallet]]</f>
        <v>120</v>
      </c>
      <c r="X557" s="1019">
        <f>PV_DATA[[#This Row],[QUANTITY]]/PV_DATA[[#This Row],[Qty/CT]]</f>
        <v>5</v>
      </c>
      <c r="Y557" s="431" t="s">
        <v>951</v>
      </c>
      <c r="Z557" s="430" t="str">
        <f t="shared" si="5"/>
        <v>COMPLETED</v>
      </c>
      <c r="AA557" s="431" t="s">
        <v>4677</v>
      </c>
      <c r="AB557" s="441">
        <v>46164</v>
      </c>
      <c r="AC557" s="467">
        <f>IF(PV_DATA[[#This Row],[Pick-Up Date]]&lt;&gt;"",_xlfn.ISOWEEKNUM(PV_DATA[[#This Row],[Pick-Up Date]]),"")</f>
        <v>21</v>
      </c>
      <c r="AD557" s="431" t="s">
        <v>4678</v>
      </c>
      <c r="AF557" s="431" t="s">
        <v>61</v>
      </c>
      <c r="AG557" s="431" t="s">
        <v>61</v>
      </c>
      <c r="AH557" s="431" t="s">
        <v>105</v>
      </c>
      <c r="AI557" s="441">
        <v>46173</v>
      </c>
      <c r="AJ557" s="441">
        <v>46172</v>
      </c>
      <c r="AK557" s="441">
        <v>46172</v>
      </c>
      <c r="AL557" s="441">
        <v>46214</v>
      </c>
      <c r="AM557" s="441"/>
      <c r="AN557" s="441">
        <v>46218</v>
      </c>
      <c r="AO557" s="431" t="s">
        <v>402</v>
      </c>
      <c r="AP557" s="431" t="s">
        <v>4679</v>
      </c>
      <c r="AQ557" s="431" t="s">
        <v>80</v>
      </c>
      <c r="AR557" s="431" t="s">
        <v>4680</v>
      </c>
      <c r="AS557" s="431" t="s">
        <v>4681</v>
      </c>
      <c r="AT557" s="482" t="s">
        <v>4681</v>
      </c>
      <c r="AU55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V557" s="441"/>
      <c r="AW557" s="441" cm="1">
        <f t="array" ref="AW55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46218</v>
      </c>
      <c r="AX55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57" s="441">
        <f>IF(ISERROR(PV_DATA[[#This Row],[New Ark PO status]]),"",_xlfn.XLOOKUP(PV_DATA[[#This Row],[SPTN-PVHK New Ark PO'#]],New_Ark_Data[Purchase order Number],New_Ark_Data[Estimated time of arrival],"",0))</f>
        <v>46230</v>
      </c>
      <c r="AZ557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57" s="441">
        <f>IFERROR(PV_DATA[[#This Row],[ODP ETA Port]]+PV_DATA[[#This Row],[Customs/Leg3 Assumption]],"n/a")</f>
        <v>46225</v>
      </c>
      <c r="BB557" s="442">
        <f>YEAR(PV_DATA[[#This Row],[ETA for New Ark update]])</f>
        <v>2026</v>
      </c>
      <c r="BC557" s="431">
        <f>MONTH(PV_DATA[[#This Row],[ETA for New Ark update]])</f>
        <v>7</v>
      </c>
      <c r="BD557" s="431">
        <f>IFERROR(_xlfn.ISOWEEKNUM(PV_DATA[[#This Row],[ETA for New Ark update]]),0)</f>
        <v>30</v>
      </c>
      <c r="BE557" s="431">
        <f>_xlfn.XLOOKUP(PV_DATA[[#This Row],[New Ark SKU]],Table9[New Ark SKU],Table9[Total PCS per Pallet],,0)</f>
        <v>36</v>
      </c>
      <c r="BF557" s="431">
        <f>_xlfn.XLOOKUP(PV_DATA[[#This Row],[New Ark SKU]],Table9[New Ark SKU],Table9[Total PCS per 40HQ Container],,0)</f>
        <v>864</v>
      </c>
      <c r="BG557" s="431" t="str">
        <f>_xlfn.XLOOKUP(PV_DATA[[#This Row],[New Ark SKU]],Table9[New Ark SKU],Table9[Back Glass],,0)</f>
        <v>Black glazing</v>
      </c>
      <c r="BH557" s="431" t="str">
        <f>_xlfn.XLOOKUP(PV_DATA[[#This Row],[PORT DESTINATION]],Table12[PORT DESTINATION],Table12[Cosco Line],,0)</f>
        <v>AEU</v>
      </c>
    </row>
    <row r="558" spans="1:60" s="431" customFormat="1" ht="10.5" hidden="1">
      <c r="A558" s="439" t="s">
        <v>4682</v>
      </c>
      <c r="B558" s="439" t="s">
        <v>61</v>
      </c>
      <c r="C558" s="439" t="str">
        <f>IFERROR(LEFT(PV_DATA[[#This Row],[TCL REFERENCE]],FIND(".",PV_DATA[[#This Row],[TCL REFERENCE]],1)-1),"Main Line")</f>
        <v>26Apr014</v>
      </c>
      <c r="D558" s="439" t="s">
        <v>63</v>
      </c>
      <c r="E558" s="439" t="s">
        <v>144</v>
      </c>
      <c r="F558" s="439" t="str" cm="1">
        <f t="array" ref="F55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58" s="439" t="s">
        <v>402</v>
      </c>
      <c r="H558" s="439" t="s">
        <v>157</v>
      </c>
      <c r="I558" s="439" t="s">
        <v>689</v>
      </c>
      <c r="J558" s="431" t="s">
        <v>157</v>
      </c>
      <c r="K558" s="431" t="s">
        <v>4683</v>
      </c>
      <c r="M558" s="431" t="s">
        <v>840</v>
      </c>
      <c r="N558" s="461" t="s">
        <v>68</v>
      </c>
      <c r="O558" s="431" t="s">
        <v>70</v>
      </c>
      <c r="P558" s="431" t="s">
        <v>1151</v>
      </c>
      <c r="Q558" s="431" t="s">
        <v>421</v>
      </c>
      <c r="R558" s="431" t="str">
        <f>_xlfn.XLOOKUP(PV_DATA[[#This Row],[New Ark SKU]],Table9[New Ark SKU],Table9[Connector],,0)</f>
        <v>EVO2A</v>
      </c>
      <c r="S558" s="442" t="str">
        <f>_xlfn.XLOOKUP(PV_DATA[[#This Row],[New Ark SKU]],Table9[New Ark SKU],Table9[Cable],,0)</f>
        <v>±1200mm</v>
      </c>
      <c r="T558" s="442">
        <v>505</v>
      </c>
      <c r="U558" s="1067">
        <f>864*3</f>
        <v>2592</v>
      </c>
      <c r="V558" s="444">
        <f>PV_DATA[[#This Row],[QUANTITY]]*PV_DATA[[#This Row],[WATT]]/1000000</f>
        <v>1.3089599999999999</v>
      </c>
      <c r="W558" s="466">
        <f>PV_DATA[[#This Row],[QUANTITY]]/PV_DATA[[#This Row],[Qty/Pallet]]</f>
        <v>72</v>
      </c>
      <c r="X558" s="1019">
        <f>PV_DATA[[#This Row],[QUANTITY]]/PV_DATA[[#This Row],[Qty/CT]]</f>
        <v>3</v>
      </c>
      <c r="Y558" s="431" t="s">
        <v>951</v>
      </c>
      <c r="Z558" s="430" t="str">
        <f t="shared" si="5"/>
        <v>COMPLETED</v>
      </c>
      <c r="AA558" s="474" t="s">
        <v>4561</v>
      </c>
      <c r="AB558" s="441">
        <v>46157</v>
      </c>
      <c r="AC558" s="467">
        <f>IF(PV_DATA[[#This Row],[Pick-Up Date]]&lt;&gt;"",_xlfn.ISOWEEKNUM(PV_DATA[[#This Row],[Pick-Up Date]]),"")</f>
        <v>20</v>
      </c>
      <c r="AD558" s="431" t="s">
        <v>4684</v>
      </c>
      <c r="AF558" s="431" t="s">
        <v>77</v>
      </c>
      <c r="AG558" s="431" t="s">
        <v>61</v>
      </c>
      <c r="AH558" s="431" t="s">
        <v>159</v>
      </c>
      <c r="AI558" s="441">
        <v>46165</v>
      </c>
      <c r="AJ558" s="441">
        <v>46167</v>
      </c>
      <c r="AK558" s="441">
        <v>46167</v>
      </c>
      <c r="AL558" s="441">
        <v>46226</v>
      </c>
      <c r="AM558" s="441">
        <v>46231</v>
      </c>
      <c r="AN558" s="441">
        <v>46229</v>
      </c>
      <c r="AO558" s="431" t="s">
        <v>402</v>
      </c>
      <c r="AP558" s="431" t="s">
        <v>4685</v>
      </c>
      <c r="AQ558" s="431" t="s">
        <v>161</v>
      </c>
      <c r="AR558" s="431" t="s">
        <v>4686</v>
      </c>
      <c r="AS558" s="431" t="s">
        <v>4687</v>
      </c>
      <c r="AT558" s="482" t="s">
        <v>4688</v>
      </c>
      <c r="AU55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62</v>
      </c>
      <c r="AV558" s="441"/>
      <c r="AW558" s="441" cm="1">
        <f t="array" ref="AW55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46229</v>
      </c>
      <c r="AX55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58" s="441">
        <f>IF(ISERROR(PV_DATA[[#This Row],[New Ark PO status]]),"",_xlfn.XLOOKUP(PV_DATA[[#This Row],[SPTN-PVHK New Ark PO'#]],New_Ark_Data[Purchase order Number],New_Ark_Data[Estimated time of arrival],"",0))</f>
        <v>46206</v>
      </c>
      <c r="AZ558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58" s="441">
        <f>IFERROR(PV_DATA[[#This Row],[ODP ETA Port]]+PV_DATA[[#This Row],[Customs/Leg3 Assumption]],"n/a")</f>
        <v>46229</v>
      </c>
      <c r="BB558" s="442">
        <f>YEAR(PV_DATA[[#This Row],[ETA for New Ark update]])</f>
        <v>2026</v>
      </c>
      <c r="BC558" s="431">
        <f>MONTH(PV_DATA[[#This Row],[ETA for New Ark update]])</f>
        <v>7</v>
      </c>
      <c r="BD558" s="431">
        <f>IFERROR(_xlfn.ISOWEEKNUM(PV_DATA[[#This Row],[ETA for New Ark update]]),0)</f>
        <v>30</v>
      </c>
      <c r="BE558" s="431">
        <f>_xlfn.XLOOKUP(PV_DATA[[#This Row],[New Ark SKU]],Table9[New Ark SKU],Table9[Total PCS per Pallet],,0)</f>
        <v>36</v>
      </c>
      <c r="BF558" s="431">
        <f>_xlfn.XLOOKUP(PV_DATA[[#This Row],[New Ark SKU]],Table9[New Ark SKU],Table9[Total PCS per 40HQ Container],,0)</f>
        <v>864</v>
      </c>
      <c r="BG558" s="431" t="str">
        <f>_xlfn.XLOOKUP(PV_DATA[[#This Row],[New Ark SKU]],Table9[New Ark SKU],Table9[Back Glass],,0)</f>
        <v>Black glazing</v>
      </c>
      <c r="BH558" s="431" t="str">
        <f>_xlfn.XLOOKUP(PV_DATA[[#This Row],[PORT DESTINATION]],Table12[PORT DESTINATION],Table12[Cosco Line],,0)</f>
        <v>AEU</v>
      </c>
    </row>
    <row r="559" spans="1:60" s="431" customFormat="1" ht="10.5" hidden="1">
      <c r="A559" s="439" t="s">
        <v>4689</v>
      </c>
      <c r="B559" s="439" t="s">
        <v>2132</v>
      </c>
      <c r="C559" s="439" t="str">
        <f>IFERROR(LEFT(PV_DATA[[#This Row],[TCL REFERENCE]],FIND(".",PV_DATA[[#This Row],[TCL REFERENCE]],1)-1),"Main Line")</f>
        <v>26Apr008</v>
      </c>
      <c r="D559" s="439" t="s">
        <v>63</v>
      </c>
      <c r="E559" s="439" t="s">
        <v>64</v>
      </c>
      <c r="F559" s="439" t="str" cm="1">
        <f t="array" ref="F55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559" s="439" t="s">
        <v>402</v>
      </c>
      <c r="H559" s="439" t="s">
        <v>311</v>
      </c>
      <c r="I559" s="439" t="s">
        <v>689</v>
      </c>
      <c r="J559" s="431" t="s">
        <v>96</v>
      </c>
      <c r="M559" s="431" t="s">
        <v>68</v>
      </c>
      <c r="N559" s="461">
        <v>46146</v>
      </c>
      <c r="O559" s="431" t="s">
        <v>170</v>
      </c>
      <c r="P559" s="431" t="s">
        <v>1977</v>
      </c>
      <c r="Q559" s="431" t="s">
        <v>1978</v>
      </c>
      <c r="R559" s="431" t="str">
        <f>_xlfn.XLOOKUP(PV_DATA[[#This Row],[New Ark SKU]],Table9[New Ark SKU],Table9[Connector],,0)</f>
        <v>EVO2A</v>
      </c>
      <c r="S559" s="442" t="str">
        <f>_xlfn.XLOOKUP(PV_DATA[[#This Row],[New Ark SKU]],Table9[New Ark SKU],Table9[Cable],,0)</f>
        <v>±1400mm</v>
      </c>
      <c r="T559" s="442">
        <v>560</v>
      </c>
      <c r="U559" s="1067">
        <f>660*4</f>
        <v>2640</v>
      </c>
      <c r="V559" s="448">
        <f>PV_DATA[[#This Row],[QUANTITY]]*PV_DATA[[#This Row],[WATT]]/1000000</f>
        <v>1.4783999999999999</v>
      </c>
      <c r="W559" s="466">
        <f>PV_DATA[[#This Row],[QUANTITY]]/PV_DATA[[#This Row],[Qty/Pallet]]</f>
        <v>80</v>
      </c>
      <c r="X559" s="1019">
        <f>PV_DATA[[#This Row],[QUANTITY]]/PV_DATA[[#This Row],[Qty/CT]]</f>
        <v>4</v>
      </c>
      <c r="Y559" s="431" t="s">
        <v>951</v>
      </c>
      <c r="Z559" s="430" t="str">
        <f t="shared" si="5"/>
        <v>COMPLETED</v>
      </c>
      <c r="AA559" s="431" t="s">
        <v>4555</v>
      </c>
      <c r="AB559" s="441">
        <v>46163</v>
      </c>
      <c r="AC559" s="467">
        <f>IF(PV_DATA[[#This Row],[Pick-Up Date]]&lt;&gt;"",_xlfn.ISOWEEKNUM(PV_DATA[[#This Row],[Pick-Up Date]]),"")</f>
        <v>21</v>
      </c>
      <c r="AD559" s="431" t="s">
        <v>4690</v>
      </c>
      <c r="AF559" s="431" t="s">
        <v>77</v>
      </c>
      <c r="AG559" s="431" t="s">
        <v>61</v>
      </c>
      <c r="AH559" s="431" t="s">
        <v>314</v>
      </c>
      <c r="AI559" s="441">
        <v>46173</v>
      </c>
      <c r="AJ559" s="441">
        <v>46172</v>
      </c>
      <c r="AK559" s="441">
        <v>46172</v>
      </c>
      <c r="AL559" s="732">
        <v>46232</v>
      </c>
      <c r="AM559" s="586">
        <f>IFERROR(VLOOKUP(AT559, Vessel!A:H, 8, FALSE), "")</f>
        <v>46239.5</v>
      </c>
      <c r="AN559" s="586">
        <f>IFERROR(IF(VLOOKUP(AT559,Vessel!A:I,9,FALSE)=0,"",VLOOKUP(AT559,Vessel!A:I,9,FALSE)),"")</f>
        <v>46239.457638888889</v>
      </c>
      <c r="AO559" s="431" t="s">
        <v>402</v>
      </c>
      <c r="AP559" s="431" t="s">
        <v>4679</v>
      </c>
      <c r="AQ559" s="431" t="s">
        <v>80</v>
      </c>
      <c r="AR559" s="431" t="s">
        <v>4691</v>
      </c>
      <c r="AS559" s="431" t="s">
        <v>4692</v>
      </c>
      <c r="AT559" s="482" t="s">
        <v>4692</v>
      </c>
      <c r="AU55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67.457638888889051</v>
      </c>
      <c r="AV559" s="441"/>
      <c r="AW559" s="441" cm="1">
        <f t="array" ref="AW55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46239.457638888889</v>
      </c>
      <c r="AX55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59" s="441">
        <f>IF(ISERROR(PV_DATA[[#This Row],[New Ark PO status]]),"",_xlfn.XLOOKUP(PV_DATA[[#This Row],[SPTN-PVHK New Ark PO'#]],New_Ark_Data[Purchase order Number],New_Ark_Data[Estimated time of arrival],"",0))</f>
        <v>46246</v>
      </c>
      <c r="AZ559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559" s="441">
        <f>IFERROR(PV_DATA[[#This Row],[ODP ETA Port]]+PV_DATA[[#This Row],[Customs/Leg3 Assumption]],"n/a")</f>
        <v>46249.457638888889</v>
      </c>
      <c r="BB559" s="442">
        <f>YEAR(PV_DATA[[#This Row],[ETA for New Ark update]])</f>
        <v>2026</v>
      </c>
      <c r="BC559" s="431">
        <f>MONTH(PV_DATA[[#This Row],[ETA for New Ark update]])</f>
        <v>8</v>
      </c>
      <c r="BD559" s="431">
        <f>IFERROR(_xlfn.ISOWEEKNUM(PV_DATA[[#This Row],[ETA for New Ark update]]),0)</f>
        <v>33</v>
      </c>
      <c r="BE559" s="431">
        <f>_xlfn.XLOOKUP(PV_DATA[[#This Row],[New Ark SKU]],Table9[New Ark SKU],Table9[Total PCS per Pallet],,0)</f>
        <v>33</v>
      </c>
      <c r="BF559" s="431">
        <f>_xlfn.XLOOKUP(PV_DATA[[#This Row],[New Ark SKU]],Table9[New Ark SKU],Table9[Total PCS per 40HQ Container],,0)</f>
        <v>660</v>
      </c>
      <c r="BG559" s="431" t="str">
        <f>_xlfn.XLOOKUP(PV_DATA[[#This Row],[New Ark SKU]],Table9[New Ark SKU],Table9[Back Glass],,0)</f>
        <v>White glazing</v>
      </c>
      <c r="BH559" s="431" t="str">
        <f>_xlfn.XLOOKUP(PV_DATA[[#This Row],[PORT DESTINATION]],Table12[PORT DESTINATION],Table12[Cosco Line],,0)</f>
        <v>AEM</v>
      </c>
    </row>
    <row r="560" spans="1:60" s="431" customFormat="1" ht="10.5" hidden="1">
      <c r="A560" s="439" t="s">
        <v>4693</v>
      </c>
      <c r="B560" s="439" t="s">
        <v>61</v>
      </c>
      <c r="C560" s="439" t="str">
        <f>IFERROR(LEFT(PV_DATA[[#This Row],[TCL REFERENCE]],FIND(".",PV_DATA[[#This Row],[TCL REFERENCE]],1)-1),"Main Line")</f>
        <v>26May009</v>
      </c>
      <c r="D560" s="439" t="s">
        <v>63</v>
      </c>
      <c r="E560" s="439" t="s">
        <v>64</v>
      </c>
      <c r="F560" s="439" t="str" cm="1">
        <f t="array" ref="F56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560" s="439" t="s">
        <v>402</v>
      </c>
      <c r="H560" s="439" t="s">
        <v>67</v>
      </c>
      <c r="I560" s="439" t="s">
        <v>689</v>
      </c>
      <c r="J560" s="431" t="s">
        <v>96</v>
      </c>
      <c r="M560" s="431" t="s">
        <v>68</v>
      </c>
      <c r="N560" s="461">
        <v>46153</v>
      </c>
      <c r="O560" s="431" t="s">
        <v>4540</v>
      </c>
      <c r="P560" s="431" t="s">
        <v>71</v>
      </c>
      <c r="Q560" s="431" t="s">
        <v>72</v>
      </c>
      <c r="R560" s="431" t="str">
        <f>_xlfn.XLOOKUP(PV_DATA[[#This Row],[New Ark SKU]],Table9[New Ark SKU],Table9[Connector],,0)</f>
        <v>EVO2A</v>
      </c>
      <c r="S560" s="442" t="str">
        <f>_xlfn.XLOOKUP(PV_DATA[[#This Row],[New Ark SKU]],Table9[New Ark SKU],Table9[Cable],,0)</f>
        <v>±1200mm</v>
      </c>
      <c r="T560" s="442">
        <v>500</v>
      </c>
      <c r="U560" s="1063">
        <v>1728</v>
      </c>
      <c r="V560" s="448">
        <f>PV_DATA[[#This Row],[QUANTITY]]*PV_DATA[[#This Row],[WATT]]/1000000</f>
        <v>0.86399999999999999</v>
      </c>
      <c r="W560" s="466">
        <f>PV_DATA[[#This Row],[QUANTITY]]/PV_DATA[[#This Row],[Qty/Pallet]]</f>
        <v>48</v>
      </c>
      <c r="X560" s="1019">
        <f>PV_DATA[[#This Row],[QUANTITY]]/PV_DATA[[#This Row],[Qty/CT]]</f>
        <v>2</v>
      </c>
      <c r="Y560" s="431" t="s">
        <v>951</v>
      </c>
      <c r="Z560" s="430" t="str">
        <f t="shared" si="5"/>
        <v>COMPLETED</v>
      </c>
      <c r="AA560" s="431" t="s">
        <v>4694</v>
      </c>
      <c r="AB560" s="441">
        <v>46164</v>
      </c>
      <c r="AC560" s="467">
        <f>IF(PV_DATA[[#This Row],[Pick-Up Date]]&lt;&gt;"",_xlfn.ISOWEEKNUM(PV_DATA[[#This Row],[Pick-Up Date]]),"")</f>
        <v>21</v>
      </c>
      <c r="AD560" s="431" t="s">
        <v>4695</v>
      </c>
      <c r="AF560" s="431" t="s">
        <v>61</v>
      </c>
      <c r="AG560" s="431" t="s">
        <v>61</v>
      </c>
      <c r="AH560" s="431" t="s">
        <v>78</v>
      </c>
      <c r="AI560" s="441">
        <v>46173</v>
      </c>
      <c r="AJ560" s="441">
        <v>46172</v>
      </c>
      <c r="AK560" s="441">
        <v>46172</v>
      </c>
      <c r="AL560" s="441">
        <v>46231</v>
      </c>
      <c r="AM560" s="441">
        <v>46234</v>
      </c>
      <c r="AN560" s="586">
        <f>IFERROR(IF(VLOOKUP(AT560,Vessel!A:I,9,FALSE)=0,"",VLOOKUP(AT560,Vessel!A:I,9,FALSE)),"")</f>
        <v>46235.175381944442</v>
      </c>
      <c r="AO560" s="431" t="s">
        <v>402</v>
      </c>
      <c r="AP560" s="431" t="s">
        <v>4679</v>
      </c>
      <c r="AQ560" s="431" t="s">
        <v>80</v>
      </c>
      <c r="AR560" s="431" t="s">
        <v>4696</v>
      </c>
      <c r="AS560" s="431" t="s">
        <v>4697</v>
      </c>
      <c r="AT560" s="482" t="s">
        <v>4697</v>
      </c>
      <c r="AU56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63.175381944442051</v>
      </c>
      <c r="AV560" s="441"/>
      <c r="AW560" s="441" cm="1">
        <f t="array" ref="AW56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46235.175381944442</v>
      </c>
      <c r="AX56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60" s="441">
        <f>IF(ISERROR(PV_DATA[[#This Row],[New Ark PO status]]),"",_xlfn.XLOOKUP(PV_DATA[[#This Row],[SPTN-PVHK New Ark PO'#]],New_Ark_Data[Purchase order Number],New_Ark_Data[Estimated time of arrival],"",0))</f>
        <v>46247</v>
      </c>
      <c r="AZ560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560" s="441">
        <f>IFERROR(PV_DATA[[#This Row],[ODP ETA Port]]+PV_DATA[[#This Row],[Customs/Leg3 Assumption]],"n/a")</f>
        <v>46243.175381944442</v>
      </c>
      <c r="BB560" s="442">
        <f>YEAR(PV_DATA[[#This Row],[ETA for New Ark update]])</f>
        <v>2026</v>
      </c>
      <c r="BC560" s="431">
        <f>MONTH(PV_DATA[[#This Row],[ETA for New Ark update]])</f>
        <v>8</v>
      </c>
      <c r="BD560" s="431">
        <f>IFERROR(_xlfn.ISOWEEKNUM(PV_DATA[[#This Row],[ETA for New Ark update]]),0)</f>
        <v>32</v>
      </c>
      <c r="BE560" s="431">
        <f>_xlfn.XLOOKUP(PV_DATA[[#This Row],[New Ark SKU]],Table9[New Ark SKU],Table9[Total PCS per Pallet],,0)</f>
        <v>36</v>
      </c>
      <c r="BF560" s="431">
        <f>_xlfn.XLOOKUP(PV_DATA[[#This Row],[New Ark SKU]],Table9[New Ark SKU],Table9[Total PCS per 40HQ Container],,0)</f>
        <v>864</v>
      </c>
      <c r="BG560" s="431" t="str">
        <f>_xlfn.XLOOKUP(PV_DATA[[#This Row],[New Ark SKU]],Table9[New Ark SKU],Table9[Back Glass],,0)</f>
        <v>Black glazing</v>
      </c>
      <c r="BH560" s="431" t="str">
        <f>_xlfn.XLOOKUP(PV_DATA[[#This Row],[PORT DESTINATION]],Table12[PORT DESTINATION],Table12[Cosco Line],,0)</f>
        <v>AEM</v>
      </c>
    </row>
    <row r="561" spans="1:60" s="431" customFormat="1" ht="10.5" hidden="1">
      <c r="A561" s="439" t="s">
        <v>4698</v>
      </c>
      <c r="B561" s="439" t="s">
        <v>61</v>
      </c>
      <c r="C561" s="439" t="str">
        <f>IFERROR(LEFT(PV_DATA[[#This Row],[TCL REFERENCE]],FIND(".",PV_DATA[[#This Row],[TCL REFERENCE]],1)-1),"Main Line")</f>
        <v>26May010</v>
      </c>
      <c r="D561" s="439" t="s">
        <v>63</v>
      </c>
      <c r="E561" s="439" t="s">
        <v>64</v>
      </c>
      <c r="F561" s="439" t="str" cm="1">
        <f t="array" ref="F56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561" s="439" t="s">
        <v>402</v>
      </c>
      <c r="H561" s="439" t="s">
        <v>451</v>
      </c>
      <c r="I561" s="439" t="s">
        <v>689</v>
      </c>
      <c r="J561" s="431" t="s">
        <v>1832</v>
      </c>
      <c r="M561" s="431" t="s">
        <v>68</v>
      </c>
      <c r="N561" s="461">
        <v>46153</v>
      </c>
      <c r="O561" s="431" t="s">
        <v>4540</v>
      </c>
      <c r="P561" s="431" t="s">
        <v>1151</v>
      </c>
      <c r="Q561" s="431" t="s">
        <v>421</v>
      </c>
      <c r="R561" s="431" t="str">
        <f>_xlfn.XLOOKUP(PV_DATA[[#This Row],[New Ark SKU]],Table9[New Ark SKU],Table9[Connector],,0)</f>
        <v>EVO2A</v>
      </c>
      <c r="S561" s="442" t="str">
        <f>_xlfn.XLOOKUP(PV_DATA[[#This Row],[New Ark SKU]],Table9[New Ark SKU],Table9[Cable],,0)</f>
        <v>±1200mm</v>
      </c>
      <c r="T561" s="442">
        <v>505</v>
      </c>
      <c r="U561" s="1067">
        <v>864</v>
      </c>
      <c r="V561" s="448">
        <f>PV_DATA[[#This Row],[QUANTITY]]*PV_DATA[[#This Row],[WATT]]/1000000</f>
        <v>0.43631999999999999</v>
      </c>
      <c r="W561" s="466">
        <f>PV_DATA[[#This Row],[QUANTITY]]/PV_DATA[[#This Row],[Qty/Pallet]]</f>
        <v>24</v>
      </c>
      <c r="X561" s="1019">
        <f>PV_DATA[[#This Row],[QUANTITY]]/PV_DATA[[#This Row],[Qty/CT]]</f>
        <v>1</v>
      </c>
      <c r="Y561" s="431" t="s">
        <v>951</v>
      </c>
      <c r="Z561" s="430" t="str">
        <f t="shared" si="5"/>
        <v>COMPLETED</v>
      </c>
      <c r="AA561" s="431" t="s">
        <v>4588</v>
      </c>
      <c r="AB561" s="441">
        <v>46164</v>
      </c>
      <c r="AC561" s="467">
        <f>IF(PV_DATA[[#This Row],[Pick-Up Date]]&lt;&gt;"",_xlfn.ISOWEEKNUM(PV_DATA[[#This Row],[Pick-Up Date]]),"")</f>
        <v>21</v>
      </c>
      <c r="AD561" s="431" t="s">
        <v>4699</v>
      </c>
      <c r="AF561" s="431" t="s">
        <v>61</v>
      </c>
      <c r="AG561" s="431" t="s">
        <v>61</v>
      </c>
      <c r="AH561" s="431" t="s">
        <v>456</v>
      </c>
      <c r="AI561" s="441">
        <v>46173</v>
      </c>
      <c r="AJ561" s="441">
        <v>46172</v>
      </c>
      <c r="AK561" s="441">
        <v>46172</v>
      </c>
      <c r="AL561" s="441">
        <v>46222</v>
      </c>
      <c r="AM561" s="441">
        <v>46224</v>
      </c>
      <c r="AN561" s="441">
        <v>46224</v>
      </c>
      <c r="AO561" s="431" t="s">
        <v>402</v>
      </c>
      <c r="AP561" s="431" t="s">
        <v>4679</v>
      </c>
      <c r="AQ561" s="431" t="s">
        <v>80</v>
      </c>
      <c r="AR561" s="431" t="s">
        <v>4700</v>
      </c>
      <c r="AS561" s="431" t="s">
        <v>4701</v>
      </c>
      <c r="AT561" s="482" t="s">
        <v>4701</v>
      </c>
      <c r="AU56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</v>
      </c>
      <c r="AV561" s="441"/>
      <c r="AW561" s="441" cm="1">
        <f t="array" ref="AW56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46224</v>
      </c>
      <c r="AX56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61" s="441">
        <f>IF(ISERROR(PV_DATA[[#This Row],[New Ark PO status]]),"",_xlfn.XLOOKUP(PV_DATA[[#This Row],[SPTN-PVHK New Ark PO'#]],New_Ark_Data[Purchase order Number],New_Ark_Data[Estimated time of arrival],"",0))</f>
        <v>46238</v>
      </c>
      <c r="AZ561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61" s="441">
        <f>IFERROR(PV_DATA[[#This Row],[ODP ETA Port]]+PV_DATA[[#This Row],[Customs/Leg3 Assumption]],"n/a")</f>
        <v>46231</v>
      </c>
      <c r="BB561" s="442">
        <f>YEAR(PV_DATA[[#This Row],[ETA for New Ark update]])</f>
        <v>2026</v>
      </c>
      <c r="BC561" s="431">
        <f>MONTH(PV_DATA[[#This Row],[ETA for New Ark update]])</f>
        <v>7</v>
      </c>
      <c r="BD561" s="431">
        <f>IFERROR(_xlfn.ISOWEEKNUM(PV_DATA[[#This Row],[ETA for New Ark update]]),0)</f>
        <v>31</v>
      </c>
      <c r="BE561" s="431">
        <f>_xlfn.XLOOKUP(PV_DATA[[#This Row],[New Ark SKU]],Table9[New Ark SKU],Table9[Total PCS per Pallet],,0)</f>
        <v>36</v>
      </c>
      <c r="BF561" s="431">
        <f>_xlfn.XLOOKUP(PV_DATA[[#This Row],[New Ark SKU]],Table9[New Ark SKU],Table9[Total PCS per 40HQ Container],,0)</f>
        <v>864</v>
      </c>
      <c r="BG561" s="431" t="str">
        <f>_xlfn.XLOOKUP(PV_DATA[[#This Row],[New Ark SKU]],Table9[New Ark SKU],Table9[Back Glass],,0)</f>
        <v>Black glazing</v>
      </c>
      <c r="BH561" s="431" t="str">
        <f>_xlfn.XLOOKUP(PV_DATA[[#This Row],[PORT DESTINATION]],Table12[PORT DESTINATION],Table12[Cosco Line],,0)</f>
        <v>AEU</v>
      </c>
    </row>
    <row r="562" spans="1:60" s="431" customFormat="1" ht="10.5" hidden="1">
      <c r="A562" s="439" t="s">
        <v>4702</v>
      </c>
      <c r="B562" s="439" t="s">
        <v>61</v>
      </c>
      <c r="C562" s="439" t="str">
        <f>IFERROR(LEFT(PV_DATA[[#This Row],[TCL REFERENCE]],FIND(".",PV_DATA[[#This Row],[TCL REFERENCE]],1)-1),"Main Line")</f>
        <v>26May010</v>
      </c>
      <c r="D562" s="439" t="s">
        <v>63</v>
      </c>
      <c r="E562" s="439" t="s">
        <v>144</v>
      </c>
      <c r="F562" s="439" t="str" cm="1">
        <f t="array" ref="F56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62" s="439" t="s">
        <v>402</v>
      </c>
      <c r="H562" s="439" t="s">
        <v>403</v>
      </c>
      <c r="I562" s="439" t="s">
        <v>822</v>
      </c>
      <c r="J562" s="431" t="s">
        <v>4703</v>
      </c>
      <c r="K562" s="431" t="s">
        <v>4704</v>
      </c>
      <c r="L562" s="431">
        <v>2</v>
      </c>
      <c r="M562" s="431" t="s">
        <v>840</v>
      </c>
      <c r="N562" s="461" t="s">
        <v>68</v>
      </c>
      <c r="O562" s="431" t="s">
        <v>4540</v>
      </c>
      <c r="P562" s="431" t="s">
        <v>1151</v>
      </c>
      <c r="Q562" s="431" t="s">
        <v>421</v>
      </c>
      <c r="R562" s="431" t="str">
        <f>_xlfn.XLOOKUP(PV_DATA[[#This Row],[New Ark SKU]],Table9[New Ark SKU],Table9[Connector],,0)</f>
        <v>EVO2A</v>
      </c>
      <c r="S562" s="442" t="str">
        <f>_xlfn.XLOOKUP(PV_DATA[[#This Row],[New Ark SKU]],Table9[New Ark SKU],Table9[Cable],,0)</f>
        <v>±1200mm</v>
      </c>
      <c r="T562" s="442">
        <v>505</v>
      </c>
      <c r="U562" s="1067">
        <f>864*1</f>
        <v>864</v>
      </c>
      <c r="V562" s="448">
        <f>PV_DATA[[#This Row],[QUANTITY]]*PV_DATA[[#This Row],[WATT]]/1000000</f>
        <v>0.43631999999999999</v>
      </c>
      <c r="W562" s="466">
        <f>PV_DATA[[#This Row],[QUANTITY]]/PV_DATA[[#This Row],[Qty/Pallet]]</f>
        <v>24</v>
      </c>
      <c r="X562" s="1019">
        <f>PV_DATA[[#This Row],[QUANTITY]]/PV_DATA[[#This Row],[Qty/CT]]</f>
        <v>1</v>
      </c>
      <c r="Y562" s="431" t="s">
        <v>951</v>
      </c>
      <c r="Z562" s="430" t="str">
        <f t="shared" si="5"/>
        <v>COMPLETED</v>
      </c>
      <c r="AA562" s="431" t="s">
        <v>4588</v>
      </c>
      <c r="AB562" s="441">
        <v>46164</v>
      </c>
      <c r="AC562" s="467">
        <f>IF(PV_DATA[[#This Row],[Pick-Up Date]]&lt;&gt;"",_xlfn.ISOWEEKNUM(PV_DATA[[#This Row],[Pick-Up Date]]),"")</f>
        <v>21</v>
      </c>
      <c r="AD562" s="431" t="s">
        <v>4705</v>
      </c>
      <c r="AF562" s="431" t="s">
        <v>61</v>
      </c>
      <c r="AG562" s="431" t="s">
        <v>61</v>
      </c>
      <c r="AH562" s="431" t="s">
        <v>124</v>
      </c>
      <c r="AI562" s="441">
        <v>46173</v>
      </c>
      <c r="AJ562" s="441">
        <v>46172</v>
      </c>
      <c r="AK562" s="441">
        <v>46172</v>
      </c>
      <c r="AL562" s="441">
        <v>46226</v>
      </c>
      <c r="AM562" s="441">
        <v>46229</v>
      </c>
      <c r="AN562" s="441">
        <v>46229</v>
      </c>
      <c r="AO562" s="431" t="s">
        <v>402</v>
      </c>
      <c r="AP562" s="431" t="s">
        <v>4679</v>
      </c>
      <c r="AQ562" s="431" t="s">
        <v>80</v>
      </c>
      <c r="AR562" s="431" t="s">
        <v>4706</v>
      </c>
      <c r="AS562" s="431" t="s">
        <v>4707</v>
      </c>
      <c r="AT562" s="482" t="s">
        <v>4707</v>
      </c>
      <c r="AU56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</v>
      </c>
      <c r="AV562" s="441"/>
      <c r="AW562" s="441" cm="1">
        <f t="array" ref="AW56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46229</v>
      </c>
      <c r="AX56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62" s="441">
        <f>IF(ISERROR(PV_DATA[[#This Row],[New Ark PO status]]),"",_xlfn.XLOOKUP(PV_DATA[[#This Row],[SPTN-PVHK New Ark PO'#]],New_Ark_Data[Purchase order Number],New_Ark_Data[Estimated time of arrival],"",0))</f>
        <v>46226</v>
      </c>
      <c r="AZ562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62" s="441">
        <f>IFERROR(PV_DATA[[#This Row],[ODP ETA Port]]+PV_DATA[[#This Row],[Customs/Leg3 Assumption]],"n/a")</f>
        <v>46229</v>
      </c>
      <c r="BB562" s="442">
        <f>YEAR(PV_DATA[[#This Row],[ETA for New Ark update]])</f>
        <v>2026</v>
      </c>
      <c r="BC562" s="431">
        <f>MONTH(PV_DATA[[#This Row],[ETA for New Ark update]])</f>
        <v>7</v>
      </c>
      <c r="BD562" s="431">
        <f>IFERROR(_xlfn.ISOWEEKNUM(PV_DATA[[#This Row],[ETA for New Ark update]]),0)</f>
        <v>30</v>
      </c>
      <c r="BE562" s="431">
        <f>_xlfn.XLOOKUP(PV_DATA[[#This Row],[New Ark SKU]],Table9[New Ark SKU],Table9[Total PCS per Pallet],,0)</f>
        <v>36</v>
      </c>
      <c r="BF562" s="431">
        <f>_xlfn.XLOOKUP(PV_DATA[[#This Row],[New Ark SKU]],Table9[New Ark SKU],Table9[Total PCS per 40HQ Container],,0)</f>
        <v>864</v>
      </c>
      <c r="BG562" s="431" t="str">
        <f>_xlfn.XLOOKUP(PV_DATA[[#This Row],[New Ark SKU]],Table9[New Ark SKU],Table9[Back Glass],,0)</f>
        <v>Black glazing</v>
      </c>
      <c r="BH562" s="431" t="str">
        <f>_xlfn.XLOOKUP(PV_DATA[[#This Row],[PORT DESTINATION]],Table12[PORT DESTINATION],Table12[Cosco Line],,0)</f>
        <v>AEM</v>
      </c>
    </row>
    <row r="563" spans="1:60" s="431" customFormat="1" hidden="1">
      <c r="A563" s="439" t="s">
        <v>4708</v>
      </c>
      <c r="B563" s="439" t="s">
        <v>111</v>
      </c>
      <c r="C563" s="439" t="str">
        <f>IFERROR(LEFT(PV_DATA[[#This Row],[TCL REFERENCE]],FIND(".",PV_DATA[[#This Row],[TCL REFERENCE]],1)-1),"Main Line")</f>
        <v>26May015</v>
      </c>
      <c r="D563" s="439" t="s">
        <v>63</v>
      </c>
      <c r="E563" s="439" t="s">
        <v>64</v>
      </c>
      <c r="F563" s="439" t="str" cm="1">
        <f t="array" ref="F56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563" s="439" t="s">
        <v>402</v>
      </c>
      <c r="H563" s="439" t="s">
        <v>67</v>
      </c>
      <c r="I563" s="439" t="s">
        <v>2004</v>
      </c>
      <c r="J563" s="431" t="s">
        <v>96</v>
      </c>
      <c r="M563" s="431" t="s">
        <v>68</v>
      </c>
      <c r="N563" s="461" t="s">
        <v>68</v>
      </c>
      <c r="O563" s="431" t="s">
        <v>4495</v>
      </c>
      <c r="P563" s="431" t="s">
        <v>4496</v>
      </c>
      <c r="Q563" s="431" t="s">
        <v>4497</v>
      </c>
      <c r="R563" s="431" t="str">
        <f>_xlfn.XLOOKUP(PV_DATA[[#This Row],[New Ark SKU]],Table9[New Ark SKU],Table9[Connector],,0)</f>
        <v>EVO2A</v>
      </c>
      <c r="S563" s="442" t="str">
        <f>_xlfn.XLOOKUP(PV_DATA[[#This Row],[New Ark SKU]],Table9[New Ark SKU],Table9[Cable],,0)</f>
        <v>±1400mm</v>
      </c>
      <c r="T563" s="442">
        <v>640</v>
      </c>
      <c r="U563" s="1067">
        <f>720*2</f>
        <v>1440</v>
      </c>
      <c r="V563" s="448">
        <f>PV_DATA[[#This Row],[QUANTITY]]*PV_DATA[[#This Row],[WATT]]/1000000</f>
        <v>0.92159999999999997</v>
      </c>
      <c r="W563" s="466">
        <f>PV_DATA[[#This Row],[QUANTITY]]/PV_DATA[[#This Row],[Qty/Pallet]]</f>
        <v>40</v>
      </c>
      <c r="X563" s="1019">
        <f>PV_DATA[[#This Row],[QUANTITY]]/PV_DATA[[#This Row],[Qty/CT]]</f>
        <v>2</v>
      </c>
      <c r="Y563" s="431" t="s">
        <v>951</v>
      </c>
      <c r="Z563" s="430" t="str">
        <f t="shared" ref="Z563:Z626" si="6">IF(AN563&lt;&gt;"","COMPLETED",IF(AK563&lt;&gt;"","IN-TRANSIT",""))</f>
        <v>COMPLETED</v>
      </c>
      <c r="AA563" s="431" t="s">
        <v>4709</v>
      </c>
      <c r="AB563" s="441">
        <v>46172</v>
      </c>
      <c r="AC563" s="467">
        <f>IF(PV_DATA[[#This Row],[Pick-Up Date]]&lt;&gt;"",_xlfn.ISOWEEKNUM(PV_DATA[[#This Row],[Pick-Up Date]]),"")</f>
        <v>22</v>
      </c>
      <c r="AD563" s="431" t="s">
        <v>4710</v>
      </c>
      <c r="AF563" s="431" t="s">
        <v>4432</v>
      </c>
      <c r="AG563" s="431" t="s">
        <v>123</v>
      </c>
      <c r="AH563" s="431" t="s">
        <v>105</v>
      </c>
      <c r="AI563" s="441">
        <v>46179</v>
      </c>
      <c r="AJ563" s="441"/>
      <c r="AK563" s="441">
        <v>46179</v>
      </c>
      <c r="AL563" s="441">
        <v>46214</v>
      </c>
      <c r="AM563" s="441"/>
      <c r="AN563" s="441">
        <v>46218</v>
      </c>
      <c r="AO563" s="431" t="s">
        <v>402</v>
      </c>
      <c r="AP563" s="431" t="s">
        <v>4679</v>
      </c>
      <c r="AQ563" s="431" t="s">
        <v>80</v>
      </c>
      <c r="AR563" s="431" t="s">
        <v>4711</v>
      </c>
      <c r="AS563" s="431" t="s">
        <v>4712</v>
      </c>
      <c r="AT563" s="482" t="s">
        <v>4712</v>
      </c>
      <c r="AU56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39</v>
      </c>
      <c r="AW563" s="441" cm="1">
        <f t="array" ref="AW56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46218</v>
      </c>
      <c r="AX56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63" s="441">
        <f>IF(ISERROR(PV_DATA[[#This Row],[New Ark PO status]]),"",_xlfn.XLOOKUP(PV_DATA[[#This Row],[SPTN-PVHK New Ark PO'#]],New_Ark_Data[Purchase order Number],New_Ark_Data[Estimated time of arrival],"",0))</f>
        <v>46232</v>
      </c>
      <c r="AZ56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63" s="441">
        <f>IFERROR(PV_DATA[[#This Row],[ODP ETA Port]]+PV_DATA[[#This Row],[Customs/Leg3 Assumption]],"n/a")</f>
        <v>46225</v>
      </c>
      <c r="BB563" s="442">
        <f>YEAR(PV_DATA[[#This Row],[ETA for New Ark update]])</f>
        <v>2026</v>
      </c>
      <c r="BC563" s="431">
        <f>MONTH(PV_DATA[[#This Row],[ETA for New Ark update]])</f>
        <v>7</v>
      </c>
      <c r="BD563" s="431">
        <f>IFERROR(_xlfn.ISOWEEKNUM(PV_DATA[[#This Row],[ETA for New Ark update]]),0)</f>
        <v>30</v>
      </c>
      <c r="BE563" s="431">
        <f>_xlfn.XLOOKUP(PV_DATA[[#This Row],[New Ark SKU]],Table9[New Ark SKU],Table9[Total PCS per Pallet],,0)</f>
        <v>36</v>
      </c>
      <c r="BF563" s="431">
        <f>_xlfn.XLOOKUP(PV_DATA[[#This Row],[New Ark SKU]],Table9[New Ark SKU],Table9[Total PCS per 40HQ Container],,0)</f>
        <v>720</v>
      </c>
      <c r="BG563" s="431" t="str">
        <f>_xlfn.XLOOKUP(PV_DATA[[#This Row],[New Ark SKU]],Table9[New Ark SKU],Table9[Back Glass],,0)</f>
        <v>Transparent</v>
      </c>
      <c r="BH563" s="431" t="str">
        <f>_xlfn.XLOOKUP(PV_DATA[[#This Row],[PORT DESTINATION]],Table12[PORT DESTINATION],Table12[Cosco Line],,0)</f>
        <v>AEU</v>
      </c>
    </row>
    <row r="564" spans="1:60" s="431" customFormat="1" hidden="1">
      <c r="A564" s="439" t="s">
        <v>4713</v>
      </c>
      <c r="B564" s="439" t="s">
        <v>111</v>
      </c>
      <c r="C564" s="439" t="str">
        <f>IFERROR(LEFT(PV_DATA[[#This Row],[TCL REFERENCE]],FIND(".",PV_DATA[[#This Row],[TCL REFERENCE]],1)-1),"Main Line")</f>
        <v>26May016</v>
      </c>
      <c r="D564" s="439" t="s">
        <v>63</v>
      </c>
      <c r="E564" s="439" t="s">
        <v>64</v>
      </c>
      <c r="F564" s="439" t="str" cm="1">
        <f t="array" ref="F56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564" s="439" t="s">
        <v>402</v>
      </c>
      <c r="H564" s="439" t="s">
        <v>67</v>
      </c>
      <c r="I564" s="439" t="s">
        <v>2004</v>
      </c>
      <c r="J564" s="431" t="s">
        <v>96</v>
      </c>
      <c r="M564" s="431" t="s">
        <v>68</v>
      </c>
      <c r="N564" s="461" t="s">
        <v>68</v>
      </c>
      <c r="O564" s="431" t="s">
        <v>4495</v>
      </c>
      <c r="P564" s="431" t="s">
        <v>4529</v>
      </c>
      <c r="Q564" s="431" t="s">
        <v>4530</v>
      </c>
      <c r="R564" s="431" t="str">
        <f>_xlfn.XLOOKUP(PV_DATA[[#This Row],[New Ark SKU]],Table9[New Ark SKU],Table9[Connector],,0)</f>
        <v>EVO2A</v>
      </c>
      <c r="S564" s="442" t="str">
        <f>_xlfn.XLOOKUP(PV_DATA[[#This Row],[New Ark SKU]],Table9[New Ark SKU],Table9[Cable],,0)</f>
        <v>±1400mm</v>
      </c>
      <c r="T564" s="442">
        <v>645</v>
      </c>
      <c r="U564" s="1067">
        <f>720*6</f>
        <v>4320</v>
      </c>
      <c r="V564" s="448">
        <f>PV_DATA[[#This Row],[QUANTITY]]*PV_DATA[[#This Row],[WATT]]/1000000</f>
        <v>2.7864</v>
      </c>
      <c r="W564" s="466">
        <f>PV_DATA[[#This Row],[QUANTITY]]/PV_DATA[[#This Row],[Qty/Pallet]]</f>
        <v>120</v>
      </c>
      <c r="X564" s="1019">
        <f>PV_DATA[[#This Row],[QUANTITY]]/PV_DATA[[#This Row],[Qty/CT]]</f>
        <v>6</v>
      </c>
      <c r="Y564" s="431" t="s">
        <v>951</v>
      </c>
      <c r="Z564" s="430" t="str">
        <f t="shared" si="6"/>
        <v>COMPLETED</v>
      </c>
      <c r="AA564" s="431" t="s">
        <v>4709</v>
      </c>
      <c r="AB564" s="441">
        <v>46172</v>
      </c>
      <c r="AC564" s="467">
        <f>IF(PV_DATA[[#This Row],[Pick-Up Date]]&lt;&gt;"",_xlfn.ISOWEEKNUM(PV_DATA[[#This Row],[Pick-Up Date]]),"")</f>
        <v>22</v>
      </c>
      <c r="AD564" s="431" t="s">
        <v>4714</v>
      </c>
      <c r="AF564" s="431" t="s">
        <v>4432</v>
      </c>
      <c r="AG564" s="431" t="s">
        <v>123</v>
      </c>
      <c r="AH564" s="431" t="s">
        <v>105</v>
      </c>
      <c r="AI564" s="441">
        <v>46179</v>
      </c>
      <c r="AJ564" s="441"/>
      <c r="AK564" s="441">
        <v>46179</v>
      </c>
      <c r="AL564" s="441">
        <v>46214</v>
      </c>
      <c r="AM564" s="441"/>
      <c r="AN564" s="441">
        <v>46218</v>
      </c>
      <c r="AO564" s="431" t="s">
        <v>402</v>
      </c>
      <c r="AP564" s="431" t="s">
        <v>4679</v>
      </c>
      <c r="AQ564" s="431" t="s">
        <v>80</v>
      </c>
      <c r="AR564" s="431" t="s">
        <v>4711</v>
      </c>
      <c r="AS564" s="431" t="s">
        <v>4712</v>
      </c>
      <c r="AT564" s="482" t="s">
        <v>4712</v>
      </c>
      <c r="AU56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39</v>
      </c>
      <c r="AW564" s="441" cm="1">
        <f t="array" ref="AW56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46218</v>
      </c>
      <c r="AX56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64" s="441">
        <f>IF(ISERROR(PV_DATA[[#This Row],[New Ark PO status]]),"",_xlfn.XLOOKUP(PV_DATA[[#This Row],[SPTN-PVHK New Ark PO'#]],New_Ark_Data[Purchase order Number],New_Ark_Data[Estimated time of arrival],"",0))</f>
        <v>46232</v>
      </c>
      <c r="AZ56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64" s="441">
        <f>IFERROR(PV_DATA[[#This Row],[ODP ETA Port]]+PV_DATA[[#This Row],[Customs/Leg3 Assumption]],"n/a")</f>
        <v>46225</v>
      </c>
      <c r="BB564" s="442">
        <f>YEAR(PV_DATA[[#This Row],[ETA for New Ark update]])</f>
        <v>2026</v>
      </c>
      <c r="BC564" s="431">
        <f>MONTH(PV_DATA[[#This Row],[ETA for New Ark update]])</f>
        <v>7</v>
      </c>
      <c r="BD564" s="431">
        <f>IFERROR(_xlfn.ISOWEEKNUM(PV_DATA[[#This Row],[ETA for New Ark update]]),0)</f>
        <v>30</v>
      </c>
      <c r="BE564" s="431">
        <f>_xlfn.XLOOKUP(PV_DATA[[#This Row],[New Ark SKU]],Table9[New Ark SKU],Table9[Total PCS per Pallet],,0)</f>
        <v>36</v>
      </c>
      <c r="BF564" s="431">
        <f>_xlfn.XLOOKUP(PV_DATA[[#This Row],[New Ark SKU]],Table9[New Ark SKU],Table9[Total PCS per 40HQ Container],,0)</f>
        <v>720</v>
      </c>
      <c r="BG564" s="431" t="str">
        <f>_xlfn.XLOOKUP(PV_DATA[[#This Row],[New Ark SKU]],Table9[New Ark SKU],Table9[Back Glass],,0)</f>
        <v>Transparent</v>
      </c>
      <c r="BH564" s="431" t="str">
        <f>_xlfn.XLOOKUP(PV_DATA[[#This Row],[PORT DESTINATION]],Table12[PORT DESTINATION],Table12[Cosco Line],,0)</f>
        <v>AEU</v>
      </c>
    </row>
    <row r="565" spans="1:60" s="431" customFormat="1" ht="10.5" hidden="1">
      <c r="A565" s="439" t="s">
        <v>4715</v>
      </c>
      <c r="B565" s="439" t="s">
        <v>111</v>
      </c>
      <c r="C565" s="439" t="str">
        <f>IFERROR(LEFT(PV_DATA[[#This Row],[TCL REFERENCE]],FIND(".",PV_DATA[[#This Row],[TCL REFERENCE]],1)-1),"Main Line")</f>
        <v>26May006</v>
      </c>
      <c r="D565" s="439" t="s">
        <v>63</v>
      </c>
      <c r="E565" s="439" t="s">
        <v>144</v>
      </c>
      <c r="F565" s="439" t="str" cm="1">
        <f t="array" ref="F56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65" s="439" t="s">
        <v>402</v>
      </c>
      <c r="H565" s="719" t="s">
        <v>1449</v>
      </c>
      <c r="I565" s="439" t="s">
        <v>689</v>
      </c>
      <c r="J565" s="431" t="s">
        <v>4628</v>
      </c>
      <c r="K565" s="431" t="s">
        <v>4629</v>
      </c>
      <c r="L565" s="431">
        <v>3</v>
      </c>
      <c r="M565" s="431" t="s">
        <v>840</v>
      </c>
      <c r="N565" s="461">
        <v>46160</v>
      </c>
      <c r="O565" s="431" t="s">
        <v>132</v>
      </c>
      <c r="P565" s="431" t="s">
        <v>1062</v>
      </c>
      <c r="Q565" s="431" t="s">
        <v>1063</v>
      </c>
      <c r="R565" s="431" t="str">
        <f>_xlfn.XLOOKUP(PV_DATA[[#This Row],[New Ark SKU]],Table9[New Ark SKU],Table9[Connector],,0)</f>
        <v>EVO2A</v>
      </c>
      <c r="S565" s="442" t="str">
        <f>_xlfn.XLOOKUP(PV_DATA[[#This Row],[New Ark SKU]],Table9[New Ark SKU],Table9[Cable],,0)</f>
        <v>±1200mm</v>
      </c>
      <c r="T565" s="442">
        <v>470</v>
      </c>
      <c r="U565" s="1067">
        <f>864*3</f>
        <v>2592</v>
      </c>
      <c r="V565" s="444">
        <f>PV_DATA[[#This Row],[QUANTITY]]*PV_DATA[[#This Row],[WATT]]/1000000</f>
        <v>1.21824</v>
      </c>
      <c r="W565" s="466">
        <f>PV_DATA[[#This Row],[QUANTITY]]/PV_DATA[[#This Row],[Qty/Pallet]]</f>
        <v>72</v>
      </c>
      <c r="X565" s="1019">
        <f>PV_DATA[[#This Row],[QUANTITY]]/PV_DATA[[#This Row],[Qty/CT]]</f>
        <v>3</v>
      </c>
      <c r="Y565" s="431" t="s">
        <v>951</v>
      </c>
      <c r="Z565" s="430" t="str">
        <f t="shared" si="6"/>
        <v>COMPLETED</v>
      </c>
      <c r="AA565" s="478" t="s">
        <v>4709</v>
      </c>
      <c r="AB565" s="441">
        <v>46172</v>
      </c>
      <c r="AC565" s="467">
        <f>IF(PV_DATA[[#This Row],[Pick-Up Date]]&lt;&gt;"",_xlfn.ISOWEEKNUM(PV_DATA[[#This Row],[Pick-Up Date]]),"")</f>
        <v>22</v>
      </c>
      <c r="AD565" s="431" t="s">
        <v>4716</v>
      </c>
      <c r="AF565" s="431" t="s">
        <v>123</v>
      </c>
      <c r="AG565" s="431" t="s">
        <v>123</v>
      </c>
      <c r="AH565" s="431" t="s">
        <v>105</v>
      </c>
      <c r="AI565" s="441">
        <v>46179</v>
      </c>
      <c r="AJ565" s="441"/>
      <c r="AK565" s="441">
        <v>46179</v>
      </c>
      <c r="AL565" s="441">
        <v>46214</v>
      </c>
      <c r="AM565" s="441"/>
      <c r="AN565" s="441">
        <v>46218</v>
      </c>
      <c r="AO565" s="431" t="s">
        <v>402</v>
      </c>
      <c r="AP565" s="431" t="s">
        <v>4679</v>
      </c>
      <c r="AQ565" s="431" t="s">
        <v>80</v>
      </c>
      <c r="AR565" s="431" t="s">
        <v>4717</v>
      </c>
      <c r="AS565" s="431" t="s">
        <v>4718</v>
      </c>
      <c r="AT565" s="482" t="s">
        <v>4718</v>
      </c>
      <c r="AU56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39</v>
      </c>
      <c r="AV565" s="441"/>
      <c r="AW565" s="441" cm="1">
        <f t="array" ref="AW56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46218</v>
      </c>
      <c r="AX56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65" s="441">
        <f>IF(ISERROR(PV_DATA[[#This Row],[New Ark PO status]]),"",_xlfn.XLOOKUP(PV_DATA[[#This Row],[SPTN-PVHK New Ark PO'#]],New_Ark_Data[Purchase order Number],New_Ark_Data[Estimated time of arrival],"",0))</f>
        <v>46214</v>
      </c>
      <c r="AZ565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65" s="441">
        <f>IFERROR(PV_DATA[[#This Row],[ODP ETA Port]]+PV_DATA[[#This Row],[Customs/Leg3 Assumption]],"n/a")</f>
        <v>46218</v>
      </c>
      <c r="BB565" s="442">
        <f>YEAR(PV_DATA[[#This Row],[ETA for New Ark update]])</f>
        <v>2026</v>
      </c>
      <c r="BC565" s="431">
        <f>MONTH(PV_DATA[[#This Row],[ETA for New Ark update]])</f>
        <v>7</v>
      </c>
      <c r="BD565" s="431">
        <f>IFERROR(_xlfn.ISOWEEKNUM(PV_DATA[[#This Row],[ETA for New Ark update]]),0)</f>
        <v>29</v>
      </c>
      <c r="BE565" s="431">
        <f>_xlfn.XLOOKUP(PV_DATA[[#This Row],[New Ark SKU]],Table9[New Ark SKU],Table9[Total PCS per Pallet],,0)</f>
        <v>36</v>
      </c>
      <c r="BF565" s="431">
        <f>_xlfn.XLOOKUP(PV_DATA[[#This Row],[New Ark SKU]],Table9[New Ark SKU],Table9[Total PCS per 40HQ Container],,0)</f>
        <v>864</v>
      </c>
      <c r="BG565" s="431" t="str">
        <f>_xlfn.XLOOKUP(PV_DATA[[#This Row],[New Ark SKU]],Table9[New Ark SKU],Table9[Back Glass],,0)</f>
        <v>White glazing</v>
      </c>
      <c r="BH565" s="431" t="str">
        <f>_xlfn.XLOOKUP(PV_DATA[[#This Row],[PORT DESTINATION]],Table12[PORT DESTINATION],Table12[Cosco Line],,0)</f>
        <v>AEU</v>
      </c>
    </row>
    <row r="566" spans="1:60" s="431" customFormat="1" ht="10.5" hidden="1">
      <c r="A566" s="439" t="s">
        <v>4719</v>
      </c>
      <c r="B566" s="439" t="s">
        <v>2132</v>
      </c>
      <c r="C566" s="439" t="str">
        <f>IFERROR(LEFT(PV_DATA[[#This Row],[TCL REFERENCE]],FIND(".",PV_DATA[[#This Row],[TCL REFERENCE]],1)-1),"Main Line")</f>
        <v>26Apr008</v>
      </c>
      <c r="D566" s="439" t="s">
        <v>63</v>
      </c>
      <c r="E566" s="439" t="s">
        <v>64</v>
      </c>
      <c r="F566" s="439" t="str" cm="1">
        <f t="array" ref="F56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566" s="439" t="s">
        <v>402</v>
      </c>
      <c r="H566" s="439" t="s">
        <v>67</v>
      </c>
      <c r="I566" s="439" t="s">
        <v>689</v>
      </c>
      <c r="J566" s="431" t="s">
        <v>96</v>
      </c>
      <c r="M566" s="431" t="s">
        <v>68</v>
      </c>
      <c r="N566" s="461">
        <v>46146</v>
      </c>
      <c r="O566" s="431" t="s">
        <v>170</v>
      </c>
      <c r="P566" s="431" t="s">
        <v>1977</v>
      </c>
      <c r="Q566" s="431" t="s">
        <v>1978</v>
      </c>
      <c r="R566" s="431" t="str">
        <f>_xlfn.XLOOKUP(PV_DATA[[#This Row],[New Ark SKU]],Table9[New Ark SKU],Table9[Connector],,0)</f>
        <v>EVO2A</v>
      </c>
      <c r="S566" s="442" t="str">
        <f>_xlfn.XLOOKUP(PV_DATA[[#This Row],[New Ark SKU]],Table9[New Ark SKU],Table9[Cable],,0)</f>
        <v>±1400mm</v>
      </c>
      <c r="T566" s="442">
        <v>560</v>
      </c>
      <c r="U566" s="1067">
        <f>660*5</f>
        <v>3300</v>
      </c>
      <c r="V566" s="448">
        <f>PV_DATA[[#This Row],[QUANTITY]]*PV_DATA[[#This Row],[WATT]]/1000000</f>
        <v>1.8480000000000001</v>
      </c>
      <c r="W566" s="466">
        <f>PV_DATA[[#This Row],[QUANTITY]]/PV_DATA[[#This Row],[Qty/Pallet]]</f>
        <v>100</v>
      </c>
      <c r="X566" s="1019">
        <f>PV_DATA[[#This Row],[QUANTITY]]/PV_DATA[[#This Row],[Qty/CT]]</f>
        <v>5</v>
      </c>
      <c r="Y566" s="431" t="s">
        <v>951</v>
      </c>
      <c r="Z566" s="430" t="str">
        <f t="shared" si="6"/>
        <v>COMPLETED</v>
      </c>
      <c r="AA566" s="474" t="s">
        <v>4720</v>
      </c>
      <c r="AB566" s="441">
        <v>46169</v>
      </c>
      <c r="AC566" s="467">
        <f>IF(PV_DATA[[#This Row],[Pick-Up Date]]&lt;&gt;"",_xlfn.ISOWEEKNUM(PV_DATA[[#This Row],[Pick-Up Date]]),"")</f>
        <v>22</v>
      </c>
      <c r="AD566" s="431" t="s">
        <v>4721</v>
      </c>
      <c r="AF566" s="431" t="s">
        <v>123</v>
      </c>
      <c r="AG566" s="431" t="s">
        <v>123</v>
      </c>
      <c r="AH566" s="431" t="s">
        <v>105</v>
      </c>
      <c r="AI566" s="441">
        <v>46174</v>
      </c>
      <c r="AJ566" s="441">
        <v>46175</v>
      </c>
      <c r="AK566" s="441">
        <v>46175</v>
      </c>
      <c r="AL566" s="441">
        <v>46211</v>
      </c>
      <c r="AM566" s="441">
        <v>46221</v>
      </c>
      <c r="AN566" s="441">
        <v>46222</v>
      </c>
      <c r="AO566" s="431" t="s">
        <v>402</v>
      </c>
      <c r="AP566" s="431" t="s">
        <v>4722</v>
      </c>
      <c r="AQ566" s="431" t="s">
        <v>80</v>
      </c>
      <c r="AR566" s="431" t="s">
        <v>4723</v>
      </c>
      <c r="AS566" s="431" t="s">
        <v>4724</v>
      </c>
      <c r="AT566" s="482" t="s">
        <v>4724</v>
      </c>
      <c r="AU56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V566" s="441"/>
      <c r="AW566" s="441" cm="1">
        <f t="array" ref="AW56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46222</v>
      </c>
      <c r="AX56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66" s="441">
        <f>IF(ISERROR(PV_DATA[[#This Row],[New Ark PO status]]),"",_xlfn.XLOOKUP(PV_DATA[[#This Row],[SPTN-PVHK New Ark PO'#]],New_Ark_Data[Purchase order Number],New_Ark_Data[Estimated time of arrival],"",0))</f>
        <v>46237</v>
      </c>
      <c r="AZ56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66" s="441">
        <f>IFERROR(PV_DATA[[#This Row],[ODP ETA Port]]+PV_DATA[[#This Row],[Customs/Leg3 Assumption]],"n/a")</f>
        <v>46229</v>
      </c>
      <c r="BB566" s="442">
        <f>YEAR(PV_DATA[[#This Row],[ETA for New Ark update]])</f>
        <v>2026</v>
      </c>
      <c r="BC566" s="431">
        <f>MONTH(PV_DATA[[#This Row],[ETA for New Ark update]])</f>
        <v>7</v>
      </c>
      <c r="BD566" s="431">
        <f>IFERROR(_xlfn.ISOWEEKNUM(PV_DATA[[#This Row],[ETA for New Ark update]]),0)</f>
        <v>30</v>
      </c>
      <c r="BE566" s="431">
        <f>_xlfn.XLOOKUP(PV_DATA[[#This Row],[New Ark SKU]],Table9[New Ark SKU],Table9[Total PCS per Pallet],,0)</f>
        <v>33</v>
      </c>
      <c r="BF566" s="431">
        <f>_xlfn.XLOOKUP(PV_DATA[[#This Row],[New Ark SKU]],Table9[New Ark SKU],Table9[Total PCS per 40HQ Container],,0)</f>
        <v>660</v>
      </c>
      <c r="BG566" s="431" t="str">
        <f>_xlfn.XLOOKUP(PV_DATA[[#This Row],[New Ark SKU]],Table9[New Ark SKU],Table9[Back Glass],,0)</f>
        <v>White glazing</v>
      </c>
      <c r="BH566" s="431" t="str">
        <f>_xlfn.XLOOKUP(PV_DATA[[#This Row],[PORT DESTINATION]],Table12[PORT DESTINATION],Table12[Cosco Line],,0)</f>
        <v>AEU</v>
      </c>
    </row>
    <row r="567" spans="1:60" s="431" customFormat="1" ht="10.5" hidden="1">
      <c r="A567" s="439" t="s">
        <v>4725</v>
      </c>
      <c r="B567" s="439" t="s">
        <v>111</v>
      </c>
      <c r="C567" s="439" t="str">
        <f>IFERROR(LEFT(PV_DATA[[#This Row],[TCL REFERENCE]],FIND(".",PV_DATA[[#This Row],[TCL REFERENCE]],1)-1),"Main Line")</f>
        <v>26May006</v>
      </c>
      <c r="D567" s="439" t="s">
        <v>63</v>
      </c>
      <c r="E567" s="722" t="s">
        <v>64</v>
      </c>
      <c r="F567" s="439" t="str" cm="1">
        <f t="array" ref="F56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567" s="439" t="s">
        <v>402</v>
      </c>
      <c r="H567" s="439" t="s">
        <v>67</v>
      </c>
      <c r="I567" s="439" t="s">
        <v>689</v>
      </c>
      <c r="J567" s="431" t="s">
        <v>96</v>
      </c>
      <c r="M567" s="431" t="s">
        <v>68</v>
      </c>
      <c r="N567" s="461">
        <v>46160</v>
      </c>
      <c r="O567" s="431" t="s">
        <v>132</v>
      </c>
      <c r="P567" s="431" t="s">
        <v>1062</v>
      </c>
      <c r="Q567" s="431" t="s">
        <v>1063</v>
      </c>
      <c r="R567" s="431" t="str">
        <f>_xlfn.XLOOKUP(PV_DATA[[#This Row],[New Ark SKU]],Table9[New Ark SKU],Table9[Connector],,0)</f>
        <v>EVO2A</v>
      </c>
      <c r="S567" s="442" t="str">
        <f>_xlfn.XLOOKUP(PV_DATA[[#This Row],[New Ark SKU]],Table9[New Ark SKU],Table9[Cable],,0)</f>
        <v>±1200mm</v>
      </c>
      <c r="T567" s="442">
        <v>470</v>
      </c>
      <c r="U567" s="1067">
        <f>864*2</f>
        <v>1728</v>
      </c>
      <c r="V567" s="448">
        <f>PV_DATA[[#This Row],[QUANTITY]]*PV_DATA[[#This Row],[WATT]]/1000000</f>
        <v>0.81215999999999999</v>
      </c>
      <c r="W567" s="466">
        <f>PV_DATA[[#This Row],[QUANTITY]]/PV_DATA[[#This Row],[Qty/Pallet]]</f>
        <v>48</v>
      </c>
      <c r="X567" s="1019">
        <f>PV_DATA[[#This Row],[QUANTITY]]/PV_DATA[[#This Row],[Qty/CT]]</f>
        <v>2</v>
      </c>
      <c r="Y567" s="431" t="s">
        <v>951</v>
      </c>
      <c r="Z567" s="430" t="str">
        <f t="shared" si="6"/>
        <v>COMPLETED</v>
      </c>
      <c r="AA567" s="478" t="s">
        <v>4709</v>
      </c>
      <c r="AB567" s="441">
        <v>46174</v>
      </c>
      <c r="AC567" s="467">
        <f>IF(PV_DATA[[#This Row],[Pick-Up Date]]&lt;&gt;"",_xlfn.ISOWEEKNUM(PV_DATA[[#This Row],[Pick-Up Date]]),"")</f>
        <v>23</v>
      </c>
      <c r="AD567" s="431" t="s">
        <v>4726</v>
      </c>
      <c r="AF567" s="431" t="s">
        <v>123</v>
      </c>
      <c r="AG567" s="431" t="s">
        <v>123</v>
      </c>
      <c r="AH567" s="431" t="s">
        <v>105</v>
      </c>
      <c r="AI567" s="441">
        <v>46180</v>
      </c>
      <c r="AJ567" s="441">
        <v>46182</v>
      </c>
      <c r="AK567" s="441">
        <v>46182</v>
      </c>
      <c r="AL567" s="441">
        <v>46221</v>
      </c>
      <c r="AM567" s="441">
        <v>46229</v>
      </c>
      <c r="AN567" s="441">
        <v>46228</v>
      </c>
      <c r="AO567" s="431" t="s">
        <v>402</v>
      </c>
      <c r="AP567" s="431" t="s">
        <v>4727</v>
      </c>
      <c r="AQ567" s="431" t="s">
        <v>80</v>
      </c>
      <c r="AR567" s="431" t="s">
        <v>4728</v>
      </c>
      <c r="AS567" s="431" t="s">
        <v>4729</v>
      </c>
      <c r="AT567" s="482" t="s">
        <v>4729</v>
      </c>
      <c r="AU56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V567" s="441"/>
      <c r="AW567" s="441" cm="1">
        <f t="array" ref="AW56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46228</v>
      </c>
      <c r="AX56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67" s="441">
        <f>IF(ISERROR(PV_DATA[[#This Row],[New Ark PO status]]),"",_xlfn.XLOOKUP(PV_DATA[[#This Row],[SPTN-PVHK New Ark PO'#]],New_Ark_Data[Purchase order Number],New_Ark_Data[Estimated time of arrival],"",0))</f>
        <v>46241</v>
      </c>
      <c r="AZ567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67" s="441">
        <f>IFERROR(PV_DATA[[#This Row],[ODP ETA Port]]+PV_DATA[[#This Row],[Customs/Leg3 Assumption]],"n/a")</f>
        <v>46235</v>
      </c>
      <c r="BB567" s="442">
        <f>YEAR(PV_DATA[[#This Row],[ETA for New Ark update]])</f>
        <v>2026</v>
      </c>
      <c r="BC567" s="431">
        <f>MONTH(PV_DATA[[#This Row],[ETA for New Ark update]])</f>
        <v>8</v>
      </c>
      <c r="BD567" s="431">
        <f>IFERROR(_xlfn.ISOWEEKNUM(PV_DATA[[#This Row],[ETA for New Ark update]]),0)</f>
        <v>31</v>
      </c>
      <c r="BE567" s="431">
        <f>_xlfn.XLOOKUP(PV_DATA[[#This Row],[New Ark SKU]],Table9[New Ark SKU],Table9[Total PCS per Pallet],,0)</f>
        <v>36</v>
      </c>
      <c r="BF567" s="431">
        <f>_xlfn.XLOOKUP(PV_DATA[[#This Row],[New Ark SKU]],Table9[New Ark SKU],Table9[Total PCS per 40HQ Container],,0)</f>
        <v>864</v>
      </c>
      <c r="BG567" s="431" t="str">
        <f>_xlfn.XLOOKUP(PV_DATA[[#This Row],[New Ark SKU]],Table9[New Ark SKU],Table9[Back Glass],,0)</f>
        <v>White glazing</v>
      </c>
      <c r="BH567" s="431" t="str">
        <f>_xlfn.XLOOKUP(PV_DATA[[#This Row],[PORT DESTINATION]],Table12[PORT DESTINATION],Table12[Cosco Line],,0)</f>
        <v>AEU</v>
      </c>
    </row>
    <row r="568" spans="1:60" s="431" customFormat="1" ht="10.5" hidden="1">
      <c r="A568" s="439" t="s">
        <v>4730</v>
      </c>
      <c r="B568" s="439" t="s">
        <v>2132</v>
      </c>
      <c r="C568" s="439" t="str">
        <f>IFERROR(LEFT(PV_DATA[[#This Row],[TCL REFERENCE]],FIND(".",PV_DATA[[#This Row],[TCL REFERENCE]],1)-1),"Main Line")</f>
        <v>26May003</v>
      </c>
      <c r="D568" s="439" t="s">
        <v>63</v>
      </c>
      <c r="E568" s="439" t="s">
        <v>64</v>
      </c>
      <c r="F568" s="439" t="str" cm="1">
        <f t="array" ref="F56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568" s="439" t="s">
        <v>402</v>
      </c>
      <c r="H568" s="439" t="s">
        <v>67</v>
      </c>
      <c r="I568" s="439" t="s">
        <v>689</v>
      </c>
      <c r="J568" s="431" t="s">
        <v>96</v>
      </c>
      <c r="M568" s="431" t="s">
        <v>68</v>
      </c>
      <c r="N568" s="461">
        <v>46160</v>
      </c>
      <c r="O568" s="431" t="s">
        <v>170</v>
      </c>
      <c r="P568" s="431" t="s">
        <v>171</v>
      </c>
      <c r="Q568" s="431" t="s">
        <v>1731</v>
      </c>
      <c r="R568" s="431" t="str">
        <f>_xlfn.XLOOKUP(PV_DATA[[#This Row],[New Ark SKU]],Table9[New Ark SKU],Table9[Connector],,0)</f>
        <v>EVO2A</v>
      </c>
      <c r="S568" s="442" t="str">
        <f>_xlfn.XLOOKUP(PV_DATA[[#This Row],[New Ark SKU]],Table9[New Ark SKU],Table9[Cable],,0)</f>
        <v>±1400mm</v>
      </c>
      <c r="T568" s="442">
        <v>555</v>
      </c>
      <c r="U568" s="1067">
        <f>660*6</f>
        <v>3960</v>
      </c>
      <c r="V568" s="448">
        <f>PV_DATA[[#This Row],[QUANTITY]]*PV_DATA[[#This Row],[WATT]]/1000000</f>
        <v>2.1978</v>
      </c>
      <c r="W568" s="466">
        <f>PV_DATA[[#This Row],[QUANTITY]]/PV_DATA[[#This Row],[Qty/Pallet]]</f>
        <v>120</v>
      </c>
      <c r="X568" s="1019">
        <f>PV_DATA[[#This Row],[QUANTITY]]/PV_DATA[[#This Row],[Qty/CT]]</f>
        <v>6</v>
      </c>
      <c r="Y568" s="431" t="s">
        <v>951</v>
      </c>
      <c r="Z568" s="430" t="str">
        <f t="shared" si="6"/>
        <v>COMPLETED</v>
      </c>
      <c r="AA568" s="431" t="s">
        <v>4720</v>
      </c>
      <c r="AB568" s="441">
        <v>46174</v>
      </c>
      <c r="AC568" s="467">
        <f>IF(PV_DATA[[#This Row],[Pick-Up Date]]&lt;&gt;"",_xlfn.ISOWEEKNUM(PV_DATA[[#This Row],[Pick-Up Date]]),"")</f>
        <v>23</v>
      </c>
      <c r="AD568" s="431" t="s">
        <v>4731</v>
      </c>
      <c r="AF568" s="431" t="s">
        <v>123</v>
      </c>
      <c r="AG568" s="431" t="s">
        <v>123</v>
      </c>
      <c r="AH568" s="431" t="s">
        <v>105</v>
      </c>
      <c r="AI568" s="441">
        <v>46180</v>
      </c>
      <c r="AJ568" s="441">
        <v>46182</v>
      </c>
      <c r="AK568" s="441">
        <v>46182</v>
      </c>
      <c r="AL568" s="441">
        <v>46221</v>
      </c>
      <c r="AM568" s="441">
        <v>46229</v>
      </c>
      <c r="AN568" s="441">
        <v>46228</v>
      </c>
      <c r="AO568" s="431" t="s">
        <v>402</v>
      </c>
      <c r="AP568" s="431" t="s">
        <v>4727</v>
      </c>
      <c r="AQ568" s="431" t="s">
        <v>80</v>
      </c>
      <c r="AR568" s="431" t="s">
        <v>4728</v>
      </c>
      <c r="AS568" s="431" t="s">
        <v>4729</v>
      </c>
      <c r="AT568" s="482" t="s">
        <v>4729</v>
      </c>
      <c r="AU56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V568" s="441"/>
      <c r="AW568" s="441" cm="1">
        <f t="array" ref="AW56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46228</v>
      </c>
      <c r="AX56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68" s="441">
        <f>IF(ISERROR(PV_DATA[[#This Row],[New Ark PO status]]),"",_xlfn.XLOOKUP(PV_DATA[[#This Row],[SPTN-PVHK New Ark PO'#]],New_Ark_Data[Purchase order Number],New_Ark_Data[Estimated time of arrival],"",0))</f>
        <v>46241</v>
      </c>
      <c r="AZ568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68" s="441">
        <f>IFERROR(PV_DATA[[#This Row],[ODP ETA Port]]+PV_DATA[[#This Row],[Customs/Leg3 Assumption]],"n/a")</f>
        <v>46235</v>
      </c>
      <c r="BB568" s="442">
        <f>YEAR(PV_DATA[[#This Row],[ETA for New Ark update]])</f>
        <v>2026</v>
      </c>
      <c r="BC568" s="431">
        <f>MONTH(PV_DATA[[#This Row],[ETA for New Ark update]])</f>
        <v>8</v>
      </c>
      <c r="BD568" s="431">
        <f>IFERROR(_xlfn.ISOWEEKNUM(PV_DATA[[#This Row],[ETA for New Ark update]]),0)</f>
        <v>31</v>
      </c>
      <c r="BE568" s="431">
        <f>_xlfn.XLOOKUP(PV_DATA[[#This Row],[New Ark SKU]],Table9[New Ark SKU],Table9[Total PCS per Pallet],,0)</f>
        <v>33</v>
      </c>
      <c r="BF568" s="431">
        <f>_xlfn.XLOOKUP(PV_DATA[[#This Row],[New Ark SKU]],Table9[New Ark SKU],Table9[Total PCS per 40HQ Container],,0)</f>
        <v>660</v>
      </c>
      <c r="BG568" s="431" t="str">
        <f>_xlfn.XLOOKUP(PV_DATA[[#This Row],[New Ark SKU]],Table9[New Ark SKU],Table9[Back Glass],,0)</f>
        <v>White glazing</v>
      </c>
      <c r="BH568" s="431" t="str">
        <f>_xlfn.XLOOKUP(PV_DATA[[#This Row],[PORT DESTINATION]],Table12[PORT DESTINATION],Table12[Cosco Line],,0)</f>
        <v>AEU</v>
      </c>
    </row>
    <row r="569" spans="1:60" s="431" customFormat="1" ht="10.5" hidden="1">
      <c r="A569" s="439" t="s">
        <v>4732</v>
      </c>
      <c r="B569" s="439" t="s">
        <v>111</v>
      </c>
      <c r="C569" s="439" t="str">
        <f>IFERROR(LEFT(PV_DATA[[#This Row],[TCL REFERENCE]],FIND(".",PV_DATA[[#This Row],[TCL REFERENCE]],1)-1),"Main Line")</f>
        <v>26May006</v>
      </c>
      <c r="D569" s="439" t="s">
        <v>63</v>
      </c>
      <c r="E569" s="722" t="s">
        <v>64</v>
      </c>
      <c r="F569" s="439" t="str" cm="1">
        <f t="array" ref="F56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569" s="439" t="s">
        <v>402</v>
      </c>
      <c r="H569" s="439" t="s">
        <v>67</v>
      </c>
      <c r="I569" s="439" t="s">
        <v>689</v>
      </c>
      <c r="J569" s="431" t="s">
        <v>96</v>
      </c>
      <c r="M569" s="431" t="s">
        <v>68</v>
      </c>
      <c r="N569" s="461">
        <v>46160</v>
      </c>
      <c r="O569" s="431" t="s">
        <v>132</v>
      </c>
      <c r="P569" s="431" t="s">
        <v>1062</v>
      </c>
      <c r="Q569" s="431" t="s">
        <v>1063</v>
      </c>
      <c r="R569" s="431" t="str">
        <f>_xlfn.XLOOKUP(PV_DATA[[#This Row],[New Ark SKU]],Table9[New Ark SKU],Table9[Connector],,0)</f>
        <v>EVO2A</v>
      </c>
      <c r="S569" s="442" t="str">
        <f>_xlfn.XLOOKUP(PV_DATA[[#This Row],[New Ark SKU]],Table9[New Ark SKU],Table9[Cable],,0)</f>
        <v>±1200mm</v>
      </c>
      <c r="T569" s="442">
        <v>470</v>
      </c>
      <c r="U569" s="1067">
        <f>864*9</f>
        <v>7776</v>
      </c>
      <c r="V569" s="448">
        <f>PV_DATA[[#This Row],[QUANTITY]]*PV_DATA[[#This Row],[WATT]]/1000000</f>
        <v>3.6547200000000002</v>
      </c>
      <c r="W569" s="466">
        <f>PV_DATA[[#This Row],[QUANTITY]]/PV_DATA[[#This Row],[Qty/Pallet]]</f>
        <v>216</v>
      </c>
      <c r="X569" s="1019">
        <f>PV_DATA[[#This Row],[QUANTITY]]/PV_DATA[[#This Row],[Qty/CT]]</f>
        <v>9</v>
      </c>
      <c r="Y569" s="431" t="s">
        <v>951</v>
      </c>
      <c r="Z569" s="430" t="str">
        <f t="shared" si="6"/>
        <v>COMPLETED</v>
      </c>
      <c r="AA569" s="478" t="s">
        <v>4709</v>
      </c>
      <c r="AB569" s="441">
        <v>46171</v>
      </c>
      <c r="AC569" s="467">
        <f>IF(PV_DATA[[#This Row],[Pick-Up Date]]&lt;&gt;"",_xlfn.ISOWEEKNUM(PV_DATA[[#This Row],[Pick-Up Date]]),"")</f>
        <v>22</v>
      </c>
      <c r="AD569" s="431" t="s">
        <v>4733</v>
      </c>
      <c r="AF569" s="431" t="s">
        <v>123</v>
      </c>
      <c r="AG569" s="431" t="s">
        <v>123</v>
      </c>
      <c r="AH569" s="431" t="s">
        <v>78</v>
      </c>
      <c r="AI569" s="441">
        <v>46178</v>
      </c>
      <c r="AJ569" s="441">
        <v>46183</v>
      </c>
      <c r="AK569" s="441">
        <v>46183</v>
      </c>
      <c r="AL569" s="441">
        <v>46230</v>
      </c>
      <c r="AM569" s="441">
        <v>46235</v>
      </c>
      <c r="AN569" s="586">
        <f>IFERROR(IF(VLOOKUP(AT569,Vessel!A:I,9,FALSE)=0,"",VLOOKUP(AT569,Vessel!A:I,9,FALSE)),"")</f>
        <v>46236.239571759259</v>
      </c>
      <c r="AO569" s="431" t="s">
        <v>402</v>
      </c>
      <c r="AP569" s="431" t="s">
        <v>4734</v>
      </c>
      <c r="AQ569" s="431" t="s">
        <v>80</v>
      </c>
      <c r="AR569" s="431" t="s">
        <v>4735</v>
      </c>
      <c r="AS569" s="431" t="s">
        <v>4736</v>
      </c>
      <c r="AT569" s="482" t="s">
        <v>4736</v>
      </c>
      <c r="AU56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53.239571759258979</v>
      </c>
      <c r="AV569" s="441"/>
      <c r="AW569" s="441" cm="1">
        <f t="array" ref="AW56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46236.239571759259</v>
      </c>
      <c r="AX56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69" s="441">
        <f>IF(ISERROR(PV_DATA[[#This Row],[New Ark PO status]]),"",_xlfn.XLOOKUP(PV_DATA[[#This Row],[SPTN-PVHK New Ark PO'#]],New_Ark_Data[Purchase order Number],New_Ark_Data[Estimated time of arrival],"",0))</f>
        <v>46248</v>
      </c>
      <c r="AZ569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569" s="441">
        <f>IFERROR(PV_DATA[[#This Row],[ODP ETA Port]]+PV_DATA[[#This Row],[Customs/Leg3 Assumption]],"n/a")</f>
        <v>46244.239571759259</v>
      </c>
      <c r="BB569" s="442">
        <f>YEAR(PV_DATA[[#This Row],[ETA for New Ark update]])</f>
        <v>2026</v>
      </c>
      <c r="BC569" s="431">
        <f>MONTH(PV_DATA[[#This Row],[ETA for New Ark update]])</f>
        <v>8</v>
      </c>
      <c r="BD569" s="431">
        <f>IFERROR(_xlfn.ISOWEEKNUM(PV_DATA[[#This Row],[ETA for New Ark update]]),0)</f>
        <v>33</v>
      </c>
      <c r="BE569" s="431">
        <f>_xlfn.XLOOKUP(PV_DATA[[#This Row],[New Ark SKU]],Table9[New Ark SKU],Table9[Total PCS per Pallet],,0)</f>
        <v>36</v>
      </c>
      <c r="BF569" s="431">
        <f>_xlfn.XLOOKUP(PV_DATA[[#This Row],[New Ark SKU]],Table9[New Ark SKU],Table9[Total PCS per 40HQ Container],,0)</f>
        <v>864</v>
      </c>
      <c r="BG569" s="431" t="str">
        <f>_xlfn.XLOOKUP(PV_DATA[[#This Row],[New Ark SKU]],Table9[New Ark SKU],Table9[Back Glass],,0)</f>
        <v>White glazing</v>
      </c>
      <c r="BH569" s="431" t="str">
        <f>_xlfn.XLOOKUP(PV_DATA[[#This Row],[PORT DESTINATION]],Table12[PORT DESTINATION],Table12[Cosco Line],,0)</f>
        <v>AEM</v>
      </c>
    </row>
    <row r="570" spans="1:60" s="431" customFormat="1" ht="10.5" hidden="1">
      <c r="A570" s="439" t="s">
        <v>4737</v>
      </c>
      <c r="B570" s="439" t="s">
        <v>2132</v>
      </c>
      <c r="C570" s="439" t="str">
        <f>IFERROR(LEFT(PV_DATA[[#This Row],[TCL REFERENCE]],FIND(".",PV_DATA[[#This Row],[TCL REFERENCE]],1)-1),"Main Line")</f>
        <v>26Apr007</v>
      </c>
      <c r="D570" s="439" t="s">
        <v>63</v>
      </c>
      <c r="E570" s="439" t="s">
        <v>64</v>
      </c>
      <c r="F570" s="439" t="str" cm="1">
        <f t="array" ref="F57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570" s="439" t="s">
        <v>402</v>
      </c>
      <c r="H570" s="439" t="s">
        <v>311</v>
      </c>
      <c r="I570" s="439" t="s">
        <v>689</v>
      </c>
      <c r="J570" s="431" t="s">
        <v>96</v>
      </c>
      <c r="M570" s="431" t="s">
        <v>68</v>
      </c>
      <c r="N570" s="461">
        <v>46146</v>
      </c>
      <c r="O570" s="431" t="s">
        <v>170</v>
      </c>
      <c r="P570" s="431" t="s">
        <v>171</v>
      </c>
      <c r="Q570" s="431" t="s">
        <v>1731</v>
      </c>
      <c r="R570" s="431" t="str">
        <f>_xlfn.XLOOKUP(PV_DATA[[#This Row],[New Ark SKU]],Table9[New Ark SKU],Table9[Connector],,0)</f>
        <v>EVO2A</v>
      </c>
      <c r="S570" s="442" t="str">
        <f>_xlfn.XLOOKUP(PV_DATA[[#This Row],[New Ark SKU]],Table9[New Ark SKU],Table9[Cable],,0)</f>
        <v>±1400mm</v>
      </c>
      <c r="T570" s="442">
        <v>555</v>
      </c>
      <c r="U570" s="1067">
        <f>660*6</f>
        <v>3960</v>
      </c>
      <c r="V570" s="448">
        <f>PV_DATA[[#This Row],[QUANTITY]]*PV_DATA[[#This Row],[WATT]]/1000000</f>
        <v>2.1978</v>
      </c>
      <c r="W570" s="466">
        <f>PV_DATA[[#This Row],[QUANTITY]]/PV_DATA[[#This Row],[Qty/Pallet]]</f>
        <v>120</v>
      </c>
      <c r="X570" s="1019">
        <f>PV_DATA[[#This Row],[QUANTITY]]/PV_DATA[[#This Row],[Qty/CT]]</f>
        <v>6</v>
      </c>
      <c r="Y570" s="431" t="s">
        <v>951</v>
      </c>
      <c r="Z570" s="430" t="str">
        <f t="shared" si="6"/>
        <v>COMPLETED</v>
      </c>
      <c r="AA570" s="431" t="s">
        <v>4738</v>
      </c>
      <c r="AB570" s="441">
        <v>46171</v>
      </c>
      <c r="AC570" s="467">
        <f>IF(PV_DATA[[#This Row],[Pick-Up Date]]&lt;&gt;"",_xlfn.ISOWEEKNUM(PV_DATA[[#This Row],[Pick-Up Date]]),"")</f>
        <v>22</v>
      </c>
      <c r="AD570" s="431" t="s">
        <v>4739</v>
      </c>
      <c r="AF570" s="431" t="s">
        <v>123</v>
      </c>
      <c r="AG570" s="431" t="s">
        <v>123</v>
      </c>
      <c r="AH570" s="431" t="s">
        <v>314</v>
      </c>
      <c r="AI570" s="441">
        <v>46178</v>
      </c>
      <c r="AJ570" s="441">
        <v>46183</v>
      </c>
      <c r="AK570" s="441">
        <v>46183</v>
      </c>
      <c r="AL570" s="732">
        <v>46225</v>
      </c>
      <c r="AM570" s="441">
        <v>46236</v>
      </c>
      <c r="AN570" s="441">
        <v>46232</v>
      </c>
      <c r="AO570" s="431" t="s">
        <v>402</v>
      </c>
      <c r="AP570" s="431" t="s">
        <v>4734</v>
      </c>
      <c r="AQ570" s="431" t="s">
        <v>80</v>
      </c>
      <c r="AR570" s="431" t="s">
        <v>4740</v>
      </c>
      <c r="AS570" s="431" t="s">
        <v>4741</v>
      </c>
      <c r="AT570" s="482" t="s">
        <v>4741</v>
      </c>
      <c r="AU57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V570" s="441"/>
      <c r="AW570" s="441" cm="1">
        <f t="array" ref="AW57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46232</v>
      </c>
      <c r="AX57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70" s="441">
        <f>IF(ISERROR(PV_DATA[[#This Row],[New Ark PO status]]),"",_xlfn.XLOOKUP(PV_DATA[[#This Row],[SPTN-PVHK New Ark PO'#]],New_Ark_Data[Purchase order Number],New_Ark_Data[Estimated time of arrival],"",0))</f>
        <v>46246</v>
      </c>
      <c r="AZ570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570" s="441">
        <f>IFERROR(PV_DATA[[#This Row],[ODP ETA Port]]+PV_DATA[[#This Row],[Customs/Leg3 Assumption]],"n/a")</f>
        <v>46242</v>
      </c>
      <c r="BB570" s="442">
        <f>YEAR(PV_DATA[[#This Row],[ETA for New Ark update]])</f>
        <v>2026</v>
      </c>
      <c r="BC570" s="431">
        <f>MONTH(PV_DATA[[#This Row],[ETA for New Ark update]])</f>
        <v>8</v>
      </c>
      <c r="BD570" s="431">
        <f>IFERROR(_xlfn.ISOWEEKNUM(PV_DATA[[#This Row],[ETA for New Ark update]]),0)</f>
        <v>32</v>
      </c>
      <c r="BE570" s="431">
        <f>_xlfn.XLOOKUP(PV_DATA[[#This Row],[New Ark SKU]],Table9[New Ark SKU],Table9[Total PCS per Pallet],,0)</f>
        <v>33</v>
      </c>
      <c r="BF570" s="431">
        <f>_xlfn.XLOOKUP(PV_DATA[[#This Row],[New Ark SKU]],Table9[New Ark SKU],Table9[Total PCS per 40HQ Container],,0)</f>
        <v>660</v>
      </c>
      <c r="BG570" s="431" t="str">
        <f>_xlfn.XLOOKUP(PV_DATA[[#This Row],[New Ark SKU]],Table9[New Ark SKU],Table9[Back Glass],,0)</f>
        <v>White glazing</v>
      </c>
      <c r="BH570" s="431" t="str">
        <f>_xlfn.XLOOKUP(PV_DATA[[#This Row],[PORT DESTINATION]],Table12[PORT DESTINATION],Table12[Cosco Line],,0)</f>
        <v>AEM</v>
      </c>
    </row>
    <row r="571" spans="1:60" s="431" customFormat="1" ht="10.5" hidden="1">
      <c r="A571" s="439" t="s">
        <v>4742</v>
      </c>
      <c r="B571" s="439" t="s">
        <v>2132</v>
      </c>
      <c r="C571" s="439" t="s">
        <v>4743</v>
      </c>
      <c r="D571" s="439" t="s">
        <v>63</v>
      </c>
      <c r="E571" s="439" t="s">
        <v>64</v>
      </c>
      <c r="F571" s="439" t="str" cm="1">
        <f t="array" ref="F57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571" s="439" t="s">
        <v>402</v>
      </c>
      <c r="H571" s="439" t="s">
        <v>311</v>
      </c>
      <c r="I571" s="439" t="s">
        <v>689</v>
      </c>
      <c r="J571" s="431" t="s">
        <v>96</v>
      </c>
      <c r="M571" s="431" t="s">
        <v>68</v>
      </c>
      <c r="N571" s="461">
        <v>46160</v>
      </c>
      <c r="O571" s="431" t="s">
        <v>170</v>
      </c>
      <c r="P571" s="431" t="s">
        <v>171</v>
      </c>
      <c r="Q571" s="431" t="s">
        <v>1731</v>
      </c>
      <c r="R571" s="431" t="str">
        <f>_xlfn.XLOOKUP(PV_DATA[[#This Row],[New Ark SKU]],Table9[New Ark SKU],Table9[Connector],,0)</f>
        <v>EVO2A</v>
      </c>
      <c r="S571" s="442" t="str">
        <f>_xlfn.XLOOKUP(PV_DATA[[#This Row],[New Ark SKU]],Table9[New Ark SKU],Table9[Cable],,0)</f>
        <v>±1400mm</v>
      </c>
      <c r="T571" s="442">
        <v>555</v>
      </c>
      <c r="U571" s="1067">
        <v>1980</v>
      </c>
      <c r="V571" s="448">
        <f>PV_DATA[[#This Row],[QUANTITY]]*PV_DATA[[#This Row],[WATT]]/1000000</f>
        <v>1.0989</v>
      </c>
      <c r="W571" s="466">
        <f>PV_DATA[[#This Row],[QUANTITY]]/PV_DATA[[#This Row],[Qty/Pallet]]</f>
        <v>60</v>
      </c>
      <c r="X571" s="1019">
        <f>PV_DATA[[#This Row],[QUANTITY]]/PV_DATA[[#This Row],[Qty/CT]]</f>
        <v>3</v>
      </c>
      <c r="Y571" s="431" t="s">
        <v>951</v>
      </c>
      <c r="Z571" s="430" t="str">
        <f t="shared" si="6"/>
        <v>COMPLETED</v>
      </c>
      <c r="AA571" s="431" t="s">
        <v>4738</v>
      </c>
      <c r="AB571" s="441">
        <v>46171</v>
      </c>
      <c r="AC571" s="467">
        <f>IF(PV_DATA[[#This Row],[Pick-Up Date]]&lt;&gt;"",_xlfn.ISOWEEKNUM(PV_DATA[[#This Row],[Pick-Up Date]]),"")</f>
        <v>22</v>
      </c>
      <c r="AD571" s="431" t="s">
        <v>4744</v>
      </c>
      <c r="AF571" s="431" t="s">
        <v>123</v>
      </c>
      <c r="AG571" s="431" t="s">
        <v>123</v>
      </c>
      <c r="AH571" s="431" t="s">
        <v>314</v>
      </c>
      <c r="AI571" s="441">
        <v>46178</v>
      </c>
      <c r="AJ571" s="441">
        <v>46183</v>
      </c>
      <c r="AK571" s="441">
        <v>46183</v>
      </c>
      <c r="AL571" s="732">
        <v>46225</v>
      </c>
      <c r="AM571" s="441">
        <v>46236</v>
      </c>
      <c r="AN571" s="441">
        <v>46232</v>
      </c>
      <c r="AO571" s="431" t="s">
        <v>402</v>
      </c>
      <c r="AP571" s="431" t="s">
        <v>4734</v>
      </c>
      <c r="AQ571" s="431" t="s">
        <v>80</v>
      </c>
      <c r="AR571" s="431" t="s">
        <v>4740</v>
      </c>
      <c r="AS571" s="431" t="s">
        <v>4741</v>
      </c>
      <c r="AT571" s="482" t="s">
        <v>4741</v>
      </c>
      <c r="AU57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V571" s="441"/>
      <c r="AW571" s="441" cm="1">
        <f t="array" ref="AW57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46232</v>
      </c>
      <c r="AX57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71" s="441">
        <f>IF(ISERROR(PV_DATA[[#This Row],[New Ark PO status]]),"",_xlfn.XLOOKUP(PV_DATA[[#This Row],[SPTN-PVHK New Ark PO'#]],New_Ark_Data[Purchase order Number],New_Ark_Data[Estimated time of arrival],"",0))</f>
        <v>46246</v>
      </c>
      <c r="AZ571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571" s="441">
        <f>IFERROR(PV_DATA[[#This Row],[ODP ETA Port]]+PV_DATA[[#This Row],[Customs/Leg3 Assumption]],"n/a")</f>
        <v>46242</v>
      </c>
      <c r="BB571" s="442">
        <f>YEAR(PV_DATA[[#This Row],[ETA for New Ark update]])</f>
        <v>2026</v>
      </c>
      <c r="BC571" s="431">
        <f>MONTH(PV_DATA[[#This Row],[ETA for New Ark update]])</f>
        <v>8</v>
      </c>
      <c r="BD571" s="431">
        <f>IFERROR(_xlfn.ISOWEEKNUM(PV_DATA[[#This Row],[ETA for New Ark update]]),0)</f>
        <v>32</v>
      </c>
      <c r="BE571" s="431">
        <f>_xlfn.XLOOKUP(PV_DATA[[#This Row],[New Ark SKU]],Table9[New Ark SKU],Table9[Total PCS per Pallet],,0)</f>
        <v>33</v>
      </c>
      <c r="BF571" s="431">
        <f>_xlfn.XLOOKUP(PV_DATA[[#This Row],[New Ark SKU]],Table9[New Ark SKU],Table9[Total PCS per 40HQ Container],,0)</f>
        <v>660</v>
      </c>
      <c r="BG571" s="431" t="str">
        <f>_xlfn.XLOOKUP(PV_DATA[[#This Row],[New Ark SKU]],Table9[New Ark SKU],Table9[Back Glass],,0)</f>
        <v>White glazing</v>
      </c>
      <c r="BH571" s="431" t="str">
        <f>_xlfn.XLOOKUP(PV_DATA[[#This Row],[PORT DESTINATION]],Table12[PORT DESTINATION],Table12[Cosco Line],,0)</f>
        <v>AEM</v>
      </c>
    </row>
    <row r="572" spans="1:60" s="431" customFormat="1" ht="10.5" hidden="1">
      <c r="A572" s="439" t="s">
        <v>4745</v>
      </c>
      <c r="B572" s="439" t="s">
        <v>111</v>
      </c>
      <c r="C572" s="439" t="str">
        <f>IFERROR(LEFT(PV_DATA[[#This Row],[TCL REFERENCE]],FIND(".",PV_DATA[[#This Row],[TCL REFERENCE]],1)-1),"Main Line")</f>
        <v>26May006</v>
      </c>
      <c r="D572" s="439" t="s">
        <v>63</v>
      </c>
      <c r="E572" s="439" t="s">
        <v>144</v>
      </c>
      <c r="F572" s="439" t="str" cm="1">
        <f t="array" ref="F57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72" s="439" t="s">
        <v>402</v>
      </c>
      <c r="H572" s="439" t="s">
        <v>403</v>
      </c>
      <c r="I572" s="439" t="s">
        <v>2004</v>
      </c>
      <c r="J572" s="431" t="s">
        <v>4703</v>
      </c>
      <c r="K572" s="431" t="s">
        <v>4704</v>
      </c>
      <c r="L572" s="431">
        <v>3</v>
      </c>
      <c r="M572" s="431" t="s">
        <v>840</v>
      </c>
      <c r="N572" s="461">
        <v>46160</v>
      </c>
      <c r="O572" s="431" t="s">
        <v>132</v>
      </c>
      <c r="P572" s="431" t="s">
        <v>1062</v>
      </c>
      <c r="Q572" s="431" t="s">
        <v>1063</v>
      </c>
      <c r="R572" s="431" t="str">
        <f>_xlfn.XLOOKUP(PV_DATA[[#This Row],[New Ark SKU]],Table9[New Ark SKU],Table9[Connector],,0)</f>
        <v>EVO2A</v>
      </c>
      <c r="S572" s="442" t="str">
        <f>_xlfn.XLOOKUP(PV_DATA[[#This Row],[New Ark SKU]],Table9[New Ark SKU],Table9[Cable],,0)</f>
        <v>±1200mm</v>
      </c>
      <c r="T572" s="442">
        <v>470</v>
      </c>
      <c r="U572" s="1067">
        <f>864*2</f>
        <v>1728</v>
      </c>
      <c r="V572" s="448">
        <f>PV_DATA[[#This Row],[QUANTITY]]*PV_DATA[[#This Row],[WATT]]/1000000</f>
        <v>0.81215999999999999</v>
      </c>
      <c r="W572" s="466">
        <f>PV_DATA[[#This Row],[QUANTITY]]/PV_DATA[[#This Row],[Qty/Pallet]]</f>
        <v>48</v>
      </c>
      <c r="X572" s="1019">
        <f>PV_DATA[[#This Row],[QUANTITY]]/PV_DATA[[#This Row],[Qty/CT]]</f>
        <v>2</v>
      </c>
      <c r="Y572" s="431" t="s">
        <v>951</v>
      </c>
      <c r="Z572" s="430" t="str">
        <f t="shared" si="6"/>
        <v>COMPLETED</v>
      </c>
      <c r="AA572" s="478" t="s">
        <v>4709</v>
      </c>
      <c r="AB572" s="441">
        <v>46170</v>
      </c>
      <c r="AC572" s="467">
        <f>IF(PV_DATA[[#This Row],[Pick-Up Date]]&lt;&gt;"",_xlfn.ISOWEEKNUM(PV_DATA[[#This Row],[Pick-Up Date]]),"")</f>
        <v>22</v>
      </c>
      <c r="AD572" s="431" t="s">
        <v>4746</v>
      </c>
      <c r="AF572" s="431" t="s">
        <v>123</v>
      </c>
      <c r="AG572" s="431" t="s">
        <v>123</v>
      </c>
      <c r="AH572" s="431" t="s">
        <v>124</v>
      </c>
      <c r="AI572" s="441">
        <v>46175</v>
      </c>
      <c r="AJ572" s="441">
        <v>46177</v>
      </c>
      <c r="AK572" s="441">
        <v>46178</v>
      </c>
      <c r="AL572" s="441">
        <v>46219</v>
      </c>
      <c r="AM572" s="441"/>
      <c r="AN572" s="441">
        <v>46219</v>
      </c>
      <c r="AO572" s="431" t="s">
        <v>402</v>
      </c>
      <c r="AP572" s="431" t="s">
        <v>4747</v>
      </c>
      <c r="AQ572" s="431" t="s">
        <v>80</v>
      </c>
      <c r="AR572" s="431" t="s">
        <v>4748</v>
      </c>
      <c r="AS572" s="431" t="s">
        <v>4749</v>
      </c>
      <c r="AT572" s="482" t="s">
        <v>4749</v>
      </c>
      <c r="AU57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V572" s="441"/>
      <c r="AW572" s="441" cm="1">
        <f t="array" ref="AW57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46219</v>
      </c>
      <c r="AX57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72" s="441">
        <f>IF(ISERROR(PV_DATA[[#This Row],[New Ark PO status]]),"",_xlfn.XLOOKUP(PV_DATA[[#This Row],[SPTN-PVHK New Ark PO'#]],New_Ark_Data[Purchase order Number],New_Ark_Data[Estimated time of arrival],"",0))</f>
        <v>46219</v>
      </c>
      <c r="AZ572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72" s="441">
        <f>IFERROR(PV_DATA[[#This Row],[ODP ETA Port]]+PV_DATA[[#This Row],[Customs/Leg3 Assumption]],"n/a")</f>
        <v>46219</v>
      </c>
      <c r="BB572" s="442">
        <f>YEAR(PV_DATA[[#This Row],[ETA for New Ark update]])</f>
        <v>2026</v>
      </c>
      <c r="BC572" s="431">
        <f>MONTH(PV_DATA[[#This Row],[ETA for New Ark update]])</f>
        <v>7</v>
      </c>
      <c r="BD572" s="431">
        <f>IFERROR(_xlfn.ISOWEEKNUM(PV_DATA[[#This Row],[ETA for New Ark update]]),0)</f>
        <v>29</v>
      </c>
      <c r="BE572" s="431">
        <f>_xlfn.XLOOKUP(PV_DATA[[#This Row],[New Ark SKU]],Table9[New Ark SKU],Table9[Total PCS per Pallet],,0)</f>
        <v>36</v>
      </c>
      <c r="BF572" s="431">
        <f>_xlfn.XLOOKUP(PV_DATA[[#This Row],[New Ark SKU]],Table9[New Ark SKU],Table9[Total PCS per 40HQ Container],,0)</f>
        <v>864</v>
      </c>
      <c r="BG572" s="431" t="str">
        <f>_xlfn.XLOOKUP(PV_DATA[[#This Row],[New Ark SKU]],Table9[New Ark SKU],Table9[Back Glass],,0)</f>
        <v>White glazing</v>
      </c>
      <c r="BH572" s="431" t="str">
        <f>_xlfn.XLOOKUP(PV_DATA[[#This Row],[PORT DESTINATION]],Table12[PORT DESTINATION],Table12[Cosco Line],,0)</f>
        <v>AEM</v>
      </c>
    </row>
    <row r="573" spans="1:60" s="431" customFormat="1" hidden="1">
      <c r="A573" s="439" t="s">
        <v>4750</v>
      </c>
      <c r="B573" s="439" t="s">
        <v>111</v>
      </c>
      <c r="C573" s="439" t="str">
        <f>IFERROR(LEFT(PV_DATA[[#This Row],[TCL REFERENCE]],FIND(".",PV_DATA[[#This Row],[TCL REFERENCE]],1)-1),"Main Line")</f>
        <v>26May015</v>
      </c>
      <c r="D573" s="439" t="s">
        <v>63</v>
      </c>
      <c r="E573" s="439" t="s">
        <v>64</v>
      </c>
      <c r="F573" s="439" t="str" cm="1">
        <f t="array" ref="F57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573" s="439" t="s">
        <v>402</v>
      </c>
      <c r="H573" s="439" t="s">
        <v>115</v>
      </c>
      <c r="I573" s="439" t="s">
        <v>2004</v>
      </c>
      <c r="J573" s="431" t="s">
        <v>96</v>
      </c>
      <c r="M573" s="431" t="s">
        <v>68</v>
      </c>
      <c r="N573" s="461" t="s">
        <v>68</v>
      </c>
      <c r="O573" s="431" t="s">
        <v>4495</v>
      </c>
      <c r="P573" s="431" t="s">
        <v>4496</v>
      </c>
      <c r="Q573" s="431" t="s">
        <v>4497</v>
      </c>
      <c r="R573" s="431" t="str">
        <f>_xlfn.XLOOKUP(PV_DATA[[#This Row],[New Ark SKU]],Table9[New Ark SKU],Table9[Connector],,0)</f>
        <v>EVO2A</v>
      </c>
      <c r="S573" s="442" t="str">
        <f>_xlfn.XLOOKUP(PV_DATA[[#This Row],[New Ark SKU]],Table9[New Ark SKU],Table9[Cable],,0)</f>
        <v>±1400mm</v>
      </c>
      <c r="T573" s="442">
        <v>640</v>
      </c>
      <c r="U573" s="1067">
        <v>2160</v>
      </c>
      <c r="V573" s="448">
        <f>PV_DATA[[#This Row],[QUANTITY]]*PV_DATA[[#This Row],[WATT]]/1000000</f>
        <v>1.3824000000000001</v>
      </c>
      <c r="W573" s="466">
        <f>PV_DATA[[#This Row],[QUANTITY]]/PV_DATA[[#This Row],[Qty/Pallet]]</f>
        <v>60</v>
      </c>
      <c r="X573" s="1019">
        <f>PV_DATA[[#This Row],[QUANTITY]]/PV_DATA[[#This Row],[Qty/CT]]</f>
        <v>3</v>
      </c>
      <c r="Y573" s="431" t="s">
        <v>951</v>
      </c>
      <c r="Z573" s="430" t="str">
        <f t="shared" si="6"/>
        <v>COMPLETED</v>
      </c>
      <c r="AA573" s="431" t="s">
        <v>4709</v>
      </c>
      <c r="AB573" s="441">
        <v>46170</v>
      </c>
      <c r="AC573" s="467">
        <f>IF(PV_DATA[[#This Row],[Pick-Up Date]]&lt;&gt;"",_xlfn.ISOWEEKNUM(PV_DATA[[#This Row],[Pick-Up Date]]),"")</f>
        <v>22</v>
      </c>
      <c r="AD573" s="431" t="s">
        <v>4751</v>
      </c>
      <c r="AF573" s="481" t="s">
        <v>122</v>
      </c>
      <c r="AG573" s="481" t="s">
        <v>123</v>
      </c>
      <c r="AH573" s="431" t="s">
        <v>124</v>
      </c>
      <c r="AI573" s="441">
        <v>46175</v>
      </c>
      <c r="AJ573" s="441"/>
      <c r="AK573" s="441">
        <v>46178</v>
      </c>
      <c r="AL573" s="441">
        <v>46219</v>
      </c>
      <c r="AM573" s="441"/>
      <c r="AN573" s="441">
        <v>46219</v>
      </c>
      <c r="AO573" s="431" t="s">
        <v>402</v>
      </c>
      <c r="AP573" s="431" t="s">
        <v>4747</v>
      </c>
      <c r="AQ573" s="431" t="s">
        <v>80</v>
      </c>
      <c r="AR573" s="431" t="s">
        <v>4752</v>
      </c>
      <c r="AS573" s="431" t="s">
        <v>4753</v>
      </c>
      <c r="AT573" s="482" t="s">
        <v>4753</v>
      </c>
      <c r="AU57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W573" s="441" cm="1">
        <f t="array" ref="AW57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46219</v>
      </c>
      <c r="AX57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73" s="441">
        <f>IF(ISERROR(PV_DATA[[#This Row],[New Ark PO status]]),"",_xlfn.XLOOKUP(PV_DATA[[#This Row],[SPTN-PVHK New Ark PO'#]],New_Ark_Data[Purchase order Number],New_Ark_Data[Estimated time of arrival],"",0))</f>
        <v>46233</v>
      </c>
      <c r="AZ573" s="44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573" s="441">
        <f>IFERROR(PV_DATA[[#This Row],[ODP ETA Port]]+PV_DATA[[#This Row],[Customs/Leg3 Assumption]],"n/a")</f>
        <v>46228</v>
      </c>
      <c r="BB573" s="442">
        <f>YEAR(PV_DATA[[#This Row],[ETA for New Ark update]])</f>
        <v>2026</v>
      </c>
      <c r="BC573" s="431">
        <f>MONTH(PV_DATA[[#This Row],[ETA for New Ark update]])</f>
        <v>7</v>
      </c>
      <c r="BD573" s="431">
        <f>IFERROR(_xlfn.ISOWEEKNUM(PV_DATA[[#This Row],[ETA for New Ark update]]),0)</f>
        <v>30</v>
      </c>
      <c r="BE573" s="431">
        <f>_xlfn.XLOOKUP(PV_DATA[[#This Row],[New Ark SKU]],Table9[New Ark SKU],Table9[Total PCS per Pallet],,0)</f>
        <v>36</v>
      </c>
      <c r="BF573" s="431">
        <f>_xlfn.XLOOKUP(PV_DATA[[#This Row],[New Ark SKU]],Table9[New Ark SKU],Table9[Total PCS per 40HQ Container],,0)</f>
        <v>720</v>
      </c>
      <c r="BG573" s="431" t="str">
        <f>_xlfn.XLOOKUP(PV_DATA[[#This Row],[New Ark SKU]],Table9[New Ark SKU],Table9[Back Glass],,0)</f>
        <v>Transparent</v>
      </c>
      <c r="BH573" s="431" t="str">
        <f>_xlfn.XLOOKUP(PV_DATA[[#This Row],[PORT DESTINATION]],Table12[PORT DESTINATION],Table12[Cosco Line],,0)</f>
        <v>AEM</v>
      </c>
    </row>
    <row r="574" spans="1:60" s="431" customFormat="1" ht="10.5" hidden="1">
      <c r="A574" s="439" t="s">
        <v>4754</v>
      </c>
      <c r="B574" s="439" t="s">
        <v>61</v>
      </c>
      <c r="C574" s="439" t="str">
        <f>IFERROR(LEFT(PV_DATA[[#This Row],[TCL REFERENCE]],FIND(".",PV_DATA[[#This Row],[TCL REFERENCE]],1)-1),"Main Line")</f>
        <v>26May010</v>
      </c>
      <c r="D574" s="439" t="s">
        <v>63</v>
      </c>
      <c r="E574" s="439" t="s">
        <v>64</v>
      </c>
      <c r="F574" s="439" t="str" cm="1">
        <f t="array" ref="F57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574" s="439" t="s">
        <v>402</v>
      </c>
      <c r="H574" s="439" t="s">
        <v>451</v>
      </c>
      <c r="I574" s="439" t="s">
        <v>689</v>
      </c>
      <c r="J574" s="431" t="s">
        <v>1832</v>
      </c>
      <c r="M574" s="431" t="s">
        <v>68</v>
      </c>
      <c r="N574" s="461">
        <v>46153</v>
      </c>
      <c r="O574" s="431" t="s">
        <v>4540</v>
      </c>
      <c r="P574" s="431" t="s">
        <v>1151</v>
      </c>
      <c r="Q574" s="431" t="s">
        <v>421</v>
      </c>
      <c r="R574" s="431" t="str">
        <f>_xlfn.XLOOKUP(PV_DATA[[#This Row],[New Ark SKU]],Table9[New Ark SKU],Table9[Connector],,0)</f>
        <v>EVO2A</v>
      </c>
      <c r="S574" s="442" t="str">
        <f>_xlfn.XLOOKUP(PV_DATA[[#This Row],[New Ark SKU]],Table9[New Ark SKU],Table9[Cable],,0)</f>
        <v>±1200mm</v>
      </c>
      <c r="T574" s="442">
        <v>505</v>
      </c>
      <c r="U574" s="1067">
        <v>3456</v>
      </c>
      <c r="V574" s="448">
        <f>PV_DATA[[#This Row],[QUANTITY]]*PV_DATA[[#This Row],[WATT]]/1000000</f>
        <v>1.7452799999999999</v>
      </c>
      <c r="W574" s="466">
        <f>PV_DATA[[#This Row],[QUANTITY]]/PV_DATA[[#This Row],[Qty/Pallet]]</f>
        <v>96</v>
      </c>
      <c r="X574" s="1019">
        <f>PV_DATA[[#This Row],[QUANTITY]]/PV_DATA[[#This Row],[Qty/CT]]</f>
        <v>4</v>
      </c>
      <c r="Y574" s="431" t="s">
        <v>4364</v>
      </c>
      <c r="Z574" s="430" t="str">
        <f t="shared" si="6"/>
        <v>COMPLETED</v>
      </c>
      <c r="AA574" s="431" t="s">
        <v>4588</v>
      </c>
      <c r="AB574" s="441">
        <v>46182</v>
      </c>
      <c r="AC574" s="467">
        <f>IF(PV_DATA[[#This Row],[Pick-Up Date]]&lt;&gt;"",_xlfn.ISOWEEKNUM(PV_DATA[[#This Row],[Pick-Up Date]]),"")</f>
        <v>24</v>
      </c>
      <c r="AD574" s="431" t="s">
        <v>4755</v>
      </c>
      <c r="AF574" s="431" t="s">
        <v>61</v>
      </c>
      <c r="AG574" s="431" t="s">
        <v>61</v>
      </c>
      <c r="AH574" s="431" t="s">
        <v>456</v>
      </c>
      <c r="AI574" s="441">
        <v>46183</v>
      </c>
      <c r="AJ574" s="441">
        <v>46190</v>
      </c>
      <c r="AK574" s="441">
        <v>46189</v>
      </c>
      <c r="AL574" s="441">
        <v>46236</v>
      </c>
      <c r="AM574" s="441">
        <v>46253</v>
      </c>
      <c r="AN574" s="441">
        <v>46258</v>
      </c>
      <c r="AO574" s="431" t="s">
        <v>402</v>
      </c>
      <c r="AP574" s="431" t="s">
        <v>4756</v>
      </c>
      <c r="AQ574" s="431" t="s">
        <v>161</v>
      </c>
      <c r="AR574" s="431" t="s">
        <v>4757</v>
      </c>
      <c r="AS574" s="431" t="s">
        <v>4758</v>
      </c>
      <c r="AT574" s="482" t="s">
        <v>4758</v>
      </c>
      <c r="AU57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69</v>
      </c>
      <c r="AV574" s="441"/>
      <c r="AW574" s="441" cm="1">
        <f t="array" ref="AW57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46258</v>
      </c>
      <c r="AX57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74" s="441">
        <f>IF(ISERROR(PV_DATA[[#This Row],[New Ark PO status]]),"",_xlfn.XLOOKUP(PV_DATA[[#This Row],[SPTN-PVHK New Ark PO'#]],New_Ark_Data[Purchase order Number],New_Ark_Data[Estimated time of arrival],"",0))</f>
        <v>46267</v>
      </c>
      <c r="AZ57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74" s="441">
        <f>IFERROR(PV_DATA[[#This Row],[ODP ETA Port]]+PV_DATA[[#This Row],[Customs/Leg3 Assumption]],"n/a")</f>
        <v>46265</v>
      </c>
      <c r="BB574" s="442">
        <f>YEAR(PV_DATA[[#This Row],[ETA for New Ark update]])</f>
        <v>2026</v>
      </c>
      <c r="BC574" s="431">
        <f>MONTH(PV_DATA[[#This Row],[ETA for New Ark update]])</f>
        <v>8</v>
      </c>
      <c r="BD574" s="431">
        <f>IFERROR(_xlfn.ISOWEEKNUM(PV_DATA[[#This Row],[ETA for New Ark update]]),0)</f>
        <v>36</v>
      </c>
      <c r="BE574" s="431">
        <f>_xlfn.XLOOKUP(PV_DATA[[#This Row],[New Ark SKU]],Table9[New Ark SKU],Table9[Total PCS per Pallet],,0)</f>
        <v>36</v>
      </c>
      <c r="BF574" s="431">
        <f>_xlfn.XLOOKUP(PV_DATA[[#This Row],[New Ark SKU]],Table9[New Ark SKU],Table9[Total PCS per 40HQ Container],,0)</f>
        <v>864</v>
      </c>
      <c r="BG574" s="431" t="str">
        <f>_xlfn.XLOOKUP(PV_DATA[[#This Row],[New Ark SKU]],Table9[New Ark SKU],Table9[Back Glass],,0)</f>
        <v>Black glazing</v>
      </c>
      <c r="BH574" s="431" t="str">
        <f>_xlfn.XLOOKUP(PV_DATA[[#This Row],[PORT DESTINATION]],Table12[PORT DESTINATION],Table12[Cosco Line],,0)</f>
        <v>AEU</v>
      </c>
    </row>
    <row r="575" spans="1:60" s="431" customFormat="1" ht="10.5" hidden="1">
      <c r="A575" s="439" t="s">
        <v>4759</v>
      </c>
      <c r="B575" s="439" t="s">
        <v>61</v>
      </c>
      <c r="C575" s="439" t="str">
        <f>IFERROR(LEFT(PV_DATA[[#This Row],[TCL REFERENCE]],FIND(".",PV_DATA[[#This Row],[TCL REFERENCE]],1)-1),"Main Line")</f>
        <v>26May009</v>
      </c>
      <c r="D575" s="439" t="s">
        <v>63</v>
      </c>
      <c r="E575" s="439" t="s">
        <v>64</v>
      </c>
      <c r="F575" s="439" t="str" cm="1">
        <f t="array" ref="F57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575" s="439" t="s">
        <v>402</v>
      </c>
      <c r="H575" s="439" t="s">
        <v>67</v>
      </c>
      <c r="I575" s="439" t="s">
        <v>689</v>
      </c>
      <c r="J575" s="431" t="s">
        <v>96</v>
      </c>
      <c r="M575" s="431" t="s">
        <v>68</v>
      </c>
      <c r="N575" s="461" t="s">
        <v>68</v>
      </c>
      <c r="O575" s="431" t="s">
        <v>4540</v>
      </c>
      <c r="P575" s="431" t="s">
        <v>71</v>
      </c>
      <c r="Q575" s="431" t="s">
        <v>72</v>
      </c>
      <c r="R575" s="431" t="str">
        <f>_xlfn.XLOOKUP(PV_DATA[[#This Row],[New Ark SKU]],Table9[New Ark SKU],Table9[Connector],,0)</f>
        <v>EVO2A</v>
      </c>
      <c r="S575" s="442" t="str">
        <f>_xlfn.XLOOKUP(PV_DATA[[#This Row],[New Ark SKU]],Table9[New Ark SKU],Table9[Cable],,0)</f>
        <v>±1200mm</v>
      </c>
      <c r="T575" s="442">
        <v>500</v>
      </c>
      <c r="U575" s="1067">
        <v>2592</v>
      </c>
      <c r="V575" s="448">
        <f>PV_DATA[[#This Row],[QUANTITY]]*PV_DATA[[#This Row],[WATT]]/1000000</f>
        <v>1.296</v>
      </c>
      <c r="W575" s="466">
        <f>PV_DATA[[#This Row],[QUANTITY]]/PV_DATA[[#This Row],[Qty/Pallet]]</f>
        <v>72</v>
      </c>
      <c r="X575" s="1019">
        <f>PV_DATA[[#This Row],[QUANTITY]]/PV_DATA[[#This Row],[Qty/CT]]</f>
        <v>3</v>
      </c>
      <c r="Y575" s="431" t="s">
        <v>951</v>
      </c>
      <c r="Z575" s="430" t="str">
        <f t="shared" si="6"/>
        <v>COMPLETED</v>
      </c>
      <c r="AA575" s="431" t="s">
        <v>4677</v>
      </c>
      <c r="AB575" s="441">
        <v>46171</v>
      </c>
      <c r="AC575" s="467">
        <f>IF(PV_DATA[[#This Row],[Pick-Up Date]]&lt;&gt;"",_xlfn.ISOWEEKNUM(PV_DATA[[#This Row],[Pick-Up Date]]),"")</f>
        <v>22</v>
      </c>
      <c r="AD575" s="431" t="s">
        <v>4760</v>
      </c>
      <c r="AF575" s="431" t="s">
        <v>61</v>
      </c>
      <c r="AG575" s="431" t="s">
        <v>61</v>
      </c>
      <c r="AH575" s="431" t="s">
        <v>105</v>
      </c>
      <c r="AI575" s="441">
        <v>46177</v>
      </c>
      <c r="AJ575" s="441">
        <v>46178</v>
      </c>
      <c r="AK575" s="441">
        <v>46178</v>
      </c>
      <c r="AL575" s="441">
        <v>46217</v>
      </c>
      <c r="AM575" s="441">
        <v>46223</v>
      </c>
      <c r="AN575" s="441">
        <v>46223</v>
      </c>
      <c r="AO575" s="431" t="s">
        <v>402</v>
      </c>
      <c r="AP575" s="431" t="s">
        <v>4761</v>
      </c>
      <c r="AQ575" s="431" t="s">
        <v>80</v>
      </c>
      <c r="AR575" s="431" t="s">
        <v>4762</v>
      </c>
      <c r="AS575" s="431" t="s">
        <v>4763</v>
      </c>
      <c r="AT575" s="482" t="s">
        <v>4763</v>
      </c>
      <c r="AU57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V575" s="441"/>
      <c r="AW575" s="441" cm="1">
        <f t="array" ref="AW57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46223</v>
      </c>
      <c r="AX57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75" s="441">
        <f>IF(ISERROR(PV_DATA[[#This Row],[New Ark PO status]]),"",_xlfn.XLOOKUP(PV_DATA[[#This Row],[SPTN-PVHK New Ark PO'#]],New_Ark_Data[Purchase order Number],New_Ark_Data[Estimated time of arrival],"",0))</f>
        <v>46237</v>
      </c>
      <c r="AZ57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75" s="441">
        <f>IFERROR(PV_DATA[[#This Row],[ODP ETA Port]]+PV_DATA[[#This Row],[Customs/Leg3 Assumption]],"n/a")</f>
        <v>46230</v>
      </c>
      <c r="BB575" s="442">
        <f>YEAR(PV_DATA[[#This Row],[ETA for New Ark update]])</f>
        <v>2026</v>
      </c>
      <c r="BC575" s="431">
        <f>MONTH(PV_DATA[[#This Row],[ETA for New Ark update]])</f>
        <v>7</v>
      </c>
      <c r="BD575" s="431">
        <f>IFERROR(_xlfn.ISOWEEKNUM(PV_DATA[[#This Row],[ETA for New Ark update]]),0)</f>
        <v>31</v>
      </c>
      <c r="BE575" s="431">
        <f>_xlfn.XLOOKUP(PV_DATA[[#This Row],[New Ark SKU]],Table9[New Ark SKU],Table9[Total PCS per Pallet],,0)</f>
        <v>36</v>
      </c>
      <c r="BF575" s="431">
        <f>_xlfn.XLOOKUP(PV_DATA[[#This Row],[New Ark SKU]],Table9[New Ark SKU],Table9[Total PCS per 40HQ Container],,0)</f>
        <v>864</v>
      </c>
      <c r="BG575" s="431" t="str">
        <f>_xlfn.XLOOKUP(PV_DATA[[#This Row],[New Ark SKU]],Table9[New Ark SKU],Table9[Back Glass],,0)</f>
        <v>Black glazing</v>
      </c>
      <c r="BH575" s="431" t="str">
        <f>_xlfn.XLOOKUP(PV_DATA[[#This Row],[PORT DESTINATION]],Table12[PORT DESTINATION],Table12[Cosco Line],,0)</f>
        <v>AEU</v>
      </c>
    </row>
    <row r="576" spans="1:60" s="431" customFormat="1" ht="10.5" hidden="1">
      <c r="A576" s="439" t="s">
        <v>4764</v>
      </c>
      <c r="B576" s="439" t="s">
        <v>61</v>
      </c>
      <c r="C576" s="439" t="str">
        <f>IFERROR(LEFT(PV_DATA[[#This Row],[TCL REFERENCE]],FIND(".",PV_DATA[[#This Row],[TCL REFERENCE]],1)-1),"Main Line")</f>
        <v>26May008</v>
      </c>
      <c r="D576" s="439" t="s">
        <v>63</v>
      </c>
      <c r="E576" s="439" t="s">
        <v>64</v>
      </c>
      <c r="F576" s="439" t="str" cm="1">
        <f t="array" ref="F57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576" s="439" t="s">
        <v>402</v>
      </c>
      <c r="H576" s="439" t="s">
        <v>67</v>
      </c>
      <c r="I576" s="439" t="s">
        <v>689</v>
      </c>
      <c r="J576" s="431" t="s">
        <v>96</v>
      </c>
      <c r="M576" s="431" t="s">
        <v>68</v>
      </c>
      <c r="N576" s="461">
        <v>45809</v>
      </c>
      <c r="O576" s="431" t="s">
        <v>4540</v>
      </c>
      <c r="P576" s="431" t="s">
        <v>965</v>
      </c>
      <c r="Q576" s="431" t="s">
        <v>966</v>
      </c>
      <c r="R576" s="431" t="str">
        <f>_xlfn.XLOOKUP(PV_DATA[[#This Row],[New Ark SKU]],Table9[New Ark SKU],Table9[Connector],,0)</f>
        <v>EVO2A</v>
      </c>
      <c r="S576" s="442" t="str">
        <f>_xlfn.XLOOKUP(PV_DATA[[#This Row],[New Ark SKU]],Table9[New Ark SKU],Table9[Cable],,0)</f>
        <v>±1200mm</v>
      </c>
      <c r="T576" s="442">
        <v>455</v>
      </c>
      <c r="U576" s="1067">
        <v>1872</v>
      </c>
      <c r="V576" s="448">
        <f>PV_DATA[[#This Row],[QUANTITY]]*PV_DATA[[#This Row],[WATT]]/1000000</f>
        <v>0.85175999999999996</v>
      </c>
      <c r="W576" s="466">
        <f>PV_DATA[[#This Row],[QUANTITY]]/PV_DATA[[#This Row],[Qty/Pallet]]</f>
        <v>52</v>
      </c>
      <c r="X576" s="1019">
        <f>PV_DATA[[#This Row],[QUANTITY]]/PV_DATA[[#This Row],[Qty/CT]]</f>
        <v>2</v>
      </c>
      <c r="Y576" s="431" t="s">
        <v>951</v>
      </c>
      <c r="Z576" s="430" t="str">
        <f t="shared" si="6"/>
        <v>COMPLETED</v>
      </c>
      <c r="AA576" s="431" t="s">
        <v>4738</v>
      </c>
      <c r="AB576" s="441">
        <v>46171</v>
      </c>
      <c r="AC576" s="467">
        <f>IF(PV_DATA[[#This Row],[Pick-Up Date]]&lt;&gt;"",_xlfn.ISOWEEKNUM(PV_DATA[[#This Row],[Pick-Up Date]]),"")</f>
        <v>22</v>
      </c>
      <c r="AD576" s="431" t="s">
        <v>4765</v>
      </c>
      <c r="AF576" s="431" t="s">
        <v>61</v>
      </c>
      <c r="AG576" s="431" t="s">
        <v>61</v>
      </c>
      <c r="AH576" s="431" t="s">
        <v>105</v>
      </c>
      <c r="AI576" s="441">
        <v>46177</v>
      </c>
      <c r="AJ576" s="441">
        <v>46178</v>
      </c>
      <c r="AK576" s="441">
        <v>46178</v>
      </c>
      <c r="AL576" s="441">
        <v>46217</v>
      </c>
      <c r="AM576" s="441">
        <v>46223</v>
      </c>
      <c r="AN576" s="441">
        <v>46223</v>
      </c>
      <c r="AO576" s="431" t="s">
        <v>402</v>
      </c>
      <c r="AP576" s="431" t="s">
        <v>4761</v>
      </c>
      <c r="AQ576" s="431" t="s">
        <v>80</v>
      </c>
      <c r="AR576" s="431" t="s">
        <v>4762</v>
      </c>
      <c r="AS576" s="431" t="s">
        <v>4763</v>
      </c>
      <c r="AT576" s="482" t="s">
        <v>4763</v>
      </c>
      <c r="AU57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V576" s="441"/>
      <c r="AW576" s="441" cm="1">
        <f t="array" ref="AW57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46223</v>
      </c>
      <c r="AX57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76" s="441">
        <f>IF(ISERROR(PV_DATA[[#This Row],[New Ark PO status]]),"",_xlfn.XLOOKUP(PV_DATA[[#This Row],[SPTN-PVHK New Ark PO'#]],New_Ark_Data[Purchase order Number],New_Ark_Data[Estimated time of arrival],"",0))</f>
        <v>46237</v>
      </c>
      <c r="AZ57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76" s="441">
        <f>IFERROR(PV_DATA[[#This Row],[ODP ETA Port]]+PV_DATA[[#This Row],[Customs/Leg3 Assumption]],"n/a")</f>
        <v>46230</v>
      </c>
      <c r="BB576" s="442">
        <f>YEAR(PV_DATA[[#This Row],[ETA for New Ark update]])</f>
        <v>2026</v>
      </c>
      <c r="BC576" s="431">
        <f>MONTH(PV_DATA[[#This Row],[ETA for New Ark update]])</f>
        <v>7</v>
      </c>
      <c r="BD576" s="431">
        <f>IFERROR(_xlfn.ISOWEEKNUM(PV_DATA[[#This Row],[ETA for New Ark update]]),0)</f>
        <v>31</v>
      </c>
      <c r="BE576" s="431">
        <f>_xlfn.XLOOKUP(PV_DATA[[#This Row],[New Ark SKU]],Table9[New Ark SKU],Table9[Total PCS per Pallet],,0)</f>
        <v>36</v>
      </c>
      <c r="BF576" s="431">
        <f>_xlfn.XLOOKUP(PV_DATA[[#This Row],[New Ark SKU]],Table9[New Ark SKU],Table9[Total PCS per 40HQ Container],,0)</f>
        <v>936</v>
      </c>
      <c r="BG576" s="431" t="str">
        <f>_xlfn.XLOOKUP(PV_DATA[[#This Row],[New Ark SKU]],Table9[New Ark SKU],Table9[Back Glass],,0)</f>
        <v>Black glazing</v>
      </c>
      <c r="BH576" s="431" t="str">
        <f>_xlfn.XLOOKUP(PV_DATA[[#This Row],[PORT DESTINATION]],Table12[PORT DESTINATION],Table12[Cosco Line],,0)</f>
        <v>AEU</v>
      </c>
    </row>
    <row r="577" spans="1:60" s="431" customFormat="1" ht="10.5" hidden="1">
      <c r="A577" s="439" t="s">
        <v>4766</v>
      </c>
      <c r="B577" s="439" t="s">
        <v>2132</v>
      </c>
      <c r="C577" s="439" t="str">
        <f>IFERROR(LEFT(PV_DATA[[#This Row],[TCL REFERENCE]],FIND(".",PV_DATA[[#This Row],[TCL REFERENCE]],1)-1),"Main Line")</f>
        <v>26Apr008</v>
      </c>
      <c r="D577" s="439" t="s">
        <v>63</v>
      </c>
      <c r="E577" s="439" t="s">
        <v>64</v>
      </c>
      <c r="F577" s="439" t="str" cm="1">
        <f t="array" ref="F57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577" s="439" t="s">
        <v>402</v>
      </c>
      <c r="H577" s="439" t="s">
        <v>115</v>
      </c>
      <c r="I577" s="439" t="s">
        <v>689</v>
      </c>
      <c r="J577" s="431" t="s">
        <v>96</v>
      </c>
      <c r="M577" s="431" t="s">
        <v>68</v>
      </c>
      <c r="N577" s="461">
        <v>46146</v>
      </c>
      <c r="O577" s="431" t="s">
        <v>170</v>
      </c>
      <c r="P577" s="431" t="s">
        <v>1977</v>
      </c>
      <c r="Q577" s="431" t="s">
        <v>1978</v>
      </c>
      <c r="R577" s="431" t="str">
        <f>_xlfn.XLOOKUP(PV_DATA[[#This Row],[New Ark SKU]],Table9[New Ark SKU],Table9[Connector],,0)</f>
        <v>EVO2A</v>
      </c>
      <c r="S577" s="442" t="str">
        <f>_xlfn.XLOOKUP(PV_DATA[[#This Row],[New Ark SKU]],Table9[New Ark SKU],Table9[Cable],,0)</f>
        <v>±1400mm</v>
      </c>
      <c r="T577" s="442">
        <v>560</v>
      </c>
      <c r="U577" s="1067">
        <v>660</v>
      </c>
      <c r="V577" s="448">
        <f>PV_DATA[[#This Row],[QUANTITY]]*PV_DATA[[#This Row],[WATT]]/1000000</f>
        <v>0.36959999999999998</v>
      </c>
      <c r="W577" s="466">
        <f>PV_DATA[[#This Row],[QUANTITY]]/PV_DATA[[#This Row],[Qty/Pallet]]</f>
        <v>20</v>
      </c>
      <c r="X577" s="1019">
        <f>PV_DATA[[#This Row],[QUANTITY]]/PV_DATA[[#This Row],[Qty/CT]]</f>
        <v>1</v>
      </c>
      <c r="Y577" s="431" t="s">
        <v>951</v>
      </c>
      <c r="Z577" s="430" t="str">
        <f t="shared" si="6"/>
        <v>COMPLETED</v>
      </c>
      <c r="AB577" s="441">
        <v>46170</v>
      </c>
      <c r="AC577" s="467">
        <f>IF(PV_DATA[[#This Row],[Pick-Up Date]]&lt;&gt;"",_xlfn.ISOWEEKNUM(PV_DATA[[#This Row],[Pick-Up Date]]),"")</f>
        <v>22</v>
      </c>
      <c r="AD577" s="431" t="s">
        <v>4767</v>
      </c>
      <c r="AF577" s="431" t="s">
        <v>77</v>
      </c>
      <c r="AG577" s="431" t="s">
        <v>61</v>
      </c>
      <c r="AH577" s="431" t="s">
        <v>124</v>
      </c>
      <c r="AI577" s="441">
        <v>46177</v>
      </c>
      <c r="AJ577" s="441">
        <v>46178</v>
      </c>
      <c r="AK577" s="441">
        <v>46178</v>
      </c>
      <c r="AL577" s="732">
        <v>46233</v>
      </c>
      <c r="AM577" s="441"/>
      <c r="AN577" s="441">
        <v>46233</v>
      </c>
      <c r="AO577" s="431" t="s">
        <v>402</v>
      </c>
      <c r="AP577" s="431" t="s">
        <v>4761</v>
      </c>
      <c r="AQ577" s="431" t="s">
        <v>80</v>
      </c>
      <c r="AR577" s="431" t="s">
        <v>4768</v>
      </c>
      <c r="AS577" s="431" t="s">
        <v>4769</v>
      </c>
      <c r="AT577" s="482" t="s">
        <v>4769</v>
      </c>
      <c r="AU57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55</v>
      </c>
      <c r="AV577" s="441"/>
      <c r="AW577" s="441" cm="1">
        <f t="array" ref="AW57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46233</v>
      </c>
      <c r="AX57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77" s="441">
        <f>IF(ISERROR(PV_DATA[[#This Row],[New Ark PO status]]),"",_xlfn.XLOOKUP(PV_DATA[[#This Row],[SPTN-PVHK New Ark PO'#]],New_Ark_Data[Purchase order Number],New_Ark_Data[Estimated time of arrival],"",0))</f>
        <v>46247</v>
      </c>
      <c r="AZ577" s="44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577" s="441">
        <f>IFERROR(PV_DATA[[#This Row],[ODP ETA Port]]+PV_DATA[[#This Row],[Customs/Leg3 Assumption]],"n/a")</f>
        <v>46242</v>
      </c>
      <c r="BB577" s="442">
        <f>YEAR(PV_DATA[[#This Row],[ETA for New Ark update]])</f>
        <v>2026</v>
      </c>
      <c r="BC577" s="431">
        <f>MONTH(PV_DATA[[#This Row],[ETA for New Ark update]])</f>
        <v>8</v>
      </c>
      <c r="BD577" s="431">
        <f>IFERROR(_xlfn.ISOWEEKNUM(PV_DATA[[#This Row],[ETA for New Ark update]]),0)</f>
        <v>32</v>
      </c>
      <c r="BE577" s="431">
        <f>_xlfn.XLOOKUP(PV_DATA[[#This Row],[New Ark SKU]],Table9[New Ark SKU],Table9[Total PCS per Pallet],,0)</f>
        <v>33</v>
      </c>
      <c r="BF577" s="431">
        <f>_xlfn.XLOOKUP(PV_DATA[[#This Row],[New Ark SKU]],Table9[New Ark SKU],Table9[Total PCS per 40HQ Container],,0)</f>
        <v>660</v>
      </c>
      <c r="BG577" s="431" t="str">
        <f>_xlfn.XLOOKUP(PV_DATA[[#This Row],[New Ark SKU]],Table9[New Ark SKU],Table9[Back Glass],,0)</f>
        <v>White glazing</v>
      </c>
      <c r="BH577" s="431" t="str">
        <f>_xlfn.XLOOKUP(PV_DATA[[#This Row],[PORT DESTINATION]],Table12[PORT DESTINATION],Table12[Cosco Line],,0)</f>
        <v>AEM</v>
      </c>
    </row>
    <row r="578" spans="1:60" s="431" customFormat="1" ht="10.5" hidden="1">
      <c r="A578" s="439" t="s">
        <v>4770</v>
      </c>
      <c r="B578" s="439" t="s">
        <v>2132</v>
      </c>
      <c r="C578" s="439" t="str">
        <f>IFERROR(LEFT(PV_DATA[[#This Row],[TCL REFERENCE]],FIND(".",PV_DATA[[#This Row],[TCL REFERENCE]],1)-1),"Main Line")</f>
        <v>26Apr008</v>
      </c>
      <c r="D578" s="439" t="s">
        <v>63</v>
      </c>
      <c r="E578" s="439" t="s">
        <v>64</v>
      </c>
      <c r="F578" s="439" t="str" cm="1">
        <f t="array" ref="F57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578" s="439" t="s">
        <v>402</v>
      </c>
      <c r="H578" s="439" t="s">
        <v>115</v>
      </c>
      <c r="I578" s="439" t="s">
        <v>689</v>
      </c>
      <c r="J578" s="431" t="s">
        <v>96</v>
      </c>
      <c r="M578" s="431" t="s">
        <v>68</v>
      </c>
      <c r="N578" s="461">
        <v>46146</v>
      </c>
      <c r="O578" s="431" t="s">
        <v>170</v>
      </c>
      <c r="P578" s="431" t="s">
        <v>1977</v>
      </c>
      <c r="Q578" s="431" t="s">
        <v>1978</v>
      </c>
      <c r="R578" s="431" t="str">
        <f>_xlfn.XLOOKUP(PV_DATA[[#This Row],[New Ark SKU]],Table9[New Ark SKU],Table9[Connector],,0)</f>
        <v>EVO2A</v>
      </c>
      <c r="S578" s="442" t="str">
        <f>_xlfn.XLOOKUP(PV_DATA[[#This Row],[New Ark SKU]],Table9[New Ark SKU],Table9[Cable],,0)</f>
        <v>±1400mm</v>
      </c>
      <c r="T578" s="442">
        <v>560</v>
      </c>
      <c r="U578" s="1067">
        <v>2640</v>
      </c>
      <c r="V578" s="448">
        <f>PV_DATA[[#This Row],[QUANTITY]]*PV_DATA[[#This Row],[WATT]]/1000000</f>
        <v>1.4783999999999999</v>
      </c>
      <c r="W578" s="466">
        <f>PV_DATA[[#This Row],[QUANTITY]]/PV_DATA[[#This Row],[Qty/Pallet]]</f>
        <v>80</v>
      </c>
      <c r="X578" s="1019">
        <f>PV_DATA[[#This Row],[QUANTITY]]/PV_DATA[[#This Row],[Qty/CT]]</f>
        <v>4</v>
      </c>
      <c r="Y578" s="431" t="s">
        <v>951</v>
      </c>
      <c r="Z578" s="430" t="str">
        <f t="shared" si="6"/>
        <v>COMPLETED</v>
      </c>
      <c r="AB578" s="441">
        <v>46170</v>
      </c>
      <c r="AC578" s="467">
        <f>IF(PV_DATA[[#This Row],[Pick-Up Date]]&lt;&gt;"",_xlfn.ISOWEEKNUM(PV_DATA[[#This Row],[Pick-Up Date]]),"")</f>
        <v>22</v>
      </c>
      <c r="AD578" s="431" t="s">
        <v>4771</v>
      </c>
      <c r="AF578" s="431" t="s">
        <v>77</v>
      </c>
      <c r="AG578" s="431" t="s">
        <v>61</v>
      </c>
      <c r="AH578" s="431" t="s">
        <v>124</v>
      </c>
      <c r="AI578" s="441">
        <v>46177</v>
      </c>
      <c r="AJ578" s="441">
        <v>46178</v>
      </c>
      <c r="AK578" s="441">
        <v>46178</v>
      </c>
      <c r="AL578" s="732">
        <v>46247</v>
      </c>
      <c r="AM578" s="586">
        <v>46262</v>
      </c>
      <c r="AN578" s="586">
        <v>46262</v>
      </c>
      <c r="AO578" s="431" t="s">
        <v>402</v>
      </c>
      <c r="AP578" s="431" t="s">
        <v>4761</v>
      </c>
      <c r="AQ578" s="431" t="s">
        <v>80</v>
      </c>
      <c r="AR578" s="431" t="s">
        <v>4772</v>
      </c>
      <c r="AS578" s="431" t="s">
        <v>4773</v>
      </c>
      <c r="AT578" s="482" t="s">
        <v>4773</v>
      </c>
      <c r="AU57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84</v>
      </c>
      <c r="AV578" s="441"/>
      <c r="AW578" s="441" cm="1">
        <f t="array" ref="AW57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46262</v>
      </c>
      <c r="AX57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78" s="441">
        <f>IF(ISERROR(PV_DATA[[#This Row],[New Ark PO status]]),"",_xlfn.XLOOKUP(PV_DATA[[#This Row],[SPTN-PVHK New Ark PO'#]],New_Ark_Data[Purchase order Number],New_Ark_Data[Estimated time of arrival],"",0))</f>
        <v>46274</v>
      </c>
      <c r="AZ578" s="44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578" s="441">
        <f>IFERROR(PV_DATA[[#This Row],[ODP ETA Port]]+PV_DATA[[#This Row],[Customs/Leg3 Assumption]],"n/a")</f>
        <v>46271</v>
      </c>
      <c r="BB578" s="442">
        <f>YEAR(PV_DATA[[#This Row],[ETA for New Ark update]])</f>
        <v>2026</v>
      </c>
      <c r="BC578" s="431">
        <f>MONTH(PV_DATA[[#This Row],[ETA for New Ark update]])</f>
        <v>9</v>
      </c>
      <c r="BD578" s="431">
        <f>IFERROR(_xlfn.ISOWEEKNUM(PV_DATA[[#This Row],[ETA for New Ark update]]),0)</f>
        <v>36</v>
      </c>
      <c r="BE578" s="431">
        <f>_xlfn.XLOOKUP(PV_DATA[[#This Row],[New Ark SKU]],Table9[New Ark SKU],Table9[Total PCS per Pallet],,0)</f>
        <v>33</v>
      </c>
      <c r="BF578" s="431">
        <f>_xlfn.XLOOKUP(PV_DATA[[#This Row],[New Ark SKU]],Table9[New Ark SKU],Table9[Total PCS per 40HQ Container],,0)</f>
        <v>660</v>
      </c>
      <c r="BG578" s="431" t="str">
        <f>_xlfn.XLOOKUP(PV_DATA[[#This Row],[New Ark SKU]],Table9[New Ark SKU],Table9[Back Glass],,0)</f>
        <v>White glazing</v>
      </c>
      <c r="BH578" s="431" t="str">
        <f>_xlfn.XLOOKUP(PV_DATA[[#This Row],[PORT DESTINATION]],Table12[PORT DESTINATION],Table12[Cosco Line],,0)</f>
        <v>AEM</v>
      </c>
    </row>
    <row r="579" spans="1:60" s="431" customFormat="1" ht="10.5" hidden="1">
      <c r="A579" s="439" t="s">
        <v>4774</v>
      </c>
      <c r="B579" s="439" t="s">
        <v>61</v>
      </c>
      <c r="C579" s="439" t="str">
        <f>IFERROR(LEFT(PV_DATA[[#This Row],[TCL REFERENCE]],FIND(".",PV_DATA[[#This Row],[TCL REFERENCE]],1)-1),"Main Line")</f>
        <v>26May010</v>
      </c>
      <c r="D579" s="439" t="s">
        <v>63</v>
      </c>
      <c r="E579" s="439" t="s">
        <v>144</v>
      </c>
      <c r="F579" s="439" t="str" cm="1">
        <f t="array" ref="F57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79" s="439" t="s">
        <v>402</v>
      </c>
      <c r="H579" s="439" t="s">
        <v>593</v>
      </c>
      <c r="I579" s="439" t="s">
        <v>822</v>
      </c>
      <c r="J579" s="431" t="s">
        <v>4527</v>
      </c>
      <c r="K579" s="431" t="s">
        <v>4775</v>
      </c>
      <c r="L579" s="431">
        <v>1</v>
      </c>
      <c r="M579" s="431" t="s">
        <v>840</v>
      </c>
      <c r="N579" s="461" t="s">
        <v>68</v>
      </c>
      <c r="O579" s="431" t="s">
        <v>4540</v>
      </c>
      <c r="P579" s="431" t="s">
        <v>1151</v>
      </c>
      <c r="Q579" s="431" t="s">
        <v>421</v>
      </c>
      <c r="R579" s="431" t="str">
        <f>_xlfn.XLOOKUP(PV_DATA[[#This Row],[New Ark SKU]],Table9[New Ark SKU],Table9[Connector],,0)</f>
        <v>EVO2A</v>
      </c>
      <c r="S579" s="442" t="str">
        <f>_xlfn.XLOOKUP(PV_DATA[[#This Row],[New Ark SKU]],Table9[New Ark SKU],Table9[Cable],,0)</f>
        <v>±1200mm</v>
      </c>
      <c r="T579" s="442">
        <v>505</v>
      </c>
      <c r="U579" s="1067">
        <f>864*2</f>
        <v>1728</v>
      </c>
      <c r="V579" s="448">
        <f>PV_DATA[[#This Row],[QUANTITY]]*PV_DATA[[#This Row],[WATT]]/1000000</f>
        <v>0.87263999999999997</v>
      </c>
      <c r="W579" s="466">
        <f>PV_DATA[[#This Row],[QUANTITY]]/PV_DATA[[#This Row],[Qty/Pallet]]</f>
        <v>48</v>
      </c>
      <c r="X579" s="1019">
        <f>PV_DATA[[#This Row],[QUANTITY]]/PV_DATA[[#This Row],[Qty/CT]]</f>
        <v>2</v>
      </c>
      <c r="Y579" s="431" t="s">
        <v>951</v>
      </c>
      <c r="Z579" s="430" t="str">
        <f t="shared" si="6"/>
        <v>COMPLETED</v>
      </c>
      <c r="AA579" s="431" t="s">
        <v>4516</v>
      </c>
      <c r="AB579" s="441">
        <v>46170</v>
      </c>
      <c r="AC579" s="467">
        <f>IF(PV_DATA[[#This Row],[Pick-Up Date]]&lt;&gt;"",_xlfn.ISOWEEKNUM(PV_DATA[[#This Row],[Pick-Up Date]]),"")</f>
        <v>22</v>
      </c>
      <c r="AD579" s="431" t="s">
        <v>4776</v>
      </c>
      <c r="AF579" s="431" t="s">
        <v>61</v>
      </c>
      <c r="AG579" s="431" t="s">
        <v>61</v>
      </c>
      <c r="AH579" s="431" t="s">
        <v>124</v>
      </c>
      <c r="AI579" s="441">
        <v>46177</v>
      </c>
      <c r="AJ579" s="441">
        <v>46178</v>
      </c>
      <c r="AK579" s="441">
        <v>46178</v>
      </c>
      <c r="AL579" s="441">
        <v>46232</v>
      </c>
      <c r="AM579" s="441">
        <v>46235</v>
      </c>
      <c r="AN579" s="586">
        <f>IFERROR(IF(VLOOKUP(AT579,Vessel!A:I,9,FALSE)=0,"",VLOOKUP(AT579,Vessel!A:I,9,FALSE)),"")</f>
        <v>46236.419953703706</v>
      </c>
      <c r="AO579" s="431" t="s">
        <v>402</v>
      </c>
      <c r="AP579" s="431" t="s">
        <v>4761</v>
      </c>
      <c r="AQ579" s="431" t="s">
        <v>80</v>
      </c>
      <c r="AR579" s="431" t="s">
        <v>4777</v>
      </c>
      <c r="AS579" s="431" t="s">
        <v>4778</v>
      </c>
      <c r="AT579" s="482" t="s">
        <v>4778</v>
      </c>
      <c r="AU57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58.419953703705687</v>
      </c>
      <c r="AV579" s="441"/>
      <c r="AW579" s="441" cm="1">
        <f t="array" ref="AW57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46236.419953703706</v>
      </c>
      <c r="AX57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79" s="441">
        <f>IF(ISERROR(PV_DATA[[#This Row],[New Ark PO status]]),"",_xlfn.XLOOKUP(PV_DATA[[#This Row],[SPTN-PVHK New Ark PO'#]],New_Ark_Data[Purchase order Number],New_Ark_Data[Estimated time of arrival],"",0))</f>
        <v>46232</v>
      </c>
      <c r="AZ579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79" s="441">
        <f>IFERROR(PV_DATA[[#This Row],[ODP ETA Port]]+PV_DATA[[#This Row],[Customs/Leg3 Assumption]],"n/a")</f>
        <v>46236.419953703706</v>
      </c>
      <c r="BB579" s="442">
        <f>YEAR(PV_DATA[[#This Row],[ETA for New Ark update]])</f>
        <v>2026</v>
      </c>
      <c r="BC579" s="431">
        <f>MONTH(PV_DATA[[#This Row],[ETA for New Ark update]])</f>
        <v>8</v>
      </c>
      <c r="BD579" s="431">
        <f>IFERROR(_xlfn.ISOWEEKNUM(PV_DATA[[#This Row],[ETA for New Ark update]]),0)</f>
        <v>31</v>
      </c>
      <c r="BE579" s="431">
        <f>_xlfn.XLOOKUP(PV_DATA[[#This Row],[New Ark SKU]],Table9[New Ark SKU],Table9[Total PCS per Pallet],,0)</f>
        <v>36</v>
      </c>
      <c r="BF579" s="431">
        <f>_xlfn.XLOOKUP(PV_DATA[[#This Row],[New Ark SKU]],Table9[New Ark SKU],Table9[Total PCS per 40HQ Container],,0)</f>
        <v>864</v>
      </c>
      <c r="BG579" s="431" t="str">
        <f>_xlfn.XLOOKUP(PV_DATA[[#This Row],[New Ark SKU]],Table9[New Ark SKU],Table9[Back Glass],,0)</f>
        <v>Black glazing</v>
      </c>
      <c r="BH579" s="431" t="str">
        <f>_xlfn.XLOOKUP(PV_DATA[[#This Row],[PORT DESTINATION]],Table12[PORT DESTINATION],Table12[Cosco Line],,0)</f>
        <v>AEM</v>
      </c>
    </row>
    <row r="580" spans="1:60" s="431" customFormat="1" ht="12" hidden="1" customHeight="1">
      <c r="A580" s="439" t="s">
        <v>4779</v>
      </c>
      <c r="B580" s="439" t="s">
        <v>61</v>
      </c>
      <c r="C580" s="439" t="str">
        <f>IFERROR(LEFT(PV_DATA[[#This Row],[TCL REFERENCE]],FIND(".",PV_DATA[[#This Row],[TCL REFERENCE]],1)-1),"Main Line")</f>
        <v>26May009</v>
      </c>
      <c r="D580" s="439" t="s">
        <v>63</v>
      </c>
      <c r="E580" s="439" t="s">
        <v>144</v>
      </c>
      <c r="F580" s="439" t="str" cm="1">
        <f t="array" ref="F58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80" s="439" t="s">
        <v>402</v>
      </c>
      <c r="H580" s="439" t="s">
        <v>1029</v>
      </c>
      <c r="I580" s="439" t="s">
        <v>689</v>
      </c>
      <c r="J580" s="431" t="s">
        <v>4780</v>
      </c>
      <c r="K580" s="431" t="s">
        <v>2389</v>
      </c>
      <c r="L580" s="431">
        <v>3</v>
      </c>
      <c r="M580" s="431" t="s">
        <v>840</v>
      </c>
      <c r="N580" s="461">
        <v>46153</v>
      </c>
      <c r="O580" s="431" t="s">
        <v>4540</v>
      </c>
      <c r="P580" s="431" t="s">
        <v>71</v>
      </c>
      <c r="Q580" s="431" t="s">
        <v>72</v>
      </c>
      <c r="R580" s="431" t="str">
        <f>_xlfn.XLOOKUP(PV_DATA[[#This Row],[New Ark SKU]],Table9[New Ark SKU],Table9[Connector],,0)</f>
        <v>EVO2A</v>
      </c>
      <c r="S580" s="442" t="str">
        <f>_xlfn.XLOOKUP(PV_DATA[[#This Row],[New Ark SKU]],Table9[New Ark SKU],Table9[Cable],,0)</f>
        <v>±1200mm</v>
      </c>
      <c r="T580" s="442">
        <v>500</v>
      </c>
      <c r="U580" s="1067">
        <f>864*6</f>
        <v>5184</v>
      </c>
      <c r="V580" s="448">
        <f>PV_DATA[[#This Row],[QUANTITY]]*PV_DATA[[#This Row],[WATT]]/1000000</f>
        <v>2.5920000000000001</v>
      </c>
      <c r="W580" s="466">
        <f>PV_DATA[[#This Row],[QUANTITY]]/PV_DATA[[#This Row],[Qty/Pallet]]</f>
        <v>144</v>
      </c>
      <c r="X580" s="1019">
        <f>PV_DATA[[#This Row],[QUANTITY]]/PV_DATA[[#This Row],[Qty/CT]]</f>
        <v>6</v>
      </c>
      <c r="Y580" s="431" t="s">
        <v>951</v>
      </c>
      <c r="Z580" s="430" t="str">
        <f t="shared" si="6"/>
        <v>COMPLETED</v>
      </c>
      <c r="AA580" s="431" t="s">
        <v>4781</v>
      </c>
      <c r="AB580" s="441">
        <v>46174</v>
      </c>
      <c r="AC580" s="467">
        <f>IF(PV_DATA[[#This Row],[Pick-Up Date]]&lt;&gt;"",_xlfn.ISOWEEKNUM(PV_DATA[[#This Row],[Pick-Up Date]]),"")</f>
        <v>23</v>
      </c>
      <c r="AD580" s="431" t="s">
        <v>4782</v>
      </c>
      <c r="AF580" s="431" t="s">
        <v>61</v>
      </c>
      <c r="AG580" s="431" t="s">
        <v>61</v>
      </c>
      <c r="AH580" s="431" t="s">
        <v>888</v>
      </c>
      <c r="AI580" s="441">
        <v>46178</v>
      </c>
      <c r="AJ580" s="441">
        <v>46180</v>
      </c>
      <c r="AK580" s="441">
        <v>46180</v>
      </c>
      <c r="AL580" s="441">
        <v>46237</v>
      </c>
      <c r="AM580" s="441">
        <v>46245</v>
      </c>
      <c r="AN580" s="441">
        <v>46247</v>
      </c>
      <c r="AO580" s="431" t="s">
        <v>402</v>
      </c>
      <c r="AP580" s="431" t="s">
        <v>4783</v>
      </c>
      <c r="AQ580" s="431" t="s">
        <v>161</v>
      </c>
      <c r="AR580" s="431" t="s">
        <v>4784</v>
      </c>
      <c r="AS580" s="431" t="s">
        <v>4785</v>
      </c>
      <c r="AT580" s="482" t="s">
        <v>4785</v>
      </c>
      <c r="AU58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67</v>
      </c>
      <c r="AV580" s="441"/>
      <c r="AW580" s="441" cm="1">
        <f t="array" ref="AW58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46247</v>
      </c>
      <c r="AX58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80" s="441">
        <f>IF(ISERROR(PV_DATA[[#This Row],[New Ark PO status]]),"",_xlfn.XLOOKUP(PV_DATA[[#This Row],[SPTN-PVHK New Ark PO'#]],New_Ark_Data[Purchase order Number],New_Ark_Data[Estimated time of arrival],"",0))</f>
        <v>46237</v>
      </c>
      <c r="AZ580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80" s="441">
        <f>IFERROR(PV_DATA[[#This Row],[ODP ETA Port]]+PV_DATA[[#This Row],[Customs/Leg3 Assumption]],"n/a")</f>
        <v>46247</v>
      </c>
      <c r="BB580" s="442">
        <f>YEAR(PV_DATA[[#This Row],[ETA for New Ark update]])</f>
        <v>2026</v>
      </c>
      <c r="BC580" s="431">
        <f>MONTH(PV_DATA[[#This Row],[ETA for New Ark update]])</f>
        <v>8</v>
      </c>
      <c r="BD580" s="431">
        <f>IFERROR(_xlfn.ISOWEEKNUM(PV_DATA[[#This Row],[ETA for New Ark update]]),0)</f>
        <v>33</v>
      </c>
      <c r="BE580" s="431">
        <f>_xlfn.XLOOKUP(PV_DATA[[#This Row],[New Ark SKU]],Table9[New Ark SKU],Table9[Total PCS per Pallet],,0)</f>
        <v>36</v>
      </c>
      <c r="BF580" s="431">
        <f>_xlfn.XLOOKUP(PV_DATA[[#This Row],[New Ark SKU]],Table9[New Ark SKU],Table9[Total PCS per 40HQ Container],,0)</f>
        <v>864</v>
      </c>
      <c r="BG580" s="431" t="str">
        <f>_xlfn.XLOOKUP(PV_DATA[[#This Row],[New Ark SKU]],Table9[New Ark SKU],Table9[Back Glass],,0)</f>
        <v>Black glazing</v>
      </c>
      <c r="BH580" s="431" t="str">
        <f>_xlfn.XLOOKUP(PV_DATA[[#This Row],[PORT DESTINATION]],Table12[PORT DESTINATION],Table12[Cosco Line],,0)</f>
        <v>AEU</v>
      </c>
    </row>
    <row r="581" spans="1:60" s="431" customFormat="1" ht="10.5" hidden="1">
      <c r="A581" s="439" t="s">
        <v>4786</v>
      </c>
      <c r="B581" s="439" t="s">
        <v>111</v>
      </c>
      <c r="C581" s="439" t="str">
        <f>IFERROR(LEFT(PV_DATA[[#This Row],[TCL REFERENCE]],FIND(".",PV_DATA[[#This Row],[TCL REFERENCE]],1)-1),"Main Line")</f>
        <v>26May011</v>
      </c>
      <c r="D581" s="439" t="s">
        <v>63</v>
      </c>
      <c r="E581" s="439" t="s">
        <v>144</v>
      </c>
      <c r="F581" s="439" t="str" cm="1">
        <f t="array" ref="F58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81" s="439" t="s">
        <v>68</v>
      </c>
      <c r="H581" s="439" t="s">
        <v>941</v>
      </c>
      <c r="I581" s="439" t="s">
        <v>68</v>
      </c>
      <c r="J581" s="431" t="s">
        <v>4787</v>
      </c>
      <c r="M581" s="431" t="s">
        <v>68</v>
      </c>
      <c r="N581" s="461">
        <v>46167</v>
      </c>
      <c r="O581" s="431" t="s">
        <v>4540</v>
      </c>
      <c r="P581" s="431" t="s">
        <v>4601</v>
      </c>
      <c r="Q581" s="431" t="s">
        <v>330</v>
      </c>
      <c r="R581" s="431" t="str">
        <f>_xlfn.XLOOKUP(PV_DATA[[#This Row],[New Ark SKU]],Table9[New Ark SKU],Table9[Connector],,0)</f>
        <v>H4(Com)</v>
      </c>
      <c r="S581" s="442" t="str">
        <f>_xlfn.XLOOKUP(PV_DATA[[#This Row],[New Ark SKU]],Table9[New Ark SKU],Table9[Cable],,0)</f>
        <v>+400mm/-200mm</v>
      </c>
      <c r="T581" s="442">
        <v>625</v>
      </c>
      <c r="U581" s="1067">
        <f>720*3</f>
        <v>2160</v>
      </c>
      <c r="V581" s="444">
        <f>PV_DATA[[#This Row],[QUANTITY]]*PV_DATA[[#This Row],[WATT]]/1000000</f>
        <v>1.35</v>
      </c>
      <c r="W581" s="466">
        <f>PV_DATA[[#This Row],[QUANTITY]]/PV_DATA[[#This Row],[Qty/Pallet]]</f>
        <v>60</v>
      </c>
      <c r="X581" s="1019">
        <f>PV_DATA[[#This Row],[QUANTITY]]/PV_DATA[[#This Row],[Qty/CT]]</f>
        <v>3</v>
      </c>
      <c r="Y581" s="430" t="s">
        <v>75</v>
      </c>
      <c r="Z581" s="430" t="str">
        <f t="shared" si="6"/>
        <v>COMPLETED</v>
      </c>
      <c r="AA581" s="431" t="s">
        <v>4788</v>
      </c>
      <c r="AB581" s="441">
        <v>46175</v>
      </c>
      <c r="AC581" s="467">
        <f>IF(PV_DATA[[#This Row],[Pick-Up Date]]&lt;&gt;"",_xlfn.ISOWEEKNUM(PV_DATA[[#This Row],[Pick-Up Date]]),"")</f>
        <v>23</v>
      </c>
      <c r="AD581" s="431" t="s">
        <v>4789</v>
      </c>
      <c r="AF581" s="431" t="s">
        <v>122</v>
      </c>
      <c r="AG581" s="431" t="s">
        <v>123</v>
      </c>
      <c r="AH581" s="447" t="s">
        <v>4790</v>
      </c>
      <c r="AI581" s="441">
        <v>46174</v>
      </c>
      <c r="AJ581" s="441">
        <v>46180</v>
      </c>
      <c r="AK581" s="441">
        <v>46179</v>
      </c>
      <c r="AL581" s="441">
        <v>46183</v>
      </c>
      <c r="AM581" s="441">
        <v>46187</v>
      </c>
      <c r="AN581" s="441">
        <v>46188</v>
      </c>
      <c r="AO581" s="431" t="s">
        <v>402</v>
      </c>
      <c r="AP581" s="431" t="s">
        <v>4791</v>
      </c>
      <c r="AQ581" s="431" t="s">
        <v>161</v>
      </c>
      <c r="AR581" s="431" t="s">
        <v>4792</v>
      </c>
      <c r="AS581" s="431" t="s">
        <v>4793</v>
      </c>
      <c r="AT581" s="482" t="s">
        <v>4793</v>
      </c>
      <c r="AU58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9</v>
      </c>
      <c r="AV581" s="441"/>
      <c r="AW581" s="441" cm="1">
        <f t="array" ref="AW58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46188</v>
      </c>
      <c r="AX58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581" s="441" t="str">
        <f>IF(ISERROR(PV_DATA[[#This Row],[New Ark PO status]]),"",_xlfn.XLOOKUP(PV_DATA[[#This Row],[SPTN-PVHK New Ark PO'#]],New_Ark_Data[Purchase order Number],New_Ark_Data[Estimated time of arrival],"",0))</f>
        <v/>
      </c>
      <c r="AZ581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81" s="441">
        <f>IFERROR(PV_DATA[[#This Row],[ODP ETA Port]]+PV_DATA[[#This Row],[Customs/Leg3 Assumption]],"n/a")</f>
        <v>46188</v>
      </c>
      <c r="BB581" s="442">
        <f>YEAR(PV_DATA[[#This Row],[ETA for New Ark update]])</f>
        <v>2026</v>
      </c>
      <c r="BC581" s="431">
        <f>MONTH(PV_DATA[[#This Row],[ETA for New Ark update]])</f>
        <v>6</v>
      </c>
      <c r="BD581" s="431">
        <f>IFERROR(_xlfn.ISOWEEKNUM(PV_DATA[[#This Row],[ETA for New Ark update]]),0)</f>
        <v>25</v>
      </c>
      <c r="BE581" s="431">
        <f>_xlfn.XLOOKUP(PV_DATA[[#This Row],[New Ark SKU]],Table9[New Ark SKU],Table9[Total PCS per Pallet],,0)</f>
        <v>36</v>
      </c>
      <c r="BF581" s="431">
        <f>_xlfn.XLOOKUP(PV_DATA[[#This Row],[New Ark SKU]],Table9[New Ark SKU],Table9[Total PCS per 40HQ Container],,0)</f>
        <v>720</v>
      </c>
      <c r="BG581" s="431" t="str">
        <f>_xlfn.XLOOKUP(PV_DATA[[#This Row],[New Ark SKU]],Table9[New Ark SKU],Table9[Back Glass],,0)</f>
        <v>Transparent</v>
      </c>
      <c r="BH581" s="431" t="str">
        <f>_xlfn.XLOOKUP(PV_DATA[[#This Row],[PORT DESTINATION]],Table12[PORT DESTINATION],Table12[Cosco Line],,0)</f>
        <v>n/a</v>
      </c>
    </row>
    <row r="582" spans="1:60" s="431" customFormat="1" ht="10.5" hidden="1">
      <c r="A582" s="439" t="s">
        <v>4794</v>
      </c>
      <c r="B582" s="439" t="s">
        <v>111</v>
      </c>
      <c r="C582" s="439" t="str">
        <f>IFERROR(LEFT(PV_DATA[[#This Row],[TCL REFERENCE]],FIND(".",PV_DATA[[#This Row],[TCL REFERENCE]],1)-1),"Main Line")</f>
        <v>26May006</v>
      </c>
      <c r="D582" s="439" t="s">
        <v>63</v>
      </c>
      <c r="E582" s="439" t="s">
        <v>64</v>
      </c>
      <c r="F582" s="439" t="str" cm="1">
        <f t="array" ref="F58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582" s="439" t="s">
        <v>402</v>
      </c>
      <c r="H582" s="439" t="s">
        <v>451</v>
      </c>
      <c r="I582" s="439" t="s">
        <v>822</v>
      </c>
      <c r="J582" s="431" t="s">
        <v>4795</v>
      </c>
      <c r="M582" s="431" t="s">
        <v>68</v>
      </c>
      <c r="N582" s="461">
        <v>46160</v>
      </c>
      <c r="O582" s="431" t="s">
        <v>132</v>
      </c>
      <c r="P582" s="431" t="s">
        <v>1062</v>
      </c>
      <c r="Q582" s="431" t="s">
        <v>1063</v>
      </c>
      <c r="R582" s="431" t="str">
        <f>_xlfn.XLOOKUP(PV_DATA[[#This Row],[New Ark SKU]],Table9[New Ark SKU],Table9[Connector],,0)</f>
        <v>EVO2A</v>
      </c>
      <c r="S582" s="442" t="str">
        <f>_xlfn.XLOOKUP(PV_DATA[[#This Row],[New Ark SKU]],Table9[New Ark SKU],Table9[Cable],,0)</f>
        <v>±1200mm</v>
      </c>
      <c r="T582" s="442">
        <v>470</v>
      </c>
      <c r="U582" s="1067">
        <f>864*2</f>
        <v>1728</v>
      </c>
      <c r="V582" s="448">
        <f>PV_DATA[[#This Row],[QUANTITY]]*PV_DATA[[#This Row],[WATT]]/1000000</f>
        <v>0.81215999999999999</v>
      </c>
      <c r="W582" s="466">
        <f>PV_DATA[[#This Row],[QUANTITY]]/PV_DATA[[#This Row],[Qty/Pallet]]</f>
        <v>48</v>
      </c>
      <c r="X582" s="1019">
        <f>PV_DATA[[#This Row],[QUANTITY]]/PV_DATA[[#This Row],[Qty/CT]]</f>
        <v>2</v>
      </c>
      <c r="Y582" s="439" t="s">
        <v>951</v>
      </c>
      <c r="Z582" s="430" t="str">
        <f t="shared" si="6"/>
        <v>COMPLETED</v>
      </c>
      <c r="AA582" s="478" t="s">
        <v>4709</v>
      </c>
      <c r="AB582" s="441">
        <v>46175</v>
      </c>
      <c r="AC582" s="467">
        <f>IF(PV_DATA[[#This Row],[Pick-Up Date]]&lt;&gt;"",_xlfn.ISOWEEKNUM(PV_DATA[[#This Row],[Pick-Up Date]]),"")</f>
        <v>23</v>
      </c>
      <c r="AD582" s="431" t="s">
        <v>4796</v>
      </c>
      <c r="AF582" s="431" t="s">
        <v>122</v>
      </c>
      <c r="AG582" s="431" t="s">
        <v>123</v>
      </c>
      <c r="AH582" s="431" t="s">
        <v>456</v>
      </c>
      <c r="AI582" s="441">
        <v>46181</v>
      </c>
      <c r="AJ582" s="441">
        <v>46183</v>
      </c>
      <c r="AK582" s="441">
        <v>46183</v>
      </c>
      <c r="AL582" s="441">
        <v>46222</v>
      </c>
      <c r="AM582" s="441">
        <v>46224</v>
      </c>
      <c r="AN582" s="441">
        <v>46224</v>
      </c>
      <c r="AO582" s="431" t="s">
        <v>402</v>
      </c>
      <c r="AP582" s="431" t="s">
        <v>4797</v>
      </c>
      <c r="AQ582" s="431" t="s">
        <v>80</v>
      </c>
      <c r="AR582" s="431" t="s">
        <v>4798</v>
      </c>
      <c r="AS582" s="431" t="s">
        <v>4799</v>
      </c>
      <c r="AT582" s="482" t="s">
        <v>4799</v>
      </c>
      <c r="AU58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V582" s="441"/>
      <c r="AW582" s="441" cm="1">
        <f t="array" ref="AW58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46224</v>
      </c>
      <c r="AX58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82" s="441">
        <f>IF(ISERROR(PV_DATA[[#This Row],[New Ark PO status]]),"",_xlfn.XLOOKUP(PV_DATA[[#This Row],[SPTN-PVHK New Ark PO'#]],New_Ark_Data[Purchase order Number],New_Ark_Data[Estimated time of arrival],"",0))</f>
        <v>46238</v>
      </c>
      <c r="AZ58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82" s="441">
        <f>IFERROR(PV_DATA[[#This Row],[ODP ETA Port]]+PV_DATA[[#This Row],[Customs/Leg3 Assumption]],"n/a")</f>
        <v>46231</v>
      </c>
      <c r="BB582" s="442">
        <f>YEAR(PV_DATA[[#This Row],[ETA for New Ark update]])</f>
        <v>2026</v>
      </c>
      <c r="BC582" s="431">
        <f>MONTH(PV_DATA[[#This Row],[ETA for New Ark update]])</f>
        <v>7</v>
      </c>
      <c r="BD582" s="431">
        <f>IFERROR(_xlfn.ISOWEEKNUM(PV_DATA[[#This Row],[ETA for New Ark update]]),0)</f>
        <v>31</v>
      </c>
      <c r="BE582" s="431">
        <f>_xlfn.XLOOKUP(PV_DATA[[#This Row],[New Ark SKU]],Table9[New Ark SKU],Table9[Total PCS per Pallet],,0)</f>
        <v>36</v>
      </c>
      <c r="BF582" s="431">
        <f>_xlfn.XLOOKUP(PV_DATA[[#This Row],[New Ark SKU]],Table9[New Ark SKU],Table9[Total PCS per 40HQ Container],,0)</f>
        <v>864</v>
      </c>
      <c r="BG582" s="431" t="str">
        <f>_xlfn.XLOOKUP(PV_DATA[[#This Row],[New Ark SKU]],Table9[New Ark SKU],Table9[Back Glass],,0)</f>
        <v>White glazing</v>
      </c>
      <c r="BH582" s="431" t="str">
        <f>_xlfn.XLOOKUP(PV_DATA[[#This Row],[PORT DESTINATION]],Table12[PORT DESTINATION],Table12[Cosco Line],,0)</f>
        <v>AEU</v>
      </c>
    </row>
    <row r="583" spans="1:60" s="431" customFormat="1" ht="10.5" hidden="1">
      <c r="A583" s="439" t="s">
        <v>4800</v>
      </c>
      <c r="B583" s="439" t="s">
        <v>111</v>
      </c>
      <c r="C583" s="439" t="str">
        <f>IFERROR(LEFT(PV_DATA[[#This Row],[TCL REFERENCE]],FIND(".",PV_DATA[[#This Row],[TCL REFERENCE]],1)-1),"Main Line")</f>
        <v>26May011</v>
      </c>
      <c r="D583" s="439" t="s">
        <v>63</v>
      </c>
      <c r="E583" s="439" t="s">
        <v>144</v>
      </c>
      <c r="F583" s="439" t="str" cm="1">
        <f t="array" ref="F58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83" s="439" t="s">
        <v>402</v>
      </c>
      <c r="H583" s="719" t="s">
        <v>1449</v>
      </c>
      <c r="I583" s="439" t="s">
        <v>689</v>
      </c>
      <c r="J583" s="431" t="s">
        <v>4600</v>
      </c>
      <c r="K583" s="431" t="s">
        <v>1451</v>
      </c>
      <c r="L583" s="450">
        <v>16</v>
      </c>
      <c r="M583" s="431" t="s">
        <v>840</v>
      </c>
      <c r="N583" s="461">
        <v>46160</v>
      </c>
      <c r="O583" s="431" t="s">
        <v>4540</v>
      </c>
      <c r="P583" s="431" t="s">
        <v>4601</v>
      </c>
      <c r="Q583" s="431" t="s">
        <v>330</v>
      </c>
      <c r="R583" s="431" t="str">
        <f>_xlfn.XLOOKUP(PV_DATA[[#This Row],[New Ark SKU]],Table9[New Ark SKU],Table9[Connector],,0)</f>
        <v>H4(Com)</v>
      </c>
      <c r="S583" s="442" t="str">
        <f>_xlfn.XLOOKUP(PV_DATA[[#This Row],[New Ark SKU]],Table9[New Ark SKU],Table9[Cable],,0)</f>
        <v>+400mm/-200mm</v>
      </c>
      <c r="T583" s="442">
        <v>625</v>
      </c>
      <c r="U583" s="1067">
        <f>720*9</f>
        <v>6480</v>
      </c>
      <c r="V583" s="444">
        <f>PV_DATA[[#This Row],[QUANTITY]]*PV_DATA[[#This Row],[WATT]]/1000000</f>
        <v>4.05</v>
      </c>
      <c r="W583" s="466">
        <f>PV_DATA[[#This Row],[QUANTITY]]/PV_DATA[[#This Row],[Qty/Pallet]]</f>
        <v>180</v>
      </c>
      <c r="X583" s="1019">
        <f>PV_DATA[[#This Row],[QUANTITY]]/PV_DATA[[#This Row],[Qty/CT]]</f>
        <v>9</v>
      </c>
      <c r="Y583" s="431" t="s">
        <v>4365</v>
      </c>
      <c r="Z583" s="430" t="str">
        <f t="shared" si="6"/>
        <v>COMPLETED</v>
      </c>
      <c r="AB583" s="441">
        <v>46176</v>
      </c>
      <c r="AC583" s="467">
        <f>IF(PV_DATA[[#This Row],[Pick-Up Date]]&lt;&gt;"",_xlfn.ISOWEEKNUM(PV_DATA[[#This Row],[Pick-Up Date]]),"")</f>
        <v>23</v>
      </c>
      <c r="AD583" s="431" t="s">
        <v>4801</v>
      </c>
      <c r="AF583" s="431" t="s">
        <v>122</v>
      </c>
      <c r="AG583" s="431" t="s">
        <v>123</v>
      </c>
      <c r="AH583" s="431" t="s">
        <v>105</v>
      </c>
      <c r="AI583" s="441">
        <v>46184</v>
      </c>
      <c r="AJ583" s="441"/>
      <c r="AK583" s="441">
        <v>46186</v>
      </c>
      <c r="AL583" s="441">
        <v>46217</v>
      </c>
      <c r="AM583" s="441">
        <v>46223</v>
      </c>
      <c r="AN583" s="441">
        <v>46223</v>
      </c>
      <c r="AO583" s="431" t="s">
        <v>402</v>
      </c>
      <c r="AP583" s="431" t="s">
        <v>4761</v>
      </c>
      <c r="AQ583" s="431" t="s">
        <v>80</v>
      </c>
      <c r="AR583" s="431" t="s">
        <v>4802</v>
      </c>
      <c r="AS583" s="431" t="s">
        <v>4803</v>
      </c>
      <c r="AT583" s="482" t="s">
        <v>4803</v>
      </c>
      <c r="AU58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</v>
      </c>
      <c r="AV583" s="441"/>
      <c r="AW583" s="441" cm="1">
        <f t="array" ref="AW58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46223</v>
      </c>
      <c r="AX58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83" s="441">
        <f>IF(ISERROR(PV_DATA[[#This Row],[New Ark PO status]]),"",_xlfn.XLOOKUP(PV_DATA[[#This Row],[SPTN-PVHK New Ark PO'#]],New_Ark_Data[Purchase order Number],New_Ark_Data[Estimated time of arrival],"",0))</f>
        <v>46217</v>
      </c>
      <c r="AZ583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83" s="441">
        <f>IFERROR(PV_DATA[[#This Row],[ODP ETA Port]]+PV_DATA[[#This Row],[Customs/Leg3 Assumption]],"n/a")</f>
        <v>46223</v>
      </c>
      <c r="BB583" s="442">
        <f>YEAR(PV_DATA[[#This Row],[ETA for New Ark update]])</f>
        <v>2026</v>
      </c>
      <c r="BC583" s="431">
        <f>MONTH(PV_DATA[[#This Row],[ETA for New Ark update]])</f>
        <v>7</v>
      </c>
      <c r="BD583" s="431">
        <f>IFERROR(_xlfn.ISOWEEKNUM(PV_DATA[[#This Row],[ETA for New Ark update]]),0)</f>
        <v>30</v>
      </c>
      <c r="BE583" s="431">
        <f>_xlfn.XLOOKUP(PV_DATA[[#This Row],[New Ark SKU]],Table9[New Ark SKU],Table9[Total PCS per Pallet],,0)</f>
        <v>36</v>
      </c>
      <c r="BF583" s="431">
        <f>_xlfn.XLOOKUP(PV_DATA[[#This Row],[New Ark SKU]],Table9[New Ark SKU],Table9[Total PCS per 40HQ Container],,0)</f>
        <v>720</v>
      </c>
      <c r="BG583" s="431" t="str">
        <f>_xlfn.XLOOKUP(PV_DATA[[#This Row],[New Ark SKU]],Table9[New Ark SKU],Table9[Back Glass],,0)</f>
        <v>Transparent</v>
      </c>
      <c r="BH583" s="431" t="str">
        <f>_xlfn.XLOOKUP(PV_DATA[[#This Row],[PORT DESTINATION]],Table12[PORT DESTINATION],Table12[Cosco Line],,0)</f>
        <v>AEU</v>
      </c>
    </row>
    <row r="584" spans="1:60" s="431" customFormat="1" ht="10.5" hidden="1">
      <c r="A584" s="439" t="s">
        <v>4804</v>
      </c>
      <c r="B584" s="439" t="s">
        <v>111</v>
      </c>
      <c r="C584" s="439" t="str">
        <f>IFERROR(LEFT(PV_DATA[[#This Row],[TCL REFERENCE]],FIND(".",PV_DATA[[#This Row],[TCL REFERENCE]],1)-1),"Main Line")</f>
        <v>26May011</v>
      </c>
      <c r="D584" s="439" t="s">
        <v>63</v>
      </c>
      <c r="E584" s="439" t="s">
        <v>144</v>
      </c>
      <c r="F584" s="439" t="str" cm="1">
        <f t="array" ref="F58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84" s="439" t="s">
        <v>402</v>
      </c>
      <c r="H584" s="719" t="s">
        <v>1449</v>
      </c>
      <c r="I584" s="439" t="s">
        <v>689</v>
      </c>
      <c r="J584" s="431" t="s">
        <v>4600</v>
      </c>
      <c r="K584" s="431" t="s">
        <v>1451</v>
      </c>
      <c r="L584" s="450">
        <v>18</v>
      </c>
      <c r="M584" s="431" t="s">
        <v>840</v>
      </c>
      <c r="N584" s="461">
        <v>46160</v>
      </c>
      <c r="O584" s="431" t="s">
        <v>4540</v>
      </c>
      <c r="P584" s="431" t="s">
        <v>4601</v>
      </c>
      <c r="Q584" s="431" t="s">
        <v>330</v>
      </c>
      <c r="R584" s="431" t="str">
        <f>_xlfn.XLOOKUP(PV_DATA[[#This Row],[New Ark SKU]],Table9[New Ark SKU],Table9[Connector],,0)</f>
        <v>H4(Com)</v>
      </c>
      <c r="S584" s="442" t="str">
        <f>_xlfn.XLOOKUP(PV_DATA[[#This Row],[New Ark SKU]],Table9[New Ark SKU],Table9[Cable],,0)</f>
        <v>+400mm/-200mm</v>
      </c>
      <c r="T584" s="442">
        <v>625</v>
      </c>
      <c r="U584" s="1067">
        <f>720*1</f>
        <v>720</v>
      </c>
      <c r="V584" s="444">
        <f>PV_DATA[[#This Row],[QUANTITY]]*PV_DATA[[#This Row],[WATT]]/1000000</f>
        <v>0.45</v>
      </c>
      <c r="W584" s="466">
        <f>PV_DATA[[#This Row],[QUANTITY]]/PV_DATA[[#This Row],[Qty/Pallet]]</f>
        <v>20</v>
      </c>
      <c r="X584" s="1019">
        <f>PV_DATA[[#This Row],[QUANTITY]]/PV_DATA[[#This Row],[Qty/CT]]</f>
        <v>1</v>
      </c>
      <c r="Y584" s="431" t="s">
        <v>4365</v>
      </c>
      <c r="Z584" s="430" t="str">
        <f t="shared" si="6"/>
        <v>COMPLETED</v>
      </c>
      <c r="AB584" s="441">
        <v>46176</v>
      </c>
      <c r="AC584" s="467">
        <f>IF(PV_DATA[[#This Row],[Pick-Up Date]]&lt;&gt;"",_xlfn.ISOWEEKNUM(PV_DATA[[#This Row],[Pick-Up Date]]),"")</f>
        <v>23</v>
      </c>
      <c r="AD584" s="431" t="s">
        <v>4805</v>
      </c>
      <c r="AF584" s="431" t="s">
        <v>122</v>
      </c>
      <c r="AG584" s="431" t="s">
        <v>123</v>
      </c>
      <c r="AH584" s="431" t="s">
        <v>105</v>
      </c>
      <c r="AI584" s="441">
        <v>46184</v>
      </c>
      <c r="AJ584" s="441"/>
      <c r="AK584" s="441">
        <v>46185</v>
      </c>
      <c r="AL584" s="441">
        <v>46217</v>
      </c>
      <c r="AM584" s="441">
        <v>46226</v>
      </c>
      <c r="AN584" s="441">
        <v>46226</v>
      </c>
      <c r="AO584" s="431" t="s">
        <v>402</v>
      </c>
      <c r="AP584" s="431" t="s">
        <v>4761</v>
      </c>
      <c r="AQ584" s="431" t="s">
        <v>161</v>
      </c>
      <c r="AR584" s="431" t="s">
        <v>4806</v>
      </c>
      <c r="AT584" s="482" t="s">
        <v>4807</v>
      </c>
      <c r="AU58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V584" s="441"/>
      <c r="AW584" s="441" cm="1">
        <f t="array" ref="AW58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46226</v>
      </c>
      <c r="AX58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84" s="441">
        <f>IF(ISERROR(PV_DATA[[#This Row],[New Ark PO status]]),"",_xlfn.XLOOKUP(PV_DATA[[#This Row],[SPTN-PVHK New Ark PO'#]],New_Ark_Data[Purchase order Number],New_Ark_Data[Estimated time of arrival],"",0))</f>
        <v>46217</v>
      </c>
      <c r="AZ584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84" s="441">
        <f>IFERROR(PV_DATA[[#This Row],[ODP ETA Port]]+PV_DATA[[#This Row],[Customs/Leg3 Assumption]],"n/a")</f>
        <v>46226</v>
      </c>
      <c r="BB584" s="442">
        <f>YEAR(PV_DATA[[#This Row],[ETA for New Ark update]])</f>
        <v>2026</v>
      </c>
      <c r="BC584" s="431">
        <f>MONTH(PV_DATA[[#This Row],[ETA for New Ark update]])</f>
        <v>7</v>
      </c>
      <c r="BD584" s="431">
        <f>IFERROR(_xlfn.ISOWEEKNUM(PV_DATA[[#This Row],[ETA for New Ark update]]),0)</f>
        <v>30</v>
      </c>
      <c r="BE584" s="431">
        <f>_xlfn.XLOOKUP(PV_DATA[[#This Row],[New Ark SKU]],Table9[New Ark SKU],Table9[Total PCS per Pallet],,0)</f>
        <v>36</v>
      </c>
      <c r="BF584" s="431">
        <f>_xlfn.XLOOKUP(PV_DATA[[#This Row],[New Ark SKU]],Table9[New Ark SKU],Table9[Total PCS per 40HQ Container],,0)</f>
        <v>720</v>
      </c>
      <c r="BG584" s="431" t="str">
        <f>_xlfn.XLOOKUP(PV_DATA[[#This Row],[New Ark SKU]],Table9[New Ark SKU],Table9[Back Glass],,0)</f>
        <v>Transparent</v>
      </c>
      <c r="BH584" s="431" t="str">
        <f>_xlfn.XLOOKUP(PV_DATA[[#This Row],[PORT DESTINATION]],Table12[PORT DESTINATION],Table12[Cosco Line],,0)</f>
        <v>AEU</v>
      </c>
    </row>
    <row r="585" spans="1:60" s="431" customFormat="1" ht="10.5" hidden="1">
      <c r="A585" s="439" t="s">
        <v>4808</v>
      </c>
      <c r="B585" s="439" t="s">
        <v>111</v>
      </c>
      <c r="C585" s="439" t="str">
        <f>IFERROR(LEFT(PV_DATA[[#This Row],[TCL REFERENCE]],FIND(".",PV_DATA[[#This Row],[TCL REFERENCE]],1)-1),"Main Line")</f>
        <v>26May012</v>
      </c>
      <c r="D585" s="439" t="s">
        <v>63</v>
      </c>
      <c r="E585" s="439" t="s">
        <v>144</v>
      </c>
      <c r="F585" s="439" t="str" cm="1">
        <f t="array" ref="F58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85" s="439" t="s">
        <v>402</v>
      </c>
      <c r="H585" s="719" t="s">
        <v>1449</v>
      </c>
      <c r="I585" s="439" t="s">
        <v>689</v>
      </c>
      <c r="J585" s="431" t="s">
        <v>4600</v>
      </c>
      <c r="K585" s="431" t="s">
        <v>1451</v>
      </c>
      <c r="L585" s="450">
        <v>17</v>
      </c>
      <c r="M585" s="431" t="s">
        <v>840</v>
      </c>
      <c r="N585" s="461">
        <v>46160</v>
      </c>
      <c r="O585" s="431" t="s">
        <v>4540</v>
      </c>
      <c r="P585" s="431" t="s">
        <v>4606</v>
      </c>
      <c r="Q585" s="431" t="s">
        <v>4607</v>
      </c>
      <c r="R585" s="431" t="str">
        <f>_xlfn.XLOOKUP(PV_DATA[[#This Row],[New Ark SKU]],Table9[New Ark SKU],Table9[Connector],,0)</f>
        <v>H4(Com)</v>
      </c>
      <c r="S585" s="442" t="str">
        <f>_xlfn.XLOOKUP(PV_DATA[[#This Row],[New Ark SKU]],Table9[New Ark SKU],Table9[Cable],,0)</f>
        <v>+400mm/-200mm</v>
      </c>
      <c r="T585" s="442">
        <v>630</v>
      </c>
      <c r="U585" s="1067">
        <f>720*4</f>
        <v>2880</v>
      </c>
      <c r="V585" s="444">
        <f>PV_DATA[[#This Row],[QUANTITY]]*PV_DATA[[#This Row],[WATT]]/1000000</f>
        <v>1.8144</v>
      </c>
      <c r="W585" s="466">
        <f>PV_DATA[[#This Row],[QUANTITY]]/PV_DATA[[#This Row],[Qty/Pallet]]</f>
        <v>80</v>
      </c>
      <c r="X585" s="1019">
        <f>PV_DATA[[#This Row],[QUANTITY]]/PV_DATA[[#This Row],[Qty/CT]]</f>
        <v>4</v>
      </c>
      <c r="Y585" s="431" t="s">
        <v>4365</v>
      </c>
      <c r="Z585" s="430" t="str">
        <f t="shared" si="6"/>
        <v>COMPLETED</v>
      </c>
      <c r="AB585" s="441">
        <v>46177</v>
      </c>
      <c r="AC585" s="467">
        <f>IF(PV_DATA[[#This Row],[Pick-Up Date]]&lt;&gt;"",_xlfn.ISOWEEKNUM(PV_DATA[[#This Row],[Pick-Up Date]]),"")</f>
        <v>23</v>
      </c>
      <c r="AD585" s="431" t="s">
        <v>4809</v>
      </c>
      <c r="AF585" s="431" t="s">
        <v>122</v>
      </c>
      <c r="AG585" s="431" t="s">
        <v>123</v>
      </c>
      <c r="AH585" s="431" t="s">
        <v>105</v>
      </c>
      <c r="AI585" s="441">
        <v>46183</v>
      </c>
      <c r="AJ585" s="441">
        <v>46184</v>
      </c>
      <c r="AK585" s="441">
        <v>46186</v>
      </c>
      <c r="AL585" s="441">
        <v>46233</v>
      </c>
      <c r="AM585" s="441">
        <v>46235</v>
      </c>
      <c r="AN585" s="441">
        <v>46240</v>
      </c>
      <c r="AO585" s="431" t="s">
        <v>402</v>
      </c>
      <c r="AP585" s="431" t="s">
        <v>4810</v>
      </c>
      <c r="AQ585" s="431" t="s">
        <v>161</v>
      </c>
      <c r="AR585" s="431" t="s">
        <v>4811</v>
      </c>
      <c r="AT585" s="482" t="s">
        <v>4812</v>
      </c>
      <c r="AU58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</v>
      </c>
      <c r="AV585" s="441"/>
      <c r="AW585" s="441" cm="1">
        <f t="array" ref="AW58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46240</v>
      </c>
      <c r="AX58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85" s="441">
        <f>IF(ISERROR(PV_DATA[[#This Row],[New Ark PO status]]),"",_xlfn.XLOOKUP(PV_DATA[[#This Row],[SPTN-PVHK New Ark PO'#]],New_Ark_Data[Purchase order Number],New_Ark_Data[Estimated time of arrival],"",0))</f>
        <v>46233</v>
      </c>
      <c r="AZ585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85" s="441">
        <f>IFERROR(PV_DATA[[#This Row],[ODP ETA Port]]+PV_DATA[[#This Row],[Customs/Leg3 Assumption]],"n/a")</f>
        <v>46240</v>
      </c>
      <c r="BB585" s="442">
        <f>YEAR(PV_DATA[[#This Row],[ETA for New Ark update]])</f>
        <v>2026</v>
      </c>
      <c r="BC585" s="431">
        <f>MONTH(PV_DATA[[#This Row],[ETA for New Ark update]])</f>
        <v>8</v>
      </c>
      <c r="BD585" s="431">
        <f>IFERROR(_xlfn.ISOWEEKNUM(PV_DATA[[#This Row],[ETA for New Ark update]]),0)</f>
        <v>32</v>
      </c>
      <c r="BE585" s="431">
        <f>_xlfn.XLOOKUP(PV_DATA[[#This Row],[New Ark SKU]],Table9[New Ark SKU],Table9[Total PCS per Pallet],,0)</f>
        <v>36</v>
      </c>
      <c r="BF585" s="431">
        <f>_xlfn.XLOOKUP(PV_DATA[[#This Row],[New Ark SKU]],Table9[New Ark SKU],Table9[Total PCS per 40HQ Container],,0)</f>
        <v>720</v>
      </c>
      <c r="BG585" s="431" t="str">
        <f>_xlfn.XLOOKUP(PV_DATA[[#This Row],[New Ark SKU]],Table9[New Ark SKU],Table9[Back Glass],,0)</f>
        <v>Transparent</v>
      </c>
      <c r="BH585" s="431" t="str">
        <f>_xlfn.XLOOKUP(PV_DATA[[#This Row],[PORT DESTINATION]],Table12[PORT DESTINATION],Table12[Cosco Line],,0)</f>
        <v>AEU</v>
      </c>
    </row>
    <row r="586" spans="1:60" s="431" customFormat="1" ht="10.5" hidden="1">
      <c r="A586" s="439" t="s">
        <v>4813</v>
      </c>
      <c r="B586" s="439" t="s">
        <v>2132</v>
      </c>
      <c r="C586" s="439" t="str">
        <f>IFERROR(LEFT(PV_DATA[[#This Row],[TCL REFERENCE]],FIND(".",PV_DATA[[#This Row],[TCL REFERENCE]],1)-1),"Main Line")</f>
        <v>26May004</v>
      </c>
      <c r="D586" s="439" t="s">
        <v>63</v>
      </c>
      <c r="E586" s="439" t="s">
        <v>64</v>
      </c>
      <c r="F586" s="439" t="str" cm="1">
        <f t="array" ref="F58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586" s="439" t="s">
        <v>402</v>
      </c>
      <c r="H586" s="439" t="s">
        <v>67</v>
      </c>
      <c r="I586" s="439" t="s">
        <v>689</v>
      </c>
      <c r="J586" s="431" t="s">
        <v>96</v>
      </c>
      <c r="M586" s="431" t="s">
        <v>68</v>
      </c>
      <c r="N586" s="461">
        <v>46160</v>
      </c>
      <c r="O586" s="431" t="s">
        <v>170</v>
      </c>
      <c r="P586" s="431" t="s">
        <v>1977</v>
      </c>
      <c r="Q586" s="431" t="s">
        <v>1978</v>
      </c>
      <c r="R586" s="431" t="str">
        <f>_xlfn.XLOOKUP(PV_DATA[[#This Row],[New Ark SKU]],Table9[New Ark SKU],Table9[Connector],,0)</f>
        <v>EVO2A</v>
      </c>
      <c r="S586" s="442" t="str">
        <f>_xlfn.XLOOKUP(PV_DATA[[#This Row],[New Ark SKU]],Table9[New Ark SKU],Table9[Cable],,0)</f>
        <v>±1400mm</v>
      </c>
      <c r="T586" s="442">
        <v>560</v>
      </c>
      <c r="U586" s="1067">
        <f>660*2</f>
        <v>1320</v>
      </c>
      <c r="V586" s="448">
        <f>PV_DATA[[#This Row],[QUANTITY]]*PV_DATA[[#This Row],[WATT]]/1000000</f>
        <v>0.73919999999999997</v>
      </c>
      <c r="W586" s="466">
        <f>PV_DATA[[#This Row],[QUANTITY]]/PV_DATA[[#This Row],[Qty/Pallet]]</f>
        <v>40</v>
      </c>
      <c r="X586" s="1019">
        <f>PV_DATA[[#This Row],[QUANTITY]]/PV_DATA[[#This Row],[Qty/CT]]</f>
        <v>2</v>
      </c>
      <c r="Y586" s="439" t="s">
        <v>951</v>
      </c>
      <c r="Z586" s="430" t="str">
        <f t="shared" si="6"/>
        <v>COMPLETED</v>
      </c>
      <c r="AA586" s="431" t="s">
        <v>4814</v>
      </c>
      <c r="AB586" s="441">
        <v>46178</v>
      </c>
      <c r="AC586" s="467">
        <f>IF(PV_DATA[[#This Row],[Pick-Up Date]]&lt;&gt;"",_xlfn.ISOWEEKNUM(PV_DATA[[#This Row],[Pick-Up Date]]),"")</f>
        <v>23</v>
      </c>
      <c r="AD586" s="431" t="s">
        <v>4815</v>
      </c>
      <c r="AF586" s="431" t="s">
        <v>122</v>
      </c>
      <c r="AG586" s="431" t="s">
        <v>123</v>
      </c>
      <c r="AH586" s="431" t="s">
        <v>78</v>
      </c>
      <c r="AI586" s="441">
        <v>46185</v>
      </c>
      <c r="AJ586" s="441"/>
      <c r="AK586" s="441">
        <v>46189</v>
      </c>
      <c r="AL586" s="732">
        <v>46237</v>
      </c>
      <c r="AM586" s="441">
        <f>IFERROR(IF(VLOOKUP(AT588, Vessel!A:H, 8, FALSE)=0, "", VLOOKUP(AT588, Vessel!A:H, 8, FALSE)), "")</f>
        <v>46239.5</v>
      </c>
      <c r="AN586" s="586">
        <v>46245.821898148148</v>
      </c>
      <c r="AO586" s="431" t="s">
        <v>402</v>
      </c>
      <c r="AP586" s="431" t="s">
        <v>4816</v>
      </c>
      <c r="AQ586" s="431" t="s">
        <v>80</v>
      </c>
      <c r="AR586" s="431" t="s">
        <v>4817</v>
      </c>
      <c r="AS586" s="431" t="s">
        <v>4818</v>
      </c>
      <c r="AT586" s="431" t="s">
        <v>4818</v>
      </c>
      <c r="AU58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56.821898148147739</v>
      </c>
      <c r="AV586" s="441"/>
      <c r="AW586" s="441" cm="1">
        <f t="array" ref="AW58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46245.821898148148</v>
      </c>
      <c r="AX58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86" s="441">
        <f>IF(ISERROR(PV_DATA[[#This Row],[New Ark PO status]]),"",_xlfn.XLOOKUP(PV_DATA[[#This Row],[SPTN-PVHK New Ark PO'#]],New_Ark_Data[Purchase order Number],New_Ark_Data[Estimated time of arrival],"",0))</f>
        <v>46259</v>
      </c>
      <c r="AZ586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586" s="441">
        <f>IFERROR(PV_DATA[[#This Row],[ODP ETA Port]]+PV_DATA[[#This Row],[Customs/Leg3 Assumption]],"n/a")</f>
        <v>46253.821898148148</v>
      </c>
      <c r="BB586" s="442">
        <f>YEAR(PV_DATA[[#This Row],[ETA for New Ark update]])</f>
        <v>2026</v>
      </c>
      <c r="BC586" s="431">
        <f>MONTH(PV_DATA[[#This Row],[ETA for New Ark update]])</f>
        <v>8</v>
      </c>
      <c r="BD586" s="431">
        <f>IFERROR(_xlfn.ISOWEEKNUM(PV_DATA[[#This Row],[ETA for New Ark update]]),0)</f>
        <v>34</v>
      </c>
      <c r="BE586" s="431">
        <f>_xlfn.XLOOKUP(PV_DATA[[#This Row],[New Ark SKU]],Table9[New Ark SKU],Table9[Total PCS per Pallet],,0)</f>
        <v>33</v>
      </c>
      <c r="BF586" s="431">
        <f>_xlfn.XLOOKUP(PV_DATA[[#This Row],[New Ark SKU]],Table9[New Ark SKU],Table9[Total PCS per 40HQ Container],,0)</f>
        <v>660</v>
      </c>
      <c r="BG586" s="431" t="str">
        <f>_xlfn.XLOOKUP(PV_DATA[[#This Row],[New Ark SKU]],Table9[New Ark SKU],Table9[Back Glass],,0)</f>
        <v>White glazing</v>
      </c>
      <c r="BH586" s="431" t="str">
        <f>_xlfn.XLOOKUP(PV_DATA[[#This Row],[PORT DESTINATION]],Table12[PORT DESTINATION],Table12[Cosco Line],,0)</f>
        <v>AEM</v>
      </c>
    </row>
    <row r="587" spans="1:60" s="431" customFormat="1" ht="10.5" hidden="1">
      <c r="A587" s="439" t="s">
        <v>4819</v>
      </c>
      <c r="B587" s="439" t="s">
        <v>111</v>
      </c>
      <c r="C587" s="439" t="str">
        <f>IFERROR(LEFT(PV_DATA[[#This Row],[TCL REFERENCE]],FIND(".",PV_DATA[[#This Row],[TCL REFERENCE]],1)-1),"Main Line")</f>
        <v>26May012</v>
      </c>
      <c r="D587" s="439" t="s">
        <v>63</v>
      </c>
      <c r="E587" s="439" t="s">
        <v>64</v>
      </c>
      <c r="F587" s="439" t="str" cm="1">
        <f t="array" ref="F58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587" s="439" t="s">
        <v>402</v>
      </c>
      <c r="H587" s="719" t="s">
        <v>67</v>
      </c>
      <c r="I587" s="439" t="s">
        <v>689</v>
      </c>
      <c r="J587" s="431" t="s">
        <v>96</v>
      </c>
      <c r="M587" s="431" t="s">
        <v>68</v>
      </c>
      <c r="N587" s="461">
        <v>46167</v>
      </c>
      <c r="O587" s="431" t="s">
        <v>4540</v>
      </c>
      <c r="P587" s="431" t="s">
        <v>4606</v>
      </c>
      <c r="Q587" s="431" t="s">
        <v>4607</v>
      </c>
      <c r="R587" s="431" t="str">
        <f>_xlfn.XLOOKUP(PV_DATA[[#This Row],[New Ark SKU]],Table9[New Ark SKU],Table9[Connector],,0)</f>
        <v>H4(Com)</v>
      </c>
      <c r="S587" s="442" t="str">
        <f>_xlfn.XLOOKUP(PV_DATA[[#This Row],[New Ark SKU]],Table9[New Ark SKU],Table9[Cable],,0)</f>
        <v>+400mm/-200mm</v>
      </c>
      <c r="T587" s="442">
        <v>630</v>
      </c>
      <c r="U587" s="1067">
        <f>720*3</f>
        <v>2160</v>
      </c>
      <c r="V587" s="448">
        <f>PV_DATA[[#This Row],[QUANTITY]]*PV_DATA[[#This Row],[WATT]]/1000000</f>
        <v>1.3608</v>
      </c>
      <c r="W587" s="466">
        <f>PV_DATA[[#This Row],[QUANTITY]]/PV_DATA[[#This Row],[Qty/Pallet]]</f>
        <v>60</v>
      </c>
      <c r="X587" s="1019">
        <f>PV_DATA[[#This Row],[QUANTITY]]/PV_DATA[[#This Row],[Qty/CT]]</f>
        <v>3</v>
      </c>
      <c r="Y587" s="431" t="s">
        <v>4365</v>
      </c>
      <c r="Z587" s="430" t="str">
        <f t="shared" si="6"/>
        <v>COMPLETED</v>
      </c>
      <c r="AB587" s="441">
        <v>46175</v>
      </c>
      <c r="AC587" s="467">
        <f>IF(PV_DATA[[#This Row],[Pick-Up Date]]&lt;&gt;"",_xlfn.ISOWEEKNUM(PV_DATA[[#This Row],[Pick-Up Date]]),"")</f>
        <v>23</v>
      </c>
      <c r="AD587" s="431" t="s">
        <v>4820</v>
      </c>
      <c r="AF587" s="431" t="s">
        <v>122</v>
      </c>
      <c r="AG587" s="431" t="s">
        <v>123</v>
      </c>
      <c r="AH587" s="431" t="s">
        <v>78</v>
      </c>
      <c r="AI587" s="441">
        <v>46182</v>
      </c>
      <c r="AJ587" s="441">
        <v>46192</v>
      </c>
      <c r="AK587" s="441">
        <v>46192</v>
      </c>
      <c r="AL587" s="441">
        <v>46224</v>
      </c>
      <c r="AM587" s="441">
        <v>46234</v>
      </c>
      <c r="AN587" s="586">
        <v>46235.175381944442</v>
      </c>
      <c r="AO587" s="431" t="s">
        <v>402</v>
      </c>
      <c r="AP587" s="431" t="s">
        <v>4821</v>
      </c>
      <c r="AQ587" s="431" t="s">
        <v>80</v>
      </c>
      <c r="AR587" s="431" t="s">
        <v>4822</v>
      </c>
      <c r="AS587" s="431" t="s">
        <v>4823</v>
      </c>
      <c r="AT587" s="431" t="s">
        <v>4823</v>
      </c>
      <c r="AU58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43.175381944442051</v>
      </c>
      <c r="AV587" s="441"/>
      <c r="AW587" s="441" cm="1">
        <f t="array" ref="AW58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46235.175381944442</v>
      </c>
      <c r="AX58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87" s="441">
        <f>IF(ISERROR(PV_DATA[[#This Row],[New Ark PO status]]),"",_xlfn.XLOOKUP(PV_DATA[[#This Row],[SPTN-PVHK New Ark PO'#]],New_Ark_Data[Purchase order Number],New_Ark_Data[Estimated time of arrival],"",0))</f>
        <v>46246</v>
      </c>
      <c r="AZ587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587" s="441">
        <f>IFERROR(PV_DATA[[#This Row],[ODP ETA Port]]+PV_DATA[[#This Row],[Customs/Leg3 Assumption]],"n/a")</f>
        <v>46243.175381944442</v>
      </c>
      <c r="BB587" s="442">
        <f>YEAR(PV_DATA[[#This Row],[ETA for New Ark update]])</f>
        <v>2026</v>
      </c>
      <c r="BC587" s="431">
        <f>MONTH(PV_DATA[[#This Row],[ETA for New Ark update]])</f>
        <v>8</v>
      </c>
      <c r="BD587" s="431">
        <f>IFERROR(_xlfn.ISOWEEKNUM(PV_DATA[[#This Row],[ETA for New Ark update]]),0)</f>
        <v>32</v>
      </c>
      <c r="BE587" s="431">
        <f>_xlfn.XLOOKUP(PV_DATA[[#This Row],[New Ark SKU]],Table9[New Ark SKU],Table9[Total PCS per Pallet],,0)</f>
        <v>36</v>
      </c>
      <c r="BF587" s="431">
        <f>_xlfn.XLOOKUP(PV_DATA[[#This Row],[New Ark SKU]],Table9[New Ark SKU],Table9[Total PCS per 40HQ Container],,0)</f>
        <v>720</v>
      </c>
      <c r="BG587" s="431" t="str">
        <f>_xlfn.XLOOKUP(PV_DATA[[#This Row],[New Ark SKU]],Table9[New Ark SKU],Table9[Back Glass],,0)</f>
        <v>Transparent</v>
      </c>
      <c r="BH587" s="431" t="str">
        <f>_xlfn.XLOOKUP(PV_DATA[[#This Row],[PORT DESTINATION]],Table12[PORT DESTINATION],Table12[Cosco Line],,0)</f>
        <v>AEM</v>
      </c>
    </row>
    <row r="588" spans="1:60" s="431" customFormat="1" ht="10.5" hidden="1">
      <c r="A588" s="439" t="s">
        <v>4824</v>
      </c>
      <c r="B588" s="439" t="s">
        <v>2132</v>
      </c>
      <c r="C588" s="439" t="str">
        <f>IFERROR(LEFT(PV_DATA[[#This Row],[TCL REFERENCE]],FIND(".",PV_DATA[[#This Row],[TCL REFERENCE]],1)-1),"Main Line")</f>
        <v>26May003</v>
      </c>
      <c r="D588" s="439" t="s">
        <v>63</v>
      </c>
      <c r="E588" s="439" t="s">
        <v>64</v>
      </c>
      <c r="F588" s="439" t="str" cm="1">
        <f t="array" ref="F58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588" s="439" t="s">
        <v>402</v>
      </c>
      <c r="H588" s="439" t="s">
        <v>311</v>
      </c>
      <c r="I588" s="439" t="s">
        <v>689</v>
      </c>
      <c r="J588" s="431" t="s">
        <v>96</v>
      </c>
      <c r="M588" s="431" t="s">
        <v>68</v>
      </c>
      <c r="N588" s="461">
        <v>46160</v>
      </c>
      <c r="O588" s="431" t="s">
        <v>170</v>
      </c>
      <c r="P588" s="431" t="s">
        <v>171</v>
      </c>
      <c r="Q588" s="431" t="s">
        <v>1731</v>
      </c>
      <c r="R588" s="431" t="str">
        <f>_xlfn.XLOOKUP(PV_DATA[[#This Row],[New Ark SKU]],Table9[New Ark SKU],Table9[Connector],,0)</f>
        <v>EVO2A</v>
      </c>
      <c r="S588" s="442" t="str">
        <f>_xlfn.XLOOKUP(PV_DATA[[#This Row],[New Ark SKU]],Table9[New Ark SKU],Table9[Cable],,0)</f>
        <v>±1400mm</v>
      </c>
      <c r="T588" s="442">
        <v>555</v>
      </c>
      <c r="U588" s="1067">
        <v>1980</v>
      </c>
      <c r="V588" s="448">
        <f>PV_DATA[[#This Row],[QUANTITY]]*PV_DATA[[#This Row],[WATT]]/1000000</f>
        <v>1.0989</v>
      </c>
      <c r="W588" s="466">
        <f>PV_DATA[[#This Row],[QUANTITY]]/PV_DATA[[#This Row],[Qty/Pallet]]</f>
        <v>60</v>
      </c>
      <c r="X588" s="1019">
        <f>PV_DATA[[#This Row],[QUANTITY]]/PV_DATA[[#This Row],[Qty/CT]]</f>
        <v>3</v>
      </c>
      <c r="Y588" s="439" t="s">
        <v>951</v>
      </c>
      <c r="Z588" s="430" t="str">
        <f t="shared" si="6"/>
        <v>COMPLETED</v>
      </c>
      <c r="AA588" s="431" t="s">
        <v>4738</v>
      </c>
      <c r="AB588" s="441">
        <v>46179</v>
      </c>
      <c r="AC588" s="467">
        <f>IF(PV_DATA[[#This Row],[Pick-Up Date]]&lt;&gt;"",_xlfn.ISOWEEKNUM(PV_DATA[[#This Row],[Pick-Up Date]]),"")</f>
        <v>23</v>
      </c>
      <c r="AD588" s="431" t="s">
        <v>4825</v>
      </c>
      <c r="AF588" s="431" t="s">
        <v>122</v>
      </c>
      <c r="AG588" s="431" t="s">
        <v>123</v>
      </c>
      <c r="AH588" s="431" t="s">
        <v>314</v>
      </c>
      <c r="AI588" s="441">
        <v>46185</v>
      </c>
      <c r="AJ588" s="441"/>
      <c r="AK588" s="441">
        <v>46189</v>
      </c>
      <c r="AL588" s="732">
        <v>46232</v>
      </c>
      <c r="AM588" s="441">
        <f>IFERROR(IF(VLOOKUP(AT588, Vessel!A:H, 8, FALSE)=0, "", VLOOKUP(AT588, Vessel!A:H, 8, FALSE)), "")</f>
        <v>46239.5</v>
      </c>
      <c r="AN588" s="586">
        <v>46239.457638888889</v>
      </c>
      <c r="AO588" s="431" t="s">
        <v>402</v>
      </c>
      <c r="AP588" s="431" t="s">
        <v>4816</v>
      </c>
      <c r="AQ588" s="431" t="s">
        <v>80</v>
      </c>
      <c r="AR588" s="431" t="s">
        <v>4826</v>
      </c>
      <c r="AS588" s="431" t="s">
        <v>4827</v>
      </c>
      <c r="AT588" s="431" t="s">
        <v>4827</v>
      </c>
      <c r="AU58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50.457638888889051</v>
      </c>
      <c r="AV588" s="441"/>
      <c r="AW588" s="441" cm="1">
        <f t="array" ref="AW58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46239.457638888889</v>
      </c>
      <c r="AX58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88" s="441">
        <f>IF(ISERROR(PV_DATA[[#This Row],[New Ark PO status]]),"",_xlfn.XLOOKUP(PV_DATA[[#This Row],[SPTN-PVHK New Ark PO'#]],New_Ark_Data[Purchase order Number],New_Ark_Data[Estimated time of arrival],"",0))</f>
        <v>46253</v>
      </c>
      <c r="AZ588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588" s="441">
        <f>IFERROR(PV_DATA[[#This Row],[ODP ETA Port]]+PV_DATA[[#This Row],[Customs/Leg3 Assumption]],"n/a")</f>
        <v>46249.457638888889</v>
      </c>
      <c r="BB588" s="442">
        <f>YEAR(PV_DATA[[#This Row],[ETA for New Ark update]])</f>
        <v>2026</v>
      </c>
      <c r="BC588" s="431">
        <f>MONTH(PV_DATA[[#This Row],[ETA for New Ark update]])</f>
        <v>8</v>
      </c>
      <c r="BD588" s="431">
        <f>IFERROR(_xlfn.ISOWEEKNUM(PV_DATA[[#This Row],[ETA for New Ark update]]),0)</f>
        <v>33</v>
      </c>
      <c r="BE588" s="431">
        <f>_xlfn.XLOOKUP(PV_DATA[[#This Row],[New Ark SKU]],Table9[New Ark SKU],Table9[Total PCS per Pallet],,0)</f>
        <v>33</v>
      </c>
      <c r="BF588" s="431">
        <f>_xlfn.XLOOKUP(PV_DATA[[#This Row],[New Ark SKU]],Table9[New Ark SKU],Table9[Total PCS per 40HQ Container],,0)</f>
        <v>660</v>
      </c>
      <c r="BG588" s="431" t="str">
        <f>_xlfn.XLOOKUP(PV_DATA[[#This Row],[New Ark SKU]],Table9[New Ark SKU],Table9[Back Glass],,0)</f>
        <v>White glazing</v>
      </c>
      <c r="BH588" s="431" t="str">
        <f>_xlfn.XLOOKUP(PV_DATA[[#This Row],[PORT DESTINATION]],Table12[PORT DESTINATION],Table12[Cosco Line],,0)</f>
        <v>AEM</v>
      </c>
    </row>
    <row r="589" spans="1:60" s="431" customFormat="1" ht="10.5" hidden="1">
      <c r="A589" s="439" t="s">
        <v>4828</v>
      </c>
      <c r="B589" s="439" t="s">
        <v>2132</v>
      </c>
      <c r="C589" s="439" t="str">
        <f>IFERROR(LEFT(PV_DATA[[#This Row],[TCL REFERENCE]],FIND(".",PV_DATA[[#This Row],[TCL REFERENCE]],1)-1),"Main Line")</f>
        <v>26May004</v>
      </c>
      <c r="D589" s="439" t="s">
        <v>63</v>
      </c>
      <c r="E589" s="439" t="s">
        <v>64</v>
      </c>
      <c r="F589" s="439" t="str" cm="1">
        <f t="array" ref="F58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589" s="439" t="s">
        <v>402</v>
      </c>
      <c r="H589" s="439" t="s">
        <v>311</v>
      </c>
      <c r="I589" s="439" t="s">
        <v>689</v>
      </c>
      <c r="J589" s="431" t="s">
        <v>96</v>
      </c>
      <c r="M589" s="431" t="s">
        <v>68</v>
      </c>
      <c r="N589" s="461">
        <v>46160</v>
      </c>
      <c r="O589" s="431" t="s">
        <v>170</v>
      </c>
      <c r="P589" s="431" t="s">
        <v>1977</v>
      </c>
      <c r="Q589" s="431" t="s">
        <v>1978</v>
      </c>
      <c r="R589" s="431" t="str">
        <f>_xlfn.XLOOKUP(PV_DATA[[#This Row],[New Ark SKU]],Table9[New Ark SKU],Table9[Connector],,0)</f>
        <v>EVO2A</v>
      </c>
      <c r="S589" s="442" t="str">
        <f>_xlfn.XLOOKUP(PV_DATA[[#This Row],[New Ark SKU]],Table9[New Ark SKU],Table9[Cable],,0)</f>
        <v>±1400mm</v>
      </c>
      <c r="T589" s="442">
        <v>560</v>
      </c>
      <c r="U589" s="1067">
        <f>660*7</f>
        <v>4620</v>
      </c>
      <c r="V589" s="448">
        <f>PV_DATA[[#This Row],[QUANTITY]]*PV_DATA[[#This Row],[WATT]]/1000000</f>
        <v>2.5872000000000002</v>
      </c>
      <c r="W589" s="466">
        <f>PV_DATA[[#This Row],[QUANTITY]]/PV_DATA[[#This Row],[Qty/Pallet]]</f>
        <v>140</v>
      </c>
      <c r="X589" s="1019">
        <f>PV_DATA[[#This Row],[QUANTITY]]/PV_DATA[[#This Row],[Qty/CT]]</f>
        <v>7</v>
      </c>
      <c r="Y589" s="439" t="s">
        <v>951</v>
      </c>
      <c r="Z589" s="430" t="str">
        <f t="shared" si="6"/>
        <v>COMPLETED</v>
      </c>
      <c r="AA589" s="431" t="s">
        <v>4829</v>
      </c>
      <c r="AB589" s="441">
        <v>46179</v>
      </c>
      <c r="AC589" s="467">
        <f>IF(PV_DATA[[#This Row],[Pick-Up Date]]&lt;&gt;"",_xlfn.ISOWEEKNUM(PV_DATA[[#This Row],[Pick-Up Date]]),"")</f>
        <v>23</v>
      </c>
      <c r="AD589" s="431" t="s">
        <v>4830</v>
      </c>
      <c r="AF589" s="431" t="s">
        <v>122</v>
      </c>
      <c r="AG589" s="431" t="s">
        <v>123</v>
      </c>
      <c r="AH589" s="431" t="s">
        <v>314</v>
      </c>
      <c r="AI589" s="441">
        <v>46185</v>
      </c>
      <c r="AJ589" s="441"/>
      <c r="AK589" s="441">
        <v>46189</v>
      </c>
      <c r="AL589" s="732">
        <v>46232</v>
      </c>
      <c r="AM589" s="441">
        <f>IFERROR(IF(VLOOKUP(AT589, Vessel!A:H, 8, FALSE)=0, "", VLOOKUP(AT589, Vessel!A:H, 8, FALSE)), "")</f>
        <v>46239.5</v>
      </c>
      <c r="AN589" s="586">
        <v>46239.457638888889</v>
      </c>
      <c r="AO589" s="431" t="s">
        <v>402</v>
      </c>
      <c r="AP589" s="431" t="s">
        <v>4816</v>
      </c>
      <c r="AQ589" s="431" t="s">
        <v>80</v>
      </c>
      <c r="AR589" s="431" t="s">
        <v>4826</v>
      </c>
      <c r="AS589" s="431" t="s">
        <v>4827</v>
      </c>
      <c r="AT589" s="431" t="s">
        <v>4827</v>
      </c>
      <c r="AU58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50.457638888889051</v>
      </c>
      <c r="AV589" s="441"/>
      <c r="AW589" s="441" cm="1">
        <f t="array" ref="AW58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46239.457638888889</v>
      </c>
      <c r="AX58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89" s="441">
        <f>IF(ISERROR(PV_DATA[[#This Row],[New Ark PO status]]),"",_xlfn.XLOOKUP(PV_DATA[[#This Row],[SPTN-PVHK New Ark PO'#]],New_Ark_Data[Purchase order Number],New_Ark_Data[Estimated time of arrival],"",0))</f>
        <v>46253</v>
      </c>
      <c r="AZ589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589" s="441">
        <f>IFERROR(PV_DATA[[#This Row],[ODP ETA Port]]+PV_DATA[[#This Row],[Customs/Leg3 Assumption]],"n/a")</f>
        <v>46249.457638888889</v>
      </c>
      <c r="BB589" s="442">
        <f>YEAR(PV_DATA[[#This Row],[ETA for New Ark update]])</f>
        <v>2026</v>
      </c>
      <c r="BC589" s="431">
        <f>MONTH(PV_DATA[[#This Row],[ETA for New Ark update]])</f>
        <v>8</v>
      </c>
      <c r="BD589" s="431">
        <f>IFERROR(_xlfn.ISOWEEKNUM(PV_DATA[[#This Row],[ETA for New Ark update]]),0)</f>
        <v>33</v>
      </c>
      <c r="BE589" s="431">
        <f>_xlfn.XLOOKUP(PV_DATA[[#This Row],[New Ark SKU]],Table9[New Ark SKU],Table9[Total PCS per Pallet],,0)</f>
        <v>33</v>
      </c>
      <c r="BF589" s="431">
        <f>_xlfn.XLOOKUP(PV_DATA[[#This Row],[New Ark SKU]],Table9[New Ark SKU],Table9[Total PCS per 40HQ Container],,0)</f>
        <v>660</v>
      </c>
      <c r="BG589" s="431" t="str">
        <f>_xlfn.XLOOKUP(PV_DATA[[#This Row],[New Ark SKU]],Table9[New Ark SKU],Table9[Back Glass],,0)</f>
        <v>White glazing</v>
      </c>
      <c r="BH589" s="431" t="str">
        <f>_xlfn.XLOOKUP(PV_DATA[[#This Row],[PORT DESTINATION]],Table12[PORT DESTINATION],Table12[Cosco Line],,0)</f>
        <v>AEM</v>
      </c>
    </row>
    <row r="590" spans="1:60" s="431" customFormat="1" ht="10.5" hidden="1">
      <c r="A590" s="439" t="s">
        <v>4831</v>
      </c>
      <c r="B590" s="439" t="s">
        <v>2132</v>
      </c>
      <c r="C590" s="439" t="str">
        <f>IFERROR(LEFT(PV_DATA[[#This Row],[TCL REFERENCE]],FIND(".",PV_DATA[[#This Row],[TCL REFERENCE]],1)-1),"Main Line")</f>
        <v>26May004</v>
      </c>
      <c r="D590" s="439" t="s">
        <v>63</v>
      </c>
      <c r="E590" s="439" t="s">
        <v>64</v>
      </c>
      <c r="F590" s="439" t="str" cm="1">
        <f t="array" ref="F59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590" s="439" t="s">
        <v>402</v>
      </c>
      <c r="H590" s="439" t="s">
        <v>311</v>
      </c>
      <c r="I590" s="439" t="s">
        <v>689</v>
      </c>
      <c r="J590" s="431" t="s">
        <v>96</v>
      </c>
      <c r="M590" s="431" t="s">
        <v>68</v>
      </c>
      <c r="N590" s="461">
        <v>46160</v>
      </c>
      <c r="O590" s="431" t="s">
        <v>170</v>
      </c>
      <c r="P590" s="431" t="s">
        <v>1977</v>
      </c>
      <c r="Q590" s="431" t="s">
        <v>1978</v>
      </c>
      <c r="R590" s="431" t="str">
        <f>_xlfn.XLOOKUP(PV_DATA[[#This Row],[New Ark SKU]],Table9[New Ark SKU],Table9[Connector],,0)</f>
        <v>EVO2A</v>
      </c>
      <c r="S590" s="442" t="str">
        <f>_xlfn.XLOOKUP(PV_DATA[[#This Row],[New Ark SKU]],Table9[New Ark SKU],Table9[Cable],,0)</f>
        <v>±1400mm</v>
      </c>
      <c r="T590" s="442">
        <v>560</v>
      </c>
      <c r="U590" s="1067">
        <f>660*4</f>
        <v>2640</v>
      </c>
      <c r="V590" s="448">
        <f>PV_DATA[[#This Row],[QUANTITY]]*PV_DATA[[#This Row],[WATT]]/1000000</f>
        <v>1.4783999999999999</v>
      </c>
      <c r="W590" s="466">
        <f>PV_DATA[[#This Row],[QUANTITY]]/PV_DATA[[#This Row],[Qty/Pallet]]</f>
        <v>80</v>
      </c>
      <c r="X590" s="1019">
        <f>PV_DATA[[#This Row],[QUANTITY]]/PV_DATA[[#This Row],[Qty/CT]]</f>
        <v>4</v>
      </c>
      <c r="Y590" s="439" t="s">
        <v>951</v>
      </c>
      <c r="Z590" s="430" t="str">
        <f t="shared" si="6"/>
        <v>COMPLETED</v>
      </c>
      <c r="AA590" s="431" t="s">
        <v>4814</v>
      </c>
      <c r="AB590" s="441">
        <v>46175</v>
      </c>
      <c r="AC590" s="467">
        <f>IF(PV_DATA[[#This Row],[Pick-Up Date]]&lt;&gt;"",_xlfn.ISOWEEKNUM(PV_DATA[[#This Row],[Pick-Up Date]]),"")</f>
        <v>23</v>
      </c>
      <c r="AD590" s="431" t="s">
        <v>4832</v>
      </c>
      <c r="AF590" s="431" t="s">
        <v>122</v>
      </c>
      <c r="AG590" s="431" t="s">
        <v>123</v>
      </c>
      <c r="AH590" s="431" t="s">
        <v>1561</v>
      </c>
      <c r="AI590" s="441">
        <v>46182</v>
      </c>
      <c r="AJ590" s="441">
        <v>46184</v>
      </c>
      <c r="AK590" s="441">
        <v>46186</v>
      </c>
      <c r="AL590" s="732">
        <v>46241</v>
      </c>
      <c r="AM590" s="441">
        <f>IFERROR(IF(VLOOKUP(AT590, Vessel!A:H, 8, FALSE)=0, "", VLOOKUP(AT590, Vessel!A:H, 8, FALSE)), "")</f>
        <v>46254.75</v>
      </c>
      <c r="AN590" s="586">
        <v>46254</v>
      </c>
      <c r="AO590" s="431" t="s">
        <v>402</v>
      </c>
      <c r="AP590" s="431" t="s">
        <v>4833</v>
      </c>
      <c r="AQ590" s="431" t="s">
        <v>80</v>
      </c>
      <c r="AR590" s="431" t="s">
        <v>4834</v>
      </c>
      <c r="AS590" s="431" t="s">
        <v>4835</v>
      </c>
      <c r="AT590" s="431" t="s">
        <v>4835</v>
      </c>
      <c r="AU59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68</v>
      </c>
      <c r="AV590" s="441"/>
      <c r="AW590" s="441" cm="1">
        <f t="array" ref="AW59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46254</v>
      </c>
      <c r="AX59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90" s="441">
        <f>IF(ISERROR(PV_DATA[[#This Row],[New Ark PO status]]),"",_xlfn.XLOOKUP(PV_DATA[[#This Row],[SPTN-PVHK New Ark PO'#]],New_Ark_Data[Purchase order Number],New_Ark_Data[Estimated time of arrival],"",0))</f>
        <v>46268</v>
      </c>
      <c r="AZ590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590" s="441">
        <f>IFERROR(PV_DATA[[#This Row],[ODP ETA Port]]+PV_DATA[[#This Row],[Customs/Leg3 Assumption]],"n/a")</f>
        <v>46264</v>
      </c>
      <c r="BB590" s="442">
        <f>YEAR(PV_DATA[[#This Row],[ETA for New Ark update]])</f>
        <v>2026</v>
      </c>
      <c r="BC590" s="431">
        <f>MONTH(PV_DATA[[#This Row],[ETA for New Ark update]])</f>
        <v>8</v>
      </c>
      <c r="BD590" s="431">
        <f>IFERROR(_xlfn.ISOWEEKNUM(PV_DATA[[#This Row],[ETA for New Ark update]]),0)</f>
        <v>35</v>
      </c>
      <c r="BE590" s="431">
        <f>_xlfn.XLOOKUP(PV_DATA[[#This Row],[New Ark SKU]],Table9[New Ark SKU],Table9[Total PCS per Pallet],,0)</f>
        <v>33</v>
      </c>
      <c r="BF590" s="431">
        <f>_xlfn.XLOOKUP(PV_DATA[[#This Row],[New Ark SKU]],Table9[New Ark SKU],Table9[Total PCS per 40HQ Container],,0)</f>
        <v>660</v>
      </c>
      <c r="BG590" s="431" t="str">
        <f>_xlfn.XLOOKUP(PV_DATA[[#This Row],[New Ark SKU]],Table9[New Ark SKU],Table9[Back Glass],,0)</f>
        <v>White glazing</v>
      </c>
      <c r="BH590" s="431" t="str">
        <f>_xlfn.XLOOKUP(PV_DATA[[#This Row],[PORT DESTINATION]],Table12[PORT DESTINATION],Table12[Cosco Line],,0)</f>
        <v>AEM</v>
      </c>
    </row>
    <row r="591" spans="1:60" s="431" customFormat="1" ht="10.5" hidden="1">
      <c r="A591" s="439" t="s">
        <v>4836</v>
      </c>
      <c r="B591" s="439" t="s">
        <v>111</v>
      </c>
      <c r="C591" s="439" t="str">
        <f>IFERROR(LEFT(PV_DATA[[#This Row],[TCL REFERENCE]],FIND(".",PV_DATA[[#This Row],[TCL REFERENCE]],1)-1),"Main Line")</f>
        <v>26May016</v>
      </c>
      <c r="D591" s="439" t="s">
        <v>63</v>
      </c>
      <c r="E591" s="439" t="s">
        <v>64</v>
      </c>
      <c r="F591" s="439" t="str" cm="1">
        <f t="array" ref="F59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591" s="439" t="s">
        <v>402</v>
      </c>
      <c r="H591" s="439" t="s">
        <v>115</v>
      </c>
      <c r="I591" s="439" t="s">
        <v>2004</v>
      </c>
      <c r="J591" s="431" t="s">
        <v>4837</v>
      </c>
      <c r="K591" s="479" t="s">
        <v>4838</v>
      </c>
      <c r="L591" s="431">
        <v>1</v>
      </c>
      <c r="M591" s="431" t="s">
        <v>840</v>
      </c>
      <c r="N591" s="461">
        <v>46153</v>
      </c>
      <c r="O591" s="431" t="s">
        <v>4495</v>
      </c>
      <c r="P591" s="431" t="s">
        <v>4529</v>
      </c>
      <c r="Q591" s="431" t="s">
        <v>4530</v>
      </c>
      <c r="R591" s="431" t="str">
        <f>_xlfn.XLOOKUP(PV_DATA[[#This Row],[New Ark SKU]],Table9[New Ark SKU],Table9[Connector],,0)</f>
        <v>EVO2A</v>
      </c>
      <c r="S591" s="442" t="str">
        <f>_xlfn.XLOOKUP(PV_DATA[[#This Row],[New Ark SKU]],Table9[New Ark SKU],Table9[Cable],,0)</f>
        <v>±1400mm</v>
      </c>
      <c r="T591" s="442">
        <v>645</v>
      </c>
      <c r="U591" s="1067">
        <f>720*3</f>
        <v>2160</v>
      </c>
      <c r="V591" s="448">
        <f>PV_DATA[[#This Row],[QUANTITY]]*PV_DATA[[#This Row],[WATT]]/1000000</f>
        <v>1.3932</v>
      </c>
      <c r="W591" s="466">
        <f>PV_DATA[[#This Row],[QUANTITY]]/PV_DATA[[#This Row],[Qty/Pallet]]</f>
        <v>60</v>
      </c>
      <c r="X591" s="1019">
        <f>PV_DATA[[#This Row],[QUANTITY]]/PV_DATA[[#This Row],[Qty/CT]]</f>
        <v>3</v>
      </c>
      <c r="Y591" s="439" t="s">
        <v>951</v>
      </c>
      <c r="Z591" s="430" t="str">
        <f t="shared" si="6"/>
        <v>COMPLETED</v>
      </c>
      <c r="AB591" s="441">
        <v>46176</v>
      </c>
      <c r="AC591" s="467">
        <f>IF(PV_DATA[[#This Row],[Pick-Up Date]]&lt;&gt;"",_xlfn.ISOWEEKNUM(PV_DATA[[#This Row],[Pick-Up Date]]),"")</f>
        <v>23</v>
      </c>
      <c r="AD591" s="431" t="s">
        <v>4839</v>
      </c>
      <c r="AF591" s="431" t="s">
        <v>122</v>
      </c>
      <c r="AG591" s="431" t="s">
        <v>123</v>
      </c>
      <c r="AH591" s="431" t="s">
        <v>124</v>
      </c>
      <c r="AI591" s="441">
        <v>46185</v>
      </c>
      <c r="AJ591" s="441"/>
      <c r="AK591" s="441">
        <v>46189</v>
      </c>
      <c r="AL591" s="441">
        <v>46240</v>
      </c>
      <c r="AM591" s="586"/>
      <c r="AN591" s="586">
        <v>46250.44736111111</v>
      </c>
      <c r="AO591" s="431" t="s">
        <v>402</v>
      </c>
      <c r="AP591" s="431" t="s">
        <v>4816</v>
      </c>
      <c r="AQ591" s="431" t="s">
        <v>80</v>
      </c>
      <c r="AR591" s="431" t="s">
        <v>4840</v>
      </c>
      <c r="AS591" s="431" t="s">
        <v>4841</v>
      </c>
      <c r="AT591" s="431" t="s">
        <v>4841</v>
      </c>
      <c r="AU59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61.447361111109785</v>
      </c>
      <c r="AW591" s="441" cm="1">
        <f t="array" ref="AW59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46250.44736111111</v>
      </c>
      <c r="AX59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91" s="441">
        <f>IF(ISERROR(PV_DATA[[#This Row],[New Ark PO status]]),"",_xlfn.XLOOKUP(PV_DATA[[#This Row],[SPTN-PVHK New Ark PO'#]],New_Ark_Data[Purchase order Number],New_Ark_Data[Estimated time of arrival],"",0))</f>
        <v>46265</v>
      </c>
      <c r="AZ591" s="44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591" s="441">
        <f>IFERROR(PV_DATA[[#This Row],[ODP ETA Port]]+PV_DATA[[#This Row],[Customs/Leg3 Assumption]],"n/a")</f>
        <v>46259.44736111111</v>
      </c>
      <c r="BB591" s="442">
        <f>YEAR(PV_DATA[[#This Row],[ETA for New Ark update]])</f>
        <v>2026</v>
      </c>
      <c r="BC591" s="431">
        <f>MONTH(PV_DATA[[#This Row],[ETA for New Ark update]])</f>
        <v>8</v>
      </c>
      <c r="BD591" s="431">
        <f>IFERROR(_xlfn.ISOWEEKNUM(PV_DATA[[#This Row],[ETA for New Ark update]]),0)</f>
        <v>35</v>
      </c>
      <c r="BE591" s="431">
        <f>_xlfn.XLOOKUP(PV_DATA[[#This Row],[New Ark SKU]],Table9[New Ark SKU],Table9[Total PCS per Pallet],,0)</f>
        <v>36</v>
      </c>
      <c r="BF591" s="431">
        <f>_xlfn.XLOOKUP(PV_DATA[[#This Row],[New Ark SKU]],Table9[New Ark SKU],Table9[Total PCS per 40HQ Container],,0)</f>
        <v>720</v>
      </c>
      <c r="BG591" s="431" t="str">
        <f>_xlfn.XLOOKUP(PV_DATA[[#This Row],[New Ark SKU]],Table9[New Ark SKU],Table9[Back Glass],,0)</f>
        <v>Transparent</v>
      </c>
      <c r="BH591" s="431" t="str">
        <f>_xlfn.XLOOKUP(PV_DATA[[#This Row],[PORT DESTINATION]],Table12[PORT DESTINATION],Table12[Cosco Line],,0)</f>
        <v>AEM</v>
      </c>
    </row>
    <row r="592" spans="1:60" s="431" customFormat="1" ht="10.5" hidden="1">
      <c r="A592" s="439" t="s">
        <v>4842</v>
      </c>
      <c r="B592" s="439" t="s">
        <v>111</v>
      </c>
      <c r="C592" s="439" t="s">
        <v>4843</v>
      </c>
      <c r="D592" s="439" t="s">
        <v>63</v>
      </c>
      <c r="E592" s="439" t="s">
        <v>64</v>
      </c>
      <c r="F592" s="439" t="str" cm="1">
        <f t="array" ref="F59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592" s="439" t="s">
        <v>402</v>
      </c>
      <c r="H592" s="439" t="s">
        <v>115</v>
      </c>
      <c r="I592" s="439" t="s">
        <v>2004</v>
      </c>
      <c r="J592" s="431" t="s">
        <v>96</v>
      </c>
      <c r="M592" s="431" t="s">
        <v>68</v>
      </c>
      <c r="N592" s="461">
        <v>46153</v>
      </c>
      <c r="O592" s="431" t="s">
        <v>4495</v>
      </c>
      <c r="P592" s="431" t="s">
        <v>4496</v>
      </c>
      <c r="Q592" s="431" t="s">
        <v>4497</v>
      </c>
      <c r="R592" s="431" t="str">
        <f>_xlfn.XLOOKUP(PV_DATA[[#This Row],[New Ark SKU]],Table9[New Ark SKU],Table9[Connector],,0)</f>
        <v>EVO2A</v>
      </c>
      <c r="S592" s="442" t="str">
        <f>_xlfn.XLOOKUP(PV_DATA[[#This Row],[New Ark SKU]],Table9[New Ark SKU],Table9[Cable],,0)</f>
        <v>±1400mm</v>
      </c>
      <c r="T592" s="442">
        <v>640</v>
      </c>
      <c r="U592" s="1067">
        <v>720</v>
      </c>
      <c r="V592" s="448">
        <f>PV_DATA[[#This Row],[QUANTITY]]*PV_DATA[[#This Row],[WATT]]/1000000</f>
        <v>0.46079999999999999</v>
      </c>
      <c r="W592" s="466">
        <f>PV_DATA[[#This Row],[QUANTITY]]/PV_DATA[[#This Row],[Qty/Pallet]]</f>
        <v>20</v>
      </c>
      <c r="X592" s="1019">
        <f>PV_DATA[[#This Row],[QUANTITY]]/PV_DATA[[#This Row],[Qty/CT]]</f>
        <v>1</v>
      </c>
      <c r="Y592" s="439" t="s">
        <v>951</v>
      </c>
      <c r="Z592" s="430" t="str">
        <f t="shared" si="6"/>
        <v>COMPLETED</v>
      </c>
      <c r="AB592" s="441">
        <v>46176</v>
      </c>
      <c r="AC592" s="467">
        <f>IF(PV_DATA[[#This Row],[Pick-Up Date]]&lt;&gt;"",_xlfn.ISOWEEKNUM(PV_DATA[[#This Row],[Pick-Up Date]]),"")</f>
        <v>23</v>
      </c>
      <c r="AD592" s="431" t="s">
        <v>4844</v>
      </c>
      <c r="AF592" s="431" t="s">
        <v>122</v>
      </c>
      <c r="AG592" s="431" t="s">
        <v>123</v>
      </c>
      <c r="AH592" s="431" t="s">
        <v>124</v>
      </c>
      <c r="AI592" s="441">
        <v>46185</v>
      </c>
      <c r="AJ592" s="441"/>
      <c r="AK592" s="441">
        <v>46189</v>
      </c>
      <c r="AL592" s="441">
        <v>46240</v>
      </c>
      <c r="AM592" s="586"/>
      <c r="AN592" s="586">
        <v>46250.44736111111</v>
      </c>
      <c r="AO592" s="431" t="s">
        <v>402</v>
      </c>
      <c r="AP592" s="431" t="s">
        <v>4816</v>
      </c>
      <c r="AQ592" s="431" t="s">
        <v>80</v>
      </c>
      <c r="AR592" s="431" t="s">
        <v>4845</v>
      </c>
      <c r="AS592" s="431" t="s">
        <v>4846</v>
      </c>
      <c r="AT592" s="431" t="s">
        <v>4846</v>
      </c>
      <c r="AU59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61.447361111109785</v>
      </c>
      <c r="AV592" s="441"/>
      <c r="AW592" s="441" cm="1">
        <f t="array" ref="AW59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46250.44736111111</v>
      </c>
      <c r="AX59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92" s="441">
        <f>IF(ISERROR(PV_DATA[[#This Row],[New Ark PO status]]),"",_xlfn.XLOOKUP(PV_DATA[[#This Row],[SPTN-PVHK New Ark PO'#]],New_Ark_Data[Purchase order Number],New_Ark_Data[Estimated time of arrival],"",0))</f>
        <v>46265</v>
      </c>
      <c r="AZ592" s="44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592" s="441">
        <f>IFERROR(PV_DATA[[#This Row],[ODP ETA Port]]+PV_DATA[[#This Row],[Customs/Leg3 Assumption]],"n/a")</f>
        <v>46259.44736111111</v>
      </c>
      <c r="BB592" s="442">
        <f>YEAR(PV_DATA[[#This Row],[ETA for New Ark update]])</f>
        <v>2026</v>
      </c>
      <c r="BC592" s="431">
        <f>MONTH(PV_DATA[[#This Row],[ETA for New Ark update]])</f>
        <v>8</v>
      </c>
      <c r="BD592" s="431">
        <f>IFERROR(_xlfn.ISOWEEKNUM(PV_DATA[[#This Row],[ETA for New Ark update]]),0)</f>
        <v>35</v>
      </c>
      <c r="BE592" s="431">
        <f>_xlfn.XLOOKUP(PV_DATA[[#This Row],[New Ark SKU]],Table9[New Ark SKU],Table9[Total PCS per Pallet],,0)</f>
        <v>36</v>
      </c>
      <c r="BF592" s="431">
        <f>_xlfn.XLOOKUP(PV_DATA[[#This Row],[New Ark SKU]],Table9[New Ark SKU],Table9[Total PCS per 40HQ Container],,0)</f>
        <v>720</v>
      </c>
      <c r="BG592" s="431" t="str">
        <f>_xlfn.XLOOKUP(PV_DATA[[#This Row],[New Ark SKU]],Table9[New Ark SKU],Table9[Back Glass],,0)</f>
        <v>Transparent</v>
      </c>
      <c r="BH592" s="431" t="str">
        <f>_xlfn.XLOOKUP(PV_DATA[[#This Row],[PORT DESTINATION]],Table12[PORT DESTINATION],Table12[Cosco Line],,0)</f>
        <v>AEM</v>
      </c>
    </row>
    <row r="593" spans="1:60" s="431" customFormat="1" ht="10.5" hidden="1">
      <c r="A593" s="439" t="s">
        <v>4847</v>
      </c>
      <c r="B593" s="439" t="s">
        <v>111</v>
      </c>
      <c r="C593" s="439" t="str">
        <f>IFERROR(LEFT(PV_DATA[[#This Row],[TCL REFERENCE]],FIND(".",PV_DATA[[#This Row],[TCL REFERENCE]],1)-1),"Main Line")</f>
        <v>26May006</v>
      </c>
      <c r="D593" s="439" t="s">
        <v>63</v>
      </c>
      <c r="E593" s="439" t="s">
        <v>64</v>
      </c>
      <c r="F593" s="439" t="str" cm="1">
        <f t="array" ref="F59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593" s="439" t="s">
        <v>402</v>
      </c>
      <c r="H593" s="439" t="s">
        <v>115</v>
      </c>
      <c r="I593" s="439" t="s">
        <v>2004</v>
      </c>
      <c r="J593" s="431" t="s">
        <v>96</v>
      </c>
      <c r="M593" s="431" t="s">
        <v>68</v>
      </c>
      <c r="N593" s="461">
        <v>46160</v>
      </c>
      <c r="O593" s="431" t="s">
        <v>132</v>
      </c>
      <c r="P593" s="431" t="s">
        <v>1062</v>
      </c>
      <c r="Q593" s="431" t="s">
        <v>1063</v>
      </c>
      <c r="R593" s="431" t="str">
        <f>_xlfn.XLOOKUP(PV_DATA[[#This Row],[New Ark SKU]],Table9[New Ark SKU],Table9[Connector],,0)</f>
        <v>EVO2A</v>
      </c>
      <c r="S593" s="442" t="str">
        <f>_xlfn.XLOOKUP(PV_DATA[[#This Row],[New Ark SKU]],Table9[New Ark SKU],Table9[Cable],,0)</f>
        <v>±1200mm</v>
      </c>
      <c r="T593" s="442">
        <v>470</v>
      </c>
      <c r="U593" s="1067">
        <f>864*2</f>
        <v>1728</v>
      </c>
      <c r="V593" s="448">
        <f>PV_DATA[[#This Row],[QUANTITY]]*PV_DATA[[#This Row],[WATT]]/1000000</f>
        <v>0.81215999999999999</v>
      </c>
      <c r="W593" s="466">
        <f>PV_DATA[[#This Row],[QUANTITY]]/PV_DATA[[#This Row],[Qty/Pallet]]</f>
        <v>48</v>
      </c>
      <c r="X593" s="1019">
        <f>PV_DATA[[#This Row],[QUANTITY]]/PV_DATA[[#This Row],[Qty/CT]]</f>
        <v>2</v>
      </c>
      <c r="Y593" s="439" t="s">
        <v>951</v>
      </c>
      <c r="Z593" s="430" t="str">
        <f t="shared" si="6"/>
        <v>COMPLETED</v>
      </c>
      <c r="AA593" s="478" t="s">
        <v>4709</v>
      </c>
      <c r="AB593" s="441">
        <v>46180</v>
      </c>
      <c r="AC593" s="467">
        <f>IF(PV_DATA[[#This Row],[Pick-Up Date]]&lt;&gt;"",_xlfn.ISOWEEKNUM(PV_DATA[[#This Row],[Pick-Up Date]]),"")</f>
        <v>23</v>
      </c>
      <c r="AD593" s="431" t="s">
        <v>4848</v>
      </c>
      <c r="AF593" s="431" t="s">
        <v>122</v>
      </c>
      <c r="AG593" s="431" t="s">
        <v>123</v>
      </c>
      <c r="AH593" s="431" t="s">
        <v>124</v>
      </c>
      <c r="AI593" s="441">
        <v>46185</v>
      </c>
      <c r="AJ593" s="441"/>
      <c r="AK593" s="441">
        <v>46189</v>
      </c>
      <c r="AL593" s="441">
        <v>46240</v>
      </c>
      <c r="AM593" s="586"/>
      <c r="AN593" s="586">
        <v>46250.44736111111</v>
      </c>
      <c r="AO593" s="431" t="s">
        <v>402</v>
      </c>
      <c r="AP593" s="431" t="s">
        <v>4816</v>
      </c>
      <c r="AQ593" s="431" t="s">
        <v>80</v>
      </c>
      <c r="AR593" s="431" t="s">
        <v>4849</v>
      </c>
      <c r="AS593" s="431" t="s">
        <v>4850</v>
      </c>
      <c r="AT593" s="431" t="s">
        <v>4850</v>
      </c>
      <c r="AU59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61.447361111109785</v>
      </c>
      <c r="AV593" s="441"/>
      <c r="AW593" s="441" cm="1">
        <f t="array" ref="AW59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46250.44736111111</v>
      </c>
      <c r="AX59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93" s="441">
        <f>IF(ISERROR(PV_DATA[[#This Row],[New Ark PO status]]),"",_xlfn.XLOOKUP(PV_DATA[[#This Row],[SPTN-PVHK New Ark PO'#]],New_Ark_Data[Purchase order Number],New_Ark_Data[Estimated time of arrival],"",0))</f>
        <v>46265</v>
      </c>
      <c r="AZ593" s="44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593" s="441">
        <f>IFERROR(PV_DATA[[#This Row],[ODP ETA Port]]+PV_DATA[[#This Row],[Customs/Leg3 Assumption]],"n/a")</f>
        <v>46259.44736111111</v>
      </c>
      <c r="BB593" s="442">
        <f>YEAR(PV_DATA[[#This Row],[ETA for New Ark update]])</f>
        <v>2026</v>
      </c>
      <c r="BC593" s="431">
        <f>MONTH(PV_DATA[[#This Row],[ETA for New Ark update]])</f>
        <v>8</v>
      </c>
      <c r="BD593" s="431">
        <f>IFERROR(_xlfn.ISOWEEKNUM(PV_DATA[[#This Row],[ETA for New Ark update]]),0)</f>
        <v>35</v>
      </c>
      <c r="BE593" s="431">
        <f>_xlfn.XLOOKUP(PV_DATA[[#This Row],[New Ark SKU]],Table9[New Ark SKU],Table9[Total PCS per Pallet],,0)</f>
        <v>36</v>
      </c>
      <c r="BF593" s="431">
        <f>_xlfn.XLOOKUP(PV_DATA[[#This Row],[New Ark SKU]],Table9[New Ark SKU],Table9[Total PCS per 40HQ Container],,0)</f>
        <v>864</v>
      </c>
      <c r="BG593" s="431" t="str">
        <f>_xlfn.XLOOKUP(PV_DATA[[#This Row],[New Ark SKU]],Table9[New Ark SKU],Table9[Back Glass],,0)</f>
        <v>White glazing</v>
      </c>
      <c r="BH593" s="431" t="str">
        <f>_xlfn.XLOOKUP(PV_DATA[[#This Row],[PORT DESTINATION]],Table12[PORT DESTINATION],Table12[Cosco Line],,0)</f>
        <v>AEM</v>
      </c>
    </row>
    <row r="594" spans="1:60" s="431" customFormat="1" ht="11.25" hidden="1" customHeight="1">
      <c r="A594" s="439" t="s">
        <v>4851</v>
      </c>
      <c r="B594" s="439" t="s">
        <v>111</v>
      </c>
      <c r="C594" s="439" t="str">
        <f>IFERROR(LEFT(PV_DATA[[#This Row],[TCL REFERENCE]],FIND(".",PV_DATA[[#This Row],[TCL REFERENCE]],1)-1),"Main Line")</f>
        <v>26May006</v>
      </c>
      <c r="D594" s="439" t="s">
        <v>63</v>
      </c>
      <c r="E594" s="439" t="s">
        <v>64</v>
      </c>
      <c r="F594" s="439" t="str" cm="1">
        <f t="array" ref="F59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594" s="439" t="s">
        <v>402</v>
      </c>
      <c r="H594" s="439" t="s">
        <v>115</v>
      </c>
      <c r="I594" s="439" t="s">
        <v>2004</v>
      </c>
      <c r="J594" s="431" t="s">
        <v>4703</v>
      </c>
      <c r="M594" s="431" t="s">
        <v>68</v>
      </c>
      <c r="N594" s="461">
        <v>46160</v>
      </c>
      <c r="O594" s="431" t="s">
        <v>132</v>
      </c>
      <c r="P594" s="431" t="s">
        <v>1062</v>
      </c>
      <c r="Q594" s="431" t="s">
        <v>1063</v>
      </c>
      <c r="R594" s="431" t="str">
        <f>_xlfn.XLOOKUP(PV_DATA[[#This Row],[New Ark SKU]],Table9[New Ark SKU],Table9[Connector],,0)</f>
        <v>EVO2A</v>
      </c>
      <c r="S594" s="442" t="str">
        <f>_xlfn.XLOOKUP(PV_DATA[[#This Row],[New Ark SKU]],Table9[New Ark SKU],Table9[Cable],,0)</f>
        <v>±1200mm</v>
      </c>
      <c r="T594" s="442">
        <v>470</v>
      </c>
      <c r="U594" s="1067">
        <f>864*2</f>
        <v>1728</v>
      </c>
      <c r="V594" s="448">
        <f>PV_DATA[[#This Row],[QUANTITY]]*PV_DATA[[#This Row],[WATT]]/1000000</f>
        <v>0.81215999999999999</v>
      </c>
      <c r="W594" s="466">
        <f>PV_DATA[[#This Row],[QUANTITY]]/PV_DATA[[#This Row],[Qty/Pallet]]</f>
        <v>48</v>
      </c>
      <c r="X594" s="1019">
        <f>PV_DATA[[#This Row],[QUANTITY]]/PV_DATA[[#This Row],[Qty/CT]]</f>
        <v>2</v>
      </c>
      <c r="Y594" s="439" t="s">
        <v>951</v>
      </c>
      <c r="Z594" s="430" t="str">
        <f t="shared" si="6"/>
        <v>COMPLETED</v>
      </c>
      <c r="AA594" s="478" t="s">
        <v>4709</v>
      </c>
      <c r="AB594" s="441">
        <v>46180</v>
      </c>
      <c r="AC594" s="467">
        <f>IF(PV_DATA[[#This Row],[Pick-Up Date]]&lt;&gt;"",_xlfn.ISOWEEKNUM(PV_DATA[[#This Row],[Pick-Up Date]]),"")</f>
        <v>23</v>
      </c>
      <c r="AD594" s="431" t="s">
        <v>4852</v>
      </c>
      <c r="AF594" s="431" t="s">
        <v>122</v>
      </c>
      <c r="AG594" s="431" t="s">
        <v>123</v>
      </c>
      <c r="AH594" s="431" t="s">
        <v>124</v>
      </c>
      <c r="AI594" s="441">
        <v>46185</v>
      </c>
      <c r="AJ594" s="441"/>
      <c r="AK594" s="441">
        <v>46189</v>
      </c>
      <c r="AL594" s="441">
        <v>46240</v>
      </c>
      <c r="AM594" s="586"/>
      <c r="AN594" s="586">
        <v>46250.44736111111</v>
      </c>
      <c r="AO594" s="431" t="s">
        <v>402</v>
      </c>
      <c r="AP594" s="431" t="s">
        <v>4816</v>
      </c>
      <c r="AQ594" s="431" t="s">
        <v>80</v>
      </c>
      <c r="AR594" s="431" t="s">
        <v>4849</v>
      </c>
      <c r="AS594" s="431" t="s">
        <v>4850</v>
      </c>
      <c r="AT594" s="431" t="s">
        <v>4850</v>
      </c>
      <c r="AU59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61.447361111109785</v>
      </c>
      <c r="AV594" s="441"/>
      <c r="AW594" s="441" cm="1">
        <f t="array" ref="AW59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46250.44736111111</v>
      </c>
      <c r="AX59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94" s="441">
        <f>IF(ISERROR(PV_DATA[[#This Row],[New Ark PO status]]),"",_xlfn.XLOOKUP(PV_DATA[[#This Row],[SPTN-PVHK New Ark PO'#]],New_Ark_Data[Purchase order Number],New_Ark_Data[Estimated time of arrival],"",0))</f>
        <v>46265</v>
      </c>
      <c r="AZ594" s="44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594" s="441">
        <f>IFERROR(PV_DATA[[#This Row],[ODP ETA Port]]+PV_DATA[[#This Row],[Customs/Leg3 Assumption]],"n/a")</f>
        <v>46259.44736111111</v>
      </c>
      <c r="BB594" s="442">
        <f>YEAR(PV_DATA[[#This Row],[ETA for New Ark update]])</f>
        <v>2026</v>
      </c>
      <c r="BC594" s="431">
        <f>MONTH(PV_DATA[[#This Row],[ETA for New Ark update]])</f>
        <v>8</v>
      </c>
      <c r="BD594" s="431">
        <f>IFERROR(_xlfn.ISOWEEKNUM(PV_DATA[[#This Row],[ETA for New Ark update]]),0)</f>
        <v>35</v>
      </c>
      <c r="BE594" s="431">
        <f>_xlfn.XLOOKUP(PV_DATA[[#This Row],[New Ark SKU]],Table9[New Ark SKU],Table9[Total PCS per Pallet],,0)</f>
        <v>36</v>
      </c>
      <c r="BF594" s="431">
        <f>_xlfn.XLOOKUP(PV_DATA[[#This Row],[New Ark SKU]],Table9[New Ark SKU],Table9[Total PCS per 40HQ Container],,0)</f>
        <v>864</v>
      </c>
      <c r="BG594" s="431" t="str">
        <f>_xlfn.XLOOKUP(PV_DATA[[#This Row],[New Ark SKU]],Table9[New Ark SKU],Table9[Back Glass],,0)</f>
        <v>White glazing</v>
      </c>
      <c r="BH594" s="431" t="str">
        <f>_xlfn.XLOOKUP(PV_DATA[[#This Row],[PORT DESTINATION]],Table12[PORT DESTINATION],Table12[Cosco Line],,0)</f>
        <v>AEM</v>
      </c>
    </row>
    <row r="595" spans="1:60" s="450" customFormat="1" ht="10.5" hidden="1">
      <c r="A595" s="446" t="s">
        <v>4853</v>
      </c>
      <c r="B595" s="446" t="s">
        <v>111</v>
      </c>
      <c r="C595" s="446" t="str">
        <f>IFERROR(LEFT(PV_DATA[[#This Row],[TCL REFERENCE]],FIND(".",PV_DATA[[#This Row],[TCL REFERENCE]],1)-1),"Main Line")</f>
        <v>26May006</v>
      </c>
      <c r="D595" s="446" t="s">
        <v>63</v>
      </c>
      <c r="E595" s="446" t="s">
        <v>64</v>
      </c>
      <c r="F595" s="446" t="str" cm="1">
        <f t="array" ref="F59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595" s="446" t="s">
        <v>402</v>
      </c>
      <c r="H595" s="446" t="s">
        <v>115</v>
      </c>
      <c r="I595" s="446" t="s">
        <v>2004</v>
      </c>
      <c r="J595" s="450" t="s">
        <v>4657</v>
      </c>
      <c r="K595" s="537"/>
      <c r="L595" s="450">
        <v>1</v>
      </c>
      <c r="M595" s="451" t="s">
        <v>68</v>
      </c>
      <c r="N595" s="451">
        <v>46160</v>
      </c>
      <c r="O595" s="450" t="s">
        <v>132</v>
      </c>
      <c r="P595" s="450" t="s">
        <v>1062</v>
      </c>
      <c r="Q595" s="450" t="s">
        <v>1063</v>
      </c>
      <c r="R595" s="450" t="str">
        <f>_xlfn.XLOOKUP(PV_DATA[[#This Row],[New Ark SKU]],Table9[New Ark SKU],Table9[Connector],,0)</f>
        <v>EVO2A</v>
      </c>
      <c r="S595" s="442" t="str">
        <f>_xlfn.XLOOKUP(PV_DATA[[#This Row],[New Ark SKU]],Table9[New Ark SKU],Table9[Cable],,0)</f>
        <v>±1200mm</v>
      </c>
      <c r="T595" s="452">
        <v>470</v>
      </c>
      <c r="U595" s="1063">
        <f>864*4</f>
        <v>3456</v>
      </c>
      <c r="V595" s="453">
        <f>PV_DATA[[#This Row],[QUANTITY]]*PV_DATA[[#This Row],[WATT]]/1000000</f>
        <v>1.62432</v>
      </c>
      <c r="W595" s="454">
        <f>PV_DATA[[#This Row],[QUANTITY]]/PV_DATA[[#This Row],[Qty/Pallet]]</f>
        <v>96</v>
      </c>
      <c r="X595" s="1020">
        <f>PV_DATA[[#This Row],[QUANTITY]]/PV_DATA[[#This Row],[Qty/CT]]</f>
        <v>4</v>
      </c>
      <c r="Y595" s="446" t="s">
        <v>951</v>
      </c>
      <c r="Z595" s="430" t="str">
        <f t="shared" si="6"/>
        <v>COMPLETED</v>
      </c>
      <c r="AA595" s="538" t="s">
        <v>4709</v>
      </c>
      <c r="AB595" s="455">
        <v>46175</v>
      </c>
      <c r="AC595" s="471">
        <f>IF(PV_DATA[[#This Row],[Pick-Up Date]]&lt;&gt;"",_xlfn.ISOWEEKNUM(PV_DATA[[#This Row],[Pick-Up Date]]),"")</f>
        <v>23</v>
      </c>
      <c r="AD595" s="450" t="s">
        <v>4854</v>
      </c>
      <c r="AF595" s="450" t="s">
        <v>122</v>
      </c>
      <c r="AG595" s="450" t="s">
        <v>123</v>
      </c>
      <c r="AH595" s="450" t="s">
        <v>124</v>
      </c>
      <c r="AI595" s="455">
        <v>46182</v>
      </c>
      <c r="AJ595" s="455">
        <v>46185</v>
      </c>
      <c r="AK595" s="455">
        <v>46185</v>
      </c>
      <c r="AL595" s="455">
        <v>46218</v>
      </c>
      <c r="AM595" s="455">
        <v>46220</v>
      </c>
      <c r="AN595" s="587">
        <v>46221</v>
      </c>
      <c r="AO595" s="450" t="s">
        <v>402</v>
      </c>
      <c r="AP595" s="450" t="s">
        <v>4821</v>
      </c>
      <c r="AQ595" s="450" t="s">
        <v>80</v>
      </c>
      <c r="AR595" s="450" t="s">
        <v>4855</v>
      </c>
      <c r="AS595" s="450" t="s">
        <v>4856</v>
      </c>
      <c r="AT595" s="450" t="s">
        <v>4856</v>
      </c>
      <c r="AU59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36</v>
      </c>
      <c r="AV595" s="455"/>
      <c r="AW595" s="455" cm="1">
        <f t="array" ref="AW59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46221</v>
      </c>
      <c r="AX59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95" s="455">
        <f>IF(ISERROR(PV_DATA[[#This Row],[New Ark PO status]]),"",_xlfn.XLOOKUP(PV_DATA[[#This Row],[SPTN-PVHK New Ark PO'#]],New_Ark_Data[Purchase order Number],New_Ark_Data[Estimated time of arrival],"",0))</f>
        <v>46238</v>
      </c>
      <c r="AZ595" s="45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595" s="455">
        <f>IFERROR(PV_DATA[[#This Row],[ODP ETA Port]]+PV_DATA[[#This Row],[Customs/Leg3 Assumption]],"n/a")</f>
        <v>46230</v>
      </c>
      <c r="BB595" s="452">
        <f>YEAR(PV_DATA[[#This Row],[ETA for New Ark update]])</f>
        <v>2026</v>
      </c>
      <c r="BC595" s="450">
        <f>MONTH(PV_DATA[[#This Row],[ETA for New Ark update]])</f>
        <v>7</v>
      </c>
      <c r="BD595" s="450">
        <f>IFERROR(_xlfn.ISOWEEKNUM(PV_DATA[[#This Row],[ETA for New Ark update]]),0)</f>
        <v>31</v>
      </c>
      <c r="BE595" s="450">
        <f>_xlfn.XLOOKUP(PV_DATA[[#This Row],[New Ark SKU]],Table9[New Ark SKU],Table9[Total PCS per Pallet],,0)</f>
        <v>36</v>
      </c>
      <c r="BF595" s="450">
        <f>_xlfn.XLOOKUP(PV_DATA[[#This Row],[New Ark SKU]],Table9[New Ark SKU],Table9[Total PCS per 40HQ Container],,0)</f>
        <v>864</v>
      </c>
      <c r="BG595" s="431" t="str">
        <f>_xlfn.XLOOKUP(PV_DATA[[#This Row],[New Ark SKU]],Table9[New Ark SKU],Table9[Back Glass],,0)</f>
        <v>White glazing</v>
      </c>
      <c r="BH595" s="450" t="str">
        <f>_xlfn.XLOOKUP(PV_DATA[[#This Row],[PORT DESTINATION]],Table12[PORT DESTINATION],Table12[Cosco Line],,0)</f>
        <v>AEM</v>
      </c>
    </row>
    <row r="596" spans="1:60" s="431" customFormat="1" ht="10.5" hidden="1">
      <c r="A596" s="439" t="s">
        <v>4857</v>
      </c>
      <c r="B596" s="439" t="s">
        <v>61</v>
      </c>
      <c r="C596" s="439" t="str">
        <f>IFERROR(LEFT(PV_DATA[[#This Row],[TCL REFERENCE]],FIND(".",PV_DATA[[#This Row],[TCL REFERENCE]],1)-1),"Main Line")</f>
        <v>26May009</v>
      </c>
      <c r="D596" s="439" t="s">
        <v>63</v>
      </c>
      <c r="E596" s="439" t="s">
        <v>144</v>
      </c>
      <c r="F596" s="439" t="str" cm="1">
        <f t="array" ref="F596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96" s="439" t="s">
        <v>402</v>
      </c>
      <c r="H596" s="439" t="s">
        <v>881</v>
      </c>
      <c r="I596" s="439" t="s">
        <v>689</v>
      </c>
      <c r="J596" s="431" t="s">
        <v>2395</v>
      </c>
      <c r="K596" s="431" t="s">
        <v>4858</v>
      </c>
      <c r="L596" s="431">
        <v>1</v>
      </c>
      <c r="M596" s="431" t="s">
        <v>840</v>
      </c>
      <c r="N596" s="461">
        <v>46153</v>
      </c>
      <c r="O596" s="431" t="s">
        <v>4540</v>
      </c>
      <c r="P596" s="431" t="s">
        <v>71</v>
      </c>
      <c r="Q596" s="431" t="s">
        <v>72</v>
      </c>
      <c r="R596" s="431" t="str">
        <f>_xlfn.XLOOKUP(PV_DATA[[#This Row],[New Ark SKU]],Table9[New Ark SKU],Table9[Connector],,0)</f>
        <v>EVO2A</v>
      </c>
      <c r="S596" s="442" t="str">
        <f>_xlfn.XLOOKUP(PV_DATA[[#This Row],[New Ark SKU]],Table9[New Ark SKU],Table9[Cable],,0)</f>
        <v>±1200mm</v>
      </c>
      <c r="T596" s="442">
        <v>500</v>
      </c>
      <c r="U596" s="1067">
        <f>864*6</f>
        <v>5184</v>
      </c>
      <c r="V596" s="444">
        <f>PV_DATA[[#This Row],[QUANTITY]]*PV_DATA[[#This Row],[WATT]]/1000000</f>
        <v>2.5920000000000001</v>
      </c>
      <c r="W596" s="466">
        <f>PV_DATA[[#This Row],[QUANTITY]]/PV_DATA[[#This Row],[Qty/Pallet]]</f>
        <v>144</v>
      </c>
      <c r="X596" s="1019">
        <f>PV_DATA[[#This Row],[QUANTITY]]/PV_DATA[[#This Row],[Qty/CT]]</f>
        <v>6</v>
      </c>
      <c r="Y596" s="439" t="s">
        <v>951</v>
      </c>
      <c r="Z596" s="430" t="str">
        <f t="shared" si="6"/>
        <v>COMPLETED</v>
      </c>
      <c r="AA596" s="431" t="s">
        <v>4635</v>
      </c>
      <c r="AB596" s="441">
        <v>46176</v>
      </c>
      <c r="AC596" s="467">
        <f>IF(PV_DATA[[#This Row],[Pick-Up Date]]&lt;&gt;"",_xlfn.ISOWEEKNUM(PV_DATA[[#This Row],[Pick-Up Date]]),"")</f>
        <v>23</v>
      </c>
      <c r="AD596" s="431" t="s">
        <v>4859</v>
      </c>
      <c r="AF596" s="431" t="s">
        <v>77</v>
      </c>
      <c r="AG596" s="431" t="s">
        <v>61</v>
      </c>
      <c r="AH596" s="431" t="s">
        <v>888</v>
      </c>
      <c r="AI596" s="441">
        <v>46187</v>
      </c>
      <c r="AJ596" s="441"/>
      <c r="AK596" s="441">
        <v>46182</v>
      </c>
      <c r="AL596" s="441">
        <v>46240</v>
      </c>
      <c r="AM596" s="441">
        <v>46242</v>
      </c>
      <c r="AN596" s="441">
        <v>46240</v>
      </c>
      <c r="AO596" s="431" t="s">
        <v>402</v>
      </c>
      <c r="AP596" s="431" t="s">
        <v>4860</v>
      </c>
      <c r="AQ596" s="431" t="s">
        <v>161</v>
      </c>
      <c r="AR596" s="431" t="s">
        <v>4861</v>
      </c>
      <c r="AS596" s="431" t="s">
        <v>4862</v>
      </c>
      <c r="AT596" s="431">
        <v>271458329</v>
      </c>
      <c r="AU59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</v>
      </c>
      <c r="AV596" s="441"/>
      <c r="AW596" s="441" cm="1">
        <f t="array" ref="AW59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46240</v>
      </c>
      <c r="AX59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96" s="441">
        <f>IF(ISERROR(PV_DATA[[#This Row],[New Ark PO status]]),"",_xlfn.XLOOKUP(PV_DATA[[#This Row],[SPTN-PVHK New Ark PO'#]],New_Ark_Data[Purchase order Number],New_Ark_Data[Estimated time of arrival],"",0))</f>
        <v>46240</v>
      </c>
      <c r="AZ596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96" s="441">
        <f>IFERROR(PV_DATA[[#This Row],[ODP ETA Port]]+PV_DATA[[#This Row],[Customs/Leg3 Assumption]],"n/a")</f>
        <v>46240</v>
      </c>
      <c r="BB596" s="442">
        <f>YEAR(PV_DATA[[#This Row],[ETA for New Ark update]])</f>
        <v>2026</v>
      </c>
      <c r="BC596" s="431">
        <f>MONTH(PV_DATA[[#This Row],[ETA for New Ark update]])</f>
        <v>8</v>
      </c>
      <c r="BD596" s="431">
        <f>IFERROR(_xlfn.ISOWEEKNUM(PV_DATA[[#This Row],[ETA for New Ark update]]),0)</f>
        <v>32</v>
      </c>
      <c r="BE596" s="431">
        <f>_xlfn.XLOOKUP(PV_DATA[[#This Row],[New Ark SKU]],Table9[New Ark SKU],Table9[Total PCS per Pallet],,0)</f>
        <v>36</v>
      </c>
      <c r="BF596" s="431">
        <f>_xlfn.XLOOKUP(PV_DATA[[#This Row],[New Ark SKU]],Table9[New Ark SKU],Table9[Total PCS per 40HQ Container],,0)</f>
        <v>864</v>
      </c>
      <c r="BG596" s="431" t="str">
        <f>_xlfn.XLOOKUP(PV_DATA[[#This Row],[New Ark SKU]],Table9[New Ark SKU],Table9[Back Glass],,0)</f>
        <v>Black glazing</v>
      </c>
      <c r="BH596" s="431" t="str">
        <f>_xlfn.XLOOKUP(PV_DATA[[#This Row],[PORT DESTINATION]],Table12[PORT DESTINATION],Table12[Cosco Line],,0)</f>
        <v>AEU</v>
      </c>
    </row>
    <row r="597" spans="1:60" s="431" customFormat="1" ht="10.5" hidden="1">
      <c r="A597" s="439" t="s">
        <v>4863</v>
      </c>
      <c r="B597" s="439" t="s">
        <v>61</v>
      </c>
      <c r="C597" s="439" t="str">
        <f>IFERROR(LEFT(PV_DATA[[#This Row],[TCL REFERENCE]],FIND(".",PV_DATA[[#This Row],[TCL REFERENCE]],1)-1),"Main Line")</f>
        <v>26May009</v>
      </c>
      <c r="D597" s="439" t="s">
        <v>63</v>
      </c>
      <c r="E597" s="439" t="s">
        <v>144</v>
      </c>
      <c r="F597" s="439" t="str" cm="1">
        <f t="array" ref="F59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97" s="439" t="s">
        <v>402</v>
      </c>
      <c r="H597" s="439" t="s">
        <v>2394</v>
      </c>
      <c r="I597" s="439" t="s">
        <v>689</v>
      </c>
      <c r="J597" s="431" t="s">
        <v>2395</v>
      </c>
      <c r="K597" s="431" t="s">
        <v>4864</v>
      </c>
      <c r="L597" s="431">
        <v>1</v>
      </c>
      <c r="M597" s="431" t="s">
        <v>840</v>
      </c>
      <c r="N597" s="461">
        <v>46153</v>
      </c>
      <c r="O597" s="431" t="s">
        <v>4540</v>
      </c>
      <c r="P597" s="431" t="s">
        <v>71</v>
      </c>
      <c r="Q597" s="431" t="s">
        <v>72</v>
      </c>
      <c r="R597" s="431" t="str">
        <f>_xlfn.XLOOKUP(PV_DATA[[#This Row],[New Ark SKU]],Table9[New Ark SKU],Table9[Connector],,0)</f>
        <v>EVO2A</v>
      </c>
      <c r="S597" s="442" t="str">
        <f>_xlfn.XLOOKUP(PV_DATA[[#This Row],[New Ark SKU]],Table9[New Ark SKU],Table9[Cable],,0)</f>
        <v>±1200mm</v>
      </c>
      <c r="T597" s="442">
        <v>500</v>
      </c>
      <c r="U597" s="1067">
        <f>864*6</f>
        <v>5184</v>
      </c>
      <c r="V597" s="444">
        <f>PV_DATA[[#This Row],[QUANTITY]]*PV_DATA[[#This Row],[WATT]]/1000000</f>
        <v>2.5920000000000001</v>
      </c>
      <c r="W597" s="466">
        <f>PV_DATA[[#This Row],[QUANTITY]]/PV_DATA[[#This Row],[Qty/Pallet]]</f>
        <v>144</v>
      </c>
      <c r="X597" s="1019">
        <f>PV_DATA[[#This Row],[QUANTITY]]/PV_DATA[[#This Row],[Qty/CT]]</f>
        <v>6</v>
      </c>
      <c r="Y597" s="439" t="s">
        <v>951</v>
      </c>
      <c r="Z597" s="430" t="str">
        <f t="shared" si="6"/>
        <v>COMPLETED</v>
      </c>
      <c r="AA597" s="431" t="s">
        <v>4738</v>
      </c>
      <c r="AB597" s="441">
        <v>46181</v>
      </c>
      <c r="AC597" s="467">
        <f>IF(PV_DATA[[#This Row],[Pick-Up Date]]&lt;&gt;"",_xlfn.ISOWEEKNUM(PV_DATA[[#This Row],[Pick-Up Date]]),"")</f>
        <v>24</v>
      </c>
      <c r="AD597" s="431" t="s">
        <v>4865</v>
      </c>
      <c r="AF597" s="431" t="s">
        <v>77</v>
      </c>
      <c r="AG597" s="431" t="s">
        <v>61</v>
      </c>
      <c r="AH597" s="431" t="s">
        <v>888</v>
      </c>
      <c r="AI597" s="441">
        <v>46187</v>
      </c>
      <c r="AJ597" s="441"/>
      <c r="AK597" s="441">
        <v>46187</v>
      </c>
      <c r="AL597" s="441">
        <v>46238</v>
      </c>
      <c r="AM597" s="441">
        <v>46240</v>
      </c>
      <c r="AN597" s="441">
        <v>46243</v>
      </c>
      <c r="AO597" s="431" t="s">
        <v>402</v>
      </c>
      <c r="AP597" s="431" t="s">
        <v>4866</v>
      </c>
      <c r="AQ597" s="431" t="s">
        <v>161</v>
      </c>
      <c r="AR597" s="431" t="s">
        <v>4867</v>
      </c>
      <c r="AS597" s="431" t="s">
        <v>4868</v>
      </c>
      <c r="AT597" s="431">
        <v>273285179</v>
      </c>
      <c r="AU59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V597" s="441"/>
      <c r="AW597" s="441" cm="1">
        <f t="array" ref="AW59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46243</v>
      </c>
      <c r="AX59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97" s="441">
        <f>IF(ISERROR(PV_DATA[[#This Row],[New Ark PO status]]),"",_xlfn.XLOOKUP(PV_DATA[[#This Row],[SPTN-PVHK New Ark PO'#]],New_Ark_Data[Purchase order Number],New_Ark_Data[Estimated time of arrival],"",0))</f>
        <v>46238</v>
      </c>
      <c r="AZ597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97" s="441">
        <f>IFERROR(PV_DATA[[#This Row],[ODP ETA Port]]+PV_DATA[[#This Row],[Customs/Leg3 Assumption]],"n/a")</f>
        <v>46243</v>
      </c>
      <c r="BB597" s="442">
        <f>YEAR(PV_DATA[[#This Row],[ETA for New Ark update]])</f>
        <v>2026</v>
      </c>
      <c r="BC597" s="431">
        <f>MONTH(PV_DATA[[#This Row],[ETA for New Ark update]])</f>
        <v>8</v>
      </c>
      <c r="BD597" s="431">
        <f>IFERROR(_xlfn.ISOWEEKNUM(PV_DATA[[#This Row],[ETA for New Ark update]]),0)</f>
        <v>32</v>
      </c>
      <c r="BE597" s="431">
        <f>_xlfn.XLOOKUP(PV_DATA[[#This Row],[New Ark SKU]],Table9[New Ark SKU],Table9[Total PCS per Pallet],,0)</f>
        <v>36</v>
      </c>
      <c r="BF597" s="431">
        <f>_xlfn.XLOOKUP(PV_DATA[[#This Row],[New Ark SKU]],Table9[New Ark SKU],Table9[Total PCS per 40HQ Container],,0)</f>
        <v>864</v>
      </c>
      <c r="BG597" s="431" t="str">
        <f>_xlfn.XLOOKUP(PV_DATA[[#This Row],[New Ark SKU]],Table9[New Ark SKU],Table9[Back Glass],,0)</f>
        <v>Black glazing</v>
      </c>
      <c r="BH597" s="431" t="str">
        <f>_xlfn.XLOOKUP(PV_DATA[[#This Row],[PORT DESTINATION]],Table12[PORT DESTINATION],Table12[Cosco Line],,0)</f>
        <v>AEU</v>
      </c>
    </row>
    <row r="598" spans="1:60" s="431" customFormat="1" ht="11.5" hidden="1">
      <c r="A598" s="723" t="s">
        <v>4869</v>
      </c>
      <c r="B598" s="439" t="s">
        <v>61</v>
      </c>
      <c r="C598" s="439" t="str">
        <f>IFERROR(LEFT(PV_DATA[[#This Row],[TCL REFERENCE]],FIND(".",PV_DATA[[#This Row],[TCL REFERENCE]],1)-1),"Main Line")</f>
        <v>26May008</v>
      </c>
      <c r="D598" s="439" t="s">
        <v>63</v>
      </c>
      <c r="E598" s="439" t="s">
        <v>144</v>
      </c>
      <c r="F598" s="439" t="str" cm="1">
        <f t="array" ref="F59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598" s="439" t="s">
        <v>402</v>
      </c>
      <c r="H598" s="439" t="s">
        <v>1080</v>
      </c>
      <c r="I598" s="439" t="s">
        <v>689</v>
      </c>
      <c r="J598" s="431" t="s">
        <v>4870</v>
      </c>
      <c r="K598" s="431" t="s">
        <v>2253</v>
      </c>
      <c r="L598" s="431">
        <v>6</v>
      </c>
      <c r="M598" s="431" t="s">
        <v>840</v>
      </c>
      <c r="N598" s="461">
        <v>46111</v>
      </c>
      <c r="O598" s="431" t="s">
        <v>70</v>
      </c>
      <c r="P598" s="431" t="s">
        <v>965</v>
      </c>
      <c r="Q598" s="431" t="s">
        <v>966</v>
      </c>
      <c r="R598" s="431" t="str">
        <f>_xlfn.XLOOKUP(PV_DATA[[#This Row],[New Ark SKU]],Table9[New Ark SKU],Table9[Connector],,0)</f>
        <v>EVO2A</v>
      </c>
      <c r="S598" s="442" t="str">
        <f>_xlfn.XLOOKUP(PV_DATA[[#This Row],[New Ark SKU]],Table9[New Ark SKU],Table9[Cable],,0)</f>
        <v>±1200mm</v>
      </c>
      <c r="T598" s="442">
        <v>455</v>
      </c>
      <c r="U598" s="1067">
        <f>936*2</f>
        <v>1872</v>
      </c>
      <c r="V598" s="444">
        <f>PV_DATA[[#This Row],[QUANTITY]]*PV_DATA[[#This Row],[WATT]]/1000000</f>
        <v>0.85175999999999996</v>
      </c>
      <c r="W598" s="466">
        <f>PV_DATA[[#This Row],[QUANTITY]]/PV_DATA[[#This Row],[Qty/Pallet]]</f>
        <v>52</v>
      </c>
      <c r="X598" s="1019">
        <f>PV_DATA[[#This Row],[QUANTITY]]/PV_DATA[[#This Row],[Qty/CT]]</f>
        <v>2</v>
      </c>
      <c r="Y598" s="431" t="s">
        <v>4365</v>
      </c>
      <c r="Z598" s="430" t="str">
        <f t="shared" si="6"/>
        <v>COMPLETED</v>
      </c>
      <c r="AA598" s="431" t="s">
        <v>4871</v>
      </c>
      <c r="AB598" s="441">
        <v>46182</v>
      </c>
      <c r="AC598" s="445">
        <f>IF(PV_DATA[[#This Row],[Pick-Up Date]]&lt;&gt;"",_xlfn.ISOWEEKNUM(PV_DATA[[#This Row],[Pick-Up Date]]),"")</f>
        <v>24</v>
      </c>
      <c r="AD598" s="992" t="s">
        <v>4872</v>
      </c>
      <c r="AF598" s="431" t="s">
        <v>77</v>
      </c>
      <c r="AG598" s="431" t="s">
        <v>61</v>
      </c>
      <c r="AH598" s="431" t="s">
        <v>1084</v>
      </c>
      <c r="AI598" s="441">
        <v>46182</v>
      </c>
      <c r="AJ598" s="441">
        <v>46190</v>
      </c>
      <c r="AK598" s="441">
        <v>46189</v>
      </c>
      <c r="AL598" s="441">
        <v>46250</v>
      </c>
      <c r="AM598" s="441">
        <v>46260</v>
      </c>
      <c r="AN598" s="441">
        <v>46261</v>
      </c>
      <c r="AO598" s="431" t="s">
        <v>402</v>
      </c>
      <c r="AP598" s="431" t="s">
        <v>4756</v>
      </c>
      <c r="AQ598" s="431" t="s">
        <v>161</v>
      </c>
      <c r="AR598" s="431" t="s">
        <v>4873</v>
      </c>
      <c r="AS598" s="431" t="s">
        <v>4874</v>
      </c>
      <c r="AT598" s="431" t="s">
        <v>4874</v>
      </c>
      <c r="AU59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</v>
      </c>
      <c r="AW598" s="441" cm="1">
        <f t="array" ref="AW59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46261</v>
      </c>
      <c r="AX59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98" s="441">
        <f>IF(ISERROR(PV_DATA[[#This Row],[New Ark PO status]]),"",_xlfn.XLOOKUP(PV_DATA[[#This Row],[SPTN-PVHK New Ark PO'#]],New_Ark_Data[Purchase order Number],New_Ark_Data[Estimated time of arrival],"",0))</f>
        <v>46251</v>
      </c>
      <c r="AZ598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598" s="441">
        <f>IFERROR(PV_DATA[[#This Row],[ODP ETA Port]]+PV_DATA[[#This Row],[Customs/Leg3 Assumption]],"n/a")</f>
        <v>46261</v>
      </c>
      <c r="BB598" s="442">
        <f>YEAR(PV_DATA[[#This Row],[ETA for New Ark update]])</f>
        <v>2026</v>
      </c>
      <c r="BC598" s="431">
        <f>MONTH(PV_DATA[[#This Row],[ETA for New Ark update]])</f>
        <v>8</v>
      </c>
      <c r="BD598" s="431">
        <f>IFERROR(_xlfn.ISOWEEKNUM(PV_DATA[[#This Row],[ETA for New Ark update]]),0)</f>
        <v>35</v>
      </c>
      <c r="BE598" s="431">
        <f>_xlfn.XLOOKUP(PV_DATA[[#This Row],[New Ark SKU]],Table9[New Ark SKU],Table9[Total PCS per Pallet],,0)</f>
        <v>36</v>
      </c>
      <c r="BF598" s="431">
        <f>_xlfn.XLOOKUP(PV_DATA[[#This Row],[New Ark SKU]],Table9[New Ark SKU],Table9[Total PCS per 40HQ Container],,0)</f>
        <v>936</v>
      </c>
      <c r="BG598" s="431" t="str">
        <f>_xlfn.XLOOKUP(PV_DATA[[#This Row],[New Ark SKU]],Table9[New Ark SKU],Table9[Back Glass],,0)</f>
        <v>Black glazing</v>
      </c>
      <c r="BH598" s="431" t="str">
        <f>_xlfn.XLOOKUP(PV_DATA[[#This Row],[PORT DESTINATION]],Table12[PORT DESTINATION],Table12[Cosco Line],,0)</f>
        <v>AEU</v>
      </c>
    </row>
    <row r="599" spans="1:60" s="431" customFormat="1" ht="11.5" hidden="1">
      <c r="A599" s="439" t="s">
        <v>4875</v>
      </c>
      <c r="B599" s="439" t="s">
        <v>61</v>
      </c>
      <c r="C599" s="439" t="str">
        <f>IFERROR(LEFT(PV_DATA[[#This Row],[TCL REFERENCE]],FIND(".",PV_DATA[[#This Row],[TCL REFERENCE]],1)-1),"Main Line")</f>
        <v>26May007</v>
      </c>
      <c r="D599" s="439" t="s">
        <v>63</v>
      </c>
      <c r="E599" s="439" t="s">
        <v>64</v>
      </c>
      <c r="F599" s="439" t="str" cm="1">
        <f t="array" ref="F59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599" s="439" t="s">
        <v>402</v>
      </c>
      <c r="H599" s="439" t="s">
        <v>451</v>
      </c>
      <c r="I599" s="439" t="s">
        <v>689</v>
      </c>
      <c r="J599" s="431" t="s">
        <v>96</v>
      </c>
      <c r="M599" s="431" t="s">
        <v>68</v>
      </c>
      <c r="N599" s="461">
        <v>45809</v>
      </c>
      <c r="O599" s="431" t="s">
        <v>4540</v>
      </c>
      <c r="P599" s="431" t="s">
        <v>195</v>
      </c>
      <c r="Q599" s="431" t="s">
        <v>196</v>
      </c>
      <c r="R599" s="431" t="str">
        <f>_xlfn.XLOOKUP(PV_DATA[[#This Row],[New Ark SKU]],Table9[New Ark SKU],Table9[Connector],,0)</f>
        <v>EVO2A</v>
      </c>
      <c r="S599" s="442" t="str">
        <f>_xlfn.XLOOKUP(PV_DATA[[#This Row],[New Ark SKU]],Table9[New Ark SKU],Table9[Cable],,0)</f>
        <v>±1200mm</v>
      </c>
      <c r="T599" s="442">
        <v>450</v>
      </c>
      <c r="U599" s="1067">
        <f>936*4</f>
        <v>3744</v>
      </c>
      <c r="V599" s="448">
        <f>PV_DATA[[#This Row],[QUANTITY]]*PV_DATA[[#This Row],[WATT]]/1000000</f>
        <v>1.6848000000000001</v>
      </c>
      <c r="W599" s="466">
        <f>PV_DATA[[#This Row],[QUANTITY]]/PV_DATA[[#This Row],[Qty/Pallet]]</f>
        <v>104</v>
      </c>
      <c r="X599" s="1019">
        <f>PV_DATA[[#This Row],[QUANTITY]]/PV_DATA[[#This Row],[Qty/CT]]</f>
        <v>4</v>
      </c>
      <c r="Y599" s="431" t="s">
        <v>4365</v>
      </c>
      <c r="Z599" s="430" t="str">
        <f t="shared" si="6"/>
        <v>COMPLETED</v>
      </c>
      <c r="AA599" s="431" t="s">
        <v>4829</v>
      </c>
      <c r="AB599" s="441">
        <v>46178</v>
      </c>
      <c r="AC599" s="467">
        <f>IF(PV_DATA[[#This Row],[Pick-Up Date]]&lt;&gt;"",_xlfn.ISOWEEKNUM(PV_DATA[[#This Row],[Pick-Up Date]]),"")</f>
        <v>23</v>
      </c>
      <c r="AD599" s="884" t="s">
        <v>4876</v>
      </c>
      <c r="AF599" s="431" t="s">
        <v>61</v>
      </c>
      <c r="AG599" s="431" t="s">
        <v>61</v>
      </c>
      <c r="AH599" s="431" t="s">
        <v>456</v>
      </c>
      <c r="AI599" s="441">
        <v>46184</v>
      </c>
      <c r="AJ599" s="441">
        <v>46192</v>
      </c>
      <c r="AK599" s="441">
        <v>46193</v>
      </c>
      <c r="AL599" s="441">
        <v>46231</v>
      </c>
      <c r="AM599" s="441">
        <v>46238</v>
      </c>
      <c r="AN599" s="441">
        <v>46248</v>
      </c>
      <c r="AO599" s="431" t="s">
        <v>402</v>
      </c>
      <c r="AP599" s="431" t="s">
        <v>4877</v>
      </c>
      <c r="AQ599" s="431" t="s">
        <v>161</v>
      </c>
      <c r="AR599" s="431" t="s">
        <v>4878</v>
      </c>
      <c r="AS599" s="431" t="s">
        <v>4879</v>
      </c>
      <c r="AT599" s="431" t="s">
        <v>4879</v>
      </c>
      <c r="AU59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55</v>
      </c>
      <c r="AV599" s="441"/>
      <c r="AW599" s="441" cm="1">
        <f t="array" ref="AW59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46248</v>
      </c>
      <c r="AX59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599" s="441">
        <f>IF(ISERROR(PV_DATA[[#This Row],[New Ark PO status]]),"",_xlfn.XLOOKUP(PV_DATA[[#This Row],[SPTN-PVHK New Ark PO'#]],New_Ark_Data[Purchase order Number],New_Ark_Data[Estimated time of arrival],"",0))</f>
        <v>46262</v>
      </c>
      <c r="AZ599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599" s="441">
        <f>IFERROR(PV_DATA[[#This Row],[ODP ETA Port]]+PV_DATA[[#This Row],[Customs/Leg3 Assumption]],"n/a")</f>
        <v>46255</v>
      </c>
      <c r="BB599" s="442">
        <f>YEAR(PV_DATA[[#This Row],[ETA for New Ark update]])</f>
        <v>2026</v>
      </c>
      <c r="BC599" s="431">
        <f>MONTH(PV_DATA[[#This Row],[ETA for New Ark update]])</f>
        <v>8</v>
      </c>
      <c r="BD599" s="431">
        <f>IFERROR(_xlfn.ISOWEEKNUM(PV_DATA[[#This Row],[ETA for New Ark update]]),0)</f>
        <v>34</v>
      </c>
      <c r="BE599" s="431">
        <f>_xlfn.XLOOKUP(PV_DATA[[#This Row],[New Ark SKU]],Table9[New Ark SKU],Table9[Total PCS per Pallet],,0)</f>
        <v>36</v>
      </c>
      <c r="BF599" s="431">
        <f>_xlfn.XLOOKUP(PV_DATA[[#This Row],[New Ark SKU]],Table9[New Ark SKU],Table9[Total PCS per 40HQ Container],,0)</f>
        <v>936</v>
      </c>
      <c r="BG599" s="431" t="str">
        <f>_xlfn.XLOOKUP(PV_DATA[[#This Row],[New Ark SKU]],Table9[New Ark SKU],Table9[Back Glass],,0)</f>
        <v>Black glazing</v>
      </c>
      <c r="BH599" s="431" t="str">
        <f>_xlfn.XLOOKUP(PV_DATA[[#This Row],[PORT DESTINATION]],Table12[PORT DESTINATION],Table12[Cosco Line],,0)</f>
        <v>AEU</v>
      </c>
    </row>
    <row r="600" spans="1:60" s="431" customFormat="1" ht="10.5" hidden="1">
      <c r="A600" s="439" t="s">
        <v>4880</v>
      </c>
      <c r="B600" s="439" t="s">
        <v>61</v>
      </c>
      <c r="C600" s="439" t="str">
        <f>IFERROR(LEFT(PV_DATA[[#This Row],[TCL REFERENCE]],FIND(".",PV_DATA[[#This Row],[TCL REFERENCE]],1)-1),"Main Line")</f>
        <v>26May009</v>
      </c>
      <c r="D600" s="439" t="s">
        <v>63</v>
      </c>
      <c r="E600" s="439" t="s">
        <v>144</v>
      </c>
      <c r="F600" s="439" t="str" cm="1">
        <f t="array" ref="F60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00" s="439" t="s">
        <v>402</v>
      </c>
      <c r="H600" s="439" t="s">
        <v>1029</v>
      </c>
      <c r="I600" s="439" t="s">
        <v>689</v>
      </c>
      <c r="J600" s="431" t="s">
        <v>4881</v>
      </c>
      <c r="K600" s="431" t="s">
        <v>2389</v>
      </c>
      <c r="L600" s="431">
        <v>4</v>
      </c>
      <c r="M600" s="431" t="s">
        <v>840</v>
      </c>
      <c r="N600" s="461">
        <v>46153</v>
      </c>
      <c r="O600" s="431" t="s">
        <v>4540</v>
      </c>
      <c r="P600" s="431" t="s">
        <v>71</v>
      </c>
      <c r="Q600" s="431" t="s">
        <v>72</v>
      </c>
      <c r="R600" s="431" t="str">
        <f>_xlfn.XLOOKUP(PV_DATA[[#This Row],[New Ark SKU]],Table9[New Ark SKU],Table9[Connector],,0)</f>
        <v>EVO2A</v>
      </c>
      <c r="S600" s="442" t="str">
        <f>_xlfn.XLOOKUP(PV_DATA[[#This Row],[New Ark SKU]],Table9[New Ark SKU],Table9[Cable],,0)</f>
        <v>±1200mm</v>
      </c>
      <c r="T600" s="442">
        <v>500</v>
      </c>
      <c r="U600" s="1067">
        <f>864*6</f>
        <v>5184</v>
      </c>
      <c r="V600" s="448">
        <f>PV_DATA[[#This Row],[QUANTITY]]*PV_DATA[[#This Row],[WATT]]/1000000</f>
        <v>2.5920000000000001</v>
      </c>
      <c r="W600" s="466">
        <f>PV_DATA[[#This Row],[QUANTITY]]/PV_DATA[[#This Row],[Qty/Pallet]]</f>
        <v>144</v>
      </c>
      <c r="X600" s="1019">
        <f>PV_DATA[[#This Row],[QUANTITY]]/PV_DATA[[#This Row],[Qty/CT]]</f>
        <v>6</v>
      </c>
      <c r="Y600" s="439" t="s">
        <v>951</v>
      </c>
      <c r="Z600" s="430" t="str">
        <f t="shared" si="6"/>
        <v>COMPLETED</v>
      </c>
      <c r="AA600" s="431" t="s">
        <v>4882</v>
      </c>
      <c r="AB600" s="441">
        <v>46181</v>
      </c>
      <c r="AC600" s="467">
        <f>IF(PV_DATA[[#This Row],[Pick-Up Date]]&lt;&gt;"",_xlfn.ISOWEEKNUM(PV_DATA[[#This Row],[Pick-Up Date]]),"")</f>
        <v>24</v>
      </c>
      <c r="AD600" s="431" t="s">
        <v>4883</v>
      </c>
      <c r="AF600" s="431" t="s">
        <v>77</v>
      </c>
      <c r="AG600" s="431" t="s">
        <v>61</v>
      </c>
      <c r="AH600" s="431" t="s">
        <v>888</v>
      </c>
      <c r="AI600" s="441">
        <v>46187</v>
      </c>
      <c r="AJ600" s="441"/>
      <c r="AK600" s="441">
        <v>46187</v>
      </c>
      <c r="AL600" s="441">
        <v>46238</v>
      </c>
      <c r="AM600" s="441">
        <v>46240</v>
      </c>
      <c r="AN600" s="441">
        <v>46243</v>
      </c>
      <c r="AO600" s="431" t="s">
        <v>402</v>
      </c>
      <c r="AP600" s="431" t="s">
        <v>4866</v>
      </c>
      <c r="AQ600" s="431" t="s">
        <v>161</v>
      </c>
      <c r="AR600" s="431" t="s">
        <v>4884</v>
      </c>
      <c r="AS600" s="431" t="s">
        <v>4885</v>
      </c>
      <c r="AT600" s="431">
        <v>273285179</v>
      </c>
      <c r="AU60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V600" s="441"/>
      <c r="AW600" s="441" cm="1">
        <f t="array" ref="AW60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46243</v>
      </c>
      <c r="AX60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00" s="441">
        <f>IF(ISERROR(PV_DATA[[#This Row],[New Ark PO status]]),"",_xlfn.XLOOKUP(PV_DATA[[#This Row],[SPTN-PVHK New Ark PO'#]],New_Ark_Data[Purchase order Number],New_Ark_Data[Estimated time of arrival],"",0))</f>
        <v>46238</v>
      </c>
      <c r="AZ600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00" s="441">
        <f>IFERROR(PV_DATA[[#This Row],[ODP ETA Port]]+PV_DATA[[#This Row],[Customs/Leg3 Assumption]],"n/a")</f>
        <v>46243</v>
      </c>
      <c r="BB600" s="442">
        <f>YEAR(PV_DATA[[#This Row],[ETA for New Ark update]])</f>
        <v>2026</v>
      </c>
      <c r="BC600" s="431">
        <f>MONTH(PV_DATA[[#This Row],[ETA for New Ark update]])</f>
        <v>8</v>
      </c>
      <c r="BD600" s="431">
        <f>IFERROR(_xlfn.ISOWEEKNUM(PV_DATA[[#This Row],[ETA for New Ark update]]),0)</f>
        <v>32</v>
      </c>
      <c r="BE600" s="431">
        <f>_xlfn.XLOOKUP(PV_DATA[[#This Row],[New Ark SKU]],Table9[New Ark SKU],Table9[Total PCS per Pallet],,0)</f>
        <v>36</v>
      </c>
      <c r="BF600" s="431">
        <f>_xlfn.XLOOKUP(PV_DATA[[#This Row],[New Ark SKU]],Table9[New Ark SKU],Table9[Total PCS per 40HQ Container],,0)</f>
        <v>864</v>
      </c>
      <c r="BG600" s="431" t="str">
        <f>_xlfn.XLOOKUP(PV_DATA[[#This Row],[New Ark SKU]],Table9[New Ark SKU],Table9[Back Glass],,0)</f>
        <v>Black glazing</v>
      </c>
      <c r="BH600" s="431" t="str">
        <f>_xlfn.XLOOKUP(PV_DATA[[#This Row],[PORT DESTINATION]],Table12[PORT DESTINATION],Table12[Cosco Line],,0)</f>
        <v>AEU</v>
      </c>
    </row>
    <row r="601" spans="1:60" s="431" customFormat="1" ht="10.5" hidden="1">
      <c r="A601" s="439" t="s">
        <v>4886</v>
      </c>
      <c r="B601" s="439" t="s">
        <v>61</v>
      </c>
      <c r="C601" s="439" t="str">
        <f>IFERROR(LEFT(PV_DATA[[#This Row],[TCL REFERENCE]],FIND(".",PV_DATA[[#This Row],[TCL REFERENCE]],1)-1),"Main Line")</f>
        <v>26May009</v>
      </c>
      <c r="D601" s="439" t="s">
        <v>63</v>
      </c>
      <c r="E601" s="439" t="s">
        <v>144</v>
      </c>
      <c r="F601" s="439" t="str" cm="1">
        <f t="array" ref="F60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01" s="439" t="s">
        <v>402</v>
      </c>
      <c r="H601" s="439" t="s">
        <v>1029</v>
      </c>
      <c r="I601" s="439" t="s">
        <v>689</v>
      </c>
      <c r="J601" s="431" t="s">
        <v>4887</v>
      </c>
      <c r="K601" s="431" t="s">
        <v>4888</v>
      </c>
      <c r="L601" s="431">
        <v>1</v>
      </c>
      <c r="M601" s="431" t="s">
        <v>840</v>
      </c>
      <c r="N601" s="461">
        <v>46153</v>
      </c>
      <c r="O601" s="431" t="s">
        <v>4540</v>
      </c>
      <c r="P601" s="431" t="s">
        <v>71</v>
      </c>
      <c r="Q601" s="431" t="s">
        <v>72</v>
      </c>
      <c r="R601" s="431" t="str">
        <f>_xlfn.XLOOKUP(PV_DATA[[#This Row],[New Ark SKU]],Table9[New Ark SKU],Table9[Connector],,0)</f>
        <v>EVO2A</v>
      </c>
      <c r="S601" s="442" t="str">
        <f>_xlfn.XLOOKUP(PV_DATA[[#This Row],[New Ark SKU]],Table9[New Ark SKU],Table9[Cable],,0)</f>
        <v>±1200mm</v>
      </c>
      <c r="T601" s="442">
        <v>500</v>
      </c>
      <c r="U601" s="1067">
        <f>864*8</f>
        <v>6912</v>
      </c>
      <c r="V601" s="448">
        <f>PV_DATA[[#This Row],[QUANTITY]]*PV_DATA[[#This Row],[WATT]]/1000000</f>
        <v>3.456</v>
      </c>
      <c r="W601" s="466">
        <f>PV_DATA[[#This Row],[QUANTITY]]/PV_DATA[[#This Row],[Qty/Pallet]]</f>
        <v>192</v>
      </c>
      <c r="X601" s="1019">
        <f>PV_DATA[[#This Row],[QUANTITY]]/PV_DATA[[#This Row],[Qty/CT]]</f>
        <v>8</v>
      </c>
      <c r="Y601" s="439" t="s">
        <v>951</v>
      </c>
      <c r="Z601" s="430" t="str">
        <f t="shared" si="6"/>
        <v>COMPLETED</v>
      </c>
      <c r="AA601" s="431" t="s">
        <v>4738</v>
      </c>
      <c r="AB601" s="441">
        <v>46181</v>
      </c>
      <c r="AC601" s="467">
        <f>IF(PV_DATA[[#This Row],[Pick-Up Date]]&lt;&gt;"",_xlfn.ISOWEEKNUM(PV_DATA[[#This Row],[Pick-Up Date]]),"")</f>
        <v>24</v>
      </c>
      <c r="AD601" s="431" t="s">
        <v>4889</v>
      </c>
      <c r="AF601" s="431" t="s">
        <v>61</v>
      </c>
      <c r="AG601" s="431" t="s">
        <v>61</v>
      </c>
      <c r="AH601" s="431" t="s">
        <v>888</v>
      </c>
      <c r="AI601" s="441">
        <v>46187</v>
      </c>
      <c r="AJ601" s="441"/>
      <c r="AK601" s="441">
        <v>46187</v>
      </c>
      <c r="AL601" s="441">
        <v>46238</v>
      </c>
      <c r="AM601" s="441">
        <v>46240</v>
      </c>
      <c r="AN601" s="441">
        <v>46243</v>
      </c>
      <c r="AO601" s="431" t="s">
        <v>402</v>
      </c>
      <c r="AP601" s="431" t="s">
        <v>4866</v>
      </c>
      <c r="AQ601" s="431" t="s">
        <v>161</v>
      </c>
      <c r="AR601" s="431" t="s">
        <v>4884</v>
      </c>
      <c r="AS601" s="431" t="s">
        <v>4885</v>
      </c>
      <c r="AT601" s="431">
        <v>273285179</v>
      </c>
      <c r="AU60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V601" s="441"/>
      <c r="AW601" s="441" cm="1">
        <f t="array" ref="AW60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46243</v>
      </c>
      <c r="AX60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01" s="441">
        <f>IF(ISERROR(PV_DATA[[#This Row],[New Ark PO status]]),"",_xlfn.XLOOKUP(PV_DATA[[#This Row],[SPTN-PVHK New Ark PO'#]],New_Ark_Data[Purchase order Number],New_Ark_Data[Estimated time of arrival],"",0))</f>
        <v>46238</v>
      </c>
      <c r="AZ601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01" s="441">
        <f>IFERROR(PV_DATA[[#This Row],[ODP ETA Port]]+PV_DATA[[#This Row],[Customs/Leg3 Assumption]],"n/a")</f>
        <v>46243</v>
      </c>
      <c r="BB601" s="442">
        <f>YEAR(PV_DATA[[#This Row],[ETA for New Ark update]])</f>
        <v>2026</v>
      </c>
      <c r="BC601" s="431">
        <f>MONTH(PV_DATA[[#This Row],[ETA for New Ark update]])</f>
        <v>8</v>
      </c>
      <c r="BD601" s="431">
        <f>IFERROR(_xlfn.ISOWEEKNUM(PV_DATA[[#This Row],[ETA for New Ark update]]),0)</f>
        <v>32</v>
      </c>
      <c r="BE601" s="431">
        <f>_xlfn.XLOOKUP(PV_DATA[[#This Row],[New Ark SKU]],Table9[New Ark SKU],Table9[Total PCS per Pallet],,0)</f>
        <v>36</v>
      </c>
      <c r="BF601" s="431">
        <f>_xlfn.XLOOKUP(PV_DATA[[#This Row],[New Ark SKU]],Table9[New Ark SKU],Table9[Total PCS per 40HQ Container],,0)</f>
        <v>864</v>
      </c>
      <c r="BG601" s="431" t="str">
        <f>_xlfn.XLOOKUP(PV_DATA[[#This Row],[New Ark SKU]],Table9[New Ark SKU],Table9[Back Glass],,0)</f>
        <v>Black glazing</v>
      </c>
      <c r="BH601" s="431" t="str">
        <f>_xlfn.XLOOKUP(PV_DATA[[#This Row],[PORT DESTINATION]],Table12[PORT DESTINATION],Table12[Cosco Line],,0)</f>
        <v>AEU</v>
      </c>
    </row>
    <row r="602" spans="1:60" s="431" customFormat="1" ht="10.5" hidden="1">
      <c r="A602" s="439" t="s">
        <v>4890</v>
      </c>
      <c r="B602" s="439" t="s">
        <v>61</v>
      </c>
      <c r="C602" s="439" t="str">
        <f>IFERROR(LEFT(PV_DATA[[#This Row],[TCL REFERENCE]],FIND(".",PV_DATA[[#This Row],[TCL REFERENCE]],1)-1),"Main Line")</f>
        <v>26May007</v>
      </c>
      <c r="D602" s="439" t="s">
        <v>63</v>
      </c>
      <c r="E602" s="439" t="s">
        <v>144</v>
      </c>
      <c r="F602" s="439" t="str" cm="1">
        <f t="array" ref="F60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02" s="439" t="s">
        <v>402</v>
      </c>
      <c r="H602" s="719" t="s">
        <v>1449</v>
      </c>
      <c r="I602" s="439" t="s">
        <v>689</v>
      </c>
      <c r="J602" s="431" t="s">
        <v>4628</v>
      </c>
      <c r="K602" s="431" t="s">
        <v>4629</v>
      </c>
      <c r="L602" s="431">
        <v>1</v>
      </c>
      <c r="M602" s="431" t="s">
        <v>840</v>
      </c>
      <c r="N602" s="461">
        <v>45809</v>
      </c>
      <c r="O602" s="431" t="s">
        <v>4540</v>
      </c>
      <c r="P602" s="431" t="s">
        <v>195</v>
      </c>
      <c r="Q602" s="431" t="s">
        <v>196</v>
      </c>
      <c r="R602" s="431" t="str">
        <f>_xlfn.XLOOKUP(PV_DATA[[#This Row],[New Ark SKU]],Table9[New Ark SKU],Table9[Connector],,0)</f>
        <v>EVO2A</v>
      </c>
      <c r="S602" s="442" t="str">
        <f>_xlfn.XLOOKUP(PV_DATA[[#This Row],[New Ark SKU]],Table9[New Ark SKU],Table9[Cable],,0)</f>
        <v>±1200mm</v>
      </c>
      <c r="T602" s="442">
        <v>450</v>
      </c>
      <c r="U602" s="1067">
        <v>936</v>
      </c>
      <c r="V602" s="448">
        <f>PV_DATA[[#This Row],[QUANTITY]]*PV_DATA[[#This Row],[WATT]]/1000000</f>
        <v>0.42120000000000002</v>
      </c>
      <c r="W602" s="466">
        <f>PV_DATA[[#This Row],[QUANTITY]]/PV_DATA[[#This Row],[Qty/Pallet]]</f>
        <v>26</v>
      </c>
      <c r="X602" s="1019">
        <v>1</v>
      </c>
      <c r="Y602" s="439" t="s">
        <v>951</v>
      </c>
      <c r="Z602" s="430" t="str">
        <f t="shared" si="6"/>
        <v>COMPLETED</v>
      </c>
      <c r="AA602" s="431" t="s">
        <v>4891</v>
      </c>
      <c r="AB602" s="441">
        <v>46180</v>
      </c>
      <c r="AC602" s="467">
        <f>IF(PV_DATA[[#This Row],[Pick-Up Date]]&lt;&gt;"",_xlfn.ISOWEEKNUM(PV_DATA[[#This Row],[Pick-Up Date]]),"")</f>
        <v>23</v>
      </c>
      <c r="AD602" s="431" t="s">
        <v>4892</v>
      </c>
      <c r="AF602" s="431" t="s">
        <v>61</v>
      </c>
      <c r="AG602" s="431" t="s">
        <v>61</v>
      </c>
      <c r="AH602" s="431" t="s">
        <v>105</v>
      </c>
      <c r="AI602" s="441">
        <v>46186</v>
      </c>
      <c r="AJ602" s="441"/>
      <c r="AK602" s="441">
        <v>46187</v>
      </c>
      <c r="AL602" s="441">
        <v>46235</v>
      </c>
      <c r="AM602" s="586">
        <f>IFERROR(VLOOKUP(AT602, Vessel!A:H, 8, FALSE), "")</f>
        <v>46242.041666666664</v>
      </c>
      <c r="AN602" s="586">
        <v>46241.871620370373</v>
      </c>
      <c r="AO602" s="431" t="s">
        <v>402</v>
      </c>
      <c r="AP602" s="431" t="s">
        <v>4893</v>
      </c>
      <c r="AQ602" s="431" t="s">
        <v>80</v>
      </c>
      <c r="AR602" s="431" t="s">
        <v>4894</v>
      </c>
      <c r="AS602" s="431" t="s">
        <v>4895</v>
      </c>
      <c r="AT602" s="431" t="s">
        <v>4895</v>
      </c>
      <c r="AU60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54.871620370373421</v>
      </c>
      <c r="AV602" s="441"/>
      <c r="AW602" s="441" cm="1">
        <f t="array" ref="AW60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46241.871620370373</v>
      </c>
      <c r="AX60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02" s="441">
        <f>IF(ISERROR(PV_DATA[[#This Row],[New Ark PO status]]),"",_xlfn.XLOOKUP(PV_DATA[[#This Row],[SPTN-PVHK New Ark PO'#]],New_Ark_Data[Purchase order Number],New_Ark_Data[Estimated time of arrival],"",0))</f>
        <v>46235</v>
      </c>
      <c r="AZ602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02" s="441">
        <f>IFERROR(PV_DATA[[#This Row],[ODP ETA Port]]+PV_DATA[[#This Row],[Customs/Leg3 Assumption]],"n/a")</f>
        <v>46241.871620370373</v>
      </c>
      <c r="BB602" s="442">
        <f>YEAR(PV_DATA[[#This Row],[ETA for New Ark update]])</f>
        <v>2026</v>
      </c>
      <c r="BC602" s="431">
        <f>MONTH(PV_DATA[[#This Row],[ETA for New Ark update]])</f>
        <v>8</v>
      </c>
      <c r="BD602" s="431">
        <f>IFERROR(_xlfn.ISOWEEKNUM(PV_DATA[[#This Row],[ETA for New Ark update]]),0)</f>
        <v>32</v>
      </c>
      <c r="BE602" s="431">
        <f>_xlfn.XLOOKUP(PV_DATA[[#This Row],[New Ark SKU]],Table9[New Ark SKU],Table9[Total PCS per Pallet],,0)</f>
        <v>36</v>
      </c>
      <c r="BF602" s="431">
        <f>_xlfn.XLOOKUP(PV_DATA[[#This Row],[New Ark SKU]],Table9[New Ark SKU],Table9[Total PCS per 40HQ Container],,0)</f>
        <v>936</v>
      </c>
      <c r="BG602" s="431" t="str">
        <f>_xlfn.XLOOKUP(PV_DATA[[#This Row],[New Ark SKU]],Table9[New Ark SKU],Table9[Back Glass],,0)</f>
        <v>Black glazing</v>
      </c>
      <c r="BH602" s="431" t="str">
        <f>_xlfn.XLOOKUP(PV_DATA[[#This Row],[PORT DESTINATION]],Table12[PORT DESTINATION],Table12[Cosco Line],,0)</f>
        <v>AEU</v>
      </c>
    </row>
    <row r="603" spans="1:60" s="431" customFormat="1" ht="10.5" hidden="1">
      <c r="A603" s="439" t="s">
        <v>4896</v>
      </c>
      <c r="B603" s="439" t="s">
        <v>61</v>
      </c>
      <c r="C603" s="439" t="s">
        <v>4897</v>
      </c>
      <c r="D603" s="439" t="s">
        <v>63</v>
      </c>
      <c r="E603" s="439" t="s">
        <v>144</v>
      </c>
      <c r="F603" s="439" t="s">
        <v>145</v>
      </c>
      <c r="G603" s="439" t="s">
        <v>402</v>
      </c>
      <c r="H603" s="719" t="s">
        <v>1449</v>
      </c>
      <c r="I603" s="439" t="s">
        <v>689</v>
      </c>
      <c r="J603" s="431" t="s">
        <v>4628</v>
      </c>
      <c r="K603" s="431" t="s">
        <v>4629</v>
      </c>
      <c r="L603" s="431">
        <v>1</v>
      </c>
      <c r="M603" s="431" t="s">
        <v>840</v>
      </c>
      <c r="N603" s="461">
        <v>45809</v>
      </c>
      <c r="O603" s="431" t="s">
        <v>4540</v>
      </c>
      <c r="P603" s="431" t="s">
        <v>195</v>
      </c>
      <c r="Q603" s="431" t="s">
        <v>196</v>
      </c>
      <c r="R603" s="431" t="str">
        <f>_xlfn.XLOOKUP(PV_DATA[[#This Row],[New Ark SKU]],Table9[New Ark SKU],Table9[Connector],,0)</f>
        <v>EVO2A</v>
      </c>
      <c r="S603" s="442" t="str">
        <f>_xlfn.XLOOKUP(PV_DATA[[#This Row],[New Ark SKU]],Table9[New Ark SKU],Table9[Cable],,0)</f>
        <v>±1200mm</v>
      </c>
      <c r="T603" s="442">
        <v>450</v>
      </c>
      <c r="U603" s="1067">
        <v>4680</v>
      </c>
      <c r="V603" s="448">
        <f>PV_DATA[[#This Row],[QUANTITY]]*PV_DATA[[#This Row],[WATT]]/1000000</f>
        <v>2.1059999999999999</v>
      </c>
      <c r="W603" s="466">
        <f>PV_DATA[[#This Row],[QUANTITY]]/PV_DATA[[#This Row],[Qty/Pallet]]</f>
        <v>130</v>
      </c>
      <c r="X603" s="1019">
        <v>5</v>
      </c>
      <c r="Y603" s="439" t="s">
        <v>951</v>
      </c>
      <c r="Z603" s="430" t="str">
        <f t="shared" si="6"/>
        <v>COMPLETED</v>
      </c>
      <c r="AA603" s="431" t="s">
        <v>4898</v>
      </c>
      <c r="AB603" s="441">
        <v>46180</v>
      </c>
      <c r="AC603" s="467">
        <f>IF(PV_DATA[[#This Row],[Pick-Up Date]]&lt;&gt;"",_xlfn.ISOWEEKNUM(PV_DATA[[#This Row],[Pick-Up Date]]),"")</f>
        <v>23</v>
      </c>
      <c r="AD603" s="431" t="s">
        <v>4899</v>
      </c>
      <c r="AF603" s="431" t="s">
        <v>61</v>
      </c>
      <c r="AG603" s="431" t="s">
        <v>61</v>
      </c>
      <c r="AH603" s="431" t="s">
        <v>105</v>
      </c>
      <c r="AI603" s="441">
        <v>46186</v>
      </c>
      <c r="AJ603" s="441"/>
      <c r="AK603" s="441">
        <v>46187</v>
      </c>
      <c r="AL603" s="441">
        <v>46226</v>
      </c>
      <c r="AM603" s="441">
        <v>46233</v>
      </c>
      <c r="AN603" s="441">
        <v>46233</v>
      </c>
      <c r="AO603" s="431" t="s">
        <v>402</v>
      </c>
      <c r="AP603" s="431" t="s">
        <v>4893</v>
      </c>
      <c r="AQ603" s="431" t="s">
        <v>80</v>
      </c>
      <c r="AR603" s="431" t="s">
        <v>4900</v>
      </c>
      <c r="AS603" s="431" t="s">
        <v>4901</v>
      </c>
      <c r="AT603" s="431" t="s">
        <v>4901</v>
      </c>
      <c r="AU60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V603" s="441"/>
      <c r="AW603" s="441" cm="1">
        <f t="array" ref="AW60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46233</v>
      </c>
      <c r="AX60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03" s="441">
        <f>IF(ISERROR(PV_DATA[[#This Row],[New Ark PO status]]),"",_xlfn.XLOOKUP(PV_DATA[[#This Row],[SPTN-PVHK New Ark PO'#]],New_Ark_Data[Purchase order Number],New_Ark_Data[Estimated time of arrival],"",0))</f>
        <v>46226</v>
      </c>
      <c r="AZ603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03" s="441">
        <f>IFERROR(PV_DATA[[#This Row],[ODP ETA Port]]+PV_DATA[[#This Row],[Customs/Leg3 Assumption]],"n/a")</f>
        <v>46233</v>
      </c>
      <c r="BB603" s="442">
        <f>YEAR(PV_DATA[[#This Row],[ETA for New Ark update]])</f>
        <v>2026</v>
      </c>
      <c r="BC603" s="431">
        <f>MONTH(PV_DATA[[#This Row],[ETA for New Ark update]])</f>
        <v>7</v>
      </c>
      <c r="BD603" s="431">
        <f>IFERROR(_xlfn.ISOWEEKNUM(PV_DATA[[#This Row],[ETA for New Ark update]]),0)</f>
        <v>31</v>
      </c>
      <c r="BE603" s="431">
        <f>_xlfn.XLOOKUP(PV_DATA[[#This Row],[New Ark SKU]],Table9[New Ark SKU],Table9[Total PCS per Pallet],,0)</f>
        <v>36</v>
      </c>
      <c r="BF603" s="431">
        <f>_xlfn.XLOOKUP(PV_DATA[[#This Row],[New Ark SKU]],Table9[New Ark SKU],Table9[Total PCS per 40HQ Container],,0)</f>
        <v>936</v>
      </c>
      <c r="BG603" s="431" t="str">
        <f>_xlfn.XLOOKUP(PV_DATA[[#This Row],[New Ark SKU]],Table9[New Ark SKU],Table9[Back Glass],,0)</f>
        <v>Black glazing</v>
      </c>
      <c r="BH603" s="431" t="str">
        <f>_xlfn.XLOOKUP(PV_DATA[[#This Row],[PORT DESTINATION]],Table12[PORT DESTINATION],Table12[Cosco Line],,0)</f>
        <v>AEU</v>
      </c>
    </row>
    <row r="604" spans="1:60" s="431" customFormat="1" ht="11.5" hidden="1">
      <c r="A604" s="723" t="s">
        <v>4902</v>
      </c>
      <c r="B604" s="439" t="s">
        <v>61</v>
      </c>
      <c r="C604" s="439" t="str">
        <f>IFERROR(LEFT(PV_DATA[[#This Row],[TCL REFERENCE]],FIND(".",PV_DATA[[#This Row],[TCL REFERENCE]],1)-1),"Main Line")</f>
        <v>26May007</v>
      </c>
      <c r="D604" s="439" t="s">
        <v>63</v>
      </c>
      <c r="E604" s="439" t="s">
        <v>64</v>
      </c>
      <c r="F604" s="439" t="str" cm="1">
        <f t="array" ref="F60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604" s="439" t="s">
        <v>402</v>
      </c>
      <c r="H604" s="439" t="s">
        <v>67</v>
      </c>
      <c r="I604" s="439" t="s">
        <v>689</v>
      </c>
      <c r="J604" s="431" t="s">
        <v>4903</v>
      </c>
      <c r="M604" s="431" t="s">
        <v>68</v>
      </c>
      <c r="N604" s="461">
        <v>45809</v>
      </c>
      <c r="O604" s="431" t="s">
        <v>4540</v>
      </c>
      <c r="P604" s="431" t="s">
        <v>195</v>
      </c>
      <c r="Q604" s="431" t="s">
        <v>196</v>
      </c>
      <c r="R604" s="431" t="str">
        <f>_xlfn.XLOOKUP(PV_DATA[[#This Row],[New Ark SKU]],Table9[New Ark SKU],Table9[Connector],,0)</f>
        <v>EVO2A</v>
      </c>
      <c r="S604" s="442" t="str">
        <f>_xlfn.XLOOKUP(PV_DATA[[#This Row],[New Ark SKU]],Table9[New Ark SKU],Table9[Cable],,0)</f>
        <v>±1200mm</v>
      </c>
      <c r="T604" s="442">
        <v>450</v>
      </c>
      <c r="U604" s="1067">
        <f>936*2</f>
        <v>1872</v>
      </c>
      <c r="V604" s="448">
        <f>PV_DATA[[#This Row],[QUANTITY]]*PV_DATA[[#This Row],[WATT]]/1000000</f>
        <v>0.84240000000000004</v>
      </c>
      <c r="W604" s="466">
        <f>PV_DATA[[#This Row],[QUANTITY]]/PV_DATA[[#This Row],[Qty/Pallet]]</f>
        <v>52</v>
      </c>
      <c r="X604" s="1019">
        <f>PV_DATA[[#This Row],[QUANTITY]]/PV_DATA[[#This Row],[Qty/CT]]</f>
        <v>2</v>
      </c>
      <c r="Y604" s="431" t="s">
        <v>4365</v>
      </c>
      <c r="Z604" s="430" t="str">
        <f t="shared" si="6"/>
        <v>COMPLETED</v>
      </c>
      <c r="AA604" s="431" t="s">
        <v>4871</v>
      </c>
      <c r="AB604" s="441">
        <v>46180</v>
      </c>
      <c r="AC604" s="467">
        <f>IF(PV_DATA[[#This Row],[Pick-Up Date]]&lt;&gt;"",_xlfn.ISOWEEKNUM(PV_DATA[[#This Row],[Pick-Up Date]]),"")</f>
        <v>23</v>
      </c>
      <c r="AD604" s="992" t="s">
        <v>4904</v>
      </c>
      <c r="AF604" s="431" t="s">
        <v>61</v>
      </c>
      <c r="AG604" s="431" t="s">
        <v>61</v>
      </c>
      <c r="AH604" s="431" t="s">
        <v>105</v>
      </c>
      <c r="AI604" s="441">
        <v>46186</v>
      </c>
      <c r="AJ604" s="441">
        <v>46197</v>
      </c>
      <c r="AK604" s="441">
        <v>46197</v>
      </c>
      <c r="AL604" s="441">
        <v>46226</v>
      </c>
      <c r="AM604" s="441">
        <v>46243</v>
      </c>
      <c r="AN604" s="441">
        <v>46246</v>
      </c>
      <c r="AO604" s="431" t="s">
        <v>402</v>
      </c>
      <c r="AP604" s="431" t="s">
        <v>4905</v>
      </c>
      <c r="AQ604" s="431" t="s">
        <v>161</v>
      </c>
      <c r="AR604" s="431" t="s">
        <v>4906</v>
      </c>
      <c r="AS604" s="431" t="s">
        <v>4907</v>
      </c>
      <c r="AT604" s="431" t="s">
        <v>4907</v>
      </c>
      <c r="AU60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V604" s="441"/>
      <c r="AW604" s="441" cm="1">
        <f t="array" ref="AW60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46246</v>
      </c>
      <c r="AX60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04" s="441">
        <f>IF(ISERROR(PV_DATA[[#This Row],[New Ark PO status]]),"",_xlfn.XLOOKUP(PV_DATA[[#This Row],[SPTN-PVHK New Ark PO'#]],New_Ark_Data[Purchase order Number],New_Ark_Data[Estimated time of arrival],"",0))</f>
        <v>46258</v>
      </c>
      <c r="AZ60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604" s="441">
        <f>IFERROR(PV_DATA[[#This Row],[ODP ETA Port]]+PV_DATA[[#This Row],[Customs/Leg3 Assumption]],"n/a")</f>
        <v>46253</v>
      </c>
      <c r="BB604" s="442">
        <f>YEAR(PV_DATA[[#This Row],[ETA for New Ark update]])</f>
        <v>2026</v>
      </c>
      <c r="BC604" s="431">
        <f>MONTH(PV_DATA[[#This Row],[ETA for New Ark update]])</f>
        <v>8</v>
      </c>
      <c r="BD604" s="431">
        <f>IFERROR(_xlfn.ISOWEEKNUM(PV_DATA[[#This Row],[ETA for New Ark update]]),0)</f>
        <v>34</v>
      </c>
      <c r="BE604" s="431">
        <f>_xlfn.XLOOKUP(PV_DATA[[#This Row],[New Ark SKU]],Table9[New Ark SKU],Table9[Total PCS per Pallet],,0)</f>
        <v>36</v>
      </c>
      <c r="BF604" s="431">
        <f>_xlfn.XLOOKUP(PV_DATA[[#This Row],[New Ark SKU]],Table9[New Ark SKU],Table9[Total PCS per 40HQ Container],,0)</f>
        <v>936</v>
      </c>
      <c r="BG604" s="431" t="str">
        <f>_xlfn.XLOOKUP(PV_DATA[[#This Row],[New Ark SKU]],Table9[New Ark SKU],Table9[Back Glass],,0)</f>
        <v>Black glazing</v>
      </c>
      <c r="BH604" s="431" t="str">
        <f>_xlfn.XLOOKUP(PV_DATA[[#This Row],[PORT DESTINATION]],Table12[PORT DESTINATION],Table12[Cosco Line],,0)</f>
        <v>AEU</v>
      </c>
    </row>
    <row r="605" spans="1:60" s="431" customFormat="1" ht="11.5" hidden="1">
      <c r="A605" s="723" t="s">
        <v>4908</v>
      </c>
      <c r="B605" s="439" t="s">
        <v>61</v>
      </c>
      <c r="C605" s="439" t="str">
        <f>IFERROR(LEFT(PV_DATA[[#This Row],[TCL REFERENCE]],FIND(".",PV_DATA[[#This Row],[TCL REFERENCE]],1)-1),"Main Line")</f>
        <v>26May008</v>
      </c>
      <c r="D605" s="439" t="s">
        <v>63</v>
      </c>
      <c r="E605" s="439" t="s">
        <v>64</v>
      </c>
      <c r="F605" s="439" t="str" cm="1">
        <f t="array" ref="F60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605" s="439" t="s">
        <v>402</v>
      </c>
      <c r="H605" s="439" t="s">
        <v>67</v>
      </c>
      <c r="I605" s="439" t="s">
        <v>689</v>
      </c>
      <c r="J605" s="431" t="s">
        <v>4903</v>
      </c>
      <c r="M605" s="431" t="s">
        <v>68</v>
      </c>
      <c r="N605" s="461">
        <v>45809</v>
      </c>
      <c r="O605" s="431" t="s">
        <v>4540</v>
      </c>
      <c r="P605" s="431" t="s">
        <v>965</v>
      </c>
      <c r="Q605" s="431" t="s">
        <v>966</v>
      </c>
      <c r="R605" s="431" t="str">
        <f>_xlfn.XLOOKUP(PV_DATA[[#This Row],[New Ark SKU]],Table9[New Ark SKU],Table9[Connector],,0)</f>
        <v>EVO2A</v>
      </c>
      <c r="S605" s="442" t="str">
        <f>_xlfn.XLOOKUP(PV_DATA[[#This Row],[New Ark SKU]],Table9[New Ark SKU],Table9[Cable],,0)</f>
        <v>±1200mm</v>
      </c>
      <c r="T605" s="442">
        <v>455</v>
      </c>
      <c r="U605" s="1067">
        <f>936*2</f>
        <v>1872</v>
      </c>
      <c r="V605" s="448">
        <f>PV_DATA[[#This Row],[QUANTITY]]*PV_DATA[[#This Row],[WATT]]/1000000</f>
        <v>0.85175999999999996</v>
      </c>
      <c r="W605" s="466">
        <f>PV_DATA[[#This Row],[QUANTITY]]/PV_DATA[[#This Row],[Qty/Pallet]]</f>
        <v>52</v>
      </c>
      <c r="X605" s="1019">
        <f>PV_DATA[[#This Row],[QUANTITY]]/PV_DATA[[#This Row],[Qty/CT]]</f>
        <v>2</v>
      </c>
      <c r="Y605" s="431" t="s">
        <v>4365</v>
      </c>
      <c r="Z605" s="430" t="str">
        <f t="shared" si="6"/>
        <v>COMPLETED</v>
      </c>
      <c r="AA605" s="431" t="s">
        <v>4871</v>
      </c>
      <c r="AB605" s="441">
        <v>46180</v>
      </c>
      <c r="AC605" s="467">
        <f>IF(PV_DATA[[#This Row],[Pick-Up Date]]&lt;&gt;"",_xlfn.ISOWEEKNUM(PV_DATA[[#This Row],[Pick-Up Date]]),"")</f>
        <v>23</v>
      </c>
      <c r="AD605" s="992" t="s">
        <v>4909</v>
      </c>
      <c r="AF605" s="431" t="s">
        <v>61</v>
      </c>
      <c r="AG605" s="431" t="s">
        <v>61</v>
      </c>
      <c r="AH605" s="431" t="s">
        <v>105</v>
      </c>
      <c r="AI605" s="441">
        <v>46186</v>
      </c>
      <c r="AJ605" s="441">
        <v>46197</v>
      </c>
      <c r="AK605" s="441">
        <v>46197</v>
      </c>
      <c r="AL605" s="441">
        <v>46226</v>
      </c>
      <c r="AM605" s="441">
        <v>46243</v>
      </c>
      <c r="AN605" s="441">
        <v>46246</v>
      </c>
      <c r="AO605" s="431" t="s">
        <v>402</v>
      </c>
      <c r="AP605" s="431" t="s">
        <v>4905</v>
      </c>
      <c r="AQ605" s="431" t="s">
        <v>161</v>
      </c>
      <c r="AR605" s="431" t="s">
        <v>4906</v>
      </c>
      <c r="AS605" s="431" t="s">
        <v>4907</v>
      </c>
      <c r="AT605" s="431" t="s">
        <v>4907</v>
      </c>
      <c r="AU60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V605" s="441"/>
      <c r="AW605" s="441" cm="1">
        <f t="array" ref="AW60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46246</v>
      </c>
      <c r="AX60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05" s="441">
        <f>IF(ISERROR(PV_DATA[[#This Row],[New Ark PO status]]),"",_xlfn.XLOOKUP(PV_DATA[[#This Row],[SPTN-PVHK New Ark PO'#]],New_Ark_Data[Purchase order Number],New_Ark_Data[Estimated time of arrival],"",0))</f>
        <v>46258</v>
      </c>
      <c r="AZ60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605" s="441">
        <f>IFERROR(PV_DATA[[#This Row],[ODP ETA Port]]+PV_DATA[[#This Row],[Customs/Leg3 Assumption]],"n/a")</f>
        <v>46253</v>
      </c>
      <c r="BB605" s="442">
        <f>YEAR(PV_DATA[[#This Row],[ETA for New Ark update]])</f>
        <v>2026</v>
      </c>
      <c r="BC605" s="431">
        <f>MONTH(PV_DATA[[#This Row],[ETA for New Ark update]])</f>
        <v>8</v>
      </c>
      <c r="BD605" s="431">
        <f>IFERROR(_xlfn.ISOWEEKNUM(PV_DATA[[#This Row],[ETA for New Ark update]]),0)</f>
        <v>34</v>
      </c>
      <c r="BE605" s="431">
        <f>_xlfn.XLOOKUP(PV_DATA[[#This Row],[New Ark SKU]],Table9[New Ark SKU],Table9[Total PCS per Pallet],,0)</f>
        <v>36</v>
      </c>
      <c r="BF605" s="431">
        <f>_xlfn.XLOOKUP(PV_DATA[[#This Row],[New Ark SKU]],Table9[New Ark SKU],Table9[Total PCS per 40HQ Container],,0)</f>
        <v>936</v>
      </c>
      <c r="BG605" s="431" t="str">
        <f>_xlfn.XLOOKUP(PV_DATA[[#This Row],[New Ark SKU]],Table9[New Ark SKU],Table9[Back Glass],,0)</f>
        <v>Black glazing</v>
      </c>
      <c r="BH605" s="431" t="str">
        <f>_xlfn.XLOOKUP(PV_DATA[[#This Row],[PORT DESTINATION]],Table12[PORT DESTINATION],Table12[Cosco Line],,0)</f>
        <v>AEU</v>
      </c>
    </row>
    <row r="606" spans="1:60" s="431" customFormat="1" ht="10.5" hidden="1">
      <c r="A606" s="439" t="s">
        <v>4910</v>
      </c>
      <c r="B606" s="439" t="s">
        <v>61</v>
      </c>
      <c r="C606" s="439" t="s">
        <v>4911</v>
      </c>
      <c r="D606" s="439" t="s">
        <v>63</v>
      </c>
      <c r="E606" s="439" t="s">
        <v>64</v>
      </c>
      <c r="F606" s="439" t="s">
        <v>65</v>
      </c>
      <c r="G606" s="439" t="s">
        <v>402</v>
      </c>
      <c r="H606" s="439" t="s">
        <v>67</v>
      </c>
      <c r="I606" s="439" t="s">
        <v>689</v>
      </c>
      <c r="J606" s="431" t="s">
        <v>96</v>
      </c>
      <c r="M606" s="431" t="s">
        <v>68</v>
      </c>
      <c r="N606" s="461">
        <v>46153</v>
      </c>
      <c r="O606" s="431" t="s">
        <v>4540</v>
      </c>
      <c r="P606" s="431" t="s">
        <v>71</v>
      </c>
      <c r="Q606" s="431" t="s">
        <v>72</v>
      </c>
      <c r="R606" s="431" t="str">
        <f>_xlfn.XLOOKUP(PV_DATA[[#This Row],[New Ark SKU]],Table9[New Ark SKU],Table9[Connector],,0)</f>
        <v>EVO2A</v>
      </c>
      <c r="S606" s="442" t="str">
        <f>_xlfn.XLOOKUP(PV_DATA[[#This Row],[New Ark SKU]],Table9[New Ark SKU],Table9[Cable],,0)</f>
        <v>±1200mm</v>
      </c>
      <c r="T606" s="442">
        <v>500</v>
      </c>
      <c r="U606" s="1063">
        <v>3456</v>
      </c>
      <c r="V606" s="448">
        <f>PV_DATA[[#This Row],[QUANTITY]]*PV_DATA[[#This Row],[WATT]]/1000000</f>
        <v>1.728</v>
      </c>
      <c r="W606" s="466">
        <f>PV_DATA[[#This Row],[QUANTITY]]/PV_DATA[[#This Row],[Qty/Pallet]]</f>
        <v>96</v>
      </c>
      <c r="X606" s="1019">
        <v>4</v>
      </c>
      <c r="Y606" s="439" t="s">
        <v>951</v>
      </c>
      <c r="Z606" s="430" t="str">
        <f t="shared" si="6"/>
        <v>COMPLETED</v>
      </c>
      <c r="AA606" s="431" t="s">
        <v>4882</v>
      </c>
      <c r="AB606" s="441">
        <v>46178</v>
      </c>
      <c r="AC606" s="467">
        <f>IF(PV_DATA[[#This Row],[Pick-Up Date]]&lt;&gt;"",_xlfn.ISOWEEKNUM(PV_DATA[[#This Row],[Pick-Up Date]]),"")</f>
        <v>23</v>
      </c>
      <c r="AD606" s="431" t="s">
        <v>4912</v>
      </c>
      <c r="AF606" s="431" t="s">
        <v>61</v>
      </c>
      <c r="AG606" s="431" t="s">
        <v>61</v>
      </c>
      <c r="AH606" s="431" t="s">
        <v>78</v>
      </c>
      <c r="AI606" s="441">
        <v>46186</v>
      </c>
      <c r="AJ606" s="441"/>
      <c r="AK606" s="441">
        <v>46187</v>
      </c>
      <c r="AL606" s="441">
        <v>46251</v>
      </c>
      <c r="AM606" s="586">
        <f>IFERROR(VLOOKUP(AT606, Vessel!A:H, 8, FALSE), "")</f>
        <v>46259.25</v>
      </c>
      <c r="AN606" s="586">
        <f>IF(VLOOKUP(AT606, Vessel!A:I, 9, FALSE)=0, "", VLOOKUP(AT606, Vessel!A:I, 9, FALSE))</f>
        <v>46259.238761574074</v>
      </c>
      <c r="AO606" s="431" t="s">
        <v>402</v>
      </c>
      <c r="AP606" s="431" t="s">
        <v>4893</v>
      </c>
      <c r="AQ606" s="431" t="s">
        <v>80</v>
      </c>
      <c r="AR606" s="431" t="s">
        <v>4913</v>
      </c>
      <c r="AS606" s="431" t="s">
        <v>4914</v>
      </c>
      <c r="AT606" s="431" t="s">
        <v>4914</v>
      </c>
      <c r="AU60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72.238761574073578</v>
      </c>
      <c r="AV606" s="441"/>
      <c r="AW606" s="441" cm="1">
        <f t="array" ref="AW60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46259.238761574074</v>
      </c>
      <c r="AX60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06" s="441">
        <f>IF(ISERROR(PV_DATA[[#This Row],[New Ark PO status]]),"",_xlfn.XLOOKUP(PV_DATA[[#This Row],[SPTN-PVHK New Ark PO'#]],New_Ark_Data[Purchase order Number],New_Ark_Data[Estimated time of arrival],"",0))</f>
        <v>46272</v>
      </c>
      <c r="AZ606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06" s="441">
        <f>IFERROR(PV_DATA[[#This Row],[ODP ETA Port]]+PV_DATA[[#This Row],[Customs/Leg3 Assumption]],"n/a")</f>
        <v>46267.238761574074</v>
      </c>
      <c r="BB606" s="442">
        <f>YEAR(PV_DATA[[#This Row],[ETA for New Ark update]])</f>
        <v>2026</v>
      </c>
      <c r="BC606" s="431">
        <f>MONTH(PV_DATA[[#This Row],[ETA for New Ark update]])</f>
        <v>9</v>
      </c>
      <c r="BD606" s="431">
        <f>IFERROR(_xlfn.ISOWEEKNUM(PV_DATA[[#This Row],[ETA for New Ark update]]),0)</f>
        <v>36</v>
      </c>
      <c r="BE606" s="431">
        <f>_xlfn.XLOOKUP(PV_DATA[[#This Row],[New Ark SKU]],Table9[New Ark SKU],Table9[Total PCS per Pallet],,0)</f>
        <v>36</v>
      </c>
      <c r="BF606" s="431">
        <f>_xlfn.XLOOKUP(PV_DATA[[#This Row],[New Ark SKU]],Table9[New Ark SKU],Table9[Total PCS per 40HQ Container],,0)</f>
        <v>864</v>
      </c>
      <c r="BG606" s="431" t="str">
        <f>_xlfn.XLOOKUP(PV_DATA[[#This Row],[New Ark SKU]],Table9[New Ark SKU],Table9[Back Glass],,0)</f>
        <v>Black glazing</v>
      </c>
      <c r="BH606" s="431" t="str">
        <f>_xlfn.XLOOKUP(PV_DATA[[#This Row],[PORT DESTINATION]],Table12[PORT DESTINATION],Table12[Cosco Line],,0)</f>
        <v>AEM</v>
      </c>
    </row>
    <row r="607" spans="1:60" s="431" customFormat="1" ht="10.5" hidden="1">
      <c r="A607" s="439" t="s">
        <v>4915</v>
      </c>
      <c r="B607" s="439" t="s">
        <v>61</v>
      </c>
      <c r="C607" s="439" t="str">
        <f>IFERROR(LEFT(PV_DATA[[#This Row],[TCL REFERENCE]],FIND(".",PV_DATA[[#This Row],[TCL REFERENCE]],1)-1),"Main Line")</f>
        <v>26May009</v>
      </c>
      <c r="D607" s="439" t="s">
        <v>63</v>
      </c>
      <c r="E607" s="439" t="s">
        <v>64</v>
      </c>
      <c r="F607" s="439" t="str" cm="1">
        <f t="array" ref="F60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07" s="439" t="s">
        <v>402</v>
      </c>
      <c r="H607" s="439" t="s">
        <v>67</v>
      </c>
      <c r="I607" s="439" t="s">
        <v>689</v>
      </c>
      <c r="J607" s="431" t="s">
        <v>96</v>
      </c>
      <c r="M607" s="431" t="s">
        <v>68</v>
      </c>
      <c r="N607" s="461">
        <v>46153</v>
      </c>
      <c r="O607" s="431" t="s">
        <v>4540</v>
      </c>
      <c r="P607" s="431" t="s">
        <v>71</v>
      </c>
      <c r="Q607" s="431" t="s">
        <v>72</v>
      </c>
      <c r="R607" s="431" t="str">
        <f>_xlfn.XLOOKUP(PV_DATA[[#This Row],[New Ark SKU]],Table9[New Ark SKU],Table9[Connector],,0)</f>
        <v>EVO2A</v>
      </c>
      <c r="S607" s="442" t="str">
        <f>_xlfn.XLOOKUP(PV_DATA[[#This Row],[New Ark SKU]],Table9[New Ark SKU],Table9[Cable],,0)</f>
        <v>±1200mm</v>
      </c>
      <c r="T607" s="442">
        <v>500</v>
      </c>
      <c r="U607" s="1063">
        <v>864</v>
      </c>
      <c r="V607" s="448">
        <f>PV_DATA[[#This Row],[QUANTITY]]*PV_DATA[[#This Row],[WATT]]/1000000</f>
        <v>0.432</v>
      </c>
      <c r="W607" s="466">
        <f>PV_DATA[[#This Row],[QUANTITY]]/PV_DATA[[#This Row],[Qty/Pallet]]</f>
        <v>24</v>
      </c>
      <c r="X607" s="1019">
        <f>PV_DATA[[#This Row],[QUANTITY]]/PV_DATA[[#This Row],[Qty/CT]]</f>
        <v>1</v>
      </c>
      <c r="Y607" s="439" t="s">
        <v>951</v>
      </c>
      <c r="Z607" s="430" t="str">
        <f t="shared" si="6"/>
        <v>COMPLETED</v>
      </c>
      <c r="AA607" s="431" t="s">
        <v>4882</v>
      </c>
      <c r="AB607" s="441">
        <v>46178</v>
      </c>
      <c r="AC607" s="467">
        <f>IF(PV_DATA[[#This Row],[Pick-Up Date]]&lt;&gt;"",_xlfn.ISOWEEKNUM(PV_DATA[[#This Row],[Pick-Up Date]]),"")</f>
        <v>23</v>
      </c>
      <c r="AD607" s="431" t="s">
        <v>4916</v>
      </c>
      <c r="AF607" s="431" t="s">
        <v>61</v>
      </c>
      <c r="AG607" s="431" t="s">
        <v>61</v>
      </c>
      <c r="AH607" s="431" t="s">
        <v>78</v>
      </c>
      <c r="AI607" s="441">
        <v>46186</v>
      </c>
      <c r="AJ607" s="441"/>
      <c r="AK607" s="441">
        <v>46187</v>
      </c>
      <c r="AL607" s="441">
        <v>46245</v>
      </c>
      <c r="AM607" s="586">
        <f>IFERROR(VLOOKUP(AT607, Vessel!A:H, 8, FALSE), "")</f>
        <v>46253.541666666664</v>
      </c>
      <c r="AN607" s="586">
        <f>IFERROR(IF(VLOOKUP(AT607,Vessel!A:I,9,FALSE)=0,"",VLOOKUP(AT607,Vessel!A:I,9,FALSE)),"")</f>
        <v>46253.474305555559</v>
      </c>
      <c r="AO607" s="431" t="s">
        <v>402</v>
      </c>
      <c r="AP607" s="431" t="s">
        <v>4893</v>
      </c>
      <c r="AQ607" s="431" t="s">
        <v>80</v>
      </c>
      <c r="AR607" s="431" t="s">
        <v>4917</v>
      </c>
      <c r="AS607" s="431" t="s">
        <v>4918</v>
      </c>
      <c r="AT607" s="431" t="s">
        <v>4918</v>
      </c>
      <c r="AU60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66.474305555559113</v>
      </c>
      <c r="AV607" s="441"/>
      <c r="AW607" s="441" cm="1">
        <f t="array" ref="AW60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46253.474305555559</v>
      </c>
      <c r="AX60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07" s="441">
        <f>IF(ISERROR(PV_DATA[[#This Row],[New Ark PO status]]),"",_xlfn.XLOOKUP(PV_DATA[[#This Row],[SPTN-PVHK New Ark PO'#]],New_Ark_Data[Purchase order Number],New_Ark_Data[Estimated time of arrival],"",0))</f>
        <v>46267</v>
      </c>
      <c r="AZ607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07" s="441">
        <f>IFERROR(PV_DATA[[#This Row],[ODP ETA Port]]+PV_DATA[[#This Row],[Customs/Leg3 Assumption]],"n/a")</f>
        <v>46261.474305555559</v>
      </c>
      <c r="BB607" s="442">
        <f>YEAR(PV_DATA[[#This Row],[ETA for New Ark update]])</f>
        <v>2026</v>
      </c>
      <c r="BC607" s="431">
        <f>MONTH(PV_DATA[[#This Row],[ETA for New Ark update]])</f>
        <v>8</v>
      </c>
      <c r="BD607" s="431">
        <f>IFERROR(_xlfn.ISOWEEKNUM(PV_DATA[[#This Row],[ETA for New Ark update]]),0)</f>
        <v>35</v>
      </c>
      <c r="BE607" s="431">
        <f>_xlfn.XLOOKUP(PV_DATA[[#This Row],[New Ark SKU]],Table9[New Ark SKU],Table9[Total PCS per Pallet],,0)</f>
        <v>36</v>
      </c>
      <c r="BF607" s="431">
        <f>_xlfn.XLOOKUP(PV_DATA[[#This Row],[New Ark SKU]],Table9[New Ark SKU],Table9[Total PCS per 40HQ Container],,0)</f>
        <v>864</v>
      </c>
      <c r="BG607" s="431" t="str">
        <f>_xlfn.XLOOKUP(PV_DATA[[#This Row],[New Ark SKU]],Table9[New Ark SKU],Table9[Back Glass],,0)</f>
        <v>Black glazing</v>
      </c>
      <c r="BH607" s="431" t="str">
        <f>_xlfn.XLOOKUP(PV_DATA[[#This Row],[PORT DESTINATION]],Table12[PORT DESTINATION],Table12[Cosco Line],,0)</f>
        <v>AEM</v>
      </c>
    </row>
    <row r="608" spans="1:60" s="431" customFormat="1" ht="10.5" hidden="1">
      <c r="A608" s="439" t="s">
        <v>4919</v>
      </c>
      <c r="B608" s="439" t="s">
        <v>61</v>
      </c>
      <c r="C608" s="439" t="str">
        <f>IFERROR(LEFT(PV_DATA[[#This Row],[TCL REFERENCE]],FIND(".",PV_DATA[[#This Row],[TCL REFERENCE]],1)-1),"Main Line")</f>
        <v>26May010</v>
      </c>
      <c r="D608" s="439" t="s">
        <v>63</v>
      </c>
      <c r="E608" s="439" t="s">
        <v>144</v>
      </c>
      <c r="F608" s="439" t="str" cm="1">
        <f t="array" ref="F60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08" s="439" t="s">
        <v>402</v>
      </c>
      <c r="H608" s="439" t="s">
        <v>593</v>
      </c>
      <c r="I608" s="439" t="s">
        <v>689</v>
      </c>
      <c r="J608" s="431" t="s">
        <v>4527</v>
      </c>
      <c r="K608" s="431" t="s">
        <v>4920</v>
      </c>
      <c r="L608" s="431">
        <v>2</v>
      </c>
      <c r="M608" s="431" t="s">
        <v>840</v>
      </c>
      <c r="N608" s="461">
        <v>46153</v>
      </c>
      <c r="O608" s="431" t="s">
        <v>4540</v>
      </c>
      <c r="P608" s="431" t="s">
        <v>1151</v>
      </c>
      <c r="Q608" s="431" t="s">
        <v>421</v>
      </c>
      <c r="R608" s="431" t="str">
        <f>_xlfn.XLOOKUP(PV_DATA[[#This Row],[New Ark SKU]],Table9[New Ark SKU],Table9[Connector],,0)</f>
        <v>EVO2A</v>
      </c>
      <c r="S608" s="442" t="str">
        <f>_xlfn.XLOOKUP(PV_DATA[[#This Row],[New Ark SKU]],Table9[New Ark SKU],Table9[Cable],,0)</f>
        <v>±1200mm</v>
      </c>
      <c r="T608" s="442">
        <v>505</v>
      </c>
      <c r="U608" s="1067">
        <v>864</v>
      </c>
      <c r="V608" s="448">
        <f>PV_DATA[[#This Row],[QUANTITY]]*PV_DATA[[#This Row],[WATT]]/1000000</f>
        <v>0.43631999999999999</v>
      </c>
      <c r="W608" s="466">
        <f>PV_DATA[[#This Row],[QUANTITY]]/PV_DATA[[#This Row],[Qty/Pallet]]</f>
        <v>24</v>
      </c>
      <c r="X608" s="1019">
        <v>1</v>
      </c>
      <c r="Y608" s="439" t="s">
        <v>951</v>
      </c>
      <c r="Z608" s="430" t="str">
        <f t="shared" si="6"/>
        <v>COMPLETED</v>
      </c>
      <c r="AB608" s="441">
        <v>46178</v>
      </c>
      <c r="AC608" s="467">
        <f>IF(PV_DATA[[#This Row],[Pick-Up Date]]&lt;&gt;"",_xlfn.ISOWEEKNUM(PV_DATA[[#This Row],[Pick-Up Date]]),"")</f>
        <v>23</v>
      </c>
      <c r="AD608" s="431" t="s">
        <v>4921</v>
      </c>
      <c r="AF608" s="431" t="s">
        <v>61</v>
      </c>
      <c r="AG608" s="431" t="s">
        <v>61</v>
      </c>
      <c r="AH608" s="431" t="s">
        <v>124</v>
      </c>
      <c r="AI608" s="441">
        <v>46186</v>
      </c>
      <c r="AJ608" s="441"/>
      <c r="AK608" s="441">
        <v>46187</v>
      </c>
      <c r="AL608" s="441">
        <v>46239</v>
      </c>
      <c r="AM608" s="586">
        <f>IFERROR(VLOOKUP(AT608, Vessel!A:H, 8, FALSE), "")</f>
        <v>46247.083333333336</v>
      </c>
      <c r="AN608" s="586" t="s">
        <v>4922</v>
      </c>
      <c r="AO608" s="431" t="s">
        <v>402</v>
      </c>
      <c r="AP608" s="431" t="s">
        <v>4893</v>
      </c>
      <c r="AQ608" s="431" t="s">
        <v>80</v>
      </c>
      <c r="AR608" s="431" t="s">
        <v>4923</v>
      </c>
      <c r="AS608" s="431" t="s">
        <v>4924</v>
      </c>
      <c r="AT608" s="431" t="s">
        <v>4924</v>
      </c>
      <c r="AU60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</v>
      </c>
      <c r="AV608" s="441"/>
      <c r="AW608" s="441" t="str" cm="1">
        <f t="array" ref="AW60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2026-08-13</v>
      </c>
      <c r="AX60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08" s="441">
        <f>IF(ISERROR(PV_DATA[[#This Row],[New Ark PO status]]),"",_xlfn.XLOOKUP(PV_DATA[[#This Row],[SPTN-PVHK New Ark PO'#]],New_Ark_Data[Purchase order Number],New_Ark_Data[Estimated time of arrival],"",0))</f>
        <v>46239</v>
      </c>
      <c r="AZ608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08" s="441">
        <f>IFERROR(PV_DATA[[#This Row],[ODP ETA Port]]+PV_DATA[[#This Row],[Customs/Leg3 Assumption]],"n/a")</f>
        <v>46247</v>
      </c>
      <c r="BB608" s="442">
        <f>YEAR(PV_DATA[[#This Row],[ETA for New Ark update]])</f>
        <v>2026</v>
      </c>
      <c r="BC608" s="431">
        <f>MONTH(PV_DATA[[#This Row],[ETA for New Ark update]])</f>
        <v>8</v>
      </c>
      <c r="BD608" s="431">
        <f>IFERROR(_xlfn.ISOWEEKNUM(PV_DATA[[#This Row],[ETA for New Ark update]]),0)</f>
        <v>33</v>
      </c>
      <c r="BE608" s="431">
        <f>_xlfn.XLOOKUP(PV_DATA[[#This Row],[New Ark SKU]],Table9[New Ark SKU],Table9[Total PCS per Pallet],,0)</f>
        <v>36</v>
      </c>
      <c r="BF608" s="431">
        <f>_xlfn.XLOOKUP(PV_DATA[[#This Row],[New Ark SKU]],Table9[New Ark SKU],Table9[Total PCS per 40HQ Container],,0)</f>
        <v>864</v>
      </c>
      <c r="BG608" s="431" t="str">
        <f>_xlfn.XLOOKUP(PV_DATA[[#This Row],[New Ark SKU]],Table9[New Ark SKU],Table9[Back Glass],,0)</f>
        <v>Black glazing</v>
      </c>
      <c r="BH608" s="431" t="str">
        <f>_xlfn.XLOOKUP(PV_DATA[[#This Row],[PORT DESTINATION]],Table12[PORT DESTINATION],Table12[Cosco Line],,0)</f>
        <v>AEM</v>
      </c>
    </row>
    <row r="609" spans="1:60" s="431" customFormat="1" ht="10.5" hidden="1">
      <c r="A609" s="439" t="s">
        <v>4925</v>
      </c>
      <c r="B609" s="439" t="s">
        <v>61</v>
      </c>
      <c r="C609" s="439" t="str">
        <f>IFERROR(LEFT(PV_DATA[[#This Row],[TCL REFERENCE]],FIND(".",PV_DATA[[#This Row],[TCL REFERENCE]],1)-1),"Main Line")</f>
        <v>26May010</v>
      </c>
      <c r="D609" s="439" t="s">
        <v>63</v>
      </c>
      <c r="E609" s="439" t="s">
        <v>144</v>
      </c>
      <c r="F609" s="439" t="str" cm="1">
        <f t="array" ref="F60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09" s="439" t="s">
        <v>402</v>
      </c>
      <c r="H609" s="439" t="s">
        <v>593</v>
      </c>
      <c r="I609" s="439" t="s">
        <v>689</v>
      </c>
      <c r="J609" s="431" t="s">
        <v>4527</v>
      </c>
      <c r="K609" s="431" t="s">
        <v>4920</v>
      </c>
      <c r="L609" s="431">
        <v>2</v>
      </c>
      <c r="M609" s="431" t="s">
        <v>840</v>
      </c>
      <c r="N609" s="461">
        <v>46153</v>
      </c>
      <c r="O609" s="431" t="s">
        <v>4540</v>
      </c>
      <c r="P609" s="431" t="s">
        <v>1151</v>
      </c>
      <c r="Q609" s="431" t="s">
        <v>421</v>
      </c>
      <c r="R609" s="431" t="str">
        <f>_xlfn.XLOOKUP(PV_DATA[[#This Row],[New Ark SKU]],Table9[New Ark SKU],Table9[Connector],,0)</f>
        <v>EVO2A</v>
      </c>
      <c r="S609" s="442" t="str">
        <f>_xlfn.XLOOKUP(PV_DATA[[#This Row],[New Ark SKU]],Table9[New Ark SKU],Table9[Cable],,0)</f>
        <v>±1200mm</v>
      </c>
      <c r="T609" s="442">
        <v>505</v>
      </c>
      <c r="U609" s="1067">
        <v>864</v>
      </c>
      <c r="V609" s="448">
        <f>PV_DATA[[#This Row],[QUANTITY]]*PV_DATA[[#This Row],[WATT]]/1000000</f>
        <v>0.43631999999999999</v>
      </c>
      <c r="W609" s="466">
        <f>PV_DATA[[#This Row],[QUANTITY]]/PV_DATA[[#This Row],[Qty/Pallet]]</f>
        <v>24</v>
      </c>
      <c r="X609" s="1019">
        <f>PV_DATA[[#This Row],[QUANTITY]]/PV_DATA[[#This Row],[Qty/CT]]</f>
        <v>1</v>
      </c>
      <c r="Y609" s="439" t="s">
        <v>951</v>
      </c>
      <c r="Z609" s="430" t="str">
        <f t="shared" si="6"/>
        <v>COMPLETED</v>
      </c>
      <c r="AB609" s="441">
        <v>46178</v>
      </c>
      <c r="AC609" s="467">
        <f>IF(PV_DATA[[#This Row],[Pick-Up Date]]&lt;&gt;"",_xlfn.ISOWEEKNUM(PV_DATA[[#This Row],[Pick-Up Date]]),"")</f>
        <v>23</v>
      </c>
      <c r="AD609" s="431" t="s">
        <v>4926</v>
      </c>
      <c r="AF609" s="431" t="s">
        <v>61</v>
      </c>
      <c r="AG609" s="431" t="s">
        <v>61</v>
      </c>
      <c r="AH609" s="431" t="s">
        <v>124</v>
      </c>
      <c r="AI609" s="441">
        <v>46186</v>
      </c>
      <c r="AJ609" s="441"/>
      <c r="AK609" s="441">
        <v>46187</v>
      </c>
      <c r="AL609" s="441">
        <v>46240</v>
      </c>
      <c r="AM609" s="586">
        <f>IFERROR(VLOOKUP(AT609, Vessel!A:H, 8, FALSE), "")</f>
        <v>46247.375</v>
      </c>
      <c r="AN609" s="586" t="s">
        <v>4922</v>
      </c>
      <c r="AO609" s="431" t="s">
        <v>402</v>
      </c>
      <c r="AP609" s="431" t="s">
        <v>4893</v>
      </c>
      <c r="AQ609" s="431" t="s">
        <v>80</v>
      </c>
      <c r="AR609" s="431" t="s">
        <v>4927</v>
      </c>
      <c r="AS609" s="431" t="s">
        <v>4928</v>
      </c>
      <c r="AT609" s="431" t="s">
        <v>4928</v>
      </c>
      <c r="AU60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</v>
      </c>
      <c r="AV609" s="441"/>
      <c r="AW609" s="441" t="str" cm="1">
        <f t="array" ref="AW60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2026-08-13</v>
      </c>
      <c r="AX60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09" s="441">
        <f>IF(ISERROR(PV_DATA[[#This Row],[New Ark PO status]]),"",_xlfn.XLOOKUP(PV_DATA[[#This Row],[SPTN-PVHK New Ark PO'#]],New_Ark_Data[Purchase order Number],New_Ark_Data[Estimated time of arrival],"",0))</f>
        <v>46240</v>
      </c>
      <c r="AZ609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09" s="441">
        <f>IFERROR(PV_DATA[[#This Row],[ODP ETA Port]]+PV_DATA[[#This Row],[Customs/Leg3 Assumption]],"n/a")</f>
        <v>46247</v>
      </c>
      <c r="BB609" s="442">
        <f>YEAR(PV_DATA[[#This Row],[ETA for New Ark update]])</f>
        <v>2026</v>
      </c>
      <c r="BC609" s="431">
        <f>MONTH(PV_DATA[[#This Row],[ETA for New Ark update]])</f>
        <v>8</v>
      </c>
      <c r="BD609" s="431">
        <f>IFERROR(_xlfn.ISOWEEKNUM(PV_DATA[[#This Row],[ETA for New Ark update]]),0)</f>
        <v>33</v>
      </c>
      <c r="BE609" s="431">
        <f>_xlfn.XLOOKUP(PV_DATA[[#This Row],[New Ark SKU]],Table9[New Ark SKU],Table9[Total PCS per Pallet],,0)</f>
        <v>36</v>
      </c>
      <c r="BF609" s="431">
        <f>_xlfn.XLOOKUP(PV_DATA[[#This Row],[New Ark SKU]],Table9[New Ark SKU],Table9[Total PCS per 40HQ Container],,0)</f>
        <v>864</v>
      </c>
      <c r="BG609" s="431" t="str">
        <f>_xlfn.XLOOKUP(PV_DATA[[#This Row],[New Ark SKU]],Table9[New Ark SKU],Table9[Back Glass],,0)</f>
        <v>Black glazing</v>
      </c>
      <c r="BH609" s="431" t="str">
        <f>_xlfn.XLOOKUP(PV_DATA[[#This Row],[PORT DESTINATION]],Table12[PORT DESTINATION],Table12[Cosco Line],,0)</f>
        <v>AEM</v>
      </c>
    </row>
    <row r="610" spans="1:60" s="431" customFormat="1" ht="10.5" hidden="1">
      <c r="A610" s="439" t="s">
        <v>4929</v>
      </c>
      <c r="B610" s="439" t="s">
        <v>4930</v>
      </c>
      <c r="C610" s="439" t="str">
        <f>IFERROR(LEFT(PV_DATA[[#This Row],[TCL REFERENCE]],FIND(".",PV_DATA[[#This Row],[TCL REFERENCE]],1)-1),"Main Line")</f>
        <v>26May010</v>
      </c>
      <c r="D610" s="439" t="s">
        <v>63</v>
      </c>
      <c r="E610" s="439" t="s">
        <v>64</v>
      </c>
      <c r="F610" s="439" t="str" cm="1">
        <f t="array" ref="F61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610" s="439" t="s">
        <v>402</v>
      </c>
      <c r="H610" s="439" t="s">
        <v>451</v>
      </c>
      <c r="I610" s="439" t="s">
        <v>689</v>
      </c>
      <c r="J610" s="431" t="s">
        <v>1832</v>
      </c>
      <c r="M610" s="431" t="s">
        <v>68</v>
      </c>
      <c r="N610" s="461">
        <v>46153</v>
      </c>
      <c r="O610" s="431" t="s">
        <v>4540</v>
      </c>
      <c r="P610" s="431" t="s">
        <v>1151</v>
      </c>
      <c r="Q610" s="431" t="s">
        <v>421</v>
      </c>
      <c r="R610" s="431" t="str">
        <f>_xlfn.XLOOKUP(PV_DATA[[#This Row],[New Ark SKU]],Table9[New Ark SKU],Table9[Connector],,0)</f>
        <v>EVO2A</v>
      </c>
      <c r="S610" s="442" t="str">
        <f>_xlfn.XLOOKUP(PV_DATA[[#This Row],[New Ark SKU]],Table9[New Ark SKU],Table9[Cable],,0)</f>
        <v>±1200mm</v>
      </c>
      <c r="T610" s="442">
        <v>505</v>
      </c>
      <c r="U610" s="1067">
        <v>864</v>
      </c>
      <c r="V610" s="448">
        <f>PV_DATA[[#This Row],[QUANTITY]]*PV_DATA[[#This Row],[WATT]]/1000000</f>
        <v>0.43631999999999999</v>
      </c>
      <c r="W610" s="466">
        <f>PV_DATA[[#This Row],[QUANTITY]]/PV_DATA[[#This Row],[Qty/Pallet]]</f>
        <v>24</v>
      </c>
      <c r="X610" s="1019">
        <v>1</v>
      </c>
      <c r="Y610" s="431" t="s">
        <v>4366</v>
      </c>
      <c r="Z610" s="430" t="str">
        <f t="shared" si="6"/>
        <v>COMPLETED</v>
      </c>
      <c r="AB610" s="441">
        <v>46185</v>
      </c>
      <c r="AC610" s="467">
        <f>IF(PV_DATA[[#This Row],[Pick-Up Date]]&lt;&gt;"",_xlfn.ISOWEEKNUM(PV_DATA[[#This Row],[Pick-Up Date]]),"")</f>
        <v>24</v>
      </c>
      <c r="AD610" s="431" t="s">
        <v>4931</v>
      </c>
      <c r="AF610" s="447" t="s">
        <v>122</v>
      </c>
      <c r="AG610" s="447" t="s">
        <v>123</v>
      </c>
      <c r="AH610" s="431" t="s">
        <v>456</v>
      </c>
      <c r="AI610" s="441">
        <v>46188</v>
      </c>
      <c r="AJ610" s="441">
        <v>46190</v>
      </c>
      <c r="AK610" s="441">
        <v>46190</v>
      </c>
      <c r="AL610" s="441">
        <v>46229</v>
      </c>
      <c r="AM610" s="441">
        <v>46232</v>
      </c>
      <c r="AN610" s="441">
        <v>46232</v>
      </c>
      <c r="AO610" s="431" t="s">
        <v>402</v>
      </c>
      <c r="AP610" s="431" t="s">
        <v>4932</v>
      </c>
      <c r="AQ610" s="431" t="s">
        <v>80</v>
      </c>
      <c r="AR610" s="431" t="s">
        <v>4933</v>
      </c>
      <c r="AS610" s="431" t="s">
        <v>4934</v>
      </c>
      <c r="AT610" s="431" t="s">
        <v>4934</v>
      </c>
      <c r="AU61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</v>
      </c>
      <c r="AV610" s="441"/>
      <c r="AW610" s="441" cm="1">
        <f t="array" ref="AW61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46232</v>
      </c>
      <c r="AX61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10" s="441">
        <f>IF(ISERROR(PV_DATA[[#This Row],[New Ark PO status]]),"",_xlfn.XLOOKUP(PV_DATA[[#This Row],[SPTN-PVHK New Ark PO'#]],New_Ark_Data[Purchase order Number],New_Ark_Data[Estimated time of arrival],"",0))</f>
        <v>46245</v>
      </c>
      <c r="AZ610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610" s="441">
        <f>IFERROR(PV_DATA[[#This Row],[ODP ETA Port]]+PV_DATA[[#This Row],[Customs/Leg3 Assumption]],"n/a")</f>
        <v>46239</v>
      </c>
      <c r="BB610" s="442">
        <f>YEAR(PV_DATA[[#This Row],[ETA for New Ark update]])</f>
        <v>2026</v>
      </c>
      <c r="BC610" s="431">
        <f>MONTH(PV_DATA[[#This Row],[ETA for New Ark update]])</f>
        <v>8</v>
      </c>
      <c r="BD610" s="431">
        <f>IFERROR(_xlfn.ISOWEEKNUM(PV_DATA[[#This Row],[ETA for New Ark update]]),0)</f>
        <v>32</v>
      </c>
      <c r="BE610" s="431">
        <f>_xlfn.XLOOKUP(PV_DATA[[#This Row],[New Ark SKU]],Table9[New Ark SKU],Table9[Total PCS per Pallet],,0)</f>
        <v>36</v>
      </c>
      <c r="BF610" s="431">
        <f>_xlfn.XLOOKUP(PV_DATA[[#This Row],[New Ark SKU]],Table9[New Ark SKU],Table9[Total PCS per 40HQ Container],,0)</f>
        <v>864</v>
      </c>
      <c r="BG610" s="431" t="str">
        <f>_xlfn.XLOOKUP(PV_DATA[[#This Row],[New Ark SKU]],Table9[New Ark SKU],Table9[Back Glass],,0)</f>
        <v>Black glazing</v>
      </c>
      <c r="BH610" s="431" t="str">
        <f>_xlfn.XLOOKUP(PV_DATA[[#This Row],[PORT DESTINATION]],Table12[PORT DESTINATION],Table12[Cosco Line],,0)</f>
        <v>AEU</v>
      </c>
    </row>
    <row r="611" spans="1:60" s="431" customFormat="1" ht="10.5" hidden="1">
      <c r="A611" s="439" t="s">
        <v>4935</v>
      </c>
      <c r="B611" s="439" t="s">
        <v>111</v>
      </c>
      <c r="C611" s="439" t="str">
        <f>IFERROR(LEFT(PV_DATA[[#This Row],[TCL REFERENCE]],FIND(".",PV_DATA[[#This Row],[TCL REFERENCE]],1)-1),"Main Line")</f>
        <v>26May011</v>
      </c>
      <c r="D611" s="439" t="s">
        <v>63</v>
      </c>
      <c r="E611" s="439" t="s">
        <v>64</v>
      </c>
      <c r="F611" s="439" t="str" cm="1">
        <f t="array" ref="F61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611" s="439" t="s">
        <v>402</v>
      </c>
      <c r="H611" s="439" t="s">
        <v>451</v>
      </c>
      <c r="I611" s="439" t="s">
        <v>689</v>
      </c>
      <c r="J611" s="431" t="s">
        <v>96</v>
      </c>
      <c r="M611" s="431" t="s">
        <v>68</v>
      </c>
      <c r="N611" s="461">
        <v>46167</v>
      </c>
      <c r="O611" s="431" t="s">
        <v>4540</v>
      </c>
      <c r="P611" s="431" t="s">
        <v>4601</v>
      </c>
      <c r="Q611" s="431" t="s">
        <v>330</v>
      </c>
      <c r="R611" s="431" t="str">
        <f>_xlfn.XLOOKUP(PV_DATA[[#This Row],[New Ark SKU]],Table9[New Ark SKU],Table9[Connector],,0)</f>
        <v>H4(Com)</v>
      </c>
      <c r="S611" s="442" t="str">
        <f>_xlfn.XLOOKUP(PV_DATA[[#This Row],[New Ark SKU]],Table9[New Ark SKU],Table9[Cable],,0)</f>
        <v>+400mm/-200mm</v>
      </c>
      <c r="T611" s="442">
        <v>625</v>
      </c>
      <c r="U611" s="1067">
        <f>720*2</f>
        <v>1440</v>
      </c>
      <c r="V611" s="444">
        <f>PV_DATA[[#This Row],[QUANTITY]]*PV_DATA[[#This Row],[WATT]]/1000000</f>
        <v>0.9</v>
      </c>
      <c r="W611" s="466">
        <f>PV_DATA[[#This Row],[QUANTITY]]/PV_DATA[[#This Row],[Qty/Pallet]]</f>
        <v>40</v>
      </c>
      <c r="X611" s="1019">
        <f>PV_DATA[[#This Row],[QUANTITY]]/PV_DATA[[#This Row],[Qty/CT]]</f>
        <v>2</v>
      </c>
      <c r="Y611" s="431" t="s">
        <v>4366</v>
      </c>
      <c r="Z611" s="430" t="str">
        <f t="shared" si="6"/>
        <v>COMPLETED</v>
      </c>
      <c r="AB611" s="441">
        <v>46181</v>
      </c>
      <c r="AC611" s="467">
        <f>IF(PV_DATA[[#This Row],[Pick-Up Date]]&lt;&gt;"",_xlfn.ISOWEEKNUM(PV_DATA[[#This Row],[Pick-Up Date]]),"")</f>
        <v>24</v>
      </c>
      <c r="AD611" s="431" t="s">
        <v>4936</v>
      </c>
      <c r="AF611" s="431" t="s">
        <v>122</v>
      </c>
      <c r="AG611" s="431" t="s">
        <v>123</v>
      </c>
      <c r="AH611" s="431" t="s">
        <v>456</v>
      </c>
      <c r="AI611" s="441">
        <v>46188</v>
      </c>
      <c r="AJ611" s="441">
        <v>46190</v>
      </c>
      <c r="AK611" s="441">
        <v>46190</v>
      </c>
      <c r="AL611" s="441">
        <v>46229</v>
      </c>
      <c r="AM611" s="441">
        <v>46232</v>
      </c>
      <c r="AN611" s="441">
        <v>46232</v>
      </c>
      <c r="AO611" s="431" t="s">
        <v>402</v>
      </c>
      <c r="AP611" s="431" t="s">
        <v>4932</v>
      </c>
      <c r="AQ611" s="431" t="s">
        <v>80</v>
      </c>
      <c r="AR611" s="431" t="s">
        <v>4937</v>
      </c>
      <c r="AS611" s="431" t="s">
        <v>4938</v>
      </c>
      <c r="AT611" s="431" t="s">
        <v>4938</v>
      </c>
      <c r="AU61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</v>
      </c>
      <c r="AV611" s="441"/>
      <c r="AW611" s="441" cm="1">
        <f t="array" ref="AW61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46232</v>
      </c>
      <c r="AX61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11" s="441">
        <f>IF(ISERROR(PV_DATA[[#This Row],[New Ark PO status]]),"",_xlfn.XLOOKUP(PV_DATA[[#This Row],[SPTN-PVHK New Ark PO'#]],New_Ark_Data[Purchase order Number],New_Ark_Data[Estimated time of arrival],"",0))</f>
        <v>46245</v>
      </c>
      <c r="AZ611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611" s="441">
        <f>IFERROR(PV_DATA[[#This Row],[ODP ETA Port]]+PV_DATA[[#This Row],[Customs/Leg3 Assumption]],"n/a")</f>
        <v>46239</v>
      </c>
      <c r="BB611" s="442">
        <f>YEAR(PV_DATA[[#This Row],[ETA for New Ark update]])</f>
        <v>2026</v>
      </c>
      <c r="BC611" s="431">
        <f>MONTH(PV_DATA[[#This Row],[ETA for New Ark update]])</f>
        <v>8</v>
      </c>
      <c r="BD611" s="431">
        <f>IFERROR(_xlfn.ISOWEEKNUM(PV_DATA[[#This Row],[ETA for New Ark update]]),0)</f>
        <v>32</v>
      </c>
      <c r="BE611" s="431">
        <f>_xlfn.XLOOKUP(PV_DATA[[#This Row],[New Ark SKU]],Table9[New Ark SKU],Table9[Total PCS per Pallet],,0)</f>
        <v>36</v>
      </c>
      <c r="BF611" s="431">
        <f>_xlfn.XLOOKUP(PV_DATA[[#This Row],[New Ark SKU]],Table9[New Ark SKU],Table9[Total PCS per 40HQ Container],,0)</f>
        <v>720</v>
      </c>
      <c r="BG611" s="431" t="str">
        <f>_xlfn.XLOOKUP(PV_DATA[[#This Row],[New Ark SKU]],Table9[New Ark SKU],Table9[Back Glass],,0)</f>
        <v>Transparent</v>
      </c>
      <c r="BH611" s="431" t="str">
        <f>_xlfn.XLOOKUP(PV_DATA[[#This Row],[PORT DESTINATION]],Table12[PORT DESTINATION],Table12[Cosco Line],,0)</f>
        <v>AEU</v>
      </c>
    </row>
    <row r="612" spans="1:60" s="431" customFormat="1" ht="10.5" hidden="1">
      <c r="A612" s="439" t="s">
        <v>4939</v>
      </c>
      <c r="B612" s="439" t="s">
        <v>111</v>
      </c>
      <c r="C612" s="439" t="str">
        <f>IFERROR(LEFT(PV_DATA[[#This Row],[TCL REFERENCE]],FIND(".",PV_DATA[[#This Row],[TCL REFERENCE]],1)-1),"Main Line")</f>
        <v>26May006</v>
      </c>
      <c r="D612" s="439" t="s">
        <v>63</v>
      </c>
      <c r="E612" s="439" t="s">
        <v>144</v>
      </c>
      <c r="F612" s="439" t="str" cm="1">
        <f t="array" ref="F61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12" s="439" t="s">
        <v>402</v>
      </c>
      <c r="H612" s="719" t="s">
        <v>1449</v>
      </c>
      <c r="I612" s="439" t="s">
        <v>689</v>
      </c>
      <c r="J612" s="431" t="s">
        <v>4628</v>
      </c>
      <c r="K612" s="431" t="s">
        <v>4629</v>
      </c>
      <c r="L612" s="431">
        <v>3</v>
      </c>
      <c r="M612" s="431" t="s">
        <v>840</v>
      </c>
      <c r="N612" s="461">
        <v>46160</v>
      </c>
      <c r="O612" s="431" t="s">
        <v>132</v>
      </c>
      <c r="P612" s="431" t="s">
        <v>1062</v>
      </c>
      <c r="Q612" s="431" t="s">
        <v>1063</v>
      </c>
      <c r="R612" s="431" t="str">
        <f>_xlfn.XLOOKUP(PV_DATA[[#This Row],[New Ark SKU]],Table9[New Ark SKU],Table9[Connector],,0)</f>
        <v>EVO2A</v>
      </c>
      <c r="S612" s="442" t="str">
        <f>_xlfn.XLOOKUP(PV_DATA[[#This Row],[New Ark SKU]],Table9[New Ark SKU],Table9[Cable],,0)</f>
        <v>±1200mm</v>
      </c>
      <c r="T612" s="442">
        <v>470</v>
      </c>
      <c r="U612" s="1067">
        <f>864*7</f>
        <v>6048</v>
      </c>
      <c r="V612" s="444">
        <f>PV_DATA[[#This Row],[QUANTITY]]*PV_DATA[[#This Row],[WATT]]/1000000</f>
        <v>2.8425600000000002</v>
      </c>
      <c r="W612" s="466">
        <f>PV_DATA[[#This Row],[QUANTITY]]/PV_DATA[[#This Row],[Qty/Pallet]]</f>
        <v>168</v>
      </c>
      <c r="X612" s="1019">
        <f>PV_DATA[[#This Row],[QUANTITY]]/PV_DATA[[#This Row],[Qty/CT]]</f>
        <v>7</v>
      </c>
      <c r="Y612" s="431" t="s">
        <v>4366</v>
      </c>
      <c r="Z612" s="430" t="str">
        <f t="shared" si="6"/>
        <v>COMPLETED</v>
      </c>
      <c r="AA612" s="478" t="s">
        <v>4709</v>
      </c>
      <c r="AB612" s="441">
        <v>46182</v>
      </c>
      <c r="AC612" s="467">
        <f>IF(PV_DATA[[#This Row],[Pick-Up Date]]&lt;&gt;"",_xlfn.ISOWEEKNUM(PV_DATA[[#This Row],[Pick-Up Date]]),"")</f>
        <v>24</v>
      </c>
      <c r="AD612" s="431" t="s">
        <v>4940</v>
      </c>
      <c r="AF612" s="431" t="s">
        <v>122</v>
      </c>
      <c r="AG612" s="431" t="s">
        <v>123</v>
      </c>
      <c r="AH612" s="431" t="s">
        <v>105</v>
      </c>
      <c r="AI612" s="441">
        <v>46192</v>
      </c>
      <c r="AJ612" s="441"/>
      <c r="AK612" s="441">
        <v>46195</v>
      </c>
      <c r="AL612" s="441">
        <v>46226</v>
      </c>
      <c r="AM612" s="441">
        <v>46233</v>
      </c>
      <c r="AN612" s="441">
        <v>46233</v>
      </c>
      <c r="AO612" s="431" t="s">
        <v>402</v>
      </c>
      <c r="AP612" s="431" t="s">
        <v>4941</v>
      </c>
      <c r="AQ612" s="431" t="s">
        <v>80</v>
      </c>
      <c r="AR612" s="431" t="s">
        <v>4942</v>
      </c>
      <c r="AS612" s="431" t="s">
        <v>4943</v>
      </c>
      <c r="AT612" s="431" t="s">
        <v>4943</v>
      </c>
      <c r="AU61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</v>
      </c>
      <c r="AV612" s="441"/>
      <c r="AW612" s="441" cm="1">
        <f t="array" ref="AW61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46233</v>
      </c>
      <c r="AX61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12" s="441">
        <f>IF(ISERROR(PV_DATA[[#This Row],[New Ark PO status]]),"",_xlfn.XLOOKUP(PV_DATA[[#This Row],[SPTN-PVHK New Ark PO'#]],New_Ark_Data[Purchase order Number],New_Ark_Data[Estimated time of arrival],"",0))</f>
        <v>46226</v>
      </c>
      <c r="AZ612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12" s="441">
        <f>IFERROR(PV_DATA[[#This Row],[ODP ETA Port]]+PV_DATA[[#This Row],[Customs/Leg3 Assumption]],"n/a")</f>
        <v>46233</v>
      </c>
      <c r="BB612" s="442">
        <f>YEAR(PV_DATA[[#This Row],[ETA for New Ark update]])</f>
        <v>2026</v>
      </c>
      <c r="BC612" s="431">
        <f>MONTH(PV_DATA[[#This Row],[ETA for New Ark update]])</f>
        <v>7</v>
      </c>
      <c r="BD612" s="431">
        <f>IFERROR(_xlfn.ISOWEEKNUM(PV_DATA[[#This Row],[ETA for New Ark update]]),0)</f>
        <v>31</v>
      </c>
      <c r="BE612" s="431">
        <f>_xlfn.XLOOKUP(PV_DATA[[#This Row],[New Ark SKU]],Table9[New Ark SKU],Table9[Total PCS per Pallet],,0)</f>
        <v>36</v>
      </c>
      <c r="BF612" s="431">
        <f>_xlfn.XLOOKUP(PV_DATA[[#This Row],[New Ark SKU]],Table9[New Ark SKU],Table9[Total PCS per 40HQ Container],,0)</f>
        <v>864</v>
      </c>
      <c r="BG612" s="431" t="str">
        <f>_xlfn.XLOOKUP(PV_DATA[[#This Row],[New Ark SKU]],Table9[New Ark SKU],Table9[Back Glass],,0)</f>
        <v>White glazing</v>
      </c>
      <c r="BH612" s="431" t="str">
        <f>_xlfn.XLOOKUP(PV_DATA[[#This Row],[PORT DESTINATION]],Table12[PORT DESTINATION],Table12[Cosco Line],,0)</f>
        <v>AEU</v>
      </c>
    </row>
    <row r="613" spans="1:60" s="450" customFormat="1" ht="10.5" hidden="1">
      <c r="A613" s="446" t="s">
        <v>4944</v>
      </c>
      <c r="B613" s="446" t="s">
        <v>111</v>
      </c>
      <c r="C613" s="446" t="str">
        <f>IFERROR(LEFT(PV_DATA[[#This Row],[TCL REFERENCE]],FIND(".",PV_DATA[[#This Row],[TCL REFERENCE]],1)-1),"Main Line")</f>
        <v>26May011</v>
      </c>
      <c r="D613" s="446" t="s">
        <v>63</v>
      </c>
      <c r="E613" s="439" t="s">
        <v>144</v>
      </c>
      <c r="F613" s="439" t="str" cm="1">
        <f t="array" ref="F61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13" s="439" t="s">
        <v>402</v>
      </c>
      <c r="H613" s="719" t="s">
        <v>1449</v>
      </c>
      <c r="I613" s="439" t="s">
        <v>689</v>
      </c>
      <c r="J613" s="431" t="s">
        <v>4600</v>
      </c>
      <c r="K613" s="431" t="s">
        <v>1451</v>
      </c>
      <c r="L613" s="450">
        <v>20</v>
      </c>
      <c r="M613" s="431" t="s">
        <v>840</v>
      </c>
      <c r="N613" s="461">
        <v>46167</v>
      </c>
      <c r="O613" s="450" t="s">
        <v>4540</v>
      </c>
      <c r="P613" s="450" t="s">
        <v>4601</v>
      </c>
      <c r="Q613" s="450" t="s">
        <v>330</v>
      </c>
      <c r="R613" s="450" t="str">
        <f>_xlfn.XLOOKUP(PV_DATA[[#This Row],[New Ark SKU]],Table9[New Ark SKU],Table9[Connector],,0)</f>
        <v>H4(Com)</v>
      </c>
      <c r="S613" s="442" t="str">
        <f>_xlfn.XLOOKUP(PV_DATA[[#This Row],[New Ark SKU]],Table9[New Ark SKU],Table9[Cable],,0)</f>
        <v>+400mm/-200mm</v>
      </c>
      <c r="T613" s="452">
        <v>625</v>
      </c>
      <c r="U613" s="1063">
        <f>720*5</f>
        <v>3600</v>
      </c>
      <c r="V613" s="483">
        <f>PV_DATA[[#This Row],[QUANTITY]]*PV_DATA[[#This Row],[WATT]]/1000000</f>
        <v>2.25</v>
      </c>
      <c r="W613" s="454">
        <f>PV_DATA[[#This Row],[QUANTITY]]/PV_DATA[[#This Row],[Qty/Pallet]]</f>
        <v>100</v>
      </c>
      <c r="X613" s="1020">
        <f>PV_DATA[[#This Row],[QUANTITY]]/PV_DATA[[#This Row],[Qty/CT]]</f>
        <v>5</v>
      </c>
      <c r="Y613" s="450" t="s">
        <v>4365</v>
      </c>
      <c r="Z613" s="430" t="str">
        <f t="shared" si="6"/>
        <v>COMPLETED</v>
      </c>
      <c r="AB613" s="455">
        <v>46180</v>
      </c>
      <c r="AC613" s="471">
        <f>IF(PV_DATA[[#This Row],[Pick-Up Date]]&lt;&gt;"",_xlfn.ISOWEEKNUM(PV_DATA[[#This Row],[Pick-Up Date]]),"")</f>
        <v>23</v>
      </c>
      <c r="AD613" s="450" t="s">
        <v>4945</v>
      </c>
      <c r="AF613" s="450" t="s">
        <v>122</v>
      </c>
      <c r="AG613" s="450" t="s">
        <v>123</v>
      </c>
      <c r="AH613" s="450" t="s">
        <v>105</v>
      </c>
      <c r="AI613" s="455">
        <v>46187</v>
      </c>
      <c r="AJ613" s="455">
        <v>46189</v>
      </c>
      <c r="AK613" s="455">
        <v>46189</v>
      </c>
      <c r="AL613" s="455">
        <v>46237</v>
      </c>
      <c r="AM613" s="455"/>
      <c r="AN613" s="587">
        <f>IFERROR(IF(VLOOKUP(AT613,Vessel!A:I,9,FALSE)=0,"",VLOOKUP(AT613,Vessel!A:I,9,FALSE)),"")</f>
        <v>46239.203981481478</v>
      </c>
      <c r="AO613" s="450" t="s">
        <v>402</v>
      </c>
      <c r="AP613" s="450" t="s">
        <v>4946</v>
      </c>
      <c r="AQ613" s="450" t="s">
        <v>80</v>
      </c>
      <c r="AR613" s="450" t="s">
        <v>4947</v>
      </c>
      <c r="AS613" s="450" t="s">
        <v>4948</v>
      </c>
      <c r="AT613" s="450" t="s">
        <v>4948</v>
      </c>
      <c r="AU61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50.203981481477967</v>
      </c>
      <c r="AV613" s="455"/>
      <c r="AW613" s="455" cm="1">
        <f t="array" ref="AW61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46239.203981481478</v>
      </c>
      <c r="AX61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13" s="455">
        <f>IF(ISERROR(PV_DATA[[#This Row],[New Ark PO status]]),"",_xlfn.XLOOKUP(PV_DATA[[#This Row],[SPTN-PVHK New Ark PO'#]],New_Ark_Data[Purchase order Number],New_Ark_Data[Estimated time of arrival],"",0))</f>
        <v>46237</v>
      </c>
      <c r="AZ613" s="45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13" s="455">
        <f>IFERROR(PV_DATA[[#This Row],[ODP ETA Port]]+PV_DATA[[#This Row],[Customs/Leg3 Assumption]],"n/a")</f>
        <v>46239.203981481478</v>
      </c>
      <c r="BB613" s="452">
        <f>YEAR(PV_DATA[[#This Row],[ETA for New Ark update]])</f>
        <v>2026</v>
      </c>
      <c r="BC613" s="450">
        <f>MONTH(PV_DATA[[#This Row],[ETA for New Ark update]])</f>
        <v>8</v>
      </c>
      <c r="BD613" s="450">
        <f>IFERROR(_xlfn.ISOWEEKNUM(PV_DATA[[#This Row],[ETA for New Ark update]]),0)</f>
        <v>32</v>
      </c>
      <c r="BE613" s="450">
        <f>_xlfn.XLOOKUP(PV_DATA[[#This Row],[New Ark SKU]],Table9[New Ark SKU],Table9[Total PCS per Pallet],,0)</f>
        <v>36</v>
      </c>
      <c r="BF613" s="450">
        <f>_xlfn.XLOOKUP(PV_DATA[[#This Row],[New Ark SKU]],Table9[New Ark SKU],Table9[Total PCS per 40HQ Container],,0)</f>
        <v>720</v>
      </c>
      <c r="BG613" s="431" t="str">
        <f>_xlfn.XLOOKUP(PV_DATA[[#This Row],[New Ark SKU]],Table9[New Ark SKU],Table9[Back Glass],,0)</f>
        <v>Transparent</v>
      </c>
      <c r="BH613" s="450" t="str">
        <f>_xlfn.XLOOKUP(PV_DATA[[#This Row],[PORT DESTINATION]],Table12[PORT DESTINATION],Table12[Cosco Line],,0)</f>
        <v>AEU</v>
      </c>
    </row>
    <row r="614" spans="1:60" s="450" customFormat="1" ht="10.5" hidden="1">
      <c r="A614" s="446" t="s">
        <v>4949</v>
      </c>
      <c r="B614" s="446" t="s">
        <v>111</v>
      </c>
      <c r="C614" s="446" t="str">
        <f>IFERROR(LEFT(PV_DATA[[#This Row],[TCL REFERENCE]],FIND(".",PV_DATA[[#This Row],[TCL REFERENCE]],1)-1),"Main Line")</f>
        <v>26May011</v>
      </c>
      <c r="D614" s="446" t="s">
        <v>63</v>
      </c>
      <c r="E614" s="439" t="s">
        <v>144</v>
      </c>
      <c r="F614" s="439" t="str" cm="1">
        <f t="array" ref="F61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14" s="439" t="s">
        <v>402</v>
      </c>
      <c r="H614" s="719" t="s">
        <v>1449</v>
      </c>
      <c r="I614" s="439" t="s">
        <v>689</v>
      </c>
      <c r="J614" s="431" t="s">
        <v>4600</v>
      </c>
      <c r="K614" s="431" t="s">
        <v>1451</v>
      </c>
      <c r="L614" s="450">
        <v>21</v>
      </c>
      <c r="M614" s="431" t="s">
        <v>840</v>
      </c>
      <c r="N614" s="461">
        <v>46167</v>
      </c>
      <c r="O614" s="450" t="s">
        <v>4540</v>
      </c>
      <c r="P614" s="450" t="s">
        <v>4601</v>
      </c>
      <c r="Q614" s="450" t="s">
        <v>330</v>
      </c>
      <c r="R614" s="450" t="str">
        <f>_xlfn.XLOOKUP(PV_DATA[[#This Row],[New Ark SKU]],Table9[New Ark SKU],Table9[Connector],,0)</f>
        <v>H4(Com)</v>
      </c>
      <c r="S614" s="442" t="str">
        <f>_xlfn.XLOOKUP(PV_DATA[[#This Row],[New Ark SKU]],Table9[New Ark SKU],Table9[Cable],,0)</f>
        <v>+400mm/-200mm</v>
      </c>
      <c r="T614" s="452">
        <v>625</v>
      </c>
      <c r="U614" s="1063">
        <f>720*5</f>
        <v>3600</v>
      </c>
      <c r="V614" s="483">
        <f>PV_DATA[[#This Row],[QUANTITY]]*PV_DATA[[#This Row],[WATT]]/1000000</f>
        <v>2.25</v>
      </c>
      <c r="W614" s="454">
        <f>PV_DATA[[#This Row],[QUANTITY]]/PV_DATA[[#This Row],[Qty/Pallet]]</f>
        <v>100</v>
      </c>
      <c r="X614" s="1020">
        <f>PV_DATA[[#This Row],[QUANTITY]]/PV_DATA[[#This Row],[Qty/CT]]</f>
        <v>5</v>
      </c>
      <c r="Y614" s="450" t="s">
        <v>4365</v>
      </c>
      <c r="Z614" s="430" t="str">
        <f t="shared" si="6"/>
        <v>COMPLETED</v>
      </c>
      <c r="AB614" s="455">
        <v>46180</v>
      </c>
      <c r="AC614" s="471">
        <f>IF(PV_DATA[[#This Row],[Pick-Up Date]]&lt;&gt;"",_xlfn.ISOWEEKNUM(PV_DATA[[#This Row],[Pick-Up Date]]),"")</f>
        <v>23</v>
      </c>
      <c r="AD614" s="450" t="s">
        <v>4950</v>
      </c>
      <c r="AF614" s="450" t="s">
        <v>122</v>
      </c>
      <c r="AG614" s="450" t="s">
        <v>123</v>
      </c>
      <c r="AH614" s="450" t="s">
        <v>105</v>
      </c>
      <c r="AI614" s="455">
        <v>46188</v>
      </c>
      <c r="AJ614" s="455">
        <v>46190</v>
      </c>
      <c r="AK614" s="455">
        <v>46190</v>
      </c>
      <c r="AL614" s="455">
        <v>46225</v>
      </c>
      <c r="AM614" s="455">
        <v>46233</v>
      </c>
      <c r="AN614" s="455">
        <v>46234</v>
      </c>
      <c r="AO614" s="450" t="s">
        <v>402</v>
      </c>
      <c r="AP614" s="450" t="s">
        <v>4951</v>
      </c>
      <c r="AQ614" s="450" t="s">
        <v>80</v>
      </c>
      <c r="AR614" s="450" t="s">
        <v>4952</v>
      </c>
      <c r="AS614" s="450" t="s">
        <v>4953</v>
      </c>
      <c r="AT614" s="450" t="s">
        <v>4953</v>
      </c>
      <c r="AU61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V614" s="455"/>
      <c r="AW614" s="455" cm="1">
        <f t="array" ref="AW61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46234</v>
      </c>
      <c r="AX61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14" s="455">
        <f>IF(ISERROR(PV_DATA[[#This Row],[New Ark PO status]]),"",_xlfn.XLOOKUP(PV_DATA[[#This Row],[SPTN-PVHK New Ark PO'#]],New_Ark_Data[Purchase order Number],New_Ark_Data[Estimated time of arrival],"",0))</f>
        <v>46225</v>
      </c>
      <c r="AZ614" s="45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14" s="455">
        <f>IFERROR(PV_DATA[[#This Row],[ODP ETA Port]]+PV_DATA[[#This Row],[Customs/Leg3 Assumption]],"n/a")</f>
        <v>46234</v>
      </c>
      <c r="BB614" s="452">
        <f>YEAR(PV_DATA[[#This Row],[ETA for New Ark update]])</f>
        <v>2026</v>
      </c>
      <c r="BC614" s="450">
        <f>MONTH(PV_DATA[[#This Row],[ETA for New Ark update]])</f>
        <v>7</v>
      </c>
      <c r="BD614" s="450">
        <f>IFERROR(_xlfn.ISOWEEKNUM(PV_DATA[[#This Row],[ETA for New Ark update]]),0)</f>
        <v>31</v>
      </c>
      <c r="BE614" s="450">
        <f>_xlfn.XLOOKUP(PV_DATA[[#This Row],[New Ark SKU]],Table9[New Ark SKU],Table9[Total PCS per Pallet],,0)</f>
        <v>36</v>
      </c>
      <c r="BF614" s="450">
        <f>_xlfn.XLOOKUP(PV_DATA[[#This Row],[New Ark SKU]],Table9[New Ark SKU],Table9[Total PCS per 40HQ Container],,0)</f>
        <v>720</v>
      </c>
      <c r="BG614" s="431" t="str">
        <f>_xlfn.XLOOKUP(PV_DATA[[#This Row],[New Ark SKU]],Table9[New Ark SKU],Table9[Back Glass],,0)</f>
        <v>Transparent</v>
      </c>
      <c r="BH614" s="450" t="str">
        <f>_xlfn.XLOOKUP(PV_DATA[[#This Row],[PORT DESTINATION]],Table12[PORT DESTINATION],Table12[Cosco Line],,0)</f>
        <v>AEU</v>
      </c>
    </row>
    <row r="615" spans="1:60" s="431" customFormat="1" ht="10.5" hidden="1">
      <c r="A615" s="439" t="s">
        <v>4954</v>
      </c>
      <c r="B615" s="439" t="s">
        <v>111</v>
      </c>
      <c r="C615" s="439" t="str">
        <f>IFERROR(LEFT(PV_DATA[[#This Row],[TCL REFERENCE]],FIND(".",PV_DATA[[#This Row],[TCL REFERENCE]],1)-1),"Main Line")</f>
        <v>26May012</v>
      </c>
      <c r="D615" s="439" t="s">
        <v>63</v>
      </c>
      <c r="E615" s="439" t="s">
        <v>144</v>
      </c>
      <c r="F615" s="439" t="str" cm="1">
        <f t="array" ref="F61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15" s="439" t="s">
        <v>402</v>
      </c>
      <c r="H615" s="719" t="s">
        <v>1449</v>
      </c>
      <c r="I615" s="439" t="s">
        <v>689</v>
      </c>
      <c r="J615" s="431" t="s">
        <v>4600</v>
      </c>
      <c r="K615" s="431" t="s">
        <v>1451</v>
      </c>
      <c r="L615" s="450">
        <v>22</v>
      </c>
      <c r="M615" s="431" t="s">
        <v>840</v>
      </c>
      <c r="N615" s="461">
        <v>46167</v>
      </c>
      <c r="O615" s="431" t="s">
        <v>4540</v>
      </c>
      <c r="P615" s="431" t="s">
        <v>4606</v>
      </c>
      <c r="Q615" s="431" t="s">
        <v>4607</v>
      </c>
      <c r="R615" s="431" t="str">
        <f>_xlfn.XLOOKUP(PV_DATA[[#This Row],[New Ark SKU]],Table9[New Ark SKU],Table9[Connector],,0)</f>
        <v>H4(Com)</v>
      </c>
      <c r="S615" s="442" t="str">
        <f>_xlfn.XLOOKUP(PV_DATA[[#This Row],[New Ark SKU]],Table9[New Ark SKU],Table9[Cable],,0)</f>
        <v>+400mm/-200mm</v>
      </c>
      <c r="T615" s="442">
        <v>630</v>
      </c>
      <c r="U615" s="1067">
        <f>720*3</f>
        <v>2160</v>
      </c>
      <c r="V615" s="444">
        <f>PV_DATA[[#This Row],[QUANTITY]]*PV_DATA[[#This Row],[WATT]]/1000000</f>
        <v>1.3608</v>
      </c>
      <c r="W615" s="466">
        <f>PV_DATA[[#This Row],[QUANTITY]]/PV_DATA[[#This Row],[Qty/Pallet]]</f>
        <v>60</v>
      </c>
      <c r="X615" s="1019">
        <f>PV_DATA[[#This Row],[QUANTITY]]/PV_DATA[[#This Row],[Qty/CT]]</f>
        <v>3</v>
      </c>
      <c r="Y615" s="431" t="s">
        <v>4365</v>
      </c>
      <c r="Z615" s="430" t="str">
        <f t="shared" si="6"/>
        <v>COMPLETED</v>
      </c>
      <c r="AB615" s="441">
        <v>46182</v>
      </c>
      <c r="AC615" s="467">
        <f>IF(PV_DATA[[#This Row],[Pick-Up Date]]&lt;&gt;"",_xlfn.ISOWEEKNUM(PV_DATA[[#This Row],[Pick-Up Date]]),"")</f>
        <v>24</v>
      </c>
      <c r="AD615" s="431" t="s">
        <v>4955</v>
      </c>
      <c r="AF615" s="431" t="s">
        <v>122</v>
      </c>
      <c r="AG615" s="431" t="s">
        <v>123</v>
      </c>
      <c r="AH615" s="431" t="s">
        <v>105</v>
      </c>
      <c r="AI615" s="441">
        <v>46188</v>
      </c>
      <c r="AJ615" s="441">
        <v>46190</v>
      </c>
      <c r="AK615" s="441">
        <v>46190</v>
      </c>
      <c r="AL615" s="441">
        <v>46225</v>
      </c>
      <c r="AM615" s="441">
        <v>46233</v>
      </c>
      <c r="AN615" s="441">
        <v>46234</v>
      </c>
      <c r="AO615" s="431" t="s">
        <v>402</v>
      </c>
      <c r="AP615" s="431" t="s">
        <v>4951</v>
      </c>
      <c r="AQ615" s="431" t="s">
        <v>161</v>
      </c>
      <c r="AR615" s="431" t="s">
        <v>4956</v>
      </c>
      <c r="AS615" s="431" t="s">
        <v>4957</v>
      </c>
      <c r="AT615" s="431" t="s">
        <v>4957</v>
      </c>
      <c r="AU61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V615" s="441"/>
      <c r="AW615" s="441" cm="1">
        <f t="array" ref="AW61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46234</v>
      </c>
      <c r="AX61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15" s="441">
        <f>IF(ISERROR(PV_DATA[[#This Row],[New Ark PO status]]),"",_xlfn.XLOOKUP(PV_DATA[[#This Row],[SPTN-PVHK New Ark PO'#]],New_Ark_Data[Purchase order Number],New_Ark_Data[Estimated time of arrival],"",0))</f>
        <v>46225</v>
      </c>
      <c r="AZ615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15" s="441">
        <f>IFERROR(PV_DATA[[#This Row],[ODP ETA Port]]+PV_DATA[[#This Row],[Customs/Leg3 Assumption]],"n/a")</f>
        <v>46234</v>
      </c>
      <c r="BB615" s="442">
        <f>YEAR(PV_DATA[[#This Row],[ETA for New Ark update]])</f>
        <v>2026</v>
      </c>
      <c r="BC615" s="431">
        <f>MONTH(PV_DATA[[#This Row],[ETA for New Ark update]])</f>
        <v>7</v>
      </c>
      <c r="BD615" s="431">
        <f>IFERROR(_xlfn.ISOWEEKNUM(PV_DATA[[#This Row],[ETA for New Ark update]]),0)</f>
        <v>31</v>
      </c>
      <c r="BE615" s="431">
        <f>_xlfn.XLOOKUP(PV_DATA[[#This Row],[New Ark SKU]],Table9[New Ark SKU],Table9[Total PCS per Pallet],,0)</f>
        <v>36</v>
      </c>
      <c r="BF615" s="431">
        <f>_xlfn.XLOOKUP(PV_DATA[[#This Row],[New Ark SKU]],Table9[New Ark SKU],Table9[Total PCS per 40HQ Container],,0)</f>
        <v>720</v>
      </c>
      <c r="BG615" s="431" t="str">
        <f>_xlfn.XLOOKUP(PV_DATA[[#This Row],[New Ark SKU]],Table9[New Ark SKU],Table9[Back Glass],,0)</f>
        <v>Transparent</v>
      </c>
      <c r="BH615" s="431" t="str">
        <f>_xlfn.XLOOKUP(PV_DATA[[#This Row],[PORT DESTINATION]],Table12[PORT DESTINATION],Table12[Cosco Line],,0)</f>
        <v>AEU</v>
      </c>
    </row>
    <row r="616" spans="1:60" s="431" customFormat="1" ht="10.5" hidden="1">
      <c r="A616" s="439" t="s">
        <v>4958</v>
      </c>
      <c r="B616" s="439" t="s">
        <v>111</v>
      </c>
      <c r="C616" s="439" t="str">
        <f>IFERROR(LEFT(PV_DATA[[#This Row],[TCL REFERENCE]],FIND(".",PV_DATA[[#This Row],[TCL REFERENCE]],1)-1),"Main Line")</f>
        <v>26May012</v>
      </c>
      <c r="D616" s="439" t="s">
        <v>63</v>
      </c>
      <c r="E616" s="439" t="s">
        <v>144</v>
      </c>
      <c r="F616" s="439" t="str" cm="1">
        <f t="array" ref="F616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16" s="439" t="s">
        <v>402</v>
      </c>
      <c r="H616" s="719" t="s">
        <v>1449</v>
      </c>
      <c r="I616" s="439" t="s">
        <v>689</v>
      </c>
      <c r="J616" s="431" t="s">
        <v>4600</v>
      </c>
      <c r="K616" s="431" t="s">
        <v>1451</v>
      </c>
      <c r="L616" s="450">
        <v>36</v>
      </c>
      <c r="M616" s="431" t="s">
        <v>840</v>
      </c>
      <c r="N616" s="461">
        <v>46160</v>
      </c>
      <c r="O616" s="431" t="s">
        <v>4540</v>
      </c>
      <c r="P616" s="431" t="s">
        <v>4606</v>
      </c>
      <c r="Q616" s="431" t="s">
        <v>4607</v>
      </c>
      <c r="R616" s="431" t="str">
        <f>_xlfn.XLOOKUP(PV_DATA[[#This Row],[New Ark SKU]],Table9[New Ark SKU],Table9[Connector],,0)</f>
        <v>H4(Com)</v>
      </c>
      <c r="S616" s="442" t="str">
        <f>_xlfn.XLOOKUP(PV_DATA[[#This Row],[New Ark SKU]],Table9[New Ark SKU],Table9[Cable],,0)</f>
        <v>+400mm/-200mm</v>
      </c>
      <c r="T616" s="442">
        <v>630</v>
      </c>
      <c r="U616" s="1067">
        <f>720*6</f>
        <v>4320</v>
      </c>
      <c r="V616" s="444">
        <f>PV_DATA[[#This Row],[QUANTITY]]*PV_DATA[[#This Row],[WATT]]/1000000</f>
        <v>2.7216</v>
      </c>
      <c r="W616" s="466">
        <f>PV_DATA[[#This Row],[QUANTITY]]/PV_DATA[[#This Row],[Qty/Pallet]]</f>
        <v>120</v>
      </c>
      <c r="X616" s="1019">
        <f>PV_DATA[[#This Row],[QUANTITY]]/PV_DATA[[#This Row],[Qty/CT]]</f>
        <v>6</v>
      </c>
      <c r="Y616" s="431" t="s">
        <v>4365</v>
      </c>
      <c r="Z616" s="430" t="str">
        <f t="shared" si="6"/>
        <v>COMPLETED</v>
      </c>
      <c r="AB616" s="441">
        <v>46184</v>
      </c>
      <c r="AC616" s="467">
        <f>IF(PV_DATA[[#This Row],[Pick-Up Date]]&lt;&gt;"",_xlfn.ISOWEEKNUM(PV_DATA[[#This Row],[Pick-Up Date]]),"")</f>
        <v>24</v>
      </c>
      <c r="AD616" s="431" t="s">
        <v>4959</v>
      </c>
      <c r="AF616" s="431" t="s">
        <v>122</v>
      </c>
      <c r="AG616" s="431" t="s">
        <v>123</v>
      </c>
      <c r="AH616" s="431" t="s">
        <v>105</v>
      </c>
      <c r="AI616" s="441">
        <v>46188</v>
      </c>
      <c r="AJ616" s="441"/>
      <c r="AK616" s="441">
        <v>46189</v>
      </c>
      <c r="AL616" s="441">
        <v>46225</v>
      </c>
      <c r="AM616" s="441">
        <v>46234</v>
      </c>
      <c r="AN616" s="441">
        <v>46237</v>
      </c>
      <c r="AO616" s="431" t="s">
        <v>402</v>
      </c>
      <c r="AP616" s="431" t="s">
        <v>4951</v>
      </c>
      <c r="AQ616" s="431" t="s">
        <v>161</v>
      </c>
      <c r="AR616" s="431" t="s">
        <v>4960</v>
      </c>
      <c r="AS616" s="431" t="s">
        <v>4961</v>
      </c>
      <c r="AT616" s="431" t="s">
        <v>4961</v>
      </c>
      <c r="AU61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</v>
      </c>
      <c r="AV616" s="441"/>
      <c r="AW616" s="441" cm="1">
        <f t="array" ref="AW61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46237</v>
      </c>
      <c r="AX61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16" s="441">
        <f>IF(ISERROR(PV_DATA[[#This Row],[New Ark PO status]]),"",_xlfn.XLOOKUP(PV_DATA[[#This Row],[SPTN-PVHK New Ark PO'#]],New_Ark_Data[Purchase order Number],New_Ark_Data[Estimated time of arrival],"",0))</f>
        <v>46225</v>
      </c>
      <c r="AZ616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16" s="441">
        <f>IFERROR(PV_DATA[[#This Row],[ODP ETA Port]]+PV_DATA[[#This Row],[Customs/Leg3 Assumption]],"n/a")</f>
        <v>46237</v>
      </c>
      <c r="BB616" s="442">
        <f>YEAR(PV_DATA[[#This Row],[ETA for New Ark update]])</f>
        <v>2026</v>
      </c>
      <c r="BC616" s="431">
        <f>MONTH(PV_DATA[[#This Row],[ETA for New Ark update]])</f>
        <v>8</v>
      </c>
      <c r="BD616" s="431">
        <f>IFERROR(_xlfn.ISOWEEKNUM(PV_DATA[[#This Row],[ETA for New Ark update]]),0)</f>
        <v>32</v>
      </c>
      <c r="BE616" s="431">
        <f>_xlfn.XLOOKUP(PV_DATA[[#This Row],[New Ark SKU]],Table9[New Ark SKU],Table9[Total PCS per Pallet],,0)</f>
        <v>36</v>
      </c>
      <c r="BF616" s="431">
        <f>_xlfn.XLOOKUP(PV_DATA[[#This Row],[New Ark SKU]],Table9[New Ark SKU],Table9[Total PCS per 40HQ Container],,0)</f>
        <v>720</v>
      </c>
      <c r="BG616" s="431" t="str">
        <f>_xlfn.XLOOKUP(PV_DATA[[#This Row],[New Ark SKU]],Table9[New Ark SKU],Table9[Back Glass],,0)</f>
        <v>Transparent</v>
      </c>
      <c r="BH616" s="431" t="str">
        <f>_xlfn.XLOOKUP(PV_DATA[[#This Row],[PORT DESTINATION]],Table12[PORT DESTINATION],Table12[Cosco Line],,0)</f>
        <v>AEU</v>
      </c>
    </row>
    <row r="617" spans="1:60" s="431" customFormat="1" ht="10.5" hidden="1">
      <c r="A617" s="439" t="s">
        <v>4962</v>
      </c>
      <c r="B617" s="439" t="s">
        <v>111</v>
      </c>
      <c r="C617" s="439" t="str">
        <f>IFERROR(LEFT(PV_DATA[[#This Row],[TCL REFERENCE]],FIND(".",PV_DATA[[#This Row],[TCL REFERENCE]],1)-1),"Main Line")</f>
        <v>26May012</v>
      </c>
      <c r="D617" s="439" t="s">
        <v>63</v>
      </c>
      <c r="E617" s="439" t="s">
        <v>144</v>
      </c>
      <c r="F617" s="439" t="str" cm="1">
        <f t="array" ref="F61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17" s="439" t="s">
        <v>402</v>
      </c>
      <c r="H617" s="719" t="s">
        <v>1449</v>
      </c>
      <c r="I617" s="439" t="s">
        <v>689</v>
      </c>
      <c r="J617" s="431" t="s">
        <v>4600</v>
      </c>
      <c r="K617" s="431" t="s">
        <v>1451</v>
      </c>
      <c r="L617" s="450">
        <v>37</v>
      </c>
      <c r="M617" s="431" t="s">
        <v>840</v>
      </c>
      <c r="N617" s="461">
        <v>46167</v>
      </c>
      <c r="O617" s="431" t="s">
        <v>4540</v>
      </c>
      <c r="P617" s="431" t="s">
        <v>4606</v>
      </c>
      <c r="Q617" s="431" t="s">
        <v>4607</v>
      </c>
      <c r="R617" s="431" t="str">
        <f>_xlfn.XLOOKUP(PV_DATA[[#This Row],[New Ark SKU]],Table9[New Ark SKU],Table9[Connector],,0)</f>
        <v>H4(Com)</v>
      </c>
      <c r="S617" s="442" t="str">
        <f>_xlfn.XLOOKUP(PV_DATA[[#This Row],[New Ark SKU]],Table9[New Ark SKU],Table9[Cable],,0)</f>
        <v>+400mm/-200mm</v>
      </c>
      <c r="T617" s="442">
        <v>630</v>
      </c>
      <c r="U617" s="1067">
        <f>720*1</f>
        <v>720</v>
      </c>
      <c r="V617" s="444">
        <f>PV_DATA[[#This Row],[QUANTITY]]*PV_DATA[[#This Row],[WATT]]/1000000</f>
        <v>0.4536</v>
      </c>
      <c r="W617" s="466">
        <f>PV_DATA[[#This Row],[QUANTITY]]/PV_DATA[[#This Row],[Qty/Pallet]]</f>
        <v>20</v>
      </c>
      <c r="X617" s="1019">
        <f>PV_DATA[[#This Row],[QUANTITY]]/PV_DATA[[#This Row],[Qty/CT]]</f>
        <v>1</v>
      </c>
      <c r="Y617" s="431" t="s">
        <v>4365</v>
      </c>
      <c r="Z617" s="430" t="str">
        <f t="shared" si="6"/>
        <v>COMPLETED</v>
      </c>
      <c r="AB617" s="441">
        <v>46184</v>
      </c>
      <c r="AC617" s="467">
        <f>IF(PV_DATA[[#This Row],[Pick-Up Date]]&lt;&gt;"",_xlfn.ISOWEEKNUM(PV_DATA[[#This Row],[Pick-Up Date]]),"")</f>
        <v>24</v>
      </c>
      <c r="AD617" s="431" t="s">
        <v>4963</v>
      </c>
      <c r="AF617" s="431" t="s">
        <v>122</v>
      </c>
      <c r="AG617" s="431" t="s">
        <v>123</v>
      </c>
      <c r="AH617" s="431" t="s">
        <v>105</v>
      </c>
      <c r="AI617" s="441">
        <v>46188</v>
      </c>
      <c r="AJ617" s="441"/>
      <c r="AK617" s="441">
        <v>46189</v>
      </c>
      <c r="AL617" s="441">
        <v>46225</v>
      </c>
      <c r="AM617" s="441">
        <v>46234</v>
      </c>
      <c r="AN617" s="441">
        <v>46237</v>
      </c>
      <c r="AO617" s="431" t="s">
        <v>402</v>
      </c>
      <c r="AP617" s="431" t="s">
        <v>4951</v>
      </c>
      <c r="AQ617" s="431" t="s">
        <v>161</v>
      </c>
      <c r="AR617" s="431" t="s">
        <v>4960</v>
      </c>
      <c r="AS617" s="431" t="s">
        <v>4961</v>
      </c>
      <c r="AT617" s="431" t="s">
        <v>4961</v>
      </c>
      <c r="AU61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</v>
      </c>
      <c r="AV617" s="441"/>
      <c r="AW617" s="441" cm="1">
        <f t="array" ref="AW61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46237</v>
      </c>
      <c r="AX61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17" s="441">
        <f>IF(ISERROR(PV_DATA[[#This Row],[New Ark PO status]]),"",_xlfn.XLOOKUP(PV_DATA[[#This Row],[SPTN-PVHK New Ark PO'#]],New_Ark_Data[Purchase order Number],New_Ark_Data[Estimated time of arrival],"",0))</f>
        <v>46225</v>
      </c>
      <c r="AZ617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17" s="441">
        <f>IFERROR(PV_DATA[[#This Row],[ODP ETA Port]]+PV_DATA[[#This Row],[Customs/Leg3 Assumption]],"n/a")</f>
        <v>46237</v>
      </c>
      <c r="BB617" s="442">
        <f>YEAR(PV_DATA[[#This Row],[ETA for New Ark update]])</f>
        <v>2026</v>
      </c>
      <c r="BC617" s="431">
        <f>MONTH(PV_DATA[[#This Row],[ETA for New Ark update]])</f>
        <v>8</v>
      </c>
      <c r="BD617" s="431">
        <f>IFERROR(_xlfn.ISOWEEKNUM(PV_DATA[[#This Row],[ETA for New Ark update]]),0)</f>
        <v>32</v>
      </c>
      <c r="BE617" s="431">
        <f>_xlfn.XLOOKUP(PV_DATA[[#This Row],[New Ark SKU]],Table9[New Ark SKU],Table9[Total PCS per Pallet],,0)</f>
        <v>36</v>
      </c>
      <c r="BF617" s="431">
        <f>_xlfn.XLOOKUP(PV_DATA[[#This Row],[New Ark SKU]],Table9[New Ark SKU],Table9[Total PCS per 40HQ Container],,0)</f>
        <v>720</v>
      </c>
      <c r="BG617" s="431" t="str">
        <f>_xlfn.XLOOKUP(PV_DATA[[#This Row],[New Ark SKU]],Table9[New Ark SKU],Table9[Back Glass],,0)</f>
        <v>Transparent</v>
      </c>
      <c r="BH617" s="431" t="str">
        <f>_xlfn.XLOOKUP(PV_DATA[[#This Row],[PORT DESTINATION]],Table12[PORT DESTINATION],Table12[Cosco Line],,0)</f>
        <v>AEU</v>
      </c>
    </row>
    <row r="618" spans="1:60" s="431" customFormat="1" ht="10.5" hidden="1">
      <c r="A618" s="439" t="s">
        <v>4964</v>
      </c>
      <c r="B618" s="439" t="s">
        <v>2132</v>
      </c>
      <c r="C618" s="439" t="str">
        <f>IFERROR(LEFT(PV_DATA[[#This Row],[TCL REFERENCE]],FIND(".",PV_DATA[[#This Row],[TCL REFERENCE]],1)-1),"Main Line")</f>
        <v>26May004</v>
      </c>
      <c r="D618" s="439" t="s">
        <v>63</v>
      </c>
      <c r="E618" s="439" t="s">
        <v>64</v>
      </c>
      <c r="F618" s="439" t="str" cm="1">
        <f t="array" ref="F61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18" s="439" t="s">
        <v>402</v>
      </c>
      <c r="H618" s="439" t="s">
        <v>67</v>
      </c>
      <c r="I618" s="439" t="s">
        <v>689</v>
      </c>
      <c r="J618" s="431" t="s">
        <v>96</v>
      </c>
      <c r="M618" s="431" t="s">
        <v>68</v>
      </c>
      <c r="N618" s="461">
        <v>46160</v>
      </c>
      <c r="O618" s="431" t="s">
        <v>170</v>
      </c>
      <c r="P618" s="431" t="s">
        <v>1977</v>
      </c>
      <c r="Q618" s="431" t="s">
        <v>1978</v>
      </c>
      <c r="R618" s="431" t="str">
        <f>_xlfn.XLOOKUP(PV_DATA[[#This Row],[New Ark SKU]],Table9[New Ark SKU],Table9[Connector],,0)</f>
        <v>EVO2A</v>
      </c>
      <c r="S618" s="442" t="str">
        <f>_xlfn.XLOOKUP(PV_DATA[[#This Row],[New Ark SKU]],Table9[New Ark SKU],Table9[Cable],,0)</f>
        <v>±1400mm</v>
      </c>
      <c r="T618" s="442">
        <v>560</v>
      </c>
      <c r="U618" s="1067">
        <f>660*2</f>
        <v>1320</v>
      </c>
      <c r="V618" s="448">
        <f>PV_DATA[[#This Row],[QUANTITY]]*PV_DATA[[#This Row],[WATT]]/1000000</f>
        <v>0.73919999999999997</v>
      </c>
      <c r="W618" s="466">
        <f>PV_DATA[[#This Row],[QUANTITY]]/PV_DATA[[#This Row],[Qty/Pallet]]</f>
        <v>40</v>
      </c>
      <c r="X618" s="1019">
        <f>PV_DATA[[#This Row],[QUANTITY]]/PV_DATA[[#This Row],[Qty/CT]]</f>
        <v>2</v>
      </c>
      <c r="Y618" s="431" t="s">
        <v>4366</v>
      </c>
      <c r="Z618" s="430" t="str">
        <f t="shared" si="6"/>
        <v>COMPLETED</v>
      </c>
      <c r="AB618" s="441">
        <v>46181</v>
      </c>
      <c r="AC618" s="467">
        <f>IF(PV_DATA[[#This Row],[Pick-Up Date]]&lt;&gt;"",_xlfn.ISOWEEKNUM(PV_DATA[[#This Row],[Pick-Up Date]]),"")</f>
        <v>24</v>
      </c>
      <c r="AD618" s="431" t="s">
        <v>4965</v>
      </c>
      <c r="AF618" s="431" t="s">
        <v>122</v>
      </c>
      <c r="AG618" s="431" t="s">
        <v>123</v>
      </c>
      <c r="AH618" s="431" t="s">
        <v>78</v>
      </c>
      <c r="AI618" s="441">
        <v>46189</v>
      </c>
      <c r="AJ618" s="441">
        <v>46192</v>
      </c>
      <c r="AK618" s="441">
        <v>46192</v>
      </c>
      <c r="AL618" s="732">
        <v>46231</v>
      </c>
      <c r="AM618" s="441">
        <v>46234</v>
      </c>
      <c r="AN618" s="586">
        <f>IFERROR(IF(VLOOKUP(AT618,Vessel!A:I,9,FALSE)=0,"",VLOOKUP(AT618,Vessel!A:I,9,FALSE)),"")</f>
        <v>46235.175381944442</v>
      </c>
      <c r="AO618" s="431" t="s">
        <v>402</v>
      </c>
      <c r="AP618" s="431" t="s">
        <v>4966</v>
      </c>
      <c r="AQ618" s="431" t="s">
        <v>80</v>
      </c>
      <c r="AR618" s="431" t="s">
        <v>4967</v>
      </c>
      <c r="AS618" s="431" t="s">
        <v>4968</v>
      </c>
      <c r="AT618" s="431" t="s">
        <v>4968</v>
      </c>
      <c r="AU61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43.175381944442051</v>
      </c>
      <c r="AV618" s="441"/>
      <c r="AW618" s="441" cm="1">
        <f t="array" ref="AW61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46235.175381944442</v>
      </c>
      <c r="AX61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18" s="441">
        <f>IF(ISERROR(PV_DATA[[#This Row],[New Ark PO status]]),"",_xlfn.XLOOKUP(PV_DATA[[#This Row],[SPTN-PVHK New Ark PO'#]],New_Ark_Data[Purchase order Number],New_Ark_Data[Estimated time of arrival],"",0))</f>
        <v>46246</v>
      </c>
      <c r="AZ618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18" s="441">
        <f>IFERROR(PV_DATA[[#This Row],[ODP ETA Port]]+PV_DATA[[#This Row],[Customs/Leg3 Assumption]],"n/a")</f>
        <v>46243.175381944442</v>
      </c>
      <c r="BB618" s="442">
        <f>YEAR(PV_DATA[[#This Row],[ETA for New Ark update]])</f>
        <v>2026</v>
      </c>
      <c r="BC618" s="431">
        <f>MONTH(PV_DATA[[#This Row],[ETA for New Ark update]])</f>
        <v>8</v>
      </c>
      <c r="BD618" s="431">
        <f>IFERROR(_xlfn.ISOWEEKNUM(PV_DATA[[#This Row],[ETA for New Ark update]]),0)</f>
        <v>32</v>
      </c>
      <c r="BE618" s="431">
        <f>_xlfn.XLOOKUP(PV_DATA[[#This Row],[New Ark SKU]],Table9[New Ark SKU],Table9[Total PCS per Pallet],,0)</f>
        <v>33</v>
      </c>
      <c r="BF618" s="431">
        <f>_xlfn.XLOOKUP(PV_DATA[[#This Row],[New Ark SKU]],Table9[New Ark SKU],Table9[Total PCS per 40HQ Container],,0)</f>
        <v>660</v>
      </c>
      <c r="BG618" s="431" t="str">
        <f>_xlfn.XLOOKUP(PV_DATA[[#This Row],[New Ark SKU]],Table9[New Ark SKU],Table9[Back Glass],,0)</f>
        <v>White glazing</v>
      </c>
      <c r="BH618" s="431" t="str">
        <f>_xlfn.XLOOKUP(PV_DATA[[#This Row],[PORT DESTINATION]],Table12[PORT DESTINATION],Table12[Cosco Line],,0)</f>
        <v>AEM</v>
      </c>
    </row>
    <row r="619" spans="1:60" s="431" customFormat="1" ht="10.5" hidden="1">
      <c r="A619" s="439" t="s">
        <v>4969</v>
      </c>
      <c r="B619" s="439" t="s">
        <v>2132</v>
      </c>
      <c r="C619" s="439" t="str">
        <f>IFERROR(LEFT(PV_DATA[[#This Row],[TCL REFERENCE]],FIND(".",PV_DATA[[#This Row],[TCL REFERENCE]],1)-1),"Main Line")</f>
        <v>26May009</v>
      </c>
      <c r="D619" s="439" t="s">
        <v>63</v>
      </c>
      <c r="E619" s="439" t="s">
        <v>64</v>
      </c>
      <c r="F619" s="439" t="str" cm="1">
        <f t="array" ref="F61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19" s="439" t="s">
        <v>402</v>
      </c>
      <c r="H619" s="439" t="s">
        <v>67</v>
      </c>
      <c r="I619" s="439" t="s">
        <v>689</v>
      </c>
      <c r="J619" s="431" t="s">
        <v>96</v>
      </c>
      <c r="M619" s="431" t="s">
        <v>68</v>
      </c>
      <c r="N619" s="461">
        <v>46153</v>
      </c>
      <c r="O619" s="431" t="s">
        <v>4540</v>
      </c>
      <c r="P619" s="431" t="s">
        <v>71</v>
      </c>
      <c r="Q619" s="431" t="s">
        <v>72</v>
      </c>
      <c r="R619" s="431" t="str">
        <f>_xlfn.XLOOKUP(PV_DATA[[#This Row],[New Ark SKU]],Table9[New Ark SKU],Table9[Connector],,0)</f>
        <v>EVO2A</v>
      </c>
      <c r="S619" s="442" t="str">
        <f>_xlfn.XLOOKUP(PV_DATA[[#This Row],[New Ark SKU]],Table9[New Ark SKU],Table9[Cable],,0)</f>
        <v>±1200mm</v>
      </c>
      <c r="T619" s="442">
        <v>500</v>
      </c>
      <c r="U619" s="1067">
        <f>864*4</f>
        <v>3456</v>
      </c>
      <c r="V619" s="448">
        <f>PV_DATA[[#This Row],[QUANTITY]]*PV_DATA[[#This Row],[WATT]]/1000000</f>
        <v>1.728</v>
      </c>
      <c r="W619" s="466">
        <f>PV_DATA[[#This Row],[QUANTITY]]/PV_DATA[[#This Row],[Qty/Pallet]]</f>
        <v>96</v>
      </c>
      <c r="X619" s="1019">
        <f>PV_DATA[[#This Row],[QUANTITY]]/PV_DATA[[#This Row],[Qty/CT]]</f>
        <v>4</v>
      </c>
      <c r="Y619" s="447" t="s">
        <v>4366</v>
      </c>
      <c r="Z619" s="430" t="str">
        <f t="shared" si="6"/>
        <v>COMPLETED</v>
      </c>
      <c r="AA619" s="431" t="s">
        <v>4970</v>
      </c>
      <c r="AB619" s="441">
        <v>46181</v>
      </c>
      <c r="AC619" s="467">
        <f>IF(PV_DATA[[#This Row],[Pick-Up Date]]&lt;&gt;"",_xlfn.ISOWEEKNUM(PV_DATA[[#This Row],[Pick-Up Date]]),"")</f>
        <v>24</v>
      </c>
      <c r="AD619" s="431" t="s">
        <v>4971</v>
      </c>
      <c r="AE619" s="450"/>
      <c r="AF619" s="447" t="s">
        <v>122</v>
      </c>
      <c r="AG619" s="447" t="s">
        <v>123</v>
      </c>
      <c r="AH619" s="431" t="s">
        <v>78</v>
      </c>
      <c r="AI619" s="441">
        <v>46189</v>
      </c>
      <c r="AJ619" s="441">
        <v>46192</v>
      </c>
      <c r="AK619" s="441">
        <v>46192</v>
      </c>
      <c r="AL619" s="441">
        <v>46231</v>
      </c>
      <c r="AM619" s="441">
        <v>46234</v>
      </c>
      <c r="AN619" s="586">
        <f>IFERROR(IF(VLOOKUP(AT619,Vessel!A:I,9,FALSE)=0,"",VLOOKUP(AT619,Vessel!A:I,9,FALSE)),"")</f>
        <v>46235.175381944442</v>
      </c>
      <c r="AO619" s="431" t="s">
        <v>402</v>
      </c>
      <c r="AP619" s="431" t="s">
        <v>4966</v>
      </c>
      <c r="AQ619" s="431" t="s">
        <v>80</v>
      </c>
      <c r="AR619" s="431" t="s">
        <v>4967</v>
      </c>
      <c r="AS619" s="431" t="s">
        <v>4968</v>
      </c>
      <c r="AT619" s="431" t="s">
        <v>4968</v>
      </c>
      <c r="AU61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43.175381944442051</v>
      </c>
      <c r="AV619" s="441"/>
      <c r="AW619" s="441" cm="1">
        <f t="array" ref="AW61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46235.175381944442</v>
      </c>
      <c r="AX619" s="442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19" s="441">
        <f>IF(ISERROR(PV_DATA[[#This Row],[New Ark PO status]]),"",_xlfn.XLOOKUP(PV_DATA[[#This Row],[SPTN-PVHK New Ark PO'#]],New_Ark_Data[Purchase order Number],New_Ark_Data[Estimated time of arrival],"",0))</f>
        <v>46246</v>
      </c>
      <c r="AZ619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19" s="441">
        <f>IFERROR(PV_DATA[[#This Row],[ODP ETA Port]]+PV_DATA[[#This Row],[Customs/Leg3 Assumption]],"n/a")</f>
        <v>46243.175381944442</v>
      </c>
      <c r="BB619" s="442">
        <f>YEAR(PV_DATA[[#This Row],[ETA for New Ark update]])</f>
        <v>2026</v>
      </c>
      <c r="BC619" s="431">
        <f>MONTH(PV_DATA[[#This Row],[ETA for New Ark update]])</f>
        <v>8</v>
      </c>
      <c r="BD619" s="431">
        <f>IFERROR(_xlfn.ISOWEEKNUM(PV_DATA[[#This Row],[ETA for New Ark update]]),0)</f>
        <v>32</v>
      </c>
      <c r="BE619" s="431">
        <f>_xlfn.XLOOKUP(PV_DATA[[#This Row],[New Ark SKU]],Table9[New Ark SKU],Table9[Total PCS per Pallet],,0)</f>
        <v>36</v>
      </c>
      <c r="BF619" s="431">
        <f>_xlfn.XLOOKUP(PV_DATA[[#This Row],[New Ark SKU]],Table9[New Ark SKU],Table9[Total PCS per 40HQ Container],,0)</f>
        <v>864</v>
      </c>
      <c r="BG619" s="431" t="str">
        <f>_xlfn.XLOOKUP(PV_DATA[[#This Row],[New Ark SKU]],Table9[New Ark SKU],Table9[Back Glass],,0)</f>
        <v>Black glazing</v>
      </c>
      <c r="BH619" s="431" t="str">
        <f>_xlfn.XLOOKUP(PV_DATA[[#This Row],[PORT DESTINATION]],Table12[PORT DESTINATION],Table12[Cosco Line],,0)</f>
        <v>AEM</v>
      </c>
    </row>
    <row r="620" spans="1:60" s="450" customFormat="1" ht="10.5" hidden="1">
      <c r="A620" s="446" t="s">
        <v>4972</v>
      </c>
      <c r="B620" s="446" t="s">
        <v>2132</v>
      </c>
      <c r="C620" s="446" t="str">
        <f>IFERROR(LEFT(PV_DATA[[#This Row],[TCL REFERENCE]],FIND(".",PV_DATA[[#This Row],[TCL REFERENCE]],1)-1),"Main Line")</f>
        <v>26May009</v>
      </c>
      <c r="D620" s="446" t="s">
        <v>63</v>
      </c>
      <c r="E620" s="446" t="s">
        <v>144</v>
      </c>
      <c r="F620" s="446" t="str" cm="1">
        <f t="array" ref="F62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20" s="446" t="s">
        <v>146</v>
      </c>
      <c r="H620" s="446" t="s">
        <v>4973</v>
      </c>
      <c r="I620" s="446" t="s">
        <v>689</v>
      </c>
      <c r="J620" s="450" t="s">
        <v>4974</v>
      </c>
      <c r="K620" s="450" t="s">
        <v>4975</v>
      </c>
      <c r="L620" s="450">
        <v>1</v>
      </c>
      <c r="M620" s="450" t="s">
        <v>4976</v>
      </c>
      <c r="N620" s="451">
        <v>46153</v>
      </c>
      <c r="O620" s="450" t="s">
        <v>4540</v>
      </c>
      <c r="P620" s="450" t="s">
        <v>71</v>
      </c>
      <c r="Q620" s="450" t="s">
        <v>72</v>
      </c>
      <c r="R620" s="450" t="str">
        <f>_xlfn.XLOOKUP(PV_DATA[[#This Row],[New Ark SKU]],Table9[New Ark SKU],Table9[Connector],,0)</f>
        <v>EVO2A</v>
      </c>
      <c r="S620" s="452" t="str">
        <f>_xlfn.XLOOKUP(PV_DATA[[#This Row],[New Ark SKU]],Table9[New Ark SKU],Table9[Cable],,0)</f>
        <v>±1200mm</v>
      </c>
      <c r="T620" s="452">
        <v>500</v>
      </c>
      <c r="U620" s="1063">
        <f>864*1</f>
        <v>864</v>
      </c>
      <c r="V620" s="453">
        <f>PV_DATA[[#This Row],[QUANTITY]]*PV_DATA[[#This Row],[WATT]]/1000000</f>
        <v>0.432</v>
      </c>
      <c r="W620" s="454">
        <f>PV_DATA[[#This Row],[QUANTITY]]/PV_DATA[[#This Row],[Qty/Pallet]]</f>
        <v>24</v>
      </c>
      <c r="X620" s="1020">
        <f>PV_DATA[[#This Row],[QUANTITY]]/PV_DATA[[#This Row],[Qty/CT]]</f>
        <v>1</v>
      </c>
      <c r="Y620" s="470" t="s">
        <v>4366</v>
      </c>
      <c r="Z620" s="430" t="str">
        <f t="shared" si="6"/>
        <v>COMPLETED</v>
      </c>
      <c r="AA620" s="450" t="s">
        <v>4970</v>
      </c>
      <c r="AB620" s="455">
        <v>46181</v>
      </c>
      <c r="AC620" s="471">
        <f>IF(PV_DATA[[#This Row],[Pick-Up Date]]&lt;&gt;"",_xlfn.ISOWEEKNUM(PV_DATA[[#This Row],[Pick-Up Date]]),"")</f>
        <v>24</v>
      </c>
      <c r="AD620" s="450" t="s">
        <v>4977</v>
      </c>
      <c r="AF620" s="470" t="s">
        <v>122</v>
      </c>
      <c r="AG620" s="470" t="s">
        <v>123</v>
      </c>
      <c r="AH620" s="450" t="s">
        <v>78</v>
      </c>
      <c r="AI620" s="455">
        <v>46189</v>
      </c>
      <c r="AJ620" s="455">
        <v>46192</v>
      </c>
      <c r="AK620" s="455">
        <v>46192</v>
      </c>
      <c r="AL620" s="455">
        <v>46231</v>
      </c>
      <c r="AM620" s="455">
        <v>46234</v>
      </c>
      <c r="AN620" s="587">
        <f>IFERROR(IF(VLOOKUP(AT620,Vessel!A:I,9,FALSE)=0,"",VLOOKUP(AT620,Vessel!A:I,9,FALSE)),"")</f>
        <v>46235.175381944442</v>
      </c>
      <c r="AO620" s="450" t="s">
        <v>402</v>
      </c>
      <c r="AP620" s="450" t="s">
        <v>4966</v>
      </c>
      <c r="AQ620" s="450" t="s">
        <v>80</v>
      </c>
      <c r="AR620" s="450" t="s">
        <v>4978</v>
      </c>
      <c r="AS620" s="470" t="s">
        <v>4979</v>
      </c>
      <c r="AT620" s="450" t="s">
        <v>4968</v>
      </c>
      <c r="AU62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43.175381944442051</v>
      </c>
      <c r="AV620" s="455"/>
      <c r="AW620" s="455" cm="1">
        <f t="array" ref="AW62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46235.175381944442</v>
      </c>
      <c r="AX62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20" s="455">
        <f>IF(ISERROR(PV_DATA[[#This Row],[New Ark PO status]]),"",_xlfn.XLOOKUP(PV_DATA[[#This Row],[SPTN-PVHK New Ark PO'#]],New_Ark_Data[Purchase order Number],New_Ark_Data[Estimated time of arrival],"",0))</f>
        <v>46246</v>
      </c>
      <c r="AZ620" s="45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20" s="455">
        <f>IFERROR(PV_DATA[[#This Row],[ODP ETA Port]]+PV_DATA[[#This Row],[Customs/Leg3 Assumption]],"n/a")</f>
        <v>46235.175381944442</v>
      </c>
      <c r="BB620" s="452">
        <f>YEAR(PV_DATA[[#This Row],[ETA for New Ark update]])</f>
        <v>2026</v>
      </c>
      <c r="BC620" s="450">
        <f>MONTH(PV_DATA[[#This Row],[ETA for New Ark update]])</f>
        <v>8</v>
      </c>
      <c r="BD620" s="450">
        <f>IFERROR(_xlfn.ISOWEEKNUM(PV_DATA[[#This Row],[ETA for New Ark update]]),0)</f>
        <v>31</v>
      </c>
      <c r="BE620" s="450">
        <f>_xlfn.XLOOKUP(PV_DATA[[#This Row],[New Ark SKU]],Table9[New Ark SKU],Table9[Total PCS per Pallet],,0)</f>
        <v>36</v>
      </c>
      <c r="BF620" s="450">
        <f>_xlfn.XLOOKUP(PV_DATA[[#This Row],[New Ark SKU]],Table9[New Ark SKU],Table9[Total PCS per 40HQ Container],,0)</f>
        <v>864</v>
      </c>
      <c r="BG620" s="450" t="str">
        <f>_xlfn.XLOOKUP(PV_DATA[[#This Row],[New Ark SKU]],Table9[New Ark SKU],Table9[Back Glass],,0)</f>
        <v>Black glazing</v>
      </c>
      <c r="BH620" s="731" t="str">
        <f>_xlfn.XLOOKUP(PV_DATA[[#This Row],[PORT DESTINATION]],Table12[PORT DESTINATION],Table12[Cosco Line],,0)</f>
        <v>AEM</v>
      </c>
    </row>
    <row r="621" spans="1:60" s="431" customFormat="1" ht="10.5" hidden="1">
      <c r="A621" s="439" t="s">
        <v>4980</v>
      </c>
      <c r="B621" s="439" t="s">
        <v>2132</v>
      </c>
      <c r="C621" s="439" t="str">
        <f>IFERROR(LEFT(PV_DATA[[#This Row],[TCL REFERENCE]],FIND(".",PV_DATA[[#This Row],[TCL REFERENCE]],1)-1),"Main Line")</f>
        <v>26May010</v>
      </c>
      <c r="D621" s="439" t="s">
        <v>63</v>
      </c>
      <c r="E621" s="439" t="s">
        <v>64</v>
      </c>
      <c r="F621" s="439" t="str" cm="1">
        <f t="array" ref="F62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21" s="439" t="s">
        <v>402</v>
      </c>
      <c r="H621" s="439" t="s">
        <v>67</v>
      </c>
      <c r="I621" s="439" t="s">
        <v>689</v>
      </c>
      <c r="J621" s="431" t="s">
        <v>96</v>
      </c>
      <c r="M621" s="431" t="s">
        <v>68</v>
      </c>
      <c r="N621" s="461">
        <v>46153</v>
      </c>
      <c r="O621" s="431" t="s">
        <v>4540</v>
      </c>
      <c r="P621" s="431" t="s">
        <v>1151</v>
      </c>
      <c r="Q621" s="431" t="s">
        <v>421</v>
      </c>
      <c r="R621" s="431" t="str">
        <f>_xlfn.XLOOKUP(PV_DATA[[#This Row],[New Ark SKU]],Table9[New Ark SKU],Table9[Connector],,0)</f>
        <v>EVO2A</v>
      </c>
      <c r="S621" s="442" t="str">
        <f>_xlfn.XLOOKUP(PV_DATA[[#This Row],[New Ark SKU]],Table9[New Ark SKU],Table9[Cable],,0)</f>
        <v>±1200mm</v>
      </c>
      <c r="T621" s="442">
        <v>505</v>
      </c>
      <c r="U621" s="1067">
        <f>864*4</f>
        <v>3456</v>
      </c>
      <c r="V621" s="448">
        <f>PV_DATA[[#This Row],[QUANTITY]]*PV_DATA[[#This Row],[WATT]]/1000000</f>
        <v>1.7452799999999999</v>
      </c>
      <c r="W621" s="466">
        <f>PV_DATA[[#This Row],[QUANTITY]]/PV_DATA[[#This Row],[Qty/Pallet]]</f>
        <v>96</v>
      </c>
      <c r="X621" s="1019">
        <f>PV_DATA[[#This Row],[QUANTITY]]/PV_DATA[[#This Row],[Qty/CT]]</f>
        <v>4</v>
      </c>
      <c r="Y621" s="447" t="s">
        <v>4366</v>
      </c>
      <c r="Z621" s="430" t="str">
        <f t="shared" si="6"/>
        <v>COMPLETED</v>
      </c>
      <c r="AA621" s="431" t="s">
        <v>4516</v>
      </c>
      <c r="AB621" s="441">
        <v>46185</v>
      </c>
      <c r="AC621" s="467">
        <f>IF(PV_DATA[[#This Row],[Pick-Up Date]]&lt;&gt;"",_xlfn.ISOWEEKNUM(PV_DATA[[#This Row],[Pick-Up Date]]),"")</f>
        <v>24</v>
      </c>
      <c r="AD621" s="431" t="s">
        <v>4981</v>
      </c>
      <c r="AF621" s="447" t="s">
        <v>122</v>
      </c>
      <c r="AG621" s="447" t="s">
        <v>123</v>
      </c>
      <c r="AH621" s="431" t="s">
        <v>78</v>
      </c>
      <c r="AI621" s="441">
        <v>46195</v>
      </c>
      <c r="AJ621" s="441">
        <v>46200</v>
      </c>
      <c r="AK621" s="441">
        <v>46200</v>
      </c>
      <c r="AL621" s="441">
        <v>46244</v>
      </c>
      <c r="AM621" s="586"/>
      <c r="AN621" s="586">
        <f>IFERROR(IF(VLOOKUP(AT621,Vessel!A:I,9,FALSE)=0,"",VLOOKUP(AT621,Vessel!A:I,9,FALSE)),"")</f>
        <v>46250.848819444444</v>
      </c>
      <c r="AO621" s="431" t="s">
        <v>402</v>
      </c>
      <c r="AP621" s="431" t="s">
        <v>4982</v>
      </c>
      <c r="AQ621" s="431" t="s">
        <v>80</v>
      </c>
      <c r="AR621" s="431" t="s">
        <v>4983</v>
      </c>
      <c r="AS621" s="431" t="s">
        <v>4984</v>
      </c>
      <c r="AT621" s="431" t="s">
        <v>4984</v>
      </c>
      <c r="AU62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50.848819444443507</v>
      </c>
      <c r="AV621" s="441"/>
      <c r="AW621" s="441" cm="1">
        <f t="array" ref="AW62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46250.848819444444</v>
      </c>
      <c r="AX62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21" s="441">
        <f>IF(ISERROR(PV_DATA[[#This Row],[New Ark PO status]]),"",_xlfn.XLOOKUP(PV_DATA[[#This Row],[SPTN-PVHK New Ark PO'#]],New_Ark_Data[Purchase order Number],New_Ark_Data[Estimated time of arrival],"",0))</f>
        <v>46265</v>
      </c>
      <c r="AZ621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21" s="441">
        <f>IFERROR(PV_DATA[[#This Row],[ODP ETA Port]]+PV_DATA[[#This Row],[Customs/Leg3 Assumption]],"n/a")</f>
        <v>46258.848819444444</v>
      </c>
      <c r="BB621" s="442">
        <f>YEAR(PV_DATA[[#This Row],[ETA for New Ark update]])</f>
        <v>2026</v>
      </c>
      <c r="BC621" s="431">
        <f>MONTH(PV_DATA[[#This Row],[ETA for New Ark update]])</f>
        <v>8</v>
      </c>
      <c r="BD621" s="431">
        <f>IFERROR(_xlfn.ISOWEEKNUM(PV_DATA[[#This Row],[ETA for New Ark update]]),0)</f>
        <v>35</v>
      </c>
      <c r="BE621" s="431">
        <f>_xlfn.XLOOKUP(PV_DATA[[#This Row],[New Ark SKU]],Table9[New Ark SKU],Table9[Total PCS per Pallet],,0)</f>
        <v>36</v>
      </c>
      <c r="BF621" s="431">
        <f>_xlfn.XLOOKUP(PV_DATA[[#This Row],[New Ark SKU]],Table9[New Ark SKU],Table9[Total PCS per 40HQ Container],,0)</f>
        <v>864</v>
      </c>
      <c r="BG621" s="431" t="str">
        <f>_xlfn.XLOOKUP(PV_DATA[[#This Row],[New Ark SKU]],Table9[New Ark SKU],Table9[Back Glass],,0)</f>
        <v>Black glazing</v>
      </c>
      <c r="BH621" s="431" t="str">
        <f>_xlfn.XLOOKUP(PV_DATA[[#This Row],[PORT DESTINATION]],Table12[PORT DESTINATION],Table12[Cosco Line],,0)</f>
        <v>AEM</v>
      </c>
    </row>
    <row r="622" spans="1:60" s="431" customFormat="1" ht="10.5" hidden="1">
      <c r="A622" s="439" t="s">
        <v>4985</v>
      </c>
      <c r="B622" s="439" t="s">
        <v>111</v>
      </c>
      <c r="C622" s="439" t="str">
        <f>IFERROR(LEFT(PV_DATA[[#This Row],[TCL REFERENCE]],FIND(".",PV_DATA[[#This Row],[TCL REFERENCE]],1)-1),"Main Line")</f>
        <v>26May012</v>
      </c>
      <c r="D622" s="439" t="s">
        <v>63</v>
      </c>
      <c r="E622" s="439" t="s">
        <v>64</v>
      </c>
      <c r="F622" s="439" t="str" cm="1">
        <f t="array" ref="F62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22" s="439" t="s">
        <v>402</v>
      </c>
      <c r="H622" s="719" t="s">
        <v>67</v>
      </c>
      <c r="I622" s="439" t="s">
        <v>689</v>
      </c>
      <c r="J622" s="431" t="s">
        <v>96</v>
      </c>
      <c r="M622" s="431" t="s">
        <v>68</v>
      </c>
      <c r="N622" s="461">
        <v>46167</v>
      </c>
      <c r="O622" s="431" t="s">
        <v>4540</v>
      </c>
      <c r="P622" s="431" t="s">
        <v>4606</v>
      </c>
      <c r="Q622" s="431" t="s">
        <v>4607</v>
      </c>
      <c r="R622" s="431" t="str">
        <f>_xlfn.XLOOKUP(PV_DATA[[#This Row],[New Ark SKU]],Table9[New Ark SKU],Table9[Connector],,0)</f>
        <v>H4(Com)</v>
      </c>
      <c r="S622" s="442" t="str">
        <f>_xlfn.XLOOKUP(PV_DATA[[#This Row],[New Ark SKU]],Table9[New Ark SKU],Table9[Cable],,0)</f>
        <v>+400mm/-200mm</v>
      </c>
      <c r="T622" s="442">
        <v>630</v>
      </c>
      <c r="U622" s="1067">
        <f>720*9</f>
        <v>6480</v>
      </c>
      <c r="V622" s="448">
        <f>PV_DATA[[#This Row],[QUANTITY]]*PV_DATA[[#This Row],[WATT]]/1000000</f>
        <v>4.0823999999999998</v>
      </c>
      <c r="W622" s="466">
        <f>PV_DATA[[#This Row],[QUANTITY]]/PV_DATA[[#This Row],[Qty/Pallet]]</f>
        <v>180</v>
      </c>
      <c r="X622" s="1019">
        <f>PV_DATA[[#This Row],[QUANTITY]]/PV_DATA[[#This Row],[Qty/CT]]</f>
        <v>9</v>
      </c>
      <c r="Y622" s="431" t="s">
        <v>4366</v>
      </c>
      <c r="Z622" s="430" t="str">
        <f t="shared" si="6"/>
        <v>COMPLETED</v>
      </c>
      <c r="AA622" s="431" t="s">
        <v>4986</v>
      </c>
      <c r="AB622" s="441">
        <v>46186</v>
      </c>
      <c r="AC622" s="467">
        <f>IF(PV_DATA[[#This Row],[Pick-Up Date]]&lt;&gt;"",_xlfn.ISOWEEKNUM(PV_DATA[[#This Row],[Pick-Up Date]]),"")</f>
        <v>24</v>
      </c>
      <c r="AD622" s="431" t="s">
        <v>4987</v>
      </c>
      <c r="AF622" s="431" t="s">
        <v>122</v>
      </c>
      <c r="AG622" s="431" t="s">
        <v>123</v>
      </c>
      <c r="AH622" s="431" t="s">
        <v>78</v>
      </c>
      <c r="AI622" s="441">
        <v>46195</v>
      </c>
      <c r="AJ622" s="441">
        <v>46200</v>
      </c>
      <c r="AK622" s="441">
        <v>46200</v>
      </c>
      <c r="AL622" s="441">
        <v>46244</v>
      </c>
      <c r="AM622" s="586"/>
      <c r="AN622" s="586">
        <f>IFERROR(IF(VLOOKUP(AT622,Vessel!A:I,9,FALSE)=0,"",VLOOKUP(AT622,Vessel!A:I,9,FALSE)),"")</f>
        <v>46250.848819444444</v>
      </c>
      <c r="AO622" s="431" t="s">
        <v>402</v>
      </c>
      <c r="AP622" s="431" t="s">
        <v>4982</v>
      </c>
      <c r="AQ622" s="431" t="s">
        <v>80</v>
      </c>
      <c r="AR622" s="431" t="s">
        <v>4983</v>
      </c>
      <c r="AS622" s="431" t="s">
        <v>4984</v>
      </c>
      <c r="AT622" s="431" t="s">
        <v>4984</v>
      </c>
      <c r="AU62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50.848819444443507</v>
      </c>
      <c r="AV622" s="441"/>
      <c r="AW622" s="441" cm="1">
        <f t="array" ref="AW62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46250.848819444444</v>
      </c>
      <c r="AX62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22" s="441">
        <f>IF(ISERROR(PV_DATA[[#This Row],[New Ark PO status]]),"",_xlfn.XLOOKUP(PV_DATA[[#This Row],[SPTN-PVHK New Ark PO'#]],New_Ark_Data[Purchase order Number],New_Ark_Data[Estimated time of arrival],"",0))</f>
        <v>46265</v>
      </c>
      <c r="AZ622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22" s="441">
        <f>IFERROR(PV_DATA[[#This Row],[ODP ETA Port]]+PV_DATA[[#This Row],[Customs/Leg3 Assumption]],"n/a")</f>
        <v>46258.848819444444</v>
      </c>
      <c r="BB622" s="442">
        <f>YEAR(PV_DATA[[#This Row],[ETA for New Ark update]])</f>
        <v>2026</v>
      </c>
      <c r="BC622" s="431">
        <f>MONTH(PV_DATA[[#This Row],[ETA for New Ark update]])</f>
        <v>8</v>
      </c>
      <c r="BD622" s="431">
        <f>IFERROR(_xlfn.ISOWEEKNUM(PV_DATA[[#This Row],[ETA for New Ark update]]),0)</f>
        <v>35</v>
      </c>
      <c r="BE622" s="431">
        <f>_xlfn.XLOOKUP(PV_DATA[[#This Row],[New Ark SKU]],Table9[New Ark SKU],Table9[Total PCS per Pallet],,0)</f>
        <v>36</v>
      </c>
      <c r="BF622" s="431">
        <f>_xlfn.XLOOKUP(PV_DATA[[#This Row],[New Ark SKU]],Table9[New Ark SKU],Table9[Total PCS per 40HQ Container],,0)</f>
        <v>720</v>
      </c>
      <c r="BG622" s="431" t="str">
        <f>_xlfn.XLOOKUP(PV_DATA[[#This Row],[New Ark SKU]],Table9[New Ark SKU],Table9[Back Glass],,0)</f>
        <v>Transparent</v>
      </c>
      <c r="BH622" s="431" t="str">
        <f>_xlfn.XLOOKUP(PV_DATA[[#This Row],[PORT DESTINATION]],Table12[PORT DESTINATION],Table12[Cosco Line],,0)</f>
        <v>AEM</v>
      </c>
    </row>
    <row r="623" spans="1:60" s="431" customFormat="1" ht="10.5" hidden="1">
      <c r="A623" s="439" t="s">
        <v>4988</v>
      </c>
      <c r="B623" s="439" t="s">
        <v>111</v>
      </c>
      <c r="C623" s="439" t="str">
        <f>IFERROR(LEFT(PV_DATA[[#This Row],[TCL REFERENCE]],FIND(".",PV_DATA[[#This Row],[TCL REFERENCE]],1)-1),"Main Line")</f>
        <v>26May011</v>
      </c>
      <c r="D623" s="439" t="s">
        <v>63</v>
      </c>
      <c r="E623" s="439" t="s">
        <v>64</v>
      </c>
      <c r="F623" s="439" t="str" cm="1">
        <f t="array" ref="F62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623" s="439" t="s">
        <v>402</v>
      </c>
      <c r="H623" s="719" t="s">
        <v>311</v>
      </c>
      <c r="I623" s="439" t="s">
        <v>689</v>
      </c>
      <c r="J623" s="431" t="s">
        <v>96</v>
      </c>
      <c r="M623" s="431" t="s">
        <v>68</v>
      </c>
      <c r="N623" s="461">
        <v>46167</v>
      </c>
      <c r="O623" s="431" t="s">
        <v>4540</v>
      </c>
      <c r="P623" s="431" t="s">
        <v>4601</v>
      </c>
      <c r="Q623" s="431" t="s">
        <v>330</v>
      </c>
      <c r="R623" s="431" t="str">
        <f>_xlfn.XLOOKUP(PV_DATA[[#This Row],[New Ark SKU]],Table9[New Ark SKU],Table9[Connector],,0)</f>
        <v>H4(Com)</v>
      </c>
      <c r="S623" s="442" t="str">
        <f>_xlfn.XLOOKUP(PV_DATA[[#This Row],[New Ark SKU]],Table9[New Ark SKU],Table9[Cable],,0)</f>
        <v>+400mm/-200mm</v>
      </c>
      <c r="T623" s="442">
        <v>625</v>
      </c>
      <c r="U623" s="1067">
        <f>720*3</f>
        <v>2160</v>
      </c>
      <c r="V623" s="444">
        <f>PV_DATA[[#This Row],[QUANTITY]]*PV_DATA[[#This Row],[WATT]]/1000000</f>
        <v>1.35</v>
      </c>
      <c r="W623" s="466">
        <f>PV_DATA[[#This Row],[QUANTITY]]/PV_DATA[[#This Row],[Qty/Pallet]]</f>
        <v>60</v>
      </c>
      <c r="X623" s="1019">
        <f>PV_DATA[[#This Row],[QUANTITY]]/PV_DATA[[#This Row],[Qty/CT]]</f>
        <v>3</v>
      </c>
      <c r="Y623" s="431" t="s">
        <v>4366</v>
      </c>
      <c r="Z623" s="430" t="str">
        <f t="shared" si="6"/>
        <v>COMPLETED</v>
      </c>
      <c r="AA623" s="431" t="s">
        <v>4989</v>
      </c>
      <c r="AB623" s="441">
        <v>46181</v>
      </c>
      <c r="AC623" s="467">
        <f>IF(PV_DATA[[#This Row],[Pick-Up Date]]&lt;&gt;"",_xlfn.ISOWEEKNUM(PV_DATA[[#This Row],[Pick-Up Date]]),"")</f>
        <v>24</v>
      </c>
      <c r="AD623" s="431" t="s">
        <v>4990</v>
      </c>
      <c r="AF623" s="431" t="s">
        <v>122</v>
      </c>
      <c r="AG623" s="431" t="s">
        <v>123</v>
      </c>
      <c r="AH623" s="431" t="s">
        <v>1561</v>
      </c>
      <c r="AI623" s="441">
        <v>46189</v>
      </c>
      <c r="AJ623" s="441">
        <v>46191</v>
      </c>
      <c r="AK623" s="441">
        <v>46191</v>
      </c>
      <c r="AL623" s="441">
        <v>46248</v>
      </c>
      <c r="AM623" s="586">
        <f>IFERROR(VLOOKUP(AT623, Vessel!A:H, 8, FALSE), "")</f>
        <v>46254.75</v>
      </c>
      <c r="AN623" s="586">
        <v>46254</v>
      </c>
      <c r="AO623" s="431" t="s">
        <v>402</v>
      </c>
      <c r="AP623" s="431" t="s">
        <v>4991</v>
      </c>
      <c r="AQ623" s="431" t="s">
        <v>80</v>
      </c>
      <c r="AR623" s="431" t="s">
        <v>4992</v>
      </c>
      <c r="AS623" s="431" t="s">
        <v>4993</v>
      </c>
      <c r="AT623" s="431" t="s">
        <v>4993</v>
      </c>
      <c r="AU62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63</v>
      </c>
      <c r="AV623" s="441"/>
      <c r="AW623" s="441" cm="1">
        <f t="array" ref="AW62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46254</v>
      </c>
      <c r="AX62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23" s="441">
        <f>IF(ISERROR(PV_DATA[[#This Row],[New Ark PO status]]),"",_xlfn.XLOOKUP(PV_DATA[[#This Row],[SPTN-PVHK New Ark PO'#]],New_Ark_Data[Purchase order Number],New_Ark_Data[Estimated time of arrival],"",0))</f>
        <v>46268</v>
      </c>
      <c r="AZ623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623" s="441">
        <f>IFERROR(PV_DATA[[#This Row],[ODP ETA Port]]+PV_DATA[[#This Row],[Customs/Leg3 Assumption]],"n/a")</f>
        <v>46264</v>
      </c>
      <c r="BB623" s="442">
        <f>YEAR(PV_DATA[[#This Row],[ETA for New Ark update]])</f>
        <v>2026</v>
      </c>
      <c r="BC623" s="431">
        <f>MONTH(PV_DATA[[#This Row],[ETA for New Ark update]])</f>
        <v>8</v>
      </c>
      <c r="BD623" s="431">
        <f>IFERROR(_xlfn.ISOWEEKNUM(PV_DATA[[#This Row],[ETA for New Ark update]]),0)</f>
        <v>35</v>
      </c>
      <c r="BE623" s="431">
        <f>_xlfn.XLOOKUP(PV_DATA[[#This Row],[New Ark SKU]],Table9[New Ark SKU],Table9[Total PCS per Pallet],,0)</f>
        <v>36</v>
      </c>
      <c r="BF623" s="431">
        <f>_xlfn.XLOOKUP(PV_DATA[[#This Row],[New Ark SKU]],Table9[New Ark SKU],Table9[Total PCS per 40HQ Container],,0)</f>
        <v>720</v>
      </c>
      <c r="BG623" s="431" t="str">
        <f>_xlfn.XLOOKUP(PV_DATA[[#This Row],[New Ark SKU]],Table9[New Ark SKU],Table9[Back Glass],,0)</f>
        <v>Transparent</v>
      </c>
      <c r="BH623" s="431" t="str">
        <f>_xlfn.XLOOKUP(PV_DATA[[#This Row],[PORT DESTINATION]],Table12[PORT DESTINATION],Table12[Cosco Line],,0)</f>
        <v>AEM</v>
      </c>
    </row>
    <row r="624" spans="1:60" s="431" customFormat="1" ht="10.5" hidden="1">
      <c r="A624" s="439" t="s">
        <v>4994</v>
      </c>
      <c r="B624" s="439" t="s">
        <v>111</v>
      </c>
      <c r="C624" s="439" t="str">
        <f>IFERROR(LEFT(PV_DATA[[#This Row],[TCL REFERENCE]],FIND(".",PV_DATA[[#This Row],[TCL REFERENCE]],1)-1),"Main Line")</f>
        <v>26May011</v>
      </c>
      <c r="D624" s="439" t="s">
        <v>63</v>
      </c>
      <c r="E624" s="439" t="s">
        <v>64</v>
      </c>
      <c r="F624" s="439" t="str" cm="1">
        <f t="array" ref="F62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624" s="439" t="s">
        <v>402</v>
      </c>
      <c r="H624" s="719" t="s">
        <v>311</v>
      </c>
      <c r="I624" s="439" t="s">
        <v>689</v>
      </c>
      <c r="J624" s="431" t="s">
        <v>96</v>
      </c>
      <c r="M624" s="431" t="s">
        <v>68</v>
      </c>
      <c r="N624" s="461">
        <v>46167</v>
      </c>
      <c r="O624" s="431" t="s">
        <v>4540</v>
      </c>
      <c r="P624" s="431" t="s">
        <v>4601</v>
      </c>
      <c r="Q624" s="431" t="s">
        <v>330</v>
      </c>
      <c r="R624" s="431" t="str">
        <f>_xlfn.XLOOKUP(PV_DATA[[#This Row],[New Ark SKU]],Table9[New Ark SKU],Table9[Connector],,0)</f>
        <v>H4(Com)</v>
      </c>
      <c r="S624" s="442" t="str">
        <f>_xlfn.XLOOKUP(PV_DATA[[#This Row],[New Ark SKU]],Table9[New Ark SKU],Table9[Cable],,0)</f>
        <v>+400mm/-200mm</v>
      </c>
      <c r="T624" s="442">
        <v>625</v>
      </c>
      <c r="U624" s="1068">
        <f>720*1</f>
        <v>720</v>
      </c>
      <c r="V624" s="444">
        <f>PV_DATA[[#This Row],[QUANTITY]]*PV_DATA[[#This Row],[WATT]]/1000000</f>
        <v>0.45</v>
      </c>
      <c r="W624" s="466">
        <f>PV_DATA[[#This Row],[QUANTITY]]/PV_DATA[[#This Row],[Qty/Pallet]]</f>
        <v>20</v>
      </c>
      <c r="X624" s="1019">
        <f>PV_DATA[[#This Row],[QUANTITY]]/PV_DATA[[#This Row],[Qty/CT]]</f>
        <v>1</v>
      </c>
      <c r="Y624" s="431" t="s">
        <v>4366</v>
      </c>
      <c r="Z624" s="430" t="str">
        <f t="shared" si="6"/>
        <v>COMPLETED</v>
      </c>
      <c r="AA624" s="431" t="s">
        <v>4989</v>
      </c>
      <c r="AB624" s="441">
        <v>46182</v>
      </c>
      <c r="AC624" s="467">
        <f>IF(PV_DATA[[#This Row],[Pick-Up Date]]&lt;&gt;"",_xlfn.ISOWEEKNUM(PV_DATA[[#This Row],[Pick-Up Date]]),"")</f>
        <v>24</v>
      </c>
      <c r="AD624" s="431" t="s">
        <v>4995</v>
      </c>
      <c r="AF624" s="431" t="s">
        <v>122</v>
      </c>
      <c r="AG624" s="431" t="s">
        <v>123</v>
      </c>
      <c r="AH624" s="431" t="s">
        <v>1561</v>
      </c>
      <c r="AI624" s="441">
        <v>46189</v>
      </c>
      <c r="AJ624" s="441">
        <v>46191</v>
      </c>
      <c r="AK624" s="441">
        <v>46191</v>
      </c>
      <c r="AL624" s="441">
        <v>46248</v>
      </c>
      <c r="AM624" s="586">
        <f>IFERROR(VLOOKUP(AT624, Vessel!A:H, 8, FALSE), "")</f>
        <v>46254.75</v>
      </c>
      <c r="AN624" s="586">
        <v>46254</v>
      </c>
      <c r="AO624" s="431" t="s">
        <v>402</v>
      </c>
      <c r="AP624" s="431" t="s">
        <v>4991</v>
      </c>
      <c r="AQ624" s="431" t="s">
        <v>80</v>
      </c>
      <c r="AR624" s="431" t="s">
        <v>4996</v>
      </c>
      <c r="AS624" s="431" t="s">
        <v>4997</v>
      </c>
      <c r="AT624" s="431" t="s">
        <v>4993</v>
      </c>
      <c r="AU62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63</v>
      </c>
      <c r="AV624" s="441"/>
      <c r="AW624" s="441" cm="1">
        <f t="array" ref="AW62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46254</v>
      </c>
      <c r="AX62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624" s="441" t="str">
        <f>IF(ISERROR(PV_DATA[[#This Row],[New Ark PO status]]),"",_xlfn.XLOOKUP(PV_DATA[[#This Row],[SPTN-PVHK New Ark PO'#]],New_Ark_Data[Purchase order Number],New_Ark_Data[Estimated time of arrival],"",0))</f>
        <v/>
      </c>
      <c r="AZ624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624" s="441">
        <f>IFERROR(PV_DATA[[#This Row],[ODP ETA Port]]+PV_DATA[[#This Row],[Customs/Leg3 Assumption]],"n/a")</f>
        <v>46264</v>
      </c>
      <c r="BB624" s="442">
        <f>YEAR(PV_DATA[[#This Row],[ETA for New Ark update]])</f>
        <v>2026</v>
      </c>
      <c r="BC624" s="431">
        <f>MONTH(PV_DATA[[#This Row],[ETA for New Ark update]])</f>
        <v>8</v>
      </c>
      <c r="BD624" s="431">
        <f>IFERROR(_xlfn.ISOWEEKNUM(PV_DATA[[#This Row],[ETA for New Ark update]]),0)</f>
        <v>35</v>
      </c>
      <c r="BE624" s="431">
        <f>_xlfn.XLOOKUP(PV_DATA[[#This Row],[New Ark SKU]],Table9[New Ark SKU],Table9[Total PCS per Pallet],,0)</f>
        <v>36</v>
      </c>
      <c r="BF624" s="431">
        <f>_xlfn.XLOOKUP(PV_DATA[[#This Row],[New Ark SKU]],Table9[New Ark SKU],Table9[Total PCS per 40HQ Container],,0)</f>
        <v>720</v>
      </c>
      <c r="BG624" s="431" t="str">
        <f>_xlfn.XLOOKUP(PV_DATA[[#This Row],[New Ark SKU]],Table9[New Ark SKU],Table9[Back Glass],,0)</f>
        <v>Transparent</v>
      </c>
      <c r="BH624" s="431" t="str">
        <f>_xlfn.XLOOKUP(PV_DATA[[#This Row],[PORT DESTINATION]],Table12[PORT DESTINATION],Table12[Cosco Line],,0)</f>
        <v>AEM</v>
      </c>
    </row>
    <row r="625" spans="1:62" s="431" customFormat="1" ht="10.5" hidden="1">
      <c r="A625" s="439" t="s">
        <v>4998</v>
      </c>
      <c r="B625" s="439" t="s">
        <v>111</v>
      </c>
      <c r="C625" s="439" t="str">
        <f>IFERROR(LEFT(PV_DATA[[#This Row],[TCL REFERENCE]],FIND(".",PV_DATA[[#This Row],[TCL REFERENCE]],1)-1),"Main Line")</f>
        <v>Main Line</v>
      </c>
      <c r="D625" s="439" t="s">
        <v>63</v>
      </c>
      <c r="E625" s="439" t="s">
        <v>64</v>
      </c>
      <c r="F625" s="439" t="str" cm="1">
        <f t="array" ref="F62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625" s="439" t="s">
        <v>402</v>
      </c>
      <c r="H625" s="439" t="s">
        <v>311</v>
      </c>
      <c r="I625" s="439" t="s">
        <v>689</v>
      </c>
      <c r="J625" s="431" t="s">
        <v>96</v>
      </c>
      <c r="M625" s="431" t="s">
        <v>68</v>
      </c>
      <c r="N625" s="461">
        <v>46174</v>
      </c>
      <c r="O625" s="431" t="s">
        <v>170</v>
      </c>
      <c r="P625" s="431" t="s">
        <v>1221</v>
      </c>
      <c r="Q625" s="431" t="s">
        <v>1222</v>
      </c>
      <c r="R625" s="431" t="str">
        <f>_xlfn.XLOOKUP(PV_DATA[[#This Row],[New Ark SKU]],Table9[New Ark SKU],Table9[Connector],,0)</f>
        <v>EVO2A</v>
      </c>
      <c r="S625" s="442" t="str">
        <f>_xlfn.XLOOKUP(PV_DATA[[#This Row],[New Ark SKU]],Table9[New Ark SKU],Table9[Cable],,0)</f>
        <v>±1500mm</v>
      </c>
      <c r="T625" s="442">
        <v>545</v>
      </c>
      <c r="U625" s="1067">
        <v>660</v>
      </c>
      <c r="V625" s="448">
        <f>PV_DATA[[#This Row],[QUANTITY]]*PV_DATA[[#This Row],[WATT]]/1000000</f>
        <v>0.35970000000000002</v>
      </c>
      <c r="W625" s="466">
        <f>PV_DATA[[#This Row],[QUANTITY]]/PV_DATA[[#This Row],[Qty/Pallet]]</f>
        <v>20</v>
      </c>
      <c r="X625" s="1019">
        <f>PV_DATA[[#This Row],[QUANTITY]]/PV_DATA[[#This Row],[Qty/CT]]</f>
        <v>1</v>
      </c>
      <c r="Y625" s="431" t="s">
        <v>4366</v>
      </c>
      <c r="Z625" s="430" t="str">
        <f t="shared" si="6"/>
        <v>COMPLETED</v>
      </c>
      <c r="AA625" s="431" t="s">
        <v>4999</v>
      </c>
      <c r="AB625" s="441">
        <v>46182</v>
      </c>
      <c r="AC625" s="467">
        <f>IF(PV_DATA[[#This Row],[Pick-Up Date]]&lt;&gt;"",_xlfn.ISOWEEKNUM(PV_DATA[[#This Row],[Pick-Up Date]]),"")</f>
        <v>24</v>
      </c>
      <c r="AD625" s="431" t="s">
        <v>5000</v>
      </c>
      <c r="AF625" s="431" t="s">
        <v>122</v>
      </c>
      <c r="AG625" s="431" t="s">
        <v>123</v>
      </c>
      <c r="AH625" s="431" t="s">
        <v>1561</v>
      </c>
      <c r="AI625" s="441">
        <v>46189</v>
      </c>
      <c r="AJ625" s="441">
        <v>46191</v>
      </c>
      <c r="AK625" s="441">
        <v>46191</v>
      </c>
      <c r="AL625" s="732">
        <v>46248</v>
      </c>
      <c r="AM625" s="586">
        <f>IFERROR(VLOOKUP(AT625, Vessel!A:H, 8, FALSE), "")</f>
        <v>46254.75</v>
      </c>
      <c r="AN625" s="586">
        <v>46254</v>
      </c>
      <c r="AO625" s="431" t="s">
        <v>402</v>
      </c>
      <c r="AP625" s="431" t="s">
        <v>4991</v>
      </c>
      <c r="AQ625" s="445" t="s">
        <v>80</v>
      </c>
      <c r="AR625" s="431" t="s">
        <v>4996</v>
      </c>
      <c r="AS625" s="431" t="s">
        <v>4997</v>
      </c>
      <c r="AT625" s="431" t="s">
        <v>4993</v>
      </c>
      <c r="AU62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63</v>
      </c>
      <c r="AW625" s="441" cm="1">
        <f t="array" ref="AW62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46254</v>
      </c>
      <c r="AX62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25" s="441">
        <f>IF(ISERROR(PV_DATA[[#This Row],[New Ark PO status]]),"",_xlfn.XLOOKUP(PV_DATA[[#This Row],[SPTN-PVHK New Ark PO'#]],New_Ark_Data[Purchase order Number],New_Ark_Data[Estimated time of arrival],"",0))</f>
        <v>46268</v>
      </c>
      <c r="AZ625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625" s="441">
        <f>IFERROR(PV_DATA[[#This Row],[ODP ETA Port]]+PV_DATA[[#This Row],[Customs/Leg3 Assumption]],"n/a")</f>
        <v>46264</v>
      </c>
      <c r="BB625" s="442">
        <f>YEAR(PV_DATA[[#This Row],[ETA for New Ark update]])</f>
        <v>2026</v>
      </c>
      <c r="BC625" s="431">
        <f>MONTH(PV_DATA[[#This Row],[ETA for New Ark update]])</f>
        <v>8</v>
      </c>
      <c r="BD625" s="431">
        <f>IFERROR(_xlfn.ISOWEEKNUM(PV_DATA[[#This Row],[ETA for New Ark update]]),0)</f>
        <v>35</v>
      </c>
      <c r="BE625" s="431">
        <f>_xlfn.XLOOKUP(PV_DATA[[#This Row],[New Ark SKU]],Table9[New Ark SKU],Table9[Total PCS per Pallet],,0)</f>
        <v>33</v>
      </c>
      <c r="BF625" s="431">
        <f>_xlfn.XLOOKUP(PV_DATA[[#This Row],[New Ark SKU]],Table9[New Ark SKU],Table9[Total PCS per 40HQ Container],,0)</f>
        <v>660</v>
      </c>
      <c r="BG625" s="431" t="str">
        <f>_xlfn.XLOOKUP(PV_DATA[[#This Row],[New Ark SKU]],Table9[New Ark SKU],Table9[Back Glass],,0)</f>
        <v>White glazing</v>
      </c>
      <c r="BH625" s="431" t="str">
        <f>_xlfn.XLOOKUP(PV_DATA[[#This Row],[PORT DESTINATION]],Table12[PORT DESTINATION],Table12[Cosco Line],,0)</f>
        <v>AEM</v>
      </c>
    </row>
    <row r="626" spans="1:62" s="431" customFormat="1" ht="10.5" hidden="1">
      <c r="A626" s="439" t="s">
        <v>5001</v>
      </c>
      <c r="B626" s="439" t="s">
        <v>61</v>
      </c>
      <c r="C626" s="439" t="s">
        <v>4911</v>
      </c>
      <c r="D626" s="439" t="s">
        <v>63</v>
      </c>
      <c r="E626" s="439" t="s">
        <v>64</v>
      </c>
      <c r="F626" s="439" t="s">
        <v>65</v>
      </c>
      <c r="G626" s="439" t="s">
        <v>402</v>
      </c>
      <c r="H626" s="439" t="s">
        <v>67</v>
      </c>
      <c r="I626" s="439" t="s">
        <v>689</v>
      </c>
      <c r="J626" s="431" t="s">
        <v>96</v>
      </c>
      <c r="M626" s="431" t="s">
        <v>68</v>
      </c>
      <c r="N626" s="461">
        <v>46153</v>
      </c>
      <c r="O626" s="431" t="s">
        <v>4540</v>
      </c>
      <c r="P626" s="431" t="s">
        <v>71</v>
      </c>
      <c r="Q626" s="431" t="s">
        <v>72</v>
      </c>
      <c r="R626" s="431" t="str">
        <f>_xlfn.XLOOKUP(PV_DATA[[#This Row],[New Ark SKU]],Table9[New Ark SKU],Table9[Connector],,0)</f>
        <v>EVO2A</v>
      </c>
      <c r="S626" s="442" t="str">
        <f>_xlfn.XLOOKUP(PV_DATA[[#This Row],[New Ark SKU]],Table9[New Ark SKU],Table9[Cable],,0)</f>
        <v>±1200mm</v>
      </c>
      <c r="T626" s="442">
        <v>500</v>
      </c>
      <c r="U626" s="1067">
        <v>1728</v>
      </c>
      <c r="V626" s="448">
        <f>PV_DATA[[#This Row],[QUANTITY]]*PV_DATA[[#This Row],[WATT]]/1000000</f>
        <v>0.86399999999999999</v>
      </c>
      <c r="W626" s="466">
        <f>PV_DATA[[#This Row],[QUANTITY]]/PV_DATA[[#This Row],[Qty/Pallet]]</f>
        <v>48</v>
      </c>
      <c r="X626" s="1019">
        <v>2</v>
      </c>
      <c r="Y626" s="431" t="s">
        <v>4366</v>
      </c>
      <c r="Z626" s="430" t="str">
        <f t="shared" si="6"/>
        <v>COMPLETED</v>
      </c>
      <c r="AA626" s="431" t="s">
        <v>4882</v>
      </c>
      <c r="AB626" s="441">
        <v>46185</v>
      </c>
      <c r="AC626" s="467">
        <f>IF(PV_DATA[[#This Row],[Pick-Up Date]]&lt;&gt;"",_xlfn.ISOWEEKNUM(PV_DATA[[#This Row],[Pick-Up Date]]),"")</f>
        <v>24</v>
      </c>
      <c r="AD626" s="431" t="s">
        <v>5002</v>
      </c>
      <c r="AF626" s="431" t="s">
        <v>61</v>
      </c>
      <c r="AG626" s="431" t="s">
        <v>61</v>
      </c>
      <c r="AH626" s="431" t="s">
        <v>78</v>
      </c>
      <c r="AI626" s="441">
        <v>46193</v>
      </c>
      <c r="AJ626" s="441"/>
      <c r="AK626" s="441">
        <v>46195</v>
      </c>
      <c r="AL626" s="441">
        <v>46252</v>
      </c>
      <c r="AM626" s="586">
        <f>IFERROR(VLOOKUP(AT626, Vessel!A:H, 8, FALSE), "")</f>
        <v>46261.25</v>
      </c>
      <c r="AN626" s="586">
        <v>46261</v>
      </c>
      <c r="AO626" s="431" t="s">
        <v>402</v>
      </c>
      <c r="AP626" s="431" t="s">
        <v>5003</v>
      </c>
      <c r="AQ626" s="431" t="s">
        <v>80</v>
      </c>
      <c r="AR626" s="431" t="s">
        <v>5004</v>
      </c>
      <c r="AS626" s="431" t="s">
        <v>5005</v>
      </c>
      <c r="AT626" s="431" t="s">
        <v>5005</v>
      </c>
      <c r="AU62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66</v>
      </c>
      <c r="AV626" s="441"/>
      <c r="AW626" s="441" cm="1">
        <f t="array" ref="AW62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46261</v>
      </c>
      <c r="AX62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26" s="441">
        <f>IF(ISERROR(PV_DATA[[#This Row],[New Ark PO status]]),"",_xlfn.XLOOKUP(PV_DATA[[#This Row],[SPTN-PVHK New Ark PO'#]],New_Ark_Data[Purchase order Number],New_Ark_Data[Estimated time of arrival],"",0))</f>
        <v>46273</v>
      </c>
      <c r="AZ626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26" s="441">
        <f>IFERROR(PV_DATA[[#This Row],[ODP ETA Port]]+PV_DATA[[#This Row],[Customs/Leg3 Assumption]],"n/a")</f>
        <v>46269</v>
      </c>
      <c r="BB626" s="442">
        <f>YEAR(PV_DATA[[#This Row],[ETA for New Ark update]])</f>
        <v>2026</v>
      </c>
      <c r="BC626" s="431">
        <f>MONTH(PV_DATA[[#This Row],[ETA for New Ark update]])</f>
        <v>9</v>
      </c>
      <c r="BD626" s="431">
        <f>IFERROR(_xlfn.ISOWEEKNUM(PV_DATA[[#This Row],[ETA for New Ark update]]),0)</f>
        <v>36</v>
      </c>
      <c r="BE626" s="431">
        <f>_xlfn.XLOOKUP(PV_DATA[[#This Row],[New Ark SKU]],Table9[New Ark SKU],Table9[Total PCS per Pallet],,0)</f>
        <v>36</v>
      </c>
      <c r="BF626" s="431">
        <f>_xlfn.XLOOKUP(PV_DATA[[#This Row],[New Ark SKU]],Table9[New Ark SKU],Table9[Total PCS per 40HQ Container],,0)</f>
        <v>864</v>
      </c>
      <c r="BG626" s="431" t="str">
        <f>_xlfn.XLOOKUP(PV_DATA[[#This Row],[New Ark SKU]],Table9[New Ark SKU],Table9[Back Glass],,0)</f>
        <v>Black glazing</v>
      </c>
      <c r="BH626" s="431" t="str">
        <f>_xlfn.XLOOKUP(PV_DATA[[#This Row],[PORT DESTINATION]],Table12[PORT DESTINATION],Table12[Cosco Line],,0)</f>
        <v>AEM</v>
      </c>
    </row>
    <row r="627" spans="1:62" s="431" customFormat="1" ht="10.5" hidden="1">
      <c r="A627" s="439" t="s">
        <v>5006</v>
      </c>
      <c r="B627" s="439" t="s">
        <v>61</v>
      </c>
      <c r="C627" s="439" t="str">
        <f>IFERROR(LEFT(PV_DATA[[#This Row],[TCL REFERENCE]],FIND(".",PV_DATA[[#This Row],[TCL REFERENCE]],1)-1),"Main Line")</f>
        <v>26May009</v>
      </c>
      <c r="D627" s="439" t="s">
        <v>63</v>
      </c>
      <c r="E627" s="439" t="s">
        <v>64</v>
      </c>
      <c r="F627" s="439" t="str" cm="1">
        <f t="array" ref="F62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27" s="439" t="s">
        <v>402</v>
      </c>
      <c r="H627" s="439" t="s">
        <v>67</v>
      </c>
      <c r="I627" s="439" t="s">
        <v>689</v>
      </c>
      <c r="J627" s="431" t="s">
        <v>96</v>
      </c>
      <c r="M627" s="431" t="s">
        <v>68</v>
      </c>
      <c r="N627" s="461">
        <v>46153</v>
      </c>
      <c r="O627" s="431" t="s">
        <v>4540</v>
      </c>
      <c r="P627" s="431" t="s">
        <v>71</v>
      </c>
      <c r="Q627" s="431" t="s">
        <v>72</v>
      </c>
      <c r="R627" s="431" t="str">
        <f>_xlfn.XLOOKUP(PV_DATA[[#This Row],[New Ark SKU]],Table9[New Ark SKU],Table9[Connector],,0)</f>
        <v>EVO2A</v>
      </c>
      <c r="S627" s="442" t="str">
        <f>_xlfn.XLOOKUP(PV_DATA[[#This Row],[New Ark SKU]],Table9[New Ark SKU],Table9[Cable],,0)</f>
        <v>±1200mm</v>
      </c>
      <c r="T627" s="442">
        <v>500</v>
      </c>
      <c r="U627" s="1067">
        <f>864*3</f>
        <v>2592</v>
      </c>
      <c r="V627" s="448">
        <f>PV_DATA[[#This Row],[QUANTITY]]*PV_DATA[[#This Row],[WATT]]/1000000</f>
        <v>1.296</v>
      </c>
      <c r="W627" s="466">
        <f>PV_DATA[[#This Row],[QUANTITY]]/PV_DATA[[#This Row],[Qty/Pallet]]</f>
        <v>72</v>
      </c>
      <c r="X627" s="1019">
        <f>PV_DATA[[#This Row],[QUANTITY]]/PV_DATA[[#This Row],[Qty/CT]]</f>
        <v>3</v>
      </c>
      <c r="Y627" s="447" t="s">
        <v>4366</v>
      </c>
      <c r="Z627" s="430" t="str">
        <f t="shared" ref="Z627:Z690" si="7">IF(AN627&lt;&gt;"","COMPLETED",IF(AK627&lt;&gt;"","IN-TRANSIT",""))</f>
        <v>COMPLETED</v>
      </c>
      <c r="AA627" s="431" t="s">
        <v>4970</v>
      </c>
      <c r="AB627" s="441">
        <v>46185</v>
      </c>
      <c r="AC627" s="467">
        <f>IF(PV_DATA[[#This Row],[Pick-Up Date]]&lt;&gt;"",_xlfn.ISOWEEKNUM(PV_DATA[[#This Row],[Pick-Up Date]]),"")</f>
        <v>24</v>
      </c>
      <c r="AD627" s="431" t="s">
        <v>5007</v>
      </c>
      <c r="AF627" s="447" t="s">
        <v>61</v>
      </c>
      <c r="AG627" s="447" t="s">
        <v>61</v>
      </c>
      <c r="AH627" s="431" t="s">
        <v>78</v>
      </c>
      <c r="AI627" s="441">
        <v>46193</v>
      </c>
      <c r="AJ627" s="441"/>
      <c r="AK627" s="441">
        <v>46195</v>
      </c>
      <c r="AL627" s="441">
        <v>46258</v>
      </c>
      <c r="AM627" s="586">
        <f>IFERROR(VLOOKUP(AT627, Vessel!A:H, 8, FALSE), "")</f>
        <v>46271.25</v>
      </c>
      <c r="AN627" s="586">
        <f>IF(VLOOKUP(AT627, Vessel!A:I, 9, FALSE)=0, "", VLOOKUP(AT627, Vessel!A:I, 9, FALSE))</f>
        <v>46271.279085648152</v>
      </c>
      <c r="AO627" s="431" t="s">
        <v>402</v>
      </c>
      <c r="AP627" s="431" t="s">
        <v>5003</v>
      </c>
      <c r="AQ627" s="431" t="s">
        <v>80</v>
      </c>
      <c r="AR627" s="431" t="s">
        <v>5008</v>
      </c>
      <c r="AS627" s="431" t="s">
        <v>5009</v>
      </c>
      <c r="AT627" s="431" t="s">
        <v>5009</v>
      </c>
      <c r="AU62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76.279085648151522</v>
      </c>
      <c r="AV627" s="441"/>
      <c r="AW627" s="441" cm="1">
        <f t="array" ref="AW62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46271.279085648152</v>
      </c>
      <c r="AX62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27" s="441">
        <f>IF(ISERROR(PV_DATA[[#This Row],[New Ark PO status]]),"",_xlfn.XLOOKUP(PV_DATA[[#This Row],[SPTN-PVHK New Ark PO'#]],New_Ark_Data[Purchase order Number],New_Ark_Data[Estimated time of arrival],"",0))</f>
        <v>46283</v>
      </c>
      <c r="AZ627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27" s="441">
        <f>IFERROR(PV_DATA[[#This Row],[ODP ETA Port]]+PV_DATA[[#This Row],[Customs/Leg3 Assumption]],"n/a")</f>
        <v>46279.279085648152</v>
      </c>
      <c r="BB627" s="442">
        <f>YEAR(PV_DATA[[#This Row],[ETA for New Ark update]])</f>
        <v>2026</v>
      </c>
      <c r="BC627" s="431">
        <f>MONTH(PV_DATA[[#This Row],[ETA for New Ark update]])</f>
        <v>9</v>
      </c>
      <c r="BD627" s="431">
        <f>IFERROR(_xlfn.ISOWEEKNUM(PV_DATA[[#This Row],[ETA for New Ark update]]),0)</f>
        <v>38</v>
      </c>
      <c r="BE627" s="431">
        <f>_xlfn.XLOOKUP(PV_DATA[[#This Row],[New Ark SKU]],Table9[New Ark SKU],Table9[Total PCS per Pallet],,0)</f>
        <v>36</v>
      </c>
      <c r="BF627" s="431">
        <f>_xlfn.XLOOKUP(PV_DATA[[#This Row],[New Ark SKU]],Table9[New Ark SKU],Table9[Total PCS per 40HQ Container],,0)</f>
        <v>864</v>
      </c>
      <c r="BG627" s="431" t="str">
        <f>_xlfn.XLOOKUP(PV_DATA[[#This Row],[New Ark SKU]],Table9[New Ark SKU],Table9[Back Glass],,0)</f>
        <v>Black glazing</v>
      </c>
      <c r="BH627" s="431" t="str">
        <f>_xlfn.XLOOKUP(PV_DATA[[#This Row],[PORT DESTINATION]],Table12[PORT DESTINATION],Table12[Cosco Line],,0)</f>
        <v>AEM</v>
      </c>
    </row>
    <row r="628" spans="1:62" s="431" customFormat="1" ht="10.5" hidden="1">
      <c r="A628" s="439" t="s">
        <v>5010</v>
      </c>
      <c r="B628" s="439" t="s">
        <v>61</v>
      </c>
      <c r="C628" s="439" t="s">
        <v>4897</v>
      </c>
      <c r="D628" s="439" t="s">
        <v>63</v>
      </c>
      <c r="E628" s="439" t="s">
        <v>144</v>
      </c>
      <c r="F628" s="439" t="s">
        <v>145</v>
      </c>
      <c r="G628" s="439" t="s">
        <v>402</v>
      </c>
      <c r="H628" s="439" t="s">
        <v>1449</v>
      </c>
      <c r="I628" s="439" t="s">
        <v>689</v>
      </c>
      <c r="J628" s="431" t="s">
        <v>4628</v>
      </c>
      <c r="K628" s="431" t="s">
        <v>4629</v>
      </c>
      <c r="L628" s="431">
        <v>1</v>
      </c>
      <c r="M628" s="431" t="s">
        <v>840</v>
      </c>
      <c r="N628" s="461">
        <v>45809</v>
      </c>
      <c r="O628" s="431" t="s">
        <v>4540</v>
      </c>
      <c r="P628" s="431" t="s">
        <v>195</v>
      </c>
      <c r="Q628" s="431" t="s">
        <v>196</v>
      </c>
      <c r="R628" s="431" t="str">
        <f>_xlfn.XLOOKUP(PV_DATA[[#This Row],[New Ark SKU]],Table9[New Ark SKU],Table9[Connector],,0)</f>
        <v>EVO2A</v>
      </c>
      <c r="S628" s="442" t="str">
        <f>_xlfn.XLOOKUP(PV_DATA[[#This Row],[New Ark SKU]],Table9[New Ark SKU],Table9[Cable],,0)</f>
        <v>±1200mm</v>
      </c>
      <c r="T628" s="442">
        <v>450</v>
      </c>
      <c r="U628" s="1067">
        <v>4680</v>
      </c>
      <c r="V628" s="448">
        <f>PV_DATA[[#This Row],[QUANTITY]]*PV_DATA[[#This Row],[WATT]]/1000000</f>
        <v>2.1059999999999999</v>
      </c>
      <c r="W628" s="466">
        <f>PV_DATA[[#This Row],[QUANTITY]]/PV_DATA[[#This Row],[Qty/Pallet]]</f>
        <v>130</v>
      </c>
      <c r="X628" s="1019">
        <v>5</v>
      </c>
      <c r="Y628" s="431" t="s">
        <v>951</v>
      </c>
      <c r="Z628" s="430" t="str">
        <f t="shared" si="7"/>
        <v>COMPLETED</v>
      </c>
      <c r="AA628" s="431" t="s">
        <v>4898</v>
      </c>
      <c r="AB628" s="441">
        <v>46182</v>
      </c>
      <c r="AC628" s="467">
        <f>IF(PV_DATA[[#This Row],[Pick-Up Date]]&lt;&gt;"",_xlfn.ISOWEEKNUM(PV_DATA[[#This Row],[Pick-Up Date]]),"")</f>
        <v>24</v>
      </c>
      <c r="AD628" s="431" t="s">
        <v>5011</v>
      </c>
      <c r="AF628" s="431" t="s">
        <v>61</v>
      </c>
      <c r="AG628" s="431" t="s">
        <v>61</v>
      </c>
      <c r="AH628" s="431" t="s">
        <v>105</v>
      </c>
      <c r="AI628" s="441">
        <v>46186</v>
      </c>
      <c r="AJ628" s="441"/>
      <c r="AK628" s="441">
        <v>46187</v>
      </c>
      <c r="AL628" s="441">
        <v>46238</v>
      </c>
      <c r="AM628" s="586" t="str">
        <f>IFERROR(VLOOKUP(AT628, Vessel!A:H, 8, FALSE), "")</f>
        <v/>
      </c>
      <c r="AN628" s="441">
        <v>46244</v>
      </c>
      <c r="AO628" s="431" t="s">
        <v>402</v>
      </c>
      <c r="AP628" s="431" t="s">
        <v>4941</v>
      </c>
      <c r="AQ628" s="431" t="s">
        <v>161</v>
      </c>
      <c r="AR628" s="431" t="s">
        <v>5012</v>
      </c>
      <c r="AS628" s="431" t="s">
        <v>5013</v>
      </c>
      <c r="AT628" s="431" t="s">
        <v>5013</v>
      </c>
      <c r="AU62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</v>
      </c>
      <c r="AV628" s="441"/>
      <c r="AW628" s="441" cm="1">
        <f t="array" ref="AW62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46244</v>
      </c>
      <c r="AX62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28" s="441">
        <f>IF(ISERROR(PV_DATA[[#This Row],[New Ark PO status]]),"",_xlfn.XLOOKUP(PV_DATA[[#This Row],[SPTN-PVHK New Ark PO'#]],New_Ark_Data[Purchase order Number],New_Ark_Data[Estimated time of arrival],"",0))</f>
        <v>46238</v>
      </c>
      <c r="AZ628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28" s="441">
        <f>IFERROR(PV_DATA[[#This Row],[ODP ETA Port]]+PV_DATA[[#This Row],[Customs/Leg3 Assumption]],"n/a")</f>
        <v>46244</v>
      </c>
      <c r="BB628" s="442">
        <f>YEAR(PV_DATA[[#This Row],[ETA for New Ark update]])</f>
        <v>2026</v>
      </c>
      <c r="BC628" s="431">
        <f>MONTH(PV_DATA[[#This Row],[ETA for New Ark update]])</f>
        <v>8</v>
      </c>
      <c r="BD628" s="431">
        <f>IFERROR(_xlfn.ISOWEEKNUM(PV_DATA[[#This Row],[ETA for New Ark update]]),0)</f>
        <v>33</v>
      </c>
      <c r="BE628" s="431">
        <f>_xlfn.XLOOKUP(PV_DATA[[#This Row],[New Ark SKU]],Table9[New Ark SKU],Table9[Total PCS per Pallet],,0)</f>
        <v>36</v>
      </c>
      <c r="BF628" s="431">
        <f>_xlfn.XLOOKUP(PV_DATA[[#This Row],[New Ark SKU]],Table9[New Ark SKU],Table9[Total PCS per 40HQ Container],,0)</f>
        <v>936</v>
      </c>
      <c r="BG628" s="431" t="str">
        <f>_xlfn.XLOOKUP(PV_DATA[[#This Row],[New Ark SKU]],Table9[New Ark SKU],Table9[Back Glass],,0)</f>
        <v>Black glazing</v>
      </c>
      <c r="BH628" s="431" t="str">
        <f>_xlfn.XLOOKUP(PV_DATA[[#This Row],[PORT DESTINATION]],Table12[PORT DESTINATION],Table12[Cosco Line],,0)</f>
        <v>AEU</v>
      </c>
    </row>
    <row r="629" spans="1:62" s="431" customFormat="1" ht="10.5" hidden="1">
      <c r="A629" s="439" t="s">
        <v>5014</v>
      </c>
      <c r="B629" s="439" t="s">
        <v>61</v>
      </c>
      <c r="C629" s="439" t="str">
        <f>IFERROR(LEFT(PV_DATA[[#This Row],[TCL REFERENCE]],FIND(".",PV_DATA[[#This Row],[TCL REFERENCE]],1)-1),"Main Line")</f>
        <v>26May007</v>
      </c>
      <c r="D629" s="439" t="s">
        <v>63</v>
      </c>
      <c r="E629" s="439" t="s">
        <v>64</v>
      </c>
      <c r="F629" s="439" t="str" cm="1">
        <f t="array" ref="F62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629" s="439" t="s">
        <v>402</v>
      </c>
      <c r="H629" s="439" t="s">
        <v>451</v>
      </c>
      <c r="I629" s="439" t="s">
        <v>689</v>
      </c>
      <c r="J629" s="431" t="s">
        <v>96</v>
      </c>
      <c r="M629" s="431" t="s">
        <v>68</v>
      </c>
      <c r="N629" s="461">
        <v>45809</v>
      </c>
      <c r="O629" s="431" t="s">
        <v>4540</v>
      </c>
      <c r="P629" s="431" t="s">
        <v>195</v>
      </c>
      <c r="Q629" s="431" t="s">
        <v>196</v>
      </c>
      <c r="R629" s="431" t="str">
        <f>_xlfn.XLOOKUP(PV_DATA[[#This Row],[New Ark SKU]],Table9[New Ark SKU],Table9[Connector],,0)</f>
        <v>EVO2A</v>
      </c>
      <c r="S629" s="442" t="str">
        <f>_xlfn.XLOOKUP(PV_DATA[[#This Row],[New Ark SKU]],Table9[New Ark SKU],Table9[Cable],,0)</f>
        <v>±1200mm</v>
      </c>
      <c r="T629" s="442">
        <v>450</v>
      </c>
      <c r="U629" s="1067">
        <v>936</v>
      </c>
      <c r="V629" s="448">
        <f>PV_DATA[[#This Row],[QUANTITY]]*PV_DATA[[#This Row],[WATT]]/1000000</f>
        <v>0.42120000000000002</v>
      </c>
      <c r="W629" s="466">
        <f>PV_DATA[[#This Row],[QUANTITY]]/PV_DATA[[#This Row],[Qty/Pallet]]</f>
        <v>26</v>
      </c>
      <c r="X629" s="1019">
        <f>PV_DATA[[#This Row],[QUANTITY]]/PV_DATA[[#This Row],[Qty/CT]]</f>
        <v>1</v>
      </c>
      <c r="Y629" s="431" t="s">
        <v>4366</v>
      </c>
      <c r="Z629" s="430" t="str">
        <f t="shared" si="7"/>
        <v>COMPLETED</v>
      </c>
      <c r="AA629" s="431" t="s">
        <v>4898</v>
      </c>
      <c r="AB629" s="441">
        <v>46184</v>
      </c>
      <c r="AC629" s="467">
        <f>IF(PV_DATA[[#This Row],[Pick-Up Date]]&lt;&gt;"",_xlfn.ISOWEEKNUM(PV_DATA[[#This Row],[Pick-Up Date]]),"")</f>
        <v>24</v>
      </c>
      <c r="AD629" s="431" t="s">
        <v>5015</v>
      </c>
      <c r="AF629" s="431" t="s">
        <v>61</v>
      </c>
      <c r="AG629" s="431" t="s">
        <v>61</v>
      </c>
      <c r="AH629" s="431" t="s">
        <v>456</v>
      </c>
      <c r="AI629" s="441">
        <v>46193</v>
      </c>
      <c r="AJ629" s="441"/>
      <c r="AK629" s="441">
        <v>46195</v>
      </c>
      <c r="AL629" s="441">
        <v>46243</v>
      </c>
      <c r="AM629" s="586">
        <f>IFERROR(VLOOKUP(AT629, Vessel!A:H, 8, FALSE), "")</f>
        <v>46244.40625</v>
      </c>
      <c r="AN629" s="586">
        <v>46244.405787037038</v>
      </c>
      <c r="AO629" s="431" t="s">
        <v>402</v>
      </c>
      <c r="AP629" s="431" t="s">
        <v>5003</v>
      </c>
      <c r="AQ629" s="445" t="s">
        <v>80</v>
      </c>
      <c r="AR629" s="431" t="s">
        <v>5016</v>
      </c>
      <c r="AS629" s="431" t="s">
        <v>5017</v>
      </c>
      <c r="AT629" s="431" t="s">
        <v>5017</v>
      </c>
      <c r="AU62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49.405787037037953</v>
      </c>
      <c r="AW629" s="441" cm="1">
        <f t="array" ref="AW62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46244.405787037038</v>
      </c>
      <c r="AX62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29" s="441">
        <f>IF(ISERROR(PV_DATA[[#This Row],[New Ark PO status]]),"",_xlfn.XLOOKUP(PV_DATA[[#This Row],[SPTN-PVHK New Ark PO'#]],New_Ark_Data[Purchase order Number],New_Ark_Data[Estimated time of arrival],"",0))</f>
        <v>46258</v>
      </c>
      <c r="AZ629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629" s="441">
        <f>IFERROR(PV_DATA[[#This Row],[ODP ETA Port]]+PV_DATA[[#This Row],[Customs/Leg3 Assumption]],"n/a")</f>
        <v>46251.405787037038</v>
      </c>
      <c r="BB629" s="442">
        <f>YEAR(PV_DATA[[#This Row],[ETA for New Ark update]])</f>
        <v>2026</v>
      </c>
      <c r="BC629" s="431">
        <f>MONTH(PV_DATA[[#This Row],[ETA for New Ark update]])</f>
        <v>8</v>
      </c>
      <c r="BD629" s="431">
        <f>IFERROR(_xlfn.ISOWEEKNUM(PV_DATA[[#This Row],[ETA for New Ark update]]),0)</f>
        <v>34</v>
      </c>
      <c r="BE629" s="431">
        <f>_xlfn.XLOOKUP(PV_DATA[[#This Row],[New Ark SKU]],Table9[New Ark SKU],Table9[Total PCS per Pallet],,0)</f>
        <v>36</v>
      </c>
      <c r="BF629" s="431">
        <f>_xlfn.XLOOKUP(PV_DATA[[#This Row],[New Ark SKU]],Table9[New Ark SKU],Table9[Total PCS per 40HQ Container],,0)</f>
        <v>936</v>
      </c>
      <c r="BG629" s="431" t="str">
        <f>_xlfn.XLOOKUP(PV_DATA[[#This Row],[New Ark SKU]],Table9[New Ark SKU],Table9[Back Glass],,0)</f>
        <v>Black glazing</v>
      </c>
      <c r="BH629" s="431" t="str">
        <f>_xlfn.XLOOKUP(PV_DATA[[#This Row],[PORT DESTINATION]],Table12[PORT DESTINATION],Table12[Cosco Line],,0)</f>
        <v>AEU</v>
      </c>
    </row>
    <row r="630" spans="1:62" s="431" customFormat="1" ht="10.5" hidden="1">
      <c r="A630" s="439" t="s">
        <v>5018</v>
      </c>
      <c r="B630" s="439" t="s">
        <v>61</v>
      </c>
      <c r="C630" s="439" t="str">
        <f>IFERROR(LEFT(PV_DATA[[#This Row],[TCL REFERENCE]],FIND(".",PV_DATA[[#This Row],[TCL REFERENCE]],1)-1),"Main Line")</f>
        <v>26May007</v>
      </c>
      <c r="D630" s="439" t="s">
        <v>63</v>
      </c>
      <c r="E630" s="439" t="s">
        <v>144</v>
      </c>
      <c r="F630" s="439" t="str" cm="1">
        <f t="array" ref="F63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30" s="439" t="s">
        <v>402</v>
      </c>
      <c r="H630" s="719" t="s">
        <v>1449</v>
      </c>
      <c r="I630" s="439" t="s">
        <v>689</v>
      </c>
      <c r="J630" s="431" t="s">
        <v>4628</v>
      </c>
      <c r="K630" s="431" t="s">
        <v>4629</v>
      </c>
      <c r="L630" s="431">
        <v>1</v>
      </c>
      <c r="M630" s="431" t="s">
        <v>840</v>
      </c>
      <c r="N630" s="461">
        <v>45809</v>
      </c>
      <c r="O630" s="431" t="s">
        <v>4540</v>
      </c>
      <c r="P630" s="431" t="s">
        <v>195</v>
      </c>
      <c r="Q630" s="431" t="s">
        <v>196</v>
      </c>
      <c r="R630" s="431" t="str">
        <f>_xlfn.XLOOKUP(PV_DATA[[#This Row],[New Ark SKU]],Table9[New Ark SKU],Table9[Connector],,0)</f>
        <v>EVO2A</v>
      </c>
      <c r="S630" s="442" t="str">
        <f>_xlfn.XLOOKUP(PV_DATA[[#This Row],[New Ark SKU]],Table9[New Ark SKU],Table9[Cable],,0)</f>
        <v>±1200mm</v>
      </c>
      <c r="T630" s="442">
        <v>450</v>
      </c>
      <c r="U630" s="1067">
        <v>3744</v>
      </c>
      <c r="V630" s="444">
        <f>PV_DATA[[#This Row],[QUANTITY]]*PV_DATA[[#This Row],[WATT]]/1000000</f>
        <v>1.6848000000000001</v>
      </c>
      <c r="W630" s="466">
        <f>PV_DATA[[#This Row],[QUANTITY]]/PV_DATA[[#This Row],[Qty/Pallet]]</f>
        <v>104</v>
      </c>
      <c r="X630" s="1019">
        <f>PV_DATA[[#This Row],[QUANTITY]]/PV_DATA[[#This Row],[Qty/CT]]</f>
        <v>4</v>
      </c>
      <c r="Y630" s="431" t="s">
        <v>4365</v>
      </c>
      <c r="Z630" s="430" t="str">
        <f t="shared" si="7"/>
        <v>COMPLETED</v>
      </c>
      <c r="AA630" s="431" t="s">
        <v>4898</v>
      </c>
      <c r="AB630" s="441">
        <v>46184</v>
      </c>
      <c r="AC630" s="467">
        <f>IF(PV_DATA[[#This Row],[Pick-Up Date]]&lt;&gt;"",_xlfn.ISOWEEKNUM(PV_DATA[[#This Row],[Pick-Up Date]]),"")</f>
        <v>24</v>
      </c>
      <c r="AD630" s="431" t="s">
        <v>5019</v>
      </c>
      <c r="AF630" s="431" t="s">
        <v>61</v>
      </c>
      <c r="AG630" s="431" t="s">
        <v>61</v>
      </c>
      <c r="AH630" s="431" t="s">
        <v>105</v>
      </c>
      <c r="AI630" s="441">
        <v>46193</v>
      </c>
      <c r="AJ630" s="441"/>
      <c r="AK630" s="441">
        <v>46195</v>
      </c>
      <c r="AL630" s="441">
        <v>46232</v>
      </c>
      <c r="AM630" s="441">
        <f>IFERROR(IF(VLOOKUP(AT630, Vessel!A:H, 8, FALSE)=0, "", VLOOKUP(AT630, Vessel!A:H, 8, FALSE)), "")</f>
        <v>46240.020833333336</v>
      </c>
      <c r="AN630" s="586">
        <v>46240.041226851848</v>
      </c>
      <c r="AO630" s="431" t="s">
        <v>402</v>
      </c>
      <c r="AP630" s="431" t="s">
        <v>5003</v>
      </c>
      <c r="AQ630" s="445" t="s">
        <v>80</v>
      </c>
      <c r="AR630" s="431" t="s">
        <v>5020</v>
      </c>
      <c r="AS630" s="431" t="s">
        <v>5021</v>
      </c>
      <c r="AT630" s="431" t="s">
        <v>5021</v>
      </c>
      <c r="AU63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45.041226851848478</v>
      </c>
      <c r="AV630" s="441"/>
      <c r="AW630" s="441" cm="1">
        <f t="array" ref="AW63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46240.041226851848</v>
      </c>
      <c r="AX63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30" s="441">
        <f>IF(ISERROR(PV_DATA[[#This Row],[New Ark PO status]]),"",_xlfn.XLOOKUP(PV_DATA[[#This Row],[SPTN-PVHK New Ark PO'#]],New_Ark_Data[Purchase order Number],New_Ark_Data[Estimated time of arrival],"",0))</f>
        <v>46232</v>
      </c>
      <c r="AZ630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30" s="441">
        <f>IFERROR(PV_DATA[[#This Row],[ODP ETA Port]]+PV_DATA[[#This Row],[Customs/Leg3 Assumption]],"n/a")</f>
        <v>46240.041226851848</v>
      </c>
      <c r="BB630" s="442">
        <f>YEAR(PV_DATA[[#This Row],[ETA for New Ark update]])</f>
        <v>2026</v>
      </c>
      <c r="BC630" s="431">
        <f>MONTH(PV_DATA[[#This Row],[ETA for New Ark update]])</f>
        <v>8</v>
      </c>
      <c r="BD630" s="431">
        <f>IFERROR(_xlfn.ISOWEEKNUM(PV_DATA[[#This Row],[ETA for New Ark update]]),0)</f>
        <v>32</v>
      </c>
      <c r="BE630" s="431">
        <f>_xlfn.XLOOKUP(PV_DATA[[#This Row],[New Ark SKU]],Table9[New Ark SKU],Table9[Total PCS per Pallet],,0)</f>
        <v>36</v>
      </c>
      <c r="BF630" s="431">
        <f>_xlfn.XLOOKUP(PV_DATA[[#This Row],[New Ark SKU]],Table9[New Ark SKU],Table9[Total PCS per 40HQ Container],,0)</f>
        <v>936</v>
      </c>
      <c r="BG630" s="431" t="str">
        <f>_xlfn.XLOOKUP(PV_DATA[[#This Row],[New Ark SKU]],Table9[New Ark SKU],Table9[Back Glass],,0)</f>
        <v>Black glazing</v>
      </c>
      <c r="BH630" s="431" t="str">
        <f>_xlfn.XLOOKUP(PV_DATA[[#This Row],[PORT DESTINATION]],Table12[PORT DESTINATION],Table12[Cosco Line],,0)</f>
        <v>AEU</v>
      </c>
    </row>
    <row r="631" spans="1:62" s="431" customFormat="1" ht="10.5" hidden="1">
      <c r="A631" s="439" t="s">
        <v>5022</v>
      </c>
      <c r="B631" s="439" t="s">
        <v>61</v>
      </c>
      <c r="C631" s="439" t="s">
        <v>4897</v>
      </c>
      <c r="D631" s="439" t="s">
        <v>63</v>
      </c>
      <c r="E631" s="439" t="s">
        <v>64</v>
      </c>
      <c r="F631" s="439" t="s">
        <v>100</v>
      </c>
      <c r="G631" s="439" t="s">
        <v>402</v>
      </c>
      <c r="H631" s="439" t="s">
        <v>67</v>
      </c>
      <c r="I631" s="439" t="s">
        <v>689</v>
      </c>
      <c r="J631" s="431" t="s">
        <v>96</v>
      </c>
      <c r="M631" s="431" t="s">
        <v>68</v>
      </c>
      <c r="N631" s="461"/>
      <c r="O631" s="431" t="s">
        <v>4540</v>
      </c>
      <c r="P631" s="431" t="s">
        <v>195</v>
      </c>
      <c r="Q631" s="431" t="s">
        <v>196</v>
      </c>
      <c r="R631" s="431" t="str">
        <f>_xlfn.XLOOKUP(PV_DATA[[#This Row],[New Ark SKU]],Table9[New Ark SKU],Table9[Connector],,0)</f>
        <v>EVO2A</v>
      </c>
      <c r="S631" s="442" t="str">
        <f>_xlfn.XLOOKUP(PV_DATA[[#This Row],[New Ark SKU]],Table9[New Ark SKU],Table9[Cable],,0)</f>
        <v>±1200mm</v>
      </c>
      <c r="T631" s="442">
        <v>450</v>
      </c>
      <c r="U631" s="1067">
        <v>936</v>
      </c>
      <c r="V631" s="444">
        <v>0.42120000000000002</v>
      </c>
      <c r="W631" s="466">
        <v>26</v>
      </c>
      <c r="X631" s="1019">
        <v>1</v>
      </c>
      <c r="Y631" s="431" t="s">
        <v>4365</v>
      </c>
      <c r="Z631" s="430" t="str">
        <f t="shared" si="7"/>
        <v>COMPLETED</v>
      </c>
      <c r="AA631" s="431" t="s">
        <v>4898</v>
      </c>
      <c r="AB631" s="441">
        <v>46184</v>
      </c>
      <c r="AC631" s="467">
        <f>IF(PV_DATA[[#This Row],[Pick-Up Date]]&lt;&gt;"",_xlfn.ISOWEEKNUM(PV_DATA[[#This Row],[Pick-Up Date]]),"")</f>
        <v>24</v>
      </c>
      <c r="AD631" s="431" t="s">
        <v>5023</v>
      </c>
      <c r="AF631" s="431" t="s">
        <v>61</v>
      </c>
      <c r="AG631" s="431" t="s">
        <v>61</v>
      </c>
      <c r="AH631" s="431" t="s">
        <v>105</v>
      </c>
      <c r="AI631" s="441">
        <v>46193</v>
      </c>
      <c r="AJ631" s="441"/>
      <c r="AK631" s="441">
        <v>46195</v>
      </c>
      <c r="AL631" s="441">
        <v>46232</v>
      </c>
      <c r="AM631" s="441">
        <f>IFERROR(IF(VLOOKUP(AT631, Vessel!A:H, 8, FALSE)=0, "", VLOOKUP(AT631, Vessel!A:H, 8, FALSE)), "")</f>
        <v>46240.020833333336</v>
      </c>
      <c r="AN631" s="586">
        <v>46240.041226851848</v>
      </c>
      <c r="AO631" s="431" t="s">
        <v>402</v>
      </c>
      <c r="AP631" s="431" t="s">
        <v>5003</v>
      </c>
      <c r="AQ631" s="445" t="s">
        <v>80</v>
      </c>
      <c r="AR631" s="431" t="s">
        <v>5024</v>
      </c>
      <c r="AS631" s="431" t="s">
        <v>5025</v>
      </c>
      <c r="AT631" s="431" t="s">
        <v>5025</v>
      </c>
      <c r="AU63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45.041226851848478</v>
      </c>
      <c r="AV631" s="441"/>
      <c r="AW631" s="441" cm="1">
        <f t="array" ref="AW63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46240.041226851848</v>
      </c>
      <c r="AX63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31" s="441">
        <f>IF(ISERROR(PV_DATA[[#This Row],[New Ark PO status]]),"",_xlfn.XLOOKUP(PV_DATA[[#This Row],[SPTN-PVHK New Ark PO'#]],New_Ark_Data[Purchase order Number],New_Ark_Data[Estimated time of arrival],"",0))</f>
        <v>46253</v>
      </c>
      <c r="AZ631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631" s="441">
        <f>IFERROR(PV_DATA[[#This Row],[ODP ETA Port]]+PV_DATA[[#This Row],[Customs/Leg3 Assumption]],"n/a")</f>
        <v>46247.041226851848</v>
      </c>
      <c r="BB631" s="442">
        <f>YEAR(PV_DATA[[#This Row],[ETA for New Ark update]])</f>
        <v>2026</v>
      </c>
      <c r="BC631" s="431">
        <f>MONTH(PV_DATA[[#This Row],[ETA for New Ark update]])</f>
        <v>8</v>
      </c>
      <c r="BD631" s="431">
        <f>IFERROR(_xlfn.ISOWEEKNUM(PV_DATA[[#This Row],[ETA for New Ark update]]),0)</f>
        <v>33</v>
      </c>
      <c r="BE631" s="431">
        <f>_xlfn.XLOOKUP(PV_DATA[[#This Row],[New Ark SKU]],Table9[New Ark SKU],Table9[Total PCS per Pallet],,0)</f>
        <v>36</v>
      </c>
      <c r="BF631" s="431">
        <f>_xlfn.XLOOKUP(PV_DATA[[#This Row],[New Ark SKU]],Table9[New Ark SKU],Table9[Total PCS per 40HQ Container],,0)</f>
        <v>936</v>
      </c>
      <c r="BG631" s="431" t="str">
        <f>_xlfn.XLOOKUP(PV_DATA[[#This Row],[New Ark SKU]],Table9[New Ark SKU],Table9[Back Glass],,0)</f>
        <v>Black glazing</v>
      </c>
      <c r="BH631" s="431" t="str">
        <f>_xlfn.XLOOKUP(PV_DATA[[#This Row],[PORT DESTINATION]],Table12[PORT DESTINATION],Table12[Cosco Line],,0)</f>
        <v>AEU</v>
      </c>
    </row>
    <row r="632" spans="1:62" s="450" customFormat="1" ht="10.5" hidden="1">
      <c r="A632" s="446" t="s">
        <v>5026</v>
      </c>
      <c r="B632" s="446" t="s">
        <v>61</v>
      </c>
      <c r="C632" s="446" t="str">
        <f>IFERROR(LEFT(PV_DATA[[#This Row],[TCL REFERENCE]],FIND(".",PV_DATA[[#This Row],[TCL REFERENCE]],1)-1),"Main Line")</f>
        <v>26May010</v>
      </c>
      <c r="D632" s="446" t="s">
        <v>63</v>
      </c>
      <c r="E632" s="446" t="s">
        <v>64</v>
      </c>
      <c r="F632" s="446" t="str" cm="1">
        <f t="array" ref="F63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632" s="446" t="s">
        <v>402</v>
      </c>
      <c r="H632" s="446" t="s">
        <v>115</v>
      </c>
      <c r="I632" s="446" t="s">
        <v>822</v>
      </c>
      <c r="J632" s="450" t="s">
        <v>5027</v>
      </c>
      <c r="K632" s="537"/>
      <c r="M632" s="451" t="s">
        <v>68</v>
      </c>
      <c r="N632" s="451"/>
      <c r="O632" s="450" t="s">
        <v>4540</v>
      </c>
      <c r="P632" s="450" t="s">
        <v>1151</v>
      </c>
      <c r="Q632" s="450" t="s">
        <v>421</v>
      </c>
      <c r="R632" s="450" t="str">
        <f>_xlfn.XLOOKUP(PV_DATA[[#This Row],[New Ark SKU]],Table9[New Ark SKU],Table9[Connector],,0)</f>
        <v>EVO2A</v>
      </c>
      <c r="S632" s="442" t="str">
        <f>_xlfn.XLOOKUP(PV_DATA[[#This Row],[New Ark SKU]],Table9[New Ark SKU],Table9[Cable],,0)</f>
        <v>±1200mm</v>
      </c>
      <c r="T632" s="452">
        <v>505</v>
      </c>
      <c r="U632" s="1063">
        <v>864</v>
      </c>
      <c r="V632" s="453">
        <f>PV_DATA[[#This Row],[QUANTITY]]*PV_DATA[[#This Row],[WATT]]/1000000</f>
        <v>0.43631999999999999</v>
      </c>
      <c r="W632" s="454">
        <f>PV_DATA[[#This Row],[QUANTITY]]/PV_DATA[[#This Row],[Qty/Pallet]]</f>
        <v>24</v>
      </c>
      <c r="X632" s="1020">
        <f>PV_DATA[[#This Row],[QUANTITY]]/PV_DATA[[#This Row],[Qty/CT]]</f>
        <v>1</v>
      </c>
      <c r="Y632" s="450" t="s">
        <v>4366</v>
      </c>
      <c r="Z632" s="430" t="str">
        <f t="shared" si="7"/>
        <v>COMPLETED</v>
      </c>
      <c r="AA632" s="450" t="s">
        <v>4588</v>
      </c>
      <c r="AB632" s="455">
        <v>46185</v>
      </c>
      <c r="AC632" s="471">
        <f>IF(PV_DATA[[#This Row],[Pick-Up Date]]&lt;&gt;"",_xlfn.ISOWEEKNUM(PV_DATA[[#This Row],[Pick-Up Date]]),"")</f>
        <v>24</v>
      </c>
      <c r="AD632" s="431" t="s">
        <v>5028</v>
      </c>
      <c r="AF632" s="450" t="s">
        <v>61</v>
      </c>
      <c r="AG632" s="450" t="s">
        <v>61</v>
      </c>
      <c r="AH632" s="450" t="s">
        <v>124</v>
      </c>
      <c r="AI632" s="455">
        <v>46193</v>
      </c>
      <c r="AJ632" s="455"/>
      <c r="AK632" s="455">
        <v>46195</v>
      </c>
      <c r="AL632" s="455">
        <v>46249</v>
      </c>
      <c r="AM632" s="587">
        <f>IFERROR(VLOOKUP(AT632, Vessel!A:H, 8, FALSE), "")</f>
        <v>46258.375</v>
      </c>
      <c r="AN632" s="587">
        <f>IF(VLOOKUP(AT632, Vessel!A:I, 9, FALSE)=0, "", VLOOKUP(AT632, Vessel!A:I, 9, FALSE))</f>
        <v>46258.289537037039</v>
      </c>
      <c r="AO632" s="450" t="s">
        <v>402</v>
      </c>
      <c r="AP632" s="450" t="s">
        <v>5003</v>
      </c>
      <c r="AQ632" s="456" t="s">
        <v>80</v>
      </c>
      <c r="AR632" s="450" t="s">
        <v>5029</v>
      </c>
      <c r="AS632" s="450" t="s">
        <v>5030</v>
      </c>
      <c r="AT632" s="450" t="s">
        <v>5030</v>
      </c>
      <c r="AU63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63.289537037038826</v>
      </c>
      <c r="AV632" s="455"/>
      <c r="AW632" s="455" cm="1">
        <f t="array" ref="AW63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46258.289537037039</v>
      </c>
      <c r="AX63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32" s="455">
        <f>IF(ISERROR(PV_DATA[[#This Row],[New Ark PO status]]),"",_xlfn.XLOOKUP(PV_DATA[[#This Row],[SPTN-PVHK New Ark PO'#]],New_Ark_Data[Purchase order Number],New_Ark_Data[Estimated time of arrival],"",0))</f>
        <v>46272</v>
      </c>
      <c r="AZ632" s="45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632" s="455">
        <f>IFERROR(PV_DATA[[#This Row],[ODP ETA Port]]+PV_DATA[[#This Row],[Customs/Leg3 Assumption]],"n/a")</f>
        <v>46267.289537037039</v>
      </c>
      <c r="BB632" s="452">
        <f>YEAR(PV_DATA[[#This Row],[ETA for New Ark update]])</f>
        <v>2026</v>
      </c>
      <c r="BC632" s="450">
        <f>MONTH(PV_DATA[[#This Row],[ETA for New Ark update]])</f>
        <v>9</v>
      </c>
      <c r="BD632" s="450">
        <f>IFERROR(_xlfn.ISOWEEKNUM(PV_DATA[[#This Row],[ETA for New Ark update]]),0)</f>
        <v>36</v>
      </c>
      <c r="BE632" s="450">
        <f>_xlfn.XLOOKUP(PV_DATA[[#This Row],[New Ark SKU]],Table9[New Ark SKU],Table9[Total PCS per Pallet],,0)</f>
        <v>36</v>
      </c>
      <c r="BF632" s="450">
        <f>_xlfn.XLOOKUP(PV_DATA[[#This Row],[New Ark SKU]],Table9[New Ark SKU],Table9[Total PCS per 40HQ Container],,0)</f>
        <v>864</v>
      </c>
      <c r="BG632" s="431" t="str">
        <f>_xlfn.XLOOKUP(PV_DATA[[#This Row],[New Ark SKU]],Table9[New Ark SKU],Table9[Back Glass],,0)</f>
        <v>Black glazing</v>
      </c>
      <c r="BH632" s="450" t="str">
        <f>_xlfn.XLOOKUP(PV_DATA[[#This Row],[PORT DESTINATION]],Table12[PORT DESTINATION],Table12[Cosco Line],,0)</f>
        <v>AEM</v>
      </c>
    </row>
    <row r="633" spans="1:62" s="450" customFormat="1" ht="10.5" hidden="1">
      <c r="A633" s="446" t="s">
        <v>5031</v>
      </c>
      <c r="B633" s="446" t="s">
        <v>61</v>
      </c>
      <c r="C633" s="446" t="str">
        <f>IFERROR(LEFT(PV_DATA[[#This Row],[TCL REFERENCE]],FIND(".",PV_DATA[[#This Row],[TCL REFERENCE]],1)-1),"Main Line")</f>
        <v>26May010</v>
      </c>
      <c r="D633" s="446" t="s">
        <v>63</v>
      </c>
      <c r="E633" s="446" t="s">
        <v>64</v>
      </c>
      <c r="F633" s="446" t="str" cm="1">
        <f t="array" ref="F63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633" s="446" t="s">
        <v>402</v>
      </c>
      <c r="H633" s="446" t="s">
        <v>115</v>
      </c>
      <c r="I633" s="446" t="s">
        <v>822</v>
      </c>
      <c r="J633" s="450" t="s">
        <v>5027</v>
      </c>
      <c r="K633" s="537"/>
      <c r="M633" s="451" t="s">
        <v>68</v>
      </c>
      <c r="N633" s="451"/>
      <c r="O633" s="450" t="s">
        <v>4540</v>
      </c>
      <c r="P633" s="450" t="s">
        <v>1151</v>
      </c>
      <c r="Q633" s="450" t="s">
        <v>421</v>
      </c>
      <c r="R633" s="450" t="str">
        <f>_xlfn.XLOOKUP(PV_DATA[[#This Row],[New Ark SKU]],Table9[New Ark SKU],Table9[Connector],,0)</f>
        <v>EVO2A</v>
      </c>
      <c r="S633" s="442" t="str">
        <f>_xlfn.XLOOKUP(PV_DATA[[#This Row],[New Ark SKU]],Table9[New Ark SKU],Table9[Cable],,0)</f>
        <v>±1200mm</v>
      </c>
      <c r="T633" s="452">
        <v>505</v>
      </c>
      <c r="U633" s="1063">
        <v>864</v>
      </c>
      <c r="V633" s="453">
        <f>PV_DATA[[#This Row],[QUANTITY]]*PV_DATA[[#This Row],[WATT]]/1000000</f>
        <v>0.43631999999999999</v>
      </c>
      <c r="W633" s="454">
        <f>PV_DATA[[#This Row],[QUANTITY]]/PV_DATA[[#This Row],[Qty/Pallet]]</f>
        <v>24</v>
      </c>
      <c r="X633" s="1020">
        <f>PV_DATA[[#This Row],[QUANTITY]]/PV_DATA[[#This Row],[Qty/CT]]</f>
        <v>1</v>
      </c>
      <c r="Y633" s="450" t="s">
        <v>4366</v>
      </c>
      <c r="Z633" s="430" t="str">
        <f t="shared" si="7"/>
        <v>COMPLETED</v>
      </c>
      <c r="AA633" s="450" t="s">
        <v>4588</v>
      </c>
      <c r="AB633" s="455">
        <v>46184</v>
      </c>
      <c r="AC633" s="471">
        <f>IF(PV_DATA[[#This Row],[Pick-Up Date]]&lt;&gt;"",_xlfn.ISOWEEKNUM(PV_DATA[[#This Row],[Pick-Up Date]]),"")</f>
        <v>24</v>
      </c>
      <c r="AD633" s="431" t="s">
        <v>5032</v>
      </c>
      <c r="AF633" s="450" t="s">
        <v>61</v>
      </c>
      <c r="AG633" s="450" t="s">
        <v>61</v>
      </c>
      <c r="AH633" s="450" t="s">
        <v>124</v>
      </c>
      <c r="AI633" s="455">
        <v>46193</v>
      </c>
      <c r="AJ633" s="455"/>
      <c r="AK633" s="455">
        <v>46195</v>
      </c>
      <c r="AL633" s="455">
        <v>46255</v>
      </c>
      <c r="AM633" s="587">
        <f>IFERROR(VLOOKUP(AT633, Vessel!A:H, 8, FALSE), "")</f>
        <v>46275.083333333336</v>
      </c>
      <c r="AN633" s="587">
        <f>IF(VLOOKUP(AT633, Vessel!A:I, 9, FALSE)=0, "", VLOOKUP(AT633, Vessel!A:I, 9, FALSE))</f>
        <v>46275.045995370368</v>
      </c>
      <c r="AO633" s="450" t="s">
        <v>402</v>
      </c>
      <c r="AP633" s="450" t="s">
        <v>5003</v>
      </c>
      <c r="AQ633" s="456" t="s">
        <v>80</v>
      </c>
      <c r="AR633" s="450" t="s">
        <v>5033</v>
      </c>
      <c r="AS633" s="450" t="s">
        <v>5034</v>
      </c>
      <c r="AT633" s="450" t="s">
        <v>5034</v>
      </c>
      <c r="AU63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80.045995370368473</v>
      </c>
      <c r="AV633" s="455"/>
      <c r="AW633" s="455" cm="1">
        <f t="array" ref="AW63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46275.045995370368</v>
      </c>
      <c r="AX63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33" s="455">
        <f>IF(ISERROR(PV_DATA[[#This Row],[New Ark PO status]]),"",_xlfn.XLOOKUP(PV_DATA[[#This Row],[SPTN-PVHK New Ark PO'#]],New_Ark_Data[Purchase order Number],New_Ark_Data[Estimated time of arrival],"",0))</f>
        <v>46283</v>
      </c>
      <c r="AZ633" s="45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633" s="455">
        <f>IFERROR(PV_DATA[[#This Row],[ODP ETA Port]]+PV_DATA[[#This Row],[Customs/Leg3 Assumption]],"n/a")</f>
        <v>46284.045995370368</v>
      </c>
      <c r="BB633" s="452">
        <f>YEAR(PV_DATA[[#This Row],[ETA for New Ark update]])</f>
        <v>2026</v>
      </c>
      <c r="BC633" s="450">
        <f>MONTH(PV_DATA[[#This Row],[ETA for New Ark update]])</f>
        <v>9</v>
      </c>
      <c r="BD633" s="450">
        <f>IFERROR(_xlfn.ISOWEEKNUM(PV_DATA[[#This Row],[ETA for New Ark update]]),0)</f>
        <v>38</v>
      </c>
      <c r="BE633" s="450">
        <f>_xlfn.XLOOKUP(PV_DATA[[#This Row],[New Ark SKU]],Table9[New Ark SKU],Table9[Total PCS per Pallet],,0)</f>
        <v>36</v>
      </c>
      <c r="BF633" s="450">
        <f>_xlfn.XLOOKUP(PV_DATA[[#This Row],[New Ark SKU]],Table9[New Ark SKU],Table9[Total PCS per 40HQ Container],,0)</f>
        <v>864</v>
      </c>
      <c r="BG633" s="431" t="str">
        <f>_xlfn.XLOOKUP(PV_DATA[[#This Row],[New Ark SKU]],Table9[New Ark SKU],Table9[Back Glass],,0)</f>
        <v>Black glazing</v>
      </c>
      <c r="BH633" s="450" t="str">
        <f>_xlfn.XLOOKUP(PV_DATA[[#This Row],[PORT DESTINATION]],Table12[PORT DESTINATION],Table12[Cosco Line],,0)</f>
        <v>AEM</v>
      </c>
    </row>
    <row r="634" spans="1:62" ht="10.5" hidden="1">
      <c r="A634" s="462" t="s">
        <v>5035</v>
      </c>
      <c r="B634" s="462" t="s">
        <v>111</v>
      </c>
      <c r="C634" s="462" t="str">
        <f>IFERROR(LEFT(PV_DATA[[#This Row],[TCL REFERENCE]],FIND(".",PV_DATA[[#This Row],[TCL REFERENCE]],1)-1),"Main Line")</f>
        <v>Main Line</v>
      </c>
      <c r="D634" s="462" t="s">
        <v>63</v>
      </c>
      <c r="E634" s="462" t="s">
        <v>144</v>
      </c>
      <c r="F634" s="462" t="str" cm="1">
        <f t="array" ref="F63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34" s="462" t="s">
        <v>68</v>
      </c>
      <c r="H634" s="462" t="s">
        <v>68</v>
      </c>
      <c r="I634" s="462" t="s">
        <v>68</v>
      </c>
      <c r="J634" s="430" t="s">
        <v>949</v>
      </c>
      <c r="K634" s="430"/>
      <c r="L634" s="430"/>
      <c r="M634" s="430" t="s">
        <v>68</v>
      </c>
      <c r="N634" s="432" t="s">
        <v>68</v>
      </c>
      <c r="O634" s="430" t="s">
        <v>70</v>
      </c>
      <c r="P634" s="430" t="s">
        <v>5036</v>
      </c>
      <c r="Q634" s="430" t="s">
        <v>886</v>
      </c>
      <c r="R634" s="430" t="str">
        <f>_xlfn.XLOOKUP(PV_DATA[[#This Row],[New Ark SKU]],Table9[New Ark SKU],Table9[Connector],,0)</f>
        <v>EVO2A</v>
      </c>
      <c r="S634" s="442" t="str">
        <f>_xlfn.XLOOKUP(PV_DATA[[#This Row],[New Ark SKU]],Table9[New Ark SKU],Table9[Cable],,0)</f>
        <v>±1400mm</v>
      </c>
      <c r="T634" s="433">
        <v>615</v>
      </c>
      <c r="U634" s="1062" cm="1">
        <f t="array" ref="U634">720-fx_qty</f>
        <v>720</v>
      </c>
      <c r="V634" s="434">
        <f>PV_DATA[[#This Row],[QUANTITY]]*PV_DATA[[#This Row],[WATT]]/1000000</f>
        <v>0.44280000000000003</v>
      </c>
      <c r="W634" s="435">
        <f>PV_DATA[[#This Row],[QUANTITY]]/PV_DATA[[#This Row],[Qty/Pallet]]</f>
        <v>20</v>
      </c>
      <c r="X634" s="1015">
        <f>PV_DATA[[#This Row],[QUANTITY]]/PV_DATA[[#This Row],[Qty/CT]]</f>
        <v>1</v>
      </c>
      <c r="Y634" s="430" t="s">
        <v>75</v>
      </c>
      <c r="Z634" s="430" t="str">
        <f t="shared" si="7"/>
        <v>COMPLETED</v>
      </c>
      <c r="AA634" s="430"/>
      <c r="AB634" s="437">
        <v>46124</v>
      </c>
      <c r="AC634" s="485">
        <f>IF(PV_DATA[[#This Row],[Pick-Up Date]]&lt;&gt;"",_xlfn.ISOWEEKNUM(PV_DATA[[#This Row],[Pick-Up Date]]),"")</f>
        <v>15</v>
      </c>
      <c r="AD634" s="430" t="s">
        <v>5037</v>
      </c>
      <c r="AE634" s="430" t="s">
        <v>5037</v>
      </c>
      <c r="AF634" s="430" t="s">
        <v>122</v>
      </c>
      <c r="AG634" s="430" t="s">
        <v>123</v>
      </c>
      <c r="AH634" s="430" t="s">
        <v>5038</v>
      </c>
      <c r="AI634" s="437">
        <v>46128</v>
      </c>
      <c r="AJ634" s="437">
        <v>46131</v>
      </c>
      <c r="AK634" s="437">
        <v>46130</v>
      </c>
      <c r="AL634" s="437">
        <v>46163</v>
      </c>
      <c r="AM634" s="437">
        <v>46163</v>
      </c>
      <c r="AN634" s="437">
        <v>46166</v>
      </c>
      <c r="AO634" s="430" t="s">
        <v>156</v>
      </c>
      <c r="AP634" s="430" t="s">
        <v>5039</v>
      </c>
      <c r="AQ634" s="430" t="s">
        <v>161</v>
      </c>
      <c r="AR634" s="430" t="s">
        <v>5037</v>
      </c>
      <c r="AS634" s="430">
        <v>269217776</v>
      </c>
      <c r="AT634" s="430">
        <v>269217776</v>
      </c>
      <c r="AU63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36</v>
      </c>
      <c r="AV634" s="437"/>
      <c r="AW634" s="437" cm="1">
        <f t="array" ref="AW63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46166</v>
      </c>
      <c r="AX63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634" s="437" t="str">
        <f>IF(ISERROR(PV_DATA[[#This Row],[New Ark PO status]]),"",_xlfn.XLOOKUP(PV_DATA[[#This Row],[SPTN-PVHK New Ark PO'#]],New_Ark_Data[Purchase order Number],New_Ark_Data[Estimated time of arrival],"",0))</f>
        <v/>
      </c>
      <c r="AZ634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34" s="437">
        <f>IFERROR(PV_DATA[[#This Row],[ODP ETA Port]]+PV_DATA[[#This Row],[Customs/Leg3 Assumption]],"n/a")</f>
        <v>46166</v>
      </c>
      <c r="BB634" s="433">
        <f>YEAR(PV_DATA[[#This Row],[ETA for New Ark update]])</f>
        <v>2026</v>
      </c>
      <c r="BC634" s="430">
        <f>MONTH(PV_DATA[[#This Row],[ETA for New Ark update]])</f>
        <v>5</v>
      </c>
      <c r="BD634" s="430">
        <f>IFERROR(_xlfn.ISOWEEKNUM(PV_DATA[[#This Row],[ETA for New Ark update]]),0)</f>
        <v>21</v>
      </c>
      <c r="BE634" s="430">
        <f>_xlfn.XLOOKUP(PV_DATA[[#This Row],[New Ark SKU]],Table9[New Ark SKU],Table9[Total PCS per Pallet],,0)</f>
        <v>36</v>
      </c>
      <c r="BF634" s="430">
        <f>_xlfn.XLOOKUP(PV_DATA[[#This Row],[New Ark SKU]],Table9[New Ark SKU],Table9[Total PCS per 40HQ Container],,0)</f>
        <v>720</v>
      </c>
      <c r="BG634" s="431" t="str">
        <f>_xlfn.XLOOKUP(PV_DATA[[#This Row],[New Ark SKU]],Table9[New Ark SKU],Table9[Back Glass],,0)</f>
        <v>Transparent</v>
      </c>
      <c r="BH634" s="430" t="str">
        <f>_xlfn.XLOOKUP(PV_DATA[[#This Row],[PORT DESTINATION]],Table12[PORT DESTINATION],Table12[Cosco Line],,0)</f>
        <v>n/a</v>
      </c>
      <c r="BJ634" s="430"/>
    </row>
    <row r="635" spans="1:62" ht="10.5" hidden="1">
      <c r="A635" s="462" t="s">
        <v>5040</v>
      </c>
      <c r="B635" s="462" t="s">
        <v>1757</v>
      </c>
      <c r="C635" s="462" t="str">
        <f>IFERROR(LEFT(PV_DATA[[#This Row],[TCL REFERENCE]],FIND(".",PV_DATA[[#This Row],[TCL REFERENCE]],1)-1),"Main Line")</f>
        <v>26Jun011</v>
      </c>
      <c r="D635" s="462" t="s">
        <v>63</v>
      </c>
      <c r="E635" s="462" t="s">
        <v>64</v>
      </c>
      <c r="F635" s="462" t="str" cm="1">
        <f t="array" ref="F63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35" s="462" t="s">
        <v>402</v>
      </c>
      <c r="H635" s="462" t="s">
        <v>67</v>
      </c>
      <c r="I635" s="462" t="s">
        <v>689</v>
      </c>
      <c r="J635" s="430" t="s">
        <v>96</v>
      </c>
      <c r="K635" s="430"/>
      <c r="L635" s="430"/>
      <c r="M635" s="430" t="s">
        <v>68</v>
      </c>
      <c r="N635" s="432">
        <v>46195</v>
      </c>
      <c r="O635" s="430" t="s">
        <v>4540</v>
      </c>
      <c r="P635" s="430" t="s">
        <v>71</v>
      </c>
      <c r="Q635" s="430" t="s">
        <v>72</v>
      </c>
      <c r="R635" s="430" t="str">
        <f>_xlfn.XLOOKUP(PV_DATA[[#This Row],[New Ark SKU]],Table9[New Ark SKU],Table9[Connector],,0)</f>
        <v>EVO2A</v>
      </c>
      <c r="S635" s="442" t="str">
        <f>_xlfn.XLOOKUP(PV_DATA[[#This Row],[New Ark SKU]],Table9[New Ark SKU],Table9[Cable],,0)</f>
        <v>±1200mm</v>
      </c>
      <c r="T635" s="433">
        <v>500</v>
      </c>
      <c r="U635" s="1062">
        <v>5184</v>
      </c>
      <c r="V635" s="434">
        <f>PV_DATA[[#This Row],[QUANTITY]]*PV_DATA[[#This Row],[WATT]]/1000000</f>
        <v>2.5920000000000001</v>
      </c>
      <c r="W635" s="435">
        <f>PV_DATA[[#This Row],[QUANTITY]]/PV_DATA[[#This Row],[Qty/Pallet]]</f>
        <v>144</v>
      </c>
      <c r="X635" s="1015">
        <f>PV_DATA[[#This Row],[QUANTITY]]/PV_DATA[[#This Row],[Qty/CT]]</f>
        <v>6</v>
      </c>
      <c r="Y635" s="430" t="s">
        <v>4367</v>
      </c>
      <c r="Z635" s="430" t="str">
        <f t="shared" si="7"/>
        <v>COMPLETED</v>
      </c>
      <c r="AA635" s="430" t="s">
        <v>5041</v>
      </c>
      <c r="AB635" s="543">
        <v>46194</v>
      </c>
      <c r="AC635" s="485">
        <f>IF(PV_DATA[[#This Row],[Pick-Up Date]]&lt;&gt;"",_xlfn.ISOWEEKNUM(PV_DATA[[#This Row],[Pick-Up Date]]),"")</f>
        <v>25</v>
      </c>
      <c r="AD635" s="430" t="s">
        <v>5042</v>
      </c>
      <c r="AE635" s="430"/>
      <c r="AF635" s="459" t="s">
        <v>5043</v>
      </c>
      <c r="AG635" s="459" t="s">
        <v>123</v>
      </c>
      <c r="AH635" s="430" t="s">
        <v>78</v>
      </c>
      <c r="AI635" s="437">
        <v>46198</v>
      </c>
      <c r="AK635" s="437">
        <v>46199</v>
      </c>
      <c r="AL635" s="437">
        <v>46246</v>
      </c>
      <c r="AN635" s="437">
        <v>46246</v>
      </c>
      <c r="AO635" s="430" t="s">
        <v>402</v>
      </c>
      <c r="AP635" s="430" t="s">
        <v>5044</v>
      </c>
      <c r="AQ635" s="430" t="s">
        <v>161</v>
      </c>
      <c r="AR635" s="430" t="s">
        <v>5045</v>
      </c>
      <c r="AS635" s="430">
        <v>271866464</v>
      </c>
      <c r="AT635" s="430">
        <v>271866464</v>
      </c>
      <c r="AU63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V635" s="437"/>
      <c r="AW635" s="437" cm="1">
        <f t="array" ref="AW63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46246</v>
      </c>
      <c r="AX63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35" s="437">
        <f>IF(ISERROR(PV_DATA[[#This Row],[New Ark PO status]]),"",_xlfn.XLOOKUP(PV_DATA[[#This Row],[SPTN-PVHK New Ark PO'#]],New_Ark_Data[Purchase order Number],New_Ark_Data[Estimated time of arrival],"",0))</f>
        <v>46260</v>
      </c>
      <c r="AZ635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35" s="437">
        <f>IFERROR(PV_DATA[[#This Row],[ODP ETA Port]]+PV_DATA[[#This Row],[Customs/Leg3 Assumption]],"n/a")</f>
        <v>46254</v>
      </c>
      <c r="BB635" s="433">
        <f>YEAR(PV_DATA[[#This Row],[ETA for New Ark update]])</f>
        <v>2026</v>
      </c>
      <c r="BC635" s="430">
        <f>MONTH(PV_DATA[[#This Row],[ETA for New Ark update]])</f>
        <v>8</v>
      </c>
      <c r="BD635" s="430">
        <f>IFERROR(_xlfn.ISOWEEKNUM(PV_DATA[[#This Row],[ETA for New Ark update]]),0)</f>
        <v>34</v>
      </c>
      <c r="BE635" s="430">
        <f>_xlfn.XLOOKUP(PV_DATA[[#This Row],[New Ark SKU]],Table9[New Ark SKU],Table9[Total PCS per Pallet],,0)</f>
        <v>36</v>
      </c>
      <c r="BF635" s="430">
        <f>_xlfn.XLOOKUP(PV_DATA[[#This Row],[New Ark SKU]],Table9[New Ark SKU],Table9[Total PCS per 40HQ Container],,0)</f>
        <v>864</v>
      </c>
      <c r="BG635" s="431" t="str">
        <f>_xlfn.XLOOKUP(PV_DATA[[#This Row],[New Ark SKU]],Table9[New Ark SKU],Table9[Back Glass],,0)</f>
        <v>Black glazing</v>
      </c>
      <c r="BH635" s="430" t="str">
        <f>_xlfn.XLOOKUP(PV_DATA[[#This Row],[PORT DESTINATION]],Table12[PORT DESTINATION],Table12[Cosco Line],,0)</f>
        <v>AEM</v>
      </c>
      <c r="BJ635" s="430"/>
    </row>
    <row r="636" spans="1:62" ht="10.5" hidden="1">
      <c r="A636" s="462" t="s">
        <v>5046</v>
      </c>
      <c r="B636" s="462" t="s">
        <v>1757</v>
      </c>
      <c r="C636" s="462" t="str">
        <f>IFERROR(LEFT(PV_DATA[[#This Row],[TCL REFERENCE]],FIND(".",PV_DATA[[#This Row],[TCL REFERENCE]],1)-1),"Main Line")</f>
        <v>26Jun012</v>
      </c>
      <c r="D636" s="462" t="s">
        <v>63</v>
      </c>
      <c r="E636" s="462" t="s">
        <v>64</v>
      </c>
      <c r="F636" s="462" t="str" cm="1">
        <f t="array" ref="F63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36" s="462" t="s">
        <v>402</v>
      </c>
      <c r="H636" s="462" t="s">
        <v>67</v>
      </c>
      <c r="I636" s="462" t="s">
        <v>689</v>
      </c>
      <c r="J636" s="430" t="s">
        <v>96</v>
      </c>
      <c r="K636" s="430"/>
      <c r="L636" s="430"/>
      <c r="M636" s="430" t="s">
        <v>68</v>
      </c>
      <c r="N636" s="432">
        <v>46195</v>
      </c>
      <c r="O636" s="430" t="s">
        <v>4540</v>
      </c>
      <c r="P636" s="430" t="s">
        <v>1151</v>
      </c>
      <c r="Q636" s="430" t="s">
        <v>421</v>
      </c>
      <c r="R636" s="430" t="str">
        <f>_xlfn.XLOOKUP(PV_DATA[[#This Row],[New Ark SKU]],Table9[New Ark SKU],Table9[Connector],,0)</f>
        <v>EVO2A</v>
      </c>
      <c r="S636" s="442" t="str">
        <f>_xlfn.XLOOKUP(PV_DATA[[#This Row],[New Ark SKU]],Table9[New Ark SKU],Table9[Cable],,0)</f>
        <v>±1200mm</v>
      </c>
      <c r="T636" s="433">
        <v>505</v>
      </c>
      <c r="U636" s="1062">
        <f>864*6</f>
        <v>5184</v>
      </c>
      <c r="V636" s="434">
        <f>PV_DATA[[#This Row],[QUANTITY]]*PV_DATA[[#This Row],[WATT]]/1000000</f>
        <v>2.6179199999999998</v>
      </c>
      <c r="W636" s="435">
        <f>PV_DATA[[#This Row],[QUANTITY]]/PV_DATA[[#This Row],[Qty/Pallet]]</f>
        <v>144</v>
      </c>
      <c r="X636" s="1015">
        <f>PV_DATA[[#This Row],[QUANTITY]]/PV_DATA[[#This Row],[Qty/CT]]</f>
        <v>6</v>
      </c>
      <c r="Y636" s="430" t="s">
        <v>4368</v>
      </c>
      <c r="Z636" s="430" t="str">
        <f t="shared" si="7"/>
        <v>COMPLETED</v>
      </c>
      <c r="AA636" s="430" t="s">
        <v>5047</v>
      </c>
      <c r="AB636" s="543">
        <v>46194</v>
      </c>
      <c r="AC636" s="485">
        <f>IF(PV_DATA[[#This Row],[Pick-Up Date]]&lt;&gt;"",_xlfn.ISOWEEKNUM(PV_DATA[[#This Row],[Pick-Up Date]]),"")</f>
        <v>25</v>
      </c>
      <c r="AD636" s="430" t="s">
        <v>5048</v>
      </c>
      <c r="AE636" s="430"/>
      <c r="AF636" s="459" t="s">
        <v>5043</v>
      </c>
      <c r="AG636" s="459" t="s">
        <v>123</v>
      </c>
      <c r="AH636" s="430" t="s">
        <v>78</v>
      </c>
      <c r="AI636" s="437">
        <v>46198</v>
      </c>
      <c r="AK636" s="437">
        <v>46199</v>
      </c>
      <c r="AL636" s="437">
        <v>46246</v>
      </c>
      <c r="AN636" s="437">
        <v>46246</v>
      </c>
      <c r="AO636" s="430" t="s">
        <v>402</v>
      </c>
      <c r="AP636" s="430" t="s">
        <v>5044</v>
      </c>
      <c r="AQ636" s="430" t="s">
        <v>161</v>
      </c>
      <c r="AR636" s="430" t="s">
        <v>5045</v>
      </c>
      <c r="AS636" s="430">
        <v>271866464</v>
      </c>
      <c r="AT636" s="430">
        <v>271866464</v>
      </c>
      <c r="AU63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V636" s="437"/>
      <c r="AW636" s="437" cm="1">
        <f t="array" ref="AW63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46246</v>
      </c>
      <c r="AX63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36" s="437">
        <f>IF(ISERROR(PV_DATA[[#This Row],[New Ark PO status]]),"",_xlfn.XLOOKUP(PV_DATA[[#This Row],[SPTN-PVHK New Ark PO'#]],New_Ark_Data[Purchase order Number],New_Ark_Data[Estimated time of arrival],"",0))</f>
        <v>46260</v>
      </c>
      <c r="AZ636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36" s="437">
        <f>IFERROR(PV_DATA[[#This Row],[ODP ETA Port]]+PV_DATA[[#This Row],[Customs/Leg3 Assumption]],"n/a")</f>
        <v>46254</v>
      </c>
      <c r="BB636" s="433">
        <f>YEAR(PV_DATA[[#This Row],[ETA for New Ark update]])</f>
        <v>2026</v>
      </c>
      <c r="BC636" s="430">
        <f>MONTH(PV_DATA[[#This Row],[ETA for New Ark update]])</f>
        <v>8</v>
      </c>
      <c r="BD636" s="430">
        <f>IFERROR(_xlfn.ISOWEEKNUM(PV_DATA[[#This Row],[ETA for New Ark update]]),0)</f>
        <v>34</v>
      </c>
      <c r="BE636" s="430">
        <f>_xlfn.XLOOKUP(PV_DATA[[#This Row],[New Ark SKU]],Table9[New Ark SKU],Table9[Total PCS per Pallet],,0)</f>
        <v>36</v>
      </c>
      <c r="BF636" s="430">
        <f>_xlfn.XLOOKUP(PV_DATA[[#This Row],[New Ark SKU]],Table9[New Ark SKU],Table9[Total PCS per 40HQ Container],,0)</f>
        <v>864</v>
      </c>
      <c r="BG636" s="431" t="str">
        <f>_xlfn.XLOOKUP(PV_DATA[[#This Row],[New Ark SKU]],Table9[New Ark SKU],Table9[Back Glass],,0)</f>
        <v>Black glazing</v>
      </c>
      <c r="BH636" s="430" t="str">
        <f>_xlfn.XLOOKUP(PV_DATA[[#This Row],[PORT DESTINATION]],Table12[PORT DESTINATION],Table12[Cosco Line],,0)</f>
        <v>AEM</v>
      </c>
      <c r="BJ636" s="430"/>
    </row>
    <row r="637" spans="1:62" ht="10.5" hidden="1">
      <c r="A637" s="462" t="s">
        <v>5049</v>
      </c>
      <c r="B637" s="462" t="s">
        <v>111</v>
      </c>
      <c r="C637" s="462" t="str">
        <f>IFERROR(LEFT(PV_DATA[[#This Row],[TCL REFERENCE]],FIND(".",PV_DATA[[#This Row],[TCL REFERENCE]],1)-1),"Main Line")</f>
        <v>26May013</v>
      </c>
      <c r="D637" s="462" t="s">
        <v>63</v>
      </c>
      <c r="E637" s="462" t="s">
        <v>144</v>
      </c>
      <c r="F637" s="462" t="str" cm="1">
        <f t="array" ref="F63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37" s="462" t="s">
        <v>402</v>
      </c>
      <c r="H637" s="713" t="s">
        <v>1449</v>
      </c>
      <c r="I637" s="462" t="s">
        <v>822</v>
      </c>
      <c r="J637" s="430" t="s">
        <v>4600</v>
      </c>
      <c r="K637" s="430" t="s">
        <v>1451</v>
      </c>
      <c r="L637" s="430">
        <v>24</v>
      </c>
      <c r="M637" s="430" t="s">
        <v>840</v>
      </c>
      <c r="N637" s="432">
        <v>46181</v>
      </c>
      <c r="O637" s="430" t="s">
        <v>4540</v>
      </c>
      <c r="P637" s="430" t="s">
        <v>5050</v>
      </c>
      <c r="Q637" s="430" t="s">
        <v>1807</v>
      </c>
      <c r="R637" s="430" t="str">
        <f>_xlfn.XLOOKUP(PV_DATA[[#This Row],[New Ark SKU]],Table9[New Ark SKU],Table9[Connector],,0)</f>
        <v>H4(Com)</v>
      </c>
      <c r="S637" s="442" t="str">
        <f>_xlfn.XLOOKUP(PV_DATA[[#This Row],[New Ark SKU]],Table9[New Ark SKU],Table9[Cable],,0)</f>
        <v>+400mm/-200mm</v>
      </c>
      <c r="T637" s="433">
        <v>720</v>
      </c>
      <c r="U637" s="1062">
        <f>594*5</f>
        <v>2970</v>
      </c>
      <c r="V637" s="544">
        <f>PV_DATA[[#This Row],[QUANTITY]]*PV_DATA[[#This Row],[WATT]]/1000000</f>
        <v>2.1383999999999999</v>
      </c>
      <c r="W637" s="435">
        <f>PV_DATA[[#This Row],[QUANTITY]]/PV_DATA[[#This Row],[Qty/Pallet]]</f>
        <v>90</v>
      </c>
      <c r="X637" s="1015">
        <f>PV_DATA[[#This Row],[QUANTITY]]/PV_DATA[[#This Row],[Qty/CT]]</f>
        <v>5</v>
      </c>
      <c r="Y637" s="430" t="s">
        <v>4366</v>
      </c>
      <c r="Z637" s="430" t="str">
        <f t="shared" si="7"/>
        <v>COMPLETED</v>
      </c>
      <c r="AA637" s="430" t="s">
        <v>5051</v>
      </c>
      <c r="AB637" s="437">
        <v>46190</v>
      </c>
      <c r="AC637" s="485">
        <f>IF(PV_DATA[[#This Row],[Pick-Up Date]]&lt;&gt;"",_xlfn.ISOWEEKNUM(PV_DATA[[#This Row],[Pick-Up Date]]),"")</f>
        <v>25</v>
      </c>
      <c r="AD637" s="430" t="s">
        <v>5052</v>
      </c>
      <c r="AE637" s="435"/>
      <c r="AF637" s="430" t="s">
        <v>122</v>
      </c>
      <c r="AG637" s="430" t="s">
        <v>123</v>
      </c>
      <c r="AH637" s="430" t="s">
        <v>105</v>
      </c>
      <c r="AI637" s="437">
        <v>46194</v>
      </c>
      <c r="AJ637" s="437">
        <v>46197</v>
      </c>
      <c r="AK637" s="437">
        <v>46197</v>
      </c>
      <c r="AL637" s="437">
        <v>46232</v>
      </c>
      <c r="AM637" s="437">
        <v>46241</v>
      </c>
      <c r="AN637" s="437">
        <v>46245</v>
      </c>
      <c r="AO637" s="430" t="s">
        <v>402</v>
      </c>
      <c r="AP637" s="430" t="s">
        <v>4951</v>
      </c>
      <c r="AQ637" s="430" t="s">
        <v>161</v>
      </c>
      <c r="AR637" s="430" t="s">
        <v>5053</v>
      </c>
      <c r="AS637" s="430" t="s">
        <v>5054</v>
      </c>
      <c r="AT637" s="430" t="s">
        <v>5054</v>
      </c>
      <c r="AU63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</v>
      </c>
      <c r="AV637" s="437"/>
      <c r="AW637" s="437" cm="1">
        <f t="array" ref="AW63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46245</v>
      </c>
      <c r="AX63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37" s="437">
        <f>IF(ISERROR(PV_DATA[[#This Row],[New Ark PO status]]),"",_xlfn.XLOOKUP(PV_DATA[[#This Row],[SPTN-PVHK New Ark PO'#]],New_Ark_Data[Purchase order Number],New_Ark_Data[Estimated time of arrival],"",0))</f>
        <v>46232</v>
      </c>
      <c r="AZ637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37" s="437">
        <f>IFERROR(PV_DATA[[#This Row],[ODP ETA Port]]+PV_DATA[[#This Row],[Customs/Leg3 Assumption]],"n/a")</f>
        <v>46245</v>
      </c>
      <c r="BB637" s="433">
        <f>YEAR(PV_DATA[[#This Row],[ETA for New Ark update]])</f>
        <v>2026</v>
      </c>
      <c r="BC637" s="430">
        <f>MONTH(PV_DATA[[#This Row],[ETA for New Ark update]])</f>
        <v>8</v>
      </c>
      <c r="BD637" s="430">
        <f>IFERROR(_xlfn.ISOWEEKNUM(PV_DATA[[#This Row],[ETA for New Ark update]]),0)</f>
        <v>33</v>
      </c>
      <c r="BE637" s="430">
        <f>_xlfn.XLOOKUP(PV_DATA[[#This Row],[New Ark SKU]],Table9[New Ark SKU],Table9[Total PCS per Pallet],,0)</f>
        <v>33</v>
      </c>
      <c r="BF637" s="430">
        <f>_xlfn.XLOOKUP(PV_DATA[[#This Row],[New Ark SKU]],Table9[New Ark SKU],Table9[Total PCS per 40HQ Container],,0)</f>
        <v>594</v>
      </c>
      <c r="BG637" s="431" t="str">
        <f>_xlfn.XLOOKUP(PV_DATA[[#This Row],[New Ark SKU]],Table9[New Ark SKU],Table9[Back Glass],,0)</f>
        <v>Transparent</v>
      </c>
      <c r="BH637" s="430" t="str">
        <f>_xlfn.XLOOKUP(PV_DATA[[#This Row],[PORT DESTINATION]],Table12[PORT DESTINATION],Table12[Cosco Line],,0)</f>
        <v>AEU</v>
      </c>
      <c r="BJ637" s="430"/>
    </row>
    <row r="638" spans="1:62" ht="10.5" hidden="1">
      <c r="A638" s="462" t="s">
        <v>5055</v>
      </c>
      <c r="B638" s="462" t="s">
        <v>111</v>
      </c>
      <c r="C638" s="462" t="str">
        <f>IFERROR(LEFT(PV_DATA[[#This Row],[TCL REFERENCE]],FIND(".",PV_DATA[[#This Row],[TCL REFERENCE]],1)-1),"Main Line")</f>
        <v>26May013</v>
      </c>
      <c r="D638" s="462" t="s">
        <v>63</v>
      </c>
      <c r="E638" s="462" t="s">
        <v>144</v>
      </c>
      <c r="F638" s="462" t="str" cm="1">
        <f t="array" ref="F63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38" s="462" t="s">
        <v>402</v>
      </c>
      <c r="H638" s="713" t="s">
        <v>1449</v>
      </c>
      <c r="I638" s="462" t="s">
        <v>822</v>
      </c>
      <c r="J638" s="430" t="s">
        <v>4600</v>
      </c>
      <c r="K638" s="430" t="s">
        <v>1451</v>
      </c>
      <c r="L638" s="430">
        <v>25</v>
      </c>
      <c r="M638" s="430" t="s">
        <v>840</v>
      </c>
      <c r="N638" s="432">
        <v>46181</v>
      </c>
      <c r="O638" s="430" t="s">
        <v>4540</v>
      </c>
      <c r="P638" s="430" t="s">
        <v>5050</v>
      </c>
      <c r="Q638" s="430" t="s">
        <v>1807</v>
      </c>
      <c r="R638" s="430" t="str">
        <f>_xlfn.XLOOKUP(PV_DATA[[#This Row],[New Ark SKU]],Table9[New Ark SKU],Table9[Connector],,0)</f>
        <v>H4(Com)</v>
      </c>
      <c r="S638" s="442" t="str">
        <f>_xlfn.XLOOKUP(PV_DATA[[#This Row],[New Ark SKU]],Table9[New Ark SKU],Table9[Cable],,0)</f>
        <v>+400mm/-200mm</v>
      </c>
      <c r="T638" s="433">
        <v>720</v>
      </c>
      <c r="U638" s="1062">
        <f>594*2</f>
        <v>1188</v>
      </c>
      <c r="V638" s="544">
        <f>PV_DATA[[#This Row],[QUANTITY]]*PV_DATA[[#This Row],[WATT]]/1000000</f>
        <v>0.85536000000000001</v>
      </c>
      <c r="W638" s="435">
        <f>PV_DATA[[#This Row],[QUANTITY]]/PV_DATA[[#This Row],[Qty/Pallet]]</f>
        <v>36</v>
      </c>
      <c r="X638" s="1015">
        <f>PV_DATA[[#This Row],[QUANTITY]]/PV_DATA[[#This Row],[Qty/CT]]</f>
        <v>2</v>
      </c>
      <c r="Y638" s="430" t="s">
        <v>4366</v>
      </c>
      <c r="Z638" s="430" t="str">
        <f t="shared" si="7"/>
        <v>COMPLETED</v>
      </c>
      <c r="AA638" s="433" t="s">
        <v>5056</v>
      </c>
      <c r="AB638" s="437">
        <v>46190</v>
      </c>
      <c r="AC638" s="485">
        <f>IF(PV_DATA[[#This Row],[Pick-Up Date]]&lt;&gt;"",_xlfn.ISOWEEKNUM(PV_DATA[[#This Row],[Pick-Up Date]]),"")</f>
        <v>25</v>
      </c>
      <c r="AD638" s="430" t="s">
        <v>5057</v>
      </c>
      <c r="AE638" s="435"/>
      <c r="AF638" s="430" t="s">
        <v>122</v>
      </c>
      <c r="AG638" s="430" t="s">
        <v>123</v>
      </c>
      <c r="AH638" s="430" t="s">
        <v>105</v>
      </c>
      <c r="AI638" s="437">
        <v>46194</v>
      </c>
      <c r="AJ638" s="437">
        <v>46197</v>
      </c>
      <c r="AK638" s="437">
        <v>46197</v>
      </c>
      <c r="AL638" s="437">
        <v>46232</v>
      </c>
      <c r="AM638" s="437">
        <v>46241</v>
      </c>
      <c r="AN638" s="437">
        <v>46245</v>
      </c>
      <c r="AO638" s="430" t="s">
        <v>402</v>
      </c>
      <c r="AP638" s="430" t="s">
        <v>4951</v>
      </c>
      <c r="AQ638" s="430" t="s">
        <v>161</v>
      </c>
      <c r="AR638" s="430" t="s">
        <v>5053</v>
      </c>
      <c r="AS638" s="430" t="s">
        <v>5054</v>
      </c>
      <c r="AT638" s="430" t="s">
        <v>5054</v>
      </c>
      <c r="AU63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</v>
      </c>
      <c r="AV638" s="437"/>
      <c r="AW638" s="437" cm="1">
        <f t="array" ref="AW63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46245</v>
      </c>
      <c r="AX63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38" s="437">
        <f>IF(ISERROR(PV_DATA[[#This Row],[New Ark PO status]]),"",_xlfn.XLOOKUP(PV_DATA[[#This Row],[SPTN-PVHK New Ark PO'#]],New_Ark_Data[Purchase order Number],New_Ark_Data[Estimated time of arrival],"",0))</f>
        <v>46232</v>
      </c>
      <c r="AZ638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38" s="437">
        <f>IFERROR(PV_DATA[[#This Row],[ODP ETA Port]]+PV_DATA[[#This Row],[Customs/Leg3 Assumption]],"n/a")</f>
        <v>46245</v>
      </c>
      <c r="BB638" s="433">
        <f>YEAR(PV_DATA[[#This Row],[ETA for New Ark update]])</f>
        <v>2026</v>
      </c>
      <c r="BC638" s="430">
        <f>MONTH(PV_DATA[[#This Row],[ETA for New Ark update]])</f>
        <v>8</v>
      </c>
      <c r="BD638" s="430">
        <f>IFERROR(_xlfn.ISOWEEKNUM(PV_DATA[[#This Row],[ETA for New Ark update]]),0)</f>
        <v>33</v>
      </c>
      <c r="BE638" s="430">
        <f>_xlfn.XLOOKUP(PV_DATA[[#This Row],[New Ark SKU]],Table9[New Ark SKU],Table9[Total PCS per Pallet],,0)</f>
        <v>33</v>
      </c>
      <c r="BF638" s="430">
        <f>_xlfn.XLOOKUP(PV_DATA[[#This Row],[New Ark SKU]],Table9[New Ark SKU],Table9[Total PCS per 40HQ Container],,0)</f>
        <v>594</v>
      </c>
      <c r="BG638" s="431" t="str">
        <f>_xlfn.XLOOKUP(PV_DATA[[#This Row],[New Ark SKU]],Table9[New Ark SKU],Table9[Back Glass],,0)</f>
        <v>Transparent</v>
      </c>
      <c r="BH638" s="430" t="str">
        <f>_xlfn.XLOOKUP(PV_DATA[[#This Row],[PORT DESTINATION]],Table12[PORT DESTINATION],Table12[Cosco Line],,0)</f>
        <v>AEU</v>
      </c>
      <c r="BJ638" s="430"/>
    </row>
    <row r="639" spans="1:62" ht="14.25" hidden="1" customHeight="1">
      <c r="A639" s="462" t="s">
        <v>5058</v>
      </c>
      <c r="B639" s="462" t="s">
        <v>111</v>
      </c>
      <c r="C639" s="462" t="str">
        <f>IFERROR(LEFT(PV_DATA[[#This Row],[TCL REFERENCE]],FIND(".",PV_DATA[[#This Row],[TCL REFERENCE]],1)-1),"Main Line")</f>
        <v>26May013</v>
      </c>
      <c r="D639" s="462" t="s">
        <v>63</v>
      </c>
      <c r="E639" s="462" t="s">
        <v>144</v>
      </c>
      <c r="F639" s="462" t="str" cm="1">
        <f t="array" ref="F63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39" s="462" t="s">
        <v>402</v>
      </c>
      <c r="H639" s="713" t="s">
        <v>1449</v>
      </c>
      <c r="I639" s="462" t="s">
        <v>822</v>
      </c>
      <c r="J639" s="430" t="s">
        <v>4600</v>
      </c>
      <c r="K639" s="430" t="s">
        <v>1451</v>
      </c>
      <c r="L639" s="430">
        <v>26</v>
      </c>
      <c r="M639" s="430" t="s">
        <v>840</v>
      </c>
      <c r="N639" s="432">
        <v>46181</v>
      </c>
      <c r="O639" s="430" t="s">
        <v>4540</v>
      </c>
      <c r="P639" s="430" t="s">
        <v>5050</v>
      </c>
      <c r="Q639" s="430" t="s">
        <v>1807</v>
      </c>
      <c r="R639" s="430" t="str">
        <f>_xlfn.XLOOKUP(PV_DATA[[#This Row],[New Ark SKU]],Table9[New Ark SKU],Table9[Connector],,0)</f>
        <v>H4(Com)</v>
      </c>
      <c r="S639" s="442" t="str">
        <f>_xlfn.XLOOKUP(PV_DATA[[#This Row],[New Ark SKU]],Table9[New Ark SKU],Table9[Cable],,0)</f>
        <v>+400mm/-200mm</v>
      </c>
      <c r="T639" s="433">
        <v>720</v>
      </c>
      <c r="U639" s="1062">
        <f>594*2</f>
        <v>1188</v>
      </c>
      <c r="V639" s="544">
        <f>PV_DATA[[#This Row],[QUANTITY]]*PV_DATA[[#This Row],[WATT]]/1000000</f>
        <v>0.85536000000000001</v>
      </c>
      <c r="W639" s="435">
        <f>PV_DATA[[#This Row],[QUANTITY]]/PV_DATA[[#This Row],[Qty/Pallet]]</f>
        <v>36</v>
      </c>
      <c r="X639" s="1015">
        <f>PV_DATA[[#This Row],[QUANTITY]]/PV_DATA[[#This Row],[Qty/CT]]</f>
        <v>2</v>
      </c>
      <c r="Y639" s="430" t="s">
        <v>4366</v>
      </c>
      <c r="Z639" s="430" t="str">
        <f t="shared" si="7"/>
        <v>COMPLETED</v>
      </c>
      <c r="AA639" s="430" t="s">
        <v>5059</v>
      </c>
      <c r="AB639" s="437">
        <v>46185</v>
      </c>
      <c r="AC639" s="485">
        <f>IF(PV_DATA[[#This Row],[Pick-Up Date]]&lt;&gt;"",_xlfn.ISOWEEKNUM(PV_DATA[[#This Row],[Pick-Up Date]]),"")</f>
        <v>24</v>
      </c>
      <c r="AD639" s="430" t="s">
        <v>5060</v>
      </c>
      <c r="AE639" s="435"/>
      <c r="AF639" s="430" t="s">
        <v>122</v>
      </c>
      <c r="AG639" s="430" t="s">
        <v>123</v>
      </c>
      <c r="AH639" s="430" t="s">
        <v>105</v>
      </c>
      <c r="AI639" s="437">
        <v>46194</v>
      </c>
      <c r="AJ639" s="437">
        <v>46196</v>
      </c>
      <c r="AK639" s="437">
        <v>46196</v>
      </c>
      <c r="AL639" s="437">
        <v>46237</v>
      </c>
      <c r="AM639" s="586"/>
      <c r="AN639" s="441">
        <v>46249</v>
      </c>
      <c r="AO639" s="430" t="s">
        <v>402</v>
      </c>
      <c r="AP639" s="430" t="s">
        <v>5061</v>
      </c>
      <c r="AQ639" s="430" t="s">
        <v>161</v>
      </c>
      <c r="AR639" s="430" t="s">
        <v>5062</v>
      </c>
      <c r="AS639" s="430" t="s">
        <v>5063</v>
      </c>
      <c r="AT639" s="430" t="s">
        <v>5063</v>
      </c>
      <c r="AU63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</v>
      </c>
      <c r="AV639" s="437"/>
      <c r="AW639" s="437" cm="1">
        <f t="array" ref="AW63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46249</v>
      </c>
      <c r="AX63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39" s="437">
        <f>IF(ISERROR(PV_DATA[[#This Row],[New Ark PO status]]),"",_xlfn.XLOOKUP(PV_DATA[[#This Row],[SPTN-PVHK New Ark PO'#]],New_Ark_Data[Purchase order Number],New_Ark_Data[Estimated time of arrival],"",0))</f>
        <v>46237</v>
      </c>
      <c r="AZ639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39" s="437">
        <f>IFERROR(PV_DATA[[#This Row],[ODP ETA Port]]+PV_DATA[[#This Row],[Customs/Leg3 Assumption]],"n/a")</f>
        <v>46249</v>
      </c>
      <c r="BB639" s="433">
        <f>YEAR(PV_DATA[[#This Row],[ETA for New Ark update]])</f>
        <v>2026</v>
      </c>
      <c r="BC639" s="430">
        <f>MONTH(PV_DATA[[#This Row],[ETA for New Ark update]])</f>
        <v>8</v>
      </c>
      <c r="BD639" s="430">
        <f>IFERROR(_xlfn.ISOWEEKNUM(PV_DATA[[#This Row],[ETA for New Ark update]]),0)</f>
        <v>33</v>
      </c>
      <c r="BE639" s="430">
        <f>_xlfn.XLOOKUP(PV_DATA[[#This Row],[New Ark SKU]],Table9[New Ark SKU],Table9[Total PCS per Pallet],,0)</f>
        <v>33</v>
      </c>
      <c r="BF639" s="430">
        <f>_xlfn.XLOOKUP(PV_DATA[[#This Row],[New Ark SKU]],Table9[New Ark SKU],Table9[Total PCS per 40HQ Container],,0)</f>
        <v>594</v>
      </c>
      <c r="BG639" s="431" t="str">
        <f>_xlfn.XLOOKUP(PV_DATA[[#This Row],[New Ark SKU]],Table9[New Ark SKU],Table9[Back Glass],,0)</f>
        <v>Transparent</v>
      </c>
      <c r="BH639" s="430" t="str">
        <f>_xlfn.XLOOKUP(PV_DATA[[#This Row],[PORT DESTINATION]],Table12[PORT DESTINATION],Table12[Cosco Line],,0)</f>
        <v>AEU</v>
      </c>
      <c r="BJ639" s="430"/>
    </row>
    <row r="640" spans="1:62" ht="10.5" hidden="1">
      <c r="A640" s="462" t="s">
        <v>5064</v>
      </c>
      <c r="B640" s="462" t="s">
        <v>111</v>
      </c>
      <c r="C640" s="462" t="s">
        <v>5065</v>
      </c>
      <c r="D640" s="462" t="s">
        <v>63</v>
      </c>
      <c r="E640" s="462" t="s">
        <v>144</v>
      </c>
      <c r="F640" s="462" t="s">
        <v>145</v>
      </c>
      <c r="G640" s="462" t="s">
        <v>402</v>
      </c>
      <c r="H640" s="713" t="s">
        <v>1449</v>
      </c>
      <c r="I640" s="462" t="s">
        <v>689</v>
      </c>
      <c r="J640" s="430" t="s">
        <v>4600</v>
      </c>
      <c r="K640" s="430" t="s">
        <v>1451</v>
      </c>
      <c r="L640" s="430">
        <v>30</v>
      </c>
      <c r="M640" s="430" t="s">
        <v>840</v>
      </c>
      <c r="N640" s="432">
        <v>46181</v>
      </c>
      <c r="O640" s="430" t="s">
        <v>4540</v>
      </c>
      <c r="P640" s="430" t="s">
        <v>5066</v>
      </c>
      <c r="Q640" s="430" t="s">
        <v>1484</v>
      </c>
      <c r="R640" s="430" t="str">
        <f>_xlfn.XLOOKUP(PV_DATA[[#This Row],[New Ark SKU]],Table9[New Ark SKU],Table9[Connector],,0)</f>
        <v>H4(Com)</v>
      </c>
      <c r="S640" s="442" t="str">
        <f>_xlfn.XLOOKUP(PV_DATA[[#This Row],[New Ark SKU]],Table9[New Ark SKU],Table9[Cable],,0)</f>
        <v>+400mm/-200mm</v>
      </c>
      <c r="T640" s="433">
        <v>725</v>
      </c>
      <c r="U640" s="1062">
        <v>1782</v>
      </c>
      <c r="V640" s="544">
        <f>PV_DATA[[#This Row],[QUANTITY]]*PV_DATA[[#This Row],[WATT]]/1000000</f>
        <v>1.2919499999999999</v>
      </c>
      <c r="W640" s="435">
        <f>PV_DATA[[#This Row],[QUANTITY]]/PV_DATA[[#This Row],[Qty/Pallet]]</f>
        <v>54</v>
      </c>
      <c r="X640" s="1015">
        <v>3</v>
      </c>
      <c r="Y640" s="430" t="s">
        <v>4367</v>
      </c>
      <c r="Z640" s="430" t="str">
        <f t="shared" si="7"/>
        <v>COMPLETED</v>
      </c>
      <c r="AA640" s="430" t="s">
        <v>5067</v>
      </c>
      <c r="AB640" s="437">
        <v>46189</v>
      </c>
      <c r="AC640" s="485">
        <f>IF(PV_DATA[[#This Row],[Pick-Up Date]]&lt;&gt;"",_xlfn.ISOWEEKNUM(PV_DATA[[#This Row],[Pick-Up Date]]),"")</f>
        <v>25</v>
      </c>
      <c r="AD640" s="430" t="s">
        <v>5068</v>
      </c>
      <c r="AE640" s="435"/>
      <c r="AF640" s="430" t="s">
        <v>122</v>
      </c>
      <c r="AG640" s="430" t="s">
        <v>123</v>
      </c>
      <c r="AH640" s="430" t="s">
        <v>105</v>
      </c>
      <c r="AI640" s="437">
        <v>46198</v>
      </c>
      <c r="AJ640" s="437">
        <v>46203</v>
      </c>
      <c r="AK640" s="437">
        <v>46203</v>
      </c>
      <c r="AL640" s="437">
        <v>46232</v>
      </c>
      <c r="AM640" s="441">
        <f>IFERROR(IF(VLOOKUP(AT640, Vessel!A:H, 8, FALSE)=0, "", VLOOKUP(AT640, Vessel!A:H, 8, FALSE)), "")</f>
        <v>46240.020833333336</v>
      </c>
      <c r="AN640" s="437">
        <v>46240</v>
      </c>
      <c r="AO640" s="430" t="s">
        <v>402</v>
      </c>
      <c r="AP640" s="430" t="s">
        <v>5069</v>
      </c>
      <c r="AQ640" s="430" t="s">
        <v>80</v>
      </c>
      <c r="AR640" s="430" t="s">
        <v>5070</v>
      </c>
      <c r="AS640" s="430" t="s">
        <v>5071</v>
      </c>
      <c r="AT640" s="430" t="s">
        <v>5071</v>
      </c>
      <c r="AU64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</v>
      </c>
      <c r="AV640" s="437"/>
      <c r="AW640" s="437" cm="1">
        <f t="array" ref="AW64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46240</v>
      </c>
      <c r="AX64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40" s="437">
        <f>IF(ISERROR(PV_DATA[[#This Row],[New Ark PO status]]),"",_xlfn.XLOOKUP(PV_DATA[[#This Row],[SPTN-PVHK New Ark PO'#]],New_Ark_Data[Purchase order Number],New_Ark_Data[Estimated time of arrival],"",0))</f>
        <v>46232</v>
      </c>
      <c r="AZ640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40" s="437">
        <f>IFERROR(PV_DATA[[#This Row],[ODP ETA Port]]+PV_DATA[[#This Row],[Customs/Leg3 Assumption]],"n/a")</f>
        <v>46240</v>
      </c>
      <c r="BB640" s="433">
        <f>YEAR(PV_DATA[[#This Row],[ETA for New Ark update]])</f>
        <v>2026</v>
      </c>
      <c r="BC640" s="430">
        <f>MONTH(PV_DATA[[#This Row],[ETA for New Ark update]])</f>
        <v>8</v>
      </c>
      <c r="BD640" s="430">
        <f>IFERROR(_xlfn.ISOWEEKNUM(PV_DATA[[#This Row],[ETA for New Ark update]]),0)</f>
        <v>32</v>
      </c>
      <c r="BE640" s="430">
        <f>_xlfn.XLOOKUP(PV_DATA[[#This Row],[New Ark SKU]],Table9[New Ark SKU],Table9[Total PCS per Pallet],,0)</f>
        <v>33</v>
      </c>
      <c r="BF640" s="430">
        <f>_xlfn.XLOOKUP(PV_DATA[[#This Row],[New Ark SKU]],Table9[New Ark SKU],Table9[Total PCS per 40HQ Container],,0)</f>
        <v>594</v>
      </c>
      <c r="BG640" s="431" t="str">
        <f>_xlfn.XLOOKUP(PV_DATA[[#This Row],[New Ark SKU]],Table9[New Ark SKU],Table9[Back Glass],,0)</f>
        <v>Transparent</v>
      </c>
      <c r="BH640" s="430" t="str">
        <f>_xlfn.XLOOKUP(PV_DATA[[#This Row],[PORT DESTINATION]],Table12[PORT DESTINATION],Table12[Cosco Line],,0)</f>
        <v>AEU</v>
      </c>
      <c r="BJ640" s="430"/>
    </row>
    <row r="641" spans="1:62" ht="10.5" hidden="1">
      <c r="A641" s="462" t="s">
        <v>5072</v>
      </c>
      <c r="B641" s="462" t="s">
        <v>111</v>
      </c>
      <c r="C641" s="462" t="str">
        <f>IFERROR(LEFT(PV_DATA[[#This Row],[TCL REFERENCE]],FIND(".",PV_DATA[[#This Row],[TCL REFERENCE]],1)-1),"Main Line")</f>
        <v>26May014</v>
      </c>
      <c r="D641" s="462" t="s">
        <v>63</v>
      </c>
      <c r="E641" s="462" t="s">
        <v>144</v>
      </c>
      <c r="F641" s="462" t="str" cm="1">
        <f t="array" ref="F64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41" s="462" t="s">
        <v>402</v>
      </c>
      <c r="H641" s="713" t="s">
        <v>1449</v>
      </c>
      <c r="I641" s="462" t="s">
        <v>689</v>
      </c>
      <c r="J641" s="430" t="s">
        <v>4600</v>
      </c>
      <c r="K641" s="430" t="s">
        <v>1451</v>
      </c>
      <c r="L641" s="430">
        <v>31</v>
      </c>
      <c r="M641" s="430" t="s">
        <v>840</v>
      </c>
      <c r="N641" s="432">
        <v>46181</v>
      </c>
      <c r="O641" s="430" t="s">
        <v>4540</v>
      </c>
      <c r="P641" s="430" t="s">
        <v>5066</v>
      </c>
      <c r="Q641" s="430" t="s">
        <v>1484</v>
      </c>
      <c r="R641" s="430" t="str">
        <f>_xlfn.XLOOKUP(PV_DATA[[#This Row],[New Ark SKU]],Table9[New Ark SKU],Table9[Connector],,0)</f>
        <v>H4(Com)</v>
      </c>
      <c r="S641" s="442" t="str">
        <f>_xlfn.XLOOKUP(PV_DATA[[#This Row],[New Ark SKU]],Table9[New Ark SKU],Table9[Cable],,0)</f>
        <v>+400mm/-200mm</v>
      </c>
      <c r="T641" s="433">
        <v>725</v>
      </c>
      <c r="U641" s="1062">
        <v>4158</v>
      </c>
      <c r="V641" s="544">
        <f>PV_DATA[[#This Row],[QUANTITY]]*PV_DATA[[#This Row],[WATT]]/1000000</f>
        <v>3.0145499999999998</v>
      </c>
      <c r="W641" s="435">
        <f>PV_DATA[[#This Row],[QUANTITY]]/PV_DATA[[#This Row],[Qty/Pallet]]</f>
        <v>126</v>
      </c>
      <c r="X641" s="1015">
        <f>PV_DATA[[#This Row],[QUANTITY]]/PV_DATA[[#This Row],[Qty/CT]]</f>
        <v>7</v>
      </c>
      <c r="Y641" s="430" t="s">
        <v>4367</v>
      </c>
      <c r="Z641" s="430" t="str">
        <f t="shared" si="7"/>
        <v>COMPLETED</v>
      </c>
      <c r="AA641" s="430" t="s">
        <v>5067</v>
      </c>
      <c r="AB641" s="437">
        <v>46189</v>
      </c>
      <c r="AC641" s="485">
        <f>IF(PV_DATA[[#This Row],[Pick-Up Date]]&lt;&gt;"",_xlfn.ISOWEEKNUM(PV_DATA[[#This Row],[Pick-Up Date]]),"")</f>
        <v>25</v>
      </c>
      <c r="AD641" s="430" t="s">
        <v>5073</v>
      </c>
      <c r="AE641" s="435"/>
      <c r="AF641" s="430" t="s">
        <v>122</v>
      </c>
      <c r="AG641" s="430" t="s">
        <v>123</v>
      </c>
      <c r="AH641" s="430" t="s">
        <v>105</v>
      </c>
      <c r="AI641" s="437">
        <v>46198</v>
      </c>
      <c r="AJ641" s="437">
        <v>46203</v>
      </c>
      <c r="AK641" s="437">
        <v>46203</v>
      </c>
      <c r="AL641" s="437">
        <v>46232</v>
      </c>
      <c r="AM641" s="441">
        <f>IFERROR(IF(VLOOKUP(AT641, Vessel!A:H, 8, FALSE)=0, "", VLOOKUP(AT641, Vessel!A:H, 8, FALSE)), "")</f>
        <v>46240.020833333336</v>
      </c>
      <c r="AN641" s="586">
        <v>46240.041226851848</v>
      </c>
      <c r="AO641" s="430" t="s">
        <v>402</v>
      </c>
      <c r="AP641" s="430" t="s">
        <v>5069</v>
      </c>
      <c r="AQ641" s="430" t="s">
        <v>80</v>
      </c>
      <c r="AR641" s="430" t="s">
        <v>5070</v>
      </c>
      <c r="AS641" s="430" t="s">
        <v>5071</v>
      </c>
      <c r="AT641" s="430" t="s">
        <v>5071</v>
      </c>
      <c r="AU64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37.041226851848478</v>
      </c>
      <c r="AV641" s="437"/>
      <c r="AW641" s="437" cm="1">
        <f t="array" ref="AW64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46240.041226851848</v>
      </c>
      <c r="AX64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41" s="437">
        <f>IF(ISERROR(PV_DATA[[#This Row],[New Ark PO status]]),"",_xlfn.XLOOKUP(PV_DATA[[#This Row],[SPTN-PVHK New Ark PO'#]],New_Ark_Data[Purchase order Number],New_Ark_Data[Estimated time of arrival],"",0))</f>
        <v>46232</v>
      </c>
      <c r="AZ641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41" s="437">
        <f>IFERROR(PV_DATA[[#This Row],[ODP ETA Port]]+PV_DATA[[#This Row],[Customs/Leg3 Assumption]],"n/a")</f>
        <v>46240.041226851848</v>
      </c>
      <c r="BB641" s="433">
        <f>YEAR(PV_DATA[[#This Row],[ETA for New Ark update]])</f>
        <v>2026</v>
      </c>
      <c r="BC641" s="430">
        <f>MONTH(PV_DATA[[#This Row],[ETA for New Ark update]])</f>
        <v>8</v>
      </c>
      <c r="BD641" s="430">
        <f>IFERROR(_xlfn.ISOWEEKNUM(PV_DATA[[#This Row],[ETA for New Ark update]]),0)</f>
        <v>32</v>
      </c>
      <c r="BE641" s="430">
        <f>_xlfn.XLOOKUP(PV_DATA[[#This Row],[New Ark SKU]],Table9[New Ark SKU],Table9[Total PCS per Pallet],,0)</f>
        <v>33</v>
      </c>
      <c r="BF641" s="430">
        <f>_xlfn.XLOOKUP(PV_DATA[[#This Row],[New Ark SKU]],Table9[New Ark SKU],Table9[Total PCS per 40HQ Container],,0)</f>
        <v>594</v>
      </c>
      <c r="BG641" s="431" t="str">
        <f>_xlfn.XLOOKUP(PV_DATA[[#This Row],[New Ark SKU]],Table9[New Ark SKU],Table9[Back Glass],,0)</f>
        <v>Transparent</v>
      </c>
      <c r="BH641" s="430" t="str">
        <f>_xlfn.XLOOKUP(PV_DATA[[#This Row],[PORT DESTINATION]],Table12[PORT DESTINATION],Table12[Cosco Line],,0)</f>
        <v>AEU</v>
      </c>
      <c r="BJ641" s="430"/>
    </row>
    <row r="642" spans="1:62" ht="10.5" hidden="1">
      <c r="A642" s="462" t="s">
        <v>5074</v>
      </c>
      <c r="B642" s="462" t="s">
        <v>111</v>
      </c>
      <c r="C642" s="462" t="s">
        <v>5075</v>
      </c>
      <c r="D642" s="462" t="s">
        <v>63</v>
      </c>
      <c r="E642" s="462" t="s">
        <v>144</v>
      </c>
      <c r="F642" s="462" t="s">
        <v>145</v>
      </c>
      <c r="G642" s="462" t="s">
        <v>402</v>
      </c>
      <c r="H642" s="713" t="s">
        <v>1449</v>
      </c>
      <c r="I642" s="462" t="s">
        <v>689</v>
      </c>
      <c r="J642" s="430" t="s">
        <v>4600</v>
      </c>
      <c r="K642" s="430" t="s">
        <v>1451</v>
      </c>
      <c r="L642" s="430">
        <v>45</v>
      </c>
      <c r="M642" s="430" t="s">
        <v>840</v>
      </c>
      <c r="N642" s="432">
        <v>46167</v>
      </c>
      <c r="O642" s="430" t="s">
        <v>4540</v>
      </c>
      <c r="P642" s="430" t="s">
        <v>4601</v>
      </c>
      <c r="Q642" s="430" t="s">
        <v>330</v>
      </c>
      <c r="R642" s="430" t="str">
        <f>_xlfn.XLOOKUP(PV_DATA[[#This Row],[New Ark SKU]],Table9[New Ark SKU],Table9[Connector],,0)</f>
        <v>H4(Com)</v>
      </c>
      <c r="S642" s="442" t="str">
        <f>_xlfn.XLOOKUP(PV_DATA[[#This Row],[New Ark SKU]],Table9[New Ark SKU],Table9[Cable],,0)</f>
        <v>+400mm/-200mm</v>
      </c>
      <c r="T642" s="433">
        <v>625</v>
      </c>
      <c r="U642" s="1062">
        <v>720</v>
      </c>
      <c r="V642" s="544">
        <f>PV_DATA[[#This Row],[QUANTITY]]*PV_DATA[[#This Row],[WATT]]/1000000</f>
        <v>0.45</v>
      </c>
      <c r="W642" s="435">
        <f>PV_DATA[[#This Row],[QUANTITY]]/PV_DATA[[#This Row],[Qty/Pallet]]</f>
        <v>20</v>
      </c>
      <c r="X642" s="1015">
        <v>1</v>
      </c>
      <c r="Y642" s="430" t="s">
        <v>4367</v>
      </c>
      <c r="Z642" s="430" t="str">
        <f t="shared" si="7"/>
        <v>COMPLETED</v>
      </c>
      <c r="AA642" s="430"/>
      <c r="AB642" s="437">
        <v>46187</v>
      </c>
      <c r="AC642" s="485">
        <f>IF(PV_DATA[[#This Row],[Pick-Up Date]]&lt;&gt;"",_xlfn.ISOWEEKNUM(PV_DATA[[#This Row],[Pick-Up Date]]),"")</f>
        <v>24</v>
      </c>
      <c r="AD642" s="430" t="s">
        <v>5076</v>
      </c>
      <c r="AE642" s="430"/>
      <c r="AF642" s="430" t="s">
        <v>122</v>
      </c>
      <c r="AG642" s="430" t="s">
        <v>123</v>
      </c>
      <c r="AH642" s="430" t="s">
        <v>105</v>
      </c>
      <c r="AI642" s="437">
        <v>46195</v>
      </c>
      <c r="AJ642" s="437">
        <v>46197</v>
      </c>
      <c r="AK642" s="437">
        <v>46197</v>
      </c>
      <c r="AL642" s="437">
        <v>46232</v>
      </c>
      <c r="AM642" s="441">
        <f>IFERROR(IF(VLOOKUP(AT642, Vessel!A:H, 8, FALSE)=0, "", VLOOKUP(AT642, Vessel!A:H, 8, FALSE)), "")</f>
        <v>46242.416666666664</v>
      </c>
      <c r="AN642" s="586">
        <v>46242.416134259256</v>
      </c>
      <c r="AO642" s="430" t="s">
        <v>402</v>
      </c>
      <c r="AP642" s="430" t="s">
        <v>5077</v>
      </c>
      <c r="AQ642" s="430" t="s">
        <v>80</v>
      </c>
      <c r="AR642" s="430" t="s">
        <v>5078</v>
      </c>
      <c r="AS642" s="430" t="s">
        <v>5079</v>
      </c>
      <c r="AT642" s="430" t="s">
        <v>5079</v>
      </c>
      <c r="AU64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45.416134259256069</v>
      </c>
      <c r="AV642" s="437"/>
      <c r="AW642" s="437" cm="1">
        <f t="array" ref="AW64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46242.416134259256</v>
      </c>
      <c r="AX64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42" s="437">
        <f>IF(ISERROR(PV_DATA[[#This Row],[New Ark PO status]]),"",_xlfn.XLOOKUP(PV_DATA[[#This Row],[SPTN-PVHK New Ark PO'#]],New_Ark_Data[Purchase order Number],New_Ark_Data[Estimated time of arrival],"",0))</f>
        <v>46232</v>
      </c>
      <c r="AZ642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42" s="437">
        <f>IFERROR(PV_DATA[[#This Row],[ODP ETA Port]]+PV_DATA[[#This Row],[Customs/Leg3 Assumption]],"n/a")</f>
        <v>46242.416134259256</v>
      </c>
      <c r="BB642" s="433">
        <f>YEAR(PV_DATA[[#This Row],[ETA for New Ark update]])</f>
        <v>2026</v>
      </c>
      <c r="BC642" s="430">
        <f>MONTH(PV_DATA[[#This Row],[ETA for New Ark update]])</f>
        <v>8</v>
      </c>
      <c r="BD642" s="430">
        <f>IFERROR(_xlfn.ISOWEEKNUM(PV_DATA[[#This Row],[ETA for New Ark update]]),0)</f>
        <v>32</v>
      </c>
      <c r="BE642" s="430">
        <f>_xlfn.XLOOKUP(PV_DATA[[#This Row],[New Ark SKU]],Table9[New Ark SKU],Table9[Total PCS per Pallet],,0)</f>
        <v>36</v>
      </c>
      <c r="BF642" s="430">
        <f>_xlfn.XLOOKUP(PV_DATA[[#This Row],[New Ark SKU]],Table9[New Ark SKU],Table9[Total PCS per 40HQ Container],,0)</f>
        <v>720</v>
      </c>
      <c r="BG642" s="431" t="str">
        <f>_xlfn.XLOOKUP(PV_DATA[[#This Row],[New Ark SKU]],Table9[New Ark SKU],Table9[Back Glass],,0)</f>
        <v>Transparent</v>
      </c>
      <c r="BH642" s="430" t="str">
        <f>_xlfn.XLOOKUP(PV_DATA[[#This Row],[PORT DESTINATION]],Table12[PORT DESTINATION],Table12[Cosco Line],,0)</f>
        <v>AEU</v>
      </c>
      <c r="BJ642" s="430"/>
    </row>
    <row r="643" spans="1:62" ht="10.5" hidden="1">
      <c r="A643" s="462" t="s">
        <v>5080</v>
      </c>
      <c r="B643" s="462" t="s">
        <v>111</v>
      </c>
      <c r="C643" s="462" t="str">
        <f>IFERROR(LEFT(PV_DATA[[#This Row],[TCL REFERENCE]],FIND(".",PV_DATA[[#This Row],[TCL REFERENCE]],1)-1),"Main Line")</f>
        <v>26May011</v>
      </c>
      <c r="D643" s="462" t="s">
        <v>63</v>
      </c>
      <c r="E643" s="462" t="s">
        <v>144</v>
      </c>
      <c r="F643" s="462" t="str" cm="1">
        <f t="array" ref="F64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43" s="462" t="s">
        <v>402</v>
      </c>
      <c r="H643" s="713" t="s">
        <v>1449</v>
      </c>
      <c r="I643" s="462" t="s">
        <v>689</v>
      </c>
      <c r="J643" s="430" t="s">
        <v>4600</v>
      </c>
      <c r="K643" s="430" t="s">
        <v>1451</v>
      </c>
      <c r="L643" s="430">
        <v>46</v>
      </c>
      <c r="M643" s="430" t="s">
        <v>840</v>
      </c>
      <c r="N643" s="432">
        <v>46167</v>
      </c>
      <c r="O643" s="430" t="s">
        <v>4540</v>
      </c>
      <c r="P643" s="430" t="s">
        <v>4601</v>
      </c>
      <c r="Q643" s="430" t="s">
        <v>330</v>
      </c>
      <c r="R643" s="430" t="str">
        <f>_xlfn.XLOOKUP(PV_DATA[[#This Row],[New Ark SKU]],Table9[New Ark SKU],Table9[Connector],,0)</f>
        <v>H4(Com)</v>
      </c>
      <c r="S643" s="442" t="str">
        <f>_xlfn.XLOOKUP(PV_DATA[[#This Row],[New Ark SKU]],Table9[New Ark SKU],Table9[Cable],,0)</f>
        <v>+400mm/-200mm</v>
      </c>
      <c r="T643" s="433">
        <v>625</v>
      </c>
      <c r="U643" s="1062">
        <v>5760</v>
      </c>
      <c r="V643" s="544">
        <f>PV_DATA[[#This Row],[QUANTITY]]*PV_DATA[[#This Row],[WATT]]/1000000</f>
        <v>3.6</v>
      </c>
      <c r="W643" s="435">
        <f>PV_DATA[[#This Row],[QUANTITY]]/PV_DATA[[#This Row],[Qty/Pallet]]</f>
        <v>160</v>
      </c>
      <c r="X643" s="1015">
        <f>PV_DATA[[#This Row],[QUANTITY]]/PV_DATA[[#This Row],[Qty/CT]]</f>
        <v>8</v>
      </c>
      <c r="Y643" s="430" t="s">
        <v>4367</v>
      </c>
      <c r="Z643" s="430" t="str">
        <f t="shared" si="7"/>
        <v>COMPLETED</v>
      </c>
      <c r="AA643" s="430"/>
      <c r="AB643" s="437">
        <v>46185</v>
      </c>
      <c r="AC643" s="485">
        <f>IF(PV_DATA[[#This Row],[Pick-Up Date]]&lt;&gt;"",_xlfn.ISOWEEKNUM(PV_DATA[[#This Row],[Pick-Up Date]]),"")</f>
        <v>24</v>
      </c>
      <c r="AD643" s="430" t="s">
        <v>5081</v>
      </c>
      <c r="AE643" s="430"/>
      <c r="AF643" s="430" t="s">
        <v>122</v>
      </c>
      <c r="AG643" s="430" t="s">
        <v>123</v>
      </c>
      <c r="AH643" s="430" t="s">
        <v>105</v>
      </c>
      <c r="AI643" s="437">
        <v>46194</v>
      </c>
      <c r="AJ643" s="437">
        <v>46196</v>
      </c>
      <c r="AK643" s="437">
        <v>46196</v>
      </c>
      <c r="AL643" s="437">
        <v>46244</v>
      </c>
      <c r="AM643" s="586"/>
      <c r="AN643" s="586">
        <v>46249.489212962966</v>
      </c>
      <c r="AO643" s="430" t="s">
        <v>402</v>
      </c>
      <c r="AP643" s="430" t="s">
        <v>5082</v>
      </c>
      <c r="AQ643" s="430" t="s">
        <v>80</v>
      </c>
      <c r="AR643" s="430" t="s">
        <v>5083</v>
      </c>
      <c r="AS643" s="430" t="s">
        <v>5084</v>
      </c>
      <c r="AT643" s="430" t="s">
        <v>5084</v>
      </c>
      <c r="AU64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53.489212962966121</v>
      </c>
      <c r="AV643" s="437"/>
      <c r="AW643" s="437" cm="1">
        <f t="array" ref="AW64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46249.489212962966</v>
      </c>
      <c r="AX64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43" s="437">
        <f>IF(ISERROR(PV_DATA[[#This Row],[New Ark PO status]]),"",_xlfn.XLOOKUP(PV_DATA[[#This Row],[SPTN-PVHK New Ark PO'#]],New_Ark_Data[Purchase order Number],New_Ark_Data[Estimated time of arrival],"",0))</f>
        <v>46244</v>
      </c>
      <c r="AZ643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43" s="437">
        <f>IFERROR(PV_DATA[[#This Row],[ODP ETA Port]]+PV_DATA[[#This Row],[Customs/Leg3 Assumption]],"n/a")</f>
        <v>46249.489212962966</v>
      </c>
      <c r="BB643" s="433">
        <f>YEAR(PV_DATA[[#This Row],[ETA for New Ark update]])</f>
        <v>2026</v>
      </c>
      <c r="BC643" s="430">
        <f>MONTH(PV_DATA[[#This Row],[ETA for New Ark update]])</f>
        <v>8</v>
      </c>
      <c r="BD643" s="430">
        <f>IFERROR(_xlfn.ISOWEEKNUM(PV_DATA[[#This Row],[ETA for New Ark update]]),0)</f>
        <v>33</v>
      </c>
      <c r="BE643" s="430">
        <f>_xlfn.XLOOKUP(PV_DATA[[#This Row],[New Ark SKU]],Table9[New Ark SKU],Table9[Total PCS per Pallet],,0)</f>
        <v>36</v>
      </c>
      <c r="BF643" s="430">
        <f>_xlfn.XLOOKUP(PV_DATA[[#This Row],[New Ark SKU]],Table9[New Ark SKU],Table9[Total PCS per 40HQ Container],,0)</f>
        <v>720</v>
      </c>
      <c r="BG643" s="431" t="str">
        <f>_xlfn.XLOOKUP(PV_DATA[[#This Row],[New Ark SKU]],Table9[New Ark SKU],Table9[Back Glass],,0)</f>
        <v>Transparent</v>
      </c>
      <c r="BH643" s="430" t="str">
        <f>_xlfn.XLOOKUP(PV_DATA[[#This Row],[PORT DESTINATION]],Table12[PORT DESTINATION],Table12[Cosco Line],,0)</f>
        <v>AEU</v>
      </c>
      <c r="BJ643" s="430"/>
    </row>
    <row r="644" spans="1:62" ht="10.5" hidden="1">
      <c r="A644" s="462" t="s">
        <v>5085</v>
      </c>
      <c r="B644" s="462" t="s">
        <v>111</v>
      </c>
      <c r="C644" s="462" t="str">
        <f>IFERROR(LEFT(PV_DATA[[#This Row],[TCL REFERENCE]],FIND(".",PV_DATA[[#This Row],[TCL REFERENCE]],1)-1),"Main Line")</f>
        <v>26May012</v>
      </c>
      <c r="D644" s="462" t="s">
        <v>63</v>
      </c>
      <c r="E644" s="462" t="s">
        <v>64</v>
      </c>
      <c r="F644" s="462" t="str" cm="1">
        <f t="array" ref="F64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44" s="462" t="s">
        <v>402</v>
      </c>
      <c r="H644" s="462" t="s">
        <v>67</v>
      </c>
      <c r="I644" s="462" t="s">
        <v>689</v>
      </c>
      <c r="J644" s="430" t="s">
        <v>96</v>
      </c>
      <c r="K644" s="430"/>
      <c r="L644" s="430"/>
      <c r="M644" s="430" t="s">
        <v>68</v>
      </c>
      <c r="N644" s="432">
        <v>46167</v>
      </c>
      <c r="O644" s="430" t="s">
        <v>4540</v>
      </c>
      <c r="P644" s="430" t="s">
        <v>4606</v>
      </c>
      <c r="Q644" s="430" t="s">
        <v>4607</v>
      </c>
      <c r="R644" s="430" t="str">
        <f>_xlfn.XLOOKUP(PV_DATA[[#This Row],[New Ark SKU]],Table9[New Ark SKU],Table9[Connector],,0)</f>
        <v>H4(Com)</v>
      </c>
      <c r="S644" s="442" t="str">
        <f>_xlfn.XLOOKUP(PV_DATA[[#This Row],[New Ark SKU]],Table9[New Ark SKU],Table9[Cable],,0)</f>
        <v>+400mm/-200mm</v>
      </c>
      <c r="T644" s="433">
        <v>630</v>
      </c>
      <c r="U644" s="1062">
        <f>720*4</f>
        <v>2880</v>
      </c>
      <c r="V644" s="434">
        <f>PV_DATA[[#This Row],[QUANTITY]]*PV_DATA[[#This Row],[WATT]]/1000000</f>
        <v>1.8144</v>
      </c>
      <c r="W644" s="435">
        <f>PV_DATA[[#This Row],[QUANTITY]]/PV_DATA[[#This Row],[Qty/Pallet]]</f>
        <v>80</v>
      </c>
      <c r="X644" s="1015">
        <f>PV_DATA[[#This Row],[QUANTITY]]/PV_DATA[[#This Row],[Qty/CT]]</f>
        <v>4</v>
      </c>
      <c r="Y644" s="430" t="s">
        <v>4367</v>
      </c>
      <c r="Z644" s="430" t="str">
        <f t="shared" si="7"/>
        <v>COMPLETED</v>
      </c>
      <c r="AA644" s="430" t="s">
        <v>4986</v>
      </c>
      <c r="AB644" s="437">
        <v>46187</v>
      </c>
      <c r="AC644" s="485">
        <f>IF(PV_DATA[[#This Row],[Pick-Up Date]]&lt;&gt;"",_xlfn.ISOWEEKNUM(PV_DATA[[#This Row],[Pick-Up Date]]),"")</f>
        <v>24</v>
      </c>
      <c r="AD644" s="430" t="s">
        <v>5086</v>
      </c>
      <c r="AE644" s="430"/>
      <c r="AF644" s="430" t="s">
        <v>122</v>
      </c>
      <c r="AG644" s="430" t="s">
        <v>123</v>
      </c>
      <c r="AH644" s="430" t="s">
        <v>78</v>
      </c>
      <c r="AI644" s="437">
        <v>46196</v>
      </c>
      <c r="AK644" s="437">
        <v>46198</v>
      </c>
      <c r="AL644" s="437">
        <v>46238</v>
      </c>
      <c r="AM644" s="441">
        <f>IFERROR(IF(VLOOKUP(AT644, Vessel!A:H, 8, FALSE)=0, "", VLOOKUP(AT644, Vessel!A:H, 8, FALSE)), "")</f>
        <v>46242.25</v>
      </c>
      <c r="AN644" s="586">
        <v>46242.239039351851</v>
      </c>
      <c r="AO644" s="430" t="s">
        <v>402</v>
      </c>
      <c r="AP644" s="430" t="s">
        <v>5087</v>
      </c>
      <c r="AQ644" s="430" t="s">
        <v>80</v>
      </c>
      <c r="AR644" s="430" t="s">
        <v>5088</v>
      </c>
      <c r="AS644" s="430" t="s">
        <v>5089</v>
      </c>
      <c r="AT644" s="430" t="s">
        <v>5089</v>
      </c>
      <c r="AU64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44.239039351850806</v>
      </c>
      <c r="AV644" s="437"/>
      <c r="AW644" s="437" cm="1">
        <f t="array" ref="AW64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46242.239039351851</v>
      </c>
      <c r="AX64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44" s="437">
        <f>IF(ISERROR(PV_DATA[[#This Row],[New Ark PO status]]),"",_xlfn.XLOOKUP(PV_DATA[[#This Row],[SPTN-PVHK New Ark PO'#]],New_Ark_Data[Purchase order Number],New_Ark_Data[Estimated time of arrival],"",0))</f>
        <v>46254</v>
      </c>
      <c r="AZ644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44" s="437">
        <f>IFERROR(PV_DATA[[#This Row],[ODP ETA Port]]+PV_DATA[[#This Row],[Customs/Leg3 Assumption]],"n/a")</f>
        <v>46250.239039351851</v>
      </c>
      <c r="BB644" s="433">
        <f>YEAR(PV_DATA[[#This Row],[ETA for New Ark update]])</f>
        <v>2026</v>
      </c>
      <c r="BC644" s="430">
        <f>MONTH(PV_DATA[[#This Row],[ETA for New Ark update]])</f>
        <v>8</v>
      </c>
      <c r="BD644" s="430">
        <f>IFERROR(_xlfn.ISOWEEKNUM(PV_DATA[[#This Row],[ETA for New Ark update]]),0)</f>
        <v>33</v>
      </c>
      <c r="BE644" s="430">
        <f>_xlfn.XLOOKUP(PV_DATA[[#This Row],[New Ark SKU]],Table9[New Ark SKU],Table9[Total PCS per Pallet],,0)</f>
        <v>36</v>
      </c>
      <c r="BF644" s="430">
        <f>_xlfn.XLOOKUP(PV_DATA[[#This Row],[New Ark SKU]],Table9[New Ark SKU],Table9[Total PCS per 40HQ Container],,0)</f>
        <v>720</v>
      </c>
      <c r="BG644" s="431" t="str">
        <f>_xlfn.XLOOKUP(PV_DATA[[#This Row],[New Ark SKU]],Table9[New Ark SKU],Table9[Back Glass],,0)</f>
        <v>Transparent</v>
      </c>
      <c r="BH644" s="430" t="str">
        <f>_xlfn.XLOOKUP(PV_DATA[[#This Row],[PORT DESTINATION]],Table12[PORT DESTINATION],Table12[Cosco Line],,0)</f>
        <v>AEM</v>
      </c>
      <c r="BJ644" s="430"/>
    </row>
    <row r="645" spans="1:62" ht="10.5" hidden="1">
      <c r="A645" s="462" t="s">
        <v>5090</v>
      </c>
      <c r="B645" s="462" t="s">
        <v>111</v>
      </c>
      <c r="C645" s="462" t="str">
        <f>IFERROR(LEFT(PV_DATA[[#This Row],[TCL REFERENCE]],FIND(".",PV_DATA[[#This Row],[TCL REFERENCE]],1)-1),"Main Line")</f>
        <v>26May012</v>
      </c>
      <c r="D645" s="462" t="s">
        <v>63</v>
      </c>
      <c r="E645" s="462" t="s">
        <v>64</v>
      </c>
      <c r="F645" s="462" t="s">
        <v>65</v>
      </c>
      <c r="G645" s="462" t="s">
        <v>402</v>
      </c>
      <c r="H645" s="462" t="s">
        <v>67</v>
      </c>
      <c r="I645" s="462" t="s">
        <v>689</v>
      </c>
      <c r="J645" s="430" t="s">
        <v>96</v>
      </c>
      <c r="K645" s="430"/>
      <c r="L645" s="430"/>
      <c r="M645" s="430" t="s">
        <v>68</v>
      </c>
      <c r="N645" s="432">
        <v>46167</v>
      </c>
      <c r="O645" s="430" t="s">
        <v>4540</v>
      </c>
      <c r="P645" s="430" t="s">
        <v>4606</v>
      </c>
      <c r="Q645" s="430" t="s">
        <v>4607</v>
      </c>
      <c r="R645" s="430" t="str">
        <f>_xlfn.XLOOKUP(PV_DATA[[#This Row],[New Ark SKU]],Table9[New Ark SKU],Table9[Connector],,0)</f>
        <v>H4(Com)</v>
      </c>
      <c r="S645" s="442" t="str">
        <f>_xlfn.XLOOKUP(PV_DATA[[#This Row],[New Ark SKU]],Table9[New Ark SKU],Table9[Cable],,0)</f>
        <v>+400mm/-200mm</v>
      </c>
      <c r="T645" s="433">
        <v>630</v>
      </c>
      <c r="U645" s="1062">
        <v>2160</v>
      </c>
      <c r="V645" s="434">
        <f>PV_DATA[[#This Row],[QUANTITY]]*PV_DATA[[#This Row],[WATT]]/1000000</f>
        <v>1.3608</v>
      </c>
      <c r="W645" s="435">
        <f>PV_DATA[[#This Row],[QUANTITY]]/PV_DATA[[#This Row],[Qty/Pallet]]</f>
        <v>60</v>
      </c>
      <c r="X645" s="1015">
        <v>3</v>
      </c>
      <c r="Y645" s="430" t="s">
        <v>4366</v>
      </c>
      <c r="Z645" s="430" t="str">
        <f t="shared" si="7"/>
        <v>COMPLETED</v>
      </c>
      <c r="AA645" s="545" t="s">
        <v>5091</v>
      </c>
      <c r="AB645" s="437">
        <v>46187</v>
      </c>
      <c r="AC645" s="485">
        <f>IF(PV_DATA[[#This Row],[Pick-Up Date]]&lt;&gt;"",_xlfn.ISOWEEKNUM(PV_DATA[[#This Row],[Pick-Up Date]]),"")</f>
        <v>24</v>
      </c>
      <c r="AD645" s="430" t="s">
        <v>5092</v>
      </c>
      <c r="AE645" s="430"/>
      <c r="AF645" s="430" t="s">
        <v>122</v>
      </c>
      <c r="AG645" s="430" t="s">
        <v>123</v>
      </c>
      <c r="AH645" s="430" t="s">
        <v>78</v>
      </c>
      <c r="AI645" s="437">
        <v>46196</v>
      </c>
      <c r="AK645" s="437">
        <v>46198</v>
      </c>
      <c r="AL645" s="437">
        <v>46238</v>
      </c>
      <c r="AM645" s="441">
        <f>IFERROR(IF(VLOOKUP(AT645, Vessel!A:H, 8, FALSE)=0, "", VLOOKUP(AT645, Vessel!A:H, 8, FALSE)), "")</f>
        <v>46242.25</v>
      </c>
      <c r="AN645" s="586">
        <v>46242.239039351851</v>
      </c>
      <c r="AO645" s="430" t="s">
        <v>402</v>
      </c>
      <c r="AP645" s="430" t="s">
        <v>5087</v>
      </c>
      <c r="AQ645" s="430" t="s">
        <v>80</v>
      </c>
      <c r="AR645" s="430" t="s">
        <v>5088</v>
      </c>
      <c r="AS645" s="430" t="s">
        <v>5089</v>
      </c>
      <c r="AT645" s="430" t="s">
        <v>5089</v>
      </c>
      <c r="AU64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44.239039351850806</v>
      </c>
      <c r="AV645" s="437"/>
      <c r="AW645" s="437" cm="1">
        <f t="array" ref="AW64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46242.239039351851</v>
      </c>
      <c r="AX64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45" s="437">
        <f>IF(ISERROR(PV_DATA[[#This Row],[New Ark PO status]]),"",_xlfn.XLOOKUP(PV_DATA[[#This Row],[SPTN-PVHK New Ark PO'#]],New_Ark_Data[Purchase order Number],New_Ark_Data[Estimated time of arrival],"",0))</f>
        <v>46254</v>
      </c>
      <c r="AZ645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45" s="437">
        <f>IFERROR(PV_DATA[[#This Row],[ODP ETA Port]]+PV_DATA[[#This Row],[Customs/Leg3 Assumption]],"n/a")</f>
        <v>46250.239039351851</v>
      </c>
      <c r="BB645" s="433">
        <f>YEAR(PV_DATA[[#This Row],[ETA for New Ark update]])</f>
        <v>2026</v>
      </c>
      <c r="BC645" s="430">
        <f>MONTH(PV_DATA[[#This Row],[ETA for New Ark update]])</f>
        <v>8</v>
      </c>
      <c r="BD645" s="430">
        <f>IFERROR(_xlfn.ISOWEEKNUM(PV_DATA[[#This Row],[ETA for New Ark update]]),0)</f>
        <v>33</v>
      </c>
      <c r="BE645" s="430">
        <f>_xlfn.XLOOKUP(PV_DATA[[#This Row],[New Ark SKU]],Table9[New Ark SKU],Table9[Total PCS per Pallet],,0)</f>
        <v>36</v>
      </c>
      <c r="BF645" s="430">
        <f>_xlfn.XLOOKUP(PV_DATA[[#This Row],[New Ark SKU]],Table9[New Ark SKU],Table9[Total PCS per 40HQ Container],,0)</f>
        <v>720</v>
      </c>
      <c r="BG645" s="431" t="str">
        <f>_xlfn.XLOOKUP(PV_DATA[[#This Row],[New Ark SKU]],Table9[New Ark SKU],Table9[Back Glass],,0)</f>
        <v>Transparent</v>
      </c>
      <c r="BH645" s="430" t="str">
        <f>_xlfn.XLOOKUP(PV_DATA[[#This Row],[PORT DESTINATION]],Table12[PORT DESTINATION],Table12[Cosco Line],,0)</f>
        <v>AEM</v>
      </c>
      <c r="BJ645" s="430"/>
    </row>
    <row r="646" spans="1:62" ht="12" hidden="1" customHeight="1">
      <c r="A646" s="462" t="s">
        <v>5093</v>
      </c>
      <c r="B646" s="462" t="s">
        <v>111</v>
      </c>
      <c r="C646" s="462" t="str">
        <f>IFERROR(LEFT(PV_DATA[[#This Row],[TCL REFERENCE]],FIND(".",PV_DATA[[#This Row],[TCL REFERENCE]],1)-1),"Main Line")</f>
        <v>26May012</v>
      </c>
      <c r="D646" s="462" t="s">
        <v>63</v>
      </c>
      <c r="E646" s="462" t="s">
        <v>64</v>
      </c>
      <c r="F646" s="462" t="str" cm="1">
        <f t="array" ref="F64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46" s="462" t="s">
        <v>402</v>
      </c>
      <c r="H646" s="713" t="s">
        <v>67</v>
      </c>
      <c r="I646" s="462" t="s">
        <v>689</v>
      </c>
      <c r="J646" s="430" t="s">
        <v>96</v>
      </c>
      <c r="K646" s="430"/>
      <c r="L646" s="430"/>
      <c r="M646" s="430" t="s">
        <v>68</v>
      </c>
      <c r="N646" s="432">
        <v>46167</v>
      </c>
      <c r="O646" s="430" t="s">
        <v>4540</v>
      </c>
      <c r="P646" s="430" t="s">
        <v>4606</v>
      </c>
      <c r="Q646" s="430" t="s">
        <v>4607</v>
      </c>
      <c r="R646" s="430" t="str">
        <f>_xlfn.XLOOKUP(PV_DATA[[#This Row],[New Ark SKU]],Table9[New Ark SKU],Table9[Connector],,0)</f>
        <v>H4(Com)</v>
      </c>
      <c r="S646" s="442" t="str">
        <f>_xlfn.XLOOKUP(PV_DATA[[#This Row],[New Ark SKU]],Table9[New Ark SKU],Table9[Cable],,0)</f>
        <v>+400mm/-200mm</v>
      </c>
      <c r="T646" s="433">
        <v>630</v>
      </c>
      <c r="U646" s="1062">
        <v>2160</v>
      </c>
      <c r="V646" s="434">
        <f>PV_DATA[[#This Row],[QUANTITY]]*PV_DATA[[#This Row],[WATT]]/1000000</f>
        <v>1.3608</v>
      </c>
      <c r="W646" s="435">
        <f>PV_DATA[[#This Row],[QUANTITY]]/PV_DATA[[#This Row],[Qty/Pallet]]</f>
        <v>60</v>
      </c>
      <c r="X646" s="1015">
        <f>PV_DATA[[#This Row],[QUANTITY]]/PV_DATA[[#This Row],[Qty/CT]]</f>
        <v>3</v>
      </c>
      <c r="Y646" s="430" t="s">
        <v>4366</v>
      </c>
      <c r="Z646" s="430" t="str">
        <f t="shared" si="7"/>
        <v>COMPLETED</v>
      </c>
      <c r="AA646" s="430" t="s">
        <v>5091</v>
      </c>
      <c r="AB646" s="437">
        <v>46187</v>
      </c>
      <c r="AC646" s="485">
        <f>IF(PV_DATA[[#This Row],[Pick-Up Date]]&lt;&gt;"",_xlfn.ISOWEEKNUM(PV_DATA[[#This Row],[Pick-Up Date]]),"")</f>
        <v>24</v>
      </c>
      <c r="AD646" s="430" t="s">
        <v>5094</v>
      </c>
      <c r="AE646" s="430"/>
      <c r="AF646" s="430" t="s">
        <v>122</v>
      </c>
      <c r="AG646" s="430" t="s">
        <v>123</v>
      </c>
      <c r="AH646" s="430" t="s">
        <v>78</v>
      </c>
      <c r="AI646" s="437">
        <v>46199</v>
      </c>
      <c r="AJ646" s="437">
        <v>46201</v>
      </c>
      <c r="AK646" s="437">
        <v>46201</v>
      </c>
      <c r="AL646" s="437">
        <v>46251</v>
      </c>
      <c r="AM646" s="586"/>
      <c r="AN646" s="586">
        <v>46259.238761574074</v>
      </c>
      <c r="AO646" s="430" t="s">
        <v>402</v>
      </c>
      <c r="AP646" s="430" t="s">
        <v>5095</v>
      </c>
      <c r="AQ646" s="430" t="s">
        <v>80</v>
      </c>
      <c r="AR646" s="430" t="s">
        <v>5096</v>
      </c>
      <c r="AS646" s="430" t="s">
        <v>5097</v>
      </c>
      <c r="AT646" s="430" t="s">
        <v>5097</v>
      </c>
      <c r="AU64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58.238761574073578</v>
      </c>
      <c r="AV646" s="437"/>
      <c r="AW646" s="437" cm="1">
        <f t="array" ref="AW64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46259.238761574074</v>
      </c>
      <c r="AX64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46" s="437">
        <f>IF(ISERROR(PV_DATA[[#This Row],[New Ark PO status]]),"",_xlfn.XLOOKUP(PV_DATA[[#This Row],[SPTN-PVHK New Ark PO'#]],New_Ark_Data[Purchase order Number],New_Ark_Data[Estimated time of arrival],"",0))</f>
        <v>46272</v>
      </c>
      <c r="AZ646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46" s="437">
        <f>IFERROR(PV_DATA[[#This Row],[ODP ETA Port]]+PV_DATA[[#This Row],[Customs/Leg3 Assumption]],"n/a")</f>
        <v>46267.238761574074</v>
      </c>
      <c r="BB646" s="433">
        <f>YEAR(PV_DATA[[#This Row],[ETA for New Ark update]])</f>
        <v>2026</v>
      </c>
      <c r="BC646" s="430">
        <f>MONTH(PV_DATA[[#This Row],[ETA for New Ark update]])</f>
        <v>9</v>
      </c>
      <c r="BD646" s="430">
        <f>IFERROR(_xlfn.ISOWEEKNUM(PV_DATA[[#This Row],[ETA for New Ark update]]),0)</f>
        <v>36</v>
      </c>
      <c r="BE646" s="430">
        <f>_xlfn.XLOOKUP(PV_DATA[[#This Row],[New Ark SKU]],Table9[New Ark SKU],Table9[Total PCS per Pallet],,0)</f>
        <v>36</v>
      </c>
      <c r="BF646" s="430">
        <f>_xlfn.XLOOKUP(PV_DATA[[#This Row],[New Ark SKU]],Table9[New Ark SKU],Table9[Total PCS per 40HQ Container],,0)</f>
        <v>720</v>
      </c>
      <c r="BG646" s="431" t="str">
        <f>_xlfn.XLOOKUP(PV_DATA[[#This Row],[New Ark SKU]],Table9[New Ark SKU],Table9[Back Glass],,0)</f>
        <v>Transparent</v>
      </c>
      <c r="BH646" s="430" t="str">
        <f>_xlfn.XLOOKUP(PV_DATA[[#This Row],[PORT DESTINATION]],Table12[PORT DESTINATION],Table12[Cosco Line],,0)</f>
        <v>AEM</v>
      </c>
      <c r="BJ646" s="430"/>
    </row>
    <row r="647" spans="1:62" ht="12.5" hidden="1">
      <c r="A647" s="462" t="s">
        <v>5098</v>
      </c>
      <c r="B647" s="462" t="s">
        <v>4930</v>
      </c>
      <c r="C647" s="462" t="str">
        <f>IFERROR(LEFT(PV_DATA[[#This Row],[TCL REFERENCE]],FIND(".",PV_DATA[[#This Row],[TCL REFERENCE]],1)-1),"Main Line")</f>
        <v>26Jun008</v>
      </c>
      <c r="D647" s="462" t="s">
        <v>63</v>
      </c>
      <c r="E647" s="462" t="s">
        <v>64</v>
      </c>
      <c r="F647" s="462" t="str" cm="1">
        <f t="array" ref="F64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47" s="462" t="s">
        <v>402</v>
      </c>
      <c r="H647" s="462" t="s">
        <v>67</v>
      </c>
      <c r="I647" s="462" t="s">
        <v>689</v>
      </c>
      <c r="J647" s="430" t="s">
        <v>1047</v>
      </c>
      <c r="K647" s="1485"/>
      <c r="L647" s="430"/>
      <c r="M647" s="430" t="s">
        <v>68</v>
      </c>
      <c r="N647" s="432">
        <v>46188</v>
      </c>
      <c r="O647" s="430" t="s">
        <v>4540</v>
      </c>
      <c r="P647" s="430" t="s">
        <v>5099</v>
      </c>
      <c r="Q647" s="430" t="s">
        <v>330</v>
      </c>
      <c r="R647" s="430" t="str">
        <f>_xlfn.XLOOKUP(PV_DATA[[#This Row],[New Ark SKU]],Table9[New Ark SKU],Table9[Connector],,0)</f>
        <v>H4(Com)</v>
      </c>
      <c r="S647" s="442" t="str">
        <f>_xlfn.XLOOKUP(PV_DATA[[#This Row],[New Ark SKU]],Table9[New Ark SKU],Table9[Cable],,0)</f>
        <v>±1400mm</v>
      </c>
      <c r="T647" s="433">
        <v>625</v>
      </c>
      <c r="U647" s="1062">
        <f>720*1</f>
        <v>720</v>
      </c>
      <c r="V647" s="434">
        <f>PV_DATA[[#This Row],[QUANTITY]]*PV_DATA[[#This Row],[WATT]]/1000000</f>
        <v>0.45</v>
      </c>
      <c r="W647" s="435">
        <f>PV_DATA[[#This Row],[QUANTITY]]/PV_DATA[[#This Row],[Qty/Pallet]]</f>
        <v>20</v>
      </c>
      <c r="X647" s="1015">
        <f>PV_DATA[[#This Row],[QUANTITY]]/PV_DATA[[#This Row],[Qty/CT]]</f>
        <v>1</v>
      </c>
      <c r="Y647" s="430" t="s">
        <v>4367</v>
      </c>
      <c r="Z647" s="430" t="str">
        <f t="shared" si="7"/>
        <v>COMPLETED</v>
      </c>
      <c r="AA647" s="430" t="s">
        <v>5100</v>
      </c>
      <c r="AB647" s="437">
        <v>46193</v>
      </c>
      <c r="AC647" s="485">
        <f>IF(PV_DATA[[#This Row],[Pick-Up Date]]&lt;&gt;"",_xlfn.ISOWEEKNUM(PV_DATA[[#This Row],[Pick-Up Date]]),"")</f>
        <v>25</v>
      </c>
      <c r="AD647" s="430" t="s">
        <v>5101</v>
      </c>
      <c r="AE647" s="430"/>
      <c r="AF647" s="430" t="s">
        <v>122</v>
      </c>
      <c r="AG647" s="430" t="s">
        <v>123</v>
      </c>
      <c r="AH647" s="430" t="s">
        <v>78</v>
      </c>
      <c r="AI647" s="437">
        <v>46199</v>
      </c>
      <c r="AJ647" s="437">
        <v>46201</v>
      </c>
      <c r="AK647" s="437">
        <v>46201</v>
      </c>
      <c r="AL647" s="437">
        <v>46251</v>
      </c>
      <c r="AM647" s="586"/>
      <c r="AN647" s="586">
        <v>46259.238761574074</v>
      </c>
      <c r="AO647" s="430" t="s">
        <v>402</v>
      </c>
      <c r="AP647" s="430" t="s">
        <v>5095</v>
      </c>
      <c r="AQ647" s="430" t="s">
        <v>80</v>
      </c>
      <c r="AR647" s="430" t="s">
        <v>5102</v>
      </c>
      <c r="AS647" s="430" t="s">
        <v>5103</v>
      </c>
      <c r="AT647" s="430" t="s">
        <v>5103</v>
      </c>
      <c r="AU64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58.238761574073578</v>
      </c>
      <c r="AV647" s="437"/>
      <c r="AW647" s="437" cm="1">
        <f t="array" ref="AW64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46259.238761574074</v>
      </c>
      <c r="AX64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47" s="437">
        <f>IF(ISERROR(PV_DATA[[#This Row],[New Ark PO status]]),"",_xlfn.XLOOKUP(PV_DATA[[#This Row],[SPTN-PVHK New Ark PO'#]],New_Ark_Data[Purchase order Number],New_Ark_Data[Estimated time of arrival],"",0))</f>
        <v>46272</v>
      </c>
      <c r="AZ647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47" s="437">
        <f>IFERROR(PV_DATA[[#This Row],[ODP ETA Port]]+PV_DATA[[#This Row],[Customs/Leg3 Assumption]],"n/a")</f>
        <v>46267.238761574074</v>
      </c>
      <c r="BB647" s="433">
        <f>YEAR(PV_DATA[[#This Row],[ETA for New Ark update]])</f>
        <v>2026</v>
      </c>
      <c r="BC647" s="430">
        <f>MONTH(PV_DATA[[#This Row],[ETA for New Ark update]])</f>
        <v>9</v>
      </c>
      <c r="BD647" s="430">
        <f>IFERROR(_xlfn.ISOWEEKNUM(PV_DATA[[#This Row],[ETA for New Ark update]]),0)</f>
        <v>36</v>
      </c>
      <c r="BE647" s="430">
        <f>_xlfn.XLOOKUP(PV_DATA[[#This Row],[New Ark SKU]],Table9[New Ark SKU],Table9[Total PCS per Pallet],,0)</f>
        <v>36</v>
      </c>
      <c r="BF647" s="430">
        <f>_xlfn.XLOOKUP(PV_DATA[[#This Row],[New Ark SKU]],Table9[New Ark SKU],Table9[Total PCS per 40HQ Container],,0)</f>
        <v>720</v>
      </c>
      <c r="BG647" s="431" t="str">
        <f>_xlfn.XLOOKUP(PV_DATA[[#This Row],[New Ark SKU]],Table9[New Ark SKU],Table9[Back Glass],,0)</f>
        <v>Transparent</v>
      </c>
      <c r="BH647" s="430" t="str">
        <f>_xlfn.XLOOKUP(PV_DATA[[#This Row],[PORT DESTINATION]],Table12[PORT DESTINATION],Table12[Cosco Line],,0)</f>
        <v>AEM</v>
      </c>
      <c r="BJ647" s="430"/>
    </row>
    <row r="648" spans="1:62" ht="10.5" hidden="1">
      <c r="A648" s="462" t="s">
        <v>5104</v>
      </c>
      <c r="B648" s="462" t="s">
        <v>5105</v>
      </c>
      <c r="C648" s="462" t="str">
        <f>IFERROR(LEFT(PV_DATA[[#This Row],[TCL REFERENCE]],FIND(".",PV_DATA[[#This Row],[TCL REFERENCE]],1)-1),"Main Line")</f>
        <v>26Jun008</v>
      </c>
      <c r="D648" s="462" t="s">
        <v>63</v>
      </c>
      <c r="E648" s="462" t="s">
        <v>64</v>
      </c>
      <c r="F648" s="462" t="str" cm="1">
        <f t="array" ref="F64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48" s="462" t="s">
        <v>402</v>
      </c>
      <c r="H648" s="462" t="s">
        <v>67</v>
      </c>
      <c r="I648" s="462" t="s">
        <v>689</v>
      </c>
      <c r="J648" s="430" t="s">
        <v>1047</v>
      </c>
      <c r="K648" s="430"/>
      <c r="L648" s="430"/>
      <c r="M648" s="430" t="s">
        <v>68</v>
      </c>
      <c r="N648" s="432">
        <v>46188</v>
      </c>
      <c r="O648" s="430" t="s">
        <v>4540</v>
      </c>
      <c r="P648" s="430" t="s">
        <v>5099</v>
      </c>
      <c r="Q648" s="430" t="s">
        <v>330</v>
      </c>
      <c r="R648" s="430" t="str">
        <f>_xlfn.XLOOKUP(PV_DATA[[#This Row],[New Ark SKU]],Table9[New Ark SKU],Table9[Connector],,0)</f>
        <v>H4(Com)</v>
      </c>
      <c r="S648" s="442" t="str">
        <f>_xlfn.XLOOKUP(PV_DATA[[#This Row],[New Ark SKU]],Table9[New Ark SKU],Table9[Cable],,0)</f>
        <v>±1400mm</v>
      </c>
      <c r="T648" s="433">
        <v>625</v>
      </c>
      <c r="U648" s="1062">
        <f>720*2</f>
        <v>1440</v>
      </c>
      <c r="V648" s="434">
        <f>PV_DATA[[#This Row],[QUANTITY]]*PV_DATA[[#This Row],[WATT]]/1000000</f>
        <v>0.9</v>
      </c>
      <c r="W648" s="435">
        <f>PV_DATA[[#This Row],[QUANTITY]]/PV_DATA[[#This Row],[Qty/Pallet]]</f>
        <v>40</v>
      </c>
      <c r="X648" s="1015">
        <f>PV_DATA[[#This Row],[QUANTITY]]/PV_DATA[[#This Row],[Qty/CT]]</f>
        <v>2</v>
      </c>
      <c r="Y648" s="430" t="s">
        <v>4367</v>
      </c>
      <c r="Z648" s="430" t="str">
        <f t="shared" si="7"/>
        <v>COMPLETED</v>
      </c>
      <c r="AA648" s="430" t="s">
        <v>5106</v>
      </c>
      <c r="AB648" s="437">
        <v>46193</v>
      </c>
      <c r="AC648" s="485">
        <f>IF(PV_DATA[[#This Row],[Pick-Up Date]]&lt;&gt;"",_xlfn.ISOWEEKNUM(PV_DATA[[#This Row],[Pick-Up Date]]),"")</f>
        <v>25</v>
      </c>
      <c r="AD648" s="430" t="s">
        <v>5107</v>
      </c>
      <c r="AE648" s="430"/>
      <c r="AF648" s="430" t="s">
        <v>122</v>
      </c>
      <c r="AG648" s="430" t="s">
        <v>123</v>
      </c>
      <c r="AH648" s="430" t="s">
        <v>78</v>
      </c>
      <c r="AI648" s="437">
        <v>46199</v>
      </c>
      <c r="AJ648" s="437">
        <v>46201</v>
      </c>
      <c r="AK648" s="437">
        <v>46201</v>
      </c>
      <c r="AL648" s="437">
        <v>46251</v>
      </c>
      <c r="AM648" s="586"/>
      <c r="AN648" s="586">
        <v>46259.238761574074</v>
      </c>
      <c r="AO648" s="430" t="s">
        <v>402</v>
      </c>
      <c r="AP648" s="430" t="s">
        <v>5095</v>
      </c>
      <c r="AQ648" s="430" t="s">
        <v>80</v>
      </c>
      <c r="AR648" s="430" t="s">
        <v>5102</v>
      </c>
      <c r="AS648" s="430" t="s">
        <v>5103</v>
      </c>
      <c r="AT648" s="430" t="s">
        <v>5103</v>
      </c>
      <c r="AU64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58.238761574073578</v>
      </c>
      <c r="AV648" s="437"/>
      <c r="AW648" s="437" cm="1">
        <f t="array" ref="AW64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46259.238761574074</v>
      </c>
      <c r="AX64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48" s="437">
        <f>IF(ISERROR(PV_DATA[[#This Row],[New Ark PO status]]),"",_xlfn.XLOOKUP(PV_DATA[[#This Row],[SPTN-PVHK New Ark PO'#]],New_Ark_Data[Purchase order Number],New_Ark_Data[Estimated time of arrival],"",0))</f>
        <v>46272</v>
      </c>
      <c r="AZ648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48" s="437">
        <f>IFERROR(PV_DATA[[#This Row],[ODP ETA Port]]+PV_DATA[[#This Row],[Customs/Leg3 Assumption]],"n/a")</f>
        <v>46267.238761574074</v>
      </c>
      <c r="BB648" s="433">
        <f>YEAR(PV_DATA[[#This Row],[ETA for New Ark update]])</f>
        <v>2026</v>
      </c>
      <c r="BC648" s="430">
        <f>MONTH(PV_DATA[[#This Row],[ETA for New Ark update]])</f>
        <v>9</v>
      </c>
      <c r="BD648" s="430">
        <f>IFERROR(_xlfn.ISOWEEKNUM(PV_DATA[[#This Row],[ETA for New Ark update]]),0)</f>
        <v>36</v>
      </c>
      <c r="BE648" s="430">
        <f>_xlfn.XLOOKUP(PV_DATA[[#This Row],[New Ark SKU]],Table9[New Ark SKU],Table9[Total PCS per Pallet],,0)</f>
        <v>36</v>
      </c>
      <c r="BF648" s="430">
        <f>_xlfn.XLOOKUP(PV_DATA[[#This Row],[New Ark SKU]],Table9[New Ark SKU],Table9[Total PCS per 40HQ Container],,0)</f>
        <v>720</v>
      </c>
      <c r="BG648" s="431" t="str">
        <f>_xlfn.XLOOKUP(PV_DATA[[#This Row],[New Ark SKU]],Table9[New Ark SKU],Table9[Back Glass],,0)</f>
        <v>Transparent</v>
      </c>
      <c r="BH648" s="430" t="str">
        <f>_xlfn.XLOOKUP(PV_DATA[[#This Row],[PORT DESTINATION]],Table12[PORT DESTINATION],Table12[Cosco Line],,0)</f>
        <v>AEM</v>
      </c>
      <c r="BJ648" s="430"/>
    </row>
    <row r="649" spans="1:62" ht="10.5" hidden="1">
      <c r="A649" s="462" t="s">
        <v>5108</v>
      </c>
      <c r="B649" s="462" t="s">
        <v>111</v>
      </c>
      <c r="C649" s="462" t="str">
        <f>IFERROR(LEFT(PV_DATA[[#This Row],[TCL REFERENCE]],FIND(".",PV_DATA[[#This Row],[TCL REFERENCE]],1)-1),"Main Line")</f>
        <v>26Jun003</v>
      </c>
      <c r="D649" s="462" t="s">
        <v>63</v>
      </c>
      <c r="E649" s="462" t="s">
        <v>64</v>
      </c>
      <c r="F649" s="462" t="str" cm="1">
        <f t="array" ref="F64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49" s="462" t="s">
        <v>402</v>
      </c>
      <c r="H649" s="462" t="s">
        <v>67</v>
      </c>
      <c r="I649" s="462" t="s">
        <v>689</v>
      </c>
      <c r="J649" s="430" t="s">
        <v>96</v>
      </c>
      <c r="K649" s="430"/>
      <c r="L649" s="430"/>
      <c r="M649" s="430" t="s">
        <v>68</v>
      </c>
      <c r="N649" s="432">
        <v>46188</v>
      </c>
      <c r="O649" s="430" t="s">
        <v>132</v>
      </c>
      <c r="P649" s="430" t="s">
        <v>189</v>
      </c>
      <c r="Q649" s="430" t="s">
        <v>190</v>
      </c>
      <c r="R649" s="430" t="str">
        <f>_xlfn.XLOOKUP(PV_DATA[[#This Row],[New Ark SKU]],Table9[New Ark SKU],Table9[Connector],,0)</f>
        <v>EVO2A</v>
      </c>
      <c r="S649" s="442" t="str">
        <f>_xlfn.XLOOKUP(PV_DATA[[#This Row],[New Ark SKU]],Table9[New Ark SKU],Table9[Cable],,0)</f>
        <v>±1200mm</v>
      </c>
      <c r="T649" s="433">
        <v>465</v>
      </c>
      <c r="U649" s="1062">
        <f>864*5</f>
        <v>4320</v>
      </c>
      <c r="V649" s="434">
        <f>PV_DATA[[#This Row],[QUANTITY]]*PV_DATA[[#This Row],[WATT]]/1000000</f>
        <v>2.0087999999999999</v>
      </c>
      <c r="W649" s="435">
        <f>PV_DATA[[#This Row],[QUANTITY]]/PV_DATA[[#This Row],[Qty/Pallet]]</f>
        <v>120</v>
      </c>
      <c r="X649" s="1015">
        <f>PV_DATA[[#This Row],[QUANTITY]]/PV_DATA[[#This Row],[Qty/CT]]</f>
        <v>5</v>
      </c>
      <c r="Y649" s="430" t="s">
        <v>4367</v>
      </c>
      <c r="Z649" s="430" t="str">
        <f t="shared" si="7"/>
        <v>COMPLETED</v>
      </c>
      <c r="AA649" s="430" t="s">
        <v>5047</v>
      </c>
      <c r="AB649" s="437">
        <v>46192</v>
      </c>
      <c r="AC649" s="485">
        <f>IF(PV_DATA[[#This Row],[Pick-Up Date]]&lt;&gt;"",_xlfn.ISOWEEKNUM(PV_DATA[[#This Row],[Pick-Up Date]]),"")</f>
        <v>25</v>
      </c>
      <c r="AD649" s="430" t="s">
        <v>5109</v>
      </c>
      <c r="AE649" s="430"/>
      <c r="AF649" s="430" t="s">
        <v>122</v>
      </c>
      <c r="AG649" s="430" t="s">
        <v>123</v>
      </c>
      <c r="AH649" s="430" t="s">
        <v>78</v>
      </c>
      <c r="AI649" s="437">
        <v>46199</v>
      </c>
      <c r="AJ649" s="437">
        <v>46201</v>
      </c>
      <c r="AK649" s="437">
        <v>46201</v>
      </c>
      <c r="AL649" s="437">
        <v>46251</v>
      </c>
      <c r="AM649" s="586"/>
      <c r="AN649" s="586">
        <v>46259.238761574074</v>
      </c>
      <c r="AO649" s="430" t="s">
        <v>402</v>
      </c>
      <c r="AP649" s="430" t="s">
        <v>5095</v>
      </c>
      <c r="AQ649" s="430" t="s">
        <v>80</v>
      </c>
      <c r="AR649" s="430" t="s">
        <v>5102</v>
      </c>
      <c r="AS649" s="430" t="s">
        <v>5103</v>
      </c>
      <c r="AT649" s="430" t="s">
        <v>5103</v>
      </c>
      <c r="AU64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58.238761574073578</v>
      </c>
      <c r="AV649" s="437"/>
      <c r="AW649" s="437" cm="1">
        <f t="array" ref="AW64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46259.238761574074</v>
      </c>
      <c r="AX64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49" s="437">
        <f>IF(ISERROR(PV_DATA[[#This Row],[New Ark PO status]]),"",_xlfn.XLOOKUP(PV_DATA[[#This Row],[SPTN-PVHK New Ark PO'#]],New_Ark_Data[Purchase order Number],New_Ark_Data[Estimated time of arrival],"",0))</f>
        <v>46272</v>
      </c>
      <c r="AZ649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49" s="437">
        <f>IFERROR(PV_DATA[[#This Row],[ODP ETA Port]]+PV_DATA[[#This Row],[Customs/Leg3 Assumption]],"n/a")</f>
        <v>46267.238761574074</v>
      </c>
      <c r="BB649" s="433">
        <f>YEAR(PV_DATA[[#This Row],[ETA for New Ark update]])</f>
        <v>2026</v>
      </c>
      <c r="BC649" s="430">
        <f>MONTH(PV_DATA[[#This Row],[ETA for New Ark update]])</f>
        <v>9</v>
      </c>
      <c r="BD649" s="430">
        <f>IFERROR(_xlfn.ISOWEEKNUM(PV_DATA[[#This Row],[ETA for New Ark update]]),0)</f>
        <v>36</v>
      </c>
      <c r="BE649" s="430">
        <f>_xlfn.XLOOKUP(PV_DATA[[#This Row],[New Ark SKU]],Table9[New Ark SKU],Table9[Total PCS per Pallet],,0)</f>
        <v>36</v>
      </c>
      <c r="BF649" s="430">
        <f>_xlfn.XLOOKUP(PV_DATA[[#This Row],[New Ark SKU]],Table9[New Ark SKU],Table9[Total PCS per 40HQ Container],,0)</f>
        <v>864</v>
      </c>
      <c r="BG649" s="431" t="str">
        <f>_xlfn.XLOOKUP(PV_DATA[[#This Row],[New Ark SKU]],Table9[New Ark SKU],Table9[Back Glass],,0)</f>
        <v>White glazing</v>
      </c>
      <c r="BH649" s="430" t="str">
        <f>_xlfn.XLOOKUP(PV_DATA[[#This Row],[PORT DESTINATION]],Table12[PORT DESTINATION],Table12[Cosco Line],,0)</f>
        <v>AEM</v>
      </c>
      <c r="BJ649" s="430"/>
    </row>
    <row r="650" spans="1:62" ht="10.5" hidden="1">
      <c r="A650" s="462" t="s">
        <v>5110</v>
      </c>
      <c r="B650" s="462" t="s">
        <v>2132</v>
      </c>
      <c r="C650" s="462" t="str">
        <f>IFERROR(LEFT(PV_DATA[[#This Row],[TCL REFERENCE]],FIND(".",PV_DATA[[#This Row],[TCL REFERENCE]],1)-1),"Main Line")</f>
        <v>26Jun007</v>
      </c>
      <c r="D650" s="462" t="s">
        <v>63</v>
      </c>
      <c r="E650" s="462" t="s">
        <v>64</v>
      </c>
      <c r="F650" s="462" t="str" cm="1">
        <f t="array" ref="F65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50" s="462" t="s">
        <v>402</v>
      </c>
      <c r="H650" s="462" t="s">
        <v>67</v>
      </c>
      <c r="I650" s="462" t="s">
        <v>689</v>
      </c>
      <c r="J650" s="430" t="s">
        <v>1047</v>
      </c>
      <c r="K650" s="430"/>
      <c r="L650" s="430"/>
      <c r="M650" s="430" t="s">
        <v>68</v>
      </c>
      <c r="N650" s="432">
        <v>46188</v>
      </c>
      <c r="O650" s="430" t="s">
        <v>4540</v>
      </c>
      <c r="P650" s="430" t="s">
        <v>5111</v>
      </c>
      <c r="Q650" s="430" t="s">
        <v>103</v>
      </c>
      <c r="R650" s="430" t="str">
        <f>_xlfn.XLOOKUP(PV_DATA[[#This Row],[New Ark SKU]],Table9[New Ark SKU],Table9[Connector],,0)</f>
        <v>H4(Com)</v>
      </c>
      <c r="S650" s="442" t="str">
        <f>_xlfn.XLOOKUP(PV_DATA[[#This Row],[New Ark SKU]],Table9[New Ark SKU],Table9[Cable],,0)</f>
        <v>±1400mm</v>
      </c>
      <c r="T650" s="433">
        <v>620</v>
      </c>
      <c r="U650" s="1062">
        <f>720*6</f>
        <v>4320</v>
      </c>
      <c r="V650" s="434">
        <f>PV_DATA[[#This Row],[QUANTITY]]*PV_DATA[[#This Row],[WATT]]/1000000</f>
        <v>2.6783999999999999</v>
      </c>
      <c r="W650" s="435">
        <f>PV_DATA[[#This Row],[QUANTITY]]/PV_DATA[[#This Row],[Qty/Pallet]]</f>
        <v>120</v>
      </c>
      <c r="X650" s="1015">
        <f>PV_DATA[[#This Row],[QUANTITY]]/PV_DATA[[#This Row],[Qty/CT]]</f>
        <v>6</v>
      </c>
      <c r="Y650" s="430" t="s">
        <v>4367</v>
      </c>
      <c r="Z650" s="430" t="str">
        <f t="shared" si="7"/>
        <v>COMPLETED</v>
      </c>
      <c r="AA650" s="430" t="s">
        <v>5047</v>
      </c>
      <c r="AB650" s="437">
        <v>46194</v>
      </c>
      <c r="AC650" s="485">
        <f>IF(PV_DATA[[#This Row],[Pick-Up Date]]&lt;&gt;"",_xlfn.ISOWEEKNUM(PV_DATA[[#This Row],[Pick-Up Date]]),"")</f>
        <v>25</v>
      </c>
      <c r="AD650" s="430" t="s">
        <v>5112</v>
      </c>
      <c r="AE650" s="430"/>
      <c r="AF650" s="430" t="s">
        <v>122</v>
      </c>
      <c r="AG650" s="430" t="s">
        <v>123</v>
      </c>
      <c r="AH650" s="430" t="s">
        <v>78</v>
      </c>
      <c r="AI650" s="437">
        <v>46199</v>
      </c>
      <c r="AJ650" s="437">
        <v>46201</v>
      </c>
      <c r="AK650" s="437">
        <v>46201</v>
      </c>
      <c r="AL650" s="437">
        <v>46251</v>
      </c>
      <c r="AM650" s="586"/>
      <c r="AN650" s="586">
        <v>46259.238761574074</v>
      </c>
      <c r="AO650" s="430" t="s">
        <v>402</v>
      </c>
      <c r="AP650" s="430" t="s">
        <v>5095</v>
      </c>
      <c r="AQ650" s="430" t="s">
        <v>80</v>
      </c>
      <c r="AR650" s="430" t="s">
        <v>5113</v>
      </c>
      <c r="AS650" s="430" t="s">
        <v>5114</v>
      </c>
      <c r="AT650" s="430" t="s">
        <v>5114</v>
      </c>
      <c r="AU65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58.238761574073578</v>
      </c>
      <c r="AV650" s="437"/>
      <c r="AW650" s="437" cm="1">
        <f t="array" ref="AW65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46259.238761574074</v>
      </c>
      <c r="AX65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50" s="437">
        <f>IF(ISERROR(PV_DATA[[#This Row],[New Ark PO status]]),"",_xlfn.XLOOKUP(PV_DATA[[#This Row],[SPTN-PVHK New Ark PO'#]],New_Ark_Data[Purchase order Number],New_Ark_Data[Estimated time of arrival],"",0))</f>
        <v>46272</v>
      </c>
      <c r="AZ650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50" s="437">
        <f>IFERROR(PV_DATA[[#This Row],[ODP ETA Port]]+PV_DATA[[#This Row],[Customs/Leg3 Assumption]],"n/a")</f>
        <v>46267.238761574074</v>
      </c>
      <c r="BB650" s="433">
        <f>YEAR(PV_DATA[[#This Row],[ETA for New Ark update]])</f>
        <v>2026</v>
      </c>
      <c r="BC650" s="430">
        <f>MONTH(PV_DATA[[#This Row],[ETA for New Ark update]])</f>
        <v>9</v>
      </c>
      <c r="BD650" s="430">
        <f>IFERROR(_xlfn.ISOWEEKNUM(PV_DATA[[#This Row],[ETA for New Ark update]]),0)</f>
        <v>36</v>
      </c>
      <c r="BE650" s="430">
        <f>_xlfn.XLOOKUP(PV_DATA[[#This Row],[New Ark SKU]],Table9[New Ark SKU],Table9[Total PCS per Pallet],,0)</f>
        <v>36</v>
      </c>
      <c r="BF650" s="430">
        <f>_xlfn.XLOOKUP(PV_DATA[[#This Row],[New Ark SKU]],Table9[New Ark SKU],Table9[Total PCS per 40HQ Container],,0)</f>
        <v>720</v>
      </c>
      <c r="BG650" s="431" t="str">
        <f>_xlfn.XLOOKUP(PV_DATA[[#This Row],[New Ark SKU]],Table9[New Ark SKU],Table9[Back Glass],,0)</f>
        <v>Transparent</v>
      </c>
      <c r="BH650" s="430" t="str">
        <f>_xlfn.XLOOKUP(PV_DATA[[#This Row],[PORT DESTINATION]],Table12[PORT DESTINATION],Table12[Cosco Line],,0)</f>
        <v>AEM</v>
      </c>
      <c r="BJ650" s="430"/>
    </row>
    <row r="651" spans="1:62" ht="10.5" hidden="1">
      <c r="A651" s="462" t="s">
        <v>5115</v>
      </c>
      <c r="B651" s="462" t="s">
        <v>111</v>
      </c>
      <c r="C651" s="462" t="str">
        <f>IFERROR(LEFT(PV_DATA[[#This Row],[TCL REFERENCE]],FIND(".",PV_DATA[[#This Row],[TCL REFERENCE]],1)-1),"Main Line")</f>
        <v>26Jun004</v>
      </c>
      <c r="D651" s="462" t="s">
        <v>63</v>
      </c>
      <c r="E651" s="462" t="s">
        <v>64</v>
      </c>
      <c r="F651" s="462" t="str" cm="1">
        <f t="array" ref="F65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51" s="462" t="s">
        <v>402</v>
      </c>
      <c r="H651" s="462" t="s">
        <v>67</v>
      </c>
      <c r="I651" s="462" t="s">
        <v>689</v>
      </c>
      <c r="J651" s="430" t="s">
        <v>96</v>
      </c>
      <c r="K651" s="430"/>
      <c r="L651" s="430"/>
      <c r="M651" s="430" t="s">
        <v>68</v>
      </c>
      <c r="N651" s="432">
        <v>46188</v>
      </c>
      <c r="O651" s="430" t="s">
        <v>132</v>
      </c>
      <c r="P651" s="430" t="s">
        <v>1062</v>
      </c>
      <c r="Q651" s="430" t="s">
        <v>1063</v>
      </c>
      <c r="R651" s="430" t="str">
        <f>_xlfn.XLOOKUP(PV_DATA[[#This Row],[New Ark SKU]],Table9[New Ark SKU],Table9[Connector],,0)</f>
        <v>EVO2A</v>
      </c>
      <c r="S651" s="442" t="str">
        <f>_xlfn.XLOOKUP(PV_DATA[[#This Row],[New Ark SKU]],Table9[New Ark SKU],Table9[Cable],,0)</f>
        <v>±1200mm</v>
      </c>
      <c r="T651" s="433">
        <v>470</v>
      </c>
      <c r="U651" s="1062">
        <v>2592</v>
      </c>
      <c r="V651" s="434">
        <f>PV_DATA[[#This Row],[QUANTITY]]*PV_DATA[[#This Row],[WATT]]/1000000</f>
        <v>1.21824</v>
      </c>
      <c r="W651" s="435">
        <f>PV_DATA[[#This Row],[QUANTITY]]/PV_DATA[[#This Row],[Qty/Pallet]]</f>
        <v>72</v>
      </c>
      <c r="X651" s="1015">
        <f>PV_DATA[[#This Row],[QUANTITY]]/PV_DATA[[#This Row],[Qty/CT]]</f>
        <v>3</v>
      </c>
      <c r="Y651" s="459" t="s">
        <v>4367</v>
      </c>
      <c r="Z651" s="430" t="str">
        <f t="shared" si="7"/>
        <v>COMPLETED</v>
      </c>
      <c r="AA651" s="430" t="s">
        <v>5116</v>
      </c>
      <c r="AB651" s="437">
        <v>46191</v>
      </c>
      <c r="AC651" s="485">
        <f>IF(PV_DATA[[#This Row],[Pick-Up Date]]&lt;&gt;"",_xlfn.ISOWEEKNUM(PV_DATA[[#This Row],[Pick-Up Date]]),"")</f>
        <v>25</v>
      </c>
      <c r="AD651" s="430" t="s">
        <v>5117</v>
      </c>
      <c r="AE651" s="430"/>
      <c r="AF651" s="430" t="s">
        <v>122</v>
      </c>
      <c r="AG651" s="430" t="s">
        <v>123</v>
      </c>
      <c r="AH651" s="430" t="s">
        <v>78</v>
      </c>
      <c r="AI651" s="437">
        <v>46199</v>
      </c>
      <c r="AJ651" s="437">
        <v>46201</v>
      </c>
      <c r="AK651" s="437">
        <v>46201</v>
      </c>
      <c r="AL651" s="437">
        <v>46251</v>
      </c>
      <c r="AM651" s="586"/>
      <c r="AN651" s="586">
        <v>46259.238761574074</v>
      </c>
      <c r="AO651" s="430" t="s">
        <v>402</v>
      </c>
      <c r="AP651" s="430" t="s">
        <v>5095</v>
      </c>
      <c r="AQ651" s="430" t="s">
        <v>80</v>
      </c>
      <c r="AR651" s="430" t="s">
        <v>5118</v>
      </c>
      <c r="AS651" s="430" t="s">
        <v>5119</v>
      </c>
      <c r="AT651" s="430" t="s">
        <v>5119</v>
      </c>
      <c r="AU65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58.238761574073578</v>
      </c>
      <c r="AV651" s="437"/>
      <c r="AW651" s="437" cm="1">
        <f t="array" ref="AW65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46259.238761574074</v>
      </c>
      <c r="AX65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51" s="437">
        <f>IF(ISERROR(PV_DATA[[#This Row],[New Ark PO status]]),"",_xlfn.XLOOKUP(PV_DATA[[#This Row],[SPTN-PVHK New Ark PO'#]],New_Ark_Data[Purchase order Number],New_Ark_Data[Estimated time of arrival],"",0))</f>
        <v>46272</v>
      </c>
      <c r="AZ651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51" s="437">
        <f>IFERROR(PV_DATA[[#This Row],[ODP ETA Port]]+PV_DATA[[#This Row],[Customs/Leg3 Assumption]],"n/a")</f>
        <v>46267.238761574074</v>
      </c>
      <c r="BB651" s="433">
        <f>YEAR(PV_DATA[[#This Row],[ETA for New Ark update]])</f>
        <v>2026</v>
      </c>
      <c r="BC651" s="430">
        <f>MONTH(PV_DATA[[#This Row],[ETA for New Ark update]])</f>
        <v>9</v>
      </c>
      <c r="BD651" s="430">
        <f>IFERROR(_xlfn.ISOWEEKNUM(PV_DATA[[#This Row],[ETA for New Ark update]]),0)</f>
        <v>36</v>
      </c>
      <c r="BE651" s="430">
        <f>_xlfn.XLOOKUP(PV_DATA[[#This Row],[New Ark SKU]],Table9[New Ark SKU],Table9[Total PCS per Pallet],,0)</f>
        <v>36</v>
      </c>
      <c r="BF651" s="430">
        <f>_xlfn.XLOOKUP(PV_DATA[[#This Row],[New Ark SKU]],Table9[New Ark SKU],Table9[Total PCS per 40HQ Container],,0)</f>
        <v>864</v>
      </c>
      <c r="BG651" s="431" t="str">
        <f>_xlfn.XLOOKUP(PV_DATA[[#This Row],[New Ark SKU]],Table9[New Ark SKU],Table9[Back Glass],,0)</f>
        <v>White glazing</v>
      </c>
      <c r="BH651" s="430" t="str">
        <f>_xlfn.XLOOKUP(PV_DATA[[#This Row],[PORT DESTINATION]],Table12[PORT DESTINATION],Table12[Cosco Line],,0)</f>
        <v>AEM</v>
      </c>
      <c r="BJ651" s="430"/>
    </row>
    <row r="652" spans="1:62" ht="10.5" hidden="1">
      <c r="A652" s="462" t="s">
        <v>5120</v>
      </c>
      <c r="B652" s="462" t="s">
        <v>111</v>
      </c>
      <c r="C652" s="462" t="str">
        <f>IFERROR(LEFT(PV_DATA[[#This Row],[TCL REFERENCE]],FIND(".",PV_DATA[[#This Row],[TCL REFERENCE]],1)-1),"Main Line")</f>
        <v>26May011</v>
      </c>
      <c r="D652" s="462" t="s">
        <v>63</v>
      </c>
      <c r="E652" s="462" t="s">
        <v>64</v>
      </c>
      <c r="F652" s="462" t="str" cm="1">
        <f t="array" ref="F65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652" s="462" t="s">
        <v>402</v>
      </c>
      <c r="H652" s="719" t="s">
        <v>311</v>
      </c>
      <c r="I652" s="462" t="s">
        <v>689</v>
      </c>
      <c r="J652" s="430" t="s">
        <v>96</v>
      </c>
      <c r="K652" s="430"/>
      <c r="L652" s="430"/>
      <c r="M652" s="430" t="s">
        <v>68</v>
      </c>
      <c r="N652" s="432">
        <v>46167</v>
      </c>
      <c r="O652" s="430" t="s">
        <v>4540</v>
      </c>
      <c r="P652" s="430" t="s">
        <v>4601</v>
      </c>
      <c r="Q652" s="430" t="s">
        <v>330</v>
      </c>
      <c r="R652" s="430" t="str">
        <f>_xlfn.XLOOKUP(PV_DATA[[#This Row],[New Ark SKU]],Table9[New Ark SKU],Table9[Connector],,0)</f>
        <v>H4(Com)</v>
      </c>
      <c r="S652" s="442" t="str">
        <f>_xlfn.XLOOKUP(PV_DATA[[#This Row],[New Ark SKU]],Table9[New Ark SKU],Table9[Cable],,0)</f>
        <v>+400mm/-200mm</v>
      </c>
      <c r="T652" s="433">
        <v>625</v>
      </c>
      <c r="U652" s="1062">
        <f>720*3</f>
        <v>2160</v>
      </c>
      <c r="V652" s="544">
        <f>PV_DATA[[#This Row],[QUANTITY]]*PV_DATA[[#This Row],[WATT]]/1000000</f>
        <v>1.35</v>
      </c>
      <c r="W652" s="435">
        <f>PV_DATA[[#This Row],[QUANTITY]]/PV_DATA[[#This Row],[Qty/Pallet]]</f>
        <v>60</v>
      </c>
      <c r="X652" s="1015">
        <f>PV_DATA[[#This Row],[QUANTITY]]/PV_DATA[[#This Row],[Qty/CT]]</f>
        <v>3</v>
      </c>
      <c r="Y652" s="430" t="s">
        <v>4367</v>
      </c>
      <c r="Z652" s="430" t="str">
        <f t="shared" si="7"/>
        <v>COMPLETED</v>
      </c>
      <c r="AA652" s="430" t="s">
        <v>4989</v>
      </c>
      <c r="AB652" s="437">
        <v>46192</v>
      </c>
      <c r="AC652" s="485">
        <f>IF(PV_DATA[[#This Row],[Pick-Up Date]]&lt;&gt;"",_xlfn.ISOWEEKNUM(PV_DATA[[#This Row],[Pick-Up Date]]),"")</f>
        <v>25</v>
      </c>
      <c r="AD652" s="430" t="s">
        <v>5121</v>
      </c>
      <c r="AE652" s="430"/>
      <c r="AF652" s="430" t="s">
        <v>122</v>
      </c>
      <c r="AG652" s="430" t="s">
        <v>123</v>
      </c>
      <c r="AH652" s="431" t="s">
        <v>1561</v>
      </c>
      <c r="AI652" s="437">
        <v>46201</v>
      </c>
      <c r="AJ652" s="437">
        <v>46205</v>
      </c>
      <c r="AK652" s="437">
        <v>46205</v>
      </c>
      <c r="AL652" s="437">
        <v>46250</v>
      </c>
      <c r="AM652" s="586">
        <v>46264</v>
      </c>
      <c r="AN652" s="586">
        <v>46264</v>
      </c>
      <c r="AO652" s="430" t="s">
        <v>402</v>
      </c>
      <c r="AP652" s="430" t="s">
        <v>5122</v>
      </c>
      <c r="AQ652" s="438" t="s">
        <v>80</v>
      </c>
      <c r="AR652" s="430" t="s">
        <v>5123</v>
      </c>
      <c r="AS652" s="430" t="s">
        <v>5124</v>
      </c>
      <c r="AT652" s="430" t="s">
        <v>5124</v>
      </c>
      <c r="AU65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V652" s="437"/>
      <c r="AW652" s="437" cm="1">
        <f t="array" ref="AW65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46264</v>
      </c>
      <c r="AX65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52" s="437">
        <f>IF(ISERROR(PV_DATA[[#This Row],[New Ark PO status]]),"",_xlfn.XLOOKUP(PV_DATA[[#This Row],[SPTN-PVHK New Ark PO'#]],New_Ark_Data[Purchase order Number],New_Ark_Data[Estimated time of arrival],"",0))</f>
        <v>46279</v>
      </c>
      <c r="AZ652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652" s="437">
        <f>IFERROR(PV_DATA[[#This Row],[ODP ETA Port]]+PV_DATA[[#This Row],[Customs/Leg3 Assumption]],"n/a")</f>
        <v>46274</v>
      </c>
      <c r="BB652" s="433">
        <f>YEAR(PV_DATA[[#This Row],[ETA for New Ark update]])</f>
        <v>2026</v>
      </c>
      <c r="BC652" s="430">
        <f>MONTH(PV_DATA[[#This Row],[ETA for New Ark update]])</f>
        <v>9</v>
      </c>
      <c r="BD652" s="430">
        <f>IFERROR(_xlfn.ISOWEEKNUM(PV_DATA[[#This Row],[ETA for New Ark update]]),0)</f>
        <v>37</v>
      </c>
      <c r="BE652" s="430">
        <f>_xlfn.XLOOKUP(PV_DATA[[#This Row],[New Ark SKU]],Table9[New Ark SKU],Table9[Total PCS per Pallet],,0)</f>
        <v>36</v>
      </c>
      <c r="BF652" s="430">
        <f>_xlfn.XLOOKUP(PV_DATA[[#This Row],[New Ark SKU]],Table9[New Ark SKU],Table9[Total PCS per 40HQ Container],,0)</f>
        <v>720</v>
      </c>
      <c r="BG652" s="431" t="str">
        <f>_xlfn.XLOOKUP(PV_DATA[[#This Row],[New Ark SKU]],Table9[New Ark SKU],Table9[Back Glass],,0)</f>
        <v>Transparent</v>
      </c>
      <c r="BH652" s="430" t="str">
        <f>_xlfn.XLOOKUP(PV_DATA[[#This Row],[PORT DESTINATION]],Table12[PORT DESTINATION],Table12[Cosco Line],,0)</f>
        <v>AEM</v>
      </c>
      <c r="BJ652" s="430"/>
    </row>
    <row r="653" spans="1:62" ht="10.5" hidden="1">
      <c r="A653" s="462" t="s">
        <v>5125</v>
      </c>
      <c r="B653" s="462" t="s">
        <v>111</v>
      </c>
      <c r="C653" s="462" t="str">
        <f>IFERROR(LEFT(PV_DATA[[#This Row],[TCL REFERENCE]],FIND(".",PV_DATA[[#This Row],[TCL REFERENCE]],1)-1),"Main Line")</f>
        <v>26Jun028</v>
      </c>
      <c r="D653" s="462" t="s">
        <v>63</v>
      </c>
      <c r="E653" s="462" t="s">
        <v>64</v>
      </c>
      <c r="F653" s="462" t="str" cm="1">
        <f t="array" ref="F65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653" s="462" t="s">
        <v>402</v>
      </c>
      <c r="H653" s="462" t="s">
        <v>311</v>
      </c>
      <c r="I653" s="462" t="s">
        <v>689</v>
      </c>
      <c r="J653" s="430" t="s">
        <v>96</v>
      </c>
      <c r="K653" s="430"/>
      <c r="L653" s="430"/>
      <c r="M653" s="430"/>
      <c r="N653" s="432">
        <v>46174</v>
      </c>
      <c r="O653" s="430" t="s">
        <v>132</v>
      </c>
      <c r="P653" s="430" t="s">
        <v>133</v>
      </c>
      <c r="Q653" s="430" t="s">
        <v>134</v>
      </c>
      <c r="R653" s="430" t="str">
        <f>_xlfn.XLOOKUP(PV_DATA[[#This Row],[New Ark SKU]],Table9[New Ark SKU],Table9[Connector],,0)</f>
        <v>EVO2A</v>
      </c>
      <c r="S653" s="442" t="str">
        <f>_xlfn.XLOOKUP(PV_DATA[[#This Row],[New Ark SKU]],Table9[New Ark SKU],Table9[Cable],,0)</f>
        <v>±1400mm</v>
      </c>
      <c r="T653" s="433">
        <v>720</v>
      </c>
      <c r="U653" s="1062">
        <f>594*2</f>
        <v>1188</v>
      </c>
      <c r="V653" s="434">
        <f>PV_DATA[[#This Row],[QUANTITY]]*PV_DATA[[#This Row],[WATT]]/1000000</f>
        <v>0.85536000000000001</v>
      </c>
      <c r="W653" s="435">
        <f>PV_DATA[[#This Row],[QUANTITY]]/PV_DATA[[#This Row],[Qty/Pallet]]</f>
        <v>36</v>
      </c>
      <c r="X653" s="1015">
        <f>PV_DATA[[#This Row],[QUANTITY]]/PV_DATA[[#This Row],[Qty/CT]]</f>
        <v>2</v>
      </c>
      <c r="Y653" s="430" t="s">
        <v>4367</v>
      </c>
      <c r="Z653" s="430" t="str">
        <f t="shared" si="7"/>
        <v>COMPLETED</v>
      </c>
      <c r="AA653" s="430" t="s">
        <v>5126</v>
      </c>
      <c r="AB653" s="437">
        <v>46192</v>
      </c>
      <c r="AC653" s="485">
        <f>IF(PV_DATA[[#This Row],[Pick-Up Date]]&lt;&gt;"",_xlfn.ISOWEEKNUM(PV_DATA[[#This Row],[Pick-Up Date]]),"")</f>
        <v>25</v>
      </c>
      <c r="AD653" s="430" t="s">
        <v>5127</v>
      </c>
      <c r="AE653" s="430"/>
      <c r="AF653" s="430" t="s">
        <v>122</v>
      </c>
      <c r="AG653" s="430" t="s">
        <v>123</v>
      </c>
      <c r="AH653" s="430" t="s">
        <v>1561</v>
      </c>
      <c r="AI653" s="437">
        <v>46201</v>
      </c>
      <c r="AJ653" s="437">
        <v>46205</v>
      </c>
      <c r="AK653" s="437">
        <v>46205</v>
      </c>
      <c r="AL653" s="437">
        <v>46250</v>
      </c>
      <c r="AM653" s="586">
        <f>IFERROR(VLOOKUP(AT653, Vessel!A:H, 8, FALSE), "")</f>
        <v>46264.25</v>
      </c>
      <c r="AN653" s="586">
        <v>46264</v>
      </c>
      <c r="AO653" s="430" t="s">
        <v>402</v>
      </c>
      <c r="AP653" s="430" t="s">
        <v>5122</v>
      </c>
      <c r="AQ653" s="438" t="s">
        <v>80</v>
      </c>
      <c r="AR653" s="430" t="s">
        <v>5123</v>
      </c>
      <c r="AS653" s="430" t="s">
        <v>5124</v>
      </c>
      <c r="AT653" s="430" t="s">
        <v>5124</v>
      </c>
      <c r="AU65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W653" s="437" cm="1">
        <f t="array" ref="AW65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46264</v>
      </c>
      <c r="AX65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53" s="437">
        <f>IF(ISERROR(PV_DATA[[#This Row],[New Ark PO status]]),"",_xlfn.XLOOKUP(PV_DATA[[#This Row],[SPTN-PVHK New Ark PO'#]],New_Ark_Data[Purchase order Number],New_Ark_Data[Estimated time of arrival],"",0))</f>
        <v>46279</v>
      </c>
      <c r="AZ653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653" s="437">
        <f>IFERROR(PV_DATA[[#This Row],[ODP ETA Port]]+PV_DATA[[#This Row],[Customs/Leg3 Assumption]],"n/a")</f>
        <v>46274</v>
      </c>
      <c r="BB653" s="433">
        <f>YEAR(PV_DATA[[#This Row],[ETA for New Ark update]])</f>
        <v>2026</v>
      </c>
      <c r="BC653" s="430">
        <f>MONTH(PV_DATA[[#This Row],[ETA for New Ark update]])</f>
        <v>9</v>
      </c>
      <c r="BD653" s="430">
        <f>IFERROR(_xlfn.ISOWEEKNUM(PV_DATA[[#This Row],[ETA for New Ark update]]),0)</f>
        <v>37</v>
      </c>
      <c r="BE653" s="430">
        <f>_xlfn.XLOOKUP(PV_DATA[[#This Row],[New Ark SKU]],Table9[New Ark SKU],Table9[Total PCS per Pallet],,0)</f>
        <v>33</v>
      </c>
      <c r="BF653" s="430">
        <f>_xlfn.XLOOKUP(PV_DATA[[#This Row],[New Ark SKU]],Table9[New Ark SKU],Table9[Total PCS per 40HQ Container],,0)</f>
        <v>594</v>
      </c>
      <c r="BG653" s="431" t="str">
        <f>_xlfn.XLOOKUP(PV_DATA[[#This Row],[New Ark SKU]],Table9[New Ark SKU],Table9[Back Glass],,0)</f>
        <v>White glazing</v>
      </c>
      <c r="BH653" s="430" t="str">
        <f>_xlfn.XLOOKUP(PV_DATA[[#This Row],[PORT DESTINATION]],Table12[PORT DESTINATION],Table12[Cosco Line],,0)</f>
        <v>AEM</v>
      </c>
      <c r="BJ653" s="430"/>
    </row>
    <row r="654" spans="1:62" ht="10.5" hidden="1">
      <c r="A654" s="462" t="s">
        <v>5128</v>
      </c>
      <c r="B654" s="462" t="s">
        <v>61</v>
      </c>
      <c r="C654" s="462" t="s">
        <v>4897</v>
      </c>
      <c r="D654" s="462" t="s">
        <v>63</v>
      </c>
      <c r="E654" s="462" t="s">
        <v>64</v>
      </c>
      <c r="F654" s="462" t="s">
        <v>100</v>
      </c>
      <c r="G654" s="462" t="s">
        <v>402</v>
      </c>
      <c r="H654" s="462" t="s">
        <v>67</v>
      </c>
      <c r="I654" s="462" t="s">
        <v>689</v>
      </c>
      <c r="J654" s="430" t="s">
        <v>96</v>
      </c>
      <c r="K654" s="430"/>
      <c r="L654" s="430"/>
      <c r="M654" s="430" t="s">
        <v>68</v>
      </c>
      <c r="N654" s="432">
        <v>45809</v>
      </c>
      <c r="O654" s="430" t="s">
        <v>4540</v>
      </c>
      <c r="P654" s="430" t="s">
        <v>195</v>
      </c>
      <c r="Q654" s="430" t="s">
        <v>196</v>
      </c>
      <c r="R654" s="430" t="str">
        <f>_xlfn.XLOOKUP(PV_DATA[[#This Row],[New Ark SKU]],Table9[New Ark SKU],Table9[Connector],,0)</f>
        <v>EVO2A</v>
      </c>
      <c r="S654" s="442" t="str">
        <f>_xlfn.XLOOKUP(PV_DATA[[#This Row],[New Ark SKU]],Table9[New Ark SKU],Table9[Cable],,0)</f>
        <v>±1200mm</v>
      </c>
      <c r="T654" s="433">
        <v>450</v>
      </c>
      <c r="U654" s="1062">
        <v>936</v>
      </c>
      <c r="V654" s="434">
        <f>PV_DATA[[#This Row],[QUANTITY]]*PV_DATA[[#This Row],[WATT]]/1000000</f>
        <v>0.42120000000000002</v>
      </c>
      <c r="W654" s="435">
        <f>PV_DATA[[#This Row],[QUANTITY]]/PV_DATA[[#This Row],[Qty/Pallet]]</f>
        <v>26</v>
      </c>
      <c r="X654" s="1015">
        <v>1</v>
      </c>
      <c r="Y654" s="430" t="s">
        <v>4365</v>
      </c>
      <c r="Z654" s="430" t="str">
        <f t="shared" si="7"/>
        <v>COMPLETED</v>
      </c>
      <c r="AA654" s="430" t="s">
        <v>4898</v>
      </c>
      <c r="AB654" s="437">
        <v>46190</v>
      </c>
      <c r="AC654" s="485">
        <f>IF(PV_DATA[[#This Row],[Pick-Up Date]]&lt;&gt;"",_xlfn.ISOWEEKNUM(PV_DATA[[#This Row],[Pick-Up Date]]),"")</f>
        <v>25</v>
      </c>
      <c r="AD654" s="430" t="s">
        <v>5129</v>
      </c>
      <c r="AE654" s="430"/>
      <c r="AF654" s="430" t="s">
        <v>77</v>
      </c>
      <c r="AG654" s="430" t="s">
        <v>61</v>
      </c>
      <c r="AH654" s="430" t="s">
        <v>105</v>
      </c>
      <c r="AI654" s="437">
        <v>46197</v>
      </c>
      <c r="AK654" s="437">
        <v>46197</v>
      </c>
      <c r="AL654" s="437">
        <v>46256</v>
      </c>
      <c r="AM654" s="586">
        <f>IFERROR(VLOOKUP(AT654, Vessel!A:H, 8, FALSE), "")</f>
        <v>46262.1875</v>
      </c>
      <c r="AN654" s="586">
        <v>46262</v>
      </c>
      <c r="AO654" s="430" t="s">
        <v>402</v>
      </c>
      <c r="AP654" s="430" t="s">
        <v>5130</v>
      </c>
      <c r="AQ654" s="430" t="s">
        <v>80</v>
      </c>
      <c r="AR654" s="430" t="s">
        <v>5131</v>
      </c>
      <c r="AS654" s="430" t="s">
        <v>5132</v>
      </c>
      <c r="AT654" s="430" t="s">
        <v>5132</v>
      </c>
      <c r="AU65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65</v>
      </c>
      <c r="AV654" s="437"/>
      <c r="AW654" s="437" cm="1">
        <f t="array" ref="AW65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46262</v>
      </c>
      <c r="AX65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54" s="437">
        <f>IF(ISERROR(PV_DATA[[#This Row],[New Ark PO status]]),"",_xlfn.XLOOKUP(PV_DATA[[#This Row],[SPTN-PVHK New Ark PO'#]],New_Ark_Data[Purchase order Number],New_Ark_Data[Estimated time of arrival],"",0))</f>
        <v>46276</v>
      </c>
      <c r="AZ654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654" s="437">
        <f>IFERROR(PV_DATA[[#This Row],[ODP ETA Port]]+PV_DATA[[#This Row],[Customs/Leg3 Assumption]],"n/a")</f>
        <v>46269</v>
      </c>
      <c r="BB654" s="433">
        <f>YEAR(PV_DATA[[#This Row],[ETA for New Ark update]])</f>
        <v>2026</v>
      </c>
      <c r="BC654" s="430">
        <f>MONTH(PV_DATA[[#This Row],[ETA for New Ark update]])</f>
        <v>9</v>
      </c>
      <c r="BD654" s="430">
        <f>IFERROR(_xlfn.ISOWEEKNUM(PV_DATA[[#This Row],[ETA for New Ark update]]),0)</f>
        <v>36</v>
      </c>
      <c r="BE654" s="430">
        <f>_xlfn.XLOOKUP(PV_DATA[[#This Row],[New Ark SKU]],Table9[New Ark SKU],Table9[Total PCS per Pallet],,0)</f>
        <v>36</v>
      </c>
      <c r="BF654" s="430">
        <f>_xlfn.XLOOKUP(PV_DATA[[#This Row],[New Ark SKU]],Table9[New Ark SKU],Table9[Total PCS per 40HQ Container],,0)</f>
        <v>936</v>
      </c>
      <c r="BG654" s="431" t="str">
        <f>_xlfn.XLOOKUP(PV_DATA[[#This Row],[New Ark SKU]],Table9[New Ark SKU],Table9[Back Glass],,0)</f>
        <v>Black glazing</v>
      </c>
      <c r="BH654" s="430" t="str">
        <f>_xlfn.XLOOKUP(PV_DATA[[#This Row],[PORT DESTINATION]],Table12[PORT DESTINATION],Table12[Cosco Line],,0)</f>
        <v>AEU</v>
      </c>
      <c r="BJ654" s="430"/>
    </row>
    <row r="655" spans="1:62" ht="10.5" hidden="1">
      <c r="A655" s="462" t="s">
        <v>5133</v>
      </c>
      <c r="B655" s="462" t="s">
        <v>61</v>
      </c>
      <c r="C655" s="462" t="str">
        <f>IFERROR(LEFT(PV_DATA[[#This Row],[TCL REFERENCE]],FIND(".",PV_DATA[[#This Row],[TCL REFERENCE]],1)-1),"Main Line")</f>
        <v>26May007</v>
      </c>
      <c r="D655" s="462" t="s">
        <v>63</v>
      </c>
      <c r="E655" s="462" t="s">
        <v>64</v>
      </c>
      <c r="F655" s="462" t="str" cm="1">
        <f t="array" ref="F65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655" s="462" t="s">
        <v>402</v>
      </c>
      <c r="H655" s="462" t="s">
        <v>67</v>
      </c>
      <c r="I655" s="462" t="s">
        <v>689</v>
      </c>
      <c r="J655" s="430" t="s">
        <v>96</v>
      </c>
      <c r="K655" s="430"/>
      <c r="L655" s="430"/>
      <c r="M655" s="430" t="s">
        <v>68</v>
      </c>
      <c r="N655" s="432">
        <v>45809</v>
      </c>
      <c r="O655" s="430" t="s">
        <v>4540</v>
      </c>
      <c r="P655" s="430" t="s">
        <v>195</v>
      </c>
      <c r="Q655" s="430" t="s">
        <v>196</v>
      </c>
      <c r="R655" s="430" t="str">
        <f>_xlfn.XLOOKUP(PV_DATA[[#This Row],[New Ark SKU]],Table9[New Ark SKU],Table9[Connector],,0)</f>
        <v>EVO2A</v>
      </c>
      <c r="S655" s="442" t="str">
        <f>_xlfn.XLOOKUP(PV_DATA[[#This Row],[New Ark SKU]],Table9[New Ark SKU],Table9[Cable],,0)</f>
        <v>±1200mm</v>
      </c>
      <c r="T655" s="433">
        <v>450</v>
      </c>
      <c r="U655" s="1062">
        <f>936*5</f>
        <v>4680</v>
      </c>
      <c r="V655" s="434">
        <f>PV_DATA[[#This Row],[QUANTITY]]*PV_DATA[[#This Row],[WATT]]/1000000</f>
        <v>2.1059999999999999</v>
      </c>
      <c r="W655" s="435">
        <f>PV_DATA[[#This Row],[QUANTITY]]/PV_DATA[[#This Row],[Qty/Pallet]]</f>
        <v>130</v>
      </c>
      <c r="X655" s="1015">
        <f>PV_DATA[[#This Row],[QUANTITY]]/PV_DATA[[#This Row],[Qty/CT]]</f>
        <v>5</v>
      </c>
      <c r="Y655" s="430" t="s">
        <v>4367</v>
      </c>
      <c r="Z655" s="430" t="str">
        <f t="shared" si="7"/>
        <v>COMPLETED</v>
      </c>
      <c r="AA655" s="430" t="s">
        <v>5134</v>
      </c>
      <c r="AB655" s="437">
        <v>46189</v>
      </c>
      <c r="AC655" s="485">
        <f>IF(PV_DATA[[#This Row],[Pick-Up Date]]&lt;&gt;"",_xlfn.ISOWEEKNUM(PV_DATA[[#This Row],[Pick-Up Date]]),"")</f>
        <v>25</v>
      </c>
      <c r="AD655" s="430" t="s">
        <v>5135</v>
      </c>
      <c r="AE655" s="430"/>
      <c r="AF655" s="430" t="s">
        <v>61</v>
      </c>
      <c r="AG655" s="430" t="s">
        <v>61</v>
      </c>
      <c r="AH655" s="430" t="s">
        <v>105</v>
      </c>
      <c r="AI655" s="437">
        <v>46197</v>
      </c>
      <c r="AK655" s="437">
        <v>46197</v>
      </c>
      <c r="AL655" s="437">
        <v>46238</v>
      </c>
      <c r="AM655" s="441">
        <f>IFERROR(IF(VLOOKUP(AT655, Vessel!A:H, 8, FALSE)=0, "", VLOOKUP(AT655, Vessel!A:H, 8, FALSE)), "")</f>
        <v>46244.291666666664</v>
      </c>
      <c r="AN655" s="586">
        <v>46244.348958333336</v>
      </c>
      <c r="AO655" s="430" t="s">
        <v>402</v>
      </c>
      <c r="AP655" s="430" t="s">
        <v>5130</v>
      </c>
      <c r="AQ655" s="430" t="s">
        <v>80</v>
      </c>
      <c r="AR655" s="430" t="s">
        <v>5136</v>
      </c>
      <c r="AS655" s="430" t="s">
        <v>5137</v>
      </c>
      <c r="AT655" s="430" t="s">
        <v>5137</v>
      </c>
      <c r="AU65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47.348958333335759</v>
      </c>
      <c r="AV655" s="437"/>
      <c r="AW655" s="437" cm="1">
        <f t="array" ref="AW65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46244.348958333336</v>
      </c>
      <c r="AX65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55" s="437">
        <f>IF(ISERROR(PV_DATA[[#This Row],[New Ark PO status]]),"",_xlfn.XLOOKUP(PV_DATA[[#This Row],[SPTN-PVHK New Ark PO'#]],New_Ark_Data[Purchase order Number],New_Ark_Data[Estimated time of arrival],"",0))</f>
        <v>46259</v>
      </c>
      <c r="AZ655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655" s="437">
        <f>IFERROR(PV_DATA[[#This Row],[ODP ETA Port]]+PV_DATA[[#This Row],[Customs/Leg3 Assumption]],"n/a")</f>
        <v>46251.348958333336</v>
      </c>
      <c r="BB655" s="433">
        <f>YEAR(PV_DATA[[#This Row],[ETA for New Ark update]])</f>
        <v>2026</v>
      </c>
      <c r="BC655" s="430">
        <f>MONTH(PV_DATA[[#This Row],[ETA for New Ark update]])</f>
        <v>8</v>
      </c>
      <c r="BD655" s="430">
        <f>IFERROR(_xlfn.ISOWEEKNUM(PV_DATA[[#This Row],[ETA for New Ark update]]),0)</f>
        <v>34</v>
      </c>
      <c r="BE655" s="430">
        <f>_xlfn.XLOOKUP(PV_DATA[[#This Row],[New Ark SKU]],Table9[New Ark SKU],Table9[Total PCS per Pallet],,0)</f>
        <v>36</v>
      </c>
      <c r="BF655" s="430">
        <f>_xlfn.XLOOKUP(PV_DATA[[#This Row],[New Ark SKU]],Table9[New Ark SKU],Table9[Total PCS per 40HQ Container],,0)</f>
        <v>936</v>
      </c>
      <c r="BG655" s="431" t="str">
        <f>_xlfn.XLOOKUP(PV_DATA[[#This Row],[New Ark SKU]],Table9[New Ark SKU],Table9[Back Glass],,0)</f>
        <v>Black glazing</v>
      </c>
      <c r="BH655" s="430" t="str">
        <f>_xlfn.XLOOKUP(PV_DATA[[#This Row],[PORT DESTINATION]],Table12[PORT DESTINATION],Table12[Cosco Line],,0)</f>
        <v>AEU</v>
      </c>
      <c r="BJ655" s="430"/>
    </row>
    <row r="656" spans="1:62" ht="10.5" hidden="1">
      <c r="A656" s="462" t="s">
        <v>5138</v>
      </c>
      <c r="B656" s="462" t="s">
        <v>61</v>
      </c>
      <c r="C656" s="462" t="str">
        <f>IFERROR(LEFT(PV_DATA[[#This Row],[TCL REFERENCE]],FIND(".",PV_DATA[[#This Row],[TCL REFERENCE]],1)-1),"Main Line")</f>
        <v>Main Line</v>
      </c>
      <c r="D656" s="462" t="s">
        <v>63</v>
      </c>
      <c r="E656" s="462" t="s">
        <v>64</v>
      </c>
      <c r="F656" s="462" t="str" cm="1">
        <f t="array" ref="F65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56" s="462" t="s">
        <v>402</v>
      </c>
      <c r="H656" s="462" t="s">
        <v>67</v>
      </c>
      <c r="I656" s="462" t="s">
        <v>689</v>
      </c>
      <c r="J656" s="430" t="s">
        <v>96</v>
      </c>
      <c r="K656" s="430"/>
      <c r="L656" s="430"/>
      <c r="M656" s="430" t="s">
        <v>68</v>
      </c>
      <c r="N656" s="432">
        <v>46174</v>
      </c>
      <c r="O656" s="430" t="s">
        <v>550</v>
      </c>
      <c r="P656" s="430" t="s">
        <v>551</v>
      </c>
      <c r="Q656" s="430" t="s">
        <v>2151</v>
      </c>
      <c r="R656" s="430" t="str">
        <f>_xlfn.XLOOKUP(PV_DATA[[#This Row],[New Ark SKU]],Table9[New Ark SKU],Table9[Connector],,0)</f>
        <v>EVO2A</v>
      </c>
      <c r="S656" s="442" t="str">
        <f>_xlfn.XLOOKUP(PV_DATA[[#This Row],[New Ark SKU]],Table9[New Ark SKU],Table9[Cable],,0)</f>
        <v>±1350mm</v>
      </c>
      <c r="T656" s="433">
        <v>510</v>
      </c>
      <c r="U656" s="1062">
        <f>1584*2</f>
        <v>3168</v>
      </c>
      <c r="V656" s="434">
        <f>PV_DATA[[#This Row],[QUANTITY]]*PV_DATA[[#This Row],[WATT]]/1000000</f>
        <v>1.61568</v>
      </c>
      <c r="W656" s="435">
        <f>PV_DATA[[#This Row],[QUANTITY]]/PV_DATA[[#This Row],[Qty/Pallet]]</f>
        <v>88</v>
      </c>
      <c r="X656" s="1015">
        <f>PV_DATA[[#This Row],[QUANTITY]]/PV_DATA[[#This Row],[Qty/CT]]</f>
        <v>4</v>
      </c>
      <c r="Y656" s="430" t="s">
        <v>4367</v>
      </c>
      <c r="Z656" s="430" t="str">
        <f t="shared" si="7"/>
        <v>COMPLETED</v>
      </c>
      <c r="AA656" s="430" t="s">
        <v>4999</v>
      </c>
      <c r="AB656" s="437">
        <v>46190</v>
      </c>
      <c r="AC656" s="485">
        <f>IF(PV_DATA[[#This Row],[Pick-Up Date]]&lt;&gt;"",_xlfn.ISOWEEKNUM(PV_DATA[[#This Row],[Pick-Up Date]]),"")</f>
        <v>25</v>
      </c>
      <c r="AD656" s="430" t="s">
        <v>5139</v>
      </c>
      <c r="AE656" s="430"/>
      <c r="AF656" s="430" t="s">
        <v>77</v>
      </c>
      <c r="AG656" s="430" t="s">
        <v>61</v>
      </c>
      <c r="AH656" s="430" t="s">
        <v>78</v>
      </c>
      <c r="AI656" s="437">
        <v>46197</v>
      </c>
      <c r="AK656" s="437">
        <v>46197</v>
      </c>
      <c r="AL656" s="956">
        <v>46265</v>
      </c>
      <c r="AM656" s="1124">
        <f>IFERROR(VLOOKUP(AT656, Vessel!A:H, 8, FALSE), "")</f>
        <v>46278.083333333336</v>
      </c>
      <c r="AN656" s="586">
        <f>IF(VLOOKUP(AT656, Vessel!A:I, 9, FALSE)=0, "", VLOOKUP(AT656, Vessel!A:I, 9, FALSE))</f>
        <v>46278.186840277776</v>
      </c>
      <c r="AO656" s="430" t="s">
        <v>402</v>
      </c>
      <c r="AP656" s="430" t="s">
        <v>5130</v>
      </c>
      <c r="AQ656" s="430" t="s">
        <v>80</v>
      </c>
      <c r="AR656" s="430" t="s">
        <v>5140</v>
      </c>
      <c r="AS656" s="430" t="s">
        <v>5141</v>
      </c>
      <c r="AT656" s="430" t="s">
        <v>5141</v>
      </c>
      <c r="AU65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81.186840277776355</v>
      </c>
      <c r="AW656" s="437" cm="1">
        <f t="array" ref="AW65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46278.186840277776</v>
      </c>
      <c r="AX65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56" s="437">
        <f>IF(ISERROR(PV_DATA[[#This Row],[New Ark PO status]]),"",_xlfn.XLOOKUP(PV_DATA[[#This Row],[SPTN-PVHK New Ark PO'#]],New_Ark_Data[Purchase order Number],New_Ark_Data[Estimated time of arrival],"",0))</f>
        <v>46290</v>
      </c>
      <c r="AZ656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56" s="437">
        <f>IFERROR(PV_DATA[[#This Row],[ODP ETA Port]]+PV_DATA[[#This Row],[Customs/Leg3 Assumption]],"n/a")</f>
        <v>46286.186840277776</v>
      </c>
      <c r="BB656" s="433">
        <f>YEAR(PV_DATA[[#This Row],[ETA for New Ark update]])</f>
        <v>2026</v>
      </c>
      <c r="BC656" s="430">
        <f>MONTH(PV_DATA[[#This Row],[ETA for New Ark update]])</f>
        <v>9</v>
      </c>
      <c r="BD656" s="430">
        <f>IFERROR(_xlfn.ISOWEEKNUM(PV_DATA[[#This Row],[ETA for New Ark update]]),0)</f>
        <v>39</v>
      </c>
      <c r="BE656" s="430">
        <f>_xlfn.XLOOKUP(PV_DATA[[#This Row],[New Ark SKU]],Table9[New Ark SKU],Table9[Total PCS per Pallet],,0)</f>
        <v>36</v>
      </c>
      <c r="BF656" s="430">
        <f>_xlfn.XLOOKUP(PV_DATA[[#This Row],[New Ark SKU]],Table9[New Ark SKU],Table9[Total PCS per 40HQ Container],,0)</f>
        <v>792</v>
      </c>
      <c r="BG656" s="431" t="str">
        <f>_xlfn.XLOOKUP(PV_DATA[[#This Row],[New Ark SKU]],Table9[New Ark SKU],Table9[Back Glass],,0)</f>
        <v>Black glazing</v>
      </c>
      <c r="BH656" s="430" t="str">
        <f>_xlfn.XLOOKUP(PV_DATA[[#This Row],[PORT DESTINATION]],Table12[PORT DESTINATION],Table12[Cosco Line],,0)</f>
        <v>AEM</v>
      </c>
      <c r="BJ656" s="430"/>
    </row>
    <row r="657" spans="1:62" ht="10.5" hidden="1">
      <c r="A657" s="462" t="s">
        <v>5142</v>
      </c>
      <c r="B657" s="462" t="s">
        <v>61</v>
      </c>
      <c r="C657" s="462" t="str">
        <f>IFERROR(LEFT(PV_DATA[[#This Row],[TCL REFERENCE]],FIND(".",PV_DATA[[#This Row],[TCL REFERENCE]],1)-1),"Main Line")</f>
        <v>Main Line</v>
      </c>
      <c r="D657" s="462" t="s">
        <v>63</v>
      </c>
      <c r="E657" s="462" t="s">
        <v>64</v>
      </c>
      <c r="F657" s="462" t="str" cm="1">
        <f t="array" ref="F65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57" s="462" t="s">
        <v>402</v>
      </c>
      <c r="H657" s="462" t="s">
        <v>67</v>
      </c>
      <c r="I657" s="462" t="s">
        <v>689</v>
      </c>
      <c r="J657" s="430" t="s">
        <v>96</v>
      </c>
      <c r="K657" s="430"/>
      <c r="L657" s="430"/>
      <c r="M657" s="430" t="s">
        <v>68</v>
      </c>
      <c r="N657" s="432">
        <v>46174</v>
      </c>
      <c r="O657" s="430" t="s">
        <v>70</v>
      </c>
      <c r="P657" s="430" t="s">
        <v>1077</v>
      </c>
      <c r="Q657" s="430" t="s">
        <v>103</v>
      </c>
      <c r="R657" s="430" t="str">
        <f>_xlfn.XLOOKUP(PV_DATA[[#This Row],[New Ark SKU]],Table9[New Ark SKU],Table9[Connector],,0)</f>
        <v>EVO2A</v>
      </c>
      <c r="S657" s="442" t="str">
        <f>_xlfn.XLOOKUP(PV_DATA[[#This Row],[New Ark SKU]],Table9[New Ark SKU],Table9[Cable],,0)</f>
        <v>±1400mm</v>
      </c>
      <c r="T657" s="433">
        <v>620</v>
      </c>
      <c r="U657" s="1062">
        <v>1440</v>
      </c>
      <c r="V657" s="434">
        <f>PV_DATA[[#This Row],[QUANTITY]]*PV_DATA[[#This Row],[WATT]]/1000000</f>
        <v>0.89280000000000004</v>
      </c>
      <c r="W657" s="435">
        <f>PV_DATA[[#This Row],[QUANTITY]]/PV_DATA[[#This Row],[Qty/Pallet]]</f>
        <v>40</v>
      </c>
      <c r="X657" s="1015">
        <f>PV_DATA[[#This Row],[QUANTITY]]/PV_DATA[[#This Row],[Qty/CT]]</f>
        <v>2</v>
      </c>
      <c r="Y657" s="430" t="s">
        <v>4367</v>
      </c>
      <c r="Z657" s="430" t="str">
        <f t="shared" si="7"/>
        <v>COMPLETED</v>
      </c>
      <c r="AA657" s="430" t="s">
        <v>4999</v>
      </c>
      <c r="AB657" s="437">
        <v>46190</v>
      </c>
      <c r="AC657" s="485">
        <f>IF(PV_DATA[[#This Row],[Pick-Up Date]]&lt;&gt;"",_xlfn.ISOWEEKNUM(PV_DATA[[#This Row],[Pick-Up Date]]),"")</f>
        <v>25</v>
      </c>
      <c r="AD657" s="430" t="s">
        <v>5143</v>
      </c>
      <c r="AE657" s="430"/>
      <c r="AF657" s="430" t="s">
        <v>77</v>
      </c>
      <c r="AG657" s="430" t="s">
        <v>61</v>
      </c>
      <c r="AH657" s="430" t="s">
        <v>78</v>
      </c>
      <c r="AI657" s="437">
        <v>46197</v>
      </c>
      <c r="AK657" s="437">
        <v>46197</v>
      </c>
      <c r="AL657" s="437">
        <v>46259</v>
      </c>
      <c r="AM657" s="586">
        <f>IFERROR(VLOOKUP(AT657, Vessel!A:H, 8, FALSE), "")</f>
        <v>46272.833333333336</v>
      </c>
      <c r="AN657" s="441">
        <v>46272</v>
      </c>
      <c r="AO657" s="430" t="s">
        <v>402</v>
      </c>
      <c r="AP657" s="430" t="s">
        <v>5130</v>
      </c>
      <c r="AQ657" s="430" t="s">
        <v>80</v>
      </c>
      <c r="AR657" s="430" t="s">
        <v>5144</v>
      </c>
      <c r="AS657" s="430" t="s">
        <v>5145</v>
      </c>
      <c r="AT657" s="430" t="s">
        <v>5145</v>
      </c>
      <c r="AU65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75</v>
      </c>
      <c r="AW657" s="437" cm="1">
        <f t="array" ref="AW65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46272</v>
      </c>
      <c r="AX65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57" s="437">
        <f>IF(ISERROR(PV_DATA[[#This Row],[New Ark PO status]]),"",_xlfn.XLOOKUP(PV_DATA[[#This Row],[SPTN-PVHK New Ark PO'#]],New_Ark_Data[Purchase order Number],New_Ark_Data[Estimated time of arrival],"",0))</f>
        <v>46289</v>
      </c>
      <c r="AZ657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57" s="437">
        <f>IFERROR(PV_DATA[[#This Row],[ODP ETA Port]]+PV_DATA[[#This Row],[Customs/Leg3 Assumption]],"n/a")</f>
        <v>46280</v>
      </c>
      <c r="BB657" s="433">
        <f>YEAR(PV_DATA[[#This Row],[ETA for New Ark update]])</f>
        <v>2026</v>
      </c>
      <c r="BC657" s="430">
        <f>MONTH(PV_DATA[[#This Row],[ETA for New Ark update]])</f>
        <v>9</v>
      </c>
      <c r="BD657" s="430">
        <f>IFERROR(_xlfn.ISOWEEKNUM(PV_DATA[[#This Row],[ETA for New Ark update]]),0)</f>
        <v>38</v>
      </c>
      <c r="BE657" s="430">
        <f>_xlfn.XLOOKUP(PV_DATA[[#This Row],[New Ark SKU]],Table9[New Ark SKU],Table9[Total PCS per Pallet],,0)</f>
        <v>36</v>
      </c>
      <c r="BF657" s="430">
        <f>_xlfn.XLOOKUP(PV_DATA[[#This Row],[New Ark SKU]],Table9[New Ark SKU],Table9[Total PCS per 40HQ Container],,0)</f>
        <v>720</v>
      </c>
      <c r="BG657" s="431" t="str">
        <f>_xlfn.XLOOKUP(PV_DATA[[#This Row],[New Ark SKU]],Table9[New Ark SKU],Table9[Back Glass],,0)</f>
        <v>White glazing</v>
      </c>
      <c r="BH657" s="430" t="str">
        <f>_xlfn.XLOOKUP(PV_DATA[[#This Row],[PORT DESTINATION]],Table12[PORT DESTINATION],Table12[Cosco Line],,0)</f>
        <v>AEM</v>
      </c>
      <c r="BJ657" s="430"/>
    </row>
    <row r="658" spans="1:62" ht="10.5" hidden="1">
      <c r="A658" s="462" t="s">
        <v>5146</v>
      </c>
      <c r="B658" s="462" t="s">
        <v>61</v>
      </c>
      <c r="C658" s="462" t="s">
        <v>5147</v>
      </c>
      <c r="D658" s="462" t="s">
        <v>63</v>
      </c>
      <c r="E658" s="462" t="s">
        <v>64</v>
      </c>
      <c r="F658" s="462" t="s">
        <v>450</v>
      </c>
      <c r="G658" s="462" t="s">
        <v>402</v>
      </c>
      <c r="H658" s="462" t="s">
        <v>451</v>
      </c>
      <c r="I658" s="462" t="s">
        <v>689</v>
      </c>
      <c r="J658" s="430" t="s">
        <v>1832</v>
      </c>
      <c r="K658" s="430"/>
      <c r="L658" s="430"/>
      <c r="M658" s="430" t="s">
        <v>68</v>
      </c>
      <c r="N658" s="432">
        <v>46153</v>
      </c>
      <c r="O658" s="430" t="s">
        <v>4540</v>
      </c>
      <c r="P658" s="430" t="s">
        <v>1151</v>
      </c>
      <c r="Q658" s="430" t="s">
        <v>421</v>
      </c>
      <c r="R658" s="430" t="str">
        <f>_xlfn.XLOOKUP(PV_DATA[[#This Row],[New Ark SKU]],Table9[New Ark SKU],Table9[Connector],,0)</f>
        <v>EVO2A</v>
      </c>
      <c r="S658" s="442" t="str">
        <f>_xlfn.XLOOKUP(PV_DATA[[#This Row],[New Ark SKU]],Table9[New Ark SKU],Table9[Cable],,0)</f>
        <v>±1200mm</v>
      </c>
      <c r="T658" s="433">
        <v>505</v>
      </c>
      <c r="U658" s="1062">
        <v>864</v>
      </c>
      <c r="V658" s="434">
        <f>PV_DATA[[#This Row],[QUANTITY]]*PV_DATA[[#This Row],[WATT]]/1000000</f>
        <v>0.43631999999999999</v>
      </c>
      <c r="W658" s="435">
        <f>PV_DATA[[#This Row],[QUANTITY]]/PV_DATA[[#This Row],[Qty/Pallet]]</f>
        <v>24</v>
      </c>
      <c r="X658" s="1015">
        <v>1</v>
      </c>
      <c r="Y658" s="430" t="s">
        <v>4367</v>
      </c>
      <c r="Z658" s="430" t="str">
        <f t="shared" si="7"/>
        <v>COMPLETED</v>
      </c>
      <c r="AA658" s="430"/>
      <c r="AB658" s="437">
        <v>46190</v>
      </c>
      <c r="AC658" s="485">
        <f>IF(PV_DATA[[#This Row],[Pick-Up Date]]&lt;&gt;"",_xlfn.ISOWEEKNUM(PV_DATA[[#This Row],[Pick-Up Date]]),"")</f>
        <v>25</v>
      </c>
      <c r="AD658" s="430" t="s">
        <v>5148</v>
      </c>
      <c r="AE658" s="430"/>
      <c r="AF658" s="430" t="s">
        <v>61</v>
      </c>
      <c r="AG658" s="430" t="s">
        <v>61</v>
      </c>
      <c r="AH658" s="430" t="s">
        <v>456</v>
      </c>
      <c r="AI658" s="437">
        <v>46197</v>
      </c>
      <c r="AK658" s="437">
        <v>46197</v>
      </c>
      <c r="AL658" s="437">
        <v>46250</v>
      </c>
      <c r="AM658" s="586">
        <f>IFERROR(VLOOKUP(AT658, Vessel!A:H, 8, FALSE), "")</f>
        <v>46253.75</v>
      </c>
      <c r="AN658" s="586" cm="1">
        <f t="array" ref="AN658">_xlfn.LET(_xlpm.v,IFERROR(VLOOKUP(AT658,Vessel!A:I,9,FALSE),""),IF(OR(_xlpm.v="",_xlpm.v=0),"",_xlpm.v))</f>
        <v>46253.739166666666</v>
      </c>
      <c r="AO658" s="430" t="s">
        <v>402</v>
      </c>
      <c r="AP658" s="430" t="s">
        <v>5130</v>
      </c>
      <c r="AQ658" s="430" t="s">
        <v>80</v>
      </c>
      <c r="AR658" s="430" t="s">
        <v>5149</v>
      </c>
      <c r="AS658" s="430" t="s">
        <v>5150</v>
      </c>
      <c r="AT658" s="430" t="s">
        <v>5150</v>
      </c>
      <c r="AU65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56.739166666666279</v>
      </c>
      <c r="AV658" s="437"/>
      <c r="AW658" s="437" cm="1">
        <f t="array" ref="AW65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46253.739166666666</v>
      </c>
      <c r="AX65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58" s="437">
        <f>IF(ISERROR(PV_DATA[[#This Row],[New Ark PO status]]),"",_xlfn.XLOOKUP(PV_DATA[[#This Row],[SPTN-PVHK New Ark PO'#]],New_Ark_Data[Purchase order Number],New_Ark_Data[Estimated time of arrival],"",0))</f>
        <v>46267</v>
      </c>
      <c r="AZ658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658" s="437">
        <f>IFERROR(PV_DATA[[#This Row],[ODP ETA Port]]+PV_DATA[[#This Row],[Customs/Leg3 Assumption]],"n/a")</f>
        <v>46260.739166666666</v>
      </c>
      <c r="BB658" s="433">
        <f>YEAR(PV_DATA[[#This Row],[ETA for New Ark update]])</f>
        <v>2026</v>
      </c>
      <c r="BC658" s="430">
        <f>MONTH(PV_DATA[[#This Row],[ETA for New Ark update]])</f>
        <v>8</v>
      </c>
      <c r="BD658" s="430">
        <f>IFERROR(_xlfn.ISOWEEKNUM(PV_DATA[[#This Row],[ETA for New Ark update]]),0)</f>
        <v>35</v>
      </c>
      <c r="BE658" s="430">
        <f>_xlfn.XLOOKUP(PV_DATA[[#This Row],[New Ark SKU]],Table9[New Ark SKU],Table9[Total PCS per Pallet],,0)</f>
        <v>36</v>
      </c>
      <c r="BF658" s="430">
        <f>_xlfn.XLOOKUP(PV_DATA[[#This Row],[New Ark SKU]],Table9[New Ark SKU],Table9[Total PCS per 40HQ Container],,0)</f>
        <v>864</v>
      </c>
      <c r="BG658" s="431" t="str">
        <f>_xlfn.XLOOKUP(PV_DATA[[#This Row],[New Ark SKU]],Table9[New Ark SKU],Table9[Back Glass],,0)</f>
        <v>Black glazing</v>
      </c>
      <c r="BH658" s="430" t="str">
        <f>_xlfn.XLOOKUP(PV_DATA[[#This Row],[PORT DESTINATION]],Table12[PORT DESTINATION],Table12[Cosco Line],,0)</f>
        <v>AEU</v>
      </c>
      <c r="BJ658" s="430"/>
    </row>
    <row r="659" spans="1:62" ht="10.5" hidden="1">
      <c r="A659" s="462" t="s">
        <v>5151</v>
      </c>
      <c r="B659" s="462" t="s">
        <v>61</v>
      </c>
      <c r="C659" s="462" t="str">
        <f>IFERROR(LEFT(PV_DATA[[#This Row],[TCL REFERENCE]],FIND(".",PV_DATA[[#This Row],[TCL REFERENCE]],1)-1),"Main Line")</f>
        <v>26Jun007</v>
      </c>
      <c r="D659" s="462" t="s">
        <v>63</v>
      </c>
      <c r="E659" s="462" t="s">
        <v>64</v>
      </c>
      <c r="F659" s="462" t="str" cm="1">
        <f t="array" ref="F65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59" s="462" t="s">
        <v>402</v>
      </c>
      <c r="H659" s="462" t="s">
        <v>67</v>
      </c>
      <c r="I659" s="462" t="s">
        <v>689</v>
      </c>
      <c r="J659" s="430" t="s">
        <v>1047</v>
      </c>
      <c r="K659" s="430"/>
      <c r="L659" s="430"/>
      <c r="M659" s="430" t="s">
        <v>68</v>
      </c>
      <c r="N659" s="432">
        <v>46188</v>
      </c>
      <c r="O659" s="430" t="s">
        <v>4540</v>
      </c>
      <c r="P659" s="430" t="s">
        <v>5111</v>
      </c>
      <c r="Q659" s="430" t="s">
        <v>103</v>
      </c>
      <c r="R659" s="430" t="str">
        <f>_xlfn.XLOOKUP(PV_DATA[[#This Row],[New Ark SKU]],Table9[New Ark SKU],Table9[Connector],,0)</f>
        <v>H4(Com)</v>
      </c>
      <c r="S659" s="442" t="str">
        <f>_xlfn.XLOOKUP(PV_DATA[[#This Row],[New Ark SKU]],Table9[New Ark SKU],Table9[Cable],,0)</f>
        <v>±1400mm</v>
      </c>
      <c r="T659" s="433">
        <v>620</v>
      </c>
      <c r="U659" s="1062">
        <v>720</v>
      </c>
      <c r="V659" s="434">
        <f>PV_DATA[[#This Row],[QUANTITY]]*PV_DATA[[#This Row],[WATT]]/1000000</f>
        <v>0.44640000000000002</v>
      </c>
      <c r="W659" s="435">
        <f>PV_DATA[[#This Row],[QUANTITY]]/PV_DATA[[#This Row],[Qty/Pallet]]</f>
        <v>20</v>
      </c>
      <c r="X659" s="1015">
        <v>1</v>
      </c>
      <c r="Y659" s="430" t="s">
        <v>4367</v>
      </c>
      <c r="Z659" s="430" t="str">
        <f t="shared" si="7"/>
        <v>COMPLETED</v>
      </c>
      <c r="AA659" s="430"/>
      <c r="AB659" s="437">
        <v>46191</v>
      </c>
      <c r="AC659" s="485">
        <f>IF(PV_DATA[[#This Row],[Pick-Up Date]]&lt;&gt;"",_xlfn.ISOWEEKNUM(PV_DATA[[#This Row],[Pick-Up Date]]),"")</f>
        <v>25</v>
      </c>
      <c r="AD659" s="430" t="s">
        <v>5152</v>
      </c>
      <c r="AE659" s="430"/>
      <c r="AF659" s="430" t="s">
        <v>77</v>
      </c>
      <c r="AG659" s="430" t="s">
        <v>61</v>
      </c>
      <c r="AH659" s="430" t="s">
        <v>78</v>
      </c>
      <c r="AI659" s="437">
        <v>46197</v>
      </c>
      <c r="AK659" s="437">
        <v>46197</v>
      </c>
      <c r="AL659" s="437">
        <v>46254</v>
      </c>
      <c r="AM659" s="586">
        <f>IFERROR(VLOOKUP(AT659, Vessel!A:H, 8, FALSE), "")</f>
        <v>46272.833333333336</v>
      </c>
      <c r="AN659" s="441">
        <v>46272</v>
      </c>
      <c r="AO659" s="430" t="s">
        <v>402</v>
      </c>
      <c r="AP659" s="430" t="s">
        <v>5130</v>
      </c>
      <c r="AQ659" s="430" t="s">
        <v>80</v>
      </c>
      <c r="AR659" s="430" t="s">
        <v>5153</v>
      </c>
      <c r="AS659" s="430" t="s">
        <v>5154</v>
      </c>
      <c r="AT659" s="430" t="s">
        <v>5154</v>
      </c>
      <c r="AU65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75</v>
      </c>
      <c r="AV659" s="437"/>
      <c r="AW659" s="437" cm="1">
        <f t="array" ref="AW65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46272</v>
      </c>
      <c r="AX65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59" s="437">
        <f>IF(ISERROR(PV_DATA[[#This Row],[New Ark PO status]]),"",_xlfn.XLOOKUP(PV_DATA[[#This Row],[SPTN-PVHK New Ark PO'#]],New_Ark_Data[Purchase order Number],New_Ark_Data[Estimated time of arrival],"",0))</f>
        <v>46286</v>
      </c>
      <c r="AZ659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59" s="437">
        <f>IFERROR(PV_DATA[[#This Row],[ODP ETA Port]]+PV_DATA[[#This Row],[Customs/Leg3 Assumption]],"n/a")</f>
        <v>46280</v>
      </c>
      <c r="BB659" s="433">
        <f>YEAR(PV_DATA[[#This Row],[ETA for New Ark update]])</f>
        <v>2026</v>
      </c>
      <c r="BC659" s="430">
        <f>MONTH(PV_DATA[[#This Row],[ETA for New Ark update]])</f>
        <v>9</v>
      </c>
      <c r="BD659" s="430">
        <f>IFERROR(_xlfn.ISOWEEKNUM(PV_DATA[[#This Row],[ETA for New Ark update]]),0)</f>
        <v>38</v>
      </c>
      <c r="BE659" s="430">
        <f>_xlfn.XLOOKUP(PV_DATA[[#This Row],[New Ark SKU]],Table9[New Ark SKU],Table9[Total PCS per Pallet],,0)</f>
        <v>36</v>
      </c>
      <c r="BF659" s="430">
        <f>_xlfn.XLOOKUP(PV_DATA[[#This Row],[New Ark SKU]],Table9[New Ark SKU],Table9[Total PCS per 40HQ Container],,0)</f>
        <v>720</v>
      </c>
      <c r="BG659" s="431" t="str">
        <f>_xlfn.XLOOKUP(PV_DATA[[#This Row],[New Ark SKU]],Table9[New Ark SKU],Table9[Back Glass],,0)</f>
        <v>Transparent</v>
      </c>
      <c r="BH659" s="430" t="str">
        <f>_xlfn.XLOOKUP(PV_DATA[[#This Row],[PORT DESTINATION]],Table12[PORT DESTINATION],Table12[Cosco Line],,0)</f>
        <v>AEM</v>
      </c>
      <c r="BJ659" s="430"/>
    </row>
    <row r="660" spans="1:62" ht="10.5" hidden="1">
      <c r="A660" s="462" t="s">
        <v>5155</v>
      </c>
      <c r="B660" s="462" t="s">
        <v>1757</v>
      </c>
      <c r="C660" s="462" t="str">
        <f>IFERROR(LEFT(PV_DATA[[#This Row],[TCL REFERENCE]],FIND(".",PV_DATA[[#This Row],[TCL REFERENCE]],1)-1),"Main Line")</f>
        <v>26Jun011</v>
      </c>
      <c r="D660" s="462" t="s">
        <v>63</v>
      </c>
      <c r="E660" s="462" t="s">
        <v>144</v>
      </c>
      <c r="F660" s="462" t="str" cm="1">
        <f t="array" ref="F66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60" s="462" t="s">
        <v>402</v>
      </c>
      <c r="H660" s="462" t="s">
        <v>1029</v>
      </c>
      <c r="I660" s="462" t="s">
        <v>689</v>
      </c>
      <c r="J660" s="430" t="s">
        <v>5156</v>
      </c>
      <c r="K660" s="430" t="s">
        <v>4888</v>
      </c>
      <c r="L660" s="430">
        <v>2</v>
      </c>
      <c r="M660" s="430" t="s">
        <v>840</v>
      </c>
      <c r="N660" s="432">
        <v>46195</v>
      </c>
      <c r="O660" s="430" t="s">
        <v>4540</v>
      </c>
      <c r="P660" s="430" t="s">
        <v>71</v>
      </c>
      <c r="Q660" s="430" t="s">
        <v>72</v>
      </c>
      <c r="R660" s="430" t="str">
        <f>_xlfn.XLOOKUP(PV_DATA[[#This Row],[New Ark SKU]],Table9[New Ark SKU],Table9[Connector],,0)</f>
        <v>EVO2A</v>
      </c>
      <c r="S660" s="442" t="str">
        <f>_xlfn.XLOOKUP(PV_DATA[[#This Row],[New Ark SKU]],Table9[New Ark SKU],Table9[Cable],,0)</f>
        <v>±1200mm</v>
      </c>
      <c r="T660" s="433">
        <v>500</v>
      </c>
      <c r="U660" s="1062">
        <f>864*4</f>
        <v>3456</v>
      </c>
      <c r="V660" s="434">
        <f>PV_DATA[[#This Row],[QUANTITY]]*PV_DATA[[#This Row],[WATT]]/1000000</f>
        <v>1.728</v>
      </c>
      <c r="W660" s="435">
        <f>PV_DATA[[#This Row],[QUANTITY]]/PV_DATA[[#This Row],[Qty/Pallet]]</f>
        <v>96</v>
      </c>
      <c r="X660" s="1015">
        <f>PV_DATA[[#This Row],[QUANTITY]]/PV_DATA[[#This Row],[Qty/CT]]</f>
        <v>4</v>
      </c>
      <c r="Y660" s="430" t="s">
        <v>4368</v>
      </c>
      <c r="Z660" s="430" t="str">
        <f t="shared" si="7"/>
        <v>COMPLETED</v>
      </c>
      <c r="AA660" s="430" t="s">
        <v>5157</v>
      </c>
      <c r="AB660" s="437">
        <v>46196</v>
      </c>
      <c r="AC660" s="485">
        <f>IF(PV_DATA[[#This Row],[Pick-Up Date]]&lt;&gt;"",_xlfn.ISOWEEKNUM(PV_DATA[[#This Row],[Pick-Up Date]]),"")</f>
        <v>26</v>
      </c>
      <c r="AD660" s="430" t="s">
        <v>5158</v>
      </c>
      <c r="AE660" s="430"/>
      <c r="AF660" s="459" t="s">
        <v>5159</v>
      </c>
      <c r="AG660" s="459" t="s">
        <v>1525</v>
      </c>
      <c r="AH660" s="430" t="s">
        <v>888</v>
      </c>
      <c r="AI660" s="437">
        <v>46201</v>
      </c>
      <c r="AJ660" s="437">
        <v>46202</v>
      </c>
      <c r="AK660" s="437">
        <v>46203</v>
      </c>
      <c r="AL660" s="437">
        <v>46257</v>
      </c>
      <c r="AN660" s="437">
        <v>46260</v>
      </c>
      <c r="AP660" s="430" t="s">
        <v>5160</v>
      </c>
      <c r="AQ660" s="430" t="s">
        <v>161</v>
      </c>
      <c r="AR660" s="430" t="s">
        <v>5161</v>
      </c>
      <c r="AS660" s="430" t="s">
        <v>5162</v>
      </c>
      <c r="AT660" s="430" t="s">
        <v>5163</v>
      </c>
      <c r="AU66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</v>
      </c>
      <c r="AV660" s="437"/>
      <c r="AW660" s="437" cm="1">
        <f t="array" ref="AW66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46260</v>
      </c>
      <c r="AX66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60" s="437">
        <f>IF(ISERROR(PV_DATA[[#This Row],[New Ark PO status]]),"",_xlfn.XLOOKUP(PV_DATA[[#This Row],[SPTN-PVHK New Ark PO'#]],New_Ark_Data[Purchase order Number],New_Ark_Data[Estimated time of arrival],"",0))</f>
        <v>46257</v>
      </c>
      <c r="AZ660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60" s="437">
        <f>IFERROR(PV_DATA[[#This Row],[ODP ETA Port]]+PV_DATA[[#This Row],[Customs/Leg3 Assumption]],"n/a")</f>
        <v>46260</v>
      </c>
      <c r="BB660" s="433">
        <f>YEAR(PV_DATA[[#This Row],[ETA for New Ark update]])</f>
        <v>2026</v>
      </c>
      <c r="BC660" s="430">
        <f>MONTH(PV_DATA[[#This Row],[ETA for New Ark update]])</f>
        <v>8</v>
      </c>
      <c r="BD660" s="430">
        <f>IFERROR(_xlfn.ISOWEEKNUM(PV_DATA[[#This Row],[ETA for New Ark update]]),0)</f>
        <v>35</v>
      </c>
      <c r="BE660" s="430">
        <f>_xlfn.XLOOKUP(PV_DATA[[#This Row],[New Ark SKU]],Table9[New Ark SKU],Table9[Total PCS per Pallet],,0)</f>
        <v>36</v>
      </c>
      <c r="BF660" s="430">
        <f>_xlfn.XLOOKUP(PV_DATA[[#This Row],[New Ark SKU]],Table9[New Ark SKU],Table9[Total PCS per 40HQ Container],,0)</f>
        <v>864</v>
      </c>
      <c r="BG660" s="431" t="str">
        <f>_xlfn.XLOOKUP(PV_DATA[[#This Row],[New Ark SKU]],Table9[New Ark SKU],Table9[Back Glass],,0)</f>
        <v>Black glazing</v>
      </c>
      <c r="BH660" s="430" t="str">
        <f>_xlfn.XLOOKUP(PV_DATA[[#This Row],[PORT DESTINATION]],Table12[PORT DESTINATION],Table12[Cosco Line],,0)</f>
        <v>AEU</v>
      </c>
      <c r="BJ660" s="430"/>
    </row>
    <row r="661" spans="1:62" ht="10.5" hidden="1">
      <c r="A661" s="462" t="s">
        <v>5164</v>
      </c>
      <c r="B661" s="462" t="s">
        <v>1757</v>
      </c>
      <c r="C661" s="462" t="str">
        <f>IFERROR(LEFT(PV_DATA[[#This Row],[TCL REFERENCE]],FIND(".",PV_DATA[[#This Row],[TCL REFERENCE]],1)-1),"Main Line")</f>
        <v>26Jun011</v>
      </c>
      <c r="D661" s="462" t="s">
        <v>63</v>
      </c>
      <c r="E661" s="462" t="s">
        <v>144</v>
      </c>
      <c r="F661" s="462" t="str" cm="1">
        <f t="array" ref="F66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61" s="462" t="s">
        <v>402</v>
      </c>
      <c r="H661" s="462" t="s">
        <v>1029</v>
      </c>
      <c r="I661" s="462" t="s">
        <v>689</v>
      </c>
      <c r="J661" s="430" t="s">
        <v>5165</v>
      </c>
      <c r="K661" s="430" t="s">
        <v>4888</v>
      </c>
      <c r="L661" s="430">
        <v>3</v>
      </c>
      <c r="M661" s="430" t="s">
        <v>840</v>
      </c>
      <c r="N661" s="432">
        <v>46195</v>
      </c>
      <c r="O661" s="430" t="s">
        <v>4540</v>
      </c>
      <c r="P661" s="430" t="s">
        <v>71</v>
      </c>
      <c r="Q661" s="430" t="s">
        <v>72</v>
      </c>
      <c r="R661" s="430" t="str">
        <f>_xlfn.XLOOKUP(PV_DATA[[#This Row],[New Ark SKU]],Table9[New Ark SKU],Table9[Connector],,0)</f>
        <v>EVO2A</v>
      </c>
      <c r="S661" s="442" t="str">
        <f>_xlfn.XLOOKUP(PV_DATA[[#This Row],[New Ark SKU]],Table9[New Ark SKU],Table9[Cable],,0)</f>
        <v>±1200mm</v>
      </c>
      <c r="T661" s="433">
        <v>500</v>
      </c>
      <c r="U661" s="1062">
        <v>4320</v>
      </c>
      <c r="V661" s="434">
        <f>PV_DATA[[#This Row],[QUANTITY]]*PV_DATA[[#This Row],[WATT]]/1000000</f>
        <v>2.16</v>
      </c>
      <c r="W661" s="435">
        <f>PV_DATA[[#This Row],[QUANTITY]]/PV_DATA[[#This Row],[Qty/Pallet]]</f>
        <v>120</v>
      </c>
      <c r="X661" s="1015">
        <f>PV_DATA[[#This Row],[QUANTITY]]/PV_DATA[[#This Row],[Qty/CT]]</f>
        <v>5</v>
      </c>
      <c r="Y661" s="430" t="s">
        <v>4368</v>
      </c>
      <c r="Z661" s="430" t="str">
        <f t="shared" si="7"/>
        <v>COMPLETED</v>
      </c>
      <c r="AA661" s="430" t="s">
        <v>5157</v>
      </c>
      <c r="AB661" s="437">
        <v>46198</v>
      </c>
      <c r="AC661" s="485">
        <f>IF(PV_DATA[[#This Row],[Pick-Up Date]]&lt;&gt;"",_xlfn.ISOWEEKNUM(PV_DATA[[#This Row],[Pick-Up Date]]),"")</f>
        <v>26</v>
      </c>
      <c r="AD661" s="430" t="s">
        <v>5166</v>
      </c>
      <c r="AE661" s="430"/>
      <c r="AF661" s="459" t="s">
        <v>5159</v>
      </c>
      <c r="AG661" s="459" t="s">
        <v>1525</v>
      </c>
      <c r="AH661" s="430" t="s">
        <v>888</v>
      </c>
      <c r="AI661" s="437">
        <v>46203</v>
      </c>
      <c r="AK661" s="437">
        <v>46203</v>
      </c>
      <c r="AL661" s="437">
        <v>46249</v>
      </c>
      <c r="AM661" s="437">
        <v>46257</v>
      </c>
      <c r="AN661" s="437">
        <v>46252</v>
      </c>
      <c r="AP661" s="430" t="s">
        <v>5167</v>
      </c>
      <c r="AQ661" s="430" t="s">
        <v>161</v>
      </c>
      <c r="AR661" s="430" t="s">
        <v>5168</v>
      </c>
      <c r="AS661" s="430" t="s">
        <v>5169</v>
      </c>
      <c r="AT661" s="430" t="s">
        <v>5170</v>
      </c>
      <c r="AU66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V661" s="437"/>
      <c r="AW661" s="437" cm="1">
        <f t="array" ref="AW66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46252</v>
      </c>
      <c r="AX66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61" s="437">
        <f>IF(ISERROR(PV_DATA[[#This Row],[New Ark PO status]]),"",_xlfn.XLOOKUP(PV_DATA[[#This Row],[SPTN-PVHK New Ark PO'#]],New_Ark_Data[Purchase order Number],New_Ark_Data[Estimated time of arrival],"",0))</f>
        <v>46249</v>
      </c>
      <c r="AZ661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61" s="437">
        <f>IFERROR(PV_DATA[[#This Row],[ODP ETA Port]]+PV_DATA[[#This Row],[Customs/Leg3 Assumption]],"n/a")</f>
        <v>46252</v>
      </c>
      <c r="BB661" s="433">
        <f>YEAR(PV_DATA[[#This Row],[ETA for New Ark update]])</f>
        <v>2026</v>
      </c>
      <c r="BC661" s="430">
        <f>MONTH(PV_DATA[[#This Row],[ETA for New Ark update]])</f>
        <v>8</v>
      </c>
      <c r="BD661" s="430">
        <f>IFERROR(_xlfn.ISOWEEKNUM(PV_DATA[[#This Row],[ETA for New Ark update]]),0)</f>
        <v>34</v>
      </c>
      <c r="BE661" s="430">
        <f>_xlfn.XLOOKUP(PV_DATA[[#This Row],[New Ark SKU]],Table9[New Ark SKU],Table9[Total PCS per Pallet],,0)</f>
        <v>36</v>
      </c>
      <c r="BF661" s="430">
        <f>_xlfn.XLOOKUP(PV_DATA[[#This Row],[New Ark SKU]],Table9[New Ark SKU],Table9[Total PCS per 40HQ Container],,0)</f>
        <v>864</v>
      </c>
      <c r="BG661" s="431" t="str">
        <f>_xlfn.XLOOKUP(PV_DATA[[#This Row],[New Ark SKU]],Table9[New Ark SKU],Table9[Back Glass],,0)</f>
        <v>Black glazing</v>
      </c>
      <c r="BH661" s="430" t="str">
        <f>_xlfn.XLOOKUP(PV_DATA[[#This Row],[PORT DESTINATION]],Table12[PORT DESTINATION],Table12[Cosco Line],,0)</f>
        <v>AEU</v>
      </c>
      <c r="BJ661" s="430"/>
    </row>
    <row r="662" spans="1:62" ht="10.5" hidden="1">
      <c r="A662" s="462" t="s">
        <v>5171</v>
      </c>
      <c r="B662" s="462" t="s">
        <v>1757</v>
      </c>
      <c r="C662" s="462" t="str">
        <f>IFERROR(LEFT(PV_DATA[[#This Row],[TCL REFERENCE]],FIND(".",PV_DATA[[#This Row],[TCL REFERENCE]],1)-1),"Main Line")</f>
        <v>26Jun012</v>
      </c>
      <c r="D662" s="462" t="s">
        <v>63</v>
      </c>
      <c r="E662" s="462" t="s">
        <v>64</v>
      </c>
      <c r="F662" s="462" t="str" cm="1">
        <f t="array" ref="F66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662" s="462" t="s">
        <v>402</v>
      </c>
      <c r="H662" s="462" t="s">
        <v>451</v>
      </c>
      <c r="I662" s="462" t="s">
        <v>689</v>
      </c>
      <c r="J662" s="430" t="s">
        <v>1832</v>
      </c>
      <c r="K662" s="430"/>
      <c r="L662" s="430"/>
      <c r="M662" s="430" t="s">
        <v>68</v>
      </c>
      <c r="N662" s="432">
        <v>46195</v>
      </c>
      <c r="O662" s="430" t="s">
        <v>4540</v>
      </c>
      <c r="P662" s="430" t="s">
        <v>1151</v>
      </c>
      <c r="Q662" s="430" t="s">
        <v>421</v>
      </c>
      <c r="R662" s="430" t="str">
        <f>_xlfn.XLOOKUP(PV_DATA[[#This Row],[New Ark SKU]],Table9[New Ark SKU],Table9[Connector],,0)</f>
        <v>EVO2A</v>
      </c>
      <c r="S662" s="442" t="str">
        <f>_xlfn.XLOOKUP(PV_DATA[[#This Row],[New Ark SKU]],Table9[New Ark SKU],Table9[Cable],,0)</f>
        <v>±1200mm</v>
      </c>
      <c r="T662" s="433">
        <v>505</v>
      </c>
      <c r="U662" s="1062">
        <f>864*1</f>
        <v>864</v>
      </c>
      <c r="V662" s="434">
        <f>PV_DATA[[#This Row],[QUANTITY]]*PV_DATA[[#This Row],[WATT]]/1000000</f>
        <v>0.43631999999999999</v>
      </c>
      <c r="W662" s="435">
        <f>PV_DATA[[#This Row],[QUANTITY]]/PV_DATA[[#This Row],[Qty/Pallet]]</f>
        <v>24</v>
      </c>
      <c r="X662" s="1015">
        <f>PV_DATA[[#This Row],[QUANTITY]]/PV_DATA[[#This Row],[Qty/CT]]</f>
        <v>1</v>
      </c>
      <c r="Y662" s="430" t="s">
        <v>4368</v>
      </c>
      <c r="Z662" s="430" t="str">
        <f t="shared" si="7"/>
        <v>COMPLETED</v>
      </c>
      <c r="AA662" s="430" t="s">
        <v>5157</v>
      </c>
      <c r="AB662" s="437">
        <v>46198</v>
      </c>
      <c r="AC662" s="485">
        <f>IF(PV_DATA[[#This Row],[Pick-Up Date]]&lt;&gt;"",_xlfn.ISOWEEKNUM(PV_DATA[[#This Row],[Pick-Up Date]]),"")</f>
        <v>26</v>
      </c>
      <c r="AD662" s="430" t="s">
        <v>5172</v>
      </c>
      <c r="AE662" s="430"/>
      <c r="AF662" s="459" t="s">
        <v>5043</v>
      </c>
      <c r="AG662" s="459" t="s">
        <v>123</v>
      </c>
      <c r="AH662" s="430" t="s">
        <v>456</v>
      </c>
      <c r="AI662" s="437">
        <v>46202</v>
      </c>
      <c r="AJ662" s="437">
        <v>46204</v>
      </c>
      <c r="AK662" s="437">
        <v>46204</v>
      </c>
      <c r="AL662" s="437">
        <v>46243</v>
      </c>
      <c r="AM662" s="586"/>
      <c r="AN662" s="586">
        <v>46256.481874999998</v>
      </c>
      <c r="AP662" s="430" t="s">
        <v>5173</v>
      </c>
      <c r="AQ662" s="438" t="s">
        <v>80</v>
      </c>
      <c r="AR662" s="430" t="s">
        <v>5174</v>
      </c>
      <c r="AS662" s="430" t="s">
        <v>5175</v>
      </c>
      <c r="AT662" s="430" t="s">
        <v>5175</v>
      </c>
      <c r="AU66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52.481874999997672</v>
      </c>
      <c r="AV662" s="437"/>
      <c r="AW662" s="437" cm="1">
        <f t="array" ref="AW66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46256.481874999998</v>
      </c>
      <c r="AX66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62" s="437">
        <f>IF(ISERROR(PV_DATA[[#This Row],[New Ark PO status]]),"",_xlfn.XLOOKUP(PV_DATA[[#This Row],[SPTN-PVHK New Ark PO'#]],New_Ark_Data[Purchase order Number],New_Ark_Data[Estimated time of arrival],"",0))</f>
        <v>46269</v>
      </c>
      <c r="AZ662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662" s="437">
        <f>IFERROR(PV_DATA[[#This Row],[ODP ETA Port]]+PV_DATA[[#This Row],[Customs/Leg3 Assumption]],"n/a")</f>
        <v>46263.481874999998</v>
      </c>
      <c r="BB662" s="433">
        <f>YEAR(PV_DATA[[#This Row],[ETA for New Ark update]])</f>
        <v>2026</v>
      </c>
      <c r="BC662" s="430">
        <f>MONTH(PV_DATA[[#This Row],[ETA for New Ark update]])</f>
        <v>8</v>
      </c>
      <c r="BD662" s="430">
        <f>IFERROR(_xlfn.ISOWEEKNUM(PV_DATA[[#This Row],[ETA for New Ark update]]),0)</f>
        <v>35</v>
      </c>
      <c r="BE662" s="430">
        <f>_xlfn.XLOOKUP(PV_DATA[[#This Row],[New Ark SKU]],Table9[New Ark SKU],Table9[Total PCS per Pallet],,0)</f>
        <v>36</v>
      </c>
      <c r="BF662" s="430">
        <f>_xlfn.XLOOKUP(PV_DATA[[#This Row],[New Ark SKU]],Table9[New Ark SKU],Table9[Total PCS per 40HQ Container],,0)</f>
        <v>864</v>
      </c>
      <c r="BG662" s="431" t="str">
        <f>_xlfn.XLOOKUP(PV_DATA[[#This Row],[New Ark SKU]],Table9[New Ark SKU],Table9[Back Glass],,0)</f>
        <v>Black glazing</v>
      </c>
      <c r="BH662" s="430" t="str">
        <f>_xlfn.XLOOKUP(PV_DATA[[#This Row],[PORT DESTINATION]],Table12[PORT DESTINATION],Table12[Cosco Line],,0)</f>
        <v>AEU</v>
      </c>
      <c r="BJ662" s="430"/>
    </row>
    <row r="663" spans="1:62" ht="10.5" hidden="1">
      <c r="A663" s="462" t="s">
        <v>5176</v>
      </c>
      <c r="B663" s="462" t="s">
        <v>111</v>
      </c>
      <c r="C663" s="462" t="str">
        <f>IFERROR(LEFT(PV_DATA[[#This Row],[TCL REFERENCE]],FIND(".",PV_DATA[[#This Row],[TCL REFERENCE]],1)-1),"Main Line")</f>
        <v>26Jun002</v>
      </c>
      <c r="D663" s="462" t="s">
        <v>63</v>
      </c>
      <c r="E663" s="462" t="s">
        <v>64</v>
      </c>
      <c r="F663" s="462" t="str" cm="1">
        <f t="array" ref="F66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663" s="462" t="s">
        <v>402</v>
      </c>
      <c r="H663" s="462" t="s">
        <v>451</v>
      </c>
      <c r="I663" s="462" t="s">
        <v>689</v>
      </c>
      <c r="J663" s="430" t="s">
        <v>96</v>
      </c>
      <c r="K663" s="430"/>
      <c r="L663" s="430"/>
      <c r="M663" s="430" t="s">
        <v>68</v>
      </c>
      <c r="N663" s="432">
        <v>46192</v>
      </c>
      <c r="O663" s="430" t="s">
        <v>550</v>
      </c>
      <c r="P663" s="430" t="s">
        <v>2134</v>
      </c>
      <c r="Q663" s="430" t="s">
        <v>2135</v>
      </c>
      <c r="R663" s="430" t="str">
        <f>_xlfn.XLOOKUP(PV_DATA[[#This Row],[New Ark SKU]],Table9[New Ark SKU],Table9[Connector],,0)</f>
        <v>EVO2A</v>
      </c>
      <c r="S663" s="442" t="str">
        <f>_xlfn.XLOOKUP(PV_DATA[[#This Row],[New Ark SKU]],Table9[New Ark SKU],Table9[Cable],,0)</f>
        <v>±1350mm</v>
      </c>
      <c r="T663" s="433">
        <v>515</v>
      </c>
      <c r="U663" s="1062">
        <f>792*2</f>
        <v>1584</v>
      </c>
      <c r="V663" s="434">
        <f>PV_DATA[[#This Row],[QUANTITY]]*PV_DATA[[#This Row],[WATT]]/1000000</f>
        <v>0.81576000000000004</v>
      </c>
      <c r="W663" s="435">
        <f>PV_DATA[[#This Row],[QUANTITY]]/PV_DATA[[#This Row],[Qty/Pallet]]</f>
        <v>44</v>
      </c>
      <c r="X663" s="1015">
        <f>PV_DATA[[#This Row],[QUANTITY]]/PV_DATA[[#This Row],[Qty/CT]]</f>
        <v>2</v>
      </c>
      <c r="Y663" s="430" t="s">
        <v>4368</v>
      </c>
      <c r="Z663" s="430" t="str">
        <f t="shared" si="7"/>
        <v>COMPLETED</v>
      </c>
      <c r="AA663" s="430" t="s">
        <v>5177</v>
      </c>
      <c r="AB663" s="437">
        <v>46198</v>
      </c>
      <c r="AC663" s="485">
        <f>IF(PV_DATA[[#This Row],[Pick-Up Date]]&lt;&gt;"",_xlfn.ISOWEEKNUM(PV_DATA[[#This Row],[Pick-Up Date]]),"")</f>
        <v>26</v>
      </c>
      <c r="AD663" s="430" t="s">
        <v>5178</v>
      </c>
      <c r="AE663" s="430"/>
      <c r="AF663" s="430" t="s">
        <v>122</v>
      </c>
      <c r="AG663" s="430" t="s">
        <v>123</v>
      </c>
      <c r="AH663" s="430" t="s">
        <v>456</v>
      </c>
      <c r="AI663" s="437">
        <v>46202</v>
      </c>
      <c r="AJ663" s="437">
        <v>46204</v>
      </c>
      <c r="AK663" s="437">
        <v>46204</v>
      </c>
      <c r="AL663" s="732">
        <v>46243</v>
      </c>
      <c r="AM663" s="588"/>
      <c r="AN663" s="586">
        <v>46256.481874999998</v>
      </c>
      <c r="AP663" s="430" t="s">
        <v>5173</v>
      </c>
      <c r="AQ663" s="438" t="s">
        <v>80</v>
      </c>
      <c r="AR663" s="430" t="s">
        <v>5179</v>
      </c>
      <c r="AS663" s="430" t="s">
        <v>5180</v>
      </c>
      <c r="AT663" s="430" t="s">
        <v>5180</v>
      </c>
      <c r="AU66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52.481874999997672</v>
      </c>
      <c r="AW663" s="437" cm="1">
        <f t="array" ref="AW66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46256.481874999998</v>
      </c>
      <c r="AX66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63" s="437">
        <f>IF(ISERROR(PV_DATA[[#This Row],[New Ark PO status]]),"",_xlfn.XLOOKUP(PV_DATA[[#This Row],[SPTN-PVHK New Ark PO'#]],New_Ark_Data[Purchase order Number],New_Ark_Data[Estimated time of arrival],"",0))</f>
        <v>46269</v>
      </c>
      <c r="AZ663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663" s="437">
        <f>IFERROR(PV_DATA[[#This Row],[ODP ETA Port]]+PV_DATA[[#This Row],[Customs/Leg3 Assumption]],"n/a")</f>
        <v>46263.481874999998</v>
      </c>
      <c r="BB663" s="433">
        <f>YEAR(PV_DATA[[#This Row],[ETA for New Ark update]])</f>
        <v>2026</v>
      </c>
      <c r="BC663" s="430">
        <f>MONTH(PV_DATA[[#This Row],[ETA for New Ark update]])</f>
        <v>8</v>
      </c>
      <c r="BD663" s="430">
        <f>IFERROR(_xlfn.ISOWEEKNUM(PV_DATA[[#This Row],[ETA for New Ark update]]),0)</f>
        <v>35</v>
      </c>
      <c r="BE663" s="430">
        <f>_xlfn.XLOOKUP(PV_DATA[[#This Row],[New Ark SKU]],Table9[New Ark SKU],Table9[Total PCS per Pallet],,0)</f>
        <v>36</v>
      </c>
      <c r="BF663" s="430">
        <f>_xlfn.XLOOKUP(PV_DATA[[#This Row],[New Ark SKU]],Table9[New Ark SKU],Table9[Total PCS per 40HQ Container],,0)</f>
        <v>792</v>
      </c>
      <c r="BG663" s="431" t="str">
        <f>_xlfn.XLOOKUP(PV_DATA[[#This Row],[New Ark SKU]],Table9[New Ark SKU],Table9[Back Glass],,0)</f>
        <v>Black glazing</v>
      </c>
      <c r="BH663" s="430" t="str">
        <f>_xlfn.XLOOKUP(PV_DATA[[#This Row],[PORT DESTINATION]],Table12[PORT DESTINATION],Table12[Cosco Line],,0)</f>
        <v>AEU</v>
      </c>
      <c r="BJ663" s="430"/>
    </row>
    <row r="664" spans="1:62" ht="10.5" hidden="1">
      <c r="A664" s="462" t="s">
        <v>5181</v>
      </c>
      <c r="B664" s="462" t="s">
        <v>111</v>
      </c>
      <c r="C664" s="462" t="s">
        <v>5182</v>
      </c>
      <c r="D664" s="462" t="s">
        <v>63</v>
      </c>
      <c r="E664" s="462" t="s">
        <v>144</v>
      </c>
      <c r="F664" s="462" t="s">
        <v>145</v>
      </c>
      <c r="G664" s="462" t="s">
        <v>402</v>
      </c>
      <c r="H664" s="713" t="s">
        <v>1449</v>
      </c>
      <c r="I664" s="462" t="s">
        <v>822</v>
      </c>
      <c r="J664" s="430" t="s">
        <v>4600</v>
      </c>
      <c r="K664" s="430" t="s">
        <v>1451</v>
      </c>
      <c r="L664" s="430">
        <v>27</v>
      </c>
      <c r="M664" s="430" t="s">
        <v>840</v>
      </c>
      <c r="N664" s="432">
        <v>46181</v>
      </c>
      <c r="O664" s="430" t="s">
        <v>4540</v>
      </c>
      <c r="P664" s="430" t="s">
        <v>5050</v>
      </c>
      <c r="Q664" s="430" t="s">
        <v>1807</v>
      </c>
      <c r="R664" s="430" t="str">
        <f>_xlfn.XLOOKUP(PV_DATA[[#This Row],[New Ark SKU]],Table9[New Ark SKU],Table9[Connector],,0)</f>
        <v>H4(Com)</v>
      </c>
      <c r="S664" s="442" t="str">
        <f>_xlfn.XLOOKUP(PV_DATA[[#This Row],[New Ark SKU]],Table9[New Ark SKU],Table9[Cable],,0)</f>
        <v>+400mm/-200mm</v>
      </c>
      <c r="T664" s="433">
        <v>720</v>
      </c>
      <c r="U664" s="1062">
        <v>594</v>
      </c>
      <c r="V664" s="544">
        <f>PV_DATA[[#This Row],[QUANTITY]]*PV_DATA[[#This Row],[WATT]]/1000000</f>
        <v>0.42768</v>
      </c>
      <c r="W664" s="435">
        <f>PV_DATA[[#This Row],[QUANTITY]]/PV_DATA[[#This Row],[Qty/Pallet]]</f>
        <v>18</v>
      </c>
      <c r="X664" s="1015">
        <v>1</v>
      </c>
      <c r="Y664" s="430" t="s">
        <v>4366</v>
      </c>
      <c r="Z664" s="430" t="str">
        <f t="shared" si="7"/>
        <v>COMPLETED</v>
      </c>
      <c r="AA664" s="430" t="s">
        <v>5047</v>
      </c>
      <c r="AB664" s="437">
        <v>46199</v>
      </c>
      <c r="AC664" s="485">
        <f>IF(PV_DATA[[#This Row],[Pick-Up Date]]&lt;&gt;"",_xlfn.ISOWEEKNUM(PV_DATA[[#This Row],[Pick-Up Date]]),"")</f>
        <v>26</v>
      </c>
      <c r="AD664" s="430" t="s">
        <v>5183</v>
      </c>
      <c r="AE664" s="435"/>
      <c r="AF664" s="430" t="s">
        <v>122</v>
      </c>
      <c r="AG664" s="430" t="s">
        <v>123</v>
      </c>
      <c r="AH664" s="430" t="s">
        <v>105</v>
      </c>
      <c r="AI664" s="437">
        <v>46204</v>
      </c>
      <c r="AJ664" s="437">
        <v>46206</v>
      </c>
      <c r="AK664" s="437">
        <v>46206</v>
      </c>
      <c r="AL664" s="437">
        <v>46238</v>
      </c>
      <c r="AM664" s="441">
        <f>IFERROR(IF(VLOOKUP(AT664, Vessel!A:H, 8, FALSE)=0, "", VLOOKUP(AT664, Vessel!A:H, 8, FALSE)), "")</f>
        <v>46244.291666666664</v>
      </c>
      <c r="AN664" s="586">
        <v>46244.348958333336</v>
      </c>
      <c r="AP664" s="430" t="s">
        <v>5130</v>
      </c>
      <c r="AQ664" s="438" t="s">
        <v>80</v>
      </c>
      <c r="AR664" s="430" t="s">
        <v>5184</v>
      </c>
      <c r="AS664" s="430" t="s">
        <v>5185</v>
      </c>
      <c r="AT664" s="430" t="s">
        <v>5185</v>
      </c>
      <c r="AU66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38.348958333335759</v>
      </c>
      <c r="AV664" s="437"/>
      <c r="AW664" s="437" cm="1">
        <f t="array" ref="AW66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46244.348958333336</v>
      </c>
      <c r="AX66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64" s="437">
        <f>IF(ISERROR(PV_DATA[[#This Row],[New Ark PO status]]),"",_xlfn.XLOOKUP(PV_DATA[[#This Row],[SPTN-PVHK New Ark PO'#]],New_Ark_Data[Purchase order Number],New_Ark_Data[Estimated time of arrival],"",0))</f>
        <v>46238</v>
      </c>
      <c r="AZ664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64" s="437">
        <f>IFERROR(PV_DATA[[#This Row],[ODP ETA Port]]+PV_DATA[[#This Row],[Customs/Leg3 Assumption]],"n/a")</f>
        <v>46244.348958333336</v>
      </c>
      <c r="BB664" s="433">
        <f>YEAR(PV_DATA[[#This Row],[ETA for New Ark update]])</f>
        <v>2026</v>
      </c>
      <c r="BC664" s="430">
        <f>MONTH(PV_DATA[[#This Row],[ETA for New Ark update]])</f>
        <v>8</v>
      </c>
      <c r="BD664" s="430">
        <f>IFERROR(_xlfn.ISOWEEKNUM(PV_DATA[[#This Row],[ETA for New Ark update]]),0)</f>
        <v>33</v>
      </c>
      <c r="BE664" s="430">
        <f>_xlfn.XLOOKUP(PV_DATA[[#This Row],[New Ark SKU]],Table9[New Ark SKU],Table9[Total PCS per Pallet],,0)</f>
        <v>33</v>
      </c>
      <c r="BF664" s="430">
        <f>_xlfn.XLOOKUP(PV_DATA[[#This Row],[New Ark SKU]],Table9[New Ark SKU],Table9[Total PCS per 40HQ Container],,0)</f>
        <v>594</v>
      </c>
      <c r="BG664" s="431" t="str">
        <f>_xlfn.XLOOKUP(PV_DATA[[#This Row],[New Ark SKU]],Table9[New Ark SKU],Table9[Back Glass],,0)</f>
        <v>Transparent</v>
      </c>
      <c r="BH664" s="430" t="str">
        <f>_xlfn.XLOOKUP(PV_DATA[[#This Row],[PORT DESTINATION]],Table12[PORT DESTINATION],Table12[Cosco Line],,0)</f>
        <v>AEU</v>
      </c>
      <c r="BJ664" s="430"/>
    </row>
    <row r="665" spans="1:62" ht="10.5" hidden="1">
      <c r="A665" s="462" t="s">
        <v>5186</v>
      </c>
      <c r="B665" s="462" t="s">
        <v>111</v>
      </c>
      <c r="C665" s="462" t="str">
        <f>IFERROR(LEFT(PV_DATA[[#This Row],[TCL REFERENCE]],FIND(".",PV_DATA[[#This Row],[TCL REFERENCE]],1)-1),"Main Line")</f>
        <v>26May013</v>
      </c>
      <c r="D665" s="462" t="s">
        <v>63</v>
      </c>
      <c r="E665" s="462" t="s">
        <v>144</v>
      </c>
      <c r="F665" s="462" t="str" cm="1">
        <f t="array" ref="F66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65" s="462" t="s">
        <v>402</v>
      </c>
      <c r="H665" s="713" t="s">
        <v>1449</v>
      </c>
      <c r="I665" s="462" t="s">
        <v>822</v>
      </c>
      <c r="J665" s="430" t="s">
        <v>4600</v>
      </c>
      <c r="K665" s="430" t="s">
        <v>1451</v>
      </c>
      <c r="L665" s="430">
        <v>28</v>
      </c>
      <c r="M665" s="430" t="s">
        <v>840</v>
      </c>
      <c r="N665" s="432">
        <v>46181</v>
      </c>
      <c r="O665" s="430" t="s">
        <v>4540</v>
      </c>
      <c r="P665" s="430" t="s">
        <v>5050</v>
      </c>
      <c r="Q665" s="430" t="s">
        <v>1807</v>
      </c>
      <c r="R665" s="430" t="str">
        <f>_xlfn.XLOOKUP(PV_DATA[[#This Row],[New Ark SKU]],Table9[New Ark SKU],Table9[Connector],,0)</f>
        <v>H4(Com)</v>
      </c>
      <c r="S665" s="442" t="str">
        <f>_xlfn.XLOOKUP(PV_DATA[[#This Row],[New Ark SKU]],Table9[New Ark SKU],Table9[Cable],,0)</f>
        <v>+400mm/-200mm</v>
      </c>
      <c r="T665" s="433">
        <v>720</v>
      </c>
      <c r="U665" s="1062">
        <f>594*10</f>
        <v>5940</v>
      </c>
      <c r="V665" s="544">
        <f>PV_DATA[[#This Row],[QUANTITY]]*PV_DATA[[#This Row],[WATT]]/1000000</f>
        <v>4.2767999999999997</v>
      </c>
      <c r="W665" s="435">
        <f>PV_DATA[[#This Row],[QUANTITY]]/PV_DATA[[#This Row],[Qty/Pallet]]</f>
        <v>180</v>
      </c>
      <c r="X665" s="1015">
        <f>PV_DATA[[#This Row],[QUANTITY]]/PV_DATA[[#This Row],[Qty/CT]]</f>
        <v>10</v>
      </c>
      <c r="Y665" s="430" t="s">
        <v>4367</v>
      </c>
      <c r="Z665" s="430" t="str">
        <f t="shared" si="7"/>
        <v>COMPLETED</v>
      </c>
      <c r="AA665" s="430" t="s">
        <v>5047</v>
      </c>
      <c r="AB665" s="437">
        <v>46199</v>
      </c>
      <c r="AC665" s="485">
        <f>IF(PV_DATA[[#This Row],[Pick-Up Date]]&lt;&gt;"",_xlfn.ISOWEEKNUM(PV_DATA[[#This Row],[Pick-Up Date]]),"")</f>
        <v>26</v>
      </c>
      <c r="AD665" s="435" t="s">
        <v>5187</v>
      </c>
      <c r="AE665" s="435"/>
      <c r="AF665" s="430" t="s">
        <v>122</v>
      </c>
      <c r="AG665" s="430" t="s">
        <v>123</v>
      </c>
      <c r="AH665" s="430" t="s">
        <v>105</v>
      </c>
      <c r="AI665" s="437">
        <v>46204</v>
      </c>
      <c r="AJ665" s="437">
        <v>46206</v>
      </c>
      <c r="AK665" s="437">
        <v>46206</v>
      </c>
      <c r="AL665" s="437">
        <v>46238</v>
      </c>
      <c r="AM665" s="441">
        <f>IFERROR(IF(VLOOKUP(AT665, Vessel!A:H, 8, FALSE)=0, "", VLOOKUP(AT665, Vessel!A:H, 8, FALSE)), "")</f>
        <v>46244.291666666664</v>
      </c>
      <c r="AN665" s="586">
        <v>46244.348958333336</v>
      </c>
      <c r="AP665" s="430" t="s">
        <v>5130</v>
      </c>
      <c r="AQ665" s="438" t="s">
        <v>80</v>
      </c>
      <c r="AR665" s="430" t="s">
        <v>5184</v>
      </c>
      <c r="AS665" s="430" t="s">
        <v>5185</v>
      </c>
      <c r="AT665" s="430" t="s">
        <v>5185</v>
      </c>
      <c r="AU66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38.348958333335759</v>
      </c>
      <c r="AV665" s="437"/>
      <c r="AW665" s="437" cm="1">
        <f t="array" ref="AW66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46244.348958333336</v>
      </c>
      <c r="AX66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65" s="437">
        <f>IF(ISERROR(PV_DATA[[#This Row],[New Ark PO status]]),"",_xlfn.XLOOKUP(PV_DATA[[#This Row],[SPTN-PVHK New Ark PO'#]],New_Ark_Data[Purchase order Number],New_Ark_Data[Estimated time of arrival],"",0))</f>
        <v>46238</v>
      </c>
      <c r="AZ665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65" s="437">
        <f>IFERROR(PV_DATA[[#This Row],[ODP ETA Port]]+PV_DATA[[#This Row],[Customs/Leg3 Assumption]],"n/a")</f>
        <v>46244.348958333336</v>
      </c>
      <c r="BB665" s="433">
        <f>YEAR(PV_DATA[[#This Row],[ETA for New Ark update]])</f>
        <v>2026</v>
      </c>
      <c r="BC665" s="430">
        <f>MONTH(PV_DATA[[#This Row],[ETA for New Ark update]])</f>
        <v>8</v>
      </c>
      <c r="BD665" s="430">
        <f>IFERROR(_xlfn.ISOWEEKNUM(PV_DATA[[#This Row],[ETA for New Ark update]]),0)</f>
        <v>33</v>
      </c>
      <c r="BE665" s="430">
        <f>_xlfn.XLOOKUP(PV_DATA[[#This Row],[New Ark SKU]],Table9[New Ark SKU],Table9[Total PCS per Pallet],,0)</f>
        <v>33</v>
      </c>
      <c r="BF665" s="430">
        <f>_xlfn.XLOOKUP(PV_DATA[[#This Row],[New Ark SKU]],Table9[New Ark SKU],Table9[Total PCS per 40HQ Container],,0)</f>
        <v>594</v>
      </c>
      <c r="BG665" s="431" t="str">
        <f>_xlfn.XLOOKUP(PV_DATA[[#This Row],[New Ark SKU]],Table9[New Ark SKU],Table9[Back Glass],,0)</f>
        <v>Transparent</v>
      </c>
      <c r="BH665" s="430" t="str">
        <f>_xlfn.XLOOKUP(PV_DATA[[#This Row],[PORT DESTINATION]],Table12[PORT DESTINATION],Table12[Cosco Line],,0)</f>
        <v>AEU</v>
      </c>
      <c r="BJ665" s="430"/>
    </row>
    <row r="666" spans="1:62" ht="10.5" hidden="1">
      <c r="A666" s="462" t="s">
        <v>5188</v>
      </c>
      <c r="B666" s="462" t="s">
        <v>111</v>
      </c>
      <c r="C666" s="462" t="str">
        <f>IFERROR(LEFT(PV_DATA[[#This Row],[TCL REFERENCE]],FIND(".",PV_DATA[[#This Row],[TCL REFERENCE]],1)-1),"Main Line")</f>
        <v>26May014</v>
      </c>
      <c r="D666" s="462" t="s">
        <v>63</v>
      </c>
      <c r="E666" s="462" t="s">
        <v>144</v>
      </c>
      <c r="F666" s="462" t="str" cm="1">
        <f t="array" ref="F666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66" s="462" t="s">
        <v>402</v>
      </c>
      <c r="H666" s="713" t="s">
        <v>1449</v>
      </c>
      <c r="I666" s="462" t="s">
        <v>689</v>
      </c>
      <c r="J666" s="430" t="s">
        <v>4600</v>
      </c>
      <c r="K666" s="430" t="s">
        <v>1451</v>
      </c>
      <c r="L666" s="430">
        <v>32</v>
      </c>
      <c r="M666" s="430" t="s">
        <v>840</v>
      </c>
      <c r="N666" s="432">
        <v>46181</v>
      </c>
      <c r="O666" s="430" t="s">
        <v>4540</v>
      </c>
      <c r="P666" s="430" t="s">
        <v>5066</v>
      </c>
      <c r="Q666" s="430" t="s">
        <v>1484</v>
      </c>
      <c r="R666" s="430" t="str">
        <f>_xlfn.XLOOKUP(PV_DATA[[#This Row],[New Ark SKU]],Table9[New Ark SKU],Table9[Connector],,0)</f>
        <v>H4(Com)</v>
      </c>
      <c r="S666" s="442" t="str">
        <f>_xlfn.XLOOKUP(PV_DATA[[#This Row],[New Ark SKU]],Table9[New Ark SKU],Table9[Cable],,0)</f>
        <v>+400mm/-200mm</v>
      </c>
      <c r="T666" s="433">
        <v>725</v>
      </c>
      <c r="U666" s="1062">
        <f>594*5</f>
        <v>2970</v>
      </c>
      <c r="V666" s="544">
        <f>PV_DATA[[#This Row],[QUANTITY]]*PV_DATA[[#This Row],[WATT]]/1000000</f>
        <v>2.1532499999999999</v>
      </c>
      <c r="W666" s="435">
        <f>PV_DATA[[#This Row],[QUANTITY]]/PV_DATA[[#This Row],[Qty/Pallet]]</f>
        <v>90</v>
      </c>
      <c r="X666" s="1015">
        <f>PV_DATA[[#This Row],[QUANTITY]]/PV_DATA[[#This Row],[Qty/CT]]</f>
        <v>5</v>
      </c>
      <c r="Y666" s="430" t="s">
        <v>4366</v>
      </c>
      <c r="Z666" s="430" t="str">
        <f t="shared" si="7"/>
        <v>COMPLETED</v>
      </c>
      <c r="AA666" s="430" t="s">
        <v>5067</v>
      </c>
      <c r="AB666" s="437">
        <v>46194</v>
      </c>
      <c r="AC666" s="485">
        <f>IF(PV_DATA[[#This Row],[Pick-Up Date]]&lt;&gt;"",_xlfn.ISOWEEKNUM(PV_DATA[[#This Row],[Pick-Up Date]]),"")</f>
        <v>25</v>
      </c>
      <c r="AD666" s="430" t="s">
        <v>5189</v>
      </c>
      <c r="AE666" s="435"/>
      <c r="AF666" s="430" t="s">
        <v>122</v>
      </c>
      <c r="AG666" s="430" t="s">
        <v>123</v>
      </c>
      <c r="AH666" s="430" t="s">
        <v>105</v>
      </c>
      <c r="AI666" s="437">
        <v>46203</v>
      </c>
      <c r="AJ666" s="437">
        <v>46220</v>
      </c>
      <c r="AK666" s="437">
        <v>46220</v>
      </c>
      <c r="AL666" s="437">
        <v>46239</v>
      </c>
      <c r="AM666" s="586">
        <f>IFERROR(VLOOKUP(AT666, Vessel!A:H, 8, FALSE), "")</f>
        <v>46260.5</v>
      </c>
      <c r="AN666" s="586">
        <v>46260</v>
      </c>
      <c r="AP666" s="430" t="s">
        <v>5190</v>
      </c>
      <c r="AQ666" s="438" t="s">
        <v>80</v>
      </c>
      <c r="AR666" s="430" t="s">
        <v>5191</v>
      </c>
      <c r="AS666" s="430" t="s">
        <v>5192</v>
      </c>
      <c r="AT666" s="430" t="s">
        <v>5192</v>
      </c>
      <c r="AU66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V666" s="437"/>
      <c r="AW666" s="437" cm="1">
        <f t="array" ref="AW66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46260</v>
      </c>
      <c r="AX66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66" s="437">
        <f>IF(ISERROR(PV_DATA[[#This Row],[New Ark PO status]]),"",_xlfn.XLOOKUP(PV_DATA[[#This Row],[SPTN-PVHK New Ark PO'#]],New_Ark_Data[Purchase order Number],New_Ark_Data[Estimated time of arrival],"",0))</f>
        <v>46239</v>
      </c>
      <c r="AZ666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66" s="437">
        <f>IFERROR(PV_DATA[[#This Row],[ODP ETA Port]]+PV_DATA[[#This Row],[Customs/Leg3 Assumption]],"n/a")</f>
        <v>46260</v>
      </c>
      <c r="BB666" s="433">
        <f>YEAR(PV_DATA[[#This Row],[ETA for New Ark update]])</f>
        <v>2026</v>
      </c>
      <c r="BC666" s="430">
        <f>MONTH(PV_DATA[[#This Row],[ETA for New Ark update]])</f>
        <v>8</v>
      </c>
      <c r="BD666" s="430">
        <f>IFERROR(_xlfn.ISOWEEKNUM(PV_DATA[[#This Row],[ETA for New Ark update]]),0)</f>
        <v>35</v>
      </c>
      <c r="BE666" s="430">
        <f>_xlfn.XLOOKUP(PV_DATA[[#This Row],[New Ark SKU]],Table9[New Ark SKU],Table9[Total PCS per Pallet],,0)</f>
        <v>33</v>
      </c>
      <c r="BF666" s="430">
        <f>_xlfn.XLOOKUP(PV_DATA[[#This Row],[New Ark SKU]],Table9[New Ark SKU],Table9[Total PCS per 40HQ Container],,0)</f>
        <v>594</v>
      </c>
      <c r="BG666" s="431" t="str">
        <f>_xlfn.XLOOKUP(PV_DATA[[#This Row],[New Ark SKU]],Table9[New Ark SKU],Table9[Back Glass],,0)</f>
        <v>Transparent</v>
      </c>
      <c r="BH666" s="430" t="str">
        <f>_xlfn.XLOOKUP(PV_DATA[[#This Row],[PORT DESTINATION]],Table12[PORT DESTINATION],Table12[Cosco Line],,0)</f>
        <v>AEU</v>
      </c>
      <c r="BJ666" s="430"/>
    </row>
    <row r="667" spans="1:62" ht="10.5" hidden="1">
      <c r="A667" s="462" t="s">
        <v>5193</v>
      </c>
      <c r="B667" s="462" t="s">
        <v>111</v>
      </c>
      <c r="C667" s="462" t="str">
        <f>IFERROR(LEFT(PV_DATA[[#This Row],[TCL REFERENCE]],FIND(".",PV_DATA[[#This Row],[TCL REFERENCE]],1)-1),"Main Line")</f>
        <v>26May014</v>
      </c>
      <c r="D667" s="462" t="s">
        <v>63</v>
      </c>
      <c r="E667" s="462" t="s">
        <v>144</v>
      </c>
      <c r="F667" s="462" t="str" cm="1">
        <f t="array" ref="F66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67" s="462" t="s">
        <v>402</v>
      </c>
      <c r="H667" s="713" t="s">
        <v>1449</v>
      </c>
      <c r="I667" s="462" t="s">
        <v>689</v>
      </c>
      <c r="J667" s="430" t="s">
        <v>4600</v>
      </c>
      <c r="K667" s="430" t="s">
        <v>1451</v>
      </c>
      <c r="L667" s="430">
        <v>33</v>
      </c>
      <c r="M667" s="430" t="s">
        <v>840</v>
      </c>
      <c r="N667" s="432">
        <v>46181</v>
      </c>
      <c r="O667" s="430" t="s">
        <v>4540</v>
      </c>
      <c r="P667" s="430" t="s">
        <v>5066</v>
      </c>
      <c r="Q667" s="430" t="s">
        <v>1484</v>
      </c>
      <c r="R667" s="430" t="str">
        <f>_xlfn.XLOOKUP(PV_DATA[[#This Row],[New Ark SKU]],Table9[New Ark SKU],Table9[Connector],,0)</f>
        <v>H4(Com)</v>
      </c>
      <c r="S667" s="442" t="str">
        <f>_xlfn.XLOOKUP(PV_DATA[[#This Row],[New Ark SKU]],Table9[New Ark SKU],Table9[Cable],,0)</f>
        <v>+400mm/-200mm</v>
      </c>
      <c r="T667" s="433">
        <v>725</v>
      </c>
      <c r="U667" s="1062">
        <v>594</v>
      </c>
      <c r="V667" s="544">
        <f>PV_DATA[[#This Row],[QUANTITY]]*PV_DATA[[#This Row],[WATT]]/1000000</f>
        <v>0.43064999999999998</v>
      </c>
      <c r="W667" s="435">
        <f>PV_DATA[[#This Row],[QUANTITY]]/PV_DATA[[#This Row],[Qty/Pallet]]</f>
        <v>18</v>
      </c>
      <c r="X667" s="1015">
        <f>PV_DATA[[#This Row],[QUANTITY]]/PV_DATA[[#This Row],[Qty/CT]]</f>
        <v>1</v>
      </c>
      <c r="Y667" s="430" t="s">
        <v>4368</v>
      </c>
      <c r="Z667" s="430" t="str">
        <f t="shared" si="7"/>
        <v>COMPLETED</v>
      </c>
      <c r="AA667" s="430" t="s">
        <v>5067</v>
      </c>
      <c r="AB667" s="437">
        <v>46196</v>
      </c>
      <c r="AC667" s="485">
        <f>IF(PV_DATA[[#This Row],[Pick-Up Date]]&lt;&gt;"",_xlfn.ISOWEEKNUM(PV_DATA[[#This Row],[Pick-Up Date]]),"")</f>
        <v>26</v>
      </c>
      <c r="AD667" s="430" t="s">
        <v>5194</v>
      </c>
      <c r="AE667" s="430"/>
      <c r="AF667" s="430" t="s">
        <v>122</v>
      </c>
      <c r="AG667" s="430" t="s">
        <v>123</v>
      </c>
      <c r="AH667" s="430" t="s">
        <v>105</v>
      </c>
      <c r="AI667" s="437">
        <v>46204</v>
      </c>
      <c r="AJ667" s="437">
        <v>46206</v>
      </c>
      <c r="AK667" s="437">
        <v>46206</v>
      </c>
      <c r="AL667" s="437">
        <v>46249</v>
      </c>
      <c r="AM667" s="441">
        <f>IFERROR(IF(VLOOKUP(AT667, Vessel!A:H, 8, FALSE)=0, "", VLOOKUP(AT667, Vessel!A:H, 8, FALSE)), "")</f>
        <v>46244.291666666664</v>
      </c>
      <c r="AN667" s="586">
        <v>46244.348958333336</v>
      </c>
      <c r="AP667" s="430" t="s">
        <v>5173</v>
      </c>
      <c r="AQ667" s="438" t="s">
        <v>80</v>
      </c>
      <c r="AR667" s="430" t="s">
        <v>5195</v>
      </c>
      <c r="AS667" s="430" t="s">
        <v>5196</v>
      </c>
      <c r="AT667" s="430" t="s">
        <v>5196</v>
      </c>
      <c r="AU66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38.348958333335759</v>
      </c>
      <c r="AV667" s="437"/>
      <c r="AW667" s="437" cm="1">
        <f t="array" ref="AW66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46244.348958333336</v>
      </c>
      <c r="AX66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67" s="437">
        <f>IF(ISERROR(PV_DATA[[#This Row],[New Ark PO status]]),"",_xlfn.XLOOKUP(PV_DATA[[#This Row],[SPTN-PVHK New Ark PO'#]],New_Ark_Data[Purchase order Number],New_Ark_Data[Estimated time of arrival],"",0))</f>
        <v>46249</v>
      </c>
      <c r="AZ667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67" s="437">
        <f>IFERROR(PV_DATA[[#This Row],[ODP ETA Port]]+PV_DATA[[#This Row],[Customs/Leg3 Assumption]],"n/a")</f>
        <v>46244.348958333336</v>
      </c>
      <c r="BB667" s="433">
        <f>YEAR(PV_DATA[[#This Row],[ETA for New Ark update]])</f>
        <v>2026</v>
      </c>
      <c r="BC667" s="430">
        <f>MONTH(PV_DATA[[#This Row],[ETA for New Ark update]])</f>
        <v>8</v>
      </c>
      <c r="BD667" s="430">
        <f>IFERROR(_xlfn.ISOWEEKNUM(PV_DATA[[#This Row],[ETA for New Ark update]]),0)</f>
        <v>33</v>
      </c>
      <c r="BE667" s="430">
        <f>_xlfn.XLOOKUP(PV_DATA[[#This Row],[New Ark SKU]],Table9[New Ark SKU],Table9[Total PCS per Pallet],,0)</f>
        <v>33</v>
      </c>
      <c r="BF667" s="430">
        <f>_xlfn.XLOOKUP(PV_DATA[[#This Row],[New Ark SKU]],Table9[New Ark SKU],Table9[Total PCS per 40HQ Container],,0)</f>
        <v>594</v>
      </c>
      <c r="BG667" s="431" t="str">
        <f>_xlfn.XLOOKUP(PV_DATA[[#This Row],[New Ark SKU]],Table9[New Ark SKU],Table9[Back Glass],,0)</f>
        <v>Transparent</v>
      </c>
      <c r="BH667" s="430" t="str">
        <f>_xlfn.XLOOKUP(PV_DATA[[#This Row],[PORT DESTINATION]],Table12[PORT DESTINATION],Table12[Cosco Line],,0)</f>
        <v>AEU</v>
      </c>
      <c r="BJ667" s="430"/>
    </row>
    <row r="668" spans="1:62" ht="10.5" hidden="1">
      <c r="A668" s="462" t="s">
        <v>5197</v>
      </c>
      <c r="B668" s="462" t="s">
        <v>111</v>
      </c>
      <c r="C668" s="462" t="str">
        <f>IFERROR(LEFT(PV_DATA[[#This Row],[TCL REFERENCE]],FIND(".",PV_DATA[[#This Row],[TCL REFERENCE]],1)-1),"Main Line")</f>
        <v>26May014</v>
      </c>
      <c r="D668" s="462" t="s">
        <v>63</v>
      </c>
      <c r="E668" s="462" t="s">
        <v>144</v>
      </c>
      <c r="F668" s="462" t="str" cm="1">
        <f t="array" ref="F66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68" s="462" t="s">
        <v>402</v>
      </c>
      <c r="H668" s="713" t="s">
        <v>1449</v>
      </c>
      <c r="I668" s="462" t="s">
        <v>689</v>
      </c>
      <c r="J668" s="430" t="s">
        <v>4600</v>
      </c>
      <c r="K668" s="430" t="s">
        <v>1451</v>
      </c>
      <c r="L668" s="430">
        <v>34</v>
      </c>
      <c r="M668" s="430" t="s">
        <v>840</v>
      </c>
      <c r="N668" s="432">
        <v>46181</v>
      </c>
      <c r="O668" s="430" t="s">
        <v>4540</v>
      </c>
      <c r="P668" s="430" t="s">
        <v>5066</v>
      </c>
      <c r="Q668" s="430" t="s">
        <v>1484</v>
      </c>
      <c r="R668" s="430" t="str">
        <f>_xlfn.XLOOKUP(PV_DATA[[#This Row],[New Ark SKU]],Table9[New Ark SKU],Table9[Connector],,0)</f>
        <v>H4(Com)</v>
      </c>
      <c r="S668" s="442" t="str">
        <f>_xlfn.XLOOKUP(PV_DATA[[#This Row],[New Ark SKU]],Table9[New Ark SKU],Table9[Cable],,0)</f>
        <v>+400mm/-200mm</v>
      </c>
      <c r="T668" s="433">
        <v>725</v>
      </c>
      <c r="U668" s="1062">
        <f>594*5</f>
        <v>2970</v>
      </c>
      <c r="V668" s="544">
        <f>PV_DATA[[#This Row],[QUANTITY]]*PV_DATA[[#This Row],[WATT]]/1000000</f>
        <v>2.1532499999999999</v>
      </c>
      <c r="W668" s="435">
        <f>PV_DATA[[#This Row],[QUANTITY]]/PV_DATA[[#This Row],[Qty/Pallet]]</f>
        <v>90</v>
      </c>
      <c r="X668" s="1015">
        <f>PV_DATA[[#This Row],[QUANTITY]]/PV_DATA[[#This Row],[Qty/CT]]</f>
        <v>5</v>
      </c>
      <c r="Y668" s="430" t="s">
        <v>4366</v>
      </c>
      <c r="Z668" s="430" t="str">
        <f t="shared" si="7"/>
        <v>COMPLETED</v>
      </c>
      <c r="AA668" s="430" t="s">
        <v>5067</v>
      </c>
      <c r="AB668" s="437">
        <v>46196</v>
      </c>
      <c r="AC668" s="485">
        <f>IF(PV_DATA[[#This Row],[Pick-Up Date]]&lt;&gt;"",_xlfn.ISOWEEKNUM(PV_DATA[[#This Row],[Pick-Up Date]]),"")</f>
        <v>26</v>
      </c>
      <c r="AD668" s="430" t="s">
        <v>5198</v>
      </c>
      <c r="AE668" s="435"/>
      <c r="AF668" s="430" t="s">
        <v>122</v>
      </c>
      <c r="AG668" s="430" t="s">
        <v>123</v>
      </c>
      <c r="AH668" s="430" t="s">
        <v>105</v>
      </c>
      <c r="AI668" s="437">
        <v>46204</v>
      </c>
      <c r="AJ668" s="437">
        <v>46206</v>
      </c>
      <c r="AK668" s="437">
        <v>46206</v>
      </c>
      <c r="AL668" s="437">
        <v>46249</v>
      </c>
      <c r="AM668" s="441">
        <f>IFERROR(IF(VLOOKUP(AT668, Vessel!A:H, 8, FALSE)=0, "", VLOOKUP(AT668, Vessel!A:H, 8, FALSE)), "")</f>
        <v>46244.291666666664</v>
      </c>
      <c r="AN668" s="586">
        <v>46244.348958333336</v>
      </c>
      <c r="AP668" s="430" t="s">
        <v>5173</v>
      </c>
      <c r="AQ668" s="438" t="s">
        <v>80</v>
      </c>
      <c r="AR668" s="430" t="s">
        <v>5195</v>
      </c>
      <c r="AS668" s="430" t="s">
        <v>5196</v>
      </c>
      <c r="AT668" s="430" t="s">
        <v>5196</v>
      </c>
      <c r="AU66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38.348958333335759</v>
      </c>
      <c r="AV668" s="437"/>
      <c r="AW668" s="437" cm="1">
        <f t="array" ref="AW66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46244.348958333336</v>
      </c>
      <c r="AX66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68" s="437">
        <f>IF(ISERROR(PV_DATA[[#This Row],[New Ark PO status]]),"",_xlfn.XLOOKUP(PV_DATA[[#This Row],[SPTN-PVHK New Ark PO'#]],New_Ark_Data[Purchase order Number],New_Ark_Data[Estimated time of arrival],"",0))</f>
        <v>46249</v>
      </c>
      <c r="AZ668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68" s="437">
        <f>IFERROR(PV_DATA[[#This Row],[ODP ETA Port]]+PV_DATA[[#This Row],[Customs/Leg3 Assumption]],"n/a")</f>
        <v>46244.348958333336</v>
      </c>
      <c r="BB668" s="433">
        <f>YEAR(PV_DATA[[#This Row],[ETA for New Ark update]])</f>
        <v>2026</v>
      </c>
      <c r="BC668" s="430">
        <f>MONTH(PV_DATA[[#This Row],[ETA for New Ark update]])</f>
        <v>8</v>
      </c>
      <c r="BD668" s="430">
        <f>IFERROR(_xlfn.ISOWEEKNUM(PV_DATA[[#This Row],[ETA for New Ark update]]),0)</f>
        <v>33</v>
      </c>
      <c r="BE668" s="430">
        <f>_xlfn.XLOOKUP(PV_DATA[[#This Row],[New Ark SKU]],Table9[New Ark SKU],Table9[Total PCS per Pallet],,0)</f>
        <v>33</v>
      </c>
      <c r="BF668" s="430">
        <f>_xlfn.XLOOKUP(PV_DATA[[#This Row],[New Ark SKU]],Table9[New Ark SKU],Table9[Total PCS per 40HQ Container],,0)</f>
        <v>594</v>
      </c>
      <c r="BG668" s="431" t="str">
        <f>_xlfn.XLOOKUP(PV_DATA[[#This Row],[New Ark SKU]],Table9[New Ark SKU],Table9[Back Glass],,0)</f>
        <v>Transparent</v>
      </c>
      <c r="BH668" s="430" t="str">
        <f>_xlfn.XLOOKUP(PV_DATA[[#This Row],[PORT DESTINATION]],Table12[PORT DESTINATION],Table12[Cosco Line],,0)</f>
        <v>AEU</v>
      </c>
      <c r="BJ668" s="430"/>
    </row>
    <row r="669" spans="1:62" ht="10.5" hidden="1">
      <c r="A669" s="462" t="s">
        <v>5199</v>
      </c>
      <c r="B669" s="462" t="s">
        <v>111</v>
      </c>
      <c r="C669" s="462" t="str">
        <f>IFERROR(LEFT(PV_DATA[[#This Row],[TCL REFERENCE]],FIND(".",PV_DATA[[#This Row],[TCL REFERENCE]],1)-1),"Main Line")</f>
        <v>26May013</v>
      </c>
      <c r="D669" s="462" t="s">
        <v>63</v>
      </c>
      <c r="E669" s="462" t="s">
        <v>144</v>
      </c>
      <c r="F669" s="462" t="str" cm="1">
        <f t="array" ref="F66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69" s="462" t="s">
        <v>402</v>
      </c>
      <c r="H669" s="713" t="s">
        <v>1449</v>
      </c>
      <c r="I669" s="462" t="s">
        <v>822</v>
      </c>
      <c r="J669" s="430" t="s">
        <v>4600</v>
      </c>
      <c r="K669" s="430" t="s">
        <v>1451</v>
      </c>
      <c r="L669" s="430">
        <v>50</v>
      </c>
      <c r="M669" s="430" t="s">
        <v>840</v>
      </c>
      <c r="N669" s="432">
        <v>46181</v>
      </c>
      <c r="O669" s="430" t="s">
        <v>4540</v>
      </c>
      <c r="P669" s="430" t="s">
        <v>5050</v>
      </c>
      <c r="Q669" s="430" t="s">
        <v>1807</v>
      </c>
      <c r="R669" s="430" t="str">
        <f>_xlfn.XLOOKUP(PV_DATA[[#This Row],[New Ark SKU]],Table9[New Ark SKU],Table9[Connector],,0)</f>
        <v>H4(Com)</v>
      </c>
      <c r="S669" s="442" t="str">
        <f>_xlfn.XLOOKUP(PV_DATA[[#This Row],[New Ark SKU]],Table9[New Ark SKU],Table9[Cable],,0)</f>
        <v>+400mm/-200mm</v>
      </c>
      <c r="T669" s="433">
        <v>720</v>
      </c>
      <c r="U669" s="1062">
        <v>1188</v>
      </c>
      <c r="V669" s="544">
        <f>PV_DATA[[#This Row],[QUANTITY]]*PV_DATA[[#This Row],[WATT]]/1000000</f>
        <v>0.85536000000000001</v>
      </c>
      <c r="W669" s="435">
        <f>PV_DATA[[#This Row],[QUANTITY]]/PV_DATA[[#This Row],[Qty/Pallet]]</f>
        <v>36</v>
      </c>
      <c r="X669" s="1015">
        <f>PV_DATA[[#This Row],[QUANTITY]]/PV_DATA[[#This Row],[Qty/CT]]</f>
        <v>2</v>
      </c>
      <c r="Y669" s="430" t="s">
        <v>4368</v>
      </c>
      <c r="Z669" s="430" t="str">
        <f t="shared" si="7"/>
        <v>COMPLETED</v>
      </c>
      <c r="AA669" s="430" t="s">
        <v>5047</v>
      </c>
      <c r="AB669" s="437">
        <v>46199</v>
      </c>
      <c r="AC669" s="485">
        <f>IF(PV_DATA[[#This Row],[Pick-Up Date]]&lt;&gt;"",_xlfn.ISOWEEKNUM(PV_DATA[[#This Row],[Pick-Up Date]]),"")</f>
        <v>26</v>
      </c>
      <c r="AD669" s="430" t="s">
        <v>5200</v>
      </c>
      <c r="AE669" s="435"/>
      <c r="AF669" s="430" t="s">
        <v>122</v>
      </c>
      <c r="AG669" s="430" t="s">
        <v>123</v>
      </c>
      <c r="AH669" s="430" t="s">
        <v>105</v>
      </c>
      <c r="AI669" s="437">
        <v>46204</v>
      </c>
      <c r="AJ669" s="437">
        <v>46206</v>
      </c>
      <c r="AK669" s="437">
        <v>46206</v>
      </c>
      <c r="AL669" s="437">
        <v>46238</v>
      </c>
      <c r="AM669" s="441">
        <f>IFERROR(IF(VLOOKUP(AT669, Vessel!A:H, 8, FALSE)=0, "", VLOOKUP(AT669, Vessel!A:H, 8, FALSE)), "")</f>
        <v>46244.291666666664</v>
      </c>
      <c r="AN669" s="586">
        <v>46244.348958333336</v>
      </c>
      <c r="AP669" s="430" t="s">
        <v>5130</v>
      </c>
      <c r="AQ669" s="430" t="s">
        <v>80</v>
      </c>
      <c r="AR669" s="430" t="s">
        <v>5201</v>
      </c>
      <c r="AS669" s="430" t="s">
        <v>5202</v>
      </c>
      <c r="AT669" s="430" t="s">
        <v>5202</v>
      </c>
      <c r="AU66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38.348958333335759</v>
      </c>
      <c r="AV669" s="437"/>
      <c r="AW669" s="437" cm="1">
        <f t="array" ref="AW66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46244.348958333336</v>
      </c>
      <c r="AX66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69" s="437">
        <f>IF(ISERROR(PV_DATA[[#This Row],[New Ark PO status]]),"",_xlfn.XLOOKUP(PV_DATA[[#This Row],[SPTN-PVHK New Ark PO'#]],New_Ark_Data[Purchase order Number],New_Ark_Data[Estimated time of arrival],"",0))</f>
        <v>46238</v>
      </c>
      <c r="AZ669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69" s="437">
        <f>IFERROR(PV_DATA[[#This Row],[ODP ETA Port]]+PV_DATA[[#This Row],[Customs/Leg3 Assumption]],"n/a")</f>
        <v>46244.348958333336</v>
      </c>
      <c r="BB669" s="433">
        <f>YEAR(PV_DATA[[#This Row],[ETA for New Ark update]])</f>
        <v>2026</v>
      </c>
      <c r="BC669" s="430">
        <f>MONTH(PV_DATA[[#This Row],[ETA for New Ark update]])</f>
        <v>8</v>
      </c>
      <c r="BD669" s="430">
        <f>IFERROR(_xlfn.ISOWEEKNUM(PV_DATA[[#This Row],[ETA for New Ark update]]),0)</f>
        <v>33</v>
      </c>
      <c r="BE669" s="430">
        <f>_xlfn.XLOOKUP(PV_DATA[[#This Row],[New Ark SKU]],Table9[New Ark SKU],Table9[Total PCS per Pallet],,0)</f>
        <v>33</v>
      </c>
      <c r="BF669" s="430">
        <f>_xlfn.XLOOKUP(PV_DATA[[#This Row],[New Ark SKU]],Table9[New Ark SKU],Table9[Total PCS per 40HQ Container],,0)</f>
        <v>594</v>
      </c>
      <c r="BG669" s="431" t="str">
        <f>_xlfn.XLOOKUP(PV_DATA[[#This Row],[New Ark SKU]],Table9[New Ark SKU],Table9[Back Glass],,0)</f>
        <v>Transparent</v>
      </c>
      <c r="BH669" s="610" t="str">
        <f>_xlfn.XLOOKUP(PV_DATA[[#This Row],[PORT DESTINATION]],Table12[PORT DESTINATION],Table12[Cosco Line],,0)</f>
        <v>AEU</v>
      </c>
      <c r="BJ669" s="430"/>
    </row>
    <row r="670" spans="1:62" ht="10.5" hidden="1">
      <c r="A670" s="462" t="s">
        <v>5203</v>
      </c>
      <c r="B670" s="462" t="s">
        <v>111</v>
      </c>
      <c r="C670" s="462" t="str">
        <f>IFERROR(LEFT(PV_DATA[[#This Row],[TCL REFERENCE]],FIND(".",PV_DATA[[#This Row],[TCL REFERENCE]],1)-1),"Main Line")</f>
        <v>26Jun004</v>
      </c>
      <c r="D670" s="462" t="s">
        <v>63</v>
      </c>
      <c r="E670" s="462" t="s">
        <v>64</v>
      </c>
      <c r="F670" s="462" t="str" cm="1">
        <f t="array" ref="F67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70" s="462" t="s">
        <v>402</v>
      </c>
      <c r="H670" s="462" t="s">
        <v>67</v>
      </c>
      <c r="I670" s="462" t="s">
        <v>689</v>
      </c>
      <c r="J670" s="430" t="s">
        <v>96</v>
      </c>
      <c r="K670" s="430"/>
      <c r="L670" s="430"/>
      <c r="M670" s="430" t="s">
        <v>68</v>
      </c>
      <c r="N670" s="432">
        <v>46188</v>
      </c>
      <c r="O670" s="430" t="s">
        <v>132</v>
      </c>
      <c r="P670" s="430" t="s">
        <v>1062</v>
      </c>
      <c r="Q670" s="430" t="s">
        <v>1063</v>
      </c>
      <c r="R670" s="430" t="str">
        <f>_xlfn.XLOOKUP(PV_DATA[[#This Row],[New Ark SKU]],Table9[New Ark SKU],Table9[Connector],,0)</f>
        <v>EVO2A</v>
      </c>
      <c r="S670" s="442" t="str">
        <f>_xlfn.XLOOKUP(PV_DATA[[#This Row],[New Ark SKU]],Table9[New Ark SKU],Table9[Cable],,0)</f>
        <v>±1200mm</v>
      </c>
      <c r="T670" s="433">
        <v>470</v>
      </c>
      <c r="U670" s="1062">
        <v>1728</v>
      </c>
      <c r="V670" s="434">
        <f>PV_DATA[[#This Row],[QUANTITY]]*PV_DATA[[#This Row],[WATT]]/1000000</f>
        <v>0.81215999999999999</v>
      </c>
      <c r="W670" s="435">
        <f>PV_DATA[[#This Row],[QUANTITY]]/PV_DATA[[#This Row],[Qty/Pallet]]</f>
        <v>48</v>
      </c>
      <c r="X670" s="1015">
        <f>PV_DATA[[#This Row],[QUANTITY]]/PV_DATA[[#This Row],[Qty/CT]]</f>
        <v>2</v>
      </c>
      <c r="Y670" s="459" t="s">
        <v>4368</v>
      </c>
      <c r="Z670" s="430" t="str">
        <f t="shared" si="7"/>
        <v>COMPLETED</v>
      </c>
      <c r="AA670" s="430" t="s">
        <v>5204</v>
      </c>
      <c r="AB670" s="437">
        <v>46197</v>
      </c>
      <c r="AC670" s="485">
        <f>IF(PV_DATA[[#This Row],[Pick-Up Date]]&lt;&gt;"",_xlfn.ISOWEEKNUM(PV_DATA[[#This Row],[Pick-Up Date]]),"")</f>
        <v>26</v>
      </c>
      <c r="AD670" s="430" t="s">
        <v>5205</v>
      </c>
      <c r="AE670" s="430"/>
      <c r="AF670" s="430" t="s">
        <v>122</v>
      </c>
      <c r="AG670" s="430" t="s">
        <v>123</v>
      </c>
      <c r="AH670" s="430" t="s">
        <v>78</v>
      </c>
      <c r="AI670" s="437">
        <v>46203</v>
      </c>
      <c r="AJ670" s="437">
        <v>46209</v>
      </c>
      <c r="AK670" s="437">
        <v>46209</v>
      </c>
      <c r="AL670" s="437">
        <v>46246</v>
      </c>
      <c r="AM670" s="586"/>
      <c r="AN670" s="586">
        <v>46253.474305555559</v>
      </c>
      <c r="AP670" s="430" t="s">
        <v>5206</v>
      </c>
      <c r="AQ670" s="438" t="s">
        <v>80</v>
      </c>
      <c r="AR670" s="430" t="s">
        <v>5207</v>
      </c>
      <c r="AS670" s="430" t="s">
        <v>5208</v>
      </c>
      <c r="AT670" s="430" t="s">
        <v>5208</v>
      </c>
      <c r="AU67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44.474305555559113</v>
      </c>
      <c r="AV670" s="437"/>
      <c r="AW670" s="437" cm="1">
        <f t="array" ref="AW67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46253.474305555559</v>
      </c>
      <c r="AX67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70" s="437">
        <f>IF(ISERROR(PV_DATA[[#This Row],[New Ark PO status]]),"",_xlfn.XLOOKUP(PV_DATA[[#This Row],[SPTN-PVHK New Ark PO'#]],New_Ark_Data[Purchase order Number],New_Ark_Data[Estimated time of arrival],"",0))</f>
        <v>46267</v>
      </c>
      <c r="AZ670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70" s="437">
        <f>IFERROR(PV_DATA[[#This Row],[ODP ETA Port]]+PV_DATA[[#This Row],[Customs/Leg3 Assumption]],"n/a")</f>
        <v>46261.474305555559</v>
      </c>
      <c r="BB670" s="433">
        <f>YEAR(PV_DATA[[#This Row],[ETA for New Ark update]])</f>
        <v>2026</v>
      </c>
      <c r="BC670" s="430">
        <f>MONTH(PV_DATA[[#This Row],[ETA for New Ark update]])</f>
        <v>8</v>
      </c>
      <c r="BD670" s="430">
        <f>IFERROR(_xlfn.ISOWEEKNUM(PV_DATA[[#This Row],[ETA for New Ark update]]),0)</f>
        <v>35</v>
      </c>
      <c r="BE670" s="430">
        <f>_xlfn.XLOOKUP(PV_DATA[[#This Row],[New Ark SKU]],Table9[New Ark SKU],Table9[Total PCS per Pallet],,0)</f>
        <v>36</v>
      </c>
      <c r="BF670" s="430">
        <f>_xlfn.XLOOKUP(PV_DATA[[#This Row],[New Ark SKU]],Table9[New Ark SKU],Table9[Total PCS per 40HQ Container],,0)</f>
        <v>864</v>
      </c>
      <c r="BG670" s="431" t="str">
        <f>_xlfn.XLOOKUP(PV_DATA[[#This Row],[New Ark SKU]],Table9[New Ark SKU],Table9[Back Glass],,0)</f>
        <v>White glazing</v>
      </c>
      <c r="BH670" s="430" t="str">
        <f>_xlfn.XLOOKUP(PV_DATA[[#This Row],[PORT DESTINATION]],Table12[PORT DESTINATION],Table12[Cosco Line],,0)</f>
        <v>AEM</v>
      </c>
      <c r="BJ670" s="430"/>
    </row>
    <row r="671" spans="1:62" ht="10.5" hidden="1">
      <c r="A671" s="462" t="s">
        <v>5209</v>
      </c>
      <c r="B671" s="462" t="s">
        <v>111</v>
      </c>
      <c r="C671" s="462" t="str">
        <f>IFERROR(LEFT(PV_DATA[[#This Row],[TCL REFERENCE]],FIND(".",PV_DATA[[#This Row],[TCL REFERENCE]],1)-1),"Main Line")</f>
        <v>26Jun004</v>
      </c>
      <c r="D671" s="462" t="s">
        <v>63</v>
      </c>
      <c r="E671" s="462" t="s">
        <v>64</v>
      </c>
      <c r="F671" s="462" t="str" cm="1">
        <f t="array" ref="F67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71" s="462" t="s">
        <v>402</v>
      </c>
      <c r="H671" s="462" t="s">
        <v>67</v>
      </c>
      <c r="I671" s="462" t="s">
        <v>689</v>
      </c>
      <c r="J671" s="430" t="s">
        <v>96</v>
      </c>
      <c r="K671" s="430"/>
      <c r="L671" s="430"/>
      <c r="M671" s="430" t="s">
        <v>68</v>
      </c>
      <c r="N671" s="432">
        <v>46188</v>
      </c>
      <c r="O671" s="430" t="s">
        <v>132</v>
      </c>
      <c r="P671" s="430" t="s">
        <v>1062</v>
      </c>
      <c r="Q671" s="430" t="s">
        <v>1063</v>
      </c>
      <c r="R671" s="430" t="str">
        <f>_xlfn.XLOOKUP(PV_DATA[[#This Row],[New Ark SKU]],Table9[New Ark SKU],Table9[Connector],,0)</f>
        <v>EVO2A</v>
      </c>
      <c r="S671" s="442" t="str">
        <f>_xlfn.XLOOKUP(PV_DATA[[#This Row],[New Ark SKU]],Table9[New Ark SKU],Table9[Cable],,0)</f>
        <v>±1200mm</v>
      </c>
      <c r="T671" s="433">
        <v>470</v>
      </c>
      <c r="U671" s="1062">
        <f>864*5</f>
        <v>4320</v>
      </c>
      <c r="V671" s="434">
        <f>PV_DATA[[#This Row],[QUANTITY]]*PV_DATA[[#This Row],[WATT]]/1000000</f>
        <v>2.0304000000000002</v>
      </c>
      <c r="W671" s="435">
        <f>PV_DATA[[#This Row],[QUANTITY]]/PV_DATA[[#This Row],[Qty/Pallet]]</f>
        <v>120</v>
      </c>
      <c r="X671" s="1015">
        <f>PV_DATA[[#This Row],[QUANTITY]]/PV_DATA[[#This Row],[Qty/CT]]</f>
        <v>5</v>
      </c>
      <c r="Y671" s="430" t="s">
        <v>4368</v>
      </c>
      <c r="Z671" s="430" t="str">
        <f t="shared" si="7"/>
        <v>COMPLETED</v>
      </c>
      <c r="AA671" s="430" t="s">
        <v>5047</v>
      </c>
      <c r="AB671" s="437">
        <v>46197</v>
      </c>
      <c r="AC671" s="485">
        <f>IF(PV_DATA[[#This Row],[Pick-Up Date]]&lt;&gt;"",_xlfn.ISOWEEKNUM(PV_DATA[[#This Row],[Pick-Up Date]]),"")</f>
        <v>26</v>
      </c>
      <c r="AD671" s="430" t="s">
        <v>5210</v>
      </c>
      <c r="AE671" s="430"/>
      <c r="AF671" s="430" t="s">
        <v>122</v>
      </c>
      <c r="AG671" s="430" t="s">
        <v>123</v>
      </c>
      <c r="AH671" s="430" t="s">
        <v>78</v>
      </c>
      <c r="AI671" s="437">
        <v>46203</v>
      </c>
      <c r="AJ671" s="437">
        <v>46209</v>
      </c>
      <c r="AK671" s="437">
        <v>46209</v>
      </c>
      <c r="AL671" s="437">
        <v>46246</v>
      </c>
      <c r="AM671" s="586"/>
      <c r="AN671" s="586">
        <v>46253.474305555559</v>
      </c>
      <c r="AP671" s="430" t="s">
        <v>5206</v>
      </c>
      <c r="AQ671" s="438" t="s">
        <v>80</v>
      </c>
      <c r="AR671" s="430" t="s">
        <v>5207</v>
      </c>
      <c r="AS671" s="430" t="s">
        <v>5208</v>
      </c>
      <c r="AT671" s="430" t="s">
        <v>5208</v>
      </c>
      <c r="AU67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44.474305555559113</v>
      </c>
      <c r="AV671" s="437"/>
      <c r="AW671" s="437" cm="1">
        <f t="array" ref="AW67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46253.474305555559</v>
      </c>
      <c r="AX67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71" s="437">
        <f>IF(ISERROR(PV_DATA[[#This Row],[New Ark PO status]]),"",_xlfn.XLOOKUP(PV_DATA[[#This Row],[SPTN-PVHK New Ark PO'#]],New_Ark_Data[Purchase order Number],New_Ark_Data[Estimated time of arrival],"",0))</f>
        <v>46267</v>
      </c>
      <c r="AZ671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71" s="437">
        <f>IFERROR(PV_DATA[[#This Row],[ODP ETA Port]]+PV_DATA[[#This Row],[Customs/Leg3 Assumption]],"n/a")</f>
        <v>46261.474305555559</v>
      </c>
      <c r="BB671" s="433">
        <f>YEAR(PV_DATA[[#This Row],[ETA for New Ark update]])</f>
        <v>2026</v>
      </c>
      <c r="BC671" s="430">
        <f>MONTH(PV_DATA[[#This Row],[ETA for New Ark update]])</f>
        <v>8</v>
      </c>
      <c r="BD671" s="430">
        <f>IFERROR(_xlfn.ISOWEEKNUM(PV_DATA[[#This Row],[ETA for New Ark update]]),0)</f>
        <v>35</v>
      </c>
      <c r="BE671" s="430">
        <f>_xlfn.XLOOKUP(PV_DATA[[#This Row],[New Ark SKU]],Table9[New Ark SKU],Table9[Total PCS per Pallet],,0)</f>
        <v>36</v>
      </c>
      <c r="BF671" s="430">
        <f>_xlfn.XLOOKUP(PV_DATA[[#This Row],[New Ark SKU]],Table9[New Ark SKU],Table9[Total PCS per 40HQ Container],,0)</f>
        <v>864</v>
      </c>
      <c r="BG671" s="431" t="str">
        <f>_xlfn.XLOOKUP(PV_DATA[[#This Row],[New Ark SKU]],Table9[New Ark SKU],Table9[Back Glass],,0)</f>
        <v>White glazing</v>
      </c>
      <c r="BH671" s="430" t="str">
        <f>_xlfn.XLOOKUP(PV_DATA[[#This Row],[PORT DESTINATION]],Table12[PORT DESTINATION],Table12[Cosco Line],,0)</f>
        <v>AEM</v>
      </c>
      <c r="BJ671" s="430"/>
    </row>
    <row r="672" spans="1:62" ht="10.5" hidden="1">
      <c r="A672" s="462" t="s">
        <v>5211</v>
      </c>
      <c r="B672" s="462" t="s">
        <v>5212</v>
      </c>
      <c r="C672" s="462" t="str">
        <f>IFERROR(LEFT(PV_DATA[[#This Row],[TCL REFERENCE]],FIND(".",PV_DATA[[#This Row],[TCL REFERENCE]],1)-1),"Main Line")</f>
        <v>26Jun008</v>
      </c>
      <c r="D672" s="462" t="s">
        <v>63</v>
      </c>
      <c r="E672" s="462" t="s">
        <v>64</v>
      </c>
      <c r="F672" s="462" t="str" cm="1">
        <f t="array" ref="F67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72" s="462" t="s">
        <v>402</v>
      </c>
      <c r="H672" s="462" t="s">
        <v>67</v>
      </c>
      <c r="I672" s="462" t="s">
        <v>689</v>
      </c>
      <c r="J672" s="430" t="s">
        <v>1047</v>
      </c>
      <c r="K672" s="430"/>
      <c r="L672" s="430"/>
      <c r="M672" s="430" t="s">
        <v>68</v>
      </c>
      <c r="N672" s="432">
        <v>46188</v>
      </c>
      <c r="O672" s="430" t="s">
        <v>4540</v>
      </c>
      <c r="P672" s="430" t="s">
        <v>5099</v>
      </c>
      <c r="Q672" s="430" t="s">
        <v>330</v>
      </c>
      <c r="R672" s="430" t="str">
        <f>_xlfn.XLOOKUP(PV_DATA[[#This Row],[New Ark SKU]],Table9[New Ark SKU],Table9[Connector],,0)</f>
        <v>H4(Com)</v>
      </c>
      <c r="S672" s="442" t="str">
        <f>_xlfn.XLOOKUP(PV_DATA[[#This Row],[New Ark SKU]],Table9[New Ark SKU],Table9[Cable],,0)</f>
        <v>±1400mm</v>
      </c>
      <c r="T672" s="433">
        <v>625</v>
      </c>
      <c r="U672" s="1062">
        <f>720*2</f>
        <v>1440</v>
      </c>
      <c r="V672" s="434">
        <f>PV_DATA[[#This Row],[QUANTITY]]*PV_DATA[[#This Row],[WATT]]/1000000</f>
        <v>0.9</v>
      </c>
      <c r="W672" s="435">
        <f>PV_DATA[[#This Row],[QUANTITY]]/PV_DATA[[#This Row],[Qty/Pallet]]</f>
        <v>40</v>
      </c>
      <c r="X672" s="1015">
        <f>PV_DATA[[#This Row],[QUANTITY]]/PV_DATA[[#This Row],[Qty/CT]]</f>
        <v>2</v>
      </c>
      <c r="Y672" s="430" t="s">
        <v>4368</v>
      </c>
      <c r="Z672" s="430" t="str">
        <f t="shared" si="7"/>
        <v>COMPLETED</v>
      </c>
      <c r="AA672" s="430" t="s">
        <v>5213</v>
      </c>
      <c r="AB672" s="437">
        <v>46201</v>
      </c>
      <c r="AC672" s="485">
        <f>IF(PV_DATA[[#This Row],[Pick-Up Date]]&lt;&gt;"",_xlfn.ISOWEEKNUM(PV_DATA[[#This Row],[Pick-Up Date]]),"")</f>
        <v>26</v>
      </c>
      <c r="AD672" s="430" t="s">
        <v>5214</v>
      </c>
      <c r="AE672" s="430"/>
      <c r="AF672" s="430" t="s">
        <v>122</v>
      </c>
      <c r="AG672" s="430" t="s">
        <v>123</v>
      </c>
      <c r="AH672" s="430" t="s">
        <v>78</v>
      </c>
      <c r="AI672" s="437">
        <v>46207</v>
      </c>
      <c r="AJ672" s="437">
        <v>46211</v>
      </c>
      <c r="AK672" s="437">
        <v>46211</v>
      </c>
      <c r="AL672" s="437">
        <v>46258</v>
      </c>
      <c r="AM672" s="586">
        <f>IFERROR(VLOOKUP(AT672, Vessel!A:H, 8, FALSE), "")</f>
        <v>46271.25</v>
      </c>
      <c r="AN672" s="586">
        <f>IF(VLOOKUP(AT672, Vessel!A:I, 9, FALSE)=0, "", VLOOKUP(AT672, Vessel!A:I, 9, FALSE))</f>
        <v>46271.279085648152</v>
      </c>
      <c r="AP672" s="430" t="s">
        <v>5215</v>
      </c>
      <c r="AQ672" s="438" t="s">
        <v>80</v>
      </c>
      <c r="AR672" s="430" t="s">
        <v>5216</v>
      </c>
      <c r="AS672" s="430" t="s">
        <v>5217</v>
      </c>
      <c r="AT672" s="430" t="s">
        <v>5217</v>
      </c>
      <c r="AU67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60.279085648151522</v>
      </c>
      <c r="AV672" s="437"/>
      <c r="AW672" s="437" cm="1">
        <f t="array" ref="AW67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46271.279085648152</v>
      </c>
      <c r="AX67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72" s="437">
        <f>IF(ISERROR(PV_DATA[[#This Row],[New Ark PO status]]),"",_xlfn.XLOOKUP(PV_DATA[[#This Row],[SPTN-PVHK New Ark PO'#]],New_Ark_Data[Purchase order Number],New_Ark_Data[Estimated time of arrival],"",0))</f>
        <v>46283</v>
      </c>
      <c r="AZ672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72" s="437">
        <f>IFERROR(PV_DATA[[#This Row],[ODP ETA Port]]+PV_DATA[[#This Row],[Customs/Leg3 Assumption]],"n/a")</f>
        <v>46279.279085648152</v>
      </c>
      <c r="BB672" s="433">
        <f>YEAR(PV_DATA[[#This Row],[ETA for New Ark update]])</f>
        <v>2026</v>
      </c>
      <c r="BC672" s="430">
        <f>MONTH(PV_DATA[[#This Row],[ETA for New Ark update]])</f>
        <v>9</v>
      </c>
      <c r="BD672" s="430">
        <f>IFERROR(_xlfn.ISOWEEKNUM(PV_DATA[[#This Row],[ETA for New Ark update]]),0)</f>
        <v>38</v>
      </c>
      <c r="BE672" s="430">
        <f>_xlfn.XLOOKUP(PV_DATA[[#This Row],[New Ark SKU]],Table9[New Ark SKU],Table9[Total PCS per Pallet],,0)</f>
        <v>36</v>
      </c>
      <c r="BF672" s="430">
        <f>_xlfn.XLOOKUP(PV_DATA[[#This Row],[New Ark SKU]],Table9[New Ark SKU],Table9[Total PCS per 40HQ Container],,0)</f>
        <v>720</v>
      </c>
      <c r="BG672" s="431" t="str">
        <f>_xlfn.XLOOKUP(PV_DATA[[#This Row],[New Ark SKU]],Table9[New Ark SKU],Table9[Back Glass],,0)</f>
        <v>Transparent</v>
      </c>
      <c r="BH672" s="430" t="str">
        <f>_xlfn.XLOOKUP(PV_DATA[[#This Row],[PORT DESTINATION]],Table12[PORT DESTINATION],Table12[Cosco Line],,0)</f>
        <v>AEM</v>
      </c>
      <c r="BJ672" s="430"/>
    </row>
    <row r="673" spans="1:62" ht="10.5" hidden="1">
      <c r="A673" s="462" t="s">
        <v>5218</v>
      </c>
      <c r="B673" s="462" t="s">
        <v>111</v>
      </c>
      <c r="C673" s="462" t="str">
        <f>IFERROR(LEFT(PV_DATA[[#This Row],[TCL REFERENCE]],FIND(".",PV_DATA[[#This Row],[TCL REFERENCE]],1)-1),"Main Line")</f>
        <v>26Jun001</v>
      </c>
      <c r="D673" s="462" t="s">
        <v>63</v>
      </c>
      <c r="E673" s="462" t="s">
        <v>64</v>
      </c>
      <c r="F673" s="462" t="str" cm="1">
        <f t="array" ref="F67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73" s="462" t="s">
        <v>402</v>
      </c>
      <c r="H673" s="462" t="s">
        <v>67</v>
      </c>
      <c r="I673" s="462" t="s">
        <v>689</v>
      </c>
      <c r="J673" s="430" t="s">
        <v>96</v>
      </c>
      <c r="K673" s="430"/>
      <c r="L673" s="430"/>
      <c r="M673" s="430" t="s">
        <v>68</v>
      </c>
      <c r="N673" s="432">
        <v>46189</v>
      </c>
      <c r="O673" s="430" t="s">
        <v>550</v>
      </c>
      <c r="P673" s="430" t="s">
        <v>551</v>
      </c>
      <c r="Q673" s="430" t="s">
        <v>2151</v>
      </c>
      <c r="R673" s="430" t="str">
        <f>_xlfn.XLOOKUP(PV_DATA[[#This Row],[New Ark SKU]],Table9[New Ark SKU],Table9[Connector],,0)</f>
        <v>EVO2A</v>
      </c>
      <c r="S673" s="442" t="str">
        <f>_xlfn.XLOOKUP(PV_DATA[[#This Row],[New Ark SKU]],Table9[New Ark SKU],Table9[Cable],,0)</f>
        <v>±1350mm</v>
      </c>
      <c r="T673" s="433">
        <v>510</v>
      </c>
      <c r="U673" s="1062">
        <v>1584</v>
      </c>
      <c r="V673" s="434">
        <f>PV_DATA[[#This Row],[QUANTITY]]*PV_DATA[[#This Row],[WATT]]/1000000</f>
        <v>0.80784</v>
      </c>
      <c r="W673" s="435">
        <f>PV_DATA[[#This Row],[QUANTITY]]/PV_DATA[[#This Row],[Qty/Pallet]]</f>
        <v>44</v>
      </c>
      <c r="X673" s="1015">
        <f>PV_DATA[[#This Row],[QUANTITY]]/PV_DATA[[#This Row],[Qty/CT]]</f>
        <v>2</v>
      </c>
      <c r="Y673" s="430" t="s">
        <v>4368</v>
      </c>
      <c r="Z673" s="430" t="str">
        <f t="shared" si="7"/>
        <v>COMPLETED</v>
      </c>
      <c r="AA673" s="430" t="s">
        <v>5213</v>
      </c>
      <c r="AB673" s="437">
        <v>46201</v>
      </c>
      <c r="AC673" s="485">
        <f>IF(PV_DATA[[#This Row],[Pick-Up Date]]&lt;&gt;"",_xlfn.ISOWEEKNUM(PV_DATA[[#This Row],[Pick-Up Date]]),"")</f>
        <v>26</v>
      </c>
      <c r="AD673" s="430" t="s">
        <v>5219</v>
      </c>
      <c r="AE673" s="430"/>
      <c r="AF673" s="430" t="s">
        <v>122</v>
      </c>
      <c r="AG673" s="430" t="s">
        <v>123</v>
      </c>
      <c r="AH673" s="430" t="s">
        <v>78</v>
      </c>
      <c r="AI673" s="437">
        <v>46207</v>
      </c>
      <c r="AJ673" s="437">
        <v>46211</v>
      </c>
      <c r="AK673" s="437">
        <v>46211</v>
      </c>
      <c r="AL673" s="956">
        <v>46258</v>
      </c>
      <c r="AM673" s="1124">
        <f>IFERROR(VLOOKUP(AT673, Vessel!A:H, 8, FALSE), "")</f>
        <v>46271.25</v>
      </c>
      <c r="AN673" s="586">
        <f>IF(VLOOKUP(AT673, Vessel!A:I, 9, FALSE)=0, "", VLOOKUP(AT673, Vessel!A:I, 9, FALSE))</f>
        <v>46271.279085648152</v>
      </c>
      <c r="AP673" s="430" t="s">
        <v>5220</v>
      </c>
      <c r="AQ673" s="438" t="s">
        <v>80</v>
      </c>
      <c r="AR673" s="430" t="s">
        <v>5216</v>
      </c>
      <c r="AS673" s="430" t="s">
        <v>5217</v>
      </c>
      <c r="AT673" s="430" t="s">
        <v>5217</v>
      </c>
      <c r="AU67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60.279085648151522</v>
      </c>
      <c r="AV673" s="437"/>
      <c r="AW673" s="437" cm="1">
        <f t="array" ref="AW67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46271.279085648152</v>
      </c>
      <c r="AX67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73" s="437">
        <f>IF(ISERROR(PV_DATA[[#This Row],[New Ark PO status]]),"",_xlfn.XLOOKUP(PV_DATA[[#This Row],[SPTN-PVHK New Ark PO'#]],New_Ark_Data[Purchase order Number],New_Ark_Data[Estimated time of arrival],"",0))</f>
        <v>46283</v>
      </c>
      <c r="AZ673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73" s="437">
        <f>IFERROR(PV_DATA[[#This Row],[ODP ETA Port]]+PV_DATA[[#This Row],[Customs/Leg3 Assumption]],"n/a")</f>
        <v>46279.279085648152</v>
      </c>
      <c r="BB673" s="433">
        <f>YEAR(PV_DATA[[#This Row],[ETA for New Ark update]])</f>
        <v>2026</v>
      </c>
      <c r="BC673" s="430">
        <f>MONTH(PV_DATA[[#This Row],[ETA for New Ark update]])</f>
        <v>9</v>
      </c>
      <c r="BD673" s="430">
        <f>IFERROR(_xlfn.ISOWEEKNUM(PV_DATA[[#This Row],[ETA for New Ark update]]),0)</f>
        <v>38</v>
      </c>
      <c r="BE673" s="430">
        <f>_xlfn.XLOOKUP(PV_DATA[[#This Row],[New Ark SKU]],Table9[New Ark SKU],Table9[Total PCS per Pallet],,0)</f>
        <v>36</v>
      </c>
      <c r="BF673" s="430">
        <f>_xlfn.XLOOKUP(PV_DATA[[#This Row],[New Ark SKU]],Table9[New Ark SKU],Table9[Total PCS per 40HQ Container],,0)</f>
        <v>792</v>
      </c>
      <c r="BG673" s="431" t="str">
        <f>_xlfn.XLOOKUP(PV_DATA[[#This Row],[New Ark SKU]],Table9[New Ark SKU],Table9[Back Glass],,0)</f>
        <v>Black glazing</v>
      </c>
      <c r="BH673" s="430" t="str">
        <f>_xlfn.XLOOKUP(PV_DATA[[#This Row],[PORT DESTINATION]],Table12[PORT DESTINATION],Table12[Cosco Line],,0)</f>
        <v>AEM</v>
      </c>
      <c r="BJ673" s="430"/>
    </row>
    <row r="674" spans="1:62" ht="10.5" hidden="1">
      <c r="A674" s="462" t="s">
        <v>5221</v>
      </c>
      <c r="B674" s="462" t="s">
        <v>1757</v>
      </c>
      <c r="C674" s="462" t="str">
        <f>IFERROR(LEFT(PV_DATA[[#This Row],[TCL REFERENCE]],FIND(".",PV_DATA[[#This Row],[TCL REFERENCE]],1)-1),"Main Line")</f>
        <v>26Jun011</v>
      </c>
      <c r="D674" s="462" t="s">
        <v>63</v>
      </c>
      <c r="E674" s="462" t="s">
        <v>64</v>
      </c>
      <c r="F674" s="462" t="str" cm="1">
        <f t="array" ref="F67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74" s="462" t="s">
        <v>402</v>
      </c>
      <c r="H674" s="462" t="s">
        <v>67</v>
      </c>
      <c r="I674" s="462" t="s">
        <v>689</v>
      </c>
      <c r="J674" s="430" t="s">
        <v>96</v>
      </c>
      <c r="K674" s="611"/>
      <c r="L674" s="430"/>
      <c r="M674" s="430" t="s">
        <v>68</v>
      </c>
      <c r="N674" s="432">
        <v>46195</v>
      </c>
      <c r="O674" s="430" t="s">
        <v>4540</v>
      </c>
      <c r="P674" s="430" t="s">
        <v>71</v>
      </c>
      <c r="Q674" s="430" t="s">
        <v>72</v>
      </c>
      <c r="R674" s="430" t="str">
        <f>_xlfn.XLOOKUP(PV_DATA[[#This Row],[New Ark SKU]],Table9[New Ark SKU],Table9[Connector],,0)</f>
        <v>EVO2A</v>
      </c>
      <c r="S674" s="442" t="str">
        <f>_xlfn.XLOOKUP(PV_DATA[[#This Row],[New Ark SKU]],Table9[New Ark SKU],Table9[Cable],,0)</f>
        <v>±1200mm</v>
      </c>
      <c r="T674" s="433">
        <v>500</v>
      </c>
      <c r="U674" s="1062">
        <v>2592</v>
      </c>
      <c r="V674" s="434">
        <f>PV_DATA[[#This Row],[QUANTITY]]*PV_DATA[[#This Row],[WATT]]/1000000</f>
        <v>1.296</v>
      </c>
      <c r="W674" s="435">
        <f>PV_DATA[[#This Row],[QUANTITY]]/PV_DATA[[#This Row],[Qty/Pallet]]</f>
        <v>72</v>
      </c>
      <c r="X674" s="1015">
        <f>PV_DATA[[#This Row],[QUANTITY]]/PV_DATA[[#This Row],[Qty/CT]]</f>
        <v>3</v>
      </c>
      <c r="Y674" s="459" t="s">
        <v>4368</v>
      </c>
      <c r="Z674" s="430" t="str">
        <f t="shared" si="7"/>
        <v>COMPLETED</v>
      </c>
      <c r="AA674" s="430" t="s">
        <v>5157</v>
      </c>
      <c r="AB674" s="437">
        <v>46202</v>
      </c>
      <c r="AC674" s="485">
        <f>IF(PV_DATA[[#This Row],[Pick-Up Date]]&lt;&gt;"",_xlfn.ISOWEEKNUM(PV_DATA[[#This Row],[Pick-Up Date]]),"")</f>
        <v>27</v>
      </c>
      <c r="AD674" s="430" t="s">
        <v>5222</v>
      </c>
      <c r="AE674" s="430"/>
      <c r="AF674" s="459" t="s">
        <v>5043</v>
      </c>
      <c r="AG674" s="459" t="s">
        <v>123</v>
      </c>
      <c r="AH674" s="430" t="s">
        <v>78</v>
      </c>
      <c r="AI674" s="437">
        <v>46207</v>
      </c>
      <c r="AJ674" s="437">
        <v>46211</v>
      </c>
      <c r="AK674" s="437">
        <v>46211</v>
      </c>
      <c r="AL674" s="437">
        <v>46258</v>
      </c>
      <c r="AM674" s="586">
        <f>IFERROR(VLOOKUP(AT674, Vessel!A:H, 8, FALSE), "")</f>
        <v>46271.25</v>
      </c>
      <c r="AN674" s="586">
        <f>IF(VLOOKUP(AT674, Vessel!A:I, 9, FALSE)=0, "", VLOOKUP(AT674, Vessel!A:I, 9, FALSE))</f>
        <v>46271.279085648152</v>
      </c>
      <c r="AP674" s="430" t="s">
        <v>5220</v>
      </c>
      <c r="AQ674" s="438" t="s">
        <v>80</v>
      </c>
      <c r="AR674" s="430" t="s">
        <v>5223</v>
      </c>
      <c r="AS674" s="430" t="s">
        <v>5224</v>
      </c>
      <c r="AT674" s="430" t="s">
        <v>5224</v>
      </c>
      <c r="AU67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60.279085648151522</v>
      </c>
      <c r="AV674" s="437"/>
      <c r="AW674" s="437" cm="1">
        <f t="array" ref="AW67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46271.279085648152</v>
      </c>
      <c r="AX67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74" s="437">
        <f>IF(ISERROR(PV_DATA[[#This Row],[New Ark PO status]]),"",_xlfn.XLOOKUP(PV_DATA[[#This Row],[SPTN-PVHK New Ark PO'#]],New_Ark_Data[Purchase order Number],New_Ark_Data[Estimated time of arrival],"",0))</f>
        <v>46283</v>
      </c>
      <c r="AZ674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74" s="437">
        <f>IFERROR(PV_DATA[[#This Row],[ODP ETA Port]]+PV_DATA[[#This Row],[Customs/Leg3 Assumption]],"n/a")</f>
        <v>46279.279085648152</v>
      </c>
      <c r="BB674" s="433">
        <f>YEAR(PV_DATA[[#This Row],[ETA for New Ark update]])</f>
        <v>2026</v>
      </c>
      <c r="BC674" s="430">
        <f>MONTH(PV_DATA[[#This Row],[ETA for New Ark update]])</f>
        <v>9</v>
      </c>
      <c r="BD674" s="430">
        <f>IFERROR(_xlfn.ISOWEEKNUM(PV_DATA[[#This Row],[ETA for New Ark update]]),0)</f>
        <v>38</v>
      </c>
      <c r="BE674" s="430">
        <f>_xlfn.XLOOKUP(PV_DATA[[#This Row],[New Ark SKU]],Table9[New Ark SKU],Table9[Total PCS per Pallet],,0)</f>
        <v>36</v>
      </c>
      <c r="BF674" s="430">
        <f>_xlfn.XLOOKUP(PV_DATA[[#This Row],[New Ark SKU]],Table9[New Ark SKU],Table9[Total PCS per 40HQ Container],,0)</f>
        <v>864</v>
      </c>
      <c r="BG674" s="431" t="str">
        <f>_xlfn.XLOOKUP(PV_DATA[[#This Row],[New Ark SKU]],Table9[New Ark SKU],Table9[Back Glass],,0)</f>
        <v>Black glazing</v>
      </c>
      <c r="BH674" s="430" t="str">
        <f>_xlfn.XLOOKUP(PV_DATA[[#This Row],[PORT DESTINATION]],Table12[PORT DESTINATION],Table12[Cosco Line],,0)</f>
        <v>AEM</v>
      </c>
      <c r="BJ674" s="430"/>
    </row>
    <row r="675" spans="1:62" ht="10.5" hidden="1">
      <c r="A675" s="462" t="s">
        <v>5225</v>
      </c>
      <c r="B675" s="462" t="s">
        <v>1757</v>
      </c>
      <c r="C675" s="462" t="str">
        <f>IFERROR(LEFT(PV_DATA[[#This Row],[TCL REFERENCE]],FIND(".",PV_DATA[[#This Row],[TCL REFERENCE]],1)-1),"Main Line")</f>
        <v>26Jun012</v>
      </c>
      <c r="D675" s="462" t="s">
        <v>63</v>
      </c>
      <c r="E675" s="462" t="s">
        <v>64</v>
      </c>
      <c r="F675" s="462" t="str" cm="1">
        <f t="array" ref="F67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75" s="462" t="s">
        <v>402</v>
      </c>
      <c r="H675" s="462" t="s">
        <v>67</v>
      </c>
      <c r="I675" s="462" t="s">
        <v>689</v>
      </c>
      <c r="J675" s="430" t="s">
        <v>96</v>
      </c>
      <c r="K675" s="430"/>
      <c r="L675" s="430"/>
      <c r="M675" s="430" t="s">
        <v>68</v>
      </c>
      <c r="N675" s="432">
        <v>46195</v>
      </c>
      <c r="O675" s="430" t="s">
        <v>4540</v>
      </c>
      <c r="P675" s="430" t="s">
        <v>1151</v>
      </c>
      <c r="Q675" s="430" t="s">
        <v>421</v>
      </c>
      <c r="R675" s="430" t="str">
        <f>_xlfn.XLOOKUP(PV_DATA[[#This Row],[New Ark SKU]],Table9[New Ark SKU],Table9[Connector],,0)</f>
        <v>EVO2A</v>
      </c>
      <c r="S675" s="442" t="str">
        <f>_xlfn.XLOOKUP(PV_DATA[[#This Row],[New Ark SKU]],Table9[New Ark SKU],Table9[Cable],,0)</f>
        <v>±1200mm</v>
      </c>
      <c r="T675" s="433">
        <v>505</v>
      </c>
      <c r="U675" s="1062">
        <f>864*6</f>
        <v>5184</v>
      </c>
      <c r="V675" s="434">
        <f>PV_DATA[[#This Row],[QUANTITY]]*PV_DATA[[#This Row],[WATT]]/1000000</f>
        <v>2.6179199999999998</v>
      </c>
      <c r="W675" s="435">
        <f>PV_DATA[[#This Row],[QUANTITY]]/PV_DATA[[#This Row],[Qty/Pallet]]</f>
        <v>144</v>
      </c>
      <c r="X675" s="1015">
        <f>PV_DATA[[#This Row],[QUANTITY]]/PV_DATA[[#This Row],[Qty/CT]]</f>
        <v>6</v>
      </c>
      <c r="Y675" s="459" t="s">
        <v>4368</v>
      </c>
      <c r="Z675" s="430" t="str">
        <f t="shared" si="7"/>
        <v>COMPLETED</v>
      </c>
      <c r="AA675" s="430" t="s">
        <v>5157</v>
      </c>
      <c r="AB675" s="437">
        <v>46202</v>
      </c>
      <c r="AC675" s="485">
        <f>IF(PV_DATA[[#This Row],[Pick-Up Date]]&lt;&gt;"",_xlfn.ISOWEEKNUM(PV_DATA[[#This Row],[Pick-Up Date]]),"")</f>
        <v>27</v>
      </c>
      <c r="AD675" s="430" t="s">
        <v>5226</v>
      </c>
      <c r="AE675" s="430"/>
      <c r="AF675" s="459" t="s">
        <v>5043</v>
      </c>
      <c r="AG675" s="459" t="s">
        <v>123</v>
      </c>
      <c r="AH675" s="430" t="s">
        <v>78</v>
      </c>
      <c r="AI675" s="437">
        <v>46207</v>
      </c>
      <c r="AJ675" s="437">
        <v>46211</v>
      </c>
      <c r="AK675" s="437">
        <v>46211</v>
      </c>
      <c r="AL675" s="437">
        <v>46258</v>
      </c>
      <c r="AM675" s="586">
        <f>IFERROR(VLOOKUP(AT675, Vessel!A:H, 8, FALSE), "")</f>
        <v>46271.25</v>
      </c>
      <c r="AN675" s="586">
        <f>IF(VLOOKUP(AT675, Vessel!A:I, 9, FALSE)=0, "", VLOOKUP(AT675, Vessel!A:I, 9, FALSE))</f>
        <v>46271.279085648152</v>
      </c>
      <c r="AP675" s="430" t="s">
        <v>5220</v>
      </c>
      <c r="AQ675" s="438" t="s">
        <v>80</v>
      </c>
      <c r="AR675" s="430" t="s">
        <v>5223</v>
      </c>
      <c r="AS675" s="430" t="s">
        <v>5224</v>
      </c>
      <c r="AT675" s="430" t="s">
        <v>5224</v>
      </c>
      <c r="AU67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60.279085648151522</v>
      </c>
      <c r="AV675" s="437"/>
      <c r="AW675" s="437" cm="1">
        <f t="array" ref="AW67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46271.279085648152</v>
      </c>
      <c r="AX67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75" s="437">
        <f>IF(ISERROR(PV_DATA[[#This Row],[New Ark PO status]]),"",_xlfn.XLOOKUP(PV_DATA[[#This Row],[SPTN-PVHK New Ark PO'#]],New_Ark_Data[Purchase order Number],New_Ark_Data[Estimated time of arrival],"",0))</f>
        <v>46283</v>
      </c>
      <c r="AZ675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75" s="437">
        <f>IFERROR(PV_DATA[[#This Row],[ODP ETA Port]]+PV_DATA[[#This Row],[Customs/Leg3 Assumption]],"n/a")</f>
        <v>46279.279085648152</v>
      </c>
      <c r="BB675" s="433">
        <f>YEAR(PV_DATA[[#This Row],[ETA for New Ark update]])</f>
        <v>2026</v>
      </c>
      <c r="BC675" s="430">
        <f>MONTH(PV_DATA[[#This Row],[ETA for New Ark update]])</f>
        <v>9</v>
      </c>
      <c r="BD675" s="430">
        <f>IFERROR(_xlfn.ISOWEEKNUM(PV_DATA[[#This Row],[ETA for New Ark update]]),0)</f>
        <v>38</v>
      </c>
      <c r="BE675" s="430">
        <f>_xlfn.XLOOKUP(PV_DATA[[#This Row],[New Ark SKU]],Table9[New Ark SKU],Table9[Total PCS per Pallet],,0)</f>
        <v>36</v>
      </c>
      <c r="BF675" s="430">
        <f>_xlfn.XLOOKUP(PV_DATA[[#This Row],[New Ark SKU]],Table9[New Ark SKU],Table9[Total PCS per 40HQ Container],,0)</f>
        <v>864</v>
      </c>
      <c r="BG675" s="431" t="str">
        <f>_xlfn.XLOOKUP(PV_DATA[[#This Row],[New Ark SKU]],Table9[New Ark SKU],Table9[Back Glass],,0)</f>
        <v>Black glazing</v>
      </c>
      <c r="BH675" s="430" t="str">
        <f>_xlfn.XLOOKUP(PV_DATA[[#This Row],[PORT DESTINATION]],Table12[PORT DESTINATION],Table12[Cosco Line],,0)</f>
        <v>AEM</v>
      </c>
      <c r="BJ675" s="430"/>
    </row>
    <row r="676" spans="1:62" ht="10.5" hidden="1">
      <c r="A676" s="462" t="s">
        <v>5227</v>
      </c>
      <c r="B676" s="462" t="s">
        <v>1757</v>
      </c>
      <c r="C676" s="462" t="str">
        <f>IFERROR(LEFT(PV_DATA[[#This Row],[TCL REFERENCE]],FIND(".",PV_DATA[[#This Row],[TCL REFERENCE]],1)-1),"Main Line")</f>
        <v>26Jun011</v>
      </c>
      <c r="D676" s="462" t="s">
        <v>63</v>
      </c>
      <c r="E676" s="462" t="s">
        <v>64</v>
      </c>
      <c r="F676" s="462" t="str" cm="1">
        <f t="array" ref="F67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76" s="462" t="s">
        <v>402</v>
      </c>
      <c r="H676" s="462" t="s">
        <v>67</v>
      </c>
      <c r="I676" s="462" t="s">
        <v>689</v>
      </c>
      <c r="J676" s="430" t="s">
        <v>96</v>
      </c>
      <c r="K676" s="430"/>
      <c r="L676" s="430"/>
      <c r="M676" s="430" t="s">
        <v>68</v>
      </c>
      <c r="N676" s="432">
        <v>46195</v>
      </c>
      <c r="O676" s="430" t="s">
        <v>4540</v>
      </c>
      <c r="P676" s="430" t="s">
        <v>71</v>
      </c>
      <c r="Q676" s="430" t="s">
        <v>72</v>
      </c>
      <c r="R676" s="430" t="str">
        <f>_xlfn.XLOOKUP(PV_DATA[[#This Row],[New Ark SKU]],Table9[New Ark SKU],Table9[Connector],,0)</f>
        <v>EVO2A</v>
      </c>
      <c r="S676" s="442" t="str">
        <f>_xlfn.XLOOKUP(PV_DATA[[#This Row],[New Ark SKU]],Table9[New Ark SKU],Table9[Cable],,0)</f>
        <v>±1200mm</v>
      </c>
      <c r="T676" s="433">
        <v>500</v>
      </c>
      <c r="U676" s="1062">
        <v>2592</v>
      </c>
      <c r="V676" s="434">
        <f>PV_DATA[[#This Row],[QUANTITY]]*PV_DATA[[#This Row],[WATT]]/1000000</f>
        <v>1.296</v>
      </c>
      <c r="W676" s="435">
        <f>PV_DATA[[#This Row],[QUANTITY]]/PV_DATA[[#This Row],[Qty/Pallet]]</f>
        <v>72</v>
      </c>
      <c r="X676" s="1015">
        <v>3</v>
      </c>
      <c r="Y676" s="459" t="s">
        <v>4368</v>
      </c>
      <c r="Z676" s="430" t="str">
        <f t="shared" si="7"/>
        <v>COMPLETED</v>
      </c>
      <c r="AA676" s="430" t="s">
        <v>5157</v>
      </c>
      <c r="AB676" s="437">
        <v>46201</v>
      </c>
      <c r="AC676" s="485">
        <f>IF(PV_DATA[[#This Row],[Pick-Up Date]]&lt;&gt;"",_xlfn.ISOWEEKNUM(PV_DATA[[#This Row],[Pick-Up Date]]),"")</f>
        <v>26</v>
      </c>
      <c r="AD676" s="430" t="s">
        <v>5228</v>
      </c>
      <c r="AE676" s="430"/>
      <c r="AF676" s="459" t="s">
        <v>5043</v>
      </c>
      <c r="AG676" s="459" t="s">
        <v>123</v>
      </c>
      <c r="AH676" s="430" t="s">
        <v>78</v>
      </c>
      <c r="AI676" s="437">
        <v>46207</v>
      </c>
      <c r="AJ676" s="437">
        <v>46211</v>
      </c>
      <c r="AK676" s="437">
        <v>46211</v>
      </c>
      <c r="AL676" s="437">
        <v>46258</v>
      </c>
      <c r="AM676" s="586">
        <f>IFERROR(VLOOKUP(AT676, Vessel!A:H, 8, FALSE), "")</f>
        <v>46271.25</v>
      </c>
      <c r="AN676" s="586">
        <f>IF(VLOOKUP(AT676, Vessel!A:I, 9, FALSE)=0, "", VLOOKUP(AT676, Vessel!A:I, 9, FALSE))</f>
        <v>46271.279085648152</v>
      </c>
      <c r="AP676" s="430" t="s">
        <v>5220</v>
      </c>
      <c r="AQ676" s="438" t="s">
        <v>80</v>
      </c>
      <c r="AR676" s="430" t="s">
        <v>5229</v>
      </c>
      <c r="AS676" s="430" t="s">
        <v>5230</v>
      </c>
      <c r="AT676" s="430" t="s">
        <v>5230</v>
      </c>
      <c r="AU67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60.279085648151522</v>
      </c>
      <c r="AV676" s="437"/>
      <c r="AW676" s="437" cm="1">
        <f t="array" ref="AW67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46271.279085648152</v>
      </c>
      <c r="AX67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76" s="437">
        <f>IF(ISERROR(PV_DATA[[#This Row],[New Ark PO status]]),"",_xlfn.XLOOKUP(PV_DATA[[#This Row],[SPTN-PVHK New Ark PO'#]],New_Ark_Data[Purchase order Number],New_Ark_Data[Estimated time of arrival],"",0))</f>
        <v>46283</v>
      </c>
      <c r="AZ676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76" s="437">
        <f>IFERROR(PV_DATA[[#This Row],[ODP ETA Port]]+PV_DATA[[#This Row],[Customs/Leg3 Assumption]],"n/a")</f>
        <v>46279.279085648152</v>
      </c>
      <c r="BB676" s="433">
        <f>YEAR(PV_DATA[[#This Row],[ETA for New Ark update]])</f>
        <v>2026</v>
      </c>
      <c r="BC676" s="430">
        <f>MONTH(PV_DATA[[#This Row],[ETA for New Ark update]])</f>
        <v>9</v>
      </c>
      <c r="BD676" s="430">
        <f>IFERROR(_xlfn.ISOWEEKNUM(PV_DATA[[#This Row],[ETA for New Ark update]]),0)</f>
        <v>38</v>
      </c>
      <c r="BE676" s="430">
        <f>_xlfn.XLOOKUP(PV_DATA[[#This Row],[New Ark SKU]],Table9[New Ark SKU],Table9[Total PCS per Pallet],,0)</f>
        <v>36</v>
      </c>
      <c r="BF676" s="430">
        <f>_xlfn.XLOOKUP(PV_DATA[[#This Row],[New Ark SKU]],Table9[New Ark SKU],Table9[Total PCS per 40HQ Container],,0)</f>
        <v>864</v>
      </c>
      <c r="BG676" s="431" t="str">
        <f>_xlfn.XLOOKUP(PV_DATA[[#This Row],[New Ark SKU]],Table9[New Ark SKU],Table9[Back Glass],,0)</f>
        <v>Black glazing</v>
      </c>
      <c r="BH676" s="430" t="str">
        <f>_xlfn.XLOOKUP(PV_DATA[[#This Row],[PORT DESTINATION]],Table12[PORT DESTINATION],Table12[Cosco Line],,0)</f>
        <v>AEM</v>
      </c>
      <c r="BJ676" s="430"/>
    </row>
    <row r="677" spans="1:62" ht="10.5" hidden="1">
      <c r="A677" s="462" t="s">
        <v>5231</v>
      </c>
      <c r="B677" s="462" t="s">
        <v>1757</v>
      </c>
      <c r="C677" s="462" t="str">
        <f>IFERROR(LEFT(PV_DATA[[#This Row],[TCL REFERENCE]],FIND(".",PV_DATA[[#This Row],[TCL REFERENCE]],1)-1),"Main Line")</f>
        <v>26Jun012</v>
      </c>
      <c r="D677" s="462" t="s">
        <v>63</v>
      </c>
      <c r="E677" s="462" t="s">
        <v>64</v>
      </c>
      <c r="F677" s="462" t="str" cm="1">
        <f t="array" ref="F67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77" s="462" t="s">
        <v>402</v>
      </c>
      <c r="H677" s="462" t="s">
        <v>67</v>
      </c>
      <c r="I677" s="462" t="s">
        <v>689</v>
      </c>
      <c r="J677" s="430" t="s">
        <v>96</v>
      </c>
      <c r="K677" s="430"/>
      <c r="L677" s="430"/>
      <c r="M677" s="430" t="s">
        <v>68</v>
      </c>
      <c r="N677" s="432">
        <v>46195</v>
      </c>
      <c r="O677" s="430" t="s">
        <v>4540</v>
      </c>
      <c r="P677" s="430" t="s">
        <v>1151</v>
      </c>
      <c r="Q677" s="430" t="s">
        <v>421</v>
      </c>
      <c r="R677" s="430" t="str">
        <f>_xlfn.XLOOKUP(PV_DATA[[#This Row],[New Ark SKU]],Table9[New Ark SKU],Table9[Connector],,0)</f>
        <v>EVO2A</v>
      </c>
      <c r="S677" s="442" t="str">
        <f>_xlfn.XLOOKUP(PV_DATA[[#This Row],[New Ark SKU]],Table9[New Ark SKU],Table9[Cable],,0)</f>
        <v>±1200mm</v>
      </c>
      <c r="T677" s="433">
        <v>505</v>
      </c>
      <c r="U677" s="1062">
        <v>2592</v>
      </c>
      <c r="V677" s="434">
        <f>PV_DATA[[#This Row],[QUANTITY]]*PV_DATA[[#This Row],[WATT]]/1000000</f>
        <v>1.3089599999999999</v>
      </c>
      <c r="W677" s="435">
        <f>PV_DATA[[#This Row],[QUANTITY]]/PV_DATA[[#This Row],[Qty/Pallet]]</f>
        <v>72</v>
      </c>
      <c r="X677" s="1015">
        <f>PV_DATA[[#This Row],[QUANTITY]]/PV_DATA[[#This Row],[Qty/CT]]</f>
        <v>3</v>
      </c>
      <c r="Y677" s="459" t="s">
        <v>4368</v>
      </c>
      <c r="Z677" s="430" t="str">
        <f t="shared" si="7"/>
        <v>COMPLETED</v>
      </c>
      <c r="AA677" s="430" t="s">
        <v>5232</v>
      </c>
      <c r="AB677" s="437">
        <v>46201</v>
      </c>
      <c r="AC677" s="485">
        <f>IF(PV_DATA[[#This Row],[Pick-Up Date]]&lt;&gt;"",_xlfn.ISOWEEKNUM(PV_DATA[[#This Row],[Pick-Up Date]]),"")</f>
        <v>26</v>
      </c>
      <c r="AD677" s="430" t="s">
        <v>5233</v>
      </c>
      <c r="AE677" s="430"/>
      <c r="AF677" s="459" t="s">
        <v>5043</v>
      </c>
      <c r="AG677" s="459" t="s">
        <v>123</v>
      </c>
      <c r="AH677" s="430" t="s">
        <v>78</v>
      </c>
      <c r="AI677" s="437">
        <v>46207</v>
      </c>
      <c r="AJ677" s="437">
        <v>46211</v>
      </c>
      <c r="AK677" s="437">
        <v>46211</v>
      </c>
      <c r="AL677" s="437">
        <v>46258</v>
      </c>
      <c r="AM677" s="586">
        <f>IFERROR(VLOOKUP(AT677, Vessel!A:H, 8, FALSE), "")</f>
        <v>46271.25</v>
      </c>
      <c r="AN677" s="586">
        <f>IF(VLOOKUP(AT677, Vessel!A:I, 9, FALSE)=0, "", VLOOKUP(AT677, Vessel!A:I, 9, FALSE))</f>
        <v>46271.279085648152</v>
      </c>
      <c r="AP677" s="430" t="s">
        <v>5220</v>
      </c>
      <c r="AQ677" s="438" t="s">
        <v>80</v>
      </c>
      <c r="AR677" s="430" t="s">
        <v>5229</v>
      </c>
      <c r="AS677" s="430" t="s">
        <v>5230</v>
      </c>
      <c r="AT677" s="430" t="s">
        <v>5230</v>
      </c>
      <c r="AU67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60.279085648151522</v>
      </c>
      <c r="AV677" s="437"/>
      <c r="AW677" s="437" cm="1">
        <f t="array" ref="AW67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46271.279085648152</v>
      </c>
      <c r="AX67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77" s="437">
        <f>IF(ISERROR(PV_DATA[[#This Row],[New Ark PO status]]),"",_xlfn.XLOOKUP(PV_DATA[[#This Row],[SPTN-PVHK New Ark PO'#]],New_Ark_Data[Purchase order Number],New_Ark_Data[Estimated time of arrival],"",0))</f>
        <v>46283</v>
      </c>
      <c r="AZ677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77" s="437">
        <f>IFERROR(PV_DATA[[#This Row],[ODP ETA Port]]+PV_DATA[[#This Row],[Customs/Leg3 Assumption]],"n/a")</f>
        <v>46279.279085648152</v>
      </c>
      <c r="BB677" s="433">
        <f>YEAR(PV_DATA[[#This Row],[ETA for New Ark update]])</f>
        <v>2026</v>
      </c>
      <c r="BC677" s="430">
        <f>MONTH(PV_DATA[[#This Row],[ETA for New Ark update]])</f>
        <v>9</v>
      </c>
      <c r="BD677" s="430">
        <f>IFERROR(_xlfn.ISOWEEKNUM(PV_DATA[[#This Row],[ETA for New Ark update]]),0)</f>
        <v>38</v>
      </c>
      <c r="BE677" s="430">
        <f>_xlfn.XLOOKUP(PV_DATA[[#This Row],[New Ark SKU]],Table9[New Ark SKU],Table9[Total PCS per Pallet],,0)</f>
        <v>36</v>
      </c>
      <c r="BF677" s="430">
        <f>_xlfn.XLOOKUP(PV_DATA[[#This Row],[New Ark SKU]],Table9[New Ark SKU],Table9[Total PCS per 40HQ Container],,0)</f>
        <v>864</v>
      </c>
      <c r="BG677" s="431" t="str">
        <f>_xlfn.XLOOKUP(PV_DATA[[#This Row],[New Ark SKU]],Table9[New Ark SKU],Table9[Back Glass],,0)</f>
        <v>Black glazing</v>
      </c>
      <c r="BH677" s="430" t="str">
        <f>_xlfn.XLOOKUP(PV_DATA[[#This Row],[PORT DESTINATION]],Table12[PORT DESTINATION],Table12[Cosco Line],,0)</f>
        <v>AEM</v>
      </c>
      <c r="BJ677" s="430"/>
    </row>
    <row r="678" spans="1:62" ht="10.5" hidden="1">
      <c r="A678" s="462" t="s">
        <v>5234</v>
      </c>
      <c r="B678" s="462" t="s">
        <v>1757</v>
      </c>
      <c r="C678" s="462" t="str">
        <f>IFERROR(LEFT(PV_DATA[[#This Row],[TCL REFERENCE]],FIND(".",PV_DATA[[#This Row],[TCL REFERENCE]],1)-1),"Main Line")</f>
        <v>26Jun012</v>
      </c>
      <c r="D678" s="462" t="s">
        <v>63</v>
      </c>
      <c r="E678" s="462" t="s">
        <v>64</v>
      </c>
      <c r="F678" s="462" t="str" cm="1">
        <f t="array" ref="F67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78" s="462" t="s">
        <v>402</v>
      </c>
      <c r="H678" s="462" t="s">
        <v>67</v>
      </c>
      <c r="I678" s="462" t="s">
        <v>689</v>
      </c>
      <c r="J678" s="430" t="s">
        <v>96</v>
      </c>
      <c r="K678" s="430"/>
      <c r="L678" s="430"/>
      <c r="M678" s="430" t="s">
        <v>68</v>
      </c>
      <c r="N678" s="432">
        <v>46195</v>
      </c>
      <c r="O678" s="430" t="s">
        <v>4540</v>
      </c>
      <c r="P678" s="430" t="s">
        <v>1151</v>
      </c>
      <c r="Q678" s="430" t="s">
        <v>421</v>
      </c>
      <c r="R678" s="430" t="str">
        <f>_xlfn.XLOOKUP(PV_DATA[[#This Row],[New Ark SKU]],Table9[New Ark SKU],Table9[Connector],,0)</f>
        <v>EVO2A</v>
      </c>
      <c r="S678" s="442" t="str">
        <f>_xlfn.XLOOKUP(PV_DATA[[#This Row],[New Ark SKU]],Table9[New Ark SKU],Table9[Cable],,0)</f>
        <v>±1200mm</v>
      </c>
      <c r="T678" s="433">
        <v>505</v>
      </c>
      <c r="U678" s="1062">
        <v>864</v>
      </c>
      <c r="V678" s="434">
        <f>PV_DATA[[#This Row],[QUANTITY]]*PV_DATA[[#This Row],[WATT]]/1000000</f>
        <v>0.43631999999999999</v>
      </c>
      <c r="W678" s="435">
        <f>PV_DATA[[#This Row],[QUANTITY]]/PV_DATA[[#This Row],[Qty/Pallet]]</f>
        <v>24</v>
      </c>
      <c r="X678" s="1015">
        <f>PV_DATA[[#This Row],[QUANTITY]]/PV_DATA[[#This Row],[Qty/CT]]</f>
        <v>1</v>
      </c>
      <c r="Y678" s="459" t="s">
        <v>4368</v>
      </c>
      <c r="Z678" s="430" t="str">
        <f t="shared" si="7"/>
        <v>COMPLETED</v>
      </c>
      <c r="AA678" s="430"/>
      <c r="AB678" s="437">
        <v>46201</v>
      </c>
      <c r="AC678" s="485">
        <f>IF(PV_DATA[[#This Row],[Pick-Up Date]]&lt;&gt;"",_xlfn.ISOWEEKNUM(PV_DATA[[#This Row],[Pick-Up Date]]),"")</f>
        <v>26</v>
      </c>
      <c r="AD678" s="430" t="s">
        <v>5235</v>
      </c>
      <c r="AE678" s="430"/>
      <c r="AF678" s="459" t="s">
        <v>5043</v>
      </c>
      <c r="AG678" s="459" t="s">
        <v>123</v>
      </c>
      <c r="AH678" s="430" t="s">
        <v>78</v>
      </c>
      <c r="AI678" s="437">
        <v>46207</v>
      </c>
      <c r="AJ678" s="437">
        <v>46211</v>
      </c>
      <c r="AK678" s="437">
        <v>46211</v>
      </c>
      <c r="AL678" s="437">
        <v>46258</v>
      </c>
      <c r="AM678" s="586">
        <f>IFERROR(VLOOKUP(AT678, Vessel!A:H, 8, FALSE), "")</f>
        <v>46271.25</v>
      </c>
      <c r="AN678" s="586">
        <f>IF(VLOOKUP(AT678, Vessel!A:I, 9, FALSE)=0, "", VLOOKUP(AT678, Vessel!A:I, 9, FALSE))</f>
        <v>46271.279085648152</v>
      </c>
      <c r="AP678" s="430" t="s">
        <v>5220</v>
      </c>
      <c r="AQ678" s="438" t="s">
        <v>80</v>
      </c>
      <c r="AR678" s="430" t="s">
        <v>5229</v>
      </c>
      <c r="AS678" s="430" t="s">
        <v>5230</v>
      </c>
      <c r="AT678" s="430" t="s">
        <v>5230</v>
      </c>
      <c r="AU67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60.279085648151522</v>
      </c>
      <c r="AV678" s="437"/>
      <c r="AW678" s="437" cm="1">
        <f t="array" ref="AW67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46271.279085648152</v>
      </c>
      <c r="AX67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78" s="437">
        <f>IF(ISERROR(PV_DATA[[#This Row],[New Ark PO status]]),"",_xlfn.XLOOKUP(PV_DATA[[#This Row],[SPTN-PVHK New Ark PO'#]],New_Ark_Data[Purchase order Number],New_Ark_Data[Estimated time of arrival],"",0))</f>
        <v>46283</v>
      </c>
      <c r="AZ678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78" s="437">
        <f>IFERROR(PV_DATA[[#This Row],[ODP ETA Port]]+PV_DATA[[#This Row],[Customs/Leg3 Assumption]],"n/a")</f>
        <v>46279.279085648152</v>
      </c>
      <c r="BB678" s="433">
        <f>YEAR(PV_DATA[[#This Row],[ETA for New Ark update]])</f>
        <v>2026</v>
      </c>
      <c r="BC678" s="430">
        <f>MONTH(PV_DATA[[#This Row],[ETA for New Ark update]])</f>
        <v>9</v>
      </c>
      <c r="BD678" s="430">
        <f>IFERROR(_xlfn.ISOWEEKNUM(PV_DATA[[#This Row],[ETA for New Ark update]]),0)</f>
        <v>38</v>
      </c>
      <c r="BE678" s="430">
        <f>_xlfn.XLOOKUP(PV_DATA[[#This Row],[New Ark SKU]],Table9[New Ark SKU],Table9[Total PCS per Pallet],,0)</f>
        <v>36</v>
      </c>
      <c r="BF678" s="430">
        <f>_xlfn.XLOOKUP(PV_DATA[[#This Row],[New Ark SKU]],Table9[New Ark SKU],Table9[Total PCS per 40HQ Container],,0)</f>
        <v>864</v>
      </c>
      <c r="BG678" s="431" t="str">
        <f>_xlfn.XLOOKUP(PV_DATA[[#This Row],[New Ark SKU]],Table9[New Ark SKU],Table9[Back Glass],,0)</f>
        <v>Black glazing</v>
      </c>
      <c r="BH678" s="430" t="str">
        <f>_xlfn.XLOOKUP(PV_DATA[[#This Row],[PORT DESTINATION]],Table12[PORT DESTINATION],Table12[Cosco Line],,0)</f>
        <v>AEM</v>
      </c>
      <c r="BJ678" s="430"/>
    </row>
    <row r="679" spans="1:62" ht="10.5" hidden="1">
      <c r="A679" s="462" t="s">
        <v>5236</v>
      </c>
      <c r="B679" s="462" t="s">
        <v>111</v>
      </c>
      <c r="C679" s="462" t="str">
        <f>IFERROR(LEFT(PV_DATA[[#This Row],[TCL REFERENCE]],FIND(".",PV_DATA[[#This Row],[TCL REFERENCE]],1)-1),"Main Line")</f>
        <v>26Jun002</v>
      </c>
      <c r="D679" s="462" t="s">
        <v>63</v>
      </c>
      <c r="E679" s="462" t="s">
        <v>64</v>
      </c>
      <c r="F679" s="462" t="str" cm="1">
        <f t="array" ref="F67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679" s="462" t="s">
        <v>402</v>
      </c>
      <c r="H679" s="462" t="s">
        <v>115</v>
      </c>
      <c r="I679" s="462" t="s">
        <v>689</v>
      </c>
      <c r="J679" s="430" t="s">
        <v>96</v>
      </c>
      <c r="K679" s="430"/>
      <c r="L679" s="430"/>
      <c r="M679" s="430" t="s">
        <v>68</v>
      </c>
      <c r="N679" s="432">
        <v>46194</v>
      </c>
      <c r="O679" s="430" t="s">
        <v>550</v>
      </c>
      <c r="P679" s="430" t="s">
        <v>2134</v>
      </c>
      <c r="Q679" s="430" t="s">
        <v>2135</v>
      </c>
      <c r="R679" s="430" t="str">
        <f>_xlfn.XLOOKUP(PV_DATA[[#This Row],[New Ark SKU]],Table9[New Ark SKU],Table9[Connector],,0)</f>
        <v>EVO2A</v>
      </c>
      <c r="S679" s="442" t="str">
        <f>_xlfn.XLOOKUP(PV_DATA[[#This Row],[New Ark SKU]],Table9[New Ark SKU],Table9[Cable],,0)</f>
        <v>±1350mm</v>
      </c>
      <c r="T679" s="433">
        <v>515</v>
      </c>
      <c r="U679" s="1062">
        <v>792</v>
      </c>
      <c r="V679" s="434">
        <f>PV_DATA[[#This Row],[QUANTITY]]*PV_DATA[[#This Row],[WATT]]/1000000</f>
        <v>0.40788000000000002</v>
      </c>
      <c r="W679" s="435">
        <f>PV_DATA[[#This Row],[QUANTITY]]/PV_DATA[[#This Row],[Qty/Pallet]]</f>
        <v>22</v>
      </c>
      <c r="X679" s="1058">
        <f>PV_DATA[[#This Row],[QUANTITY]]/PV_DATA[[#This Row],[Qty/CT]]</f>
        <v>1</v>
      </c>
      <c r="Y679" s="459" t="s">
        <v>4368</v>
      </c>
      <c r="Z679" s="430" t="str">
        <f t="shared" si="7"/>
        <v>COMPLETED</v>
      </c>
      <c r="AA679" s="430" t="s">
        <v>5232</v>
      </c>
      <c r="AB679" s="437">
        <v>46199</v>
      </c>
      <c r="AC679" s="485">
        <f>IF(PV_DATA[[#This Row],[Pick-Up Date]]&lt;&gt;"",_xlfn.ISOWEEKNUM(PV_DATA[[#This Row],[Pick-Up Date]]),"")</f>
        <v>26</v>
      </c>
      <c r="AD679" s="430" t="s">
        <v>5237</v>
      </c>
      <c r="AE679" s="430"/>
      <c r="AF679" s="430" t="s">
        <v>122</v>
      </c>
      <c r="AG679" s="430" t="s">
        <v>123</v>
      </c>
      <c r="AH679" s="430" t="s">
        <v>124</v>
      </c>
      <c r="AI679" s="437">
        <v>46204</v>
      </c>
      <c r="AJ679" s="437">
        <v>46207</v>
      </c>
      <c r="AK679" s="437">
        <v>46207</v>
      </c>
      <c r="AL679" s="732">
        <v>46249</v>
      </c>
      <c r="AM679" s="588"/>
      <c r="AN679" s="586">
        <f>IF(VLOOKUP(AT679, Vessel!A:I, 9, FALSE)=0, "", VLOOKUP(AT679, Vessel!A:I, 9, FALSE))</f>
        <v>46258.289537037039</v>
      </c>
      <c r="AP679" s="430" t="s">
        <v>5238</v>
      </c>
      <c r="AQ679" s="430" t="s">
        <v>80</v>
      </c>
      <c r="AR679" s="430" t="s">
        <v>5239</v>
      </c>
      <c r="AS679" s="430" t="s">
        <v>5240</v>
      </c>
      <c r="AT679" s="430" t="s">
        <v>5240</v>
      </c>
      <c r="AU67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51.289537037038826</v>
      </c>
      <c r="AV679" s="437"/>
      <c r="AW679" s="437" cm="1">
        <f t="array" ref="AW67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46258.289537037039</v>
      </c>
      <c r="AX67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79" s="437">
        <f>IF(ISERROR(PV_DATA[[#This Row],[New Ark PO status]]),"",_xlfn.XLOOKUP(PV_DATA[[#This Row],[SPTN-PVHK New Ark PO'#]],New_Ark_Data[Purchase order Number],New_Ark_Data[Estimated time of arrival],"",0))</f>
        <v>46272</v>
      </c>
      <c r="AZ679" s="433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679" s="437">
        <f>IFERROR(PV_DATA[[#This Row],[ODP ETA Port]]+PV_DATA[[#This Row],[Customs/Leg3 Assumption]],"n/a")</f>
        <v>46267.289537037039</v>
      </c>
      <c r="BB679" s="433">
        <f>YEAR(PV_DATA[[#This Row],[ETA for New Ark update]])</f>
        <v>2026</v>
      </c>
      <c r="BC679" s="430">
        <f>MONTH(PV_DATA[[#This Row],[ETA for New Ark update]])</f>
        <v>9</v>
      </c>
      <c r="BD679" s="430">
        <f>IFERROR(_xlfn.ISOWEEKNUM(PV_DATA[[#This Row],[ETA for New Ark update]]),0)</f>
        <v>36</v>
      </c>
      <c r="BE679" s="430">
        <f>_xlfn.XLOOKUP(PV_DATA[[#This Row],[New Ark SKU]],Table9[New Ark SKU],Table9[Total PCS per Pallet],,0)</f>
        <v>36</v>
      </c>
      <c r="BF679" s="430">
        <f>_xlfn.XLOOKUP(PV_DATA[[#This Row],[New Ark SKU]],Table9[New Ark SKU],Table9[Total PCS per 40HQ Container],,0)</f>
        <v>792</v>
      </c>
      <c r="BG679" s="431" t="str">
        <f>_xlfn.XLOOKUP(PV_DATA[[#This Row],[New Ark SKU]],Table9[New Ark SKU],Table9[Back Glass],,0)</f>
        <v>Black glazing</v>
      </c>
      <c r="BH679" s="430" t="str">
        <f>_xlfn.XLOOKUP(PV_DATA[[#This Row],[PORT DESTINATION]],Table12[PORT DESTINATION],Table12[Cosco Line],,0)</f>
        <v>AEM</v>
      </c>
      <c r="BJ679" s="430"/>
    </row>
    <row r="680" spans="1:62" ht="10.5" hidden="1">
      <c r="A680" s="462" t="s">
        <v>5241</v>
      </c>
      <c r="B680" s="462" t="s">
        <v>111</v>
      </c>
      <c r="C680" s="462" t="str">
        <f>IFERROR(LEFT(PV_DATA[[#This Row],[TCL REFERENCE]],FIND(".",PV_DATA[[#This Row],[TCL REFERENCE]],1)-1),"Main Line")</f>
        <v>26Jun002</v>
      </c>
      <c r="D680" s="462" t="s">
        <v>63</v>
      </c>
      <c r="E680" s="462" t="s">
        <v>64</v>
      </c>
      <c r="F680" s="462" t="str" cm="1">
        <f t="array" ref="F68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680" s="462" t="s">
        <v>402</v>
      </c>
      <c r="H680" s="462" t="s">
        <v>115</v>
      </c>
      <c r="I680" s="462" t="s">
        <v>689</v>
      </c>
      <c r="J680" s="430" t="s">
        <v>96</v>
      </c>
      <c r="K680" s="430"/>
      <c r="L680" s="430"/>
      <c r="M680" s="430" t="s">
        <v>68</v>
      </c>
      <c r="N680" s="432">
        <v>46194</v>
      </c>
      <c r="O680" s="430" t="s">
        <v>550</v>
      </c>
      <c r="P680" s="430" t="s">
        <v>2134</v>
      </c>
      <c r="Q680" s="430" t="s">
        <v>2135</v>
      </c>
      <c r="R680" s="430" t="str">
        <f>_xlfn.XLOOKUP(PV_DATA[[#This Row],[New Ark SKU]],Table9[New Ark SKU],Table9[Connector],,0)</f>
        <v>EVO2A</v>
      </c>
      <c r="S680" s="442" t="str">
        <f>_xlfn.XLOOKUP(PV_DATA[[#This Row],[New Ark SKU]],Table9[New Ark SKU],Table9[Cable],,0)</f>
        <v>±1350mm</v>
      </c>
      <c r="T680" s="433">
        <v>515</v>
      </c>
      <c r="U680" s="1062">
        <v>648</v>
      </c>
      <c r="V680" s="434">
        <f>PV_DATA[[#This Row],[QUANTITY]]*PV_DATA[[#This Row],[WATT]]/1000000</f>
        <v>0.33372000000000002</v>
      </c>
      <c r="W680" s="435">
        <f>PV_DATA[[#This Row],[QUANTITY]]/PV_DATA[[#This Row],[Qty/Pallet]]</f>
        <v>18</v>
      </c>
      <c r="X680" s="1058">
        <v>0.82</v>
      </c>
      <c r="Y680" s="459" t="s">
        <v>4368</v>
      </c>
      <c r="Z680" s="430" t="str">
        <f t="shared" si="7"/>
        <v>COMPLETED</v>
      </c>
      <c r="AA680" s="430" t="s">
        <v>5232</v>
      </c>
      <c r="AB680" s="437">
        <v>46199</v>
      </c>
      <c r="AC680" s="485">
        <f>IF(PV_DATA[[#This Row],[Pick-Up Date]]&lt;&gt;"",_xlfn.ISOWEEKNUM(PV_DATA[[#This Row],[Pick-Up Date]]),"")</f>
        <v>26</v>
      </c>
      <c r="AD680" s="430" t="s">
        <v>5242</v>
      </c>
      <c r="AE680" s="430"/>
      <c r="AF680" s="430" t="s">
        <v>122</v>
      </c>
      <c r="AG680" s="430" t="s">
        <v>123</v>
      </c>
      <c r="AH680" s="430" t="s">
        <v>124</v>
      </c>
      <c r="AI680" s="437">
        <v>46204</v>
      </c>
      <c r="AJ680" s="437">
        <v>46207</v>
      </c>
      <c r="AK680" s="437">
        <v>46207</v>
      </c>
      <c r="AL680" s="732">
        <v>46249</v>
      </c>
      <c r="AM680" s="588"/>
      <c r="AN680" s="586">
        <f>IF(VLOOKUP(AT680, Vessel!A:I, 9, FALSE)=0, "", VLOOKUP(AT680, Vessel!A:I, 9, FALSE))</f>
        <v>46258.289537037039</v>
      </c>
      <c r="AP680" s="430" t="s">
        <v>5238</v>
      </c>
      <c r="AQ680" s="430" t="s">
        <v>80</v>
      </c>
      <c r="AR680" s="430" t="s">
        <v>5239</v>
      </c>
      <c r="AS680" s="430" t="s">
        <v>5240</v>
      </c>
      <c r="AT680" s="430" t="s">
        <v>5240</v>
      </c>
      <c r="AU68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51.289537037038826</v>
      </c>
      <c r="AV680" s="437"/>
      <c r="AW680" s="437" cm="1">
        <f t="array" ref="AW68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46258.289537037039</v>
      </c>
      <c r="AX68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80" s="437">
        <f>IF(ISERROR(PV_DATA[[#This Row],[New Ark PO status]]),"",_xlfn.XLOOKUP(PV_DATA[[#This Row],[SPTN-PVHK New Ark PO'#]],New_Ark_Data[Purchase order Number],New_Ark_Data[Estimated time of arrival],"",0))</f>
        <v>46272</v>
      </c>
      <c r="AZ680" s="433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680" s="437">
        <f>IFERROR(PV_DATA[[#This Row],[ODP ETA Port]]+PV_DATA[[#This Row],[Customs/Leg3 Assumption]],"n/a")</f>
        <v>46267.289537037039</v>
      </c>
      <c r="BB680" s="433">
        <f>YEAR(PV_DATA[[#This Row],[ETA for New Ark update]])</f>
        <v>2026</v>
      </c>
      <c r="BC680" s="430">
        <f>MONTH(PV_DATA[[#This Row],[ETA for New Ark update]])</f>
        <v>9</v>
      </c>
      <c r="BD680" s="430">
        <f>IFERROR(_xlfn.ISOWEEKNUM(PV_DATA[[#This Row],[ETA for New Ark update]]),0)</f>
        <v>36</v>
      </c>
      <c r="BE680" s="430">
        <f>_xlfn.XLOOKUP(PV_DATA[[#This Row],[New Ark SKU]],Table9[New Ark SKU],Table9[Total PCS per Pallet],,0)</f>
        <v>36</v>
      </c>
      <c r="BF680" s="430">
        <f>_xlfn.XLOOKUP(PV_DATA[[#This Row],[New Ark SKU]],Table9[New Ark SKU],Table9[Total PCS per 40HQ Container],,0)</f>
        <v>792</v>
      </c>
      <c r="BG680" s="431" t="str">
        <f>_xlfn.XLOOKUP(PV_DATA[[#This Row],[New Ark SKU]],Table9[New Ark SKU],Table9[Back Glass],,0)</f>
        <v>Black glazing</v>
      </c>
      <c r="BH680" s="430" t="str">
        <f>_xlfn.XLOOKUP(PV_DATA[[#This Row],[PORT DESTINATION]],Table12[PORT DESTINATION],Table12[Cosco Line],,0)</f>
        <v>AEM</v>
      </c>
      <c r="BJ680" s="430"/>
    </row>
    <row r="681" spans="1:62" ht="10.5" hidden="1">
      <c r="A681" s="462" t="s">
        <v>5243</v>
      </c>
      <c r="B681" s="462" t="s">
        <v>111</v>
      </c>
      <c r="C681" s="462" t="str">
        <f>IFERROR(LEFT(PV_DATA[[#This Row],[TCL REFERENCE]],FIND(".",PV_DATA[[#This Row],[TCL REFERENCE]],1)-1),"Main Line")</f>
        <v>Main Line</v>
      </c>
      <c r="D681" s="462" t="s">
        <v>63</v>
      </c>
      <c r="E681" s="462" t="s">
        <v>64</v>
      </c>
      <c r="F681" s="462" t="str" cm="1">
        <f t="array" ref="F68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681" s="462" t="s">
        <v>402</v>
      </c>
      <c r="H681" s="462" t="s">
        <v>115</v>
      </c>
      <c r="I681" s="462" t="s">
        <v>689</v>
      </c>
      <c r="J681" s="430" t="s">
        <v>96</v>
      </c>
      <c r="K681" s="430"/>
      <c r="L681" s="430"/>
      <c r="M681" s="430" t="s">
        <v>68</v>
      </c>
      <c r="N681" s="432"/>
      <c r="O681" s="430" t="s">
        <v>4540</v>
      </c>
      <c r="P681" s="430" t="s">
        <v>118</v>
      </c>
      <c r="Q681" s="430" t="s">
        <v>119</v>
      </c>
      <c r="R681" s="430" t="str">
        <f>_xlfn.XLOOKUP(PV_DATA[[#This Row],[New Ark SKU]],Table9[New Ark SKU],Table9[Connector],,0)</f>
        <v>EVO2A</v>
      </c>
      <c r="S681" s="442" t="str">
        <f>_xlfn.XLOOKUP(PV_DATA[[#This Row],[New Ark SKU]],Table9[New Ark SKU],Table9[Cable],,0)</f>
        <v>±1400mm</v>
      </c>
      <c r="T681" s="433">
        <v>640</v>
      </c>
      <c r="U681" s="1062">
        <v>144</v>
      </c>
      <c r="V681" s="434">
        <f>PV_DATA[[#This Row],[QUANTITY]]*PV_DATA[[#This Row],[WATT]]/1000000</f>
        <v>9.2160000000000006E-2</v>
      </c>
      <c r="W681" s="435">
        <f>PV_DATA[[#This Row],[QUANTITY]]/PV_DATA[[#This Row],[Qty/Pallet]]</f>
        <v>4</v>
      </c>
      <c r="X681" s="1058">
        <v>0.25</v>
      </c>
      <c r="Y681" s="459" t="s">
        <v>4368</v>
      </c>
      <c r="Z681" s="430" t="str">
        <f t="shared" si="7"/>
        <v>COMPLETED</v>
      </c>
      <c r="AA681" s="430" t="s">
        <v>5232</v>
      </c>
      <c r="AB681" s="437">
        <v>46199</v>
      </c>
      <c r="AC681" s="485">
        <f>IF(PV_DATA[[#This Row],[Pick-Up Date]]&lt;&gt;"",_xlfn.ISOWEEKNUM(PV_DATA[[#This Row],[Pick-Up Date]]),"")</f>
        <v>26</v>
      </c>
      <c r="AD681" s="430" t="s">
        <v>5244</v>
      </c>
      <c r="AE681" s="430"/>
      <c r="AF681" s="430" t="s">
        <v>122</v>
      </c>
      <c r="AG681" s="430" t="s">
        <v>123</v>
      </c>
      <c r="AH681" s="430" t="s">
        <v>124</v>
      </c>
      <c r="AI681" s="437">
        <v>46204</v>
      </c>
      <c r="AJ681" s="437">
        <v>46207</v>
      </c>
      <c r="AK681" s="437">
        <v>46207</v>
      </c>
      <c r="AL681" s="437">
        <v>46249</v>
      </c>
      <c r="AM681" s="586"/>
      <c r="AN681" s="586">
        <f>IF(VLOOKUP(AT681, Vessel!A:I, 9, FALSE)=0, "", VLOOKUP(AT681, Vessel!A:I, 9, FALSE))</f>
        <v>46258.289537037039</v>
      </c>
      <c r="AP681" s="430" t="s">
        <v>5238</v>
      </c>
      <c r="AQ681" s="430" t="s">
        <v>80</v>
      </c>
      <c r="AR681" s="430" t="s">
        <v>5239</v>
      </c>
      <c r="AS681" s="430" t="s">
        <v>5240</v>
      </c>
      <c r="AT681" s="430" t="s">
        <v>5240</v>
      </c>
      <c r="AU68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51.289537037038826</v>
      </c>
      <c r="AV681" s="437"/>
      <c r="AW681" s="437" cm="1">
        <f t="array" ref="AW68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46258.289537037039</v>
      </c>
      <c r="AX68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81" s="437">
        <f>IF(ISERROR(PV_DATA[[#This Row],[New Ark PO status]]),"",_xlfn.XLOOKUP(PV_DATA[[#This Row],[SPTN-PVHK New Ark PO'#]],New_Ark_Data[Purchase order Number],New_Ark_Data[Estimated time of arrival],"",0))</f>
        <v>46272</v>
      </c>
      <c r="AZ681" s="433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681" s="437">
        <f>IFERROR(PV_DATA[[#This Row],[ODP ETA Port]]+PV_DATA[[#This Row],[Customs/Leg3 Assumption]],"n/a")</f>
        <v>46267.289537037039</v>
      </c>
      <c r="BB681" s="433">
        <f>YEAR(PV_DATA[[#This Row],[ETA for New Ark update]])</f>
        <v>2026</v>
      </c>
      <c r="BC681" s="430">
        <f>MONTH(PV_DATA[[#This Row],[ETA for New Ark update]])</f>
        <v>9</v>
      </c>
      <c r="BD681" s="430">
        <f>IFERROR(_xlfn.ISOWEEKNUM(PV_DATA[[#This Row],[ETA for New Ark update]]),0)</f>
        <v>36</v>
      </c>
      <c r="BE681" s="430">
        <f>_xlfn.XLOOKUP(PV_DATA[[#This Row],[New Ark SKU]],Table9[New Ark SKU],Table9[Total PCS per Pallet],,0)</f>
        <v>36</v>
      </c>
      <c r="BF681" s="430">
        <f>_xlfn.XLOOKUP(PV_DATA[[#This Row],[New Ark SKU]],Table9[New Ark SKU],Table9[Total PCS per 40HQ Container],,0)</f>
        <v>576</v>
      </c>
      <c r="BG681" s="431" t="str">
        <f>_xlfn.XLOOKUP(PV_DATA[[#This Row],[New Ark SKU]],Table9[New Ark SKU],Table9[Back Glass],,0)</f>
        <v>Redirection Film</v>
      </c>
      <c r="BH681" s="430" t="str">
        <f>_xlfn.XLOOKUP(PV_DATA[[#This Row],[PORT DESTINATION]],Table12[PORT DESTINATION],Table12[Cosco Line],,0)</f>
        <v>AEM</v>
      </c>
      <c r="BJ681" s="430"/>
    </row>
    <row r="682" spans="1:62" ht="10.5" hidden="1">
      <c r="A682" s="462" t="s">
        <v>5245</v>
      </c>
      <c r="B682" s="462" t="s">
        <v>111</v>
      </c>
      <c r="C682" s="462" t="str">
        <f>IFERROR(LEFT(PV_DATA[[#This Row],[TCL REFERENCE]],FIND(".",PV_DATA[[#This Row],[TCL REFERENCE]],1)-1),"Main Line")</f>
        <v>26Jun002</v>
      </c>
      <c r="D682" s="462" t="s">
        <v>63</v>
      </c>
      <c r="E682" s="462" t="s">
        <v>64</v>
      </c>
      <c r="F682" s="462" t="str" cm="1">
        <f t="array" ref="F68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682" s="462" t="s">
        <v>402</v>
      </c>
      <c r="H682" s="462" t="s">
        <v>311</v>
      </c>
      <c r="I682" s="462" t="s">
        <v>689</v>
      </c>
      <c r="J682" s="430" t="s">
        <v>96</v>
      </c>
      <c r="K682" s="430"/>
      <c r="L682" s="430"/>
      <c r="M682" s="430" t="s">
        <v>68</v>
      </c>
      <c r="N682" s="432">
        <v>46198</v>
      </c>
      <c r="O682" s="430" t="s">
        <v>550</v>
      </c>
      <c r="P682" s="430" t="s">
        <v>2134</v>
      </c>
      <c r="Q682" s="430" t="s">
        <v>2135</v>
      </c>
      <c r="R682" s="430" t="str">
        <f>_xlfn.XLOOKUP(PV_DATA[[#This Row],[New Ark SKU]],Table9[New Ark SKU],Table9[Connector],,0)</f>
        <v>EVO2A</v>
      </c>
      <c r="S682" s="442" t="str">
        <f>_xlfn.XLOOKUP(PV_DATA[[#This Row],[New Ark SKU]],Table9[New Ark SKU],Table9[Cable],,0)</f>
        <v>±1350mm</v>
      </c>
      <c r="T682" s="433">
        <v>515</v>
      </c>
      <c r="U682" s="1062">
        <f>792*2</f>
        <v>1584</v>
      </c>
      <c r="V682" s="434">
        <f>PV_DATA[[#This Row],[QUANTITY]]*PV_DATA[[#This Row],[WATT]]/1000000</f>
        <v>0.81576000000000004</v>
      </c>
      <c r="W682" s="435">
        <f>PV_DATA[[#This Row],[QUANTITY]]/PV_DATA[[#This Row],[Qty/Pallet]]</f>
        <v>44</v>
      </c>
      <c r="X682" s="1015">
        <f>PV_DATA[[#This Row],[QUANTITY]]/PV_DATA[[#This Row],[Qty/CT]]</f>
        <v>2</v>
      </c>
      <c r="Y682" s="459" t="s">
        <v>4368</v>
      </c>
      <c r="Z682" s="430" t="str">
        <f t="shared" si="7"/>
        <v>COMPLETED</v>
      </c>
      <c r="AA682" s="430" t="s">
        <v>5232</v>
      </c>
      <c r="AB682" s="437">
        <v>46199</v>
      </c>
      <c r="AC682" s="485">
        <f>IF(PV_DATA[[#This Row],[Pick-Up Date]]&lt;&gt;"",_xlfn.ISOWEEKNUM(PV_DATA[[#This Row],[Pick-Up Date]]),"")</f>
        <v>26</v>
      </c>
      <c r="AD682" s="430" t="s">
        <v>5246</v>
      </c>
      <c r="AE682" s="430"/>
      <c r="AF682" s="430" t="s">
        <v>122</v>
      </c>
      <c r="AG682" s="430" t="s">
        <v>123</v>
      </c>
      <c r="AH682" s="431" t="s">
        <v>1561</v>
      </c>
      <c r="AI682" s="437">
        <v>46204</v>
      </c>
      <c r="AJ682" s="437">
        <v>46207</v>
      </c>
      <c r="AK682" s="437">
        <v>46207</v>
      </c>
      <c r="AL682" s="956">
        <v>46257</v>
      </c>
      <c r="AM682" s="1124">
        <f>IFERROR(VLOOKUP(AT682, Vessel!A:H, 8, FALSE), "")</f>
        <v>46272.25</v>
      </c>
      <c r="AN682" s="586">
        <f>IF(VLOOKUP(AT682, Vessel!A:I, 9, FALSE)=0, "", VLOOKUP(AT682, Vessel!A:I, 9, FALSE))</f>
        <v>46272.251446759263</v>
      </c>
      <c r="AP682" s="430" t="s">
        <v>5238</v>
      </c>
      <c r="AQ682" s="438" t="s">
        <v>80</v>
      </c>
      <c r="AR682" s="430" t="s">
        <v>5247</v>
      </c>
      <c r="AS682" s="430" t="s">
        <v>5248</v>
      </c>
      <c r="AT682" s="430" t="s">
        <v>5248</v>
      </c>
      <c r="AU68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65.251446759262762</v>
      </c>
      <c r="AV682" s="437"/>
      <c r="AW682" s="437" cm="1">
        <f t="array" ref="AW68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46272.251446759263</v>
      </c>
      <c r="AX68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82" s="437">
        <f>IF(ISERROR(PV_DATA[[#This Row],[New Ark PO status]]),"",_xlfn.XLOOKUP(PV_DATA[[#This Row],[SPTN-PVHK New Ark PO'#]],New_Ark_Data[Purchase order Number],New_Ark_Data[Estimated time of arrival],"",0))</f>
        <v>46300</v>
      </c>
      <c r="AZ682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682" s="437">
        <f>IFERROR(PV_DATA[[#This Row],[ODP ETA Port]]+PV_DATA[[#This Row],[Customs/Leg3 Assumption]],"n/a")</f>
        <v>46282.251446759263</v>
      </c>
      <c r="BB682" s="433">
        <f>YEAR(PV_DATA[[#This Row],[ETA for New Ark update]])</f>
        <v>2026</v>
      </c>
      <c r="BC682" s="430">
        <f>MONTH(PV_DATA[[#This Row],[ETA for New Ark update]])</f>
        <v>9</v>
      </c>
      <c r="BD682" s="430">
        <f>IFERROR(_xlfn.ISOWEEKNUM(PV_DATA[[#This Row],[ETA for New Ark update]]),0)</f>
        <v>38</v>
      </c>
      <c r="BE682" s="430">
        <f>_xlfn.XLOOKUP(PV_DATA[[#This Row],[New Ark SKU]],Table9[New Ark SKU],Table9[Total PCS per Pallet],,0)</f>
        <v>36</v>
      </c>
      <c r="BF682" s="430">
        <f>_xlfn.XLOOKUP(PV_DATA[[#This Row],[New Ark SKU]],Table9[New Ark SKU],Table9[Total PCS per 40HQ Container],,0)</f>
        <v>792</v>
      </c>
      <c r="BG682" s="431" t="str">
        <f>_xlfn.XLOOKUP(PV_DATA[[#This Row],[New Ark SKU]],Table9[New Ark SKU],Table9[Back Glass],,0)</f>
        <v>Black glazing</v>
      </c>
      <c r="BH682" s="430" t="str">
        <f>_xlfn.XLOOKUP(PV_DATA[[#This Row],[PORT DESTINATION]],Table12[PORT DESTINATION],Table12[Cosco Line],,0)</f>
        <v>AEM</v>
      </c>
      <c r="BJ682" s="430"/>
    </row>
    <row r="683" spans="1:62" ht="10.5" hidden="1">
      <c r="A683" s="462" t="s">
        <v>5249</v>
      </c>
      <c r="B683" s="462" t="s">
        <v>111</v>
      </c>
      <c r="C683" s="462" t="str">
        <f>IFERROR(LEFT(PV_DATA[[#This Row],[TCL REFERENCE]],FIND(".",PV_DATA[[#This Row],[TCL REFERENCE]],1)-1),"Main Line")</f>
        <v>26Jun028</v>
      </c>
      <c r="D683" s="462" t="s">
        <v>63</v>
      </c>
      <c r="E683" s="462" t="s">
        <v>64</v>
      </c>
      <c r="F683" s="462" t="str" cm="1">
        <f t="array" ref="F68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683" s="462" t="s">
        <v>402</v>
      </c>
      <c r="H683" s="462" t="s">
        <v>311</v>
      </c>
      <c r="I683" s="462" t="s">
        <v>689</v>
      </c>
      <c r="J683" s="430" t="s">
        <v>96</v>
      </c>
      <c r="K683" s="430"/>
      <c r="L683" s="430"/>
      <c r="M683" s="430"/>
      <c r="N683" s="432">
        <v>46174</v>
      </c>
      <c r="O683" s="430" t="s">
        <v>132</v>
      </c>
      <c r="P683" s="430" t="s">
        <v>133</v>
      </c>
      <c r="Q683" s="430" t="s">
        <v>134</v>
      </c>
      <c r="R683" s="430" t="str">
        <f>_xlfn.XLOOKUP(PV_DATA[[#This Row],[New Ark SKU]],Table9[New Ark SKU],Table9[Connector],,0)</f>
        <v>EVO2A</v>
      </c>
      <c r="S683" s="442" t="str">
        <f>_xlfn.XLOOKUP(PV_DATA[[#This Row],[New Ark SKU]],Table9[New Ark SKU],Table9[Cable],,0)</f>
        <v>±1400mm</v>
      </c>
      <c r="T683" s="433">
        <v>720</v>
      </c>
      <c r="U683" s="1062">
        <f>594*1</f>
        <v>594</v>
      </c>
      <c r="V683" s="434">
        <f>PV_DATA[[#This Row],[QUANTITY]]*PV_DATA[[#This Row],[WATT]]/1000000</f>
        <v>0.42768</v>
      </c>
      <c r="W683" s="435">
        <f>PV_DATA[[#This Row],[QUANTITY]]/PV_DATA[[#This Row],[Qty/Pallet]]</f>
        <v>18</v>
      </c>
      <c r="X683" s="1015">
        <f>PV_DATA[[#This Row],[QUANTITY]]/PV_DATA[[#This Row],[Qty/CT]]</f>
        <v>1</v>
      </c>
      <c r="Y683" s="430" t="s">
        <v>4368</v>
      </c>
      <c r="Z683" s="430" t="str">
        <f t="shared" si="7"/>
        <v>COMPLETED</v>
      </c>
      <c r="AA683" s="430" t="s">
        <v>5126</v>
      </c>
      <c r="AB683" s="437">
        <v>46199</v>
      </c>
      <c r="AC683" s="485">
        <f>IF(PV_DATA[[#This Row],[Pick-Up Date]]&lt;&gt;"",_xlfn.ISOWEEKNUM(PV_DATA[[#This Row],[Pick-Up Date]]),"")</f>
        <v>26</v>
      </c>
      <c r="AD683" s="430" t="s">
        <v>5250</v>
      </c>
      <c r="AE683" s="430"/>
      <c r="AF683" s="430" t="s">
        <v>122</v>
      </c>
      <c r="AG683" s="430" t="s">
        <v>123</v>
      </c>
      <c r="AH683" s="431" t="s">
        <v>1561</v>
      </c>
      <c r="AI683" s="437">
        <v>46204</v>
      </c>
      <c r="AJ683" s="437">
        <v>46207</v>
      </c>
      <c r="AK683" s="437">
        <v>46207</v>
      </c>
      <c r="AL683" s="437">
        <v>46257</v>
      </c>
      <c r="AM683" s="586">
        <f>IFERROR(VLOOKUP(AT683, Vessel!A:H, 8, FALSE), "")</f>
        <v>46272.25</v>
      </c>
      <c r="AN683" s="586">
        <f>IF(VLOOKUP(AT683, Vessel!A:I, 9, FALSE)=0, "", VLOOKUP(AT683, Vessel!A:I, 9, FALSE))</f>
        <v>46272.251446759263</v>
      </c>
      <c r="AP683" s="430" t="s">
        <v>5238</v>
      </c>
      <c r="AQ683" s="438" t="s">
        <v>80</v>
      </c>
      <c r="AR683" s="430" t="s">
        <v>5247</v>
      </c>
      <c r="AS683" s="430" t="s">
        <v>5248</v>
      </c>
      <c r="AT683" s="430" t="s">
        <v>5248</v>
      </c>
      <c r="AU68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65.251446759262762</v>
      </c>
      <c r="AW683" s="437" cm="1">
        <f t="array" ref="AW68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46272.251446759263</v>
      </c>
      <c r="AX68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83" s="437">
        <f>IF(ISERROR(PV_DATA[[#This Row],[New Ark PO status]]),"",_xlfn.XLOOKUP(PV_DATA[[#This Row],[SPTN-PVHK New Ark PO'#]],New_Ark_Data[Purchase order Number],New_Ark_Data[Estimated time of arrival],"",0))</f>
        <v>46300</v>
      </c>
      <c r="AZ683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683" s="437">
        <f>IFERROR(PV_DATA[[#This Row],[ODP ETA Port]]+PV_DATA[[#This Row],[Customs/Leg3 Assumption]],"n/a")</f>
        <v>46282.251446759263</v>
      </c>
      <c r="BB683" s="433">
        <f>YEAR(PV_DATA[[#This Row],[ETA for New Ark update]])</f>
        <v>2026</v>
      </c>
      <c r="BC683" s="430">
        <f>MONTH(PV_DATA[[#This Row],[ETA for New Ark update]])</f>
        <v>9</v>
      </c>
      <c r="BD683" s="430">
        <f>IFERROR(_xlfn.ISOWEEKNUM(PV_DATA[[#This Row],[ETA for New Ark update]]),0)</f>
        <v>38</v>
      </c>
      <c r="BE683" s="430">
        <f>_xlfn.XLOOKUP(PV_DATA[[#This Row],[New Ark SKU]],Table9[New Ark SKU],Table9[Total PCS per Pallet],,0)</f>
        <v>33</v>
      </c>
      <c r="BF683" s="430">
        <f>_xlfn.XLOOKUP(PV_DATA[[#This Row],[New Ark SKU]],Table9[New Ark SKU],Table9[Total PCS per 40HQ Container],,0)</f>
        <v>594</v>
      </c>
      <c r="BG683" s="431" t="str">
        <f>_xlfn.XLOOKUP(PV_DATA[[#This Row],[New Ark SKU]],Table9[New Ark SKU],Table9[Back Glass],,0)</f>
        <v>White glazing</v>
      </c>
      <c r="BH683" s="430" t="str">
        <f>_xlfn.XLOOKUP(PV_DATA[[#This Row],[PORT DESTINATION]],Table12[PORT DESTINATION],Table12[Cosco Line],,0)</f>
        <v>AEM</v>
      </c>
      <c r="BJ683" s="430"/>
    </row>
    <row r="684" spans="1:62" ht="10.5" hidden="1">
      <c r="A684" s="462" t="s">
        <v>5251</v>
      </c>
      <c r="B684" s="462" t="s">
        <v>61</v>
      </c>
      <c r="C684" s="462" t="str">
        <f>IFERROR(LEFT(PV_DATA[[#This Row],[TCL REFERENCE]],FIND(".",PV_DATA[[#This Row],[TCL REFERENCE]],1)-1),"Main Line")</f>
        <v>26May007</v>
      </c>
      <c r="D684" s="462" t="s">
        <v>63</v>
      </c>
      <c r="E684" s="462" t="s">
        <v>64</v>
      </c>
      <c r="F684" s="462" t="str" cm="1">
        <f t="array" ref="F68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684" s="462" t="s">
        <v>402</v>
      </c>
      <c r="H684" s="462" t="s">
        <v>451</v>
      </c>
      <c r="I684" s="462" t="s">
        <v>689</v>
      </c>
      <c r="J684" s="430" t="s">
        <v>96</v>
      </c>
      <c r="K684" s="430"/>
      <c r="L684" s="430"/>
      <c r="M684" s="430" t="s">
        <v>68</v>
      </c>
      <c r="N684" s="432">
        <v>45809</v>
      </c>
      <c r="O684" s="430" t="s">
        <v>4540</v>
      </c>
      <c r="P684" s="430" t="s">
        <v>195</v>
      </c>
      <c r="Q684" s="430" t="s">
        <v>196</v>
      </c>
      <c r="R684" s="430" t="str">
        <f>_xlfn.XLOOKUP(PV_DATA[[#This Row],[New Ark SKU]],Table9[New Ark SKU],Table9[Connector],,0)</f>
        <v>EVO2A</v>
      </c>
      <c r="S684" s="442" t="str">
        <f>_xlfn.XLOOKUP(PV_DATA[[#This Row],[New Ark SKU]],Table9[New Ark SKU],Table9[Cable],,0)</f>
        <v>±1200mm</v>
      </c>
      <c r="T684" s="433">
        <v>450</v>
      </c>
      <c r="U684" s="1062">
        <f>936*1</f>
        <v>936</v>
      </c>
      <c r="V684" s="434">
        <f>PV_DATA[[#This Row],[QUANTITY]]*PV_DATA[[#This Row],[WATT]]/1000000</f>
        <v>0.42120000000000002</v>
      </c>
      <c r="W684" s="435">
        <f>PV_DATA[[#This Row],[QUANTITY]]/PV_DATA[[#This Row],[Qty/Pallet]]</f>
        <v>26</v>
      </c>
      <c r="X684" s="1015">
        <f>PV_DATA[[#This Row],[QUANTITY]]/PV_DATA[[#This Row],[Qty/CT]]</f>
        <v>1</v>
      </c>
      <c r="Y684" s="430" t="s">
        <v>4368</v>
      </c>
      <c r="Z684" s="430" t="str">
        <f t="shared" si="7"/>
        <v>COMPLETED</v>
      </c>
      <c r="AA684" s="430"/>
      <c r="AB684" s="437">
        <v>46201</v>
      </c>
      <c r="AC684" s="485">
        <f>IF(PV_DATA[[#This Row],[Pick-Up Date]]&lt;&gt;"",_xlfn.ISOWEEKNUM(PV_DATA[[#This Row],[Pick-Up Date]]),"")</f>
        <v>26</v>
      </c>
      <c r="AD684" s="430" t="s">
        <v>5252</v>
      </c>
      <c r="AE684" s="430"/>
      <c r="AF684" s="430" t="s">
        <v>61</v>
      </c>
      <c r="AG684" s="430" t="s">
        <v>61</v>
      </c>
      <c r="AH684" s="430" t="s">
        <v>456</v>
      </c>
      <c r="AI684" s="437">
        <v>46206</v>
      </c>
      <c r="AJ684" s="437">
        <v>46210</v>
      </c>
      <c r="AK684" s="437">
        <v>46210</v>
      </c>
      <c r="AL684" s="437">
        <v>46257</v>
      </c>
      <c r="AM684" s="586">
        <f>IFERROR(VLOOKUP(AT684, Vessel!A:H, 8, FALSE), "")</f>
        <v>46264.041666666664</v>
      </c>
      <c r="AN684" s="586">
        <f>IF(VLOOKUP(AT684, Vessel!A:I, 9, FALSE)=0, "", VLOOKUP(AT684, Vessel!A:I, 9, FALSE))</f>
        <v>46263.989421296297</v>
      </c>
      <c r="AP684" s="430" t="s">
        <v>5238</v>
      </c>
      <c r="AQ684" s="430" t="s">
        <v>80</v>
      </c>
      <c r="AR684" s="430" t="s">
        <v>5253</v>
      </c>
      <c r="AS684" s="430" t="s">
        <v>5254</v>
      </c>
      <c r="AT684" s="430" t="s">
        <v>5254</v>
      </c>
      <c r="AU68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53.989421296297223</v>
      </c>
      <c r="AV684" s="437"/>
      <c r="AW684" s="437" cm="1">
        <f t="array" ref="AW68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46263.989421296297</v>
      </c>
      <c r="AX68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84" s="437">
        <f>IF(ISERROR(PV_DATA[[#This Row],[New Ark PO status]]),"",_xlfn.XLOOKUP(PV_DATA[[#This Row],[SPTN-PVHK New Ark PO'#]],New_Ark_Data[Purchase order Number],New_Ark_Data[Estimated time of arrival],"",0))</f>
        <v>46276</v>
      </c>
      <c r="AZ684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684" s="437">
        <f>IFERROR(PV_DATA[[#This Row],[ODP ETA Port]]+PV_DATA[[#This Row],[Customs/Leg3 Assumption]],"n/a")</f>
        <v>46270.989421296297</v>
      </c>
      <c r="BB684" s="433">
        <f>YEAR(PV_DATA[[#This Row],[ETA for New Ark update]])</f>
        <v>2026</v>
      </c>
      <c r="BC684" s="430">
        <f>MONTH(PV_DATA[[#This Row],[ETA for New Ark update]])</f>
        <v>9</v>
      </c>
      <c r="BD684" s="430">
        <f>IFERROR(_xlfn.ISOWEEKNUM(PV_DATA[[#This Row],[ETA for New Ark update]]),0)</f>
        <v>36</v>
      </c>
      <c r="BE684" s="430">
        <f>_xlfn.XLOOKUP(PV_DATA[[#This Row],[New Ark SKU]],Table9[New Ark SKU],Table9[Total PCS per Pallet],,0)</f>
        <v>36</v>
      </c>
      <c r="BF684" s="430">
        <f>_xlfn.XLOOKUP(PV_DATA[[#This Row],[New Ark SKU]],Table9[New Ark SKU],Table9[Total PCS per 40HQ Container],,0)</f>
        <v>936</v>
      </c>
      <c r="BG684" s="431" t="str">
        <f>_xlfn.XLOOKUP(PV_DATA[[#This Row],[New Ark SKU]],Table9[New Ark SKU],Table9[Back Glass],,0)</f>
        <v>Black glazing</v>
      </c>
      <c r="BH684" s="430" t="str">
        <f>_xlfn.XLOOKUP(PV_DATA[[#This Row],[PORT DESTINATION]],Table12[PORT DESTINATION],Table12[Cosco Line],,0)</f>
        <v>AEU</v>
      </c>
      <c r="BJ684" s="430"/>
    </row>
    <row r="685" spans="1:62" ht="10.5" hidden="1">
      <c r="A685" s="462" t="s">
        <v>5255</v>
      </c>
      <c r="B685" s="462" t="s">
        <v>61</v>
      </c>
      <c r="C685" s="462" t="str">
        <f>IFERROR(LEFT(PV_DATA[[#This Row],[TCL REFERENCE]],FIND(".",PV_DATA[[#This Row],[TCL REFERENCE]],1)-1),"Main Line")</f>
        <v>26Jun014</v>
      </c>
      <c r="D685" s="462" t="s">
        <v>63</v>
      </c>
      <c r="E685" s="462" t="s">
        <v>64</v>
      </c>
      <c r="F685" s="462" t="str" cm="1">
        <f t="array" ref="F68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85" s="462" t="s">
        <v>402</v>
      </c>
      <c r="H685" s="462" t="s">
        <v>67</v>
      </c>
      <c r="I685" s="462" t="s">
        <v>689</v>
      </c>
      <c r="J685" s="430" t="s">
        <v>96</v>
      </c>
      <c r="K685" s="430"/>
      <c r="L685" s="430"/>
      <c r="M685" s="430" t="s">
        <v>68</v>
      </c>
      <c r="N685" s="432">
        <v>46209</v>
      </c>
      <c r="O685" s="430" t="s">
        <v>4540</v>
      </c>
      <c r="P685" s="430" t="s">
        <v>691</v>
      </c>
      <c r="Q685" s="430" t="s">
        <v>692</v>
      </c>
      <c r="R685" s="430" t="str">
        <f>_xlfn.XLOOKUP(PV_DATA[[#This Row],[New Ark SKU]],Table9[New Ark SKU],Table9[Connector],,0)</f>
        <v>EVO2A</v>
      </c>
      <c r="S685" s="442" t="str">
        <f>_xlfn.XLOOKUP(PV_DATA[[#This Row],[New Ark SKU]],Table9[New Ark SKU],Table9[Cable],,0)</f>
        <v>±1200mm</v>
      </c>
      <c r="T685" s="433">
        <v>505</v>
      </c>
      <c r="U685" s="1062">
        <v>864</v>
      </c>
      <c r="V685" s="434">
        <f>PV_DATA[[#This Row],[QUANTITY]]*PV_DATA[[#This Row],[WATT]]/1000000</f>
        <v>0.43631999999999999</v>
      </c>
      <c r="W685" s="435">
        <f>PV_DATA[[#This Row],[QUANTITY]]/PV_DATA[[#This Row],[Qty/Pallet]]</f>
        <v>24</v>
      </c>
      <c r="X685" s="1015">
        <f>PV_DATA[[#This Row],[QUANTITY]]/PV_DATA[[#This Row],[Qty/CT]]</f>
        <v>1</v>
      </c>
      <c r="Y685" s="430" t="s">
        <v>4368</v>
      </c>
      <c r="Z685" s="430" t="str">
        <f t="shared" si="7"/>
        <v>COMPLETED</v>
      </c>
      <c r="AA685" s="430"/>
      <c r="AB685" s="437">
        <v>46201</v>
      </c>
      <c r="AC685" s="485">
        <f>IF(PV_DATA[[#This Row],[Pick-Up Date]]&lt;&gt;"",_xlfn.ISOWEEKNUM(PV_DATA[[#This Row],[Pick-Up Date]]),"")</f>
        <v>26</v>
      </c>
      <c r="AD685" s="430" t="s">
        <v>5256</v>
      </c>
      <c r="AE685" s="430"/>
      <c r="AF685" s="430" t="s">
        <v>61</v>
      </c>
      <c r="AG685" s="430" t="s">
        <v>61</v>
      </c>
      <c r="AH685" s="430" t="s">
        <v>356</v>
      </c>
      <c r="AI685" s="437">
        <v>46206</v>
      </c>
      <c r="AJ685" s="437">
        <v>46210</v>
      </c>
      <c r="AK685" s="437">
        <v>46210</v>
      </c>
      <c r="AL685" s="437">
        <v>46260</v>
      </c>
      <c r="AM685" s="586">
        <f>IFERROR(VLOOKUP(AT685, Vessel!A:H, 8, FALSE), "")</f>
        <v>46275.291666666664</v>
      </c>
      <c r="AN685" s="586">
        <f>IF(VLOOKUP(AT685, Vessel!A:I, 9, FALSE)=0, "", VLOOKUP(AT685, Vessel!A:I, 9, FALSE))</f>
        <v>46275.245208333334</v>
      </c>
      <c r="AP685" s="430" t="s">
        <v>5238</v>
      </c>
      <c r="AQ685" s="430" t="s">
        <v>80</v>
      </c>
      <c r="AR685" s="430" t="s">
        <v>5257</v>
      </c>
      <c r="AS685" s="430" t="s">
        <v>5258</v>
      </c>
      <c r="AT685" s="430" t="s">
        <v>5258</v>
      </c>
      <c r="AU68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65.245208333333721</v>
      </c>
      <c r="AV685" s="437"/>
      <c r="AW685" s="437" cm="1">
        <f t="array" ref="AW68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46275.245208333334</v>
      </c>
      <c r="AX68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85" s="437">
        <f>IF(ISERROR(PV_DATA[[#This Row],[New Ark PO status]]),"",_xlfn.XLOOKUP(PV_DATA[[#This Row],[SPTN-PVHK New Ark PO'#]],New_Ark_Data[Purchase order Number],New_Ark_Data[Estimated time of arrival],"",0))</f>
        <v>46286</v>
      </c>
      <c r="AZ685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685" s="437">
        <f>IFERROR(PV_DATA[[#This Row],[ODP ETA Port]]+PV_DATA[[#This Row],[Customs/Leg3 Assumption]],"n/a")</f>
        <v>46285.245208333334</v>
      </c>
      <c r="BB685" s="433">
        <f>YEAR(PV_DATA[[#This Row],[ETA for New Ark update]])</f>
        <v>2026</v>
      </c>
      <c r="BC685" s="430">
        <f>MONTH(PV_DATA[[#This Row],[ETA for New Ark update]])</f>
        <v>9</v>
      </c>
      <c r="BD685" s="430">
        <f>IFERROR(_xlfn.ISOWEEKNUM(PV_DATA[[#This Row],[ETA for New Ark update]]),0)</f>
        <v>38</v>
      </c>
      <c r="BE685" s="430">
        <f>_xlfn.XLOOKUP(PV_DATA[[#This Row],[New Ark SKU]],Table9[New Ark SKU],Table9[Total PCS per Pallet],,0)</f>
        <v>36</v>
      </c>
      <c r="BF685" s="430">
        <f>_xlfn.XLOOKUP(PV_DATA[[#This Row],[New Ark SKU]],Table9[New Ark SKU],Table9[Total PCS per 40HQ Container],,0)</f>
        <v>864</v>
      </c>
      <c r="BG685" s="431" t="str">
        <f>_xlfn.XLOOKUP(PV_DATA[[#This Row],[New Ark SKU]],Table9[New Ark SKU],Table9[Back Glass],,0)</f>
        <v>Black glazing</v>
      </c>
      <c r="BH685" s="430" t="str">
        <f>_xlfn.XLOOKUP(PV_DATA[[#This Row],[PORT DESTINATION]],Table12[PORT DESTINATION],Table12[Cosco Line],,0)</f>
        <v>AEU</v>
      </c>
      <c r="BJ685" s="430"/>
    </row>
    <row r="686" spans="1:62" ht="10.5" hidden="1">
      <c r="A686" s="462" t="s">
        <v>5259</v>
      </c>
      <c r="B686" s="462" t="s">
        <v>61</v>
      </c>
      <c r="C686" s="462" t="str">
        <f>IFERROR(LEFT(PV_DATA[[#This Row],[TCL REFERENCE]],FIND(".",PV_DATA[[#This Row],[TCL REFERENCE]],1)-1),"Main Line")</f>
        <v>26May007</v>
      </c>
      <c r="D686" s="462" t="s">
        <v>63</v>
      </c>
      <c r="E686" s="462" t="s">
        <v>64</v>
      </c>
      <c r="F686" s="462" t="str" cm="1">
        <f t="array" ref="F68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686" s="462" t="s">
        <v>402</v>
      </c>
      <c r="H686" s="462" t="s">
        <v>67</v>
      </c>
      <c r="I686" s="462" t="s">
        <v>689</v>
      </c>
      <c r="J686" s="430" t="s">
        <v>96</v>
      </c>
      <c r="K686" s="430"/>
      <c r="L686" s="430"/>
      <c r="M686" s="430" t="s">
        <v>68</v>
      </c>
      <c r="N686" s="432">
        <v>45809</v>
      </c>
      <c r="O686" s="430" t="s">
        <v>4540</v>
      </c>
      <c r="P686" s="430" t="s">
        <v>195</v>
      </c>
      <c r="Q686" s="430" t="s">
        <v>196</v>
      </c>
      <c r="R686" s="430" t="str">
        <f>_xlfn.XLOOKUP(PV_DATA[[#This Row],[New Ark SKU]],Table9[New Ark SKU],Table9[Connector],,0)</f>
        <v>EVO2A</v>
      </c>
      <c r="S686" s="442" t="str">
        <f>_xlfn.XLOOKUP(PV_DATA[[#This Row],[New Ark SKU]],Table9[New Ark SKU],Table9[Cable],,0)</f>
        <v>±1200mm</v>
      </c>
      <c r="T686" s="433">
        <v>450</v>
      </c>
      <c r="U686" s="1062">
        <v>3744</v>
      </c>
      <c r="V686" s="457">
        <f>PV_DATA[[#This Row],[QUANTITY]]*PV_DATA[[#This Row],[WATT]]/1000000</f>
        <v>1.6848000000000001</v>
      </c>
      <c r="W686" s="435">
        <f>PV_DATA[[#This Row],[QUANTITY]]/PV_DATA[[#This Row],[Qty/Pallet]]</f>
        <v>104</v>
      </c>
      <c r="X686" s="1015">
        <f>PV_DATA[[#This Row],[QUANTITY]]/PV_DATA[[#This Row],[Qty/CT]]</f>
        <v>4</v>
      </c>
      <c r="Y686" s="430" t="s">
        <v>4365</v>
      </c>
      <c r="Z686" s="430" t="str">
        <f t="shared" si="7"/>
        <v>COMPLETED</v>
      </c>
      <c r="AA686" s="430" t="s">
        <v>4898</v>
      </c>
      <c r="AB686" s="437">
        <v>46196</v>
      </c>
      <c r="AC686" s="485">
        <f>IF(PV_DATA[[#This Row],[Pick-Up Date]]&lt;&gt;"",_xlfn.ISOWEEKNUM(PV_DATA[[#This Row],[Pick-Up Date]]),"")</f>
        <v>26</v>
      </c>
      <c r="AD686" s="430" t="s">
        <v>5260</v>
      </c>
      <c r="AE686" s="430"/>
      <c r="AF686" s="430" t="s">
        <v>61</v>
      </c>
      <c r="AG686" s="430" t="s">
        <v>61</v>
      </c>
      <c r="AH686" s="430" t="s">
        <v>105</v>
      </c>
      <c r="AI686" s="437">
        <v>46201</v>
      </c>
      <c r="AK686" s="437">
        <v>46202</v>
      </c>
      <c r="AL686" s="437">
        <v>46245</v>
      </c>
      <c r="AM686" s="586"/>
      <c r="AN686" s="586">
        <f>IFERROR(IF(VLOOKUP(AT686,Vessel!A:I,9,FALSE)=0,"",VLOOKUP(AT686,Vessel!A:I,9,FALSE)),"")</f>
        <v>46253.479062500002</v>
      </c>
      <c r="AP686" s="430" t="s">
        <v>5261</v>
      </c>
      <c r="AQ686" s="430" t="s">
        <v>80</v>
      </c>
      <c r="AR686" s="430" t="s">
        <v>5262</v>
      </c>
      <c r="AS686" s="430" t="s">
        <v>5263</v>
      </c>
      <c r="AT686" s="430" t="s">
        <v>5263</v>
      </c>
      <c r="AU68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51.479062500002328</v>
      </c>
      <c r="AV686" s="437"/>
      <c r="AW686" s="437" cm="1">
        <f t="array" ref="AW68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46253.479062500002</v>
      </c>
      <c r="AX68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86" s="437">
        <f>IF(ISERROR(PV_DATA[[#This Row],[New Ark PO status]]),"",_xlfn.XLOOKUP(PV_DATA[[#This Row],[SPTN-PVHK New Ark PO'#]],New_Ark_Data[Purchase order Number],New_Ark_Data[Estimated time of arrival],"",0))</f>
        <v>46272</v>
      </c>
      <c r="AZ686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686" s="437">
        <f>IFERROR(PV_DATA[[#This Row],[ODP ETA Port]]+PV_DATA[[#This Row],[Customs/Leg3 Assumption]],"n/a")</f>
        <v>46260.479062500002</v>
      </c>
      <c r="BB686" s="433">
        <f>YEAR(PV_DATA[[#This Row],[ETA for New Ark update]])</f>
        <v>2026</v>
      </c>
      <c r="BC686" s="430">
        <f>MONTH(PV_DATA[[#This Row],[ETA for New Ark update]])</f>
        <v>8</v>
      </c>
      <c r="BD686" s="430">
        <f>IFERROR(_xlfn.ISOWEEKNUM(PV_DATA[[#This Row],[ETA for New Ark update]]),0)</f>
        <v>35</v>
      </c>
      <c r="BE686" s="430">
        <f>_xlfn.XLOOKUP(PV_DATA[[#This Row],[New Ark SKU]],Table9[New Ark SKU],Table9[Total PCS per Pallet],,0)</f>
        <v>36</v>
      </c>
      <c r="BF686" s="430">
        <f>_xlfn.XLOOKUP(PV_DATA[[#This Row],[New Ark SKU]],Table9[New Ark SKU],Table9[Total PCS per 40HQ Container],,0)</f>
        <v>936</v>
      </c>
      <c r="BG686" s="431" t="str">
        <f>_xlfn.XLOOKUP(PV_DATA[[#This Row],[New Ark SKU]],Table9[New Ark SKU],Table9[Back Glass],,0)</f>
        <v>Black glazing</v>
      </c>
      <c r="BH686" s="430" t="str">
        <f>_xlfn.XLOOKUP(PV_DATA[[#This Row],[PORT DESTINATION]],Table12[PORT DESTINATION],Table12[Cosco Line],,0)</f>
        <v>AEU</v>
      </c>
      <c r="BJ686" s="430"/>
    </row>
    <row r="687" spans="1:62" ht="10.5" hidden="1">
      <c r="A687" s="462" t="s">
        <v>5264</v>
      </c>
      <c r="B687" s="462" t="s">
        <v>61</v>
      </c>
      <c r="C687" s="462" t="str">
        <f>IFERROR(LEFT(PV_DATA[[#This Row],[TCL REFERENCE]],FIND(".",PV_DATA[[#This Row],[TCL REFERENCE]],1)-1),"Main Line")</f>
        <v>26May007</v>
      </c>
      <c r="D687" s="462" t="s">
        <v>63</v>
      </c>
      <c r="E687" s="462" t="s">
        <v>64</v>
      </c>
      <c r="F687" s="462" t="str" cm="1">
        <f t="array" ref="F68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687" s="462" t="s">
        <v>402</v>
      </c>
      <c r="H687" s="462" t="s">
        <v>67</v>
      </c>
      <c r="I687" s="462" t="s">
        <v>689</v>
      </c>
      <c r="J687" s="430" t="s">
        <v>96</v>
      </c>
      <c r="K687" s="430"/>
      <c r="L687" s="430"/>
      <c r="M687" s="430" t="s">
        <v>68</v>
      </c>
      <c r="N687" s="432">
        <v>45809</v>
      </c>
      <c r="O687" s="430" t="s">
        <v>4540</v>
      </c>
      <c r="P687" s="430" t="s">
        <v>195</v>
      </c>
      <c r="Q687" s="430" t="s">
        <v>196</v>
      </c>
      <c r="R687" s="430" t="str">
        <f>_xlfn.XLOOKUP(PV_DATA[[#This Row],[New Ark SKU]],Table9[New Ark SKU],Table9[Connector],,0)</f>
        <v>EVO2A</v>
      </c>
      <c r="S687" s="442" t="str">
        <f>_xlfn.XLOOKUP(PV_DATA[[#This Row],[New Ark SKU]],Table9[New Ark SKU],Table9[Cable],,0)</f>
        <v>±1200mm</v>
      </c>
      <c r="T687" s="433">
        <v>450</v>
      </c>
      <c r="U687" s="1062">
        <v>936</v>
      </c>
      <c r="V687" s="434">
        <f>PV_DATA[[#This Row],[QUANTITY]]*PV_DATA[[#This Row],[WATT]]/1000000</f>
        <v>0.42120000000000002</v>
      </c>
      <c r="W687" s="435">
        <f>PV_DATA[[#This Row],[QUANTITY]]/PV_DATA[[#This Row],[Qty/Pallet]]</f>
        <v>26</v>
      </c>
      <c r="X687" s="1015">
        <f>PV_DATA[[#This Row],[QUANTITY]]/PV_DATA[[#This Row],[Qty/CT]]</f>
        <v>1</v>
      </c>
      <c r="Y687" s="430" t="s">
        <v>4366</v>
      </c>
      <c r="Z687" s="430" t="str">
        <f t="shared" si="7"/>
        <v>COMPLETED</v>
      </c>
      <c r="AA687" s="430" t="s">
        <v>5059</v>
      </c>
      <c r="AB687" s="437">
        <v>46196</v>
      </c>
      <c r="AC687" s="485">
        <f>IF(PV_DATA[[#This Row],[Pick-Up Date]]&lt;&gt;"",_xlfn.ISOWEEKNUM(PV_DATA[[#This Row],[Pick-Up Date]]),"")</f>
        <v>26</v>
      </c>
      <c r="AD687" s="430" t="s">
        <v>5265</v>
      </c>
      <c r="AE687" s="430"/>
      <c r="AF687" s="430" t="s">
        <v>61</v>
      </c>
      <c r="AG687" s="430" t="s">
        <v>61</v>
      </c>
      <c r="AH687" s="430" t="s">
        <v>105</v>
      </c>
      <c r="AI687" s="437">
        <v>46201</v>
      </c>
      <c r="AK687" s="437">
        <v>46202</v>
      </c>
      <c r="AL687" s="437">
        <v>46245</v>
      </c>
      <c r="AM687" s="586"/>
      <c r="AN687" s="586">
        <f>IFERROR(IF(VLOOKUP(AT687,Vessel!A:I,9,FALSE)=0,"",VLOOKUP(AT687,Vessel!A:I,9,FALSE)),"")</f>
        <v>46253.479062500002</v>
      </c>
      <c r="AP687" s="430" t="s">
        <v>5261</v>
      </c>
      <c r="AQ687" s="430" t="s">
        <v>80</v>
      </c>
      <c r="AR687" s="430" t="s">
        <v>5262</v>
      </c>
      <c r="AS687" s="430" t="s">
        <v>5263</v>
      </c>
      <c r="AT687" s="430" t="s">
        <v>5263</v>
      </c>
      <c r="AU68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51.479062500002328</v>
      </c>
      <c r="AV687" s="437"/>
      <c r="AW687" s="437" cm="1">
        <f t="array" ref="AW68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46253.479062500002</v>
      </c>
      <c r="AX68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87" s="437">
        <f>IF(ISERROR(PV_DATA[[#This Row],[New Ark PO status]]),"",_xlfn.XLOOKUP(PV_DATA[[#This Row],[SPTN-PVHK New Ark PO'#]],New_Ark_Data[Purchase order Number],New_Ark_Data[Estimated time of arrival],"",0))</f>
        <v>46272</v>
      </c>
      <c r="AZ687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687" s="437">
        <f>IFERROR(PV_DATA[[#This Row],[ODP ETA Port]]+PV_DATA[[#This Row],[Customs/Leg3 Assumption]],"n/a")</f>
        <v>46260.479062500002</v>
      </c>
      <c r="BB687" s="433">
        <f>YEAR(PV_DATA[[#This Row],[ETA for New Ark update]])</f>
        <v>2026</v>
      </c>
      <c r="BC687" s="430">
        <f>MONTH(PV_DATA[[#This Row],[ETA for New Ark update]])</f>
        <v>8</v>
      </c>
      <c r="BD687" s="430">
        <f>IFERROR(_xlfn.ISOWEEKNUM(PV_DATA[[#This Row],[ETA for New Ark update]]),0)</f>
        <v>35</v>
      </c>
      <c r="BE687" s="430">
        <f>_xlfn.XLOOKUP(PV_DATA[[#This Row],[New Ark SKU]],Table9[New Ark SKU],Table9[Total PCS per Pallet],,0)</f>
        <v>36</v>
      </c>
      <c r="BF687" s="430">
        <f>_xlfn.XLOOKUP(PV_DATA[[#This Row],[New Ark SKU]],Table9[New Ark SKU],Table9[Total PCS per 40HQ Container],,0)</f>
        <v>936</v>
      </c>
      <c r="BG687" s="431" t="str">
        <f>_xlfn.XLOOKUP(PV_DATA[[#This Row],[New Ark SKU]],Table9[New Ark SKU],Table9[Back Glass],,0)</f>
        <v>Black glazing</v>
      </c>
      <c r="BH687" s="430" t="str">
        <f>_xlfn.XLOOKUP(PV_DATA[[#This Row],[PORT DESTINATION]],Table12[PORT DESTINATION],Table12[Cosco Line],,0)</f>
        <v>AEU</v>
      </c>
      <c r="BJ687" s="430"/>
    </row>
    <row r="688" spans="1:62" ht="10.5" hidden="1">
      <c r="A688" s="462" t="s">
        <v>5266</v>
      </c>
      <c r="B688" s="462" t="s">
        <v>61</v>
      </c>
      <c r="C688" s="462" t="str">
        <f>IFERROR(LEFT(PV_DATA[[#This Row],[TCL REFERENCE]],FIND(".",PV_DATA[[#This Row],[TCL REFERENCE]],1)-1),"Main Line")</f>
        <v>26May007</v>
      </c>
      <c r="D688" s="462" t="s">
        <v>63</v>
      </c>
      <c r="E688" s="462" t="s">
        <v>64</v>
      </c>
      <c r="F688" s="462" t="str" cm="1">
        <f t="array" ref="F68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688" s="462" t="s">
        <v>402</v>
      </c>
      <c r="H688" s="462" t="s">
        <v>67</v>
      </c>
      <c r="I688" s="462" t="s">
        <v>689</v>
      </c>
      <c r="J688" s="430" t="s">
        <v>5267</v>
      </c>
      <c r="K688" s="614" t="s">
        <v>2288</v>
      </c>
      <c r="L688" s="430"/>
      <c r="M688" s="430" t="s">
        <v>68</v>
      </c>
      <c r="N688" s="432">
        <v>46111</v>
      </c>
      <c r="O688" s="430" t="s">
        <v>70</v>
      </c>
      <c r="P688" s="430" t="s">
        <v>195</v>
      </c>
      <c r="Q688" s="430" t="s">
        <v>196</v>
      </c>
      <c r="R688" s="430" t="str">
        <f>_xlfn.XLOOKUP(PV_DATA[[#This Row],[New Ark SKU]],Table9[New Ark SKU],Table9[Connector],,0)</f>
        <v>EVO2A</v>
      </c>
      <c r="S688" s="442" t="str">
        <f>_xlfn.XLOOKUP(PV_DATA[[#This Row],[New Ark SKU]],Table9[New Ark SKU],Table9[Cable],,0)</f>
        <v>±1200mm</v>
      </c>
      <c r="T688" s="433">
        <v>450</v>
      </c>
      <c r="U688" s="1062">
        <f>936</f>
        <v>936</v>
      </c>
      <c r="V688" s="457">
        <f>PV_DATA[[#This Row],[QUANTITY]]*PV_DATA[[#This Row],[WATT]]/1000000</f>
        <v>0.42120000000000002</v>
      </c>
      <c r="W688" s="435">
        <f>PV_DATA[[#This Row],[QUANTITY]]/PV_DATA[[#This Row],[Qty/Pallet]]</f>
        <v>26</v>
      </c>
      <c r="X688" s="1015">
        <f>PV_DATA[[#This Row],[QUANTITY]]/PV_DATA[[#This Row],[Qty/CT]]</f>
        <v>1</v>
      </c>
      <c r="Y688" s="430" t="s">
        <v>4365</v>
      </c>
      <c r="Z688" s="430" t="str">
        <f t="shared" si="7"/>
        <v>COMPLETED</v>
      </c>
      <c r="AA688" s="430" t="s">
        <v>5059</v>
      </c>
      <c r="AB688" s="437">
        <v>46196</v>
      </c>
      <c r="AC688" s="617">
        <f>IF(PV_DATA[[#This Row],[Pick-Up Date]]&lt;&gt;"",_xlfn.ISOWEEKNUM(PV_DATA[[#This Row],[Pick-Up Date]]),"")</f>
        <v>26</v>
      </c>
      <c r="AD688" s="430" t="s">
        <v>5268</v>
      </c>
      <c r="AE688" s="430"/>
      <c r="AF688" s="430" t="s">
        <v>77</v>
      </c>
      <c r="AG688" s="430" t="s">
        <v>61</v>
      </c>
      <c r="AH688" s="430" t="s">
        <v>105</v>
      </c>
      <c r="AI688" s="437">
        <v>46201</v>
      </c>
      <c r="AK688" s="437">
        <v>46202</v>
      </c>
      <c r="AL688" s="437">
        <v>46263</v>
      </c>
      <c r="AM688" s="586">
        <f>IFERROR(VLOOKUP(AT688, Vessel!A:H, 8, FALSE), "")</f>
        <v>46293.083333333336</v>
      </c>
      <c r="AN688" s="586">
        <f>IF(VLOOKUP(AT688, Vessel!A:I, 9, FALSE)=0, "", VLOOKUP(AT688, Vessel!A:I, 9, FALSE))</f>
        <v>46292.966608796298</v>
      </c>
      <c r="AP688" s="430" t="s">
        <v>5261</v>
      </c>
      <c r="AQ688" s="430" t="s">
        <v>80</v>
      </c>
      <c r="AR688" s="430" t="s">
        <v>5269</v>
      </c>
      <c r="AS688" s="430" t="s">
        <v>5270</v>
      </c>
      <c r="AT688" s="430" t="s">
        <v>5270</v>
      </c>
      <c r="AU68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90.966608796297805</v>
      </c>
      <c r="AW688" s="437" cm="1">
        <f t="array" ref="AW68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46292.966608796298</v>
      </c>
      <c r="AX68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88" s="437">
        <f>IF(ISERROR(PV_DATA[[#This Row],[New Ark PO status]]),"",_xlfn.XLOOKUP(PV_DATA[[#This Row],[SPTN-PVHK New Ark PO'#]],New_Ark_Data[Purchase order Number],New_Ark_Data[Estimated time of arrival],"",0))</f>
        <v>46297</v>
      </c>
      <c r="AZ688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688" s="437">
        <f>IFERROR(PV_DATA[[#This Row],[ODP ETA Port]]+PV_DATA[[#This Row],[Customs/Leg3 Assumption]],"n/a")</f>
        <v>46299.966608796298</v>
      </c>
      <c r="BB688" s="433">
        <f>YEAR(PV_DATA[[#This Row],[ETA for New Ark update]])</f>
        <v>2026</v>
      </c>
      <c r="BC688" s="430">
        <f>MONTH(PV_DATA[[#This Row],[ETA for New Ark update]])</f>
        <v>10</v>
      </c>
      <c r="BD688" s="430">
        <f>IFERROR(_xlfn.ISOWEEKNUM(PV_DATA[[#This Row],[ETA for New Ark update]]),0)</f>
        <v>40</v>
      </c>
      <c r="BE688" s="430">
        <f>_xlfn.XLOOKUP(PV_DATA[[#This Row],[New Ark SKU]],Table9[New Ark SKU],Table9[Total PCS per Pallet],,0)</f>
        <v>36</v>
      </c>
      <c r="BF688" s="430">
        <f>_xlfn.XLOOKUP(PV_DATA[[#This Row],[New Ark SKU]],Table9[New Ark SKU],Table9[Total PCS per 40HQ Container],,0)</f>
        <v>936</v>
      </c>
      <c r="BG688" s="431" t="str">
        <f>_xlfn.XLOOKUP(PV_DATA[[#This Row],[New Ark SKU]],Table9[New Ark SKU],Table9[Back Glass],,0)</f>
        <v>Black glazing</v>
      </c>
      <c r="BH688" s="430" t="str">
        <f>_xlfn.XLOOKUP(PV_DATA[[#This Row],[PORT DESTINATION]],Table12[PORT DESTINATION],Table12[Cosco Line],,0)</f>
        <v>AEU</v>
      </c>
      <c r="BJ688" s="430"/>
    </row>
    <row r="689" spans="1:62" ht="10.5" hidden="1">
      <c r="A689" s="462" t="s">
        <v>5271</v>
      </c>
      <c r="B689" s="462" t="s">
        <v>61</v>
      </c>
      <c r="C689" s="462" t="str">
        <f>IFERROR(LEFT(PV_DATA[[#This Row],[TCL REFERENCE]],FIND(".",PV_DATA[[#This Row],[TCL REFERENCE]],1)-1),"Main Line")</f>
        <v>26May010</v>
      </c>
      <c r="D689" s="462" t="s">
        <v>63</v>
      </c>
      <c r="E689" s="462" t="s">
        <v>64</v>
      </c>
      <c r="F689" s="462" t="str" cm="1">
        <f t="array" ref="F68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689" s="462" t="s">
        <v>402</v>
      </c>
      <c r="H689" s="462" t="s">
        <v>451</v>
      </c>
      <c r="I689" s="462" t="s">
        <v>689</v>
      </c>
      <c r="J689" s="430" t="s">
        <v>1832</v>
      </c>
      <c r="K689" s="430"/>
      <c r="L689" s="430"/>
      <c r="M689" s="430" t="s">
        <v>68</v>
      </c>
      <c r="N689" s="432">
        <v>46153</v>
      </c>
      <c r="O689" s="430" t="s">
        <v>4540</v>
      </c>
      <c r="P689" s="430" t="s">
        <v>1151</v>
      </c>
      <c r="Q689" s="430" t="s">
        <v>421</v>
      </c>
      <c r="R689" s="430" t="str">
        <f>_xlfn.XLOOKUP(PV_DATA[[#This Row],[New Ark SKU]],Table9[New Ark SKU],Table9[Connector],,0)</f>
        <v>EVO2A</v>
      </c>
      <c r="S689" s="442" t="str">
        <f>_xlfn.XLOOKUP(PV_DATA[[#This Row],[New Ark SKU]],Table9[New Ark SKU],Table9[Cable],,0)</f>
        <v>±1200mm</v>
      </c>
      <c r="T689" s="433">
        <v>505</v>
      </c>
      <c r="U689" s="1062">
        <v>864</v>
      </c>
      <c r="V689" s="434">
        <f>PV_DATA[[#This Row],[QUANTITY]]*PV_DATA[[#This Row],[WATT]]/1000000</f>
        <v>0.43631999999999999</v>
      </c>
      <c r="W689" s="435">
        <f>PV_DATA[[#This Row],[QUANTITY]]/PV_DATA[[#This Row],[Qty/Pallet]]</f>
        <v>24</v>
      </c>
      <c r="X689" s="1015">
        <f>PV_DATA[[#This Row],[QUANTITY]]/PV_DATA[[#This Row],[Qty/CT]]</f>
        <v>1</v>
      </c>
      <c r="Y689" s="430" t="s">
        <v>4368</v>
      </c>
      <c r="Z689" s="430" t="str">
        <f t="shared" si="7"/>
        <v>COMPLETED</v>
      </c>
      <c r="AA689" s="430"/>
      <c r="AB689" s="437">
        <v>46196</v>
      </c>
      <c r="AC689" s="485">
        <f>IF(PV_DATA[[#This Row],[Pick-Up Date]]&lt;&gt;"",_xlfn.ISOWEEKNUM(PV_DATA[[#This Row],[Pick-Up Date]]),"")</f>
        <v>26</v>
      </c>
      <c r="AD689" s="430" t="s">
        <v>5272</v>
      </c>
      <c r="AE689" s="430"/>
      <c r="AF689" s="430" t="s">
        <v>61</v>
      </c>
      <c r="AG689" s="430" t="s">
        <v>61</v>
      </c>
      <c r="AH689" s="430" t="s">
        <v>456</v>
      </c>
      <c r="AI689" s="437">
        <v>46201</v>
      </c>
      <c r="AK689" s="437">
        <v>46202</v>
      </c>
      <c r="AL689" s="437">
        <v>46264</v>
      </c>
      <c r="AM689" s="586">
        <f>IFERROR(VLOOKUP(AT689, Vessel!A:H, 8, FALSE), "")</f>
        <v>46274.999305555553</v>
      </c>
      <c r="AN689" s="586">
        <f>IF(VLOOKUP(AT689, Vessel!A:I, 9, FALSE)=0, "", VLOOKUP(AT689, Vessel!A:I, 9, FALSE))</f>
        <v>46275.009525462963</v>
      </c>
      <c r="AP689" s="430" t="s">
        <v>5261</v>
      </c>
      <c r="AQ689" s="430" t="s">
        <v>80</v>
      </c>
      <c r="AR689" s="430" t="s">
        <v>5273</v>
      </c>
      <c r="AS689" s="430" t="s">
        <v>5274</v>
      </c>
      <c r="AT689" s="430" t="s">
        <v>5274</v>
      </c>
      <c r="AU68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73.009525462963211</v>
      </c>
      <c r="AV689" s="437"/>
      <c r="AW689" s="437" cm="1">
        <f t="array" ref="AW68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46275.009525462963</v>
      </c>
      <c r="AX68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89" s="437">
        <f>IF(ISERROR(PV_DATA[[#This Row],[New Ark PO status]]),"",_xlfn.XLOOKUP(PV_DATA[[#This Row],[SPTN-PVHK New Ark PO'#]],New_Ark_Data[Purchase order Number],New_Ark_Data[Estimated time of arrival],"",0))</f>
        <v>46288</v>
      </c>
      <c r="AZ689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689" s="437">
        <f>IFERROR(PV_DATA[[#This Row],[ODP ETA Port]]+PV_DATA[[#This Row],[Customs/Leg3 Assumption]],"n/a")</f>
        <v>46282.009525462963</v>
      </c>
      <c r="BB689" s="433">
        <f>YEAR(PV_DATA[[#This Row],[ETA for New Ark update]])</f>
        <v>2026</v>
      </c>
      <c r="BC689" s="430">
        <f>MONTH(PV_DATA[[#This Row],[ETA for New Ark update]])</f>
        <v>9</v>
      </c>
      <c r="BD689" s="430">
        <f>IFERROR(_xlfn.ISOWEEKNUM(PV_DATA[[#This Row],[ETA for New Ark update]]),0)</f>
        <v>38</v>
      </c>
      <c r="BE689" s="430">
        <f>_xlfn.XLOOKUP(PV_DATA[[#This Row],[New Ark SKU]],Table9[New Ark SKU],Table9[Total PCS per Pallet],,0)</f>
        <v>36</v>
      </c>
      <c r="BF689" s="430">
        <f>_xlfn.XLOOKUP(PV_DATA[[#This Row],[New Ark SKU]],Table9[New Ark SKU],Table9[Total PCS per 40HQ Container],,0)</f>
        <v>864</v>
      </c>
      <c r="BG689" s="431" t="str">
        <f>_xlfn.XLOOKUP(PV_DATA[[#This Row],[New Ark SKU]],Table9[New Ark SKU],Table9[Back Glass],,0)</f>
        <v>Black glazing</v>
      </c>
      <c r="BH689" s="430" t="str">
        <f>_xlfn.XLOOKUP(PV_DATA[[#This Row],[PORT DESTINATION]],Table12[PORT DESTINATION],Table12[Cosco Line],,0)</f>
        <v>AEU</v>
      </c>
      <c r="BJ689" s="430"/>
    </row>
    <row r="690" spans="1:62" ht="10.5" hidden="1">
      <c r="A690" s="462" t="s">
        <v>5275</v>
      </c>
      <c r="B690" s="462" t="s">
        <v>111</v>
      </c>
      <c r="C690" s="462" t="str">
        <f>IFERROR(LEFT(PV_DATA[[#This Row],[TCL REFERENCE]],FIND(".",PV_DATA[[#This Row],[TCL REFERENCE]],1)-1),"Main Line")</f>
        <v>26May011</v>
      </c>
      <c r="D690" s="462" t="s">
        <v>63</v>
      </c>
      <c r="E690" s="462" t="s">
        <v>144</v>
      </c>
      <c r="F690" s="462" t="str" cm="1">
        <f t="array" ref="F69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90" s="462" t="s">
        <v>402</v>
      </c>
      <c r="H690" s="713" t="s">
        <v>5276</v>
      </c>
      <c r="I690" s="462" t="s">
        <v>689</v>
      </c>
      <c r="J690" s="430" t="s">
        <v>5277</v>
      </c>
      <c r="K690" s="430" t="s">
        <v>5278</v>
      </c>
      <c r="L690" s="430"/>
      <c r="M690" s="430" t="s">
        <v>4976</v>
      </c>
      <c r="N690" s="432">
        <v>46167</v>
      </c>
      <c r="O690" s="430" t="s">
        <v>4540</v>
      </c>
      <c r="P690" s="430" t="s">
        <v>4601</v>
      </c>
      <c r="Q690" s="430" t="s">
        <v>330</v>
      </c>
      <c r="R690" s="430" t="str">
        <f>_xlfn.XLOOKUP(PV_DATA[[#This Row],[New Ark SKU]],Table9[New Ark SKU],Table9[Connector],,0)</f>
        <v>H4(Com)</v>
      </c>
      <c r="S690" s="442" t="str">
        <f>_xlfn.XLOOKUP(PV_DATA[[#This Row],[New Ark SKU]],Table9[New Ark SKU],Table9[Cable],,0)</f>
        <v>+400mm/-200mm</v>
      </c>
      <c r="T690" s="433">
        <v>625</v>
      </c>
      <c r="U690" s="1062">
        <f>720*5</f>
        <v>3600</v>
      </c>
      <c r="V690" s="544">
        <f>PV_DATA[[#This Row],[QUANTITY]]*PV_DATA[[#This Row],[WATT]]/1000000</f>
        <v>2.25</v>
      </c>
      <c r="W690" s="435">
        <f>PV_DATA[[#This Row],[QUANTITY]]/PV_DATA[[#This Row],[Qty/Pallet]]</f>
        <v>100</v>
      </c>
      <c r="X690" s="1015">
        <f>PV_DATA[[#This Row],[QUANTITY]]/PV_DATA[[#This Row],[Qty/CT]]</f>
        <v>5</v>
      </c>
      <c r="Y690" s="430" t="s">
        <v>4370</v>
      </c>
      <c r="Z690" s="430" t="str">
        <f t="shared" si="7"/>
        <v>COMPLETED</v>
      </c>
      <c r="AA690" s="484" t="s">
        <v>5279</v>
      </c>
      <c r="AB690" s="543">
        <v>46202</v>
      </c>
      <c r="AC690" s="485">
        <f>IF(PV_DATA[[#This Row],[Pick-Up Date]]&lt;&gt;"",_xlfn.ISOWEEKNUM(PV_DATA[[#This Row],[Pick-Up Date]]),"")</f>
        <v>27</v>
      </c>
      <c r="AD690" s="435" t="s">
        <v>5280</v>
      </c>
      <c r="AE690" s="430"/>
      <c r="AF690" s="430" t="s">
        <v>1525</v>
      </c>
      <c r="AG690" s="430" t="s">
        <v>123</v>
      </c>
      <c r="AH690" s="430" t="s">
        <v>5281</v>
      </c>
      <c r="AI690" s="437">
        <v>46208</v>
      </c>
      <c r="AJ690" s="437">
        <v>46209</v>
      </c>
      <c r="AK690" s="437">
        <v>46209</v>
      </c>
      <c r="AL690" s="437">
        <v>46269</v>
      </c>
      <c r="AN690" s="586">
        <v>46264</v>
      </c>
      <c r="AP690" s="430" t="s">
        <v>5282</v>
      </c>
      <c r="AQ690" s="430" t="s">
        <v>161</v>
      </c>
      <c r="AR690" s="430" t="s">
        <v>5283</v>
      </c>
      <c r="AS690" s="430">
        <v>272152398</v>
      </c>
      <c r="AT690" s="430">
        <v>272152398</v>
      </c>
      <c r="AU69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55</v>
      </c>
      <c r="AV690" s="437"/>
      <c r="AW690" s="437" cm="1">
        <f t="array" ref="AW69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46264</v>
      </c>
      <c r="AX69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690" s="437" t="str">
        <f>IF(ISERROR(PV_DATA[[#This Row],[New Ark PO status]]),"",_xlfn.XLOOKUP(PV_DATA[[#This Row],[SPTN-PVHK New Ark PO'#]],New_Ark_Data[Purchase order Number],New_Ark_Data[Estimated time of arrival],"",0))</f>
        <v/>
      </c>
      <c r="AZ690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90" s="437">
        <f>IFERROR(PV_DATA[[#This Row],[ODP ETA Port]]+PV_DATA[[#This Row],[Customs/Leg3 Assumption]],"n/a")</f>
        <v>46264</v>
      </c>
      <c r="BB690" s="433">
        <f>YEAR(PV_DATA[[#This Row],[ETA for New Ark update]])</f>
        <v>2026</v>
      </c>
      <c r="BC690" s="430">
        <f>MONTH(PV_DATA[[#This Row],[ETA for New Ark update]])</f>
        <v>8</v>
      </c>
      <c r="BD690" s="430">
        <f>IFERROR(_xlfn.ISOWEEKNUM(PV_DATA[[#This Row],[ETA for New Ark update]]),0)</f>
        <v>35</v>
      </c>
      <c r="BE690" s="430">
        <f>_xlfn.XLOOKUP(PV_DATA[[#This Row],[New Ark SKU]],Table9[New Ark SKU],Table9[Total PCS per Pallet],,0)</f>
        <v>36</v>
      </c>
      <c r="BF690" s="430">
        <f>_xlfn.XLOOKUP(PV_DATA[[#This Row],[New Ark SKU]],Table9[New Ark SKU],Table9[Total PCS per 40HQ Container],,0)</f>
        <v>720</v>
      </c>
      <c r="BG690" s="431" t="str">
        <f>_xlfn.XLOOKUP(PV_DATA[[#This Row],[New Ark SKU]],Table9[New Ark SKU],Table9[Back Glass],,0)</f>
        <v>Transparent</v>
      </c>
      <c r="BH690" s="430" t="e">
        <f>_xlfn.XLOOKUP(PV_DATA[[#This Row],[PORT DESTINATION]],Table12[PORT DESTINATION],Table12[Cosco Line],,0)</f>
        <v>#N/A</v>
      </c>
      <c r="BJ690" s="430"/>
    </row>
    <row r="691" spans="1:62" ht="10.5" hidden="1">
      <c r="A691" s="462" t="s">
        <v>5284</v>
      </c>
      <c r="B691" s="462" t="s">
        <v>1757</v>
      </c>
      <c r="C691" s="462" t="str">
        <f>IFERROR(LEFT(PV_DATA[[#This Row],[TCL REFERENCE]],FIND(".",PV_DATA[[#This Row],[TCL REFERENCE]],1)-1),"Main Line")</f>
        <v>26Jun011</v>
      </c>
      <c r="D691" s="462" t="s">
        <v>63</v>
      </c>
      <c r="E691" s="462" t="s">
        <v>144</v>
      </c>
      <c r="F691" s="462" t="str" cm="1">
        <f t="array" ref="F69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91" s="462" t="s">
        <v>402</v>
      </c>
      <c r="H691" s="462" t="s">
        <v>1029</v>
      </c>
      <c r="I691" s="462" t="s">
        <v>689</v>
      </c>
      <c r="J691" s="430" t="s">
        <v>5165</v>
      </c>
      <c r="K691" s="430" t="s">
        <v>4888</v>
      </c>
      <c r="L691" s="430">
        <v>4</v>
      </c>
      <c r="M691" s="430" t="s">
        <v>840</v>
      </c>
      <c r="N691" s="432">
        <v>46195</v>
      </c>
      <c r="O691" s="430" t="s">
        <v>4540</v>
      </c>
      <c r="P691" s="430" t="s">
        <v>71</v>
      </c>
      <c r="Q691" s="430" t="s">
        <v>72</v>
      </c>
      <c r="R691" s="430" t="str">
        <f>_xlfn.XLOOKUP(PV_DATA[[#This Row],[New Ark SKU]],Table9[New Ark SKU],Table9[Connector],,0)</f>
        <v>EVO2A</v>
      </c>
      <c r="S691" s="442" t="str">
        <f>_xlfn.XLOOKUP(PV_DATA[[#This Row],[New Ark SKU]],Table9[New Ark SKU],Table9[Cable],,0)</f>
        <v>±1200mm</v>
      </c>
      <c r="T691" s="433">
        <v>500</v>
      </c>
      <c r="U691" s="1062">
        <v>2592</v>
      </c>
      <c r="V691" s="434">
        <f>PV_DATA[[#This Row],[QUANTITY]]*PV_DATA[[#This Row],[WATT]]/1000000</f>
        <v>1.296</v>
      </c>
      <c r="W691" s="435">
        <f>PV_DATA[[#This Row],[QUANTITY]]/PV_DATA[[#This Row],[Qty/Pallet]]</f>
        <v>72</v>
      </c>
      <c r="X691" s="1015">
        <f>PV_DATA[[#This Row],[QUANTITY]]/PV_DATA[[#This Row],[Qty/CT]]</f>
        <v>3</v>
      </c>
      <c r="Y691" s="430" t="s">
        <v>4369</v>
      </c>
      <c r="Z691" s="430" t="str">
        <f t="shared" ref="Z691:Z754" si="8">IF(AN691&lt;&gt;"","COMPLETED",IF(AK691&lt;&gt;"","IN-TRANSIT",""))</f>
        <v>COMPLETED</v>
      </c>
      <c r="AA691" s="430" t="s">
        <v>5285</v>
      </c>
      <c r="AB691" s="437">
        <v>46202</v>
      </c>
      <c r="AC691" s="485">
        <f>IF(PV_DATA[[#This Row],[Pick-Up Date]]&lt;&gt;"",_xlfn.ISOWEEKNUM(PV_DATA[[#This Row],[Pick-Up Date]]),"")</f>
        <v>27</v>
      </c>
      <c r="AD691" s="435" t="s">
        <v>5286</v>
      </c>
      <c r="AE691" s="435"/>
      <c r="AF691" s="459" t="s">
        <v>5043</v>
      </c>
      <c r="AG691" s="459" t="s">
        <v>123</v>
      </c>
      <c r="AH691" s="430" t="s">
        <v>888</v>
      </c>
      <c r="AI691" s="437">
        <v>46209</v>
      </c>
      <c r="AJ691" s="437">
        <v>46219</v>
      </c>
      <c r="AK691" s="437">
        <v>46219</v>
      </c>
      <c r="AL691" s="437">
        <v>46260</v>
      </c>
      <c r="AM691" s="586">
        <f>IFERROR(VLOOKUP(AT691, Vessel!A:H, 8, FALSE), "")</f>
        <v>46264.541666666664</v>
      </c>
      <c r="AN691" s="586">
        <v>46264</v>
      </c>
      <c r="AP691" s="430" t="s">
        <v>5287</v>
      </c>
      <c r="AQ691" s="430" t="s">
        <v>80</v>
      </c>
      <c r="AR691" s="430" t="s">
        <v>5288</v>
      </c>
      <c r="AS691" s="430" t="s">
        <v>5289</v>
      </c>
      <c r="AT691" s="430" t="s">
        <v>5289</v>
      </c>
      <c r="AU69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V691" s="437"/>
      <c r="AW691" s="437" cm="1">
        <f t="array" ref="AW69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46264</v>
      </c>
      <c r="AX69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91" s="437">
        <f>IF(ISERROR(PV_DATA[[#This Row],[New Ark PO status]]),"",_xlfn.XLOOKUP(PV_DATA[[#This Row],[SPTN-PVHK New Ark PO'#]],New_Ark_Data[Purchase order Number],New_Ark_Data[Estimated time of arrival],"",0))</f>
        <v>46260</v>
      </c>
      <c r="AZ691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91" s="437">
        <f>IFERROR(PV_DATA[[#This Row],[ODP ETA Port]]+PV_DATA[[#This Row],[Customs/Leg3 Assumption]],"n/a")</f>
        <v>46264</v>
      </c>
      <c r="BB691" s="433">
        <f>YEAR(PV_DATA[[#This Row],[ETA for New Ark update]])</f>
        <v>2026</v>
      </c>
      <c r="BC691" s="430">
        <f>MONTH(PV_DATA[[#This Row],[ETA for New Ark update]])</f>
        <v>8</v>
      </c>
      <c r="BD691" s="430">
        <f>IFERROR(_xlfn.ISOWEEKNUM(PV_DATA[[#This Row],[ETA for New Ark update]]),0)</f>
        <v>35</v>
      </c>
      <c r="BE691" s="430">
        <f>_xlfn.XLOOKUP(PV_DATA[[#This Row],[New Ark SKU]],Table9[New Ark SKU],Table9[Total PCS per Pallet],,0)</f>
        <v>36</v>
      </c>
      <c r="BF691" s="430">
        <f>_xlfn.XLOOKUP(PV_DATA[[#This Row],[New Ark SKU]],Table9[New Ark SKU],Table9[Total PCS per 40HQ Container],,0)</f>
        <v>864</v>
      </c>
      <c r="BG691" s="431" t="str">
        <f>_xlfn.XLOOKUP(PV_DATA[[#This Row],[New Ark SKU]],Table9[New Ark SKU],Table9[Back Glass],,0)</f>
        <v>Black glazing</v>
      </c>
      <c r="BH691" s="430" t="str">
        <f>_xlfn.XLOOKUP(PV_DATA[[#This Row],[PORT DESTINATION]],Table12[PORT DESTINATION],Table12[Cosco Line],,0)</f>
        <v>AEU</v>
      </c>
      <c r="BJ691" s="430"/>
    </row>
    <row r="692" spans="1:62" ht="10.5" hidden="1">
      <c r="A692" s="462" t="s">
        <v>5290</v>
      </c>
      <c r="B692" s="462" t="s">
        <v>111</v>
      </c>
      <c r="C692" s="462" t="str">
        <f>IFERROR(LEFT(PV_DATA[[#This Row],[TCL REFERENCE]],FIND(".",PV_DATA[[#This Row],[TCL REFERENCE]],1)-1),"Main Line")</f>
        <v>26May013</v>
      </c>
      <c r="D692" s="462" t="s">
        <v>63</v>
      </c>
      <c r="E692" s="462" t="s">
        <v>144</v>
      </c>
      <c r="F692" s="462" t="str" cm="1">
        <f t="array" ref="F69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92" s="462" t="s">
        <v>402</v>
      </c>
      <c r="H692" s="713" t="s">
        <v>1449</v>
      </c>
      <c r="I692" s="462" t="s">
        <v>822</v>
      </c>
      <c r="J692" s="430" t="s">
        <v>4600</v>
      </c>
      <c r="K692" s="430" t="s">
        <v>1451</v>
      </c>
      <c r="L692" s="430">
        <v>51</v>
      </c>
      <c r="M692" s="430" t="s">
        <v>840</v>
      </c>
      <c r="N692" s="432">
        <v>46181</v>
      </c>
      <c r="O692" s="430" t="s">
        <v>4540</v>
      </c>
      <c r="P692" s="430" t="s">
        <v>5050</v>
      </c>
      <c r="Q692" s="430" t="s">
        <v>1807</v>
      </c>
      <c r="R692" s="430" t="str">
        <f>_xlfn.XLOOKUP(PV_DATA[[#This Row],[New Ark SKU]],Table9[New Ark SKU],Table9[Connector],,0)</f>
        <v>H4(Com)</v>
      </c>
      <c r="S692" s="442" t="str">
        <f>_xlfn.XLOOKUP(PV_DATA[[#This Row],[New Ark SKU]],Table9[New Ark SKU],Table9[Cable],,0)</f>
        <v>+400mm/-200mm</v>
      </c>
      <c r="T692" s="433">
        <v>720</v>
      </c>
      <c r="U692" s="1062">
        <f>594*2</f>
        <v>1188</v>
      </c>
      <c r="V692" s="544">
        <f>PV_DATA[[#This Row],[QUANTITY]]*PV_DATA[[#This Row],[WATT]]/1000000</f>
        <v>0.85536000000000001</v>
      </c>
      <c r="W692" s="435">
        <f>PV_DATA[[#This Row],[QUANTITY]]/PV_DATA[[#This Row],[Qty/Pallet]]</f>
        <v>36</v>
      </c>
      <c r="X692" s="1015">
        <f>PV_DATA[[#This Row],[QUANTITY]]/PV_DATA[[#This Row],[Qty/CT]]</f>
        <v>2</v>
      </c>
      <c r="Y692" s="430" t="s">
        <v>4369</v>
      </c>
      <c r="Z692" s="430" t="str">
        <f t="shared" si="8"/>
        <v>COMPLETED</v>
      </c>
      <c r="AA692" s="430"/>
      <c r="AB692" s="437">
        <v>46202</v>
      </c>
      <c r="AC692" s="485">
        <f>IF(PV_DATA[[#This Row],[Pick-Up Date]]&lt;&gt;"",_xlfn.ISOWEEKNUM(PV_DATA[[#This Row],[Pick-Up Date]]),"")</f>
        <v>27</v>
      </c>
      <c r="AD692" s="435" t="s">
        <v>5291</v>
      </c>
      <c r="AE692" s="435"/>
      <c r="AF692" s="430" t="s">
        <v>122</v>
      </c>
      <c r="AG692" s="430" t="s">
        <v>123</v>
      </c>
      <c r="AH692" s="430" t="s">
        <v>105</v>
      </c>
      <c r="AI692" s="437">
        <v>46208</v>
      </c>
      <c r="AJ692" s="437">
        <v>46212</v>
      </c>
      <c r="AK692" s="437">
        <v>46212</v>
      </c>
      <c r="AL692" s="437">
        <v>46245</v>
      </c>
      <c r="AM692" s="586"/>
      <c r="AN692" s="586">
        <f>IFERROR(IF(VLOOKUP(AT692,Vessel!A:I,9,FALSE)=0,"",VLOOKUP(AT692,Vessel!A:I,9,FALSE)),"")</f>
        <v>46253.479062500002</v>
      </c>
      <c r="AP692" s="430" t="s">
        <v>5261</v>
      </c>
      <c r="AQ692" s="430" t="s">
        <v>80</v>
      </c>
      <c r="AR692" s="430" t="s">
        <v>5292</v>
      </c>
      <c r="AS692" s="430" t="s">
        <v>5293</v>
      </c>
      <c r="AT692" s="430" t="s">
        <v>5293</v>
      </c>
      <c r="AU69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41.479062500002328</v>
      </c>
      <c r="AV692" s="437"/>
      <c r="AW692" s="437" cm="1">
        <f t="array" ref="AW69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46253.479062500002</v>
      </c>
      <c r="AX69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92" s="437">
        <f>IF(ISERROR(PV_DATA[[#This Row],[New Ark PO status]]),"",_xlfn.XLOOKUP(PV_DATA[[#This Row],[SPTN-PVHK New Ark PO'#]],New_Ark_Data[Purchase order Number],New_Ark_Data[Estimated time of arrival],"",0))</f>
        <v>46245</v>
      </c>
      <c r="AZ692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92" s="437">
        <f>IFERROR(PV_DATA[[#This Row],[ODP ETA Port]]+PV_DATA[[#This Row],[Customs/Leg3 Assumption]],"n/a")</f>
        <v>46253.479062500002</v>
      </c>
      <c r="BB692" s="433">
        <f>YEAR(PV_DATA[[#This Row],[ETA for New Ark update]])</f>
        <v>2026</v>
      </c>
      <c r="BC692" s="430">
        <f>MONTH(PV_DATA[[#This Row],[ETA for New Ark update]])</f>
        <v>8</v>
      </c>
      <c r="BD692" s="430">
        <f>IFERROR(_xlfn.ISOWEEKNUM(PV_DATA[[#This Row],[ETA for New Ark update]]),0)</f>
        <v>34</v>
      </c>
      <c r="BE692" s="430">
        <f>_xlfn.XLOOKUP(PV_DATA[[#This Row],[New Ark SKU]],Table9[New Ark SKU],Table9[Total PCS per Pallet],,0)</f>
        <v>33</v>
      </c>
      <c r="BF692" s="430">
        <f>_xlfn.XLOOKUP(PV_DATA[[#This Row],[New Ark SKU]],Table9[New Ark SKU],Table9[Total PCS per 40HQ Container],,0)</f>
        <v>594</v>
      </c>
      <c r="BG692" s="431" t="str">
        <f>_xlfn.XLOOKUP(PV_DATA[[#This Row],[New Ark SKU]],Table9[New Ark SKU],Table9[Back Glass],,0)</f>
        <v>Transparent</v>
      </c>
      <c r="BH692" s="430" t="str">
        <f>_xlfn.XLOOKUP(PV_DATA[[#This Row],[PORT DESTINATION]],Table12[PORT DESTINATION],Table12[Cosco Line],,0)</f>
        <v>AEU</v>
      </c>
      <c r="BJ692" s="430"/>
    </row>
    <row r="693" spans="1:62" ht="10.5" hidden="1">
      <c r="A693" s="462" t="s">
        <v>5294</v>
      </c>
      <c r="B693" s="462" t="s">
        <v>111</v>
      </c>
      <c r="C693" s="462" t="str">
        <f>IFERROR(LEFT(PV_DATA[[#This Row],[TCL REFERENCE]],FIND(".",PV_DATA[[#This Row],[TCL REFERENCE]],1)-1),"Main Line")</f>
        <v>26May014</v>
      </c>
      <c r="D693" s="462" t="s">
        <v>63</v>
      </c>
      <c r="E693" s="462" t="s">
        <v>144</v>
      </c>
      <c r="F693" s="462" t="str" cm="1">
        <f t="array" ref="F69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93" s="462" t="s">
        <v>402</v>
      </c>
      <c r="H693" s="713" t="s">
        <v>1449</v>
      </c>
      <c r="I693" s="462" t="s">
        <v>689</v>
      </c>
      <c r="J693" s="430" t="s">
        <v>4600</v>
      </c>
      <c r="K693" s="430" t="s">
        <v>1451</v>
      </c>
      <c r="L693" s="430">
        <v>35</v>
      </c>
      <c r="M693" s="430" t="s">
        <v>840</v>
      </c>
      <c r="N693" s="432">
        <v>46181</v>
      </c>
      <c r="O693" s="430" t="s">
        <v>4540</v>
      </c>
      <c r="P693" s="430" t="s">
        <v>5066</v>
      </c>
      <c r="Q693" s="430" t="s">
        <v>1484</v>
      </c>
      <c r="R693" s="430" t="str">
        <f>_xlfn.XLOOKUP(PV_DATA[[#This Row],[New Ark SKU]],Table9[New Ark SKU],Table9[Connector],,0)</f>
        <v>H4(Com)</v>
      </c>
      <c r="S693" s="442" t="str">
        <f>_xlfn.XLOOKUP(PV_DATA[[#This Row],[New Ark SKU]],Table9[New Ark SKU],Table9[Cable],,0)</f>
        <v>+400mm/-200mm</v>
      </c>
      <c r="T693" s="433">
        <v>725</v>
      </c>
      <c r="U693" s="1062">
        <v>5346</v>
      </c>
      <c r="V693" s="544">
        <f>PV_DATA[[#This Row],[QUANTITY]]*PV_DATA[[#This Row],[WATT]]/1000000</f>
        <v>3.8758499999999998</v>
      </c>
      <c r="W693" s="435">
        <f>PV_DATA[[#This Row],[QUANTITY]]/PV_DATA[[#This Row],[Qty/Pallet]]</f>
        <v>162</v>
      </c>
      <c r="X693" s="1015">
        <f>PV_DATA[[#This Row],[QUANTITY]]/PV_DATA[[#This Row],[Qty/CT]]</f>
        <v>9</v>
      </c>
      <c r="Y693" s="430" t="s">
        <v>4368</v>
      </c>
      <c r="Z693" s="430" t="str">
        <f t="shared" si="8"/>
        <v>COMPLETED</v>
      </c>
      <c r="AA693" s="430" t="s">
        <v>5067</v>
      </c>
      <c r="AB693" s="437">
        <v>46202</v>
      </c>
      <c r="AC693" s="485">
        <f>IF(PV_DATA[[#This Row],[Pick-Up Date]]&lt;&gt;"",_xlfn.ISOWEEKNUM(PV_DATA[[#This Row],[Pick-Up Date]]),"")</f>
        <v>27</v>
      </c>
      <c r="AD693" s="435" t="s">
        <v>5295</v>
      </c>
      <c r="AE693" s="435"/>
      <c r="AF693" s="430" t="s">
        <v>122</v>
      </c>
      <c r="AG693" s="430" t="s">
        <v>123</v>
      </c>
      <c r="AH693" s="430" t="s">
        <v>105</v>
      </c>
      <c r="AI693" s="437">
        <v>46208</v>
      </c>
      <c r="AJ693" s="437">
        <v>46212</v>
      </c>
      <c r="AK693" s="437">
        <v>46212</v>
      </c>
      <c r="AL693" s="437">
        <v>46245</v>
      </c>
      <c r="AM693" s="586"/>
      <c r="AN693" s="586">
        <f>IFERROR(IF(VLOOKUP(AT693,Vessel!A:I,9,FALSE)=0,"",VLOOKUP(AT693,Vessel!A:I,9,FALSE)),"")</f>
        <v>46253.479062500002</v>
      </c>
      <c r="AP693" s="430" t="s">
        <v>5261</v>
      </c>
      <c r="AQ693" s="430" t="s">
        <v>80</v>
      </c>
      <c r="AR693" s="430" t="s">
        <v>5292</v>
      </c>
      <c r="AS693" s="430" t="s">
        <v>5293</v>
      </c>
      <c r="AT693" s="430" t="s">
        <v>5293</v>
      </c>
      <c r="AU69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41.479062500002328</v>
      </c>
      <c r="AV693" s="437"/>
      <c r="AW693" s="437" cm="1">
        <f t="array" ref="AW69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46253.479062500002</v>
      </c>
      <c r="AX69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93" s="437">
        <f>IF(ISERROR(PV_DATA[[#This Row],[New Ark PO status]]),"",_xlfn.XLOOKUP(PV_DATA[[#This Row],[SPTN-PVHK New Ark PO'#]],New_Ark_Data[Purchase order Number],New_Ark_Data[Estimated time of arrival],"",0))</f>
        <v>46245</v>
      </c>
      <c r="AZ693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93" s="437">
        <f>IFERROR(PV_DATA[[#This Row],[ODP ETA Port]]+PV_DATA[[#This Row],[Customs/Leg3 Assumption]],"n/a")</f>
        <v>46253.479062500002</v>
      </c>
      <c r="BB693" s="433">
        <f>YEAR(PV_DATA[[#This Row],[ETA for New Ark update]])</f>
        <v>2026</v>
      </c>
      <c r="BC693" s="430">
        <f>MONTH(PV_DATA[[#This Row],[ETA for New Ark update]])</f>
        <v>8</v>
      </c>
      <c r="BD693" s="430">
        <f>IFERROR(_xlfn.ISOWEEKNUM(PV_DATA[[#This Row],[ETA for New Ark update]]),0)</f>
        <v>34</v>
      </c>
      <c r="BE693" s="430">
        <f>_xlfn.XLOOKUP(PV_DATA[[#This Row],[New Ark SKU]],Table9[New Ark SKU],Table9[Total PCS per Pallet],,0)</f>
        <v>33</v>
      </c>
      <c r="BF693" s="430">
        <f>_xlfn.XLOOKUP(PV_DATA[[#This Row],[New Ark SKU]],Table9[New Ark SKU],Table9[Total PCS per 40HQ Container],,0)</f>
        <v>594</v>
      </c>
      <c r="BG693" s="431" t="str">
        <f>_xlfn.XLOOKUP(PV_DATA[[#This Row],[New Ark SKU]],Table9[New Ark SKU],Table9[Back Glass],,0)</f>
        <v>Transparent</v>
      </c>
      <c r="BH693" s="430" t="str">
        <f>_xlfn.XLOOKUP(PV_DATA[[#This Row],[PORT DESTINATION]],Table12[PORT DESTINATION],Table12[Cosco Line],,0)</f>
        <v>AEU</v>
      </c>
      <c r="BJ693" s="430"/>
    </row>
    <row r="694" spans="1:62" ht="10.5" hidden="1">
      <c r="A694" s="462" t="s">
        <v>5296</v>
      </c>
      <c r="B694" s="462" t="s">
        <v>111</v>
      </c>
      <c r="C694" s="462" t="str">
        <f>IFERROR(LEFT(PV_DATA[[#This Row],[TCL REFERENCE]],FIND(".",PV_DATA[[#This Row],[TCL REFERENCE]],1)-1),"Main Line")</f>
        <v>26May013</v>
      </c>
      <c r="D694" s="462" t="s">
        <v>63</v>
      </c>
      <c r="E694" s="462" t="s">
        <v>144</v>
      </c>
      <c r="F694" s="462" t="str" cm="1">
        <f t="array" ref="F69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94" s="462" t="s">
        <v>402</v>
      </c>
      <c r="H694" s="713" t="s">
        <v>1449</v>
      </c>
      <c r="I694" s="462" t="s">
        <v>822</v>
      </c>
      <c r="J694" s="430" t="s">
        <v>4600</v>
      </c>
      <c r="K694" s="430" t="s">
        <v>1451</v>
      </c>
      <c r="L694" s="430">
        <v>29</v>
      </c>
      <c r="M694" s="430" t="s">
        <v>840</v>
      </c>
      <c r="N694" s="432">
        <v>46181</v>
      </c>
      <c r="O694" s="430" t="s">
        <v>4540</v>
      </c>
      <c r="P694" s="430" t="s">
        <v>5050</v>
      </c>
      <c r="Q694" s="430" t="s">
        <v>1807</v>
      </c>
      <c r="R694" s="430" t="str">
        <f>_xlfn.XLOOKUP(PV_DATA[[#This Row],[New Ark SKU]],Table9[New Ark SKU],Table9[Connector],,0)</f>
        <v>H4(Com)</v>
      </c>
      <c r="S694" s="442" t="str">
        <f>_xlfn.XLOOKUP(PV_DATA[[#This Row],[New Ark SKU]],Table9[New Ark SKU],Table9[Cable],,0)</f>
        <v>+400mm/-200mm</v>
      </c>
      <c r="T694" s="433">
        <v>720</v>
      </c>
      <c r="U694" s="1062">
        <v>4752</v>
      </c>
      <c r="V694" s="544">
        <f>PV_DATA[[#This Row],[QUANTITY]]*PV_DATA[[#This Row],[WATT]]/1000000</f>
        <v>3.42144</v>
      </c>
      <c r="W694" s="435">
        <f>PV_DATA[[#This Row],[QUANTITY]]/PV_DATA[[#This Row],[Qty/Pallet]]</f>
        <v>144</v>
      </c>
      <c r="X694" s="1015">
        <f>PV_DATA[[#This Row],[QUANTITY]]/PV_DATA[[#This Row],[Qty/CT]]</f>
        <v>8</v>
      </c>
      <c r="Y694" s="430" t="s">
        <v>4368</v>
      </c>
      <c r="Z694" s="430" t="str">
        <f t="shared" si="8"/>
        <v>COMPLETED</v>
      </c>
      <c r="AA694" s="430" t="s">
        <v>5047</v>
      </c>
      <c r="AB694" s="437">
        <v>46200</v>
      </c>
      <c r="AC694" s="485">
        <f>IF(PV_DATA[[#This Row],[Pick-Up Date]]&lt;&gt;"",_xlfn.ISOWEEKNUM(PV_DATA[[#This Row],[Pick-Up Date]]),"")</f>
        <v>26</v>
      </c>
      <c r="AD694" s="435" t="s">
        <v>5297</v>
      </c>
      <c r="AE694" s="435"/>
      <c r="AF694" s="430" t="s">
        <v>122</v>
      </c>
      <c r="AG694" s="430" t="s">
        <v>123</v>
      </c>
      <c r="AH694" s="430" t="s">
        <v>105</v>
      </c>
      <c r="AI694" s="437">
        <v>46208</v>
      </c>
      <c r="AJ694" s="437">
        <v>46212</v>
      </c>
      <c r="AK694" s="437">
        <v>46212</v>
      </c>
      <c r="AL694" s="437">
        <v>46256</v>
      </c>
      <c r="AM694" s="586"/>
      <c r="AN694" s="586">
        <f>IFERROR(IF(VLOOKUP(AT694,Vessel!A:I,9,FALSE)=0,"",VLOOKUP(AT694,Vessel!A:I,9,FALSE)),"")</f>
        <v>46253.479062500002</v>
      </c>
      <c r="AP694" s="430" t="s">
        <v>5298</v>
      </c>
      <c r="AQ694" s="430" t="s">
        <v>80</v>
      </c>
      <c r="AR694" s="430" t="s">
        <v>5299</v>
      </c>
      <c r="AS694" s="430" t="s">
        <v>5300</v>
      </c>
      <c r="AT694" s="430" t="s">
        <v>5300</v>
      </c>
      <c r="AU69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41.479062500002328</v>
      </c>
      <c r="AV694" s="437"/>
      <c r="AW694" s="437" cm="1">
        <f t="array" ref="AW69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46253.479062500002</v>
      </c>
      <c r="AX69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94" s="437">
        <f>IF(ISERROR(PV_DATA[[#This Row],[New Ark PO status]]),"",_xlfn.XLOOKUP(PV_DATA[[#This Row],[SPTN-PVHK New Ark PO'#]],New_Ark_Data[Purchase order Number],New_Ark_Data[Estimated time of arrival],"",0))</f>
        <v>46256</v>
      </c>
      <c r="AZ694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94" s="437">
        <f>IFERROR(PV_DATA[[#This Row],[ODP ETA Port]]+PV_DATA[[#This Row],[Customs/Leg3 Assumption]],"n/a")</f>
        <v>46253.479062500002</v>
      </c>
      <c r="BB694" s="433">
        <f>YEAR(PV_DATA[[#This Row],[ETA for New Ark update]])</f>
        <v>2026</v>
      </c>
      <c r="BC694" s="430">
        <f>MONTH(PV_DATA[[#This Row],[ETA for New Ark update]])</f>
        <v>8</v>
      </c>
      <c r="BD694" s="430">
        <f>IFERROR(_xlfn.ISOWEEKNUM(PV_DATA[[#This Row],[ETA for New Ark update]]),0)</f>
        <v>34</v>
      </c>
      <c r="BE694" s="430">
        <f>_xlfn.XLOOKUP(PV_DATA[[#This Row],[New Ark SKU]],Table9[New Ark SKU],Table9[Total PCS per Pallet],,0)</f>
        <v>33</v>
      </c>
      <c r="BF694" s="430">
        <f>_xlfn.XLOOKUP(PV_DATA[[#This Row],[New Ark SKU]],Table9[New Ark SKU],Table9[Total PCS per 40HQ Container],,0)</f>
        <v>594</v>
      </c>
      <c r="BG694" s="431" t="str">
        <f>_xlfn.XLOOKUP(PV_DATA[[#This Row],[New Ark SKU]],Table9[New Ark SKU],Table9[Back Glass],,0)</f>
        <v>Transparent</v>
      </c>
      <c r="BH694" s="430" t="str">
        <f>_xlfn.XLOOKUP(PV_DATA[[#This Row],[PORT DESTINATION]],Table12[PORT DESTINATION],Table12[Cosco Line],,0)</f>
        <v>AEU</v>
      </c>
      <c r="BJ694" s="430"/>
    </row>
    <row r="695" spans="1:62" ht="10.5" hidden="1">
      <c r="A695" s="462" t="s">
        <v>5301</v>
      </c>
      <c r="B695" s="462" t="s">
        <v>111</v>
      </c>
      <c r="C695" s="462" t="str">
        <f>IFERROR(LEFT(PV_DATA[[#This Row],[TCL REFERENCE]],FIND(".",PV_DATA[[#This Row],[TCL REFERENCE]],1)-1),"Main Line")</f>
        <v>26May013</v>
      </c>
      <c r="D695" s="462" t="s">
        <v>63</v>
      </c>
      <c r="E695" s="462" t="s">
        <v>144</v>
      </c>
      <c r="F695" s="462" t="str" cm="1">
        <f t="array" ref="F69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695" s="462" t="s">
        <v>402</v>
      </c>
      <c r="H695" s="713" t="s">
        <v>1449</v>
      </c>
      <c r="I695" s="462" t="s">
        <v>822</v>
      </c>
      <c r="J695" s="430" t="s">
        <v>4600</v>
      </c>
      <c r="K695" s="430" t="s">
        <v>1451</v>
      </c>
      <c r="L695" s="430">
        <v>38</v>
      </c>
      <c r="M695" s="430" t="s">
        <v>840</v>
      </c>
      <c r="N695" s="432">
        <v>46181</v>
      </c>
      <c r="O695" s="430" t="s">
        <v>4540</v>
      </c>
      <c r="P695" s="430" t="s">
        <v>5050</v>
      </c>
      <c r="Q695" s="430" t="s">
        <v>1807</v>
      </c>
      <c r="R695" s="430" t="str">
        <f>_xlfn.XLOOKUP(PV_DATA[[#This Row],[New Ark SKU]],Table9[New Ark SKU],Table9[Connector],,0)</f>
        <v>H4(Com)</v>
      </c>
      <c r="S695" s="442" t="str">
        <f>_xlfn.XLOOKUP(PV_DATA[[#This Row],[New Ark SKU]],Table9[New Ark SKU],Table9[Cable],,0)</f>
        <v>+400mm/-200mm</v>
      </c>
      <c r="T695" s="433">
        <v>720</v>
      </c>
      <c r="U695" s="1062">
        <v>2970</v>
      </c>
      <c r="V695" s="434">
        <f>PV_DATA[[#This Row],[QUANTITY]]*PV_DATA[[#This Row],[WATT]]/1000000</f>
        <v>2.1383999999999999</v>
      </c>
      <c r="W695" s="435">
        <f>PV_DATA[[#This Row],[QUANTITY]]/PV_DATA[[#This Row],[Qty/Pallet]]</f>
        <v>90</v>
      </c>
      <c r="X695" s="1015">
        <v>5</v>
      </c>
      <c r="Y695" s="430" t="s">
        <v>4369</v>
      </c>
      <c r="Z695" s="430" t="str">
        <f t="shared" si="8"/>
        <v>COMPLETED</v>
      </c>
      <c r="AA695" s="430"/>
      <c r="AB695" s="437">
        <v>46201</v>
      </c>
      <c r="AC695" s="485">
        <f>IF(PV_DATA[[#This Row],[Pick-Up Date]]&lt;&gt;"",_xlfn.ISOWEEKNUM(PV_DATA[[#This Row],[Pick-Up Date]]),"")</f>
        <v>26</v>
      </c>
      <c r="AD695" s="430" t="s">
        <v>5302</v>
      </c>
      <c r="AE695" s="430"/>
      <c r="AF695" s="430" t="s">
        <v>122</v>
      </c>
      <c r="AG695" s="430" t="s">
        <v>123</v>
      </c>
      <c r="AH695" s="430" t="s">
        <v>105</v>
      </c>
      <c r="AI695" s="437">
        <v>46209</v>
      </c>
      <c r="AJ695" s="437">
        <v>46219</v>
      </c>
      <c r="AK695" s="437">
        <v>46219</v>
      </c>
      <c r="AL695" s="437">
        <v>46246</v>
      </c>
      <c r="AM695" s="586">
        <f>IFERROR(VLOOKUP(AT695, Vessel!A:H, 8, FALSE), "")</f>
        <v>46260.5</v>
      </c>
      <c r="AN695" s="586">
        <v>46260</v>
      </c>
      <c r="AP695" s="430" t="s">
        <v>5303</v>
      </c>
      <c r="AQ695" s="430" t="s">
        <v>80</v>
      </c>
      <c r="AR695" s="430" t="s">
        <v>5304</v>
      </c>
      <c r="AS695" s="430" t="s">
        <v>5305</v>
      </c>
      <c r="AT695" s="430" t="s">
        <v>5305</v>
      </c>
      <c r="AU69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V695" s="437"/>
      <c r="AW695" s="437" cm="1">
        <f t="array" ref="AW69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46260</v>
      </c>
      <c r="AX69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695" s="437">
        <f>IF(ISERROR(PV_DATA[[#This Row],[New Ark PO status]]),"",_xlfn.XLOOKUP(PV_DATA[[#This Row],[SPTN-PVHK New Ark PO'#]],New_Ark_Data[Purchase order Number],New_Ark_Data[Estimated time of arrival],"",0))</f>
        <v>46246</v>
      </c>
      <c r="AZ695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695" s="437">
        <f>IFERROR(PV_DATA[[#This Row],[ODP ETA Port]]+PV_DATA[[#This Row],[Customs/Leg3 Assumption]],"n/a")</f>
        <v>46260</v>
      </c>
      <c r="BB695" s="433">
        <f>YEAR(PV_DATA[[#This Row],[ETA for New Ark update]])</f>
        <v>2026</v>
      </c>
      <c r="BC695" s="430">
        <f>MONTH(PV_DATA[[#This Row],[ETA for New Ark update]])</f>
        <v>8</v>
      </c>
      <c r="BD695" s="430">
        <f>IFERROR(_xlfn.ISOWEEKNUM(PV_DATA[[#This Row],[ETA for New Ark update]]),0)</f>
        <v>35</v>
      </c>
      <c r="BE695" s="430">
        <f>_xlfn.XLOOKUP(PV_DATA[[#This Row],[New Ark SKU]],Table9[New Ark SKU],Table9[Total PCS per Pallet],,0)</f>
        <v>33</v>
      </c>
      <c r="BF695" s="430">
        <f>_xlfn.XLOOKUP(PV_DATA[[#This Row],[New Ark SKU]],Table9[New Ark SKU],Table9[Total PCS per 40HQ Container],,0)</f>
        <v>594</v>
      </c>
      <c r="BG695" s="431" t="str">
        <f>_xlfn.XLOOKUP(PV_DATA[[#This Row],[New Ark SKU]],Table9[New Ark SKU],Table9[Back Glass],,0)</f>
        <v>Transparent</v>
      </c>
      <c r="BH695" s="430" t="str">
        <f>_xlfn.XLOOKUP(PV_DATA[[#This Row],[PORT DESTINATION]],Table12[PORT DESTINATION],Table12[Cosco Line],,0)</f>
        <v>AEU</v>
      </c>
      <c r="BJ695" s="430"/>
    </row>
    <row r="696" spans="1:62" ht="13.5" hidden="1" customHeight="1">
      <c r="A696" s="462" t="s">
        <v>5306</v>
      </c>
      <c r="B696" s="462" t="s">
        <v>111</v>
      </c>
      <c r="C696" s="462" t="str">
        <f>IFERROR(LEFT(PV_DATA[[#This Row],[TCL REFERENCE]],FIND(".",PV_DATA[[#This Row],[TCL REFERENCE]],1)-1),"Main Line")</f>
        <v>26Jun002</v>
      </c>
      <c r="D696" s="462" t="s">
        <v>63</v>
      </c>
      <c r="E696" s="462" t="s">
        <v>64</v>
      </c>
      <c r="F696" s="462" t="str" cm="1">
        <f t="array" ref="F69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696" s="462" t="s">
        <v>402</v>
      </c>
      <c r="H696" s="462" t="s">
        <v>311</v>
      </c>
      <c r="I696" s="462" t="s">
        <v>689</v>
      </c>
      <c r="J696" s="430" t="s">
        <v>96</v>
      </c>
      <c r="K696" s="430"/>
      <c r="L696" s="430"/>
      <c r="M696" s="430" t="s">
        <v>68</v>
      </c>
      <c r="N696" s="432">
        <v>46197</v>
      </c>
      <c r="O696" s="430" t="s">
        <v>550</v>
      </c>
      <c r="P696" s="430" t="s">
        <v>2134</v>
      </c>
      <c r="Q696" s="430" t="s">
        <v>2135</v>
      </c>
      <c r="R696" s="430" t="str">
        <f>_xlfn.XLOOKUP(PV_DATA[[#This Row],[New Ark SKU]],Table9[New Ark SKU],Table9[Connector],,0)</f>
        <v>EVO2A</v>
      </c>
      <c r="S696" s="442" t="str">
        <f>_xlfn.XLOOKUP(PV_DATA[[#This Row],[New Ark SKU]],Table9[New Ark SKU],Table9[Cable],,0)</f>
        <v>±1350mm</v>
      </c>
      <c r="T696" s="433">
        <v>515</v>
      </c>
      <c r="U696" s="1062">
        <f>792*2</f>
        <v>1584</v>
      </c>
      <c r="V696" s="434">
        <f>PV_DATA[[#This Row],[QUANTITY]]*PV_DATA[[#This Row],[WATT]]/1000000</f>
        <v>0.81576000000000004</v>
      </c>
      <c r="W696" s="435">
        <f>PV_DATA[[#This Row],[QUANTITY]]/PV_DATA[[#This Row],[Qty/Pallet]]</f>
        <v>44</v>
      </c>
      <c r="X696" s="1015">
        <f>PV_DATA[[#This Row],[QUANTITY]]/PV_DATA[[#This Row],[Qty/CT]]</f>
        <v>2</v>
      </c>
      <c r="Y696" s="430" t="s">
        <v>4369</v>
      </c>
      <c r="Z696" s="430" t="str">
        <f t="shared" si="8"/>
        <v>COMPLETED</v>
      </c>
      <c r="AA696" s="430" t="s">
        <v>5307</v>
      </c>
      <c r="AB696" s="437">
        <v>46208</v>
      </c>
      <c r="AC696" s="485">
        <f>IF(PV_DATA[[#This Row],[Pick-Up Date]]&lt;&gt;"",_xlfn.ISOWEEKNUM(PV_DATA[[#This Row],[Pick-Up Date]]),"")</f>
        <v>27</v>
      </c>
      <c r="AD696" s="430" t="s">
        <v>5308</v>
      </c>
      <c r="AE696" s="430"/>
      <c r="AF696" s="430" t="s">
        <v>122</v>
      </c>
      <c r="AG696" s="430" t="s">
        <v>123</v>
      </c>
      <c r="AH696" s="430" t="s">
        <v>314</v>
      </c>
      <c r="AI696" s="437">
        <v>46217</v>
      </c>
      <c r="AJ696" s="437">
        <v>46226</v>
      </c>
      <c r="AK696" s="437">
        <v>46227</v>
      </c>
      <c r="AL696" s="956">
        <v>46260</v>
      </c>
      <c r="AM696" s="1124">
        <f>IFERROR(VLOOKUP(AT696, Vessel!A:H, 8, FALSE), "")</f>
        <v>46274.333333333336</v>
      </c>
      <c r="AN696" s="586">
        <f>IF(VLOOKUP(AT696, Vessel!A:I, 9, FALSE)=0, "", VLOOKUP(AT696, Vessel!A:I, 9, FALSE))</f>
        <v>46274.416041666664</v>
      </c>
      <c r="AP696" s="430" t="s">
        <v>5309</v>
      </c>
      <c r="AQ696" s="430" t="s">
        <v>80</v>
      </c>
      <c r="AR696" s="430" t="s">
        <v>5310</v>
      </c>
      <c r="AS696" s="430" t="s">
        <v>5311</v>
      </c>
      <c r="AT696" s="430" t="s">
        <v>5311</v>
      </c>
      <c r="AU69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47.416041666663659</v>
      </c>
      <c r="AV696" s="437"/>
      <c r="AW696" s="437" cm="1">
        <f t="array" ref="AW69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46274.416041666664</v>
      </c>
      <c r="AX69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96" s="437">
        <f>IF(ISERROR(PV_DATA[[#This Row],[New Ark PO status]]),"",_xlfn.XLOOKUP(PV_DATA[[#This Row],[SPTN-PVHK New Ark PO'#]],New_Ark_Data[Purchase order Number],New_Ark_Data[Estimated time of arrival],"",0))</f>
        <v>46288</v>
      </c>
      <c r="AZ696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696" s="437">
        <f>IFERROR(PV_DATA[[#This Row],[ODP ETA Port]]+PV_DATA[[#This Row],[Customs/Leg3 Assumption]],"n/a")</f>
        <v>46284.416041666664</v>
      </c>
      <c r="BB696" s="433">
        <f>YEAR(PV_DATA[[#This Row],[ETA for New Ark update]])</f>
        <v>2026</v>
      </c>
      <c r="BC696" s="430">
        <f>MONTH(PV_DATA[[#This Row],[ETA for New Ark update]])</f>
        <v>9</v>
      </c>
      <c r="BD696" s="430">
        <f>IFERROR(_xlfn.ISOWEEKNUM(PV_DATA[[#This Row],[ETA for New Ark update]]),0)</f>
        <v>38</v>
      </c>
      <c r="BE696" s="430">
        <f>_xlfn.XLOOKUP(PV_DATA[[#This Row],[New Ark SKU]],Table9[New Ark SKU],Table9[Total PCS per Pallet],,0)</f>
        <v>36</v>
      </c>
      <c r="BF696" s="430">
        <f>_xlfn.XLOOKUP(PV_DATA[[#This Row],[New Ark SKU]],Table9[New Ark SKU],Table9[Total PCS per 40HQ Container],,0)</f>
        <v>792</v>
      </c>
      <c r="BG696" s="431" t="str">
        <f>_xlfn.XLOOKUP(PV_DATA[[#This Row],[New Ark SKU]],Table9[New Ark SKU],Table9[Back Glass],,0)</f>
        <v>Black glazing</v>
      </c>
      <c r="BH696" s="430" t="str">
        <f>_xlfn.XLOOKUP(PV_DATA[[#This Row],[PORT DESTINATION]],Table12[PORT DESTINATION],Table12[Cosco Line],,0)</f>
        <v>AEM</v>
      </c>
      <c r="BJ696" s="430"/>
    </row>
    <row r="697" spans="1:62" ht="12.75" hidden="1" customHeight="1">
      <c r="A697" s="462" t="s">
        <v>5312</v>
      </c>
      <c r="B697" s="462" t="s">
        <v>111</v>
      </c>
      <c r="C697" s="462" t="str">
        <f>IFERROR(LEFT(PV_DATA[[#This Row],[TCL REFERENCE]],FIND(".",PV_DATA[[#This Row],[TCL REFERENCE]],1)-1),"Main Line")</f>
        <v>26Jun002</v>
      </c>
      <c r="D697" s="462" t="s">
        <v>63</v>
      </c>
      <c r="E697" s="462" t="s">
        <v>64</v>
      </c>
      <c r="F697" s="462" t="str" cm="1">
        <f t="array" ref="F69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697" s="462" t="s">
        <v>402</v>
      </c>
      <c r="H697" s="462" t="s">
        <v>311</v>
      </c>
      <c r="I697" s="462" t="s">
        <v>689</v>
      </c>
      <c r="J697" s="430" t="s">
        <v>96</v>
      </c>
      <c r="K697" s="430"/>
      <c r="L697" s="430"/>
      <c r="M697" s="430" t="s">
        <v>68</v>
      </c>
      <c r="N697" s="432">
        <v>46196</v>
      </c>
      <c r="O697" s="430" t="s">
        <v>550</v>
      </c>
      <c r="P697" s="430" t="s">
        <v>2134</v>
      </c>
      <c r="Q697" s="430" t="s">
        <v>2135</v>
      </c>
      <c r="R697" s="430" t="str">
        <f>_xlfn.XLOOKUP(PV_DATA[[#This Row],[New Ark SKU]],Table9[New Ark SKU],Table9[Connector],,0)</f>
        <v>EVO2A</v>
      </c>
      <c r="S697" s="442" t="str">
        <f>_xlfn.XLOOKUP(PV_DATA[[#This Row],[New Ark SKU]],Table9[New Ark SKU],Table9[Cable],,0)</f>
        <v>±1350mm</v>
      </c>
      <c r="T697" s="433">
        <v>515</v>
      </c>
      <c r="U697" s="1062">
        <f>792*3</f>
        <v>2376</v>
      </c>
      <c r="V697" s="434">
        <f>PV_DATA[[#This Row],[QUANTITY]]*PV_DATA[[#This Row],[WATT]]/1000000</f>
        <v>1.2236400000000001</v>
      </c>
      <c r="W697" s="435">
        <f>PV_DATA[[#This Row],[QUANTITY]]/PV_DATA[[#This Row],[Qty/Pallet]]</f>
        <v>66</v>
      </c>
      <c r="X697" s="1015">
        <f>PV_DATA[[#This Row],[QUANTITY]]/PV_DATA[[#This Row],[Qty/CT]]</f>
        <v>3</v>
      </c>
      <c r="Y697" s="430" t="s">
        <v>4369</v>
      </c>
      <c r="Z697" s="430" t="str">
        <f t="shared" si="8"/>
        <v>COMPLETED</v>
      </c>
      <c r="AA697" s="430" t="s">
        <v>5313</v>
      </c>
      <c r="AB697" s="437">
        <v>46208</v>
      </c>
      <c r="AC697" s="485">
        <f>IF(PV_DATA[[#This Row],[Pick-Up Date]]&lt;&gt;"",_xlfn.ISOWEEKNUM(PV_DATA[[#This Row],[Pick-Up Date]]),"")</f>
        <v>27</v>
      </c>
      <c r="AD697" s="430" t="s">
        <v>5314</v>
      </c>
      <c r="AE697" s="430"/>
      <c r="AF697" s="430" t="s">
        <v>122</v>
      </c>
      <c r="AG697" s="430" t="s">
        <v>123</v>
      </c>
      <c r="AH697" s="430" t="s">
        <v>314</v>
      </c>
      <c r="AI697" s="437">
        <v>46217</v>
      </c>
      <c r="AJ697" s="437">
        <v>46226</v>
      </c>
      <c r="AK697" s="437">
        <v>46227</v>
      </c>
      <c r="AL697" s="956">
        <v>46260</v>
      </c>
      <c r="AM697" s="1124">
        <f>IFERROR(VLOOKUP(AT697, Vessel!A:H, 8, FALSE), "")</f>
        <v>46274.333333333336</v>
      </c>
      <c r="AN697" s="586">
        <f>IF(VLOOKUP(AT697, Vessel!A:I, 9, FALSE)=0, "", VLOOKUP(AT697, Vessel!A:I, 9, FALSE))</f>
        <v>46274.416041666664</v>
      </c>
      <c r="AP697" s="430" t="s">
        <v>5309</v>
      </c>
      <c r="AQ697" s="430" t="s">
        <v>80</v>
      </c>
      <c r="AR697" s="430" t="s">
        <v>5310</v>
      </c>
      <c r="AS697" s="430" t="s">
        <v>5311</v>
      </c>
      <c r="AT697" s="430" t="s">
        <v>5311</v>
      </c>
      <c r="AU69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47.416041666663659</v>
      </c>
      <c r="AV697" s="437"/>
      <c r="AW697" s="437" cm="1">
        <f t="array" ref="AW69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46274.416041666664</v>
      </c>
      <c r="AX69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97" s="437">
        <f>IF(ISERROR(PV_DATA[[#This Row],[New Ark PO status]]),"",_xlfn.XLOOKUP(PV_DATA[[#This Row],[SPTN-PVHK New Ark PO'#]],New_Ark_Data[Purchase order Number],New_Ark_Data[Estimated time of arrival],"",0))</f>
        <v>46288</v>
      </c>
      <c r="AZ697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697" s="437">
        <f>IFERROR(PV_DATA[[#This Row],[ODP ETA Port]]+PV_DATA[[#This Row],[Customs/Leg3 Assumption]],"n/a")</f>
        <v>46284.416041666664</v>
      </c>
      <c r="BB697" s="433">
        <f>YEAR(PV_DATA[[#This Row],[ETA for New Ark update]])</f>
        <v>2026</v>
      </c>
      <c r="BC697" s="430">
        <f>MONTH(PV_DATA[[#This Row],[ETA for New Ark update]])</f>
        <v>9</v>
      </c>
      <c r="BD697" s="430">
        <f>IFERROR(_xlfn.ISOWEEKNUM(PV_DATA[[#This Row],[ETA for New Ark update]]),0)</f>
        <v>38</v>
      </c>
      <c r="BE697" s="430">
        <f>_xlfn.XLOOKUP(PV_DATA[[#This Row],[New Ark SKU]],Table9[New Ark SKU],Table9[Total PCS per Pallet],,0)</f>
        <v>36</v>
      </c>
      <c r="BF697" s="430">
        <f>_xlfn.XLOOKUP(PV_DATA[[#This Row],[New Ark SKU]],Table9[New Ark SKU],Table9[Total PCS per 40HQ Container],,0)</f>
        <v>792</v>
      </c>
      <c r="BG697" s="431" t="str">
        <f>_xlfn.XLOOKUP(PV_DATA[[#This Row],[New Ark SKU]],Table9[New Ark SKU],Table9[Back Glass],,0)</f>
        <v>Black glazing</v>
      </c>
      <c r="BH697" s="430" t="str">
        <f>_xlfn.XLOOKUP(PV_DATA[[#This Row],[PORT DESTINATION]],Table12[PORT DESTINATION],Table12[Cosco Line],,0)</f>
        <v>AEM</v>
      </c>
      <c r="BJ697" s="430"/>
    </row>
    <row r="698" spans="1:62" ht="10.5" hidden="1">
      <c r="A698" s="462" t="s">
        <v>5315</v>
      </c>
      <c r="B698" s="462" t="s">
        <v>5212</v>
      </c>
      <c r="C698" s="462" t="str">
        <f>IFERROR(LEFT(PV_DATA[[#This Row],[TCL REFERENCE]],FIND(".",PV_DATA[[#This Row],[TCL REFERENCE]],1)-1),"Main Line")</f>
        <v>26Jun007</v>
      </c>
      <c r="D698" s="462" t="s">
        <v>63</v>
      </c>
      <c r="E698" s="462" t="s">
        <v>64</v>
      </c>
      <c r="F698" s="462" t="str" cm="1">
        <f t="array" ref="F69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98" s="462" t="s">
        <v>402</v>
      </c>
      <c r="H698" s="462" t="s">
        <v>67</v>
      </c>
      <c r="I698" s="462" t="s">
        <v>689</v>
      </c>
      <c r="J698" s="430" t="s">
        <v>1047</v>
      </c>
      <c r="K698" s="430"/>
      <c r="L698" s="430"/>
      <c r="M698" s="430" t="s">
        <v>68</v>
      </c>
      <c r="N698" s="432">
        <v>46188</v>
      </c>
      <c r="O698" s="430" t="s">
        <v>4540</v>
      </c>
      <c r="P698" s="430" t="s">
        <v>5111</v>
      </c>
      <c r="Q698" s="430" t="s">
        <v>103</v>
      </c>
      <c r="R698" s="430" t="str">
        <f>_xlfn.XLOOKUP(PV_DATA[[#This Row],[New Ark SKU]],Table9[New Ark SKU],Table9[Connector],,0)</f>
        <v>H4(Com)</v>
      </c>
      <c r="S698" s="442" t="str">
        <f>_xlfn.XLOOKUP(PV_DATA[[#This Row],[New Ark SKU]],Table9[New Ark SKU],Table9[Cable],,0)</f>
        <v>±1400mm</v>
      </c>
      <c r="T698" s="433">
        <v>620</v>
      </c>
      <c r="U698" s="1062">
        <f>720*6</f>
        <v>4320</v>
      </c>
      <c r="V698" s="434">
        <f>PV_DATA[[#This Row],[QUANTITY]]*PV_DATA[[#This Row],[WATT]]/1000000</f>
        <v>2.6783999999999999</v>
      </c>
      <c r="W698" s="435">
        <f>PV_DATA[[#This Row],[QUANTITY]]/PV_DATA[[#This Row],[Qty/Pallet]]</f>
        <v>120</v>
      </c>
      <c r="X698" s="1015">
        <f>PV_DATA[[#This Row],[QUANTITY]]/PV_DATA[[#This Row],[Qty/CT]]</f>
        <v>6</v>
      </c>
      <c r="Y698" s="430" t="s">
        <v>4369</v>
      </c>
      <c r="Z698" s="430" t="str">
        <f t="shared" si="8"/>
        <v>COMPLETED</v>
      </c>
      <c r="AA698" s="430" t="s">
        <v>5316</v>
      </c>
      <c r="AB698" s="437">
        <v>46210</v>
      </c>
      <c r="AC698" s="485">
        <f>IF(PV_DATA[[#This Row],[Pick-Up Date]]&lt;&gt;"",_xlfn.ISOWEEKNUM(PV_DATA[[#This Row],[Pick-Up Date]]),"")</f>
        <v>28</v>
      </c>
      <c r="AD698" s="430" t="s">
        <v>5317</v>
      </c>
      <c r="AE698" s="430"/>
      <c r="AF698" s="430" t="s">
        <v>122</v>
      </c>
      <c r="AG698" s="430" t="s">
        <v>123</v>
      </c>
      <c r="AH698" s="430" t="s">
        <v>78</v>
      </c>
      <c r="AI698" s="437">
        <v>46217</v>
      </c>
      <c r="AJ698" s="437">
        <v>46226</v>
      </c>
      <c r="AK698" s="437">
        <v>46227</v>
      </c>
      <c r="AL698" s="437">
        <v>46265</v>
      </c>
      <c r="AM698" s="586">
        <f>IFERROR(VLOOKUP(AT698, Vessel!A:H, 8, FALSE), "")</f>
        <v>46278.083333333336</v>
      </c>
      <c r="AN698" s="586">
        <f>IF(VLOOKUP(AT698, Vessel!A:I, 9, FALSE)=0, "", VLOOKUP(AT698, Vessel!A:I, 9, FALSE))</f>
        <v>46278.186840277776</v>
      </c>
      <c r="AP698" s="430" t="s">
        <v>5309</v>
      </c>
      <c r="AQ698" s="430" t="s">
        <v>80</v>
      </c>
      <c r="AR698" s="430" t="s">
        <v>5318</v>
      </c>
      <c r="AS698" s="430" t="s">
        <v>5319</v>
      </c>
      <c r="AT698" s="430" t="s">
        <v>5319</v>
      </c>
      <c r="AU69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51.186840277776355</v>
      </c>
      <c r="AV698" s="437"/>
      <c r="AW698" s="437" cm="1">
        <f t="array" ref="AW69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46278.186840277776</v>
      </c>
      <c r="AX69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98" s="437">
        <f>IF(ISERROR(PV_DATA[[#This Row],[New Ark PO status]]),"",_xlfn.XLOOKUP(PV_DATA[[#This Row],[SPTN-PVHK New Ark PO'#]],New_Ark_Data[Purchase order Number],New_Ark_Data[Estimated time of arrival],"",0))</f>
        <v>46290</v>
      </c>
      <c r="AZ698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98" s="437">
        <f>IFERROR(PV_DATA[[#This Row],[ODP ETA Port]]+PV_DATA[[#This Row],[Customs/Leg3 Assumption]],"n/a")</f>
        <v>46286.186840277776</v>
      </c>
      <c r="BB698" s="433">
        <f>YEAR(PV_DATA[[#This Row],[ETA for New Ark update]])</f>
        <v>2026</v>
      </c>
      <c r="BC698" s="430">
        <f>MONTH(PV_DATA[[#This Row],[ETA for New Ark update]])</f>
        <v>9</v>
      </c>
      <c r="BD698" s="430">
        <f>IFERROR(_xlfn.ISOWEEKNUM(PV_DATA[[#This Row],[ETA for New Ark update]]),0)</f>
        <v>39</v>
      </c>
      <c r="BE698" s="430">
        <f>_xlfn.XLOOKUP(PV_DATA[[#This Row],[New Ark SKU]],Table9[New Ark SKU],Table9[Total PCS per Pallet],,0)</f>
        <v>36</v>
      </c>
      <c r="BF698" s="430">
        <f>_xlfn.XLOOKUP(PV_DATA[[#This Row],[New Ark SKU]],Table9[New Ark SKU],Table9[Total PCS per 40HQ Container],,0)</f>
        <v>720</v>
      </c>
      <c r="BG698" s="431" t="str">
        <f>_xlfn.XLOOKUP(PV_DATA[[#This Row],[New Ark SKU]],Table9[New Ark SKU],Table9[Back Glass],,0)</f>
        <v>Transparent</v>
      </c>
      <c r="BH698" s="430" t="str">
        <f>_xlfn.XLOOKUP(PV_DATA[[#This Row],[PORT DESTINATION]],Table12[PORT DESTINATION],Table12[Cosco Line],,0)</f>
        <v>AEM</v>
      </c>
      <c r="BJ698" s="430"/>
    </row>
    <row r="699" spans="1:62" ht="10.5" hidden="1">
      <c r="A699" s="462" t="s">
        <v>5320</v>
      </c>
      <c r="B699" s="462" t="s">
        <v>5212</v>
      </c>
      <c r="C699" s="462" t="str">
        <f>IFERROR(LEFT(PV_DATA[[#This Row],[TCL REFERENCE]],FIND(".",PV_DATA[[#This Row],[TCL REFERENCE]],1)-1),"Main Line")</f>
        <v>26Jun007</v>
      </c>
      <c r="D699" s="462" t="s">
        <v>63</v>
      </c>
      <c r="E699" s="462" t="s">
        <v>64</v>
      </c>
      <c r="F699" s="462" t="str" cm="1">
        <f t="array" ref="F69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699" s="462" t="s">
        <v>402</v>
      </c>
      <c r="H699" s="462" t="s">
        <v>67</v>
      </c>
      <c r="I699" s="462" t="s">
        <v>689</v>
      </c>
      <c r="J699" s="430" t="s">
        <v>1047</v>
      </c>
      <c r="K699" s="430"/>
      <c r="L699" s="430"/>
      <c r="M699" s="430" t="s">
        <v>68</v>
      </c>
      <c r="N699" s="432">
        <v>46188</v>
      </c>
      <c r="O699" s="430" t="s">
        <v>4540</v>
      </c>
      <c r="P699" s="430" t="s">
        <v>5111</v>
      </c>
      <c r="Q699" s="430" t="s">
        <v>103</v>
      </c>
      <c r="R699" s="430" t="str">
        <f>_xlfn.XLOOKUP(PV_DATA[[#This Row],[New Ark SKU]],Table9[New Ark SKU],Table9[Connector],,0)</f>
        <v>H4(Com)</v>
      </c>
      <c r="S699" s="442" t="str">
        <f>_xlfn.XLOOKUP(PV_DATA[[#This Row],[New Ark SKU]],Table9[New Ark SKU],Table9[Cable],,0)</f>
        <v>±1400mm</v>
      </c>
      <c r="T699" s="433">
        <v>620</v>
      </c>
      <c r="U699" s="1062">
        <v>2880</v>
      </c>
      <c r="V699" s="434">
        <f>PV_DATA[[#This Row],[QUANTITY]]*PV_DATA[[#This Row],[WATT]]/1000000</f>
        <v>1.7856000000000001</v>
      </c>
      <c r="W699" s="435">
        <f>PV_DATA[[#This Row],[QUANTITY]]/PV_DATA[[#This Row],[Qty/Pallet]]</f>
        <v>80</v>
      </c>
      <c r="X699" s="1015">
        <f>PV_DATA[[#This Row],[QUANTITY]]/PV_DATA[[#This Row],[Qty/CT]]</f>
        <v>4</v>
      </c>
      <c r="Y699" s="430" t="s">
        <v>4368</v>
      </c>
      <c r="Z699" s="430" t="str">
        <f t="shared" si="8"/>
        <v>COMPLETED</v>
      </c>
      <c r="AA699" s="430" t="s">
        <v>5316</v>
      </c>
      <c r="AB699" s="437">
        <v>46210</v>
      </c>
      <c r="AC699" s="485">
        <f>IF(PV_DATA[[#This Row],[Pick-Up Date]]&lt;&gt;"",_xlfn.ISOWEEKNUM(PV_DATA[[#This Row],[Pick-Up Date]]),"")</f>
        <v>28</v>
      </c>
      <c r="AD699" s="430" t="s">
        <v>5321</v>
      </c>
      <c r="AE699" s="430"/>
      <c r="AF699" s="430" t="s">
        <v>122</v>
      </c>
      <c r="AG699" s="430" t="s">
        <v>123</v>
      </c>
      <c r="AH699" s="430" t="s">
        <v>78</v>
      </c>
      <c r="AI699" s="437">
        <v>46217</v>
      </c>
      <c r="AJ699" s="437">
        <v>46226</v>
      </c>
      <c r="AK699" s="437">
        <v>46227</v>
      </c>
      <c r="AL699" s="437">
        <v>46265</v>
      </c>
      <c r="AM699" s="586">
        <f>IFERROR(VLOOKUP(AT699, Vessel!A:H, 8, FALSE), "")</f>
        <v>46278.083333333336</v>
      </c>
      <c r="AN699" s="586">
        <f>IF(VLOOKUP(AT699, Vessel!A:I, 9, FALSE)=0, "", VLOOKUP(AT699, Vessel!A:I, 9, FALSE))</f>
        <v>46278.186840277776</v>
      </c>
      <c r="AP699" s="430" t="s">
        <v>5309</v>
      </c>
      <c r="AQ699" s="430" t="s">
        <v>80</v>
      </c>
      <c r="AR699" s="430" t="s">
        <v>5318</v>
      </c>
      <c r="AS699" s="430" t="s">
        <v>5319</v>
      </c>
      <c r="AT699" s="430" t="s">
        <v>5319</v>
      </c>
      <c r="AU69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51.186840277776355</v>
      </c>
      <c r="AV699" s="437"/>
      <c r="AW699" s="437" cm="1">
        <f t="array" ref="AW69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46278.186840277776</v>
      </c>
      <c r="AX69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699" s="437">
        <f>IF(ISERROR(PV_DATA[[#This Row],[New Ark PO status]]),"",_xlfn.XLOOKUP(PV_DATA[[#This Row],[SPTN-PVHK New Ark PO'#]],New_Ark_Data[Purchase order Number],New_Ark_Data[Estimated time of arrival],"",0))</f>
        <v>46290</v>
      </c>
      <c r="AZ699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699" s="437">
        <f>IFERROR(PV_DATA[[#This Row],[ODP ETA Port]]+PV_DATA[[#This Row],[Customs/Leg3 Assumption]],"n/a")</f>
        <v>46286.186840277776</v>
      </c>
      <c r="BB699" s="433">
        <f>YEAR(PV_DATA[[#This Row],[ETA for New Ark update]])</f>
        <v>2026</v>
      </c>
      <c r="BC699" s="430">
        <f>MONTH(PV_DATA[[#This Row],[ETA for New Ark update]])</f>
        <v>9</v>
      </c>
      <c r="BD699" s="430">
        <f>IFERROR(_xlfn.ISOWEEKNUM(PV_DATA[[#This Row],[ETA for New Ark update]]),0)</f>
        <v>39</v>
      </c>
      <c r="BE699" s="430">
        <f>_xlfn.XLOOKUP(PV_DATA[[#This Row],[New Ark SKU]],Table9[New Ark SKU],Table9[Total PCS per Pallet],,0)</f>
        <v>36</v>
      </c>
      <c r="BF699" s="430">
        <f>_xlfn.XLOOKUP(PV_DATA[[#This Row],[New Ark SKU]],Table9[New Ark SKU],Table9[Total PCS per 40HQ Container],,0)</f>
        <v>720</v>
      </c>
      <c r="BG699" s="431" t="str">
        <f>_xlfn.XLOOKUP(PV_DATA[[#This Row],[New Ark SKU]],Table9[New Ark SKU],Table9[Back Glass],,0)</f>
        <v>Transparent</v>
      </c>
      <c r="BH699" s="430" t="str">
        <f>_xlfn.XLOOKUP(PV_DATA[[#This Row],[PORT DESTINATION]],Table12[PORT DESTINATION],Table12[Cosco Line],,0)</f>
        <v>AEM</v>
      </c>
      <c r="BJ699" s="430"/>
    </row>
    <row r="700" spans="1:62" ht="10.5" hidden="1">
      <c r="A700" s="462" t="s">
        <v>5322</v>
      </c>
      <c r="B700" s="462" t="s">
        <v>111</v>
      </c>
      <c r="C700" s="462" t="str">
        <f>IFERROR(LEFT(PV_DATA[[#This Row],[TCL REFERENCE]],FIND(".",PV_DATA[[#This Row],[TCL REFERENCE]],1)-1),"Main Line")</f>
        <v>26Jul001</v>
      </c>
      <c r="D700" s="462" t="s">
        <v>63</v>
      </c>
      <c r="E700" s="462" t="s">
        <v>64</v>
      </c>
      <c r="F700" s="462" t="str" cm="1">
        <f t="array" ref="F70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00" s="462" t="s">
        <v>402</v>
      </c>
      <c r="H700" s="462" t="s">
        <v>67</v>
      </c>
      <c r="I700" s="462" t="s">
        <v>882</v>
      </c>
      <c r="J700" s="430" t="s">
        <v>96</v>
      </c>
      <c r="K700" s="430"/>
      <c r="L700" s="430"/>
      <c r="M700" s="430" t="s">
        <v>68</v>
      </c>
      <c r="N700" s="432">
        <v>46209</v>
      </c>
      <c r="O700" s="430" t="s">
        <v>550</v>
      </c>
      <c r="P700" s="430" t="s">
        <v>551</v>
      </c>
      <c r="Q700" s="430" t="s">
        <v>2151</v>
      </c>
      <c r="R700" s="430" t="str">
        <f>_xlfn.XLOOKUP(PV_DATA[[#This Row],[New Ark SKU]],Table9[New Ark SKU],Table9[Connector],,0)</f>
        <v>EVO2A</v>
      </c>
      <c r="S700" s="442" t="str">
        <f>_xlfn.XLOOKUP(PV_DATA[[#This Row],[New Ark SKU]],Table9[New Ark SKU],Table9[Cable],,0)</f>
        <v>±1350mm</v>
      </c>
      <c r="T700" s="433">
        <v>510</v>
      </c>
      <c r="U700" s="1062">
        <v>792</v>
      </c>
      <c r="V700" s="434">
        <f>PV_DATA[[#This Row],[QUANTITY]]*PV_DATA[[#This Row],[WATT]]/1000000</f>
        <v>0.40392</v>
      </c>
      <c r="W700" s="435">
        <f>PV_DATA[[#This Row],[QUANTITY]]/PV_DATA[[#This Row],[Qty/Pallet]]</f>
        <v>22</v>
      </c>
      <c r="X700" s="1015">
        <f>PV_DATA[[#This Row],[QUANTITY]]/PV_DATA[[#This Row],[Qty/CT]]</f>
        <v>1</v>
      </c>
      <c r="Y700" s="430" t="s">
        <v>4371</v>
      </c>
      <c r="Z700" s="430" t="str">
        <f t="shared" si="8"/>
        <v>COMPLETED</v>
      </c>
      <c r="AA700" s="430"/>
      <c r="AB700" s="437">
        <v>46211</v>
      </c>
      <c r="AC700" s="485">
        <f>IF(PV_DATA[[#This Row],[Pick-Up Date]]&lt;&gt;"",_xlfn.ISOWEEKNUM(PV_DATA[[#This Row],[Pick-Up Date]]),"")</f>
        <v>28</v>
      </c>
      <c r="AD700" s="430" t="s">
        <v>5323</v>
      </c>
      <c r="AE700" s="430"/>
      <c r="AF700" s="430" t="s">
        <v>122</v>
      </c>
      <c r="AG700" s="430" t="s">
        <v>123</v>
      </c>
      <c r="AH700" s="430" t="s">
        <v>78</v>
      </c>
      <c r="AI700" s="437">
        <v>46217</v>
      </c>
      <c r="AJ700" s="437">
        <v>46226</v>
      </c>
      <c r="AK700" s="437">
        <v>46227</v>
      </c>
      <c r="AL700" s="956">
        <v>46265</v>
      </c>
      <c r="AM700" s="1124">
        <f>IFERROR(VLOOKUP(AT700, Vessel!A:H, 8, FALSE), "")</f>
        <v>46278.083333333336</v>
      </c>
      <c r="AN700" s="586">
        <f>IF(VLOOKUP(AT700, Vessel!A:I, 9, FALSE)=0, "", VLOOKUP(AT700, Vessel!A:I, 9, FALSE))</f>
        <v>46278.186840277776</v>
      </c>
      <c r="AP700" s="430" t="s">
        <v>5309</v>
      </c>
      <c r="AQ700" s="430" t="s">
        <v>80</v>
      </c>
      <c r="AR700" s="430" t="s">
        <v>5318</v>
      </c>
      <c r="AS700" s="430" t="s">
        <v>5319</v>
      </c>
      <c r="AT700" s="430" t="s">
        <v>5319</v>
      </c>
      <c r="AU70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51.186840277776355</v>
      </c>
      <c r="AV700" s="437"/>
      <c r="AW700" s="437" cm="1">
        <f t="array" ref="AW70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46278.186840277776</v>
      </c>
      <c r="AX70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00" s="437">
        <f>IF(ISERROR(PV_DATA[[#This Row],[New Ark PO status]]),"",_xlfn.XLOOKUP(PV_DATA[[#This Row],[SPTN-PVHK New Ark PO'#]],New_Ark_Data[Purchase order Number],New_Ark_Data[Estimated time of arrival],"",0))</f>
        <v>46290</v>
      </c>
      <c r="AZ700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00" s="437">
        <f>IFERROR(PV_DATA[[#This Row],[ODP ETA Port]]+PV_DATA[[#This Row],[Customs/Leg3 Assumption]],"n/a")</f>
        <v>46286.186840277776</v>
      </c>
      <c r="BB700" s="433">
        <f>YEAR(PV_DATA[[#This Row],[ETA for New Ark update]])</f>
        <v>2026</v>
      </c>
      <c r="BC700" s="430">
        <f>MONTH(PV_DATA[[#This Row],[ETA for New Ark update]])</f>
        <v>9</v>
      </c>
      <c r="BD700" s="430">
        <f>IFERROR(_xlfn.ISOWEEKNUM(PV_DATA[[#This Row],[ETA for New Ark update]]),0)</f>
        <v>39</v>
      </c>
      <c r="BE700" s="430">
        <f>_xlfn.XLOOKUP(PV_DATA[[#This Row],[New Ark SKU]],Table9[New Ark SKU],Table9[Total PCS per Pallet],,0)</f>
        <v>36</v>
      </c>
      <c r="BF700" s="430">
        <f>_xlfn.XLOOKUP(PV_DATA[[#This Row],[New Ark SKU]],Table9[New Ark SKU],Table9[Total PCS per 40HQ Container],,0)</f>
        <v>792</v>
      </c>
      <c r="BG700" s="431" t="str">
        <f>_xlfn.XLOOKUP(PV_DATA[[#This Row],[New Ark SKU]],Table9[New Ark SKU],Table9[Back Glass],,0)</f>
        <v>Black glazing</v>
      </c>
      <c r="BH700" s="610" t="str">
        <f>_xlfn.XLOOKUP(PV_DATA[[#This Row],[PORT DESTINATION]],Table12[PORT DESTINATION],Table12[Cosco Line],,0)</f>
        <v>AEM</v>
      </c>
      <c r="BJ700" s="430"/>
    </row>
    <row r="701" spans="1:62" ht="10.5" hidden="1">
      <c r="A701" s="462" t="s">
        <v>5324</v>
      </c>
      <c r="B701" s="462" t="s">
        <v>111</v>
      </c>
      <c r="C701" s="462" t="str">
        <f>IFERROR(LEFT(PV_DATA[[#This Row],[TCL REFERENCE]],FIND(".",PV_DATA[[#This Row],[TCL REFERENCE]],1)-1),"Main Line")</f>
        <v>26Jun001</v>
      </c>
      <c r="D701" s="462" t="s">
        <v>63</v>
      </c>
      <c r="E701" s="462" t="s">
        <v>64</v>
      </c>
      <c r="F701" s="462" t="str" cm="1">
        <f t="array" ref="F70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01" s="462" t="s">
        <v>402</v>
      </c>
      <c r="H701" s="462" t="s">
        <v>67</v>
      </c>
      <c r="I701" s="462" t="s">
        <v>689</v>
      </c>
      <c r="J701" s="430" t="s">
        <v>96</v>
      </c>
      <c r="K701" s="430"/>
      <c r="L701" s="430"/>
      <c r="M701" s="430" t="s">
        <v>68</v>
      </c>
      <c r="N701" s="432">
        <v>46189</v>
      </c>
      <c r="O701" s="430" t="s">
        <v>550</v>
      </c>
      <c r="P701" s="430" t="s">
        <v>551</v>
      </c>
      <c r="Q701" s="430" t="s">
        <v>2151</v>
      </c>
      <c r="R701" s="430" t="str">
        <f>_xlfn.XLOOKUP(PV_DATA[[#This Row],[New Ark SKU]],Table9[New Ark SKU],Table9[Connector],,0)</f>
        <v>EVO2A</v>
      </c>
      <c r="S701" s="442" t="str">
        <f>_xlfn.XLOOKUP(PV_DATA[[#This Row],[New Ark SKU]],Table9[New Ark SKU],Table9[Cable],,0)</f>
        <v>±1350mm</v>
      </c>
      <c r="T701" s="433">
        <v>510</v>
      </c>
      <c r="U701" s="1062">
        <v>1584</v>
      </c>
      <c r="V701" s="434">
        <f>PV_DATA[[#This Row],[QUANTITY]]*PV_DATA[[#This Row],[WATT]]/1000000</f>
        <v>0.80784</v>
      </c>
      <c r="W701" s="435">
        <f>PV_DATA[[#This Row],[QUANTITY]]/PV_DATA[[#This Row],[Qty/Pallet]]</f>
        <v>44</v>
      </c>
      <c r="X701" s="1015">
        <v>2</v>
      </c>
      <c r="Y701" s="430" t="s">
        <v>4369</v>
      </c>
      <c r="Z701" s="430" t="str">
        <f t="shared" si="8"/>
        <v>COMPLETED</v>
      </c>
      <c r="AA701" s="430" t="s">
        <v>5313</v>
      </c>
      <c r="AB701" s="437">
        <v>46208</v>
      </c>
      <c r="AC701" s="485">
        <f>IF(PV_DATA[[#This Row],[Pick-Up Date]]&lt;&gt;"",_xlfn.ISOWEEKNUM(PV_DATA[[#This Row],[Pick-Up Date]]),"")</f>
        <v>27</v>
      </c>
      <c r="AD701" s="430" t="s">
        <v>5325</v>
      </c>
      <c r="AE701" s="430"/>
      <c r="AF701" s="430" t="s">
        <v>122</v>
      </c>
      <c r="AG701" s="430" t="s">
        <v>123</v>
      </c>
      <c r="AH701" s="430" t="s">
        <v>78</v>
      </c>
      <c r="AI701" s="437">
        <v>46217</v>
      </c>
      <c r="AJ701" s="437">
        <v>46226</v>
      </c>
      <c r="AK701" s="437">
        <v>46227</v>
      </c>
      <c r="AL701" s="956">
        <v>46265</v>
      </c>
      <c r="AM701" s="1124">
        <f>IFERROR(VLOOKUP(AT701, Vessel!A:H, 8, FALSE), "")</f>
        <v>46278.083333333336</v>
      </c>
      <c r="AN701" s="586">
        <f>IF(VLOOKUP(AT701, Vessel!A:I, 9, FALSE)=0, "", VLOOKUP(AT701, Vessel!A:I, 9, FALSE))</f>
        <v>46278.186840277776</v>
      </c>
      <c r="AP701" s="430" t="s">
        <v>5309</v>
      </c>
      <c r="AQ701" s="615" t="s">
        <v>80</v>
      </c>
      <c r="AR701" s="430" t="s">
        <v>5318</v>
      </c>
      <c r="AS701" s="430" t="s">
        <v>5319</v>
      </c>
      <c r="AT701" s="430" t="s">
        <v>5319</v>
      </c>
      <c r="AU70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51.186840277776355</v>
      </c>
      <c r="AV701" s="437"/>
      <c r="AW701" s="437" cm="1">
        <f t="array" ref="AW70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46278.186840277776</v>
      </c>
      <c r="AX70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01" s="437">
        <f>IF(ISERROR(PV_DATA[[#This Row],[New Ark PO status]]),"",_xlfn.XLOOKUP(PV_DATA[[#This Row],[SPTN-PVHK New Ark PO'#]],New_Ark_Data[Purchase order Number],New_Ark_Data[Estimated time of arrival],"",0))</f>
        <v>46290</v>
      </c>
      <c r="AZ701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01" s="437">
        <f>IFERROR(PV_DATA[[#This Row],[ODP ETA Port]]+PV_DATA[[#This Row],[Customs/Leg3 Assumption]],"n/a")</f>
        <v>46286.186840277776</v>
      </c>
      <c r="BB701" s="433">
        <f>YEAR(PV_DATA[[#This Row],[ETA for New Ark update]])</f>
        <v>2026</v>
      </c>
      <c r="BC701" s="430">
        <f>MONTH(PV_DATA[[#This Row],[ETA for New Ark update]])</f>
        <v>9</v>
      </c>
      <c r="BD701" s="430">
        <f>IFERROR(_xlfn.ISOWEEKNUM(PV_DATA[[#This Row],[ETA for New Ark update]]),0)</f>
        <v>39</v>
      </c>
      <c r="BE701" s="430">
        <f>_xlfn.XLOOKUP(PV_DATA[[#This Row],[New Ark SKU]],Table9[New Ark SKU],Table9[Total PCS per Pallet],,0)</f>
        <v>36</v>
      </c>
      <c r="BF701" s="430">
        <f>_xlfn.XLOOKUP(PV_DATA[[#This Row],[New Ark SKU]],Table9[New Ark SKU],Table9[Total PCS per 40HQ Container],,0)</f>
        <v>792</v>
      </c>
      <c r="BG701" s="431" t="str">
        <f>_xlfn.XLOOKUP(PV_DATA[[#This Row],[New Ark SKU]],Table9[New Ark SKU],Table9[Back Glass],,0)</f>
        <v>Black glazing</v>
      </c>
      <c r="BH701" s="610" t="str">
        <f>_xlfn.XLOOKUP(PV_DATA[[#This Row],[PORT DESTINATION]],Table12[PORT DESTINATION],Table12[Cosco Line],,0)</f>
        <v>AEM</v>
      </c>
      <c r="BJ701" s="430"/>
    </row>
    <row r="702" spans="1:62" ht="10.5" hidden="1">
      <c r="A702" s="462" t="s">
        <v>5326</v>
      </c>
      <c r="B702" s="462" t="s">
        <v>5327</v>
      </c>
      <c r="C702" s="462" t="str">
        <f>IFERROR(LEFT(PV_DATA[[#This Row],[TCL REFERENCE]],FIND(".",PV_DATA[[#This Row],[TCL REFERENCE]],1)-1),"Main Line")</f>
        <v>26Jun013</v>
      </c>
      <c r="D702" s="462" t="s">
        <v>63</v>
      </c>
      <c r="E702" s="462" t="s">
        <v>144</v>
      </c>
      <c r="F702" s="462" t="str" cm="1">
        <f t="array" ref="F70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02" s="462" t="s">
        <v>146</v>
      </c>
      <c r="H702" s="462" t="s">
        <v>2671</v>
      </c>
      <c r="I702" s="462" t="s">
        <v>1395</v>
      </c>
      <c r="J702" s="430" t="s">
        <v>5328</v>
      </c>
      <c r="K702" s="430" t="s">
        <v>5329</v>
      </c>
      <c r="L702" s="430" t="s">
        <v>5330</v>
      </c>
      <c r="M702" s="430" t="s">
        <v>840</v>
      </c>
      <c r="N702" s="432">
        <v>46209</v>
      </c>
      <c r="O702" s="430" t="s">
        <v>4540</v>
      </c>
      <c r="P702" s="430" t="s">
        <v>706</v>
      </c>
      <c r="Q702" s="430" t="s">
        <v>707</v>
      </c>
      <c r="R702" s="430" t="str">
        <f>_xlfn.XLOOKUP(PV_DATA[[#This Row],[New Ark SKU]],Table9[New Ark SKU],Table9[Connector],,0)</f>
        <v>EVO2A</v>
      </c>
      <c r="S702" s="442" t="str">
        <f>_xlfn.XLOOKUP(PV_DATA[[#This Row],[New Ark SKU]],Table9[New Ark SKU],Table9[Cable],,0)</f>
        <v>±1200mm</v>
      </c>
      <c r="T702" s="433">
        <v>500</v>
      </c>
      <c r="U702" s="1062">
        <v>864</v>
      </c>
      <c r="V702" s="434">
        <f>PV_DATA[[#This Row],[QUANTITY]]*PV_DATA[[#This Row],[WATT]]/1000000</f>
        <v>0.432</v>
      </c>
      <c r="W702" s="435">
        <f>PV_DATA[[#This Row],[QUANTITY]]/PV_DATA[[#This Row],[Qty/Pallet]]</f>
        <v>24</v>
      </c>
      <c r="X702" s="1015">
        <f>PV_DATA[[#This Row],[QUANTITY]]/PV_DATA[[#This Row],[Qty/CT]]</f>
        <v>1</v>
      </c>
      <c r="Y702" s="430" t="s">
        <v>4370</v>
      </c>
      <c r="Z702" s="430" t="str">
        <f t="shared" si="8"/>
        <v>COMPLETED</v>
      </c>
      <c r="AA702" s="545">
        <v>46210</v>
      </c>
      <c r="AB702" s="437">
        <v>46211</v>
      </c>
      <c r="AC702" s="485">
        <f>IF(PV_DATA[[#This Row],[Pick-Up Date]]&lt;&gt;"",_xlfn.ISOWEEKNUM(PV_DATA[[#This Row],[Pick-Up Date]]),"")</f>
        <v>28</v>
      </c>
      <c r="AD702" s="430" t="s">
        <v>5331</v>
      </c>
      <c r="AE702" s="430"/>
      <c r="AF702" s="430" t="s">
        <v>123</v>
      </c>
      <c r="AG702" s="430" t="s">
        <v>123</v>
      </c>
      <c r="AH702" s="430" t="s">
        <v>78</v>
      </c>
      <c r="AI702" s="437">
        <v>46217</v>
      </c>
      <c r="AJ702" s="437">
        <v>46226</v>
      </c>
      <c r="AK702" s="437">
        <v>46227</v>
      </c>
      <c r="AL702" s="437">
        <v>46265</v>
      </c>
      <c r="AM702" s="586">
        <f>IFERROR(VLOOKUP(AT702, Vessel!A:H, 8, FALSE), "")</f>
        <v>46278.083333333336</v>
      </c>
      <c r="AN702" s="586">
        <f>IFERROR(IF(VLOOKUP(AT702,Vessel!A:I,9,FALSE)=0,"",VLOOKUP(AT702,Vessel!A:I,9,FALSE)),"")</f>
        <v>46278.186840277776</v>
      </c>
      <c r="AP702" s="430" t="s">
        <v>5309</v>
      </c>
      <c r="AQ702" s="615" t="s">
        <v>80</v>
      </c>
      <c r="AR702" s="430" t="s">
        <v>5332</v>
      </c>
      <c r="AS702" s="430" t="s">
        <v>5333</v>
      </c>
      <c r="AT702" s="430" t="s">
        <v>5333</v>
      </c>
      <c r="AU70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51.186840277776355</v>
      </c>
      <c r="AV702" s="437"/>
      <c r="AW702" s="437" cm="1">
        <f t="array" ref="AW70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46278.186840277776</v>
      </c>
      <c r="AX70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02" s="437">
        <f>IF(ISERROR(PV_DATA[[#This Row],[New Ark PO status]]),"",_xlfn.XLOOKUP(PV_DATA[[#This Row],[SPTN-PVHK New Ark PO'#]],New_Ark_Data[Purchase order Number],New_Ark_Data[Estimated time of arrival],"",0))</f>
        <v>46265</v>
      </c>
      <c r="AZ702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02" s="437">
        <f>IFERROR(PV_DATA[[#This Row],[ODP ETA Port]]+PV_DATA[[#This Row],[Customs/Leg3 Assumption]],"n/a")</f>
        <v>46278.186840277776</v>
      </c>
      <c r="BB702" s="433">
        <f>YEAR(PV_DATA[[#This Row],[ETA for New Ark update]])</f>
        <v>2026</v>
      </c>
      <c r="BC702" s="430">
        <f>MONTH(PV_DATA[[#This Row],[ETA for New Ark update]])</f>
        <v>9</v>
      </c>
      <c r="BD702" s="430">
        <f>IFERROR(_xlfn.ISOWEEKNUM(PV_DATA[[#This Row],[ETA for New Ark update]]),0)</f>
        <v>37</v>
      </c>
      <c r="BE702" s="430">
        <f>_xlfn.XLOOKUP(PV_DATA[[#This Row],[New Ark SKU]],Table9[New Ark SKU],Table9[Total PCS per Pallet],,0)</f>
        <v>36</v>
      </c>
      <c r="BF702" s="430">
        <f>_xlfn.XLOOKUP(PV_DATA[[#This Row],[New Ark SKU]],Table9[New Ark SKU],Table9[Total PCS per 40HQ Container],,0)</f>
        <v>864</v>
      </c>
      <c r="BG702" s="431" t="str">
        <f>_xlfn.XLOOKUP(PV_DATA[[#This Row],[New Ark SKU]],Table9[New Ark SKU],Table9[Back Glass],,0)</f>
        <v>Black glazing</v>
      </c>
      <c r="BH702" s="430" t="str">
        <f>_xlfn.XLOOKUP(PV_DATA[[#This Row],[PORT DESTINATION]],Table12[PORT DESTINATION],Table12[Cosco Line],,0)</f>
        <v>AEM</v>
      </c>
      <c r="BJ702" s="430"/>
    </row>
    <row r="703" spans="1:62" ht="10.5" hidden="1">
      <c r="A703" s="462" t="s">
        <v>5334</v>
      </c>
      <c r="B703" s="462" t="s">
        <v>111</v>
      </c>
      <c r="C703" s="462" t="str">
        <f>IFERROR(LEFT(PV_DATA[[#This Row],[TCL REFERENCE]],FIND(".",PV_DATA[[#This Row],[TCL REFERENCE]],1)-1),"Main Line")</f>
        <v>26Jun001</v>
      </c>
      <c r="D703" s="462" t="s">
        <v>63</v>
      </c>
      <c r="E703" s="462" t="s">
        <v>64</v>
      </c>
      <c r="F703" s="462" t="str" cm="1">
        <f t="array" ref="F70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03" s="462" t="s">
        <v>402</v>
      </c>
      <c r="H703" s="462" t="s">
        <v>67</v>
      </c>
      <c r="I703" s="462" t="s">
        <v>689</v>
      </c>
      <c r="J703" s="430" t="s">
        <v>96</v>
      </c>
      <c r="K703" s="430"/>
      <c r="L703" s="430"/>
      <c r="M703" s="430" t="s">
        <v>68</v>
      </c>
      <c r="N703" s="432">
        <v>46190</v>
      </c>
      <c r="O703" s="430" t="s">
        <v>550</v>
      </c>
      <c r="P703" s="430" t="s">
        <v>551</v>
      </c>
      <c r="Q703" s="430" t="s">
        <v>2151</v>
      </c>
      <c r="R703" s="430" t="str">
        <f>_xlfn.XLOOKUP(PV_DATA[[#This Row],[New Ark SKU]],Table9[New Ark SKU],Table9[Connector],,0)</f>
        <v>EVO2A</v>
      </c>
      <c r="S703" s="442" t="str">
        <f>_xlfn.XLOOKUP(PV_DATA[[#This Row],[New Ark SKU]],Table9[New Ark SKU],Table9[Cable],,0)</f>
        <v>±1350mm</v>
      </c>
      <c r="T703" s="433">
        <v>510</v>
      </c>
      <c r="U703" s="1062">
        <f>792*3</f>
        <v>2376</v>
      </c>
      <c r="V703" s="434">
        <f>PV_DATA[[#This Row],[QUANTITY]]*PV_DATA[[#This Row],[WATT]]/1000000</f>
        <v>1.2117599999999999</v>
      </c>
      <c r="W703" s="435">
        <f>PV_DATA[[#This Row],[QUANTITY]]/PV_DATA[[#This Row],[Qty/Pallet]]</f>
        <v>66</v>
      </c>
      <c r="X703" s="1015">
        <f>PV_DATA[[#This Row],[QUANTITY]]/PV_DATA[[#This Row],[Qty/CT]]</f>
        <v>3</v>
      </c>
      <c r="Y703" s="430" t="s">
        <v>4369</v>
      </c>
      <c r="Z703" s="430" t="str">
        <f t="shared" si="8"/>
        <v>COMPLETED</v>
      </c>
      <c r="AA703" s="430" t="s">
        <v>5335</v>
      </c>
      <c r="AB703" s="437">
        <v>46204</v>
      </c>
      <c r="AC703" s="485">
        <f>IF(PV_DATA[[#This Row],[Pick-Up Date]]&lt;&gt;"",_xlfn.ISOWEEKNUM(PV_DATA[[#This Row],[Pick-Up Date]]),"")</f>
        <v>27</v>
      </c>
      <c r="AD703" s="430" t="s">
        <v>5336</v>
      </c>
      <c r="AE703" s="430"/>
      <c r="AF703" s="430" t="s">
        <v>122</v>
      </c>
      <c r="AG703" s="430" t="s">
        <v>123</v>
      </c>
      <c r="AH703" s="430" t="s">
        <v>78</v>
      </c>
      <c r="AI703" s="437">
        <v>46210</v>
      </c>
      <c r="AJ703" s="437">
        <v>46232</v>
      </c>
      <c r="AK703" s="437">
        <v>46232</v>
      </c>
      <c r="AL703" s="732">
        <v>46253</v>
      </c>
      <c r="AM703" s="1124">
        <f>IFERROR(VLOOKUP(AT703, Vessel!A:H, 8, FALSE), "")</f>
        <v>46272.833333333336</v>
      </c>
      <c r="AN703" s="586">
        <v>46272.251446759263</v>
      </c>
      <c r="AP703" s="430" t="s">
        <v>5337</v>
      </c>
      <c r="AQ703" s="430" t="s">
        <v>80</v>
      </c>
      <c r="AR703" s="430" t="s">
        <v>5338</v>
      </c>
      <c r="AS703" s="430" t="s">
        <v>5339</v>
      </c>
      <c r="AT703" s="430" t="s">
        <v>5339</v>
      </c>
      <c r="AU70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40.251446759262762</v>
      </c>
      <c r="AV703" s="437"/>
      <c r="AW703" s="437" cm="1">
        <f t="array" ref="AW70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46272.251446759263</v>
      </c>
      <c r="AX70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03" s="437">
        <f>IF(ISERROR(PV_DATA[[#This Row],[New Ark PO status]]),"",_xlfn.XLOOKUP(PV_DATA[[#This Row],[SPTN-PVHK New Ark PO'#]],New_Ark_Data[Purchase order Number],New_Ark_Data[Estimated time of arrival],"",0))</f>
        <v>46286</v>
      </c>
      <c r="AZ703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03" s="437">
        <f>IFERROR(PV_DATA[[#This Row],[ODP ETA Port]]+PV_DATA[[#This Row],[Customs/Leg3 Assumption]],"n/a")</f>
        <v>46280.251446759263</v>
      </c>
      <c r="BB703" s="433">
        <f>YEAR(PV_DATA[[#This Row],[ETA for New Ark update]])</f>
        <v>2026</v>
      </c>
      <c r="BC703" s="430">
        <f>MONTH(PV_DATA[[#This Row],[ETA for New Ark update]])</f>
        <v>9</v>
      </c>
      <c r="BD703" s="430">
        <f>IFERROR(_xlfn.ISOWEEKNUM(PV_DATA[[#This Row],[ETA for New Ark update]]),0)</f>
        <v>38</v>
      </c>
      <c r="BE703" s="430">
        <f>_xlfn.XLOOKUP(PV_DATA[[#This Row],[New Ark SKU]],Table9[New Ark SKU],Table9[Total PCS per Pallet],,0)</f>
        <v>36</v>
      </c>
      <c r="BF703" s="430">
        <f>_xlfn.XLOOKUP(PV_DATA[[#This Row],[New Ark SKU]],Table9[New Ark SKU],Table9[Total PCS per 40HQ Container],,0)</f>
        <v>792</v>
      </c>
      <c r="BG703" s="431" t="str">
        <f>_xlfn.XLOOKUP(PV_DATA[[#This Row],[New Ark SKU]],Table9[New Ark SKU],Table9[Back Glass],,0)</f>
        <v>Black glazing</v>
      </c>
      <c r="BH703" s="430" t="str">
        <f>_xlfn.XLOOKUP(PV_DATA[[#This Row],[PORT DESTINATION]],Table12[PORT DESTINATION],Table12[Cosco Line],,0)</f>
        <v>AEM</v>
      </c>
      <c r="BJ703" s="430"/>
    </row>
    <row r="704" spans="1:62" ht="10.5" hidden="1">
      <c r="A704" s="462" t="s">
        <v>5340</v>
      </c>
      <c r="B704" s="462" t="s">
        <v>111</v>
      </c>
      <c r="C704" s="462" t="str">
        <f>IFERROR(LEFT(PV_DATA[[#This Row],[TCL REFERENCE]],FIND(".",PV_DATA[[#This Row],[TCL REFERENCE]],1)-1),"Main Line")</f>
        <v>26Jun001</v>
      </c>
      <c r="D704" s="462" t="s">
        <v>63</v>
      </c>
      <c r="E704" s="462" t="s">
        <v>64</v>
      </c>
      <c r="F704" s="462" t="str" cm="1">
        <f t="array" ref="F70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04" s="462" t="s">
        <v>402</v>
      </c>
      <c r="H704" s="462" t="s">
        <v>67</v>
      </c>
      <c r="I704" s="462" t="s">
        <v>689</v>
      </c>
      <c r="J704" s="430" t="s">
        <v>96</v>
      </c>
      <c r="K704" s="430"/>
      <c r="L704" s="430"/>
      <c r="M704" s="430" t="s">
        <v>68</v>
      </c>
      <c r="N704" s="432">
        <v>46188</v>
      </c>
      <c r="O704" s="430" t="s">
        <v>550</v>
      </c>
      <c r="P704" s="430" t="s">
        <v>551</v>
      </c>
      <c r="Q704" s="430" t="s">
        <v>2151</v>
      </c>
      <c r="R704" s="430" t="str">
        <f>_xlfn.XLOOKUP(PV_DATA[[#This Row],[New Ark SKU]],Table9[New Ark SKU],Table9[Connector],,0)</f>
        <v>EVO2A</v>
      </c>
      <c r="S704" s="442" t="str">
        <f>_xlfn.XLOOKUP(PV_DATA[[#This Row],[New Ark SKU]],Table9[New Ark SKU],Table9[Cable],,0)</f>
        <v>±1350mm</v>
      </c>
      <c r="T704" s="433">
        <v>510</v>
      </c>
      <c r="U704" s="1062">
        <f>792*3</f>
        <v>2376</v>
      </c>
      <c r="V704" s="434">
        <f>PV_DATA[[#This Row],[QUANTITY]]*PV_DATA[[#This Row],[WATT]]/1000000</f>
        <v>1.2117599999999999</v>
      </c>
      <c r="W704" s="435">
        <f>PV_DATA[[#This Row],[QUANTITY]]/PV_DATA[[#This Row],[Qty/Pallet]]</f>
        <v>66</v>
      </c>
      <c r="X704" s="1015">
        <f>PV_DATA[[#This Row],[QUANTITY]]/PV_DATA[[#This Row],[Qty/CT]]</f>
        <v>3</v>
      </c>
      <c r="Y704" s="484" t="s">
        <v>4369</v>
      </c>
      <c r="Z704" s="430" t="str">
        <f t="shared" si="8"/>
        <v>COMPLETED</v>
      </c>
      <c r="AA704" s="430" t="s">
        <v>5335</v>
      </c>
      <c r="AB704" s="543">
        <v>46204</v>
      </c>
      <c r="AC704" s="485">
        <f>IF(PV_DATA[[#This Row],[Pick-Up Date]]&lt;&gt;"",_xlfn.ISOWEEKNUM(PV_DATA[[#This Row],[Pick-Up Date]]),"")</f>
        <v>27</v>
      </c>
      <c r="AD704" s="430" t="s">
        <v>5341</v>
      </c>
      <c r="AE704" s="430"/>
      <c r="AF704" s="430" t="s">
        <v>122</v>
      </c>
      <c r="AG704" s="430" t="s">
        <v>123</v>
      </c>
      <c r="AH704" s="430" t="s">
        <v>78</v>
      </c>
      <c r="AI704" s="437">
        <v>46210</v>
      </c>
      <c r="AJ704" s="437">
        <v>46232</v>
      </c>
      <c r="AK704" s="437">
        <v>46232</v>
      </c>
      <c r="AL704" s="732">
        <v>46253</v>
      </c>
      <c r="AM704" s="1124">
        <f>IFERROR(VLOOKUP(AT704, Vessel!A:H, 8, FALSE), "")</f>
        <v>46272.833333333336</v>
      </c>
      <c r="AN704" s="586">
        <v>46272.251446759263</v>
      </c>
      <c r="AP704" s="430" t="s">
        <v>5337</v>
      </c>
      <c r="AQ704" s="430" t="s">
        <v>80</v>
      </c>
      <c r="AR704" s="430" t="s">
        <v>5338</v>
      </c>
      <c r="AS704" s="430" t="s">
        <v>5339</v>
      </c>
      <c r="AT704" s="430" t="s">
        <v>5339</v>
      </c>
      <c r="AU70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40.251446759262762</v>
      </c>
      <c r="AV704" s="437"/>
      <c r="AW704" s="437" cm="1">
        <f t="array" ref="AW70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46272.251446759263</v>
      </c>
      <c r="AX70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04" s="437">
        <f>IF(ISERROR(PV_DATA[[#This Row],[New Ark PO status]]),"",_xlfn.XLOOKUP(PV_DATA[[#This Row],[SPTN-PVHK New Ark PO'#]],New_Ark_Data[Purchase order Number],New_Ark_Data[Estimated time of arrival],"",0))</f>
        <v>46286</v>
      </c>
      <c r="AZ704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04" s="437">
        <f>IFERROR(PV_DATA[[#This Row],[ODP ETA Port]]+PV_DATA[[#This Row],[Customs/Leg3 Assumption]],"n/a")</f>
        <v>46280.251446759263</v>
      </c>
      <c r="BB704" s="433">
        <f>YEAR(PV_DATA[[#This Row],[ETA for New Ark update]])</f>
        <v>2026</v>
      </c>
      <c r="BC704" s="430">
        <f>MONTH(PV_DATA[[#This Row],[ETA for New Ark update]])</f>
        <v>9</v>
      </c>
      <c r="BD704" s="430">
        <f>IFERROR(_xlfn.ISOWEEKNUM(PV_DATA[[#This Row],[ETA for New Ark update]]),0)</f>
        <v>38</v>
      </c>
      <c r="BE704" s="430">
        <f>_xlfn.XLOOKUP(PV_DATA[[#This Row],[New Ark SKU]],Table9[New Ark SKU],Table9[Total PCS per Pallet],,0)</f>
        <v>36</v>
      </c>
      <c r="BF704" s="430">
        <f>_xlfn.XLOOKUP(PV_DATA[[#This Row],[New Ark SKU]],Table9[New Ark SKU],Table9[Total PCS per 40HQ Container],,0)</f>
        <v>792</v>
      </c>
      <c r="BG704" s="431" t="str">
        <f>_xlfn.XLOOKUP(PV_DATA[[#This Row],[New Ark SKU]],Table9[New Ark SKU],Table9[Back Glass],,0)</f>
        <v>Black glazing</v>
      </c>
      <c r="BH704" s="430" t="str">
        <f>_xlfn.XLOOKUP(PV_DATA[[#This Row],[PORT DESTINATION]],Table12[PORT DESTINATION],Table12[Cosco Line],,0)</f>
        <v>AEM</v>
      </c>
      <c r="BJ704" s="430"/>
    </row>
    <row r="705" spans="1:62" s="450" customFormat="1" ht="10.5" hidden="1">
      <c r="A705" s="446" t="s">
        <v>5342</v>
      </c>
      <c r="B705" s="446" t="s">
        <v>111</v>
      </c>
      <c r="C705" s="446" t="str">
        <f>IFERROR(LEFT(PV_DATA[[#This Row],[TCL REFERENCE]],FIND(".",PV_DATA[[#This Row],[TCL REFERENCE]],1)-1),"Main Line")</f>
        <v>26Jul013</v>
      </c>
      <c r="D705" s="446" t="s">
        <v>63</v>
      </c>
      <c r="E705" s="446" t="s">
        <v>64</v>
      </c>
      <c r="F705" s="446" t="str" cm="1">
        <f t="array" ref="F70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705" s="446" t="s">
        <v>402</v>
      </c>
      <c r="H705" s="446" t="s">
        <v>115</v>
      </c>
      <c r="I705" s="439" t="s">
        <v>689</v>
      </c>
      <c r="J705" s="450" t="s">
        <v>5343</v>
      </c>
      <c r="K705" s="537" t="s">
        <v>5344</v>
      </c>
      <c r="L705" s="537">
        <v>1</v>
      </c>
      <c r="M705" s="450" t="s">
        <v>840</v>
      </c>
      <c r="N705" s="451">
        <v>46202</v>
      </c>
      <c r="O705" s="450" t="s">
        <v>5345</v>
      </c>
      <c r="P705" s="450" t="s">
        <v>5346</v>
      </c>
      <c r="Q705" s="450" t="s">
        <v>5347</v>
      </c>
      <c r="R705" s="450" t="str">
        <f>_xlfn.XLOOKUP(PV_DATA[[#This Row],[New Ark SKU]],Table9[New Ark SKU],Table9[Connector],,0)</f>
        <v>EVO2A</v>
      </c>
      <c r="S705" s="452" t="str">
        <f>_xlfn.XLOOKUP(PV_DATA[[#This Row],[New Ark SKU]],Table9[New Ark SKU],Table9[Cable],,0)</f>
        <v>±1400mm</v>
      </c>
      <c r="T705" s="452">
        <v>580</v>
      </c>
      <c r="U705" s="1063">
        <f>720*5</f>
        <v>3600</v>
      </c>
      <c r="V705" s="453">
        <f>PV_DATA[[#This Row],[QUANTITY]]*PV_DATA[[#This Row],[WATT]]/1000000</f>
        <v>2.0880000000000001</v>
      </c>
      <c r="W705" s="454">
        <f>PV_DATA[[#This Row],[QUANTITY]]/PV_DATA[[#This Row],[Qty/Pallet]]</f>
        <v>100</v>
      </c>
      <c r="X705" s="1020">
        <f>PV_DATA[[#This Row],[QUANTITY]]/PV_DATA[[#This Row],[Qty/CT]]</f>
        <v>5</v>
      </c>
      <c r="Y705" s="450" t="s">
        <v>4369</v>
      </c>
      <c r="Z705" s="430" t="str">
        <f t="shared" si="8"/>
        <v>COMPLETED</v>
      </c>
      <c r="AA705" s="450" t="s">
        <v>5348</v>
      </c>
      <c r="AB705" s="455">
        <v>46207</v>
      </c>
      <c r="AC705" s="471">
        <f>IF(PV_DATA[[#This Row],[Pick-Up Date]]&lt;&gt;"",_xlfn.ISOWEEKNUM(PV_DATA[[#This Row],[Pick-Up Date]]),"")</f>
        <v>27</v>
      </c>
      <c r="AD705" s="450" t="s">
        <v>5349</v>
      </c>
      <c r="AF705" s="450" t="s">
        <v>122</v>
      </c>
      <c r="AG705" s="450" t="s">
        <v>123</v>
      </c>
      <c r="AH705" s="450" t="s">
        <v>124</v>
      </c>
      <c r="AI705" s="455">
        <v>46217</v>
      </c>
      <c r="AJ705" s="455">
        <v>46217</v>
      </c>
      <c r="AK705" s="455">
        <v>46217</v>
      </c>
      <c r="AL705" s="455">
        <v>46254</v>
      </c>
      <c r="AM705" s="587">
        <f>IFERROR(VLOOKUP(AT705, Vessel!A:H, 8, FALSE), "")</f>
        <v>46267.791666666664</v>
      </c>
      <c r="AN705" s="587">
        <f>IFERROR(IF(VLOOKUP(AT705,Vessel!A:I,9,FALSE)=0,"",VLOOKUP(AT705,Vessel!A:I,9,FALSE)),"")</f>
        <v>46268.28087962963</v>
      </c>
      <c r="AP705" s="450" t="s">
        <v>5350</v>
      </c>
      <c r="AQ705" s="450" t="s">
        <v>80</v>
      </c>
      <c r="AR705" s="450" t="s">
        <v>5351</v>
      </c>
      <c r="AS705" s="450" t="s">
        <v>5352</v>
      </c>
      <c r="AT705" s="450" t="s">
        <v>5352</v>
      </c>
      <c r="AU70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51.280879629630363</v>
      </c>
      <c r="AW705" s="455" cm="1">
        <f t="array" ref="AW70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46268.28087962963</v>
      </c>
      <c r="AX705" s="452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05" s="455">
        <f>IF(ISERROR(PV_DATA[[#This Row],[New Ark PO status]]),"",_xlfn.XLOOKUP(PV_DATA[[#This Row],[SPTN-PVHK New Ark PO'#]],New_Ark_Data[Purchase order Number],New_Ark_Data[Estimated time of arrival],"",0))</f>
        <v>46267</v>
      </c>
      <c r="AZ705" s="45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705" s="455">
        <f>IFERROR(PV_DATA[[#This Row],[ODP ETA Port]]+PV_DATA[[#This Row],[Customs/Leg3 Assumption]],"n/a")</f>
        <v>46277.28087962963</v>
      </c>
      <c r="BB705" s="452">
        <f>YEAR(PV_DATA[[#This Row],[ETA for New Ark update]])</f>
        <v>2026</v>
      </c>
      <c r="BC705" s="450">
        <f>MONTH(PV_DATA[[#This Row],[ETA for New Ark update]])</f>
        <v>9</v>
      </c>
      <c r="BD705" s="450">
        <f>IFERROR(_xlfn.ISOWEEKNUM(PV_DATA[[#This Row],[ETA for New Ark update]]),0)</f>
        <v>37</v>
      </c>
      <c r="BE705" s="450">
        <f>_xlfn.XLOOKUP(PV_DATA[[#This Row],[New Ark SKU]],Table9[New Ark SKU],Table9[Total PCS per Pallet],,0)</f>
        <v>36</v>
      </c>
      <c r="BF705" s="450">
        <f>_xlfn.XLOOKUP(PV_DATA[[#This Row],[New Ark SKU]],Table9[New Ark SKU],Table9[Total PCS per 40HQ Container],,0)</f>
        <v>720</v>
      </c>
      <c r="BG705" s="450" t="str">
        <f>_xlfn.XLOOKUP(PV_DATA[[#This Row],[New Ark SKU]],Table9[New Ark SKU],Table9[Back Glass],,0)</f>
        <v>Transparent</v>
      </c>
      <c r="BH705" s="450" t="str">
        <f>_xlfn.XLOOKUP(PV_DATA[[#This Row],[PORT DESTINATION]],Table12[PORT DESTINATION],Table12[Cosco Line],,0)</f>
        <v>AEM</v>
      </c>
    </row>
    <row r="706" spans="1:62" ht="10.5" hidden="1">
      <c r="A706" s="462" t="s">
        <v>5353</v>
      </c>
      <c r="B706" s="462" t="s">
        <v>61</v>
      </c>
      <c r="C706" s="462" t="str">
        <f>IFERROR(LEFT(PV_DATA[[#This Row],[TCL REFERENCE]],FIND(".",PV_DATA[[#This Row],[TCL REFERENCE]],1)-1),"Main Line")</f>
        <v>26Jun022</v>
      </c>
      <c r="D706" s="462" t="s">
        <v>63</v>
      </c>
      <c r="E706" s="462" t="s">
        <v>64</v>
      </c>
      <c r="F706" s="462" t="str" cm="1">
        <f t="array" ref="F70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706" s="462" t="s">
        <v>402</v>
      </c>
      <c r="H706" s="462" t="s">
        <v>311</v>
      </c>
      <c r="I706" s="462" t="s">
        <v>689</v>
      </c>
      <c r="J706" s="430" t="s">
        <v>96</v>
      </c>
      <c r="K706" s="430"/>
      <c r="L706" s="430"/>
      <c r="M706" s="430" t="s">
        <v>68</v>
      </c>
      <c r="N706" s="432">
        <v>46202</v>
      </c>
      <c r="O706" s="430" t="s">
        <v>284</v>
      </c>
      <c r="P706" s="462" t="s">
        <v>5354</v>
      </c>
      <c r="Q706" s="430" t="s">
        <v>5355</v>
      </c>
      <c r="R706" s="430" t="str">
        <f>_xlfn.XLOOKUP(PV_DATA[[#This Row],[New Ark SKU]],Table9[New Ark SKU],Table9[Connector],,0)</f>
        <v>EVO2A</v>
      </c>
      <c r="S706" s="442" t="str">
        <f>_xlfn.XLOOKUP(PV_DATA[[#This Row],[New Ark SKU]],Table9[New Ark SKU],Table9[Cable],,0)</f>
        <v>±1400mm</v>
      </c>
      <c r="T706" s="433">
        <v>655</v>
      </c>
      <c r="U706" s="1062">
        <f>720*1</f>
        <v>720</v>
      </c>
      <c r="V706" s="434">
        <f>PV_DATA[[#This Row],[QUANTITY]]*PV_DATA[[#This Row],[WATT]]/1000000</f>
        <v>0.47160000000000002</v>
      </c>
      <c r="W706" s="435">
        <f>PV_DATA[[#This Row],[QUANTITY]]/PV_DATA[[#This Row],[Qty/Pallet]]</f>
        <v>20</v>
      </c>
      <c r="X706" s="1015">
        <f>PV_DATA[[#This Row],[QUANTITY]]/PV_DATA[[#This Row],[Qty/CT]]</f>
        <v>1</v>
      </c>
      <c r="Y706" s="430" t="s">
        <v>4369</v>
      </c>
      <c r="Z706" s="430" t="str">
        <f t="shared" si="8"/>
        <v>COMPLETED</v>
      </c>
      <c r="AA706" s="430" t="s">
        <v>5356</v>
      </c>
      <c r="AB706" s="437">
        <v>46206</v>
      </c>
      <c r="AC706" s="485">
        <f>IF(PV_DATA[[#This Row],[Pick-Up Date]]&lt;&gt;"",_xlfn.ISOWEEKNUM(PV_DATA[[#This Row],[Pick-Up Date]]),"")</f>
        <v>27</v>
      </c>
      <c r="AD706" s="430" t="s">
        <v>5357</v>
      </c>
      <c r="AE706" s="430"/>
      <c r="AF706" s="430" t="s">
        <v>61</v>
      </c>
      <c r="AG706" s="430" t="s">
        <v>61</v>
      </c>
      <c r="AH706" s="430" t="s">
        <v>1561</v>
      </c>
      <c r="AI706" s="437">
        <v>46212</v>
      </c>
      <c r="AJ706" s="437">
        <v>46213</v>
      </c>
      <c r="AK706" s="437">
        <v>46213</v>
      </c>
      <c r="AL706" s="437">
        <v>46283</v>
      </c>
      <c r="AM706" s="618">
        <f>IFERROR(VLOOKUP(AT706, Vessel!A:H, 8, FALSE), "")</f>
        <v>46299.875</v>
      </c>
      <c r="AN706" s="586">
        <v>46299</v>
      </c>
      <c r="AP706" s="430" t="s">
        <v>5358</v>
      </c>
      <c r="AQ706" s="438" t="s">
        <v>80</v>
      </c>
      <c r="AR706" s="430" t="s">
        <v>5359</v>
      </c>
      <c r="AS706" s="430" t="s">
        <v>5360</v>
      </c>
      <c r="AT706" s="430" t="s">
        <v>5360</v>
      </c>
      <c r="AU70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86</v>
      </c>
      <c r="AW706" s="437" cm="1">
        <f t="array" ref="AW70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46299</v>
      </c>
      <c r="AX70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06" s="437">
        <f>IF(ISERROR(PV_DATA[[#This Row],[New Ark PO status]]),"",_xlfn.XLOOKUP(PV_DATA[[#This Row],[SPTN-PVHK New Ark PO'#]],New_Ark_Data[Purchase order Number],New_Ark_Data[Estimated time of arrival],"",0))</f>
        <v>46307</v>
      </c>
      <c r="AZ706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706" s="437">
        <f>IFERROR(PV_DATA[[#This Row],[ODP ETA Port]]+PV_DATA[[#This Row],[Customs/Leg3 Assumption]],"n/a")</f>
        <v>46309</v>
      </c>
      <c r="BB706" s="433">
        <f>YEAR(PV_DATA[[#This Row],[ETA for New Ark update]])</f>
        <v>2026</v>
      </c>
      <c r="BC706" s="430">
        <f>MONTH(PV_DATA[[#This Row],[ETA for New Ark update]])</f>
        <v>10</v>
      </c>
      <c r="BD706" s="430">
        <f>IFERROR(_xlfn.ISOWEEKNUM(PV_DATA[[#This Row],[ETA for New Ark update]]),0)</f>
        <v>42</v>
      </c>
      <c r="BE706" s="430">
        <f>_xlfn.XLOOKUP(PV_DATA[[#This Row],[New Ark SKU]],Table9[New Ark SKU],Table9[Total PCS per Pallet],,0)</f>
        <v>36</v>
      </c>
      <c r="BF706" s="430">
        <f>_xlfn.XLOOKUP(PV_DATA[[#This Row],[New Ark SKU]],Table9[New Ark SKU],Table9[Total PCS per 40HQ Container],,0)</f>
        <v>720</v>
      </c>
      <c r="BG706" s="431" t="str">
        <f>_xlfn.XLOOKUP(PV_DATA[[#This Row],[New Ark SKU]],Table9[New Ark SKU],Table9[Back Glass],,0)</f>
        <v>White glazing</v>
      </c>
      <c r="BH706" s="430" t="str">
        <f>_xlfn.XLOOKUP(PV_DATA[[#This Row],[PORT DESTINATION]],Table12[PORT DESTINATION],Table12[Cosco Line],,0)</f>
        <v>AEM</v>
      </c>
      <c r="BJ706" s="430"/>
    </row>
    <row r="707" spans="1:62" ht="10.5" hidden="1">
      <c r="A707" s="462" t="s">
        <v>5361</v>
      </c>
      <c r="B707" s="462" t="s">
        <v>61</v>
      </c>
      <c r="C707" s="462" t="str">
        <f>IFERROR(LEFT(PV_DATA[[#This Row],[TCL REFERENCE]],FIND(".",PV_DATA[[#This Row],[TCL REFERENCE]],1)-1),"Main Line")</f>
        <v>26Jun013</v>
      </c>
      <c r="D707" s="462" t="s">
        <v>63</v>
      </c>
      <c r="E707" s="462" t="s">
        <v>144</v>
      </c>
      <c r="F707" s="462" t="str" cm="1">
        <f t="array" ref="F70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07" s="462" t="s">
        <v>402</v>
      </c>
      <c r="H707" s="462" t="s">
        <v>2382</v>
      </c>
      <c r="I707" s="462" t="s">
        <v>1395</v>
      </c>
      <c r="J707" s="430" t="s">
        <v>2382</v>
      </c>
      <c r="K707" s="430" t="s">
        <v>5362</v>
      </c>
      <c r="L707" s="430">
        <v>1</v>
      </c>
      <c r="M707" s="430" t="s">
        <v>4976</v>
      </c>
      <c r="N707" s="432">
        <v>46209</v>
      </c>
      <c r="O707" s="430" t="s">
        <v>4540</v>
      </c>
      <c r="P707" s="430" t="s">
        <v>706</v>
      </c>
      <c r="Q707" s="430" t="s">
        <v>707</v>
      </c>
      <c r="R707" s="430" t="str">
        <f>_xlfn.XLOOKUP(PV_DATA[[#This Row],[New Ark SKU]],Table9[New Ark SKU],Table9[Connector],,0)</f>
        <v>EVO2A</v>
      </c>
      <c r="S707" s="442" t="str">
        <f>_xlfn.XLOOKUP(PV_DATA[[#This Row],[New Ark SKU]],Table9[New Ark SKU],Table9[Cable],,0)</f>
        <v>±1200mm</v>
      </c>
      <c r="T707" s="433">
        <v>500</v>
      </c>
      <c r="U707" s="1062">
        <f>864*3</f>
        <v>2592</v>
      </c>
      <c r="V707" s="434">
        <f>PV_DATA[[#This Row],[QUANTITY]]*PV_DATA[[#This Row],[WATT]]/1000000</f>
        <v>1.296</v>
      </c>
      <c r="W707" s="435">
        <f>PV_DATA[[#This Row],[QUANTITY]]/PV_DATA[[#This Row],[Qty/Pallet]]</f>
        <v>72</v>
      </c>
      <c r="X707" s="1015">
        <f>PV_DATA[[#This Row],[QUANTITY]]/PV_DATA[[#This Row],[Qty/CT]]</f>
        <v>3</v>
      </c>
      <c r="Y707" s="430" t="s">
        <v>4368</v>
      </c>
      <c r="Z707" s="430" t="str">
        <f t="shared" si="8"/>
        <v>COMPLETED</v>
      </c>
      <c r="AA707" s="430"/>
      <c r="AB707" s="437">
        <v>46206</v>
      </c>
      <c r="AC707" s="485">
        <f>IF(PV_DATA[[#This Row],[Pick-Up Date]]&lt;&gt;"",_xlfn.ISOWEEKNUM(PV_DATA[[#This Row],[Pick-Up Date]]),"")</f>
        <v>27</v>
      </c>
      <c r="AD707" s="430" t="s">
        <v>5363</v>
      </c>
      <c r="AE707" s="430"/>
      <c r="AF707" s="430" t="s">
        <v>61</v>
      </c>
      <c r="AG707" s="430" t="s">
        <v>61</v>
      </c>
      <c r="AH707" s="430" t="s">
        <v>78</v>
      </c>
      <c r="AI707" s="437">
        <v>46212</v>
      </c>
      <c r="AJ707" s="437">
        <v>46213</v>
      </c>
      <c r="AK707" s="437">
        <v>46213</v>
      </c>
      <c r="AL707" s="437">
        <v>46279</v>
      </c>
      <c r="AM707" s="586">
        <f>IFERROR(VLOOKUP(AT707, Vessel!A:H, 8, FALSE), "")</f>
        <v>46285.041666666664</v>
      </c>
      <c r="AN707" s="586">
        <f>IFERROR(IF(VLOOKUP(AT707,Vessel!A:I,9,FALSE)=0,"",VLOOKUP(AT707,Vessel!A:I,9,FALSE)),"")</f>
        <v>46284.921701388892</v>
      </c>
      <c r="AP707" s="430" t="s">
        <v>5358</v>
      </c>
      <c r="AQ707" s="438" t="s">
        <v>80</v>
      </c>
      <c r="AR707" s="430" t="s">
        <v>5364</v>
      </c>
      <c r="AS707" s="430" t="s">
        <v>5365</v>
      </c>
      <c r="AT707" s="430" t="s">
        <v>5365</v>
      </c>
      <c r="AU70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71.921701388891961</v>
      </c>
      <c r="AV707" s="437"/>
      <c r="AW707" s="437" cm="1">
        <f t="array" ref="AW70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46284.921701388892</v>
      </c>
      <c r="AX70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07" s="437">
        <f>IF(ISERROR(PV_DATA[[#This Row],[New Ark PO status]]),"",_xlfn.XLOOKUP(PV_DATA[[#This Row],[SPTN-PVHK New Ark PO'#]],New_Ark_Data[Purchase order Number],New_Ark_Data[Estimated time of arrival],"",0))</f>
        <v>46279</v>
      </c>
      <c r="AZ707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07" s="437">
        <f>IFERROR(PV_DATA[[#This Row],[ODP ETA Port]]+PV_DATA[[#This Row],[Customs/Leg3 Assumption]],"n/a")</f>
        <v>46284.921701388892</v>
      </c>
      <c r="BB707" s="433">
        <f>YEAR(PV_DATA[[#This Row],[ETA for New Ark update]])</f>
        <v>2026</v>
      </c>
      <c r="BC707" s="430">
        <f>MONTH(PV_DATA[[#This Row],[ETA for New Ark update]])</f>
        <v>9</v>
      </c>
      <c r="BD707" s="430">
        <f>IFERROR(_xlfn.ISOWEEKNUM(PV_DATA[[#This Row],[ETA for New Ark update]]),0)</f>
        <v>38</v>
      </c>
      <c r="BE707" s="430">
        <f>_xlfn.XLOOKUP(PV_DATA[[#This Row],[New Ark SKU]],Table9[New Ark SKU],Table9[Total PCS per Pallet],,0)</f>
        <v>36</v>
      </c>
      <c r="BF707" s="430">
        <f>_xlfn.XLOOKUP(PV_DATA[[#This Row],[New Ark SKU]],Table9[New Ark SKU],Table9[Total PCS per 40HQ Container],,0)</f>
        <v>864</v>
      </c>
      <c r="BG707" s="431" t="str">
        <f>_xlfn.XLOOKUP(PV_DATA[[#This Row],[New Ark SKU]],Table9[New Ark SKU],Table9[Back Glass],,0)</f>
        <v>Black glazing</v>
      </c>
      <c r="BH707" s="430" t="str">
        <f>_xlfn.XLOOKUP(PV_DATA[[#This Row],[PORT DESTINATION]],Table12[PORT DESTINATION],Table12[Cosco Line],,0)</f>
        <v>AEM</v>
      </c>
      <c r="BJ707" s="430"/>
    </row>
    <row r="708" spans="1:62" ht="10.5" hidden="1">
      <c r="A708" s="462" t="s">
        <v>5366</v>
      </c>
      <c r="B708" s="462" t="s">
        <v>61</v>
      </c>
      <c r="C708" s="462" t="str">
        <f>IFERROR(LEFT(PV_DATA[[#This Row],[TCL REFERENCE]],FIND(".",PV_DATA[[#This Row],[TCL REFERENCE]],1)-1),"Main Line")</f>
        <v>26Jun013</v>
      </c>
      <c r="D708" s="462" t="s">
        <v>63</v>
      </c>
      <c r="E708" s="462" t="s">
        <v>144</v>
      </c>
      <c r="F708" s="462" t="str" cm="1">
        <f t="array" ref="F70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08" s="462" t="s">
        <v>146</v>
      </c>
      <c r="H708" s="462" t="s">
        <v>2671</v>
      </c>
      <c r="I708" s="462" t="s">
        <v>689</v>
      </c>
      <c r="J708" s="430" t="s">
        <v>5328</v>
      </c>
      <c r="K708" s="430" t="s">
        <v>5367</v>
      </c>
      <c r="L708" s="430">
        <v>1</v>
      </c>
      <c r="M708" s="430" t="s">
        <v>840</v>
      </c>
      <c r="N708" s="432">
        <v>46209</v>
      </c>
      <c r="O708" s="430" t="s">
        <v>4540</v>
      </c>
      <c r="P708" s="430" t="s">
        <v>706</v>
      </c>
      <c r="Q708" s="430" t="s">
        <v>707</v>
      </c>
      <c r="R708" s="430" t="str">
        <f>_xlfn.XLOOKUP(PV_DATA[[#This Row],[New Ark SKU]],Table9[New Ark SKU],Table9[Connector],,0)</f>
        <v>EVO2A</v>
      </c>
      <c r="S708" s="442" t="str">
        <f>_xlfn.XLOOKUP(PV_DATA[[#This Row],[New Ark SKU]],Table9[New Ark SKU],Table9[Cable],,0)</f>
        <v>±1200mm</v>
      </c>
      <c r="T708" s="433">
        <v>500</v>
      </c>
      <c r="U708" s="1062">
        <v>864</v>
      </c>
      <c r="V708" s="434">
        <f>PV_DATA[[#This Row],[QUANTITY]]*PV_DATA[[#This Row],[WATT]]/1000000</f>
        <v>0.432</v>
      </c>
      <c r="W708" s="435">
        <f>PV_DATA[[#This Row],[QUANTITY]]/PV_DATA[[#This Row],[Qty/Pallet]]</f>
        <v>24</v>
      </c>
      <c r="X708" s="1015">
        <f>PV_DATA[[#This Row],[QUANTITY]]/PV_DATA[[#This Row],[Qty/CT]]</f>
        <v>1</v>
      </c>
      <c r="Y708" s="430" t="s">
        <v>4368</v>
      </c>
      <c r="Z708" s="430" t="str">
        <f t="shared" si="8"/>
        <v>COMPLETED</v>
      </c>
      <c r="AA708" s="430"/>
      <c r="AB708" s="437">
        <v>46206</v>
      </c>
      <c r="AC708" s="485">
        <f>IF(PV_DATA[[#This Row],[Pick-Up Date]]&lt;&gt;"",_xlfn.ISOWEEKNUM(PV_DATA[[#This Row],[Pick-Up Date]]),"")</f>
        <v>27</v>
      </c>
      <c r="AD708" s="430" t="s">
        <v>5368</v>
      </c>
      <c r="AE708" s="430"/>
      <c r="AF708" s="430" t="s">
        <v>77</v>
      </c>
      <c r="AG708" s="430" t="s">
        <v>61</v>
      </c>
      <c r="AH708" s="430" t="s">
        <v>78</v>
      </c>
      <c r="AI708" s="437">
        <v>46212</v>
      </c>
      <c r="AJ708" s="437">
        <v>46213</v>
      </c>
      <c r="AK708" s="437">
        <v>46213</v>
      </c>
      <c r="AL708" s="437">
        <v>46279</v>
      </c>
      <c r="AM708" s="586">
        <f>IFERROR(VLOOKUP(AT708, Vessel!A:H, 8, FALSE), "")</f>
        <v>46285.041666666664</v>
      </c>
      <c r="AN708" s="586">
        <f>IFERROR(IF(VLOOKUP(AT708,Vessel!A:I,9,FALSE)=0,"",VLOOKUP(AT708,Vessel!A:I,9,FALSE)),"")</f>
        <v>46284.921701388892</v>
      </c>
      <c r="AP708" s="430" t="s">
        <v>5358</v>
      </c>
      <c r="AQ708" s="438" t="s">
        <v>80</v>
      </c>
      <c r="AR708" s="430" t="s">
        <v>5369</v>
      </c>
      <c r="AS708" s="430" t="s">
        <v>5370</v>
      </c>
      <c r="AT708" s="430" t="s">
        <v>5370</v>
      </c>
      <c r="AU70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71.921701388891961</v>
      </c>
      <c r="AV708" s="437"/>
      <c r="AW708" s="437" cm="1">
        <f t="array" ref="AW70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46284.921701388892</v>
      </c>
      <c r="AX70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08" s="437">
        <f>IF(ISERROR(PV_DATA[[#This Row],[New Ark PO status]]),"",_xlfn.XLOOKUP(PV_DATA[[#This Row],[SPTN-PVHK New Ark PO'#]],New_Ark_Data[Purchase order Number],New_Ark_Data[Estimated time of arrival],"",0))</f>
        <v>46279</v>
      </c>
      <c r="AZ708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08" s="437">
        <f>IFERROR(PV_DATA[[#This Row],[ODP ETA Port]]+PV_DATA[[#This Row],[Customs/Leg3 Assumption]],"n/a")</f>
        <v>46284.921701388892</v>
      </c>
      <c r="BB708" s="433">
        <f>YEAR(PV_DATA[[#This Row],[ETA for New Ark update]])</f>
        <v>2026</v>
      </c>
      <c r="BC708" s="430">
        <f>MONTH(PV_DATA[[#This Row],[ETA for New Ark update]])</f>
        <v>9</v>
      </c>
      <c r="BD708" s="430">
        <f>IFERROR(_xlfn.ISOWEEKNUM(PV_DATA[[#This Row],[ETA for New Ark update]]),0)</f>
        <v>38</v>
      </c>
      <c r="BE708" s="430">
        <f>_xlfn.XLOOKUP(PV_DATA[[#This Row],[New Ark SKU]],Table9[New Ark SKU],Table9[Total PCS per Pallet],,0)</f>
        <v>36</v>
      </c>
      <c r="BF708" s="430">
        <f>_xlfn.XLOOKUP(PV_DATA[[#This Row],[New Ark SKU]],Table9[New Ark SKU],Table9[Total PCS per 40HQ Container],,0)</f>
        <v>864</v>
      </c>
      <c r="BG708" s="431" t="str">
        <f>_xlfn.XLOOKUP(PV_DATA[[#This Row],[New Ark SKU]],Table9[New Ark SKU],Table9[Back Glass],,0)</f>
        <v>Black glazing</v>
      </c>
      <c r="BH708" s="430" t="str">
        <f>_xlfn.XLOOKUP(PV_DATA[[#This Row],[PORT DESTINATION]],Table12[PORT DESTINATION],Table12[Cosco Line],,0)</f>
        <v>AEM</v>
      </c>
      <c r="BJ708" s="430"/>
    </row>
    <row r="709" spans="1:62" ht="10.5" hidden="1">
      <c r="A709" s="462" t="s">
        <v>5371</v>
      </c>
      <c r="B709" s="462" t="s">
        <v>61</v>
      </c>
      <c r="C709" s="462" t="str">
        <f>IFERROR(LEFT(PV_DATA[[#This Row],[TCL REFERENCE]],FIND(".",PV_DATA[[#This Row],[TCL REFERENCE]],1)-1),"Main Line")</f>
        <v>26Jun013</v>
      </c>
      <c r="D709" s="462" t="s">
        <v>63</v>
      </c>
      <c r="E709" s="462" t="s">
        <v>144</v>
      </c>
      <c r="F709" s="462" t="str" cm="1">
        <f t="array" ref="F70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09" s="462" t="s">
        <v>146</v>
      </c>
      <c r="H709" s="462" t="s">
        <v>2671</v>
      </c>
      <c r="I709" s="462" t="s">
        <v>689</v>
      </c>
      <c r="J709" s="430" t="s">
        <v>5328</v>
      </c>
      <c r="K709" s="430" t="s">
        <v>5372</v>
      </c>
      <c r="L709" s="430" t="s">
        <v>5330</v>
      </c>
      <c r="M709" s="430" t="s">
        <v>840</v>
      </c>
      <c r="N709" s="432">
        <v>46209</v>
      </c>
      <c r="O709" s="430" t="s">
        <v>4540</v>
      </c>
      <c r="P709" s="430" t="s">
        <v>706</v>
      </c>
      <c r="Q709" s="430" t="s">
        <v>707</v>
      </c>
      <c r="R709" s="430" t="str">
        <f>_xlfn.XLOOKUP(PV_DATA[[#This Row],[New Ark SKU]],Table9[New Ark SKU],Table9[Connector],,0)</f>
        <v>EVO2A</v>
      </c>
      <c r="S709" s="442" t="str">
        <f>_xlfn.XLOOKUP(PV_DATA[[#This Row],[New Ark SKU]],Table9[New Ark SKU],Table9[Cable],,0)</f>
        <v>±1200mm</v>
      </c>
      <c r="T709" s="433">
        <v>500</v>
      </c>
      <c r="U709" s="1062">
        <v>864</v>
      </c>
      <c r="V709" s="434">
        <f>PV_DATA[[#This Row],[QUANTITY]]*PV_DATA[[#This Row],[WATT]]/1000000</f>
        <v>0.432</v>
      </c>
      <c r="W709" s="435">
        <f>PV_DATA[[#This Row],[QUANTITY]]/PV_DATA[[#This Row],[Qty/Pallet]]</f>
        <v>24</v>
      </c>
      <c r="X709" s="1015">
        <f>PV_DATA[[#This Row],[QUANTITY]]/PV_DATA[[#This Row],[Qty/CT]]</f>
        <v>1</v>
      </c>
      <c r="Y709" s="430" t="s">
        <v>4368</v>
      </c>
      <c r="Z709" s="430" t="str">
        <f t="shared" si="8"/>
        <v>COMPLETED</v>
      </c>
      <c r="AA709" s="430"/>
      <c r="AB709" s="437">
        <v>46206</v>
      </c>
      <c r="AC709" s="485">
        <f>IF(PV_DATA[[#This Row],[Pick-Up Date]]&lt;&gt;"",_xlfn.ISOWEEKNUM(PV_DATA[[#This Row],[Pick-Up Date]]),"")</f>
        <v>27</v>
      </c>
      <c r="AD709" s="430" t="s">
        <v>5373</v>
      </c>
      <c r="AE709" s="430"/>
      <c r="AF709" s="430" t="s">
        <v>61</v>
      </c>
      <c r="AG709" s="430" t="s">
        <v>61</v>
      </c>
      <c r="AH709" s="430" t="s">
        <v>78</v>
      </c>
      <c r="AI709" s="437">
        <v>46212</v>
      </c>
      <c r="AJ709" s="437">
        <v>46213</v>
      </c>
      <c r="AK709" s="437">
        <v>46213</v>
      </c>
      <c r="AL709" s="437">
        <v>46274</v>
      </c>
      <c r="AM709" s="586">
        <f>IFERROR(VLOOKUP(AT709, Vessel!A:H, 8, FALSE), "")</f>
        <v>46290.25</v>
      </c>
      <c r="AN709" s="586">
        <f>IFERROR(IF(VLOOKUP(AT709,Vessel!A:I,9,FALSE)=0,"",VLOOKUP(AT709,Vessel!A:I,9,FALSE)),"")</f>
        <v>46290.232800925929</v>
      </c>
      <c r="AP709" s="430" t="s">
        <v>5358</v>
      </c>
      <c r="AQ709" s="438" t="s">
        <v>80</v>
      </c>
      <c r="AR709" s="430" t="s">
        <v>5374</v>
      </c>
      <c r="AS709" s="430" t="s">
        <v>5375</v>
      </c>
      <c r="AT709" s="430" t="s">
        <v>5375</v>
      </c>
      <c r="AU70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77.232800925929041</v>
      </c>
      <c r="AV709" s="437"/>
      <c r="AW709" s="437" cm="1">
        <f t="array" ref="AW70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46290.232800925929</v>
      </c>
      <c r="AX70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09" s="437">
        <f>IF(ISERROR(PV_DATA[[#This Row],[New Ark PO status]]),"",_xlfn.XLOOKUP(PV_DATA[[#This Row],[SPTN-PVHK New Ark PO'#]],New_Ark_Data[Purchase order Number],New_Ark_Data[Estimated time of arrival],"",0))</f>
        <v>46274</v>
      </c>
      <c r="AZ709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09" s="437">
        <f>IFERROR(PV_DATA[[#This Row],[ODP ETA Port]]+PV_DATA[[#This Row],[Customs/Leg3 Assumption]],"n/a")</f>
        <v>46290.232800925929</v>
      </c>
      <c r="BB709" s="433">
        <f>YEAR(PV_DATA[[#This Row],[ETA for New Ark update]])</f>
        <v>2026</v>
      </c>
      <c r="BC709" s="430">
        <f>MONTH(PV_DATA[[#This Row],[ETA for New Ark update]])</f>
        <v>9</v>
      </c>
      <c r="BD709" s="430">
        <f>IFERROR(_xlfn.ISOWEEKNUM(PV_DATA[[#This Row],[ETA for New Ark update]]),0)</f>
        <v>39</v>
      </c>
      <c r="BE709" s="430">
        <f>_xlfn.XLOOKUP(PV_DATA[[#This Row],[New Ark SKU]],Table9[New Ark SKU],Table9[Total PCS per Pallet],,0)</f>
        <v>36</v>
      </c>
      <c r="BF709" s="430">
        <f>_xlfn.XLOOKUP(PV_DATA[[#This Row],[New Ark SKU]],Table9[New Ark SKU],Table9[Total PCS per 40HQ Container],,0)</f>
        <v>864</v>
      </c>
      <c r="BG709" s="431" t="str">
        <f>_xlfn.XLOOKUP(PV_DATA[[#This Row],[New Ark SKU]],Table9[New Ark SKU],Table9[Back Glass],,0)</f>
        <v>Black glazing</v>
      </c>
      <c r="BH709" s="430" t="str">
        <f>_xlfn.XLOOKUP(PV_DATA[[#This Row],[PORT DESTINATION]],Table12[PORT DESTINATION],Table12[Cosco Line],,0)</f>
        <v>AEM</v>
      </c>
      <c r="BJ709" s="430"/>
    </row>
    <row r="710" spans="1:62" ht="10.5" hidden="1">
      <c r="A710" s="462" t="s">
        <v>5376</v>
      </c>
      <c r="B710" s="462" t="s">
        <v>61</v>
      </c>
      <c r="C710" s="462" t="str">
        <f>IFERROR(LEFT(PV_DATA[[#This Row],[TCL REFERENCE]],FIND(".",PV_DATA[[#This Row],[TCL REFERENCE]],1)-1),"Main Line")</f>
        <v>26Jun013</v>
      </c>
      <c r="D710" s="462" t="s">
        <v>63</v>
      </c>
      <c r="E710" s="462" t="s">
        <v>144</v>
      </c>
      <c r="F710" s="462" t="str" cm="1">
        <f t="array" ref="F71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10" s="462" t="s">
        <v>146</v>
      </c>
      <c r="H710" s="462" t="s">
        <v>2671</v>
      </c>
      <c r="I710" s="462" t="s">
        <v>689</v>
      </c>
      <c r="J710" s="430" t="s">
        <v>5328</v>
      </c>
      <c r="K710" s="430" t="s">
        <v>5377</v>
      </c>
      <c r="L710" s="430" t="s">
        <v>5330</v>
      </c>
      <c r="M710" s="430" t="s">
        <v>840</v>
      </c>
      <c r="N710" s="432">
        <v>46209</v>
      </c>
      <c r="O710" s="430" t="s">
        <v>4540</v>
      </c>
      <c r="P710" s="430" t="s">
        <v>706</v>
      </c>
      <c r="Q710" s="430" t="s">
        <v>707</v>
      </c>
      <c r="R710" s="430" t="str">
        <f>_xlfn.XLOOKUP(PV_DATA[[#This Row],[New Ark SKU]],Table9[New Ark SKU],Table9[Connector],,0)</f>
        <v>EVO2A</v>
      </c>
      <c r="S710" s="442" t="str">
        <f>_xlfn.XLOOKUP(PV_DATA[[#This Row],[New Ark SKU]],Table9[New Ark SKU],Table9[Cable],,0)</f>
        <v>±1200mm</v>
      </c>
      <c r="T710" s="433">
        <v>500</v>
      </c>
      <c r="U710" s="1062">
        <v>864</v>
      </c>
      <c r="V710" s="434">
        <f>PV_DATA[[#This Row],[QUANTITY]]*PV_DATA[[#This Row],[WATT]]/1000000</f>
        <v>0.432</v>
      </c>
      <c r="W710" s="435">
        <f>PV_DATA[[#This Row],[QUANTITY]]/PV_DATA[[#This Row],[Qty/Pallet]]</f>
        <v>24</v>
      </c>
      <c r="X710" s="1015">
        <f>PV_DATA[[#This Row],[QUANTITY]]/PV_DATA[[#This Row],[Qty/CT]]</f>
        <v>1</v>
      </c>
      <c r="Y710" s="430" t="s">
        <v>4368</v>
      </c>
      <c r="Z710" s="430" t="str">
        <f t="shared" si="8"/>
        <v>COMPLETED</v>
      </c>
      <c r="AA710" s="430"/>
      <c r="AB710" s="437">
        <v>46206</v>
      </c>
      <c r="AC710" s="485">
        <f>IF(PV_DATA[[#This Row],[Pick-Up Date]]&lt;&gt;"",_xlfn.ISOWEEKNUM(PV_DATA[[#This Row],[Pick-Up Date]]),"")</f>
        <v>27</v>
      </c>
      <c r="AD710" s="430" t="s">
        <v>5378</v>
      </c>
      <c r="AE710" s="430"/>
      <c r="AF710" s="430" t="s">
        <v>77</v>
      </c>
      <c r="AG710" s="430" t="s">
        <v>61</v>
      </c>
      <c r="AH710" s="430" t="s">
        <v>78</v>
      </c>
      <c r="AI710" s="437">
        <v>46212</v>
      </c>
      <c r="AJ710" s="437">
        <v>46213</v>
      </c>
      <c r="AK710" s="437">
        <v>46213</v>
      </c>
      <c r="AL710" s="437">
        <v>46274</v>
      </c>
      <c r="AM710" s="586">
        <f>IFERROR(VLOOKUP(AT710, Vessel!A:H, 8, FALSE), "")</f>
        <v>46290.25</v>
      </c>
      <c r="AN710" s="586">
        <f>IFERROR(IF(VLOOKUP(AT710,Vessel!A:I,9,FALSE)=0,"",VLOOKUP(AT710,Vessel!A:I,9,FALSE)),"")</f>
        <v>46290.232800925929</v>
      </c>
      <c r="AP710" s="430" t="s">
        <v>5358</v>
      </c>
      <c r="AQ710" s="438" t="s">
        <v>80</v>
      </c>
      <c r="AR710" s="430" t="s">
        <v>5379</v>
      </c>
      <c r="AS710" s="430" t="s">
        <v>5380</v>
      </c>
      <c r="AT710" s="430" t="s">
        <v>5380</v>
      </c>
      <c r="AU71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77.232800925929041</v>
      </c>
      <c r="AV710" s="437"/>
      <c r="AW710" s="437" cm="1">
        <f t="array" ref="AW71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46290.232800925929</v>
      </c>
      <c r="AX71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10" s="437">
        <f>IF(ISERROR(PV_DATA[[#This Row],[New Ark PO status]]),"",_xlfn.XLOOKUP(PV_DATA[[#This Row],[SPTN-PVHK New Ark PO'#]],New_Ark_Data[Purchase order Number],New_Ark_Data[Estimated time of arrival],"",0))</f>
        <v>46274</v>
      </c>
      <c r="AZ710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10" s="437">
        <f>IFERROR(PV_DATA[[#This Row],[ODP ETA Port]]+PV_DATA[[#This Row],[Customs/Leg3 Assumption]],"n/a")</f>
        <v>46290.232800925929</v>
      </c>
      <c r="BB710" s="433">
        <f>YEAR(PV_DATA[[#This Row],[ETA for New Ark update]])</f>
        <v>2026</v>
      </c>
      <c r="BC710" s="430">
        <f>MONTH(PV_DATA[[#This Row],[ETA for New Ark update]])</f>
        <v>9</v>
      </c>
      <c r="BD710" s="430">
        <f>IFERROR(_xlfn.ISOWEEKNUM(PV_DATA[[#This Row],[ETA for New Ark update]]),0)</f>
        <v>39</v>
      </c>
      <c r="BE710" s="430">
        <f>_xlfn.XLOOKUP(PV_DATA[[#This Row],[New Ark SKU]],Table9[New Ark SKU],Table9[Total PCS per Pallet],,0)</f>
        <v>36</v>
      </c>
      <c r="BF710" s="430">
        <f>_xlfn.XLOOKUP(PV_DATA[[#This Row],[New Ark SKU]],Table9[New Ark SKU],Table9[Total PCS per 40HQ Container],,0)</f>
        <v>864</v>
      </c>
      <c r="BG710" s="431" t="str">
        <f>_xlfn.XLOOKUP(PV_DATA[[#This Row],[New Ark SKU]],Table9[New Ark SKU],Table9[Back Glass],,0)</f>
        <v>Black glazing</v>
      </c>
      <c r="BH710" s="430" t="str">
        <f>_xlfn.XLOOKUP(PV_DATA[[#This Row],[PORT DESTINATION]],Table12[PORT DESTINATION],Table12[Cosco Line],,0)</f>
        <v>AEM</v>
      </c>
      <c r="BJ710" s="430"/>
    </row>
    <row r="711" spans="1:62" s="431" customFormat="1" ht="10.5" hidden="1">
      <c r="A711" s="439" t="s">
        <v>5381</v>
      </c>
      <c r="B711" s="439" t="s">
        <v>1757</v>
      </c>
      <c r="C711" s="439" t="str">
        <f>IFERROR(LEFT(PV_DATA[[#This Row],[TCL REFERENCE]],FIND(".",PV_DATA[[#This Row],[TCL REFERENCE]],1)-1),"Main Line")</f>
        <v>26Jun011</v>
      </c>
      <c r="D711" s="439" t="s">
        <v>63</v>
      </c>
      <c r="E711" s="439" t="s">
        <v>144</v>
      </c>
      <c r="F711" s="439" t="str" cm="1">
        <f t="array" ref="F71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11" s="439" t="s">
        <v>402</v>
      </c>
      <c r="H711" s="439" t="s">
        <v>1029</v>
      </c>
      <c r="I711" s="439" t="s">
        <v>689</v>
      </c>
      <c r="J711" s="431" t="s">
        <v>5382</v>
      </c>
      <c r="K711" s="431" t="s">
        <v>4888</v>
      </c>
      <c r="L711" s="431">
        <v>5</v>
      </c>
      <c r="M711" s="431" t="s">
        <v>840</v>
      </c>
      <c r="N711" s="461">
        <v>46195</v>
      </c>
      <c r="O711" s="431" t="s">
        <v>4540</v>
      </c>
      <c r="P711" s="431" t="s">
        <v>71</v>
      </c>
      <c r="Q711" s="431" t="s">
        <v>72</v>
      </c>
      <c r="R711" s="431" t="str">
        <f>_xlfn.XLOOKUP(PV_DATA[[#This Row],[New Ark SKU]],Table9[New Ark SKU],Table9[Connector],,0)</f>
        <v>EVO2A</v>
      </c>
      <c r="S711" s="442" t="str">
        <f>_xlfn.XLOOKUP(PV_DATA[[#This Row],[New Ark SKU]],Table9[New Ark SKU],Table9[Cable],,0)</f>
        <v>±1200mm</v>
      </c>
      <c r="T711" s="442">
        <v>500</v>
      </c>
      <c r="U711" s="1067">
        <f>864*4</f>
        <v>3456</v>
      </c>
      <c r="V711" s="448">
        <f>PV_DATA[[#This Row],[QUANTITY]]*PV_DATA[[#This Row],[WATT]]/1000000</f>
        <v>1.728</v>
      </c>
      <c r="W711" s="466">
        <f>PV_DATA[[#This Row],[QUANTITY]]/PV_DATA[[#This Row],[Qty/Pallet]]</f>
        <v>96</v>
      </c>
      <c r="X711" s="1019">
        <f>PV_DATA[[#This Row],[QUANTITY]]/PV_DATA[[#This Row],[Qty/CT]]</f>
        <v>4</v>
      </c>
      <c r="Y711" s="431" t="s">
        <v>4370</v>
      </c>
      <c r="Z711" s="430" t="str">
        <f t="shared" si="8"/>
        <v>COMPLETED</v>
      </c>
      <c r="AA711" s="661">
        <v>46206</v>
      </c>
      <c r="AB711" s="441">
        <v>46212</v>
      </c>
      <c r="AC711" s="662">
        <f>IF(PV_DATA[[#This Row],[Pick-Up Date]]&lt;&gt;"",_xlfn.ISOWEEKNUM(PV_DATA[[#This Row],[Pick-Up Date]]),"")</f>
        <v>28</v>
      </c>
      <c r="AD711" s="431" t="s">
        <v>5383</v>
      </c>
      <c r="AF711" s="447" t="s">
        <v>5043</v>
      </c>
      <c r="AG711" s="447" t="s">
        <v>123</v>
      </c>
      <c r="AH711" s="431" t="s">
        <v>888</v>
      </c>
      <c r="AI711" s="441">
        <v>46219</v>
      </c>
      <c r="AJ711" s="441">
        <v>46220</v>
      </c>
      <c r="AK711" s="441">
        <v>46223</v>
      </c>
      <c r="AL711" s="441">
        <v>46267</v>
      </c>
      <c r="AM711" s="586">
        <f>IFERROR(VLOOKUP(AT711, Vessel!A:H, 8, FALSE), "")</f>
        <v>46284.916666666664</v>
      </c>
      <c r="AN711" s="586">
        <f>IFERROR(IF(VLOOKUP(AT711,Vessel!A:I,9,FALSE)=0,"",VLOOKUP(AT711,Vessel!A:I,9,FALSE)),"")</f>
        <v>46285.259710648148</v>
      </c>
      <c r="AP711" s="431" t="s">
        <v>5384</v>
      </c>
      <c r="AQ711" s="431" t="s">
        <v>80</v>
      </c>
      <c r="AR711" s="431" t="s">
        <v>5385</v>
      </c>
      <c r="AS711" s="431" t="s">
        <v>5386</v>
      </c>
      <c r="AT711" s="431" t="s">
        <v>5386</v>
      </c>
      <c r="AU71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62.25971064814803</v>
      </c>
      <c r="AV711" s="441"/>
      <c r="AW711" s="441" cm="1">
        <f t="array" ref="AW71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46285.259710648148</v>
      </c>
      <c r="AX711" s="442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11" s="441">
        <f>IF(ISERROR(PV_DATA[[#This Row],[New Ark PO status]]),"",_xlfn.XLOOKUP(PV_DATA[[#This Row],[SPTN-PVHK New Ark PO'#]],New_Ark_Data[Purchase order Number],New_Ark_Data[Estimated time of arrival],"",0))</f>
        <v>46267</v>
      </c>
      <c r="AZ711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11" s="441">
        <f>IFERROR(PV_DATA[[#This Row],[ODP ETA Port]]+PV_DATA[[#This Row],[Customs/Leg3 Assumption]],"n/a")</f>
        <v>46285.259710648148</v>
      </c>
      <c r="BB711" s="442">
        <f>YEAR(PV_DATA[[#This Row],[ETA for New Ark update]])</f>
        <v>2026</v>
      </c>
      <c r="BC711" s="431">
        <f>MONTH(PV_DATA[[#This Row],[ETA for New Ark update]])</f>
        <v>9</v>
      </c>
      <c r="BD711" s="431">
        <f>IFERROR(_xlfn.ISOWEEKNUM(PV_DATA[[#This Row],[ETA for New Ark update]]),0)</f>
        <v>38</v>
      </c>
      <c r="BE711" s="431">
        <f>_xlfn.XLOOKUP(PV_DATA[[#This Row],[New Ark SKU]],Table9[New Ark SKU],Table9[Total PCS per Pallet],,0)</f>
        <v>36</v>
      </c>
      <c r="BF711" s="431">
        <f>_xlfn.XLOOKUP(PV_DATA[[#This Row],[New Ark SKU]],Table9[New Ark SKU],Table9[Total PCS per 40HQ Container],,0)</f>
        <v>864</v>
      </c>
      <c r="BG711" s="431" t="str">
        <f>_xlfn.XLOOKUP(PV_DATA[[#This Row],[New Ark SKU]],Table9[New Ark SKU],Table9[Back Glass],,0)</f>
        <v>Black glazing</v>
      </c>
      <c r="BH711" s="431" t="str">
        <f>_xlfn.XLOOKUP(PV_DATA[[#This Row],[PORT DESTINATION]],Table12[PORT DESTINATION],Table12[Cosco Line],,0)</f>
        <v>AEU</v>
      </c>
    </row>
    <row r="712" spans="1:62" s="431" customFormat="1" ht="10.5" hidden="1">
      <c r="A712" s="439" t="s">
        <v>5387</v>
      </c>
      <c r="B712" s="439" t="s">
        <v>111</v>
      </c>
      <c r="C712" s="439" t="str">
        <f>IFERROR(LEFT(PV_DATA[[#This Row],[TCL REFERENCE]],FIND(".",PV_DATA[[#This Row],[TCL REFERENCE]],1)-1),"Main Line")</f>
        <v>26Jun016</v>
      </c>
      <c r="D712" s="439" t="s">
        <v>63</v>
      </c>
      <c r="E712" s="439" t="s">
        <v>64</v>
      </c>
      <c r="F712" s="439" t="str" cm="1">
        <f t="array" ref="F71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712" s="439" t="s">
        <v>402</v>
      </c>
      <c r="H712" s="439" t="s">
        <v>67</v>
      </c>
      <c r="I712" s="439" t="s">
        <v>689</v>
      </c>
      <c r="J712" s="431" t="s">
        <v>96</v>
      </c>
      <c r="M712" s="431" t="s">
        <v>68</v>
      </c>
      <c r="N712" s="461">
        <v>46202</v>
      </c>
      <c r="O712" s="431" t="s">
        <v>5388</v>
      </c>
      <c r="P712" s="431" t="s">
        <v>5389</v>
      </c>
      <c r="Q712" s="431" t="s">
        <v>5390</v>
      </c>
      <c r="R712" s="431" t="str">
        <f>_xlfn.XLOOKUP(PV_DATA[[#This Row],[New Ark SKU]],Table9[New Ark SKU],Table9[Connector],,0)</f>
        <v>EVO2A</v>
      </c>
      <c r="S712" s="442" t="str">
        <f>_xlfn.XLOOKUP(PV_DATA[[#This Row],[New Ark SKU]],Table9[New Ark SKU],Table9[Cable],,0)</f>
        <v>±1200mm</v>
      </c>
      <c r="T712" s="442">
        <v>470</v>
      </c>
      <c r="U712" s="1067">
        <v>936</v>
      </c>
      <c r="V712" s="448">
        <f>PV_DATA[[#This Row],[QUANTITY]]*PV_DATA[[#This Row],[WATT]]/1000000</f>
        <v>0.43991999999999998</v>
      </c>
      <c r="W712" s="466">
        <f>PV_DATA[[#This Row],[QUANTITY]]/PV_DATA[[#This Row],[Qty/Pallet]]</f>
        <v>26</v>
      </c>
      <c r="X712" s="1019">
        <f>PV_DATA[[#This Row],[QUANTITY]]/PV_DATA[[#This Row],[Qty/CT]]</f>
        <v>1</v>
      </c>
      <c r="Y712" s="431" t="s">
        <v>4370</v>
      </c>
      <c r="Z712" s="430" t="str">
        <f t="shared" si="8"/>
        <v>COMPLETED</v>
      </c>
      <c r="AA712" s="661">
        <v>46201</v>
      </c>
      <c r="AB712" s="441">
        <v>46208</v>
      </c>
      <c r="AC712" s="467">
        <f>IF(PV_DATA[[#This Row],[Pick-Up Date]]&lt;&gt;"",_xlfn.ISOWEEKNUM(PV_DATA[[#This Row],[Pick-Up Date]]),"")</f>
        <v>27</v>
      </c>
      <c r="AD712" s="431" t="s">
        <v>5391</v>
      </c>
      <c r="AF712" s="431" t="s">
        <v>122</v>
      </c>
      <c r="AG712" s="431" t="s">
        <v>123</v>
      </c>
      <c r="AH712" s="431" t="s">
        <v>456</v>
      </c>
      <c r="AI712" s="441">
        <v>46220</v>
      </c>
      <c r="AJ712" s="441">
        <v>46219</v>
      </c>
      <c r="AK712" s="441">
        <v>46219</v>
      </c>
      <c r="AL712" s="441">
        <v>46257</v>
      </c>
      <c r="AM712" s="586"/>
      <c r="AN712" s="586">
        <f>IFERROR(IF(VLOOKUP(AT712,Vessel!A:I,9,FALSE)=0,"",VLOOKUP(AT712,Vessel!A:I,9,FALSE)),"")</f>
        <v>46253.739166666666</v>
      </c>
      <c r="AP712" s="431" t="s">
        <v>5384</v>
      </c>
      <c r="AQ712" s="445" t="s">
        <v>80</v>
      </c>
      <c r="AR712" s="431" t="s">
        <v>5392</v>
      </c>
      <c r="AS712" s="431" t="s">
        <v>5393</v>
      </c>
      <c r="AT712" s="431" t="s">
        <v>5393</v>
      </c>
      <c r="AU71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34.739166666666279</v>
      </c>
      <c r="AW712" s="441" cm="1">
        <f t="array" ref="AW71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46253.739166666666</v>
      </c>
      <c r="AX712" s="442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12" s="441">
        <f>IF(ISERROR(PV_DATA[[#This Row],[New Ark PO status]]),"",_xlfn.XLOOKUP(PV_DATA[[#This Row],[SPTN-PVHK New Ark PO'#]],New_Ark_Data[Purchase order Number],New_Ark_Data[Estimated time of arrival],"",0))</f>
        <v>46267</v>
      </c>
      <c r="AZ71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12" s="441">
        <f>IFERROR(PV_DATA[[#This Row],[ODP ETA Port]]+PV_DATA[[#This Row],[Customs/Leg3 Assumption]],"n/a")</f>
        <v>46260.739166666666</v>
      </c>
      <c r="BB712" s="442">
        <f>YEAR(PV_DATA[[#This Row],[ETA for New Ark update]])</f>
        <v>2026</v>
      </c>
      <c r="BC712" s="431">
        <f>MONTH(PV_DATA[[#This Row],[ETA for New Ark update]])</f>
        <v>8</v>
      </c>
      <c r="BD712" s="431">
        <f>IFERROR(_xlfn.ISOWEEKNUM(PV_DATA[[#This Row],[ETA for New Ark update]]),0)</f>
        <v>35</v>
      </c>
      <c r="BE712" s="431">
        <f>_xlfn.XLOOKUP(PV_DATA[[#This Row],[New Ark SKU]],Table9[New Ark SKU],Table9[Total PCS per Pallet],,0)</f>
        <v>36</v>
      </c>
      <c r="BF712" s="431">
        <f>_xlfn.XLOOKUP(PV_DATA[[#This Row],[New Ark SKU]],Table9[New Ark SKU],Table9[Total PCS per 40HQ Container],,0)</f>
        <v>936</v>
      </c>
      <c r="BG712" s="431" t="str">
        <f>_xlfn.XLOOKUP(PV_DATA[[#This Row],[New Ark SKU]],Table9[New Ark SKU],Table9[Back Glass],,0)</f>
        <v>Black glazing</v>
      </c>
      <c r="BH712" s="431" t="str">
        <f>_xlfn.XLOOKUP(PV_DATA[[#This Row],[PORT DESTINATION]],Table12[PORT DESTINATION],Table12[Cosco Line],,0)</f>
        <v>AEU</v>
      </c>
    </row>
    <row r="713" spans="1:62" ht="10.5" hidden="1">
      <c r="A713" s="462" t="s">
        <v>5394</v>
      </c>
      <c r="B713" s="462" t="s">
        <v>2132</v>
      </c>
      <c r="C713" s="462" t="str">
        <f>IFERROR(LEFT(PV_DATA[[#This Row],[TCL REFERENCE]],FIND(".",PV_DATA[[#This Row],[TCL REFERENCE]],1)-1),"Main Line")</f>
        <v>26Jun008</v>
      </c>
      <c r="D713" s="462" t="s">
        <v>63</v>
      </c>
      <c r="E713" s="462" t="s">
        <v>64</v>
      </c>
      <c r="F713" s="462" t="str" cm="1">
        <f t="array" ref="F71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13" s="462" t="s">
        <v>402</v>
      </c>
      <c r="H713" s="462" t="s">
        <v>67</v>
      </c>
      <c r="I713" s="462" t="s">
        <v>1395</v>
      </c>
      <c r="J713" s="430" t="s">
        <v>1047</v>
      </c>
      <c r="K713" s="430"/>
      <c r="L713" s="430"/>
      <c r="M713" s="430" t="s">
        <v>68</v>
      </c>
      <c r="N713" s="432">
        <v>46188</v>
      </c>
      <c r="O713" s="430" t="s">
        <v>4540</v>
      </c>
      <c r="P713" s="430" t="s">
        <v>5099</v>
      </c>
      <c r="Q713" s="430" t="s">
        <v>330</v>
      </c>
      <c r="R713" s="430" t="str">
        <f>_xlfn.XLOOKUP(PV_DATA[[#This Row],[New Ark SKU]],Table9[New Ark SKU],Table9[Connector],,0)</f>
        <v>H4(Com)</v>
      </c>
      <c r="S713" s="433" t="str">
        <f>_xlfn.XLOOKUP(PV_DATA[[#This Row],[New Ark SKU]],Table9[New Ark SKU],Table9[Cable],,0)</f>
        <v>±1400mm</v>
      </c>
      <c r="T713" s="433">
        <v>625</v>
      </c>
      <c r="U713" s="1062">
        <v>7920</v>
      </c>
      <c r="V713" s="434">
        <f>PV_DATA[[#This Row],[QUANTITY]]*PV_DATA[[#This Row],[WATT]]/1000000</f>
        <v>4.95</v>
      </c>
      <c r="W713" s="435">
        <f>PV_DATA[[#This Row],[QUANTITY]]/PV_DATA[[#This Row],[Qty/Pallet]]</f>
        <v>220</v>
      </c>
      <c r="X713" s="1015">
        <f>PV_DATA[[#This Row],[QUANTITY]]/PV_DATA[[#This Row],[Qty/CT]]</f>
        <v>11</v>
      </c>
      <c r="Y713" s="430" t="s">
        <v>4369</v>
      </c>
      <c r="Z713" s="430" t="str">
        <f t="shared" si="8"/>
        <v>COMPLETED</v>
      </c>
      <c r="AA713" s="430" t="s">
        <v>5395</v>
      </c>
      <c r="AB713" s="437">
        <v>46217</v>
      </c>
      <c r="AC713" s="485">
        <f>IF(PV_DATA[[#This Row],[Pick-Up Date]]&lt;&gt;"",_xlfn.ISOWEEKNUM(PV_DATA[[#This Row],[Pick-Up Date]]),"")</f>
        <v>29</v>
      </c>
      <c r="AD713" s="430" t="s">
        <v>5396</v>
      </c>
      <c r="AE713" s="430"/>
      <c r="AF713" s="430" t="s">
        <v>122</v>
      </c>
      <c r="AG713" s="430" t="s">
        <v>123</v>
      </c>
      <c r="AH713" s="430" t="s">
        <v>105</v>
      </c>
      <c r="AI713" s="437">
        <v>46228</v>
      </c>
      <c r="AJ713" s="437">
        <v>46229</v>
      </c>
      <c r="AK713" s="437">
        <v>46231</v>
      </c>
      <c r="AL713" s="437">
        <v>46256</v>
      </c>
      <c r="AM713" s="586">
        <v>46266</v>
      </c>
      <c r="AN713" s="586">
        <f>IFERROR(IF(VLOOKUP(AT713,Vessel!A:I,9,FALSE)=0,"",VLOOKUP(AT713,Vessel!A:I,9,FALSE)),"")</f>
        <v>46265.971226851849</v>
      </c>
      <c r="AP713" s="430" t="s">
        <v>5397</v>
      </c>
      <c r="AQ713" s="430" t="s">
        <v>80</v>
      </c>
      <c r="AR713" s="430" t="s">
        <v>5398</v>
      </c>
      <c r="AS713" s="430" t="s">
        <v>5399</v>
      </c>
      <c r="AT713" s="430" t="s">
        <v>5399</v>
      </c>
      <c r="AU71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34.971226851848769</v>
      </c>
      <c r="AV713" s="437"/>
      <c r="AW713" s="437" cm="1">
        <f t="array" ref="AW71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46265.971226851849</v>
      </c>
      <c r="AX71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13" s="437">
        <f>IF(ISERROR(PV_DATA[[#This Row],[New Ark PO status]]),"",_xlfn.XLOOKUP(PV_DATA[[#This Row],[SPTN-PVHK New Ark PO'#]],New_Ark_Data[Purchase order Number],New_Ark_Data[Estimated time of arrival],"",0))</f>
        <v>46279</v>
      </c>
      <c r="AZ713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13" s="437">
        <f>IFERROR(PV_DATA[[#This Row],[ODP ETA Port]]+PV_DATA[[#This Row],[Customs/Leg3 Assumption]],"n/a")</f>
        <v>46272.971226851849</v>
      </c>
      <c r="BB713" s="433">
        <f>YEAR(PV_DATA[[#This Row],[ETA for New Ark update]])</f>
        <v>2026</v>
      </c>
      <c r="BC713" s="430">
        <f>MONTH(PV_DATA[[#This Row],[ETA for New Ark update]])</f>
        <v>9</v>
      </c>
      <c r="BD713" s="430">
        <f>IFERROR(_xlfn.ISOWEEKNUM(PV_DATA[[#This Row],[ETA for New Ark update]]),0)</f>
        <v>37</v>
      </c>
      <c r="BE713" s="430">
        <f>_xlfn.XLOOKUP(PV_DATA[[#This Row],[New Ark SKU]],Table9[New Ark SKU],Table9[Total PCS per Pallet],,0)</f>
        <v>36</v>
      </c>
      <c r="BF713" s="430">
        <f>_xlfn.XLOOKUP(PV_DATA[[#This Row],[New Ark SKU]],Table9[New Ark SKU],Table9[Total PCS per 40HQ Container],,0)</f>
        <v>720</v>
      </c>
      <c r="BG713" s="430" t="str">
        <f>_xlfn.XLOOKUP(PV_DATA[[#This Row],[New Ark SKU]],Table9[New Ark SKU],Table9[Back Glass],,0)</f>
        <v>Transparent</v>
      </c>
      <c r="BH713" s="430" t="str">
        <f>_xlfn.XLOOKUP(PV_DATA[[#This Row],[PORT DESTINATION]],Table12[PORT DESTINATION],Table12[Cosco Line],,0)</f>
        <v>AEU</v>
      </c>
      <c r="BJ713" s="430"/>
    </row>
    <row r="714" spans="1:62" ht="11.25" hidden="1" customHeight="1">
      <c r="A714" s="462" t="s">
        <v>5400</v>
      </c>
      <c r="B714" s="462" t="s">
        <v>111</v>
      </c>
      <c r="C714" s="462" t="str">
        <f>IFERROR(LEFT(PV_DATA[[#This Row],[TCL REFERENCE]],FIND(".",PV_DATA[[#This Row],[TCL REFERENCE]],1)-1),"Main Line")</f>
        <v>26May011</v>
      </c>
      <c r="D714" s="462" t="s">
        <v>63</v>
      </c>
      <c r="E714" s="462" t="s">
        <v>144</v>
      </c>
      <c r="F714" s="462" t="str" cm="1">
        <f t="array" ref="F71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14" s="462" t="s">
        <v>402</v>
      </c>
      <c r="H714" s="713" t="s">
        <v>670</v>
      </c>
      <c r="I714" s="462" t="s">
        <v>1395</v>
      </c>
      <c r="J714" s="463" t="s">
        <v>5401</v>
      </c>
      <c r="K714" s="430" t="s">
        <v>5402</v>
      </c>
      <c r="L714" s="430">
        <v>1</v>
      </c>
      <c r="M714" s="430" t="s">
        <v>840</v>
      </c>
      <c r="N714" s="432">
        <v>46167</v>
      </c>
      <c r="O714" s="430" t="s">
        <v>4540</v>
      </c>
      <c r="P714" s="459" t="s">
        <v>4601</v>
      </c>
      <c r="Q714" s="430" t="s">
        <v>330</v>
      </c>
      <c r="R714" s="430" t="str">
        <f>_xlfn.XLOOKUP(PV_DATA[[#This Row],[New Ark SKU]],Table9[New Ark SKU],Table9[Connector],,0)</f>
        <v>H4(Com)</v>
      </c>
      <c r="S714" s="433" t="str">
        <f>_xlfn.XLOOKUP(PV_DATA[[#This Row],[New Ark SKU]],Table9[New Ark SKU],Table9[Cable],,0)</f>
        <v>+400mm/-200mm</v>
      </c>
      <c r="T714" s="433">
        <v>625</v>
      </c>
      <c r="U714" s="1062">
        <v>3600</v>
      </c>
      <c r="V714" s="434">
        <f>PV_DATA[[#This Row],[QUANTITY]]*PV_DATA[[#This Row],[WATT]]/1000000</f>
        <v>2.25</v>
      </c>
      <c r="W714" s="435">
        <f>PV_DATA[[#This Row],[QUANTITY]]/PV_DATA[[#This Row],[Qty/Pallet]]</f>
        <v>100</v>
      </c>
      <c r="X714" s="1020">
        <f>PV_DATA[[#This Row],[QUANTITY]]/PV_DATA[[#This Row],[Qty/CT]]</f>
        <v>5</v>
      </c>
      <c r="Y714" s="430" t="s">
        <v>4369</v>
      </c>
      <c r="Z714" s="430" t="str">
        <f t="shared" si="8"/>
        <v>COMPLETED</v>
      </c>
      <c r="AA714" s="430" t="s">
        <v>5403</v>
      </c>
      <c r="AB714" s="437">
        <v>46225</v>
      </c>
      <c r="AC714" s="485">
        <f>IF(PV_DATA[[#This Row],[Pick-Up Date]]&lt;&gt;"",_xlfn.ISOWEEKNUM(PV_DATA[[#This Row],[Pick-Up Date]]),"")</f>
        <v>30</v>
      </c>
      <c r="AD714" s="430" t="s">
        <v>5404</v>
      </c>
      <c r="AE714" s="430"/>
      <c r="AF714" s="430" t="s">
        <v>122</v>
      </c>
      <c r="AG714" s="430" t="s">
        <v>123</v>
      </c>
      <c r="AH714" s="430" t="s">
        <v>105</v>
      </c>
      <c r="AI714" s="437">
        <v>46228</v>
      </c>
      <c r="AJ714" s="437">
        <v>46229</v>
      </c>
      <c r="AK714" s="437">
        <v>46231</v>
      </c>
      <c r="AL714" s="437">
        <v>46256</v>
      </c>
      <c r="AM714" s="586">
        <v>46266</v>
      </c>
      <c r="AN714" s="586">
        <f>IFERROR(IF(VLOOKUP(AT714,Vessel!A:I,9,FALSE)=0,"",VLOOKUP(AT714,Vessel!A:I,9,FALSE)),"")</f>
        <v>46265.971226851849</v>
      </c>
      <c r="AP714" s="430" t="s">
        <v>5397</v>
      </c>
      <c r="AQ714" s="430" t="s">
        <v>80</v>
      </c>
      <c r="AR714" s="430" t="s">
        <v>5405</v>
      </c>
      <c r="AS714" s="430" t="s">
        <v>5406</v>
      </c>
      <c r="AT714" s="430" t="s">
        <v>5406</v>
      </c>
      <c r="AU71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34.971226851848769</v>
      </c>
      <c r="AV714" s="437"/>
      <c r="AW714" s="437" cm="1">
        <f t="array" ref="AW71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46265.971226851849</v>
      </c>
      <c r="AX71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14" s="437">
        <f>IF(ISERROR(PV_DATA[[#This Row],[New Ark PO status]]),"",_xlfn.XLOOKUP(PV_DATA[[#This Row],[SPTN-PVHK New Ark PO'#]],New_Ark_Data[Purchase order Number],New_Ark_Data[Estimated time of arrival],"",0))</f>
        <v>46262</v>
      </c>
      <c r="AZ714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14" s="437">
        <f>IFERROR(PV_DATA[[#This Row],[ODP ETA Port]]+PV_DATA[[#This Row],[Customs/Leg3 Assumption]],"n/a")</f>
        <v>46265.971226851849</v>
      </c>
      <c r="BB714" s="433">
        <f>YEAR(PV_DATA[[#This Row],[ETA for New Ark update]])</f>
        <v>2026</v>
      </c>
      <c r="BC714" s="430">
        <f>MONTH(PV_DATA[[#This Row],[ETA for New Ark update]])</f>
        <v>8</v>
      </c>
      <c r="BD714" s="430">
        <f>IFERROR(_xlfn.ISOWEEKNUM(PV_DATA[[#This Row],[ETA for New Ark update]]),0)</f>
        <v>36</v>
      </c>
      <c r="BE714" s="430">
        <f>_xlfn.XLOOKUP(PV_DATA[[#This Row],[New Ark SKU]],Table9[New Ark SKU],Table9[Total PCS per Pallet],,0)</f>
        <v>36</v>
      </c>
      <c r="BF714" s="430">
        <f>_xlfn.XLOOKUP(PV_DATA[[#This Row],[New Ark SKU]],Table9[New Ark SKU],Table9[Total PCS per 40HQ Container],,0)</f>
        <v>720</v>
      </c>
      <c r="BG714" s="430" t="str">
        <f>_xlfn.XLOOKUP(PV_DATA[[#This Row],[New Ark SKU]],Table9[New Ark SKU],Table9[Back Glass],,0)</f>
        <v>Transparent</v>
      </c>
      <c r="BH714" s="610" t="str">
        <f>_xlfn.XLOOKUP(PV_DATA[[#This Row],[PORT DESTINATION]],Table12[PORT DESTINATION],Table12[Cosco Line],,0)</f>
        <v>AEU</v>
      </c>
      <c r="BJ714" s="430"/>
    </row>
    <row r="715" spans="1:62" ht="10.5" hidden="1">
      <c r="A715" s="462" t="s">
        <v>5407</v>
      </c>
      <c r="B715" s="462" t="s">
        <v>111</v>
      </c>
      <c r="C715" s="462" t="str">
        <f>IFERROR(LEFT(PV_DATA[[#This Row],[TCL REFERENCE]],FIND(".",PV_DATA[[#This Row],[TCL REFERENCE]],1)-1),"Main Line")</f>
        <v>26Jun015</v>
      </c>
      <c r="D715" s="462" t="s">
        <v>63</v>
      </c>
      <c r="E715" s="462" t="s">
        <v>144</v>
      </c>
      <c r="F715" s="462" t="str" cm="1">
        <f t="array" ref="F71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15" s="462" t="s">
        <v>402</v>
      </c>
      <c r="H715" s="462" t="s">
        <v>1080</v>
      </c>
      <c r="I715" s="462" t="s">
        <v>869</v>
      </c>
      <c r="J715" s="430" t="s">
        <v>1080</v>
      </c>
      <c r="K715" s="430" t="s">
        <v>5408</v>
      </c>
      <c r="L715" s="430">
        <v>1</v>
      </c>
      <c r="M715" s="430" t="s">
        <v>840</v>
      </c>
      <c r="N715" s="432">
        <v>46202</v>
      </c>
      <c r="O715" s="430" t="s">
        <v>5388</v>
      </c>
      <c r="P715" s="459" t="s">
        <v>5409</v>
      </c>
      <c r="Q715" s="430" t="s">
        <v>5410</v>
      </c>
      <c r="R715" s="430" t="str">
        <f>_xlfn.XLOOKUP(PV_DATA[[#This Row],[New Ark SKU]],Table9[New Ark SKU],Table9[Connector],,0)</f>
        <v>EVO2A</v>
      </c>
      <c r="S715" s="433" t="str">
        <f>_xlfn.XLOOKUP(PV_DATA[[#This Row],[New Ark SKU]],Table9[New Ark SKU],Table9[Cable],,0)</f>
        <v>±1200mm</v>
      </c>
      <c r="T715" s="433">
        <v>465</v>
      </c>
      <c r="U715" s="1062">
        <v>3744</v>
      </c>
      <c r="V715" s="434">
        <f>PV_DATA[[#This Row],[QUANTITY]]*PV_DATA[[#This Row],[WATT]]/1000000</f>
        <v>1.7409600000000001</v>
      </c>
      <c r="W715" s="435">
        <f>PV_DATA[[#This Row],[QUANTITY]]/PV_DATA[[#This Row],[Qty/Pallet]]</f>
        <v>104</v>
      </c>
      <c r="X715" s="1015">
        <f>PV_DATA[[#This Row],[QUANTITY]]/PV_DATA[[#This Row],[Qty/CT]]</f>
        <v>4</v>
      </c>
      <c r="Y715" s="430" t="s">
        <v>4371</v>
      </c>
      <c r="Z715" s="430" t="str">
        <f t="shared" si="8"/>
        <v>COMPLETED</v>
      </c>
      <c r="AA715" s="430" t="s">
        <v>5411</v>
      </c>
      <c r="AB715" s="437">
        <v>46225</v>
      </c>
      <c r="AC715" s="485">
        <f>IF(PV_DATA[[#This Row],[Pick-Up Date]]&lt;&gt;"",_xlfn.ISOWEEKNUM(PV_DATA[[#This Row],[Pick-Up Date]]),"")</f>
        <v>30</v>
      </c>
      <c r="AD715" s="430" t="s">
        <v>5412</v>
      </c>
      <c r="AE715" s="430"/>
      <c r="AF715" s="430" t="s">
        <v>122</v>
      </c>
      <c r="AG715" s="430" t="s">
        <v>123</v>
      </c>
      <c r="AH715" s="431" t="s">
        <v>105</v>
      </c>
      <c r="AI715" s="437">
        <v>46228</v>
      </c>
      <c r="AJ715" s="437">
        <v>46229</v>
      </c>
      <c r="AK715" s="437">
        <v>46231</v>
      </c>
      <c r="AL715" s="437">
        <v>46256</v>
      </c>
      <c r="AM715" s="586">
        <v>46266</v>
      </c>
      <c r="AN715" s="586">
        <f>IFERROR(IF(VLOOKUP(AT715,Vessel!A:I,9,FALSE)=0,"",VLOOKUP(AT715,Vessel!A:I,9,FALSE)),"")</f>
        <v>46265.971226851849</v>
      </c>
      <c r="AP715" s="430" t="s">
        <v>5397</v>
      </c>
      <c r="AQ715" s="438" t="s">
        <v>80</v>
      </c>
      <c r="AR715" s="430" t="s">
        <v>5413</v>
      </c>
      <c r="AS715" s="430" t="s">
        <v>5414</v>
      </c>
      <c r="AT715" s="430" t="s">
        <v>5414</v>
      </c>
      <c r="AU71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34.971226851848769</v>
      </c>
      <c r="AV715" s="430" t="s">
        <v>2493</v>
      </c>
      <c r="AW715" s="437" cm="1">
        <f t="array" ref="AW71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46265.971226851849</v>
      </c>
      <c r="AX71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15" s="437">
        <f>IF(ISERROR(PV_DATA[[#This Row],[New Ark PO status]]),"",_xlfn.XLOOKUP(PV_DATA[[#This Row],[SPTN-PVHK New Ark PO'#]],New_Ark_Data[Purchase order Number],New_Ark_Data[Estimated time of arrival],"",0))</f>
        <v>46262</v>
      </c>
      <c r="AZ715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15" s="437">
        <f>IFERROR(PV_DATA[[#This Row],[ODP ETA Port]]+PV_DATA[[#This Row],[Customs/Leg3 Assumption]],"n/a")</f>
        <v>46265.971226851849</v>
      </c>
      <c r="BB715" s="433">
        <f>YEAR(PV_DATA[[#This Row],[ETA for New Ark update]])</f>
        <v>2026</v>
      </c>
      <c r="BC715" s="430">
        <f>MONTH(PV_DATA[[#This Row],[ETA for New Ark update]])</f>
        <v>8</v>
      </c>
      <c r="BD715" s="430">
        <f>IFERROR(_xlfn.ISOWEEKNUM(PV_DATA[[#This Row],[ETA for New Ark update]]),0)</f>
        <v>36</v>
      </c>
      <c r="BE715" s="430">
        <f>_xlfn.XLOOKUP(PV_DATA[[#This Row],[New Ark SKU]],Table9[New Ark SKU],Table9[Total PCS per Pallet],,0)</f>
        <v>36</v>
      </c>
      <c r="BF715" s="430">
        <f>_xlfn.XLOOKUP(PV_DATA[[#This Row],[New Ark SKU]],Table9[New Ark SKU],Table9[Total PCS per 40HQ Container],,0)</f>
        <v>936</v>
      </c>
      <c r="BG715" s="430" t="str">
        <f>_xlfn.XLOOKUP(PV_DATA[[#This Row],[New Ark SKU]],Table9[New Ark SKU],Table9[Back Glass],,0)</f>
        <v>Black glazing</v>
      </c>
      <c r="BH715" s="610" t="str">
        <f>_xlfn.XLOOKUP(PV_DATA[[#This Row],[PORT DESTINATION]],Table12[PORT DESTINATION],Table12[Cosco Line],,0)</f>
        <v>AEU</v>
      </c>
      <c r="BJ715" s="430"/>
    </row>
    <row r="716" spans="1:62" ht="10.5" hidden="1">
      <c r="A716" s="462" t="s">
        <v>5415</v>
      </c>
      <c r="B716" s="462" t="s">
        <v>111</v>
      </c>
      <c r="C716" s="462" t="str">
        <f>IFERROR(LEFT(PV_DATA[[#This Row],[TCL REFERENCE]],FIND(".",PV_DATA[[#This Row],[TCL REFERENCE]],1)-1),"Main Line")</f>
        <v>26May013</v>
      </c>
      <c r="D716" s="462" t="s">
        <v>63</v>
      </c>
      <c r="E716" s="462" t="s">
        <v>144</v>
      </c>
      <c r="F716" s="462" t="str" cm="1">
        <f t="array" ref="F716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16" s="462" t="s">
        <v>402</v>
      </c>
      <c r="H716" s="713" t="s">
        <v>1449</v>
      </c>
      <c r="I716" s="462" t="s">
        <v>822</v>
      </c>
      <c r="J716" s="430" t="s">
        <v>4600</v>
      </c>
      <c r="K716" s="430" t="s">
        <v>1451</v>
      </c>
      <c r="L716" s="430">
        <v>39</v>
      </c>
      <c r="M716" s="430" t="s">
        <v>840</v>
      </c>
      <c r="N716" s="432">
        <v>46181</v>
      </c>
      <c r="O716" s="430" t="s">
        <v>4540</v>
      </c>
      <c r="P716" s="430" t="s">
        <v>5050</v>
      </c>
      <c r="Q716" s="430" t="s">
        <v>1807</v>
      </c>
      <c r="R716" s="430" t="str">
        <f>_xlfn.XLOOKUP(PV_DATA[[#This Row],[New Ark SKU]],Table9[New Ark SKU],Table9[Connector],,0)</f>
        <v>H4(Com)</v>
      </c>
      <c r="S716" s="433" t="str">
        <f>_xlfn.XLOOKUP(PV_DATA[[#This Row],[New Ark SKU]],Table9[New Ark SKU],Table9[Cable],,0)</f>
        <v>+400mm/-200mm</v>
      </c>
      <c r="T716" s="433">
        <v>720</v>
      </c>
      <c r="U716" s="1062">
        <f>594*3</f>
        <v>1782</v>
      </c>
      <c r="V716" s="544">
        <f>PV_DATA[[#This Row],[QUANTITY]]*PV_DATA[[#This Row],[WATT]]/1000000</f>
        <v>1.28304</v>
      </c>
      <c r="W716" s="435">
        <f>PV_DATA[[#This Row],[QUANTITY]]/PV_DATA[[#This Row],[Qty/Pallet]]</f>
        <v>54</v>
      </c>
      <c r="X716" s="1015">
        <f>PV_DATA[[#This Row],[QUANTITY]]/PV_DATA[[#This Row],[Qty/CT]]</f>
        <v>3</v>
      </c>
      <c r="Y716" s="430" t="s">
        <v>4369</v>
      </c>
      <c r="Z716" s="430" t="str">
        <f t="shared" si="8"/>
        <v>COMPLETED</v>
      </c>
      <c r="AA716" s="430" t="s">
        <v>5416</v>
      </c>
      <c r="AB716" s="437">
        <v>46213</v>
      </c>
      <c r="AC716" s="485">
        <f>IF(PV_DATA[[#This Row],[Pick-Up Date]]&lt;&gt;"",_xlfn.ISOWEEKNUM(PV_DATA[[#This Row],[Pick-Up Date]]),"")</f>
        <v>28</v>
      </c>
      <c r="AD716" s="430" t="s">
        <v>5417</v>
      </c>
      <c r="AE716" s="435"/>
      <c r="AF716" s="430" t="s">
        <v>122</v>
      </c>
      <c r="AG716" s="430" t="s">
        <v>123</v>
      </c>
      <c r="AH716" s="430" t="s">
        <v>105</v>
      </c>
      <c r="AI716" s="437">
        <v>46216</v>
      </c>
      <c r="AJ716" s="437">
        <v>46220</v>
      </c>
      <c r="AK716" s="437">
        <v>46220</v>
      </c>
      <c r="AL716" s="437">
        <v>46253</v>
      </c>
      <c r="AM716" s="586">
        <f>IFERROR(VLOOKUP(AT716, Vessel!A:H, 8, FALSE), "")</f>
        <v>46260.5</v>
      </c>
      <c r="AN716" s="586">
        <v>46260</v>
      </c>
      <c r="AP716" s="430" t="s">
        <v>5418</v>
      </c>
      <c r="AQ716" s="430" t="s">
        <v>80</v>
      </c>
      <c r="AR716" s="430" t="s">
        <v>5419</v>
      </c>
      <c r="AS716" s="430" t="s">
        <v>5420</v>
      </c>
      <c r="AT716" s="430" t="s">
        <v>5420</v>
      </c>
      <c r="AU71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V716" s="437"/>
      <c r="AW716" s="437" cm="1">
        <f t="array" ref="AW71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46260</v>
      </c>
      <c r="AX71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16" s="437">
        <f>IF(ISERROR(PV_DATA[[#This Row],[New Ark PO status]]),"",_xlfn.XLOOKUP(PV_DATA[[#This Row],[SPTN-PVHK New Ark PO'#]],New_Ark_Data[Purchase order Number],New_Ark_Data[Estimated time of arrival],"",0))</f>
        <v>46253</v>
      </c>
      <c r="AZ716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16" s="437">
        <f>IFERROR(PV_DATA[[#This Row],[ODP ETA Port]]+PV_DATA[[#This Row],[Customs/Leg3 Assumption]],"n/a")</f>
        <v>46260</v>
      </c>
      <c r="BB716" s="433">
        <f>YEAR(PV_DATA[[#This Row],[ETA for New Ark update]])</f>
        <v>2026</v>
      </c>
      <c r="BC716" s="430">
        <f>MONTH(PV_DATA[[#This Row],[ETA for New Ark update]])</f>
        <v>8</v>
      </c>
      <c r="BD716" s="430">
        <f>IFERROR(_xlfn.ISOWEEKNUM(PV_DATA[[#This Row],[ETA for New Ark update]]),0)</f>
        <v>35</v>
      </c>
      <c r="BE716" s="430">
        <f>_xlfn.XLOOKUP(PV_DATA[[#This Row],[New Ark SKU]],Table9[New Ark SKU],Table9[Total PCS per Pallet],,0)</f>
        <v>33</v>
      </c>
      <c r="BF716" s="430">
        <f>_xlfn.XLOOKUP(PV_DATA[[#This Row],[New Ark SKU]],Table9[New Ark SKU],Table9[Total PCS per 40HQ Container],,0)</f>
        <v>594</v>
      </c>
      <c r="BG716" s="430" t="str">
        <f>_xlfn.XLOOKUP(PV_DATA[[#This Row],[New Ark SKU]],Table9[New Ark SKU],Table9[Back Glass],,0)</f>
        <v>Transparent</v>
      </c>
      <c r="BH716" s="430" t="str">
        <f>_xlfn.XLOOKUP(PV_DATA[[#This Row],[PORT DESTINATION]],Table12[PORT DESTINATION],Table12[Cosco Line],,0)</f>
        <v>AEU</v>
      </c>
      <c r="BJ716" s="430"/>
    </row>
    <row r="717" spans="1:62" ht="10.5" hidden="1">
      <c r="A717" s="462" t="s">
        <v>5421</v>
      </c>
      <c r="B717" s="462" t="s">
        <v>111</v>
      </c>
      <c r="C717" s="462" t="str">
        <f>IFERROR(LEFT(PV_DATA[[#This Row],[TCL REFERENCE]],FIND(".",PV_DATA[[#This Row],[TCL REFERENCE]],1)-1),"Main Line")</f>
        <v>26May013</v>
      </c>
      <c r="D717" s="462" t="s">
        <v>63</v>
      </c>
      <c r="E717" s="462" t="s">
        <v>144</v>
      </c>
      <c r="F717" s="462" t="str" cm="1">
        <f t="array" ref="F71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17" s="462" t="s">
        <v>402</v>
      </c>
      <c r="H717" s="713" t="s">
        <v>1449</v>
      </c>
      <c r="I717" s="462" t="s">
        <v>822</v>
      </c>
      <c r="J717" s="430" t="s">
        <v>4600</v>
      </c>
      <c r="K717" s="430" t="s">
        <v>1451</v>
      </c>
      <c r="L717" s="430">
        <v>40</v>
      </c>
      <c r="M717" s="430" t="s">
        <v>840</v>
      </c>
      <c r="N717" s="432">
        <v>46181</v>
      </c>
      <c r="O717" s="430" t="s">
        <v>4540</v>
      </c>
      <c r="P717" s="430" t="s">
        <v>5050</v>
      </c>
      <c r="Q717" s="430" t="s">
        <v>1807</v>
      </c>
      <c r="R717" s="430" t="str">
        <f>_xlfn.XLOOKUP(PV_DATA[[#This Row],[New Ark SKU]],Table9[New Ark SKU],Table9[Connector],,0)</f>
        <v>H4(Com)</v>
      </c>
      <c r="S717" s="433" t="str">
        <f>_xlfn.XLOOKUP(PV_DATA[[#This Row],[New Ark SKU]],Table9[New Ark SKU],Table9[Cable],,0)</f>
        <v>+400mm/-200mm</v>
      </c>
      <c r="T717" s="433">
        <v>720</v>
      </c>
      <c r="U717" s="1062">
        <f>594*2</f>
        <v>1188</v>
      </c>
      <c r="V717" s="544">
        <f>PV_DATA[[#This Row],[QUANTITY]]*PV_DATA[[#This Row],[WATT]]/1000000</f>
        <v>0.85536000000000001</v>
      </c>
      <c r="W717" s="435">
        <f>PV_DATA[[#This Row],[QUANTITY]]/PV_DATA[[#This Row],[Qty/Pallet]]</f>
        <v>36</v>
      </c>
      <c r="X717" s="1015">
        <f>PV_DATA[[#This Row],[QUANTITY]]/PV_DATA[[#This Row],[Qty/CT]]</f>
        <v>2</v>
      </c>
      <c r="Y717" s="430" t="s">
        <v>4370</v>
      </c>
      <c r="Z717" s="430" t="str">
        <f t="shared" si="8"/>
        <v>COMPLETED</v>
      </c>
      <c r="AA717" s="430" t="s">
        <v>5416</v>
      </c>
      <c r="AB717" s="437">
        <v>46213</v>
      </c>
      <c r="AC717" s="485">
        <f>IF(PV_DATA[[#This Row],[Pick-Up Date]]&lt;&gt;"",_xlfn.ISOWEEKNUM(PV_DATA[[#This Row],[Pick-Up Date]]),"")</f>
        <v>28</v>
      </c>
      <c r="AD717" s="435" t="s">
        <v>5422</v>
      </c>
      <c r="AE717" s="435"/>
      <c r="AF717" s="430" t="s">
        <v>122</v>
      </c>
      <c r="AG717" s="430" t="s">
        <v>123</v>
      </c>
      <c r="AH717" s="430" t="s">
        <v>105</v>
      </c>
      <c r="AI717" s="437">
        <v>46216</v>
      </c>
      <c r="AJ717" s="437">
        <v>46220</v>
      </c>
      <c r="AK717" s="437">
        <v>46220</v>
      </c>
      <c r="AL717" s="437">
        <v>46253</v>
      </c>
      <c r="AM717" s="586">
        <f>IFERROR(VLOOKUP(AT717, Vessel!A:H, 8, FALSE), "")</f>
        <v>46260.5</v>
      </c>
      <c r="AN717" s="586">
        <v>46260</v>
      </c>
      <c r="AP717" s="430" t="s">
        <v>5418</v>
      </c>
      <c r="AQ717" s="430" t="s">
        <v>80</v>
      </c>
      <c r="AR717" s="430" t="s">
        <v>5419</v>
      </c>
      <c r="AS717" s="430" t="s">
        <v>5420</v>
      </c>
      <c r="AT717" s="430" t="s">
        <v>5420</v>
      </c>
      <c r="AU71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V717" s="437"/>
      <c r="AW717" s="437" cm="1">
        <f t="array" ref="AW71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46260</v>
      </c>
      <c r="AX71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17" s="437">
        <f>IF(ISERROR(PV_DATA[[#This Row],[New Ark PO status]]),"",_xlfn.XLOOKUP(PV_DATA[[#This Row],[SPTN-PVHK New Ark PO'#]],New_Ark_Data[Purchase order Number],New_Ark_Data[Estimated time of arrival],"",0))</f>
        <v>46253</v>
      </c>
      <c r="AZ717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17" s="437">
        <f>IFERROR(PV_DATA[[#This Row],[ODP ETA Port]]+PV_DATA[[#This Row],[Customs/Leg3 Assumption]],"n/a")</f>
        <v>46260</v>
      </c>
      <c r="BB717" s="433">
        <f>YEAR(PV_DATA[[#This Row],[ETA for New Ark update]])</f>
        <v>2026</v>
      </c>
      <c r="BC717" s="430">
        <f>MONTH(PV_DATA[[#This Row],[ETA for New Ark update]])</f>
        <v>8</v>
      </c>
      <c r="BD717" s="430">
        <f>IFERROR(_xlfn.ISOWEEKNUM(PV_DATA[[#This Row],[ETA for New Ark update]]),0)</f>
        <v>35</v>
      </c>
      <c r="BE717" s="430">
        <f>_xlfn.XLOOKUP(PV_DATA[[#This Row],[New Ark SKU]],Table9[New Ark SKU],Table9[Total PCS per Pallet],,0)</f>
        <v>33</v>
      </c>
      <c r="BF717" s="430">
        <f>_xlfn.XLOOKUP(PV_DATA[[#This Row],[New Ark SKU]],Table9[New Ark SKU],Table9[Total PCS per 40HQ Container],,0)</f>
        <v>594</v>
      </c>
      <c r="BG717" s="430" t="str">
        <f>_xlfn.XLOOKUP(PV_DATA[[#This Row],[New Ark SKU]],Table9[New Ark SKU],Table9[Back Glass],,0)</f>
        <v>Transparent</v>
      </c>
      <c r="BH717" s="430" t="str">
        <f>_xlfn.XLOOKUP(PV_DATA[[#This Row],[PORT DESTINATION]],Table12[PORT DESTINATION],Table12[Cosco Line],,0)</f>
        <v>AEU</v>
      </c>
      <c r="BJ717" s="430"/>
    </row>
    <row r="718" spans="1:62" ht="10.5" hidden="1">
      <c r="A718" s="462" t="s">
        <v>5423</v>
      </c>
      <c r="B718" s="462" t="s">
        <v>111</v>
      </c>
      <c r="C718" s="462" t="str">
        <f>IFERROR(LEFT(PV_DATA[[#This Row],[TCL REFERENCE]],FIND(".",PV_DATA[[#This Row],[TCL REFERENCE]],1)-1),"Main Line")</f>
        <v>26Jun003</v>
      </c>
      <c r="D718" s="462" t="s">
        <v>63</v>
      </c>
      <c r="E718" s="462" t="s">
        <v>64</v>
      </c>
      <c r="F718" s="462" t="str" cm="1">
        <f t="array" ref="F71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18" s="462" t="s">
        <v>402</v>
      </c>
      <c r="H718" s="462" t="s">
        <v>67</v>
      </c>
      <c r="I718" s="462" t="s">
        <v>1395</v>
      </c>
      <c r="J718" s="430" t="s">
        <v>96</v>
      </c>
      <c r="K718" s="430"/>
      <c r="L718" s="430"/>
      <c r="M718" s="430" t="s">
        <v>68</v>
      </c>
      <c r="N718" s="432">
        <v>46188</v>
      </c>
      <c r="O718" s="430" t="s">
        <v>132</v>
      </c>
      <c r="P718" s="430" t="s">
        <v>189</v>
      </c>
      <c r="Q718" s="430" t="s">
        <v>190</v>
      </c>
      <c r="R718" s="430" t="str">
        <f>_xlfn.XLOOKUP(PV_DATA[[#This Row],[New Ark SKU]],Table9[New Ark SKU],Table9[Connector],,0)</f>
        <v>EVO2A</v>
      </c>
      <c r="S718" s="433" t="str">
        <f>_xlfn.XLOOKUP(PV_DATA[[#This Row],[New Ark SKU]],Table9[New Ark SKU],Table9[Cable],,0)</f>
        <v>±1200mm</v>
      </c>
      <c r="T718" s="433">
        <v>465</v>
      </c>
      <c r="U718" s="1062">
        <f>864*4</f>
        <v>3456</v>
      </c>
      <c r="V718" s="434">
        <f>PV_DATA[[#This Row],[QUANTITY]]*PV_DATA[[#This Row],[WATT]]/1000000</f>
        <v>1.60704</v>
      </c>
      <c r="W718" s="435">
        <f>PV_DATA[[#This Row],[QUANTITY]]/PV_DATA[[#This Row],[Qty/Pallet]]</f>
        <v>96</v>
      </c>
      <c r="X718" s="1015">
        <f>PV_DATA[[#This Row],[QUANTITY]]/PV_DATA[[#This Row],[Qty/CT]]</f>
        <v>4</v>
      </c>
      <c r="Y718" s="430" t="s">
        <v>4370</v>
      </c>
      <c r="Z718" s="430" t="str">
        <f t="shared" si="8"/>
        <v>COMPLETED</v>
      </c>
      <c r="AA718" s="430"/>
      <c r="AB718" s="437">
        <v>46212</v>
      </c>
      <c r="AC718" s="621">
        <f>IF(PV_DATA[[#This Row],[Pick-Up Date]]&lt;&gt;"",_xlfn.ISOWEEKNUM(PV_DATA[[#This Row],[Pick-Up Date]]),"")</f>
        <v>28</v>
      </c>
      <c r="AD718" s="430" t="s">
        <v>5424</v>
      </c>
      <c r="AE718" s="430"/>
      <c r="AF718" s="430" t="s">
        <v>122</v>
      </c>
      <c r="AG718" s="430" t="s">
        <v>123</v>
      </c>
      <c r="AH718" s="430" t="s">
        <v>105</v>
      </c>
      <c r="AI718" s="437">
        <v>46215</v>
      </c>
      <c r="AJ718" s="437">
        <v>46220</v>
      </c>
      <c r="AK718" s="437">
        <v>46223</v>
      </c>
      <c r="AL718" s="437">
        <v>46263</v>
      </c>
      <c r="AM718" s="586">
        <f>IFERROR(VLOOKUP(AT718, Vessel!A:H, 8, FALSE), "")</f>
        <v>46274.291666666664</v>
      </c>
      <c r="AN718" s="586">
        <f>IFERROR(IF(VLOOKUP(AT718,Vessel!A:I,9,FALSE)=0,"",VLOOKUP(AT718,Vessel!A:I,9,FALSE)),"")</f>
        <v>46274.338287037041</v>
      </c>
      <c r="AP718" s="430" t="s">
        <v>5425</v>
      </c>
      <c r="AQ718" s="430" t="s">
        <v>80</v>
      </c>
      <c r="AR718" s="430" t="s">
        <v>5426</v>
      </c>
      <c r="AS718" s="430" t="s">
        <v>5427</v>
      </c>
      <c r="AT718" s="430" t="s">
        <v>5427</v>
      </c>
      <c r="AU71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51.338287037040573</v>
      </c>
      <c r="AV718" s="437"/>
      <c r="AW718" s="437" cm="1">
        <f t="array" ref="AW71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46274.338287037041</v>
      </c>
      <c r="AX71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18" s="437">
        <f>IF(ISERROR(PV_DATA[[#This Row],[New Ark PO status]]),"",_xlfn.XLOOKUP(PV_DATA[[#This Row],[SPTN-PVHK New Ark PO'#]],New_Ark_Data[Purchase order Number],New_Ark_Data[Estimated time of arrival],"",0))</f>
        <v>46286</v>
      </c>
      <c r="AZ718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18" s="437">
        <f>IFERROR(PV_DATA[[#This Row],[ODP ETA Port]]+PV_DATA[[#This Row],[Customs/Leg3 Assumption]],"n/a")</f>
        <v>46281.338287037041</v>
      </c>
      <c r="BB718" s="433">
        <f>YEAR(PV_DATA[[#This Row],[ETA for New Ark update]])</f>
        <v>2026</v>
      </c>
      <c r="BC718" s="430">
        <f>MONTH(PV_DATA[[#This Row],[ETA for New Ark update]])</f>
        <v>9</v>
      </c>
      <c r="BD718" s="430">
        <f>IFERROR(_xlfn.ISOWEEKNUM(PV_DATA[[#This Row],[ETA for New Ark update]]),0)</f>
        <v>38</v>
      </c>
      <c r="BE718" s="430">
        <f>_xlfn.XLOOKUP(PV_DATA[[#This Row],[New Ark SKU]],Table9[New Ark SKU],Table9[Total PCS per Pallet],,0)</f>
        <v>36</v>
      </c>
      <c r="BF718" s="430">
        <f>_xlfn.XLOOKUP(PV_DATA[[#This Row],[New Ark SKU]],Table9[New Ark SKU],Table9[Total PCS per 40HQ Container],,0)</f>
        <v>864</v>
      </c>
      <c r="BG718" s="430" t="str">
        <f>_xlfn.XLOOKUP(PV_DATA[[#This Row],[New Ark SKU]],Table9[New Ark SKU],Table9[Back Glass],,0)</f>
        <v>White glazing</v>
      </c>
      <c r="BH718" s="430" t="str">
        <f>_xlfn.XLOOKUP(PV_DATA[[#This Row],[PORT DESTINATION]],Table12[PORT DESTINATION],Table12[Cosco Line],,0)</f>
        <v>AEU</v>
      </c>
      <c r="BJ718" s="430"/>
    </row>
    <row r="719" spans="1:62" ht="10.5" hidden="1">
      <c r="A719" s="462" t="s">
        <v>5428</v>
      </c>
      <c r="B719" s="462" t="s">
        <v>111</v>
      </c>
      <c r="C719" s="462" t="str">
        <f>IFERROR(LEFT(PV_DATA[[#This Row],[TCL REFERENCE]],FIND(".",PV_DATA[[#This Row],[TCL REFERENCE]],1)-1),"Main Line")</f>
        <v>26Jun002</v>
      </c>
      <c r="D719" s="462" t="s">
        <v>63</v>
      </c>
      <c r="E719" s="462" t="s">
        <v>64</v>
      </c>
      <c r="F719" s="462" t="str" cm="1">
        <f t="array" ref="F71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19" s="462" t="s">
        <v>402</v>
      </c>
      <c r="H719" s="462" t="s">
        <v>67</v>
      </c>
      <c r="I719" s="462" t="s">
        <v>1395</v>
      </c>
      <c r="J719" s="430" t="s">
        <v>96</v>
      </c>
      <c r="K719" s="431"/>
      <c r="L719" s="431"/>
      <c r="M719" s="430" t="s">
        <v>68</v>
      </c>
      <c r="N719" s="432">
        <v>46195</v>
      </c>
      <c r="O719" s="430" t="s">
        <v>550</v>
      </c>
      <c r="P719" s="430" t="s">
        <v>2134</v>
      </c>
      <c r="Q719" s="430" t="s">
        <v>2135</v>
      </c>
      <c r="R719" s="430" t="str">
        <f>_xlfn.XLOOKUP(PV_DATA[[#This Row],[New Ark SKU]],Table9[New Ark SKU],Table9[Connector],,0)</f>
        <v>EVO2A</v>
      </c>
      <c r="S719" s="433" t="str">
        <f>_xlfn.XLOOKUP(PV_DATA[[#This Row],[New Ark SKU]],Table9[New Ark SKU],Table9[Cable],,0)</f>
        <v>±1350mm</v>
      </c>
      <c r="T719" s="433">
        <v>515</v>
      </c>
      <c r="U719" s="1062">
        <f>792*2</f>
        <v>1584</v>
      </c>
      <c r="V719" s="434">
        <f>PV_DATA[[#This Row],[QUANTITY]]*PV_DATA[[#This Row],[WATT]]/1000000</f>
        <v>0.81576000000000004</v>
      </c>
      <c r="W719" s="435">
        <f>PV_DATA[[#This Row],[QUANTITY]]/PV_DATA[[#This Row],[Qty/Pallet]]</f>
        <v>44</v>
      </c>
      <c r="X719" s="1015">
        <f>PV_DATA[[#This Row],[QUANTITY]]/PV_DATA[[#This Row],[Qty/CT]]</f>
        <v>2</v>
      </c>
      <c r="Y719" s="430" t="s">
        <v>4370</v>
      </c>
      <c r="Z719" s="430" t="str">
        <f t="shared" si="8"/>
        <v>COMPLETED</v>
      </c>
      <c r="AA719" s="430"/>
      <c r="AB719" s="437">
        <v>46212</v>
      </c>
      <c r="AC719" s="621">
        <f>IF(PV_DATA[[#This Row],[Pick-Up Date]]&lt;&gt;"",_xlfn.ISOWEEKNUM(PV_DATA[[#This Row],[Pick-Up Date]]),"")</f>
        <v>28</v>
      </c>
      <c r="AD719" s="430" t="s">
        <v>5429</v>
      </c>
      <c r="AE719" s="430"/>
      <c r="AF719" s="430" t="s">
        <v>122</v>
      </c>
      <c r="AG719" s="430" t="s">
        <v>123</v>
      </c>
      <c r="AH719" s="430" t="s">
        <v>105</v>
      </c>
      <c r="AI719" s="437">
        <v>46215</v>
      </c>
      <c r="AJ719" s="437">
        <v>46220</v>
      </c>
      <c r="AK719" s="437">
        <v>46223</v>
      </c>
      <c r="AL719" s="956">
        <v>46263</v>
      </c>
      <c r="AM719" s="1124">
        <f>IFERROR(VLOOKUP(AT719, Vessel!A:H, 8, FALSE), "")</f>
        <v>46274.291666666664</v>
      </c>
      <c r="AN719" s="586">
        <f>IFERROR(IF(VLOOKUP(AT719,Vessel!A:I,9,FALSE)=0,"",VLOOKUP(AT719,Vessel!A:I,9,FALSE)),"")</f>
        <v>46274.338287037041</v>
      </c>
      <c r="AP719" s="430" t="s">
        <v>5425</v>
      </c>
      <c r="AQ719" s="430" t="s">
        <v>80</v>
      </c>
      <c r="AR719" s="430" t="s">
        <v>5426</v>
      </c>
      <c r="AS719" s="430" t="s">
        <v>5427</v>
      </c>
      <c r="AT719" s="430" t="s">
        <v>5427</v>
      </c>
      <c r="AU71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51.338287037040573</v>
      </c>
      <c r="AV719" s="437"/>
      <c r="AW719" s="437" cm="1">
        <f t="array" ref="AW71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46274.338287037041</v>
      </c>
      <c r="AX71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19" s="437">
        <f>IF(ISERROR(PV_DATA[[#This Row],[New Ark PO status]]),"",_xlfn.XLOOKUP(PV_DATA[[#This Row],[SPTN-PVHK New Ark PO'#]],New_Ark_Data[Purchase order Number],New_Ark_Data[Estimated time of arrival],"",0))</f>
        <v>46286</v>
      </c>
      <c r="AZ719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19" s="437">
        <f>IFERROR(PV_DATA[[#This Row],[ODP ETA Port]]+PV_DATA[[#This Row],[Customs/Leg3 Assumption]],"n/a")</f>
        <v>46281.338287037041</v>
      </c>
      <c r="BB719" s="433">
        <f>YEAR(PV_DATA[[#This Row],[ETA for New Ark update]])</f>
        <v>2026</v>
      </c>
      <c r="BC719" s="430">
        <f>MONTH(PV_DATA[[#This Row],[ETA for New Ark update]])</f>
        <v>9</v>
      </c>
      <c r="BD719" s="430">
        <f>IFERROR(_xlfn.ISOWEEKNUM(PV_DATA[[#This Row],[ETA for New Ark update]]),0)</f>
        <v>38</v>
      </c>
      <c r="BE719" s="430">
        <f>_xlfn.XLOOKUP(PV_DATA[[#This Row],[New Ark SKU]],Table9[New Ark SKU],Table9[Total PCS per Pallet],,0)</f>
        <v>36</v>
      </c>
      <c r="BF719" s="430">
        <f>_xlfn.XLOOKUP(PV_DATA[[#This Row],[New Ark SKU]],Table9[New Ark SKU],Table9[Total PCS per 40HQ Container],,0)</f>
        <v>792</v>
      </c>
      <c r="BG719" s="430" t="str">
        <f>_xlfn.XLOOKUP(PV_DATA[[#This Row],[New Ark SKU]],Table9[New Ark SKU],Table9[Back Glass],,0)</f>
        <v>Black glazing</v>
      </c>
      <c r="BH719" s="430" t="str">
        <f>_xlfn.XLOOKUP(PV_DATA[[#This Row],[PORT DESTINATION]],Table12[PORT DESTINATION],Table12[Cosco Line],,0)</f>
        <v>AEU</v>
      </c>
      <c r="BJ719" s="430"/>
    </row>
    <row r="720" spans="1:62" ht="10.5" hidden="1">
      <c r="A720" s="462" t="s">
        <v>5430</v>
      </c>
      <c r="B720" s="462" t="s">
        <v>111</v>
      </c>
      <c r="C720" s="462" t="str">
        <f>IFERROR(LEFT(PV_DATA[[#This Row],[TCL REFERENCE]],FIND(".",PV_DATA[[#This Row],[TCL REFERENCE]],1)-1),"Main Line")</f>
        <v>26Jun016</v>
      </c>
      <c r="D720" s="462" t="s">
        <v>63</v>
      </c>
      <c r="E720" s="462" t="s">
        <v>64</v>
      </c>
      <c r="F720" s="462" t="str" cm="1">
        <f t="array" ref="F72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20" s="462" t="s">
        <v>402</v>
      </c>
      <c r="H720" s="462" t="s">
        <v>67</v>
      </c>
      <c r="I720" s="462" t="s">
        <v>689</v>
      </c>
      <c r="J720" s="430" t="s">
        <v>96</v>
      </c>
      <c r="K720" s="431"/>
      <c r="L720" s="431"/>
      <c r="M720" s="430" t="s">
        <v>68</v>
      </c>
      <c r="N720" s="432">
        <v>46202</v>
      </c>
      <c r="O720" s="430" t="s">
        <v>5388</v>
      </c>
      <c r="P720" s="430" t="s">
        <v>5389</v>
      </c>
      <c r="Q720" s="430" t="s">
        <v>5390</v>
      </c>
      <c r="R720" s="430" t="str">
        <f>_xlfn.XLOOKUP(PV_DATA[[#This Row],[New Ark SKU]],Table9[New Ark SKU],Table9[Connector],,0)</f>
        <v>EVO2A</v>
      </c>
      <c r="S720" s="433" t="str">
        <f>_xlfn.XLOOKUP(PV_DATA[[#This Row],[New Ark SKU]],Table9[New Ark SKU],Table9[Cable],,0)</f>
        <v>±1200mm</v>
      </c>
      <c r="T720" s="433">
        <v>470</v>
      </c>
      <c r="U720" s="1062">
        <f>936*2</f>
        <v>1872</v>
      </c>
      <c r="V720" s="434">
        <f>PV_DATA[[#This Row],[QUANTITY]]*PV_DATA[[#This Row],[WATT]]/1000000</f>
        <v>0.87983999999999996</v>
      </c>
      <c r="W720" s="435">
        <f>PV_DATA[[#This Row],[QUANTITY]]/PV_DATA[[#This Row],[Qty/Pallet]]</f>
        <v>52</v>
      </c>
      <c r="X720" s="1015">
        <f>PV_DATA[[#This Row],[QUANTITY]]/PV_DATA[[#This Row],[Qty/CT]]</f>
        <v>2</v>
      </c>
      <c r="Y720" s="430" t="s">
        <v>4371</v>
      </c>
      <c r="Z720" s="430" t="str">
        <f t="shared" si="8"/>
        <v>COMPLETED</v>
      </c>
      <c r="AA720" s="430" t="s">
        <v>5431</v>
      </c>
      <c r="AB720" s="437">
        <v>46212</v>
      </c>
      <c r="AC720" s="621">
        <f>IF(PV_DATA[[#This Row],[Pick-Up Date]]&lt;&gt;"",_xlfn.ISOWEEKNUM(PV_DATA[[#This Row],[Pick-Up Date]]),"")</f>
        <v>28</v>
      </c>
      <c r="AD720" s="430" t="s">
        <v>5432</v>
      </c>
      <c r="AE720" s="430"/>
      <c r="AF720" s="430" t="s">
        <v>122</v>
      </c>
      <c r="AG720" s="430" t="s">
        <v>123</v>
      </c>
      <c r="AH720" s="430" t="s">
        <v>105</v>
      </c>
      <c r="AI720" s="437">
        <v>46215</v>
      </c>
      <c r="AJ720" s="437">
        <v>46220</v>
      </c>
      <c r="AK720" s="437">
        <v>46223</v>
      </c>
      <c r="AL720" s="437">
        <v>46263</v>
      </c>
      <c r="AM720" s="586">
        <f>IFERROR(VLOOKUP(AT720, Vessel!A:H, 8, FALSE), "")</f>
        <v>46274.291666666664</v>
      </c>
      <c r="AN720" s="586">
        <f>IFERROR(IF(VLOOKUP(AT720,Vessel!A:I,9,FALSE)=0,"",VLOOKUP(AT720,Vessel!A:I,9,FALSE)),"")</f>
        <v>46274.338287037041</v>
      </c>
      <c r="AP720" s="430" t="s">
        <v>5425</v>
      </c>
      <c r="AQ720" s="430" t="s">
        <v>80</v>
      </c>
      <c r="AR720" s="430" t="s">
        <v>5426</v>
      </c>
      <c r="AS720" s="430" t="s">
        <v>5427</v>
      </c>
      <c r="AT720" s="430" t="s">
        <v>5427</v>
      </c>
      <c r="AU72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51.338287037040573</v>
      </c>
      <c r="AW720" s="437" cm="1">
        <f t="array" ref="AW72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46274.338287037041</v>
      </c>
      <c r="AX72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20" s="437">
        <f>IF(ISERROR(PV_DATA[[#This Row],[New Ark PO status]]),"",_xlfn.XLOOKUP(PV_DATA[[#This Row],[SPTN-PVHK New Ark PO'#]],New_Ark_Data[Purchase order Number],New_Ark_Data[Estimated time of arrival],"",0))</f>
        <v>46286</v>
      </c>
      <c r="AZ720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20" s="437">
        <f>IFERROR(PV_DATA[[#This Row],[ODP ETA Port]]+PV_DATA[[#This Row],[Customs/Leg3 Assumption]],"n/a")</f>
        <v>46281.338287037041</v>
      </c>
      <c r="BB720" s="433">
        <f>YEAR(PV_DATA[[#This Row],[ETA for New Ark update]])</f>
        <v>2026</v>
      </c>
      <c r="BC720" s="430">
        <f>MONTH(PV_DATA[[#This Row],[ETA for New Ark update]])</f>
        <v>9</v>
      </c>
      <c r="BD720" s="430">
        <f>IFERROR(_xlfn.ISOWEEKNUM(PV_DATA[[#This Row],[ETA for New Ark update]]),0)</f>
        <v>38</v>
      </c>
      <c r="BE720" s="430">
        <f>_xlfn.XLOOKUP(PV_DATA[[#This Row],[New Ark SKU]],Table9[New Ark SKU],Table9[Total PCS per Pallet],,0)</f>
        <v>36</v>
      </c>
      <c r="BF720" s="430">
        <f>_xlfn.XLOOKUP(PV_DATA[[#This Row],[New Ark SKU]],Table9[New Ark SKU],Table9[Total PCS per 40HQ Container],,0)</f>
        <v>936</v>
      </c>
      <c r="BG720" s="430" t="str">
        <f>_xlfn.XLOOKUP(PV_DATA[[#This Row],[New Ark SKU]],Table9[New Ark SKU],Table9[Back Glass],,0)</f>
        <v>Black glazing</v>
      </c>
      <c r="BH720" s="430" t="str">
        <f>_xlfn.XLOOKUP(PV_DATA[[#This Row],[PORT DESTINATION]],Table12[PORT DESTINATION],Table12[Cosco Line],,0)</f>
        <v>AEU</v>
      </c>
      <c r="BJ720" s="430"/>
    </row>
    <row r="721" spans="1:62" ht="10.5" hidden="1">
      <c r="A721" s="462" t="s">
        <v>5433</v>
      </c>
      <c r="B721" s="462" t="s">
        <v>1757</v>
      </c>
      <c r="C721" s="462" t="str">
        <f>IFERROR(LEFT(PV_DATA[[#This Row],[TCL REFERENCE]],FIND(".",PV_DATA[[#This Row],[TCL REFERENCE]],1)-1),"Main Line")</f>
        <v>26Jun012</v>
      </c>
      <c r="D721" s="462" t="s">
        <v>63</v>
      </c>
      <c r="E721" s="462" t="s">
        <v>64</v>
      </c>
      <c r="F721" s="462" t="str" cm="1">
        <f t="array" ref="F72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21" s="462" t="s">
        <v>402</v>
      </c>
      <c r="H721" s="462" t="s">
        <v>67</v>
      </c>
      <c r="I721" s="462" t="s">
        <v>869</v>
      </c>
      <c r="J721" s="430" t="s">
        <v>96</v>
      </c>
      <c r="K721" s="431"/>
      <c r="L721" s="431"/>
      <c r="M721" s="430" t="s">
        <v>68</v>
      </c>
      <c r="N721" s="432">
        <v>46195</v>
      </c>
      <c r="O721" s="430" t="s">
        <v>4540</v>
      </c>
      <c r="P721" s="430" t="s">
        <v>1151</v>
      </c>
      <c r="Q721" s="430" t="s">
        <v>421</v>
      </c>
      <c r="R721" s="430" t="str">
        <f>_xlfn.XLOOKUP(PV_DATA[[#This Row],[New Ark SKU]],Table9[New Ark SKU],Table9[Connector],,0)</f>
        <v>EVO2A</v>
      </c>
      <c r="S721" s="433" t="str">
        <f>_xlfn.XLOOKUP(PV_DATA[[#This Row],[New Ark SKU]],Table9[New Ark SKU],Table9[Cable],,0)</f>
        <v>±1200mm</v>
      </c>
      <c r="T721" s="433">
        <v>505</v>
      </c>
      <c r="U721" s="1062">
        <v>4320</v>
      </c>
      <c r="V721" s="434">
        <f>PV_DATA[[#This Row],[QUANTITY]]*PV_DATA[[#This Row],[WATT]]/1000000</f>
        <v>2.1816</v>
      </c>
      <c r="W721" s="435">
        <f>PV_DATA[[#This Row],[QUANTITY]]/PV_DATA[[#This Row],[Qty/Pallet]]</f>
        <v>120</v>
      </c>
      <c r="X721" s="1015">
        <f>PV_DATA[[#This Row],[QUANTITY]]/PV_DATA[[#This Row],[Qty/CT]]</f>
        <v>5</v>
      </c>
      <c r="Y721" s="430" t="s">
        <v>4368</v>
      </c>
      <c r="Z721" s="430" t="str">
        <f t="shared" si="8"/>
        <v>COMPLETED</v>
      </c>
      <c r="AA721" s="430"/>
      <c r="AB721" s="437">
        <v>46213</v>
      </c>
      <c r="AC721" s="485">
        <f>IF(PV_DATA[[#This Row],[Pick-Up Date]]&lt;&gt;"",_xlfn.ISOWEEKNUM(PV_DATA[[#This Row],[Pick-Up Date]]),"")</f>
        <v>28</v>
      </c>
      <c r="AD721" s="430" t="s">
        <v>5434</v>
      </c>
      <c r="AE721" s="430"/>
      <c r="AF721" s="459" t="s">
        <v>5043</v>
      </c>
      <c r="AG721" s="459" t="s">
        <v>123</v>
      </c>
      <c r="AH721" s="430" t="s">
        <v>105</v>
      </c>
      <c r="AI721" s="437">
        <v>46221</v>
      </c>
      <c r="AJ721" s="437">
        <v>46227</v>
      </c>
      <c r="AK721" s="437">
        <v>46227</v>
      </c>
      <c r="AL721" s="437">
        <v>46263</v>
      </c>
      <c r="AN721" s="437">
        <v>46267</v>
      </c>
      <c r="AP721" s="430" t="s">
        <v>5435</v>
      </c>
      <c r="AQ721" s="430" t="s">
        <v>161</v>
      </c>
      <c r="AR721" s="430" t="s">
        <v>5436</v>
      </c>
      <c r="AS721" s="430" t="s">
        <v>5437</v>
      </c>
      <c r="AT721" s="430" t="s">
        <v>5438</v>
      </c>
      <c r="AU72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V721" s="437"/>
      <c r="AW721" s="437" cm="1">
        <f t="array" ref="AW72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46267</v>
      </c>
      <c r="AX72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21" s="437">
        <f>IF(ISERROR(PV_DATA[[#This Row],[New Ark PO status]]),"",_xlfn.XLOOKUP(PV_DATA[[#This Row],[SPTN-PVHK New Ark PO'#]],New_Ark_Data[Purchase order Number],New_Ark_Data[Estimated time of arrival],"",0))</f>
        <v>46279</v>
      </c>
      <c r="AZ721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21" s="437">
        <f>IFERROR(PV_DATA[[#This Row],[ODP ETA Port]]+PV_DATA[[#This Row],[Customs/Leg3 Assumption]],"n/a")</f>
        <v>46274</v>
      </c>
      <c r="BB721" s="433">
        <f>YEAR(PV_DATA[[#This Row],[ETA for New Ark update]])</f>
        <v>2026</v>
      </c>
      <c r="BC721" s="430">
        <f>MONTH(PV_DATA[[#This Row],[ETA for New Ark update]])</f>
        <v>9</v>
      </c>
      <c r="BD721" s="430">
        <f>IFERROR(_xlfn.ISOWEEKNUM(PV_DATA[[#This Row],[ETA for New Ark update]]),0)</f>
        <v>37</v>
      </c>
      <c r="BE721" s="430">
        <f>_xlfn.XLOOKUP(PV_DATA[[#This Row],[New Ark SKU]],Table9[New Ark SKU],Table9[Total PCS per Pallet],,0)</f>
        <v>36</v>
      </c>
      <c r="BF721" s="430">
        <f>_xlfn.XLOOKUP(PV_DATA[[#This Row],[New Ark SKU]],Table9[New Ark SKU],Table9[Total PCS per 40HQ Container],,0)</f>
        <v>864</v>
      </c>
      <c r="BG721" s="430" t="str">
        <f>_xlfn.XLOOKUP(PV_DATA[[#This Row],[New Ark SKU]],Table9[New Ark SKU],Table9[Back Glass],,0)</f>
        <v>Black glazing</v>
      </c>
      <c r="BH721" s="430" t="str">
        <f>_xlfn.XLOOKUP(PV_DATA[[#This Row],[PORT DESTINATION]],Table12[PORT DESTINATION],Table12[Cosco Line],,0)</f>
        <v>AEU</v>
      </c>
      <c r="BJ721" s="430"/>
    </row>
    <row r="722" spans="1:62" s="463" customFormat="1" ht="10.5" hidden="1">
      <c r="A722" s="462" t="s">
        <v>5439</v>
      </c>
      <c r="B722" s="462" t="s">
        <v>1757</v>
      </c>
      <c r="C722" s="462" t="str">
        <f>IFERROR(LEFT(PV_DATA[[#This Row],[TCL REFERENCE]],FIND(".",PV_DATA[[#This Row],[TCL REFERENCE]],1)-1),"Main Line")</f>
        <v>26Jun012</v>
      </c>
      <c r="D722" s="462" t="s">
        <v>63</v>
      </c>
      <c r="E722" s="462" t="s">
        <v>64</v>
      </c>
      <c r="F722" s="462" t="str" cm="1">
        <f t="array" ref="F72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22" s="462" t="s">
        <v>402</v>
      </c>
      <c r="H722" s="462" t="s">
        <v>67</v>
      </c>
      <c r="I722" s="462" t="s">
        <v>869</v>
      </c>
      <c r="J722" s="430" t="s">
        <v>96</v>
      </c>
      <c r="K722" s="431"/>
      <c r="L722" s="431"/>
      <c r="M722" s="430" t="s">
        <v>68</v>
      </c>
      <c r="N722" s="432">
        <v>46195</v>
      </c>
      <c r="O722" s="430" t="s">
        <v>4540</v>
      </c>
      <c r="P722" s="430" t="s">
        <v>1151</v>
      </c>
      <c r="Q722" s="430" t="s">
        <v>421</v>
      </c>
      <c r="R722" s="430" t="str">
        <f>_xlfn.XLOOKUP(PV_DATA[[#This Row],[New Ark SKU]],Table9[New Ark SKU],Table9[Connector],,0)</f>
        <v>EVO2A</v>
      </c>
      <c r="S722" s="433" t="str">
        <f>_xlfn.XLOOKUP(PV_DATA[[#This Row],[New Ark SKU]],Table9[New Ark SKU],Table9[Cable],,0)</f>
        <v>±1200mm</v>
      </c>
      <c r="T722" s="433">
        <v>505</v>
      </c>
      <c r="U722" s="1062">
        <v>2592</v>
      </c>
      <c r="V722" s="434">
        <f>PV_DATA[[#This Row],[QUANTITY]]*PV_DATA[[#This Row],[WATT]]/1000000</f>
        <v>1.3089599999999999</v>
      </c>
      <c r="W722" s="435">
        <f>PV_DATA[[#This Row],[QUANTITY]]/PV_DATA[[#This Row],[Qty/Pallet]]</f>
        <v>72</v>
      </c>
      <c r="X722" s="1015">
        <f>PV_DATA[[#This Row],[QUANTITY]]/PV_DATA[[#This Row],[Qty/CT]]</f>
        <v>3</v>
      </c>
      <c r="Y722" s="430" t="s">
        <v>4368</v>
      </c>
      <c r="Z722" s="430" t="str">
        <f t="shared" si="8"/>
        <v>COMPLETED</v>
      </c>
      <c r="AA722" s="430"/>
      <c r="AB722" s="437">
        <v>46216</v>
      </c>
      <c r="AC722" s="485">
        <f>IF(PV_DATA[[#This Row],[Pick-Up Date]]&lt;&gt;"",_xlfn.ISOWEEKNUM(PV_DATA[[#This Row],[Pick-Up Date]]),"")</f>
        <v>29</v>
      </c>
      <c r="AD722" s="430" t="s">
        <v>5440</v>
      </c>
      <c r="AE722" s="430"/>
      <c r="AF722" s="459" t="s">
        <v>5043</v>
      </c>
      <c r="AG722" s="459" t="s">
        <v>123</v>
      </c>
      <c r="AH722" s="430" t="s">
        <v>105</v>
      </c>
      <c r="AI722" s="437">
        <v>46221</v>
      </c>
      <c r="AJ722" s="437">
        <v>46227</v>
      </c>
      <c r="AK722" s="437">
        <v>46227</v>
      </c>
      <c r="AL722" s="437">
        <v>46263</v>
      </c>
      <c r="AM722" s="437"/>
      <c r="AN722" s="437">
        <v>46267</v>
      </c>
      <c r="AO722" s="430"/>
      <c r="AP722" s="430" t="s">
        <v>5441</v>
      </c>
      <c r="AQ722" s="430" t="s">
        <v>161</v>
      </c>
      <c r="AR722" s="430" t="s">
        <v>5442</v>
      </c>
      <c r="AS722" s="430" t="s">
        <v>5443</v>
      </c>
      <c r="AT722" s="430" t="s">
        <v>5444</v>
      </c>
      <c r="AU72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V722" s="437"/>
      <c r="AW722" s="437" cm="1">
        <f t="array" ref="AW72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46267</v>
      </c>
      <c r="AX72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22" s="437">
        <f>IF(ISERROR(PV_DATA[[#This Row],[New Ark PO status]]),"",_xlfn.XLOOKUP(PV_DATA[[#This Row],[SPTN-PVHK New Ark PO'#]],New_Ark_Data[Purchase order Number],New_Ark_Data[Estimated time of arrival],"",0))</f>
        <v>46279</v>
      </c>
      <c r="AZ722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22" s="437">
        <f>IFERROR(PV_DATA[[#This Row],[ODP ETA Port]]+PV_DATA[[#This Row],[Customs/Leg3 Assumption]],"n/a")</f>
        <v>46274</v>
      </c>
      <c r="BB722" s="433">
        <f>YEAR(PV_DATA[[#This Row],[ETA for New Ark update]])</f>
        <v>2026</v>
      </c>
      <c r="BC722" s="430">
        <f>MONTH(PV_DATA[[#This Row],[ETA for New Ark update]])</f>
        <v>9</v>
      </c>
      <c r="BD722" s="430">
        <f>IFERROR(_xlfn.ISOWEEKNUM(PV_DATA[[#This Row],[ETA for New Ark update]]),0)</f>
        <v>37</v>
      </c>
      <c r="BE722" s="430">
        <f>_xlfn.XLOOKUP(PV_DATA[[#This Row],[New Ark SKU]],Table9[New Ark SKU],Table9[Total PCS per Pallet],,0)</f>
        <v>36</v>
      </c>
      <c r="BF722" s="430">
        <f>_xlfn.XLOOKUP(PV_DATA[[#This Row],[New Ark SKU]],Table9[New Ark SKU],Table9[Total PCS per 40HQ Container],,0)</f>
        <v>864</v>
      </c>
      <c r="BG722" s="430" t="str">
        <f>_xlfn.XLOOKUP(PV_DATA[[#This Row],[New Ark SKU]],Table9[New Ark SKU],Table9[Back Glass],,0)</f>
        <v>Black glazing</v>
      </c>
      <c r="BH722" s="610" t="str">
        <f>_xlfn.XLOOKUP(PV_DATA[[#This Row],[PORT DESTINATION]],Table12[PORT DESTINATION],Table12[Cosco Line],,0)</f>
        <v>AEU</v>
      </c>
    </row>
    <row r="723" spans="1:62" s="463" customFormat="1" ht="14.25" hidden="1" customHeight="1">
      <c r="A723" s="462" t="s">
        <v>5445</v>
      </c>
      <c r="B723" s="462" t="s">
        <v>1757</v>
      </c>
      <c r="C723" s="462" t="str">
        <f>IFERROR(LEFT(PV_DATA[[#This Row],[TCL REFERENCE]],FIND(".",PV_DATA[[#This Row],[TCL REFERENCE]],1)-1),"Main Line")</f>
        <v>26Jun012</v>
      </c>
      <c r="D723" s="462" t="s">
        <v>63</v>
      </c>
      <c r="E723" s="462" t="s">
        <v>64</v>
      </c>
      <c r="F723" s="462" t="str" cm="1">
        <f t="array" ref="F72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23" s="462" t="s">
        <v>402</v>
      </c>
      <c r="H723" s="462" t="s">
        <v>67</v>
      </c>
      <c r="I723" s="462" t="s">
        <v>869</v>
      </c>
      <c r="J723" s="430" t="s">
        <v>96</v>
      </c>
      <c r="K723" s="431"/>
      <c r="L723" s="431"/>
      <c r="M723" s="430" t="s">
        <v>68</v>
      </c>
      <c r="N723" s="432">
        <v>46195</v>
      </c>
      <c r="O723" s="430" t="s">
        <v>4540</v>
      </c>
      <c r="P723" s="430" t="s">
        <v>1151</v>
      </c>
      <c r="Q723" s="430" t="s">
        <v>421</v>
      </c>
      <c r="R723" s="430" t="str">
        <f>_xlfn.XLOOKUP(PV_DATA[[#This Row],[New Ark SKU]],Table9[New Ark SKU],Table9[Connector],,0)</f>
        <v>EVO2A</v>
      </c>
      <c r="S723" s="433" t="str">
        <f>_xlfn.XLOOKUP(PV_DATA[[#This Row],[New Ark SKU]],Table9[New Ark SKU],Table9[Cable],,0)</f>
        <v>±1200mm</v>
      </c>
      <c r="T723" s="433">
        <v>505</v>
      </c>
      <c r="U723" s="1062">
        <f>864*6</f>
        <v>5184</v>
      </c>
      <c r="V723" s="434">
        <f>PV_DATA[[#This Row],[QUANTITY]]*PV_DATA[[#This Row],[WATT]]/1000000</f>
        <v>2.6179199999999998</v>
      </c>
      <c r="W723" s="435">
        <f>PV_DATA[[#This Row],[QUANTITY]]/PV_DATA[[#This Row],[Qty/Pallet]]</f>
        <v>144</v>
      </c>
      <c r="X723" s="1015">
        <f>PV_DATA[[#This Row],[QUANTITY]]/PV_DATA[[#This Row],[Qty/CT]]</f>
        <v>6</v>
      </c>
      <c r="Y723" s="430" t="s">
        <v>4369</v>
      </c>
      <c r="Z723" s="430" t="str">
        <f t="shared" si="8"/>
        <v>COMPLETED</v>
      </c>
      <c r="AA723" s="430"/>
      <c r="AB723" s="437">
        <v>46216</v>
      </c>
      <c r="AC723" s="485">
        <f>IF(PV_DATA[[#This Row],[Pick-Up Date]]&lt;&gt;"",_xlfn.ISOWEEKNUM(PV_DATA[[#This Row],[Pick-Up Date]]),"")</f>
        <v>29</v>
      </c>
      <c r="AD723" s="430" t="s">
        <v>5446</v>
      </c>
      <c r="AE723" s="430"/>
      <c r="AF723" s="459" t="s">
        <v>5043</v>
      </c>
      <c r="AG723" s="459" t="s">
        <v>123</v>
      </c>
      <c r="AH723" s="430" t="s">
        <v>105</v>
      </c>
      <c r="AI723" s="437">
        <v>46221</v>
      </c>
      <c r="AJ723" s="437">
        <v>46227</v>
      </c>
      <c r="AK723" s="437">
        <v>46227</v>
      </c>
      <c r="AL723" s="437">
        <v>46263</v>
      </c>
      <c r="AM723" s="437"/>
      <c r="AN723" s="437">
        <v>46267</v>
      </c>
      <c r="AO723" s="430"/>
      <c r="AP723" s="430" t="s">
        <v>5441</v>
      </c>
      <c r="AQ723" s="430" t="s">
        <v>161</v>
      </c>
      <c r="AR723" s="430" t="s">
        <v>5442</v>
      </c>
      <c r="AS723" s="430" t="s">
        <v>5443</v>
      </c>
      <c r="AT723" s="430" t="s">
        <v>5444</v>
      </c>
      <c r="AU72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V723" s="437"/>
      <c r="AW723" s="437" cm="1">
        <f t="array" ref="AW72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46267</v>
      </c>
      <c r="AX72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23" s="437">
        <f>IF(ISERROR(PV_DATA[[#This Row],[New Ark PO status]]),"",_xlfn.XLOOKUP(PV_DATA[[#This Row],[SPTN-PVHK New Ark PO'#]],New_Ark_Data[Purchase order Number],New_Ark_Data[Estimated time of arrival],"",0))</f>
        <v>46279</v>
      </c>
      <c r="AZ723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23" s="437">
        <f>IFERROR(PV_DATA[[#This Row],[ODP ETA Port]]+PV_DATA[[#This Row],[Customs/Leg3 Assumption]],"n/a")</f>
        <v>46274</v>
      </c>
      <c r="BB723" s="433">
        <f>YEAR(PV_DATA[[#This Row],[ETA for New Ark update]])</f>
        <v>2026</v>
      </c>
      <c r="BC723" s="430">
        <f>MONTH(PV_DATA[[#This Row],[ETA for New Ark update]])</f>
        <v>9</v>
      </c>
      <c r="BD723" s="430">
        <f>IFERROR(_xlfn.ISOWEEKNUM(PV_DATA[[#This Row],[ETA for New Ark update]]),0)</f>
        <v>37</v>
      </c>
      <c r="BE723" s="430">
        <f>_xlfn.XLOOKUP(PV_DATA[[#This Row],[New Ark SKU]],Table9[New Ark SKU],Table9[Total PCS per Pallet],,0)</f>
        <v>36</v>
      </c>
      <c r="BF723" s="430">
        <f>_xlfn.XLOOKUP(PV_DATA[[#This Row],[New Ark SKU]],Table9[New Ark SKU],Table9[Total PCS per 40HQ Container],,0)</f>
        <v>864</v>
      </c>
      <c r="BG723" s="430" t="str">
        <f>_xlfn.XLOOKUP(PV_DATA[[#This Row],[New Ark SKU]],Table9[New Ark SKU],Table9[Back Glass],,0)</f>
        <v>Black glazing</v>
      </c>
      <c r="BH723" s="430" t="str">
        <f>_xlfn.XLOOKUP(PV_DATA[[#This Row],[PORT DESTINATION]],Table12[PORT DESTINATION],Table12[Cosco Line],,0)</f>
        <v>AEU</v>
      </c>
    </row>
    <row r="724" spans="1:62" ht="10.5" hidden="1">
      <c r="A724" s="462" t="s">
        <v>5447</v>
      </c>
      <c r="B724" s="462" t="s">
        <v>111</v>
      </c>
      <c r="C724" s="462" t="str">
        <f>IFERROR(LEFT(PV_DATA[[#This Row],[TCL REFERENCE]],FIND(".",PV_DATA[[#This Row],[TCL REFERENCE]],1)-1),"Main Line")</f>
        <v>26Jun015</v>
      </c>
      <c r="D724" s="462" t="s">
        <v>63</v>
      </c>
      <c r="E724" s="462" t="s">
        <v>64</v>
      </c>
      <c r="F724" s="462" t="str" cm="1">
        <f t="array" ref="F72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24" s="462" t="s">
        <v>402</v>
      </c>
      <c r="H724" s="462" t="s">
        <v>67</v>
      </c>
      <c r="I724" s="462" t="s">
        <v>689</v>
      </c>
      <c r="J724" s="430" t="s">
        <v>96</v>
      </c>
      <c r="K724" s="431"/>
      <c r="L724" s="431"/>
      <c r="M724" s="430" t="s">
        <v>68</v>
      </c>
      <c r="N724" s="432">
        <v>46202</v>
      </c>
      <c r="O724" s="430" t="s">
        <v>5388</v>
      </c>
      <c r="P724" s="430" t="s">
        <v>5409</v>
      </c>
      <c r="Q724" s="430" t="s">
        <v>5410</v>
      </c>
      <c r="R724" s="430" t="str">
        <f>_xlfn.XLOOKUP(PV_DATA[[#This Row],[New Ark SKU]],Table9[New Ark SKU],Table9[Connector],,0)</f>
        <v>EVO2A</v>
      </c>
      <c r="S724" s="433" t="str">
        <f>_xlfn.XLOOKUP(PV_DATA[[#This Row],[New Ark SKU]],Table9[New Ark SKU],Table9[Cable],,0)</f>
        <v>±1200mm</v>
      </c>
      <c r="T724" s="433">
        <v>465</v>
      </c>
      <c r="U724" s="1062">
        <v>4680</v>
      </c>
      <c r="V724" s="434">
        <f>PV_DATA[[#This Row],[QUANTITY]]*PV_DATA[[#This Row],[WATT]]/1000000</f>
        <v>2.1762000000000001</v>
      </c>
      <c r="W724" s="435">
        <f>PV_DATA[[#This Row],[QUANTITY]]/PV_DATA[[#This Row],[Qty/Pallet]]</f>
        <v>130</v>
      </c>
      <c r="X724" s="1015">
        <f>PV_DATA[[#This Row],[QUANTITY]]/PV_DATA[[#This Row],[Qty/CT]]</f>
        <v>5</v>
      </c>
      <c r="Y724" s="430" t="s">
        <v>4370</v>
      </c>
      <c r="Z724" s="430" t="str">
        <f t="shared" si="8"/>
        <v>COMPLETED</v>
      </c>
      <c r="AA724" s="430" t="s">
        <v>5448</v>
      </c>
      <c r="AB724" s="543">
        <v>46213</v>
      </c>
      <c r="AC724" s="485">
        <f>IF(PV_DATA[[#This Row],[Pick-Up Date]]&lt;&gt;"",_xlfn.ISOWEEKNUM(PV_DATA[[#This Row],[Pick-Up Date]]),"")</f>
        <v>28</v>
      </c>
      <c r="AD724" s="430" t="s">
        <v>5449</v>
      </c>
      <c r="AE724" s="430"/>
      <c r="AF724" s="430" t="s">
        <v>122</v>
      </c>
      <c r="AG724" s="430" t="s">
        <v>123</v>
      </c>
      <c r="AH724" s="430" t="s">
        <v>78</v>
      </c>
      <c r="AI724" s="437">
        <v>46222</v>
      </c>
      <c r="AJ724" s="437">
        <v>46226</v>
      </c>
      <c r="AK724" s="437">
        <v>46227</v>
      </c>
      <c r="AL724" s="437">
        <v>46272</v>
      </c>
      <c r="AM724" s="586">
        <f>IFERROR(VLOOKUP(AT724, Vessel!A:H, 8, FALSE), "")</f>
        <v>46278.083333333336</v>
      </c>
      <c r="AN724" s="586">
        <f>IFERROR(IF(VLOOKUP(AT724,Vessel!A:I,9,FALSE)=0,"",VLOOKUP(AT724,Vessel!A:I,9,FALSE)),"")</f>
        <v>46278.186840277776</v>
      </c>
      <c r="AP724" s="430" t="s">
        <v>5450</v>
      </c>
      <c r="AQ724" s="438" t="s">
        <v>80</v>
      </c>
      <c r="AR724" s="430" t="s">
        <v>5451</v>
      </c>
      <c r="AS724" s="430" t="s">
        <v>5452</v>
      </c>
      <c r="AT724" s="430" t="s">
        <v>5452</v>
      </c>
      <c r="AU72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51.186840277776355</v>
      </c>
      <c r="AW724" s="437" cm="1">
        <f t="array" ref="AW72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46278.186840277776</v>
      </c>
      <c r="AX72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24" s="437">
        <f>IF(ISERROR(PV_DATA[[#This Row],[New Ark PO status]]),"",_xlfn.XLOOKUP(PV_DATA[[#This Row],[SPTN-PVHK New Ark PO'#]],New_Ark_Data[Purchase order Number],New_Ark_Data[Estimated time of arrival],"",0))</f>
        <v>46290</v>
      </c>
      <c r="AZ724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24" s="437">
        <f>IFERROR(PV_DATA[[#This Row],[ODP ETA Port]]+PV_DATA[[#This Row],[Customs/Leg3 Assumption]],"n/a")</f>
        <v>46286.186840277776</v>
      </c>
      <c r="BB724" s="433">
        <f>YEAR(PV_DATA[[#This Row],[ETA for New Ark update]])</f>
        <v>2026</v>
      </c>
      <c r="BC724" s="430">
        <f>MONTH(PV_DATA[[#This Row],[ETA for New Ark update]])</f>
        <v>9</v>
      </c>
      <c r="BD724" s="430">
        <f>IFERROR(_xlfn.ISOWEEKNUM(PV_DATA[[#This Row],[ETA for New Ark update]]),0)</f>
        <v>39</v>
      </c>
      <c r="BE724" s="430">
        <f>_xlfn.XLOOKUP(PV_DATA[[#This Row],[New Ark SKU]],Table9[New Ark SKU],Table9[Total PCS per Pallet],,0)</f>
        <v>36</v>
      </c>
      <c r="BF724" s="430">
        <f>_xlfn.XLOOKUP(PV_DATA[[#This Row],[New Ark SKU]],Table9[New Ark SKU],Table9[Total PCS per 40HQ Container],,0)</f>
        <v>936</v>
      </c>
      <c r="BG724" s="430" t="str">
        <f>_xlfn.XLOOKUP(PV_DATA[[#This Row],[New Ark SKU]],Table9[New Ark SKU],Table9[Back Glass],,0)</f>
        <v>Black glazing</v>
      </c>
      <c r="BH724" s="430" t="str">
        <f>_xlfn.XLOOKUP(PV_DATA[[#This Row],[PORT DESTINATION]],Table12[PORT DESTINATION],Table12[Cosco Line],,0)</f>
        <v>AEM</v>
      </c>
      <c r="BJ724" s="430"/>
    </row>
    <row r="725" spans="1:62" ht="10.5" hidden="1">
      <c r="A725" s="462" t="s">
        <v>5453</v>
      </c>
      <c r="B725" s="462" t="s">
        <v>111</v>
      </c>
      <c r="C725" s="462" t="str">
        <f>IFERROR(LEFT(PV_DATA[[#This Row],[TCL REFERENCE]],FIND(".",PV_DATA[[#This Row],[TCL REFERENCE]],1)-1),"Main Line")</f>
        <v>26Jun015</v>
      </c>
      <c r="D725" s="462" t="s">
        <v>63</v>
      </c>
      <c r="E725" s="462" t="s">
        <v>64</v>
      </c>
      <c r="F725" s="462" t="str" cm="1">
        <f t="array" ref="F72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25" s="462" t="s">
        <v>402</v>
      </c>
      <c r="H725" s="462" t="s">
        <v>67</v>
      </c>
      <c r="I725" s="462" t="s">
        <v>689</v>
      </c>
      <c r="J725" s="430" t="s">
        <v>96</v>
      </c>
      <c r="K725" s="431"/>
      <c r="L725" s="431"/>
      <c r="M725" s="430" t="s">
        <v>68</v>
      </c>
      <c r="N725" s="432">
        <v>46202</v>
      </c>
      <c r="O725" s="430" t="s">
        <v>5388</v>
      </c>
      <c r="P725" s="430" t="s">
        <v>5409</v>
      </c>
      <c r="Q725" s="430" t="s">
        <v>5410</v>
      </c>
      <c r="R725" s="430" t="str">
        <f>_xlfn.XLOOKUP(PV_DATA[[#This Row],[New Ark SKU]],Table9[New Ark SKU],Table9[Connector],,0)</f>
        <v>EVO2A</v>
      </c>
      <c r="S725" s="433" t="str">
        <f>_xlfn.XLOOKUP(PV_DATA[[#This Row],[New Ark SKU]],Table9[New Ark SKU],Table9[Cable],,0)</f>
        <v>±1200mm</v>
      </c>
      <c r="T725" s="433">
        <v>465</v>
      </c>
      <c r="U725" s="1062">
        <v>936</v>
      </c>
      <c r="V725" s="434">
        <f>PV_DATA[[#This Row],[QUANTITY]]*PV_DATA[[#This Row],[WATT]]/1000000</f>
        <v>0.43524000000000002</v>
      </c>
      <c r="W725" s="435">
        <f>PV_DATA[[#This Row],[QUANTITY]]/PV_DATA[[#This Row],[Qty/Pallet]]</f>
        <v>26</v>
      </c>
      <c r="X725" s="1015">
        <f>PV_DATA[[#This Row],[QUANTITY]]/PV_DATA[[#This Row],[Qty/CT]]</f>
        <v>1</v>
      </c>
      <c r="Y725" s="430" t="s">
        <v>4370</v>
      </c>
      <c r="Z725" s="430" t="str">
        <f t="shared" si="8"/>
        <v>COMPLETED</v>
      </c>
      <c r="AA725" s="430" t="s">
        <v>5448</v>
      </c>
      <c r="AB725" s="543">
        <v>46213</v>
      </c>
      <c r="AC725" s="485">
        <f>IF(PV_DATA[[#This Row],[Pick-Up Date]]&lt;&gt;"",_xlfn.ISOWEEKNUM(PV_DATA[[#This Row],[Pick-Up Date]]),"")</f>
        <v>28</v>
      </c>
      <c r="AD725" s="430" t="s">
        <v>5454</v>
      </c>
      <c r="AE725" s="430"/>
      <c r="AF725" s="430" t="s">
        <v>122</v>
      </c>
      <c r="AG725" s="430" t="s">
        <v>123</v>
      </c>
      <c r="AH725" s="430" t="s">
        <v>78</v>
      </c>
      <c r="AI725" s="437">
        <v>46222</v>
      </c>
      <c r="AJ725" s="437">
        <v>46226</v>
      </c>
      <c r="AK725" s="437">
        <v>46227</v>
      </c>
      <c r="AL725" s="437">
        <v>46272</v>
      </c>
      <c r="AM725" s="586">
        <f>IFERROR(VLOOKUP(AT725, Vessel!A:H, 8, FALSE), "")</f>
        <v>46278.083333333336</v>
      </c>
      <c r="AN725" s="586">
        <f>IFERROR(IF(VLOOKUP(AT725,Vessel!A:I,9,FALSE)=0,"",VLOOKUP(AT725,Vessel!A:I,9,FALSE)),"")</f>
        <v>46278.186840277776</v>
      </c>
      <c r="AP725" s="430" t="s">
        <v>5450</v>
      </c>
      <c r="AQ725" s="438" t="s">
        <v>80</v>
      </c>
      <c r="AR725" s="430" t="s">
        <v>5451</v>
      </c>
      <c r="AS725" s="430" t="s">
        <v>5452</v>
      </c>
      <c r="AT725" s="430" t="s">
        <v>5452</v>
      </c>
      <c r="AU72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51.186840277776355</v>
      </c>
      <c r="AW725" s="437" cm="1">
        <f t="array" ref="AW72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46278.186840277776</v>
      </c>
      <c r="AX72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25" s="437">
        <f>IF(ISERROR(PV_DATA[[#This Row],[New Ark PO status]]),"",_xlfn.XLOOKUP(PV_DATA[[#This Row],[SPTN-PVHK New Ark PO'#]],New_Ark_Data[Purchase order Number],New_Ark_Data[Estimated time of arrival],"",0))</f>
        <v>46290</v>
      </c>
      <c r="AZ725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25" s="437">
        <f>IFERROR(PV_DATA[[#This Row],[ODP ETA Port]]+PV_DATA[[#This Row],[Customs/Leg3 Assumption]],"n/a")</f>
        <v>46286.186840277776</v>
      </c>
      <c r="BB725" s="433">
        <f>YEAR(PV_DATA[[#This Row],[ETA for New Ark update]])</f>
        <v>2026</v>
      </c>
      <c r="BC725" s="430">
        <f>MONTH(PV_DATA[[#This Row],[ETA for New Ark update]])</f>
        <v>9</v>
      </c>
      <c r="BD725" s="430">
        <f>IFERROR(_xlfn.ISOWEEKNUM(PV_DATA[[#This Row],[ETA for New Ark update]]),0)</f>
        <v>39</v>
      </c>
      <c r="BE725" s="430">
        <f>_xlfn.XLOOKUP(PV_DATA[[#This Row],[New Ark SKU]],Table9[New Ark SKU],Table9[Total PCS per Pallet],,0)</f>
        <v>36</v>
      </c>
      <c r="BF725" s="430">
        <f>_xlfn.XLOOKUP(PV_DATA[[#This Row],[New Ark SKU]],Table9[New Ark SKU],Table9[Total PCS per 40HQ Container],,0)</f>
        <v>936</v>
      </c>
      <c r="BG725" s="430" t="str">
        <f>_xlfn.XLOOKUP(PV_DATA[[#This Row],[New Ark SKU]],Table9[New Ark SKU],Table9[Back Glass],,0)</f>
        <v>Black glazing</v>
      </c>
      <c r="BH725" s="430" t="str">
        <f>_xlfn.XLOOKUP(PV_DATA[[#This Row],[PORT DESTINATION]],Table12[PORT DESTINATION],Table12[Cosco Line],,0)</f>
        <v>AEM</v>
      </c>
      <c r="BJ725" s="430"/>
    </row>
    <row r="726" spans="1:62" ht="10.5" hidden="1">
      <c r="A726" s="462" t="s">
        <v>5455</v>
      </c>
      <c r="B726" s="462" t="s">
        <v>5327</v>
      </c>
      <c r="C726" s="462" t="str">
        <f>IFERROR(LEFT(PV_DATA[[#This Row],[TCL REFERENCE]],FIND(".",PV_DATA[[#This Row],[TCL REFERENCE]],1)-1),"Main Line")</f>
        <v>26Jun014</v>
      </c>
      <c r="D726" s="462" t="s">
        <v>63</v>
      </c>
      <c r="E726" s="462" t="s">
        <v>64</v>
      </c>
      <c r="F726" s="462" t="str" cm="1">
        <f t="array" ref="F72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26" s="462" t="s">
        <v>402</v>
      </c>
      <c r="H726" s="462" t="s">
        <v>67</v>
      </c>
      <c r="I726" s="462" t="s">
        <v>689</v>
      </c>
      <c r="J726" s="430" t="s">
        <v>96</v>
      </c>
      <c r="K726" s="431"/>
      <c r="L726" s="431"/>
      <c r="M726" s="430" t="s">
        <v>68</v>
      </c>
      <c r="N726" s="432">
        <v>46209</v>
      </c>
      <c r="O726" s="430" t="s">
        <v>4540</v>
      </c>
      <c r="P726" s="430" t="s">
        <v>691</v>
      </c>
      <c r="Q726" s="430" t="s">
        <v>692</v>
      </c>
      <c r="R726" s="430" t="str">
        <f>_xlfn.XLOOKUP(PV_DATA[[#This Row],[New Ark SKU]],Table9[New Ark SKU],Table9[Connector],,0)</f>
        <v>EVO2A</v>
      </c>
      <c r="S726" s="433" t="str">
        <f>_xlfn.XLOOKUP(PV_DATA[[#This Row],[New Ark SKU]],Table9[New Ark SKU],Table9[Cable],,0)</f>
        <v>±1200mm</v>
      </c>
      <c r="T726" s="433">
        <v>505</v>
      </c>
      <c r="U726" s="1062">
        <f>864*6</f>
        <v>5184</v>
      </c>
      <c r="V726" s="434">
        <f>PV_DATA[[#This Row],[QUANTITY]]*PV_DATA[[#This Row],[WATT]]/1000000</f>
        <v>2.6179199999999998</v>
      </c>
      <c r="W726" s="435">
        <f>PV_DATA[[#This Row],[QUANTITY]]/PV_DATA[[#This Row],[Qty/Pallet]]</f>
        <v>144</v>
      </c>
      <c r="X726" s="1015">
        <f>PV_DATA[[#This Row],[QUANTITY]]/PV_DATA[[#This Row],[Qty/CT]]</f>
        <v>6</v>
      </c>
      <c r="Y726" s="430" t="s">
        <v>4370</v>
      </c>
      <c r="Z726" s="430" t="str">
        <f t="shared" si="8"/>
        <v>COMPLETED</v>
      </c>
      <c r="AA726" s="545">
        <v>46210</v>
      </c>
      <c r="AB726" s="437">
        <v>46214</v>
      </c>
      <c r="AC726" s="485">
        <f>IF(PV_DATA[[#This Row],[Pick-Up Date]]&lt;&gt;"",_xlfn.ISOWEEKNUM(PV_DATA[[#This Row],[Pick-Up Date]]),"")</f>
        <v>28</v>
      </c>
      <c r="AD726" s="430" t="s">
        <v>5456</v>
      </c>
      <c r="AE726" s="430"/>
      <c r="AF726" s="430" t="s">
        <v>123</v>
      </c>
      <c r="AG726" s="430" t="s">
        <v>123</v>
      </c>
      <c r="AH726" s="430" t="s">
        <v>78</v>
      </c>
      <c r="AI726" s="437">
        <v>46222</v>
      </c>
      <c r="AJ726" s="437">
        <v>46226</v>
      </c>
      <c r="AK726" s="437">
        <v>46227</v>
      </c>
      <c r="AL726" s="437">
        <v>46272</v>
      </c>
      <c r="AM726" s="586">
        <f>IFERROR(VLOOKUP(AT726, Vessel!A:H, 8, FALSE), "")</f>
        <v>46278.083333333336</v>
      </c>
      <c r="AN726" s="586">
        <f>IFERROR(IF(VLOOKUP(AT726,Vessel!A:I,9,FALSE)=0,"",VLOOKUP(AT726,Vessel!A:I,9,FALSE)),"")</f>
        <v>46278.186840277776</v>
      </c>
      <c r="AP726" s="430" t="s">
        <v>5450</v>
      </c>
      <c r="AQ726" s="430" t="s">
        <v>80</v>
      </c>
      <c r="AR726" s="430" t="s">
        <v>5457</v>
      </c>
      <c r="AS726" s="430" t="s">
        <v>5458</v>
      </c>
      <c r="AT726" s="430" t="s">
        <v>5458</v>
      </c>
      <c r="AU72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51.186840277776355</v>
      </c>
      <c r="AV726" s="437"/>
      <c r="AW726" s="437" cm="1">
        <f t="array" ref="AW72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46278.186840277776</v>
      </c>
      <c r="AX72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26" s="437">
        <f>IF(ISERROR(PV_DATA[[#This Row],[New Ark PO status]]),"",_xlfn.XLOOKUP(PV_DATA[[#This Row],[SPTN-PVHK New Ark PO'#]],New_Ark_Data[Purchase order Number],New_Ark_Data[Estimated time of arrival],"",0))</f>
        <v>46290</v>
      </c>
      <c r="AZ726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26" s="437">
        <f>IFERROR(PV_DATA[[#This Row],[ODP ETA Port]]+PV_DATA[[#This Row],[Customs/Leg3 Assumption]],"n/a")</f>
        <v>46286.186840277776</v>
      </c>
      <c r="BB726" s="433">
        <f>YEAR(PV_DATA[[#This Row],[ETA for New Ark update]])</f>
        <v>2026</v>
      </c>
      <c r="BC726" s="430">
        <f>MONTH(PV_DATA[[#This Row],[ETA for New Ark update]])</f>
        <v>9</v>
      </c>
      <c r="BD726" s="430">
        <f>IFERROR(_xlfn.ISOWEEKNUM(PV_DATA[[#This Row],[ETA for New Ark update]]),0)</f>
        <v>39</v>
      </c>
      <c r="BE726" s="430">
        <f>_xlfn.XLOOKUP(PV_DATA[[#This Row],[New Ark SKU]],Table9[New Ark SKU],Table9[Total PCS per Pallet],,0)</f>
        <v>36</v>
      </c>
      <c r="BF726" s="430">
        <f>_xlfn.XLOOKUP(PV_DATA[[#This Row],[New Ark SKU]],Table9[New Ark SKU],Table9[Total PCS per 40HQ Container],,0)</f>
        <v>864</v>
      </c>
      <c r="BG726" s="430" t="str">
        <f>_xlfn.XLOOKUP(PV_DATA[[#This Row],[New Ark SKU]],Table9[New Ark SKU],Table9[Back Glass],,0)</f>
        <v>Black glazing</v>
      </c>
      <c r="BH726" s="430" t="str">
        <f>_xlfn.XLOOKUP(PV_DATA[[#This Row],[PORT DESTINATION]],Table12[PORT DESTINATION],Table12[Cosco Line],,0)</f>
        <v>AEM</v>
      </c>
      <c r="BJ726" s="430"/>
    </row>
    <row r="727" spans="1:62" ht="10.5" hidden="1">
      <c r="A727" s="462" t="s">
        <v>5459</v>
      </c>
      <c r="B727" s="462" t="s">
        <v>5327</v>
      </c>
      <c r="C727" s="462" t="str">
        <f>IFERROR(LEFT(PV_DATA[[#This Row],[TCL REFERENCE]],FIND(".",PV_DATA[[#This Row],[TCL REFERENCE]],1)-1),"Main Line")</f>
        <v>26Jun013</v>
      </c>
      <c r="D727" s="462" t="s">
        <v>63</v>
      </c>
      <c r="E727" s="462" t="s">
        <v>64</v>
      </c>
      <c r="F727" s="462" t="str" cm="1">
        <f t="array" ref="F72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27" s="462" t="s">
        <v>402</v>
      </c>
      <c r="H727" s="462" t="s">
        <v>67</v>
      </c>
      <c r="I727" s="462" t="s">
        <v>689</v>
      </c>
      <c r="J727" s="430" t="s">
        <v>96</v>
      </c>
      <c r="K727" s="431"/>
      <c r="L727" s="431"/>
      <c r="M727" s="430" t="s">
        <v>68</v>
      </c>
      <c r="N727" s="432">
        <v>46209</v>
      </c>
      <c r="O727" s="430" t="s">
        <v>4540</v>
      </c>
      <c r="P727" s="430" t="s">
        <v>706</v>
      </c>
      <c r="Q727" s="430" t="s">
        <v>707</v>
      </c>
      <c r="R727" s="430" t="str">
        <f>_xlfn.XLOOKUP(PV_DATA[[#This Row],[New Ark SKU]],Table9[New Ark SKU],Table9[Connector],,0)</f>
        <v>EVO2A</v>
      </c>
      <c r="S727" s="433" t="str">
        <f>_xlfn.XLOOKUP(PV_DATA[[#This Row],[New Ark SKU]],Table9[New Ark SKU],Table9[Cable],,0)</f>
        <v>±1200mm</v>
      </c>
      <c r="T727" s="433">
        <v>500</v>
      </c>
      <c r="U727" s="1062">
        <f>864*1</f>
        <v>864</v>
      </c>
      <c r="V727" s="434">
        <f>PV_DATA[[#This Row],[QUANTITY]]*PV_DATA[[#This Row],[WATT]]/1000000</f>
        <v>0.432</v>
      </c>
      <c r="W727" s="435">
        <f>PV_DATA[[#This Row],[QUANTITY]]/PV_DATA[[#This Row],[Qty/Pallet]]</f>
        <v>24</v>
      </c>
      <c r="X727" s="1015">
        <f>PV_DATA[[#This Row],[QUANTITY]]/PV_DATA[[#This Row],[Qty/CT]]</f>
        <v>1</v>
      </c>
      <c r="Y727" s="430" t="s">
        <v>4371</v>
      </c>
      <c r="Z727" s="430" t="str">
        <f t="shared" si="8"/>
        <v>COMPLETED</v>
      </c>
      <c r="AA727" s="545">
        <v>46211</v>
      </c>
      <c r="AB727" s="437">
        <v>46214</v>
      </c>
      <c r="AC727" s="485">
        <f>IF(PV_DATA[[#This Row],[Pick-Up Date]]&lt;&gt;"",_xlfn.ISOWEEKNUM(PV_DATA[[#This Row],[Pick-Up Date]]),"")</f>
        <v>28</v>
      </c>
      <c r="AD727" s="430" t="s">
        <v>5460</v>
      </c>
      <c r="AE727" s="430"/>
      <c r="AF727" s="430" t="s">
        <v>122</v>
      </c>
      <c r="AG727" s="430" t="s">
        <v>123</v>
      </c>
      <c r="AH727" s="430" t="s">
        <v>78</v>
      </c>
      <c r="AI727" s="437">
        <v>46222</v>
      </c>
      <c r="AJ727" s="437">
        <v>46226</v>
      </c>
      <c r="AK727" s="437">
        <v>46227</v>
      </c>
      <c r="AL727" s="437">
        <v>46272</v>
      </c>
      <c r="AM727" s="586">
        <f>IFERROR(VLOOKUP(AT727, Vessel!A:H, 8, FALSE), "")</f>
        <v>46278.083333333336</v>
      </c>
      <c r="AN727" s="586">
        <f>IFERROR(IF(VLOOKUP(AT727,Vessel!A:I,9,FALSE)=0,"",VLOOKUP(AT727,Vessel!A:I,9,FALSE)),"")</f>
        <v>46278.186840277776</v>
      </c>
      <c r="AP727" s="430" t="s">
        <v>5450</v>
      </c>
      <c r="AQ727" s="430" t="s">
        <v>80</v>
      </c>
      <c r="AR727" s="430" t="s">
        <v>5457</v>
      </c>
      <c r="AS727" s="430" t="s">
        <v>5458</v>
      </c>
      <c r="AT727" s="430" t="s">
        <v>5458</v>
      </c>
      <c r="AU72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51.186840277776355</v>
      </c>
      <c r="AV727" s="437"/>
      <c r="AW727" s="437" cm="1">
        <f t="array" ref="AW72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46278.186840277776</v>
      </c>
      <c r="AX72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27" s="437">
        <f>IF(ISERROR(PV_DATA[[#This Row],[New Ark PO status]]),"",_xlfn.XLOOKUP(PV_DATA[[#This Row],[SPTN-PVHK New Ark PO'#]],New_Ark_Data[Purchase order Number],New_Ark_Data[Estimated time of arrival],"",0))</f>
        <v>46290</v>
      </c>
      <c r="AZ727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27" s="437">
        <f>IFERROR(PV_DATA[[#This Row],[ODP ETA Port]]+PV_DATA[[#This Row],[Customs/Leg3 Assumption]],"n/a")</f>
        <v>46286.186840277776</v>
      </c>
      <c r="BB727" s="433">
        <f>YEAR(PV_DATA[[#This Row],[ETA for New Ark update]])</f>
        <v>2026</v>
      </c>
      <c r="BC727" s="430">
        <f>MONTH(PV_DATA[[#This Row],[ETA for New Ark update]])</f>
        <v>9</v>
      </c>
      <c r="BD727" s="430">
        <f>IFERROR(_xlfn.ISOWEEKNUM(PV_DATA[[#This Row],[ETA for New Ark update]]),0)</f>
        <v>39</v>
      </c>
      <c r="BE727" s="430">
        <f>_xlfn.XLOOKUP(PV_DATA[[#This Row],[New Ark SKU]],Table9[New Ark SKU],Table9[Total PCS per Pallet],,0)</f>
        <v>36</v>
      </c>
      <c r="BF727" s="430">
        <f>_xlfn.XLOOKUP(PV_DATA[[#This Row],[New Ark SKU]],Table9[New Ark SKU],Table9[Total PCS per 40HQ Container],,0)</f>
        <v>864</v>
      </c>
      <c r="BG727" s="430" t="str">
        <f>_xlfn.XLOOKUP(PV_DATA[[#This Row],[New Ark SKU]],Table9[New Ark SKU],Table9[Back Glass],,0)</f>
        <v>Black glazing</v>
      </c>
      <c r="BH727" s="430" t="str">
        <f>_xlfn.XLOOKUP(PV_DATA[[#This Row],[PORT DESTINATION]],Table12[PORT DESTINATION],Table12[Cosco Line],,0)</f>
        <v>AEM</v>
      </c>
      <c r="BJ727" s="430"/>
    </row>
    <row r="728" spans="1:62" ht="10.5" hidden="1">
      <c r="A728" s="462" t="s">
        <v>5461</v>
      </c>
      <c r="B728" s="462" t="s">
        <v>5327</v>
      </c>
      <c r="C728" s="462" t="str">
        <f>IFERROR(LEFT(PV_DATA[[#This Row],[TCL REFERENCE]],FIND(".",PV_DATA[[#This Row],[TCL REFERENCE]],1)-1),"Main Line")</f>
        <v>26Jun014</v>
      </c>
      <c r="D728" s="462" t="s">
        <v>63</v>
      </c>
      <c r="E728" s="462" t="s">
        <v>64</v>
      </c>
      <c r="F728" s="462" t="str" cm="1">
        <f t="array" ref="F72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28" s="462" t="s">
        <v>402</v>
      </c>
      <c r="H728" s="462" t="s">
        <v>67</v>
      </c>
      <c r="I728" s="462" t="s">
        <v>689</v>
      </c>
      <c r="J728" s="430" t="s">
        <v>96</v>
      </c>
      <c r="K728" s="431"/>
      <c r="L728" s="431"/>
      <c r="M728" s="430" t="s">
        <v>68</v>
      </c>
      <c r="N728" s="432">
        <v>46209</v>
      </c>
      <c r="O728" s="430" t="s">
        <v>4540</v>
      </c>
      <c r="P728" s="430" t="s">
        <v>691</v>
      </c>
      <c r="Q728" s="430" t="s">
        <v>692</v>
      </c>
      <c r="R728" s="430" t="str">
        <f>_xlfn.XLOOKUP(PV_DATA[[#This Row],[New Ark SKU]],Table9[New Ark SKU],Table9[Connector],,0)</f>
        <v>EVO2A</v>
      </c>
      <c r="S728" s="433" t="str">
        <f>_xlfn.XLOOKUP(PV_DATA[[#This Row],[New Ark SKU]],Table9[New Ark SKU],Table9[Cable],,0)</f>
        <v>±1200mm</v>
      </c>
      <c r="T728" s="433">
        <v>505</v>
      </c>
      <c r="U728" s="1062">
        <f>864*3</f>
        <v>2592</v>
      </c>
      <c r="V728" s="434">
        <f>PV_DATA[[#This Row],[QUANTITY]]*PV_DATA[[#This Row],[WATT]]/1000000</f>
        <v>1.3089599999999999</v>
      </c>
      <c r="W728" s="435">
        <f>PV_DATA[[#This Row],[QUANTITY]]/PV_DATA[[#This Row],[Qty/Pallet]]</f>
        <v>72</v>
      </c>
      <c r="X728" s="1015">
        <f>PV_DATA[[#This Row],[QUANTITY]]/PV_DATA[[#This Row],[Qty/CT]]</f>
        <v>3</v>
      </c>
      <c r="Y728" s="430" t="s">
        <v>4371</v>
      </c>
      <c r="Z728" s="430" t="str">
        <f t="shared" si="8"/>
        <v>COMPLETED</v>
      </c>
      <c r="AA728" s="545">
        <v>46212</v>
      </c>
      <c r="AB728" s="437">
        <v>46214</v>
      </c>
      <c r="AC728" s="485">
        <f>IF(PV_DATA[[#This Row],[Pick-Up Date]]&lt;&gt;"",_xlfn.ISOWEEKNUM(PV_DATA[[#This Row],[Pick-Up Date]]),"")</f>
        <v>28</v>
      </c>
      <c r="AD728" s="430" t="s">
        <v>5462</v>
      </c>
      <c r="AE728" s="430"/>
      <c r="AF728" s="430" t="s">
        <v>122</v>
      </c>
      <c r="AG728" s="430" t="s">
        <v>123</v>
      </c>
      <c r="AH728" s="430" t="s">
        <v>78</v>
      </c>
      <c r="AI728" s="437">
        <v>46222</v>
      </c>
      <c r="AJ728" s="437">
        <v>46226</v>
      </c>
      <c r="AK728" s="437">
        <v>46227</v>
      </c>
      <c r="AL728" s="437">
        <v>46272</v>
      </c>
      <c r="AM728" s="586">
        <f>IFERROR(VLOOKUP(AT728, Vessel!A:H, 8, FALSE), "")</f>
        <v>46278.083333333336</v>
      </c>
      <c r="AN728" s="586">
        <f>IFERROR(IF(VLOOKUP(AT728,Vessel!A:I,9,FALSE)=0,"",VLOOKUP(AT728,Vessel!A:I,9,FALSE)),"")</f>
        <v>46278.186840277776</v>
      </c>
      <c r="AP728" s="430" t="s">
        <v>5450</v>
      </c>
      <c r="AQ728" s="430" t="s">
        <v>80</v>
      </c>
      <c r="AR728" s="430" t="s">
        <v>5457</v>
      </c>
      <c r="AS728" s="430" t="s">
        <v>5458</v>
      </c>
      <c r="AT728" s="430" t="s">
        <v>5458</v>
      </c>
      <c r="AU72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51.186840277776355</v>
      </c>
      <c r="AV728" s="437"/>
      <c r="AW728" s="437" cm="1">
        <f t="array" ref="AW72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46278.186840277776</v>
      </c>
      <c r="AX72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28" s="437">
        <f>IF(ISERROR(PV_DATA[[#This Row],[New Ark PO status]]),"",_xlfn.XLOOKUP(PV_DATA[[#This Row],[SPTN-PVHK New Ark PO'#]],New_Ark_Data[Purchase order Number],New_Ark_Data[Estimated time of arrival],"",0))</f>
        <v>46290</v>
      </c>
      <c r="AZ728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28" s="437">
        <f>IFERROR(PV_DATA[[#This Row],[ODP ETA Port]]+PV_DATA[[#This Row],[Customs/Leg3 Assumption]],"n/a")</f>
        <v>46286.186840277776</v>
      </c>
      <c r="BB728" s="433">
        <f>YEAR(PV_DATA[[#This Row],[ETA for New Ark update]])</f>
        <v>2026</v>
      </c>
      <c r="BC728" s="430">
        <f>MONTH(PV_DATA[[#This Row],[ETA for New Ark update]])</f>
        <v>9</v>
      </c>
      <c r="BD728" s="430">
        <f>IFERROR(_xlfn.ISOWEEKNUM(PV_DATA[[#This Row],[ETA for New Ark update]]),0)</f>
        <v>39</v>
      </c>
      <c r="BE728" s="430">
        <f>_xlfn.XLOOKUP(PV_DATA[[#This Row],[New Ark SKU]],Table9[New Ark SKU],Table9[Total PCS per Pallet],,0)</f>
        <v>36</v>
      </c>
      <c r="BF728" s="430">
        <f>_xlfn.XLOOKUP(PV_DATA[[#This Row],[New Ark SKU]],Table9[New Ark SKU],Table9[Total PCS per 40HQ Container],,0)</f>
        <v>864</v>
      </c>
      <c r="BG728" s="430" t="str">
        <f>_xlfn.XLOOKUP(PV_DATA[[#This Row],[New Ark SKU]],Table9[New Ark SKU],Table9[Back Glass],,0)</f>
        <v>Black glazing</v>
      </c>
      <c r="BH728" s="430" t="str">
        <f>_xlfn.XLOOKUP(PV_DATA[[#This Row],[PORT DESTINATION]],Table12[PORT DESTINATION],Table12[Cosco Line],,0)</f>
        <v>AEM</v>
      </c>
      <c r="BJ728" s="430"/>
    </row>
    <row r="729" spans="1:62" ht="10.5" hidden="1">
      <c r="A729" s="462" t="s">
        <v>5463</v>
      </c>
      <c r="B729" s="462" t="s">
        <v>5327</v>
      </c>
      <c r="C729" s="462" t="str">
        <f>IFERROR(LEFT(PV_DATA[[#This Row],[TCL REFERENCE]],FIND(".",PV_DATA[[#This Row],[TCL REFERENCE]],1)-1),"Main Line")</f>
        <v>26Jun013</v>
      </c>
      <c r="D729" s="462" t="s">
        <v>63</v>
      </c>
      <c r="E729" s="462" t="s">
        <v>144</v>
      </c>
      <c r="F729" s="462" t="str" cm="1">
        <f t="array" ref="F72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29" s="462" t="s">
        <v>402</v>
      </c>
      <c r="H729" s="462" t="s">
        <v>2382</v>
      </c>
      <c r="I729" s="462" t="s">
        <v>1395</v>
      </c>
      <c r="J729" s="430" t="s">
        <v>2382</v>
      </c>
      <c r="K729" s="431" t="s">
        <v>5464</v>
      </c>
      <c r="L729" s="431">
        <v>1</v>
      </c>
      <c r="M729" s="430" t="s">
        <v>840</v>
      </c>
      <c r="N729" s="432">
        <v>46209</v>
      </c>
      <c r="O729" s="430" t="s">
        <v>4540</v>
      </c>
      <c r="P729" s="430" t="s">
        <v>706</v>
      </c>
      <c r="Q729" s="430" t="s">
        <v>707</v>
      </c>
      <c r="R729" s="430" t="str">
        <f>_xlfn.XLOOKUP(PV_DATA[[#This Row],[New Ark SKU]],Table9[New Ark SKU],Table9[Connector],,0)</f>
        <v>EVO2A</v>
      </c>
      <c r="S729" s="433" t="str">
        <f>_xlfn.XLOOKUP(PV_DATA[[#This Row],[New Ark SKU]],Table9[New Ark SKU],Table9[Cable],,0)</f>
        <v>±1200mm</v>
      </c>
      <c r="T729" s="433">
        <v>500</v>
      </c>
      <c r="U729" s="1062">
        <f>864*3</f>
        <v>2592</v>
      </c>
      <c r="V729" s="434">
        <f>PV_DATA[[#This Row],[QUANTITY]]*PV_DATA[[#This Row],[WATT]]/1000000</f>
        <v>1.296</v>
      </c>
      <c r="W729" s="435">
        <f>PV_DATA[[#This Row],[QUANTITY]]/PV_DATA[[#This Row],[Qty/Pallet]]</f>
        <v>72</v>
      </c>
      <c r="X729" s="1015">
        <f>PV_DATA[[#This Row],[QUANTITY]]/PV_DATA[[#This Row],[Qty/CT]]</f>
        <v>3</v>
      </c>
      <c r="Y729" s="430" t="s">
        <v>4370</v>
      </c>
      <c r="Z729" s="430" t="str">
        <f t="shared" si="8"/>
        <v>COMPLETED</v>
      </c>
      <c r="AA729" s="545">
        <v>46211</v>
      </c>
      <c r="AB729" s="437">
        <v>46214</v>
      </c>
      <c r="AC729" s="485">
        <f>IF(PV_DATA[[#This Row],[Pick-Up Date]]&lt;&gt;"",_xlfn.ISOWEEKNUM(PV_DATA[[#This Row],[Pick-Up Date]]),"")</f>
        <v>28</v>
      </c>
      <c r="AD729" s="430" t="s">
        <v>5465</v>
      </c>
      <c r="AE729" s="430"/>
      <c r="AF729" s="430" t="s">
        <v>123</v>
      </c>
      <c r="AG729" s="430" t="s">
        <v>123</v>
      </c>
      <c r="AH729" s="430" t="s">
        <v>78</v>
      </c>
      <c r="AI729" s="437">
        <v>46222</v>
      </c>
      <c r="AJ729" s="437">
        <v>46226</v>
      </c>
      <c r="AK729" s="437">
        <v>46227</v>
      </c>
      <c r="AL729" s="437">
        <v>46272</v>
      </c>
      <c r="AM729" s="586">
        <f>IFERROR(VLOOKUP(AT729, Vessel!A:H, 8, FALSE), "")</f>
        <v>46278.083333333336</v>
      </c>
      <c r="AN729" s="586">
        <f>IFERROR(IF(VLOOKUP(AT729,Vessel!A:I,9,FALSE)=0,"",VLOOKUP(AT729,Vessel!A:I,9,FALSE)),"")</f>
        <v>46278.186840277776</v>
      </c>
      <c r="AP729" s="430" t="s">
        <v>5450</v>
      </c>
      <c r="AQ729" s="430" t="s">
        <v>80</v>
      </c>
      <c r="AR729" s="430" t="s">
        <v>5466</v>
      </c>
      <c r="AS729" s="430" t="s">
        <v>5467</v>
      </c>
      <c r="AT729" s="430" t="s">
        <v>5467</v>
      </c>
      <c r="AU72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51.186840277776355</v>
      </c>
      <c r="AV729" s="437"/>
      <c r="AW729" s="437" cm="1">
        <f t="array" ref="AW72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46278.186840277776</v>
      </c>
      <c r="AX72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29" s="437">
        <f>IF(ISERROR(PV_DATA[[#This Row],[New Ark PO status]]),"",_xlfn.XLOOKUP(PV_DATA[[#This Row],[SPTN-PVHK New Ark PO'#]],New_Ark_Data[Purchase order Number],New_Ark_Data[Estimated time of arrival],"",0))</f>
        <v>46272</v>
      </c>
      <c r="AZ729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29" s="437">
        <f>IFERROR(PV_DATA[[#This Row],[ODP ETA Port]]+PV_DATA[[#This Row],[Customs/Leg3 Assumption]],"n/a")</f>
        <v>46278.186840277776</v>
      </c>
      <c r="BB729" s="433">
        <f>YEAR(PV_DATA[[#This Row],[ETA for New Ark update]])</f>
        <v>2026</v>
      </c>
      <c r="BC729" s="430">
        <f>MONTH(PV_DATA[[#This Row],[ETA for New Ark update]])</f>
        <v>9</v>
      </c>
      <c r="BD729" s="430">
        <f>IFERROR(_xlfn.ISOWEEKNUM(PV_DATA[[#This Row],[ETA for New Ark update]]),0)</f>
        <v>37</v>
      </c>
      <c r="BE729" s="430">
        <f>_xlfn.XLOOKUP(PV_DATA[[#This Row],[New Ark SKU]],Table9[New Ark SKU],Table9[Total PCS per Pallet],,0)</f>
        <v>36</v>
      </c>
      <c r="BF729" s="430">
        <f>_xlfn.XLOOKUP(PV_DATA[[#This Row],[New Ark SKU]],Table9[New Ark SKU],Table9[Total PCS per 40HQ Container],,0)</f>
        <v>864</v>
      </c>
      <c r="BG729" s="430" t="str">
        <f>_xlfn.XLOOKUP(PV_DATA[[#This Row],[New Ark SKU]],Table9[New Ark SKU],Table9[Back Glass],,0)</f>
        <v>Black glazing</v>
      </c>
      <c r="BH729" s="430" t="str">
        <f>_xlfn.XLOOKUP(PV_DATA[[#This Row],[PORT DESTINATION]],Table12[PORT DESTINATION],Table12[Cosco Line],,0)</f>
        <v>AEM</v>
      </c>
      <c r="BJ729" s="430"/>
    </row>
    <row r="730" spans="1:62" ht="10.5" hidden="1">
      <c r="A730" s="462" t="s">
        <v>5468</v>
      </c>
      <c r="B730" s="462" t="s">
        <v>5327</v>
      </c>
      <c r="C730" s="462" t="str">
        <f>IFERROR(LEFT(PV_DATA[[#This Row],[TCL REFERENCE]],FIND(".",PV_DATA[[#This Row],[TCL REFERENCE]],1)-1),"Main Line")</f>
        <v>26Jun013</v>
      </c>
      <c r="D730" s="462" t="s">
        <v>63</v>
      </c>
      <c r="E730" s="462" t="s">
        <v>144</v>
      </c>
      <c r="F730" s="462" t="str" cm="1">
        <f t="array" ref="F73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30" s="462" t="s">
        <v>402</v>
      </c>
      <c r="H730" s="462" t="s">
        <v>2382</v>
      </c>
      <c r="I730" s="462" t="s">
        <v>1395</v>
      </c>
      <c r="J730" s="430" t="s">
        <v>2382</v>
      </c>
      <c r="K730" s="431" t="s">
        <v>5469</v>
      </c>
      <c r="L730" s="431">
        <v>4</v>
      </c>
      <c r="M730" s="430" t="s">
        <v>840</v>
      </c>
      <c r="N730" s="432">
        <v>46209</v>
      </c>
      <c r="O730" s="430" t="s">
        <v>4540</v>
      </c>
      <c r="P730" s="430" t="s">
        <v>706</v>
      </c>
      <c r="Q730" s="430" t="s">
        <v>707</v>
      </c>
      <c r="R730" s="430" t="str">
        <f>_xlfn.XLOOKUP(PV_DATA[[#This Row],[New Ark SKU]],Table9[New Ark SKU],Table9[Connector],,0)</f>
        <v>EVO2A</v>
      </c>
      <c r="S730" s="433" t="str">
        <f>_xlfn.XLOOKUP(PV_DATA[[#This Row],[New Ark SKU]],Table9[New Ark SKU],Table9[Cable],,0)</f>
        <v>±1200mm</v>
      </c>
      <c r="T730" s="433">
        <v>500</v>
      </c>
      <c r="U730" s="1062">
        <f>864*1</f>
        <v>864</v>
      </c>
      <c r="V730" s="434">
        <f>PV_DATA[[#This Row],[QUANTITY]]*PV_DATA[[#This Row],[WATT]]/1000000</f>
        <v>0.432</v>
      </c>
      <c r="W730" s="435">
        <f>PV_DATA[[#This Row],[QUANTITY]]/PV_DATA[[#This Row],[Qty/Pallet]]</f>
        <v>24</v>
      </c>
      <c r="X730" s="1015">
        <f>PV_DATA[[#This Row],[QUANTITY]]/PV_DATA[[#This Row],[Qty/CT]]</f>
        <v>1</v>
      </c>
      <c r="Y730" s="430" t="s">
        <v>4370</v>
      </c>
      <c r="Z730" s="430" t="str">
        <f t="shared" si="8"/>
        <v>COMPLETED</v>
      </c>
      <c r="AA730" s="545">
        <v>46211</v>
      </c>
      <c r="AB730" s="437">
        <v>46214</v>
      </c>
      <c r="AC730" s="485">
        <f>IF(PV_DATA[[#This Row],[Pick-Up Date]]&lt;&gt;"",_xlfn.ISOWEEKNUM(PV_DATA[[#This Row],[Pick-Up Date]]),"")</f>
        <v>28</v>
      </c>
      <c r="AD730" s="430" t="s">
        <v>5470</v>
      </c>
      <c r="AE730" s="430"/>
      <c r="AF730" s="430" t="s">
        <v>123</v>
      </c>
      <c r="AG730" s="430" t="s">
        <v>123</v>
      </c>
      <c r="AH730" s="430" t="s">
        <v>78</v>
      </c>
      <c r="AI730" s="437">
        <v>46222</v>
      </c>
      <c r="AJ730" s="437">
        <v>46226</v>
      </c>
      <c r="AK730" s="437">
        <v>46227</v>
      </c>
      <c r="AL730" s="437">
        <v>46272</v>
      </c>
      <c r="AM730" s="586">
        <f>IFERROR(VLOOKUP(AT730, Vessel!A:H, 8, FALSE), "")</f>
        <v>46278.083333333336</v>
      </c>
      <c r="AN730" s="586">
        <f>IFERROR(IF(VLOOKUP(AT730,Vessel!A:I,9,FALSE)=0,"",VLOOKUP(AT730,Vessel!A:I,9,FALSE)),"")</f>
        <v>46278.186840277776</v>
      </c>
      <c r="AP730" s="430" t="s">
        <v>5450</v>
      </c>
      <c r="AQ730" s="430" t="s">
        <v>80</v>
      </c>
      <c r="AR730" s="430" t="s">
        <v>5466</v>
      </c>
      <c r="AS730" s="430" t="s">
        <v>5467</v>
      </c>
      <c r="AT730" s="430" t="s">
        <v>5467</v>
      </c>
      <c r="AU73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51.186840277776355</v>
      </c>
      <c r="AV730" s="437"/>
      <c r="AW730" s="437" cm="1">
        <f t="array" ref="AW73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46278.186840277776</v>
      </c>
      <c r="AX73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30" s="437">
        <f>IF(ISERROR(PV_DATA[[#This Row],[New Ark PO status]]),"",_xlfn.XLOOKUP(PV_DATA[[#This Row],[SPTN-PVHK New Ark PO'#]],New_Ark_Data[Purchase order Number],New_Ark_Data[Estimated time of arrival],"",0))</f>
        <v>46272</v>
      </c>
      <c r="AZ730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30" s="437">
        <f>IFERROR(PV_DATA[[#This Row],[ODP ETA Port]]+PV_DATA[[#This Row],[Customs/Leg3 Assumption]],"n/a")</f>
        <v>46278.186840277776</v>
      </c>
      <c r="BB730" s="433">
        <f>YEAR(PV_DATA[[#This Row],[ETA for New Ark update]])</f>
        <v>2026</v>
      </c>
      <c r="BC730" s="430">
        <f>MONTH(PV_DATA[[#This Row],[ETA for New Ark update]])</f>
        <v>9</v>
      </c>
      <c r="BD730" s="430">
        <f>IFERROR(_xlfn.ISOWEEKNUM(PV_DATA[[#This Row],[ETA for New Ark update]]),0)</f>
        <v>37</v>
      </c>
      <c r="BE730" s="430">
        <f>_xlfn.XLOOKUP(PV_DATA[[#This Row],[New Ark SKU]],Table9[New Ark SKU],Table9[Total PCS per Pallet],,0)</f>
        <v>36</v>
      </c>
      <c r="BF730" s="430">
        <f>_xlfn.XLOOKUP(PV_DATA[[#This Row],[New Ark SKU]],Table9[New Ark SKU],Table9[Total PCS per 40HQ Container],,0)</f>
        <v>864</v>
      </c>
      <c r="BG730" s="430" t="str">
        <f>_xlfn.XLOOKUP(PV_DATA[[#This Row],[New Ark SKU]],Table9[New Ark SKU],Table9[Back Glass],,0)</f>
        <v>Black glazing</v>
      </c>
      <c r="BH730" s="430" t="str">
        <f>_xlfn.XLOOKUP(PV_DATA[[#This Row],[PORT DESTINATION]],Table12[PORT DESTINATION],Table12[Cosco Line],,0)</f>
        <v>AEM</v>
      </c>
      <c r="BJ730" s="430"/>
    </row>
    <row r="731" spans="1:62" ht="10.5" hidden="1">
      <c r="A731" s="462" t="s">
        <v>5471</v>
      </c>
      <c r="B731" s="462" t="s">
        <v>5327</v>
      </c>
      <c r="C731" s="462" t="str">
        <f>IFERROR(LEFT(PV_DATA[[#This Row],[TCL REFERENCE]],FIND(".",PV_DATA[[#This Row],[TCL REFERENCE]],1)-1),"Main Line")</f>
        <v>26Jun013</v>
      </c>
      <c r="D731" s="462" t="s">
        <v>63</v>
      </c>
      <c r="E731" s="462" t="s">
        <v>144</v>
      </c>
      <c r="F731" s="462" t="str" cm="1">
        <f t="array" ref="F73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31" s="462" t="s">
        <v>402</v>
      </c>
      <c r="H731" s="462" t="s">
        <v>2382</v>
      </c>
      <c r="I731" s="462" t="s">
        <v>1395</v>
      </c>
      <c r="J731" s="430" t="s">
        <v>2382</v>
      </c>
      <c r="K731" s="431" t="s">
        <v>5469</v>
      </c>
      <c r="L731" s="431">
        <v>1</v>
      </c>
      <c r="M731" s="430" t="s">
        <v>840</v>
      </c>
      <c r="N731" s="432">
        <v>46209</v>
      </c>
      <c r="O731" s="430" t="s">
        <v>4540</v>
      </c>
      <c r="P731" s="430" t="s">
        <v>706</v>
      </c>
      <c r="Q731" s="430" t="s">
        <v>707</v>
      </c>
      <c r="R731" s="430" t="str">
        <f>_xlfn.XLOOKUP(PV_DATA[[#This Row],[New Ark SKU]],Table9[New Ark SKU],Table9[Connector],,0)</f>
        <v>EVO2A</v>
      </c>
      <c r="S731" s="433" t="str">
        <f>_xlfn.XLOOKUP(PV_DATA[[#This Row],[New Ark SKU]],Table9[New Ark SKU],Table9[Cable],,0)</f>
        <v>±1200mm</v>
      </c>
      <c r="T731" s="433">
        <v>500</v>
      </c>
      <c r="U731" s="1062">
        <f>864*2</f>
        <v>1728</v>
      </c>
      <c r="V731" s="434">
        <f>PV_DATA[[#This Row],[QUANTITY]]*PV_DATA[[#This Row],[WATT]]/1000000</f>
        <v>0.86399999999999999</v>
      </c>
      <c r="W731" s="435">
        <f>PV_DATA[[#This Row],[QUANTITY]]/PV_DATA[[#This Row],[Qty/Pallet]]</f>
        <v>48</v>
      </c>
      <c r="X731" s="1015">
        <f>PV_DATA[[#This Row],[QUANTITY]]/PV_DATA[[#This Row],[Qty/CT]]</f>
        <v>2</v>
      </c>
      <c r="Y731" s="430" t="s">
        <v>4370</v>
      </c>
      <c r="Z731" s="430" t="str">
        <f t="shared" si="8"/>
        <v>COMPLETED</v>
      </c>
      <c r="AA731" s="545">
        <v>46211</v>
      </c>
      <c r="AB731" s="437">
        <v>46211</v>
      </c>
      <c r="AC731" s="485">
        <f>IF(PV_DATA[[#This Row],[Pick-Up Date]]&lt;&gt;"",_xlfn.ISOWEEKNUM(PV_DATA[[#This Row],[Pick-Up Date]]),"")</f>
        <v>28</v>
      </c>
      <c r="AD731" s="430" t="s">
        <v>5472</v>
      </c>
      <c r="AE731" s="430"/>
      <c r="AF731" s="430" t="s">
        <v>123</v>
      </c>
      <c r="AG731" s="430" t="s">
        <v>123</v>
      </c>
      <c r="AH731" s="430" t="s">
        <v>78</v>
      </c>
      <c r="AI731" s="437">
        <v>46216</v>
      </c>
      <c r="AJ731" s="437">
        <v>46232</v>
      </c>
      <c r="AK731" s="437">
        <v>46232</v>
      </c>
      <c r="AL731" s="437">
        <v>46260</v>
      </c>
      <c r="AM731" s="586">
        <f>IFERROR(VLOOKUP(AT731, Vessel!A:H, 8, FALSE), "")</f>
        <v>46272.833333333336</v>
      </c>
      <c r="AN731" s="586">
        <f>IFERROR(IF(VLOOKUP(AT731,Vessel!A:I,9,FALSE)=0,"",VLOOKUP(AT731,Vessel!A:I,9,FALSE)),"")</f>
        <v>46272.644375000003</v>
      </c>
      <c r="AP731" s="430" t="s">
        <v>5473</v>
      </c>
      <c r="AQ731" s="430" t="s">
        <v>80</v>
      </c>
      <c r="AR731" s="430" t="s">
        <v>5474</v>
      </c>
      <c r="AS731" s="430" t="s">
        <v>5475</v>
      </c>
      <c r="AT731" s="430" t="s">
        <v>5475</v>
      </c>
      <c r="AU73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40.644375000003492</v>
      </c>
      <c r="AV731" s="437"/>
      <c r="AW731" s="437" cm="1">
        <f t="array" ref="AW73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46272.644375000003</v>
      </c>
      <c r="AX73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31" s="437">
        <f>IF(ISERROR(PV_DATA[[#This Row],[New Ark PO status]]),"",_xlfn.XLOOKUP(PV_DATA[[#This Row],[SPTN-PVHK New Ark PO'#]],New_Ark_Data[Purchase order Number],New_Ark_Data[Estimated time of arrival],"",0))</f>
        <v>46260</v>
      </c>
      <c r="AZ731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31" s="437">
        <f>IFERROR(PV_DATA[[#This Row],[ODP ETA Port]]+PV_DATA[[#This Row],[Customs/Leg3 Assumption]],"n/a")</f>
        <v>46272.644375000003</v>
      </c>
      <c r="BB731" s="433">
        <f>YEAR(PV_DATA[[#This Row],[ETA for New Ark update]])</f>
        <v>2026</v>
      </c>
      <c r="BC731" s="430">
        <f>MONTH(PV_DATA[[#This Row],[ETA for New Ark update]])</f>
        <v>9</v>
      </c>
      <c r="BD731" s="430">
        <f>IFERROR(_xlfn.ISOWEEKNUM(PV_DATA[[#This Row],[ETA for New Ark update]]),0)</f>
        <v>37</v>
      </c>
      <c r="BE731" s="430">
        <f>_xlfn.XLOOKUP(PV_DATA[[#This Row],[New Ark SKU]],Table9[New Ark SKU],Table9[Total PCS per Pallet],,0)</f>
        <v>36</v>
      </c>
      <c r="BF731" s="430">
        <f>_xlfn.XLOOKUP(PV_DATA[[#This Row],[New Ark SKU]],Table9[New Ark SKU],Table9[Total PCS per 40HQ Container],,0)</f>
        <v>864</v>
      </c>
      <c r="BG731" s="430" t="str">
        <f>_xlfn.XLOOKUP(PV_DATA[[#This Row],[New Ark SKU]],Table9[New Ark SKU],Table9[Back Glass],,0)</f>
        <v>Black glazing</v>
      </c>
      <c r="BH731" s="430" t="str">
        <f>_xlfn.XLOOKUP(PV_DATA[[#This Row],[PORT DESTINATION]],Table12[PORT DESTINATION],Table12[Cosco Line],,0)</f>
        <v>AEM</v>
      </c>
      <c r="BJ731" s="430"/>
    </row>
    <row r="732" spans="1:62" ht="10.5" hidden="1">
      <c r="A732" s="462" t="s">
        <v>5476</v>
      </c>
      <c r="B732" s="462" t="s">
        <v>5327</v>
      </c>
      <c r="C732" s="462" t="str">
        <f>IFERROR(LEFT(PV_DATA[[#This Row],[TCL REFERENCE]],FIND(".",PV_DATA[[#This Row],[TCL REFERENCE]],1)-1),"Main Line")</f>
        <v>26Jun013</v>
      </c>
      <c r="D732" s="462" t="s">
        <v>63</v>
      </c>
      <c r="E732" s="462" t="s">
        <v>144</v>
      </c>
      <c r="F732" s="462" t="str" cm="1">
        <f t="array" ref="F73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32" s="462" t="s">
        <v>146</v>
      </c>
      <c r="H732" s="462" t="s">
        <v>2671</v>
      </c>
      <c r="I732" s="462" t="s">
        <v>1395</v>
      </c>
      <c r="J732" s="430" t="s">
        <v>5328</v>
      </c>
      <c r="K732" s="431" t="s">
        <v>5477</v>
      </c>
      <c r="L732" s="431" t="s">
        <v>5330</v>
      </c>
      <c r="M732" s="430" t="s">
        <v>840</v>
      </c>
      <c r="N732" s="432">
        <v>46209</v>
      </c>
      <c r="O732" s="430" t="s">
        <v>4540</v>
      </c>
      <c r="P732" s="430" t="s">
        <v>706</v>
      </c>
      <c r="Q732" s="430" t="s">
        <v>707</v>
      </c>
      <c r="R732" s="430" t="str">
        <f>_xlfn.XLOOKUP(PV_DATA[[#This Row],[New Ark SKU]],Table9[New Ark SKU],Table9[Connector],,0)</f>
        <v>EVO2A</v>
      </c>
      <c r="S732" s="433" t="str">
        <f>_xlfn.XLOOKUP(PV_DATA[[#This Row],[New Ark SKU]],Table9[New Ark SKU],Table9[Cable],,0)</f>
        <v>±1200mm</v>
      </c>
      <c r="T732" s="433">
        <v>500</v>
      </c>
      <c r="U732" s="1062">
        <v>864</v>
      </c>
      <c r="V732" s="434">
        <f>PV_DATA[[#This Row],[QUANTITY]]*PV_DATA[[#This Row],[WATT]]/1000000</f>
        <v>0.432</v>
      </c>
      <c r="W732" s="435">
        <f>PV_DATA[[#This Row],[QUANTITY]]/PV_DATA[[#This Row],[Qty/Pallet]]</f>
        <v>24</v>
      </c>
      <c r="X732" s="1015">
        <f>PV_DATA[[#This Row],[QUANTITY]]/PV_DATA[[#This Row],[Qty/CT]]</f>
        <v>1</v>
      </c>
      <c r="Y732" s="430" t="s">
        <v>4370</v>
      </c>
      <c r="Z732" s="430" t="str">
        <f t="shared" si="8"/>
        <v>COMPLETED</v>
      </c>
      <c r="AA732" s="545">
        <v>46211</v>
      </c>
      <c r="AB732" s="437">
        <v>46211</v>
      </c>
      <c r="AC732" s="485">
        <f>IF(PV_DATA[[#This Row],[Pick-Up Date]]&lt;&gt;"",_xlfn.ISOWEEKNUM(PV_DATA[[#This Row],[Pick-Up Date]]),"")</f>
        <v>28</v>
      </c>
      <c r="AD732" s="430" t="s">
        <v>5478</v>
      </c>
      <c r="AE732" s="430"/>
      <c r="AF732" s="430" t="s">
        <v>123</v>
      </c>
      <c r="AG732" s="430" t="s">
        <v>123</v>
      </c>
      <c r="AH732" s="430" t="s">
        <v>78</v>
      </c>
      <c r="AI732" s="437">
        <v>46216</v>
      </c>
      <c r="AJ732" s="437">
        <v>46232</v>
      </c>
      <c r="AK732" s="437">
        <v>46232</v>
      </c>
      <c r="AL732" s="437">
        <v>46260</v>
      </c>
      <c r="AM732" s="586">
        <f>IFERROR(VLOOKUP(AT732, Vessel!A:H, 8, FALSE), "")</f>
        <v>46272.833333333336</v>
      </c>
      <c r="AN732" s="586">
        <f>IFERROR(IF(VLOOKUP(AT732,Vessel!A:I,9,FALSE)=0,"",VLOOKUP(AT732,Vessel!A:I,9,FALSE)),"")</f>
        <v>46272.644375000003</v>
      </c>
      <c r="AP732" s="430" t="s">
        <v>5479</v>
      </c>
      <c r="AQ732" s="430" t="s">
        <v>80</v>
      </c>
      <c r="AR732" s="430" t="s">
        <v>5480</v>
      </c>
      <c r="AS732" s="430" t="s">
        <v>5481</v>
      </c>
      <c r="AT732" s="430" t="s">
        <v>5481</v>
      </c>
      <c r="AU73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40.644375000003492</v>
      </c>
      <c r="AV732" s="437"/>
      <c r="AW732" s="437" cm="1">
        <f t="array" ref="AW73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46272.644375000003</v>
      </c>
      <c r="AX73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32" s="437">
        <f>IF(ISERROR(PV_DATA[[#This Row],[New Ark PO status]]),"",_xlfn.XLOOKUP(PV_DATA[[#This Row],[SPTN-PVHK New Ark PO'#]],New_Ark_Data[Purchase order Number],New_Ark_Data[Estimated time of arrival],"",0))</f>
        <v>46260</v>
      </c>
      <c r="AZ732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32" s="437">
        <f>IFERROR(PV_DATA[[#This Row],[ODP ETA Port]]+PV_DATA[[#This Row],[Customs/Leg3 Assumption]],"n/a")</f>
        <v>46272.644375000003</v>
      </c>
      <c r="BB732" s="433">
        <f>YEAR(PV_DATA[[#This Row],[ETA for New Ark update]])</f>
        <v>2026</v>
      </c>
      <c r="BC732" s="430">
        <f>MONTH(PV_DATA[[#This Row],[ETA for New Ark update]])</f>
        <v>9</v>
      </c>
      <c r="BD732" s="430">
        <f>IFERROR(_xlfn.ISOWEEKNUM(PV_DATA[[#This Row],[ETA for New Ark update]]),0)</f>
        <v>37</v>
      </c>
      <c r="BE732" s="430">
        <f>_xlfn.XLOOKUP(PV_DATA[[#This Row],[New Ark SKU]],Table9[New Ark SKU],Table9[Total PCS per Pallet],,0)</f>
        <v>36</v>
      </c>
      <c r="BF732" s="430">
        <f>_xlfn.XLOOKUP(PV_DATA[[#This Row],[New Ark SKU]],Table9[New Ark SKU],Table9[Total PCS per 40HQ Container],,0)</f>
        <v>864</v>
      </c>
      <c r="BG732" s="430" t="str">
        <f>_xlfn.XLOOKUP(PV_DATA[[#This Row],[New Ark SKU]],Table9[New Ark SKU],Table9[Back Glass],,0)</f>
        <v>Black glazing</v>
      </c>
      <c r="BH732" s="430" t="str">
        <f>_xlfn.XLOOKUP(PV_DATA[[#This Row],[PORT DESTINATION]],Table12[PORT DESTINATION],Table12[Cosco Line],,0)</f>
        <v>AEM</v>
      </c>
      <c r="BJ732" s="430"/>
    </row>
    <row r="733" spans="1:62" ht="10.5" hidden="1">
      <c r="A733" s="462" t="s">
        <v>5482</v>
      </c>
      <c r="B733" s="462" t="s">
        <v>5327</v>
      </c>
      <c r="C733" s="462" t="str">
        <f>IFERROR(LEFT(PV_DATA[[#This Row],[TCL REFERENCE]],FIND(".",PV_DATA[[#This Row],[TCL REFERENCE]],1)-1),"Main Line")</f>
        <v>26Jun013</v>
      </c>
      <c r="D733" s="462" t="s">
        <v>63</v>
      </c>
      <c r="E733" s="462" t="s">
        <v>144</v>
      </c>
      <c r="F733" s="462" t="str" cm="1">
        <f t="array" ref="F73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33" s="462" t="s">
        <v>146</v>
      </c>
      <c r="H733" s="462" t="s">
        <v>2671</v>
      </c>
      <c r="I733" s="462" t="s">
        <v>1395</v>
      </c>
      <c r="J733" s="430" t="s">
        <v>5328</v>
      </c>
      <c r="K733" s="431" t="s">
        <v>5483</v>
      </c>
      <c r="L733" s="431" t="s">
        <v>5330</v>
      </c>
      <c r="M733" s="430" t="s">
        <v>840</v>
      </c>
      <c r="N733" s="432">
        <v>46209</v>
      </c>
      <c r="O733" s="430" t="s">
        <v>4540</v>
      </c>
      <c r="P733" s="430" t="s">
        <v>706</v>
      </c>
      <c r="Q733" s="430" t="s">
        <v>707</v>
      </c>
      <c r="R733" s="430" t="str">
        <f>_xlfn.XLOOKUP(PV_DATA[[#This Row],[New Ark SKU]],Table9[New Ark SKU],Table9[Connector],,0)</f>
        <v>EVO2A</v>
      </c>
      <c r="S733" s="433" t="str">
        <f>_xlfn.XLOOKUP(PV_DATA[[#This Row],[New Ark SKU]],Table9[New Ark SKU],Table9[Cable],,0)</f>
        <v>±1200mm</v>
      </c>
      <c r="T733" s="433">
        <v>500</v>
      </c>
      <c r="U733" s="1062">
        <v>864</v>
      </c>
      <c r="V733" s="434">
        <f>PV_DATA[[#This Row],[QUANTITY]]*PV_DATA[[#This Row],[WATT]]/1000000</f>
        <v>0.432</v>
      </c>
      <c r="W733" s="435">
        <f>PV_DATA[[#This Row],[QUANTITY]]/PV_DATA[[#This Row],[Qty/Pallet]]</f>
        <v>24</v>
      </c>
      <c r="X733" s="1015">
        <f>PV_DATA[[#This Row],[QUANTITY]]/PV_DATA[[#This Row],[Qty/CT]]</f>
        <v>1</v>
      </c>
      <c r="Y733" s="430" t="s">
        <v>4370</v>
      </c>
      <c r="Z733" s="430" t="str">
        <f t="shared" si="8"/>
        <v>COMPLETED</v>
      </c>
      <c r="AA733" s="545">
        <v>46211</v>
      </c>
      <c r="AB733" s="437">
        <v>46211</v>
      </c>
      <c r="AC733" s="485">
        <f>IF(PV_DATA[[#This Row],[Pick-Up Date]]&lt;&gt;"",_xlfn.ISOWEEKNUM(PV_DATA[[#This Row],[Pick-Up Date]]),"")</f>
        <v>28</v>
      </c>
      <c r="AD733" s="430" t="s">
        <v>5484</v>
      </c>
      <c r="AE733" s="430"/>
      <c r="AF733" s="430" t="s">
        <v>123</v>
      </c>
      <c r="AG733" s="430" t="s">
        <v>123</v>
      </c>
      <c r="AH733" s="430" t="s">
        <v>78</v>
      </c>
      <c r="AI733" s="437">
        <v>46216</v>
      </c>
      <c r="AJ733" s="437">
        <v>46232</v>
      </c>
      <c r="AK733" s="437">
        <v>46232</v>
      </c>
      <c r="AL733" s="437">
        <v>46260</v>
      </c>
      <c r="AM733" s="586">
        <f>IFERROR(VLOOKUP(AT733, Vessel!A:H, 8, FALSE), "")</f>
        <v>46272.833333333336</v>
      </c>
      <c r="AN733" s="586">
        <f>IFERROR(IF(VLOOKUP(AT733,Vessel!A:I,9,FALSE)=0,"",VLOOKUP(AT733,Vessel!A:I,9,FALSE)),"")</f>
        <v>46272.644375000003</v>
      </c>
      <c r="AP733" s="430" t="s">
        <v>5479</v>
      </c>
      <c r="AQ733" s="430" t="s">
        <v>80</v>
      </c>
      <c r="AR733" s="430" t="s">
        <v>5480</v>
      </c>
      <c r="AS733" s="430" t="s">
        <v>5481</v>
      </c>
      <c r="AT733" s="430" t="s">
        <v>5481</v>
      </c>
      <c r="AU73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40.644375000003492</v>
      </c>
      <c r="AV733" s="437"/>
      <c r="AW733" s="437" cm="1">
        <f t="array" ref="AW73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46272.644375000003</v>
      </c>
      <c r="AX73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33" s="437">
        <f>IF(ISERROR(PV_DATA[[#This Row],[New Ark PO status]]),"",_xlfn.XLOOKUP(PV_DATA[[#This Row],[SPTN-PVHK New Ark PO'#]],New_Ark_Data[Purchase order Number],New_Ark_Data[Estimated time of arrival],"",0))</f>
        <v>46260</v>
      </c>
      <c r="AZ733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33" s="437">
        <f>IFERROR(PV_DATA[[#This Row],[ODP ETA Port]]+PV_DATA[[#This Row],[Customs/Leg3 Assumption]],"n/a")</f>
        <v>46272.644375000003</v>
      </c>
      <c r="BB733" s="433">
        <f>YEAR(PV_DATA[[#This Row],[ETA for New Ark update]])</f>
        <v>2026</v>
      </c>
      <c r="BC733" s="430">
        <f>MONTH(PV_DATA[[#This Row],[ETA for New Ark update]])</f>
        <v>9</v>
      </c>
      <c r="BD733" s="430">
        <f>IFERROR(_xlfn.ISOWEEKNUM(PV_DATA[[#This Row],[ETA for New Ark update]]),0)</f>
        <v>37</v>
      </c>
      <c r="BE733" s="430">
        <f>_xlfn.XLOOKUP(PV_DATA[[#This Row],[New Ark SKU]],Table9[New Ark SKU],Table9[Total PCS per Pallet],,0)</f>
        <v>36</v>
      </c>
      <c r="BF733" s="430">
        <f>_xlfn.XLOOKUP(PV_DATA[[#This Row],[New Ark SKU]],Table9[New Ark SKU],Table9[Total PCS per 40HQ Container],,0)</f>
        <v>864</v>
      </c>
      <c r="BG733" s="430" t="str">
        <f>_xlfn.XLOOKUP(PV_DATA[[#This Row],[New Ark SKU]],Table9[New Ark SKU],Table9[Back Glass],,0)</f>
        <v>Black glazing</v>
      </c>
      <c r="BH733" s="430" t="str">
        <f>_xlfn.XLOOKUP(PV_DATA[[#This Row],[PORT DESTINATION]],Table12[PORT DESTINATION],Table12[Cosco Line],,0)</f>
        <v>AEM</v>
      </c>
      <c r="BJ733" s="430"/>
    </row>
    <row r="734" spans="1:62" ht="10.5" hidden="1">
      <c r="A734" s="462" t="s">
        <v>5485</v>
      </c>
      <c r="B734" s="462" t="s">
        <v>5327</v>
      </c>
      <c r="C734" s="462" t="str">
        <f>IFERROR(LEFT(PV_DATA[[#This Row],[TCL REFERENCE]],FIND(".",PV_DATA[[#This Row],[TCL REFERENCE]],1)-1),"Main Line")</f>
        <v>26Jun013</v>
      </c>
      <c r="D734" s="462" t="s">
        <v>63</v>
      </c>
      <c r="E734" s="462" t="s">
        <v>144</v>
      </c>
      <c r="F734" s="462" t="str" cm="1">
        <f t="array" ref="F73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34" s="462" t="s">
        <v>146</v>
      </c>
      <c r="H734" s="462" t="s">
        <v>2671</v>
      </c>
      <c r="I734" s="462" t="s">
        <v>1395</v>
      </c>
      <c r="J734" s="430" t="s">
        <v>5328</v>
      </c>
      <c r="K734" s="431" t="s">
        <v>5486</v>
      </c>
      <c r="L734" s="431" t="s">
        <v>5330</v>
      </c>
      <c r="M734" s="430" t="s">
        <v>840</v>
      </c>
      <c r="N734" s="432">
        <v>46209</v>
      </c>
      <c r="O734" s="430" t="s">
        <v>4540</v>
      </c>
      <c r="P734" s="430" t="s">
        <v>706</v>
      </c>
      <c r="Q734" s="430" t="s">
        <v>707</v>
      </c>
      <c r="R734" s="430" t="str">
        <f>_xlfn.XLOOKUP(PV_DATA[[#This Row],[New Ark SKU]],Table9[New Ark SKU],Table9[Connector],,0)</f>
        <v>EVO2A</v>
      </c>
      <c r="S734" s="433" t="str">
        <f>_xlfn.XLOOKUP(PV_DATA[[#This Row],[New Ark SKU]],Table9[New Ark SKU],Table9[Cable],,0)</f>
        <v>±1200mm</v>
      </c>
      <c r="T734" s="433">
        <v>500</v>
      </c>
      <c r="U734" s="1062">
        <v>864</v>
      </c>
      <c r="V734" s="434">
        <f>PV_DATA[[#This Row],[QUANTITY]]*PV_DATA[[#This Row],[WATT]]/1000000</f>
        <v>0.432</v>
      </c>
      <c r="W734" s="435">
        <f>PV_DATA[[#This Row],[QUANTITY]]/PV_DATA[[#This Row],[Qty/Pallet]]</f>
        <v>24</v>
      </c>
      <c r="X734" s="1015">
        <f>PV_DATA[[#This Row],[QUANTITY]]/PV_DATA[[#This Row],[Qty/CT]]</f>
        <v>1</v>
      </c>
      <c r="Y734" s="430" t="s">
        <v>4370</v>
      </c>
      <c r="Z734" s="430" t="str">
        <f t="shared" si="8"/>
        <v>COMPLETED</v>
      </c>
      <c r="AA734" s="545">
        <v>46211</v>
      </c>
      <c r="AB734" s="437">
        <v>46211</v>
      </c>
      <c r="AC734" s="485">
        <f>IF(PV_DATA[[#This Row],[Pick-Up Date]]&lt;&gt;"",_xlfn.ISOWEEKNUM(PV_DATA[[#This Row],[Pick-Up Date]]),"")</f>
        <v>28</v>
      </c>
      <c r="AD734" s="430" t="s">
        <v>5487</v>
      </c>
      <c r="AE734" s="430"/>
      <c r="AF734" s="430" t="s">
        <v>123</v>
      </c>
      <c r="AG734" s="430" t="s">
        <v>123</v>
      </c>
      <c r="AH734" s="430" t="s">
        <v>78</v>
      </c>
      <c r="AI734" s="437">
        <v>46216</v>
      </c>
      <c r="AJ734" s="437">
        <v>46232</v>
      </c>
      <c r="AK734" s="437">
        <v>46232</v>
      </c>
      <c r="AL734" s="437">
        <v>46260</v>
      </c>
      <c r="AM734" s="586">
        <f>IFERROR(VLOOKUP(AT734, Vessel!A:H, 8, FALSE), "")</f>
        <v>46272.833333333336</v>
      </c>
      <c r="AN734" s="586">
        <f>IFERROR(IF(VLOOKUP(AT734,Vessel!A:I,9,FALSE)=0,"",VLOOKUP(AT734,Vessel!A:I,9,FALSE)),"")</f>
        <v>46272.644375000003</v>
      </c>
      <c r="AP734" s="430" t="s">
        <v>5479</v>
      </c>
      <c r="AQ734" s="430" t="s">
        <v>80</v>
      </c>
      <c r="AR734" s="430" t="s">
        <v>5480</v>
      </c>
      <c r="AS734" s="430" t="s">
        <v>5481</v>
      </c>
      <c r="AT734" s="430" t="s">
        <v>5481</v>
      </c>
      <c r="AU73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40.644375000003492</v>
      </c>
      <c r="AV734" s="437"/>
      <c r="AW734" s="437" cm="1">
        <f t="array" ref="AW73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46272.644375000003</v>
      </c>
      <c r="AX73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34" s="437">
        <f>IF(ISERROR(PV_DATA[[#This Row],[New Ark PO status]]),"",_xlfn.XLOOKUP(PV_DATA[[#This Row],[SPTN-PVHK New Ark PO'#]],New_Ark_Data[Purchase order Number],New_Ark_Data[Estimated time of arrival],"",0))</f>
        <v>46260</v>
      </c>
      <c r="AZ734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34" s="437">
        <f>IFERROR(PV_DATA[[#This Row],[ODP ETA Port]]+PV_DATA[[#This Row],[Customs/Leg3 Assumption]],"n/a")</f>
        <v>46272.644375000003</v>
      </c>
      <c r="BB734" s="433">
        <f>YEAR(PV_DATA[[#This Row],[ETA for New Ark update]])</f>
        <v>2026</v>
      </c>
      <c r="BC734" s="430">
        <f>MONTH(PV_DATA[[#This Row],[ETA for New Ark update]])</f>
        <v>9</v>
      </c>
      <c r="BD734" s="430">
        <f>IFERROR(_xlfn.ISOWEEKNUM(PV_DATA[[#This Row],[ETA for New Ark update]]),0)</f>
        <v>37</v>
      </c>
      <c r="BE734" s="430">
        <f>_xlfn.XLOOKUP(PV_DATA[[#This Row],[New Ark SKU]],Table9[New Ark SKU],Table9[Total PCS per Pallet],,0)</f>
        <v>36</v>
      </c>
      <c r="BF734" s="430">
        <f>_xlfn.XLOOKUP(PV_DATA[[#This Row],[New Ark SKU]],Table9[New Ark SKU],Table9[Total PCS per 40HQ Container],,0)</f>
        <v>864</v>
      </c>
      <c r="BG734" s="430" t="str">
        <f>_xlfn.XLOOKUP(PV_DATA[[#This Row],[New Ark SKU]],Table9[New Ark SKU],Table9[Back Glass],,0)</f>
        <v>Black glazing</v>
      </c>
      <c r="BH734" s="430" t="str">
        <f>_xlfn.XLOOKUP(PV_DATA[[#This Row],[PORT DESTINATION]],Table12[PORT DESTINATION],Table12[Cosco Line],,0)</f>
        <v>AEM</v>
      </c>
      <c r="BJ734" s="430"/>
    </row>
    <row r="735" spans="1:62" ht="10.5" hidden="1">
      <c r="A735" s="462" t="s">
        <v>5488</v>
      </c>
      <c r="B735" s="462" t="s">
        <v>5327</v>
      </c>
      <c r="C735" s="462" t="str">
        <f>IFERROR(LEFT(PV_DATA[[#This Row],[TCL REFERENCE]],FIND(".",PV_DATA[[#This Row],[TCL REFERENCE]],1)-1),"Main Line")</f>
        <v>26Jun013</v>
      </c>
      <c r="D735" s="462" t="s">
        <v>63</v>
      </c>
      <c r="E735" s="462" t="s">
        <v>144</v>
      </c>
      <c r="F735" s="462" t="str" cm="1">
        <f t="array" ref="F73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35" s="462" t="s">
        <v>146</v>
      </c>
      <c r="H735" s="462" t="s">
        <v>2671</v>
      </c>
      <c r="I735" s="462" t="s">
        <v>1395</v>
      </c>
      <c r="J735" s="430" t="s">
        <v>5328</v>
      </c>
      <c r="K735" s="431" t="s">
        <v>5489</v>
      </c>
      <c r="L735" s="431" t="s">
        <v>5330</v>
      </c>
      <c r="M735" s="430" t="s">
        <v>840</v>
      </c>
      <c r="N735" s="432">
        <v>46209</v>
      </c>
      <c r="O735" s="430" t="s">
        <v>4540</v>
      </c>
      <c r="P735" s="430" t="s">
        <v>706</v>
      </c>
      <c r="Q735" s="430" t="s">
        <v>707</v>
      </c>
      <c r="R735" s="430" t="str">
        <f>_xlfn.XLOOKUP(PV_DATA[[#This Row],[New Ark SKU]],Table9[New Ark SKU],Table9[Connector],,0)</f>
        <v>EVO2A</v>
      </c>
      <c r="S735" s="433" t="str">
        <f>_xlfn.XLOOKUP(PV_DATA[[#This Row],[New Ark SKU]],Table9[New Ark SKU],Table9[Cable],,0)</f>
        <v>±1200mm</v>
      </c>
      <c r="T735" s="433">
        <v>500</v>
      </c>
      <c r="U735" s="1062">
        <v>864</v>
      </c>
      <c r="V735" s="434">
        <f>PV_DATA[[#This Row],[QUANTITY]]*PV_DATA[[#This Row],[WATT]]/1000000</f>
        <v>0.432</v>
      </c>
      <c r="W735" s="435">
        <f>PV_DATA[[#This Row],[QUANTITY]]/PV_DATA[[#This Row],[Qty/Pallet]]</f>
        <v>24</v>
      </c>
      <c r="X735" s="1015">
        <f>PV_DATA[[#This Row],[QUANTITY]]/PV_DATA[[#This Row],[Qty/CT]]</f>
        <v>1</v>
      </c>
      <c r="Y735" s="430" t="s">
        <v>4370</v>
      </c>
      <c r="Z735" s="430" t="str">
        <f t="shared" si="8"/>
        <v>COMPLETED</v>
      </c>
      <c r="AA735" s="545">
        <v>46211</v>
      </c>
      <c r="AB735" s="437">
        <v>46211</v>
      </c>
      <c r="AC735" s="485">
        <f>IF(PV_DATA[[#This Row],[Pick-Up Date]]&lt;&gt;"",_xlfn.ISOWEEKNUM(PV_DATA[[#This Row],[Pick-Up Date]]),"")</f>
        <v>28</v>
      </c>
      <c r="AD735" s="430" t="s">
        <v>5490</v>
      </c>
      <c r="AE735" s="430"/>
      <c r="AF735" s="430" t="s">
        <v>123</v>
      </c>
      <c r="AG735" s="430" t="s">
        <v>123</v>
      </c>
      <c r="AH735" s="430" t="s">
        <v>78</v>
      </c>
      <c r="AI735" s="437">
        <v>46216</v>
      </c>
      <c r="AJ735" s="437">
        <v>46232</v>
      </c>
      <c r="AK735" s="437">
        <v>46232</v>
      </c>
      <c r="AL735" s="437">
        <v>46260</v>
      </c>
      <c r="AM735" s="586">
        <f>IFERROR(VLOOKUP(AT735, Vessel!A:H, 8, FALSE), "")</f>
        <v>46272.833333333336</v>
      </c>
      <c r="AN735" s="586">
        <f>IFERROR(IF(VLOOKUP(AT735,Vessel!A:I,9,FALSE)=0,"",VLOOKUP(AT735,Vessel!A:I,9,FALSE)),"")</f>
        <v>46272.644375000003</v>
      </c>
      <c r="AP735" s="430" t="s">
        <v>5479</v>
      </c>
      <c r="AQ735" s="430" t="s">
        <v>80</v>
      </c>
      <c r="AR735" s="430" t="s">
        <v>5480</v>
      </c>
      <c r="AS735" s="430" t="s">
        <v>5481</v>
      </c>
      <c r="AT735" s="430" t="s">
        <v>5481</v>
      </c>
      <c r="AU73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40.644375000003492</v>
      </c>
      <c r="AV735" s="437"/>
      <c r="AW735" s="437" cm="1">
        <f t="array" ref="AW73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46272.644375000003</v>
      </c>
      <c r="AX73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35" s="437">
        <f>IF(ISERROR(PV_DATA[[#This Row],[New Ark PO status]]),"",_xlfn.XLOOKUP(PV_DATA[[#This Row],[SPTN-PVHK New Ark PO'#]],New_Ark_Data[Purchase order Number],New_Ark_Data[Estimated time of arrival],"",0))</f>
        <v>46260</v>
      </c>
      <c r="AZ735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35" s="437">
        <f>IFERROR(PV_DATA[[#This Row],[ODP ETA Port]]+PV_DATA[[#This Row],[Customs/Leg3 Assumption]],"n/a")</f>
        <v>46272.644375000003</v>
      </c>
      <c r="BB735" s="433">
        <f>YEAR(PV_DATA[[#This Row],[ETA for New Ark update]])</f>
        <v>2026</v>
      </c>
      <c r="BC735" s="430">
        <f>MONTH(PV_DATA[[#This Row],[ETA for New Ark update]])</f>
        <v>9</v>
      </c>
      <c r="BD735" s="430">
        <f>IFERROR(_xlfn.ISOWEEKNUM(PV_DATA[[#This Row],[ETA for New Ark update]]),0)</f>
        <v>37</v>
      </c>
      <c r="BE735" s="430">
        <f>_xlfn.XLOOKUP(PV_DATA[[#This Row],[New Ark SKU]],Table9[New Ark SKU],Table9[Total PCS per Pallet],,0)</f>
        <v>36</v>
      </c>
      <c r="BF735" s="430">
        <f>_xlfn.XLOOKUP(PV_DATA[[#This Row],[New Ark SKU]],Table9[New Ark SKU],Table9[Total PCS per 40HQ Container],,0)</f>
        <v>864</v>
      </c>
      <c r="BG735" s="430" t="str">
        <f>_xlfn.XLOOKUP(PV_DATA[[#This Row],[New Ark SKU]],Table9[New Ark SKU],Table9[Back Glass],,0)</f>
        <v>Black glazing</v>
      </c>
      <c r="BH735" s="430" t="str">
        <f>_xlfn.XLOOKUP(PV_DATA[[#This Row],[PORT DESTINATION]],Table12[PORT DESTINATION],Table12[Cosco Line],,0)</f>
        <v>AEM</v>
      </c>
      <c r="BJ735" s="430"/>
    </row>
    <row r="736" spans="1:62" ht="10.5" hidden="1">
      <c r="A736" s="462" t="s">
        <v>5491</v>
      </c>
      <c r="B736" s="462" t="s">
        <v>61</v>
      </c>
      <c r="C736" s="462" t="str">
        <f>IFERROR(LEFT(PV_DATA[[#This Row],[TCL REFERENCE]],FIND(".",PV_DATA[[#This Row],[TCL REFERENCE]],1)-1),"Main Line")</f>
        <v>26Jun014</v>
      </c>
      <c r="D736" s="462" t="s">
        <v>63</v>
      </c>
      <c r="E736" s="462" t="s">
        <v>64</v>
      </c>
      <c r="F736" s="462" t="str" cm="1">
        <f t="array" ref="F73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36" s="462" t="s">
        <v>402</v>
      </c>
      <c r="H736" s="462" t="s">
        <v>67</v>
      </c>
      <c r="I736" s="462" t="s">
        <v>689</v>
      </c>
      <c r="J736" s="430" t="s">
        <v>96</v>
      </c>
      <c r="K736" s="431"/>
      <c r="L736" s="431"/>
      <c r="M736" s="430" t="s">
        <v>68</v>
      </c>
      <c r="N736" s="432">
        <v>46209</v>
      </c>
      <c r="O736" s="430" t="s">
        <v>4540</v>
      </c>
      <c r="P736" s="430" t="s">
        <v>691</v>
      </c>
      <c r="Q736" s="430" t="s">
        <v>692</v>
      </c>
      <c r="R736" s="430" t="str">
        <f>_xlfn.XLOOKUP(PV_DATA[[#This Row],[New Ark SKU]],Table9[New Ark SKU],Table9[Connector],,0)</f>
        <v>EVO2A</v>
      </c>
      <c r="S736" s="433" t="str">
        <f>_xlfn.XLOOKUP(PV_DATA[[#This Row],[New Ark SKU]],Table9[New Ark SKU],Table9[Cable],,0)</f>
        <v>±1200mm</v>
      </c>
      <c r="T736" s="433">
        <v>505</v>
      </c>
      <c r="U736" s="1062">
        <v>3456</v>
      </c>
      <c r="V736" s="434">
        <f>PV_DATA[[#This Row],[QUANTITY]]*PV_DATA[[#This Row],[WATT]]/1000000</f>
        <v>1.7452799999999999</v>
      </c>
      <c r="W736" s="435">
        <f>PV_DATA[[#This Row],[QUANTITY]]/PV_DATA[[#This Row],[Qty/Pallet]]</f>
        <v>96</v>
      </c>
      <c r="X736" s="1015">
        <f>PV_DATA[[#This Row],[QUANTITY]]/PV_DATA[[#This Row],[Qty/CT]]</f>
        <v>4</v>
      </c>
      <c r="Y736" s="430" t="s">
        <v>4370</v>
      </c>
      <c r="Z736" s="430" t="str">
        <f t="shared" si="8"/>
        <v>COMPLETED</v>
      </c>
      <c r="AA736" s="430"/>
      <c r="AB736" s="437">
        <v>46211</v>
      </c>
      <c r="AC736" s="485">
        <f>IF(PV_DATA[[#This Row],[Pick-Up Date]]&lt;&gt;"",_xlfn.ISOWEEKNUM(PV_DATA[[#This Row],[Pick-Up Date]]),"")</f>
        <v>28</v>
      </c>
      <c r="AD736" s="430" t="s">
        <v>5492</v>
      </c>
      <c r="AE736" s="430"/>
      <c r="AF736" s="430" t="s">
        <v>61</v>
      </c>
      <c r="AG736" s="430" t="s">
        <v>61</v>
      </c>
      <c r="AH736" s="430" t="s">
        <v>78</v>
      </c>
      <c r="AI736" s="437">
        <v>46218</v>
      </c>
      <c r="AJ736" s="437">
        <v>46219</v>
      </c>
      <c r="AK736" s="437">
        <v>46219</v>
      </c>
      <c r="AL736" s="437">
        <v>46286</v>
      </c>
      <c r="AM736" s="586">
        <f>IFERROR(VLOOKUP(AT736, Vessel!A:H, 8, FALSE), "")</f>
        <v>46300.375</v>
      </c>
      <c r="AN736" s="586">
        <v>46299</v>
      </c>
      <c r="AP736" s="430" t="s">
        <v>5493</v>
      </c>
      <c r="AQ736" s="438" t="s">
        <v>80</v>
      </c>
      <c r="AR736" s="430" t="s">
        <v>5494</v>
      </c>
      <c r="AS736" s="430" t="s">
        <v>5495</v>
      </c>
      <c r="AT736" s="430" t="s">
        <v>5495</v>
      </c>
      <c r="AU73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80</v>
      </c>
      <c r="AV736" s="437"/>
      <c r="AW736" s="437" cm="1">
        <f t="array" ref="AW73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46299</v>
      </c>
      <c r="AX73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36" s="437">
        <f>IF(ISERROR(PV_DATA[[#This Row],[New Ark PO status]]),"",_xlfn.XLOOKUP(PV_DATA[[#This Row],[SPTN-PVHK New Ark PO'#]],New_Ark_Data[Purchase order Number],New_Ark_Data[Estimated time of arrival],"",0))</f>
        <v>46300</v>
      </c>
      <c r="AZ736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36" s="437">
        <f>IFERROR(PV_DATA[[#This Row],[ODP ETA Port]]+PV_DATA[[#This Row],[Customs/Leg3 Assumption]],"n/a")</f>
        <v>46307</v>
      </c>
      <c r="BB736" s="433">
        <f>YEAR(PV_DATA[[#This Row],[ETA for New Ark update]])</f>
        <v>2026</v>
      </c>
      <c r="BC736" s="430">
        <f>MONTH(PV_DATA[[#This Row],[ETA for New Ark update]])</f>
        <v>10</v>
      </c>
      <c r="BD736" s="430">
        <f>IFERROR(_xlfn.ISOWEEKNUM(PV_DATA[[#This Row],[ETA for New Ark update]]),0)</f>
        <v>42</v>
      </c>
      <c r="BE736" s="430">
        <f>_xlfn.XLOOKUP(PV_DATA[[#This Row],[New Ark SKU]],Table9[New Ark SKU],Table9[Total PCS per Pallet],,0)</f>
        <v>36</v>
      </c>
      <c r="BF736" s="430">
        <f>_xlfn.XLOOKUP(PV_DATA[[#This Row],[New Ark SKU]],Table9[New Ark SKU],Table9[Total PCS per 40HQ Container],,0)</f>
        <v>864</v>
      </c>
      <c r="BG736" s="430" t="str">
        <f>_xlfn.XLOOKUP(PV_DATA[[#This Row],[New Ark SKU]],Table9[New Ark SKU],Table9[Back Glass],,0)</f>
        <v>Black glazing</v>
      </c>
      <c r="BH736" s="430" t="str">
        <f>_xlfn.XLOOKUP(PV_DATA[[#This Row],[PORT DESTINATION]],Table12[PORT DESTINATION],Table12[Cosco Line],,0)</f>
        <v>AEM</v>
      </c>
      <c r="BJ736" s="430"/>
    </row>
    <row r="737" spans="1:62" ht="10.5" hidden="1">
      <c r="A737" s="462" t="s">
        <v>5496</v>
      </c>
      <c r="B737" s="462" t="s">
        <v>61</v>
      </c>
      <c r="C737" s="462" t="str">
        <f>IFERROR(LEFT(PV_DATA[[#This Row],[TCL REFERENCE]],FIND(".",PV_DATA[[#This Row],[TCL REFERENCE]],1)-1),"Main Line")</f>
        <v>26Jun014</v>
      </c>
      <c r="D737" s="462" t="s">
        <v>63</v>
      </c>
      <c r="E737" s="462" t="s">
        <v>64</v>
      </c>
      <c r="F737" s="462" t="str" cm="1">
        <f t="array" ref="F73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37" s="462" t="s">
        <v>402</v>
      </c>
      <c r="H737" s="462" t="s">
        <v>67</v>
      </c>
      <c r="I737" s="462" t="s">
        <v>689</v>
      </c>
      <c r="J737" s="430" t="s">
        <v>96</v>
      </c>
      <c r="K737" s="431"/>
      <c r="L737" s="431"/>
      <c r="M737" s="430" t="s">
        <v>68</v>
      </c>
      <c r="N737" s="432">
        <v>46209</v>
      </c>
      <c r="O737" s="430" t="s">
        <v>4540</v>
      </c>
      <c r="P737" s="430" t="s">
        <v>691</v>
      </c>
      <c r="Q737" s="430" t="s">
        <v>692</v>
      </c>
      <c r="R737" s="430" t="str">
        <f>_xlfn.XLOOKUP(PV_DATA[[#This Row],[New Ark SKU]],Table9[New Ark SKU],Table9[Connector],,0)</f>
        <v>EVO2A</v>
      </c>
      <c r="S737" s="433" t="str">
        <f>_xlfn.XLOOKUP(PV_DATA[[#This Row],[New Ark SKU]],Table9[New Ark SKU],Table9[Cable],,0)</f>
        <v>±1200mm</v>
      </c>
      <c r="T737" s="433">
        <v>505</v>
      </c>
      <c r="U737" s="1062">
        <v>1728</v>
      </c>
      <c r="V737" s="434">
        <f>PV_DATA[[#This Row],[QUANTITY]]*PV_DATA[[#This Row],[WATT]]/1000000</f>
        <v>0.87263999999999997</v>
      </c>
      <c r="W737" s="435">
        <f>PV_DATA[[#This Row],[QUANTITY]]/PV_DATA[[#This Row],[Qty/Pallet]]</f>
        <v>48</v>
      </c>
      <c r="X737" s="1015">
        <f>PV_DATA[[#This Row],[QUANTITY]]/PV_DATA[[#This Row],[Qty/CT]]</f>
        <v>2</v>
      </c>
      <c r="Y737" s="430" t="s">
        <v>4370</v>
      </c>
      <c r="Z737" s="430" t="str">
        <f t="shared" si="8"/>
        <v>COMPLETED</v>
      </c>
      <c r="AA737" s="430"/>
      <c r="AB737" s="437">
        <v>46211</v>
      </c>
      <c r="AC737" s="485">
        <f>IF(PV_DATA[[#This Row],[Pick-Up Date]]&lt;&gt;"",_xlfn.ISOWEEKNUM(PV_DATA[[#This Row],[Pick-Up Date]]),"")</f>
        <v>28</v>
      </c>
      <c r="AD737" s="430" t="s">
        <v>5497</v>
      </c>
      <c r="AE737" s="430"/>
      <c r="AF737" s="430" t="s">
        <v>61</v>
      </c>
      <c r="AG737" s="430" t="s">
        <v>61</v>
      </c>
      <c r="AH737" s="430" t="s">
        <v>78</v>
      </c>
      <c r="AI737" s="437">
        <v>46218</v>
      </c>
      <c r="AJ737" s="437">
        <v>46219</v>
      </c>
      <c r="AK737" s="437">
        <v>46219</v>
      </c>
      <c r="AL737" s="437">
        <v>46281</v>
      </c>
      <c r="AM737" s="586">
        <f>IFERROR(VLOOKUP(AT737, Vessel!A:H, 8, FALSE), "")</f>
        <v>46283.416666666664</v>
      </c>
      <c r="AN737" s="586">
        <f>IFERROR(IF(VLOOKUP(AT737,Vessel!A:I,9,FALSE)=0,"",VLOOKUP(AT737,Vessel!A:I,9,FALSE)),"")</f>
        <v>46283.4372337963</v>
      </c>
      <c r="AP737" s="430" t="s">
        <v>5493</v>
      </c>
      <c r="AQ737" s="438" t="s">
        <v>80</v>
      </c>
      <c r="AR737" s="430" t="s">
        <v>5498</v>
      </c>
      <c r="AS737" s="430" t="s">
        <v>5499</v>
      </c>
      <c r="AT737" s="430" t="s">
        <v>5499</v>
      </c>
      <c r="AU73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64.437233796299552</v>
      </c>
      <c r="AV737" s="437"/>
      <c r="AW737" s="437" cm="1">
        <f t="array" ref="AW73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46283.4372337963</v>
      </c>
      <c r="AX73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37" s="437">
        <f>IF(ISERROR(PV_DATA[[#This Row],[New Ark PO status]]),"",_xlfn.XLOOKUP(PV_DATA[[#This Row],[SPTN-PVHK New Ark PO'#]],New_Ark_Data[Purchase order Number],New_Ark_Data[Estimated time of arrival],"",0))</f>
        <v>46295</v>
      </c>
      <c r="AZ737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37" s="437">
        <f>IFERROR(PV_DATA[[#This Row],[ODP ETA Port]]+PV_DATA[[#This Row],[Customs/Leg3 Assumption]],"n/a")</f>
        <v>46291.4372337963</v>
      </c>
      <c r="BB737" s="433">
        <f>YEAR(PV_DATA[[#This Row],[ETA for New Ark update]])</f>
        <v>2026</v>
      </c>
      <c r="BC737" s="430">
        <f>MONTH(PV_DATA[[#This Row],[ETA for New Ark update]])</f>
        <v>9</v>
      </c>
      <c r="BD737" s="430">
        <f>IFERROR(_xlfn.ISOWEEKNUM(PV_DATA[[#This Row],[ETA for New Ark update]]),0)</f>
        <v>39</v>
      </c>
      <c r="BE737" s="430">
        <f>_xlfn.XLOOKUP(PV_DATA[[#This Row],[New Ark SKU]],Table9[New Ark SKU],Table9[Total PCS per Pallet],,0)</f>
        <v>36</v>
      </c>
      <c r="BF737" s="430">
        <f>_xlfn.XLOOKUP(PV_DATA[[#This Row],[New Ark SKU]],Table9[New Ark SKU],Table9[Total PCS per 40HQ Container],,0)</f>
        <v>864</v>
      </c>
      <c r="BG737" s="430" t="str">
        <f>_xlfn.XLOOKUP(PV_DATA[[#This Row],[New Ark SKU]],Table9[New Ark SKU],Table9[Back Glass],,0)</f>
        <v>Black glazing</v>
      </c>
      <c r="BH737" s="430" t="str">
        <f>_xlfn.XLOOKUP(PV_DATA[[#This Row],[PORT DESTINATION]],Table12[PORT DESTINATION],Table12[Cosco Line],,0)</f>
        <v>AEM</v>
      </c>
      <c r="BJ737" s="430"/>
    </row>
    <row r="738" spans="1:62" ht="10.5" hidden="1">
      <c r="A738" s="462" t="s">
        <v>5500</v>
      </c>
      <c r="B738" s="462" t="s">
        <v>61</v>
      </c>
      <c r="C738" s="462" t="str">
        <f>IFERROR(LEFT(PV_DATA[[#This Row],[TCL REFERENCE]],FIND(".",PV_DATA[[#This Row],[TCL REFERENCE]],1)-1),"Main Line")</f>
        <v>26Jun009</v>
      </c>
      <c r="D738" s="462" t="s">
        <v>63</v>
      </c>
      <c r="E738" s="462" t="s">
        <v>64</v>
      </c>
      <c r="F738" s="462" t="str" cm="1">
        <f t="array" ref="F73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38" s="462" t="s">
        <v>402</v>
      </c>
      <c r="H738" s="462" t="s">
        <v>67</v>
      </c>
      <c r="I738" s="462" t="s">
        <v>689</v>
      </c>
      <c r="J738" s="430" t="s">
        <v>96</v>
      </c>
      <c r="K738" s="431"/>
      <c r="L738" s="431"/>
      <c r="M738" s="430" t="s">
        <v>68</v>
      </c>
      <c r="N738" s="432">
        <v>46188</v>
      </c>
      <c r="O738" s="430" t="s">
        <v>4540</v>
      </c>
      <c r="P738" s="430" t="s">
        <v>195</v>
      </c>
      <c r="Q738" s="430" t="s">
        <v>196</v>
      </c>
      <c r="R738" s="430" t="str">
        <f>_xlfn.XLOOKUP(PV_DATA[[#This Row],[New Ark SKU]],Table9[New Ark SKU],Table9[Connector],,0)</f>
        <v>EVO2A</v>
      </c>
      <c r="S738" s="433" t="str">
        <f>_xlfn.XLOOKUP(PV_DATA[[#This Row],[New Ark SKU]],Table9[New Ark SKU],Table9[Cable],,0)</f>
        <v>±1200mm</v>
      </c>
      <c r="T738" s="433">
        <v>450</v>
      </c>
      <c r="U738" s="1062">
        <v>4680</v>
      </c>
      <c r="V738" s="434">
        <f>PV_DATA[[#This Row],[QUANTITY]]*PV_DATA[[#This Row],[WATT]]/1000000</f>
        <v>2.1059999999999999</v>
      </c>
      <c r="W738" s="435">
        <f>PV_DATA[[#This Row],[QUANTITY]]/PV_DATA[[#This Row],[Qty/Pallet]]</f>
        <v>130</v>
      </c>
      <c r="X738" s="1015">
        <f>PV_DATA[[#This Row],[QUANTITY]]/PV_DATA[[#This Row],[Qty/CT]]</f>
        <v>5</v>
      </c>
      <c r="Y738" s="430" t="s">
        <v>4369</v>
      </c>
      <c r="Z738" s="430" t="str">
        <f t="shared" si="8"/>
        <v>COMPLETED</v>
      </c>
      <c r="AA738" s="430"/>
      <c r="AB738" s="437">
        <v>46211</v>
      </c>
      <c r="AC738" s="485">
        <f>IF(PV_DATA[[#This Row],[Pick-Up Date]]&lt;&gt;"",_xlfn.ISOWEEKNUM(PV_DATA[[#This Row],[Pick-Up Date]]),"")</f>
        <v>28</v>
      </c>
      <c r="AD738" s="430" t="s">
        <v>5501</v>
      </c>
      <c r="AE738" s="430"/>
      <c r="AF738" s="430" t="s">
        <v>61</v>
      </c>
      <c r="AG738" s="430" t="s">
        <v>61</v>
      </c>
      <c r="AH738" s="430" t="s">
        <v>105</v>
      </c>
      <c r="AI738" s="437">
        <v>46218</v>
      </c>
      <c r="AJ738" s="437">
        <v>46219</v>
      </c>
      <c r="AK738" s="437">
        <v>46219</v>
      </c>
      <c r="AL738" s="437">
        <v>46252</v>
      </c>
      <c r="AM738" s="586">
        <v>46266</v>
      </c>
      <c r="AN738" s="586">
        <v>46265</v>
      </c>
      <c r="AP738" s="430" t="s">
        <v>5493</v>
      </c>
      <c r="AQ738" s="430" t="s">
        <v>80</v>
      </c>
      <c r="AR738" s="430" t="s">
        <v>5502</v>
      </c>
      <c r="AS738" s="430" t="s">
        <v>5503</v>
      </c>
      <c r="AT738" s="430" t="s">
        <v>5503</v>
      </c>
      <c r="AU73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V738" s="437"/>
      <c r="AW738" s="437" cm="1">
        <f t="array" ref="AW73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46265</v>
      </c>
      <c r="AX73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38" s="437">
        <f>IF(ISERROR(PV_DATA[[#This Row],[New Ark PO status]]),"",_xlfn.XLOOKUP(PV_DATA[[#This Row],[SPTN-PVHK New Ark PO'#]],New_Ark_Data[Purchase order Number],New_Ark_Data[Estimated time of arrival],"",0))</f>
        <v>46279</v>
      </c>
      <c r="AZ738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38" s="437">
        <f>IFERROR(PV_DATA[[#This Row],[ODP ETA Port]]+PV_DATA[[#This Row],[Customs/Leg3 Assumption]],"n/a")</f>
        <v>46272</v>
      </c>
      <c r="BB738" s="433">
        <f>YEAR(PV_DATA[[#This Row],[ETA for New Ark update]])</f>
        <v>2026</v>
      </c>
      <c r="BC738" s="430">
        <f>MONTH(PV_DATA[[#This Row],[ETA for New Ark update]])</f>
        <v>9</v>
      </c>
      <c r="BD738" s="430">
        <f>IFERROR(_xlfn.ISOWEEKNUM(PV_DATA[[#This Row],[ETA for New Ark update]]),0)</f>
        <v>37</v>
      </c>
      <c r="BE738" s="430">
        <f>_xlfn.XLOOKUP(PV_DATA[[#This Row],[New Ark SKU]],Table9[New Ark SKU],Table9[Total PCS per Pallet],,0)</f>
        <v>36</v>
      </c>
      <c r="BF738" s="430">
        <f>_xlfn.XLOOKUP(PV_DATA[[#This Row],[New Ark SKU]],Table9[New Ark SKU],Table9[Total PCS per 40HQ Container],,0)</f>
        <v>936</v>
      </c>
      <c r="BG738" s="430" t="str">
        <f>_xlfn.XLOOKUP(PV_DATA[[#This Row],[New Ark SKU]],Table9[New Ark SKU],Table9[Back Glass],,0)</f>
        <v>Black glazing</v>
      </c>
      <c r="BH738" s="430" t="str">
        <f>_xlfn.XLOOKUP(PV_DATA[[#This Row],[PORT DESTINATION]],Table12[PORT DESTINATION],Table12[Cosco Line],,0)</f>
        <v>AEU</v>
      </c>
      <c r="BJ738" s="430"/>
    </row>
    <row r="739" spans="1:62" s="463" customFormat="1" ht="10.5" hidden="1">
      <c r="A739" s="462" t="s">
        <v>5504</v>
      </c>
      <c r="B739" s="462" t="s">
        <v>61</v>
      </c>
      <c r="C739" s="462" t="str">
        <f>IFERROR(LEFT(PV_DATA[[#This Row],[TCL REFERENCE]],FIND(".",PV_DATA[[#This Row],[TCL REFERENCE]],1)-1),"Main Line")</f>
        <v>26Jul012</v>
      </c>
      <c r="D739" s="462" t="s">
        <v>63</v>
      </c>
      <c r="E739" s="462" t="s">
        <v>64</v>
      </c>
      <c r="F739" s="462" t="str" cm="1">
        <f t="array" ref="F73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739" s="462" t="s">
        <v>402</v>
      </c>
      <c r="H739" s="462" t="s">
        <v>311</v>
      </c>
      <c r="I739" s="462" t="s">
        <v>689</v>
      </c>
      <c r="J739" s="430" t="s">
        <v>96</v>
      </c>
      <c r="K739" s="431"/>
      <c r="L739" s="431"/>
      <c r="M739" s="430" t="s">
        <v>68</v>
      </c>
      <c r="N739" s="432">
        <v>46202</v>
      </c>
      <c r="O739" s="430" t="s">
        <v>284</v>
      </c>
      <c r="P739" s="462" t="s">
        <v>5505</v>
      </c>
      <c r="Q739" s="430" t="s">
        <v>5355</v>
      </c>
      <c r="R739" s="430" t="str">
        <f>_xlfn.XLOOKUP(PV_DATA[[#This Row],[New Ark SKU]],Table9[New Ark SKU],Table9[Connector],,0)</f>
        <v>H4(Com)</v>
      </c>
      <c r="S739" s="433" t="str">
        <f>_xlfn.XLOOKUP(PV_DATA[[#This Row],[New Ark SKU]],Table9[New Ark SKU],Table9[Cable],,0)</f>
        <v>±1400mm</v>
      </c>
      <c r="T739" s="433">
        <v>655</v>
      </c>
      <c r="U739" s="1062">
        <v>720</v>
      </c>
      <c r="V739" s="434">
        <f>PV_DATA[[#This Row],[QUANTITY]]*PV_DATA[[#This Row],[WATT]]/1000000</f>
        <v>0.47160000000000002</v>
      </c>
      <c r="W739" s="435">
        <f>PV_DATA[[#This Row],[QUANTITY]]/PV_DATA[[#This Row],[Qty/Pallet]]</f>
        <v>20</v>
      </c>
      <c r="X739" s="1015">
        <f>PV_DATA[[#This Row],[QUANTITY]]/PV_DATA[[#This Row],[Qty/CT]]</f>
        <v>1</v>
      </c>
      <c r="Y739" s="430" t="s">
        <v>4371</v>
      </c>
      <c r="Z739" s="430" t="str">
        <f t="shared" si="8"/>
        <v>COMPLETED</v>
      </c>
      <c r="AA739" s="430" t="s">
        <v>5506</v>
      </c>
      <c r="AB739" s="437">
        <v>46213</v>
      </c>
      <c r="AC739" s="485">
        <f>IF(PV_DATA[[#This Row],[Pick-Up Date]]&lt;&gt;"",_xlfn.ISOWEEKNUM(PV_DATA[[#This Row],[Pick-Up Date]]),"")</f>
        <v>28</v>
      </c>
      <c r="AD739" s="430" t="s">
        <v>5507</v>
      </c>
      <c r="AE739" s="430"/>
      <c r="AF739" s="430" t="s">
        <v>61</v>
      </c>
      <c r="AG739" s="430" t="s">
        <v>61</v>
      </c>
      <c r="AH739" s="430" t="s">
        <v>1561</v>
      </c>
      <c r="AI739" s="437">
        <v>46218</v>
      </c>
      <c r="AJ739" s="437">
        <v>46219</v>
      </c>
      <c r="AK739" s="437">
        <v>46219</v>
      </c>
      <c r="AL739" s="437">
        <v>46278</v>
      </c>
      <c r="AM739" s="586">
        <f>IFERROR(VLOOKUP(AT739, Vessel!A:H, 8, FALSE), "")</f>
        <v>46313.875</v>
      </c>
      <c r="AN739" s="586">
        <f>IFERROR(IF(VLOOKUP(AT739,Vessel!A:I,9,FALSE)=0,"",VLOOKUP(AT739,Vessel!A:I,9,FALSE)),"")</f>
        <v>46313.624143518522</v>
      </c>
      <c r="AO739" s="430"/>
      <c r="AP739" s="430" t="s">
        <v>5493</v>
      </c>
      <c r="AQ739" s="430" t="s">
        <v>80</v>
      </c>
      <c r="AR739" s="430" t="s">
        <v>5436</v>
      </c>
      <c r="AS739" s="430" t="s">
        <v>5508</v>
      </c>
      <c r="AT739" s="430" t="s">
        <v>5508</v>
      </c>
      <c r="AU73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94.624143518522033</v>
      </c>
      <c r="AV739" s="430"/>
      <c r="AW739" s="437" cm="1">
        <f t="array" ref="AW73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46313.624143518522</v>
      </c>
      <c r="AX73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39" s="437">
        <f>IF(ISERROR(PV_DATA[[#This Row],[New Ark PO status]]),"",_xlfn.XLOOKUP(PV_DATA[[#This Row],[SPTN-PVHK New Ark PO'#]],New_Ark_Data[Purchase order Number],New_Ark_Data[Estimated time of arrival],"",0))</f>
        <v>46290</v>
      </c>
      <c r="AZ739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739" s="437">
        <f>IFERROR(PV_DATA[[#This Row],[ODP ETA Port]]+PV_DATA[[#This Row],[Customs/Leg3 Assumption]],"n/a")</f>
        <v>46323.624143518522</v>
      </c>
      <c r="BB739" s="433">
        <f>YEAR(PV_DATA[[#This Row],[ETA for New Ark update]])</f>
        <v>2026</v>
      </c>
      <c r="BC739" s="430">
        <f>MONTH(PV_DATA[[#This Row],[ETA for New Ark update]])</f>
        <v>10</v>
      </c>
      <c r="BD739" s="430">
        <f>IFERROR(_xlfn.ISOWEEKNUM(PV_DATA[[#This Row],[ETA for New Ark update]]),0)</f>
        <v>44</v>
      </c>
      <c r="BE739" s="430">
        <f>_xlfn.XLOOKUP(PV_DATA[[#This Row],[New Ark SKU]],Table9[New Ark SKU],Table9[Total PCS per Pallet],,0)</f>
        <v>36</v>
      </c>
      <c r="BF739" s="430">
        <f>_xlfn.XLOOKUP(PV_DATA[[#This Row],[New Ark SKU]],Table9[New Ark SKU],Table9[Total PCS per 40HQ Container],,0)</f>
        <v>720</v>
      </c>
      <c r="BG739" s="430" t="str">
        <f>_xlfn.XLOOKUP(PV_DATA[[#This Row],[New Ark SKU]],Table9[New Ark SKU],Table9[Back Glass],,0)</f>
        <v>White glazing</v>
      </c>
      <c r="BH739" s="430" t="str">
        <f>_xlfn.XLOOKUP(PV_DATA[[#This Row],[PORT DESTINATION]],Table12[PORT DESTINATION],Table12[Cosco Line],,0)</f>
        <v>AEM</v>
      </c>
    </row>
    <row r="740" spans="1:62" ht="10.5" hidden="1">
      <c r="A740" s="462" t="s">
        <v>5509</v>
      </c>
      <c r="B740" s="462" t="s">
        <v>111</v>
      </c>
      <c r="C740" s="462" t="str">
        <f>IFERROR(LEFT(PV_DATA[[#This Row],[TCL REFERENCE]],FIND(".",PV_DATA[[#This Row],[TCL REFERENCE]],1)-1),"Main Line")</f>
        <v>26Jun016</v>
      </c>
      <c r="D740" s="462" t="s">
        <v>63</v>
      </c>
      <c r="E740" s="462" t="s">
        <v>64</v>
      </c>
      <c r="F740" s="462" t="str" cm="1">
        <f t="array" ref="F74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740" s="462" t="s">
        <v>402</v>
      </c>
      <c r="H740" s="462" t="s">
        <v>67</v>
      </c>
      <c r="I740" s="462" t="s">
        <v>1395</v>
      </c>
      <c r="J740" s="430" t="s">
        <v>96</v>
      </c>
      <c r="K740" s="430"/>
      <c r="L740" s="430"/>
      <c r="M740" s="430" t="s">
        <v>68</v>
      </c>
      <c r="N740" s="432">
        <v>46202</v>
      </c>
      <c r="O740" s="430" t="s">
        <v>5388</v>
      </c>
      <c r="P740" s="430" t="s">
        <v>5389</v>
      </c>
      <c r="Q740" s="430" t="s">
        <v>5390</v>
      </c>
      <c r="R740" s="430" t="str">
        <f>_xlfn.XLOOKUP(PV_DATA[[#This Row],[New Ark SKU]],Table9[New Ark SKU],Table9[Connector],,0)</f>
        <v>EVO2A</v>
      </c>
      <c r="S740" s="433" t="str">
        <f>_xlfn.XLOOKUP(PV_DATA[[#This Row],[New Ark SKU]],Table9[New Ark SKU],Table9[Cable],,0)</f>
        <v>±1200mm</v>
      </c>
      <c r="T740" s="433">
        <v>470</v>
      </c>
      <c r="U740" s="1062">
        <f>936*2</f>
        <v>1872</v>
      </c>
      <c r="V740" s="434">
        <f>PV_DATA[[#This Row],[QUANTITY]]*PV_DATA[[#This Row],[WATT]]/1000000</f>
        <v>0.87983999999999996</v>
      </c>
      <c r="W740" s="435">
        <f>PV_DATA[[#This Row],[QUANTITY]]/PV_DATA[[#This Row],[Qty/Pallet]]</f>
        <v>52</v>
      </c>
      <c r="X740" s="1015">
        <f>PV_DATA[[#This Row],[QUANTITY]]/PV_DATA[[#This Row],[Qty/CT]]</f>
        <v>2</v>
      </c>
      <c r="Y740" s="430" t="s">
        <v>4371</v>
      </c>
      <c r="Z740" s="430" t="str">
        <f t="shared" si="8"/>
        <v>COMPLETED</v>
      </c>
      <c r="AA740" s="430" t="s">
        <v>5431</v>
      </c>
      <c r="AB740" s="437">
        <v>46215</v>
      </c>
      <c r="AC740" s="485">
        <f>IF(PV_DATA[[#This Row],[Pick-Up Date]]&lt;&gt;"",_xlfn.ISOWEEKNUM(PV_DATA[[#This Row],[Pick-Up Date]]),"")</f>
        <v>28</v>
      </c>
      <c r="AD740" s="430" t="s">
        <v>5510</v>
      </c>
      <c r="AE740" s="430"/>
      <c r="AF740" s="430" t="s">
        <v>122</v>
      </c>
      <c r="AG740" s="430" t="s">
        <v>123</v>
      </c>
      <c r="AH740" s="430" t="s">
        <v>456</v>
      </c>
      <c r="AI740" s="437">
        <v>46224</v>
      </c>
      <c r="AJ740" s="437">
        <v>46228</v>
      </c>
      <c r="AK740" s="437">
        <v>46228</v>
      </c>
      <c r="AL740" s="437">
        <v>46264</v>
      </c>
      <c r="AM740" s="586">
        <f>IFERROR(VLOOKUP(AT740, Vessel!A:H, 8, FALSE), "")</f>
        <v>46274.999305555553</v>
      </c>
      <c r="AN740" s="586">
        <f>IFERROR(IF(VLOOKUP(AT740,Vessel!A:I,9,FALSE)=0,"",VLOOKUP(AT740,Vessel!A:I,9,FALSE)),"")</f>
        <v>46275.009525462963</v>
      </c>
      <c r="AP740" s="430" t="s">
        <v>5511</v>
      </c>
      <c r="AQ740" s="438" t="s">
        <v>80</v>
      </c>
      <c r="AR740" s="430" t="s">
        <v>5512</v>
      </c>
      <c r="AS740" s="430" t="s">
        <v>5513</v>
      </c>
      <c r="AT740" s="430" t="s">
        <v>5513</v>
      </c>
      <c r="AU74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47.009525462963211</v>
      </c>
      <c r="AW740" s="437" cm="1">
        <f t="array" ref="AW74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46275.009525462963</v>
      </c>
      <c r="AX74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40" s="437">
        <f>IF(ISERROR(PV_DATA[[#This Row],[New Ark PO status]]),"",_xlfn.XLOOKUP(PV_DATA[[#This Row],[SPTN-PVHK New Ark PO'#]],New_Ark_Data[Purchase order Number],New_Ark_Data[Estimated time of arrival],"",0))</f>
        <v>46288</v>
      </c>
      <c r="AZ740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40" s="437">
        <f>IFERROR(PV_DATA[[#This Row],[ODP ETA Port]]+PV_DATA[[#This Row],[Customs/Leg3 Assumption]],"n/a")</f>
        <v>46282.009525462963</v>
      </c>
      <c r="BB740" s="433">
        <f>YEAR(PV_DATA[[#This Row],[ETA for New Ark update]])</f>
        <v>2026</v>
      </c>
      <c r="BC740" s="430">
        <f>MONTH(PV_DATA[[#This Row],[ETA for New Ark update]])</f>
        <v>9</v>
      </c>
      <c r="BD740" s="430">
        <f>IFERROR(_xlfn.ISOWEEKNUM(PV_DATA[[#This Row],[ETA for New Ark update]]),0)</f>
        <v>38</v>
      </c>
      <c r="BE740" s="430">
        <f>_xlfn.XLOOKUP(PV_DATA[[#This Row],[New Ark SKU]],Table9[New Ark SKU],Table9[Total PCS per Pallet],,0)</f>
        <v>36</v>
      </c>
      <c r="BF740" s="430">
        <f>_xlfn.XLOOKUP(PV_DATA[[#This Row],[New Ark SKU]],Table9[New Ark SKU],Table9[Total PCS per 40HQ Container],,0)</f>
        <v>936</v>
      </c>
      <c r="BG740" s="430" t="str">
        <f>_xlfn.XLOOKUP(PV_DATA[[#This Row],[New Ark SKU]],Table9[New Ark SKU],Table9[Back Glass],,0)</f>
        <v>Black glazing</v>
      </c>
      <c r="BH740" s="430" t="str">
        <f>_xlfn.XLOOKUP(PV_DATA[[#This Row],[PORT DESTINATION]],Table12[PORT DESTINATION],Table12[Cosco Line],,0)</f>
        <v>AEU</v>
      </c>
      <c r="BJ740" s="430"/>
    </row>
    <row r="741" spans="1:62" ht="10.5" hidden="1">
      <c r="A741" s="462" t="s">
        <v>5514</v>
      </c>
      <c r="B741" s="462" t="s">
        <v>1757</v>
      </c>
      <c r="C741" s="462" t="str">
        <f>IFERROR(LEFT(PV_DATA[[#This Row],[TCL REFERENCE]],FIND(".",PV_DATA[[#This Row],[TCL REFERENCE]],1)-1),"Main Line")</f>
        <v>26Jun012</v>
      </c>
      <c r="D741" s="462" t="s">
        <v>63</v>
      </c>
      <c r="E741" s="462" t="s">
        <v>64</v>
      </c>
      <c r="F741" s="462" t="str" cm="1">
        <f t="array" ref="F74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741" s="462" t="s">
        <v>402</v>
      </c>
      <c r="H741" s="462" t="s">
        <v>451</v>
      </c>
      <c r="I741" s="462" t="s">
        <v>1395</v>
      </c>
      <c r="J741" s="430" t="s">
        <v>1832</v>
      </c>
      <c r="K741" s="430"/>
      <c r="L741" s="430"/>
      <c r="M741" s="430" t="s">
        <v>68</v>
      </c>
      <c r="N741" s="432">
        <v>46195</v>
      </c>
      <c r="O741" s="430" t="s">
        <v>4540</v>
      </c>
      <c r="P741" s="430" t="s">
        <v>1151</v>
      </c>
      <c r="Q741" s="430" t="s">
        <v>421</v>
      </c>
      <c r="R741" s="430" t="str">
        <f>_xlfn.XLOOKUP(PV_DATA[[#This Row],[New Ark SKU]],Table9[New Ark SKU],Table9[Connector],,0)</f>
        <v>EVO2A</v>
      </c>
      <c r="S741" s="433" t="str">
        <f>_xlfn.XLOOKUP(PV_DATA[[#This Row],[New Ark SKU]],Table9[New Ark SKU],Table9[Cable],,0)</f>
        <v>±1200mm</v>
      </c>
      <c r="T741" s="433">
        <v>505</v>
      </c>
      <c r="U741" s="1062">
        <f>864*3</f>
        <v>2592</v>
      </c>
      <c r="V741" s="434">
        <f>PV_DATA[[#This Row],[QUANTITY]]*PV_DATA[[#This Row],[WATT]]/1000000</f>
        <v>1.3089599999999999</v>
      </c>
      <c r="W741" s="435">
        <f>PV_DATA[[#This Row],[QUANTITY]]/PV_DATA[[#This Row],[Qty/Pallet]]</f>
        <v>72</v>
      </c>
      <c r="X741" s="1015">
        <f>PV_DATA[[#This Row],[QUANTITY]]/PV_DATA[[#This Row],[Qty/CT]]</f>
        <v>3</v>
      </c>
      <c r="Y741" s="430" t="s">
        <v>4371</v>
      </c>
      <c r="Z741" s="430" t="str">
        <f t="shared" si="8"/>
        <v>COMPLETED</v>
      </c>
      <c r="AA741" s="430"/>
      <c r="AB741" s="437">
        <v>46221</v>
      </c>
      <c r="AC741" s="485">
        <f>IF(PV_DATA[[#This Row],[Pick-Up Date]]&lt;&gt;"",_xlfn.ISOWEEKNUM(PV_DATA[[#This Row],[Pick-Up Date]]),"")</f>
        <v>29</v>
      </c>
      <c r="AD741" s="430" t="s">
        <v>5515</v>
      </c>
      <c r="AE741" s="430"/>
      <c r="AF741" s="459" t="s">
        <v>5043</v>
      </c>
      <c r="AG741" s="459" t="s">
        <v>123</v>
      </c>
      <c r="AH741" s="430" t="s">
        <v>456</v>
      </c>
      <c r="AI741" s="437">
        <v>46224</v>
      </c>
      <c r="AJ741" s="437">
        <v>46228</v>
      </c>
      <c r="AK741" s="437">
        <v>46228</v>
      </c>
      <c r="AL741" s="437">
        <v>46264</v>
      </c>
      <c r="AM741" s="586">
        <f>IFERROR(VLOOKUP(AT741, Vessel!A:H, 8, FALSE), "")</f>
        <v>46274.999305555553</v>
      </c>
      <c r="AN741" s="586">
        <f>IFERROR(IF(VLOOKUP(AT741,Vessel!A:I,9,FALSE)=0,"",VLOOKUP(AT741,Vessel!A:I,9,FALSE)),"")</f>
        <v>46275.009525462963</v>
      </c>
      <c r="AP741" s="430" t="s">
        <v>5511</v>
      </c>
      <c r="AQ741" s="430" t="s">
        <v>80</v>
      </c>
      <c r="AR741" s="430" t="s">
        <v>5516</v>
      </c>
      <c r="AS741" s="430" t="s">
        <v>5517</v>
      </c>
      <c r="AT741" s="430" t="s">
        <v>5517</v>
      </c>
      <c r="AU74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47.009525462963211</v>
      </c>
      <c r="AV741" s="437"/>
      <c r="AW741" s="437" cm="1">
        <f t="array" ref="AW74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46275.009525462963</v>
      </c>
      <c r="AX74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41" s="437">
        <f>IF(ISERROR(PV_DATA[[#This Row],[New Ark PO status]]),"",_xlfn.XLOOKUP(PV_DATA[[#This Row],[SPTN-PVHK New Ark PO'#]],New_Ark_Data[Purchase order Number],New_Ark_Data[Estimated time of arrival],"",0))</f>
        <v>46288</v>
      </c>
      <c r="AZ741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41" s="437">
        <f>IFERROR(PV_DATA[[#This Row],[ODP ETA Port]]+PV_DATA[[#This Row],[Customs/Leg3 Assumption]],"n/a")</f>
        <v>46282.009525462963</v>
      </c>
      <c r="BB741" s="433">
        <f>YEAR(PV_DATA[[#This Row],[ETA for New Ark update]])</f>
        <v>2026</v>
      </c>
      <c r="BC741" s="430">
        <f>MONTH(PV_DATA[[#This Row],[ETA for New Ark update]])</f>
        <v>9</v>
      </c>
      <c r="BD741" s="430">
        <f>IFERROR(_xlfn.ISOWEEKNUM(PV_DATA[[#This Row],[ETA for New Ark update]]),0)</f>
        <v>38</v>
      </c>
      <c r="BE741" s="430">
        <f>_xlfn.XLOOKUP(PV_DATA[[#This Row],[New Ark SKU]],Table9[New Ark SKU],Table9[Total PCS per Pallet],,0)</f>
        <v>36</v>
      </c>
      <c r="BF741" s="430">
        <f>_xlfn.XLOOKUP(PV_DATA[[#This Row],[New Ark SKU]],Table9[New Ark SKU],Table9[Total PCS per 40HQ Container],,0)</f>
        <v>864</v>
      </c>
      <c r="BG741" s="430" t="str">
        <f>_xlfn.XLOOKUP(PV_DATA[[#This Row],[New Ark SKU]],Table9[New Ark SKU],Table9[Back Glass],,0)</f>
        <v>Black glazing</v>
      </c>
      <c r="BH741" s="430" t="str">
        <f>_xlfn.XLOOKUP(PV_DATA[[#This Row],[PORT DESTINATION]],Table12[PORT DESTINATION],Table12[Cosco Line],,0)</f>
        <v>AEU</v>
      </c>
      <c r="BJ741" s="430"/>
    </row>
    <row r="742" spans="1:62" ht="10.5" hidden="1">
      <c r="A742" s="462" t="s">
        <v>5518</v>
      </c>
      <c r="B742" s="462" t="s">
        <v>2132</v>
      </c>
      <c r="C742" s="462" t="str">
        <f>IFERROR(LEFT(PV_DATA[[#This Row],[TCL REFERENCE]],FIND(".",PV_DATA[[#This Row],[TCL REFERENCE]],1)-1),"Main Line")</f>
        <v>26Jun008</v>
      </c>
      <c r="D742" s="462" t="s">
        <v>63</v>
      </c>
      <c r="E742" s="462" t="s">
        <v>64</v>
      </c>
      <c r="F742" s="462" t="str" cm="1">
        <f t="array" ref="F74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42" s="462" t="s">
        <v>402</v>
      </c>
      <c r="H742" s="462" t="s">
        <v>67</v>
      </c>
      <c r="I742" s="462" t="s">
        <v>882</v>
      </c>
      <c r="J742" s="430" t="s">
        <v>1047</v>
      </c>
      <c r="K742" s="430"/>
      <c r="L742" s="430"/>
      <c r="M742" s="430" t="s">
        <v>68</v>
      </c>
      <c r="N742" s="432">
        <v>46188</v>
      </c>
      <c r="O742" s="430" t="s">
        <v>4540</v>
      </c>
      <c r="P742" s="430" t="s">
        <v>5099</v>
      </c>
      <c r="Q742" s="430" t="s">
        <v>330</v>
      </c>
      <c r="R742" s="430" t="str">
        <f>_xlfn.XLOOKUP(PV_DATA[[#This Row],[New Ark SKU]],Table9[New Ark SKU],Table9[Connector],,0)</f>
        <v>H4(Com)</v>
      </c>
      <c r="S742" s="433" t="str">
        <f>_xlfn.XLOOKUP(PV_DATA[[#This Row],[New Ark SKU]],Table9[New Ark SKU],Table9[Cable],,0)</f>
        <v>±1400mm</v>
      </c>
      <c r="T742" s="433">
        <v>625</v>
      </c>
      <c r="U742" s="1062">
        <v>2880</v>
      </c>
      <c r="V742" s="544">
        <f>PV_DATA[[#This Row],[QUANTITY]]*PV_DATA[[#This Row],[WATT]]/1000000</f>
        <v>1.8</v>
      </c>
      <c r="W742" s="435">
        <f>PV_DATA[[#This Row],[QUANTITY]]/PV_DATA[[#This Row],[Qty/Pallet]]</f>
        <v>80</v>
      </c>
      <c r="X742" s="1015">
        <f>PV_DATA[[#This Row],[QUANTITY]]/PV_DATA[[#This Row],[Qty/CT]]</f>
        <v>4</v>
      </c>
      <c r="Y742" s="430" t="s">
        <v>4370</v>
      </c>
      <c r="Z742" s="430" t="str">
        <f t="shared" si="8"/>
        <v>COMPLETED</v>
      </c>
      <c r="AA742" s="430" t="s">
        <v>5519</v>
      </c>
      <c r="AB742" s="437">
        <v>46217</v>
      </c>
      <c r="AC742" s="485">
        <f>IF(PV_DATA[[#This Row],[Pick-Up Date]]&lt;&gt;"",_xlfn.ISOWEEKNUM(PV_DATA[[#This Row],[Pick-Up Date]]),"")</f>
        <v>29</v>
      </c>
      <c r="AD742" s="435" t="s">
        <v>5520</v>
      </c>
      <c r="AE742" s="435"/>
      <c r="AF742" s="430" t="s">
        <v>122</v>
      </c>
      <c r="AG742" s="430" t="s">
        <v>123</v>
      </c>
      <c r="AH742" s="430" t="s">
        <v>105</v>
      </c>
      <c r="AI742" s="437">
        <v>46223</v>
      </c>
      <c r="AJ742" s="437">
        <v>46225</v>
      </c>
      <c r="AK742" s="437">
        <v>46225</v>
      </c>
      <c r="AL742" s="437">
        <v>46260</v>
      </c>
      <c r="AM742" s="586">
        <f>IFERROR(VLOOKUP(AT742, Vessel!A:H, 8, FALSE), "")</f>
        <v>46270.833333333336</v>
      </c>
      <c r="AN742" s="586">
        <f>IFERROR(IF(VLOOKUP(AT742,Vessel!A:I,9,FALSE)=0,"",VLOOKUP(AT742,Vessel!A:I,9,FALSE)),"")</f>
        <v>46270.874618055554</v>
      </c>
      <c r="AP742" s="430" t="s">
        <v>5521</v>
      </c>
      <c r="AQ742" s="430" t="s">
        <v>80</v>
      </c>
      <c r="AR742" s="430" t="s">
        <v>5522</v>
      </c>
      <c r="AS742" s="430" t="s">
        <v>5523</v>
      </c>
      <c r="AT742" s="430" t="s">
        <v>5523</v>
      </c>
      <c r="AU74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45.874618055553583</v>
      </c>
      <c r="AV742" s="437"/>
      <c r="AW742" s="437" cm="1">
        <f t="array" ref="AW74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46270.874618055554</v>
      </c>
      <c r="AX74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42" s="437">
        <f>IF(ISERROR(PV_DATA[[#This Row],[New Ark PO status]]),"",_xlfn.XLOOKUP(PV_DATA[[#This Row],[SPTN-PVHK New Ark PO'#]],New_Ark_Data[Purchase order Number],New_Ark_Data[Estimated time of arrival],"",0))</f>
        <v>46282</v>
      </c>
      <c r="AZ742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42" s="437">
        <f>IFERROR(PV_DATA[[#This Row],[ODP ETA Port]]+PV_DATA[[#This Row],[Customs/Leg3 Assumption]],"n/a")</f>
        <v>46277.874618055554</v>
      </c>
      <c r="BB742" s="433">
        <f>YEAR(PV_DATA[[#This Row],[ETA for New Ark update]])</f>
        <v>2026</v>
      </c>
      <c r="BC742" s="430">
        <f>MONTH(PV_DATA[[#This Row],[ETA for New Ark update]])</f>
        <v>9</v>
      </c>
      <c r="BD742" s="430">
        <f>IFERROR(_xlfn.ISOWEEKNUM(PV_DATA[[#This Row],[ETA for New Ark update]]),0)</f>
        <v>37</v>
      </c>
      <c r="BE742" s="430">
        <f>_xlfn.XLOOKUP(PV_DATA[[#This Row],[New Ark SKU]],Table9[New Ark SKU],Table9[Total PCS per Pallet],,0)</f>
        <v>36</v>
      </c>
      <c r="BF742" s="430">
        <f>_xlfn.XLOOKUP(PV_DATA[[#This Row],[New Ark SKU]],Table9[New Ark SKU],Table9[Total PCS per 40HQ Container],,0)</f>
        <v>720</v>
      </c>
      <c r="BG742" s="430" t="str">
        <f>_xlfn.XLOOKUP(PV_DATA[[#This Row],[New Ark SKU]],Table9[New Ark SKU],Table9[Back Glass],,0)</f>
        <v>Transparent</v>
      </c>
      <c r="BH742" s="610" t="str">
        <f>_xlfn.XLOOKUP(PV_DATA[[#This Row],[PORT DESTINATION]],Table12[PORT DESTINATION],Table12[Cosco Line],,0)</f>
        <v>AEU</v>
      </c>
      <c r="BJ742" s="430"/>
    </row>
    <row r="743" spans="1:62" ht="10.5" hidden="1">
      <c r="A743" s="462" t="s">
        <v>5524</v>
      </c>
      <c r="B743" s="462" t="s">
        <v>2132</v>
      </c>
      <c r="C743" s="462" t="str">
        <f>IFERROR(LEFT(PV_DATA[[#This Row],[TCL REFERENCE]],FIND(".",PV_DATA[[#This Row],[TCL REFERENCE]],1)-1),"Main Line")</f>
        <v>26Jun008</v>
      </c>
      <c r="D743" s="462" t="s">
        <v>63</v>
      </c>
      <c r="E743" s="462" t="s">
        <v>64</v>
      </c>
      <c r="F743" s="462" t="str" cm="1">
        <f t="array" ref="F74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43" s="462" t="s">
        <v>402</v>
      </c>
      <c r="H743" s="462" t="s">
        <v>67</v>
      </c>
      <c r="I743" s="462" t="s">
        <v>1395</v>
      </c>
      <c r="J743" s="430" t="s">
        <v>1047</v>
      </c>
      <c r="K743" s="430"/>
      <c r="L743" s="430"/>
      <c r="M743" s="430" t="s">
        <v>68</v>
      </c>
      <c r="N743" s="432">
        <v>46188</v>
      </c>
      <c r="O743" s="430" t="s">
        <v>4540</v>
      </c>
      <c r="P743" s="430" t="s">
        <v>5099</v>
      </c>
      <c r="Q743" s="430" t="s">
        <v>330</v>
      </c>
      <c r="R743" s="430" t="str">
        <f>_xlfn.XLOOKUP(PV_DATA[[#This Row],[New Ark SKU]],Table9[New Ark SKU],Table9[Connector],,0)</f>
        <v>H4(Com)</v>
      </c>
      <c r="S743" s="433" t="str">
        <f>_xlfn.XLOOKUP(PV_DATA[[#This Row],[New Ark SKU]],Table9[New Ark SKU],Table9[Cable],,0)</f>
        <v>±1400mm</v>
      </c>
      <c r="T743" s="433">
        <v>625</v>
      </c>
      <c r="U743" s="1062">
        <v>720</v>
      </c>
      <c r="V743" s="434">
        <f>PV_DATA[[#This Row],[QUANTITY]]*PV_DATA[[#This Row],[WATT]]/1000000</f>
        <v>0.45</v>
      </c>
      <c r="W743" s="435">
        <f>PV_DATA[[#This Row],[QUANTITY]]/PV_DATA[[#This Row],[Qty/Pallet]]</f>
        <v>20</v>
      </c>
      <c r="X743" s="1015">
        <f>PV_DATA[[#This Row],[QUANTITY]]/PV_DATA[[#This Row],[Qty/CT]]</f>
        <v>1</v>
      </c>
      <c r="Y743" s="430" t="s">
        <v>4369</v>
      </c>
      <c r="Z743" s="430" t="str">
        <f t="shared" si="8"/>
        <v>COMPLETED</v>
      </c>
      <c r="AA743" s="430" t="s">
        <v>5519</v>
      </c>
      <c r="AB743" s="437">
        <v>46217</v>
      </c>
      <c r="AC743" s="485">
        <f>IF(PV_DATA[[#This Row],[Pick-Up Date]]&lt;&gt;"",_xlfn.ISOWEEKNUM(PV_DATA[[#This Row],[Pick-Up Date]]),"")</f>
        <v>29</v>
      </c>
      <c r="AD743" s="430" t="s">
        <v>5525</v>
      </c>
      <c r="AE743" s="430"/>
      <c r="AF743" s="430" t="s">
        <v>122</v>
      </c>
      <c r="AG743" s="430" t="s">
        <v>123</v>
      </c>
      <c r="AH743" s="430" t="s">
        <v>105</v>
      </c>
      <c r="AI743" s="437">
        <v>46223</v>
      </c>
      <c r="AJ743" s="437">
        <v>46225</v>
      </c>
      <c r="AK743" s="437">
        <v>46225</v>
      </c>
      <c r="AL743" s="437">
        <v>46260</v>
      </c>
      <c r="AM743" s="588">
        <f>IFERROR(VLOOKUP(AT743, Vessel!A:H, 8, FALSE), "")</f>
        <v>46270.833333333336</v>
      </c>
      <c r="AN743" s="586">
        <f>IFERROR(IF(VLOOKUP(AT743,Vessel!A:I,9,FALSE)=0,"",VLOOKUP(AT743,Vessel!A:I,9,FALSE)),"")</f>
        <v>46270.874618055554</v>
      </c>
      <c r="AP743" s="430" t="s">
        <v>5521</v>
      </c>
      <c r="AQ743" s="430" t="s">
        <v>80</v>
      </c>
      <c r="AR743" s="430" t="s">
        <v>5522</v>
      </c>
      <c r="AS743" s="430" t="s">
        <v>5523</v>
      </c>
      <c r="AT743" s="430" t="s">
        <v>5523</v>
      </c>
      <c r="AU74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45.874618055553583</v>
      </c>
      <c r="AV743" s="437"/>
      <c r="AW743" s="437" cm="1">
        <f t="array" ref="AW74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46270.874618055554</v>
      </c>
      <c r="AX74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43" s="437">
        <f>IF(ISERROR(PV_DATA[[#This Row],[New Ark PO status]]),"",_xlfn.XLOOKUP(PV_DATA[[#This Row],[SPTN-PVHK New Ark PO'#]],New_Ark_Data[Purchase order Number],New_Ark_Data[Estimated time of arrival],"",0))</f>
        <v>46282</v>
      </c>
      <c r="AZ743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43" s="437">
        <f>IFERROR(PV_DATA[[#This Row],[ODP ETA Port]]+PV_DATA[[#This Row],[Customs/Leg3 Assumption]],"n/a")</f>
        <v>46277.874618055554</v>
      </c>
      <c r="BB743" s="433">
        <f>YEAR(PV_DATA[[#This Row],[ETA for New Ark update]])</f>
        <v>2026</v>
      </c>
      <c r="BC743" s="430">
        <f>MONTH(PV_DATA[[#This Row],[ETA for New Ark update]])</f>
        <v>9</v>
      </c>
      <c r="BD743" s="430">
        <f>IFERROR(_xlfn.ISOWEEKNUM(PV_DATA[[#This Row],[ETA for New Ark update]]),0)</f>
        <v>37</v>
      </c>
      <c r="BE743" s="430">
        <f>_xlfn.XLOOKUP(PV_DATA[[#This Row],[New Ark SKU]],Table9[New Ark SKU],Table9[Total PCS per Pallet],,0)</f>
        <v>36</v>
      </c>
      <c r="BF743" s="430">
        <f>_xlfn.XLOOKUP(PV_DATA[[#This Row],[New Ark SKU]],Table9[New Ark SKU],Table9[Total PCS per 40HQ Container],,0)</f>
        <v>720</v>
      </c>
      <c r="BG743" s="430" t="str">
        <f>_xlfn.XLOOKUP(PV_DATA[[#This Row],[New Ark SKU]],Table9[New Ark SKU],Table9[Back Glass],,0)</f>
        <v>Transparent</v>
      </c>
      <c r="BH743" s="610" t="str">
        <f>_xlfn.XLOOKUP(PV_DATA[[#This Row],[PORT DESTINATION]],Table12[PORT DESTINATION],Table12[Cosco Line],,0)</f>
        <v>AEU</v>
      </c>
      <c r="BJ743" s="430"/>
    </row>
    <row r="744" spans="1:62" ht="10.5" hidden="1">
      <c r="A744" s="462" t="s">
        <v>5526</v>
      </c>
      <c r="B744" s="462" t="s">
        <v>111</v>
      </c>
      <c r="C744" s="462" t="str">
        <f>IFERROR(LEFT(PV_DATA[[#This Row],[TCL REFERENCE]],FIND(".",PV_DATA[[#This Row],[TCL REFERENCE]],1)-1),"Main Line")</f>
        <v>26Jul002</v>
      </c>
      <c r="D744" s="462" t="s">
        <v>63</v>
      </c>
      <c r="E744" s="462" t="s">
        <v>64</v>
      </c>
      <c r="F744" s="462" t="str" cm="1">
        <f t="array" ref="F74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744" s="462" t="s">
        <v>402</v>
      </c>
      <c r="H744" s="462" t="s">
        <v>311</v>
      </c>
      <c r="I744" s="462" t="s">
        <v>689</v>
      </c>
      <c r="J744" s="430" t="s">
        <v>96</v>
      </c>
      <c r="K744" s="430"/>
      <c r="L744" s="430"/>
      <c r="M744" s="430" t="s">
        <v>68</v>
      </c>
      <c r="N744" s="432">
        <v>46209</v>
      </c>
      <c r="O744" s="430" t="s">
        <v>550</v>
      </c>
      <c r="P744" s="430" t="s">
        <v>2134</v>
      </c>
      <c r="Q744" s="430" t="s">
        <v>2135</v>
      </c>
      <c r="R744" s="430" t="str">
        <f>_xlfn.XLOOKUP(PV_DATA[[#This Row],[New Ark SKU]],Table9[New Ark SKU],Table9[Connector],,0)</f>
        <v>EVO2A</v>
      </c>
      <c r="S744" s="433" t="str">
        <f>_xlfn.XLOOKUP(PV_DATA[[#This Row],[New Ark SKU]],Table9[New Ark SKU],Table9[Cable],,0)</f>
        <v>±1350mm</v>
      </c>
      <c r="T744" s="433">
        <v>515</v>
      </c>
      <c r="U744" s="1062">
        <f>792*3</f>
        <v>2376</v>
      </c>
      <c r="V744" s="434">
        <f>PV_DATA[[#This Row],[QUANTITY]]*PV_DATA[[#This Row],[WATT]]/1000000</f>
        <v>1.2236400000000001</v>
      </c>
      <c r="W744" s="435">
        <f>PV_DATA[[#This Row],[QUANTITY]]/PV_DATA[[#This Row],[Qty/Pallet]]</f>
        <v>66</v>
      </c>
      <c r="X744" s="1015">
        <f>PV_DATA[[#This Row],[QUANTITY]]/PV_DATA[[#This Row],[Qty/CT]]</f>
        <v>3</v>
      </c>
      <c r="Y744" s="430" t="s">
        <v>4371</v>
      </c>
      <c r="Z744" s="430" t="str">
        <f t="shared" si="8"/>
        <v>COMPLETED</v>
      </c>
      <c r="AA744" s="430"/>
      <c r="AB744" s="437">
        <v>46227</v>
      </c>
      <c r="AC744" s="485">
        <f>IF(PV_DATA[[#This Row],[Pick-Up Date]]&lt;&gt;"",_xlfn.ISOWEEKNUM(PV_DATA[[#This Row],[Pick-Up Date]]),"")</f>
        <v>30</v>
      </c>
      <c r="AD744" s="430" t="s">
        <v>5527</v>
      </c>
      <c r="AE744" s="430"/>
      <c r="AF744" s="430" t="s">
        <v>122</v>
      </c>
      <c r="AG744" s="430" t="s">
        <v>123</v>
      </c>
      <c r="AH744" s="430" t="s">
        <v>314</v>
      </c>
      <c r="AI744" s="437">
        <v>46230</v>
      </c>
      <c r="AJ744" s="437">
        <v>46236</v>
      </c>
      <c r="AK744" s="437">
        <v>46236</v>
      </c>
      <c r="AL744" s="956">
        <v>46274</v>
      </c>
      <c r="AM744" s="1127">
        <f>IFERROR(VLOOKUP(AT744, Vessel!A:H, 8, FALSE), "")</f>
        <v>46288.666666666664</v>
      </c>
      <c r="AN744" s="586">
        <f>IFERROR(IF(VLOOKUP(AT744,Vessel!A:I,9,FALSE)=0,"",VLOOKUP(AT744,Vessel!A:I,9,FALSE)),"")</f>
        <v>46288.792233796295</v>
      </c>
      <c r="AP744" s="430" t="s">
        <v>5528</v>
      </c>
      <c r="AQ744" s="438" t="s">
        <v>80</v>
      </c>
      <c r="AR744" s="430" t="s">
        <v>5529</v>
      </c>
      <c r="AS744" s="430" t="s">
        <v>5530</v>
      </c>
      <c r="AT744" s="430" t="s">
        <v>5530</v>
      </c>
      <c r="AU74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52.792233796295477</v>
      </c>
      <c r="AW744" s="437" cm="1">
        <f t="array" ref="AW74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46288.792233796295</v>
      </c>
      <c r="AX74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44" s="437">
        <f>IF(ISERROR(PV_DATA[[#This Row],[New Ark PO status]]),"",_xlfn.XLOOKUP(PV_DATA[[#This Row],[SPTN-PVHK New Ark PO'#]],New_Ark_Data[Purchase order Number],New_Ark_Data[Estimated time of arrival],"",0))</f>
        <v>46293</v>
      </c>
      <c r="AZ744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744" s="437">
        <f>IFERROR(PV_DATA[[#This Row],[ODP ETA Port]]+PV_DATA[[#This Row],[Customs/Leg3 Assumption]],"n/a")</f>
        <v>46298.792233796295</v>
      </c>
      <c r="BB744" s="433">
        <f>YEAR(PV_DATA[[#This Row],[ETA for New Ark update]])</f>
        <v>2026</v>
      </c>
      <c r="BC744" s="430">
        <f>MONTH(PV_DATA[[#This Row],[ETA for New Ark update]])</f>
        <v>10</v>
      </c>
      <c r="BD744" s="430">
        <f>IFERROR(_xlfn.ISOWEEKNUM(PV_DATA[[#This Row],[ETA for New Ark update]]),0)</f>
        <v>40</v>
      </c>
      <c r="BE744" s="430">
        <f>_xlfn.XLOOKUP(PV_DATA[[#This Row],[New Ark SKU]],Table9[New Ark SKU],Table9[Total PCS per Pallet],,0)</f>
        <v>36</v>
      </c>
      <c r="BF744" s="430">
        <f>_xlfn.XLOOKUP(PV_DATA[[#This Row],[New Ark SKU]],Table9[New Ark SKU],Table9[Total PCS per 40HQ Container],,0)</f>
        <v>792</v>
      </c>
      <c r="BG744" s="430" t="str">
        <f>_xlfn.XLOOKUP(PV_DATA[[#This Row],[New Ark SKU]],Table9[New Ark SKU],Table9[Back Glass],,0)</f>
        <v>Black glazing</v>
      </c>
      <c r="BH744" s="430" t="str">
        <f>_xlfn.XLOOKUP(PV_DATA[[#This Row],[PORT DESTINATION]],Table12[PORT DESTINATION],Table12[Cosco Line],,0)</f>
        <v>AEM</v>
      </c>
      <c r="BJ744" s="430"/>
    </row>
    <row r="745" spans="1:62" ht="10.5" hidden="1">
      <c r="A745" s="462" t="s">
        <v>5531</v>
      </c>
      <c r="B745" s="462" t="s">
        <v>1757</v>
      </c>
      <c r="C745" s="462" t="str">
        <f>IFERROR(LEFT(PV_DATA[[#This Row],[TCL REFERENCE]],FIND(".",PV_DATA[[#This Row],[TCL REFERENCE]],1)-1),"Main Line")</f>
        <v>26Jul008</v>
      </c>
      <c r="D745" s="462" t="s">
        <v>63</v>
      </c>
      <c r="E745" s="462" t="s">
        <v>64</v>
      </c>
      <c r="F745" s="462" t="str" cm="1">
        <f t="array" ref="F74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45" s="462" t="s">
        <v>402</v>
      </c>
      <c r="H745" s="462" t="s">
        <v>67</v>
      </c>
      <c r="I745" s="462" t="s">
        <v>689</v>
      </c>
      <c r="J745" s="430" t="s">
        <v>96</v>
      </c>
      <c r="K745" s="430"/>
      <c r="L745" s="430"/>
      <c r="M745" s="430" t="s">
        <v>68</v>
      </c>
      <c r="N745" s="432">
        <v>46209</v>
      </c>
      <c r="O745" s="430" t="s">
        <v>4540</v>
      </c>
      <c r="P745" s="430" t="s">
        <v>1151</v>
      </c>
      <c r="Q745" s="430" t="s">
        <v>421</v>
      </c>
      <c r="R745" s="430" t="str">
        <f>_xlfn.XLOOKUP(PV_DATA[[#This Row],[New Ark SKU]],Table9[New Ark SKU],Table9[Connector],,0)</f>
        <v>EVO2A</v>
      </c>
      <c r="S745" s="433" t="str">
        <f>_xlfn.XLOOKUP(PV_DATA[[#This Row],[New Ark SKU]],Table9[New Ark SKU],Table9[Cable],,0)</f>
        <v>±1200mm</v>
      </c>
      <c r="T745" s="433">
        <v>505</v>
      </c>
      <c r="U745" s="1062">
        <f>864*5</f>
        <v>4320</v>
      </c>
      <c r="V745" s="434">
        <f>PV_DATA[[#This Row],[QUANTITY]]*PV_DATA[[#This Row],[WATT]]/1000000</f>
        <v>2.1816</v>
      </c>
      <c r="W745" s="435">
        <f>PV_DATA[[#This Row],[QUANTITY]]/PV_DATA[[#This Row],[Qty/Pallet]]</f>
        <v>120</v>
      </c>
      <c r="X745" s="1015">
        <f>PV_DATA[[#This Row],[QUANTITY]]/PV_DATA[[#This Row],[Qty/CT]]</f>
        <v>5</v>
      </c>
      <c r="Y745" s="430" t="s">
        <v>4371</v>
      </c>
      <c r="Z745" s="430" t="str">
        <f t="shared" si="8"/>
        <v>COMPLETED</v>
      </c>
      <c r="AA745" s="430" t="s">
        <v>5532</v>
      </c>
      <c r="AB745" s="437">
        <v>46225</v>
      </c>
      <c r="AC745" s="485">
        <f>IF(PV_DATA[[#This Row],[Pick-Up Date]]&lt;&gt;"",_xlfn.ISOWEEKNUM(PV_DATA[[#This Row],[Pick-Up Date]]),"")</f>
        <v>30</v>
      </c>
      <c r="AD745" s="430" t="s">
        <v>5533</v>
      </c>
      <c r="AE745" s="430"/>
      <c r="AF745" s="459" t="s">
        <v>5534</v>
      </c>
      <c r="AG745" s="459" t="s">
        <v>123</v>
      </c>
      <c r="AH745" s="430" t="s">
        <v>78</v>
      </c>
      <c r="AI745" s="437">
        <v>46230</v>
      </c>
      <c r="AJ745" s="437">
        <v>46236</v>
      </c>
      <c r="AK745" s="437">
        <v>46236</v>
      </c>
      <c r="AL745" s="437">
        <v>46279</v>
      </c>
      <c r="AM745" s="588">
        <f>IFERROR(VLOOKUP(AT745, Vessel!A:H, 8, FALSE), "")</f>
        <v>46285.041666666664</v>
      </c>
      <c r="AN745" s="586">
        <f>IFERROR(IF(VLOOKUP(AT745,Vessel!A:I,9,FALSE)=0,"",VLOOKUP(AT745,Vessel!A:I,9,FALSE)),"")</f>
        <v>46284.921701388892</v>
      </c>
      <c r="AP745" s="430" t="s">
        <v>5528</v>
      </c>
      <c r="AQ745" s="430" t="s">
        <v>80</v>
      </c>
      <c r="AR745" s="430" t="s">
        <v>5535</v>
      </c>
      <c r="AS745" s="430" t="s">
        <v>5536</v>
      </c>
      <c r="AT745" s="430" t="s">
        <v>5536</v>
      </c>
      <c r="AU74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48.921701388891961</v>
      </c>
      <c r="AW745" s="437" cm="1">
        <f t="array" ref="AW74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46284.921701388892</v>
      </c>
      <c r="AX74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45" s="437">
        <f>IF(ISERROR(PV_DATA[[#This Row],[New Ark PO status]]),"",_xlfn.XLOOKUP(PV_DATA[[#This Row],[SPTN-PVHK New Ark PO'#]],New_Ark_Data[Purchase order Number],New_Ark_Data[Estimated time of arrival],"",0))</f>
        <v>46297</v>
      </c>
      <c r="AZ745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45" s="437">
        <f>IFERROR(PV_DATA[[#This Row],[ODP ETA Port]]+PV_DATA[[#This Row],[Customs/Leg3 Assumption]],"n/a")</f>
        <v>46292.921701388892</v>
      </c>
      <c r="BB745" s="433">
        <f>YEAR(PV_DATA[[#This Row],[ETA for New Ark update]])</f>
        <v>2026</v>
      </c>
      <c r="BC745" s="430">
        <f>MONTH(PV_DATA[[#This Row],[ETA for New Ark update]])</f>
        <v>9</v>
      </c>
      <c r="BD745" s="430">
        <f>IFERROR(_xlfn.ISOWEEKNUM(PV_DATA[[#This Row],[ETA for New Ark update]]),0)</f>
        <v>39</v>
      </c>
      <c r="BE745" s="430">
        <f>_xlfn.XLOOKUP(PV_DATA[[#This Row],[New Ark SKU]],Table9[New Ark SKU],Table9[Total PCS per Pallet],,0)</f>
        <v>36</v>
      </c>
      <c r="BF745" s="430">
        <f>_xlfn.XLOOKUP(PV_DATA[[#This Row],[New Ark SKU]],Table9[New Ark SKU],Table9[Total PCS per 40HQ Container],,0)</f>
        <v>864</v>
      </c>
      <c r="BG745" s="430" t="str">
        <f>_xlfn.XLOOKUP(PV_DATA[[#This Row],[New Ark SKU]],Table9[New Ark SKU],Table9[Back Glass],,0)</f>
        <v>Black glazing</v>
      </c>
      <c r="BH745" s="430" t="str">
        <f>_xlfn.XLOOKUP(PV_DATA[[#This Row],[PORT DESTINATION]],Table12[PORT DESTINATION],Table12[Cosco Line],,0)</f>
        <v>AEM</v>
      </c>
      <c r="BJ745" s="430"/>
    </row>
    <row r="746" spans="1:62" ht="10.5" hidden="1">
      <c r="A746" s="462" t="s">
        <v>5537</v>
      </c>
      <c r="B746" s="462" t="s">
        <v>1757</v>
      </c>
      <c r="C746" s="462" t="str">
        <f>IFERROR(LEFT(PV_DATA[[#This Row],[TCL REFERENCE]],FIND(".",PV_DATA[[#This Row],[TCL REFERENCE]],1)-1),"Main Line")</f>
        <v>26Jun011</v>
      </c>
      <c r="D746" s="462" t="s">
        <v>63</v>
      </c>
      <c r="E746" s="462" t="s">
        <v>64</v>
      </c>
      <c r="F746" s="462" t="str" cm="1">
        <f t="array" ref="F74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46" s="462" t="s">
        <v>402</v>
      </c>
      <c r="H746" s="462" t="s">
        <v>67</v>
      </c>
      <c r="I746" s="462" t="s">
        <v>689</v>
      </c>
      <c r="J746" s="430" t="s">
        <v>96</v>
      </c>
      <c r="K746" s="430"/>
      <c r="L746" s="430"/>
      <c r="M746" s="430" t="s">
        <v>68</v>
      </c>
      <c r="N746" s="432">
        <v>46195</v>
      </c>
      <c r="O746" s="430" t="s">
        <v>4540</v>
      </c>
      <c r="P746" s="430" t="s">
        <v>71</v>
      </c>
      <c r="Q746" s="430" t="s">
        <v>72</v>
      </c>
      <c r="R746" s="430" t="str">
        <f>_xlfn.XLOOKUP(PV_DATA[[#This Row],[New Ark SKU]],Table9[New Ark SKU],Table9[Connector],,0)</f>
        <v>EVO2A</v>
      </c>
      <c r="S746" s="433" t="str">
        <f>_xlfn.XLOOKUP(PV_DATA[[#This Row],[New Ark SKU]],Table9[New Ark SKU],Table9[Cable],,0)</f>
        <v>±1200mm</v>
      </c>
      <c r="T746" s="433">
        <v>500</v>
      </c>
      <c r="U746" s="1062">
        <v>1728</v>
      </c>
      <c r="V746" s="434">
        <f>PV_DATA[[#This Row],[QUANTITY]]*PV_DATA[[#This Row],[WATT]]/1000000</f>
        <v>0.86399999999999999</v>
      </c>
      <c r="W746" s="435">
        <f>PV_DATA[[#This Row],[QUANTITY]]/PV_DATA[[#This Row],[Qty/Pallet]]</f>
        <v>48</v>
      </c>
      <c r="X746" s="1015">
        <f>PV_DATA[[#This Row],[QUANTITY]]/PV_DATA[[#This Row],[Qty/CT]]</f>
        <v>2</v>
      </c>
      <c r="Y746" s="430" t="s">
        <v>4372</v>
      </c>
      <c r="Z746" s="430" t="str">
        <f t="shared" si="8"/>
        <v>COMPLETED</v>
      </c>
      <c r="AA746" s="430"/>
      <c r="AB746" s="437">
        <v>46225</v>
      </c>
      <c r="AC746" s="485">
        <f>IF(PV_DATA[[#This Row],[Pick-Up Date]]&lt;&gt;"",_xlfn.ISOWEEKNUM(PV_DATA[[#This Row],[Pick-Up Date]]),"")</f>
        <v>30</v>
      </c>
      <c r="AD746" s="430" t="s">
        <v>5538</v>
      </c>
      <c r="AE746" s="430"/>
      <c r="AF746" s="459" t="s">
        <v>5043</v>
      </c>
      <c r="AG746" s="459" t="s">
        <v>123</v>
      </c>
      <c r="AH746" s="430" t="s">
        <v>78</v>
      </c>
      <c r="AI746" s="437">
        <v>46230</v>
      </c>
      <c r="AJ746" s="437">
        <v>46236</v>
      </c>
      <c r="AK746" s="437">
        <v>46236</v>
      </c>
      <c r="AL746" s="437">
        <v>46279</v>
      </c>
      <c r="AM746" s="588">
        <f>IFERROR(VLOOKUP(AT746, Vessel!A:H, 8, FALSE), "")</f>
        <v>46285.041666666664</v>
      </c>
      <c r="AN746" s="586">
        <f>IFERROR(IF(VLOOKUP(AT746,Vessel!A:I,9,FALSE)=0,"",VLOOKUP(AT746,Vessel!A:I,9,FALSE)),"")</f>
        <v>46284.921701388892</v>
      </c>
      <c r="AP746" s="430" t="s">
        <v>5528</v>
      </c>
      <c r="AQ746" s="430" t="s">
        <v>80</v>
      </c>
      <c r="AR746" s="430" t="s">
        <v>5535</v>
      </c>
      <c r="AS746" s="430" t="s">
        <v>5536</v>
      </c>
      <c r="AT746" s="430" t="s">
        <v>5536</v>
      </c>
      <c r="AU74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48.921701388891961</v>
      </c>
      <c r="AV746" s="437"/>
      <c r="AW746" s="437" cm="1">
        <f t="array" ref="AW74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46284.921701388892</v>
      </c>
      <c r="AX74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46" s="437">
        <f>IF(ISERROR(PV_DATA[[#This Row],[New Ark PO status]]),"",_xlfn.XLOOKUP(PV_DATA[[#This Row],[SPTN-PVHK New Ark PO'#]],New_Ark_Data[Purchase order Number],New_Ark_Data[Estimated time of arrival],"",0))</f>
        <v>46297</v>
      </c>
      <c r="AZ746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46" s="437">
        <f>IFERROR(PV_DATA[[#This Row],[ODP ETA Port]]+PV_DATA[[#This Row],[Customs/Leg3 Assumption]],"n/a")</f>
        <v>46292.921701388892</v>
      </c>
      <c r="BB746" s="433">
        <f>YEAR(PV_DATA[[#This Row],[ETA for New Ark update]])</f>
        <v>2026</v>
      </c>
      <c r="BC746" s="430">
        <f>MONTH(PV_DATA[[#This Row],[ETA for New Ark update]])</f>
        <v>9</v>
      </c>
      <c r="BD746" s="430">
        <f>IFERROR(_xlfn.ISOWEEKNUM(PV_DATA[[#This Row],[ETA for New Ark update]]),0)</f>
        <v>39</v>
      </c>
      <c r="BE746" s="430">
        <f>_xlfn.XLOOKUP(PV_DATA[[#This Row],[New Ark SKU]],Table9[New Ark SKU],Table9[Total PCS per Pallet],,0)</f>
        <v>36</v>
      </c>
      <c r="BF746" s="430">
        <f>_xlfn.XLOOKUP(PV_DATA[[#This Row],[New Ark SKU]],Table9[New Ark SKU],Table9[Total PCS per 40HQ Container],,0)</f>
        <v>864</v>
      </c>
      <c r="BG746" s="430" t="str">
        <f>_xlfn.XLOOKUP(PV_DATA[[#This Row],[New Ark SKU]],Table9[New Ark SKU],Table9[Back Glass],,0)</f>
        <v>Black glazing</v>
      </c>
      <c r="BH746" s="610" t="str">
        <f>_xlfn.XLOOKUP(PV_DATA[[#This Row],[PORT DESTINATION]],Table12[PORT DESTINATION],Table12[Cosco Line],,0)</f>
        <v>AEM</v>
      </c>
      <c r="BJ746" s="430"/>
    </row>
    <row r="747" spans="1:62" ht="10.5" hidden="1">
      <c r="A747" s="462" t="s">
        <v>5539</v>
      </c>
      <c r="B747" s="462" t="s">
        <v>1757</v>
      </c>
      <c r="C747" s="462" t="str">
        <f>IFERROR(LEFT(PV_DATA[[#This Row],[TCL REFERENCE]],FIND(".",PV_DATA[[#This Row],[TCL REFERENCE]],1)-1),"Main Line")</f>
        <v>26Jun012</v>
      </c>
      <c r="D747" s="462" t="s">
        <v>63</v>
      </c>
      <c r="E747" s="462" t="s">
        <v>64</v>
      </c>
      <c r="F747" s="462" t="str" cm="1">
        <f t="array" ref="F74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47" s="462" t="s">
        <v>402</v>
      </c>
      <c r="H747" s="462" t="s">
        <v>67</v>
      </c>
      <c r="I747" s="462" t="s">
        <v>882</v>
      </c>
      <c r="J747" s="430" t="s">
        <v>96</v>
      </c>
      <c r="K747" s="430"/>
      <c r="L747" s="430"/>
      <c r="M747" s="430" t="s">
        <v>68</v>
      </c>
      <c r="N747" s="432">
        <v>46195</v>
      </c>
      <c r="O747" s="430" t="s">
        <v>4540</v>
      </c>
      <c r="P747" s="430" t="s">
        <v>1151</v>
      </c>
      <c r="Q747" s="430" t="s">
        <v>421</v>
      </c>
      <c r="R747" s="430" t="str">
        <f>_xlfn.XLOOKUP(PV_DATA[[#This Row],[New Ark SKU]],Table9[New Ark SKU],Table9[Connector],,0)</f>
        <v>EVO2A</v>
      </c>
      <c r="S747" s="433" t="str">
        <f>_xlfn.XLOOKUP(PV_DATA[[#This Row],[New Ark SKU]],Table9[New Ark SKU],Table9[Cable],,0)</f>
        <v>±1200mm</v>
      </c>
      <c r="T747" s="433">
        <v>505</v>
      </c>
      <c r="U747" s="1062">
        <v>1728</v>
      </c>
      <c r="V747" s="434">
        <f>PV_DATA[[#This Row],[QUANTITY]]*PV_DATA[[#This Row],[WATT]]/1000000</f>
        <v>0.87263999999999997</v>
      </c>
      <c r="W747" s="435">
        <f>PV_DATA[[#This Row],[QUANTITY]]/PV_DATA[[#This Row],[Qty/Pallet]]</f>
        <v>48</v>
      </c>
      <c r="X747" s="1015">
        <f>PV_DATA[[#This Row],[QUANTITY]]/PV_DATA[[#This Row],[Qty/CT]]</f>
        <v>2</v>
      </c>
      <c r="Y747" s="430" t="s">
        <v>4371</v>
      </c>
      <c r="Z747" s="430" t="str">
        <f t="shared" si="8"/>
        <v>COMPLETED</v>
      </c>
      <c r="AA747" s="430" t="s">
        <v>5532</v>
      </c>
      <c r="AB747" s="437">
        <v>46225</v>
      </c>
      <c r="AC747" s="485">
        <f>IF(PV_DATA[[#This Row],[Pick-Up Date]]&lt;&gt;"",_xlfn.ISOWEEKNUM(PV_DATA[[#This Row],[Pick-Up Date]]),"")</f>
        <v>30</v>
      </c>
      <c r="AD747" s="430" t="s">
        <v>5540</v>
      </c>
      <c r="AE747" s="430"/>
      <c r="AF747" s="459" t="s">
        <v>5043</v>
      </c>
      <c r="AG747" s="459" t="s">
        <v>123</v>
      </c>
      <c r="AH747" s="430" t="s">
        <v>78</v>
      </c>
      <c r="AI747" s="437">
        <v>46230</v>
      </c>
      <c r="AJ747" s="437">
        <v>46236</v>
      </c>
      <c r="AK747" s="437">
        <v>46236</v>
      </c>
      <c r="AL747" s="437">
        <v>46279</v>
      </c>
      <c r="AM747" s="588">
        <f>IFERROR(VLOOKUP(AT747, Vessel!A:H, 8, FALSE), "")</f>
        <v>46285.041666666664</v>
      </c>
      <c r="AN747" s="586">
        <f>IFERROR(IF(VLOOKUP(AT747,Vessel!A:I,9,FALSE)=0,"",VLOOKUP(AT747,Vessel!A:I,9,FALSE)),"")</f>
        <v>46284.921701388892</v>
      </c>
      <c r="AP747" s="430" t="s">
        <v>5528</v>
      </c>
      <c r="AQ747" s="430" t="s">
        <v>80</v>
      </c>
      <c r="AR747" s="430" t="s">
        <v>5535</v>
      </c>
      <c r="AS747" s="430" t="s">
        <v>5536</v>
      </c>
      <c r="AT747" s="430" t="s">
        <v>5536</v>
      </c>
      <c r="AU74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48.921701388891961</v>
      </c>
      <c r="AV747" s="437"/>
      <c r="AW747" s="437" cm="1">
        <f t="array" ref="AW74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46284.921701388892</v>
      </c>
      <c r="AX74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47" s="437">
        <f>IF(ISERROR(PV_DATA[[#This Row],[New Ark PO status]]),"",_xlfn.XLOOKUP(PV_DATA[[#This Row],[SPTN-PVHK New Ark PO'#]],New_Ark_Data[Purchase order Number],New_Ark_Data[Estimated time of arrival],"",0))</f>
        <v>46297</v>
      </c>
      <c r="AZ747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47" s="437">
        <f>IFERROR(PV_DATA[[#This Row],[ODP ETA Port]]+PV_DATA[[#This Row],[Customs/Leg3 Assumption]],"n/a")</f>
        <v>46292.921701388892</v>
      </c>
      <c r="BB747" s="433">
        <f>YEAR(PV_DATA[[#This Row],[ETA for New Ark update]])</f>
        <v>2026</v>
      </c>
      <c r="BC747" s="430">
        <f>MONTH(PV_DATA[[#This Row],[ETA for New Ark update]])</f>
        <v>9</v>
      </c>
      <c r="BD747" s="430">
        <f>IFERROR(_xlfn.ISOWEEKNUM(PV_DATA[[#This Row],[ETA for New Ark update]]),0)</f>
        <v>39</v>
      </c>
      <c r="BE747" s="430">
        <f>_xlfn.XLOOKUP(PV_DATA[[#This Row],[New Ark SKU]],Table9[New Ark SKU],Table9[Total PCS per Pallet],,0)</f>
        <v>36</v>
      </c>
      <c r="BF747" s="430">
        <f>_xlfn.XLOOKUP(PV_DATA[[#This Row],[New Ark SKU]],Table9[New Ark SKU],Table9[Total PCS per 40HQ Container],,0)</f>
        <v>864</v>
      </c>
      <c r="BG747" s="430" t="str">
        <f>_xlfn.XLOOKUP(PV_DATA[[#This Row],[New Ark SKU]],Table9[New Ark SKU],Table9[Back Glass],,0)</f>
        <v>Black glazing</v>
      </c>
      <c r="BH747" s="430" t="str">
        <f>_xlfn.XLOOKUP(PV_DATA[[#This Row],[PORT DESTINATION]],Table12[PORT DESTINATION],Table12[Cosco Line],,0)</f>
        <v>AEM</v>
      </c>
      <c r="BJ747" s="430"/>
    </row>
    <row r="748" spans="1:62" ht="10.5" hidden="1">
      <c r="A748" s="462" t="s">
        <v>5541</v>
      </c>
      <c r="B748" s="462" t="s">
        <v>5212</v>
      </c>
      <c r="C748" s="462" t="str">
        <f>IFERROR(LEFT(PV_DATA[[#This Row],[TCL REFERENCE]],FIND(".",PV_DATA[[#This Row],[TCL REFERENCE]],1)-1),"Main Line")</f>
        <v>26Jun007</v>
      </c>
      <c r="D748" s="462" t="s">
        <v>63</v>
      </c>
      <c r="E748" s="462" t="s">
        <v>64</v>
      </c>
      <c r="F748" s="462" t="str" cm="1">
        <f t="array" ref="F74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48" s="462" t="s">
        <v>402</v>
      </c>
      <c r="H748" s="462" t="s">
        <v>67</v>
      </c>
      <c r="I748" s="462" t="s">
        <v>2004</v>
      </c>
      <c r="J748" s="430" t="s">
        <v>1047</v>
      </c>
      <c r="K748" s="430"/>
      <c r="L748" s="430"/>
      <c r="M748" s="430" t="s">
        <v>68</v>
      </c>
      <c r="N748" s="432">
        <v>46188</v>
      </c>
      <c r="O748" s="430" t="s">
        <v>4540</v>
      </c>
      <c r="P748" s="430" t="s">
        <v>5111</v>
      </c>
      <c r="Q748" s="430" t="s">
        <v>103</v>
      </c>
      <c r="R748" s="430" t="str">
        <f>_xlfn.XLOOKUP(PV_DATA[[#This Row],[New Ark SKU]],Table9[New Ark SKU],Table9[Connector],,0)</f>
        <v>H4(Com)</v>
      </c>
      <c r="S748" s="433" t="str">
        <f>_xlfn.XLOOKUP(PV_DATA[[#This Row],[New Ark SKU]],Table9[New Ark SKU],Table9[Cable],,0)</f>
        <v>±1400mm</v>
      </c>
      <c r="T748" s="433">
        <v>620</v>
      </c>
      <c r="U748" s="1062">
        <v>720</v>
      </c>
      <c r="V748" s="434">
        <f>PV_DATA[[#This Row],[QUANTITY]]*PV_DATA[[#This Row],[WATT]]/1000000</f>
        <v>0.44640000000000002</v>
      </c>
      <c r="W748" s="435">
        <f>PV_DATA[[#This Row],[QUANTITY]]/PV_DATA[[#This Row],[Qty/Pallet]]</f>
        <v>20</v>
      </c>
      <c r="X748" s="1015">
        <f>PV_DATA[[#This Row],[QUANTITY]]/PV_DATA[[#This Row],[Qty/CT]]</f>
        <v>1</v>
      </c>
      <c r="Y748" s="430" t="s">
        <v>4371</v>
      </c>
      <c r="Z748" s="430" t="str">
        <f t="shared" si="8"/>
        <v>COMPLETED</v>
      </c>
      <c r="AA748" s="430" t="s">
        <v>5542</v>
      </c>
      <c r="AB748" s="437">
        <v>46226</v>
      </c>
      <c r="AC748" s="485">
        <f>IF(PV_DATA[[#This Row],[Pick-Up Date]]&lt;&gt;"",_xlfn.ISOWEEKNUM(PV_DATA[[#This Row],[Pick-Up Date]]),"")</f>
        <v>30</v>
      </c>
      <c r="AD748" s="430" t="s">
        <v>5543</v>
      </c>
      <c r="AE748" s="430"/>
      <c r="AF748" s="430" t="s">
        <v>122</v>
      </c>
      <c r="AG748" s="430" t="s">
        <v>123</v>
      </c>
      <c r="AH748" s="430" t="s">
        <v>78</v>
      </c>
      <c r="AI748" s="437">
        <v>46230</v>
      </c>
      <c r="AJ748" s="437">
        <v>46236</v>
      </c>
      <c r="AK748" s="437">
        <v>46236</v>
      </c>
      <c r="AL748" s="437">
        <v>46279</v>
      </c>
      <c r="AM748" s="588">
        <f>IFERROR(VLOOKUP(AT748, Vessel!A:H, 8, FALSE), "")</f>
        <v>46285.041666666664</v>
      </c>
      <c r="AN748" s="586">
        <f>IFERROR(IF(VLOOKUP(AT748,Vessel!A:I,9,FALSE)=0,"",VLOOKUP(AT748,Vessel!A:I,9,FALSE)),"")</f>
        <v>46284.921701388892</v>
      </c>
      <c r="AP748" s="430" t="s">
        <v>5528</v>
      </c>
      <c r="AQ748" s="430" t="s">
        <v>80</v>
      </c>
      <c r="AR748" s="430" t="s">
        <v>5544</v>
      </c>
      <c r="AS748" s="430" t="s">
        <v>5545</v>
      </c>
      <c r="AT748" s="430" t="s">
        <v>5545</v>
      </c>
      <c r="AU74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48.921701388891961</v>
      </c>
      <c r="AV748" s="437"/>
      <c r="AW748" s="437" cm="1">
        <f t="array" ref="AW74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46284.921701388892</v>
      </c>
      <c r="AX74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48" s="437">
        <f>IF(ISERROR(PV_DATA[[#This Row],[New Ark PO status]]),"",_xlfn.XLOOKUP(PV_DATA[[#This Row],[SPTN-PVHK New Ark PO'#]],New_Ark_Data[Purchase order Number],New_Ark_Data[Estimated time of arrival],"",0))</f>
        <v>46297</v>
      </c>
      <c r="AZ748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48" s="437">
        <f>IFERROR(PV_DATA[[#This Row],[ODP ETA Port]]+PV_DATA[[#This Row],[Customs/Leg3 Assumption]],"n/a")</f>
        <v>46292.921701388892</v>
      </c>
      <c r="BB748" s="433">
        <f>YEAR(PV_DATA[[#This Row],[ETA for New Ark update]])</f>
        <v>2026</v>
      </c>
      <c r="BC748" s="430">
        <f>MONTH(PV_DATA[[#This Row],[ETA for New Ark update]])</f>
        <v>9</v>
      </c>
      <c r="BD748" s="430">
        <f>IFERROR(_xlfn.ISOWEEKNUM(PV_DATA[[#This Row],[ETA for New Ark update]]),0)</f>
        <v>39</v>
      </c>
      <c r="BE748" s="430">
        <f>_xlfn.XLOOKUP(PV_DATA[[#This Row],[New Ark SKU]],Table9[New Ark SKU],Table9[Total PCS per Pallet],,0)</f>
        <v>36</v>
      </c>
      <c r="BF748" s="430">
        <f>_xlfn.XLOOKUP(PV_DATA[[#This Row],[New Ark SKU]],Table9[New Ark SKU],Table9[Total PCS per 40HQ Container],,0)</f>
        <v>720</v>
      </c>
      <c r="BG748" s="430" t="str">
        <f>_xlfn.XLOOKUP(PV_DATA[[#This Row],[New Ark SKU]],Table9[New Ark SKU],Table9[Back Glass],,0)</f>
        <v>Transparent</v>
      </c>
      <c r="BH748" s="610" t="str">
        <f>_xlfn.XLOOKUP(PV_DATA[[#This Row],[PORT DESTINATION]],Table12[PORT DESTINATION],Table12[Cosco Line],,0)</f>
        <v>AEM</v>
      </c>
      <c r="BJ748" s="430"/>
    </row>
    <row r="749" spans="1:62" ht="10.5" hidden="1">
      <c r="A749" s="462" t="s">
        <v>5546</v>
      </c>
      <c r="B749" s="462" t="s">
        <v>5327</v>
      </c>
      <c r="C749" s="462" t="str">
        <f>IFERROR(LEFT(PV_DATA[[#This Row],[TCL REFERENCE]],FIND(".",PV_DATA[[#This Row],[TCL REFERENCE]],1)-1),"Main Line")</f>
        <v>26Jun005</v>
      </c>
      <c r="D749" s="462" t="s">
        <v>63</v>
      </c>
      <c r="E749" s="462" t="s">
        <v>64</v>
      </c>
      <c r="F749" s="462" t="str" cm="1">
        <f t="array" ref="F74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49" s="462" t="s">
        <v>402</v>
      </c>
      <c r="H749" s="462" t="s">
        <v>67</v>
      </c>
      <c r="I749" s="462" t="s">
        <v>689</v>
      </c>
      <c r="J749" s="430" t="s">
        <v>96</v>
      </c>
      <c r="K749" s="430"/>
      <c r="L749" s="430"/>
      <c r="M749" s="430" t="s">
        <v>68</v>
      </c>
      <c r="N749" s="432">
        <v>46188</v>
      </c>
      <c r="O749" s="430" t="s">
        <v>4540</v>
      </c>
      <c r="P749" s="430" t="s">
        <v>1461</v>
      </c>
      <c r="Q749" s="430" t="s">
        <v>103</v>
      </c>
      <c r="R749" s="430" t="str">
        <f>_xlfn.XLOOKUP(PV_DATA[[#This Row],[New Ark SKU]],Table9[New Ark SKU],Table9[Connector],,0)</f>
        <v>EVO2A</v>
      </c>
      <c r="S749" s="433" t="str">
        <f>_xlfn.XLOOKUP(PV_DATA[[#This Row],[New Ark SKU]],Table9[New Ark SKU],Table9[Cable],,0)</f>
        <v>±1400mm</v>
      </c>
      <c r="T749" s="433">
        <v>620</v>
      </c>
      <c r="U749" s="1062">
        <f>720*1</f>
        <v>720</v>
      </c>
      <c r="V749" s="434">
        <f>PV_DATA[[#This Row],[QUANTITY]]*PV_DATA[[#This Row],[WATT]]/1000000</f>
        <v>0.44640000000000002</v>
      </c>
      <c r="W749" s="435">
        <f>PV_DATA[[#This Row],[QUANTITY]]/PV_DATA[[#This Row],[Qty/Pallet]]</f>
        <v>20</v>
      </c>
      <c r="X749" s="1015">
        <f>PV_DATA[[#This Row],[QUANTITY]]/PV_DATA[[#This Row],[Qty/CT]]</f>
        <v>1</v>
      </c>
      <c r="Y749" s="430" t="s">
        <v>4371</v>
      </c>
      <c r="Z749" s="430" t="str">
        <f t="shared" si="8"/>
        <v>COMPLETED</v>
      </c>
      <c r="AA749" s="430" t="s">
        <v>5542</v>
      </c>
      <c r="AB749" s="437">
        <v>46226</v>
      </c>
      <c r="AC749" s="485">
        <f>IF(PV_DATA[[#This Row],[Pick-Up Date]]&lt;&gt;"",_xlfn.ISOWEEKNUM(PV_DATA[[#This Row],[Pick-Up Date]]),"")</f>
        <v>30</v>
      </c>
      <c r="AD749" s="430" t="s">
        <v>5547</v>
      </c>
      <c r="AE749" s="430"/>
      <c r="AF749" s="430" t="s">
        <v>122</v>
      </c>
      <c r="AG749" s="430" t="s">
        <v>123</v>
      </c>
      <c r="AH749" s="430" t="s">
        <v>78</v>
      </c>
      <c r="AI749" s="437">
        <v>46230</v>
      </c>
      <c r="AJ749" s="437">
        <v>46236</v>
      </c>
      <c r="AK749" s="437">
        <v>46236</v>
      </c>
      <c r="AL749" s="437">
        <v>46279</v>
      </c>
      <c r="AM749" s="588">
        <f>IFERROR(VLOOKUP(AT749, Vessel!A:H, 8, FALSE), "")</f>
        <v>46285.041666666664</v>
      </c>
      <c r="AN749" s="586">
        <f>IFERROR(IF(VLOOKUP(AT749,Vessel!A:I,9,FALSE)=0,"",VLOOKUP(AT749,Vessel!A:I,9,FALSE)),"")</f>
        <v>46284.921701388892</v>
      </c>
      <c r="AP749" s="430" t="s">
        <v>5528</v>
      </c>
      <c r="AQ749" s="430" t="s">
        <v>80</v>
      </c>
      <c r="AR749" s="430" t="s">
        <v>5544</v>
      </c>
      <c r="AS749" s="430" t="s">
        <v>5545</v>
      </c>
      <c r="AT749" s="430" t="s">
        <v>5545</v>
      </c>
      <c r="AU74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48.921701388891961</v>
      </c>
      <c r="AV749" s="437"/>
      <c r="AW749" s="437" cm="1">
        <f t="array" ref="AW74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46284.921701388892</v>
      </c>
      <c r="AX74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49" s="437">
        <f>IF(ISERROR(PV_DATA[[#This Row],[New Ark PO status]]),"",_xlfn.XLOOKUP(PV_DATA[[#This Row],[SPTN-PVHK New Ark PO'#]],New_Ark_Data[Purchase order Number],New_Ark_Data[Estimated time of arrival],"",0))</f>
        <v>46297</v>
      </c>
      <c r="AZ749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49" s="437">
        <f>IFERROR(PV_DATA[[#This Row],[ODP ETA Port]]+PV_DATA[[#This Row],[Customs/Leg3 Assumption]],"n/a")</f>
        <v>46292.921701388892</v>
      </c>
      <c r="BB749" s="433">
        <f>YEAR(PV_DATA[[#This Row],[ETA for New Ark update]])</f>
        <v>2026</v>
      </c>
      <c r="BC749" s="430">
        <f>MONTH(PV_DATA[[#This Row],[ETA for New Ark update]])</f>
        <v>9</v>
      </c>
      <c r="BD749" s="430">
        <f>IFERROR(_xlfn.ISOWEEKNUM(PV_DATA[[#This Row],[ETA for New Ark update]]),0)</f>
        <v>39</v>
      </c>
      <c r="BE749" s="430">
        <f>_xlfn.XLOOKUP(PV_DATA[[#This Row],[New Ark SKU]],Table9[New Ark SKU],Table9[Total PCS per Pallet],,0)</f>
        <v>36</v>
      </c>
      <c r="BF749" s="430">
        <f>_xlfn.XLOOKUP(PV_DATA[[#This Row],[New Ark SKU]],Table9[New Ark SKU],Table9[Total PCS per 40HQ Container],,0)</f>
        <v>720</v>
      </c>
      <c r="BG749" s="430" t="str">
        <f>_xlfn.XLOOKUP(PV_DATA[[#This Row],[New Ark SKU]],Table9[New Ark SKU],Table9[Back Glass],,0)</f>
        <v>Redirection Film</v>
      </c>
      <c r="BH749" s="430" t="str">
        <f>_xlfn.XLOOKUP(PV_DATA[[#This Row],[PORT DESTINATION]],Table12[PORT DESTINATION],Table12[Cosco Line],,0)</f>
        <v>AEM</v>
      </c>
      <c r="BJ749" s="430"/>
    </row>
    <row r="750" spans="1:62" ht="10.5" hidden="1">
      <c r="A750" s="462" t="s">
        <v>5548</v>
      </c>
      <c r="B750" s="462" t="s">
        <v>5327</v>
      </c>
      <c r="C750" s="462" t="str">
        <f>IFERROR(LEFT(PV_DATA[[#This Row],[TCL REFERENCE]],FIND(".",PV_DATA[[#This Row],[TCL REFERENCE]],1)-1),"Main Line")</f>
        <v>26Jun014</v>
      </c>
      <c r="D750" s="462" t="s">
        <v>63</v>
      </c>
      <c r="E750" s="462" t="s">
        <v>64</v>
      </c>
      <c r="F750" s="462" t="str" cm="1">
        <f t="array" ref="F75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50" s="462" t="s">
        <v>402</v>
      </c>
      <c r="H750" s="462" t="s">
        <v>67</v>
      </c>
      <c r="I750" s="462" t="s">
        <v>1395</v>
      </c>
      <c r="J750" s="430" t="s">
        <v>96</v>
      </c>
      <c r="K750" s="430"/>
      <c r="L750" s="430"/>
      <c r="M750" s="430" t="s">
        <v>68</v>
      </c>
      <c r="N750" s="432">
        <v>46209</v>
      </c>
      <c r="O750" s="430" t="s">
        <v>4540</v>
      </c>
      <c r="P750" s="430" t="s">
        <v>691</v>
      </c>
      <c r="Q750" s="430" t="s">
        <v>692</v>
      </c>
      <c r="R750" s="430" t="str">
        <f>_xlfn.XLOOKUP(PV_DATA[[#This Row],[New Ark SKU]],Table9[New Ark SKU],Table9[Connector],,0)</f>
        <v>EVO2A</v>
      </c>
      <c r="S750" s="433" t="str">
        <f>_xlfn.XLOOKUP(PV_DATA[[#This Row],[New Ark SKU]],Table9[New Ark SKU],Table9[Cable],,0)</f>
        <v>±1200mm</v>
      </c>
      <c r="T750" s="433">
        <v>505</v>
      </c>
      <c r="U750" s="1062">
        <f>864*3</f>
        <v>2592</v>
      </c>
      <c r="V750" s="434">
        <f>PV_DATA[[#This Row],[QUANTITY]]*PV_DATA[[#This Row],[WATT]]/1000000</f>
        <v>1.3089599999999999</v>
      </c>
      <c r="W750" s="435">
        <f>PV_DATA[[#This Row],[QUANTITY]]/PV_DATA[[#This Row],[Qty/Pallet]]</f>
        <v>72</v>
      </c>
      <c r="X750" s="1015">
        <f>PV_DATA[[#This Row],[QUANTITY]]/PV_DATA[[#This Row],[Qty/CT]]</f>
        <v>3</v>
      </c>
      <c r="Y750" s="430" t="s">
        <v>4370</v>
      </c>
      <c r="Z750" s="430" t="str">
        <f t="shared" si="8"/>
        <v>COMPLETED</v>
      </c>
      <c r="AA750" s="545" t="s">
        <v>5549</v>
      </c>
      <c r="AB750" s="437">
        <v>46226</v>
      </c>
      <c r="AC750" s="485">
        <f>IF(PV_DATA[[#This Row],[Pick-Up Date]]&lt;&gt;"",_xlfn.ISOWEEKNUM(PV_DATA[[#This Row],[Pick-Up Date]]),"")</f>
        <v>30</v>
      </c>
      <c r="AD750" s="430" t="s">
        <v>5550</v>
      </c>
      <c r="AE750" s="430"/>
      <c r="AF750" s="430" t="s">
        <v>122</v>
      </c>
      <c r="AG750" s="430" t="s">
        <v>123</v>
      </c>
      <c r="AH750" s="430" t="s">
        <v>78</v>
      </c>
      <c r="AI750" s="437">
        <v>46230</v>
      </c>
      <c r="AJ750" s="437">
        <v>46236</v>
      </c>
      <c r="AK750" s="437">
        <v>46236</v>
      </c>
      <c r="AL750" s="437">
        <v>46279</v>
      </c>
      <c r="AM750" s="588">
        <f>IFERROR(VLOOKUP(AT750, Vessel!A:H, 8, FALSE), "")</f>
        <v>46285.041666666664</v>
      </c>
      <c r="AN750" s="586">
        <f>IFERROR(IF(VLOOKUP(AT750,Vessel!A:I,9,FALSE)=0,"",VLOOKUP(AT750,Vessel!A:I,9,FALSE)),"")</f>
        <v>46284.921701388892</v>
      </c>
      <c r="AP750" s="430" t="s">
        <v>5528</v>
      </c>
      <c r="AQ750" s="430" t="s">
        <v>80</v>
      </c>
      <c r="AR750" s="430" t="s">
        <v>5544</v>
      </c>
      <c r="AS750" s="430" t="s">
        <v>5545</v>
      </c>
      <c r="AT750" s="430" t="s">
        <v>5545</v>
      </c>
      <c r="AU75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48.921701388891961</v>
      </c>
      <c r="AV750" s="437"/>
      <c r="AW750" s="437" cm="1">
        <f t="array" ref="AW75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46284.921701388892</v>
      </c>
      <c r="AX75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50" s="437">
        <f>IF(ISERROR(PV_DATA[[#This Row],[New Ark PO status]]),"",_xlfn.XLOOKUP(PV_DATA[[#This Row],[SPTN-PVHK New Ark PO'#]],New_Ark_Data[Purchase order Number],New_Ark_Data[Estimated time of arrival],"",0))</f>
        <v>46297</v>
      </c>
      <c r="AZ750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50" s="437">
        <f>IFERROR(PV_DATA[[#This Row],[ODP ETA Port]]+PV_DATA[[#This Row],[Customs/Leg3 Assumption]],"n/a")</f>
        <v>46292.921701388892</v>
      </c>
      <c r="BB750" s="433">
        <f>YEAR(PV_DATA[[#This Row],[ETA for New Ark update]])</f>
        <v>2026</v>
      </c>
      <c r="BC750" s="430">
        <f>MONTH(PV_DATA[[#This Row],[ETA for New Ark update]])</f>
        <v>9</v>
      </c>
      <c r="BD750" s="430">
        <f>IFERROR(_xlfn.ISOWEEKNUM(PV_DATA[[#This Row],[ETA for New Ark update]]),0)</f>
        <v>39</v>
      </c>
      <c r="BE750" s="430">
        <f>_xlfn.XLOOKUP(PV_DATA[[#This Row],[New Ark SKU]],Table9[New Ark SKU],Table9[Total PCS per Pallet],,0)</f>
        <v>36</v>
      </c>
      <c r="BF750" s="430">
        <f>_xlfn.XLOOKUP(PV_DATA[[#This Row],[New Ark SKU]],Table9[New Ark SKU],Table9[Total PCS per 40HQ Container],,0)</f>
        <v>864</v>
      </c>
      <c r="BG750" s="430" t="str">
        <f>_xlfn.XLOOKUP(PV_DATA[[#This Row],[New Ark SKU]],Table9[New Ark SKU],Table9[Back Glass],,0)</f>
        <v>Black glazing</v>
      </c>
      <c r="BH750" s="430" t="str">
        <f>_xlfn.XLOOKUP(PV_DATA[[#This Row],[PORT DESTINATION]],Table12[PORT DESTINATION],Table12[Cosco Line],,0)</f>
        <v>AEM</v>
      </c>
      <c r="BJ750" s="430"/>
    </row>
    <row r="751" spans="1:62" ht="10.5" hidden="1">
      <c r="A751" s="462" t="s">
        <v>5551</v>
      </c>
      <c r="B751" s="462" t="s">
        <v>111</v>
      </c>
      <c r="C751" s="462" t="str">
        <f>IFERROR(LEFT(PV_DATA[[#This Row],[TCL REFERENCE]],FIND(".",PV_DATA[[#This Row],[TCL REFERENCE]],1)-1),"Main Line")</f>
        <v>Main Line</v>
      </c>
      <c r="D751" s="462" t="s">
        <v>63</v>
      </c>
      <c r="E751" s="462" t="s">
        <v>64</v>
      </c>
      <c r="F751" s="462" t="str" cm="1">
        <f t="array" ref="F75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751" s="462" t="s">
        <v>402</v>
      </c>
      <c r="H751" s="462" t="s">
        <v>115</v>
      </c>
      <c r="I751" s="462" t="s">
        <v>882</v>
      </c>
      <c r="J751" s="430" t="s">
        <v>96</v>
      </c>
      <c r="K751" s="430"/>
      <c r="L751" s="430"/>
      <c r="M751" s="430" t="s">
        <v>68</v>
      </c>
      <c r="N751" s="432">
        <v>46174</v>
      </c>
      <c r="O751" s="430" t="s">
        <v>132</v>
      </c>
      <c r="P751" s="430" t="s">
        <v>5552</v>
      </c>
      <c r="Q751" s="430" t="s">
        <v>5553</v>
      </c>
      <c r="R751" s="430" t="str">
        <f>_xlfn.XLOOKUP(PV_DATA[[#This Row],[New Ark SKU]],Table9[New Ark SKU],Table9[Connector],,0)</f>
        <v>EVO2A</v>
      </c>
      <c r="S751" s="433" t="str">
        <f>_xlfn.XLOOKUP(PV_DATA[[#This Row],[New Ark SKU]],Table9[New Ark SKU],Table9[Cable],,0)</f>
        <v>±1400mm</v>
      </c>
      <c r="T751" s="433">
        <v>550</v>
      </c>
      <c r="U751" s="1062">
        <v>660</v>
      </c>
      <c r="V751" s="434">
        <f>PV_DATA[[#This Row],[QUANTITY]]*PV_DATA[[#This Row],[WATT]]/1000000</f>
        <v>0.36299999999999999</v>
      </c>
      <c r="W751" s="435">
        <f>PV_DATA[[#This Row],[QUANTITY]]/PV_DATA[[#This Row],[Qty/Pallet]]</f>
        <v>20</v>
      </c>
      <c r="X751" s="1015">
        <f>PV_DATA[[#This Row],[QUANTITY]]/PV_DATA[[#This Row],[Qty/CT]]</f>
        <v>1</v>
      </c>
      <c r="Y751" s="459" t="s">
        <v>4367</v>
      </c>
      <c r="Z751" s="430" t="str">
        <f t="shared" si="8"/>
        <v>COMPLETED</v>
      </c>
      <c r="AA751" s="430" t="s">
        <v>4999</v>
      </c>
      <c r="AB751" s="437">
        <v>46227</v>
      </c>
      <c r="AC751" s="485">
        <f>IF(PV_DATA[[#This Row],[Pick-Up Date]]&lt;&gt;"",_xlfn.ISOWEEKNUM(PV_DATA[[#This Row],[Pick-Up Date]]),"")</f>
        <v>30</v>
      </c>
      <c r="AD751" s="430" t="s">
        <v>5554</v>
      </c>
      <c r="AE751" s="430"/>
      <c r="AF751" s="430" t="s">
        <v>122</v>
      </c>
      <c r="AG751" s="430" t="s">
        <v>123</v>
      </c>
      <c r="AH751" s="430" t="s">
        <v>124</v>
      </c>
      <c r="AI751" s="437">
        <v>46230</v>
      </c>
      <c r="AJ751" s="437">
        <v>46236</v>
      </c>
      <c r="AK751" s="437">
        <v>46236</v>
      </c>
      <c r="AL751" s="437">
        <v>46282</v>
      </c>
      <c r="AM751" s="588">
        <f>IFERROR(VLOOKUP(AT751, Vessel!A:H, 8, FALSE), "")</f>
        <v>46296.25</v>
      </c>
      <c r="AN751" s="586">
        <v>46295</v>
      </c>
      <c r="AP751" s="430" t="s">
        <v>5528</v>
      </c>
      <c r="AQ751" s="430" t="s">
        <v>80</v>
      </c>
      <c r="AR751" s="430" t="s">
        <v>5555</v>
      </c>
      <c r="AS751" s="430" t="s">
        <v>5556</v>
      </c>
      <c r="AT751" s="430" t="s">
        <v>5556</v>
      </c>
      <c r="AU75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W751" s="437" cm="1">
        <f t="array" ref="AW75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46295</v>
      </c>
      <c r="AX75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51" s="437">
        <f>IF(ISERROR(PV_DATA[[#This Row],[New Ark PO status]]),"",_xlfn.XLOOKUP(PV_DATA[[#This Row],[SPTN-PVHK New Ark PO'#]],New_Ark_Data[Purchase order Number],New_Ark_Data[Estimated time of arrival],"",0))</f>
        <v>46300</v>
      </c>
      <c r="AZ751" s="433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751" s="437">
        <f>IFERROR(PV_DATA[[#This Row],[ODP ETA Port]]+PV_DATA[[#This Row],[Customs/Leg3 Assumption]],"n/a")</f>
        <v>46304</v>
      </c>
      <c r="BB751" s="433">
        <f>YEAR(PV_DATA[[#This Row],[ETA for New Ark update]])</f>
        <v>2026</v>
      </c>
      <c r="BC751" s="430">
        <f>MONTH(PV_DATA[[#This Row],[ETA for New Ark update]])</f>
        <v>10</v>
      </c>
      <c r="BD751" s="430">
        <f>IFERROR(_xlfn.ISOWEEKNUM(PV_DATA[[#This Row],[ETA for New Ark update]]),0)</f>
        <v>41</v>
      </c>
      <c r="BE751" s="430">
        <f>_xlfn.XLOOKUP(PV_DATA[[#This Row],[New Ark SKU]],Table9[New Ark SKU],Table9[Total PCS per Pallet],,0)</f>
        <v>33</v>
      </c>
      <c r="BF751" s="430">
        <f>_xlfn.XLOOKUP(PV_DATA[[#This Row],[New Ark SKU]],Table9[New Ark SKU],Table9[Total PCS per 40HQ Container],,0)</f>
        <v>660</v>
      </c>
      <c r="BG751" s="430" t="str">
        <f>_xlfn.XLOOKUP(PV_DATA[[#This Row],[New Ark SKU]],Table9[New Ark SKU],Table9[Back Glass],,0)</f>
        <v>White glazing</v>
      </c>
      <c r="BH751" s="430" t="str">
        <f>_xlfn.XLOOKUP(PV_DATA[[#This Row],[PORT DESTINATION]],Table12[PORT DESTINATION],Table12[Cosco Line],,0)</f>
        <v>AEM</v>
      </c>
      <c r="BJ751" s="430"/>
    </row>
    <row r="752" spans="1:62" ht="10.5" hidden="1">
      <c r="A752" s="462" t="s">
        <v>5557</v>
      </c>
      <c r="B752" s="462" t="s">
        <v>111</v>
      </c>
      <c r="C752" s="462" t="str">
        <f>IFERROR(LEFT(PV_DATA[[#This Row],[TCL REFERENCE]],FIND(".",PV_DATA[[#This Row],[TCL REFERENCE]],1)-1),"Main Line")</f>
        <v>26Jul013</v>
      </c>
      <c r="D752" s="462" t="s">
        <v>63</v>
      </c>
      <c r="E752" s="462" t="s">
        <v>144</v>
      </c>
      <c r="F752" s="462" t="str" cm="1">
        <f t="array" ref="F75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52" s="462" t="s">
        <v>402</v>
      </c>
      <c r="H752" s="462" t="s">
        <v>1912</v>
      </c>
      <c r="I752" s="462" t="s">
        <v>1395</v>
      </c>
      <c r="J752" s="430" t="s">
        <v>1912</v>
      </c>
      <c r="K752" s="430" t="s">
        <v>5558</v>
      </c>
      <c r="L752" s="430">
        <v>3</v>
      </c>
      <c r="M752" s="430" t="s">
        <v>840</v>
      </c>
      <c r="N752" s="432">
        <v>46202</v>
      </c>
      <c r="O752" s="430" t="s">
        <v>5345</v>
      </c>
      <c r="P752" s="459" t="s">
        <v>5346</v>
      </c>
      <c r="Q752" s="430" t="s">
        <v>5347</v>
      </c>
      <c r="R752" s="430" t="str">
        <f>_xlfn.XLOOKUP(PV_DATA[[#This Row],[New Ark SKU]],Table9[New Ark SKU],Table9[Connector],,0)</f>
        <v>EVO2A</v>
      </c>
      <c r="S752" s="433" t="str">
        <f>_xlfn.XLOOKUP(PV_DATA[[#This Row],[New Ark SKU]],Table9[New Ark SKU],Table9[Cable],,0)</f>
        <v>±1400mm</v>
      </c>
      <c r="T752" s="433">
        <v>580</v>
      </c>
      <c r="U752" s="1062">
        <f>720*1</f>
        <v>720</v>
      </c>
      <c r="V752" s="434">
        <f>PV_DATA[[#This Row],[QUANTITY]]*PV_DATA[[#This Row],[WATT]]/1000000</f>
        <v>0.41760000000000003</v>
      </c>
      <c r="W752" s="435">
        <f>PV_DATA[[#This Row],[QUANTITY]]/PV_DATA[[#This Row],[Qty/Pallet]]</f>
        <v>20</v>
      </c>
      <c r="X752" s="1015">
        <f>PV_DATA[[#This Row],[QUANTITY]]/PV_DATA[[#This Row],[Qty/CT]]</f>
        <v>1</v>
      </c>
      <c r="Y752" s="430" t="s">
        <v>4371</v>
      </c>
      <c r="Z752" s="430" t="str">
        <f t="shared" si="8"/>
        <v>COMPLETED</v>
      </c>
      <c r="AA752" s="430" t="s">
        <v>5348</v>
      </c>
      <c r="AB752" s="437">
        <v>46220</v>
      </c>
      <c r="AC752" s="485">
        <f>IF(PV_DATA[[#This Row],[Pick-Up Date]]&lt;&gt;"",_xlfn.ISOWEEKNUM(PV_DATA[[#This Row],[Pick-Up Date]]),"")</f>
        <v>29</v>
      </c>
      <c r="AD752" s="430" t="s">
        <v>5559</v>
      </c>
      <c r="AE752" s="430"/>
      <c r="AF752" s="430" t="s">
        <v>122</v>
      </c>
      <c r="AG752" s="430" t="s">
        <v>123</v>
      </c>
      <c r="AH752" s="430" t="s">
        <v>124</v>
      </c>
      <c r="AI752" s="437">
        <v>46229</v>
      </c>
      <c r="AJ752" s="437">
        <v>46233</v>
      </c>
      <c r="AK752" s="437">
        <v>46233</v>
      </c>
      <c r="AL752" s="437">
        <v>46268</v>
      </c>
      <c r="AM752" s="588">
        <f>IFERROR(VLOOKUP(AT752, Vessel!A:H, 8, FALSE), "")</f>
        <v>46280.541666666664</v>
      </c>
      <c r="AN752" s="586">
        <v>46280.541666666664</v>
      </c>
      <c r="AP752" s="430" t="s">
        <v>5560</v>
      </c>
      <c r="AQ752" s="438" t="s">
        <v>80</v>
      </c>
      <c r="AR752" s="430" t="s">
        <v>5561</v>
      </c>
      <c r="AS752" s="430" t="s">
        <v>5562</v>
      </c>
      <c r="AT752" s="430" t="s">
        <v>5562</v>
      </c>
      <c r="AU75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47.541666666664241</v>
      </c>
      <c r="AW752" s="437" cm="1">
        <f t="array" ref="AW75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46280.541666666664</v>
      </c>
      <c r="AX75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52" s="437">
        <f>IF(ISERROR(PV_DATA[[#This Row],[New Ark PO status]]),"",_xlfn.XLOOKUP(PV_DATA[[#This Row],[SPTN-PVHK New Ark PO'#]],New_Ark_Data[Purchase order Number],New_Ark_Data[Estimated time of arrival],"",0))</f>
        <v>46268</v>
      </c>
      <c r="AZ752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52" s="437">
        <f>IFERROR(PV_DATA[[#This Row],[ODP ETA Port]]+PV_DATA[[#This Row],[Customs/Leg3 Assumption]],"n/a")</f>
        <v>46280.541666666664</v>
      </c>
      <c r="BB752" s="433">
        <f>YEAR(PV_DATA[[#This Row],[ETA for New Ark update]])</f>
        <v>2026</v>
      </c>
      <c r="BC752" s="430">
        <f>MONTH(PV_DATA[[#This Row],[ETA for New Ark update]])</f>
        <v>9</v>
      </c>
      <c r="BD752" s="430">
        <f>IFERROR(_xlfn.ISOWEEKNUM(PV_DATA[[#This Row],[ETA for New Ark update]]),0)</f>
        <v>38</v>
      </c>
      <c r="BE752" s="430">
        <f>_xlfn.XLOOKUP(PV_DATA[[#This Row],[New Ark SKU]],Table9[New Ark SKU],Table9[Total PCS per Pallet],,0)</f>
        <v>36</v>
      </c>
      <c r="BF752" s="430">
        <f>_xlfn.XLOOKUP(PV_DATA[[#This Row],[New Ark SKU]],Table9[New Ark SKU],Table9[Total PCS per 40HQ Container],,0)</f>
        <v>720</v>
      </c>
      <c r="BG752" s="430" t="str">
        <f>_xlfn.XLOOKUP(PV_DATA[[#This Row],[New Ark SKU]],Table9[New Ark SKU],Table9[Back Glass],,0)</f>
        <v>Transparent</v>
      </c>
      <c r="BH752" s="430" t="str">
        <f>_xlfn.XLOOKUP(PV_DATA[[#This Row],[PORT DESTINATION]],Table12[PORT DESTINATION],Table12[Cosco Line],,0)</f>
        <v>AEM</v>
      </c>
      <c r="BJ752" s="430"/>
    </row>
    <row r="753" spans="1:62" ht="10.5" hidden="1">
      <c r="A753" s="462" t="s">
        <v>5563</v>
      </c>
      <c r="B753" s="462" t="s">
        <v>111</v>
      </c>
      <c r="C753" s="462" t="str">
        <f>IFERROR(LEFT(PV_DATA[[#This Row],[TCL REFERENCE]],FIND(".",PV_DATA[[#This Row],[TCL REFERENCE]],1)-1),"Main Line")</f>
        <v>26Jul014</v>
      </c>
      <c r="D753" s="462" t="s">
        <v>63</v>
      </c>
      <c r="E753" s="462" t="s">
        <v>144</v>
      </c>
      <c r="F753" s="462" t="str" cm="1">
        <f t="array" ref="F75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53" s="462" t="s">
        <v>402</v>
      </c>
      <c r="H753" s="462" t="s">
        <v>1912</v>
      </c>
      <c r="I753" s="462" t="s">
        <v>1395</v>
      </c>
      <c r="J753" s="430" t="s">
        <v>1912</v>
      </c>
      <c r="K753" s="430" t="s">
        <v>5558</v>
      </c>
      <c r="L753" s="430">
        <v>2</v>
      </c>
      <c r="M753" s="430" t="s">
        <v>840</v>
      </c>
      <c r="N753" s="432">
        <v>46202</v>
      </c>
      <c r="O753" s="430" t="s">
        <v>5345</v>
      </c>
      <c r="P753" s="459" t="s">
        <v>5564</v>
      </c>
      <c r="Q753" s="430" t="s">
        <v>5565</v>
      </c>
      <c r="R753" s="430" t="str">
        <f>_xlfn.XLOOKUP(PV_DATA[[#This Row],[New Ark SKU]],Table9[New Ark SKU],Table9[Connector],,0)</f>
        <v>EVO2A</v>
      </c>
      <c r="S753" s="433" t="str">
        <f>_xlfn.XLOOKUP(PV_DATA[[#This Row],[New Ark SKU]],Table9[New Ark SKU],Table9[Cable],,0)</f>
        <v>±1400mm</v>
      </c>
      <c r="T753" s="433">
        <v>580</v>
      </c>
      <c r="U753" s="1062">
        <f>720*1</f>
        <v>720</v>
      </c>
      <c r="V753" s="434">
        <f>PV_DATA[[#This Row],[QUANTITY]]*PV_DATA[[#This Row],[WATT]]/1000000</f>
        <v>0.41760000000000003</v>
      </c>
      <c r="W753" s="435">
        <f>PV_DATA[[#This Row],[QUANTITY]]/PV_DATA[[#This Row],[Qty/Pallet]]</f>
        <v>20</v>
      </c>
      <c r="X753" s="1015">
        <f>PV_DATA[[#This Row],[QUANTITY]]/PV_DATA[[#This Row],[Qty/CT]]</f>
        <v>1</v>
      </c>
      <c r="Y753" s="430" t="s">
        <v>4371</v>
      </c>
      <c r="Z753" s="430" t="str">
        <f t="shared" si="8"/>
        <v>COMPLETED</v>
      </c>
      <c r="AA753" s="430"/>
      <c r="AB753" s="437">
        <v>46220</v>
      </c>
      <c r="AC753" s="485">
        <f>IF(PV_DATA[[#This Row],[Pick-Up Date]]&lt;&gt;"",_xlfn.ISOWEEKNUM(PV_DATA[[#This Row],[Pick-Up Date]]),"")</f>
        <v>29</v>
      </c>
      <c r="AD753" s="430" t="s">
        <v>5566</v>
      </c>
      <c r="AE753" s="430"/>
      <c r="AF753" s="430" t="s">
        <v>122</v>
      </c>
      <c r="AG753" s="430" t="s">
        <v>123</v>
      </c>
      <c r="AH753" s="430" t="s">
        <v>124</v>
      </c>
      <c r="AI753" s="437">
        <v>46229</v>
      </c>
      <c r="AJ753" s="437">
        <v>46233</v>
      </c>
      <c r="AK753" s="437">
        <v>46233</v>
      </c>
      <c r="AL753" s="437">
        <v>46268</v>
      </c>
      <c r="AM753" s="586">
        <f>IFERROR(VLOOKUP(AT753, Vessel!A:H, 8, FALSE), "")</f>
        <v>46280.541666666664</v>
      </c>
      <c r="AN753" s="586">
        <v>46280.541666666664</v>
      </c>
      <c r="AP753" s="430" t="s">
        <v>5560</v>
      </c>
      <c r="AQ753" s="438" t="s">
        <v>80</v>
      </c>
      <c r="AR753" s="430" t="s">
        <v>5561</v>
      </c>
      <c r="AS753" s="430" t="s">
        <v>5562</v>
      </c>
      <c r="AT753" s="430" t="s">
        <v>5562</v>
      </c>
      <c r="AU75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47.541666666664241</v>
      </c>
      <c r="AW753" s="437" cm="1">
        <f t="array" ref="AW75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46280.541666666664</v>
      </c>
      <c r="AX75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53" s="437">
        <f>IF(ISERROR(PV_DATA[[#This Row],[New Ark PO status]]),"",_xlfn.XLOOKUP(PV_DATA[[#This Row],[SPTN-PVHK New Ark PO'#]],New_Ark_Data[Purchase order Number],New_Ark_Data[Estimated time of arrival],"",0))</f>
        <v>46268</v>
      </c>
      <c r="AZ753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53" s="437">
        <f>IFERROR(PV_DATA[[#This Row],[ODP ETA Port]]+PV_DATA[[#This Row],[Customs/Leg3 Assumption]],"n/a")</f>
        <v>46280.541666666664</v>
      </c>
      <c r="BB753" s="433">
        <f>YEAR(PV_DATA[[#This Row],[ETA for New Ark update]])</f>
        <v>2026</v>
      </c>
      <c r="BC753" s="430">
        <f>MONTH(PV_DATA[[#This Row],[ETA for New Ark update]])</f>
        <v>9</v>
      </c>
      <c r="BD753" s="430">
        <f>IFERROR(_xlfn.ISOWEEKNUM(PV_DATA[[#This Row],[ETA for New Ark update]]),0)</f>
        <v>38</v>
      </c>
      <c r="BE753" s="430">
        <f>_xlfn.XLOOKUP(PV_DATA[[#This Row],[New Ark SKU]],Table9[New Ark SKU],Table9[Total PCS per Pallet],,0)</f>
        <v>36</v>
      </c>
      <c r="BF753" s="430">
        <f>_xlfn.XLOOKUP(PV_DATA[[#This Row],[New Ark SKU]],Table9[New Ark SKU],Table9[Total PCS per 40HQ Container],,0)</f>
        <v>720</v>
      </c>
      <c r="BG753" s="430" t="str">
        <f>_xlfn.XLOOKUP(PV_DATA[[#This Row],[New Ark SKU]],Table9[New Ark SKU],Table9[Back Glass],,0)</f>
        <v>Transparent</v>
      </c>
      <c r="BH753" s="610" t="str">
        <f>_xlfn.XLOOKUP(PV_DATA[[#This Row],[PORT DESTINATION]],Table12[PORT DESTINATION],Table12[Cosco Line],,0)</f>
        <v>AEM</v>
      </c>
      <c r="BJ753" s="430"/>
    </row>
    <row r="754" spans="1:62" ht="10.5" hidden="1">
      <c r="A754" s="462" t="s">
        <v>5567</v>
      </c>
      <c r="B754" s="462" t="s">
        <v>111</v>
      </c>
      <c r="C754" s="462" t="str">
        <f>IFERROR(LEFT(PV_DATA[[#This Row],[TCL REFERENCE]],FIND(".",PV_DATA[[#This Row],[TCL REFERENCE]],1)-1),"Main Line")</f>
        <v>26Jun002</v>
      </c>
      <c r="D754" s="462" t="s">
        <v>63</v>
      </c>
      <c r="E754" s="462" t="s">
        <v>64</v>
      </c>
      <c r="F754" s="462" t="str" cm="1">
        <f t="array" ref="F75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754" s="462" t="s">
        <v>402</v>
      </c>
      <c r="H754" s="462" t="s">
        <v>115</v>
      </c>
      <c r="I754" s="462" t="s">
        <v>689</v>
      </c>
      <c r="J754" s="430" t="s">
        <v>96</v>
      </c>
      <c r="K754" s="430"/>
      <c r="L754" s="430"/>
      <c r="M754" s="430" t="s">
        <v>68</v>
      </c>
      <c r="N754" s="432">
        <v>46194</v>
      </c>
      <c r="O754" s="430" t="s">
        <v>550</v>
      </c>
      <c r="P754" s="430" t="s">
        <v>2134</v>
      </c>
      <c r="Q754" s="430" t="s">
        <v>2135</v>
      </c>
      <c r="R754" s="430" t="str">
        <f>_xlfn.XLOOKUP(PV_DATA[[#This Row],[New Ark SKU]],Table9[New Ark SKU],Table9[Connector],,0)</f>
        <v>EVO2A</v>
      </c>
      <c r="S754" s="433" t="str">
        <f>_xlfn.XLOOKUP(PV_DATA[[#This Row],[New Ark SKU]],Table9[New Ark SKU],Table9[Cable],,0)</f>
        <v>±1350mm</v>
      </c>
      <c r="T754" s="433">
        <v>515</v>
      </c>
      <c r="U754" s="1062">
        <v>144</v>
      </c>
      <c r="V754" s="434">
        <f>PV_DATA[[#This Row],[QUANTITY]]*PV_DATA[[#This Row],[WATT]]/1000000</f>
        <v>7.4160000000000004E-2</v>
      </c>
      <c r="W754" s="435">
        <f>PV_DATA[[#This Row],[QUANTITY]]/PV_DATA[[#This Row],[Qty/Pallet]]</f>
        <v>4</v>
      </c>
      <c r="X754" s="1058">
        <v>0.18</v>
      </c>
      <c r="Y754" s="430" t="s">
        <v>4371</v>
      </c>
      <c r="Z754" s="430" t="str">
        <f t="shared" si="8"/>
        <v>COMPLETED</v>
      </c>
      <c r="AA754" s="430" t="s">
        <v>5568</v>
      </c>
      <c r="AB754" s="437">
        <v>46220</v>
      </c>
      <c r="AC754" s="485">
        <f>IF(PV_DATA[[#This Row],[Pick-Up Date]]&lt;&gt;"",_xlfn.ISOWEEKNUM(PV_DATA[[#This Row],[Pick-Up Date]]),"")</f>
        <v>29</v>
      </c>
      <c r="AD754" s="430" t="s">
        <v>5569</v>
      </c>
      <c r="AE754" s="430"/>
      <c r="AF754" s="430" t="s">
        <v>122</v>
      </c>
      <c r="AG754" s="430" t="s">
        <v>123</v>
      </c>
      <c r="AH754" s="430" t="s">
        <v>124</v>
      </c>
      <c r="AI754" s="437">
        <v>46229</v>
      </c>
      <c r="AJ754" s="437">
        <v>46233</v>
      </c>
      <c r="AK754" s="437">
        <v>46233</v>
      </c>
      <c r="AL754" s="956">
        <v>46268</v>
      </c>
      <c r="AM754" s="1124">
        <f>IFERROR(VLOOKUP(AT754, Vessel!A:H, 8, FALSE), "")</f>
        <v>46280.541666666664</v>
      </c>
      <c r="AN754" s="586">
        <v>46280.541666666664</v>
      </c>
      <c r="AP754" s="430" t="s">
        <v>5560</v>
      </c>
      <c r="AQ754" s="430" t="s">
        <v>80</v>
      </c>
      <c r="AR754" s="430" t="s">
        <v>5570</v>
      </c>
      <c r="AS754" s="430" t="s">
        <v>5571</v>
      </c>
      <c r="AT754" s="430" t="s">
        <v>5571</v>
      </c>
      <c r="AU75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47.541666666664241</v>
      </c>
      <c r="AV754" s="437"/>
      <c r="AW754" s="437" cm="1">
        <f t="array" ref="AW75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46280.541666666664</v>
      </c>
      <c r="AX75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54" s="437">
        <f>IF(ISERROR(PV_DATA[[#This Row],[New Ark PO status]]),"",_xlfn.XLOOKUP(PV_DATA[[#This Row],[SPTN-PVHK New Ark PO'#]],New_Ark_Data[Purchase order Number],New_Ark_Data[Estimated time of arrival],"",0))</f>
        <v>46294</v>
      </c>
      <c r="AZ754" s="433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754" s="437">
        <f>IFERROR(PV_DATA[[#This Row],[ODP ETA Port]]+PV_DATA[[#This Row],[Customs/Leg3 Assumption]],"n/a")</f>
        <v>46289.541666666664</v>
      </c>
      <c r="BB754" s="433">
        <f>YEAR(PV_DATA[[#This Row],[ETA for New Ark update]])</f>
        <v>2026</v>
      </c>
      <c r="BC754" s="430">
        <f>MONTH(PV_DATA[[#This Row],[ETA for New Ark update]])</f>
        <v>9</v>
      </c>
      <c r="BD754" s="430">
        <f>IFERROR(_xlfn.ISOWEEKNUM(PV_DATA[[#This Row],[ETA for New Ark update]]),0)</f>
        <v>39</v>
      </c>
      <c r="BE754" s="430">
        <f>_xlfn.XLOOKUP(PV_DATA[[#This Row],[New Ark SKU]],Table9[New Ark SKU],Table9[Total PCS per Pallet],,0)</f>
        <v>36</v>
      </c>
      <c r="BF754" s="430">
        <f>_xlfn.XLOOKUP(PV_DATA[[#This Row],[New Ark SKU]],Table9[New Ark SKU],Table9[Total PCS per 40HQ Container],,0)</f>
        <v>792</v>
      </c>
      <c r="BG754" s="430" t="str">
        <f>_xlfn.XLOOKUP(PV_DATA[[#This Row],[New Ark SKU]],Table9[New Ark SKU],Table9[Back Glass],,0)</f>
        <v>Black glazing</v>
      </c>
      <c r="BH754" s="430" t="str">
        <f>_xlfn.XLOOKUP(PV_DATA[[#This Row],[PORT DESTINATION]],Table12[PORT DESTINATION],Table12[Cosco Line],,0)</f>
        <v>AEM</v>
      </c>
      <c r="BJ754" s="430"/>
    </row>
    <row r="755" spans="1:62" ht="10.5" hidden="1">
      <c r="A755" s="462" t="s">
        <v>5572</v>
      </c>
      <c r="B755" s="462" t="s">
        <v>111</v>
      </c>
      <c r="C755" s="462" t="str">
        <f>IFERROR(LEFT(PV_DATA[[#This Row],[TCL REFERENCE]],FIND(".",PV_DATA[[#This Row],[TCL REFERENCE]],1)-1),"Main Line")</f>
        <v>26Jul002</v>
      </c>
      <c r="D755" s="462" t="s">
        <v>63</v>
      </c>
      <c r="E755" s="462" t="s">
        <v>64</v>
      </c>
      <c r="F755" s="462" t="str" cm="1">
        <f t="array" ref="F75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755" s="462" t="s">
        <v>402</v>
      </c>
      <c r="H755" s="462" t="s">
        <v>115</v>
      </c>
      <c r="I755" s="462" t="s">
        <v>689</v>
      </c>
      <c r="J755" s="430" t="s">
        <v>96</v>
      </c>
      <c r="K755" s="430"/>
      <c r="L755" s="430"/>
      <c r="M755" s="430" t="s">
        <v>68</v>
      </c>
      <c r="N755" s="432">
        <v>46209</v>
      </c>
      <c r="O755" s="430" t="s">
        <v>550</v>
      </c>
      <c r="P755" s="430" t="s">
        <v>2134</v>
      </c>
      <c r="Q755" s="430" t="s">
        <v>2135</v>
      </c>
      <c r="R755" s="430" t="str">
        <f>_xlfn.XLOOKUP(PV_DATA[[#This Row],[New Ark SKU]],Table9[New Ark SKU],Table9[Connector],,0)</f>
        <v>EVO2A</v>
      </c>
      <c r="S755" s="433" t="str">
        <f>_xlfn.XLOOKUP(PV_DATA[[#This Row],[New Ark SKU]],Table9[New Ark SKU],Table9[Cable],,0)</f>
        <v>±1350mm</v>
      </c>
      <c r="T755" s="433">
        <v>515</v>
      </c>
      <c r="U755" s="1062">
        <f>792*3-144</f>
        <v>2232</v>
      </c>
      <c r="V755" s="434">
        <f>PV_DATA[[#This Row],[QUANTITY]]*PV_DATA[[#This Row],[WATT]]/1000000</f>
        <v>1.1494800000000001</v>
      </c>
      <c r="W755" s="435">
        <f>PV_DATA[[#This Row],[QUANTITY]]/PV_DATA[[#This Row],[Qty/Pallet]]</f>
        <v>62</v>
      </c>
      <c r="X755" s="1058">
        <f>PV_DATA[[#This Row],[QUANTITY]]/PV_DATA[[#This Row],[Qty/CT]]</f>
        <v>2.8181818181818183</v>
      </c>
      <c r="Y755" s="430" t="s">
        <v>4371</v>
      </c>
      <c r="Z755" s="430" t="str">
        <f t="shared" ref="Z755:Z818" si="9">IF(AN755&lt;&gt;"","COMPLETED",IF(AK755&lt;&gt;"","IN-TRANSIT",""))</f>
        <v>COMPLETED</v>
      </c>
      <c r="AA755" s="430" t="s">
        <v>5568</v>
      </c>
      <c r="AB755" s="437">
        <v>46220</v>
      </c>
      <c r="AC755" s="485">
        <f>IF(PV_DATA[[#This Row],[Pick-Up Date]]&lt;&gt;"",_xlfn.ISOWEEKNUM(PV_DATA[[#This Row],[Pick-Up Date]]),"")</f>
        <v>29</v>
      </c>
      <c r="AD755" s="430" t="s">
        <v>5573</v>
      </c>
      <c r="AE755" s="430"/>
      <c r="AF755" s="430" t="s">
        <v>122</v>
      </c>
      <c r="AG755" s="430" t="s">
        <v>123</v>
      </c>
      <c r="AH755" s="430" t="s">
        <v>124</v>
      </c>
      <c r="AI755" s="437">
        <v>46229</v>
      </c>
      <c r="AJ755" s="437">
        <v>46233</v>
      </c>
      <c r="AK755" s="437">
        <v>46233</v>
      </c>
      <c r="AL755" s="956">
        <v>46268</v>
      </c>
      <c r="AM755" s="1124">
        <f>IFERROR(VLOOKUP(AT755, Vessel!A:H, 8, FALSE), "")</f>
        <v>46280.541666666664</v>
      </c>
      <c r="AN755" s="586">
        <v>46280.541666666664</v>
      </c>
      <c r="AP755" s="430" t="s">
        <v>5560</v>
      </c>
      <c r="AQ755" s="438" t="s">
        <v>80</v>
      </c>
      <c r="AR755" s="430" t="s">
        <v>5570</v>
      </c>
      <c r="AS755" s="430" t="s">
        <v>5571</v>
      </c>
      <c r="AT755" s="430" t="s">
        <v>5571</v>
      </c>
      <c r="AU75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47.541666666664241</v>
      </c>
      <c r="AW755" s="437" cm="1">
        <f t="array" ref="AW75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46280.541666666664</v>
      </c>
      <c r="AX75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55" s="437">
        <f>IF(ISERROR(PV_DATA[[#This Row],[New Ark PO status]]),"",_xlfn.XLOOKUP(PV_DATA[[#This Row],[SPTN-PVHK New Ark PO'#]],New_Ark_Data[Purchase order Number],New_Ark_Data[Estimated time of arrival],"",0))</f>
        <v>46294</v>
      </c>
      <c r="AZ755" s="433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755" s="437">
        <f>IFERROR(PV_DATA[[#This Row],[ODP ETA Port]]+PV_DATA[[#This Row],[Customs/Leg3 Assumption]],"n/a")</f>
        <v>46289.541666666664</v>
      </c>
      <c r="BB755" s="433">
        <f>YEAR(PV_DATA[[#This Row],[ETA for New Ark update]])</f>
        <v>2026</v>
      </c>
      <c r="BC755" s="430">
        <f>MONTH(PV_DATA[[#This Row],[ETA for New Ark update]])</f>
        <v>9</v>
      </c>
      <c r="BD755" s="430">
        <f>IFERROR(_xlfn.ISOWEEKNUM(PV_DATA[[#This Row],[ETA for New Ark update]]),0)</f>
        <v>39</v>
      </c>
      <c r="BE755" s="430">
        <f>_xlfn.XLOOKUP(PV_DATA[[#This Row],[New Ark SKU]],Table9[New Ark SKU],Table9[Total PCS per Pallet],,0)</f>
        <v>36</v>
      </c>
      <c r="BF755" s="430">
        <f>_xlfn.XLOOKUP(PV_DATA[[#This Row],[New Ark SKU]],Table9[New Ark SKU],Table9[Total PCS per 40HQ Container],,0)</f>
        <v>792</v>
      </c>
      <c r="BG755" s="430" t="str">
        <f>_xlfn.XLOOKUP(PV_DATA[[#This Row],[New Ark SKU]],Table9[New Ark SKU],Table9[Back Glass],,0)</f>
        <v>Black glazing</v>
      </c>
      <c r="BH755" s="430" t="str">
        <f>_xlfn.XLOOKUP(PV_DATA[[#This Row],[PORT DESTINATION]],Table12[PORT DESTINATION],Table12[Cosco Line],,0)</f>
        <v>AEM</v>
      </c>
      <c r="BJ755" s="430"/>
    </row>
    <row r="756" spans="1:62" s="463" customFormat="1" ht="10.5" hidden="1">
      <c r="A756" s="462" t="s">
        <v>5574</v>
      </c>
      <c r="B756" s="462" t="s">
        <v>61</v>
      </c>
      <c r="C756" s="462" t="str">
        <f>IFERROR(LEFT(PV_DATA[[#This Row],[TCL REFERENCE]],FIND(".",PV_DATA[[#This Row],[TCL REFERENCE]],1)-1),"Main Line")</f>
        <v>26Jun014</v>
      </c>
      <c r="D756" s="462" t="s">
        <v>63</v>
      </c>
      <c r="E756" s="462" t="s">
        <v>64</v>
      </c>
      <c r="F756" s="462" t="str" cm="1">
        <f t="array" ref="F75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56" s="462" t="s">
        <v>402</v>
      </c>
      <c r="H756" s="462" t="s">
        <v>67</v>
      </c>
      <c r="I756" s="462" t="s">
        <v>882</v>
      </c>
      <c r="J756" s="430" t="s">
        <v>96</v>
      </c>
      <c r="K756" s="430"/>
      <c r="L756" s="430"/>
      <c r="M756" s="430" t="s">
        <v>68</v>
      </c>
      <c r="N756" s="432">
        <v>46209</v>
      </c>
      <c r="O756" s="430" t="s">
        <v>4540</v>
      </c>
      <c r="P756" s="430" t="s">
        <v>691</v>
      </c>
      <c r="Q756" s="430" t="s">
        <v>692</v>
      </c>
      <c r="R756" s="430" t="str">
        <f>_xlfn.XLOOKUP(PV_DATA[[#This Row],[New Ark SKU]],Table9[New Ark SKU],Table9[Connector],,0)</f>
        <v>EVO2A</v>
      </c>
      <c r="S756" s="433" t="str">
        <f>_xlfn.XLOOKUP(PV_DATA[[#This Row],[New Ark SKU]],Table9[New Ark SKU],Table9[Cable],,0)</f>
        <v>±1200mm</v>
      </c>
      <c r="T756" s="433">
        <v>505</v>
      </c>
      <c r="U756" s="1062">
        <v>3456</v>
      </c>
      <c r="V756" s="434">
        <f>PV_DATA[[#This Row],[QUANTITY]]*PV_DATA[[#This Row],[WATT]]/1000000</f>
        <v>1.7452799999999999</v>
      </c>
      <c r="W756" s="435">
        <f>PV_DATA[[#This Row],[QUANTITY]]/PV_DATA[[#This Row],[Qty/Pallet]]</f>
        <v>96</v>
      </c>
      <c r="X756" s="1015">
        <f>PV_DATA[[#This Row],[QUANTITY]]/PV_DATA[[#This Row],[Qty/CT]]</f>
        <v>4</v>
      </c>
      <c r="Y756" s="430" t="s">
        <v>4371</v>
      </c>
      <c r="Z756" s="430" t="str">
        <f t="shared" si="9"/>
        <v>COMPLETED</v>
      </c>
      <c r="AA756" s="430"/>
      <c r="AB756" s="543">
        <v>46216</v>
      </c>
      <c r="AC756" s="485">
        <f>IF(PV_DATA[[#This Row],[Pick-Up Date]]&lt;&gt;"",_xlfn.ISOWEEKNUM(PV_DATA[[#This Row],[Pick-Up Date]]),"")</f>
        <v>29</v>
      </c>
      <c r="AD756" s="430" t="s">
        <v>5575</v>
      </c>
      <c r="AE756" s="430"/>
      <c r="AF756" s="430" t="s">
        <v>61</v>
      </c>
      <c r="AG756" s="430" t="s">
        <v>61</v>
      </c>
      <c r="AH756" s="430" t="s">
        <v>78</v>
      </c>
      <c r="AI756" s="437">
        <v>46222.458333333336</v>
      </c>
      <c r="AJ756" s="437">
        <v>46225</v>
      </c>
      <c r="AK756" s="437">
        <v>46225</v>
      </c>
      <c r="AL756" s="437">
        <v>46293</v>
      </c>
      <c r="AM756" s="586">
        <f>IFERROR(VLOOKUP(AT756, Vessel!A:H, 8, FALSE), "")</f>
        <v>46320.645833333336</v>
      </c>
      <c r="AN756" s="586">
        <f>IFERROR(IF(VLOOKUP(AT756,Vessel!A:I,9,FALSE)=0,"",VLOOKUP(AT756,Vessel!A:I,9,FALSE)),"")</f>
        <v>46320.713321759256</v>
      </c>
      <c r="AO756" s="430"/>
      <c r="AP756" s="430" t="s">
        <v>5576</v>
      </c>
      <c r="AQ756" s="430" t="s">
        <v>80</v>
      </c>
      <c r="AR756" s="462" t="s">
        <v>5577</v>
      </c>
      <c r="AS756" s="462" t="s">
        <v>5578</v>
      </c>
      <c r="AT756" s="462" t="s">
        <v>5578</v>
      </c>
      <c r="AU75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95.71332175925636</v>
      </c>
      <c r="AV756" s="437"/>
      <c r="AW756" s="437" cm="1">
        <f t="array" ref="AW75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46320.713321759256</v>
      </c>
      <c r="AX75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56" s="437">
        <f>IF(ISERROR(PV_DATA[[#This Row],[New Ark PO status]]),"",_xlfn.XLOOKUP(PV_DATA[[#This Row],[SPTN-PVHK New Ark PO'#]],New_Ark_Data[Purchase order Number],New_Ark_Data[Estimated time of arrival],"",0))</f>
        <v>46314</v>
      </c>
      <c r="AZ756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56" s="437">
        <f>IFERROR(PV_DATA[[#This Row],[ODP ETA Port]]+PV_DATA[[#This Row],[Customs/Leg3 Assumption]],"n/a")</f>
        <v>46328.713321759256</v>
      </c>
      <c r="BB756" s="433">
        <f>YEAR(PV_DATA[[#This Row],[ETA for New Ark update]])</f>
        <v>2026</v>
      </c>
      <c r="BC756" s="430">
        <f>MONTH(PV_DATA[[#This Row],[ETA for New Ark update]])</f>
        <v>11</v>
      </c>
      <c r="BD756" s="430">
        <f>IFERROR(_xlfn.ISOWEEKNUM(PV_DATA[[#This Row],[ETA for New Ark update]]),0)</f>
        <v>45</v>
      </c>
      <c r="BE756" s="430">
        <f>_xlfn.XLOOKUP(PV_DATA[[#This Row],[New Ark SKU]],Table9[New Ark SKU],Table9[Total PCS per Pallet],,0)</f>
        <v>36</v>
      </c>
      <c r="BF756" s="430">
        <f>_xlfn.XLOOKUP(PV_DATA[[#This Row],[New Ark SKU]],Table9[New Ark SKU],Table9[Total PCS per 40HQ Container],,0)</f>
        <v>864</v>
      </c>
      <c r="BG756" s="430" t="str">
        <f>_xlfn.XLOOKUP(PV_DATA[[#This Row],[New Ark SKU]],Table9[New Ark SKU],Table9[Back Glass],,0)</f>
        <v>Black glazing</v>
      </c>
      <c r="BH756" s="430" t="str">
        <f>_xlfn.XLOOKUP(PV_DATA[[#This Row],[PORT DESTINATION]],Table12[PORT DESTINATION],Table12[Cosco Line],,0)</f>
        <v>AEM</v>
      </c>
    </row>
    <row r="757" spans="1:62" s="463" customFormat="1" ht="10.5" hidden="1">
      <c r="A757" s="462" t="s">
        <v>5579</v>
      </c>
      <c r="B757" s="462" t="s">
        <v>61</v>
      </c>
      <c r="C757" s="462" t="str">
        <f>IFERROR(LEFT(PV_DATA[[#This Row],[TCL REFERENCE]],FIND(".",PV_DATA[[#This Row],[TCL REFERENCE]],1)-1),"Main Line")</f>
        <v>26Jun014</v>
      </c>
      <c r="D757" s="462" t="s">
        <v>63</v>
      </c>
      <c r="E757" s="462" t="s">
        <v>64</v>
      </c>
      <c r="F757" s="462" t="str" cm="1">
        <f t="array" ref="F75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57" s="462" t="s">
        <v>402</v>
      </c>
      <c r="H757" s="462" t="s">
        <v>67</v>
      </c>
      <c r="I757" s="462" t="s">
        <v>882</v>
      </c>
      <c r="J757" s="430" t="s">
        <v>96</v>
      </c>
      <c r="K757" s="430"/>
      <c r="L757" s="430"/>
      <c r="M757" s="430" t="s">
        <v>68</v>
      </c>
      <c r="N757" s="432">
        <v>46209</v>
      </c>
      <c r="O757" s="430" t="s">
        <v>4540</v>
      </c>
      <c r="P757" s="430" t="s">
        <v>691</v>
      </c>
      <c r="Q757" s="430" t="s">
        <v>692</v>
      </c>
      <c r="R757" s="430" t="str">
        <f>_xlfn.XLOOKUP(PV_DATA[[#This Row],[New Ark SKU]],Table9[New Ark SKU],Table9[Connector],,0)</f>
        <v>EVO2A</v>
      </c>
      <c r="S757" s="433" t="str">
        <f>_xlfn.XLOOKUP(PV_DATA[[#This Row],[New Ark SKU]],Table9[New Ark SKU],Table9[Cable],,0)</f>
        <v>±1200mm</v>
      </c>
      <c r="T757" s="433">
        <v>505</v>
      </c>
      <c r="U757" s="1062">
        <v>864</v>
      </c>
      <c r="V757" s="434">
        <f>PV_DATA[[#This Row],[QUANTITY]]*PV_DATA[[#This Row],[WATT]]/1000000</f>
        <v>0.43631999999999999</v>
      </c>
      <c r="W757" s="435">
        <f>PV_DATA[[#This Row],[QUANTITY]]/PV_DATA[[#This Row],[Qty/Pallet]]</f>
        <v>24</v>
      </c>
      <c r="X757" s="1015">
        <f>PV_DATA[[#This Row],[QUANTITY]]/PV_DATA[[#This Row],[Qty/CT]]</f>
        <v>1</v>
      </c>
      <c r="Y757" s="430" t="s">
        <v>4371</v>
      </c>
      <c r="Z757" s="430" t="str">
        <f t="shared" si="9"/>
        <v>COMPLETED</v>
      </c>
      <c r="AA757" s="430"/>
      <c r="AB757" s="543">
        <v>46216</v>
      </c>
      <c r="AC757" s="485">
        <f>IF(PV_DATA[[#This Row],[Pick-Up Date]]&lt;&gt;"",_xlfn.ISOWEEKNUM(PV_DATA[[#This Row],[Pick-Up Date]]),"")</f>
        <v>29</v>
      </c>
      <c r="AD757" s="430" t="s">
        <v>5580</v>
      </c>
      <c r="AE757" s="430"/>
      <c r="AF757" s="430" t="s">
        <v>61</v>
      </c>
      <c r="AG757" s="430" t="s">
        <v>61</v>
      </c>
      <c r="AH757" s="430" t="s">
        <v>78</v>
      </c>
      <c r="AI757" s="437">
        <v>46222.458333333336</v>
      </c>
      <c r="AJ757" s="437">
        <v>46225</v>
      </c>
      <c r="AK757" s="437">
        <v>46225</v>
      </c>
      <c r="AL757" s="437">
        <v>46288</v>
      </c>
      <c r="AM757" s="586">
        <f>IFERROR(VLOOKUP(AT757, Vessel!A:H, 8, FALSE), "")</f>
        <v>46290.25</v>
      </c>
      <c r="AN757" s="586">
        <f>IFERROR(IF(VLOOKUP(AT757,Vessel!A:I,9,FALSE)=0,"",VLOOKUP(AT757,Vessel!A:I,9,FALSE)),"")</f>
        <v>46290.232800925929</v>
      </c>
      <c r="AO757" s="430"/>
      <c r="AP757" s="430" t="s">
        <v>5576</v>
      </c>
      <c r="AQ757" s="430" t="s">
        <v>80</v>
      </c>
      <c r="AR757" s="430" t="s">
        <v>5581</v>
      </c>
      <c r="AS757" s="430" t="s">
        <v>5582</v>
      </c>
      <c r="AT757" s="430" t="s">
        <v>5582</v>
      </c>
      <c r="AU75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65.232800925929041</v>
      </c>
      <c r="AV757" s="437"/>
      <c r="AW757" s="437" cm="1">
        <f t="array" ref="AW75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46290.232800925929</v>
      </c>
      <c r="AX75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57" s="437">
        <f>IF(ISERROR(PV_DATA[[#This Row],[New Ark PO status]]),"",_xlfn.XLOOKUP(PV_DATA[[#This Row],[SPTN-PVHK New Ark PO'#]],New_Ark_Data[Purchase order Number],New_Ark_Data[Estimated time of arrival],"",0))</f>
        <v>46314</v>
      </c>
      <c r="AZ757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57" s="437">
        <f>IFERROR(PV_DATA[[#This Row],[ODP ETA Port]]+PV_DATA[[#This Row],[Customs/Leg3 Assumption]],"n/a")</f>
        <v>46298.232800925929</v>
      </c>
      <c r="BB757" s="433">
        <f>YEAR(PV_DATA[[#This Row],[ETA for New Ark update]])</f>
        <v>2026</v>
      </c>
      <c r="BC757" s="430">
        <f>MONTH(PV_DATA[[#This Row],[ETA for New Ark update]])</f>
        <v>10</v>
      </c>
      <c r="BD757" s="430">
        <f>IFERROR(_xlfn.ISOWEEKNUM(PV_DATA[[#This Row],[ETA for New Ark update]]),0)</f>
        <v>40</v>
      </c>
      <c r="BE757" s="430">
        <f>_xlfn.XLOOKUP(PV_DATA[[#This Row],[New Ark SKU]],Table9[New Ark SKU],Table9[Total PCS per Pallet],,0)</f>
        <v>36</v>
      </c>
      <c r="BF757" s="430">
        <f>_xlfn.XLOOKUP(PV_DATA[[#This Row],[New Ark SKU]],Table9[New Ark SKU],Table9[Total PCS per 40HQ Container],,0)</f>
        <v>864</v>
      </c>
      <c r="BG757" s="430" t="str">
        <f>_xlfn.XLOOKUP(PV_DATA[[#This Row],[New Ark SKU]],Table9[New Ark SKU],Table9[Back Glass],,0)</f>
        <v>Black glazing</v>
      </c>
      <c r="BH757" s="430" t="str">
        <f>_xlfn.XLOOKUP(PV_DATA[[#This Row],[PORT DESTINATION]],Table12[PORT DESTINATION],Table12[Cosco Line],,0)</f>
        <v>AEM</v>
      </c>
    </row>
    <row r="758" spans="1:62" ht="10.5" hidden="1">
      <c r="A758" s="462" t="s">
        <v>5583</v>
      </c>
      <c r="B758" s="462" t="s">
        <v>61</v>
      </c>
      <c r="C758" s="462" t="str">
        <f>IFERROR(LEFT(PV_DATA[[#This Row],[TCL REFERENCE]],FIND(".",PV_DATA[[#This Row],[TCL REFERENCE]],1)-1),"Main Line")</f>
        <v>26Jun014</v>
      </c>
      <c r="D758" s="462" t="s">
        <v>63</v>
      </c>
      <c r="E758" s="462" t="s">
        <v>64</v>
      </c>
      <c r="F758" s="462" t="str" cm="1">
        <f t="array" ref="F75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58" s="462" t="s">
        <v>402</v>
      </c>
      <c r="H758" s="462" t="s">
        <v>67</v>
      </c>
      <c r="I758" s="462" t="s">
        <v>882</v>
      </c>
      <c r="J758" s="430" t="s">
        <v>96</v>
      </c>
      <c r="K758" s="430"/>
      <c r="L758" s="430"/>
      <c r="M758" s="430" t="s">
        <v>68</v>
      </c>
      <c r="N758" s="432">
        <v>46209</v>
      </c>
      <c r="O758" s="430" t="s">
        <v>4540</v>
      </c>
      <c r="P758" s="430" t="s">
        <v>691</v>
      </c>
      <c r="Q758" s="430" t="s">
        <v>692</v>
      </c>
      <c r="R758" s="430" t="str">
        <f>_xlfn.XLOOKUP(PV_DATA[[#This Row],[New Ark SKU]],Table9[New Ark SKU],Table9[Connector],,0)</f>
        <v>EVO2A</v>
      </c>
      <c r="S758" s="433" t="str">
        <f>_xlfn.XLOOKUP(PV_DATA[[#This Row],[New Ark SKU]],Table9[New Ark SKU],Table9[Cable],,0)</f>
        <v>±1200mm</v>
      </c>
      <c r="T758" s="433">
        <v>505</v>
      </c>
      <c r="U758" s="1062">
        <v>864</v>
      </c>
      <c r="V758" s="434">
        <f>PV_DATA[[#This Row],[QUANTITY]]*PV_DATA[[#This Row],[WATT]]/1000000</f>
        <v>0.43631999999999999</v>
      </c>
      <c r="W758" s="435">
        <f>PV_DATA[[#This Row],[QUANTITY]]/PV_DATA[[#This Row],[Qty/Pallet]]</f>
        <v>24</v>
      </c>
      <c r="X758" s="1015">
        <f>PV_DATA[[#This Row],[QUANTITY]]/PV_DATA[[#This Row],[Qty/CT]]</f>
        <v>1</v>
      </c>
      <c r="Y758" s="430" t="s">
        <v>4371</v>
      </c>
      <c r="Z758" s="430" t="str">
        <f t="shared" si="9"/>
        <v>COMPLETED</v>
      </c>
      <c r="AA758" s="430"/>
      <c r="AB758" s="437">
        <v>46216</v>
      </c>
      <c r="AC758" s="485">
        <f>IF(PV_DATA[[#This Row],[Pick-Up Date]]&lt;&gt;"",_xlfn.ISOWEEKNUM(PV_DATA[[#This Row],[Pick-Up Date]]),"")</f>
        <v>29</v>
      </c>
      <c r="AD758" s="430" t="s">
        <v>5584</v>
      </c>
      <c r="AE758" s="430"/>
      <c r="AF758" s="430" t="s">
        <v>61</v>
      </c>
      <c r="AG758" s="430" t="s">
        <v>61</v>
      </c>
      <c r="AH758" s="430" t="s">
        <v>78</v>
      </c>
      <c r="AI758" s="437">
        <v>46222</v>
      </c>
      <c r="AJ758" s="437">
        <v>46225</v>
      </c>
      <c r="AK758" s="437">
        <v>46225</v>
      </c>
      <c r="AL758" s="437">
        <v>46288</v>
      </c>
      <c r="AM758" s="586">
        <f>IFERROR(VLOOKUP(AT758, Vessel!A:H, 8, FALSE), "")</f>
        <v>46290.25</v>
      </c>
      <c r="AN758" s="586">
        <f>IFERROR(IF(VLOOKUP(AT758,Vessel!A:I,9,FALSE)=0,"",VLOOKUP(AT758,Vessel!A:I,9,FALSE)),"")</f>
        <v>46290.232800925929</v>
      </c>
      <c r="AP758" s="430" t="s">
        <v>5576</v>
      </c>
      <c r="AQ758" s="430" t="s">
        <v>80</v>
      </c>
      <c r="AR758" s="430" t="s">
        <v>5581</v>
      </c>
      <c r="AS758" s="430" t="s">
        <v>5582</v>
      </c>
      <c r="AT758" s="430" t="s">
        <v>5582</v>
      </c>
      <c r="AU75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65.232800925929041</v>
      </c>
      <c r="AV758" s="437"/>
      <c r="AW758" s="437" cm="1">
        <f t="array" ref="AW75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46290.232800925929</v>
      </c>
      <c r="AX75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58" s="437">
        <f>IF(ISERROR(PV_DATA[[#This Row],[New Ark PO status]]),"",_xlfn.XLOOKUP(PV_DATA[[#This Row],[SPTN-PVHK New Ark PO'#]],New_Ark_Data[Purchase order Number],New_Ark_Data[Estimated time of arrival],"",0))</f>
        <v>46314</v>
      </c>
      <c r="AZ758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58" s="437">
        <f>IFERROR(PV_DATA[[#This Row],[ODP ETA Port]]+PV_DATA[[#This Row],[Customs/Leg3 Assumption]],"n/a")</f>
        <v>46298.232800925929</v>
      </c>
      <c r="BB758" s="433">
        <f>YEAR(PV_DATA[[#This Row],[ETA for New Ark update]])</f>
        <v>2026</v>
      </c>
      <c r="BC758" s="430">
        <f>MONTH(PV_DATA[[#This Row],[ETA for New Ark update]])</f>
        <v>10</v>
      </c>
      <c r="BD758" s="430">
        <f>IFERROR(_xlfn.ISOWEEKNUM(PV_DATA[[#This Row],[ETA for New Ark update]]),0)</f>
        <v>40</v>
      </c>
      <c r="BE758" s="430">
        <f>_xlfn.XLOOKUP(PV_DATA[[#This Row],[New Ark SKU]],Table9[New Ark SKU],Table9[Total PCS per Pallet],,0)</f>
        <v>36</v>
      </c>
      <c r="BF758" s="430">
        <f>_xlfn.XLOOKUP(PV_DATA[[#This Row],[New Ark SKU]],Table9[New Ark SKU],Table9[Total PCS per 40HQ Container],,0)</f>
        <v>864</v>
      </c>
      <c r="BG758" s="430" t="str">
        <f>_xlfn.XLOOKUP(PV_DATA[[#This Row],[New Ark SKU]],Table9[New Ark SKU],Table9[Back Glass],,0)</f>
        <v>Black glazing</v>
      </c>
      <c r="BH758" s="430" t="str">
        <f>_xlfn.XLOOKUP(PV_DATA[[#This Row],[PORT DESTINATION]],Table12[PORT DESTINATION],Table12[Cosco Line],,0)</f>
        <v>AEM</v>
      </c>
      <c r="BJ758" s="430"/>
    </row>
    <row r="759" spans="1:62" ht="10.5" hidden="1">
      <c r="A759" s="462" t="s">
        <v>5585</v>
      </c>
      <c r="B759" s="462" t="s">
        <v>61</v>
      </c>
      <c r="C759" s="462" t="str">
        <f>IFERROR(LEFT(PV_DATA[[#This Row],[TCL REFERENCE]],FIND(".",PV_DATA[[#This Row],[TCL REFERENCE]],1)-1),"Main Line")</f>
        <v>26Jun009</v>
      </c>
      <c r="D759" s="462" t="s">
        <v>63</v>
      </c>
      <c r="E759" s="462" t="s">
        <v>64</v>
      </c>
      <c r="F759" s="462" t="str" cm="1">
        <f t="array" ref="F75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59" s="462" t="s">
        <v>402</v>
      </c>
      <c r="H759" s="462" t="s">
        <v>67</v>
      </c>
      <c r="I759" s="462" t="s">
        <v>882</v>
      </c>
      <c r="J759" s="430" t="s">
        <v>96</v>
      </c>
      <c r="K759" s="430"/>
      <c r="L759" s="430"/>
      <c r="M759" s="430" t="s">
        <v>68</v>
      </c>
      <c r="N759" s="432">
        <v>46188</v>
      </c>
      <c r="O759" s="430" t="s">
        <v>4540</v>
      </c>
      <c r="P759" s="430" t="s">
        <v>195</v>
      </c>
      <c r="Q759" s="430" t="s">
        <v>196</v>
      </c>
      <c r="R759" s="430" t="str">
        <f>_xlfn.XLOOKUP(PV_DATA[[#This Row],[New Ark SKU]],Table9[New Ark SKU],Table9[Connector],,0)</f>
        <v>EVO2A</v>
      </c>
      <c r="S759" s="433" t="str">
        <f>_xlfn.XLOOKUP(PV_DATA[[#This Row],[New Ark SKU]],Table9[New Ark SKU],Table9[Cable],,0)</f>
        <v>±1200mm</v>
      </c>
      <c r="T759" s="433">
        <v>450</v>
      </c>
      <c r="U759" s="1062">
        <v>2808</v>
      </c>
      <c r="V759" s="434">
        <f>PV_DATA[[#This Row],[QUANTITY]]*PV_DATA[[#This Row],[WATT]]/1000000</f>
        <v>1.2636000000000001</v>
      </c>
      <c r="W759" s="435">
        <f>PV_DATA[[#This Row],[QUANTITY]]/PV_DATA[[#This Row],[Qty/Pallet]]</f>
        <v>78</v>
      </c>
      <c r="X759" s="1015">
        <f>PV_DATA[[#This Row],[QUANTITY]]/PV_DATA[[#This Row],[Qty/CT]]</f>
        <v>3</v>
      </c>
      <c r="Y759" s="430" t="s">
        <v>4369</v>
      </c>
      <c r="Z759" s="430" t="str">
        <f t="shared" si="9"/>
        <v>COMPLETED</v>
      </c>
      <c r="AA759" s="430"/>
      <c r="AB759" s="437">
        <v>46216</v>
      </c>
      <c r="AC759" s="485">
        <f>IF(PV_DATA[[#This Row],[Pick-Up Date]]&lt;&gt;"",_xlfn.ISOWEEKNUM(PV_DATA[[#This Row],[Pick-Up Date]]),"")</f>
        <v>29</v>
      </c>
      <c r="AD759" s="430" t="s">
        <v>5586</v>
      </c>
      <c r="AE759" s="430"/>
      <c r="AF759" s="430" t="s">
        <v>61</v>
      </c>
      <c r="AG759" s="430" t="s">
        <v>61</v>
      </c>
      <c r="AH759" s="430" t="s">
        <v>105</v>
      </c>
      <c r="AI759" s="437">
        <v>46222</v>
      </c>
      <c r="AJ759" s="437">
        <v>46225</v>
      </c>
      <c r="AK759" s="437">
        <v>46225</v>
      </c>
      <c r="AL759" s="437">
        <v>46266</v>
      </c>
      <c r="AM759" s="586">
        <f>IFERROR(VLOOKUP(AT759, Vessel!A:H, 8, FALSE), "")</f>
        <v>46270.645833333336</v>
      </c>
      <c r="AN759" s="586">
        <f>IFERROR(IF(VLOOKUP(AT759,Vessel!A:I,9,FALSE)=0,"",VLOOKUP(AT759,Vessel!A:I,9,FALSE)),"")</f>
        <v>46270.66238425926</v>
      </c>
      <c r="AP759" s="430" t="s">
        <v>5576</v>
      </c>
      <c r="AQ759" s="430" t="s">
        <v>80</v>
      </c>
      <c r="AR759" s="430" t="s">
        <v>5587</v>
      </c>
      <c r="AS759" s="430" t="s">
        <v>5588</v>
      </c>
      <c r="AT759" s="430" t="s">
        <v>5588</v>
      </c>
      <c r="AU75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45.662384259259852</v>
      </c>
      <c r="AV759" s="437"/>
      <c r="AW759" s="437" cm="1">
        <f t="array" ref="AW75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46270.66238425926</v>
      </c>
      <c r="AX75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59" s="437">
        <f>IF(ISERROR(PV_DATA[[#This Row],[New Ark PO status]]),"",_xlfn.XLOOKUP(PV_DATA[[#This Row],[SPTN-PVHK New Ark PO'#]],New_Ark_Data[Purchase order Number],New_Ark_Data[Estimated time of arrival],"",0))</f>
        <v>46283</v>
      </c>
      <c r="AZ759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59" s="437">
        <f>IFERROR(PV_DATA[[#This Row],[ODP ETA Port]]+PV_DATA[[#This Row],[Customs/Leg3 Assumption]],"n/a")</f>
        <v>46277.66238425926</v>
      </c>
      <c r="BB759" s="433">
        <f>YEAR(PV_DATA[[#This Row],[ETA for New Ark update]])</f>
        <v>2026</v>
      </c>
      <c r="BC759" s="430">
        <f>MONTH(PV_DATA[[#This Row],[ETA for New Ark update]])</f>
        <v>9</v>
      </c>
      <c r="BD759" s="430">
        <f>IFERROR(_xlfn.ISOWEEKNUM(PV_DATA[[#This Row],[ETA for New Ark update]]),0)</f>
        <v>37</v>
      </c>
      <c r="BE759" s="430">
        <f>_xlfn.XLOOKUP(PV_DATA[[#This Row],[New Ark SKU]],Table9[New Ark SKU],Table9[Total PCS per Pallet],,0)</f>
        <v>36</v>
      </c>
      <c r="BF759" s="430">
        <f>_xlfn.XLOOKUP(PV_DATA[[#This Row],[New Ark SKU]],Table9[New Ark SKU],Table9[Total PCS per 40HQ Container],,0)</f>
        <v>936</v>
      </c>
      <c r="BG759" s="430" t="str">
        <f>_xlfn.XLOOKUP(PV_DATA[[#This Row],[New Ark SKU]],Table9[New Ark SKU],Table9[Back Glass],,0)</f>
        <v>Black glazing</v>
      </c>
      <c r="BH759" s="430" t="str">
        <f>_xlfn.XLOOKUP(PV_DATA[[#This Row],[PORT DESTINATION]],Table12[PORT DESTINATION],Table12[Cosco Line],,0)</f>
        <v>AEU</v>
      </c>
      <c r="BJ759" s="430"/>
    </row>
    <row r="760" spans="1:62" ht="10.5" hidden="1">
      <c r="A760" s="462" t="s">
        <v>5589</v>
      </c>
      <c r="B760" s="462" t="s">
        <v>61</v>
      </c>
      <c r="C760" s="462" t="str">
        <f>IFERROR(LEFT(PV_DATA[[#This Row],[TCL REFERENCE]],FIND(".",PV_DATA[[#This Row],[TCL REFERENCE]],1)-1),"Main Line")</f>
        <v>26Jun009</v>
      </c>
      <c r="D760" s="462" t="s">
        <v>63</v>
      </c>
      <c r="E760" s="462" t="s">
        <v>64</v>
      </c>
      <c r="F760" s="462" t="str" cm="1">
        <f t="array" ref="F76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60" s="462" t="s">
        <v>402</v>
      </c>
      <c r="H760" s="462" t="s">
        <v>67</v>
      </c>
      <c r="I760" s="462" t="s">
        <v>689</v>
      </c>
      <c r="J760" s="430" t="s">
        <v>96</v>
      </c>
      <c r="K760" s="430"/>
      <c r="L760" s="430"/>
      <c r="M760" s="430" t="s">
        <v>68</v>
      </c>
      <c r="N760" s="432">
        <v>46188</v>
      </c>
      <c r="O760" s="430" t="s">
        <v>4540</v>
      </c>
      <c r="P760" s="430" t="s">
        <v>195</v>
      </c>
      <c r="Q760" s="430" t="s">
        <v>196</v>
      </c>
      <c r="R760" s="430" t="str">
        <f>_xlfn.XLOOKUP(PV_DATA[[#This Row],[New Ark SKU]],Table9[New Ark SKU],Table9[Connector],,0)</f>
        <v>EVO2A</v>
      </c>
      <c r="S760" s="433" t="str">
        <f>_xlfn.XLOOKUP(PV_DATA[[#This Row],[New Ark SKU]],Table9[New Ark SKU],Table9[Cable],,0)</f>
        <v>±1200mm</v>
      </c>
      <c r="T760" s="433">
        <v>450</v>
      </c>
      <c r="U760" s="1062">
        <v>936</v>
      </c>
      <c r="V760" s="434">
        <f>PV_DATA[[#This Row],[QUANTITY]]*PV_DATA[[#This Row],[WATT]]/1000000</f>
        <v>0.42120000000000002</v>
      </c>
      <c r="W760" s="435">
        <f>PV_DATA[[#This Row],[QUANTITY]]/PV_DATA[[#This Row],[Qty/Pallet]]</f>
        <v>26</v>
      </c>
      <c r="X760" s="1015">
        <f>PV_DATA[[#This Row],[QUANTITY]]/PV_DATA[[#This Row],[Qty/CT]]</f>
        <v>1</v>
      </c>
      <c r="Y760" s="430" t="s">
        <v>4370</v>
      </c>
      <c r="Z760" s="430" t="str">
        <f t="shared" si="9"/>
        <v>COMPLETED</v>
      </c>
      <c r="AA760" s="430"/>
      <c r="AB760" s="437">
        <v>46216</v>
      </c>
      <c r="AC760" s="485">
        <f>IF(PV_DATA[[#This Row],[Pick-Up Date]]&lt;&gt;"",_xlfn.ISOWEEKNUM(PV_DATA[[#This Row],[Pick-Up Date]]),"")</f>
        <v>29</v>
      </c>
      <c r="AD760" s="430" t="s">
        <v>5590</v>
      </c>
      <c r="AE760" s="430"/>
      <c r="AF760" s="430" t="s">
        <v>61</v>
      </c>
      <c r="AG760" s="430" t="s">
        <v>61</v>
      </c>
      <c r="AH760" s="430" t="s">
        <v>105</v>
      </c>
      <c r="AI760" s="437">
        <v>46222</v>
      </c>
      <c r="AJ760" s="437">
        <v>46225</v>
      </c>
      <c r="AK760" s="437">
        <v>46225</v>
      </c>
      <c r="AL760" s="437">
        <v>46266</v>
      </c>
      <c r="AM760" s="586">
        <f>IFERROR(VLOOKUP(AT760, Vessel!A:H, 8, FALSE), "")</f>
        <v>46270.645833333336</v>
      </c>
      <c r="AN760" s="586">
        <f>IFERROR(IF(VLOOKUP(AT760,Vessel!A:I,9,FALSE)=0,"",VLOOKUP(AT760,Vessel!A:I,9,FALSE)),"")</f>
        <v>46270.66238425926</v>
      </c>
      <c r="AP760" s="430" t="s">
        <v>5576</v>
      </c>
      <c r="AQ760" s="430" t="s">
        <v>80</v>
      </c>
      <c r="AR760" s="430" t="s">
        <v>5587</v>
      </c>
      <c r="AS760" s="430" t="s">
        <v>5588</v>
      </c>
      <c r="AT760" s="430" t="s">
        <v>5588</v>
      </c>
      <c r="AU76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45.662384259259852</v>
      </c>
      <c r="AV760" s="437"/>
      <c r="AW760" s="437" cm="1">
        <f t="array" ref="AW76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46270.66238425926</v>
      </c>
      <c r="AX76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60" s="437">
        <f>IF(ISERROR(PV_DATA[[#This Row],[New Ark PO status]]),"",_xlfn.XLOOKUP(PV_DATA[[#This Row],[SPTN-PVHK New Ark PO'#]],New_Ark_Data[Purchase order Number],New_Ark_Data[Estimated time of arrival],"",0))</f>
        <v>46283</v>
      </c>
      <c r="AZ760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60" s="437">
        <f>IFERROR(PV_DATA[[#This Row],[ODP ETA Port]]+PV_DATA[[#This Row],[Customs/Leg3 Assumption]],"n/a")</f>
        <v>46277.66238425926</v>
      </c>
      <c r="BB760" s="433">
        <f>YEAR(PV_DATA[[#This Row],[ETA for New Ark update]])</f>
        <v>2026</v>
      </c>
      <c r="BC760" s="430">
        <f>MONTH(PV_DATA[[#This Row],[ETA for New Ark update]])</f>
        <v>9</v>
      </c>
      <c r="BD760" s="430">
        <f>IFERROR(_xlfn.ISOWEEKNUM(PV_DATA[[#This Row],[ETA for New Ark update]]),0)</f>
        <v>37</v>
      </c>
      <c r="BE760" s="430">
        <f>_xlfn.XLOOKUP(PV_DATA[[#This Row],[New Ark SKU]],Table9[New Ark SKU],Table9[Total PCS per Pallet],,0)</f>
        <v>36</v>
      </c>
      <c r="BF760" s="430">
        <f>_xlfn.XLOOKUP(PV_DATA[[#This Row],[New Ark SKU]],Table9[New Ark SKU],Table9[Total PCS per 40HQ Container],,0)</f>
        <v>936</v>
      </c>
      <c r="BG760" s="430" t="str">
        <f>_xlfn.XLOOKUP(PV_DATA[[#This Row],[New Ark SKU]],Table9[New Ark SKU],Table9[Back Glass],,0)</f>
        <v>Black glazing</v>
      </c>
      <c r="BH760" s="430" t="str">
        <f>_xlfn.XLOOKUP(PV_DATA[[#This Row],[PORT DESTINATION]],Table12[PORT DESTINATION],Table12[Cosco Line],,0)</f>
        <v>AEU</v>
      </c>
      <c r="BJ760" s="430"/>
    </row>
    <row r="761" spans="1:62" s="463" customFormat="1" ht="10.5" hidden="1">
      <c r="A761" s="462" t="s">
        <v>5591</v>
      </c>
      <c r="B761" s="462" t="s">
        <v>61</v>
      </c>
      <c r="C761" s="462" t="str">
        <f>IFERROR(LEFT(PV_DATA[[#This Row],[TCL REFERENCE]],FIND(".",PV_DATA[[#This Row],[TCL REFERENCE]],1)-1),"Main Line")</f>
        <v>26Jul011</v>
      </c>
      <c r="D761" s="462" t="s">
        <v>63</v>
      </c>
      <c r="E761" s="462" t="s">
        <v>64</v>
      </c>
      <c r="F761" s="462" t="str" cm="1">
        <f t="array" ref="F76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761" s="462" t="s">
        <v>402</v>
      </c>
      <c r="H761" s="462" t="s">
        <v>311</v>
      </c>
      <c r="I761" s="462" t="s">
        <v>689</v>
      </c>
      <c r="J761" s="430" t="s">
        <v>96</v>
      </c>
      <c r="K761" s="430"/>
      <c r="L761" s="430"/>
      <c r="M761" s="430" t="s">
        <v>68</v>
      </c>
      <c r="N761" s="432">
        <v>46202</v>
      </c>
      <c r="O761" s="430" t="s">
        <v>284</v>
      </c>
      <c r="P761" s="430" t="s">
        <v>5592</v>
      </c>
      <c r="Q761" s="430" t="s">
        <v>1570</v>
      </c>
      <c r="R761" s="430" t="str">
        <f>_xlfn.XLOOKUP(PV_DATA[[#This Row],[New Ark SKU]],Table9[New Ark SKU],Table9[Connector],,0)</f>
        <v>H4(Com)</v>
      </c>
      <c r="S761" s="433" t="str">
        <f>_xlfn.XLOOKUP(PV_DATA[[#This Row],[New Ark SKU]],Table9[New Ark SKU],Table9[Cable],,0)</f>
        <v>±1400mm</v>
      </c>
      <c r="T761" s="433">
        <v>650</v>
      </c>
      <c r="U761" s="1062">
        <f>720*1</f>
        <v>720</v>
      </c>
      <c r="V761" s="434">
        <f>PV_DATA[[#This Row],[QUANTITY]]*PV_DATA[[#This Row],[WATT]]/1000000</f>
        <v>0.46800000000000003</v>
      </c>
      <c r="W761" s="435">
        <f>PV_DATA[[#This Row],[QUANTITY]]/PV_DATA[[#This Row],[Qty/Pallet]]</f>
        <v>20</v>
      </c>
      <c r="X761" s="1015">
        <f>PV_DATA[[#This Row],[QUANTITY]]/PV_DATA[[#This Row],[Qty/CT]]</f>
        <v>1</v>
      </c>
      <c r="Y761" s="430" t="s">
        <v>4371</v>
      </c>
      <c r="Z761" s="430" t="str">
        <f t="shared" si="9"/>
        <v>COMPLETED</v>
      </c>
      <c r="AA761" s="430" t="s">
        <v>5506</v>
      </c>
      <c r="AB761" s="437">
        <v>46217</v>
      </c>
      <c r="AC761" s="485">
        <f>IF(PV_DATA[[#This Row],[Pick-Up Date]]&lt;&gt;"",_xlfn.ISOWEEKNUM(PV_DATA[[#This Row],[Pick-Up Date]]),"")</f>
        <v>29</v>
      </c>
      <c r="AD761" s="430" t="s">
        <v>5593</v>
      </c>
      <c r="AE761" s="430"/>
      <c r="AF761" s="430" t="s">
        <v>61</v>
      </c>
      <c r="AG761" s="430" t="s">
        <v>61</v>
      </c>
      <c r="AH761" s="430" t="s">
        <v>1561</v>
      </c>
      <c r="AI761" s="437">
        <v>46222.458333333336</v>
      </c>
      <c r="AJ761" s="437">
        <v>46225</v>
      </c>
      <c r="AK761" s="437">
        <v>46225</v>
      </c>
      <c r="AL761" s="437">
        <v>46271</v>
      </c>
      <c r="AM761" s="586">
        <f>IFERROR(VLOOKUP(AT761, Vessel!A:H, 8, FALSE), "")</f>
        <v>46299.875</v>
      </c>
      <c r="AN761" s="586">
        <v>46299</v>
      </c>
      <c r="AO761" s="430"/>
      <c r="AP761" s="430" t="s">
        <v>5576</v>
      </c>
      <c r="AQ761" s="430" t="s">
        <v>80</v>
      </c>
      <c r="AR761" s="430" t="s">
        <v>5594</v>
      </c>
      <c r="AS761" s="430" t="s">
        <v>5595</v>
      </c>
      <c r="AT761" s="430" t="s">
        <v>5595</v>
      </c>
      <c r="AU76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74</v>
      </c>
      <c r="AV761" s="430"/>
      <c r="AW761" s="437" cm="1">
        <f t="array" ref="AW76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46299</v>
      </c>
      <c r="AX76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61" s="437">
        <f>IF(ISERROR(PV_DATA[[#This Row],[New Ark PO status]]),"",_xlfn.XLOOKUP(PV_DATA[[#This Row],[SPTN-PVHK New Ark PO'#]],New_Ark_Data[Purchase order Number],New_Ark_Data[Estimated time of arrival],"",0))</f>
        <v>46304</v>
      </c>
      <c r="AZ761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761" s="437">
        <f>IFERROR(PV_DATA[[#This Row],[ODP ETA Port]]+PV_DATA[[#This Row],[Customs/Leg3 Assumption]],"n/a")</f>
        <v>46309</v>
      </c>
      <c r="BB761" s="433">
        <f>YEAR(PV_DATA[[#This Row],[ETA for New Ark update]])</f>
        <v>2026</v>
      </c>
      <c r="BC761" s="430">
        <f>MONTH(PV_DATA[[#This Row],[ETA for New Ark update]])</f>
        <v>10</v>
      </c>
      <c r="BD761" s="430">
        <f>IFERROR(_xlfn.ISOWEEKNUM(PV_DATA[[#This Row],[ETA for New Ark update]]),0)</f>
        <v>42</v>
      </c>
      <c r="BE761" s="430">
        <f>_xlfn.XLOOKUP(PV_DATA[[#This Row],[New Ark SKU]],Table9[New Ark SKU],Table9[Total PCS per Pallet],,0)</f>
        <v>36</v>
      </c>
      <c r="BF761" s="430">
        <f>_xlfn.XLOOKUP(PV_DATA[[#This Row],[New Ark SKU]],Table9[New Ark SKU],Table9[Total PCS per 40HQ Container],,0)</f>
        <v>720</v>
      </c>
      <c r="BG761" s="430" t="str">
        <f>_xlfn.XLOOKUP(PV_DATA[[#This Row],[New Ark SKU]],Table9[New Ark SKU],Table9[Back Glass],,0)</f>
        <v>White glazing</v>
      </c>
      <c r="BH761" s="430" t="str">
        <f>_xlfn.XLOOKUP(PV_DATA[[#This Row],[PORT DESTINATION]],Table12[PORT DESTINATION],Table12[Cosco Line],,0)</f>
        <v>AEM</v>
      </c>
    </row>
    <row r="762" spans="1:62" ht="10.5" hidden="1">
      <c r="A762" s="462" t="s">
        <v>5596</v>
      </c>
      <c r="B762" s="462" t="s">
        <v>1757</v>
      </c>
      <c r="C762" s="462" t="str">
        <f>IFERROR(LEFT(PV_DATA[[#This Row],[TCL REFERENCE]],FIND(".",PV_DATA[[#This Row],[TCL REFERENCE]],1)-1),"Main Line")</f>
        <v>26Jun012</v>
      </c>
      <c r="D762" s="462" t="s">
        <v>63</v>
      </c>
      <c r="E762" s="462" t="s">
        <v>64</v>
      </c>
      <c r="F762" s="462" t="str" cm="1">
        <f t="array" ref="F76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62" s="462" t="s">
        <v>402</v>
      </c>
      <c r="H762" s="462" t="s">
        <v>67</v>
      </c>
      <c r="I762" s="462" t="s">
        <v>1395</v>
      </c>
      <c r="J762" s="430" t="s">
        <v>96</v>
      </c>
      <c r="K762" s="430"/>
      <c r="L762" s="430"/>
      <c r="M762" s="430" t="s">
        <v>68</v>
      </c>
      <c r="N762" s="432">
        <v>46195</v>
      </c>
      <c r="O762" s="430" t="s">
        <v>4540</v>
      </c>
      <c r="P762" s="430" t="s">
        <v>1151</v>
      </c>
      <c r="Q762" s="430" t="s">
        <v>421</v>
      </c>
      <c r="R762" s="430" t="str">
        <f>_xlfn.XLOOKUP(PV_DATA[[#This Row],[New Ark SKU]],Table9[New Ark SKU],Table9[Connector],,0)</f>
        <v>EVO2A</v>
      </c>
      <c r="S762" s="433" t="str">
        <f>_xlfn.XLOOKUP(PV_DATA[[#This Row],[New Ark SKU]],Table9[New Ark SKU],Table9[Cable],,0)</f>
        <v>±1200mm</v>
      </c>
      <c r="T762" s="433">
        <v>505</v>
      </c>
      <c r="U762" s="1062">
        <v>1728</v>
      </c>
      <c r="V762" s="434">
        <f>PV_DATA[[#This Row],[QUANTITY]]*PV_DATA[[#This Row],[WATT]]/1000000</f>
        <v>0.87263999999999997</v>
      </c>
      <c r="W762" s="435">
        <f>PV_DATA[[#This Row],[QUANTITY]]/PV_DATA[[#This Row],[Qty/Pallet]]</f>
        <v>48</v>
      </c>
      <c r="X762" s="1015">
        <f>PV_DATA[[#This Row],[QUANTITY]]/PV_DATA[[#This Row],[Qty/CT]]</f>
        <v>2</v>
      </c>
      <c r="Y762" s="430" t="s">
        <v>4371</v>
      </c>
      <c r="Z762" s="430" t="str">
        <f t="shared" si="9"/>
        <v>COMPLETED</v>
      </c>
      <c r="AA762" s="430"/>
      <c r="AB762" s="437">
        <v>46224</v>
      </c>
      <c r="AC762" s="485">
        <f>IF(PV_DATA[[#This Row],[Pick-Up Date]]&lt;&gt;"",_xlfn.ISOWEEKNUM(PV_DATA[[#This Row],[Pick-Up Date]]),"")</f>
        <v>30</v>
      </c>
      <c r="AD762" s="430" t="s">
        <v>5597</v>
      </c>
      <c r="AE762" s="430"/>
      <c r="AF762" s="459" t="s">
        <v>5043</v>
      </c>
      <c r="AG762" s="459" t="s">
        <v>123</v>
      </c>
      <c r="AH762" s="430" t="s">
        <v>105</v>
      </c>
      <c r="AI762" s="437">
        <v>46232</v>
      </c>
      <c r="AJ762" s="437">
        <v>46231</v>
      </c>
      <c r="AK762" s="437">
        <v>46231</v>
      </c>
      <c r="AL762" s="437">
        <v>46277</v>
      </c>
      <c r="AM762" s="586">
        <v>46266</v>
      </c>
      <c r="AN762" s="586">
        <v>46265</v>
      </c>
      <c r="AP762" s="430" t="s">
        <v>5598</v>
      </c>
      <c r="AQ762" s="430" t="s">
        <v>80</v>
      </c>
      <c r="AR762" s="430" t="s">
        <v>5599</v>
      </c>
      <c r="AS762" s="430" t="s">
        <v>5600</v>
      </c>
      <c r="AT762" s="430" t="s">
        <v>5600</v>
      </c>
      <c r="AU76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34</v>
      </c>
      <c r="AV762" s="437"/>
      <c r="AW762" s="437" cm="1">
        <f t="array" ref="AW76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46265</v>
      </c>
      <c r="AX76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62" s="437">
        <f>IF(ISERROR(PV_DATA[[#This Row],[New Ark PO status]]),"",_xlfn.XLOOKUP(PV_DATA[[#This Row],[SPTN-PVHK New Ark PO'#]],New_Ark_Data[Purchase order Number],New_Ark_Data[Estimated time of arrival],"",0))</f>
        <v>46279</v>
      </c>
      <c r="AZ762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62" s="437">
        <f>IFERROR(PV_DATA[[#This Row],[ODP ETA Port]]+PV_DATA[[#This Row],[Customs/Leg3 Assumption]],"n/a")</f>
        <v>46272</v>
      </c>
      <c r="BB762" s="433">
        <f>YEAR(PV_DATA[[#This Row],[ETA for New Ark update]])</f>
        <v>2026</v>
      </c>
      <c r="BC762" s="430">
        <f>MONTH(PV_DATA[[#This Row],[ETA for New Ark update]])</f>
        <v>9</v>
      </c>
      <c r="BD762" s="430">
        <f>IFERROR(_xlfn.ISOWEEKNUM(PV_DATA[[#This Row],[ETA for New Ark update]]),0)</f>
        <v>37</v>
      </c>
      <c r="BE762" s="430">
        <f>_xlfn.XLOOKUP(PV_DATA[[#This Row],[New Ark SKU]],Table9[New Ark SKU],Table9[Total PCS per Pallet],,0)</f>
        <v>36</v>
      </c>
      <c r="BF762" s="430">
        <f>_xlfn.XLOOKUP(PV_DATA[[#This Row],[New Ark SKU]],Table9[New Ark SKU],Table9[Total PCS per 40HQ Container],,0)</f>
        <v>864</v>
      </c>
      <c r="BG762" s="430" t="str">
        <f>_xlfn.XLOOKUP(PV_DATA[[#This Row],[New Ark SKU]],Table9[New Ark SKU],Table9[Back Glass],,0)</f>
        <v>Black glazing</v>
      </c>
      <c r="BH762" s="610" t="str">
        <f>_xlfn.XLOOKUP(PV_DATA[[#This Row],[PORT DESTINATION]],Table12[PORT DESTINATION],Table12[Cosco Line],,0)</f>
        <v>AEU</v>
      </c>
      <c r="BJ762" s="430"/>
    </row>
    <row r="763" spans="1:62" ht="10.5" hidden="1">
      <c r="A763" s="462" t="s">
        <v>5601</v>
      </c>
      <c r="B763" s="462" t="s">
        <v>1757</v>
      </c>
      <c r="C763" s="462" t="str">
        <f>IFERROR(LEFT(PV_DATA[[#This Row],[TCL REFERENCE]],FIND(".",PV_DATA[[#This Row],[TCL REFERENCE]],1)-1),"Main Line")</f>
        <v>26Jun012</v>
      </c>
      <c r="D763" s="462" t="s">
        <v>63</v>
      </c>
      <c r="E763" s="462" t="s">
        <v>64</v>
      </c>
      <c r="F763" s="462" t="str" cm="1">
        <f t="array" ref="F76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63" s="462" t="s">
        <v>402</v>
      </c>
      <c r="H763" s="462" t="s">
        <v>67</v>
      </c>
      <c r="I763" s="462" t="s">
        <v>869</v>
      </c>
      <c r="J763" s="430" t="s">
        <v>96</v>
      </c>
      <c r="K763" s="430"/>
      <c r="L763" s="430"/>
      <c r="M763" s="430" t="s">
        <v>68</v>
      </c>
      <c r="N763" s="432">
        <v>46195</v>
      </c>
      <c r="O763" s="430" t="s">
        <v>4540</v>
      </c>
      <c r="P763" s="430" t="s">
        <v>1151</v>
      </c>
      <c r="Q763" s="430" t="s">
        <v>421</v>
      </c>
      <c r="R763" s="430" t="str">
        <f>_xlfn.XLOOKUP(PV_DATA[[#This Row],[New Ark SKU]],Table9[New Ark SKU],Table9[Connector],,0)</f>
        <v>EVO2A</v>
      </c>
      <c r="S763" s="433" t="str">
        <f>_xlfn.XLOOKUP(PV_DATA[[#This Row],[New Ark SKU]],Table9[New Ark SKU],Table9[Cable],,0)</f>
        <v>±1200mm</v>
      </c>
      <c r="T763" s="433">
        <v>505</v>
      </c>
      <c r="U763" s="1062">
        <v>1728</v>
      </c>
      <c r="V763" s="434">
        <f>PV_DATA[[#This Row],[QUANTITY]]*PV_DATA[[#This Row],[WATT]]/1000000</f>
        <v>0.87263999999999997</v>
      </c>
      <c r="W763" s="435">
        <f>PV_DATA[[#This Row],[QUANTITY]]/PV_DATA[[#This Row],[Qty/Pallet]]</f>
        <v>48</v>
      </c>
      <c r="X763" s="1015">
        <f>PV_DATA[[#This Row],[QUANTITY]]/PV_DATA[[#This Row],[Qty/CT]]</f>
        <v>2</v>
      </c>
      <c r="Y763" s="430" t="s">
        <v>4371</v>
      </c>
      <c r="Z763" s="430" t="str">
        <f t="shared" si="9"/>
        <v>COMPLETED</v>
      </c>
      <c r="AA763" s="430"/>
      <c r="AB763" s="437">
        <v>46224</v>
      </c>
      <c r="AC763" s="485">
        <f>IF(PV_DATA[[#This Row],[Pick-Up Date]]&lt;&gt;"",_xlfn.ISOWEEKNUM(PV_DATA[[#This Row],[Pick-Up Date]]),"")</f>
        <v>30</v>
      </c>
      <c r="AD763" s="430" t="s">
        <v>5602</v>
      </c>
      <c r="AE763" s="430"/>
      <c r="AF763" s="459" t="s">
        <v>5043</v>
      </c>
      <c r="AG763" s="459" t="s">
        <v>123</v>
      </c>
      <c r="AH763" s="430" t="s">
        <v>105</v>
      </c>
      <c r="AI763" s="437">
        <v>46232</v>
      </c>
      <c r="AJ763" s="437">
        <v>46231</v>
      </c>
      <c r="AK763" s="437">
        <v>46231</v>
      </c>
      <c r="AL763" s="437">
        <v>46277</v>
      </c>
      <c r="AM763" s="586">
        <v>46266</v>
      </c>
      <c r="AN763" s="586">
        <v>46265</v>
      </c>
      <c r="AP763" s="430" t="s">
        <v>5598</v>
      </c>
      <c r="AQ763" s="430" t="s">
        <v>80</v>
      </c>
      <c r="AR763" s="430" t="s">
        <v>5599</v>
      </c>
      <c r="AS763" s="430" t="s">
        <v>5600</v>
      </c>
      <c r="AT763" s="430" t="s">
        <v>5600</v>
      </c>
      <c r="AU76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34</v>
      </c>
      <c r="AV763" s="437"/>
      <c r="AW763" s="437" cm="1">
        <f t="array" ref="AW76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46265</v>
      </c>
      <c r="AX76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63" s="437">
        <f>IF(ISERROR(PV_DATA[[#This Row],[New Ark PO status]]),"",_xlfn.XLOOKUP(PV_DATA[[#This Row],[SPTN-PVHK New Ark PO'#]],New_Ark_Data[Purchase order Number],New_Ark_Data[Estimated time of arrival],"",0))</f>
        <v>46279</v>
      </c>
      <c r="AZ763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63" s="437">
        <f>IFERROR(PV_DATA[[#This Row],[ODP ETA Port]]+PV_DATA[[#This Row],[Customs/Leg3 Assumption]],"n/a")</f>
        <v>46272</v>
      </c>
      <c r="BB763" s="433">
        <f>YEAR(PV_DATA[[#This Row],[ETA for New Ark update]])</f>
        <v>2026</v>
      </c>
      <c r="BC763" s="430">
        <f>MONTH(PV_DATA[[#This Row],[ETA for New Ark update]])</f>
        <v>9</v>
      </c>
      <c r="BD763" s="430">
        <f>IFERROR(_xlfn.ISOWEEKNUM(PV_DATA[[#This Row],[ETA for New Ark update]]),0)</f>
        <v>37</v>
      </c>
      <c r="BE763" s="430">
        <f>_xlfn.XLOOKUP(PV_DATA[[#This Row],[New Ark SKU]],Table9[New Ark SKU],Table9[Total PCS per Pallet],,0)</f>
        <v>36</v>
      </c>
      <c r="BF763" s="430">
        <f>_xlfn.XLOOKUP(PV_DATA[[#This Row],[New Ark SKU]],Table9[New Ark SKU],Table9[Total PCS per 40HQ Container],,0)</f>
        <v>864</v>
      </c>
      <c r="BG763" s="430" t="str">
        <f>_xlfn.XLOOKUP(PV_DATA[[#This Row],[New Ark SKU]],Table9[New Ark SKU],Table9[Back Glass],,0)</f>
        <v>Black glazing</v>
      </c>
      <c r="BH763" s="610" t="str">
        <f>_xlfn.XLOOKUP(PV_DATA[[#This Row],[PORT DESTINATION]],Table12[PORT DESTINATION],Table12[Cosco Line],,0)</f>
        <v>AEU</v>
      </c>
      <c r="BJ763" s="430"/>
    </row>
    <row r="764" spans="1:62" ht="10.5" hidden="1">
      <c r="A764" s="462" t="s">
        <v>5603</v>
      </c>
      <c r="B764" s="462" t="s">
        <v>1757</v>
      </c>
      <c r="C764" s="462" t="str">
        <f>IFERROR(LEFT(PV_DATA[[#This Row],[TCL REFERENCE]],FIND(".",PV_DATA[[#This Row],[TCL REFERENCE]],1)-1),"Main Line")</f>
        <v>26Jun012</v>
      </c>
      <c r="D764" s="462" t="s">
        <v>63</v>
      </c>
      <c r="E764" s="462" t="s">
        <v>64</v>
      </c>
      <c r="F764" s="462" t="str" cm="1">
        <f t="array" ref="F76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64" s="462" t="s">
        <v>402</v>
      </c>
      <c r="H764" s="462" t="s">
        <v>67</v>
      </c>
      <c r="I764" s="462" t="s">
        <v>869</v>
      </c>
      <c r="J764" s="430" t="s">
        <v>96</v>
      </c>
      <c r="K764" s="430"/>
      <c r="L764" s="430"/>
      <c r="M764" s="430" t="s">
        <v>68</v>
      </c>
      <c r="N764" s="432">
        <v>46195</v>
      </c>
      <c r="O764" s="430" t="s">
        <v>4540</v>
      </c>
      <c r="P764" s="430" t="s">
        <v>1151</v>
      </c>
      <c r="Q764" s="430" t="s">
        <v>421</v>
      </c>
      <c r="R764" s="430" t="str">
        <f>_xlfn.XLOOKUP(PV_DATA[[#This Row],[New Ark SKU]],Table9[New Ark SKU],Table9[Connector],,0)</f>
        <v>EVO2A</v>
      </c>
      <c r="S764" s="433" t="str">
        <f>_xlfn.XLOOKUP(PV_DATA[[#This Row],[New Ark SKU]],Table9[New Ark SKU],Table9[Cable],,0)</f>
        <v>±1200mm</v>
      </c>
      <c r="T764" s="433">
        <v>505</v>
      </c>
      <c r="U764" s="1062">
        <v>3456</v>
      </c>
      <c r="V764" s="434">
        <f>PV_DATA[[#This Row],[QUANTITY]]*PV_DATA[[#This Row],[WATT]]/1000000</f>
        <v>1.7452799999999999</v>
      </c>
      <c r="W764" s="435">
        <f>PV_DATA[[#This Row],[QUANTITY]]/PV_DATA[[#This Row],[Qty/Pallet]]</f>
        <v>96</v>
      </c>
      <c r="X764" s="1015">
        <f>PV_DATA[[#This Row],[QUANTITY]]/PV_DATA[[#This Row],[Qty/CT]]</f>
        <v>4</v>
      </c>
      <c r="Y764" s="430" t="s">
        <v>4371</v>
      </c>
      <c r="Z764" s="430" t="str">
        <f t="shared" si="9"/>
        <v>COMPLETED</v>
      </c>
      <c r="AA764" s="430"/>
      <c r="AB764" s="437">
        <v>46226</v>
      </c>
      <c r="AC764" s="485">
        <f>IF(PV_DATA[[#This Row],[Pick-Up Date]]&lt;&gt;"",_xlfn.ISOWEEKNUM(PV_DATA[[#This Row],[Pick-Up Date]]),"")</f>
        <v>30</v>
      </c>
      <c r="AD764" s="430" t="s">
        <v>5604</v>
      </c>
      <c r="AE764" s="430"/>
      <c r="AF764" s="459" t="s">
        <v>5043</v>
      </c>
      <c r="AG764" s="459" t="s">
        <v>123</v>
      </c>
      <c r="AH764" s="430" t="s">
        <v>105</v>
      </c>
      <c r="AI764" s="437">
        <v>46232</v>
      </c>
      <c r="AJ764" s="437">
        <v>46231</v>
      </c>
      <c r="AK764" s="437">
        <v>46231</v>
      </c>
      <c r="AL764" s="437">
        <v>46277</v>
      </c>
      <c r="AM764" s="586">
        <v>46266</v>
      </c>
      <c r="AN764" s="586">
        <v>46265</v>
      </c>
      <c r="AP764" s="430" t="s">
        <v>5598</v>
      </c>
      <c r="AQ764" s="430" t="s">
        <v>80</v>
      </c>
      <c r="AR764" s="430" t="s">
        <v>5599</v>
      </c>
      <c r="AS764" s="430" t="s">
        <v>5600</v>
      </c>
      <c r="AT764" s="430" t="s">
        <v>5600</v>
      </c>
      <c r="AU76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34</v>
      </c>
      <c r="AV764" s="437"/>
      <c r="AW764" s="437" cm="1">
        <f t="array" ref="AW76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46265</v>
      </c>
      <c r="AX76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64" s="437">
        <f>IF(ISERROR(PV_DATA[[#This Row],[New Ark PO status]]),"",_xlfn.XLOOKUP(PV_DATA[[#This Row],[SPTN-PVHK New Ark PO'#]],New_Ark_Data[Purchase order Number],New_Ark_Data[Estimated time of arrival],"",0))</f>
        <v>46279</v>
      </c>
      <c r="AZ764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64" s="437">
        <f>IFERROR(PV_DATA[[#This Row],[ODP ETA Port]]+PV_DATA[[#This Row],[Customs/Leg3 Assumption]],"n/a")</f>
        <v>46272</v>
      </c>
      <c r="BB764" s="433">
        <f>YEAR(PV_DATA[[#This Row],[ETA for New Ark update]])</f>
        <v>2026</v>
      </c>
      <c r="BC764" s="430">
        <f>MONTH(PV_DATA[[#This Row],[ETA for New Ark update]])</f>
        <v>9</v>
      </c>
      <c r="BD764" s="430">
        <f>IFERROR(_xlfn.ISOWEEKNUM(PV_DATA[[#This Row],[ETA for New Ark update]]),0)</f>
        <v>37</v>
      </c>
      <c r="BE764" s="430">
        <f>_xlfn.XLOOKUP(PV_DATA[[#This Row],[New Ark SKU]],Table9[New Ark SKU],Table9[Total PCS per Pallet],,0)</f>
        <v>36</v>
      </c>
      <c r="BF764" s="430">
        <f>_xlfn.XLOOKUP(PV_DATA[[#This Row],[New Ark SKU]],Table9[New Ark SKU],Table9[Total PCS per 40HQ Container],,0)</f>
        <v>864</v>
      </c>
      <c r="BG764" s="430" t="str">
        <f>_xlfn.XLOOKUP(PV_DATA[[#This Row],[New Ark SKU]],Table9[New Ark SKU],Table9[Back Glass],,0)</f>
        <v>Black glazing</v>
      </c>
      <c r="BH764" s="430" t="str">
        <f>_xlfn.XLOOKUP(PV_DATA[[#This Row],[PORT DESTINATION]],Table12[PORT DESTINATION],Table12[Cosco Line],,0)</f>
        <v>AEU</v>
      </c>
      <c r="BJ764" s="430"/>
    </row>
    <row r="765" spans="1:62" ht="10.5" hidden="1">
      <c r="A765" s="462" t="s">
        <v>5605</v>
      </c>
      <c r="B765" s="462" t="s">
        <v>2132</v>
      </c>
      <c r="C765" s="462" t="str">
        <f>IFERROR(LEFT(PV_DATA[[#This Row],[TCL REFERENCE]],FIND(".",PV_DATA[[#This Row],[TCL REFERENCE]],1)-1),"Main Line")</f>
        <v>26Jun008</v>
      </c>
      <c r="D765" s="462" t="s">
        <v>63</v>
      </c>
      <c r="E765" s="462" t="s">
        <v>64</v>
      </c>
      <c r="F765" s="462" t="str" cm="1">
        <f t="array" ref="F76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65" s="462" t="s">
        <v>402</v>
      </c>
      <c r="H765" s="462" t="s">
        <v>67</v>
      </c>
      <c r="I765" s="462" t="s">
        <v>882</v>
      </c>
      <c r="J765" s="430" t="s">
        <v>1047</v>
      </c>
      <c r="K765" s="430"/>
      <c r="L765" s="430"/>
      <c r="M765" s="430" t="s">
        <v>68</v>
      </c>
      <c r="N765" s="432">
        <v>46188</v>
      </c>
      <c r="O765" s="430" t="s">
        <v>4540</v>
      </c>
      <c r="P765" s="430" t="s">
        <v>5099</v>
      </c>
      <c r="Q765" s="430" t="s">
        <v>330</v>
      </c>
      <c r="R765" s="430" t="str">
        <f>_xlfn.XLOOKUP(PV_DATA[[#This Row],[New Ark SKU]],Table9[New Ark SKU],Table9[Connector],,0)</f>
        <v>H4(Com)</v>
      </c>
      <c r="S765" s="433" t="str">
        <f>_xlfn.XLOOKUP(PV_DATA[[#This Row],[New Ark SKU]],Table9[New Ark SKU],Table9[Cable],,0)</f>
        <v>±1400mm</v>
      </c>
      <c r="T765" s="433">
        <v>625</v>
      </c>
      <c r="U765" s="1062">
        <v>4320</v>
      </c>
      <c r="V765" s="434">
        <f>PV_DATA[[#This Row],[QUANTITY]]*PV_DATA[[#This Row],[WATT]]/1000000</f>
        <v>2.7</v>
      </c>
      <c r="W765" s="435">
        <f>PV_DATA[[#This Row],[QUANTITY]]/PV_DATA[[#This Row],[Qty/Pallet]]</f>
        <v>120</v>
      </c>
      <c r="X765" s="1015">
        <f>PV_DATA[[#This Row],[QUANTITY]]/PV_DATA[[#This Row],[Qty/CT]]</f>
        <v>6</v>
      </c>
      <c r="Y765" s="430" t="s">
        <v>4370</v>
      </c>
      <c r="Z765" s="430" t="str">
        <f t="shared" si="9"/>
        <v>COMPLETED</v>
      </c>
      <c r="AA765" s="430" t="s">
        <v>5606</v>
      </c>
      <c r="AB765" s="437">
        <v>46231</v>
      </c>
      <c r="AC765" s="485">
        <f>IF(PV_DATA[[#This Row],[Pick-Up Date]]&lt;&gt;"",_xlfn.ISOWEEKNUM(PV_DATA[[#This Row],[Pick-Up Date]]),"")</f>
        <v>31</v>
      </c>
      <c r="AD765" s="430" t="s">
        <v>5607</v>
      </c>
      <c r="AE765" s="430"/>
      <c r="AF765" s="430" t="s">
        <v>122</v>
      </c>
      <c r="AG765" s="430" t="s">
        <v>123</v>
      </c>
      <c r="AH765" s="430" t="s">
        <v>105</v>
      </c>
      <c r="AI765" s="437">
        <v>46236</v>
      </c>
      <c r="AJ765" s="437">
        <v>46241</v>
      </c>
      <c r="AK765" s="437">
        <v>46239</v>
      </c>
      <c r="AL765" s="437">
        <v>46273</v>
      </c>
      <c r="AM765" s="437">
        <v>46279.5</v>
      </c>
      <c r="AN765" s="437">
        <v>46284</v>
      </c>
      <c r="AP765" s="430" t="s">
        <v>5608</v>
      </c>
      <c r="AQ765" s="430" t="s">
        <v>161</v>
      </c>
      <c r="AR765" s="430" t="s">
        <v>5609</v>
      </c>
      <c r="AS765" s="430" t="s">
        <v>5610</v>
      </c>
      <c r="AT765" s="430" t="s">
        <v>5610</v>
      </c>
      <c r="AU76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V765" s="437"/>
      <c r="AW765" s="437" cm="1">
        <f t="array" ref="AW76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46284</v>
      </c>
      <c r="AX76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65" s="437">
        <f>IF(ISERROR(PV_DATA[[#This Row],[New Ark PO status]]),"",_xlfn.XLOOKUP(PV_DATA[[#This Row],[SPTN-PVHK New Ark PO'#]],New_Ark_Data[Purchase order Number],New_Ark_Data[Estimated time of arrival],"",0))</f>
        <v>46287</v>
      </c>
      <c r="AZ765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65" s="437">
        <f>IFERROR(PV_DATA[[#This Row],[ODP ETA Port]]+PV_DATA[[#This Row],[Customs/Leg3 Assumption]],"n/a")</f>
        <v>46291</v>
      </c>
      <c r="BB765" s="433">
        <f>YEAR(PV_DATA[[#This Row],[ETA for New Ark update]])</f>
        <v>2026</v>
      </c>
      <c r="BC765" s="430">
        <f>MONTH(PV_DATA[[#This Row],[ETA for New Ark update]])</f>
        <v>9</v>
      </c>
      <c r="BD765" s="430">
        <f>IFERROR(_xlfn.ISOWEEKNUM(PV_DATA[[#This Row],[ETA for New Ark update]]),0)</f>
        <v>39</v>
      </c>
      <c r="BE765" s="430">
        <f>_xlfn.XLOOKUP(PV_DATA[[#This Row],[New Ark SKU]],Table9[New Ark SKU],Table9[Total PCS per Pallet],,0)</f>
        <v>36</v>
      </c>
      <c r="BF765" s="430">
        <f>_xlfn.XLOOKUP(PV_DATA[[#This Row],[New Ark SKU]],Table9[New Ark SKU],Table9[Total PCS per 40HQ Container],,0)</f>
        <v>720</v>
      </c>
      <c r="BG765" s="430" t="str">
        <f>_xlfn.XLOOKUP(PV_DATA[[#This Row],[New Ark SKU]],Table9[New Ark SKU],Table9[Back Glass],,0)</f>
        <v>Transparent</v>
      </c>
      <c r="BH765" s="430" t="str">
        <f>_xlfn.XLOOKUP(PV_DATA[[#This Row],[PORT DESTINATION]],Table12[PORT DESTINATION],Table12[Cosco Line],,0)</f>
        <v>AEU</v>
      </c>
      <c r="BJ765" s="430"/>
    </row>
    <row r="766" spans="1:62" ht="10.5" hidden="1">
      <c r="A766" s="462" t="s">
        <v>5611</v>
      </c>
      <c r="B766" s="462" t="s">
        <v>111</v>
      </c>
      <c r="C766" s="462" t="str">
        <f>IFERROR(LEFT(PV_DATA[[#This Row],[TCL REFERENCE]],FIND(".",PV_DATA[[#This Row],[TCL REFERENCE]],1)-1),"Main Line")</f>
        <v>26Jun015</v>
      </c>
      <c r="D766" s="462" t="s">
        <v>63</v>
      </c>
      <c r="E766" s="462" t="s">
        <v>64</v>
      </c>
      <c r="F766" s="462" t="str" cm="1">
        <f t="array" ref="F76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66" s="462" t="s">
        <v>402</v>
      </c>
      <c r="H766" s="462" t="s">
        <v>67</v>
      </c>
      <c r="I766" s="462" t="s">
        <v>869</v>
      </c>
      <c r="J766" s="430" t="s">
        <v>96</v>
      </c>
      <c r="K766" s="430"/>
      <c r="L766" s="430"/>
      <c r="M766" s="430" t="s">
        <v>68</v>
      </c>
      <c r="N766" s="432">
        <v>46202</v>
      </c>
      <c r="O766" s="430" t="s">
        <v>5388</v>
      </c>
      <c r="P766" s="430" t="s">
        <v>5409</v>
      </c>
      <c r="Q766" s="430" t="s">
        <v>5410</v>
      </c>
      <c r="R766" s="430" t="str">
        <f>_xlfn.XLOOKUP(PV_DATA[[#This Row],[New Ark SKU]],Table9[New Ark SKU],Table9[Connector],,0)</f>
        <v>EVO2A</v>
      </c>
      <c r="S766" s="433" t="str">
        <f>_xlfn.XLOOKUP(PV_DATA[[#This Row],[New Ark SKU]],Table9[New Ark SKU],Table9[Cable],,0)</f>
        <v>±1200mm</v>
      </c>
      <c r="T766" s="433">
        <v>465</v>
      </c>
      <c r="U766" s="1062">
        <v>936</v>
      </c>
      <c r="V766" s="544">
        <f>PV_DATA[[#This Row],[QUANTITY]]*PV_DATA[[#This Row],[WATT]]/1000000</f>
        <v>0.43524000000000002</v>
      </c>
      <c r="W766" s="435">
        <f>PV_DATA[[#This Row],[QUANTITY]]/PV_DATA[[#This Row],[Qty/Pallet]]</f>
        <v>26</v>
      </c>
      <c r="X766" s="1015">
        <f>PV_DATA[[#This Row],[QUANTITY]]/PV_DATA[[#This Row],[Qty/CT]]</f>
        <v>1</v>
      </c>
      <c r="Y766" s="430" t="s">
        <v>4370</v>
      </c>
      <c r="Z766" s="430" t="str">
        <f t="shared" si="9"/>
        <v>COMPLETED</v>
      </c>
      <c r="AA766" s="430"/>
      <c r="AB766" s="437">
        <v>46231</v>
      </c>
      <c r="AC766" s="485">
        <f>IF(PV_DATA[[#This Row],[Pick-Up Date]]&lt;&gt;"",_xlfn.ISOWEEKNUM(PV_DATA[[#This Row],[Pick-Up Date]]),"")</f>
        <v>31</v>
      </c>
      <c r="AD766" s="430" t="s">
        <v>5612</v>
      </c>
      <c r="AE766" s="430"/>
      <c r="AF766" s="430" t="s">
        <v>122</v>
      </c>
      <c r="AG766" s="430" t="s">
        <v>123</v>
      </c>
      <c r="AH766" s="430" t="s">
        <v>105</v>
      </c>
      <c r="AI766" s="437">
        <v>46236</v>
      </c>
      <c r="AJ766" s="437">
        <v>46241</v>
      </c>
      <c r="AK766" s="437">
        <v>46239</v>
      </c>
      <c r="AL766" s="437">
        <v>46273</v>
      </c>
      <c r="AM766" s="437">
        <v>46279.5</v>
      </c>
      <c r="AN766" s="437">
        <v>46284</v>
      </c>
      <c r="AP766" s="430" t="s">
        <v>5608</v>
      </c>
      <c r="AQ766" s="430" t="s">
        <v>161</v>
      </c>
      <c r="AR766" s="430" t="s">
        <v>5609</v>
      </c>
      <c r="AS766" s="430" t="s">
        <v>5610</v>
      </c>
      <c r="AT766" s="430" t="s">
        <v>5610</v>
      </c>
      <c r="AU76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V766" s="437"/>
      <c r="AW766" s="437" cm="1">
        <f t="array" ref="AW76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46284</v>
      </c>
      <c r="AX76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66" s="437">
        <f>IF(ISERROR(PV_DATA[[#This Row],[New Ark PO status]]),"",_xlfn.XLOOKUP(PV_DATA[[#This Row],[SPTN-PVHK New Ark PO'#]],New_Ark_Data[Purchase order Number],New_Ark_Data[Estimated time of arrival],"",0))</f>
        <v>46287</v>
      </c>
      <c r="AZ766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66" s="437">
        <f>IFERROR(PV_DATA[[#This Row],[ODP ETA Port]]+PV_DATA[[#This Row],[Customs/Leg3 Assumption]],"n/a")</f>
        <v>46291</v>
      </c>
      <c r="BB766" s="433">
        <f>YEAR(PV_DATA[[#This Row],[ETA for New Ark update]])</f>
        <v>2026</v>
      </c>
      <c r="BC766" s="430">
        <f>MONTH(PV_DATA[[#This Row],[ETA for New Ark update]])</f>
        <v>9</v>
      </c>
      <c r="BD766" s="430">
        <f>IFERROR(_xlfn.ISOWEEKNUM(PV_DATA[[#This Row],[ETA for New Ark update]]),0)</f>
        <v>39</v>
      </c>
      <c r="BE766" s="430">
        <f>_xlfn.XLOOKUP(PV_DATA[[#This Row],[New Ark SKU]],Table9[New Ark SKU],Table9[Total PCS per Pallet],,0)</f>
        <v>36</v>
      </c>
      <c r="BF766" s="430">
        <f>_xlfn.XLOOKUP(PV_DATA[[#This Row],[New Ark SKU]],Table9[New Ark SKU],Table9[Total PCS per 40HQ Container],,0)</f>
        <v>936</v>
      </c>
      <c r="BG766" s="430" t="str">
        <f>_xlfn.XLOOKUP(PV_DATA[[#This Row],[New Ark SKU]],Table9[New Ark SKU],Table9[Back Glass],,0)</f>
        <v>Black glazing</v>
      </c>
      <c r="BH766" s="610" t="str">
        <f>_xlfn.XLOOKUP(PV_DATA[[#This Row],[PORT DESTINATION]],Table12[PORT DESTINATION],Table12[Cosco Line],,0)</f>
        <v>AEU</v>
      </c>
      <c r="BJ766" s="430"/>
    </row>
    <row r="767" spans="1:62" ht="10.5" hidden="1">
      <c r="A767" s="462" t="s">
        <v>5613</v>
      </c>
      <c r="B767" s="462" t="s">
        <v>111</v>
      </c>
      <c r="C767" s="462" t="str">
        <f>IFERROR(LEFT(PV_DATA[[#This Row],[TCL REFERENCE]],FIND(".",PV_DATA[[#This Row],[TCL REFERENCE]],1)-1),"Main Line")</f>
        <v>26May011</v>
      </c>
      <c r="D767" s="462" t="s">
        <v>63</v>
      </c>
      <c r="E767" s="462" t="s">
        <v>144</v>
      </c>
      <c r="F767" s="462" t="str" cm="1">
        <f t="array" ref="F76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67" s="462" t="s">
        <v>402</v>
      </c>
      <c r="H767" s="713" t="s">
        <v>670</v>
      </c>
      <c r="I767" s="462" t="s">
        <v>869</v>
      </c>
      <c r="J767" s="463" t="s">
        <v>5401</v>
      </c>
      <c r="K767" s="430" t="s">
        <v>5402</v>
      </c>
      <c r="L767" s="430">
        <v>3</v>
      </c>
      <c r="M767" s="430" t="s">
        <v>840</v>
      </c>
      <c r="N767" s="432">
        <v>46167</v>
      </c>
      <c r="O767" s="430" t="s">
        <v>4540</v>
      </c>
      <c r="P767" s="430" t="s">
        <v>4601</v>
      </c>
      <c r="Q767" s="430" t="s">
        <v>330</v>
      </c>
      <c r="R767" s="430" t="str">
        <f>_xlfn.XLOOKUP(PV_DATA[[#This Row],[New Ark SKU]],Table9[New Ark SKU],Table9[Connector],,0)</f>
        <v>H4(Com)</v>
      </c>
      <c r="S767" s="433" t="str">
        <f>_xlfn.XLOOKUP(PV_DATA[[#This Row],[New Ark SKU]],Table9[New Ark SKU],Table9[Cable],,0)</f>
        <v>+400mm/-200mm</v>
      </c>
      <c r="T767" s="433">
        <v>625</v>
      </c>
      <c r="U767" s="1062">
        <v>3600</v>
      </c>
      <c r="V767" s="544">
        <f>PV_DATA[[#This Row],[QUANTITY]]*PV_DATA[[#This Row],[WATT]]/1000000</f>
        <v>2.25</v>
      </c>
      <c r="W767" s="435">
        <f>PV_DATA[[#This Row],[QUANTITY]]/PV_DATA[[#This Row],[Qty/Pallet]]</f>
        <v>100</v>
      </c>
      <c r="X767" s="1020">
        <f>PV_DATA[[#This Row],[QUANTITY]]/PV_DATA[[#This Row],[Qty/CT]]</f>
        <v>5</v>
      </c>
      <c r="Y767" s="430" t="s">
        <v>4369</v>
      </c>
      <c r="Z767" s="430" t="str">
        <f t="shared" si="9"/>
        <v>COMPLETED</v>
      </c>
      <c r="AA767" s="430" t="s">
        <v>5403</v>
      </c>
      <c r="AB767" s="437">
        <v>46227</v>
      </c>
      <c r="AC767" s="485">
        <f>IF(PV_DATA[[#This Row],[Pick-Up Date]]&lt;&gt;"",_xlfn.ISOWEEKNUM(PV_DATA[[#This Row],[Pick-Up Date]]),"")</f>
        <v>30</v>
      </c>
      <c r="AD767" s="430" t="s">
        <v>5614</v>
      </c>
      <c r="AE767" s="430"/>
      <c r="AF767" s="430" t="s">
        <v>122</v>
      </c>
      <c r="AG767" s="430" t="s">
        <v>123</v>
      </c>
      <c r="AH767" s="430" t="s">
        <v>105</v>
      </c>
      <c r="AI767" s="437">
        <v>46234</v>
      </c>
      <c r="AJ767" s="437">
        <v>46232</v>
      </c>
      <c r="AK767" s="437">
        <v>46232</v>
      </c>
      <c r="AL767" s="437">
        <v>46277</v>
      </c>
      <c r="AM767" s="588">
        <f>IFERROR(VLOOKUP(AT767, Vessel!A:H, 8, FALSE), "")</f>
        <v>46279.083333333336</v>
      </c>
      <c r="AN767" s="586">
        <f>IFERROR(IF(VLOOKUP(AT767,Vessel!A:I,9,FALSE)=0,"",VLOOKUP(AT767,Vessel!A:I,9,FALSE)),"")</f>
        <v>46279.139525462961</v>
      </c>
      <c r="AP767" s="430" t="s">
        <v>5598</v>
      </c>
      <c r="AQ767" s="430" t="s">
        <v>80</v>
      </c>
      <c r="AR767" s="430" t="s">
        <v>5615</v>
      </c>
      <c r="AS767" s="430" t="s">
        <v>5616</v>
      </c>
      <c r="AT767" s="430" t="s">
        <v>5616</v>
      </c>
      <c r="AU76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47.139525462960592</v>
      </c>
      <c r="AV767" s="437"/>
      <c r="AW767" s="437" cm="1">
        <f t="array" ref="AW76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46279.139525462961</v>
      </c>
      <c r="AX76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67" s="437">
        <f>IF(ISERROR(PV_DATA[[#This Row],[New Ark PO status]]),"",_xlfn.XLOOKUP(PV_DATA[[#This Row],[SPTN-PVHK New Ark PO'#]],New_Ark_Data[Purchase order Number],New_Ark_Data[Estimated time of arrival],"",0))</f>
        <v>46276</v>
      </c>
      <c r="AZ767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67" s="437">
        <f>IFERROR(PV_DATA[[#This Row],[ODP ETA Port]]+PV_DATA[[#This Row],[Customs/Leg3 Assumption]],"n/a")</f>
        <v>46279.139525462961</v>
      </c>
      <c r="BB767" s="433">
        <f>YEAR(PV_DATA[[#This Row],[ETA for New Ark update]])</f>
        <v>2026</v>
      </c>
      <c r="BC767" s="430">
        <f>MONTH(PV_DATA[[#This Row],[ETA for New Ark update]])</f>
        <v>9</v>
      </c>
      <c r="BD767" s="430">
        <f>IFERROR(_xlfn.ISOWEEKNUM(PV_DATA[[#This Row],[ETA for New Ark update]]),0)</f>
        <v>38</v>
      </c>
      <c r="BE767" s="430">
        <f>_xlfn.XLOOKUP(PV_DATA[[#This Row],[New Ark SKU]],Table9[New Ark SKU],Table9[Total PCS per Pallet],,0)</f>
        <v>36</v>
      </c>
      <c r="BF767" s="430">
        <f>_xlfn.XLOOKUP(PV_DATA[[#This Row],[New Ark SKU]],Table9[New Ark SKU],Table9[Total PCS per 40HQ Container],,0)</f>
        <v>720</v>
      </c>
      <c r="BG767" s="430" t="str">
        <f>_xlfn.XLOOKUP(PV_DATA[[#This Row],[New Ark SKU]],Table9[New Ark SKU],Table9[Back Glass],,0)</f>
        <v>Transparent</v>
      </c>
      <c r="BH767" s="430" t="str">
        <f>_xlfn.XLOOKUP(PV_DATA[[#This Row],[PORT DESTINATION]],Table12[PORT DESTINATION],Table12[Cosco Line],,0)</f>
        <v>AEU</v>
      </c>
      <c r="BJ767" s="430"/>
    </row>
    <row r="768" spans="1:62" s="463" customFormat="1" ht="10.5" hidden="1">
      <c r="A768" s="462" t="s">
        <v>5617</v>
      </c>
      <c r="B768" s="462" t="s">
        <v>111</v>
      </c>
      <c r="C768" s="462" t="str">
        <f>IFERROR(LEFT(PV_DATA[[#This Row],[TCL REFERENCE]],FIND(".",PV_DATA[[#This Row],[TCL REFERENCE]],1)-1),"Main Line")</f>
        <v>26Jul001</v>
      </c>
      <c r="D768" s="462" t="s">
        <v>63</v>
      </c>
      <c r="E768" s="462" t="s">
        <v>64</v>
      </c>
      <c r="F768" s="462" t="str" cm="1">
        <f t="array" ref="F76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68" s="462" t="s">
        <v>402</v>
      </c>
      <c r="H768" s="462" t="s">
        <v>67</v>
      </c>
      <c r="I768" s="462" t="s">
        <v>882</v>
      </c>
      <c r="J768" s="430" t="s">
        <v>96</v>
      </c>
      <c r="K768" s="430"/>
      <c r="L768" s="430"/>
      <c r="M768" s="430" t="s">
        <v>68</v>
      </c>
      <c r="N768" s="432">
        <v>46209</v>
      </c>
      <c r="O768" s="430" t="s">
        <v>550</v>
      </c>
      <c r="P768" s="430" t="s">
        <v>551</v>
      </c>
      <c r="Q768" s="430" t="s">
        <v>2151</v>
      </c>
      <c r="R768" s="430" t="str">
        <f>_xlfn.XLOOKUP(PV_DATA[[#This Row],[New Ark SKU]],Table9[New Ark SKU],Table9[Connector],,0)</f>
        <v>EVO2A</v>
      </c>
      <c r="S768" s="433" t="str">
        <f>_xlfn.XLOOKUP(PV_DATA[[#This Row],[New Ark SKU]],Table9[New Ark SKU],Table9[Cable],,0)</f>
        <v>±1350mm</v>
      </c>
      <c r="T768" s="433">
        <v>510</v>
      </c>
      <c r="U768" s="1062">
        <v>2376</v>
      </c>
      <c r="V768" s="434">
        <f>PV_DATA[[#This Row],[QUANTITY]]*PV_DATA[[#This Row],[WATT]]/1000000</f>
        <v>1.2117599999999999</v>
      </c>
      <c r="W768" s="435">
        <f>PV_DATA[[#This Row],[QUANTITY]]/PV_DATA[[#This Row],[Qty/Pallet]]</f>
        <v>66</v>
      </c>
      <c r="X768" s="1015">
        <f>PV_DATA[[#This Row],[QUANTITY]]/PV_DATA[[#This Row],[Qty/CT]]</f>
        <v>3</v>
      </c>
      <c r="Y768" s="430" t="s">
        <v>4372</v>
      </c>
      <c r="Z768" s="430" t="str">
        <f t="shared" si="9"/>
        <v>COMPLETED</v>
      </c>
      <c r="AA768" s="430" t="s">
        <v>5532</v>
      </c>
      <c r="AB768" s="437">
        <v>46224</v>
      </c>
      <c r="AC768" s="485">
        <f>IF(PV_DATA[[#This Row],[Pick-Up Date]]&lt;&gt;"",_xlfn.ISOWEEKNUM(PV_DATA[[#This Row],[Pick-Up Date]]),"")</f>
        <v>30</v>
      </c>
      <c r="AD768" s="430" t="s">
        <v>5618</v>
      </c>
      <c r="AE768" s="430"/>
      <c r="AF768" s="430" t="s">
        <v>122</v>
      </c>
      <c r="AG768" s="430" t="s">
        <v>123</v>
      </c>
      <c r="AH768" s="430" t="s">
        <v>78</v>
      </c>
      <c r="AI768" s="437">
        <v>46231</v>
      </c>
      <c r="AJ768" s="437">
        <v>46232</v>
      </c>
      <c r="AK768" s="437">
        <v>46232</v>
      </c>
      <c r="AL768" s="956">
        <v>46274</v>
      </c>
      <c r="AM768" s="1124">
        <f>IFERROR(VLOOKUP(AT768, Vessel!A:H, 8, FALSE), "")</f>
        <v>46272.833333333336</v>
      </c>
      <c r="AN768" s="586">
        <v>46272.833333333336</v>
      </c>
      <c r="AO768" s="430"/>
      <c r="AP768" s="430" t="s">
        <v>5619</v>
      </c>
      <c r="AQ768" s="430" t="s">
        <v>80</v>
      </c>
      <c r="AR768" s="430" t="s">
        <v>5620</v>
      </c>
      <c r="AS768" s="430" t="s">
        <v>5621</v>
      </c>
      <c r="AT768" s="430" t="s">
        <v>5621</v>
      </c>
      <c r="AU76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40.833333333335759</v>
      </c>
      <c r="AV768" s="430"/>
      <c r="AW768" s="437" cm="1">
        <f t="array" ref="AW76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46272.833333333336</v>
      </c>
      <c r="AX76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68" s="437">
        <f>IF(ISERROR(PV_DATA[[#This Row],[New Ark PO status]]),"",_xlfn.XLOOKUP(PV_DATA[[#This Row],[SPTN-PVHK New Ark PO'#]],New_Ark_Data[Purchase order Number],New_Ark_Data[Estimated time of arrival],"",0))</f>
        <v>46282</v>
      </c>
      <c r="AZ768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68" s="437">
        <f>IFERROR(PV_DATA[[#This Row],[ODP ETA Port]]+PV_DATA[[#This Row],[Customs/Leg3 Assumption]],"n/a")</f>
        <v>46280.833333333336</v>
      </c>
      <c r="BB768" s="433">
        <f>YEAR(PV_DATA[[#This Row],[ETA for New Ark update]])</f>
        <v>2026</v>
      </c>
      <c r="BC768" s="430">
        <f>MONTH(PV_DATA[[#This Row],[ETA for New Ark update]])</f>
        <v>9</v>
      </c>
      <c r="BD768" s="430">
        <f>IFERROR(_xlfn.ISOWEEKNUM(PV_DATA[[#This Row],[ETA for New Ark update]]),0)</f>
        <v>38</v>
      </c>
      <c r="BE768" s="430">
        <f>_xlfn.XLOOKUP(PV_DATA[[#This Row],[New Ark SKU]],Table9[New Ark SKU],Table9[Total PCS per Pallet],,0)</f>
        <v>36</v>
      </c>
      <c r="BF768" s="430">
        <f>_xlfn.XLOOKUP(PV_DATA[[#This Row],[New Ark SKU]],Table9[New Ark SKU],Table9[Total PCS per 40HQ Container],,0)</f>
        <v>792</v>
      </c>
      <c r="BG768" s="430" t="str">
        <f>_xlfn.XLOOKUP(PV_DATA[[#This Row],[New Ark SKU]],Table9[New Ark SKU],Table9[Back Glass],,0)</f>
        <v>Black glazing</v>
      </c>
      <c r="BH768" s="610" t="str">
        <f>_xlfn.XLOOKUP(PV_DATA[[#This Row],[PORT DESTINATION]],Table12[PORT DESTINATION],Table12[Cosco Line],,0)</f>
        <v>AEM</v>
      </c>
    </row>
    <row r="769" spans="1:62" ht="10.5" hidden="1">
      <c r="A769" s="462" t="s">
        <v>5622</v>
      </c>
      <c r="B769" s="462" t="s">
        <v>1757</v>
      </c>
      <c r="C769" s="462" t="str">
        <f>IFERROR(LEFT(PV_DATA[[#This Row],[TCL REFERENCE]],FIND(".",PV_DATA[[#This Row],[TCL REFERENCE]],1)-1),"Main Line")</f>
        <v>26Jun012</v>
      </c>
      <c r="D769" s="462" t="s">
        <v>63</v>
      </c>
      <c r="E769" s="462" t="s">
        <v>64</v>
      </c>
      <c r="F769" s="462" t="str" cm="1">
        <f t="array" ref="F76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769" s="462" t="s">
        <v>402</v>
      </c>
      <c r="H769" s="462" t="s">
        <v>451</v>
      </c>
      <c r="I769" s="462" t="s">
        <v>1395</v>
      </c>
      <c r="J769" s="430" t="s">
        <v>1832</v>
      </c>
      <c r="K769" s="430"/>
      <c r="L769" s="430"/>
      <c r="M769" s="430" t="s">
        <v>68</v>
      </c>
      <c r="N769" s="432">
        <v>46195</v>
      </c>
      <c r="O769" s="430" t="s">
        <v>4540</v>
      </c>
      <c r="P769" s="430" t="s">
        <v>1151</v>
      </c>
      <c r="Q769" s="430" t="s">
        <v>421</v>
      </c>
      <c r="R769" s="430" t="str">
        <f>_xlfn.XLOOKUP(PV_DATA[[#This Row],[New Ark SKU]],Table9[New Ark SKU],Table9[Connector],,0)</f>
        <v>EVO2A</v>
      </c>
      <c r="S769" s="433" t="str">
        <f>_xlfn.XLOOKUP(PV_DATA[[#This Row],[New Ark SKU]],Table9[New Ark SKU],Table9[Cable],,0)</f>
        <v>±1200mm</v>
      </c>
      <c r="T769" s="433">
        <v>505</v>
      </c>
      <c r="U769" s="1062">
        <f>864*2</f>
        <v>1728</v>
      </c>
      <c r="V769" s="434">
        <f>PV_DATA[[#This Row],[QUANTITY]]*PV_DATA[[#This Row],[WATT]]/1000000</f>
        <v>0.87263999999999997</v>
      </c>
      <c r="W769" s="435">
        <f>PV_DATA[[#This Row],[QUANTITY]]/PV_DATA[[#This Row],[Qty/Pallet]]</f>
        <v>48</v>
      </c>
      <c r="X769" s="1015">
        <f>PV_DATA[[#This Row],[QUANTITY]]/PV_DATA[[#This Row],[Qty/CT]]</f>
        <v>2</v>
      </c>
      <c r="Y769" s="430" t="s">
        <v>4373</v>
      </c>
      <c r="Z769" s="430" t="str">
        <f t="shared" si="9"/>
        <v>COMPLETED</v>
      </c>
      <c r="AA769" s="430" t="s">
        <v>5623</v>
      </c>
      <c r="AB769" s="543">
        <v>46221</v>
      </c>
      <c r="AC769" s="485">
        <f>IF(PV_DATA[[#This Row],[Pick-Up Date]]&lt;&gt;"",_xlfn.ISOWEEKNUM(PV_DATA[[#This Row],[Pick-Up Date]]),"")</f>
        <v>29</v>
      </c>
      <c r="AD769" s="430" t="s">
        <v>5624</v>
      </c>
      <c r="AE769" s="430"/>
      <c r="AF769" s="459" t="s">
        <v>1525</v>
      </c>
      <c r="AG769" s="459" t="s">
        <v>1525</v>
      </c>
      <c r="AH769" s="430" t="s">
        <v>456</v>
      </c>
      <c r="AI769" s="437">
        <v>46225</v>
      </c>
      <c r="AJ769" s="437">
        <v>46233</v>
      </c>
      <c r="AK769" s="437">
        <v>46234</v>
      </c>
      <c r="AL769" s="437">
        <v>46260</v>
      </c>
      <c r="AM769" s="588">
        <f>IFERROR(VLOOKUP(AT769, Vessel!A:H, 8, FALSE), "")</f>
        <v>46274.999305555553</v>
      </c>
      <c r="AN769" s="586">
        <f>IFERROR(IF(VLOOKUP(AT769,Vessel!A:I,9,FALSE)=0,"",VLOOKUP(AT769,Vessel!A:I,9,FALSE)),"")</f>
        <v>46275.009525462963</v>
      </c>
      <c r="AP769" s="430" t="s">
        <v>5511</v>
      </c>
      <c r="AQ769" s="430" t="s">
        <v>80</v>
      </c>
      <c r="AR769" s="430" t="s">
        <v>5625</v>
      </c>
      <c r="AS769" s="430" t="s">
        <v>5626</v>
      </c>
      <c r="AT769" s="430" t="s">
        <v>5626</v>
      </c>
      <c r="AU76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41.009525462963211</v>
      </c>
      <c r="AV769" s="437"/>
      <c r="AW769" s="437" cm="1">
        <f t="array" ref="AW76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46275.009525462963</v>
      </c>
      <c r="AX76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69" s="437">
        <f>IF(ISERROR(PV_DATA[[#This Row],[New Ark PO status]]),"",_xlfn.XLOOKUP(PV_DATA[[#This Row],[SPTN-PVHK New Ark PO'#]],New_Ark_Data[Purchase order Number],New_Ark_Data[Estimated time of arrival],"",0))</f>
        <v>46288</v>
      </c>
      <c r="AZ769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69" s="437">
        <f>IFERROR(PV_DATA[[#This Row],[ODP ETA Port]]+PV_DATA[[#This Row],[Customs/Leg3 Assumption]],"n/a")</f>
        <v>46282.009525462963</v>
      </c>
      <c r="BB769" s="433">
        <f>YEAR(PV_DATA[[#This Row],[ETA for New Ark update]])</f>
        <v>2026</v>
      </c>
      <c r="BC769" s="430">
        <f>MONTH(PV_DATA[[#This Row],[ETA for New Ark update]])</f>
        <v>9</v>
      </c>
      <c r="BD769" s="430">
        <f>IFERROR(_xlfn.ISOWEEKNUM(PV_DATA[[#This Row],[ETA for New Ark update]]),0)</f>
        <v>38</v>
      </c>
      <c r="BE769" s="430">
        <f>_xlfn.XLOOKUP(PV_DATA[[#This Row],[New Ark SKU]],Table9[New Ark SKU],Table9[Total PCS per Pallet],,0)</f>
        <v>36</v>
      </c>
      <c r="BF769" s="430">
        <f>_xlfn.XLOOKUP(PV_DATA[[#This Row],[New Ark SKU]],Table9[New Ark SKU],Table9[Total PCS per 40HQ Container],,0)</f>
        <v>864</v>
      </c>
      <c r="BG769" s="430" t="str">
        <f>_xlfn.XLOOKUP(PV_DATA[[#This Row],[New Ark SKU]],Table9[New Ark SKU],Table9[Back Glass],,0)</f>
        <v>Black glazing</v>
      </c>
      <c r="BH769" s="430" t="str">
        <f>_xlfn.XLOOKUP(PV_DATA[[#This Row],[PORT DESTINATION]],Table12[PORT DESTINATION],Table12[Cosco Line],,0)</f>
        <v>AEU</v>
      </c>
      <c r="BJ769" s="430"/>
    </row>
    <row r="770" spans="1:62" ht="10.5" hidden="1">
      <c r="A770" s="462" t="s">
        <v>5627</v>
      </c>
      <c r="B770" s="462" t="s">
        <v>1757</v>
      </c>
      <c r="C770" s="462" t="str">
        <f>IFERROR(LEFT(PV_DATA[[#This Row],[TCL REFERENCE]],FIND(".",PV_DATA[[#This Row],[TCL REFERENCE]],1)-1),"Main Line")</f>
        <v>26Jul007</v>
      </c>
      <c r="D770" s="462" t="s">
        <v>63</v>
      </c>
      <c r="E770" s="462" t="s">
        <v>64</v>
      </c>
      <c r="F770" s="462" t="str" cm="1">
        <f t="array" ref="F77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70" s="462" t="s">
        <v>402</v>
      </c>
      <c r="H770" s="462" t="s">
        <v>67</v>
      </c>
      <c r="I770" s="462" t="s">
        <v>1395</v>
      </c>
      <c r="J770" s="430" t="s">
        <v>96</v>
      </c>
      <c r="K770" s="430"/>
      <c r="L770" s="430"/>
      <c r="M770" s="430" t="s">
        <v>68</v>
      </c>
      <c r="N770" s="432">
        <v>46209</v>
      </c>
      <c r="O770" s="430" t="s">
        <v>4540</v>
      </c>
      <c r="P770" s="430" t="s">
        <v>71</v>
      </c>
      <c r="Q770" s="430" t="s">
        <v>72</v>
      </c>
      <c r="R770" s="430" t="str">
        <f>_xlfn.XLOOKUP(PV_DATA[[#This Row],[New Ark SKU]],Table9[New Ark SKU],Table9[Connector],,0)</f>
        <v>EVO2A</v>
      </c>
      <c r="S770" s="433" t="str">
        <f>_xlfn.XLOOKUP(PV_DATA[[#This Row],[New Ark SKU]],Table9[New Ark SKU],Table9[Cable],,0)</f>
        <v>±1200mm</v>
      </c>
      <c r="T770" s="433">
        <v>500</v>
      </c>
      <c r="U770" s="1062">
        <v>4320</v>
      </c>
      <c r="V770" s="434">
        <f>PV_DATA[[#This Row],[QUANTITY]]*PV_DATA[[#This Row],[WATT]]/1000000</f>
        <v>2.16</v>
      </c>
      <c r="W770" s="435">
        <f>PV_DATA[[#This Row],[QUANTITY]]/PV_DATA[[#This Row],[Qty/Pallet]]</f>
        <v>120</v>
      </c>
      <c r="X770" s="1015">
        <f>PV_DATA[[#This Row],[QUANTITY]]/PV_DATA[[#This Row],[Qty/CT]]</f>
        <v>5</v>
      </c>
      <c r="Y770" s="430" t="s">
        <v>4372</v>
      </c>
      <c r="Z770" s="430" t="str">
        <f t="shared" si="9"/>
        <v>COMPLETED</v>
      </c>
      <c r="AA770" s="430" t="s">
        <v>5623</v>
      </c>
      <c r="AB770" s="543">
        <v>46225</v>
      </c>
      <c r="AC770" s="485">
        <f>IF(PV_DATA[[#This Row],[Pick-Up Date]]&lt;&gt;"",_xlfn.ISOWEEKNUM(PV_DATA[[#This Row],[Pick-Up Date]]),"")</f>
        <v>30</v>
      </c>
      <c r="AD770" s="430" t="s">
        <v>5628</v>
      </c>
      <c r="AE770" s="430"/>
      <c r="AF770" s="459" t="s">
        <v>1525</v>
      </c>
      <c r="AG770" s="459" t="s">
        <v>1525</v>
      </c>
      <c r="AH770" s="430" t="s">
        <v>105</v>
      </c>
      <c r="AI770" s="437">
        <v>46231</v>
      </c>
      <c r="AJ770" s="437">
        <v>46232</v>
      </c>
      <c r="AK770" s="437">
        <v>46232</v>
      </c>
      <c r="AL770" s="437">
        <v>46266</v>
      </c>
      <c r="AM770" s="588">
        <f>IFERROR(VLOOKUP(AT770, Vessel!A:H, 8, FALSE), "")</f>
        <v>46270.645833333336</v>
      </c>
      <c r="AN770" s="586">
        <f>IFERROR(IF(VLOOKUP(AT770,Vessel!A:I,9,FALSE)=0,"",VLOOKUP(AT770,Vessel!A:I,9,FALSE)),"")</f>
        <v>46270.66238425926</v>
      </c>
      <c r="AP770" s="430" t="s">
        <v>5576</v>
      </c>
      <c r="AQ770" s="430" t="s">
        <v>80</v>
      </c>
      <c r="AR770" s="430" t="s">
        <v>5629</v>
      </c>
      <c r="AS770" s="430" t="s">
        <v>5630</v>
      </c>
      <c r="AT770" s="430" t="s">
        <v>5630</v>
      </c>
      <c r="AU77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38.662384259259852</v>
      </c>
      <c r="AW770" s="437" cm="1">
        <f t="array" ref="AW77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46270.66238425926</v>
      </c>
      <c r="AX77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70" s="437">
        <f>IF(ISERROR(PV_DATA[[#This Row],[New Ark PO status]]),"",_xlfn.XLOOKUP(PV_DATA[[#This Row],[SPTN-PVHK New Ark PO'#]],New_Ark_Data[Purchase order Number],New_Ark_Data[Estimated time of arrival],"",0))</f>
        <v>46283</v>
      </c>
      <c r="AZ770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70" s="437">
        <f>IFERROR(PV_DATA[[#This Row],[ODP ETA Port]]+PV_DATA[[#This Row],[Customs/Leg3 Assumption]],"n/a")</f>
        <v>46277.66238425926</v>
      </c>
      <c r="BB770" s="433">
        <f>YEAR(PV_DATA[[#This Row],[ETA for New Ark update]])</f>
        <v>2026</v>
      </c>
      <c r="BC770" s="430">
        <f>MONTH(PV_DATA[[#This Row],[ETA for New Ark update]])</f>
        <v>9</v>
      </c>
      <c r="BD770" s="430">
        <f>IFERROR(_xlfn.ISOWEEKNUM(PV_DATA[[#This Row],[ETA for New Ark update]]),0)</f>
        <v>37</v>
      </c>
      <c r="BE770" s="430">
        <f>_xlfn.XLOOKUP(PV_DATA[[#This Row],[New Ark SKU]],Table9[New Ark SKU],Table9[Total PCS per Pallet],,0)</f>
        <v>36</v>
      </c>
      <c r="BF770" s="430">
        <f>_xlfn.XLOOKUP(PV_DATA[[#This Row],[New Ark SKU]],Table9[New Ark SKU],Table9[Total PCS per 40HQ Container],,0)</f>
        <v>864</v>
      </c>
      <c r="BG770" s="430" t="str">
        <f>_xlfn.XLOOKUP(PV_DATA[[#This Row],[New Ark SKU]],Table9[New Ark SKU],Table9[Back Glass],,0)</f>
        <v>Black glazing</v>
      </c>
      <c r="BH770" s="430" t="str">
        <f>_xlfn.XLOOKUP(PV_DATA[[#This Row],[PORT DESTINATION]],Table12[PORT DESTINATION],Table12[Cosco Line],,0)</f>
        <v>AEU</v>
      </c>
      <c r="BJ770" s="430"/>
    </row>
    <row r="771" spans="1:62" ht="10.5" hidden="1" customHeight="1">
      <c r="A771" s="462" t="s">
        <v>5631</v>
      </c>
      <c r="B771" s="462" t="s">
        <v>1757</v>
      </c>
      <c r="C771" s="462" t="str">
        <f>IFERROR(LEFT(PV_DATA[[#This Row],[TCL REFERENCE]],FIND(".",PV_DATA[[#This Row],[TCL REFERENCE]],1)-1),"Main Line")</f>
        <v>26Jun012</v>
      </c>
      <c r="D771" s="462" t="s">
        <v>63</v>
      </c>
      <c r="E771" s="462" t="s">
        <v>64</v>
      </c>
      <c r="F771" s="462" t="str" cm="1">
        <f t="array" ref="F77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71" s="462" t="s">
        <v>402</v>
      </c>
      <c r="H771" s="462" t="s">
        <v>67</v>
      </c>
      <c r="I771" s="462" t="s">
        <v>1395</v>
      </c>
      <c r="J771" s="430" t="s">
        <v>96</v>
      </c>
      <c r="K771" s="430"/>
      <c r="L771" s="430"/>
      <c r="M771" s="430" t="s">
        <v>68</v>
      </c>
      <c r="N771" s="432">
        <v>46195</v>
      </c>
      <c r="O771" s="430" t="s">
        <v>4540</v>
      </c>
      <c r="P771" s="430" t="s">
        <v>1151</v>
      </c>
      <c r="Q771" s="430" t="s">
        <v>421</v>
      </c>
      <c r="R771" s="430" t="str">
        <f>_xlfn.XLOOKUP(PV_DATA[[#This Row],[New Ark SKU]],Table9[New Ark SKU],Table9[Connector],,0)</f>
        <v>EVO2A</v>
      </c>
      <c r="S771" s="433" t="str">
        <f>_xlfn.XLOOKUP(PV_DATA[[#This Row],[New Ark SKU]],Table9[New Ark SKU],Table9[Cable],,0)</f>
        <v>±1200mm</v>
      </c>
      <c r="T771" s="433">
        <v>505</v>
      </c>
      <c r="U771" s="1062">
        <v>1728</v>
      </c>
      <c r="V771" s="434">
        <f>PV_DATA[[#This Row],[QUANTITY]]*PV_DATA[[#This Row],[WATT]]/1000000</f>
        <v>0.87263999999999997</v>
      </c>
      <c r="W771" s="435">
        <f>PV_DATA[[#This Row],[QUANTITY]]/PV_DATA[[#This Row],[Qty/Pallet]]</f>
        <v>48</v>
      </c>
      <c r="X771" s="1015">
        <f>PV_DATA[[#This Row],[QUANTITY]]/PV_DATA[[#This Row],[Qty/CT]]</f>
        <v>2</v>
      </c>
      <c r="Y771" s="430" t="s">
        <v>4371</v>
      </c>
      <c r="Z771" s="430" t="str">
        <f t="shared" si="9"/>
        <v>COMPLETED</v>
      </c>
      <c r="AA771" s="430" t="s">
        <v>5623</v>
      </c>
      <c r="AB771" s="437">
        <v>46221</v>
      </c>
      <c r="AC771" s="485">
        <f>IF(PV_DATA[[#This Row],[Pick-Up Date]]&lt;&gt;"",_xlfn.ISOWEEKNUM(PV_DATA[[#This Row],[Pick-Up Date]]),"")</f>
        <v>29</v>
      </c>
      <c r="AD771" s="430" t="s">
        <v>5632</v>
      </c>
      <c r="AE771" s="430"/>
      <c r="AF771" s="459" t="s">
        <v>1525</v>
      </c>
      <c r="AG771" s="459" t="s">
        <v>1525</v>
      </c>
      <c r="AH771" s="430" t="s">
        <v>105</v>
      </c>
      <c r="AI771" s="437">
        <v>46225</v>
      </c>
      <c r="AJ771" s="437">
        <v>46234</v>
      </c>
      <c r="AK771" s="437">
        <v>46234</v>
      </c>
      <c r="AL771" s="437">
        <v>46260</v>
      </c>
      <c r="AM771" s="588">
        <f>IFERROR(VLOOKUP(AT771, Vessel!A:H, 8, FALSE), "")</f>
        <v>46275.083333333336</v>
      </c>
      <c r="AN771" s="586">
        <f>IFERROR(IF(VLOOKUP(AT771,Vessel!A:I,9,FALSE)=0,"",VLOOKUP(AT771,Vessel!A:I,9,FALSE)),"")</f>
        <v>46275.088877314818</v>
      </c>
      <c r="AP771" s="430" t="s">
        <v>5633</v>
      </c>
      <c r="AQ771" s="430" t="s">
        <v>80</v>
      </c>
      <c r="AR771" s="430" t="s">
        <v>5634</v>
      </c>
      <c r="AS771" s="430" t="s">
        <v>5635</v>
      </c>
      <c r="AT771" s="430" t="s">
        <v>5635</v>
      </c>
      <c r="AU77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41.088877314818092</v>
      </c>
      <c r="AV771" s="437"/>
      <c r="AW771" s="437" cm="1">
        <f t="array" ref="AW77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46275.088877314818</v>
      </c>
      <c r="AX77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71" s="437">
        <f>IF(ISERROR(PV_DATA[[#This Row],[New Ark PO status]]),"",_xlfn.XLOOKUP(PV_DATA[[#This Row],[SPTN-PVHK New Ark PO'#]],New_Ark_Data[Purchase order Number],New_Ark_Data[Estimated time of arrival],"",0))</f>
        <v>46286</v>
      </c>
      <c r="AZ771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71" s="437">
        <f>IFERROR(PV_DATA[[#This Row],[ODP ETA Port]]+PV_DATA[[#This Row],[Customs/Leg3 Assumption]],"n/a")</f>
        <v>46282.088877314818</v>
      </c>
      <c r="BB771" s="433">
        <f>YEAR(PV_DATA[[#This Row],[ETA for New Ark update]])</f>
        <v>2026</v>
      </c>
      <c r="BC771" s="430">
        <f>MONTH(PV_DATA[[#This Row],[ETA for New Ark update]])</f>
        <v>9</v>
      </c>
      <c r="BD771" s="430">
        <f>IFERROR(_xlfn.ISOWEEKNUM(PV_DATA[[#This Row],[ETA for New Ark update]]),0)</f>
        <v>38</v>
      </c>
      <c r="BE771" s="430">
        <f>_xlfn.XLOOKUP(PV_DATA[[#This Row],[New Ark SKU]],Table9[New Ark SKU],Table9[Total PCS per Pallet],,0)</f>
        <v>36</v>
      </c>
      <c r="BF771" s="430">
        <f>_xlfn.XLOOKUP(PV_DATA[[#This Row],[New Ark SKU]],Table9[New Ark SKU],Table9[Total PCS per 40HQ Container],,0)</f>
        <v>864</v>
      </c>
      <c r="BG771" s="430" t="str">
        <f>_xlfn.XLOOKUP(PV_DATA[[#This Row],[New Ark SKU]],Table9[New Ark SKU],Table9[Back Glass],,0)</f>
        <v>Black glazing</v>
      </c>
      <c r="BH771" s="430" t="str">
        <f>_xlfn.XLOOKUP(PV_DATA[[#This Row],[PORT DESTINATION]],Table12[PORT DESTINATION],Table12[Cosco Line],,0)</f>
        <v>AEU</v>
      </c>
      <c r="BJ771" s="430"/>
    </row>
    <row r="772" spans="1:62" ht="10.5" hidden="1" customHeight="1">
      <c r="A772" s="462" t="s">
        <v>5636</v>
      </c>
      <c r="B772" s="462" t="s">
        <v>1757</v>
      </c>
      <c r="C772" s="462" t="str">
        <f>IFERROR(LEFT(PV_DATA[[#This Row],[TCL REFERENCE]],FIND(".",PV_DATA[[#This Row],[TCL REFERENCE]],1)-1),"Main Line")</f>
        <v>26Jul007</v>
      </c>
      <c r="D772" s="462" t="s">
        <v>63</v>
      </c>
      <c r="E772" s="462" t="s">
        <v>64</v>
      </c>
      <c r="F772" s="462" t="str" cm="1">
        <f t="array" ref="F77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72" s="462" t="s">
        <v>402</v>
      </c>
      <c r="H772" s="462" t="s">
        <v>67</v>
      </c>
      <c r="I772" s="462" t="s">
        <v>1395</v>
      </c>
      <c r="J772" s="430" t="s">
        <v>96</v>
      </c>
      <c r="K772" s="430"/>
      <c r="L772" s="430"/>
      <c r="M772" s="430" t="s">
        <v>68</v>
      </c>
      <c r="N772" s="432">
        <v>46209</v>
      </c>
      <c r="O772" s="430" t="s">
        <v>4540</v>
      </c>
      <c r="P772" s="430" t="s">
        <v>71</v>
      </c>
      <c r="Q772" s="430" t="s">
        <v>72</v>
      </c>
      <c r="R772" s="430" t="str">
        <f>_xlfn.XLOOKUP(PV_DATA[[#This Row],[New Ark SKU]],Table9[New Ark SKU],Table9[Connector],,0)</f>
        <v>EVO2A</v>
      </c>
      <c r="S772" s="433" t="str">
        <f>_xlfn.XLOOKUP(PV_DATA[[#This Row],[New Ark SKU]],Table9[New Ark SKU],Table9[Cable],,0)</f>
        <v>±1200mm</v>
      </c>
      <c r="T772" s="433">
        <v>500</v>
      </c>
      <c r="U772" s="1062">
        <v>864</v>
      </c>
      <c r="V772" s="434">
        <f>PV_DATA[[#This Row],[QUANTITY]]*PV_DATA[[#This Row],[WATT]]/1000000</f>
        <v>0.432</v>
      </c>
      <c r="W772" s="435">
        <f>PV_DATA[[#This Row],[QUANTITY]]/PV_DATA[[#This Row],[Qty/Pallet]]</f>
        <v>24</v>
      </c>
      <c r="X772" s="1015">
        <f>PV_DATA[[#This Row],[QUANTITY]]/PV_DATA[[#This Row],[Qty/CT]]</f>
        <v>1</v>
      </c>
      <c r="Y772" s="430" t="s">
        <v>4372</v>
      </c>
      <c r="Z772" s="430" t="str">
        <f t="shared" si="9"/>
        <v>COMPLETED</v>
      </c>
      <c r="AA772" s="430" t="s">
        <v>5623</v>
      </c>
      <c r="AB772" s="437">
        <v>46221</v>
      </c>
      <c r="AC772" s="485">
        <f>IF(PV_DATA[[#This Row],[Pick-Up Date]]&lt;&gt;"",_xlfn.ISOWEEKNUM(PV_DATA[[#This Row],[Pick-Up Date]]),"")</f>
        <v>29</v>
      </c>
      <c r="AD772" s="430" t="s">
        <v>5637</v>
      </c>
      <c r="AE772" s="430"/>
      <c r="AF772" s="459" t="s">
        <v>1525</v>
      </c>
      <c r="AG772" s="459" t="s">
        <v>1525</v>
      </c>
      <c r="AH772" s="430" t="s">
        <v>105</v>
      </c>
      <c r="AI772" s="437">
        <v>46225</v>
      </c>
      <c r="AJ772" s="437">
        <v>46234</v>
      </c>
      <c r="AK772" s="437">
        <v>46234</v>
      </c>
      <c r="AL772" s="437">
        <v>46260</v>
      </c>
      <c r="AM772" s="588">
        <f>IFERROR(VLOOKUP(AT772, Vessel!A:H, 8, FALSE), "")</f>
        <v>46275.083333333336</v>
      </c>
      <c r="AN772" s="586">
        <f>IFERROR(IF(VLOOKUP(AT772,Vessel!A:I,9,FALSE)=0,"",VLOOKUP(AT772,Vessel!A:I,9,FALSE)),"")</f>
        <v>46275.088877314818</v>
      </c>
      <c r="AP772" s="430" t="s">
        <v>5633</v>
      </c>
      <c r="AQ772" s="430" t="s">
        <v>80</v>
      </c>
      <c r="AR772" s="430" t="s">
        <v>5634</v>
      </c>
      <c r="AS772" s="430" t="s">
        <v>5635</v>
      </c>
      <c r="AT772" s="430" t="s">
        <v>5635</v>
      </c>
      <c r="AU77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41.088877314818092</v>
      </c>
      <c r="AW772" s="437" cm="1">
        <f t="array" ref="AW77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46275.088877314818</v>
      </c>
      <c r="AX77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72" s="437">
        <f>IF(ISERROR(PV_DATA[[#This Row],[New Ark PO status]]),"",_xlfn.XLOOKUP(PV_DATA[[#This Row],[SPTN-PVHK New Ark PO'#]],New_Ark_Data[Purchase order Number],New_Ark_Data[Estimated time of arrival],"",0))</f>
        <v>46286</v>
      </c>
      <c r="AZ772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72" s="437">
        <f>IFERROR(PV_DATA[[#This Row],[ODP ETA Port]]+PV_DATA[[#This Row],[Customs/Leg3 Assumption]],"n/a")</f>
        <v>46282.088877314818</v>
      </c>
      <c r="BB772" s="433">
        <f>YEAR(PV_DATA[[#This Row],[ETA for New Ark update]])</f>
        <v>2026</v>
      </c>
      <c r="BC772" s="430">
        <f>MONTH(PV_DATA[[#This Row],[ETA for New Ark update]])</f>
        <v>9</v>
      </c>
      <c r="BD772" s="430">
        <f>IFERROR(_xlfn.ISOWEEKNUM(PV_DATA[[#This Row],[ETA for New Ark update]]),0)</f>
        <v>38</v>
      </c>
      <c r="BE772" s="430">
        <f>_xlfn.XLOOKUP(PV_DATA[[#This Row],[New Ark SKU]],Table9[New Ark SKU],Table9[Total PCS per Pallet],,0)</f>
        <v>36</v>
      </c>
      <c r="BF772" s="430">
        <f>_xlfn.XLOOKUP(PV_DATA[[#This Row],[New Ark SKU]],Table9[New Ark SKU],Table9[Total PCS per 40HQ Container],,0)</f>
        <v>864</v>
      </c>
      <c r="BG772" s="430" t="str">
        <f>_xlfn.XLOOKUP(PV_DATA[[#This Row],[New Ark SKU]],Table9[New Ark SKU],Table9[Back Glass],,0)</f>
        <v>Black glazing</v>
      </c>
      <c r="BH772" s="610" t="str">
        <f>_xlfn.XLOOKUP(PV_DATA[[#This Row],[PORT DESTINATION]],Table12[PORT DESTINATION],Table12[Cosco Line],,0)</f>
        <v>AEU</v>
      </c>
      <c r="BJ772" s="430"/>
    </row>
    <row r="773" spans="1:62" ht="10.5" hidden="1">
      <c r="A773" s="462" t="s">
        <v>5638</v>
      </c>
      <c r="B773" s="462" t="s">
        <v>1757</v>
      </c>
      <c r="C773" s="462" t="str">
        <f>IFERROR(LEFT(PV_DATA[[#This Row],[TCL REFERENCE]],FIND(".",PV_DATA[[#This Row],[TCL REFERENCE]],1)-1),"Main Line")</f>
        <v>26Jun011</v>
      </c>
      <c r="D773" s="462" t="s">
        <v>63</v>
      </c>
      <c r="E773" s="462" t="s">
        <v>64</v>
      </c>
      <c r="F773" s="462" t="str" cm="1">
        <f t="array" ref="F77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73" s="462" t="s">
        <v>402</v>
      </c>
      <c r="H773" s="462" t="s">
        <v>67</v>
      </c>
      <c r="I773" s="462" t="s">
        <v>689</v>
      </c>
      <c r="J773" s="430" t="s">
        <v>96</v>
      </c>
      <c r="K773" s="430"/>
      <c r="L773" s="430"/>
      <c r="M773" s="430" t="s">
        <v>68</v>
      </c>
      <c r="N773" s="432">
        <v>46195</v>
      </c>
      <c r="O773" s="430" t="s">
        <v>4540</v>
      </c>
      <c r="P773" s="430" t="s">
        <v>71</v>
      </c>
      <c r="Q773" s="430" t="s">
        <v>72</v>
      </c>
      <c r="R773" s="430" t="str">
        <f>_xlfn.XLOOKUP(PV_DATA[[#This Row],[New Ark SKU]],Table9[New Ark SKU],Table9[Connector],,0)</f>
        <v>EVO2A</v>
      </c>
      <c r="S773" s="433" t="str">
        <f>_xlfn.XLOOKUP(PV_DATA[[#This Row],[New Ark SKU]],Table9[New Ark SKU],Table9[Cable],,0)</f>
        <v>±1200mm</v>
      </c>
      <c r="T773" s="433">
        <v>500</v>
      </c>
      <c r="U773" s="1062">
        <v>864</v>
      </c>
      <c r="V773" s="434">
        <f>PV_DATA[[#This Row],[QUANTITY]]*PV_DATA[[#This Row],[WATT]]/1000000</f>
        <v>0.432</v>
      </c>
      <c r="W773" s="435">
        <f>PV_DATA[[#This Row],[QUANTITY]]/PV_DATA[[#This Row],[Qty/Pallet]]</f>
        <v>24</v>
      </c>
      <c r="X773" s="1015">
        <f>PV_DATA[[#This Row],[QUANTITY]]/PV_DATA[[#This Row],[Qty/CT]]</f>
        <v>1</v>
      </c>
      <c r="Y773" s="430" t="s">
        <v>4372</v>
      </c>
      <c r="Z773" s="430" t="str">
        <f t="shared" si="9"/>
        <v>COMPLETED</v>
      </c>
      <c r="AA773" s="430" t="s">
        <v>5639</v>
      </c>
      <c r="AB773" s="543">
        <v>46228</v>
      </c>
      <c r="AC773" s="485">
        <f>IF(PV_DATA[[#This Row],[Pick-Up Date]]&lt;&gt;"",_xlfn.ISOWEEKNUM(PV_DATA[[#This Row],[Pick-Up Date]]),"")</f>
        <v>30</v>
      </c>
      <c r="AD773" s="430" t="s">
        <v>5640</v>
      </c>
      <c r="AE773" s="430"/>
      <c r="AF773" s="459" t="s">
        <v>1525</v>
      </c>
      <c r="AG773" s="459" t="s">
        <v>1525</v>
      </c>
      <c r="AH773" s="430" t="s">
        <v>78</v>
      </c>
      <c r="AI773" s="437">
        <v>46233</v>
      </c>
      <c r="AJ773" s="437">
        <v>46233</v>
      </c>
      <c r="AK773" s="437">
        <v>46232</v>
      </c>
      <c r="AL773" s="437">
        <v>46274</v>
      </c>
      <c r="AM773" s="588">
        <f>IFERROR(VLOOKUP(AT773, Vessel!A:H, 8, FALSE), "")</f>
        <v>46276.625</v>
      </c>
      <c r="AN773" s="586">
        <f>IFERROR(IF(VLOOKUP(AT773,Vessel!A:I,9,FALSE)=0,"",VLOOKUP(AT773,Vessel!A:I,9,FALSE)),"")</f>
        <v>46276.681458333333</v>
      </c>
      <c r="AP773" s="430" t="s">
        <v>5641</v>
      </c>
      <c r="AQ773" s="430" t="s">
        <v>80</v>
      </c>
      <c r="AR773" s="430" t="s">
        <v>5642</v>
      </c>
      <c r="AS773" s="430" t="s">
        <v>5643</v>
      </c>
      <c r="AT773" s="430" t="s">
        <v>5643</v>
      </c>
      <c r="AU77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44.681458333332557</v>
      </c>
      <c r="AV773" s="437"/>
      <c r="AW773" s="437" cm="1">
        <f t="array" ref="AW77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46276.681458333333</v>
      </c>
      <c r="AX77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73" s="437">
        <f>IF(ISERROR(PV_DATA[[#This Row],[New Ark PO status]]),"",_xlfn.XLOOKUP(PV_DATA[[#This Row],[SPTN-PVHK New Ark PO'#]],New_Ark_Data[Purchase order Number],New_Ark_Data[Estimated time of arrival],"",0))</f>
        <v>46288</v>
      </c>
      <c r="AZ773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73" s="437">
        <f>IFERROR(PV_DATA[[#This Row],[ODP ETA Port]]+PV_DATA[[#This Row],[Customs/Leg3 Assumption]],"n/a")</f>
        <v>46284.681458333333</v>
      </c>
      <c r="BB773" s="433">
        <f>YEAR(PV_DATA[[#This Row],[ETA for New Ark update]])</f>
        <v>2026</v>
      </c>
      <c r="BC773" s="430">
        <f>MONTH(PV_DATA[[#This Row],[ETA for New Ark update]])</f>
        <v>9</v>
      </c>
      <c r="BD773" s="430">
        <f>IFERROR(_xlfn.ISOWEEKNUM(PV_DATA[[#This Row],[ETA for New Ark update]]),0)</f>
        <v>38</v>
      </c>
      <c r="BE773" s="430">
        <f>_xlfn.XLOOKUP(PV_DATA[[#This Row],[New Ark SKU]],Table9[New Ark SKU],Table9[Total PCS per Pallet],,0)</f>
        <v>36</v>
      </c>
      <c r="BF773" s="430">
        <f>_xlfn.XLOOKUP(PV_DATA[[#This Row],[New Ark SKU]],Table9[New Ark SKU],Table9[Total PCS per 40HQ Container],,0)</f>
        <v>864</v>
      </c>
      <c r="BG773" s="430" t="str">
        <f>_xlfn.XLOOKUP(PV_DATA[[#This Row],[New Ark SKU]],Table9[New Ark SKU],Table9[Back Glass],,0)</f>
        <v>Black glazing</v>
      </c>
      <c r="BH773" s="610" t="str">
        <f>_xlfn.XLOOKUP(PV_DATA[[#This Row],[PORT DESTINATION]],Table12[PORT DESTINATION],Table12[Cosco Line],,0)</f>
        <v>AEM</v>
      </c>
      <c r="BJ773" s="430"/>
    </row>
    <row r="774" spans="1:62" ht="10.5" hidden="1">
      <c r="A774" s="462" t="s">
        <v>5644</v>
      </c>
      <c r="B774" s="462" t="s">
        <v>1757</v>
      </c>
      <c r="C774" s="462" t="str">
        <f>IFERROR(LEFT(PV_DATA[[#This Row],[TCL REFERENCE]],FIND(".",PV_DATA[[#This Row],[TCL REFERENCE]],1)-1),"Main Line")</f>
        <v>26Jun011</v>
      </c>
      <c r="D774" s="462" t="s">
        <v>63</v>
      </c>
      <c r="E774" s="462" t="s">
        <v>64</v>
      </c>
      <c r="F774" s="462" t="str" cm="1">
        <f t="array" ref="F77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74" s="462" t="s">
        <v>402</v>
      </c>
      <c r="H774" s="462" t="s">
        <v>67</v>
      </c>
      <c r="I774" s="462" t="s">
        <v>689</v>
      </c>
      <c r="J774" s="430" t="s">
        <v>96</v>
      </c>
      <c r="K774" s="430"/>
      <c r="L774" s="430"/>
      <c r="M774" s="430" t="s">
        <v>68</v>
      </c>
      <c r="N774" s="432">
        <v>46195</v>
      </c>
      <c r="O774" s="430" t="s">
        <v>4540</v>
      </c>
      <c r="P774" s="430" t="s">
        <v>71</v>
      </c>
      <c r="Q774" s="430" t="s">
        <v>72</v>
      </c>
      <c r="R774" s="430" t="str">
        <f>_xlfn.XLOOKUP(PV_DATA[[#This Row],[New Ark SKU]],Table9[New Ark SKU],Table9[Connector],,0)</f>
        <v>EVO2A</v>
      </c>
      <c r="S774" s="433" t="str">
        <f>_xlfn.XLOOKUP(PV_DATA[[#This Row],[New Ark SKU]],Table9[New Ark SKU],Table9[Cable],,0)</f>
        <v>±1200mm</v>
      </c>
      <c r="T774" s="433">
        <v>500</v>
      </c>
      <c r="U774" s="1062">
        <v>864</v>
      </c>
      <c r="V774" s="434">
        <f>PV_DATA[[#This Row],[QUANTITY]]*PV_DATA[[#This Row],[WATT]]/1000000</f>
        <v>0.432</v>
      </c>
      <c r="W774" s="435">
        <f>PV_DATA[[#This Row],[QUANTITY]]/PV_DATA[[#This Row],[Qty/Pallet]]</f>
        <v>24</v>
      </c>
      <c r="X774" s="1015">
        <f>PV_DATA[[#This Row],[QUANTITY]]/PV_DATA[[#This Row],[Qty/CT]]</f>
        <v>1</v>
      </c>
      <c r="Y774" s="430" t="s">
        <v>4372</v>
      </c>
      <c r="Z774" s="430" t="str">
        <f t="shared" si="9"/>
        <v>COMPLETED</v>
      </c>
      <c r="AA774" s="430" t="s">
        <v>5639</v>
      </c>
      <c r="AB774" s="543">
        <v>46228</v>
      </c>
      <c r="AC774" s="485">
        <f>IF(PV_DATA[[#This Row],[Pick-Up Date]]&lt;&gt;"",_xlfn.ISOWEEKNUM(PV_DATA[[#This Row],[Pick-Up Date]]),"")</f>
        <v>30</v>
      </c>
      <c r="AD774" s="430" t="s">
        <v>5645</v>
      </c>
      <c r="AE774" s="430"/>
      <c r="AF774" s="459" t="s">
        <v>1525</v>
      </c>
      <c r="AG774" s="459" t="s">
        <v>1525</v>
      </c>
      <c r="AH774" s="430" t="s">
        <v>78</v>
      </c>
      <c r="AI774" s="437">
        <v>46234</v>
      </c>
      <c r="AJ774" s="437" t="str">
        <f>IFERROR(IF(VLOOKUP(AS774,Vessel!#REF!,5,FALSE)=0,"",VLOOKUP(AS774,Vessel!#REF!,5,FALSE)),"")</f>
        <v/>
      </c>
      <c r="AK774" s="437">
        <f>IFERROR(IF(VLOOKUP(AT774,Vessel!A:F,5,FALSE)=0,"",VLOOKUP(AT774,Vessel!A:F,5,FALSE)),"")</f>
        <v>46240.833252314813</v>
      </c>
      <c r="AL774" s="437">
        <v>46279</v>
      </c>
      <c r="AM774" s="588">
        <f>IFERROR(VLOOKUP(AT774, Vessel!A:H, 8, FALSE), "")</f>
        <v>46285.041666666664</v>
      </c>
      <c r="AN774" s="586">
        <f>IFERROR(IF(VLOOKUP(AT774,Vessel!A:I,9,FALSE)=0,"",VLOOKUP(AT774,Vessel!A:I,9,FALSE)),"")</f>
        <v>46284.921701388892</v>
      </c>
      <c r="AP774" s="430" t="s">
        <v>5528</v>
      </c>
      <c r="AQ774" s="430" t="s">
        <v>80</v>
      </c>
      <c r="AR774" s="430" t="s">
        <v>5646</v>
      </c>
      <c r="AS774" s="430" t="s">
        <v>5647</v>
      </c>
      <c r="AT774" s="430" t="s">
        <v>5647</v>
      </c>
      <c r="AU77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44.088449074079108</v>
      </c>
      <c r="AV774" s="437"/>
      <c r="AW774" s="437" cm="1">
        <f t="array" ref="AW77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46284.921701388892</v>
      </c>
      <c r="AX77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74" s="437">
        <f>IF(ISERROR(PV_DATA[[#This Row],[New Ark PO status]]),"",_xlfn.XLOOKUP(PV_DATA[[#This Row],[SPTN-PVHK New Ark PO'#]],New_Ark_Data[Purchase order Number],New_Ark_Data[Estimated time of arrival],"",0))</f>
        <v>46297</v>
      </c>
      <c r="AZ774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74" s="437">
        <f>IFERROR(PV_DATA[[#This Row],[ODP ETA Port]]+PV_DATA[[#This Row],[Customs/Leg3 Assumption]],"n/a")</f>
        <v>46292.921701388892</v>
      </c>
      <c r="BB774" s="433">
        <f>YEAR(PV_DATA[[#This Row],[ETA for New Ark update]])</f>
        <v>2026</v>
      </c>
      <c r="BC774" s="430">
        <f>MONTH(PV_DATA[[#This Row],[ETA for New Ark update]])</f>
        <v>9</v>
      </c>
      <c r="BD774" s="430">
        <f>IFERROR(_xlfn.ISOWEEKNUM(PV_DATA[[#This Row],[ETA for New Ark update]]),0)</f>
        <v>39</v>
      </c>
      <c r="BE774" s="430">
        <f>_xlfn.XLOOKUP(PV_DATA[[#This Row],[New Ark SKU]],Table9[New Ark SKU],Table9[Total PCS per Pallet],,0)</f>
        <v>36</v>
      </c>
      <c r="BF774" s="430">
        <f>_xlfn.XLOOKUP(PV_DATA[[#This Row],[New Ark SKU]],Table9[New Ark SKU],Table9[Total PCS per 40HQ Container],,0)</f>
        <v>864</v>
      </c>
      <c r="BG774" s="430" t="str">
        <f>_xlfn.XLOOKUP(PV_DATA[[#This Row],[New Ark SKU]],Table9[New Ark SKU],Table9[Back Glass],,0)</f>
        <v>Black glazing</v>
      </c>
      <c r="BH774" s="610" t="str">
        <f>_xlfn.XLOOKUP(PV_DATA[[#This Row],[PORT DESTINATION]],Table12[PORT DESTINATION],Table12[Cosco Line],,0)</f>
        <v>AEM</v>
      </c>
      <c r="BJ774" s="430"/>
    </row>
    <row r="775" spans="1:62" ht="10.5" hidden="1">
      <c r="A775" s="462" t="s">
        <v>5648</v>
      </c>
      <c r="B775" s="462" t="s">
        <v>1757</v>
      </c>
      <c r="C775" s="462" t="str">
        <f>IFERROR(LEFT(PV_DATA[[#This Row],[TCL REFERENCE]],FIND(".",PV_DATA[[#This Row],[TCL REFERENCE]],1)-1),"Main Line")</f>
        <v>26Jun011</v>
      </c>
      <c r="D775" s="462" t="s">
        <v>63</v>
      </c>
      <c r="E775" s="462" t="s">
        <v>64</v>
      </c>
      <c r="F775" s="462" t="str" cm="1">
        <f t="array" ref="F77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75" s="462" t="s">
        <v>402</v>
      </c>
      <c r="H775" s="462" t="s">
        <v>67</v>
      </c>
      <c r="I775" s="462" t="s">
        <v>689</v>
      </c>
      <c r="J775" s="430" t="s">
        <v>96</v>
      </c>
      <c r="K775" s="430"/>
      <c r="L775" s="430"/>
      <c r="M775" s="430" t="s">
        <v>68</v>
      </c>
      <c r="N775" s="432">
        <v>46195</v>
      </c>
      <c r="O775" s="430" t="s">
        <v>4540</v>
      </c>
      <c r="P775" s="430" t="s">
        <v>71</v>
      </c>
      <c r="Q775" s="430" t="s">
        <v>72</v>
      </c>
      <c r="R775" s="430" t="str">
        <f>_xlfn.XLOOKUP(PV_DATA[[#This Row],[New Ark SKU]],Table9[New Ark SKU],Table9[Connector],,0)</f>
        <v>EVO2A</v>
      </c>
      <c r="S775" s="433" t="str">
        <f>_xlfn.XLOOKUP(PV_DATA[[#This Row],[New Ark SKU]],Table9[New Ark SKU],Table9[Cable],,0)</f>
        <v>±1200mm</v>
      </c>
      <c r="T775" s="433">
        <v>500</v>
      </c>
      <c r="U775" s="1062">
        <v>864</v>
      </c>
      <c r="V775" s="434">
        <f>PV_DATA[[#This Row],[QUANTITY]]*PV_DATA[[#This Row],[WATT]]/1000000</f>
        <v>0.432</v>
      </c>
      <c r="W775" s="435">
        <f>PV_DATA[[#This Row],[QUANTITY]]/PV_DATA[[#This Row],[Qty/Pallet]]</f>
        <v>24</v>
      </c>
      <c r="X775" s="1015">
        <f>PV_DATA[[#This Row],[QUANTITY]]/PV_DATA[[#This Row],[Qty/CT]]</f>
        <v>1</v>
      </c>
      <c r="Y775" s="430" t="s">
        <v>4372</v>
      </c>
      <c r="Z775" s="430" t="str">
        <f t="shared" si="9"/>
        <v>COMPLETED</v>
      </c>
      <c r="AA775" s="430" t="s">
        <v>5639</v>
      </c>
      <c r="AB775" s="543">
        <v>46233</v>
      </c>
      <c r="AC775" s="485">
        <f>IF(PV_DATA[[#This Row],[Pick-Up Date]]&lt;&gt;"",_xlfn.ISOWEEKNUM(PV_DATA[[#This Row],[Pick-Up Date]]),"")</f>
        <v>31</v>
      </c>
      <c r="AD775" s="430" t="s">
        <v>5649</v>
      </c>
      <c r="AE775" s="430"/>
      <c r="AF775" s="459" t="s">
        <v>1525</v>
      </c>
      <c r="AG775" s="459" t="s">
        <v>1525</v>
      </c>
      <c r="AH775" s="430" t="s">
        <v>78</v>
      </c>
      <c r="AI775" s="437">
        <v>46235</v>
      </c>
      <c r="AK775" s="437">
        <f>IFERROR(IF(VLOOKUP(AT775,Vessel!A:F,5,FALSE)=0,"",VLOOKUP(AT775,Vessel!A:F,5,FALSE)),"")</f>
        <v>46255.885057870371</v>
      </c>
      <c r="AL775" s="437">
        <v>46286</v>
      </c>
      <c r="AM775" s="588">
        <f>IFERROR(VLOOKUP(AT775, Vessel!A:H, 8, FALSE), "")</f>
        <v>46320.645833333336</v>
      </c>
      <c r="AN775" s="586">
        <f>IFERROR(IF(VLOOKUP(AT775,Vessel!A:I,9,FALSE)=0,"",VLOOKUP(AT775,Vessel!A:I,9,FALSE)),"")</f>
        <v>46320.713321759256</v>
      </c>
      <c r="AP775" s="430" t="s">
        <v>5650</v>
      </c>
      <c r="AQ775" s="430" t="s">
        <v>80</v>
      </c>
      <c r="AR775" s="430" t="s">
        <v>5651</v>
      </c>
      <c r="AS775" s="430" t="s">
        <v>5652</v>
      </c>
      <c r="AT775" s="430" t="s">
        <v>5652</v>
      </c>
      <c r="AU77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64.828263888884976</v>
      </c>
      <c r="AV775" s="437"/>
      <c r="AW775" s="437" cm="1">
        <f t="array" ref="AW77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46320.713321759256</v>
      </c>
      <c r="AX77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75" s="437">
        <f>IF(ISERROR(PV_DATA[[#This Row],[New Ark PO status]]),"",_xlfn.XLOOKUP(PV_DATA[[#This Row],[SPTN-PVHK New Ark PO'#]],New_Ark_Data[Purchase order Number],New_Ark_Data[Estimated time of arrival],"",0))</f>
        <v>46321</v>
      </c>
      <c r="AZ775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75" s="437">
        <f>IFERROR(PV_DATA[[#This Row],[ODP ETA Port]]+PV_DATA[[#This Row],[Customs/Leg3 Assumption]],"n/a")</f>
        <v>46328.713321759256</v>
      </c>
      <c r="BB775" s="433">
        <f>YEAR(PV_DATA[[#This Row],[ETA for New Ark update]])</f>
        <v>2026</v>
      </c>
      <c r="BC775" s="430">
        <f>MONTH(PV_DATA[[#This Row],[ETA for New Ark update]])</f>
        <v>11</v>
      </c>
      <c r="BD775" s="430">
        <f>IFERROR(_xlfn.ISOWEEKNUM(PV_DATA[[#This Row],[ETA for New Ark update]]),0)</f>
        <v>45</v>
      </c>
      <c r="BE775" s="430">
        <f>_xlfn.XLOOKUP(PV_DATA[[#This Row],[New Ark SKU]],Table9[New Ark SKU],Table9[Total PCS per Pallet],,0)</f>
        <v>36</v>
      </c>
      <c r="BF775" s="430">
        <f>_xlfn.XLOOKUP(PV_DATA[[#This Row],[New Ark SKU]],Table9[New Ark SKU],Table9[Total PCS per 40HQ Container],,0)</f>
        <v>864</v>
      </c>
      <c r="BG775" s="430" t="str">
        <f>_xlfn.XLOOKUP(PV_DATA[[#This Row],[New Ark SKU]],Table9[New Ark SKU],Table9[Back Glass],,0)</f>
        <v>Black glazing</v>
      </c>
      <c r="BH775" s="610" t="str">
        <f>_xlfn.XLOOKUP(PV_DATA[[#This Row],[PORT DESTINATION]],Table12[PORT DESTINATION],Table12[Cosco Line],,0)</f>
        <v>AEM</v>
      </c>
      <c r="BJ775" s="430"/>
    </row>
    <row r="776" spans="1:62" ht="10.5" hidden="1">
      <c r="A776" s="462" t="s">
        <v>5653</v>
      </c>
      <c r="B776" s="462" t="s">
        <v>1757</v>
      </c>
      <c r="C776" s="462" t="str">
        <f>IFERROR(LEFT(PV_DATA[[#This Row],[TCL REFERENCE]],FIND(".",PV_DATA[[#This Row],[TCL REFERENCE]],1)-1),"Main Line")</f>
        <v>26Jun011</v>
      </c>
      <c r="D776" s="462" t="s">
        <v>63</v>
      </c>
      <c r="E776" s="462" t="s">
        <v>64</v>
      </c>
      <c r="F776" s="462" t="str" cm="1">
        <f t="array" ref="F77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76" s="462" t="s">
        <v>402</v>
      </c>
      <c r="H776" s="462" t="s">
        <v>67</v>
      </c>
      <c r="I776" s="462" t="s">
        <v>689</v>
      </c>
      <c r="J776" s="430" t="s">
        <v>96</v>
      </c>
      <c r="K776" s="430"/>
      <c r="L776" s="430"/>
      <c r="M776" s="430" t="s">
        <v>68</v>
      </c>
      <c r="N776" s="432">
        <v>46195</v>
      </c>
      <c r="O776" s="430" t="s">
        <v>4540</v>
      </c>
      <c r="P776" s="430" t="s">
        <v>71</v>
      </c>
      <c r="Q776" s="430" t="s">
        <v>72</v>
      </c>
      <c r="R776" s="430" t="str">
        <f>_xlfn.XLOOKUP(PV_DATA[[#This Row],[New Ark SKU]],Table9[New Ark SKU],Table9[Connector],,0)</f>
        <v>EVO2A</v>
      </c>
      <c r="S776" s="433" t="str">
        <f>_xlfn.XLOOKUP(PV_DATA[[#This Row],[New Ark SKU]],Table9[New Ark SKU],Table9[Cable],,0)</f>
        <v>±1200mm</v>
      </c>
      <c r="T776" s="433">
        <v>500</v>
      </c>
      <c r="U776" s="1062">
        <v>864</v>
      </c>
      <c r="V776" s="434">
        <f>PV_DATA[[#This Row],[QUANTITY]]*PV_DATA[[#This Row],[WATT]]/1000000</f>
        <v>0.432</v>
      </c>
      <c r="W776" s="435">
        <f>PV_DATA[[#This Row],[QUANTITY]]/PV_DATA[[#This Row],[Qty/Pallet]]</f>
        <v>24</v>
      </c>
      <c r="X776" s="1015">
        <f>PV_DATA[[#This Row],[QUANTITY]]/PV_DATA[[#This Row],[Qty/CT]]</f>
        <v>1</v>
      </c>
      <c r="Y776" s="430" t="s">
        <v>4372</v>
      </c>
      <c r="Z776" s="430" t="str">
        <f t="shared" si="9"/>
        <v>COMPLETED</v>
      </c>
      <c r="AA776" s="430" t="s">
        <v>5639</v>
      </c>
      <c r="AB776" s="437">
        <v>46221</v>
      </c>
      <c r="AC776" s="485">
        <f>IF(PV_DATA[[#This Row],[Pick-Up Date]]&lt;&gt;"",_xlfn.ISOWEEKNUM(PV_DATA[[#This Row],[Pick-Up Date]]),"")</f>
        <v>29</v>
      </c>
      <c r="AD776" s="430" t="s">
        <v>5654</v>
      </c>
      <c r="AE776" s="430"/>
      <c r="AF776" s="459" t="s">
        <v>1525</v>
      </c>
      <c r="AG776" s="459" t="s">
        <v>1525</v>
      </c>
      <c r="AH776" s="430" t="s">
        <v>78</v>
      </c>
      <c r="AI776" s="437">
        <v>46227</v>
      </c>
      <c r="AJ776" s="437">
        <v>46230</v>
      </c>
      <c r="AK776" s="437">
        <v>46230</v>
      </c>
      <c r="AL776" s="437">
        <v>46272</v>
      </c>
      <c r="AM776" s="588">
        <f>IFERROR(VLOOKUP(AT776, Vessel!A:H, 8, FALSE), "")</f>
        <v>46296.916666666664</v>
      </c>
      <c r="AN776" s="586">
        <v>46296</v>
      </c>
      <c r="AP776" s="430" t="s">
        <v>5655</v>
      </c>
      <c r="AQ776" s="430" t="s">
        <v>80</v>
      </c>
      <c r="AR776" s="430" t="s">
        <v>5656</v>
      </c>
      <c r="AS776" s="430" t="s">
        <v>5657</v>
      </c>
      <c r="AT776" s="430" t="s">
        <v>5657</v>
      </c>
      <c r="AU77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66</v>
      </c>
      <c r="AV776" s="437"/>
      <c r="AW776" s="437" cm="1">
        <f t="array" ref="AW77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46296</v>
      </c>
      <c r="AX77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76" s="437">
        <f>IF(ISERROR(PV_DATA[[#This Row],[New Ark PO status]]),"",_xlfn.XLOOKUP(PV_DATA[[#This Row],[SPTN-PVHK New Ark PO'#]],New_Ark_Data[Purchase order Number],New_Ark_Data[Estimated time of arrival],"",0))</f>
        <v>46293</v>
      </c>
      <c r="AZ776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76" s="437">
        <f>IFERROR(PV_DATA[[#This Row],[ODP ETA Port]]+PV_DATA[[#This Row],[Customs/Leg3 Assumption]],"n/a")</f>
        <v>46304</v>
      </c>
      <c r="BB776" s="433">
        <f>YEAR(PV_DATA[[#This Row],[ETA for New Ark update]])</f>
        <v>2026</v>
      </c>
      <c r="BC776" s="430">
        <f>MONTH(PV_DATA[[#This Row],[ETA for New Ark update]])</f>
        <v>10</v>
      </c>
      <c r="BD776" s="430">
        <f>IFERROR(_xlfn.ISOWEEKNUM(PV_DATA[[#This Row],[ETA for New Ark update]]),0)</f>
        <v>41</v>
      </c>
      <c r="BE776" s="430">
        <f>_xlfn.XLOOKUP(PV_DATA[[#This Row],[New Ark SKU]],Table9[New Ark SKU],Table9[Total PCS per Pallet],,0)</f>
        <v>36</v>
      </c>
      <c r="BF776" s="430">
        <f>_xlfn.XLOOKUP(PV_DATA[[#This Row],[New Ark SKU]],Table9[New Ark SKU],Table9[Total PCS per 40HQ Container],,0)</f>
        <v>864</v>
      </c>
      <c r="BG776" s="430" t="str">
        <f>_xlfn.XLOOKUP(PV_DATA[[#This Row],[New Ark SKU]],Table9[New Ark SKU],Table9[Back Glass],,0)</f>
        <v>Black glazing</v>
      </c>
      <c r="BH776" s="610" t="str">
        <f>_xlfn.XLOOKUP(PV_DATA[[#This Row],[PORT DESTINATION]],Table12[PORT DESTINATION],Table12[Cosco Line],,0)</f>
        <v>AEM</v>
      </c>
      <c r="BJ776" s="430"/>
    </row>
    <row r="777" spans="1:62" ht="10.5" hidden="1">
      <c r="A777" s="462" t="s">
        <v>5658</v>
      </c>
      <c r="B777" s="462" t="s">
        <v>111</v>
      </c>
      <c r="C777" s="462" t="str">
        <f>IFERROR(LEFT(PV_DATA[[#This Row],[TCL REFERENCE]],FIND(".",PV_DATA[[#This Row],[TCL REFERENCE]],1)-1),"Main Line")</f>
        <v>26Jul013</v>
      </c>
      <c r="D777" s="462" t="s">
        <v>63</v>
      </c>
      <c r="E777" s="462" t="s">
        <v>64</v>
      </c>
      <c r="F777" s="462" t="str" cm="1">
        <f t="array" ref="F77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777" s="462" t="s">
        <v>402</v>
      </c>
      <c r="H777" s="462" t="s">
        <v>115</v>
      </c>
      <c r="I777" s="462" t="s">
        <v>689</v>
      </c>
      <c r="J777" s="430" t="s">
        <v>96</v>
      </c>
      <c r="K777" s="430"/>
      <c r="L777" s="430"/>
      <c r="M777" s="430" t="s">
        <v>68</v>
      </c>
      <c r="N777" s="432">
        <v>46202</v>
      </c>
      <c r="O777" s="430" t="s">
        <v>5345</v>
      </c>
      <c r="P777" s="430" t="s">
        <v>5346</v>
      </c>
      <c r="Q777" s="430" t="s">
        <v>5347</v>
      </c>
      <c r="R777" s="430" t="str">
        <f>_xlfn.XLOOKUP(PV_DATA[[#This Row],[New Ark SKU]],Table9[New Ark SKU],Table9[Connector],,0)</f>
        <v>EVO2A</v>
      </c>
      <c r="S777" s="433" t="str">
        <f>_xlfn.XLOOKUP(PV_DATA[[#This Row],[New Ark SKU]],Table9[New Ark SKU],Table9[Cable],,0)</f>
        <v>±1400mm</v>
      </c>
      <c r="T777" s="433">
        <v>580</v>
      </c>
      <c r="U777" s="1062">
        <v>720</v>
      </c>
      <c r="V777" s="434">
        <f>PV_DATA[[#This Row],[QUANTITY]]*PV_DATA[[#This Row],[WATT]]/1000000</f>
        <v>0.41760000000000003</v>
      </c>
      <c r="W777" s="435">
        <f>PV_DATA[[#This Row],[QUANTITY]]/PV_DATA[[#This Row],[Qty/Pallet]]</f>
        <v>20</v>
      </c>
      <c r="X777" s="1015">
        <f>PV_DATA[[#This Row],[QUANTITY]]/PV_DATA[[#This Row],[Qty/CT]]</f>
        <v>1</v>
      </c>
      <c r="Y777" s="430" t="s">
        <v>4371</v>
      </c>
      <c r="Z777" s="430" t="str">
        <f t="shared" si="9"/>
        <v>COMPLETED</v>
      </c>
      <c r="AA777" s="430" t="s">
        <v>5659</v>
      </c>
      <c r="AB777" s="543">
        <v>46232</v>
      </c>
      <c r="AC777" s="485">
        <f>IF(PV_DATA[[#This Row],[Pick-Up Date]]&lt;&gt;"",_xlfn.ISOWEEKNUM(PV_DATA[[#This Row],[Pick-Up Date]]),"")</f>
        <v>31</v>
      </c>
      <c r="AD777" s="430" t="s">
        <v>5660</v>
      </c>
      <c r="AE777" s="430"/>
      <c r="AF777" s="430" t="s">
        <v>1525</v>
      </c>
      <c r="AG777" s="430" t="s">
        <v>1525</v>
      </c>
      <c r="AH777" s="430" t="s">
        <v>124</v>
      </c>
      <c r="AI777" s="437">
        <v>46227</v>
      </c>
      <c r="AJ777" s="437">
        <f>IFERROR(IF(VLOOKUP(AT777,Vessel!A:D,4,FALSE)=0,"",VLOOKUP(AT777,Vessel!A:D,4,FALSE)),"")</f>
        <v>46237.5625</v>
      </c>
      <c r="AK777" s="437">
        <v>46237</v>
      </c>
      <c r="AL777" s="437">
        <v>46268</v>
      </c>
      <c r="AM777" s="588">
        <f>IFERROR(VLOOKUP(AT777, Vessel!A:H, 8, FALSE), "")</f>
        <v>46280.541666666664</v>
      </c>
      <c r="AN777" s="586">
        <v>46280.541666666664</v>
      </c>
      <c r="AP777" s="430" t="s">
        <v>5560</v>
      </c>
      <c r="AQ777" s="430" t="s">
        <v>80</v>
      </c>
      <c r="AR777" s="430" t="s">
        <v>5661</v>
      </c>
      <c r="AS777" s="430" t="s">
        <v>5662</v>
      </c>
      <c r="AT777" s="430" t="s">
        <v>5662</v>
      </c>
      <c r="AU77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43.541666666664241</v>
      </c>
      <c r="AW777" s="437" cm="1">
        <f t="array" ref="AW77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46280.541666666664</v>
      </c>
      <c r="AX77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77" s="437">
        <f>IF(ISERROR(PV_DATA[[#This Row],[New Ark PO status]]),"",_xlfn.XLOOKUP(PV_DATA[[#This Row],[SPTN-PVHK New Ark PO'#]],New_Ark_Data[Purchase order Number],New_Ark_Data[Estimated time of arrival],"",0))</f>
        <v>46294</v>
      </c>
      <c r="AZ777" s="433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777" s="437">
        <f>IFERROR(PV_DATA[[#This Row],[ODP ETA Port]]+PV_DATA[[#This Row],[Customs/Leg3 Assumption]],"n/a")</f>
        <v>46289.541666666664</v>
      </c>
      <c r="BB777" s="433">
        <f>YEAR(PV_DATA[[#This Row],[ETA for New Ark update]])</f>
        <v>2026</v>
      </c>
      <c r="BC777" s="430">
        <f>MONTH(PV_DATA[[#This Row],[ETA for New Ark update]])</f>
        <v>9</v>
      </c>
      <c r="BD777" s="430">
        <f>IFERROR(_xlfn.ISOWEEKNUM(PV_DATA[[#This Row],[ETA for New Ark update]]),0)</f>
        <v>39</v>
      </c>
      <c r="BE777" s="430">
        <f>_xlfn.XLOOKUP(PV_DATA[[#This Row],[New Ark SKU]],Table9[New Ark SKU],Table9[Total PCS per Pallet],,0)</f>
        <v>36</v>
      </c>
      <c r="BF777" s="430">
        <f>_xlfn.XLOOKUP(PV_DATA[[#This Row],[New Ark SKU]],Table9[New Ark SKU],Table9[Total PCS per 40HQ Container],,0)</f>
        <v>720</v>
      </c>
      <c r="BG777" s="430" t="str">
        <f>_xlfn.XLOOKUP(PV_DATA[[#This Row],[New Ark SKU]],Table9[New Ark SKU],Table9[Back Glass],,0)</f>
        <v>Transparent</v>
      </c>
      <c r="BH777" s="610" t="str">
        <f>_xlfn.XLOOKUP(PV_DATA[[#This Row],[PORT DESTINATION]],Table12[PORT DESTINATION],Table12[Cosco Line],,0)</f>
        <v>AEM</v>
      </c>
      <c r="BJ777" s="430"/>
    </row>
    <row r="778" spans="1:62" ht="10.5" hidden="1">
      <c r="A778" s="462" t="s">
        <v>5663</v>
      </c>
      <c r="B778" s="462" t="s">
        <v>61</v>
      </c>
      <c r="C778" s="462" t="str">
        <f>IFERROR(LEFT(PV_DATA[[#This Row],[TCL REFERENCE]],FIND(".",PV_DATA[[#This Row],[TCL REFERENCE]],1)-1),"Main Line")</f>
        <v>26May007</v>
      </c>
      <c r="D778" s="462" t="s">
        <v>63</v>
      </c>
      <c r="E778" s="462" t="s">
        <v>64</v>
      </c>
      <c r="F778" s="462" t="str" cm="1">
        <f t="array" ref="F77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778" s="462" t="s">
        <v>402</v>
      </c>
      <c r="H778" s="462" t="s">
        <v>451</v>
      </c>
      <c r="I778" s="462" t="s">
        <v>689</v>
      </c>
      <c r="J778" s="430" t="s">
        <v>96</v>
      </c>
      <c r="K778" s="430"/>
      <c r="L778" s="430"/>
      <c r="M778" s="430" t="s">
        <v>68</v>
      </c>
      <c r="N778" s="432">
        <v>45809</v>
      </c>
      <c r="O778" s="430" t="s">
        <v>4540</v>
      </c>
      <c r="P778" s="430" t="s">
        <v>195</v>
      </c>
      <c r="Q778" s="430" t="s">
        <v>196</v>
      </c>
      <c r="R778" s="430" t="str">
        <f>_xlfn.XLOOKUP(PV_DATA[[#This Row],[New Ark SKU]],Table9[New Ark SKU],Table9[Connector],,0)</f>
        <v>EVO2A</v>
      </c>
      <c r="S778" s="433" t="str">
        <f>_xlfn.XLOOKUP(PV_DATA[[#This Row],[New Ark SKU]],Table9[New Ark SKU],Table9[Cable],,0)</f>
        <v>±1200mm</v>
      </c>
      <c r="T778" s="433">
        <v>450</v>
      </c>
      <c r="U778" s="1062">
        <v>936</v>
      </c>
      <c r="V778" s="434">
        <f>PV_DATA[[#This Row],[QUANTITY]]*PV_DATA[[#This Row],[WATT]]/1000000</f>
        <v>0.42120000000000002</v>
      </c>
      <c r="W778" s="435">
        <f>PV_DATA[[#This Row],[QUANTITY]]/PV_DATA[[#This Row],[Qty/Pallet]]</f>
        <v>26</v>
      </c>
      <c r="X778" s="1015">
        <f>PV_DATA[[#This Row],[QUANTITY]]/PV_DATA[[#This Row],[Qty/CT]]</f>
        <v>1</v>
      </c>
      <c r="Y778" s="430" t="s">
        <v>4370</v>
      </c>
      <c r="Z778" s="430" t="str">
        <f t="shared" si="9"/>
        <v>COMPLETED</v>
      </c>
      <c r="AA778" s="430" t="s">
        <v>5664</v>
      </c>
      <c r="AB778" s="437">
        <v>46224</v>
      </c>
      <c r="AC778" s="485">
        <f>IF(PV_DATA[[#This Row],[Pick-Up Date]]&lt;&gt;"",_xlfn.ISOWEEKNUM(PV_DATA[[#This Row],[Pick-Up Date]]),"")</f>
        <v>30</v>
      </c>
      <c r="AD778" s="430" t="s">
        <v>5665</v>
      </c>
      <c r="AE778" s="430"/>
      <c r="AF778" s="430" t="s">
        <v>61</v>
      </c>
      <c r="AG778" s="430" t="s">
        <v>61</v>
      </c>
      <c r="AH778" s="430" t="s">
        <v>456</v>
      </c>
      <c r="AI778" s="437">
        <v>46229</v>
      </c>
      <c r="AJ778" s="437">
        <v>46229</v>
      </c>
      <c r="AK778" s="437">
        <v>46229</v>
      </c>
      <c r="AL778" s="437">
        <v>46278</v>
      </c>
      <c r="AM778" s="588">
        <f>IFERROR(VLOOKUP(AT778, Vessel!A:H, 8, FALSE), "")</f>
        <v>46290.041666666664</v>
      </c>
      <c r="AN778" s="586">
        <f>IFERROR(IF(VLOOKUP(AT778,Vessel!A:I,9,FALSE)=0,"",VLOOKUP(AT778,Vessel!A:I,9,FALSE)),"")</f>
        <v>46290.087800925925</v>
      </c>
      <c r="AP778" s="430" t="s">
        <v>5608</v>
      </c>
      <c r="AQ778" s="430" t="s">
        <v>80</v>
      </c>
      <c r="AR778" s="430" t="s">
        <v>5666</v>
      </c>
      <c r="AS778" s="430" t="s">
        <v>5667</v>
      </c>
      <c r="AT778" s="430" t="s">
        <v>5667</v>
      </c>
      <c r="AU77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61.087800925924967</v>
      </c>
      <c r="AV778" s="437"/>
      <c r="AW778" s="437" cm="1">
        <f t="array" ref="AW77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46290.087800925925</v>
      </c>
      <c r="AX77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78" s="437">
        <f>IF(ISERROR(PV_DATA[[#This Row],[New Ark PO status]]),"",_xlfn.XLOOKUP(PV_DATA[[#This Row],[SPTN-PVHK New Ark PO'#]],New_Ark_Data[Purchase order Number],New_Ark_Data[Estimated time of arrival],"",0))</f>
        <v>46668</v>
      </c>
      <c r="AZ778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78" s="437">
        <f>IFERROR(PV_DATA[[#This Row],[ODP ETA Port]]+PV_DATA[[#This Row],[Customs/Leg3 Assumption]],"n/a")</f>
        <v>46297.087800925925</v>
      </c>
      <c r="BB778" s="433">
        <f>YEAR(PV_DATA[[#This Row],[ETA for New Ark update]])</f>
        <v>2026</v>
      </c>
      <c r="BC778" s="430">
        <f>MONTH(PV_DATA[[#This Row],[ETA for New Ark update]])</f>
        <v>10</v>
      </c>
      <c r="BD778" s="430">
        <f>IFERROR(_xlfn.ISOWEEKNUM(PV_DATA[[#This Row],[ETA for New Ark update]]),0)</f>
        <v>40</v>
      </c>
      <c r="BE778" s="430">
        <f>_xlfn.XLOOKUP(PV_DATA[[#This Row],[New Ark SKU]],Table9[New Ark SKU],Table9[Total PCS per Pallet],,0)</f>
        <v>36</v>
      </c>
      <c r="BF778" s="430">
        <f>_xlfn.XLOOKUP(PV_DATA[[#This Row],[New Ark SKU]],Table9[New Ark SKU],Table9[Total PCS per 40HQ Container],,0)</f>
        <v>936</v>
      </c>
      <c r="BG778" s="430" t="str">
        <f>_xlfn.XLOOKUP(PV_DATA[[#This Row],[New Ark SKU]],Table9[New Ark SKU],Table9[Back Glass],,0)</f>
        <v>Black glazing</v>
      </c>
      <c r="BH778" s="430" t="str">
        <f>_xlfn.XLOOKUP(PV_DATA[[#This Row],[PORT DESTINATION]],Table12[PORT DESTINATION],Table12[Cosco Line],,0)</f>
        <v>AEU</v>
      </c>
      <c r="BJ778" s="430"/>
    </row>
    <row r="779" spans="1:62" ht="10.5" hidden="1">
      <c r="A779" s="462" t="s">
        <v>5668</v>
      </c>
      <c r="B779" s="462" t="s">
        <v>61</v>
      </c>
      <c r="C779" s="462" t="str">
        <f>IFERROR(LEFT(PV_DATA[[#This Row],[TCL REFERENCE]],FIND(".",PV_DATA[[#This Row],[TCL REFERENCE]],1)-1),"Main Line")</f>
        <v>26Jul011</v>
      </c>
      <c r="D779" s="462" t="s">
        <v>63</v>
      </c>
      <c r="E779" s="462" t="s">
        <v>64</v>
      </c>
      <c r="F779" s="462" t="str" cm="1">
        <f t="array" ref="F77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79" s="462" t="s">
        <v>402</v>
      </c>
      <c r="H779" s="462" t="s">
        <v>67</v>
      </c>
      <c r="I779" s="462" t="s">
        <v>882</v>
      </c>
      <c r="J779" s="430" t="s">
        <v>96</v>
      </c>
      <c r="K779" s="430"/>
      <c r="L779" s="430"/>
      <c r="M779" s="430" t="s">
        <v>68</v>
      </c>
      <c r="N779" s="432">
        <v>46209</v>
      </c>
      <c r="O779" s="430" t="s">
        <v>284</v>
      </c>
      <c r="P779" s="430" t="s">
        <v>5592</v>
      </c>
      <c r="Q779" s="430" t="s">
        <v>1570</v>
      </c>
      <c r="R779" s="430" t="str">
        <f>_xlfn.XLOOKUP(PV_DATA[[#This Row],[New Ark SKU]],Table9[New Ark SKU],Table9[Connector],,0)</f>
        <v>H4(Com)</v>
      </c>
      <c r="S779" s="433" t="str">
        <f>_xlfn.XLOOKUP(PV_DATA[[#This Row],[New Ark SKU]],Table9[New Ark SKU],Table9[Cable],,0)</f>
        <v>±1400mm</v>
      </c>
      <c r="T779" s="433">
        <v>650</v>
      </c>
      <c r="U779" s="1062">
        <f>720*7</f>
        <v>5040</v>
      </c>
      <c r="V779" s="434">
        <f>PV_DATA[[#This Row],[QUANTITY]]*PV_DATA[[#This Row],[WATT]]/1000000</f>
        <v>3.2759999999999998</v>
      </c>
      <c r="W779" s="435">
        <f>PV_DATA[[#This Row],[QUANTITY]]/PV_DATA[[#This Row],[Qty/Pallet]]</f>
        <v>140</v>
      </c>
      <c r="X779" s="1015">
        <f>PV_DATA[[#This Row],[QUANTITY]]/PV_DATA[[#This Row],[Qty/CT]]</f>
        <v>7</v>
      </c>
      <c r="Y779" s="430" t="s">
        <v>4371</v>
      </c>
      <c r="Z779" s="430" t="str">
        <f t="shared" si="9"/>
        <v>COMPLETED</v>
      </c>
      <c r="AA779" s="430"/>
      <c r="AB779" s="437">
        <v>46224</v>
      </c>
      <c r="AC779" s="485">
        <f>IF(PV_DATA[[#This Row],[Pick-Up Date]]&lt;&gt;"",_xlfn.ISOWEEKNUM(PV_DATA[[#This Row],[Pick-Up Date]]),"")</f>
        <v>30</v>
      </c>
      <c r="AD779" s="430" t="s">
        <v>5669</v>
      </c>
      <c r="AE779" s="430"/>
      <c r="AF779" s="430" t="s">
        <v>77</v>
      </c>
      <c r="AG779" s="430" t="s">
        <v>61</v>
      </c>
      <c r="AH779" s="430" t="s">
        <v>105</v>
      </c>
      <c r="AI779" s="437">
        <v>46229</v>
      </c>
      <c r="AJ779" s="437">
        <v>46229</v>
      </c>
      <c r="AK779" s="437">
        <v>46229</v>
      </c>
      <c r="AL779" s="437">
        <v>46271</v>
      </c>
      <c r="AM779" s="588">
        <f>IFERROR(VLOOKUP(AT779, Vessel!A:H, 8, FALSE), "")</f>
        <v>46279.958333333336</v>
      </c>
      <c r="AN779" s="586">
        <v>46279</v>
      </c>
      <c r="AP779" s="430" t="s">
        <v>5608</v>
      </c>
      <c r="AQ779" s="430" t="s">
        <v>80</v>
      </c>
      <c r="AR779" s="430" t="s">
        <v>5670</v>
      </c>
      <c r="AS779" s="430" t="s">
        <v>5671</v>
      </c>
      <c r="AT779" s="430" t="s">
        <v>5671</v>
      </c>
      <c r="AU77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W779" s="437" cm="1">
        <f t="array" ref="AW77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46279</v>
      </c>
      <c r="AX77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79" s="437">
        <f>IF(ISERROR(PV_DATA[[#This Row],[New Ark PO status]]),"",_xlfn.XLOOKUP(PV_DATA[[#This Row],[SPTN-PVHK New Ark PO'#]],New_Ark_Data[Purchase order Number],New_Ark_Data[Estimated time of arrival],"",0))</f>
        <v>46293</v>
      </c>
      <c r="AZ779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79" s="437">
        <f>IFERROR(PV_DATA[[#This Row],[ODP ETA Port]]+PV_DATA[[#This Row],[Customs/Leg3 Assumption]],"n/a")</f>
        <v>46286</v>
      </c>
      <c r="BB779" s="433">
        <f>YEAR(PV_DATA[[#This Row],[ETA for New Ark update]])</f>
        <v>2026</v>
      </c>
      <c r="BC779" s="430">
        <f>MONTH(PV_DATA[[#This Row],[ETA for New Ark update]])</f>
        <v>9</v>
      </c>
      <c r="BD779" s="430">
        <f>IFERROR(_xlfn.ISOWEEKNUM(PV_DATA[[#This Row],[ETA for New Ark update]]),0)</f>
        <v>39</v>
      </c>
      <c r="BE779" s="430">
        <f>_xlfn.XLOOKUP(PV_DATA[[#This Row],[New Ark SKU]],Table9[New Ark SKU],Table9[Total PCS per Pallet],,0)</f>
        <v>36</v>
      </c>
      <c r="BF779" s="430">
        <f>_xlfn.XLOOKUP(PV_DATA[[#This Row],[New Ark SKU]],Table9[New Ark SKU],Table9[Total PCS per 40HQ Container],,0)</f>
        <v>720</v>
      </c>
      <c r="BG779" s="430" t="str">
        <f>_xlfn.XLOOKUP(PV_DATA[[#This Row],[New Ark SKU]],Table9[New Ark SKU],Table9[Back Glass],,0)</f>
        <v>White glazing</v>
      </c>
      <c r="BH779" s="430" t="str">
        <f>_xlfn.XLOOKUP(PV_DATA[[#This Row],[PORT DESTINATION]],Table12[PORT DESTINATION],Table12[Cosco Line],,0)</f>
        <v>AEU</v>
      </c>
      <c r="BJ779" s="430"/>
    </row>
    <row r="780" spans="1:62" ht="10.5" hidden="1">
      <c r="A780" s="462" t="s">
        <v>5672</v>
      </c>
      <c r="B780" s="462" t="s">
        <v>61</v>
      </c>
      <c r="C780" s="462" t="str">
        <f>IFERROR(LEFT(PV_DATA[[#This Row],[TCL REFERENCE]],FIND(".",PV_DATA[[#This Row],[TCL REFERENCE]],1)-1),"Main Line")</f>
        <v>26May007</v>
      </c>
      <c r="D780" s="462" t="s">
        <v>63</v>
      </c>
      <c r="E780" s="462" t="s">
        <v>64</v>
      </c>
      <c r="F780" s="462" t="str" cm="1">
        <f t="array" ref="F78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80" s="462" t="s">
        <v>402</v>
      </c>
      <c r="H780" s="462" t="s">
        <v>67</v>
      </c>
      <c r="I780" s="462" t="s">
        <v>689</v>
      </c>
      <c r="J780" s="430"/>
      <c r="K780" s="430"/>
      <c r="L780" s="430"/>
      <c r="M780" s="430" t="s">
        <v>68</v>
      </c>
      <c r="N780" s="432">
        <v>46111</v>
      </c>
      <c r="O780" s="430" t="s">
        <v>70</v>
      </c>
      <c r="P780" s="430" t="s">
        <v>195</v>
      </c>
      <c r="Q780" s="430" t="s">
        <v>196</v>
      </c>
      <c r="R780" s="430" t="str">
        <f>_xlfn.XLOOKUP(PV_DATA[[#This Row],[New Ark SKU]],Table9[New Ark SKU],Table9[Connector],,0)</f>
        <v>EVO2A</v>
      </c>
      <c r="S780" s="433" t="str">
        <f>_xlfn.XLOOKUP(PV_DATA[[#This Row],[New Ark SKU]],Table9[New Ark SKU],Table9[Cable],,0)</f>
        <v>±1200mm</v>
      </c>
      <c r="T780" s="433">
        <v>450</v>
      </c>
      <c r="U780" s="1062">
        <v>936</v>
      </c>
      <c r="V780" s="544">
        <f>PV_DATA[[#This Row],[QUANTITY]]*PV_DATA[[#This Row],[WATT]]/1000000</f>
        <v>0.42120000000000002</v>
      </c>
      <c r="W780" s="435">
        <f>PV_DATA[[#This Row],[QUANTITY]]/PV_DATA[[#This Row],[Qty/Pallet]]</f>
        <v>26</v>
      </c>
      <c r="X780" s="1015">
        <f>PV_DATA[[#This Row],[QUANTITY]]/PV_DATA[[#This Row],[Qty/CT]]</f>
        <v>1</v>
      </c>
      <c r="Y780" s="430" t="s">
        <v>4371</v>
      </c>
      <c r="Z780" s="430" t="str">
        <f t="shared" si="9"/>
        <v>COMPLETED</v>
      </c>
      <c r="AA780" s="430" t="s">
        <v>5059</v>
      </c>
      <c r="AB780" s="437">
        <v>46224</v>
      </c>
      <c r="AC780" s="485">
        <f>IF(PV_DATA[[#This Row],[Pick-Up Date]]&lt;&gt;"",_xlfn.ISOWEEKNUM(PV_DATA[[#This Row],[Pick-Up Date]]),"")</f>
        <v>30</v>
      </c>
      <c r="AD780" s="430" t="s">
        <v>5673</v>
      </c>
      <c r="AE780" s="430"/>
      <c r="AF780" s="430" t="s">
        <v>77</v>
      </c>
      <c r="AG780" s="430" t="s">
        <v>61</v>
      </c>
      <c r="AH780" s="430" t="s">
        <v>105</v>
      </c>
      <c r="AI780" s="437">
        <v>46229</v>
      </c>
      <c r="AJ780" s="437">
        <v>46229</v>
      </c>
      <c r="AK780" s="437">
        <v>46229</v>
      </c>
      <c r="AL780" s="437">
        <v>46271</v>
      </c>
      <c r="AM780" s="586">
        <f>IFERROR(VLOOKUP(AT780, Vessel!A:H, 8, FALSE), "")</f>
        <v>46279.958333333336</v>
      </c>
      <c r="AN780" s="586">
        <v>46279</v>
      </c>
      <c r="AP780" s="430" t="s">
        <v>5608</v>
      </c>
      <c r="AQ780" s="430" t="s">
        <v>80</v>
      </c>
      <c r="AR780" s="430" t="s">
        <v>5670</v>
      </c>
      <c r="AS780" s="430" t="s">
        <v>5671</v>
      </c>
      <c r="AT780" s="430" t="s">
        <v>5671</v>
      </c>
      <c r="AU78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</v>
      </c>
      <c r="AV780" s="437"/>
      <c r="AW780" s="437" cm="1">
        <f t="array" ref="AW78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46279</v>
      </c>
      <c r="AX78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80" s="437">
        <f>IF(ISERROR(PV_DATA[[#This Row],[New Ark PO status]]),"",_xlfn.XLOOKUP(PV_DATA[[#This Row],[SPTN-PVHK New Ark PO'#]],New_Ark_Data[Purchase order Number],New_Ark_Data[Estimated time of arrival],"",0))</f>
        <v>46293</v>
      </c>
      <c r="AZ780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80" s="437">
        <f>IFERROR(PV_DATA[[#This Row],[ODP ETA Port]]+PV_DATA[[#This Row],[Customs/Leg3 Assumption]],"n/a")</f>
        <v>46286</v>
      </c>
      <c r="BB780" s="433">
        <f>YEAR(PV_DATA[[#This Row],[ETA for New Ark update]])</f>
        <v>2026</v>
      </c>
      <c r="BC780" s="430">
        <f>MONTH(PV_DATA[[#This Row],[ETA for New Ark update]])</f>
        <v>9</v>
      </c>
      <c r="BD780" s="430">
        <f>IFERROR(_xlfn.ISOWEEKNUM(PV_DATA[[#This Row],[ETA for New Ark update]]),0)</f>
        <v>39</v>
      </c>
      <c r="BE780" s="430">
        <f>_xlfn.XLOOKUP(PV_DATA[[#This Row],[New Ark SKU]],Table9[New Ark SKU],Table9[Total PCS per Pallet],,0)</f>
        <v>36</v>
      </c>
      <c r="BF780" s="430">
        <f>_xlfn.XLOOKUP(PV_DATA[[#This Row],[New Ark SKU]],Table9[New Ark SKU],Table9[Total PCS per 40HQ Container],,0)</f>
        <v>936</v>
      </c>
      <c r="BG780" s="430" t="str">
        <f>_xlfn.XLOOKUP(PV_DATA[[#This Row],[New Ark SKU]],Table9[New Ark SKU],Table9[Back Glass],,0)</f>
        <v>Black glazing</v>
      </c>
      <c r="BH780" s="610" t="str">
        <f>_xlfn.XLOOKUP(PV_DATA[[#This Row],[PORT DESTINATION]],Table12[PORT DESTINATION],Table12[Cosco Line],,0)</f>
        <v>AEU</v>
      </c>
      <c r="BJ780" s="430"/>
    </row>
    <row r="781" spans="1:62" ht="10.5" hidden="1">
      <c r="A781" s="462" t="s">
        <v>5674</v>
      </c>
      <c r="B781" s="462" t="s">
        <v>1757</v>
      </c>
      <c r="C781" s="462" t="str">
        <f>IFERROR(LEFT(PV_DATA[[#This Row],[TCL REFERENCE]],FIND(".",PV_DATA[[#This Row],[TCL REFERENCE]],1)-1),"Main Line")</f>
        <v>26Jul008</v>
      </c>
      <c r="D781" s="462" t="s">
        <v>63</v>
      </c>
      <c r="E781" s="462" t="s">
        <v>64</v>
      </c>
      <c r="F781" s="462" t="str" cm="1">
        <f t="array" ref="F78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781" s="462" t="s">
        <v>402</v>
      </c>
      <c r="H781" s="462" t="s">
        <v>451</v>
      </c>
      <c r="I781" s="462" t="s">
        <v>882</v>
      </c>
      <c r="J781" s="430" t="s">
        <v>5675</v>
      </c>
      <c r="K781" s="430"/>
      <c r="L781" s="430"/>
      <c r="M781" s="430" t="s">
        <v>68</v>
      </c>
      <c r="N781" s="432">
        <v>46209</v>
      </c>
      <c r="O781" s="430" t="s">
        <v>4540</v>
      </c>
      <c r="P781" s="430" t="s">
        <v>1151</v>
      </c>
      <c r="Q781" s="430" t="s">
        <v>421</v>
      </c>
      <c r="R781" s="430" t="str">
        <f>_xlfn.XLOOKUP(PV_DATA[[#This Row],[New Ark SKU]],Table9[New Ark SKU],Table9[Connector],,0)</f>
        <v>EVO2A</v>
      </c>
      <c r="S781" s="433" t="str">
        <f>_xlfn.XLOOKUP(PV_DATA[[#This Row],[New Ark SKU]],Table9[New Ark SKU],Table9[Cable],,0)</f>
        <v>±1200mm</v>
      </c>
      <c r="T781" s="433">
        <v>505</v>
      </c>
      <c r="U781" s="1062">
        <v>2592</v>
      </c>
      <c r="V781" s="434">
        <f>PV_DATA[[#This Row],[QUANTITY]]*PV_DATA[[#This Row],[WATT]]/1000000</f>
        <v>1.3089599999999999</v>
      </c>
      <c r="W781" s="435">
        <f>PV_DATA[[#This Row],[QUANTITY]]/PV_DATA[[#This Row],[Qty/Pallet]]</f>
        <v>72</v>
      </c>
      <c r="X781" s="1015">
        <f>PV_DATA[[#This Row],[QUANTITY]]/PV_DATA[[#This Row],[Qty/CT]]</f>
        <v>3</v>
      </c>
      <c r="Y781" s="430" t="s">
        <v>4376</v>
      </c>
      <c r="Z781" s="430" t="str">
        <f t="shared" si="9"/>
        <v>COMPLETED</v>
      </c>
      <c r="AA781" s="430" t="s">
        <v>5676</v>
      </c>
      <c r="AB781" s="437">
        <v>46234</v>
      </c>
      <c r="AC781" s="485">
        <f>IF(PV_DATA[[#This Row],[Pick-Up Date]]&lt;&gt;"",_xlfn.ISOWEEKNUM(PV_DATA[[#This Row],[Pick-Up Date]]),"")</f>
        <v>31</v>
      </c>
      <c r="AD781" s="430" t="s">
        <v>5677</v>
      </c>
      <c r="AE781" s="430"/>
      <c r="AF781" s="459" t="s">
        <v>5043</v>
      </c>
      <c r="AG781" s="430" t="s">
        <v>123</v>
      </c>
      <c r="AH781" s="430" t="s">
        <v>456</v>
      </c>
      <c r="AI781" s="437">
        <v>46239</v>
      </c>
      <c r="AK781" s="437">
        <v>46239</v>
      </c>
      <c r="AL781" s="437">
        <v>46278</v>
      </c>
      <c r="AM781" s="588">
        <f>IFERROR(VLOOKUP(AT781, Vessel!A:H, 8, FALSE), "")</f>
        <v>46286.270833333336</v>
      </c>
      <c r="AN781" s="586">
        <f>IFERROR(IF(VLOOKUP(AT781,Vessel!A:I,9,FALSE)=0,"",VLOOKUP(AT781,Vessel!A:I,9,FALSE)),"")</f>
        <v>46286.275081018517</v>
      </c>
      <c r="AP781" s="430" t="s">
        <v>5678</v>
      </c>
      <c r="AQ781" s="438" t="s">
        <v>80</v>
      </c>
      <c r="AR781" s="430" t="s">
        <v>5679</v>
      </c>
      <c r="AS781" s="430" t="s">
        <v>5680</v>
      </c>
      <c r="AT781" s="430" t="s">
        <v>5680</v>
      </c>
      <c r="AU78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47.275081018517085</v>
      </c>
      <c r="AW781" s="437" cm="1">
        <f t="array" ref="AW78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46286.275081018517</v>
      </c>
      <c r="AX78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81" s="437">
        <f>IF(ISERROR(PV_DATA[[#This Row],[New Ark PO status]]),"",_xlfn.XLOOKUP(PV_DATA[[#This Row],[SPTN-PVHK New Ark PO'#]],New_Ark_Data[Purchase order Number],New_Ark_Data[Estimated time of arrival],"",0))</f>
        <v>46288</v>
      </c>
      <c r="AZ781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81" s="437">
        <f>IFERROR(PV_DATA[[#This Row],[ODP ETA Port]]+PV_DATA[[#This Row],[Customs/Leg3 Assumption]],"n/a")</f>
        <v>46293.275081018517</v>
      </c>
      <c r="BB781" s="433">
        <f>YEAR(PV_DATA[[#This Row],[ETA for New Ark update]])</f>
        <v>2026</v>
      </c>
      <c r="BC781" s="430">
        <f>MONTH(PV_DATA[[#This Row],[ETA for New Ark update]])</f>
        <v>9</v>
      </c>
      <c r="BD781" s="430">
        <f>IFERROR(_xlfn.ISOWEEKNUM(PV_DATA[[#This Row],[ETA for New Ark update]]),0)</f>
        <v>40</v>
      </c>
      <c r="BE781" s="430">
        <f>_xlfn.XLOOKUP(PV_DATA[[#This Row],[New Ark SKU]],Table9[New Ark SKU],Table9[Total PCS per Pallet],,0)</f>
        <v>36</v>
      </c>
      <c r="BF781" s="430">
        <f>_xlfn.XLOOKUP(PV_DATA[[#This Row],[New Ark SKU]],Table9[New Ark SKU],Table9[Total PCS per 40HQ Container],,0)</f>
        <v>864</v>
      </c>
      <c r="BG781" s="430" t="str">
        <f>_xlfn.XLOOKUP(PV_DATA[[#This Row],[New Ark SKU]],Table9[New Ark SKU],Table9[Back Glass],,0)</f>
        <v>Black glazing</v>
      </c>
      <c r="BH781" s="430" t="str">
        <f>_xlfn.XLOOKUP(PV_DATA[[#This Row],[PORT DESTINATION]],Table12[PORT DESTINATION],Table12[Cosco Line],,0)</f>
        <v>AEU</v>
      </c>
      <c r="BJ781" s="430"/>
    </row>
    <row r="782" spans="1:62" ht="10.5" hidden="1">
      <c r="A782" s="462" t="s">
        <v>5681</v>
      </c>
      <c r="B782" s="462" t="s">
        <v>111</v>
      </c>
      <c r="C782" s="462" t="str">
        <f>IFERROR(LEFT(PV_DATA[[#This Row],[TCL REFERENCE]],FIND(".",PV_DATA[[#This Row],[TCL REFERENCE]],1)-1),"Main Line")</f>
        <v>26Jun002</v>
      </c>
      <c r="D782" s="462" t="s">
        <v>63</v>
      </c>
      <c r="E782" s="462" t="s">
        <v>64</v>
      </c>
      <c r="F782" s="462" t="str" cm="1">
        <f t="array" ref="F78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782" s="462" t="s">
        <v>402</v>
      </c>
      <c r="H782" s="462" t="s">
        <v>451</v>
      </c>
      <c r="I782" s="462" t="s">
        <v>882</v>
      </c>
      <c r="J782" s="430" t="s">
        <v>96</v>
      </c>
      <c r="K782" s="430"/>
      <c r="L782" s="430"/>
      <c r="M782" s="430" t="s">
        <v>68</v>
      </c>
      <c r="N782" s="432">
        <v>46193</v>
      </c>
      <c r="O782" s="430" t="s">
        <v>550</v>
      </c>
      <c r="P782" s="430" t="s">
        <v>2134</v>
      </c>
      <c r="Q782" s="430" t="s">
        <v>2135</v>
      </c>
      <c r="R782" s="430" t="str">
        <f>_xlfn.XLOOKUP(PV_DATA[[#This Row],[New Ark SKU]],Table9[New Ark SKU],Table9[Connector],,0)</f>
        <v>EVO2A</v>
      </c>
      <c r="S782" s="433" t="str">
        <f>_xlfn.XLOOKUP(PV_DATA[[#This Row],[New Ark SKU]],Table9[New Ark SKU],Table9[Cable],,0)</f>
        <v>±1350mm</v>
      </c>
      <c r="T782" s="433">
        <v>515</v>
      </c>
      <c r="U782" s="1062">
        <f>792*1</f>
        <v>792</v>
      </c>
      <c r="V782" s="434">
        <f>PV_DATA[[#This Row],[QUANTITY]]*PV_DATA[[#This Row],[WATT]]/1000000</f>
        <v>0.40788000000000002</v>
      </c>
      <c r="W782" s="435">
        <f>PV_DATA[[#This Row],[QUANTITY]]/PV_DATA[[#This Row],[Qty/Pallet]]</f>
        <v>22</v>
      </c>
      <c r="X782" s="1015">
        <f>PV_DATA[[#This Row],[QUANTITY]]/PV_DATA[[#This Row],[Qty/CT]]</f>
        <v>1</v>
      </c>
      <c r="Y782" s="430" t="s">
        <v>4373</v>
      </c>
      <c r="Z782" s="430" t="str">
        <f t="shared" si="9"/>
        <v>COMPLETED</v>
      </c>
      <c r="AA782" s="430"/>
      <c r="AB782" s="437">
        <v>46234</v>
      </c>
      <c r="AC782" s="485">
        <f>IF(PV_DATA[[#This Row],[Pick-Up Date]]&lt;&gt;"",_xlfn.ISOWEEKNUM(PV_DATA[[#This Row],[Pick-Up Date]]),"")</f>
        <v>31</v>
      </c>
      <c r="AD782" s="430" t="s">
        <v>5682</v>
      </c>
      <c r="AE782" s="430"/>
      <c r="AF782" s="430" t="s">
        <v>122</v>
      </c>
      <c r="AG782" s="430" t="s">
        <v>123</v>
      </c>
      <c r="AH782" s="430" t="s">
        <v>456</v>
      </c>
      <c r="AI782" s="437">
        <v>46239</v>
      </c>
      <c r="AK782" s="437">
        <v>46239</v>
      </c>
      <c r="AL782" s="956">
        <v>46278</v>
      </c>
      <c r="AM782" s="1127">
        <f>IFERROR(VLOOKUP(AT782, Vessel!A:H, 8, FALSE), "")</f>
        <v>46286.270833333336</v>
      </c>
      <c r="AN782" s="586">
        <f>IFERROR(IF(VLOOKUP(AT782,Vessel!A:I,9,FALSE)=0,"",VLOOKUP(AT782,Vessel!A:I,9,FALSE)),"")</f>
        <v>46286.275081018517</v>
      </c>
      <c r="AP782" s="430" t="s">
        <v>5678</v>
      </c>
      <c r="AQ782" s="430" t="s">
        <v>80</v>
      </c>
      <c r="AR782" s="430" t="s">
        <v>5683</v>
      </c>
      <c r="AS782" s="430" t="s">
        <v>5684</v>
      </c>
      <c r="AT782" s="430" t="s">
        <v>5684</v>
      </c>
      <c r="AU78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47.275081018517085</v>
      </c>
      <c r="AV782" s="437"/>
      <c r="AW782" s="437" cm="1">
        <f t="array" ref="AW78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46286.275081018517</v>
      </c>
      <c r="AX78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82" s="437">
        <f>IF(ISERROR(PV_DATA[[#This Row],[New Ark PO status]]),"",_xlfn.XLOOKUP(PV_DATA[[#This Row],[SPTN-PVHK New Ark PO'#]],New_Ark_Data[Purchase order Number],New_Ark_Data[Estimated time of arrival],"",0))</f>
        <v>46288</v>
      </c>
      <c r="AZ782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82" s="437">
        <f>IFERROR(PV_DATA[[#This Row],[ODP ETA Port]]+PV_DATA[[#This Row],[Customs/Leg3 Assumption]],"n/a")</f>
        <v>46293.275081018517</v>
      </c>
      <c r="BB782" s="433">
        <f>YEAR(PV_DATA[[#This Row],[ETA for New Ark update]])</f>
        <v>2026</v>
      </c>
      <c r="BC782" s="430">
        <f>MONTH(PV_DATA[[#This Row],[ETA for New Ark update]])</f>
        <v>9</v>
      </c>
      <c r="BD782" s="430">
        <f>IFERROR(_xlfn.ISOWEEKNUM(PV_DATA[[#This Row],[ETA for New Ark update]]),0)</f>
        <v>40</v>
      </c>
      <c r="BE782" s="430">
        <f>_xlfn.XLOOKUP(PV_DATA[[#This Row],[New Ark SKU]],Table9[New Ark SKU],Table9[Total PCS per Pallet],,0)</f>
        <v>36</v>
      </c>
      <c r="BF782" s="430">
        <f>_xlfn.XLOOKUP(PV_DATA[[#This Row],[New Ark SKU]],Table9[New Ark SKU],Table9[Total PCS per 40HQ Container],,0)</f>
        <v>792</v>
      </c>
      <c r="BG782" s="430" t="str">
        <f>_xlfn.XLOOKUP(PV_DATA[[#This Row],[New Ark SKU]],Table9[New Ark SKU],Table9[Back Glass],,0)</f>
        <v>Black glazing</v>
      </c>
      <c r="BH782" s="430" t="str">
        <f>_xlfn.XLOOKUP(PV_DATA[[#This Row],[PORT DESTINATION]],Table12[PORT DESTINATION],Table12[Cosco Line],,0)</f>
        <v>AEU</v>
      </c>
      <c r="BJ782" s="430"/>
    </row>
    <row r="783" spans="1:62" ht="10.5" hidden="1">
      <c r="A783" s="462" t="s">
        <v>5685</v>
      </c>
      <c r="B783" s="462" t="s">
        <v>111</v>
      </c>
      <c r="C783" s="462" t="str">
        <f>IFERROR(LEFT(PV_DATA[[#This Row],[TCL REFERENCE]],FIND(".",PV_DATA[[#This Row],[TCL REFERENCE]],1)-1),"Main Line")</f>
        <v>26Jun002</v>
      </c>
      <c r="D783" s="462" t="s">
        <v>63</v>
      </c>
      <c r="E783" s="462" t="s">
        <v>64</v>
      </c>
      <c r="F783" s="462" t="str" cm="1">
        <f t="array" ref="F78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783" s="462" t="s">
        <v>402</v>
      </c>
      <c r="H783" s="462" t="s">
        <v>451</v>
      </c>
      <c r="I783" s="462" t="s">
        <v>882</v>
      </c>
      <c r="J783" s="430" t="s">
        <v>96</v>
      </c>
      <c r="K783" s="430"/>
      <c r="L783" s="430"/>
      <c r="M783" s="430" t="s">
        <v>68</v>
      </c>
      <c r="N783" s="432">
        <v>46193</v>
      </c>
      <c r="O783" s="430" t="s">
        <v>550</v>
      </c>
      <c r="P783" s="430" t="s">
        <v>2134</v>
      </c>
      <c r="Q783" s="430" t="s">
        <v>2135</v>
      </c>
      <c r="R783" s="430" t="str">
        <f>_xlfn.XLOOKUP(PV_DATA[[#This Row],[New Ark SKU]],Table9[New Ark SKU],Table9[Connector],,0)</f>
        <v>EVO2A</v>
      </c>
      <c r="S783" s="433" t="str">
        <f>_xlfn.XLOOKUP(PV_DATA[[#This Row],[New Ark SKU]],Table9[New Ark SKU],Table9[Cable],,0)</f>
        <v>±1350mm</v>
      </c>
      <c r="T783" s="433">
        <v>515</v>
      </c>
      <c r="U783" s="1062">
        <f>792*1</f>
        <v>792</v>
      </c>
      <c r="V783" s="434">
        <f>PV_DATA[[#This Row],[QUANTITY]]*PV_DATA[[#This Row],[WATT]]/1000000</f>
        <v>0.40788000000000002</v>
      </c>
      <c r="W783" s="435">
        <f>PV_DATA[[#This Row],[QUANTITY]]/PV_DATA[[#This Row],[Qty/Pallet]]</f>
        <v>22</v>
      </c>
      <c r="X783" s="1015">
        <f>PV_DATA[[#This Row],[QUANTITY]]/PV_DATA[[#This Row],[Qty/CT]]</f>
        <v>1</v>
      </c>
      <c r="Y783" s="430" t="s">
        <v>4374</v>
      </c>
      <c r="Z783" s="430" t="str">
        <f t="shared" si="9"/>
        <v>COMPLETED</v>
      </c>
      <c r="AA783" s="430"/>
      <c r="AB783" s="437">
        <v>46234</v>
      </c>
      <c r="AC783" s="485">
        <f>IF(PV_DATA[[#This Row],[Pick-Up Date]]&lt;&gt;"",_xlfn.ISOWEEKNUM(PV_DATA[[#This Row],[Pick-Up Date]]),"")</f>
        <v>31</v>
      </c>
      <c r="AD783" s="430" t="s">
        <v>5686</v>
      </c>
      <c r="AE783" s="430"/>
      <c r="AF783" s="430" t="s">
        <v>122</v>
      </c>
      <c r="AG783" s="430" t="s">
        <v>123</v>
      </c>
      <c r="AH783" s="430" t="s">
        <v>456</v>
      </c>
      <c r="AI783" s="437">
        <v>46239</v>
      </c>
      <c r="AK783" s="437">
        <v>46239</v>
      </c>
      <c r="AL783" s="956">
        <v>46278</v>
      </c>
      <c r="AM783" s="1127">
        <f>IFERROR(VLOOKUP(AT783, Vessel!A:H, 8, FALSE), "")</f>
        <v>46286.270833333336</v>
      </c>
      <c r="AN783" s="586">
        <f>IFERROR(IF(VLOOKUP(AT783,Vessel!A:I,9,FALSE)=0,"",VLOOKUP(AT783,Vessel!A:I,9,FALSE)),"")</f>
        <v>46286.275081018517</v>
      </c>
      <c r="AP783" s="430" t="s">
        <v>5678</v>
      </c>
      <c r="AQ783" s="430" t="s">
        <v>80</v>
      </c>
      <c r="AR783" s="430" t="s">
        <v>5683</v>
      </c>
      <c r="AS783" s="430" t="s">
        <v>5684</v>
      </c>
      <c r="AT783" s="430" t="s">
        <v>5684</v>
      </c>
      <c r="AU78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47.275081018517085</v>
      </c>
      <c r="AV783" s="437"/>
      <c r="AW783" s="437" cm="1">
        <f t="array" ref="AW78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46286.275081018517</v>
      </c>
      <c r="AX78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83" s="437">
        <f>IF(ISERROR(PV_DATA[[#This Row],[New Ark PO status]]),"",_xlfn.XLOOKUP(PV_DATA[[#This Row],[SPTN-PVHK New Ark PO'#]],New_Ark_Data[Purchase order Number],New_Ark_Data[Estimated time of arrival],"",0))</f>
        <v>46288</v>
      </c>
      <c r="AZ783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83" s="437">
        <f>IFERROR(PV_DATA[[#This Row],[ODP ETA Port]]+PV_DATA[[#This Row],[Customs/Leg3 Assumption]],"n/a")</f>
        <v>46293.275081018517</v>
      </c>
      <c r="BB783" s="433">
        <f>YEAR(PV_DATA[[#This Row],[ETA for New Ark update]])</f>
        <v>2026</v>
      </c>
      <c r="BC783" s="430">
        <f>MONTH(PV_DATA[[#This Row],[ETA for New Ark update]])</f>
        <v>9</v>
      </c>
      <c r="BD783" s="430">
        <f>IFERROR(_xlfn.ISOWEEKNUM(PV_DATA[[#This Row],[ETA for New Ark update]]),0)</f>
        <v>40</v>
      </c>
      <c r="BE783" s="430">
        <f>_xlfn.XLOOKUP(PV_DATA[[#This Row],[New Ark SKU]],Table9[New Ark SKU],Table9[Total PCS per Pallet],,0)</f>
        <v>36</v>
      </c>
      <c r="BF783" s="430">
        <f>_xlfn.XLOOKUP(PV_DATA[[#This Row],[New Ark SKU]],Table9[New Ark SKU],Table9[Total PCS per 40HQ Container],,0)</f>
        <v>792</v>
      </c>
      <c r="BG783" s="430" t="str">
        <f>_xlfn.XLOOKUP(PV_DATA[[#This Row],[New Ark SKU]],Table9[New Ark SKU],Table9[Back Glass],,0)</f>
        <v>Black glazing</v>
      </c>
      <c r="BH783" s="430" t="str">
        <f>_xlfn.XLOOKUP(PV_DATA[[#This Row],[PORT DESTINATION]],Table12[PORT DESTINATION],Table12[Cosco Line],,0)</f>
        <v>AEU</v>
      </c>
      <c r="BJ783" s="430"/>
    </row>
    <row r="784" spans="1:62" ht="10.5" hidden="1">
      <c r="A784" s="462" t="s">
        <v>5687</v>
      </c>
      <c r="B784" s="462" t="s">
        <v>111</v>
      </c>
      <c r="C784" s="462" t="str">
        <f>IFERROR(LEFT(PV_DATA[[#This Row],[TCL REFERENCE]],FIND(".",PV_DATA[[#This Row],[TCL REFERENCE]],1)-1),"Main Line")</f>
        <v>26Jun004</v>
      </c>
      <c r="D784" s="462" t="s">
        <v>63</v>
      </c>
      <c r="E784" s="462" t="s">
        <v>64</v>
      </c>
      <c r="F784" s="462" t="str" cm="1">
        <f t="array" ref="F78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84" s="462" t="s">
        <v>402</v>
      </c>
      <c r="H784" s="462" t="s">
        <v>67</v>
      </c>
      <c r="I784" s="462" t="s">
        <v>882</v>
      </c>
      <c r="J784" s="430" t="s">
        <v>96</v>
      </c>
      <c r="K784" s="430"/>
      <c r="L784" s="430"/>
      <c r="M784" s="430" t="s">
        <v>68</v>
      </c>
      <c r="N784" s="432">
        <v>46188</v>
      </c>
      <c r="O784" s="430" t="s">
        <v>132</v>
      </c>
      <c r="P784" s="430" t="s">
        <v>1062</v>
      </c>
      <c r="Q784" s="430" t="s">
        <v>1063</v>
      </c>
      <c r="R784" s="430" t="str">
        <f>_xlfn.XLOOKUP(PV_DATA[[#This Row],[New Ark SKU]],Table9[New Ark SKU],Table9[Connector],,0)</f>
        <v>EVO2A</v>
      </c>
      <c r="S784" s="433" t="str">
        <f>_xlfn.XLOOKUP(PV_DATA[[#This Row],[New Ark SKU]],Table9[New Ark SKU],Table9[Cable],,0)</f>
        <v>±1200mm</v>
      </c>
      <c r="T784" s="433">
        <v>470</v>
      </c>
      <c r="U784" s="1062">
        <f>864*5</f>
        <v>4320</v>
      </c>
      <c r="V784" s="434">
        <f>PV_DATA[[#This Row],[QUANTITY]]*PV_DATA[[#This Row],[WATT]]/1000000</f>
        <v>2.0304000000000002</v>
      </c>
      <c r="W784" s="435">
        <f>PV_DATA[[#This Row],[QUANTITY]]/PV_DATA[[#This Row],[Qty/Pallet]]</f>
        <v>120</v>
      </c>
      <c r="X784" s="1015">
        <f>PV_DATA[[#This Row],[QUANTITY]]/PV_DATA[[#This Row],[Qty/CT]]</f>
        <v>5</v>
      </c>
      <c r="Y784" s="430" t="s">
        <v>4371</v>
      </c>
      <c r="Z784" s="430" t="str">
        <f t="shared" si="9"/>
        <v>COMPLETED</v>
      </c>
      <c r="AA784" s="430" t="s">
        <v>5056</v>
      </c>
      <c r="AB784" s="437">
        <v>46232</v>
      </c>
      <c r="AC784" s="485">
        <f>IF(PV_DATA[[#This Row],[Pick-Up Date]]&lt;&gt;"",_xlfn.ISOWEEKNUM(PV_DATA[[#This Row],[Pick-Up Date]]),"")</f>
        <v>31</v>
      </c>
      <c r="AD784" s="430" t="s">
        <v>5688</v>
      </c>
      <c r="AE784" s="430"/>
      <c r="AF784" s="430" t="s">
        <v>122</v>
      </c>
      <c r="AG784" s="430" t="s">
        <v>123</v>
      </c>
      <c r="AH784" s="430" t="s">
        <v>105</v>
      </c>
      <c r="AI784" s="437">
        <v>46235</v>
      </c>
      <c r="AJ784" s="437">
        <v>46238</v>
      </c>
      <c r="AK784" s="437">
        <v>46238</v>
      </c>
      <c r="AL784" s="437">
        <v>46277</v>
      </c>
      <c r="AM784" s="437">
        <v>46285</v>
      </c>
      <c r="AN784" s="437">
        <v>46285</v>
      </c>
      <c r="AP784" s="430" t="s">
        <v>5689</v>
      </c>
      <c r="AQ784" s="430" t="s">
        <v>161</v>
      </c>
      <c r="AR784" s="430" t="s">
        <v>5690</v>
      </c>
      <c r="AS784" s="430" t="s">
        <v>5691</v>
      </c>
      <c r="AT784" s="430" t="s">
        <v>5692</v>
      </c>
      <c r="AU78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V784" s="437"/>
      <c r="AW784" s="437" cm="1">
        <f t="array" ref="AW78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</v>
      </c>
      <c r="AX78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84" s="437">
        <f>IF(ISERROR(PV_DATA[[#This Row],[New Ark PO status]]),"",_xlfn.XLOOKUP(PV_DATA[[#This Row],[SPTN-PVHK New Ark PO'#]],New_Ark_Data[Purchase order Number],New_Ark_Data[Estimated time of arrival],"",0))</f>
        <v>46290</v>
      </c>
      <c r="AZ784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84" s="437">
        <f>IFERROR(PV_DATA[[#This Row],[ODP ETA Port]]+PV_DATA[[#This Row],[Customs/Leg3 Assumption]],"n/a")</f>
        <v>46292</v>
      </c>
      <c r="BB784" s="433">
        <f>YEAR(PV_DATA[[#This Row],[ETA for New Ark update]])</f>
        <v>2026</v>
      </c>
      <c r="BC784" s="430">
        <f>MONTH(PV_DATA[[#This Row],[ETA for New Ark update]])</f>
        <v>9</v>
      </c>
      <c r="BD784" s="430">
        <f>IFERROR(_xlfn.ISOWEEKNUM(PV_DATA[[#This Row],[ETA for New Ark update]]),0)</f>
        <v>39</v>
      </c>
      <c r="BE784" s="430">
        <f>_xlfn.XLOOKUP(PV_DATA[[#This Row],[New Ark SKU]],Table9[New Ark SKU],Table9[Total PCS per Pallet],,0)</f>
        <v>36</v>
      </c>
      <c r="BF784" s="430">
        <f>_xlfn.XLOOKUP(PV_DATA[[#This Row],[New Ark SKU]],Table9[New Ark SKU],Table9[Total PCS per 40HQ Container],,0)</f>
        <v>864</v>
      </c>
      <c r="BG784" s="430" t="str">
        <f>_xlfn.XLOOKUP(PV_DATA[[#This Row],[New Ark SKU]],Table9[New Ark SKU],Table9[Back Glass],,0)</f>
        <v>White glazing</v>
      </c>
      <c r="BH784" s="430" t="str">
        <f>_xlfn.XLOOKUP(PV_DATA[[#This Row],[PORT DESTINATION]],Table12[PORT DESTINATION],Table12[Cosco Line],,0)</f>
        <v>AEU</v>
      </c>
      <c r="BJ784" s="430"/>
    </row>
    <row r="785" spans="1:62" ht="10.5" hidden="1">
      <c r="A785" s="462" t="s">
        <v>5693</v>
      </c>
      <c r="B785" s="462" t="s">
        <v>111</v>
      </c>
      <c r="C785" s="462" t="str">
        <f>IFERROR(LEFT(PV_DATA[[#This Row],[TCL REFERENCE]],FIND(".",PV_DATA[[#This Row],[TCL REFERENCE]],1)-1),"Main Line")</f>
        <v>26Jun016</v>
      </c>
      <c r="D785" s="462" t="s">
        <v>63</v>
      </c>
      <c r="E785" s="462" t="s">
        <v>64</v>
      </c>
      <c r="F785" s="462" t="str" cm="1">
        <f t="array" ref="F78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85" s="462" t="s">
        <v>402</v>
      </c>
      <c r="H785" s="462" t="s">
        <v>67</v>
      </c>
      <c r="I785" s="462" t="s">
        <v>822</v>
      </c>
      <c r="J785" s="430" t="s">
        <v>96</v>
      </c>
      <c r="K785" s="430"/>
      <c r="L785" s="430"/>
      <c r="M785" s="430" t="s">
        <v>68</v>
      </c>
      <c r="N785" s="432">
        <v>46202</v>
      </c>
      <c r="O785" s="430" t="s">
        <v>5388</v>
      </c>
      <c r="P785" s="430" t="s">
        <v>5389</v>
      </c>
      <c r="Q785" s="430" t="s">
        <v>5390</v>
      </c>
      <c r="R785" s="430" t="str">
        <f>_xlfn.XLOOKUP(PV_DATA[[#This Row],[New Ark SKU]],Table9[New Ark SKU],Table9[Connector],,0)</f>
        <v>EVO2A</v>
      </c>
      <c r="S785" s="433" t="str">
        <f>_xlfn.XLOOKUP(PV_DATA[[#This Row],[New Ark SKU]],Table9[New Ark SKU],Table9[Cable],,0)</f>
        <v>±1200mm</v>
      </c>
      <c r="T785" s="433">
        <v>470</v>
      </c>
      <c r="U785" s="1062">
        <v>936</v>
      </c>
      <c r="V785" s="434">
        <f>PV_DATA[[#This Row],[QUANTITY]]*PV_DATA[[#This Row],[WATT]]/1000000</f>
        <v>0.43991999999999998</v>
      </c>
      <c r="W785" s="435">
        <f>PV_DATA[[#This Row],[QUANTITY]]/PV_DATA[[#This Row],[Qty/Pallet]]</f>
        <v>26</v>
      </c>
      <c r="X785" s="1015">
        <f>PV_DATA[[#This Row],[QUANTITY]]/PV_DATA[[#This Row],[Qty/CT]]</f>
        <v>1</v>
      </c>
      <c r="Y785" s="430" t="s">
        <v>4371</v>
      </c>
      <c r="Z785" s="430" t="str">
        <f t="shared" si="9"/>
        <v>COMPLETED</v>
      </c>
      <c r="AA785" s="430" t="s">
        <v>5431</v>
      </c>
      <c r="AB785" s="437">
        <v>46232</v>
      </c>
      <c r="AC785" s="485">
        <f>IF(PV_DATA[[#This Row],[Pick-Up Date]]&lt;&gt;"",_xlfn.ISOWEEKNUM(PV_DATA[[#This Row],[Pick-Up Date]]),"")</f>
        <v>31</v>
      </c>
      <c r="AD785" s="430" t="s">
        <v>5694</v>
      </c>
      <c r="AE785" s="430"/>
      <c r="AF785" s="430" t="s">
        <v>122</v>
      </c>
      <c r="AG785" s="430" t="s">
        <v>123</v>
      </c>
      <c r="AH785" s="430" t="s">
        <v>105</v>
      </c>
      <c r="AI785" s="437">
        <v>46235</v>
      </c>
      <c r="AJ785" s="437">
        <v>46238</v>
      </c>
      <c r="AK785" s="437">
        <v>46238</v>
      </c>
      <c r="AL785" s="437">
        <v>46277</v>
      </c>
      <c r="AM785" s="437">
        <v>46285</v>
      </c>
      <c r="AN785" s="437">
        <v>46285</v>
      </c>
      <c r="AP785" s="430" t="s">
        <v>5689</v>
      </c>
      <c r="AQ785" s="430" t="s">
        <v>161</v>
      </c>
      <c r="AR785" s="430" t="s">
        <v>5690</v>
      </c>
      <c r="AS785" s="430" t="s">
        <v>5691</v>
      </c>
      <c r="AT785" s="430" t="s">
        <v>5692</v>
      </c>
      <c r="AU78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785" s="437" cm="1">
        <f t="array" ref="AW78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</v>
      </c>
      <c r="AX78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85" s="437">
        <f>IF(ISERROR(PV_DATA[[#This Row],[New Ark PO status]]),"",_xlfn.XLOOKUP(PV_DATA[[#This Row],[SPTN-PVHK New Ark PO'#]],New_Ark_Data[Purchase order Number],New_Ark_Data[Estimated time of arrival],"",0))</f>
        <v>46290</v>
      </c>
      <c r="AZ785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85" s="437">
        <f>IFERROR(PV_DATA[[#This Row],[ODP ETA Port]]+PV_DATA[[#This Row],[Customs/Leg3 Assumption]],"n/a")</f>
        <v>46292</v>
      </c>
      <c r="BB785" s="433">
        <f>YEAR(PV_DATA[[#This Row],[ETA for New Ark update]])</f>
        <v>2026</v>
      </c>
      <c r="BC785" s="430">
        <f>MONTH(PV_DATA[[#This Row],[ETA for New Ark update]])</f>
        <v>9</v>
      </c>
      <c r="BD785" s="430">
        <f>IFERROR(_xlfn.ISOWEEKNUM(PV_DATA[[#This Row],[ETA for New Ark update]]),0)</f>
        <v>39</v>
      </c>
      <c r="BE785" s="430">
        <f>_xlfn.XLOOKUP(PV_DATA[[#This Row],[New Ark SKU]],Table9[New Ark SKU],Table9[Total PCS per Pallet],,0)</f>
        <v>36</v>
      </c>
      <c r="BF785" s="430">
        <f>_xlfn.XLOOKUP(PV_DATA[[#This Row],[New Ark SKU]],Table9[New Ark SKU],Table9[Total PCS per 40HQ Container],,0)</f>
        <v>936</v>
      </c>
      <c r="BG785" s="430" t="str">
        <f>_xlfn.XLOOKUP(PV_DATA[[#This Row],[New Ark SKU]],Table9[New Ark SKU],Table9[Back Glass],,0)</f>
        <v>Black glazing</v>
      </c>
      <c r="BH785" s="430" t="str">
        <f>_xlfn.XLOOKUP(PV_DATA[[#This Row],[PORT DESTINATION]],Table12[PORT DESTINATION],Table12[Cosco Line],,0)</f>
        <v>AEU</v>
      </c>
      <c r="BJ785" s="430"/>
    </row>
    <row r="786" spans="1:62" ht="10.5" hidden="1">
      <c r="A786" s="462" t="s">
        <v>5695</v>
      </c>
      <c r="B786" s="462" t="s">
        <v>111</v>
      </c>
      <c r="C786" s="462" t="str">
        <f>IFERROR(LEFT(PV_DATA[[#This Row],[TCL REFERENCE]],FIND(".",PV_DATA[[#This Row],[TCL REFERENCE]],1)-1),"Main Line")</f>
        <v>26Jun004</v>
      </c>
      <c r="D786" s="462" t="s">
        <v>63</v>
      </c>
      <c r="E786" s="462" t="s">
        <v>64</v>
      </c>
      <c r="F786" s="462" t="str" cm="1">
        <f t="array" ref="F78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86" s="462" t="s">
        <v>402</v>
      </c>
      <c r="H786" s="462" t="s">
        <v>67</v>
      </c>
      <c r="I786" s="462" t="s">
        <v>882</v>
      </c>
      <c r="J786" s="430" t="s">
        <v>96</v>
      </c>
      <c r="K786" s="430"/>
      <c r="L786" s="430"/>
      <c r="M786" s="430" t="s">
        <v>68</v>
      </c>
      <c r="N786" s="432">
        <v>46188</v>
      </c>
      <c r="O786" s="430" t="s">
        <v>132</v>
      </c>
      <c r="P786" s="430" t="s">
        <v>1062</v>
      </c>
      <c r="Q786" s="430" t="s">
        <v>1063</v>
      </c>
      <c r="R786" s="430" t="str">
        <f>_xlfn.XLOOKUP(PV_DATA[[#This Row],[New Ark SKU]],Table9[New Ark SKU],Table9[Connector],,0)</f>
        <v>EVO2A</v>
      </c>
      <c r="S786" s="433" t="str">
        <f>_xlfn.XLOOKUP(PV_DATA[[#This Row],[New Ark SKU]],Table9[New Ark SKU],Table9[Cable],,0)</f>
        <v>±1200mm</v>
      </c>
      <c r="T786" s="433">
        <v>470</v>
      </c>
      <c r="U786" s="1062">
        <v>1728</v>
      </c>
      <c r="V786" s="434">
        <f>PV_DATA[[#This Row],[QUANTITY]]*PV_DATA[[#This Row],[WATT]]/1000000</f>
        <v>0.81215999999999999</v>
      </c>
      <c r="W786" s="435">
        <f>PV_DATA[[#This Row],[QUANTITY]]/PV_DATA[[#This Row],[Qty/Pallet]]</f>
        <v>48</v>
      </c>
      <c r="X786" s="1015">
        <f>PV_DATA[[#This Row],[QUANTITY]]/PV_DATA[[#This Row],[Qty/CT]]</f>
        <v>2</v>
      </c>
      <c r="Y786" s="430" t="s">
        <v>4369</v>
      </c>
      <c r="Z786" s="430" t="str">
        <f t="shared" si="9"/>
        <v>COMPLETED</v>
      </c>
      <c r="AA786" s="430"/>
      <c r="AB786" s="437">
        <v>46232</v>
      </c>
      <c r="AC786" s="485">
        <f>IF(PV_DATA[[#This Row],[Pick-Up Date]]&lt;&gt;"",_xlfn.ISOWEEKNUM(PV_DATA[[#This Row],[Pick-Up Date]]),"")</f>
        <v>31</v>
      </c>
      <c r="AD786" s="430" t="s">
        <v>5696</v>
      </c>
      <c r="AE786" s="430"/>
      <c r="AF786" s="430" t="s">
        <v>122</v>
      </c>
      <c r="AG786" s="430" t="s">
        <v>123</v>
      </c>
      <c r="AH786" s="430" t="s">
        <v>105</v>
      </c>
      <c r="AI786" s="437">
        <v>46235</v>
      </c>
      <c r="AJ786" s="437">
        <v>46238</v>
      </c>
      <c r="AK786" s="437">
        <v>46238</v>
      </c>
      <c r="AL786" s="437">
        <v>46277</v>
      </c>
      <c r="AM786" s="437">
        <v>46285</v>
      </c>
      <c r="AN786" s="437">
        <v>46285</v>
      </c>
      <c r="AP786" s="430" t="s">
        <v>5689</v>
      </c>
      <c r="AQ786" s="430" t="s">
        <v>161</v>
      </c>
      <c r="AR786" s="430" t="s">
        <v>5690</v>
      </c>
      <c r="AS786" s="430" t="s">
        <v>5691</v>
      </c>
      <c r="AT786" s="430" t="s">
        <v>5692</v>
      </c>
      <c r="AU78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V786" s="437"/>
      <c r="AW786" s="437" cm="1">
        <f t="array" ref="AW78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</v>
      </c>
      <c r="AX78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86" s="437">
        <f>IF(ISERROR(PV_DATA[[#This Row],[New Ark PO status]]),"",_xlfn.XLOOKUP(PV_DATA[[#This Row],[SPTN-PVHK New Ark PO'#]],New_Ark_Data[Purchase order Number],New_Ark_Data[Estimated time of arrival],"",0))</f>
        <v>46283</v>
      </c>
      <c r="AZ786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86" s="437">
        <f>IFERROR(PV_DATA[[#This Row],[ODP ETA Port]]+PV_DATA[[#This Row],[Customs/Leg3 Assumption]],"n/a")</f>
        <v>46292</v>
      </c>
      <c r="BB786" s="433">
        <f>YEAR(PV_DATA[[#This Row],[ETA for New Ark update]])</f>
        <v>2026</v>
      </c>
      <c r="BC786" s="430">
        <f>MONTH(PV_DATA[[#This Row],[ETA for New Ark update]])</f>
        <v>9</v>
      </c>
      <c r="BD786" s="430">
        <f>IFERROR(_xlfn.ISOWEEKNUM(PV_DATA[[#This Row],[ETA for New Ark update]]),0)</f>
        <v>39</v>
      </c>
      <c r="BE786" s="430">
        <f>_xlfn.XLOOKUP(PV_DATA[[#This Row],[New Ark SKU]],Table9[New Ark SKU],Table9[Total PCS per Pallet],,0)</f>
        <v>36</v>
      </c>
      <c r="BF786" s="430">
        <f>_xlfn.XLOOKUP(PV_DATA[[#This Row],[New Ark SKU]],Table9[New Ark SKU],Table9[Total PCS per 40HQ Container],,0)</f>
        <v>864</v>
      </c>
      <c r="BG786" s="430" t="str">
        <f>_xlfn.XLOOKUP(PV_DATA[[#This Row],[New Ark SKU]],Table9[New Ark SKU],Table9[Back Glass],,0)</f>
        <v>White glazing</v>
      </c>
      <c r="BH786" s="430" t="str">
        <f>_xlfn.XLOOKUP(PV_DATA[[#This Row],[PORT DESTINATION]],Table12[PORT DESTINATION],Table12[Cosco Line],,0)</f>
        <v>AEU</v>
      </c>
      <c r="BJ786" s="430"/>
    </row>
    <row r="787" spans="1:62" ht="10.5" hidden="1">
      <c r="A787" s="462" t="s">
        <v>5697</v>
      </c>
      <c r="B787" s="462" t="s">
        <v>111</v>
      </c>
      <c r="C787" s="462" t="str">
        <f>IFERROR(LEFT(PV_DATA[[#This Row],[TCL REFERENCE]],FIND(".",PV_DATA[[#This Row],[TCL REFERENCE]],1)-1),"Main Line")</f>
        <v>26Jun016</v>
      </c>
      <c r="D787" s="462" t="s">
        <v>63</v>
      </c>
      <c r="E787" s="462" t="s">
        <v>64</v>
      </c>
      <c r="F787" s="462" t="str" cm="1">
        <f t="array" ref="F78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87" s="462" t="s">
        <v>402</v>
      </c>
      <c r="H787" s="462" t="s">
        <v>67</v>
      </c>
      <c r="I787" s="462" t="s">
        <v>882</v>
      </c>
      <c r="J787" s="430" t="s">
        <v>96</v>
      </c>
      <c r="K787" s="430"/>
      <c r="L787" s="430"/>
      <c r="M787" s="430" t="s">
        <v>68</v>
      </c>
      <c r="N787" s="432">
        <v>46202</v>
      </c>
      <c r="O787" s="430" t="s">
        <v>5388</v>
      </c>
      <c r="P787" s="430" t="s">
        <v>5389</v>
      </c>
      <c r="Q787" s="430" t="s">
        <v>5390</v>
      </c>
      <c r="R787" s="430" t="str">
        <f>_xlfn.XLOOKUP(PV_DATA[[#This Row],[New Ark SKU]],Table9[New Ark SKU],Table9[Connector],,0)</f>
        <v>EVO2A</v>
      </c>
      <c r="S787" s="433" t="str">
        <f>_xlfn.XLOOKUP(PV_DATA[[#This Row],[New Ark SKU]],Table9[New Ark SKU],Table9[Cable],,0)</f>
        <v>±1200mm</v>
      </c>
      <c r="T787" s="433">
        <v>470</v>
      </c>
      <c r="U787" s="1062">
        <f>936*2</f>
        <v>1872</v>
      </c>
      <c r="V787" s="434">
        <f>PV_DATA[[#This Row],[QUANTITY]]*PV_DATA[[#This Row],[WATT]]/1000000</f>
        <v>0.87983999999999996</v>
      </c>
      <c r="W787" s="435">
        <f>PV_DATA[[#This Row],[QUANTITY]]/PV_DATA[[#This Row],[Qty/Pallet]]</f>
        <v>52</v>
      </c>
      <c r="X787" s="1015">
        <f>PV_DATA[[#This Row],[QUANTITY]]/PV_DATA[[#This Row],[Qty/CT]]</f>
        <v>2</v>
      </c>
      <c r="Y787" s="430" t="s">
        <v>4371</v>
      </c>
      <c r="Z787" s="430" t="str">
        <f t="shared" si="9"/>
        <v>COMPLETED</v>
      </c>
      <c r="AA787" s="430" t="s">
        <v>5395</v>
      </c>
      <c r="AB787" s="437">
        <v>46232</v>
      </c>
      <c r="AC787" s="485">
        <f>IF(PV_DATA[[#This Row],[Pick-Up Date]]&lt;&gt;"",_xlfn.ISOWEEKNUM(PV_DATA[[#This Row],[Pick-Up Date]]),"")</f>
        <v>31</v>
      </c>
      <c r="AD787" s="430" t="s">
        <v>5698</v>
      </c>
      <c r="AE787" s="430"/>
      <c r="AF787" s="430" t="s">
        <v>122</v>
      </c>
      <c r="AG787" s="430" t="s">
        <v>123</v>
      </c>
      <c r="AH787" s="430" t="s">
        <v>105</v>
      </c>
      <c r="AI787" s="437">
        <v>46235</v>
      </c>
      <c r="AJ787" s="437">
        <v>46238</v>
      </c>
      <c r="AK787" s="437">
        <v>46238</v>
      </c>
      <c r="AL787" s="437">
        <v>46277</v>
      </c>
      <c r="AM787" s="437">
        <v>46285</v>
      </c>
      <c r="AN787" s="437">
        <v>46285</v>
      </c>
      <c r="AP787" s="430" t="s">
        <v>5689</v>
      </c>
      <c r="AQ787" s="430" t="s">
        <v>161</v>
      </c>
      <c r="AR787" s="430" t="s">
        <v>5690</v>
      </c>
      <c r="AS787" s="430" t="s">
        <v>5691</v>
      </c>
      <c r="AT787" s="430" t="s">
        <v>5692</v>
      </c>
      <c r="AU78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787" s="437" cm="1">
        <f t="array" ref="AW78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</v>
      </c>
      <c r="AX78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87" s="437">
        <f>IF(ISERROR(PV_DATA[[#This Row],[New Ark PO status]]),"",_xlfn.XLOOKUP(PV_DATA[[#This Row],[SPTN-PVHK New Ark PO'#]],New_Ark_Data[Purchase order Number],New_Ark_Data[Estimated time of arrival],"",0))</f>
        <v>46290</v>
      </c>
      <c r="AZ787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87" s="437">
        <f>IFERROR(PV_DATA[[#This Row],[ODP ETA Port]]+PV_DATA[[#This Row],[Customs/Leg3 Assumption]],"n/a")</f>
        <v>46292</v>
      </c>
      <c r="BB787" s="433">
        <f>YEAR(PV_DATA[[#This Row],[ETA for New Ark update]])</f>
        <v>2026</v>
      </c>
      <c r="BC787" s="430">
        <f>MONTH(PV_DATA[[#This Row],[ETA for New Ark update]])</f>
        <v>9</v>
      </c>
      <c r="BD787" s="430">
        <f>IFERROR(_xlfn.ISOWEEKNUM(PV_DATA[[#This Row],[ETA for New Ark update]]),0)</f>
        <v>39</v>
      </c>
      <c r="BE787" s="430">
        <f>_xlfn.XLOOKUP(PV_DATA[[#This Row],[New Ark SKU]],Table9[New Ark SKU],Table9[Total PCS per Pallet],,0)</f>
        <v>36</v>
      </c>
      <c r="BF787" s="430">
        <f>_xlfn.XLOOKUP(PV_DATA[[#This Row],[New Ark SKU]],Table9[New Ark SKU],Table9[Total PCS per 40HQ Container],,0)</f>
        <v>936</v>
      </c>
      <c r="BG787" s="430" t="str">
        <f>_xlfn.XLOOKUP(PV_DATA[[#This Row],[New Ark SKU]],Table9[New Ark SKU],Table9[Back Glass],,0)</f>
        <v>Black glazing</v>
      </c>
      <c r="BH787" s="430" t="str">
        <f>_xlfn.XLOOKUP(PV_DATA[[#This Row],[PORT DESTINATION]],Table12[PORT DESTINATION],Table12[Cosco Line],,0)</f>
        <v>AEU</v>
      </c>
      <c r="BJ787" s="430"/>
    </row>
    <row r="788" spans="1:62" ht="10.5" hidden="1">
      <c r="A788" s="462" t="s">
        <v>5699</v>
      </c>
      <c r="B788" s="462" t="s">
        <v>111</v>
      </c>
      <c r="C788" s="462" t="str">
        <f>IFERROR(LEFT(PV_DATA[[#This Row],[TCL REFERENCE]],FIND(".",PV_DATA[[#This Row],[TCL REFERENCE]],1)-1),"Main Line")</f>
        <v>26Jul002</v>
      </c>
      <c r="D788" s="462" t="s">
        <v>63</v>
      </c>
      <c r="E788" s="462" t="s">
        <v>64</v>
      </c>
      <c r="F788" s="462" t="str" cm="1">
        <f t="array" ref="F78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88" s="462" t="s">
        <v>402</v>
      </c>
      <c r="H788" s="462" t="s">
        <v>67</v>
      </c>
      <c r="I788" s="462" t="s">
        <v>882</v>
      </c>
      <c r="J788" s="430" t="s">
        <v>96</v>
      </c>
      <c r="K788" s="430"/>
      <c r="L788" s="430"/>
      <c r="M788" s="430" t="s">
        <v>68</v>
      </c>
      <c r="N788" s="432">
        <v>46209</v>
      </c>
      <c r="O788" s="430" t="s">
        <v>550</v>
      </c>
      <c r="P788" s="430" t="s">
        <v>2134</v>
      </c>
      <c r="Q788" s="430" t="s">
        <v>2135</v>
      </c>
      <c r="R788" s="430" t="str">
        <f>_xlfn.XLOOKUP(PV_DATA[[#This Row],[New Ark SKU]],Table9[New Ark SKU],Table9[Connector],,0)</f>
        <v>EVO2A</v>
      </c>
      <c r="S788" s="433" t="str">
        <f>_xlfn.XLOOKUP(PV_DATA[[#This Row],[New Ark SKU]],Table9[New Ark SKU],Table9[Cable],,0)</f>
        <v>±1350mm</v>
      </c>
      <c r="T788" s="433">
        <v>515</v>
      </c>
      <c r="U788" s="1062">
        <v>1584</v>
      </c>
      <c r="V788" s="434">
        <f>PV_DATA[[#This Row],[QUANTITY]]*PV_DATA[[#This Row],[WATT]]/1000000</f>
        <v>0.81576000000000004</v>
      </c>
      <c r="W788" s="435">
        <f>PV_DATA[[#This Row],[QUANTITY]]/PV_DATA[[#This Row],[Qty/Pallet]]</f>
        <v>44</v>
      </c>
      <c r="X788" s="1015">
        <f>PV_DATA[[#This Row],[QUANTITY]]/PV_DATA[[#This Row],[Qty/CT]]</f>
        <v>2</v>
      </c>
      <c r="Y788" s="430" t="s">
        <v>4372</v>
      </c>
      <c r="Z788" s="430" t="str">
        <f t="shared" si="9"/>
        <v>COMPLETED</v>
      </c>
      <c r="AA788" s="430"/>
      <c r="AB788" s="437">
        <v>46232</v>
      </c>
      <c r="AC788" s="485">
        <f>IF(PV_DATA[[#This Row],[Pick-Up Date]]&lt;&gt;"",_xlfn.ISOWEEKNUM(PV_DATA[[#This Row],[Pick-Up Date]]),"")</f>
        <v>31</v>
      </c>
      <c r="AD788" s="430" t="s">
        <v>5700</v>
      </c>
      <c r="AE788" s="430"/>
      <c r="AF788" s="430" t="s">
        <v>122</v>
      </c>
      <c r="AG788" s="430" t="s">
        <v>123</v>
      </c>
      <c r="AH788" s="430" t="s">
        <v>105</v>
      </c>
      <c r="AI788" s="437">
        <v>46235</v>
      </c>
      <c r="AJ788" s="437">
        <v>46238</v>
      </c>
      <c r="AK788" s="437">
        <v>46238</v>
      </c>
      <c r="AL788" s="956">
        <v>46277</v>
      </c>
      <c r="AM788" s="1155">
        <v>46285</v>
      </c>
      <c r="AN788" s="437">
        <v>46285</v>
      </c>
      <c r="AP788" s="430" t="s">
        <v>5689</v>
      </c>
      <c r="AQ788" s="430" t="s">
        <v>161</v>
      </c>
      <c r="AR788" s="430" t="s">
        <v>5690</v>
      </c>
      <c r="AS788" s="430" t="s">
        <v>5691</v>
      </c>
      <c r="AT788" s="430" t="s">
        <v>5692</v>
      </c>
      <c r="AU78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W788" s="437" cm="1">
        <f t="array" ref="AW78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</v>
      </c>
      <c r="AX78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88" s="437">
        <f>IF(ISERROR(PV_DATA[[#This Row],[New Ark PO status]]),"",_xlfn.XLOOKUP(PV_DATA[[#This Row],[SPTN-PVHK New Ark PO'#]],New_Ark_Data[Purchase order Number],New_Ark_Data[Estimated time of arrival],"",0))</f>
        <v>46283</v>
      </c>
      <c r="AZ788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88" s="437">
        <f>IFERROR(PV_DATA[[#This Row],[ODP ETA Port]]+PV_DATA[[#This Row],[Customs/Leg3 Assumption]],"n/a")</f>
        <v>46292</v>
      </c>
      <c r="BB788" s="433">
        <f>YEAR(PV_DATA[[#This Row],[ETA for New Ark update]])</f>
        <v>2026</v>
      </c>
      <c r="BC788" s="430">
        <f>MONTH(PV_DATA[[#This Row],[ETA for New Ark update]])</f>
        <v>9</v>
      </c>
      <c r="BD788" s="430">
        <f>IFERROR(_xlfn.ISOWEEKNUM(PV_DATA[[#This Row],[ETA for New Ark update]]),0)</f>
        <v>39</v>
      </c>
      <c r="BE788" s="430">
        <f>_xlfn.XLOOKUP(PV_DATA[[#This Row],[New Ark SKU]],Table9[New Ark SKU],Table9[Total PCS per Pallet],,0)</f>
        <v>36</v>
      </c>
      <c r="BF788" s="430">
        <f>_xlfn.XLOOKUP(PV_DATA[[#This Row],[New Ark SKU]],Table9[New Ark SKU],Table9[Total PCS per 40HQ Container],,0)</f>
        <v>792</v>
      </c>
      <c r="BG788" s="430" t="str">
        <f>_xlfn.XLOOKUP(PV_DATA[[#This Row],[New Ark SKU]],Table9[New Ark SKU],Table9[Back Glass],,0)</f>
        <v>Black glazing</v>
      </c>
      <c r="BH788" s="430" t="str">
        <f>_xlfn.XLOOKUP(PV_DATA[[#This Row],[PORT DESTINATION]],Table12[PORT DESTINATION],Table12[Cosco Line],,0)</f>
        <v>AEU</v>
      </c>
      <c r="BJ788" s="430"/>
    </row>
    <row r="789" spans="1:62" ht="11.25" hidden="1" customHeight="1">
      <c r="A789" s="462" t="s">
        <v>5701</v>
      </c>
      <c r="B789" s="462" t="s">
        <v>111</v>
      </c>
      <c r="C789" s="462" t="str">
        <f>IFERROR(LEFT(PV_DATA[[#This Row],[TCL REFERENCE]],FIND(".",PV_DATA[[#This Row],[TCL REFERENCE]],1)-1),"Main Line")</f>
        <v>26Jun004</v>
      </c>
      <c r="D789" s="462" t="s">
        <v>63</v>
      </c>
      <c r="E789" s="462" t="s">
        <v>64</v>
      </c>
      <c r="F789" s="462" t="str" cm="1">
        <f t="array" ref="F78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89" s="462" t="s">
        <v>402</v>
      </c>
      <c r="H789" s="462" t="s">
        <v>67</v>
      </c>
      <c r="I789" s="462" t="s">
        <v>882</v>
      </c>
      <c r="J789" s="430" t="s">
        <v>96</v>
      </c>
      <c r="K789" s="430"/>
      <c r="L789" s="430"/>
      <c r="M789" s="430" t="s">
        <v>68</v>
      </c>
      <c r="N789" s="432">
        <v>46188</v>
      </c>
      <c r="O789" s="430" t="s">
        <v>132</v>
      </c>
      <c r="P789" s="430" t="s">
        <v>1062</v>
      </c>
      <c r="Q789" s="430" t="s">
        <v>1063</v>
      </c>
      <c r="R789" s="430" t="str">
        <f>_xlfn.XLOOKUP(PV_DATA[[#This Row],[New Ark SKU]],Table9[New Ark SKU],Table9[Connector],,0)</f>
        <v>EVO2A</v>
      </c>
      <c r="S789" s="433" t="str">
        <f>_xlfn.XLOOKUP(PV_DATA[[#This Row],[New Ark SKU]],Table9[New Ark SKU],Table9[Cable],,0)</f>
        <v>±1200mm</v>
      </c>
      <c r="T789" s="433">
        <v>470</v>
      </c>
      <c r="U789" s="1062">
        <v>2592</v>
      </c>
      <c r="V789" s="434">
        <f>PV_DATA[[#This Row],[QUANTITY]]*PV_DATA[[#This Row],[WATT]]/1000000</f>
        <v>1.21824</v>
      </c>
      <c r="W789" s="435">
        <f>PV_DATA[[#This Row],[QUANTITY]]/PV_DATA[[#This Row],[Qty/Pallet]]</f>
        <v>72</v>
      </c>
      <c r="X789" s="1015">
        <f>PV_DATA[[#This Row],[QUANTITY]]/PV_DATA[[#This Row],[Qty/CT]]</f>
        <v>3</v>
      </c>
      <c r="Y789" s="430" t="s">
        <v>4369</v>
      </c>
      <c r="Z789" s="430" t="str">
        <f t="shared" si="9"/>
        <v>COMPLETED</v>
      </c>
      <c r="AA789" s="430"/>
      <c r="AB789" s="437">
        <v>46232</v>
      </c>
      <c r="AC789" s="485">
        <f>IF(PV_DATA[[#This Row],[Pick-Up Date]]&lt;&gt;"",_xlfn.ISOWEEKNUM(PV_DATA[[#This Row],[Pick-Up Date]]),"")</f>
        <v>31</v>
      </c>
      <c r="AD789" s="430" t="s">
        <v>5702</v>
      </c>
      <c r="AE789" s="430"/>
      <c r="AF789" s="430" t="s">
        <v>122</v>
      </c>
      <c r="AG789" s="430" t="s">
        <v>123</v>
      </c>
      <c r="AH789" s="430" t="s">
        <v>105</v>
      </c>
      <c r="AI789" s="437">
        <v>46235</v>
      </c>
      <c r="AJ789" s="437">
        <v>46238</v>
      </c>
      <c r="AK789" s="437">
        <v>46238</v>
      </c>
      <c r="AL789" s="437">
        <v>46277</v>
      </c>
      <c r="AM789" s="437">
        <v>46285</v>
      </c>
      <c r="AN789" s="437">
        <v>46285</v>
      </c>
      <c r="AP789" s="430" t="s">
        <v>5689</v>
      </c>
      <c r="AQ789" s="430" t="s">
        <v>161</v>
      </c>
      <c r="AR789" s="430" t="s">
        <v>5690</v>
      </c>
      <c r="AS789" s="430" t="s">
        <v>5691</v>
      </c>
      <c r="AT789" s="430" t="s">
        <v>5692</v>
      </c>
      <c r="AU78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V789" s="437"/>
      <c r="AW789" s="437" cm="1">
        <f t="array" ref="AW78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</v>
      </c>
      <c r="AX78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89" s="437">
        <f>IF(ISERROR(PV_DATA[[#This Row],[New Ark PO status]]),"",_xlfn.XLOOKUP(PV_DATA[[#This Row],[SPTN-PVHK New Ark PO'#]],New_Ark_Data[Purchase order Number],New_Ark_Data[Estimated time of arrival],"",0))</f>
        <v>46290</v>
      </c>
      <c r="AZ789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89" s="437">
        <f>IFERROR(PV_DATA[[#This Row],[ODP ETA Port]]+PV_DATA[[#This Row],[Customs/Leg3 Assumption]],"n/a")</f>
        <v>46292</v>
      </c>
      <c r="BB789" s="433">
        <f>YEAR(PV_DATA[[#This Row],[ETA for New Ark update]])</f>
        <v>2026</v>
      </c>
      <c r="BC789" s="430">
        <f>MONTH(PV_DATA[[#This Row],[ETA for New Ark update]])</f>
        <v>9</v>
      </c>
      <c r="BD789" s="430">
        <f>IFERROR(_xlfn.ISOWEEKNUM(PV_DATA[[#This Row],[ETA for New Ark update]]),0)</f>
        <v>39</v>
      </c>
      <c r="BE789" s="430">
        <f>_xlfn.XLOOKUP(PV_DATA[[#This Row],[New Ark SKU]],Table9[New Ark SKU],Table9[Total PCS per Pallet],,0)</f>
        <v>36</v>
      </c>
      <c r="BF789" s="430">
        <f>_xlfn.XLOOKUP(PV_DATA[[#This Row],[New Ark SKU]],Table9[New Ark SKU],Table9[Total PCS per 40HQ Container],,0)</f>
        <v>864</v>
      </c>
      <c r="BG789" s="430" t="str">
        <f>_xlfn.XLOOKUP(PV_DATA[[#This Row],[New Ark SKU]],Table9[New Ark SKU],Table9[Back Glass],,0)</f>
        <v>White glazing</v>
      </c>
      <c r="BH789" s="430" t="str">
        <f>_xlfn.XLOOKUP(PV_DATA[[#This Row],[PORT DESTINATION]],Table12[PORT DESTINATION],Table12[Cosco Line],,0)</f>
        <v>AEU</v>
      </c>
      <c r="BJ789" s="430"/>
    </row>
    <row r="790" spans="1:62" ht="10.5" hidden="1">
      <c r="A790" s="462" t="s">
        <v>5703</v>
      </c>
      <c r="B790" s="462" t="s">
        <v>111</v>
      </c>
      <c r="C790" s="462" t="str">
        <f>IFERROR(LEFT(PV_DATA[[#This Row],[TCL REFERENCE]],FIND(".",PV_DATA[[#This Row],[TCL REFERENCE]],1)-1),"Main Line")</f>
        <v>26May014</v>
      </c>
      <c r="D790" s="462" t="s">
        <v>63</v>
      </c>
      <c r="E790" s="462" t="s">
        <v>144</v>
      </c>
      <c r="F790" s="462" t="str" cm="1">
        <f t="array" ref="F79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90" s="462" t="s">
        <v>402</v>
      </c>
      <c r="H790" s="713" t="s">
        <v>1449</v>
      </c>
      <c r="I790" s="462" t="s">
        <v>689</v>
      </c>
      <c r="J790" s="430" t="s">
        <v>4600</v>
      </c>
      <c r="K790" s="430" t="s">
        <v>1451</v>
      </c>
      <c r="L790" s="430">
        <v>43</v>
      </c>
      <c r="M790" s="430" t="s">
        <v>840</v>
      </c>
      <c r="N790" s="432">
        <v>46181</v>
      </c>
      <c r="O790" s="430" t="s">
        <v>4540</v>
      </c>
      <c r="P790" s="430" t="s">
        <v>5066</v>
      </c>
      <c r="Q790" s="430" t="s">
        <v>1484</v>
      </c>
      <c r="R790" s="430" t="str">
        <f>_xlfn.XLOOKUP(PV_DATA[[#This Row],[New Ark SKU]],Table9[New Ark SKU],Table9[Connector],,0)</f>
        <v>H4(Com)</v>
      </c>
      <c r="S790" s="433" t="str">
        <f>_xlfn.XLOOKUP(PV_DATA[[#This Row],[New Ark SKU]],Table9[New Ark SKU],Table9[Cable],,0)</f>
        <v>+400mm/-200mm</v>
      </c>
      <c r="T790" s="433">
        <v>725</v>
      </c>
      <c r="U790" s="1062">
        <v>2376</v>
      </c>
      <c r="V790" s="544">
        <f>PV_DATA[[#This Row],[QUANTITY]]*PV_DATA[[#This Row],[WATT]]/1000000</f>
        <v>1.7225999999999999</v>
      </c>
      <c r="W790" s="435">
        <f>PV_DATA[[#This Row],[QUANTITY]]/PV_DATA[[#This Row],[Qty/Pallet]]</f>
        <v>72</v>
      </c>
      <c r="X790" s="1015">
        <f>PV_DATA[[#This Row],[QUANTITY]]/PV_DATA[[#This Row],[Qty/CT]]</f>
        <v>4</v>
      </c>
      <c r="Y790" s="430" t="s">
        <v>4369</v>
      </c>
      <c r="Z790" s="430" t="str">
        <f t="shared" si="9"/>
        <v>COMPLETED</v>
      </c>
      <c r="AA790" s="430" t="s">
        <v>5416</v>
      </c>
      <c r="AB790" s="437">
        <v>46233</v>
      </c>
      <c r="AC790" s="485">
        <f>IF(PV_DATA[[#This Row],[Pick-Up Date]]&lt;&gt;"",_xlfn.ISOWEEKNUM(PV_DATA[[#This Row],[Pick-Up Date]]),"")</f>
        <v>31</v>
      </c>
      <c r="AD790" s="435" t="s">
        <v>5704</v>
      </c>
      <c r="AE790" s="435"/>
      <c r="AF790" s="430" t="s">
        <v>122</v>
      </c>
      <c r="AG790" s="430" t="s">
        <v>123</v>
      </c>
      <c r="AH790" s="430" t="s">
        <v>105</v>
      </c>
      <c r="AI790" s="437">
        <v>46235</v>
      </c>
      <c r="AJ790" s="437">
        <v>46238</v>
      </c>
      <c r="AK790" s="437">
        <v>46238</v>
      </c>
      <c r="AL790" s="437">
        <v>46277</v>
      </c>
      <c r="AM790" s="437">
        <v>46285</v>
      </c>
      <c r="AN790" s="437">
        <v>46285</v>
      </c>
      <c r="AP790" s="430" t="s">
        <v>5689</v>
      </c>
      <c r="AQ790" s="430" t="s">
        <v>161</v>
      </c>
      <c r="AR790" s="430" t="s">
        <v>5705</v>
      </c>
      <c r="AS790" s="430" t="s">
        <v>5706</v>
      </c>
      <c r="AT790" s="430" t="s">
        <v>5707</v>
      </c>
      <c r="AU79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V790" s="437"/>
      <c r="AW790" s="437" cm="1">
        <f t="array" ref="AW79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</v>
      </c>
      <c r="AX79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90" s="437">
        <f>IF(ISERROR(PV_DATA[[#This Row],[New Ark PO status]]),"",_xlfn.XLOOKUP(PV_DATA[[#This Row],[SPTN-PVHK New Ark PO'#]],New_Ark_Data[Purchase order Number],New_Ark_Data[Estimated time of arrival],"",0))</f>
        <v>46277</v>
      </c>
      <c r="AZ790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90" s="437">
        <f>IFERROR(PV_DATA[[#This Row],[ODP ETA Port]]+PV_DATA[[#This Row],[Customs/Leg3 Assumption]],"n/a")</f>
        <v>46285</v>
      </c>
      <c r="BB790" s="433">
        <f>YEAR(PV_DATA[[#This Row],[ETA for New Ark update]])</f>
        <v>2026</v>
      </c>
      <c r="BC790" s="430">
        <f>MONTH(PV_DATA[[#This Row],[ETA for New Ark update]])</f>
        <v>9</v>
      </c>
      <c r="BD790" s="430">
        <f>IFERROR(_xlfn.ISOWEEKNUM(PV_DATA[[#This Row],[ETA for New Ark update]]),0)</f>
        <v>38</v>
      </c>
      <c r="BE790" s="430">
        <f>_xlfn.XLOOKUP(PV_DATA[[#This Row],[New Ark SKU]],Table9[New Ark SKU],Table9[Total PCS per Pallet],,0)</f>
        <v>33</v>
      </c>
      <c r="BF790" s="430">
        <f>_xlfn.XLOOKUP(PV_DATA[[#This Row],[New Ark SKU]],Table9[New Ark SKU],Table9[Total PCS per 40HQ Container],,0)</f>
        <v>594</v>
      </c>
      <c r="BG790" s="430" t="str">
        <f>_xlfn.XLOOKUP(PV_DATA[[#This Row],[New Ark SKU]],Table9[New Ark SKU],Table9[Back Glass],,0)</f>
        <v>Transparent</v>
      </c>
      <c r="BH790" s="430" t="str">
        <f>_xlfn.XLOOKUP(PV_DATA[[#This Row],[PORT DESTINATION]],Table12[PORT DESTINATION],Table12[Cosco Line],,0)</f>
        <v>AEU</v>
      </c>
      <c r="BJ790" s="430"/>
    </row>
    <row r="791" spans="1:62" ht="10.5" hidden="1">
      <c r="A791" s="462" t="s">
        <v>5708</v>
      </c>
      <c r="B791" s="462" t="s">
        <v>111</v>
      </c>
      <c r="C791" s="462" t="str">
        <f>IFERROR(LEFT(PV_DATA[[#This Row],[TCL REFERENCE]],FIND(".",PV_DATA[[#This Row],[TCL REFERENCE]],1)-1),"Main Line")</f>
        <v>26May014</v>
      </c>
      <c r="D791" s="462" t="s">
        <v>63</v>
      </c>
      <c r="E791" s="462" t="s">
        <v>144</v>
      </c>
      <c r="F791" s="462" t="str" cm="1">
        <f t="array" ref="F79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91" s="462" t="s">
        <v>402</v>
      </c>
      <c r="H791" s="713" t="s">
        <v>1449</v>
      </c>
      <c r="I791" s="462" t="s">
        <v>689</v>
      </c>
      <c r="J791" s="430" t="s">
        <v>4600</v>
      </c>
      <c r="K791" s="430" t="s">
        <v>1451</v>
      </c>
      <c r="L791" s="430">
        <v>54</v>
      </c>
      <c r="M791" s="430" t="s">
        <v>840</v>
      </c>
      <c r="N791" s="432">
        <v>46181</v>
      </c>
      <c r="O791" s="430" t="s">
        <v>4540</v>
      </c>
      <c r="P791" s="430" t="s">
        <v>5066</v>
      </c>
      <c r="Q791" s="430" t="s">
        <v>1484</v>
      </c>
      <c r="R791" s="430" t="str">
        <f>_xlfn.XLOOKUP(PV_DATA[[#This Row],[New Ark SKU]],Table9[New Ark SKU],Table9[Connector],,0)</f>
        <v>H4(Com)</v>
      </c>
      <c r="S791" s="433" t="str">
        <f>_xlfn.XLOOKUP(PV_DATA[[#This Row],[New Ark SKU]],Table9[New Ark SKU],Table9[Cable],,0)</f>
        <v>+400mm/-200mm</v>
      </c>
      <c r="T791" s="433">
        <v>725</v>
      </c>
      <c r="U791" s="1062">
        <v>3564</v>
      </c>
      <c r="V791" s="544">
        <f>PV_DATA[[#This Row],[QUANTITY]]*PV_DATA[[#This Row],[WATT]]/1000000</f>
        <v>2.5838999999999999</v>
      </c>
      <c r="W791" s="435">
        <f>PV_DATA[[#This Row],[QUANTITY]]/PV_DATA[[#This Row],[Qty/Pallet]]</f>
        <v>108</v>
      </c>
      <c r="X791" s="1015">
        <f>PV_DATA[[#This Row],[QUANTITY]]/PV_DATA[[#This Row],[Qty/CT]]</f>
        <v>6</v>
      </c>
      <c r="Y791" s="430" t="s">
        <v>4369</v>
      </c>
      <c r="Z791" s="430" t="str">
        <f t="shared" si="9"/>
        <v>COMPLETED</v>
      </c>
      <c r="AA791" s="430" t="s">
        <v>5416</v>
      </c>
      <c r="AB791" s="437">
        <v>46233</v>
      </c>
      <c r="AC791" s="485">
        <f>IF(PV_DATA[[#This Row],[Pick-Up Date]]&lt;&gt;"",_xlfn.ISOWEEKNUM(PV_DATA[[#This Row],[Pick-Up Date]]),"")</f>
        <v>31</v>
      </c>
      <c r="AD791" s="435" t="s">
        <v>5709</v>
      </c>
      <c r="AE791" s="435"/>
      <c r="AF791" s="430" t="s">
        <v>122</v>
      </c>
      <c r="AG791" s="430" t="s">
        <v>123</v>
      </c>
      <c r="AH791" s="430" t="s">
        <v>105</v>
      </c>
      <c r="AI791" s="437">
        <v>46235</v>
      </c>
      <c r="AJ791" s="437">
        <v>46238</v>
      </c>
      <c r="AK791" s="437">
        <v>46238</v>
      </c>
      <c r="AL791" s="437">
        <v>46277</v>
      </c>
      <c r="AM791" s="437">
        <v>46285</v>
      </c>
      <c r="AN791" s="437">
        <v>46285</v>
      </c>
      <c r="AP791" s="430" t="s">
        <v>5689</v>
      </c>
      <c r="AQ791" s="430" t="s">
        <v>161</v>
      </c>
      <c r="AR791" s="430" t="s">
        <v>5705</v>
      </c>
      <c r="AS791" s="430" t="s">
        <v>5706</v>
      </c>
      <c r="AT791" s="430" t="s">
        <v>5707</v>
      </c>
      <c r="AU79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V791" s="437"/>
      <c r="AW791" s="437" cm="1">
        <f t="array" ref="AW79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</v>
      </c>
      <c r="AX79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91" s="437">
        <f>IF(ISERROR(PV_DATA[[#This Row],[New Ark PO status]]),"",_xlfn.XLOOKUP(PV_DATA[[#This Row],[SPTN-PVHK New Ark PO'#]],New_Ark_Data[Purchase order Number],New_Ark_Data[Estimated time of arrival],"",0))</f>
        <v>46276</v>
      </c>
      <c r="AZ791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91" s="437">
        <f>IFERROR(PV_DATA[[#This Row],[ODP ETA Port]]+PV_DATA[[#This Row],[Customs/Leg3 Assumption]],"n/a")</f>
        <v>46285</v>
      </c>
      <c r="BB791" s="433">
        <f>YEAR(PV_DATA[[#This Row],[ETA for New Ark update]])</f>
        <v>2026</v>
      </c>
      <c r="BC791" s="430">
        <f>MONTH(PV_DATA[[#This Row],[ETA for New Ark update]])</f>
        <v>9</v>
      </c>
      <c r="BD791" s="430">
        <f>IFERROR(_xlfn.ISOWEEKNUM(PV_DATA[[#This Row],[ETA for New Ark update]]),0)</f>
        <v>38</v>
      </c>
      <c r="BE791" s="430">
        <f>_xlfn.XLOOKUP(PV_DATA[[#This Row],[New Ark SKU]],Table9[New Ark SKU],Table9[Total PCS per Pallet],,0)</f>
        <v>33</v>
      </c>
      <c r="BF791" s="430">
        <f>_xlfn.XLOOKUP(PV_DATA[[#This Row],[New Ark SKU]],Table9[New Ark SKU],Table9[Total PCS per 40HQ Container],,0)</f>
        <v>594</v>
      </c>
      <c r="BG791" s="430" t="str">
        <f>_xlfn.XLOOKUP(PV_DATA[[#This Row],[New Ark SKU]],Table9[New Ark SKU],Table9[Back Glass],,0)</f>
        <v>Transparent</v>
      </c>
      <c r="BH791" s="430" t="str">
        <f>_xlfn.XLOOKUP(PV_DATA[[#This Row],[PORT DESTINATION]],Table12[PORT DESTINATION],Table12[Cosco Line],,0)</f>
        <v>AEU</v>
      </c>
      <c r="BJ791" s="430"/>
    </row>
    <row r="792" spans="1:62" s="463" customFormat="1" ht="10.5" hidden="1">
      <c r="A792" s="462" t="s">
        <v>5710</v>
      </c>
      <c r="B792" s="462" t="s">
        <v>111</v>
      </c>
      <c r="C792" s="462" t="str">
        <f>IFERROR(LEFT(PV_DATA[[#This Row],[TCL REFERENCE]],FIND(".",PV_DATA[[#This Row],[TCL REFERENCE]],1)-1),"Main Line")</f>
        <v>26May013</v>
      </c>
      <c r="D792" s="462" t="s">
        <v>63</v>
      </c>
      <c r="E792" s="462" t="s">
        <v>144</v>
      </c>
      <c r="F792" s="462" t="str" cm="1">
        <f t="array" ref="F79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92" s="462" t="s">
        <v>402</v>
      </c>
      <c r="H792" s="713" t="s">
        <v>1449</v>
      </c>
      <c r="I792" s="462" t="s">
        <v>822</v>
      </c>
      <c r="J792" s="430" t="s">
        <v>4600</v>
      </c>
      <c r="K792" s="430" t="s">
        <v>1451</v>
      </c>
      <c r="L792" s="430">
        <v>52</v>
      </c>
      <c r="M792" s="430" t="s">
        <v>840</v>
      </c>
      <c r="N792" s="432">
        <v>46181</v>
      </c>
      <c r="O792" s="430" t="s">
        <v>4540</v>
      </c>
      <c r="P792" s="430" t="s">
        <v>5050</v>
      </c>
      <c r="Q792" s="430" t="s">
        <v>1807</v>
      </c>
      <c r="R792" s="430" t="str">
        <f>_xlfn.XLOOKUP(PV_DATA[[#This Row],[New Ark SKU]],Table9[New Ark SKU],Table9[Connector],,0)</f>
        <v>H4(Com)</v>
      </c>
      <c r="S792" s="433" t="str">
        <f>_xlfn.XLOOKUP(PV_DATA[[#This Row],[New Ark SKU]],Table9[New Ark SKU],Table9[Cable],,0)</f>
        <v>+400mm/-200mm</v>
      </c>
      <c r="T792" s="433">
        <v>720</v>
      </c>
      <c r="U792" s="1062">
        <v>2970</v>
      </c>
      <c r="V792" s="544">
        <f>PV_DATA[[#This Row],[QUANTITY]]*PV_DATA[[#This Row],[WATT]]/1000000</f>
        <v>2.1383999999999999</v>
      </c>
      <c r="W792" s="435">
        <f>PV_DATA[[#This Row],[QUANTITY]]/PV_DATA[[#This Row],[Qty/Pallet]]</f>
        <v>90</v>
      </c>
      <c r="X792" s="1015">
        <f>PV_DATA[[#This Row],[QUANTITY]]/PV_DATA[[#This Row],[Qty/CT]]</f>
        <v>5</v>
      </c>
      <c r="Y792" s="430" t="s">
        <v>4370</v>
      </c>
      <c r="Z792" s="430" t="str">
        <f t="shared" si="9"/>
        <v>COMPLETED</v>
      </c>
      <c r="AA792" s="430" t="s">
        <v>5416</v>
      </c>
      <c r="AB792" s="437">
        <v>46233</v>
      </c>
      <c r="AC792" s="485">
        <f>IF(PV_DATA[[#This Row],[Pick-Up Date]]&lt;&gt;"",_xlfn.ISOWEEKNUM(PV_DATA[[#This Row],[Pick-Up Date]]),"")</f>
        <v>31</v>
      </c>
      <c r="AD792" s="435" t="s">
        <v>5711</v>
      </c>
      <c r="AE792" s="435"/>
      <c r="AF792" s="430" t="s">
        <v>122</v>
      </c>
      <c r="AG792" s="430" t="s">
        <v>123</v>
      </c>
      <c r="AH792" s="430" t="s">
        <v>105</v>
      </c>
      <c r="AI792" s="437">
        <v>46235</v>
      </c>
      <c r="AJ792" s="437">
        <v>46238</v>
      </c>
      <c r="AK792" s="437">
        <v>46238</v>
      </c>
      <c r="AL792" s="437">
        <v>46277</v>
      </c>
      <c r="AM792" s="437">
        <v>46285</v>
      </c>
      <c r="AN792" s="437">
        <v>46285</v>
      </c>
      <c r="AO792" s="430"/>
      <c r="AP792" s="430" t="s">
        <v>5689</v>
      </c>
      <c r="AQ792" s="430" t="s">
        <v>161</v>
      </c>
      <c r="AR792" s="430" t="s">
        <v>5705</v>
      </c>
      <c r="AS792" s="430" t="s">
        <v>5706</v>
      </c>
      <c r="AT792" s="430" t="s">
        <v>5707</v>
      </c>
      <c r="AU79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V792" s="437"/>
      <c r="AW792" s="437" cm="1">
        <f t="array" ref="AW79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</v>
      </c>
      <c r="AX79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92" s="437">
        <f>IF(ISERROR(PV_DATA[[#This Row],[New Ark PO status]]),"",_xlfn.XLOOKUP(PV_DATA[[#This Row],[SPTN-PVHK New Ark PO'#]],New_Ark_Data[Purchase order Number],New_Ark_Data[Estimated time of arrival],"",0))</f>
        <v>46277</v>
      </c>
      <c r="AZ792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92" s="437">
        <f>IFERROR(PV_DATA[[#This Row],[ODP ETA Port]]+PV_DATA[[#This Row],[Customs/Leg3 Assumption]],"n/a")</f>
        <v>46285</v>
      </c>
      <c r="BB792" s="433">
        <f>YEAR(PV_DATA[[#This Row],[ETA for New Ark update]])</f>
        <v>2026</v>
      </c>
      <c r="BC792" s="430">
        <f>MONTH(PV_DATA[[#This Row],[ETA for New Ark update]])</f>
        <v>9</v>
      </c>
      <c r="BD792" s="430">
        <f>IFERROR(_xlfn.ISOWEEKNUM(PV_DATA[[#This Row],[ETA for New Ark update]]),0)</f>
        <v>38</v>
      </c>
      <c r="BE792" s="430">
        <f>_xlfn.XLOOKUP(PV_DATA[[#This Row],[New Ark SKU]],Table9[New Ark SKU],Table9[Total PCS per Pallet],,0)</f>
        <v>33</v>
      </c>
      <c r="BF792" s="430">
        <f>_xlfn.XLOOKUP(PV_DATA[[#This Row],[New Ark SKU]],Table9[New Ark SKU],Table9[Total PCS per 40HQ Container],,0)</f>
        <v>594</v>
      </c>
      <c r="BG792" s="430" t="str">
        <f>_xlfn.XLOOKUP(PV_DATA[[#This Row],[New Ark SKU]],Table9[New Ark SKU],Table9[Back Glass],,0)</f>
        <v>Transparent</v>
      </c>
      <c r="BH792" s="430" t="str">
        <f>_xlfn.XLOOKUP(PV_DATA[[#This Row],[PORT DESTINATION]],Table12[PORT DESTINATION],Table12[Cosco Line],,0)</f>
        <v>AEU</v>
      </c>
    </row>
    <row r="793" spans="1:62" ht="10.5" hidden="1">
      <c r="A793" s="462" t="s">
        <v>5712</v>
      </c>
      <c r="B793" s="462" t="s">
        <v>111</v>
      </c>
      <c r="C793" s="462" t="str">
        <f>IFERROR(LEFT(PV_DATA[[#This Row],[TCL REFERENCE]],FIND(".",PV_DATA[[#This Row],[TCL REFERENCE]],1)-1),"Main Line")</f>
        <v>26May011</v>
      </c>
      <c r="D793" s="462" t="s">
        <v>63</v>
      </c>
      <c r="E793" s="462" t="s">
        <v>144</v>
      </c>
      <c r="F793" s="462" t="str" cm="1">
        <f t="array" ref="F79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93" s="462" t="s">
        <v>402</v>
      </c>
      <c r="H793" s="713" t="s">
        <v>670</v>
      </c>
      <c r="I793" s="462" t="s">
        <v>869</v>
      </c>
      <c r="J793" s="463" t="s">
        <v>5401</v>
      </c>
      <c r="K793" s="430" t="s">
        <v>5402</v>
      </c>
      <c r="L793" s="430">
        <v>5</v>
      </c>
      <c r="M793" s="430" t="s">
        <v>840</v>
      </c>
      <c r="N793" s="432">
        <v>46167</v>
      </c>
      <c r="O793" s="430" t="s">
        <v>4540</v>
      </c>
      <c r="P793" s="430" t="s">
        <v>4601</v>
      </c>
      <c r="Q793" s="430" t="s">
        <v>330</v>
      </c>
      <c r="R793" s="430" t="str">
        <f>_xlfn.XLOOKUP(PV_DATA[[#This Row],[New Ark SKU]],Table9[New Ark SKU],Table9[Connector],,0)</f>
        <v>H4(Com)</v>
      </c>
      <c r="S793" s="433" t="str">
        <f>_xlfn.XLOOKUP(PV_DATA[[#This Row],[New Ark SKU]],Table9[New Ark SKU],Table9[Cable],,0)</f>
        <v>+400mm/-200mm</v>
      </c>
      <c r="T793" s="433">
        <v>625</v>
      </c>
      <c r="U793" s="1062">
        <f>720*6</f>
        <v>4320</v>
      </c>
      <c r="V793" s="544">
        <f>PV_DATA[[#This Row],[QUANTITY]]*PV_DATA[[#This Row],[WATT]]/1000000</f>
        <v>2.7</v>
      </c>
      <c r="W793" s="435">
        <f>PV_DATA[[#This Row],[QUANTITY]]/PV_DATA[[#This Row],[Qty/Pallet]]</f>
        <v>120</v>
      </c>
      <c r="X793" s="1020">
        <v>6</v>
      </c>
      <c r="Y793" s="430" t="s">
        <v>4369</v>
      </c>
      <c r="Z793" s="430" t="str">
        <f t="shared" si="9"/>
        <v>COMPLETED</v>
      </c>
      <c r="AA793" s="430" t="s">
        <v>5403</v>
      </c>
      <c r="AB793" s="437">
        <v>46237</v>
      </c>
      <c r="AC793" s="485">
        <f>IF(PV_DATA[[#This Row],[Pick-Up Date]]&lt;&gt;"",_xlfn.ISOWEEKNUM(PV_DATA[[#This Row],[Pick-Up Date]]),"")</f>
        <v>32</v>
      </c>
      <c r="AD793" s="430" t="s">
        <v>5713</v>
      </c>
      <c r="AE793" s="430"/>
      <c r="AF793" s="430" t="s">
        <v>122</v>
      </c>
      <c r="AG793" s="430" t="s">
        <v>123</v>
      </c>
      <c r="AH793" s="430" t="s">
        <v>105</v>
      </c>
      <c r="AI793" s="713">
        <v>46239</v>
      </c>
      <c r="AJ793" s="437">
        <v>46241</v>
      </c>
      <c r="AK793" s="437">
        <f>IFERROR(VLOOKUP(AT793, Vessel!A:E, 5, FALSE), "")</f>
        <v>46240.230393518519</v>
      </c>
      <c r="AL793" s="437">
        <v>46274</v>
      </c>
      <c r="AM793" s="588">
        <f>IFERROR(VLOOKUP(AT793, Vessel!A:H, 8, FALSE), "")</f>
        <v>46279.958333333336</v>
      </c>
      <c r="AN793" s="586">
        <v>46279.958333333336</v>
      </c>
      <c r="AP793" s="430" t="s">
        <v>5608</v>
      </c>
      <c r="AQ793" s="430" t="s">
        <v>80</v>
      </c>
      <c r="AR793" s="430" t="s">
        <v>5714</v>
      </c>
      <c r="AS793" s="430" t="s">
        <v>5715</v>
      </c>
      <c r="AT793" s="430" t="s">
        <v>5715</v>
      </c>
      <c r="AU79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39.727939814816636</v>
      </c>
      <c r="AV793" s="437"/>
      <c r="AW793" s="437" cm="1">
        <f t="array" ref="AW79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46279.958333333336</v>
      </c>
      <c r="AX79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93" s="437">
        <f>IF(ISERROR(PV_DATA[[#This Row],[New Ark PO status]]),"",_xlfn.XLOOKUP(PV_DATA[[#This Row],[SPTN-PVHK New Ark PO'#]],New_Ark_Data[Purchase order Number],New_Ark_Data[Estimated time of arrival],"",0))</f>
        <v>46280</v>
      </c>
      <c r="AZ793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93" s="437">
        <f>IFERROR(PV_DATA[[#This Row],[ODP ETA Port]]+PV_DATA[[#This Row],[Customs/Leg3 Assumption]],"n/a")</f>
        <v>46279.958333333336</v>
      </c>
      <c r="BB793" s="433">
        <f>YEAR(PV_DATA[[#This Row],[ETA for New Ark update]])</f>
        <v>2026</v>
      </c>
      <c r="BC793" s="430">
        <f>MONTH(PV_DATA[[#This Row],[ETA for New Ark update]])</f>
        <v>9</v>
      </c>
      <c r="BD793" s="430">
        <f>IFERROR(_xlfn.ISOWEEKNUM(PV_DATA[[#This Row],[ETA for New Ark update]]),0)</f>
        <v>38</v>
      </c>
      <c r="BE793" s="430">
        <f>_xlfn.XLOOKUP(PV_DATA[[#This Row],[New Ark SKU]],Table9[New Ark SKU],Table9[Total PCS per Pallet],,0)</f>
        <v>36</v>
      </c>
      <c r="BF793" s="430">
        <f>_xlfn.XLOOKUP(PV_DATA[[#This Row],[New Ark SKU]],Table9[New Ark SKU],Table9[Total PCS per 40HQ Container],,0)</f>
        <v>720</v>
      </c>
      <c r="BG793" s="430" t="str">
        <f>_xlfn.XLOOKUP(PV_DATA[[#This Row],[New Ark SKU]],Table9[New Ark SKU],Table9[Back Glass],,0)</f>
        <v>Transparent</v>
      </c>
      <c r="BH793" s="430" t="str">
        <f>_xlfn.XLOOKUP(PV_DATA[[#This Row],[PORT DESTINATION]],Table12[PORT DESTINATION],Table12[Cosco Line],,0)</f>
        <v>AEU</v>
      </c>
      <c r="BJ793" s="430"/>
    </row>
    <row r="794" spans="1:62" ht="10.5" hidden="1">
      <c r="A794" s="462" t="s">
        <v>5716</v>
      </c>
      <c r="B794" s="462" t="s">
        <v>111</v>
      </c>
      <c r="C794" s="462" t="str">
        <f>IFERROR(LEFT(PV_DATA[[#This Row],[TCL REFERENCE]],FIND(".",PV_DATA[[#This Row],[TCL REFERENCE]],1)-1),"Main Line")</f>
        <v>26Jun015</v>
      </c>
      <c r="D794" s="462" t="s">
        <v>63</v>
      </c>
      <c r="E794" s="462" t="s">
        <v>144</v>
      </c>
      <c r="F794" s="462" t="str" cm="1">
        <f t="array" ref="F79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794" s="462" t="s">
        <v>402</v>
      </c>
      <c r="H794" s="462" t="s">
        <v>1080</v>
      </c>
      <c r="I794" s="462" t="s">
        <v>869</v>
      </c>
      <c r="J794" s="430" t="s">
        <v>1080</v>
      </c>
      <c r="K794" s="430" t="s">
        <v>5408</v>
      </c>
      <c r="L794" s="430">
        <v>2</v>
      </c>
      <c r="M794" s="430" t="s">
        <v>840</v>
      </c>
      <c r="N794" s="432">
        <v>46202</v>
      </c>
      <c r="O794" s="430" t="s">
        <v>5388</v>
      </c>
      <c r="P794" s="430" t="s">
        <v>5409</v>
      </c>
      <c r="Q794" s="430" t="s">
        <v>5410</v>
      </c>
      <c r="R794" s="430" t="str">
        <f>_xlfn.XLOOKUP(PV_DATA[[#This Row],[New Ark SKU]],Table9[New Ark SKU],Table9[Connector],,0)</f>
        <v>EVO2A</v>
      </c>
      <c r="S794" s="433" t="str">
        <f>_xlfn.XLOOKUP(PV_DATA[[#This Row],[New Ark SKU]],Table9[New Ark SKU],Table9[Cable],,0)</f>
        <v>±1200mm</v>
      </c>
      <c r="T794" s="433">
        <v>465</v>
      </c>
      <c r="U794" s="1062">
        <v>3744</v>
      </c>
      <c r="V794" s="434">
        <f>PV_DATA[[#This Row],[QUANTITY]]*PV_DATA[[#This Row],[WATT]]/1000000</f>
        <v>1.7409600000000001</v>
      </c>
      <c r="W794" s="435">
        <f>PV_DATA[[#This Row],[QUANTITY]]/PV_DATA[[#This Row],[Qty/Pallet]]</f>
        <v>104</v>
      </c>
      <c r="X794" s="1015">
        <f>PV_DATA[[#This Row],[QUANTITY]]/PV_DATA[[#This Row],[Qty/CT]]</f>
        <v>4</v>
      </c>
      <c r="Y794" s="430" t="s">
        <v>4371</v>
      </c>
      <c r="Z794" s="430" t="str">
        <f t="shared" si="9"/>
        <v>COMPLETED</v>
      </c>
      <c r="AA794" s="430" t="s">
        <v>5411</v>
      </c>
      <c r="AB794" s="437">
        <v>46231</v>
      </c>
      <c r="AC794" s="485">
        <f>IF(PV_DATA[[#This Row],[Pick-Up Date]]&lt;&gt;"",_xlfn.ISOWEEKNUM(PV_DATA[[#This Row],[Pick-Up Date]]),"")</f>
        <v>31</v>
      </c>
      <c r="AD794" s="430" t="s">
        <v>5717</v>
      </c>
      <c r="AE794" s="430"/>
      <c r="AF794" s="430" t="s">
        <v>122</v>
      </c>
      <c r="AG794" s="430" t="s">
        <v>123</v>
      </c>
      <c r="AH794" s="430" t="s">
        <v>105</v>
      </c>
      <c r="AI794" s="437">
        <v>46239</v>
      </c>
      <c r="AJ794" s="437">
        <f>IFERROR(IF(VLOOKUP(AT794,Vessel!A:D,4,FALSE)=0,"",VLOOKUP(AT794,Vessel!A:D,4,FALSE)),"")</f>
        <v>46240.333333333336</v>
      </c>
      <c r="AK794" s="437">
        <f>IFERROR(VLOOKUP(AT794, Vessel!A:E, 5, FALSE), "")</f>
        <v>46240.230393518519</v>
      </c>
      <c r="AL794" s="437">
        <v>46274</v>
      </c>
      <c r="AM794" s="588">
        <f>IFERROR(VLOOKUP(AT794, Vessel!A:H, 8, FALSE), "")</f>
        <v>46279.958333333336</v>
      </c>
      <c r="AN794" s="586">
        <f>IFERROR(IF(VLOOKUP(AT794,Vessel!A:I,9,FALSE)=0,"",VLOOKUP(AT794,Vessel!A:I,9,FALSE)),"")</f>
        <v>46279.935393518521</v>
      </c>
      <c r="AP794" s="430" t="s">
        <v>5608</v>
      </c>
      <c r="AQ794" s="430" t="s">
        <v>80</v>
      </c>
      <c r="AR794" s="430" t="s">
        <v>5718</v>
      </c>
      <c r="AS794" s="463" t="s">
        <v>5719</v>
      </c>
      <c r="AT794" s="463" t="s">
        <v>5719</v>
      </c>
      <c r="AU79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39.705000000001746</v>
      </c>
      <c r="AV794" s="430" t="s">
        <v>2493</v>
      </c>
      <c r="AW794" s="437" cm="1">
        <f t="array" ref="AW79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46279.935393518521</v>
      </c>
      <c r="AX79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794" s="437">
        <f>IF(ISERROR(PV_DATA[[#This Row],[New Ark PO status]]),"",_xlfn.XLOOKUP(PV_DATA[[#This Row],[SPTN-PVHK New Ark PO'#]],New_Ark_Data[Purchase order Number],New_Ark_Data[Estimated time of arrival],"",0))</f>
        <v>46274</v>
      </c>
      <c r="AZ794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794" s="437">
        <f>IFERROR(PV_DATA[[#This Row],[ODP ETA Port]]+PV_DATA[[#This Row],[Customs/Leg3 Assumption]],"n/a")</f>
        <v>46279.935393518521</v>
      </c>
      <c r="BB794" s="433">
        <f>YEAR(PV_DATA[[#This Row],[ETA for New Ark update]])</f>
        <v>2026</v>
      </c>
      <c r="BC794" s="430">
        <f>MONTH(PV_DATA[[#This Row],[ETA for New Ark update]])</f>
        <v>9</v>
      </c>
      <c r="BD794" s="430">
        <f>IFERROR(_xlfn.ISOWEEKNUM(PV_DATA[[#This Row],[ETA for New Ark update]]),0)</f>
        <v>38</v>
      </c>
      <c r="BE794" s="430">
        <f>_xlfn.XLOOKUP(PV_DATA[[#This Row],[New Ark SKU]],Table9[New Ark SKU],Table9[Total PCS per Pallet],,0)</f>
        <v>36</v>
      </c>
      <c r="BF794" s="430">
        <f>_xlfn.XLOOKUP(PV_DATA[[#This Row],[New Ark SKU]],Table9[New Ark SKU],Table9[Total PCS per 40HQ Container],,0)</f>
        <v>936</v>
      </c>
      <c r="BG794" s="430" t="str">
        <f>_xlfn.XLOOKUP(PV_DATA[[#This Row],[New Ark SKU]],Table9[New Ark SKU],Table9[Back Glass],,0)</f>
        <v>Black glazing</v>
      </c>
      <c r="BH794" s="430" t="str">
        <f>_xlfn.XLOOKUP(PV_DATA[[#This Row],[PORT DESTINATION]],Table12[PORT DESTINATION],Table12[Cosco Line],,0)</f>
        <v>AEU</v>
      </c>
      <c r="BJ794" s="430"/>
    </row>
    <row r="795" spans="1:62" ht="10.5" hidden="1">
      <c r="A795" s="462" t="s">
        <v>5720</v>
      </c>
      <c r="B795" s="462" t="s">
        <v>111</v>
      </c>
      <c r="C795" s="462" t="str">
        <f>IFERROR(LEFT(PV_DATA[[#This Row],[TCL REFERENCE]],FIND(".",PV_DATA[[#This Row],[TCL REFERENCE]],1)-1),"Main Line")</f>
        <v>26Jun016</v>
      </c>
      <c r="D795" s="462" t="s">
        <v>63</v>
      </c>
      <c r="E795" s="462" t="s">
        <v>64</v>
      </c>
      <c r="F795" s="462" t="str" cm="1">
        <f t="array" ref="F79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95" s="462" t="s">
        <v>402</v>
      </c>
      <c r="H795" s="462" t="s">
        <v>67</v>
      </c>
      <c r="I795" s="462" t="s">
        <v>822</v>
      </c>
      <c r="J795" s="430" t="s">
        <v>96</v>
      </c>
      <c r="K795" s="430"/>
      <c r="L795" s="430"/>
      <c r="M795" s="430" t="s">
        <v>68</v>
      </c>
      <c r="N795" s="432">
        <v>46202</v>
      </c>
      <c r="O795" s="430" t="s">
        <v>5388</v>
      </c>
      <c r="P795" s="430" t="s">
        <v>5389</v>
      </c>
      <c r="Q795" s="430" t="s">
        <v>5390</v>
      </c>
      <c r="R795" s="430" t="str">
        <f>_xlfn.XLOOKUP(PV_DATA[[#This Row],[New Ark SKU]],Table9[New Ark SKU],Table9[Connector],,0)</f>
        <v>EVO2A</v>
      </c>
      <c r="S795" s="433" t="str">
        <f>_xlfn.XLOOKUP(PV_DATA[[#This Row],[New Ark SKU]],Table9[New Ark SKU],Table9[Cable],,0)</f>
        <v>±1200mm</v>
      </c>
      <c r="T795" s="433">
        <v>470</v>
      </c>
      <c r="U795" s="1062">
        <v>936</v>
      </c>
      <c r="V795" s="434">
        <f>PV_DATA[[#This Row],[QUANTITY]]*PV_DATA[[#This Row],[WATT]]/1000000</f>
        <v>0.43991999999999998</v>
      </c>
      <c r="W795" s="435">
        <f>PV_DATA[[#This Row],[QUANTITY]]/PV_DATA[[#This Row],[Qty/Pallet]]</f>
        <v>26</v>
      </c>
      <c r="X795" s="1015">
        <f>PV_DATA[[#This Row],[QUANTITY]]/PV_DATA[[#This Row],[Qty/CT]]</f>
        <v>1</v>
      </c>
      <c r="Y795" s="430" t="s">
        <v>4371</v>
      </c>
      <c r="Z795" s="430" t="str">
        <f t="shared" si="9"/>
        <v>COMPLETED</v>
      </c>
      <c r="AA795" s="430" t="s">
        <v>5431</v>
      </c>
      <c r="AB795" s="437">
        <v>46231</v>
      </c>
      <c r="AC795" s="485">
        <f>IF(PV_DATA[[#This Row],[Pick-Up Date]]&lt;&gt;"",_xlfn.ISOWEEKNUM(PV_DATA[[#This Row],[Pick-Up Date]]),"")</f>
        <v>31</v>
      </c>
      <c r="AD795" s="430" t="s">
        <v>5721</v>
      </c>
      <c r="AE795" s="430"/>
      <c r="AF795" s="430" t="s">
        <v>122</v>
      </c>
      <c r="AG795" s="430" t="s">
        <v>123</v>
      </c>
      <c r="AH795" s="430" t="s">
        <v>105</v>
      </c>
      <c r="AI795" s="437">
        <v>46239</v>
      </c>
      <c r="AJ795" s="437">
        <f>IFERROR(IF(VLOOKUP(AT795,Vessel!A:D,4,FALSE)=0,"",VLOOKUP(AT795,Vessel!A:D,4,FALSE)),"")</f>
        <v>46240.333333333336</v>
      </c>
      <c r="AK795" s="437">
        <f>IFERROR(VLOOKUP(AT795, Vessel!A:E, 5, FALSE), "")</f>
        <v>46240.230393518519</v>
      </c>
      <c r="AL795" s="437">
        <v>46274</v>
      </c>
      <c r="AM795" s="588">
        <f>IFERROR(VLOOKUP(AT795, Vessel!A:H, 8, FALSE), "")</f>
        <v>46279.958333333336</v>
      </c>
      <c r="AN795" s="586">
        <f>IFERROR(IF(VLOOKUP(AT795,Vessel!A:I,9,FALSE)=0,"",VLOOKUP(AT795,Vessel!A:I,9,FALSE)),"")</f>
        <v>46279.935393518521</v>
      </c>
      <c r="AP795" s="430" t="s">
        <v>5608</v>
      </c>
      <c r="AQ795" s="430" t="s">
        <v>80</v>
      </c>
      <c r="AR795" s="430" t="s">
        <v>5722</v>
      </c>
      <c r="AS795" s="484" t="s">
        <v>5723</v>
      </c>
      <c r="AT795" s="484" t="s">
        <v>5719</v>
      </c>
      <c r="AU79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39.705000000001746</v>
      </c>
      <c r="AW795" s="437" cm="1">
        <f t="array" ref="AW79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46279.935393518521</v>
      </c>
      <c r="AX79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95" s="437">
        <f>IF(ISERROR(PV_DATA[[#This Row],[New Ark PO status]]),"",_xlfn.XLOOKUP(PV_DATA[[#This Row],[SPTN-PVHK New Ark PO'#]],New_Ark_Data[Purchase order Number],New_Ark_Data[Estimated time of arrival],"",0))</f>
        <v>46293</v>
      </c>
      <c r="AZ795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95" s="437">
        <f>IFERROR(PV_DATA[[#This Row],[ODP ETA Port]]+PV_DATA[[#This Row],[Customs/Leg3 Assumption]],"n/a")</f>
        <v>46286.935393518521</v>
      </c>
      <c r="BB795" s="433">
        <f>YEAR(PV_DATA[[#This Row],[ETA for New Ark update]])</f>
        <v>2026</v>
      </c>
      <c r="BC795" s="430">
        <f>MONTH(PV_DATA[[#This Row],[ETA for New Ark update]])</f>
        <v>9</v>
      </c>
      <c r="BD795" s="430">
        <f>IFERROR(_xlfn.ISOWEEKNUM(PV_DATA[[#This Row],[ETA for New Ark update]]),0)</f>
        <v>39</v>
      </c>
      <c r="BE795" s="430">
        <f>_xlfn.XLOOKUP(PV_DATA[[#This Row],[New Ark SKU]],Table9[New Ark SKU],Table9[Total PCS per Pallet],,0)</f>
        <v>36</v>
      </c>
      <c r="BF795" s="430">
        <f>_xlfn.XLOOKUP(PV_DATA[[#This Row],[New Ark SKU]],Table9[New Ark SKU],Table9[Total PCS per 40HQ Container],,0)</f>
        <v>936</v>
      </c>
      <c r="BG795" s="430" t="str">
        <f>_xlfn.XLOOKUP(PV_DATA[[#This Row],[New Ark SKU]],Table9[New Ark SKU],Table9[Back Glass],,0)</f>
        <v>Black glazing</v>
      </c>
      <c r="BH795" s="430" t="str">
        <f>_xlfn.XLOOKUP(PV_DATA[[#This Row],[PORT DESTINATION]],Table12[PORT DESTINATION],Table12[Cosco Line],,0)</f>
        <v>AEU</v>
      </c>
      <c r="BJ795" s="430"/>
    </row>
    <row r="796" spans="1:62" ht="10.5" hidden="1">
      <c r="A796" s="462" t="s">
        <v>5724</v>
      </c>
      <c r="B796" s="462" t="s">
        <v>111</v>
      </c>
      <c r="C796" s="462" t="str">
        <f>IFERROR(LEFT(PV_DATA[[#This Row],[TCL REFERENCE]],FIND(".",PV_DATA[[#This Row],[TCL REFERENCE]],1)-1),"Main Line")</f>
        <v>26Jun015</v>
      </c>
      <c r="D796" s="462" t="s">
        <v>63</v>
      </c>
      <c r="E796" s="462" t="s">
        <v>64</v>
      </c>
      <c r="F796" s="462" t="str" cm="1">
        <f t="array" ref="F79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96" s="462" t="s">
        <v>402</v>
      </c>
      <c r="H796" s="462" t="s">
        <v>67</v>
      </c>
      <c r="I796" s="462" t="s">
        <v>869</v>
      </c>
      <c r="J796" s="430" t="s">
        <v>96</v>
      </c>
      <c r="K796" s="430"/>
      <c r="L796" s="430"/>
      <c r="M796" s="430" t="s">
        <v>68</v>
      </c>
      <c r="N796" s="432">
        <v>46202</v>
      </c>
      <c r="O796" s="430" t="s">
        <v>5388</v>
      </c>
      <c r="P796" s="430" t="s">
        <v>5409</v>
      </c>
      <c r="Q796" s="430" t="s">
        <v>5410</v>
      </c>
      <c r="R796" s="430" t="str">
        <f>_xlfn.XLOOKUP(PV_DATA[[#This Row],[New Ark SKU]],Table9[New Ark SKU],Table9[Connector],,0)</f>
        <v>EVO2A</v>
      </c>
      <c r="S796" s="433" t="str">
        <f>_xlfn.XLOOKUP(PV_DATA[[#This Row],[New Ark SKU]],Table9[New Ark SKU],Table9[Cable],,0)</f>
        <v>±1200mm</v>
      </c>
      <c r="T796" s="433">
        <v>465</v>
      </c>
      <c r="U796" s="1062">
        <v>1872</v>
      </c>
      <c r="V796" s="434">
        <f>PV_DATA[[#This Row],[QUANTITY]]*PV_DATA[[#This Row],[WATT]]/1000000</f>
        <v>0.87048000000000003</v>
      </c>
      <c r="W796" s="435">
        <f>PV_DATA[[#This Row],[QUANTITY]]/PV_DATA[[#This Row],[Qty/Pallet]]</f>
        <v>52</v>
      </c>
      <c r="X796" s="1015">
        <f>PV_DATA[[#This Row],[QUANTITY]]/PV_DATA[[#This Row],[Qty/CT]]</f>
        <v>2</v>
      </c>
      <c r="Y796" s="430" t="s">
        <v>4370</v>
      </c>
      <c r="Z796" s="430" t="str">
        <f t="shared" si="9"/>
        <v>COMPLETED</v>
      </c>
      <c r="AA796" s="430" t="s">
        <v>5725</v>
      </c>
      <c r="AB796" s="437">
        <v>46230</v>
      </c>
      <c r="AC796" s="485">
        <f>IF(PV_DATA[[#This Row],[Pick-Up Date]]&lt;&gt;"",_xlfn.ISOWEEKNUM(PV_DATA[[#This Row],[Pick-Up Date]]),"")</f>
        <v>31</v>
      </c>
      <c r="AD796" s="430" t="s">
        <v>5726</v>
      </c>
      <c r="AE796" s="430"/>
      <c r="AF796" s="430" t="s">
        <v>122</v>
      </c>
      <c r="AG796" s="430" t="s">
        <v>123</v>
      </c>
      <c r="AH796" s="430" t="s">
        <v>105</v>
      </c>
      <c r="AI796" s="437">
        <v>46237</v>
      </c>
      <c r="AJ796" s="437">
        <f>IFERROR(IF(VLOOKUP(AT796,Vessel!A:D,4,FALSE)=0,"",VLOOKUP(AT796,Vessel!A:D,4,FALSE)),"")</f>
        <v>46240.875</v>
      </c>
      <c r="AK796" s="437">
        <f>IFERROR(VLOOKUP(AT796, Vessel!A:E, 5, FALSE), "")</f>
        <v>46240.874942129631</v>
      </c>
      <c r="AL796" s="437">
        <v>46274</v>
      </c>
      <c r="AM796" s="588">
        <f>IFERROR(VLOOKUP(AT796, Vessel!A:H, 8, FALSE), "")</f>
        <v>46283.875</v>
      </c>
      <c r="AN796" s="586">
        <f>IFERROR(IF(VLOOKUP(AT796,Vessel!A:I,9,FALSE)=0,"",VLOOKUP(AT796,Vessel!A:I,9,FALSE)),"")</f>
        <v>46283.912627314814</v>
      </c>
      <c r="AP796" s="430" t="s">
        <v>5727</v>
      </c>
      <c r="AQ796" s="438" t="s">
        <v>80</v>
      </c>
      <c r="AR796" s="430" t="s">
        <v>5728</v>
      </c>
      <c r="AS796" s="430" t="s">
        <v>5729</v>
      </c>
      <c r="AT796" s="430" t="s">
        <v>5729</v>
      </c>
      <c r="AU79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43.037685185183364</v>
      </c>
      <c r="AW796" s="437" cm="1">
        <f t="array" ref="AW79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46283.912627314814</v>
      </c>
      <c r="AX79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96" s="437">
        <f>IF(ISERROR(PV_DATA[[#This Row],[New Ark PO status]]),"",_xlfn.XLOOKUP(PV_DATA[[#This Row],[SPTN-PVHK New Ark PO'#]],New_Ark_Data[Purchase order Number],New_Ark_Data[Estimated time of arrival],"",0))</f>
        <v>46296</v>
      </c>
      <c r="AZ796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96" s="437">
        <f>IFERROR(PV_DATA[[#This Row],[ODP ETA Port]]+PV_DATA[[#This Row],[Customs/Leg3 Assumption]],"n/a")</f>
        <v>46290.912627314814</v>
      </c>
      <c r="BB796" s="433">
        <f>YEAR(PV_DATA[[#This Row],[ETA for New Ark update]])</f>
        <v>2026</v>
      </c>
      <c r="BC796" s="430">
        <f>MONTH(PV_DATA[[#This Row],[ETA for New Ark update]])</f>
        <v>9</v>
      </c>
      <c r="BD796" s="430">
        <f>IFERROR(_xlfn.ISOWEEKNUM(PV_DATA[[#This Row],[ETA for New Ark update]]),0)</f>
        <v>39</v>
      </c>
      <c r="BE796" s="430">
        <f>_xlfn.XLOOKUP(PV_DATA[[#This Row],[New Ark SKU]],Table9[New Ark SKU],Table9[Total PCS per Pallet],,0)</f>
        <v>36</v>
      </c>
      <c r="BF796" s="430">
        <f>_xlfn.XLOOKUP(PV_DATA[[#This Row],[New Ark SKU]],Table9[New Ark SKU],Table9[Total PCS per 40HQ Container],,0)</f>
        <v>936</v>
      </c>
      <c r="BG796" s="430" t="str">
        <f>_xlfn.XLOOKUP(PV_DATA[[#This Row],[New Ark SKU]],Table9[New Ark SKU],Table9[Back Glass],,0)</f>
        <v>Black glazing</v>
      </c>
      <c r="BH796" s="430" t="str">
        <f>_xlfn.XLOOKUP(PV_DATA[[#This Row],[PORT DESTINATION]],Table12[PORT DESTINATION],Table12[Cosco Line],,0)</f>
        <v>AEU</v>
      </c>
      <c r="BJ796" s="430"/>
    </row>
    <row r="797" spans="1:62" ht="9.75" hidden="1" customHeight="1">
      <c r="A797" s="462" t="s">
        <v>5730</v>
      </c>
      <c r="B797" s="462" t="s">
        <v>111</v>
      </c>
      <c r="C797" s="462" t="str">
        <f>IFERROR(LEFT(PV_DATA[[#This Row],[TCL REFERENCE]],FIND(".",PV_DATA[[#This Row],[TCL REFERENCE]],1)-1),"Main Line")</f>
        <v>26Jun004</v>
      </c>
      <c r="D797" s="462" t="s">
        <v>63</v>
      </c>
      <c r="E797" s="462" t="s">
        <v>64</v>
      </c>
      <c r="F797" s="462" t="str" cm="1">
        <f t="array" ref="F79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797" s="462" t="s">
        <v>402</v>
      </c>
      <c r="H797" s="462" t="s">
        <v>67</v>
      </c>
      <c r="I797" s="462" t="s">
        <v>882</v>
      </c>
      <c r="J797" s="430" t="s">
        <v>96</v>
      </c>
      <c r="K797" s="430"/>
      <c r="L797" s="430"/>
      <c r="M797" s="430" t="s">
        <v>68</v>
      </c>
      <c r="N797" s="432">
        <v>46188</v>
      </c>
      <c r="O797" s="430" t="s">
        <v>132</v>
      </c>
      <c r="P797" s="430" t="s">
        <v>1062</v>
      </c>
      <c r="Q797" s="430" t="s">
        <v>1063</v>
      </c>
      <c r="R797" s="430" t="str">
        <f>_xlfn.XLOOKUP(PV_DATA[[#This Row],[New Ark SKU]],Table9[New Ark SKU],Table9[Connector],,0)</f>
        <v>EVO2A</v>
      </c>
      <c r="S797" s="433" t="str">
        <f>_xlfn.XLOOKUP(PV_DATA[[#This Row],[New Ark SKU]],Table9[New Ark SKU],Table9[Cable],,0)</f>
        <v>±1200mm</v>
      </c>
      <c r="T797" s="433">
        <v>470</v>
      </c>
      <c r="U797" s="1062">
        <v>2592</v>
      </c>
      <c r="V797" s="434">
        <f>PV_DATA[[#This Row],[QUANTITY]]*PV_DATA[[#This Row],[WATT]]/1000000</f>
        <v>1.21824</v>
      </c>
      <c r="W797" s="435">
        <f>PV_DATA[[#This Row],[QUANTITY]]/PV_DATA[[#This Row],[Qty/Pallet]]</f>
        <v>72</v>
      </c>
      <c r="X797" s="1015">
        <f>PV_DATA[[#This Row],[QUANTITY]]/PV_DATA[[#This Row],[Qty/CT]]</f>
        <v>3</v>
      </c>
      <c r="Y797" s="430" t="s">
        <v>4369</v>
      </c>
      <c r="Z797" s="430" t="str">
        <f t="shared" si="9"/>
        <v>COMPLETED</v>
      </c>
      <c r="AA797" s="430"/>
      <c r="AB797" s="437">
        <v>46230</v>
      </c>
      <c r="AC797" s="485">
        <f>IF(PV_DATA[[#This Row],[Pick-Up Date]]&lt;&gt;"",_xlfn.ISOWEEKNUM(PV_DATA[[#This Row],[Pick-Up Date]]),"")</f>
        <v>31</v>
      </c>
      <c r="AD797" s="430" t="s">
        <v>5731</v>
      </c>
      <c r="AE797" s="430"/>
      <c r="AF797" s="430" t="s">
        <v>122</v>
      </c>
      <c r="AG797" s="430" t="s">
        <v>123</v>
      </c>
      <c r="AH797" s="430" t="s">
        <v>105</v>
      </c>
      <c r="AI797" s="437">
        <v>46237</v>
      </c>
      <c r="AJ797" s="437">
        <f>IFERROR(IF(VLOOKUP(AT797,Vessel!A:D,4,FALSE)=0,"",VLOOKUP(AT797,Vessel!A:D,4,FALSE)),"")</f>
        <v>46240.875</v>
      </c>
      <c r="AK797" s="437">
        <f>IFERROR(VLOOKUP(AT797, Vessel!A:E, 5, FALSE), "")</f>
        <v>46240.874942129631</v>
      </c>
      <c r="AL797" s="437">
        <v>46274</v>
      </c>
      <c r="AM797" s="588">
        <f>IFERROR(VLOOKUP(AT797, Vessel!A:H, 8, FALSE), "")</f>
        <v>46283.875</v>
      </c>
      <c r="AN797" s="586">
        <f>IFERROR(IF(VLOOKUP(AT797,Vessel!A:I,9,FALSE)=0,"",VLOOKUP(AT797,Vessel!A:I,9,FALSE)),"")</f>
        <v>46283.912627314814</v>
      </c>
      <c r="AP797" s="430" t="s">
        <v>5727</v>
      </c>
      <c r="AQ797" s="430" t="s">
        <v>80</v>
      </c>
      <c r="AR797" s="430" t="s">
        <v>5728</v>
      </c>
      <c r="AS797" s="430" t="s">
        <v>5729</v>
      </c>
      <c r="AT797" s="430" t="s">
        <v>5729</v>
      </c>
      <c r="AU79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43.037685185183364</v>
      </c>
      <c r="AV797" s="437"/>
      <c r="AW797" s="437" cm="1">
        <f t="array" ref="AW79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46283.912627314814</v>
      </c>
      <c r="AX79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97" s="437">
        <f>IF(ISERROR(PV_DATA[[#This Row],[New Ark PO status]]),"",_xlfn.XLOOKUP(PV_DATA[[#This Row],[SPTN-PVHK New Ark PO'#]],New_Ark_Data[Purchase order Number],New_Ark_Data[Estimated time of arrival],"",0))</f>
        <v>46296</v>
      </c>
      <c r="AZ797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797" s="437">
        <f>IFERROR(PV_DATA[[#This Row],[ODP ETA Port]]+PV_DATA[[#This Row],[Customs/Leg3 Assumption]],"n/a")</f>
        <v>46290.912627314814</v>
      </c>
      <c r="BB797" s="433">
        <f>YEAR(PV_DATA[[#This Row],[ETA for New Ark update]])</f>
        <v>2026</v>
      </c>
      <c r="BC797" s="430">
        <f>MONTH(PV_DATA[[#This Row],[ETA for New Ark update]])</f>
        <v>9</v>
      </c>
      <c r="BD797" s="430">
        <f>IFERROR(_xlfn.ISOWEEKNUM(PV_DATA[[#This Row],[ETA for New Ark update]]),0)</f>
        <v>39</v>
      </c>
      <c r="BE797" s="430">
        <f>_xlfn.XLOOKUP(PV_DATA[[#This Row],[New Ark SKU]],Table9[New Ark SKU],Table9[Total PCS per Pallet],,0)</f>
        <v>36</v>
      </c>
      <c r="BF797" s="430">
        <f>_xlfn.XLOOKUP(PV_DATA[[#This Row],[New Ark SKU]],Table9[New Ark SKU],Table9[Total PCS per 40HQ Container],,0)</f>
        <v>864</v>
      </c>
      <c r="BG797" s="430" t="str">
        <f>_xlfn.XLOOKUP(PV_DATA[[#This Row],[New Ark SKU]],Table9[New Ark SKU],Table9[Back Glass],,0)</f>
        <v>White glazing</v>
      </c>
      <c r="BH797" s="430" t="str">
        <f>_xlfn.XLOOKUP(PV_DATA[[#This Row],[PORT DESTINATION]],Table12[PORT DESTINATION],Table12[Cosco Line],,0)</f>
        <v>AEU</v>
      </c>
      <c r="BJ797" s="430"/>
    </row>
    <row r="798" spans="1:62" s="462" customFormat="1" ht="10.5" hidden="1">
      <c r="A798" s="462" t="s">
        <v>5732</v>
      </c>
      <c r="B798" s="462" t="s">
        <v>111</v>
      </c>
      <c r="C798" s="462" t="str">
        <f>IFERROR(LEFT(PV_DATA[[#This Row],[TCL REFERENCE]],FIND(".",PV_DATA[[#This Row],[TCL REFERENCE]],1)-1),"Main Line")</f>
        <v>26Jul002</v>
      </c>
      <c r="D798" s="462" t="s">
        <v>63</v>
      </c>
      <c r="E798" s="462" t="s">
        <v>64</v>
      </c>
      <c r="F798" s="462" t="str" cm="1">
        <f t="array" ref="F79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798" s="462" t="s">
        <v>402</v>
      </c>
      <c r="H798" s="462" t="s">
        <v>311</v>
      </c>
      <c r="I798" s="462" t="s">
        <v>689</v>
      </c>
      <c r="J798" s="462" t="s">
        <v>96</v>
      </c>
      <c r="M798" s="462" t="s">
        <v>68</v>
      </c>
      <c r="N798" s="712">
        <v>46209</v>
      </c>
      <c r="O798" s="462" t="s">
        <v>550</v>
      </c>
      <c r="P798" s="462" t="s">
        <v>2134</v>
      </c>
      <c r="Q798" s="462" t="s">
        <v>2135</v>
      </c>
      <c r="R798" s="430" t="str">
        <f>_xlfn.XLOOKUP(PV_DATA[[#This Row],[New Ark SKU]],Table9[New Ark SKU],Table9[Connector],,0)</f>
        <v>EVO2A</v>
      </c>
      <c r="S798" s="433" t="str">
        <f>_xlfn.XLOOKUP(PV_DATA[[#This Row],[New Ark SKU]],Table9[New Ark SKU],Table9[Cable],,0)</f>
        <v>±1350mm</v>
      </c>
      <c r="T798" s="936">
        <v>515</v>
      </c>
      <c r="U798" s="1069">
        <f>792*3</f>
        <v>2376</v>
      </c>
      <c r="V798" s="458">
        <f>PV_DATA[[#This Row],[QUANTITY]]*PV_DATA[[#This Row],[WATT]]/1000000</f>
        <v>1.2236400000000001</v>
      </c>
      <c r="W798" s="714">
        <f>PV_DATA[[#This Row],[QUANTITY]]/PV_DATA[[#This Row],[Qty/Pallet]]</f>
        <v>66</v>
      </c>
      <c r="X798" s="1017">
        <f>PV_DATA[[#This Row],[QUANTITY]]/PV_DATA[[#This Row],[Qty/CT]]</f>
        <v>3</v>
      </c>
      <c r="Y798" s="462" t="s">
        <v>4372</v>
      </c>
      <c r="Z798" s="462" t="str">
        <f t="shared" si="9"/>
        <v>COMPLETED</v>
      </c>
      <c r="AB798" s="713">
        <v>46252</v>
      </c>
      <c r="AC798" s="937">
        <f>IF(PV_DATA[[#This Row],[Pick-Up Date]]&lt;&gt;"",_xlfn.ISOWEEKNUM(PV_DATA[[#This Row],[Pick-Up Date]]),"")</f>
        <v>34</v>
      </c>
      <c r="AD798" s="462" t="s">
        <v>5733</v>
      </c>
      <c r="AE798" s="462" t="s">
        <v>5733</v>
      </c>
      <c r="AF798" s="462" t="s">
        <v>122</v>
      </c>
      <c r="AG798" s="462" t="s">
        <v>123</v>
      </c>
      <c r="AH798" s="462" t="s">
        <v>314</v>
      </c>
      <c r="AI798" s="713">
        <v>46248</v>
      </c>
      <c r="AJ798" s="713">
        <v>46263</v>
      </c>
      <c r="AK798" s="437">
        <f>IFERROR(IF(VLOOKUP(AT798,Vessel!A:F,5,FALSE)=0,"",VLOOKUP(AT798,Vessel!A:F,5,FALSE)),"")</f>
        <v>46263.48333333333</v>
      </c>
      <c r="AL798" s="1012">
        <v>46295</v>
      </c>
      <c r="AM798" s="1195">
        <f>IFERROR(VLOOKUP(AT798, Vessel!A:H, 8, FALSE), "")</f>
        <v>46323.25</v>
      </c>
      <c r="AN798" s="939">
        <f>IFERROR(IF(VLOOKUP(AT798,Vessel!A:I,9,FALSE)=0,"",VLOOKUP(AT798,Vessel!A:I,9,FALSE)),"")</f>
        <v>46323.510312500002</v>
      </c>
      <c r="AP798" s="462" t="s">
        <v>5734</v>
      </c>
      <c r="AQ798" s="462" t="s">
        <v>80</v>
      </c>
      <c r="AR798" s="462" t="s">
        <v>5735</v>
      </c>
      <c r="AS798" s="462" t="s">
        <v>5736</v>
      </c>
      <c r="AT798" s="462" t="s">
        <v>5736</v>
      </c>
      <c r="AU79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60.02697916667239</v>
      </c>
      <c r="AW798" s="713" cm="1">
        <f t="array" ref="AW79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46323.510312500002</v>
      </c>
      <c r="AX79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98" s="713">
        <f>IF(ISERROR(PV_DATA[[#This Row],[New Ark PO status]]),"",_xlfn.XLOOKUP(PV_DATA[[#This Row],[SPTN-PVHK New Ark PO'#]],New_Ark_Data[Purchase order Number],New_Ark_Data[Estimated time of arrival],"",0))</f>
        <v>46321</v>
      </c>
      <c r="AZ798" s="936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798" s="713">
        <f>IFERROR(PV_DATA[[#This Row],[ODP ETA Port]]+PV_DATA[[#This Row],[Customs/Leg3 Assumption]],"n/a")</f>
        <v>46333.510312500002</v>
      </c>
      <c r="BB798" s="936">
        <f>YEAR(PV_DATA[[#This Row],[ETA for New Ark update]])</f>
        <v>2026</v>
      </c>
      <c r="BC798" s="462">
        <f>MONTH(PV_DATA[[#This Row],[ETA for New Ark update]])</f>
        <v>11</v>
      </c>
      <c r="BD798" s="462">
        <f>IFERROR(_xlfn.ISOWEEKNUM(PV_DATA[[#This Row],[ETA for New Ark update]]),0)</f>
        <v>45</v>
      </c>
      <c r="BE798" s="462">
        <f>_xlfn.XLOOKUP(PV_DATA[[#This Row],[New Ark SKU]],Table9[New Ark SKU],Table9[Total PCS per Pallet],,0)</f>
        <v>36</v>
      </c>
      <c r="BF798" s="462">
        <f>_xlfn.XLOOKUP(PV_DATA[[#This Row],[New Ark SKU]],Table9[New Ark SKU],Table9[Total PCS per 40HQ Container],,0)</f>
        <v>792</v>
      </c>
      <c r="BG798" s="462" t="str">
        <f>_xlfn.XLOOKUP(PV_DATA[[#This Row],[New Ark SKU]],Table9[New Ark SKU],Table9[Back Glass],,0)</f>
        <v>Black glazing</v>
      </c>
      <c r="BH798" s="462" t="str">
        <f>_xlfn.XLOOKUP(PV_DATA[[#This Row],[PORT DESTINATION]],Table12[PORT DESTINATION],Table12[Cosco Line],,0)</f>
        <v>AEM</v>
      </c>
    </row>
    <row r="799" spans="1:62" s="462" customFormat="1" ht="10.5" hidden="1">
      <c r="A799" s="462" t="s">
        <v>5737</v>
      </c>
      <c r="B799" s="462" t="s">
        <v>111</v>
      </c>
      <c r="C799" s="462" t="str">
        <f>IFERROR(LEFT(PV_DATA[[#This Row],[TCL REFERENCE]],FIND(".",PV_DATA[[#This Row],[TCL REFERENCE]],1)-1),"Main Line")</f>
        <v>26Jun015</v>
      </c>
      <c r="D799" s="462" t="s">
        <v>63</v>
      </c>
      <c r="E799" s="462" t="s">
        <v>64</v>
      </c>
      <c r="F799" s="462" t="str" cm="1">
        <f t="array" ref="F79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799" s="462" t="s">
        <v>402</v>
      </c>
      <c r="H799" s="462" t="s">
        <v>67</v>
      </c>
      <c r="I799" s="462" t="s">
        <v>1395</v>
      </c>
      <c r="J799" s="462" t="s">
        <v>96</v>
      </c>
      <c r="M799" s="462" t="s">
        <v>68</v>
      </c>
      <c r="N799" s="712">
        <v>46202</v>
      </c>
      <c r="O799" s="462" t="s">
        <v>5388</v>
      </c>
      <c r="P799" s="462" t="s">
        <v>5409</v>
      </c>
      <c r="Q799" s="462" t="s">
        <v>5410</v>
      </c>
      <c r="R799" s="430" t="str">
        <f>_xlfn.XLOOKUP(PV_DATA[[#This Row],[New Ark SKU]],Table9[New Ark SKU],Table9[Connector],,0)</f>
        <v>EVO2A</v>
      </c>
      <c r="S799" s="433" t="str">
        <f>_xlfn.XLOOKUP(PV_DATA[[#This Row],[New Ark SKU]],Table9[New Ark SKU],Table9[Cable],,0)</f>
        <v>±1200mm</v>
      </c>
      <c r="T799" s="936">
        <v>465</v>
      </c>
      <c r="U799" s="1069">
        <f>5616-936</f>
        <v>4680</v>
      </c>
      <c r="V799" s="458">
        <f>PV_DATA[[#This Row],[QUANTITY]]*PV_DATA[[#This Row],[WATT]]/1000000</f>
        <v>2.1762000000000001</v>
      </c>
      <c r="W799" s="714">
        <f>PV_DATA[[#This Row],[QUANTITY]]/PV_DATA[[#This Row],[Qty/Pallet]]</f>
        <v>130</v>
      </c>
      <c r="X799" s="1017">
        <f>PV_DATA[[#This Row],[QUANTITY]]/PV_DATA[[#This Row],[Qty/CT]]</f>
        <v>5</v>
      </c>
      <c r="Y799" s="462" t="s">
        <v>4373</v>
      </c>
      <c r="Z799" s="462" t="str">
        <f t="shared" si="9"/>
        <v>COMPLETED</v>
      </c>
      <c r="AA799" s="462" t="s">
        <v>5532</v>
      </c>
      <c r="AB799" s="713">
        <v>46252</v>
      </c>
      <c r="AC799" s="937">
        <f>IF(PV_DATA[[#This Row],[Pick-Up Date]]&lt;&gt;"",_xlfn.ISOWEEKNUM(PV_DATA[[#This Row],[Pick-Up Date]]),"")</f>
        <v>34</v>
      </c>
      <c r="AD799" s="462" t="s">
        <v>5738</v>
      </c>
      <c r="AE799" s="462" t="s">
        <v>5738</v>
      </c>
      <c r="AF799" s="462" t="s">
        <v>122</v>
      </c>
      <c r="AG799" s="462" t="s">
        <v>123</v>
      </c>
      <c r="AH799" s="462" t="s">
        <v>78</v>
      </c>
      <c r="AI799" s="713">
        <v>46248</v>
      </c>
      <c r="AJ799" s="713">
        <v>46263</v>
      </c>
      <c r="AK799" s="437">
        <f>IFERROR(IF(VLOOKUP(AT799,Vessel!A:F,5,FALSE)=0,"",VLOOKUP(AT799,Vessel!A:F,5,FALSE)),"")</f>
        <v>46263.48333333333</v>
      </c>
      <c r="AL799" s="713">
        <v>46300</v>
      </c>
      <c r="AM799" s="713">
        <f>IFERROR(VLOOKUP(AT799, Vessel!A:H, 8, FALSE), "")</f>
        <v>46318.302083333336</v>
      </c>
      <c r="AN799" s="939">
        <f>IFERROR(IF(VLOOKUP(AT799,Vessel!A:I,9,FALSE)=0,"",VLOOKUP(AT799,Vessel!A:I,9,FALSE)),"")</f>
        <v>46318.374756944446</v>
      </c>
      <c r="AP799" s="462" t="s">
        <v>5734</v>
      </c>
      <c r="AQ799" s="462" t="s">
        <v>80</v>
      </c>
      <c r="AR799" s="462" t="s">
        <v>5739</v>
      </c>
      <c r="AS799" s="462" t="s">
        <v>5740</v>
      </c>
      <c r="AT799" s="462" t="s">
        <v>5740</v>
      </c>
      <c r="AU79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54.891423611115897</v>
      </c>
      <c r="AW799" s="713" cm="1">
        <f t="array" ref="AW79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46318.374756944446</v>
      </c>
      <c r="AX79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799" s="713">
        <f>IF(ISERROR(PV_DATA[[#This Row],[New Ark PO status]]),"",_xlfn.XLOOKUP(PV_DATA[[#This Row],[SPTN-PVHK New Ark PO'#]],New_Ark_Data[Purchase order Number],New_Ark_Data[Estimated time of arrival],"",0))</f>
        <v>46322</v>
      </c>
      <c r="AZ799" s="936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799" s="713">
        <f>IFERROR(PV_DATA[[#This Row],[ODP ETA Port]]+PV_DATA[[#This Row],[Customs/Leg3 Assumption]],"n/a")</f>
        <v>46326.374756944446</v>
      </c>
      <c r="BB799" s="936">
        <f>YEAR(PV_DATA[[#This Row],[ETA for New Ark update]])</f>
        <v>2026</v>
      </c>
      <c r="BC799" s="462">
        <f>MONTH(PV_DATA[[#This Row],[ETA for New Ark update]])</f>
        <v>10</v>
      </c>
      <c r="BD799" s="462">
        <f>IFERROR(_xlfn.ISOWEEKNUM(PV_DATA[[#This Row],[ETA for New Ark update]]),0)</f>
        <v>44</v>
      </c>
      <c r="BE799" s="462">
        <f>_xlfn.XLOOKUP(PV_DATA[[#This Row],[New Ark SKU]],Table9[New Ark SKU],Table9[Total PCS per Pallet],,0)</f>
        <v>36</v>
      </c>
      <c r="BF799" s="462">
        <f>_xlfn.XLOOKUP(PV_DATA[[#This Row],[New Ark SKU]],Table9[New Ark SKU],Table9[Total PCS per 40HQ Container],,0)</f>
        <v>936</v>
      </c>
      <c r="BG799" s="462" t="str">
        <f>_xlfn.XLOOKUP(PV_DATA[[#This Row],[New Ark SKU]],Table9[New Ark SKU],Table9[Back Glass],,0)</f>
        <v>Black glazing</v>
      </c>
      <c r="BH799" s="462" t="str">
        <f>_xlfn.XLOOKUP(PV_DATA[[#This Row],[PORT DESTINATION]],Table12[PORT DESTINATION],Table12[Cosco Line],,0)</f>
        <v>AEM</v>
      </c>
    </row>
    <row r="800" spans="1:62" s="462" customFormat="1" ht="10.5" hidden="1">
      <c r="A800" s="462" t="s">
        <v>5741</v>
      </c>
      <c r="B800" s="462" t="s">
        <v>111</v>
      </c>
      <c r="C800" s="462" t="str">
        <f>IFERROR(LEFT(PV_DATA[[#This Row],[TCL REFERENCE]],FIND(".",PV_DATA[[#This Row],[TCL REFERENCE]],1)-1),"Main Line")</f>
        <v>26Jul001</v>
      </c>
      <c r="D800" s="462" t="s">
        <v>63</v>
      </c>
      <c r="E800" s="462" t="s">
        <v>64</v>
      </c>
      <c r="F800" s="462" t="str" cm="1">
        <f t="array" ref="F80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00" s="462" t="s">
        <v>402</v>
      </c>
      <c r="H800" s="462" t="s">
        <v>67</v>
      </c>
      <c r="I800" s="462" t="s">
        <v>882</v>
      </c>
      <c r="J800" s="462" t="s">
        <v>96</v>
      </c>
      <c r="M800" s="462" t="s">
        <v>68</v>
      </c>
      <c r="N800" s="712">
        <v>46209</v>
      </c>
      <c r="O800" s="462" t="s">
        <v>550</v>
      </c>
      <c r="P800" s="462" t="s">
        <v>551</v>
      </c>
      <c r="Q800" s="462" t="s">
        <v>2151</v>
      </c>
      <c r="R800" s="430" t="str">
        <f>_xlfn.XLOOKUP(PV_DATA[[#This Row],[New Ark SKU]],Table9[New Ark SKU],Table9[Connector],,0)</f>
        <v>EVO2A</v>
      </c>
      <c r="S800" s="433" t="str">
        <f>_xlfn.XLOOKUP(PV_DATA[[#This Row],[New Ark SKU]],Table9[New Ark SKU],Table9[Cable],,0)</f>
        <v>±1350mm</v>
      </c>
      <c r="T800" s="936">
        <v>510</v>
      </c>
      <c r="U800" s="1069">
        <v>792</v>
      </c>
      <c r="V800" s="458">
        <f>PV_DATA[[#This Row],[QUANTITY]]*PV_DATA[[#This Row],[WATT]]/1000000</f>
        <v>0.40392</v>
      </c>
      <c r="W800" s="714">
        <f>PV_DATA[[#This Row],[QUANTITY]]/PV_DATA[[#This Row],[Qty/Pallet]]</f>
        <v>22</v>
      </c>
      <c r="X800" s="1017">
        <f>PV_DATA[[#This Row],[QUANTITY]]/PV_DATA[[#This Row],[Qty/CT]]</f>
        <v>1</v>
      </c>
      <c r="Y800" s="462" t="s">
        <v>4372</v>
      </c>
      <c r="Z800" s="462" t="str">
        <f t="shared" si="9"/>
        <v>COMPLETED</v>
      </c>
      <c r="AA800" s="462" t="s">
        <v>5532</v>
      </c>
      <c r="AB800" s="713">
        <v>46252</v>
      </c>
      <c r="AC800" s="937">
        <f>IF(PV_DATA[[#This Row],[Pick-Up Date]]&lt;&gt;"",_xlfn.ISOWEEKNUM(PV_DATA[[#This Row],[Pick-Up Date]]),"")</f>
        <v>34</v>
      </c>
      <c r="AD800" s="462" t="s">
        <v>5742</v>
      </c>
      <c r="AE800" s="462" t="s">
        <v>5742</v>
      </c>
      <c r="AF800" s="462" t="s">
        <v>122</v>
      </c>
      <c r="AG800" s="462" t="s">
        <v>123</v>
      </c>
      <c r="AH800" s="462" t="s">
        <v>78</v>
      </c>
      <c r="AI800" s="713">
        <v>46248</v>
      </c>
      <c r="AJ800" s="713">
        <v>46263</v>
      </c>
      <c r="AK800" s="437">
        <f>IFERROR(IF(VLOOKUP(AT800,Vessel!A:F,5,FALSE)=0,"",VLOOKUP(AT800,Vessel!A:F,5,FALSE)),"")</f>
        <v>46263.48333333333</v>
      </c>
      <c r="AL800" s="1012">
        <v>46300</v>
      </c>
      <c r="AM800" s="1195">
        <f>IFERROR(VLOOKUP(AT800, Vessel!A:H, 8, FALSE), "")</f>
        <v>46318.302083333336</v>
      </c>
      <c r="AN800" s="939">
        <f>IFERROR(IF(VLOOKUP(AT800,Vessel!A:I,9,FALSE)=0,"",VLOOKUP(AT800,Vessel!A:I,9,FALSE)),"")</f>
        <v>46318.374756944446</v>
      </c>
      <c r="AP800" s="462" t="s">
        <v>5734</v>
      </c>
      <c r="AQ800" s="462" t="s">
        <v>80</v>
      </c>
      <c r="AR800" s="462" t="s">
        <v>5739</v>
      </c>
      <c r="AS800" s="462" t="s">
        <v>5740</v>
      </c>
      <c r="AT800" s="462" t="s">
        <v>5740</v>
      </c>
      <c r="AU80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54.891423611115897</v>
      </c>
      <c r="AW800" s="713" cm="1">
        <f t="array" ref="AW80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46318.374756944446</v>
      </c>
      <c r="AX80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00" s="713">
        <f>IF(ISERROR(PV_DATA[[#This Row],[New Ark PO status]]),"",_xlfn.XLOOKUP(PV_DATA[[#This Row],[SPTN-PVHK New Ark PO'#]],New_Ark_Data[Purchase order Number],New_Ark_Data[Estimated time of arrival],"",0))</f>
        <v>46322</v>
      </c>
      <c r="AZ800" s="936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00" s="713">
        <f>IFERROR(PV_DATA[[#This Row],[ODP ETA Port]]+PV_DATA[[#This Row],[Customs/Leg3 Assumption]],"n/a")</f>
        <v>46326.374756944446</v>
      </c>
      <c r="BB800" s="936">
        <f>YEAR(PV_DATA[[#This Row],[ETA for New Ark update]])</f>
        <v>2026</v>
      </c>
      <c r="BC800" s="462">
        <f>MONTH(PV_DATA[[#This Row],[ETA for New Ark update]])</f>
        <v>10</v>
      </c>
      <c r="BD800" s="462">
        <f>IFERROR(_xlfn.ISOWEEKNUM(PV_DATA[[#This Row],[ETA for New Ark update]]),0)</f>
        <v>44</v>
      </c>
      <c r="BE800" s="462">
        <f>_xlfn.XLOOKUP(PV_DATA[[#This Row],[New Ark SKU]],Table9[New Ark SKU],Table9[Total PCS per Pallet],,0)</f>
        <v>36</v>
      </c>
      <c r="BF800" s="462">
        <f>_xlfn.XLOOKUP(PV_DATA[[#This Row],[New Ark SKU]],Table9[New Ark SKU],Table9[Total PCS per 40HQ Container],,0)</f>
        <v>792</v>
      </c>
      <c r="BG800" s="462" t="str">
        <f>_xlfn.XLOOKUP(PV_DATA[[#This Row],[New Ark SKU]],Table9[New Ark SKU],Table9[Back Glass],,0)</f>
        <v>Black glazing</v>
      </c>
      <c r="BH800" s="462" t="str">
        <f>_xlfn.XLOOKUP(PV_DATA[[#This Row],[PORT DESTINATION]],Table12[PORT DESTINATION],Table12[Cosco Line],,0)</f>
        <v>AEM</v>
      </c>
    </row>
    <row r="801" spans="1:62" s="462" customFormat="1" ht="10.5" hidden="1">
      <c r="A801" s="730" t="s">
        <v>5743</v>
      </c>
      <c r="B801" s="462" t="s">
        <v>111</v>
      </c>
      <c r="C801" s="462" t="str">
        <f>IFERROR(LEFT(PV_DATA[[#This Row],[TCL REFERENCE]],FIND(".",PV_DATA[[#This Row],[TCL REFERENCE]],1)-1),"Main Line")</f>
        <v>26Jul016</v>
      </c>
      <c r="D801" s="462" t="s">
        <v>63</v>
      </c>
      <c r="E801" s="462" t="s">
        <v>64</v>
      </c>
      <c r="F801" s="462" t="str" cm="1">
        <f t="array" ref="F80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01" s="462" t="s">
        <v>402</v>
      </c>
      <c r="H801" s="462" t="s">
        <v>67</v>
      </c>
      <c r="I801" s="462" t="s">
        <v>689</v>
      </c>
      <c r="J801" s="462" t="s">
        <v>96</v>
      </c>
      <c r="M801" s="462" t="s">
        <v>68</v>
      </c>
      <c r="N801" s="712">
        <v>46237</v>
      </c>
      <c r="O801" s="462" t="s">
        <v>5388</v>
      </c>
      <c r="P801" s="462" t="s">
        <v>5744</v>
      </c>
      <c r="Q801" s="462" t="s">
        <v>5745</v>
      </c>
      <c r="R801" s="430" t="str">
        <f>_xlfn.XLOOKUP(PV_DATA[[#This Row],[New Ark SKU]],Table9[New Ark SKU],Table9[Connector],,0)</f>
        <v>EVO2A</v>
      </c>
      <c r="S801" s="433" t="str">
        <f>_xlfn.XLOOKUP(PV_DATA[[#This Row],[New Ark SKU]],Table9[New Ark SKU],Table9[Cable],,0)</f>
        <v>±1200mm</v>
      </c>
      <c r="T801" s="936">
        <v>475</v>
      </c>
      <c r="U801" s="1069">
        <v>936</v>
      </c>
      <c r="V801" s="458">
        <f>PV_DATA[[#This Row],[QUANTITY]]*PV_DATA[[#This Row],[WATT]]/1000000</f>
        <v>0.4446</v>
      </c>
      <c r="W801" s="714">
        <f>PV_DATA[[#This Row],[QUANTITY]]/PV_DATA[[#This Row],[Qty/Pallet]]</f>
        <v>26</v>
      </c>
      <c r="X801" s="1017">
        <f>PV_DATA[[#This Row],[QUANTITY]]/PV_DATA[[#This Row],[Qty/CT]]</f>
        <v>1</v>
      </c>
      <c r="Y801" s="462" t="s">
        <v>4376</v>
      </c>
      <c r="Z801" s="462" t="str">
        <f t="shared" si="9"/>
        <v>COMPLETED</v>
      </c>
      <c r="AB801" s="713">
        <v>46252</v>
      </c>
      <c r="AC801" s="937">
        <f>IF(PV_DATA[[#This Row],[Pick-Up Date]]&lt;&gt;"",_xlfn.ISOWEEKNUM(PV_DATA[[#This Row],[Pick-Up Date]]),"")</f>
        <v>34</v>
      </c>
      <c r="AD801" s="462" t="s">
        <v>5746</v>
      </c>
      <c r="AE801" s="462" t="s">
        <v>5746</v>
      </c>
      <c r="AF801" s="462" t="s">
        <v>122</v>
      </c>
      <c r="AG801" s="462" t="s">
        <v>123</v>
      </c>
      <c r="AH801" s="462" t="s">
        <v>78</v>
      </c>
      <c r="AI801" s="713">
        <v>46248</v>
      </c>
      <c r="AJ801" s="713">
        <v>46263</v>
      </c>
      <c r="AK801" s="437">
        <f>IFERROR(IF(VLOOKUP(AT801,Vessel!A:F,5,FALSE)=0,"",VLOOKUP(AT801,Vessel!A:F,5,FALSE)),"")</f>
        <v>46263.48333333333</v>
      </c>
      <c r="AL801" s="713">
        <v>46300</v>
      </c>
      <c r="AM801" s="713">
        <f>IFERROR(VLOOKUP(AT801, Vessel!A:H, 8, FALSE), "")</f>
        <v>46318.302083333336</v>
      </c>
      <c r="AN801" s="939">
        <f>IFERROR(IF(VLOOKUP(AT801,Vessel!A:I,9,FALSE)=0,"",VLOOKUP(AT801,Vessel!A:I,9,FALSE)),"")</f>
        <v>46318.374756944446</v>
      </c>
      <c r="AP801" s="462" t="s">
        <v>5734</v>
      </c>
      <c r="AQ801" s="462" t="s">
        <v>80</v>
      </c>
      <c r="AR801" s="462" t="s">
        <v>5739</v>
      </c>
      <c r="AS801" s="462" t="s">
        <v>5740</v>
      </c>
      <c r="AT801" s="462" t="s">
        <v>5740</v>
      </c>
      <c r="AU80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54.891423611115897</v>
      </c>
      <c r="AW801" s="713" cm="1">
        <f t="array" ref="AW80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46318.374756944446</v>
      </c>
      <c r="AX80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01" s="713">
        <f>IF(ISERROR(PV_DATA[[#This Row],[New Ark PO status]]),"",_xlfn.XLOOKUP(PV_DATA[[#This Row],[SPTN-PVHK New Ark PO'#]],New_Ark_Data[Purchase order Number],New_Ark_Data[Estimated time of arrival],"",0))</f>
        <v>46322</v>
      </c>
      <c r="AZ801" s="936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01" s="713">
        <f>IFERROR(PV_DATA[[#This Row],[ODP ETA Port]]+PV_DATA[[#This Row],[Customs/Leg3 Assumption]],"n/a")</f>
        <v>46326.374756944446</v>
      </c>
      <c r="BB801" s="936">
        <f>YEAR(PV_DATA[[#This Row],[ETA for New Ark update]])</f>
        <v>2026</v>
      </c>
      <c r="BC801" s="462">
        <f>MONTH(PV_DATA[[#This Row],[ETA for New Ark update]])</f>
        <v>10</v>
      </c>
      <c r="BD801" s="462">
        <f>IFERROR(_xlfn.ISOWEEKNUM(PV_DATA[[#This Row],[ETA for New Ark update]]),0)</f>
        <v>44</v>
      </c>
      <c r="BE801" s="462">
        <f>_xlfn.XLOOKUP(PV_DATA[[#This Row],[New Ark SKU]],Table9[New Ark SKU],Table9[Total PCS per Pallet],,0)</f>
        <v>36</v>
      </c>
      <c r="BF801" s="462">
        <f>_xlfn.XLOOKUP(PV_DATA[[#This Row],[New Ark SKU]],Table9[New Ark SKU],Table9[Total PCS per 40HQ Container],,0)</f>
        <v>936</v>
      </c>
      <c r="BG801" s="462" t="str">
        <f>_xlfn.XLOOKUP(PV_DATA[[#This Row],[New Ark SKU]],Table9[New Ark SKU],Table9[Back Glass],,0)</f>
        <v>White glazing</v>
      </c>
      <c r="BH801" s="462" t="str">
        <f>_xlfn.XLOOKUP(PV_DATA[[#This Row],[PORT DESTINATION]],Table12[PORT DESTINATION],Table12[Cosco Line],,0)</f>
        <v>AEM</v>
      </c>
    </row>
    <row r="802" spans="1:62" s="463" customFormat="1" ht="10.5" hidden="1">
      <c r="A802" s="462" t="s">
        <v>5747</v>
      </c>
      <c r="B802" s="462" t="s">
        <v>111</v>
      </c>
      <c r="C802" s="462" t="str">
        <f>IFERROR(LEFT(PV_DATA[[#This Row],[TCL REFERENCE]],FIND(".",PV_DATA[[#This Row],[TCL REFERENCE]],1)-1),"Main Line")</f>
        <v>26Jul001</v>
      </c>
      <c r="D802" s="462" t="s">
        <v>63</v>
      </c>
      <c r="E802" s="462" t="s">
        <v>64</v>
      </c>
      <c r="F802" s="462" t="str" cm="1">
        <f t="array" ref="F80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02" s="462" t="s">
        <v>402</v>
      </c>
      <c r="H802" s="462" t="s">
        <v>67</v>
      </c>
      <c r="I802" s="462" t="s">
        <v>882</v>
      </c>
      <c r="J802" s="430" t="s">
        <v>96</v>
      </c>
      <c r="K802" s="430"/>
      <c r="L802" s="430"/>
      <c r="M802" s="430" t="s">
        <v>68</v>
      </c>
      <c r="N802" s="432">
        <v>46209</v>
      </c>
      <c r="O802" s="430" t="s">
        <v>550</v>
      </c>
      <c r="P802" s="430" t="s">
        <v>551</v>
      </c>
      <c r="Q802" s="430" t="s">
        <v>2151</v>
      </c>
      <c r="R802" s="430" t="str">
        <f>_xlfn.XLOOKUP(PV_DATA[[#This Row],[New Ark SKU]],Table9[New Ark SKU],Table9[Connector],,0)</f>
        <v>EVO2A</v>
      </c>
      <c r="S802" s="433" t="str">
        <f>_xlfn.XLOOKUP(PV_DATA[[#This Row],[New Ark SKU]],Table9[New Ark SKU],Table9[Cable],,0)</f>
        <v>±1350mm</v>
      </c>
      <c r="T802" s="433">
        <v>510</v>
      </c>
      <c r="U802" s="1062">
        <v>1584</v>
      </c>
      <c r="V802" s="434">
        <f>PV_DATA[[#This Row],[QUANTITY]]*PV_DATA[[#This Row],[WATT]]/1000000</f>
        <v>0.80784</v>
      </c>
      <c r="W802" s="435">
        <f>PV_DATA[[#This Row],[QUANTITY]]/PV_DATA[[#This Row],[Qty/Pallet]]</f>
        <v>44</v>
      </c>
      <c r="X802" s="1015">
        <f>PV_DATA[[#This Row],[QUANTITY]]/PV_DATA[[#This Row],[Qty/CT]]</f>
        <v>2</v>
      </c>
      <c r="Y802" s="430" t="s">
        <v>4372</v>
      </c>
      <c r="Z802" s="430" t="str">
        <f t="shared" si="9"/>
        <v>COMPLETED</v>
      </c>
      <c r="AA802" s="430"/>
      <c r="AB802" s="437">
        <v>46230</v>
      </c>
      <c r="AC802" s="485">
        <f>IF(PV_DATA[[#This Row],[Pick-Up Date]]&lt;&gt;"",_xlfn.ISOWEEKNUM(PV_DATA[[#This Row],[Pick-Up Date]]),"")</f>
        <v>31</v>
      </c>
      <c r="AD802" s="430" t="s">
        <v>5748</v>
      </c>
      <c r="AE802" s="430"/>
      <c r="AF802" s="430" t="s">
        <v>122</v>
      </c>
      <c r="AG802" s="430" t="s">
        <v>123</v>
      </c>
      <c r="AH802" s="430" t="s">
        <v>78</v>
      </c>
      <c r="AI802" s="437">
        <v>46238</v>
      </c>
      <c r="AJ802" s="437">
        <f>IFERROR(VLOOKUP(AT802, Vessel!A:D, 4, FALSE), "")</f>
        <v>46241.770833333336</v>
      </c>
      <c r="AK802" s="437">
        <f>IFERROR(IF(VLOOKUP(AT802,Vessel!A:F,5,FALSE)=0,"",VLOOKUP(AT802,Vessel!A:F,5,FALSE)),"")</f>
        <v>46241.8122337963</v>
      </c>
      <c r="AL802" s="956">
        <v>46281</v>
      </c>
      <c r="AM802" s="1124">
        <f>IFERROR(VLOOKUP(AT802, Vessel!A:H, 8, FALSE), "")</f>
        <v>46283.416666666664</v>
      </c>
      <c r="AN802" s="586">
        <f>IFERROR(IF(VLOOKUP(AT802,Vessel!A:I,9,FALSE)=0,"",VLOOKUP(AT802,Vessel!A:I,9,FALSE)),"")</f>
        <v>46283.4372337963</v>
      </c>
      <c r="AO802" s="430"/>
      <c r="AP802" s="430" t="s">
        <v>5749</v>
      </c>
      <c r="AQ802" s="430" t="s">
        <v>80</v>
      </c>
      <c r="AR802" s="430" t="s">
        <v>5750</v>
      </c>
      <c r="AS802" s="430" t="s">
        <v>5751</v>
      </c>
      <c r="AT802" s="430" t="s">
        <v>5751</v>
      </c>
      <c r="AU80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41.625</v>
      </c>
      <c r="AV802" s="430"/>
      <c r="AW802" s="437" cm="1">
        <f t="array" ref="AW80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46283.4372337963</v>
      </c>
      <c r="AX80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02" s="437">
        <f>IF(ISERROR(PV_DATA[[#This Row],[New Ark PO status]]),"",_xlfn.XLOOKUP(PV_DATA[[#This Row],[SPTN-PVHK New Ark PO'#]],New_Ark_Data[Purchase order Number],New_Ark_Data[Estimated time of arrival],"",0))</f>
        <v>46289</v>
      </c>
      <c r="AZ802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02" s="437">
        <f>IFERROR(PV_DATA[[#This Row],[ODP ETA Port]]+PV_DATA[[#This Row],[Customs/Leg3 Assumption]],"n/a")</f>
        <v>46291.4372337963</v>
      </c>
      <c r="BB802" s="433">
        <f>YEAR(PV_DATA[[#This Row],[ETA for New Ark update]])</f>
        <v>2026</v>
      </c>
      <c r="BC802" s="430">
        <f>MONTH(PV_DATA[[#This Row],[ETA for New Ark update]])</f>
        <v>9</v>
      </c>
      <c r="BD802" s="430">
        <f>IFERROR(_xlfn.ISOWEEKNUM(PV_DATA[[#This Row],[ETA for New Ark update]]),0)</f>
        <v>39</v>
      </c>
      <c r="BE802" s="430">
        <f>_xlfn.XLOOKUP(PV_DATA[[#This Row],[New Ark SKU]],Table9[New Ark SKU],Table9[Total PCS per Pallet],,0)</f>
        <v>36</v>
      </c>
      <c r="BF802" s="430">
        <f>_xlfn.XLOOKUP(PV_DATA[[#This Row],[New Ark SKU]],Table9[New Ark SKU],Table9[Total PCS per 40HQ Container],,0)</f>
        <v>792</v>
      </c>
      <c r="BG802" s="430" t="str">
        <f>_xlfn.XLOOKUP(PV_DATA[[#This Row],[New Ark SKU]],Table9[New Ark SKU],Table9[Back Glass],,0)</f>
        <v>Black glazing</v>
      </c>
      <c r="BH802" s="610" t="str">
        <f>_xlfn.XLOOKUP(PV_DATA[[#This Row],[PORT DESTINATION]],Table12[PORT DESTINATION],Table12[Cosco Line],,0)</f>
        <v>AEM</v>
      </c>
    </row>
    <row r="803" spans="1:62" ht="10.5" hidden="1">
      <c r="A803" s="462" t="s">
        <v>5752</v>
      </c>
      <c r="B803" s="462" t="s">
        <v>111</v>
      </c>
      <c r="C803" s="462" t="str">
        <f>IFERROR(LEFT(PV_DATA[[#This Row],[TCL REFERENCE]],FIND(".",PV_DATA[[#This Row],[TCL REFERENCE]],1)-1),"Main Line")</f>
        <v>26Jul013</v>
      </c>
      <c r="D803" s="462" t="s">
        <v>63</v>
      </c>
      <c r="E803" s="462" t="s">
        <v>64</v>
      </c>
      <c r="F803" s="462" t="str" cm="1">
        <f t="array" ref="F80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803" s="462" t="s">
        <v>402</v>
      </c>
      <c r="H803" s="462" t="s">
        <v>115</v>
      </c>
      <c r="I803" s="462" t="s">
        <v>689</v>
      </c>
      <c r="J803" s="430" t="s">
        <v>96</v>
      </c>
      <c r="K803" s="430"/>
      <c r="L803" s="430"/>
      <c r="M803" s="430" t="s">
        <v>68</v>
      </c>
      <c r="N803" s="432">
        <v>46202</v>
      </c>
      <c r="O803" s="430" t="s">
        <v>5345</v>
      </c>
      <c r="P803" s="430" t="s">
        <v>5346</v>
      </c>
      <c r="Q803" s="430" t="s">
        <v>5347</v>
      </c>
      <c r="R803" s="430" t="str">
        <f>_xlfn.XLOOKUP(PV_DATA[[#This Row],[New Ark SKU]],Table9[New Ark SKU],Table9[Connector],,0)</f>
        <v>EVO2A</v>
      </c>
      <c r="S803" s="433" t="str">
        <f>_xlfn.XLOOKUP(PV_DATA[[#This Row],[New Ark SKU]],Table9[New Ark SKU],Table9[Cable],,0)</f>
        <v>±1400mm</v>
      </c>
      <c r="T803" s="433">
        <v>580</v>
      </c>
      <c r="U803" s="1070">
        <f>720*2</f>
        <v>1440</v>
      </c>
      <c r="V803" s="434">
        <f>PV_DATA[[#This Row],[QUANTITY]]*PV_DATA[[#This Row],[WATT]]/1000000</f>
        <v>0.83520000000000005</v>
      </c>
      <c r="W803" s="435">
        <f>PV_DATA[[#This Row],[QUANTITY]]/PV_DATA[[#This Row],[Qty/Pallet]]</f>
        <v>40</v>
      </c>
      <c r="X803" s="1015">
        <f>PV_DATA[[#This Row],[QUANTITY]]/PV_DATA[[#This Row],[Qty/CT]]</f>
        <v>2</v>
      </c>
      <c r="Y803" s="430" t="s">
        <v>4373</v>
      </c>
      <c r="Z803" s="430" t="str">
        <f t="shared" si="9"/>
        <v>COMPLETED</v>
      </c>
      <c r="AA803" s="430" t="s">
        <v>5676</v>
      </c>
      <c r="AB803" s="437">
        <v>46237</v>
      </c>
      <c r="AC803" s="485">
        <f>IF(PV_DATA[[#This Row],[Pick-Up Date]]&lt;&gt;"",_xlfn.ISOWEEKNUM(PV_DATA[[#This Row],[Pick-Up Date]]),"")</f>
        <v>32</v>
      </c>
      <c r="AD803" s="430" t="s">
        <v>5753</v>
      </c>
      <c r="AE803" s="430"/>
      <c r="AF803" s="430" t="s">
        <v>122</v>
      </c>
      <c r="AG803" s="430" t="s">
        <v>123</v>
      </c>
      <c r="AH803" s="430" t="s">
        <v>124</v>
      </c>
      <c r="AI803" s="713">
        <v>46241</v>
      </c>
      <c r="AJ803" s="437">
        <f>IFERROR(IF(VLOOKUP(AT803,Vessel!A:D,4,FALSE)=0,"",VLOOKUP(AT803,Vessel!A:D,4,FALSE)),"")</f>
        <v>46241.770833333336</v>
      </c>
      <c r="AK803" s="437">
        <f>IFERROR(IF(VLOOKUP(AT803,Vessel!A:F,5,FALSE)=0,"",VLOOKUP(AT803,Vessel!A:F,5,FALSE)),"")</f>
        <v>46241.8122337963</v>
      </c>
      <c r="AL803" s="437">
        <v>46282</v>
      </c>
      <c r="AM803" s="588">
        <v>46306</v>
      </c>
      <c r="AN803" s="588">
        <f>IFERROR(IF(VLOOKUP(AT803,Vessel!A:I,9,FALSE)=0,"",VLOOKUP(AT803,Vessel!A:I,9,FALSE)),"")</f>
        <v>46304.744097222225</v>
      </c>
      <c r="AP803" s="430" t="s">
        <v>5754</v>
      </c>
      <c r="AQ803" s="438" t="s">
        <v>80</v>
      </c>
      <c r="AR803" s="430" t="s">
        <v>5755</v>
      </c>
      <c r="AS803" s="430" t="s">
        <v>5756</v>
      </c>
      <c r="AT803" s="430" t="s">
        <v>5756</v>
      </c>
      <c r="AU80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62.931863425925258</v>
      </c>
      <c r="AW803" s="437" cm="1">
        <f t="array" ref="AW80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46304.744097222225</v>
      </c>
      <c r="AX80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03" s="437">
        <f>IF(ISERROR(PV_DATA[[#This Row],[New Ark PO status]]),"",_xlfn.XLOOKUP(PV_DATA[[#This Row],[SPTN-PVHK New Ark PO'#]],New_Ark_Data[Purchase order Number],New_Ark_Data[Estimated time of arrival],"",0))</f>
        <v>46303</v>
      </c>
      <c r="AZ803" s="433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803" s="437">
        <f>IFERROR(PV_DATA[[#This Row],[ODP ETA Port]]+PV_DATA[[#This Row],[Customs/Leg3 Assumption]],"n/a")</f>
        <v>46313.744097222225</v>
      </c>
      <c r="BB803" s="433">
        <f>YEAR(PV_DATA[[#This Row],[ETA for New Ark update]])</f>
        <v>2026</v>
      </c>
      <c r="BC803" s="430">
        <f>MONTH(PV_DATA[[#This Row],[ETA for New Ark update]])</f>
        <v>10</v>
      </c>
      <c r="BD803" s="430">
        <f>IFERROR(_xlfn.ISOWEEKNUM(PV_DATA[[#This Row],[ETA for New Ark update]]),0)</f>
        <v>42</v>
      </c>
      <c r="BE803" s="430">
        <f>_xlfn.XLOOKUP(PV_DATA[[#This Row],[New Ark SKU]],Table9[New Ark SKU],Table9[Total PCS per Pallet],,0)</f>
        <v>36</v>
      </c>
      <c r="BF803" s="430">
        <f>_xlfn.XLOOKUP(PV_DATA[[#This Row],[New Ark SKU]],Table9[New Ark SKU],Table9[Total PCS per 40HQ Container],,0)</f>
        <v>720</v>
      </c>
      <c r="BG803" s="430" t="str">
        <f>_xlfn.XLOOKUP(PV_DATA[[#This Row],[New Ark SKU]],Table9[New Ark SKU],Table9[Back Glass],,0)</f>
        <v>Transparent</v>
      </c>
      <c r="BH803" s="430" t="str">
        <f>_xlfn.XLOOKUP(PV_DATA[[#This Row],[PORT DESTINATION]],Table12[PORT DESTINATION],Table12[Cosco Line],,0)</f>
        <v>AEM</v>
      </c>
      <c r="BJ803" s="430"/>
    </row>
    <row r="804" spans="1:62" ht="10.5" hidden="1">
      <c r="A804" s="462" t="s">
        <v>5757</v>
      </c>
      <c r="B804" s="462" t="s">
        <v>111</v>
      </c>
      <c r="C804" s="462" t="str">
        <f>IFERROR(LEFT(PV_DATA[[#This Row],[TCL REFERENCE]],FIND(".",PV_DATA[[#This Row],[TCL REFERENCE]],1)-1),"Main Line")</f>
        <v>26Jun033</v>
      </c>
      <c r="D804" s="462" t="s">
        <v>63</v>
      </c>
      <c r="E804" s="462" t="s">
        <v>64</v>
      </c>
      <c r="F804" s="462" t="str" cm="1">
        <f t="array" ref="F80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04" s="462" t="s">
        <v>402</v>
      </c>
      <c r="H804" s="462" t="s">
        <v>67</v>
      </c>
      <c r="I804" s="462" t="s">
        <v>689</v>
      </c>
      <c r="J804" s="430" t="s">
        <v>96</v>
      </c>
      <c r="K804" s="430"/>
      <c r="L804" s="430"/>
      <c r="M804" s="430" t="s">
        <v>68</v>
      </c>
      <c r="N804" s="432">
        <v>46209</v>
      </c>
      <c r="O804" s="430" t="s">
        <v>70</v>
      </c>
      <c r="P804" s="430" t="s">
        <v>5758</v>
      </c>
      <c r="Q804" s="430" t="s">
        <v>1484</v>
      </c>
      <c r="R804" s="430" t="str">
        <f>_xlfn.XLOOKUP(PV_DATA[[#This Row],[New Ark SKU]],Table9[New Ark SKU],Table9[Connector],,0)</f>
        <v>EVO2A</v>
      </c>
      <c r="S804" s="433" t="str">
        <f>_xlfn.XLOOKUP(PV_DATA[[#This Row],[New Ark SKU]],Table9[New Ark SKU],Table9[Cable],,0)</f>
        <v>±1400mm</v>
      </c>
      <c r="T804" s="433">
        <v>725</v>
      </c>
      <c r="U804" s="1070">
        <v>1188</v>
      </c>
      <c r="V804" s="434">
        <f>PV_DATA[[#This Row],[QUANTITY]]*PV_DATA[[#This Row],[WATT]]/1000000</f>
        <v>0.86129999999999995</v>
      </c>
      <c r="W804" s="435">
        <f>PV_DATA[[#This Row],[QUANTITY]]/PV_DATA[[#This Row],[Qty/Pallet]]</f>
        <v>36</v>
      </c>
      <c r="X804" s="1015">
        <f>PV_DATA[[#This Row],[QUANTITY]]/PV_DATA[[#This Row],[Qty/CT]]</f>
        <v>2</v>
      </c>
      <c r="Y804" s="430" t="s">
        <v>4377</v>
      </c>
      <c r="Z804" s="430" t="str">
        <f t="shared" si="9"/>
        <v>COMPLETED</v>
      </c>
      <c r="AA804" s="430" t="s">
        <v>5759</v>
      </c>
      <c r="AB804" s="437">
        <v>46235</v>
      </c>
      <c r="AC804" s="485">
        <f>IF(PV_DATA[[#This Row],[Pick-Up Date]]&lt;&gt;"",_xlfn.ISOWEEKNUM(PV_DATA[[#This Row],[Pick-Up Date]]),"")</f>
        <v>31</v>
      </c>
      <c r="AD804" s="430" t="s">
        <v>5760</v>
      </c>
      <c r="AE804" s="430"/>
      <c r="AF804" s="430" t="s">
        <v>122</v>
      </c>
      <c r="AG804" s="430" t="s">
        <v>123</v>
      </c>
      <c r="AH804" s="430" t="s">
        <v>105</v>
      </c>
      <c r="AI804" s="713">
        <v>46242</v>
      </c>
      <c r="AJ804" s="437">
        <v>46249</v>
      </c>
      <c r="AK804" s="437">
        <v>46249</v>
      </c>
      <c r="AL804" s="437">
        <v>46284</v>
      </c>
      <c r="AM804" s="437">
        <v>46293</v>
      </c>
      <c r="AN804" s="437">
        <v>46293</v>
      </c>
      <c r="AP804" s="430" t="s">
        <v>5761</v>
      </c>
      <c r="AQ804" s="430" t="s">
        <v>161</v>
      </c>
      <c r="AR804" s="430" t="s">
        <v>5762</v>
      </c>
      <c r="AS804" s="430" t="s">
        <v>5763</v>
      </c>
      <c r="AT804" s="430" t="s">
        <v>5764</v>
      </c>
      <c r="AU80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W804" s="437" cm="1">
        <f t="array" ref="AW80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46293</v>
      </c>
      <c r="AX80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04" s="437">
        <f>IF(ISERROR(PV_DATA[[#This Row],[New Ark PO status]]),"",_xlfn.XLOOKUP(PV_DATA[[#This Row],[SPTN-PVHK New Ark PO'#]],New_Ark_Data[Purchase order Number],New_Ark_Data[Estimated time of arrival],"",0))</f>
        <v>46290</v>
      </c>
      <c r="AZ804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04" s="437">
        <f>IFERROR(PV_DATA[[#This Row],[ODP ETA Port]]+PV_DATA[[#This Row],[Customs/Leg3 Assumption]],"n/a")</f>
        <v>46300</v>
      </c>
      <c r="BB804" s="433">
        <f>YEAR(PV_DATA[[#This Row],[ETA for New Ark update]])</f>
        <v>2026</v>
      </c>
      <c r="BC804" s="430">
        <f>MONTH(PV_DATA[[#This Row],[ETA for New Ark update]])</f>
        <v>10</v>
      </c>
      <c r="BD804" s="430">
        <f>IFERROR(_xlfn.ISOWEEKNUM(PV_DATA[[#This Row],[ETA for New Ark update]]),0)</f>
        <v>41</v>
      </c>
      <c r="BE804" s="430">
        <f>_xlfn.XLOOKUP(PV_DATA[[#This Row],[New Ark SKU]],Table9[New Ark SKU],Table9[Total PCS per Pallet],,0)</f>
        <v>33</v>
      </c>
      <c r="BF804" s="430">
        <f>_xlfn.XLOOKUP(PV_DATA[[#This Row],[New Ark SKU]],Table9[New Ark SKU],Table9[Total PCS per 40HQ Container],,0)</f>
        <v>594</v>
      </c>
      <c r="BG804" s="430" t="str">
        <f>_xlfn.XLOOKUP(PV_DATA[[#This Row],[New Ark SKU]],Table9[New Ark SKU],Table9[Back Glass],,0)</f>
        <v>Transparent</v>
      </c>
      <c r="BH804" s="430" t="str">
        <f>_xlfn.XLOOKUP(PV_DATA[[#This Row],[PORT DESTINATION]],Table12[PORT DESTINATION],Table12[Cosco Line],,0)</f>
        <v>AEU</v>
      </c>
      <c r="BJ804" s="430"/>
    </row>
    <row r="805" spans="1:62" ht="10.5" hidden="1">
      <c r="A805" s="462" t="s">
        <v>5765</v>
      </c>
      <c r="B805" s="462" t="s">
        <v>111</v>
      </c>
      <c r="C805" s="462" t="str">
        <f>IFERROR(LEFT(PV_DATA[[#This Row],[TCL REFERENCE]],FIND(".",PV_DATA[[#This Row],[TCL REFERENCE]],1)-1),"Main Line")</f>
        <v>26Jun034</v>
      </c>
      <c r="D805" s="462" t="s">
        <v>63</v>
      </c>
      <c r="E805" s="462" t="s">
        <v>64</v>
      </c>
      <c r="F805" s="462" t="str" cm="1">
        <f t="array" ref="F80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05" s="462" t="s">
        <v>402</v>
      </c>
      <c r="H805" s="462" t="s">
        <v>67</v>
      </c>
      <c r="I805" s="462" t="s">
        <v>689</v>
      </c>
      <c r="J805" s="430" t="s">
        <v>96</v>
      </c>
      <c r="K805" s="430"/>
      <c r="L805" s="430"/>
      <c r="M805" s="430" t="s">
        <v>68</v>
      </c>
      <c r="N805" s="432">
        <v>46209</v>
      </c>
      <c r="O805" s="430" t="s">
        <v>70</v>
      </c>
      <c r="P805" s="430" t="s">
        <v>1681</v>
      </c>
      <c r="Q805" s="430" t="s">
        <v>1682</v>
      </c>
      <c r="R805" s="430" t="str">
        <f>_xlfn.XLOOKUP(PV_DATA[[#This Row],[New Ark SKU]],Table9[New Ark SKU],Table9[Connector],,0)</f>
        <v>EVO2A</v>
      </c>
      <c r="S805" s="433" t="str">
        <f>_xlfn.XLOOKUP(PV_DATA[[#This Row],[New Ark SKU]],Table9[New Ark SKU],Table9[Cable],,0)</f>
        <v>±1400mm</v>
      </c>
      <c r="T805" s="433">
        <v>730</v>
      </c>
      <c r="U805" s="1070">
        <f>594*3</f>
        <v>1782</v>
      </c>
      <c r="V805" s="434">
        <f>PV_DATA[[#This Row],[QUANTITY]]*PV_DATA[[#This Row],[WATT]]/1000000</f>
        <v>1.3008599999999999</v>
      </c>
      <c r="W805" s="435">
        <f>PV_DATA[[#This Row],[QUANTITY]]/PV_DATA[[#This Row],[Qty/Pallet]]</f>
        <v>54</v>
      </c>
      <c r="X805" s="1015">
        <f>PV_DATA[[#This Row],[QUANTITY]]/PV_DATA[[#This Row],[Qty/CT]]</f>
        <v>3</v>
      </c>
      <c r="Y805" s="430" t="s">
        <v>4374</v>
      </c>
      <c r="Z805" s="430" t="str">
        <f t="shared" si="9"/>
        <v>COMPLETED</v>
      </c>
      <c r="AA805" s="430"/>
      <c r="AB805" s="437">
        <v>46235</v>
      </c>
      <c r="AC805" s="485">
        <f>IF(PV_DATA[[#This Row],[Pick-Up Date]]&lt;&gt;"",_xlfn.ISOWEEKNUM(PV_DATA[[#This Row],[Pick-Up Date]]),"")</f>
        <v>31</v>
      </c>
      <c r="AD805" s="430" t="s">
        <v>5766</v>
      </c>
      <c r="AE805" s="430"/>
      <c r="AF805" s="430" t="s">
        <v>122</v>
      </c>
      <c r="AG805" s="430" t="s">
        <v>123</v>
      </c>
      <c r="AH805" s="430" t="s">
        <v>105</v>
      </c>
      <c r="AI805" s="713">
        <v>46242</v>
      </c>
      <c r="AJ805" s="437">
        <v>46249</v>
      </c>
      <c r="AK805" s="437">
        <v>46249</v>
      </c>
      <c r="AL805" s="437">
        <v>46284</v>
      </c>
      <c r="AM805" s="437">
        <v>46293</v>
      </c>
      <c r="AN805" s="437">
        <v>46293</v>
      </c>
      <c r="AP805" s="430" t="s">
        <v>5761</v>
      </c>
      <c r="AQ805" s="430" t="s">
        <v>161</v>
      </c>
      <c r="AR805" s="430" t="s">
        <v>5762</v>
      </c>
      <c r="AS805" s="430" t="s">
        <v>5763</v>
      </c>
      <c r="AT805" s="430" t="s">
        <v>5764</v>
      </c>
      <c r="AU80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W805" s="437" cm="1">
        <f t="array" ref="AW80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46293</v>
      </c>
      <c r="AX80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05" s="437">
        <f>IF(ISERROR(PV_DATA[[#This Row],[New Ark PO status]]),"",_xlfn.XLOOKUP(PV_DATA[[#This Row],[SPTN-PVHK New Ark PO'#]],New_Ark_Data[Purchase order Number],New_Ark_Data[Estimated time of arrival],"",0))</f>
        <v>46290</v>
      </c>
      <c r="AZ805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05" s="437">
        <f>IFERROR(PV_DATA[[#This Row],[ODP ETA Port]]+PV_DATA[[#This Row],[Customs/Leg3 Assumption]],"n/a")</f>
        <v>46300</v>
      </c>
      <c r="BB805" s="433">
        <f>YEAR(PV_DATA[[#This Row],[ETA for New Ark update]])</f>
        <v>2026</v>
      </c>
      <c r="BC805" s="430">
        <f>MONTH(PV_DATA[[#This Row],[ETA for New Ark update]])</f>
        <v>10</v>
      </c>
      <c r="BD805" s="430">
        <f>IFERROR(_xlfn.ISOWEEKNUM(PV_DATA[[#This Row],[ETA for New Ark update]]),0)</f>
        <v>41</v>
      </c>
      <c r="BE805" s="430">
        <f>_xlfn.XLOOKUP(PV_DATA[[#This Row],[New Ark SKU]],Table9[New Ark SKU],Table9[Total PCS per Pallet],,0)</f>
        <v>33</v>
      </c>
      <c r="BF805" s="430">
        <f>_xlfn.XLOOKUP(PV_DATA[[#This Row],[New Ark SKU]],Table9[New Ark SKU],Table9[Total PCS per 40HQ Container],,0)</f>
        <v>594</v>
      </c>
      <c r="BG805" s="430" t="str">
        <f>_xlfn.XLOOKUP(PV_DATA[[#This Row],[New Ark SKU]],Table9[New Ark SKU],Table9[Back Glass],,0)</f>
        <v>Transparent</v>
      </c>
      <c r="BH805" s="430" t="str">
        <f>_xlfn.XLOOKUP(PV_DATA[[#This Row],[PORT DESTINATION]],Table12[PORT DESTINATION],Table12[Cosco Line],,0)</f>
        <v>AEU</v>
      </c>
      <c r="BJ805" s="430"/>
    </row>
    <row r="806" spans="1:62" ht="10.5" hidden="1">
      <c r="A806" s="462" t="s">
        <v>5767</v>
      </c>
      <c r="B806" s="462" t="s">
        <v>111</v>
      </c>
      <c r="C806" s="462" t="str">
        <f>IFERROR(LEFT(PV_DATA[[#This Row],[TCL REFERENCE]],FIND(".",PV_DATA[[#This Row],[TCL REFERENCE]],1)-1),"Main Line")</f>
        <v>26Jul004</v>
      </c>
      <c r="D806" s="462" t="s">
        <v>63</v>
      </c>
      <c r="E806" s="462" t="s">
        <v>64</v>
      </c>
      <c r="F806" s="462" t="str" cm="1">
        <f t="array" ref="F80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06" s="462" t="s">
        <v>402</v>
      </c>
      <c r="H806" s="462" t="s">
        <v>67</v>
      </c>
      <c r="I806" s="462" t="s">
        <v>882</v>
      </c>
      <c r="J806" s="430" t="s">
        <v>96</v>
      </c>
      <c r="K806" s="430"/>
      <c r="L806" s="430"/>
      <c r="M806" s="430" t="s">
        <v>68</v>
      </c>
      <c r="N806" s="432">
        <v>46223</v>
      </c>
      <c r="O806" s="430" t="s">
        <v>132</v>
      </c>
      <c r="P806" s="430" t="s">
        <v>1062</v>
      </c>
      <c r="Q806" s="430" t="s">
        <v>1063</v>
      </c>
      <c r="R806" s="430" t="str">
        <f>_xlfn.XLOOKUP(PV_DATA[[#This Row],[New Ark SKU]],Table9[New Ark SKU],Table9[Connector],,0)</f>
        <v>EVO2A</v>
      </c>
      <c r="S806" s="433" t="str">
        <f>_xlfn.XLOOKUP(PV_DATA[[#This Row],[New Ark SKU]],Table9[New Ark SKU],Table9[Cable],,0)</f>
        <v>±1200mm</v>
      </c>
      <c r="T806" s="433">
        <v>470</v>
      </c>
      <c r="U806" s="1062">
        <f>864*3</f>
        <v>2592</v>
      </c>
      <c r="V806" s="434">
        <f>PV_DATA[[#This Row],[QUANTITY]]*PV_DATA[[#This Row],[WATT]]/1000000</f>
        <v>1.21824</v>
      </c>
      <c r="W806" s="435">
        <f>PV_DATA[[#This Row],[QUANTITY]]/PV_DATA[[#This Row],[Qty/Pallet]]</f>
        <v>72</v>
      </c>
      <c r="X806" s="1015">
        <f>PV_DATA[[#This Row],[QUANTITY]]/PV_DATA[[#This Row],[Qty/CT]]</f>
        <v>3</v>
      </c>
      <c r="Y806" s="430" t="s">
        <v>4375</v>
      </c>
      <c r="Z806" s="430" t="str">
        <f t="shared" si="9"/>
        <v>COMPLETED</v>
      </c>
      <c r="AA806" s="430"/>
      <c r="AB806" s="437">
        <v>46234</v>
      </c>
      <c r="AC806" s="485">
        <f>IF(PV_DATA[[#This Row],[Pick-Up Date]]&lt;&gt;"",_xlfn.ISOWEEKNUM(PV_DATA[[#This Row],[Pick-Up Date]]),"")</f>
        <v>31</v>
      </c>
      <c r="AD806" s="430" t="s">
        <v>5768</v>
      </c>
      <c r="AE806" s="430"/>
      <c r="AF806" s="430" t="s">
        <v>122</v>
      </c>
      <c r="AG806" s="430" t="s">
        <v>123</v>
      </c>
      <c r="AH806" s="430" t="s">
        <v>105</v>
      </c>
      <c r="AI806" s="437">
        <v>46242</v>
      </c>
      <c r="AJ806" s="437">
        <v>46249</v>
      </c>
      <c r="AK806" s="437">
        <v>46249</v>
      </c>
      <c r="AL806" s="437">
        <v>46284</v>
      </c>
      <c r="AM806" s="437">
        <v>46293</v>
      </c>
      <c r="AN806" s="437">
        <v>46293</v>
      </c>
      <c r="AP806" s="430" t="s">
        <v>5761</v>
      </c>
      <c r="AQ806" s="430" t="s">
        <v>161</v>
      </c>
      <c r="AR806" s="430" t="s">
        <v>5762</v>
      </c>
      <c r="AS806" s="430" t="s">
        <v>5763</v>
      </c>
      <c r="AT806" s="430" t="s">
        <v>5764</v>
      </c>
      <c r="AU80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W806" s="437" cm="1">
        <f t="array" ref="AW80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46293</v>
      </c>
      <c r="AX80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06" s="437">
        <f>IF(ISERROR(PV_DATA[[#This Row],[New Ark PO status]]),"",_xlfn.XLOOKUP(PV_DATA[[#This Row],[SPTN-PVHK New Ark PO'#]],New_Ark_Data[Purchase order Number],New_Ark_Data[Estimated time of arrival],"",0))</f>
        <v>46290</v>
      </c>
      <c r="AZ806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06" s="437">
        <f>IFERROR(PV_DATA[[#This Row],[ODP ETA Port]]+PV_DATA[[#This Row],[Customs/Leg3 Assumption]],"n/a")</f>
        <v>46300</v>
      </c>
      <c r="BB806" s="433">
        <f>YEAR(PV_DATA[[#This Row],[ETA for New Ark update]])</f>
        <v>2026</v>
      </c>
      <c r="BC806" s="430">
        <f>MONTH(PV_DATA[[#This Row],[ETA for New Ark update]])</f>
        <v>10</v>
      </c>
      <c r="BD806" s="430">
        <f>IFERROR(_xlfn.ISOWEEKNUM(PV_DATA[[#This Row],[ETA for New Ark update]]),0)</f>
        <v>41</v>
      </c>
      <c r="BE806" s="430">
        <f>_xlfn.XLOOKUP(PV_DATA[[#This Row],[New Ark SKU]],Table9[New Ark SKU],Table9[Total PCS per Pallet],,0)</f>
        <v>36</v>
      </c>
      <c r="BF806" s="430">
        <f>_xlfn.XLOOKUP(PV_DATA[[#This Row],[New Ark SKU]],Table9[New Ark SKU],Table9[Total PCS per 40HQ Container],,0)</f>
        <v>864</v>
      </c>
      <c r="BG806" s="430" t="str">
        <f>_xlfn.XLOOKUP(PV_DATA[[#This Row],[New Ark SKU]],Table9[New Ark SKU],Table9[Back Glass],,0)</f>
        <v>White glazing</v>
      </c>
      <c r="BH806" s="430" t="str">
        <f>_xlfn.XLOOKUP(PV_DATA[[#This Row],[PORT DESTINATION]],Table12[PORT DESTINATION],Table12[Cosco Line],,0)</f>
        <v>AEU</v>
      </c>
      <c r="BJ806" s="430"/>
    </row>
    <row r="807" spans="1:62" ht="10.5" hidden="1" customHeight="1">
      <c r="A807" s="462" t="s">
        <v>5769</v>
      </c>
      <c r="B807" s="462" t="s">
        <v>1757</v>
      </c>
      <c r="C807" s="462" t="str">
        <f>IFERROR(LEFT(PV_DATA[[#This Row],[TCL REFERENCE]],FIND(".",PV_DATA[[#This Row],[TCL REFERENCE]],1)-1),"Main Line")</f>
        <v>26Jun012</v>
      </c>
      <c r="D807" s="462" t="s">
        <v>63</v>
      </c>
      <c r="E807" s="462" t="s">
        <v>64</v>
      </c>
      <c r="F807" s="462" t="str" cm="1">
        <f t="array" ref="F80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07" s="462" t="s">
        <v>402</v>
      </c>
      <c r="H807" s="462" t="s">
        <v>67</v>
      </c>
      <c r="I807" s="462" t="s">
        <v>1395</v>
      </c>
      <c r="J807" s="430" t="s">
        <v>96</v>
      </c>
      <c r="K807" s="430"/>
      <c r="L807" s="430"/>
      <c r="M807" s="430" t="s">
        <v>68</v>
      </c>
      <c r="N807" s="432">
        <v>46195</v>
      </c>
      <c r="O807" s="430" t="s">
        <v>4540</v>
      </c>
      <c r="P807" s="430" t="s">
        <v>1151</v>
      </c>
      <c r="Q807" s="430" t="s">
        <v>421</v>
      </c>
      <c r="R807" s="430" t="str">
        <f>_xlfn.XLOOKUP(PV_DATA[[#This Row],[New Ark SKU]],Table9[New Ark SKU],Table9[Connector],,0)</f>
        <v>EVO2A</v>
      </c>
      <c r="S807" s="433" t="str">
        <f>_xlfn.XLOOKUP(PV_DATA[[#This Row],[New Ark SKU]],Table9[New Ark SKU],Table9[Cable],,0)</f>
        <v>±1200mm</v>
      </c>
      <c r="T807" s="433">
        <v>505</v>
      </c>
      <c r="U807" s="1062">
        <v>4320</v>
      </c>
      <c r="V807" s="434">
        <f>PV_DATA[[#This Row],[QUANTITY]]*PV_DATA[[#This Row],[WATT]]/1000000</f>
        <v>2.1816</v>
      </c>
      <c r="W807" s="435">
        <f>PV_DATA[[#This Row],[QUANTITY]]/PV_DATA[[#This Row],[Qty/Pallet]]</f>
        <v>120</v>
      </c>
      <c r="X807" s="1015">
        <f>PV_DATA[[#This Row],[QUANTITY]]/PV_DATA[[#This Row],[Qty/CT]]</f>
        <v>5</v>
      </c>
      <c r="Y807" s="430" t="s">
        <v>4371</v>
      </c>
      <c r="Z807" s="430" t="str">
        <f t="shared" si="9"/>
        <v>COMPLETED</v>
      </c>
      <c r="AA807" s="430" t="s">
        <v>5676</v>
      </c>
      <c r="AB807" s="543">
        <v>46233</v>
      </c>
      <c r="AC807" s="485">
        <f>IF(PV_DATA[[#This Row],[Pick-Up Date]]&lt;&gt;"",_xlfn.ISOWEEKNUM(PV_DATA[[#This Row],[Pick-Up Date]]),"")</f>
        <v>31</v>
      </c>
      <c r="AD807" s="430" t="s">
        <v>5770</v>
      </c>
      <c r="AE807" s="430"/>
      <c r="AF807" s="459" t="s">
        <v>1525</v>
      </c>
      <c r="AG807" s="459" t="s">
        <v>1525</v>
      </c>
      <c r="AH807" s="430" t="s">
        <v>105</v>
      </c>
      <c r="AI807" s="437">
        <v>46238</v>
      </c>
      <c r="AJ807" s="437">
        <f>IFERROR(IF(VLOOKUP(AT807,Vessel!A:D,4,FALSE)=0,"",VLOOKUP(AT807,Vessel!A:D,4,FALSE)),"")</f>
        <v>46246.375</v>
      </c>
      <c r="AK807" s="437">
        <f>IFERROR(IF(VLOOKUP(AT807,Vessel!A:F,5,FALSE)=0,"",VLOOKUP(AT807,Vessel!A:F,5,FALSE)),"")</f>
        <v>46246.423298611109</v>
      </c>
      <c r="AL807" s="437">
        <v>46274</v>
      </c>
      <c r="AM807" s="588">
        <f>IFERROR(VLOOKUP(AT807, Vessel!A:H, 8, FALSE), "")</f>
        <v>46279.958333333336</v>
      </c>
      <c r="AN807" s="588">
        <v>46279.958333333336</v>
      </c>
      <c r="AP807" s="430" t="s">
        <v>5608</v>
      </c>
      <c r="AQ807" s="430" t="s">
        <v>80</v>
      </c>
      <c r="AR807" s="430" t="s">
        <v>5771</v>
      </c>
      <c r="AS807" s="430" t="s">
        <v>5772</v>
      </c>
      <c r="AT807" s="430" t="s">
        <v>5772</v>
      </c>
      <c r="AU80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33.535034722226555</v>
      </c>
      <c r="AV807" s="437"/>
      <c r="AW807" s="437" cm="1">
        <f t="array" ref="AW80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46279.958333333336</v>
      </c>
      <c r="AX80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07" s="437">
        <f>IF(ISERROR(PV_DATA[[#This Row],[New Ark PO status]]),"",_xlfn.XLOOKUP(PV_DATA[[#This Row],[SPTN-PVHK New Ark PO'#]],New_Ark_Data[Purchase order Number],New_Ark_Data[Estimated time of arrival],"",0))</f>
        <v>46293</v>
      </c>
      <c r="AZ807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07" s="437">
        <f>IFERROR(PV_DATA[[#This Row],[ODP ETA Port]]+PV_DATA[[#This Row],[Customs/Leg3 Assumption]],"n/a")</f>
        <v>46286.958333333336</v>
      </c>
      <c r="BB807" s="433">
        <f>YEAR(PV_DATA[[#This Row],[ETA for New Ark update]])</f>
        <v>2026</v>
      </c>
      <c r="BC807" s="430">
        <f>MONTH(PV_DATA[[#This Row],[ETA for New Ark update]])</f>
        <v>9</v>
      </c>
      <c r="BD807" s="430">
        <f>IFERROR(_xlfn.ISOWEEKNUM(PV_DATA[[#This Row],[ETA for New Ark update]]),0)</f>
        <v>39</v>
      </c>
      <c r="BE807" s="430">
        <f>_xlfn.XLOOKUP(PV_DATA[[#This Row],[New Ark SKU]],Table9[New Ark SKU],Table9[Total PCS per Pallet],,0)</f>
        <v>36</v>
      </c>
      <c r="BF807" s="430">
        <f>_xlfn.XLOOKUP(PV_DATA[[#This Row],[New Ark SKU]],Table9[New Ark SKU],Table9[Total PCS per 40HQ Container],,0)</f>
        <v>864</v>
      </c>
      <c r="BG807" s="430" t="str">
        <f>_xlfn.XLOOKUP(PV_DATA[[#This Row],[New Ark SKU]],Table9[New Ark SKU],Table9[Back Glass],,0)</f>
        <v>Black glazing</v>
      </c>
      <c r="BH807" s="430" t="str">
        <f>_xlfn.XLOOKUP(PV_DATA[[#This Row],[PORT DESTINATION]],Table12[PORT DESTINATION],Table12[Cosco Line],,0)</f>
        <v>AEU</v>
      </c>
      <c r="BJ807" s="430"/>
    </row>
    <row r="808" spans="1:62" ht="10.5" hidden="1">
      <c r="A808" s="462" t="s">
        <v>5773</v>
      </c>
      <c r="B808" s="462" t="s">
        <v>1757</v>
      </c>
      <c r="C808" s="462" t="str">
        <f>IFERROR(LEFT(PV_DATA[[#This Row],[TCL REFERENCE]],FIND(".",PV_DATA[[#This Row],[TCL REFERENCE]],1)-1),"Main Line")</f>
        <v>26Jul008</v>
      </c>
      <c r="D808" s="462" t="s">
        <v>63</v>
      </c>
      <c r="E808" s="462" t="s">
        <v>64</v>
      </c>
      <c r="F808" s="462" t="str" cm="1">
        <f t="array" ref="F80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08" s="462" t="s">
        <v>402</v>
      </c>
      <c r="H808" s="462" t="s">
        <v>67</v>
      </c>
      <c r="I808" s="462" t="s">
        <v>882</v>
      </c>
      <c r="J808" s="430" t="s">
        <v>96</v>
      </c>
      <c r="K808" s="430"/>
      <c r="L808" s="430"/>
      <c r="M808" s="430" t="s">
        <v>68</v>
      </c>
      <c r="N808" s="432">
        <v>46209</v>
      </c>
      <c r="O808" s="430" t="s">
        <v>4540</v>
      </c>
      <c r="P808" s="430" t="s">
        <v>1151</v>
      </c>
      <c r="Q808" s="430" t="s">
        <v>421</v>
      </c>
      <c r="R808" s="430" t="str">
        <f>_xlfn.XLOOKUP(PV_DATA[[#This Row],[New Ark SKU]],Table9[New Ark SKU],Table9[Connector],,0)</f>
        <v>EVO2A</v>
      </c>
      <c r="S808" s="433" t="str">
        <f>_xlfn.XLOOKUP(PV_DATA[[#This Row],[New Ark SKU]],Table9[New Ark SKU],Table9[Cable],,0)</f>
        <v>±1200mm</v>
      </c>
      <c r="T808" s="433">
        <v>505</v>
      </c>
      <c r="U808" s="1062">
        <v>864</v>
      </c>
      <c r="V808" s="434">
        <f>PV_DATA[[#This Row],[QUANTITY]]*PV_DATA[[#This Row],[WATT]]/1000000</f>
        <v>0.43631999999999999</v>
      </c>
      <c r="W808" s="435">
        <f>PV_DATA[[#This Row],[QUANTITY]]/PV_DATA[[#This Row],[Qty/Pallet]]</f>
        <v>24</v>
      </c>
      <c r="X808" s="1015">
        <f>PV_DATA[[#This Row],[QUANTITY]]/PV_DATA[[#This Row],[Qty/CT]]</f>
        <v>1</v>
      </c>
      <c r="Y808" s="430" t="s">
        <v>4373</v>
      </c>
      <c r="Z808" s="430" t="str">
        <f t="shared" si="9"/>
        <v>COMPLETED</v>
      </c>
      <c r="AA808" s="430"/>
      <c r="AB808" s="543">
        <v>46234</v>
      </c>
      <c r="AC808" s="485">
        <f>IF(PV_DATA[[#This Row],[Pick-Up Date]]&lt;&gt;"",_xlfn.ISOWEEKNUM(PV_DATA[[#This Row],[Pick-Up Date]]),"")</f>
        <v>31</v>
      </c>
      <c r="AD808" s="430" t="s">
        <v>5774</v>
      </c>
      <c r="AE808" s="430"/>
      <c r="AF808" s="459" t="s">
        <v>1525</v>
      </c>
      <c r="AG808" s="459" t="s">
        <v>1525</v>
      </c>
      <c r="AH808" s="430" t="s">
        <v>78</v>
      </c>
      <c r="AI808" s="437">
        <v>46238</v>
      </c>
      <c r="AJ808" s="437">
        <f>IFERROR(IF(VLOOKUP(AT808,Vessel!A:D,4,FALSE)=0,"",VLOOKUP(AT808,Vessel!A:D,4,FALSE)),"")</f>
        <v>46239.75</v>
      </c>
      <c r="AK808" s="437">
        <v>46239</v>
      </c>
      <c r="AL808" s="437">
        <v>46281</v>
      </c>
      <c r="AM808" s="588">
        <f>IFERROR(VLOOKUP(AT808, Vessel!A:H, 8, FALSE), "")</f>
        <v>46283.416666666664</v>
      </c>
      <c r="AN808" s="588">
        <f>IFERROR(IF(VLOOKUP(AT808,Vessel!A:I,9,FALSE)=0,"",VLOOKUP(AT808,Vessel!A:I,9,FALSE)),"")</f>
        <v>46283.4372337963</v>
      </c>
      <c r="AP808" s="430" t="s">
        <v>5775</v>
      </c>
      <c r="AQ808" s="430" t="s">
        <v>80</v>
      </c>
      <c r="AR808" s="430" t="s">
        <v>5776</v>
      </c>
      <c r="AS808" s="430" t="s">
        <v>5777</v>
      </c>
      <c r="AT808" s="430" t="s">
        <v>5777</v>
      </c>
      <c r="AU80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44.437233796299552</v>
      </c>
      <c r="AW808" s="437" cm="1">
        <f t="array" ref="AW80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46283.4372337963</v>
      </c>
      <c r="AX80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08" s="437">
        <f>IF(ISERROR(PV_DATA[[#This Row],[New Ark PO status]]),"",_xlfn.XLOOKUP(PV_DATA[[#This Row],[SPTN-PVHK New Ark PO'#]],New_Ark_Data[Purchase order Number],New_Ark_Data[Estimated time of arrival],"",0))</f>
        <v>46295</v>
      </c>
      <c r="AZ808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08" s="437">
        <f>IFERROR(PV_DATA[[#This Row],[ODP ETA Port]]+PV_DATA[[#This Row],[Customs/Leg3 Assumption]],"n/a")</f>
        <v>46291.4372337963</v>
      </c>
      <c r="BB808" s="433">
        <f>YEAR(PV_DATA[[#This Row],[ETA for New Ark update]])</f>
        <v>2026</v>
      </c>
      <c r="BC808" s="430">
        <f>MONTH(PV_DATA[[#This Row],[ETA for New Ark update]])</f>
        <v>9</v>
      </c>
      <c r="BD808" s="430">
        <f>IFERROR(_xlfn.ISOWEEKNUM(PV_DATA[[#This Row],[ETA for New Ark update]]),0)</f>
        <v>39</v>
      </c>
      <c r="BE808" s="430">
        <f>_xlfn.XLOOKUP(PV_DATA[[#This Row],[New Ark SKU]],Table9[New Ark SKU],Table9[Total PCS per Pallet],,0)</f>
        <v>36</v>
      </c>
      <c r="BF808" s="430">
        <f>_xlfn.XLOOKUP(PV_DATA[[#This Row],[New Ark SKU]],Table9[New Ark SKU],Table9[Total PCS per 40HQ Container],,0)</f>
        <v>864</v>
      </c>
      <c r="BG808" s="430" t="str">
        <f>_xlfn.XLOOKUP(PV_DATA[[#This Row],[New Ark SKU]],Table9[New Ark SKU],Table9[Back Glass],,0)</f>
        <v>Black glazing</v>
      </c>
      <c r="BH808" s="430" t="str">
        <f>_xlfn.XLOOKUP(PV_DATA[[#This Row],[PORT DESTINATION]],Table12[PORT DESTINATION],Table12[Cosco Line],,0)</f>
        <v>AEM</v>
      </c>
      <c r="BJ808" s="430"/>
    </row>
    <row r="809" spans="1:62" ht="10.5" hidden="1">
      <c r="A809" s="462" t="s">
        <v>5778</v>
      </c>
      <c r="B809" s="462" t="s">
        <v>111</v>
      </c>
      <c r="C809" s="462" t="str">
        <f>IFERROR(LEFT(PV_DATA[[#This Row],[TCL REFERENCE]],FIND(".",PV_DATA[[#This Row],[TCL REFERENCE]],1)-1),"Main Line")</f>
        <v>26Jul014</v>
      </c>
      <c r="D809" s="462" t="s">
        <v>63</v>
      </c>
      <c r="E809" s="462" t="s">
        <v>64</v>
      </c>
      <c r="F809" s="462" t="str" cm="1">
        <f t="array" ref="F80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809" s="462" t="s">
        <v>402</v>
      </c>
      <c r="H809" s="462" t="s">
        <v>115</v>
      </c>
      <c r="I809" s="462" t="s">
        <v>689</v>
      </c>
      <c r="J809" s="430" t="s">
        <v>96</v>
      </c>
      <c r="K809" s="430"/>
      <c r="L809" s="430"/>
      <c r="M809" s="430" t="s">
        <v>68</v>
      </c>
      <c r="N809" s="432">
        <v>46202</v>
      </c>
      <c r="O809" s="430" t="s">
        <v>5345</v>
      </c>
      <c r="P809" s="430" t="s">
        <v>5564</v>
      </c>
      <c r="Q809" s="430" t="s">
        <v>5565</v>
      </c>
      <c r="R809" s="430" t="str">
        <f>_xlfn.XLOOKUP(PV_DATA[[#This Row],[New Ark SKU]],Table9[New Ark SKU],Table9[Connector],,0)</f>
        <v>EVO2A</v>
      </c>
      <c r="S809" s="433" t="str">
        <f>_xlfn.XLOOKUP(PV_DATA[[#This Row],[New Ark SKU]],Table9[New Ark SKU],Table9[Cable],,0)</f>
        <v>±1400mm</v>
      </c>
      <c r="T809" s="433">
        <v>585</v>
      </c>
      <c r="U809" s="1070">
        <v>720</v>
      </c>
      <c r="V809" s="434">
        <f>PV_DATA[[#This Row],[QUANTITY]]*PV_DATA[[#This Row],[WATT]]/1000000</f>
        <v>0.42120000000000002</v>
      </c>
      <c r="W809" s="435">
        <f>PV_DATA[[#This Row],[QUANTITY]]/PV_DATA[[#This Row],[Qty/Pallet]]</f>
        <v>20</v>
      </c>
      <c r="X809" s="1015">
        <f>PV_DATA[[#This Row],[QUANTITY]]/PV_DATA[[#This Row],[Qty/CT]]</f>
        <v>1</v>
      </c>
      <c r="Y809" s="430" t="s">
        <v>4373</v>
      </c>
      <c r="Z809" s="430" t="str">
        <f t="shared" si="9"/>
        <v>COMPLETED</v>
      </c>
      <c r="AA809" s="430" t="s">
        <v>5659</v>
      </c>
      <c r="AB809" s="543">
        <v>46238</v>
      </c>
      <c r="AC809" s="485">
        <f>IF(PV_DATA[[#This Row],[Pick-Up Date]]&lt;&gt;"",_xlfn.ISOWEEKNUM(PV_DATA[[#This Row],[Pick-Up Date]]),"")</f>
        <v>32</v>
      </c>
      <c r="AD809" s="430" t="s">
        <v>5779</v>
      </c>
      <c r="AE809" s="430"/>
      <c r="AF809" s="430" t="s">
        <v>1525</v>
      </c>
      <c r="AG809" s="430" t="s">
        <v>1525</v>
      </c>
      <c r="AH809" s="430" t="s">
        <v>124</v>
      </c>
      <c r="AI809" s="713">
        <v>46245</v>
      </c>
      <c r="AJ809" s="437">
        <f>IFERROR(IF(VLOOKUP(AT809,Vessel!A:D,4,FALSE)=0,"",VLOOKUP(AT809,Vessel!A:D,4,FALSE)),"")</f>
        <v>46241.541666666664</v>
      </c>
      <c r="AK809" s="437">
        <f>IFERROR(IF(VLOOKUP(AT809,Vessel!A:F,5,FALSE)=0,"",VLOOKUP(AT809,Vessel!A:F,5,FALSE)),"")</f>
        <v>46241.557245370372</v>
      </c>
      <c r="AL809" s="437">
        <v>46282</v>
      </c>
      <c r="AM809" s="588">
        <f>IFERROR(VLOOKUP(AT809, Vessel!A:H, 8, FALSE), "")</f>
        <v>46284</v>
      </c>
      <c r="AN809" s="588">
        <f>IFERROR(IF(VLOOKUP(AT809,Vessel!A:I,9,FALSE)=0,"",VLOOKUP(AT809,Vessel!A:I,9,FALSE)),"")</f>
        <v>46284.052731481483</v>
      </c>
      <c r="AP809" s="430" t="s">
        <v>5754</v>
      </c>
      <c r="AQ809" s="430" t="s">
        <v>80</v>
      </c>
      <c r="AR809" s="430" t="s">
        <v>5780</v>
      </c>
      <c r="AS809" s="430" t="s">
        <v>5781</v>
      </c>
      <c r="AT809" s="430" t="s">
        <v>5781</v>
      </c>
      <c r="AU80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42.495486111110949</v>
      </c>
      <c r="AW809" s="437" cm="1">
        <f t="array" ref="AW80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46284.052731481483</v>
      </c>
      <c r="AX80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09" s="437">
        <f>IF(ISERROR(PV_DATA[[#This Row],[New Ark PO status]]),"",_xlfn.XLOOKUP(PV_DATA[[#This Row],[SPTN-PVHK New Ark PO'#]],New_Ark_Data[Purchase order Number],New_Ark_Data[Estimated time of arrival],"",0))</f>
        <v>46296</v>
      </c>
      <c r="AZ809" s="433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809" s="437">
        <f>IFERROR(PV_DATA[[#This Row],[ODP ETA Port]]+PV_DATA[[#This Row],[Customs/Leg3 Assumption]],"n/a")</f>
        <v>46293.052731481483</v>
      </c>
      <c r="BB809" s="433">
        <f>YEAR(PV_DATA[[#This Row],[ETA for New Ark update]])</f>
        <v>2026</v>
      </c>
      <c r="BC809" s="430">
        <f>MONTH(PV_DATA[[#This Row],[ETA for New Ark update]])</f>
        <v>9</v>
      </c>
      <c r="BD809" s="430">
        <f>IFERROR(_xlfn.ISOWEEKNUM(PV_DATA[[#This Row],[ETA for New Ark update]]),0)</f>
        <v>40</v>
      </c>
      <c r="BE809" s="430">
        <f>_xlfn.XLOOKUP(PV_DATA[[#This Row],[New Ark SKU]],Table9[New Ark SKU],Table9[Total PCS per Pallet],,0)</f>
        <v>36</v>
      </c>
      <c r="BF809" s="430">
        <f>_xlfn.XLOOKUP(PV_DATA[[#This Row],[New Ark SKU]],Table9[New Ark SKU],Table9[Total PCS per 40HQ Container],,0)</f>
        <v>720</v>
      </c>
      <c r="BG809" s="430" t="str">
        <f>_xlfn.XLOOKUP(PV_DATA[[#This Row],[New Ark SKU]],Table9[New Ark SKU],Table9[Back Glass],,0)</f>
        <v>Transparent</v>
      </c>
      <c r="BH809" s="430" t="str">
        <f>_xlfn.XLOOKUP(PV_DATA[[#This Row],[PORT DESTINATION]],Table12[PORT DESTINATION],Table12[Cosco Line],,0)</f>
        <v>AEM</v>
      </c>
      <c r="BJ809" s="430"/>
    </row>
    <row r="810" spans="1:62" ht="10.5" hidden="1">
      <c r="A810" s="462" t="s">
        <v>5782</v>
      </c>
      <c r="B810" s="462" t="s">
        <v>5783</v>
      </c>
      <c r="C810" s="462" t="str">
        <f>IFERROR(LEFT(PV_DATA[[#This Row],[TCL REFERENCE]],FIND(".",PV_DATA[[#This Row],[TCL REFERENCE]],1)-1),"Main Line")</f>
        <v>26Jul006</v>
      </c>
      <c r="D810" s="462" t="s">
        <v>63</v>
      </c>
      <c r="E810" s="462" t="s">
        <v>144</v>
      </c>
      <c r="F810" s="462" t="str" cm="1">
        <f t="array" ref="F81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810" s="462" t="s">
        <v>156</v>
      </c>
      <c r="H810" s="462" t="s">
        <v>2665</v>
      </c>
      <c r="I810" s="462" t="s">
        <v>1395</v>
      </c>
      <c r="J810" s="430" t="s">
        <v>2665</v>
      </c>
      <c r="K810" s="430" t="s">
        <v>5784</v>
      </c>
      <c r="L810" s="430">
        <v>1</v>
      </c>
      <c r="M810" s="430" t="s">
        <v>4976</v>
      </c>
      <c r="N810" s="432">
        <v>46223</v>
      </c>
      <c r="O810" s="430" t="s">
        <v>4540</v>
      </c>
      <c r="P810" s="430" t="s">
        <v>965</v>
      </c>
      <c r="Q810" s="430" t="s">
        <v>966</v>
      </c>
      <c r="R810" s="430" t="str">
        <f>_xlfn.XLOOKUP(PV_DATA[[#This Row],[New Ark SKU]],Table9[New Ark SKU],Table9[Connector],,0)</f>
        <v>EVO2A</v>
      </c>
      <c r="S810" s="433" t="str">
        <f>_xlfn.XLOOKUP(PV_DATA[[#This Row],[New Ark SKU]],Table9[New Ark SKU],Table9[Cable],,0)</f>
        <v>±1200mm</v>
      </c>
      <c r="T810" s="433">
        <v>455</v>
      </c>
      <c r="U810" s="1070">
        <f>936</f>
        <v>936</v>
      </c>
      <c r="V810" s="434">
        <f>PV_DATA[[#This Row],[QUANTITY]]*PV_DATA[[#This Row],[WATT]]/1000000</f>
        <v>0.42587999999999998</v>
      </c>
      <c r="W810" s="435">
        <f>PV_DATA[[#This Row],[QUANTITY]]/PV_DATA[[#This Row],[Qty/Pallet]]</f>
        <v>26</v>
      </c>
      <c r="X810" s="1015">
        <f>PV_DATA[[#This Row],[QUANTITY]]/PV_DATA[[#This Row],[Qty/CT]]</f>
        <v>1</v>
      </c>
      <c r="Y810" s="430" t="s">
        <v>4374</v>
      </c>
      <c r="Z810" s="430" t="str">
        <f t="shared" si="9"/>
        <v>COMPLETED</v>
      </c>
      <c r="AA810" s="430"/>
      <c r="AB810" s="543">
        <v>46238</v>
      </c>
      <c r="AC810" s="485">
        <f>IF(PV_DATA[[#This Row],[Pick-Up Date]]&lt;&gt;"",_xlfn.ISOWEEKNUM(PV_DATA[[#This Row],[Pick-Up Date]]),"")</f>
        <v>32</v>
      </c>
      <c r="AD810" s="730" t="s">
        <v>5785</v>
      </c>
      <c r="AE810" s="430"/>
      <c r="AF810" s="459" t="s">
        <v>1525</v>
      </c>
      <c r="AG810" s="459" t="s">
        <v>1525</v>
      </c>
      <c r="AH810" s="430" t="s">
        <v>5786</v>
      </c>
      <c r="AI810" s="713">
        <v>46244</v>
      </c>
      <c r="AK810" s="437">
        <v>46246</v>
      </c>
      <c r="AL810" s="437">
        <v>46279</v>
      </c>
      <c r="AM810" s="437">
        <v>46279</v>
      </c>
      <c r="AN810" s="437">
        <v>46282</v>
      </c>
      <c r="AP810" s="430" t="s">
        <v>5787</v>
      </c>
      <c r="AQ810" s="438" t="s">
        <v>161</v>
      </c>
      <c r="AR810" s="430" t="s">
        <v>5788</v>
      </c>
      <c r="AS810" s="430" t="s">
        <v>5789</v>
      </c>
      <c r="AT810" s="430" t="s">
        <v>5790</v>
      </c>
      <c r="AU81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36</v>
      </c>
      <c r="AW810" s="437" cm="1">
        <f t="array" ref="AW81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46282</v>
      </c>
      <c r="AX81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810" s="437">
        <f>IF(ISERROR(PV_DATA[[#This Row],[New Ark PO status]]),"",_xlfn.XLOOKUP(PV_DATA[[#This Row],[SPTN-PVHK New Ark PO'#]],New_Ark_Data[Purchase order Number],New_Ark_Data[Estimated time of arrival],"",0))</f>
        <v>46279</v>
      </c>
      <c r="AZ810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810" s="437">
        <f>IFERROR(PV_DATA[[#This Row],[ODP ETA Port]]+PV_DATA[[#This Row],[Customs/Leg3 Assumption]],"n/a")</f>
        <v>46282</v>
      </c>
      <c r="BB810" s="433">
        <f>YEAR(PV_DATA[[#This Row],[ETA for New Ark update]])</f>
        <v>2026</v>
      </c>
      <c r="BC810" s="430">
        <f>MONTH(PV_DATA[[#This Row],[ETA for New Ark update]])</f>
        <v>9</v>
      </c>
      <c r="BD810" s="430">
        <f>IFERROR(_xlfn.ISOWEEKNUM(PV_DATA[[#This Row],[ETA for New Ark update]]),0)</f>
        <v>38</v>
      </c>
      <c r="BE810" s="430">
        <f>_xlfn.XLOOKUP(PV_DATA[[#This Row],[New Ark SKU]],Table9[New Ark SKU],Table9[Total PCS per Pallet],,0)</f>
        <v>36</v>
      </c>
      <c r="BF810" s="430">
        <f>_xlfn.XLOOKUP(PV_DATA[[#This Row],[New Ark SKU]],Table9[New Ark SKU],Table9[Total PCS per 40HQ Container],,0)</f>
        <v>936</v>
      </c>
      <c r="BG810" s="430" t="str">
        <f>_xlfn.XLOOKUP(PV_DATA[[#This Row],[New Ark SKU]],Table9[New Ark SKU],Table9[Back Glass],,0)</f>
        <v>Black glazing</v>
      </c>
      <c r="BH810" s="430" t="str">
        <f>_xlfn.XLOOKUP(PV_DATA[[#This Row],[PORT DESTINATION]],Table12[PORT DESTINATION],Table12[Cosco Line],,0)</f>
        <v>n/a</v>
      </c>
      <c r="BJ810" s="430"/>
    </row>
    <row r="811" spans="1:62" ht="10.5" hidden="1">
      <c r="A811" s="462" t="s">
        <v>5791</v>
      </c>
      <c r="B811" s="462" t="s">
        <v>61</v>
      </c>
      <c r="C811" s="462" t="str">
        <f>IFERROR(LEFT(PV_DATA[[#This Row],[TCL REFERENCE]],FIND(".",PV_DATA[[#This Row],[TCL REFERENCE]],1)-1),"Main Line")</f>
        <v>26Jun010</v>
      </c>
      <c r="D811" s="462" t="s">
        <v>63</v>
      </c>
      <c r="E811" s="462" t="s">
        <v>144</v>
      </c>
      <c r="F811" s="462" t="str" cm="1">
        <f t="array" ref="F81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811" s="462" t="s">
        <v>402</v>
      </c>
      <c r="H811" s="462" t="s">
        <v>5792</v>
      </c>
      <c r="I811" s="462" t="s">
        <v>689</v>
      </c>
      <c r="J811" s="430" t="s">
        <v>5792</v>
      </c>
      <c r="K811" s="430" t="s">
        <v>5793</v>
      </c>
      <c r="L811" s="430">
        <v>2</v>
      </c>
      <c r="M811" s="430" t="s">
        <v>4976</v>
      </c>
      <c r="N811" s="432">
        <v>46188</v>
      </c>
      <c r="O811" s="430" t="s">
        <v>4540</v>
      </c>
      <c r="P811" s="430" t="s">
        <v>965</v>
      </c>
      <c r="Q811" s="430" t="s">
        <v>966</v>
      </c>
      <c r="R811" s="430" t="str">
        <f>_xlfn.XLOOKUP(PV_DATA[[#This Row],[New Ark SKU]],Table9[New Ark SKU],Table9[Connector],,0)</f>
        <v>EVO2A</v>
      </c>
      <c r="S811" s="433" t="str">
        <f>_xlfn.XLOOKUP(PV_DATA[[#This Row],[New Ark SKU]],Table9[New Ark SKU],Table9[Cable],,0)</f>
        <v>±1200mm</v>
      </c>
      <c r="T811" s="433">
        <v>455</v>
      </c>
      <c r="U811" s="1062">
        <f>936*2</f>
        <v>1872</v>
      </c>
      <c r="V811" s="434">
        <f>PV_DATA[[#This Row],[QUANTITY]]*PV_DATA[[#This Row],[WATT]]/1000000</f>
        <v>0.85175999999999996</v>
      </c>
      <c r="W811" s="435">
        <f>PV_DATA[[#This Row],[QUANTITY]]/PV_DATA[[#This Row],[Qty/Pallet]]</f>
        <v>52</v>
      </c>
      <c r="X811" s="1015">
        <f>PV_DATA[[#This Row],[QUANTITY]]/PV_DATA[[#This Row],[Qty/CT]]</f>
        <v>2</v>
      </c>
      <c r="Y811" s="430" t="s">
        <v>4373</v>
      </c>
      <c r="Z811" s="430" t="str">
        <f t="shared" si="9"/>
        <v>IN-TRANSIT</v>
      </c>
      <c r="AA811" s="430" t="s">
        <v>5794</v>
      </c>
      <c r="AB811" s="437">
        <v>46232</v>
      </c>
      <c r="AC811" s="485">
        <f>IF(PV_DATA[[#This Row],[Pick-Up Date]]&lt;&gt;"",_xlfn.ISOWEEKNUM(PV_DATA[[#This Row],[Pick-Up Date]]),"")</f>
        <v>31</v>
      </c>
      <c r="AD811" s="430" t="s">
        <v>5795</v>
      </c>
      <c r="AE811" s="430"/>
      <c r="AF811" s="430" t="s">
        <v>61</v>
      </c>
      <c r="AG811" s="430" t="s">
        <v>61</v>
      </c>
      <c r="AH811" s="430" t="s">
        <v>5796</v>
      </c>
      <c r="AI811" s="437">
        <v>46240</v>
      </c>
      <c r="AK811" s="437">
        <v>46243</v>
      </c>
      <c r="AL811" s="437">
        <v>46307</v>
      </c>
      <c r="AM811" s="437">
        <v>46332</v>
      </c>
      <c r="AN811" s="586"/>
      <c r="AP811" s="430" t="s">
        <v>5797</v>
      </c>
      <c r="AQ811" s="430" t="s">
        <v>161</v>
      </c>
      <c r="AR811" s="430" t="s">
        <v>5798</v>
      </c>
      <c r="AS811" s="430" t="s">
        <v>5799</v>
      </c>
      <c r="AT811" s="430" t="s">
        <v>5799</v>
      </c>
      <c r="AU81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89</v>
      </c>
      <c r="AV811" s="437"/>
      <c r="AW811" s="437" cm="1">
        <f t="array" ref="AW81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46332</v>
      </c>
      <c r="AX81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811" s="437">
        <f>IF(ISERROR(PV_DATA[[#This Row],[New Ark PO status]]),"",_xlfn.XLOOKUP(PV_DATA[[#This Row],[SPTN-PVHK New Ark PO'#]],New_Ark_Data[Purchase order Number],New_Ark_Data[Estimated time of arrival],"",0))</f>
        <v>46307</v>
      </c>
      <c r="AZ811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811" s="437">
        <f>IFERROR(PV_DATA[[#This Row],[ODP ETA Port]]+PV_DATA[[#This Row],[Customs/Leg3 Assumption]],"n/a")</f>
        <v>46332</v>
      </c>
      <c r="BB811" s="433">
        <f>YEAR(PV_DATA[[#This Row],[ETA for New Ark update]])</f>
        <v>2026</v>
      </c>
      <c r="BC811" s="430">
        <f>MONTH(PV_DATA[[#This Row],[ETA for New Ark update]])</f>
        <v>11</v>
      </c>
      <c r="BD811" s="430">
        <f>IFERROR(_xlfn.ISOWEEKNUM(PV_DATA[[#This Row],[ETA for New Ark update]]),0)</f>
        <v>45</v>
      </c>
      <c r="BE811" s="430">
        <f>_xlfn.XLOOKUP(PV_DATA[[#This Row],[New Ark SKU]],Table9[New Ark SKU],Table9[Total PCS per Pallet],,0)</f>
        <v>36</v>
      </c>
      <c r="BF811" s="430">
        <f>_xlfn.XLOOKUP(PV_DATA[[#This Row],[New Ark SKU]],Table9[New Ark SKU],Table9[Total PCS per 40HQ Container],,0)</f>
        <v>936</v>
      </c>
      <c r="BG811" s="430" t="str">
        <f>_xlfn.XLOOKUP(PV_DATA[[#This Row],[New Ark SKU]],Table9[New Ark SKU],Table9[Back Glass],,0)</f>
        <v>Black glazing</v>
      </c>
      <c r="BH811" s="430" t="str">
        <f>_xlfn.XLOOKUP(PV_DATA[[#This Row],[PORT DESTINATION]],Table12[PORT DESTINATION],Table12[Cosco Line],,0)</f>
        <v>n/a</v>
      </c>
      <c r="BJ811" s="430"/>
    </row>
    <row r="812" spans="1:62" ht="10.5" hidden="1">
      <c r="A812" s="462" t="s">
        <v>5800</v>
      </c>
      <c r="B812" s="462" t="s">
        <v>61</v>
      </c>
      <c r="C812" s="462" t="str">
        <f>IFERROR(LEFT(PV_DATA[[#This Row],[TCL REFERENCE]],FIND(".",PV_DATA[[#This Row],[TCL REFERENCE]],1)-1),"Main Line")</f>
        <v>26May008</v>
      </c>
      <c r="D812" s="462" t="s">
        <v>63</v>
      </c>
      <c r="E812" s="462" t="s">
        <v>144</v>
      </c>
      <c r="F812" s="462" t="str" cm="1">
        <f t="array" ref="F81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812" s="462" t="s">
        <v>402</v>
      </c>
      <c r="H812" s="462" t="s">
        <v>1080</v>
      </c>
      <c r="I812" s="462" t="s">
        <v>1395</v>
      </c>
      <c r="J812" s="430" t="s">
        <v>5801</v>
      </c>
      <c r="K812" s="430" t="s">
        <v>2253</v>
      </c>
      <c r="L812" s="430">
        <v>5</v>
      </c>
      <c r="M812" s="430" t="s">
        <v>4976</v>
      </c>
      <c r="N812" s="432">
        <v>46111</v>
      </c>
      <c r="O812" s="430" t="s">
        <v>70</v>
      </c>
      <c r="P812" s="430" t="s">
        <v>965</v>
      </c>
      <c r="Q812" s="430" t="s">
        <v>966</v>
      </c>
      <c r="R812" s="430" t="str">
        <f>_xlfn.XLOOKUP(PV_DATA[[#This Row],[New Ark SKU]],Table9[New Ark SKU],Table9[Connector],,0)</f>
        <v>EVO2A</v>
      </c>
      <c r="S812" s="433" t="str">
        <f>_xlfn.XLOOKUP(PV_DATA[[#This Row],[New Ark SKU]],Table9[New Ark SKU],Table9[Cable],,0)</f>
        <v>±1200mm</v>
      </c>
      <c r="T812" s="433">
        <v>455</v>
      </c>
      <c r="U812" s="1062">
        <f>936*2</f>
        <v>1872</v>
      </c>
      <c r="V812" s="544">
        <f>PV_DATA[[#This Row],[QUANTITY]]*PV_DATA[[#This Row],[WATT]]/1000000</f>
        <v>0.85175999999999996</v>
      </c>
      <c r="W812" s="435">
        <f>PV_DATA[[#This Row],[QUANTITY]]/PV_DATA[[#This Row],[Qty/Pallet]]</f>
        <v>52</v>
      </c>
      <c r="X812" s="1015">
        <f>PV_DATA[[#This Row],[QUANTITY]]/PV_DATA[[#This Row],[Qty/CT]]</f>
        <v>2</v>
      </c>
      <c r="Y812" s="430" t="s">
        <v>4373</v>
      </c>
      <c r="Z812" s="430" t="str">
        <f t="shared" si="9"/>
        <v>COMPLETED</v>
      </c>
      <c r="AA812" s="430"/>
      <c r="AB812" s="437">
        <v>46232</v>
      </c>
      <c r="AC812" s="438">
        <f>IF(PV_DATA[[#This Row],[Pick-Up Date]]&lt;&gt;"",_xlfn.ISOWEEKNUM(PV_DATA[[#This Row],[Pick-Up Date]]),"")</f>
        <v>31</v>
      </c>
      <c r="AD812" s="430" t="s">
        <v>5802</v>
      </c>
      <c r="AE812" s="430"/>
      <c r="AF812" s="430" t="s">
        <v>77</v>
      </c>
      <c r="AG812" s="430" t="s">
        <v>61</v>
      </c>
      <c r="AH812" s="430" t="s">
        <v>1084</v>
      </c>
      <c r="AI812" s="437">
        <v>46239</v>
      </c>
      <c r="AJ812" s="437">
        <v>46240</v>
      </c>
      <c r="AK812" s="437">
        <v>46240</v>
      </c>
      <c r="AL812" s="437">
        <v>46294</v>
      </c>
      <c r="AM812" s="713">
        <v>46317</v>
      </c>
      <c r="AN812" s="713">
        <v>46318</v>
      </c>
      <c r="AO812" s="430" t="s">
        <v>402</v>
      </c>
      <c r="AP812" s="430" t="s">
        <v>5803</v>
      </c>
      <c r="AQ812" s="430" t="s">
        <v>161</v>
      </c>
      <c r="AR812" s="430" t="s">
        <v>5804</v>
      </c>
      <c r="AS812" s="430" t="s">
        <v>5805</v>
      </c>
      <c r="AT812" s="430" t="s">
        <v>5806</v>
      </c>
      <c r="AU81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78</v>
      </c>
      <c r="AW812" s="437" cm="1">
        <f t="array" ref="AW81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46318</v>
      </c>
      <c r="AX81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812" s="437">
        <f>IF(ISERROR(PV_DATA[[#This Row],[New Ark PO status]]),"",_xlfn.XLOOKUP(PV_DATA[[#This Row],[SPTN-PVHK New Ark PO'#]],New_Ark_Data[Purchase order Number],New_Ark_Data[Estimated time of arrival],"",0))</f>
        <v>46294</v>
      </c>
      <c r="AZ812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812" s="437">
        <f>IFERROR(PV_DATA[[#This Row],[ODP ETA Port]]+PV_DATA[[#This Row],[Customs/Leg3 Assumption]],"n/a")</f>
        <v>46318</v>
      </c>
      <c r="BB812" s="433">
        <f>YEAR(PV_DATA[[#This Row],[ETA for New Ark update]])</f>
        <v>2026</v>
      </c>
      <c r="BC812" s="430">
        <f>MONTH(PV_DATA[[#This Row],[ETA for New Ark update]])</f>
        <v>10</v>
      </c>
      <c r="BD812" s="430">
        <f>IFERROR(_xlfn.ISOWEEKNUM(PV_DATA[[#This Row],[ETA for New Ark update]]),0)</f>
        <v>43</v>
      </c>
      <c r="BE812" s="430">
        <f>_xlfn.XLOOKUP(PV_DATA[[#This Row],[New Ark SKU]],Table9[New Ark SKU],Table9[Total PCS per Pallet],,0)</f>
        <v>36</v>
      </c>
      <c r="BF812" s="430">
        <f>_xlfn.XLOOKUP(PV_DATA[[#This Row],[New Ark SKU]],Table9[New Ark SKU],Table9[Total PCS per 40HQ Container],,0)</f>
        <v>936</v>
      </c>
      <c r="BG812" s="430" t="str">
        <f>_xlfn.XLOOKUP(PV_DATA[[#This Row],[New Ark SKU]],Table9[New Ark SKU],Table9[Back Glass],,0)</f>
        <v>Black glazing</v>
      </c>
      <c r="BH812" s="430" t="str">
        <f>_xlfn.XLOOKUP(PV_DATA[[#This Row],[PORT DESTINATION]],Table12[PORT DESTINATION],Table12[Cosco Line],,0)</f>
        <v>AEU</v>
      </c>
      <c r="BJ812" s="430"/>
    </row>
    <row r="813" spans="1:62" ht="10.5" hidden="1">
      <c r="A813" s="462" t="s">
        <v>5807</v>
      </c>
      <c r="B813" s="462" t="s">
        <v>61</v>
      </c>
      <c r="C813" s="462" t="str">
        <f>IFERROR(LEFT(PV_DATA[[#This Row],[TCL REFERENCE]],FIND(".",PV_DATA[[#This Row],[TCL REFERENCE]],1)-1),"Main Line")</f>
        <v>26May007</v>
      </c>
      <c r="D813" s="462" t="s">
        <v>63</v>
      </c>
      <c r="E813" s="462" t="s">
        <v>64</v>
      </c>
      <c r="F813" s="462" t="str" cm="1">
        <f t="array" ref="F81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813" s="462" t="s">
        <v>402</v>
      </c>
      <c r="H813" s="462" t="s">
        <v>451</v>
      </c>
      <c r="I813" s="462" t="s">
        <v>689</v>
      </c>
      <c r="J813" s="430" t="s">
        <v>96</v>
      </c>
      <c r="K813" s="430"/>
      <c r="L813" s="430"/>
      <c r="M813" s="430" t="s">
        <v>68</v>
      </c>
      <c r="N813" s="432">
        <v>45809</v>
      </c>
      <c r="O813" s="430" t="s">
        <v>4540</v>
      </c>
      <c r="P813" s="430" t="s">
        <v>195</v>
      </c>
      <c r="Q813" s="430" t="s">
        <v>196</v>
      </c>
      <c r="R813" s="430" t="str">
        <f>_xlfn.XLOOKUP(PV_DATA[[#This Row],[New Ark SKU]],Table9[New Ark SKU],Table9[Connector],,0)</f>
        <v>EVO2A</v>
      </c>
      <c r="S813" s="433" t="str">
        <f>_xlfn.XLOOKUP(PV_DATA[[#This Row],[New Ark SKU]],Table9[New Ark SKU],Table9[Cable],,0)</f>
        <v>±1200mm</v>
      </c>
      <c r="T813" s="433">
        <v>450</v>
      </c>
      <c r="U813" s="1062">
        <v>936</v>
      </c>
      <c r="V813" s="434">
        <f>PV_DATA[[#This Row],[QUANTITY]]*PV_DATA[[#This Row],[WATT]]/1000000</f>
        <v>0.42120000000000002</v>
      </c>
      <c r="W813" s="435">
        <f>PV_DATA[[#This Row],[QUANTITY]]/PV_DATA[[#This Row],[Qty/Pallet]]</f>
        <v>26</v>
      </c>
      <c r="X813" s="1015">
        <f>PV_DATA[[#This Row],[QUANTITY]]/PV_DATA[[#This Row],[Qty/CT]]</f>
        <v>1</v>
      </c>
      <c r="Y813" s="430" t="s">
        <v>4370</v>
      </c>
      <c r="Z813" s="430" t="str">
        <f t="shared" si="9"/>
        <v>COMPLETED</v>
      </c>
      <c r="AA813" s="430" t="s">
        <v>5664</v>
      </c>
      <c r="AB813" s="437">
        <v>46231</v>
      </c>
      <c r="AC813" s="485">
        <f>IF(PV_DATA[[#This Row],[Pick-Up Date]]&lt;&gt;"",_xlfn.ISOWEEKNUM(PV_DATA[[#This Row],[Pick-Up Date]]),"")</f>
        <v>31</v>
      </c>
      <c r="AD813" s="430" t="s">
        <v>5808</v>
      </c>
      <c r="AE813" s="430"/>
      <c r="AF813" s="430" t="s">
        <v>61</v>
      </c>
      <c r="AG813" s="430" t="s">
        <v>61</v>
      </c>
      <c r="AH813" s="430" t="s">
        <v>456</v>
      </c>
      <c r="AI813" s="437">
        <v>46236</v>
      </c>
      <c r="AK813" s="437">
        <f>IFERROR(IF(VLOOKUP(AT813,Vessel!A:F,5,FALSE)=0,"",VLOOKUP(AT813,Vessel!A:F,5,FALSE)),"")</f>
        <v>46236.170567129629</v>
      </c>
      <c r="AL813" s="437">
        <v>46285</v>
      </c>
      <c r="AM813" s="588">
        <f>IFERROR(VLOOKUP(AT813, Vessel!A:H, 8, FALSE), "")</f>
        <v>46299.166666666664</v>
      </c>
      <c r="AN813" s="437">
        <v>46299</v>
      </c>
      <c r="AO813" s="430" t="s">
        <v>402</v>
      </c>
      <c r="AP813" s="430" t="s">
        <v>5809</v>
      </c>
      <c r="AQ813" s="430" t="s">
        <v>80</v>
      </c>
      <c r="AR813" s="430" t="s">
        <v>5810</v>
      </c>
      <c r="AS813" s="430" t="s">
        <v>5811</v>
      </c>
      <c r="AT813" s="430" t="s">
        <v>5811</v>
      </c>
      <c r="AU81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62.82943287037051</v>
      </c>
      <c r="AW813" s="437" cm="1">
        <f t="array" ref="AW81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46299</v>
      </c>
      <c r="AX813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13" s="437">
        <f>IF(ISERROR(PV_DATA[[#This Row],[New Ark PO status]]),"",_xlfn.XLOOKUP(PV_DATA[[#This Row],[SPTN-PVHK New Ark PO'#]],New_Ark_Data[Purchase order Number],New_Ark_Data[Estimated time of arrival],"",0))</f>
        <v>46308</v>
      </c>
      <c r="AZ813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13" s="437">
        <f>IFERROR(PV_DATA[[#This Row],[ODP ETA Port]]+PV_DATA[[#This Row],[Customs/Leg3 Assumption]],"n/a")</f>
        <v>46306</v>
      </c>
      <c r="BB813" s="433">
        <f>YEAR(PV_DATA[[#This Row],[ETA for New Ark update]])</f>
        <v>2026</v>
      </c>
      <c r="BC813" s="430">
        <f>MONTH(PV_DATA[[#This Row],[ETA for New Ark update]])</f>
        <v>10</v>
      </c>
      <c r="BD813" s="430">
        <f>IFERROR(_xlfn.ISOWEEKNUM(PV_DATA[[#This Row],[ETA for New Ark update]]),0)</f>
        <v>41</v>
      </c>
      <c r="BE813" s="430">
        <f>_xlfn.XLOOKUP(PV_DATA[[#This Row],[New Ark SKU]],Table9[New Ark SKU],Table9[Total PCS per Pallet],,0)</f>
        <v>36</v>
      </c>
      <c r="BF813" s="430">
        <f>_xlfn.XLOOKUP(PV_DATA[[#This Row],[New Ark SKU]],Table9[New Ark SKU],Table9[Total PCS per 40HQ Container],,0)</f>
        <v>936</v>
      </c>
      <c r="BG813" s="430" t="str">
        <f>_xlfn.XLOOKUP(PV_DATA[[#This Row],[New Ark SKU]],Table9[New Ark SKU],Table9[Back Glass],,0)</f>
        <v>Black glazing</v>
      </c>
      <c r="BH813" s="610" t="str">
        <f>_xlfn.XLOOKUP(PV_DATA[[#This Row],[PORT DESTINATION]],Table12[PORT DESTINATION],Table12[Cosco Line],,0)</f>
        <v>AEU</v>
      </c>
      <c r="BJ813" s="430"/>
    </row>
    <row r="814" spans="1:62" ht="10.5" hidden="1">
      <c r="A814" s="462" t="s">
        <v>5812</v>
      </c>
      <c r="B814" s="462" t="s">
        <v>61</v>
      </c>
      <c r="C814" s="462" t="str">
        <f>IFERROR(LEFT(PV_DATA[[#This Row],[TCL REFERENCE]],FIND(".",PV_DATA[[#This Row],[TCL REFERENCE]],1)-1),"Main Line")</f>
        <v>26May010</v>
      </c>
      <c r="D814" s="462" t="s">
        <v>63</v>
      </c>
      <c r="E814" s="462" t="s">
        <v>64</v>
      </c>
      <c r="F814" s="462" t="str" cm="1">
        <f t="array" ref="F81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814" s="462" t="s">
        <v>402</v>
      </c>
      <c r="H814" s="462" t="s">
        <v>451</v>
      </c>
      <c r="I814" s="462" t="s">
        <v>689</v>
      </c>
      <c r="J814" s="430" t="s">
        <v>96</v>
      </c>
      <c r="K814" s="430"/>
      <c r="L814" s="430"/>
      <c r="M814" s="430" t="s">
        <v>68</v>
      </c>
      <c r="N814" s="432">
        <v>45809</v>
      </c>
      <c r="O814" s="430" t="s">
        <v>4540</v>
      </c>
      <c r="P814" s="430" t="s">
        <v>1151</v>
      </c>
      <c r="Q814" s="430" t="s">
        <v>421</v>
      </c>
      <c r="R814" s="430" t="str">
        <f>_xlfn.XLOOKUP(PV_DATA[[#This Row],[New Ark SKU]],Table9[New Ark SKU],Table9[Connector],,0)</f>
        <v>EVO2A</v>
      </c>
      <c r="S814" s="433" t="str">
        <f>_xlfn.XLOOKUP(PV_DATA[[#This Row],[New Ark SKU]],Table9[New Ark SKU],Table9[Cable],,0)</f>
        <v>±1200mm</v>
      </c>
      <c r="T814" s="433">
        <v>505</v>
      </c>
      <c r="U814" s="1062">
        <f>864*1</f>
        <v>864</v>
      </c>
      <c r="V814" s="434">
        <f>PV_DATA[[#This Row],[QUANTITY]]*PV_DATA[[#This Row],[WATT]]/1000000</f>
        <v>0.43631999999999999</v>
      </c>
      <c r="W814" s="435">
        <f>PV_DATA[[#This Row],[QUANTITY]]/PV_DATA[[#This Row],[Qty/Pallet]]</f>
        <v>24</v>
      </c>
      <c r="X814" s="1015">
        <f>PV_DATA[[#This Row],[QUANTITY]]/PV_DATA[[#This Row],[Qty/CT]]</f>
        <v>1</v>
      </c>
      <c r="Y814" s="430" t="s">
        <v>4373</v>
      </c>
      <c r="Z814" s="430" t="str">
        <f t="shared" si="9"/>
        <v>COMPLETED</v>
      </c>
      <c r="AA814" s="430"/>
      <c r="AB814" s="437">
        <v>46231</v>
      </c>
      <c r="AC814" s="485">
        <f>IF(PV_DATA[[#This Row],[Pick-Up Date]]&lt;&gt;"",_xlfn.ISOWEEKNUM(PV_DATA[[#This Row],[Pick-Up Date]]),"")</f>
        <v>31</v>
      </c>
      <c r="AD814" s="430" t="s">
        <v>5813</v>
      </c>
      <c r="AE814" s="430"/>
      <c r="AF814" s="430" t="s">
        <v>61</v>
      </c>
      <c r="AG814" s="430" t="s">
        <v>61</v>
      </c>
      <c r="AH814" s="430" t="s">
        <v>456</v>
      </c>
      <c r="AI814" s="437">
        <v>46237</v>
      </c>
      <c r="AJ814" s="437">
        <f>IFERROR(VLOOKUP(AT814, Vessel!A:D, 4, FALSE), "")</f>
        <v>46236.145833333336</v>
      </c>
      <c r="AK814" s="437">
        <f>IFERROR(IF(VLOOKUP(AT814,Vessel!A:F,5,FALSE)=0,"",VLOOKUP(AT814,Vessel!A:F,5,FALSE)),"")</f>
        <v>46236.170567129629</v>
      </c>
      <c r="AL814" s="437">
        <v>46292</v>
      </c>
      <c r="AM814" s="588">
        <f>IFERROR(VLOOKUP(AT814, Vessel!A:H, 8, FALSE), "")</f>
        <v>46299.166666666664</v>
      </c>
      <c r="AN814" s="437">
        <v>46299</v>
      </c>
      <c r="AO814" s="430" t="s">
        <v>402</v>
      </c>
      <c r="AP814" s="430" t="s">
        <v>5809</v>
      </c>
      <c r="AQ814" s="430" t="s">
        <v>80</v>
      </c>
      <c r="AR814" s="430" t="s">
        <v>5814</v>
      </c>
      <c r="AS814" s="430" t="s">
        <v>5815</v>
      </c>
      <c r="AT814" s="430" t="s">
        <v>5815</v>
      </c>
      <c r="AU81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62.82943287037051</v>
      </c>
      <c r="AV814" s="437"/>
      <c r="AW814" s="437" cm="1">
        <f t="array" ref="AW81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46299</v>
      </c>
      <c r="AX814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14" s="437">
        <f>IF(ISERROR(PV_DATA[[#This Row],[New Ark PO status]]),"",_xlfn.XLOOKUP(PV_DATA[[#This Row],[SPTN-PVHK New Ark PO'#]],New_Ark_Data[Purchase order Number],New_Ark_Data[Estimated time of arrival],"",0))</f>
        <v>46308</v>
      </c>
      <c r="AZ814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14" s="437">
        <f>IFERROR(PV_DATA[[#This Row],[ODP ETA Port]]+PV_DATA[[#This Row],[Customs/Leg3 Assumption]],"n/a")</f>
        <v>46306</v>
      </c>
      <c r="BB814" s="433">
        <f>YEAR(PV_DATA[[#This Row],[ETA for New Ark update]])</f>
        <v>2026</v>
      </c>
      <c r="BC814" s="430">
        <f>MONTH(PV_DATA[[#This Row],[ETA for New Ark update]])</f>
        <v>10</v>
      </c>
      <c r="BD814" s="430">
        <f>IFERROR(_xlfn.ISOWEEKNUM(PV_DATA[[#This Row],[ETA for New Ark update]]),0)</f>
        <v>41</v>
      </c>
      <c r="BE814" s="430">
        <f>_xlfn.XLOOKUP(PV_DATA[[#This Row],[New Ark SKU]],Table9[New Ark SKU],Table9[Total PCS per Pallet],,0)</f>
        <v>36</v>
      </c>
      <c r="BF814" s="430">
        <f>_xlfn.XLOOKUP(PV_DATA[[#This Row],[New Ark SKU]],Table9[New Ark SKU],Table9[Total PCS per 40HQ Container],,0)</f>
        <v>864</v>
      </c>
      <c r="BG814" s="430" t="str">
        <f>_xlfn.XLOOKUP(PV_DATA[[#This Row],[New Ark SKU]],Table9[New Ark SKU],Table9[Back Glass],,0)</f>
        <v>Black glazing</v>
      </c>
      <c r="BH814" s="430" t="str">
        <f>_xlfn.XLOOKUP(PV_DATA[[#This Row],[PORT DESTINATION]],Table12[PORT DESTINATION],Table12[Cosco Line],,0)</f>
        <v>AEU</v>
      </c>
      <c r="BJ814" s="430"/>
    </row>
    <row r="815" spans="1:62" ht="10.5" hidden="1">
      <c r="A815" s="462" t="s">
        <v>5816</v>
      </c>
      <c r="B815" s="462" t="s">
        <v>61</v>
      </c>
      <c r="C815" s="462" t="str">
        <f>IFERROR(LEFT(PV_DATA[[#This Row],[TCL REFERENCE]],FIND(".",PV_DATA[[#This Row],[TCL REFERENCE]],1)-1),"Main Line")</f>
        <v>26Jun009</v>
      </c>
      <c r="D815" s="462" t="s">
        <v>63</v>
      </c>
      <c r="E815" s="462" t="s">
        <v>64</v>
      </c>
      <c r="F815" s="462" t="str" cm="1">
        <f t="array" ref="F81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15" s="462" t="s">
        <v>402</v>
      </c>
      <c r="H815" s="462" t="s">
        <v>67</v>
      </c>
      <c r="I815" s="462" t="s">
        <v>689</v>
      </c>
      <c r="J815" s="430" t="s">
        <v>96</v>
      </c>
      <c r="K815" s="430"/>
      <c r="L815" s="430"/>
      <c r="M815" s="430" t="s">
        <v>68</v>
      </c>
      <c r="N815" s="432">
        <v>46188</v>
      </c>
      <c r="O815" s="430" t="s">
        <v>4540</v>
      </c>
      <c r="P815" s="430" t="s">
        <v>195</v>
      </c>
      <c r="Q815" s="430" t="s">
        <v>196</v>
      </c>
      <c r="R815" s="430" t="str">
        <f>_xlfn.XLOOKUP(PV_DATA[[#This Row],[New Ark SKU]],Table9[New Ark SKU],Table9[Connector],,0)</f>
        <v>EVO2A</v>
      </c>
      <c r="S815" s="433" t="str">
        <f>_xlfn.XLOOKUP(PV_DATA[[#This Row],[New Ark SKU]],Table9[New Ark SKU],Table9[Cable],,0)</f>
        <v>±1200mm</v>
      </c>
      <c r="T815" s="433">
        <v>450</v>
      </c>
      <c r="U815" s="1062">
        <v>5616</v>
      </c>
      <c r="V815" s="434">
        <f>PV_DATA[[#This Row],[QUANTITY]]*PV_DATA[[#This Row],[WATT]]/1000000</f>
        <v>2.5272000000000001</v>
      </c>
      <c r="W815" s="435">
        <f>PV_DATA[[#This Row],[QUANTITY]]/PV_DATA[[#This Row],[Qty/Pallet]]</f>
        <v>156</v>
      </c>
      <c r="X815" s="1015">
        <f>PV_DATA[[#This Row],[QUANTITY]]/PV_DATA[[#This Row],[Qty/CT]]</f>
        <v>6</v>
      </c>
      <c r="Y815" s="430" t="s">
        <v>4370</v>
      </c>
      <c r="Z815" s="430" t="str">
        <f t="shared" si="9"/>
        <v>COMPLETED</v>
      </c>
      <c r="AA815" s="430"/>
      <c r="AB815" s="437">
        <v>46228</v>
      </c>
      <c r="AC815" s="485">
        <f>IF(PV_DATA[[#This Row],[Pick-Up Date]]&lt;&gt;"",_xlfn.ISOWEEKNUM(PV_DATA[[#This Row],[Pick-Up Date]]),"")</f>
        <v>30</v>
      </c>
      <c r="AD815" s="430" t="s">
        <v>5817</v>
      </c>
      <c r="AE815" s="430"/>
      <c r="AF815" s="430" t="s">
        <v>61</v>
      </c>
      <c r="AG815" s="430" t="s">
        <v>61</v>
      </c>
      <c r="AH815" s="430" t="s">
        <v>105</v>
      </c>
      <c r="AI815" s="437">
        <v>46242</v>
      </c>
      <c r="AJ815" s="437">
        <v>46242</v>
      </c>
      <c r="AK815" s="437">
        <v>46242</v>
      </c>
      <c r="AL815" s="437">
        <v>46284</v>
      </c>
      <c r="AM815" s="437">
        <v>46308</v>
      </c>
      <c r="AN815" s="437">
        <v>46308</v>
      </c>
      <c r="AO815" s="430" t="s">
        <v>402</v>
      </c>
      <c r="AP815" s="430" t="s">
        <v>5818</v>
      </c>
      <c r="AQ815" s="430" t="s">
        <v>161</v>
      </c>
      <c r="AR815" s="430" t="s">
        <v>5819</v>
      </c>
      <c r="AS815" s="430"/>
      <c r="AT815" s="430" t="s">
        <v>5820</v>
      </c>
      <c r="AU81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66</v>
      </c>
      <c r="AV815" s="437"/>
      <c r="AW815" s="437" cm="1">
        <f t="array" ref="AW81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</v>
      </c>
      <c r="AX815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15" s="437">
        <f>IF(ISERROR(PV_DATA[[#This Row],[New Ark PO status]]),"",_xlfn.XLOOKUP(PV_DATA[[#This Row],[SPTN-PVHK New Ark PO'#]],New_Ark_Data[Purchase order Number],New_Ark_Data[Estimated time of arrival],"",0))</f>
        <v>46293</v>
      </c>
      <c r="AZ815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15" s="437">
        <f>IFERROR(PV_DATA[[#This Row],[ODP ETA Port]]+PV_DATA[[#This Row],[Customs/Leg3 Assumption]],"n/a")</f>
        <v>46315</v>
      </c>
      <c r="BB815" s="433">
        <f>YEAR(PV_DATA[[#This Row],[ETA for New Ark update]])</f>
        <v>2026</v>
      </c>
      <c r="BC815" s="430">
        <f>MONTH(PV_DATA[[#This Row],[ETA for New Ark update]])</f>
        <v>10</v>
      </c>
      <c r="BD815" s="430">
        <f>IFERROR(_xlfn.ISOWEEKNUM(PV_DATA[[#This Row],[ETA for New Ark update]]),0)</f>
        <v>43</v>
      </c>
      <c r="BE815" s="430">
        <f>_xlfn.XLOOKUP(PV_DATA[[#This Row],[New Ark SKU]],Table9[New Ark SKU],Table9[Total PCS per Pallet],,0)</f>
        <v>36</v>
      </c>
      <c r="BF815" s="430">
        <f>_xlfn.XLOOKUP(PV_DATA[[#This Row],[New Ark SKU]],Table9[New Ark SKU],Table9[Total PCS per 40HQ Container],,0)</f>
        <v>936</v>
      </c>
      <c r="BG815" s="430" t="str">
        <f>_xlfn.XLOOKUP(PV_DATA[[#This Row],[New Ark SKU]],Table9[New Ark SKU],Table9[Back Glass],,0)</f>
        <v>Black glazing</v>
      </c>
      <c r="BH815" s="430" t="str">
        <f>_xlfn.XLOOKUP(PV_DATA[[#This Row],[PORT DESTINATION]],Table12[PORT DESTINATION],Table12[Cosco Line],,0)</f>
        <v>AEU</v>
      </c>
      <c r="BJ815" s="430"/>
    </row>
    <row r="816" spans="1:62" ht="10.5" hidden="1">
      <c r="A816" s="462" t="s">
        <v>5821</v>
      </c>
      <c r="B816" s="462" t="s">
        <v>61</v>
      </c>
      <c r="C816" s="462" t="str">
        <f>IFERROR(LEFT(PV_DATA[[#This Row],[TCL REFERENCE]],FIND(".",PV_DATA[[#This Row],[TCL REFERENCE]],1)-1),"Main Line")</f>
        <v>26Jul011</v>
      </c>
      <c r="D816" s="462" t="s">
        <v>63</v>
      </c>
      <c r="E816" s="462" t="s">
        <v>64</v>
      </c>
      <c r="F816" s="462" t="str" cm="1">
        <f t="array" ref="F81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16" s="462" t="s">
        <v>402</v>
      </c>
      <c r="H816" s="462" t="s">
        <v>67</v>
      </c>
      <c r="I816" s="462" t="s">
        <v>882</v>
      </c>
      <c r="J816" s="430" t="s">
        <v>96</v>
      </c>
      <c r="K816" s="430"/>
      <c r="L816" s="430"/>
      <c r="M816" s="430" t="s">
        <v>68</v>
      </c>
      <c r="N816" s="432">
        <v>46209</v>
      </c>
      <c r="O816" s="430" t="s">
        <v>284</v>
      </c>
      <c r="P816" s="430" t="s">
        <v>5592</v>
      </c>
      <c r="Q816" s="430" t="s">
        <v>1570</v>
      </c>
      <c r="R816" s="430" t="str">
        <f>_xlfn.XLOOKUP(PV_DATA[[#This Row],[New Ark SKU]],Table9[New Ark SKU],Table9[Connector],,0)</f>
        <v>H4(Com)</v>
      </c>
      <c r="S816" s="433" t="str">
        <f>_xlfn.XLOOKUP(PV_DATA[[#This Row],[New Ark SKU]],Table9[New Ark SKU],Table9[Cable],,0)</f>
        <v>±1400mm</v>
      </c>
      <c r="T816" s="433">
        <v>650</v>
      </c>
      <c r="U816" s="1062">
        <f>720*5</f>
        <v>3600</v>
      </c>
      <c r="V816" s="434">
        <f>PV_DATA[[#This Row],[QUANTITY]]*PV_DATA[[#This Row],[WATT]]/1000000</f>
        <v>2.34</v>
      </c>
      <c r="W816" s="435">
        <f>PV_DATA[[#This Row],[QUANTITY]]/PV_DATA[[#This Row],[Qty/Pallet]]</f>
        <v>100</v>
      </c>
      <c r="X816" s="1015">
        <f>PV_DATA[[#This Row],[QUANTITY]]/PV_DATA[[#This Row],[Qty/CT]]</f>
        <v>5</v>
      </c>
      <c r="Y816" s="430" t="s">
        <v>4373</v>
      </c>
      <c r="Z816" s="430" t="str">
        <f t="shared" si="9"/>
        <v>COMPLETED</v>
      </c>
      <c r="AA816" s="430"/>
      <c r="AB816" s="437">
        <v>46228</v>
      </c>
      <c r="AC816" s="485">
        <f>IF(PV_DATA[[#This Row],[Pick-Up Date]]&lt;&gt;"",_xlfn.ISOWEEKNUM(PV_DATA[[#This Row],[Pick-Up Date]]),"")</f>
        <v>30</v>
      </c>
      <c r="AD816" s="430" t="s">
        <v>5822</v>
      </c>
      <c r="AE816" s="430"/>
      <c r="AF816" s="430" t="s">
        <v>77</v>
      </c>
      <c r="AG816" s="430" t="s">
        <v>61</v>
      </c>
      <c r="AH816" s="430" t="s">
        <v>105</v>
      </c>
      <c r="AI816" s="437">
        <v>46242</v>
      </c>
      <c r="AJ816" s="437">
        <v>46242</v>
      </c>
      <c r="AK816" s="437">
        <v>46242</v>
      </c>
      <c r="AL816" s="437">
        <v>46284</v>
      </c>
      <c r="AM816" s="437">
        <v>46308</v>
      </c>
      <c r="AN816" s="437">
        <v>46308</v>
      </c>
      <c r="AO816" s="430" t="s">
        <v>402</v>
      </c>
      <c r="AP816" s="430" t="s">
        <v>5818</v>
      </c>
      <c r="AQ816" s="430" t="s">
        <v>161</v>
      </c>
      <c r="AR816" s="430" t="s">
        <v>5819</v>
      </c>
      <c r="AS816" s="430"/>
      <c r="AT816" s="430" t="s">
        <v>5820</v>
      </c>
      <c r="AU81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66</v>
      </c>
      <c r="AW816" s="437" cm="1">
        <f t="array" ref="AW81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</v>
      </c>
      <c r="AX81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16" s="437">
        <f>IF(ISERROR(PV_DATA[[#This Row],[New Ark PO status]]),"",_xlfn.XLOOKUP(PV_DATA[[#This Row],[SPTN-PVHK New Ark PO'#]],New_Ark_Data[Purchase order Number],New_Ark_Data[Estimated time of arrival],"",0))</f>
        <v>46293</v>
      </c>
      <c r="AZ816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16" s="437">
        <f>IFERROR(PV_DATA[[#This Row],[ODP ETA Port]]+PV_DATA[[#This Row],[Customs/Leg3 Assumption]],"n/a")</f>
        <v>46315</v>
      </c>
      <c r="BB816" s="433">
        <f>YEAR(PV_DATA[[#This Row],[ETA for New Ark update]])</f>
        <v>2026</v>
      </c>
      <c r="BC816" s="430">
        <f>MONTH(PV_DATA[[#This Row],[ETA for New Ark update]])</f>
        <v>10</v>
      </c>
      <c r="BD816" s="430">
        <f>IFERROR(_xlfn.ISOWEEKNUM(PV_DATA[[#This Row],[ETA for New Ark update]]),0)</f>
        <v>43</v>
      </c>
      <c r="BE816" s="430">
        <f>_xlfn.XLOOKUP(PV_DATA[[#This Row],[New Ark SKU]],Table9[New Ark SKU],Table9[Total PCS per Pallet],,0)</f>
        <v>36</v>
      </c>
      <c r="BF816" s="430">
        <f>_xlfn.XLOOKUP(PV_DATA[[#This Row],[New Ark SKU]],Table9[New Ark SKU],Table9[Total PCS per 40HQ Container],,0)</f>
        <v>720</v>
      </c>
      <c r="BG816" s="430" t="str">
        <f>_xlfn.XLOOKUP(PV_DATA[[#This Row],[New Ark SKU]],Table9[New Ark SKU],Table9[Back Glass],,0)</f>
        <v>White glazing</v>
      </c>
      <c r="BH816" s="430" t="str">
        <f>_xlfn.XLOOKUP(PV_DATA[[#This Row],[PORT DESTINATION]],Table12[PORT DESTINATION],Table12[Cosco Line],,0)</f>
        <v>AEU</v>
      </c>
      <c r="BJ816" s="430"/>
    </row>
    <row r="817" spans="1:62" s="858" customFormat="1" ht="10.5" hidden="1">
      <c r="A817" s="462" t="s">
        <v>5823</v>
      </c>
      <c r="B817" s="857" t="s">
        <v>61</v>
      </c>
      <c r="C817" s="857" t="str">
        <f>IFERROR(LEFT(PV_DATA[[#This Row],[TCL REFERENCE]],FIND(".",PV_DATA[[#This Row],[TCL REFERENCE]],1)-1),"Main Line")</f>
        <v>26May007</v>
      </c>
      <c r="D817" s="857" t="s">
        <v>63</v>
      </c>
      <c r="E817" s="462" t="s">
        <v>64</v>
      </c>
      <c r="F817" s="462" t="str" cm="1">
        <f t="array" ref="F81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17" s="462" t="s">
        <v>402</v>
      </c>
      <c r="H817" s="462" t="s">
        <v>67</v>
      </c>
      <c r="I817" s="462" t="s">
        <v>689</v>
      </c>
      <c r="J817" s="430"/>
      <c r="K817" s="614"/>
      <c r="L817" s="430"/>
      <c r="M817" s="430" t="s">
        <v>68</v>
      </c>
      <c r="N817" s="432">
        <v>46111</v>
      </c>
      <c r="O817" s="430" t="s">
        <v>70</v>
      </c>
      <c r="P817" s="858" t="s">
        <v>195</v>
      </c>
      <c r="Q817" s="858" t="s">
        <v>196</v>
      </c>
      <c r="R817" s="430" t="str">
        <f>_xlfn.XLOOKUP(PV_DATA[[#This Row],[New Ark SKU]],Table9[New Ark SKU],Table9[Connector],,0)</f>
        <v>EVO2A</v>
      </c>
      <c r="S817" s="433" t="str">
        <f>_xlfn.XLOOKUP(PV_DATA[[#This Row],[New Ark SKU]],Table9[New Ark SKU],Table9[Cable],,0)</f>
        <v>±1200mm</v>
      </c>
      <c r="T817" s="859">
        <v>450</v>
      </c>
      <c r="U817" s="1071">
        <v>1872</v>
      </c>
      <c r="V817" s="860">
        <f>PV_DATA[[#This Row],[QUANTITY]]*PV_DATA[[#This Row],[WATT]]/1000000</f>
        <v>0.84240000000000004</v>
      </c>
      <c r="W817" s="861">
        <f>PV_DATA[[#This Row],[QUANTITY]]/PV_DATA[[#This Row],[Qty/Pallet]]</f>
        <v>52</v>
      </c>
      <c r="X817" s="1016">
        <f>PV_DATA[[#This Row],[QUANTITY]]/PV_DATA[[#This Row],[Qty/CT]]</f>
        <v>2</v>
      </c>
      <c r="Y817" s="858" t="s">
        <v>4371</v>
      </c>
      <c r="Z817" s="430" t="str">
        <f t="shared" si="9"/>
        <v>COMPLETED</v>
      </c>
      <c r="AA817" s="858" t="s">
        <v>5059</v>
      </c>
      <c r="AB817" s="862">
        <v>46229</v>
      </c>
      <c r="AC817" s="863">
        <f>IF(PV_DATA[[#This Row],[Pick-Up Date]]&lt;&gt;"",_xlfn.ISOWEEKNUM(PV_DATA[[#This Row],[Pick-Up Date]]),"")</f>
        <v>30</v>
      </c>
      <c r="AD817" s="858" t="s">
        <v>5824</v>
      </c>
      <c r="AF817" s="858" t="s">
        <v>77</v>
      </c>
      <c r="AG817" s="858" t="s">
        <v>61</v>
      </c>
      <c r="AH817" s="858" t="s">
        <v>105</v>
      </c>
      <c r="AI817" s="862">
        <v>46235</v>
      </c>
      <c r="AJ817" s="862">
        <v>46236</v>
      </c>
      <c r="AK817" s="437">
        <f>IFERROR(IF(VLOOKUP(AT817,Vessel!A:F,5,FALSE)=0,"",VLOOKUP(AT817,Vessel!A:F,5,FALSE)),"")</f>
        <v>46236.170567129629</v>
      </c>
      <c r="AL817" s="862">
        <v>46281</v>
      </c>
      <c r="AM817" s="864">
        <f>IFERROR(VLOOKUP(AT817, Vessel!A:H, 8, FALSE), "")</f>
        <v>46284.875</v>
      </c>
      <c r="AN817" s="437">
        <f>IFERROR(IF(VLOOKUP(AT817,Vessel!A:I,9,FALSE)=0,"",VLOOKUP(AT817,Vessel!A:I,9,FALSE)),"")</f>
        <v>46285.134953703702</v>
      </c>
      <c r="AO817" s="858" t="s">
        <v>402</v>
      </c>
      <c r="AP817" s="858" t="s">
        <v>5809</v>
      </c>
      <c r="AQ817" s="863" t="s">
        <v>80</v>
      </c>
      <c r="AR817" s="858" t="s">
        <v>5825</v>
      </c>
      <c r="AS817" s="858" t="s">
        <v>5826</v>
      </c>
      <c r="AT817" s="858" t="s">
        <v>5826</v>
      </c>
      <c r="AU81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48.964386574072705</v>
      </c>
      <c r="AW817" s="862" cm="1">
        <f t="array" ref="AW81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46285.134953703702</v>
      </c>
      <c r="AX817" s="85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17" s="862">
        <f>IF(ISERROR(PV_DATA[[#This Row],[New Ark PO status]]),"",_xlfn.XLOOKUP(PV_DATA[[#This Row],[SPTN-PVHK New Ark PO'#]],New_Ark_Data[Purchase order Number],New_Ark_Data[Estimated time of arrival],"",0))</f>
        <v>46300</v>
      </c>
      <c r="AZ817" s="859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17" s="862">
        <f>IFERROR(PV_DATA[[#This Row],[ODP ETA Port]]+PV_DATA[[#This Row],[Customs/Leg3 Assumption]],"n/a")</f>
        <v>46292.134953703702</v>
      </c>
      <c r="BB817" s="859">
        <f>YEAR(PV_DATA[[#This Row],[ETA for New Ark update]])</f>
        <v>2026</v>
      </c>
      <c r="BC817" s="858">
        <f>MONTH(PV_DATA[[#This Row],[ETA for New Ark update]])</f>
        <v>9</v>
      </c>
      <c r="BD817" s="858">
        <f>IFERROR(_xlfn.ISOWEEKNUM(PV_DATA[[#This Row],[ETA for New Ark update]]),0)</f>
        <v>39</v>
      </c>
      <c r="BE817" s="858">
        <f>_xlfn.XLOOKUP(PV_DATA[[#This Row],[New Ark SKU]],Table9[New Ark SKU],Table9[Total PCS per Pallet],,0)</f>
        <v>36</v>
      </c>
      <c r="BF817" s="858">
        <f>_xlfn.XLOOKUP(PV_DATA[[#This Row],[New Ark SKU]],Table9[New Ark SKU],Table9[Total PCS per 40HQ Container],,0)</f>
        <v>936</v>
      </c>
      <c r="BG817" s="858" t="str">
        <f>_xlfn.XLOOKUP(PV_DATA[[#This Row],[New Ark SKU]],Table9[New Ark SKU],Table9[Back Glass],,0)</f>
        <v>Black glazing</v>
      </c>
      <c r="BH817" s="858" t="str">
        <f>_xlfn.XLOOKUP(PV_DATA[[#This Row],[PORT DESTINATION]],Table12[PORT DESTINATION],Table12[Cosco Line],,0)</f>
        <v>AEU</v>
      </c>
    </row>
    <row r="818" spans="1:62" ht="10.5" hidden="1">
      <c r="A818" s="462" t="s">
        <v>5827</v>
      </c>
      <c r="B818" s="462" t="s">
        <v>61</v>
      </c>
      <c r="C818" s="462" t="str">
        <f>IFERROR(LEFT(PV_DATA[[#This Row],[TCL REFERENCE]],FIND(".",PV_DATA[[#This Row],[TCL REFERENCE]],1)-1),"Main Line")</f>
        <v>26Jul011</v>
      </c>
      <c r="D818" s="462" t="s">
        <v>63</v>
      </c>
      <c r="E818" s="462" t="s">
        <v>64</v>
      </c>
      <c r="F818" s="462" t="str" cm="1">
        <f t="array" ref="F81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18" s="462" t="s">
        <v>402</v>
      </c>
      <c r="H818" s="462" t="s">
        <v>67</v>
      </c>
      <c r="I818" s="462" t="s">
        <v>822</v>
      </c>
      <c r="J818" s="430" t="s">
        <v>96</v>
      </c>
      <c r="K818" s="430"/>
      <c r="L818" s="430"/>
      <c r="M818" s="430" t="s">
        <v>68</v>
      </c>
      <c r="N818" s="432">
        <v>46209</v>
      </c>
      <c r="O818" s="430" t="s">
        <v>284</v>
      </c>
      <c r="P818" s="430" t="s">
        <v>5592</v>
      </c>
      <c r="Q818" s="430" t="s">
        <v>1570</v>
      </c>
      <c r="R818" s="430" t="str">
        <f>_xlfn.XLOOKUP(PV_DATA[[#This Row],[New Ark SKU]],Table9[New Ark SKU],Table9[Connector],,0)</f>
        <v>H4(Com)</v>
      </c>
      <c r="S818" s="433" t="str">
        <f>_xlfn.XLOOKUP(PV_DATA[[#This Row],[New Ark SKU]],Table9[New Ark SKU],Table9[Cable],,0)</f>
        <v>±1400mm</v>
      </c>
      <c r="T818" s="433">
        <v>650</v>
      </c>
      <c r="U818" s="1062">
        <f>720*6</f>
        <v>4320</v>
      </c>
      <c r="V818" s="434">
        <f>PV_DATA[[#This Row],[QUANTITY]]*PV_DATA[[#This Row],[WATT]]/1000000</f>
        <v>2.8079999999999998</v>
      </c>
      <c r="W818" s="435">
        <f>PV_DATA[[#This Row],[QUANTITY]]/PV_DATA[[#This Row],[Qty/Pallet]]</f>
        <v>120</v>
      </c>
      <c r="X818" s="1015">
        <f>PV_DATA[[#This Row],[QUANTITY]]/PV_DATA[[#This Row],[Qty/CT]]</f>
        <v>6</v>
      </c>
      <c r="Y818" s="430" t="s">
        <v>4372</v>
      </c>
      <c r="Z818" s="430" t="str">
        <f t="shared" si="9"/>
        <v>COMPLETED</v>
      </c>
      <c r="AA818" s="430"/>
      <c r="AB818" s="437">
        <v>46229</v>
      </c>
      <c r="AC818" s="485">
        <f>IF(PV_DATA[[#This Row],[Pick-Up Date]]&lt;&gt;"",_xlfn.ISOWEEKNUM(PV_DATA[[#This Row],[Pick-Up Date]]),"")</f>
        <v>30</v>
      </c>
      <c r="AD818" s="430" t="s">
        <v>5828</v>
      </c>
      <c r="AE818" s="430"/>
      <c r="AF818" s="430" t="s">
        <v>77</v>
      </c>
      <c r="AG818" s="430" t="s">
        <v>61</v>
      </c>
      <c r="AH818" s="430" t="s">
        <v>105</v>
      </c>
      <c r="AI818" s="437">
        <v>46235</v>
      </c>
      <c r="AJ818" s="437">
        <v>46236</v>
      </c>
      <c r="AK818" s="437">
        <f>IFERROR(IF(VLOOKUP(AT818,Vessel!A:F,5,FALSE)=0,"",VLOOKUP(AT818,Vessel!A:F,5,FALSE)),"")</f>
        <v>46236.170567129629</v>
      </c>
      <c r="AL818" s="437">
        <v>46281</v>
      </c>
      <c r="AM818" s="588">
        <f>IFERROR(VLOOKUP(AT818, Vessel!A:H, 8, FALSE), "")</f>
        <v>46284.875</v>
      </c>
      <c r="AN818" s="437">
        <f>IFERROR(IF(VLOOKUP(AT818,Vessel!A:I,9,FALSE)=0,"",VLOOKUP(AT818,Vessel!A:I,9,FALSE)),"")</f>
        <v>46285.134953703702</v>
      </c>
      <c r="AO818" s="430" t="s">
        <v>402</v>
      </c>
      <c r="AP818" s="430" t="s">
        <v>5809</v>
      </c>
      <c r="AQ818" s="438" t="s">
        <v>80</v>
      </c>
      <c r="AR818" s="430" t="s">
        <v>5825</v>
      </c>
      <c r="AS818" s="430" t="s">
        <v>5826</v>
      </c>
      <c r="AT818" s="430" t="s">
        <v>5826</v>
      </c>
      <c r="AU81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48.964386574072705</v>
      </c>
      <c r="AW818" s="437" cm="1">
        <f t="array" ref="AW81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46285.134953703702</v>
      </c>
      <c r="AX81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18" s="437">
        <f>IF(ISERROR(PV_DATA[[#This Row],[New Ark PO status]]),"",_xlfn.XLOOKUP(PV_DATA[[#This Row],[SPTN-PVHK New Ark PO'#]],New_Ark_Data[Purchase order Number],New_Ark_Data[Estimated time of arrival],"",0))</f>
        <v>46300</v>
      </c>
      <c r="AZ818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18" s="437">
        <f>IFERROR(PV_DATA[[#This Row],[ODP ETA Port]]+PV_DATA[[#This Row],[Customs/Leg3 Assumption]],"n/a")</f>
        <v>46292.134953703702</v>
      </c>
      <c r="BB818" s="433">
        <f>YEAR(PV_DATA[[#This Row],[ETA for New Ark update]])</f>
        <v>2026</v>
      </c>
      <c r="BC818" s="430">
        <f>MONTH(PV_DATA[[#This Row],[ETA for New Ark update]])</f>
        <v>9</v>
      </c>
      <c r="BD818" s="430">
        <f>IFERROR(_xlfn.ISOWEEKNUM(PV_DATA[[#This Row],[ETA for New Ark update]]),0)</f>
        <v>39</v>
      </c>
      <c r="BE818" s="430">
        <f>_xlfn.XLOOKUP(PV_DATA[[#This Row],[New Ark SKU]],Table9[New Ark SKU],Table9[Total PCS per Pallet],,0)</f>
        <v>36</v>
      </c>
      <c r="BF818" s="430">
        <f>_xlfn.XLOOKUP(PV_DATA[[#This Row],[New Ark SKU]],Table9[New Ark SKU],Table9[Total PCS per 40HQ Container],,0)</f>
        <v>720</v>
      </c>
      <c r="BG818" s="430" t="str">
        <f>_xlfn.XLOOKUP(PV_DATA[[#This Row],[New Ark SKU]],Table9[New Ark SKU],Table9[Back Glass],,0)</f>
        <v>White glazing</v>
      </c>
      <c r="BH818" s="430" t="str">
        <f>_xlfn.XLOOKUP(PV_DATA[[#This Row],[PORT DESTINATION]],Table12[PORT DESTINATION],Table12[Cosco Line],,0)</f>
        <v>AEU</v>
      </c>
      <c r="BJ818" s="430"/>
    </row>
    <row r="819" spans="1:62" ht="12" hidden="1" customHeight="1">
      <c r="A819" s="462" t="s">
        <v>5829</v>
      </c>
      <c r="B819" s="462" t="s">
        <v>61</v>
      </c>
      <c r="C819" s="462" t="str">
        <f>IFERROR(LEFT(PV_DATA[[#This Row],[TCL REFERENCE]],FIND(".",PV_DATA[[#This Row],[TCL REFERENCE]],1)-1),"Main Line")</f>
        <v>26Jun014</v>
      </c>
      <c r="D819" s="462" t="s">
        <v>63</v>
      </c>
      <c r="E819" s="462" t="s">
        <v>64</v>
      </c>
      <c r="F819" s="462" t="str" cm="1">
        <f t="array" ref="F81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19" s="462" t="s">
        <v>402</v>
      </c>
      <c r="H819" s="462" t="s">
        <v>67</v>
      </c>
      <c r="I819" s="462" t="s">
        <v>882</v>
      </c>
      <c r="J819" s="430" t="s">
        <v>96</v>
      </c>
      <c r="K819" s="430"/>
      <c r="L819" s="430"/>
      <c r="M819" s="430" t="s">
        <v>68</v>
      </c>
      <c r="N819" s="432">
        <v>46209</v>
      </c>
      <c r="O819" s="430" t="s">
        <v>4540</v>
      </c>
      <c r="P819" s="430" t="s">
        <v>691</v>
      </c>
      <c r="Q819" s="430" t="s">
        <v>692</v>
      </c>
      <c r="R819" s="430" t="str">
        <f>_xlfn.XLOOKUP(PV_DATA[[#This Row],[New Ark SKU]],Table9[New Ark SKU],Table9[Connector],,0)</f>
        <v>EVO2A</v>
      </c>
      <c r="S819" s="433" t="str">
        <f>_xlfn.XLOOKUP(PV_DATA[[#This Row],[New Ark SKU]],Table9[New Ark SKU],Table9[Cable],,0)</f>
        <v>±1200mm</v>
      </c>
      <c r="T819" s="433">
        <v>505</v>
      </c>
      <c r="U819" s="1062">
        <v>864</v>
      </c>
      <c r="V819" s="434">
        <f>PV_DATA[[#This Row],[QUANTITY]]*PV_DATA[[#This Row],[WATT]]/1000000</f>
        <v>0.43631999999999999</v>
      </c>
      <c r="W819" s="435">
        <f>PV_DATA[[#This Row],[QUANTITY]]/PV_DATA[[#This Row],[Qty/Pallet]]</f>
        <v>24</v>
      </c>
      <c r="X819" s="1015">
        <f>PV_DATA[[#This Row],[QUANTITY]]/PV_DATA[[#This Row],[Qty/CT]]</f>
        <v>1</v>
      </c>
      <c r="Y819" s="430" t="s">
        <v>4373</v>
      </c>
      <c r="Z819" s="430" t="str">
        <f t="shared" ref="Z819:Z878" si="10">IF(AN819&lt;&gt;"","COMPLETED",IF(AK819&lt;&gt;"","IN-TRANSIT",""))</f>
        <v>COMPLETED</v>
      </c>
      <c r="AA819" s="430"/>
      <c r="AB819" s="437">
        <v>46229</v>
      </c>
      <c r="AC819" s="485">
        <f>IF(PV_DATA[[#This Row],[Pick-Up Date]]&lt;&gt;"",_xlfn.ISOWEEKNUM(PV_DATA[[#This Row],[Pick-Up Date]]),"")</f>
        <v>30</v>
      </c>
      <c r="AD819" s="430" t="s">
        <v>5830</v>
      </c>
      <c r="AE819" s="430"/>
      <c r="AF819" s="430" t="s">
        <v>61</v>
      </c>
      <c r="AG819" s="430" t="s">
        <v>61</v>
      </c>
      <c r="AH819" s="430" t="s">
        <v>78</v>
      </c>
      <c r="AI819" s="437">
        <v>46235</v>
      </c>
      <c r="AJ819" s="437">
        <v>46236</v>
      </c>
      <c r="AK819" s="437">
        <f>IFERROR(IF(VLOOKUP(AT819,Vessel!A:F,5,FALSE)=0,"",VLOOKUP(AT819,Vessel!A:F,5,FALSE)),"")</f>
        <v>46236.170567129629</v>
      </c>
      <c r="AL819" s="437">
        <v>46310</v>
      </c>
      <c r="AM819" s="588">
        <f>IFERROR(VLOOKUP(AT819, Vessel!A:H, 8, FALSE), "")</f>
        <v>46318.302083333336</v>
      </c>
      <c r="AN819" s="437">
        <f>IFERROR(IF(VLOOKUP(AT819,Vessel!A:I,9,FALSE)=0,"",VLOOKUP(AT819,Vessel!A:I,9,FALSE)),"")</f>
        <v>46318.374756944446</v>
      </c>
      <c r="AO819" s="430" t="s">
        <v>402</v>
      </c>
      <c r="AP819" s="430" t="s">
        <v>5809</v>
      </c>
      <c r="AQ819" s="430" t="s">
        <v>80</v>
      </c>
      <c r="AR819" s="430" t="s">
        <v>5831</v>
      </c>
      <c r="AS819" s="430" t="s">
        <v>5832</v>
      </c>
      <c r="AT819" s="430" t="s">
        <v>5832</v>
      </c>
      <c r="AU81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82.204189814816345</v>
      </c>
      <c r="AV819" s="437"/>
      <c r="AW819" s="437" cm="1">
        <f t="array" ref="AW81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46318.374756944446</v>
      </c>
      <c r="AX81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19" s="437">
        <f>IF(ISERROR(PV_DATA[[#This Row],[New Ark PO status]]),"",_xlfn.XLOOKUP(PV_DATA[[#This Row],[SPTN-PVHK New Ark PO'#]],New_Ark_Data[Purchase order Number],New_Ark_Data[Estimated time of arrival],"",0))</f>
        <v>46324</v>
      </c>
      <c r="AZ819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19" s="437">
        <f>IFERROR(PV_DATA[[#This Row],[ODP ETA Port]]+PV_DATA[[#This Row],[Customs/Leg3 Assumption]],"n/a")</f>
        <v>46326.374756944446</v>
      </c>
      <c r="BB819" s="433">
        <f>YEAR(PV_DATA[[#This Row],[ETA for New Ark update]])</f>
        <v>2026</v>
      </c>
      <c r="BC819" s="430">
        <f>MONTH(PV_DATA[[#This Row],[ETA for New Ark update]])</f>
        <v>10</v>
      </c>
      <c r="BD819" s="430">
        <f>IFERROR(_xlfn.ISOWEEKNUM(PV_DATA[[#This Row],[ETA for New Ark update]]),0)</f>
        <v>44</v>
      </c>
      <c r="BE819" s="430">
        <f>_xlfn.XLOOKUP(PV_DATA[[#This Row],[New Ark SKU]],Table9[New Ark SKU],Table9[Total PCS per Pallet],,0)</f>
        <v>36</v>
      </c>
      <c r="BF819" s="430">
        <f>_xlfn.XLOOKUP(PV_DATA[[#This Row],[New Ark SKU]],Table9[New Ark SKU],Table9[Total PCS per 40HQ Container],,0)</f>
        <v>864</v>
      </c>
      <c r="BG819" s="430" t="str">
        <f>_xlfn.XLOOKUP(PV_DATA[[#This Row],[New Ark SKU]],Table9[New Ark SKU],Table9[Back Glass],,0)</f>
        <v>Black glazing</v>
      </c>
      <c r="BH819" s="610" t="str">
        <f>_xlfn.XLOOKUP(PV_DATA[[#This Row],[PORT DESTINATION]],Table12[PORT DESTINATION],Table12[Cosco Line],,0)</f>
        <v>AEM</v>
      </c>
      <c r="BJ819" s="430"/>
    </row>
    <row r="820" spans="1:62" ht="10.5" hidden="1">
      <c r="A820" s="462" t="s">
        <v>5833</v>
      </c>
      <c r="B820" s="462" t="s">
        <v>61</v>
      </c>
      <c r="C820" s="462" t="str">
        <f>IFERROR(LEFT(PV_DATA[[#This Row],[TCL REFERENCE]],FIND(".",PV_DATA[[#This Row],[TCL REFERENCE]],1)-1),"Main Line")</f>
        <v>26Jun014</v>
      </c>
      <c r="D820" s="462" t="s">
        <v>63</v>
      </c>
      <c r="E820" s="462" t="s">
        <v>64</v>
      </c>
      <c r="F820" s="462" t="str" cm="1">
        <f t="array" ref="F82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20" s="462" t="s">
        <v>402</v>
      </c>
      <c r="H820" s="462" t="s">
        <v>67</v>
      </c>
      <c r="I820" s="462" t="s">
        <v>882</v>
      </c>
      <c r="J820" s="430" t="s">
        <v>96</v>
      </c>
      <c r="K820" s="430"/>
      <c r="L820" s="430"/>
      <c r="M820" s="430" t="s">
        <v>68</v>
      </c>
      <c r="N820" s="432">
        <v>46209</v>
      </c>
      <c r="O820" s="430" t="s">
        <v>4540</v>
      </c>
      <c r="P820" s="430" t="s">
        <v>691</v>
      </c>
      <c r="Q820" s="430" t="s">
        <v>692</v>
      </c>
      <c r="R820" s="430" t="str">
        <f>_xlfn.XLOOKUP(PV_DATA[[#This Row],[New Ark SKU]],Table9[New Ark SKU],Table9[Connector],,0)</f>
        <v>EVO2A</v>
      </c>
      <c r="S820" s="433" t="str">
        <f>_xlfn.XLOOKUP(PV_DATA[[#This Row],[New Ark SKU]],Table9[New Ark SKU],Table9[Cable],,0)</f>
        <v>±1200mm</v>
      </c>
      <c r="T820" s="433">
        <v>505</v>
      </c>
      <c r="U820" s="1062">
        <v>1728</v>
      </c>
      <c r="V820" s="434">
        <f>PV_DATA[[#This Row],[QUANTITY]]*PV_DATA[[#This Row],[WATT]]/1000000</f>
        <v>0.87263999999999997</v>
      </c>
      <c r="W820" s="435">
        <f>PV_DATA[[#This Row],[QUANTITY]]/PV_DATA[[#This Row],[Qty/Pallet]]</f>
        <v>48</v>
      </c>
      <c r="X820" s="1015">
        <f>PV_DATA[[#This Row],[QUANTITY]]/PV_DATA[[#This Row],[Qty/CT]]</f>
        <v>2</v>
      </c>
      <c r="Y820" s="430" t="s">
        <v>4373</v>
      </c>
      <c r="Z820" s="430" t="str">
        <f t="shared" si="10"/>
        <v>COMPLETED</v>
      </c>
      <c r="AA820" s="430"/>
      <c r="AB820" s="437">
        <v>46229</v>
      </c>
      <c r="AC820" s="485">
        <f>IF(PV_DATA[[#This Row],[Pick-Up Date]]&lt;&gt;"",_xlfn.ISOWEEKNUM(PV_DATA[[#This Row],[Pick-Up Date]]),"")</f>
        <v>30</v>
      </c>
      <c r="AD820" s="430" t="s">
        <v>5834</v>
      </c>
      <c r="AE820" s="430"/>
      <c r="AF820" s="430" t="s">
        <v>61</v>
      </c>
      <c r="AG820" s="430" t="s">
        <v>61</v>
      </c>
      <c r="AH820" s="430" t="s">
        <v>78</v>
      </c>
      <c r="AI820" s="437">
        <v>46235</v>
      </c>
      <c r="AJ820" s="437">
        <v>46236</v>
      </c>
      <c r="AK820" s="437">
        <f>IFERROR(IF(VLOOKUP(AT820,Vessel!A:F,5,FALSE)=0,"",VLOOKUP(AT820,Vessel!A:F,5,FALSE)),"")</f>
        <v>46236.170567129629</v>
      </c>
      <c r="AL820" s="437">
        <v>46295</v>
      </c>
      <c r="AM820" s="588">
        <f>IFERROR(VLOOKUP(AT820, Vessel!A:H, 8, FALSE), "")</f>
        <v>46296.916666666664</v>
      </c>
      <c r="AN820" s="437">
        <v>46296</v>
      </c>
      <c r="AO820" s="430" t="s">
        <v>402</v>
      </c>
      <c r="AP820" s="430" t="s">
        <v>5809</v>
      </c>
      <c r="AQ820" s="430" t="s">
        <v>80</v>
      </c>
      <c r="AR820" s="430" t="s">
        <v>5835</v>
      </c>
      <c r="AS820" s="430" t="s">
        <v>5836</v>
      </c>
      <c r="AT820" s="430" t="s">
        <v>5836</v>
      </c>
      <c r="AU82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59.82943287037051</v>
      </c>
      <c r="AV820" s="437"/>
      <c r="AW820" s="437" cm="1">
        <f t="array" ref="AW82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46296</v>
      </c>
      <c r="AX82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20" s="437">
        <f>IF(ISERROR(PV_DATA[[#This Row],[New Ark PO status]]),"",_xlfn.XLOOKUP(PV_DATA[[#This Row],[SPTN-PVHK New Ark PO'#]],New_Ark_Data[Purchase order Number],New_Ark_Data[Estimated time of arrival],"",0))</f>
        <v>46309</v>
      </c>
      <c r="AZ820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20" s="437">
        <f>IFERROR(PV_DATA[[#This Row],[ODP ETA Port]]+PV_DATA[[#This Row],[Customs/Leg3 Assumption]],"n/a")</f>
        <v>46304</v>
      </c>
      <c r="BB820" s="433">
        <f>YEAR(PV_DATA[[#This Row],[ETA for New Ark update]])</f>
        <v>2026</v>
      </c>
      <c r="BC820" s="430">
        <f>MONTH(PV_DATA[[#This Row],[ETA for New Ark update]])</f>
        <v>10</v>
      </c>
      <c r="BD820" s="430">
        <f>IFERROR(_xlfn.ISOWEEKNUM(PV_DATA[[#This Row],[ETA for New Ark update]]),0)</f>
        <v>41</v>
      </c>
      <c r="BE820" s="430">
        <f>_xlfn.XLOOKUP(PV_DATA[[#This Row],[New Ark SKU]],Table9[New Ark SKU],Table9[Total PCS per Pallet],,0)</f>
        <v>36</v>
      </c>
      <c r="BF820" s="430">
        <f>_xlfn.XLOOKUP(PV_DATA[[#This Row],[New Ark SKU]],Table9[New Ark SKU],Table9[Total PCS per 40HQ Container],,0)</f>
        <v>864</v>
      </c>
      <c r="BG820" s="430" t="str">
        <f>_xlfn.XLOOKUP(PV_DATA[[#This Row],[New Ark SKU]],Table9[New Ark SKU],Table9[Back Glass],,0)</f>
        <v>Black glazing</v>
      </c>
      <c r="BH820" s="430" t="str">
        <f>_xlfn.XLOOKUP(PV_DATA[[#This Row],[PORT DESTINATION]],Table12[PORT DESTINATION],Table12[Cosco Line],,0)</f>
        <v>AEM</v>
      </c>
      <c r="BJ820" s="430"/>
    </row>
    <row r="821" spans="1:62" ht="12.5" hidden="1">
      <c r="A821" s="462" t="s">
        <v>5837</v>
      </c>
      <c r="B821" s="462" t="s">
        <v>61</v>
      </c>
      <c r="C821" s="462" t="str">
        <f>IFERROR(LEFT(PV_DATA[[#This Row],[TCL REFERENCE]],FIND(".",PV_DATA[[#This Row],[TCL REFERENCE]],1)-1),"Main Line")</f>
        <v>26Jul011</v>
      </c>
      <c r="D821" s="462" t="s">
        <v>63</v>
      </c>
      <c r="E821" s="462" t="s">
        <v>64</v>
      </c>
      <c r="F821" s="462" t="str" cm="1">
        <f t="array" ref="F82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821" s="462" t="s">
        <v>402</v>
      </c>
      <c r="H821" s="462" t="s">
        <v>311</v>
      </c>
      <c r="I821" s="462" t="s">
        <v>689</v>
      </c>
      <c r="J821" s="430" t="s">
        <v>96</v>
      </c>
      <c r="K821" s="1485"/>
      <c r="L821" s="430"/>
      <c r="M821" s="430" t="s">
        <v>68</v>
      </c>
      <c r="N821" s="432">
        <v>46202</v>
      </c>
      <c r="O821" s="430" t="s">
        <v>284</v>
      </c>
      <c r="P821" s="430" t="s">
        <v>5592</v>
      </c>
      <c r="Q821" s="430" t="s">
        <v>1570</v>
      </c>
      <c r="R821" s="430" t="str">
        <f>_xlfn.XLOOKUP(PV_DATA[[#This Row],[New Ark SKU]],Table9[New Ark SKU],Table9[Connector],,0)</f>
        <v>H4(Com)</v>
      </c>
      <c r="S821" s="433" t="str">
        <f>_xlfn.XLOOKUP(PV_DATA[[#This Row],[New Ark SKU]],Table9[New Ark SKU],Table9[Cable],,0)</f>
        <v>±1400mm</v>
      </c>
      <c r="T821" s="433">
        <v>650</v>
      </c>
      <c r="U821" s="1062">
        <v>2160</v>
      </c>
      <c r="V821" s="434">
        <f>PV_DATA[[#This Row],[QUANTITY]]*PV_DATA[[#This Row],[WATT]]/1000000</f>
        <v>1.4039999999999999</v>
      </c>
      <c r="W821" s="435">
        <f>PV_DATA[[#This Row],[QUANTITY]]/PV_DATA[[#This Row],[Qty/Pallet]]</f>
        <v>60</v>
      </c>
      <c r="X821" s="1015">
        <f>PV_DATA[[#This Row],[QUANTITY]]/PV_DATA[[#This Row],[Qty/CT]]</f>
        <v>3</v>
      </c>
      <c r="Y821" s="430" t="s">
        <v>4372</v>
      </c>
      <c r="Z821" s="430" t="str">
        <f t="shared" si="10"/>
        <v>COMPLETED</v>
      </c>
      <c r="AA821" s="430" t="s">
        <v>5506</v>
      </c>
      <c r="AB821" s="437">
        <v>46229</v>
      </c>
      <c r="AC821" s="485">
        <f>IF(PV_DATA[[#This Row],[Pick-Up Date]]&lt;&gt;"",_xlfn.ISOWEEKNUM(PV_DATA[[#This Row],[Pick-Up Date]]),"")</f>
        <v>30</v>
      </c>
      <c r="AD821" s="430" t="s">
        <v>5838</v>
      </c>
      <c r="AE821" s="430"/>
      <c r="AF821" s="430" t="s">
        <v>61</v>
      </c>
      <c r="AG821" s="430" t="s">
        <v>61</v>
      </c>
      <c r="AH821" s="430" t="s">
        <v>1561</v>
      </c>
      <c r="AI821" s="437">
        <v>46235</v>
      </c>
      <c r="AJ821" s="437">
        <v>46236</v>
      </c>
      <c r="AK821" s="437">
        <f>IFERROR(IF(VLOOKUP(AT821,Vessel!A:F,5,FALSE)=0,"",VLOOKUP(AT821,Vessel!A:F,5,FALSE)),"")</f>
        <v>46236.170567129629</v>
      </c>
      <c r="AL821" s="437">
        <v>46292</v>
      </c>
      <c r="AM821" s="588">
        <f>IFERROR(VLOOKUP(AT821, Vessel!A:H, 8, FALSE), "")</f>
        <v>46322.666666666664</v>
      </c>
      <c r="AN821" s="437">
        <f>IFERROR(IF(VLOOKUP(AT821,Vessel!A:I,9,FALSE)=0,"",VLOOKUP(AT821,Vessel!A:I,9,FALSE)),"")</f>
        <v>46322.689768518518</v>
      </c>
      <c r="AO821" s="430" t="s">
        <v>402</v>
      </c>
      <c r="AP821" s="430" t="s">
        <v>5809</v>
      </c>
      <c r="AQ821" s="438" t="s">
        <v>80</v>
      </c>
      <c r="AR821" s="430" t="s">
        <v>5839</v>
      </c>
      <c r="AS821" s="430" t="s">
        <v>5840</v>
      </c>
      <c r="AT821" s="430" t="s">
        <v>5840</v>
      </c>
      <c r="AU82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86.519201388888177</v>
      </c>
      <c r="AW821" s="437" cm="1">
        <f t="array" ref="AW82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46322.689768518518</v>
      </c>
      <c r="AX82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21" s="437">
        <f>IF(ISERROR(PV_DATA[[#This Row],[New Ark PO status]]),"",_xlfn.XLOOKUP(PV_DATA[[#This Row],[SPTN-PVHK New Ark PO'#]],New_Ark_Data[Purchase order Number],New_Ark_Data[Estimated time of arrival],"",0))</f>
        <v>46314</v>
      </c>
      <c r="AZ821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821" s="437">
        <f>IFERROR(PV_DATA[[#This Row],[ODP ETA Port]]+PV_DATA[[#This Row],[Customs/Leg3 Assumption]],"n/a")</f>
        <v>46332.689768518518</v>
      </c>
      <c r="BB821" s="433">
        <f>YEAR(PV_DATA[[#This Row],[ETA for New Ark update]])</f>
        <v>2026</v>
      </c>
      <c r="BC821" s="430">
        <f>MONTH(PV_DATA[[#This Row],[ETA for New Ark update]])</f>
        <v>11</v>
      </c>
      <c r="BD821" s="430">
        <f>IFERROR(_xlfn.ISOWEEKNUM(PV_DATA[[#This Row],[ETA for New Ark update]]),0)</f>
        <v>45</v>
      </c>
      <c r="BE821" s="430">
        <f>_xlfn.XLOOKUP(PV_DATA[[#This Row],[New Ark SKU]],Table9[New Ark SKU],Table9[Total PCS per Pallet],,0)</f>
        <v>36</v>
      </c>
      <c r="BF821" s="430">
        <f>_xlfn.XLOOKUP(PV_DATA[[#This Row],[New Ark SKU]],Table9[New Ark SKU],Table9[Total PCS per 40HQ Container],,0)</f>
        <v>720</v>
      </c>
      <c r="BG821" s="430" t="str">
        <f>_xlfn.XLOOKUP(PV_DATA[[#This Row],[New Ark SKU]],Table9[New Ark SKU],Table9[Back Glass],,0)</f>
        <v>White glazing</v>
      </c>
      <c r="BH821" s="430" t="str">
        <f>_xlfn.XLOOKUP(PV_DATA[[#This Row],[PORT DESTINATION]],Table12[PORT DESTINATION],Table12[Cosco Line],,0)</f>
        <v>AEM</v>
      </c>
      <c r="BJ821" s="430"/>
    </row>
    <row r="822" spans="1:62" s="463" customFormat="1" ht="10.5" hidden="1">
      <c r="A822" s="462" t="s">
        <v>5841</v>
      </c>
      <c r="B822" s="462" t="s">
        <v>61</v>
      </c>
      <c r="C822" s="462" t="str">
        <f>IFERROR(LEFT(PV_DATA[[#This Row],[TCL REFERENCE]],FIND(".",PV_DATA[[#This Row],[TCL REFERENCE]],1)-1),"Main Line")</f>
        <v>26Jul011</v>
      </c>
      <c r="D822" s="462" t="s">
        <v>63</v>
      </c>
      <c r="E822" s="462" t="s">
        <v>64</v>
      </c>
      <c r="F822" s="462" t="str" cm="1">
        <f t="array" ref="F82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822" s="462" t="s">
        <v>402</v>
      </c>
      <c r="H822" s="462" t="s">
        <v>311</v>
      </c>
      <c r="I822" s="462" t="s">
        <v>689</v>
      </c>
      <c r="J822" s="430" t="s">
        <v>96</v>
      </c>
      <c r="K822" s="430"/>
      <c r="L822" s="430"/>
      <c r="M822" s="430" t="s">
        <v>68</v>
      </c>
      <c r="N822" s="432">
        <v>46202</v>
      </c>
      <c r="O822" s="430" t="s">
        <v>284</v>
      </c>
      <c r="P822" s="430" t="s">
        <v>5592</v>
      </c>
      <c r="Q822" s="430" t="s">
        <v>1570</v>
      </c>
      <c r="R822" s="430" t="str">
        <f>_xlfn.XLOOKUP(PV_DATA[[#This Row],[New Ark SKU]],Table9[New Ark SKU],Table9[Connector],,0)</f>
        <v>H4(Com)</v>
      </c>
      <c r="S822" s="433" t="str">
        <f>_xlfn.XLOOKUP(PV_DATA[[#This Row],[New Ark SKU]],Table9[New Ark SKU],Table9[Cable],,0)</f>
        <v>±1400mm</v>
      </c>
      <c r="T822" s="433">
        <v>650</v>
      </c>
      <c r="U822" s="1062">
        <f>720*1</f>
        <v>720</v>
      </c>
      <c r="V822" s="434">
        <f>PV_DATA[[#This Row],[QUANTITY]]*PV_DATA[[#This Row],[WATT]]/1000000</f>
        <v>0.46800000000000003</v>
      </c>
      <c r="W822" s="435">
        <f>PV_DATA[[#This Row],[QUANTITY]]/PV_DATA[[#This Row],[Qty/Pallet]]</f>
        <v>20</v>
      </c>
      <c r="X822" s="1015">
        <f>PV_DATA[[#This Row],[QUANTITY]]/PV_DATA[[#This Row],[Qty/CT]]</f>
        <v>1</v>
      </c>
      <c r="Y822" s="430" t="s">
        <v>4373</v>
      </c>
      <c r="Z822" s="430" t="str">
        <f t="shared" si="10"/>
        <v>COMPLETED</v>
      </c>
      <c r="AA822" s="430" t="s">
        <v>5506</v>
      </c>
      <c r="AB822" s="437">
        <v>46229</v>
      </c>
      <c r="AC822" s="485">
        <f>IF(PV_DATA[[#This Row],[Pick-Up Date]]&lt;&gt;"",_xlfn.ISOWEEKNUM(PV_DATA[[#This Row],[Pick-Up Date]]),"")</f>
        <v>30</v>
      </c>
      <c r="AD822" s="430" t="s">
        <v>5842</v>
      </c>
      <c r="AE822" s="430"/>
      <c r="AF822" s="430" t="s">
        <v>61</v>
      </c>
      <c r="AG822" s="430" t="s">
        <v>61</v>
      </c>
      <c r="AH822" s="430" t="s">
        <v>1561</v>
      </c>
      <c r="AI822" s="437">
        <v>46235</v>
      </c>
      <c r="AJ822" s="437">
        <v>46236</v>
      </c>
      <c r="AK822" s="437">
        <f>IFERROR(IF(VLOOKUP(AT822,Vessel!A:F,5,FALSE)=0,"",VLOOKUP(AT822,Vessel!A:F,5,FALSE)),"")</f>
        <v>46236.170567129629</v>
      </c>
      <c r="AL822" s="437">
        <v>46299</v>
      </c>
      <c r="AM822" s="588">
        <f>IFERROR(VLOOKUP(AT822, Vessel!A:H, 8, FALSE), "")</f>
        <v>46313.875</v>
      </c>
      <c r="AN822" s="437">
        <f>IFERROR(IF(VLOOKUP(AT822,Vessel!A:I,9,FALSE)=0,"",VLOOKUP(AT822,Vessel!A:I,9,FALSE)),"")</f>
        <v>46313.624143518522</v>
      </c>
      <c r="AO822" s="430" t="s">
        <v>402</v>
      </c>
      <c r="AP822" s="430" t="s">
        <v>5809</v>
      </c>
      <c r="AQ822" s="438" t="s">
        <v>80</v>
      </c>
      <c r="AR822" s="430" t="s">
        <v>5843</v>
      </c>
      <c r="AS822" s="430" t="s">
        <v>5844</v>
      </c>
      <c r="AT822" s="430" t="s">
        <v>5844</v>
      </c>
      <c r="AU82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77.453576388892543</v>
      </c>
      <c r="AV822" s="430"/>
      <c r="AW822" s="437" cm="1">
        <f t="array" ref="AW82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46313.624143518522</v>
      </c>
      <c r="AX82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22" s="437">
        <f>IF(ISERROR(PV_DATA[[#This Row],[New Ark PO status]]),"",_xlfn.XLOOKUP(PV_DATA[[#This Row],[SPTN-PVHK New Ark PO'#]],New_Ark_Data[Purchase order Number],New_Ark_Data[Estimated time of arrival],"",0))</f>
        <v>46315</v>
      </c>
      <c r="AZ822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822" s="437">
        <f>IFERROR(PV_DATA[[#This Row],[ODP ETA Port]]+PV_DATA[[#This Row],[Customs/Leg3 Assumption]],"n/a")</f>
        <v>46323.624143518522</v>
      </c>
      <c r="BB822" s="433">
        <f>YEAR(PV_DATA[[#This Row],[ETA for New Ark update]])</f>
        <v>2026</v>
      </c>
      <c r="BC822" s="430">
        <f>MONTH(PV_DATA[[#This Row],[ETA for New Ark update]])</f>
        <v>10</v>
      </c>
      <c r="BD822" s="430">
        <f>IFERROR(_xlfn.ISOWEEKNUM(PV_DATA[[#This Row],[ETA for New Ark update]]),0)</f>
        <v>44</v>
      </c>
      <c r="BE822" s="430">
        <f>_xlfn.XLOOKUP(PV_DATA[[#This Row],[New Ark SKU]],Table9[New Ark SKU],Table9[Total PCS per Pallet],,0)</f>
        <v>36</v>
      </c>
      <c r="BF822" s="430">
        <f>_xlfn.XLOOKUP(PV_DATA[[#This Row],[New Ark SKU]],Table9[New Ark SKU],Table9[Total PCS per 40HQ Container],,0)</f>
        <v>720</v>
      </c>
      <c r="BG822" s="430" t="str">
        <f>_xlfn.XLOOKUP(PV_DATA[[#This Row],[New Ark SKU]],Table9[New Ark SKU],Table9[Back Glass],,0)</f>
        <v>White glazing</v>
      </c>
      <c r="BH822" s="430" t="str">
        <f>_xlfn.XLOOKUP(PV_DATA[[#This Row],[PORT DESTINATION]],Table12[PORT DESTINATION],Table12[Cosco Line],,0)</f>
        <v>AEM</v>
      </c>
    </row>
    <row r="823" spans="1:62" s="462" customFormat="1" ht="10.5" hidden="1">
      <c r="A823" s="462" t="s">
        <v>5845</v>
      </c>
      <c r="B823" s="462" t="s">
        <v>111</v>
      </c>
      <c r="C823" s="462" t="str">
        <f>IFERROR(LEFT(PV_DATA[[#This Row],[TCL REFERENCE]],FIND(".",PV_DATA[[#This Row],[TCL REFERENCE]],1)-1),"Main Line")</f>
        <v>26May012</v>
      </c>
      <c r="D823" s="462" t="s">
        <v>63</v>
      </c>
      <c r="E823" s="462" t="s">
        <v>144</v>
      </c>
      <c r="F823" s="462" t="str" cm="1">
        <f t="array" ref="F82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823" s="462" t="s">
        <v>402</v>
      </c>
      <c r="H823" s="462" t="s">
        <v>5792</v>
      </c>
      <c r="I823" s="462" t="s">
        <v>689</v>
      </c>
      <c r="J823" s="462" t="s">
        <v>5792</v>
      </c>
      <c r="K823" s="462" t="s">
        <v>5793</v>
      </c>
      <c r="L823" s="462">
        <v>1</v>
      </c>
      <c r="M823" s="462" t="s">
        <v>4976</v>
      </c>
      <c r="N823" s="712">
        <v>46167</v>
      </c>
      <c r="O823" s="462" t="s">
        <v>4540</v>
      </c>
      <c r="P823" s="462" t="s">
        <v>4606</v>
      </c>
      <c r="Q823" s="462" t="s">
        <v>4607</v>
      </c>
      <c r="R823" s="430" t="str">
        <f>_xlfn.XLOOKUP(PV_DATA[[#This Row],[New Ark SKU]],Table9[New Ark SKU],Table9[Connector],,0)</f>
        <v>H4(Com)</v>
      </c>
      <c r="S823" s="433" t="str">
        <f>_xlfn.XLOOKUP(PV_DATA[[#This Row],[New Ark SKU]],Table9[New Ark SKU],Table9[Cable],,0)</f>
        <v>+400mm/-200mm</v>
      </c>
      <c r="T823" s="936">
        <v>630</v>
      </c>
      <c r="U823" s="1069">
        <f>720*1</f>
        <v>720</v>
      </c>
      <c r="V823" s="458">
        <f>PV_DATA[[#This Row],[QUANTITY]]*PV_DATA[[#This Row],[WATT]]/1000000</f>
        <v>0.4536</v>
      </c>
      <c r="W823" s="714">
        <f>PV_DATA[[#This Row],[QUANTITY]]/PV_DATA[[#This Row],[Qty/Pallet]]</f>
        <v>20</v>
      </c>
      <c r="X823" s="1017">
        <f>PV_DATA[[#This Row],[QUANTITY]]/PV_DATA[[#This Row],[Qty/CT]]</f>
        <v>1</v>
      </c>
      <c r="Y823" s="462" t="s">
        <v>4373</v>
      </c>
      <c r="Z823" s="462" t="str">
        <f t="shared" si="10"/>
        <v>COMPLETED</v>
      </c>
      <c r="AA823" s="462" t="s">
        <v>5403</v>
      </c>
      <c r="AB823" s="713">
        <v>46247</v>
      </c>
      <c r="AC823" s="937">
        <f>IF(PV_DATA[[#This Row],[Pick-Up Date]]&lt;&gt;"",_xlfn.ISOWEEKNUM(PV_DATA[[#This Row],[Pick-Up Date]]),"")</f>
        <v>33</v>
      </c>
      <c r="AD823" s="462" t="s">
        <v>5846</v>
      </c>
      <c r="AF823" s="462" t="s">
        <v>122</v>
      </c>
      <c r="AG823" s="462" t="s">
        <v>123</v>
      </c>
      <c r="AH823" s="462" t="s">
        <v>5796</v>
      </c>
      <c r="AI823" s="713">
        <v>46248</v>
      </c>
      <c r="AJ823" s="713">
        <v>46254</v>
      </c>
      <c r="AK823" s="437">
        <v>46251</v>
      </c>
      <c r="AL823" s="713">
        <v>46308</v>
      </c>
      <c r="AM823" s="713">
        <v>46315</v>
      </c>
      <c r="AN823" s="713">
        <v>46315</v>
      </c>
      <c r="AP823" s="462" t="s">
        <v>5847</v>
      </c>
      <c r="AQ823" s="462" t="s">
        <v>161</v>
      </c>
      <c r="AR823" s="462" t="s">
        <v>5848</v>
      </c>
      <c r="AS823" s="462" t="s">
        <v>5849</v>
      </c>
      <c r="AT823" s="462" t="s">
        <v>5850</v>
      </c>
      <c r="AU82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</v>
      </c>
      <c r="AV823" s="713"/>
      <c r="AW823" s="713" cm="1">
        <f t="array" ref="AW82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46315</v>
      </c>
      <c r="AX82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823" s="713">
        <f>IF(ISERROR(PV_DATA[[#This Row],[New Ark PO status]]),"",_xlfn.XLOOKUP(PV_DATA[[#This Row],[SPTN-PVHK New Ark PO'#]],New_Ark_Data[Purchase order Number],New_Ark_Data[Estimated time of arrival],"",0))</f>
        <v>46315</v>
      </c>
      <c r="AZ823" s="936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823" s="713">
        <f>IFERROR(PV_DATA[[#This Row],[ODP ETA Port]]+PV_DATA[[#This Row],[Customs/Leg3 Assumption]],"n/a")</f>
        <v>46315</v>
      </c>
      <c r="BB823" s="936">
        <f>YEAR(PV_DATA[[#This Row],[ETA for New Ark update]])</f>
        <v>2026</v>
      </c>
      <c r="BC823" s="462">
        <f>MONTH(PV_DATA[[#This Row],[ETA for New Ark update]])</f>
        <v>10</v>
      </c>
      <c r="BD823" s="462">
        <f>IFERROR(_xlfn.ISOWEEKNUM(PV_DATA[[#This Row],[ETA for New Ark update]]),0)</f>
        <v>43</v>
      </c>
      <c r="BE823" s="462">
        <f>_xlfn.XLOOKUP(PV_DATA[[#This Row],[New Ark SKU]],Table9[New Ark SKU],Table9[Total PCS per Pallet],,0)</f>
        <v>36</v>
      </c>
      <c r="BF823" s="462">
        <f>_xlfn.XLOOKUP(PV_DATA[[#This Row],[New Ark SKU]],Table9[New Ark SKU],Table9[Total PCS per 40HQ Container],,0)</f>
        <v>720</v>
      </c>
      <c r="BG823" s="462" t="str">
        <f>_xlfn.XLOOKUP(PV_DATA[[#This Row],[New Ark SKU]],Table9[New Ark SKU],Table9[Back Glass],,0)</f>
        <v>Transparent</v>
      </c>
      <c r="BH823" s="938" t="str">
        <f>_xlfn.XLOOKUP(PV_DATA[[#This Row],[PORT DESTINATION]],Table12[PORT DESTINATION],Table12[Cosco Line],,0)</f>
        <v>n/a</v>
      </c>
    </row>
    <row r="824" spans="1:62" s="462" customFormat="1" ht="10.5" hidden="1">
      <c r="A824" s="462" t="s">
        <v>5851</v>
      </c>
      <c r="B824" s="462" t="s">
        <v>1757</v>
      </c>
      <c r="C824" s="462" t="str">
        <f>IFERROR(LEFT(PV_DATA[[#This Row],[TCL REFERENCE]],FIND(".",PV_DATA[[#This Row],[TCL REFERENCE]],1)-1),"Main Line")</f>
        <v>26Jul007</v>
      </c>
      <c r="D824" s="462" t="s">
        <v>63</v>
      </c>
      <c r="E824" s="462" t="s">
        <v>144</v>
      </c>
      <c r="F824" s="462" t="str" cm="1">
        <f t="array" ref="F82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824" s="462" t="s">
        <v>402</v>
      </c>
      <c r="H824" s="462" t="s">
        <v>1029</v>
      </c>
      <c r="I824" s="462" t="s">
        <v>1395</v>
      </c>
      <c r="J824" s="462" t="s">
        <v>1029</v>
      </c>
      <c r="K824" s="462" t="s">
        <v>5852</v>
      </c>
      <c r="L824" s="462">
        <v>1</v>
      </c>
      <c r="M824" s="462" t="s">
        <v>840</v>
      </c>
      <c r="N824" s="712">
        <v>46209</v>
      </c>
      <c r="O824" s="462" t="s">
        <v>4540</v>
      </c>
      <c r="P824" s="462" t="s">
        <v>71</v>
      </c>
      <c r="Q824" s="462" t="s">
        <v>72</v>
      </c>
      <c r="R824" s="430" t="str">
        <f>_xlfn.XLOOKUP(PV_DATA[[#This Row],[New Ark SKU]],Table9[New Ark SKU],Table9[Connector],,0)</f>
        <v>EVO2A</v>
      </c>
      <c r="S824" s="433" t="str">
        <f>_xlfn.XLOOKUP(PV_DATA[[#This Row],[New Ark SKU]],Table9[New Ark SKU],Table9[Cable],,0)</f>
        <v>±1200mm</v>
      </c>
      <c r="T824" s="936">
        <v>500</v>
      </c>
      <c r="U824" s="1069">
        <v>3456</v>
      </c>
      <c r="V824" s="458">
        <f>PV_DATA[[#This Row],[QUANTITY]]*PV_DATA[[#This Row],[WATT]]/1000000</f>
        <v>1.728</v>
      </c>
      <c r="W824" s="714">
        <f>PV_DATA[[#This Row],[QUANTITY]]/PV_DATA[[#This Row],[Qty/Pallet]]</f>
        <v>96</v>
      </c>
      <c r="X824" s="1017">
        <f>PV_DATA[[#This Row],[QUANTITY]]/PV_DATA[[#This Row],[Qty/CT]]</f>
        <v>4</v>
      </c>
      <c r="Y824" s="462" t="s">
        <v>4374</v>
      </c>
      <c r="Z824" s="462" t="str">
        <f t="shared" si="10"/>
        <v>COMPLETED</v>
      </c>
      <c r="AB824" s="713">
        <v>46245</v>
      </c>
      <c r="AC824" s="937">
        <f>IF(PV_DATA[[#This Row],[Pick-Up Date]]&lt;&gt;"",_xlfn.ISOWEEKNUM(PV_DATA[[#This Row],[Pick-Up Date]]),"")</f>
        <v>33</v>
      </c>
      <c r="AD824" s="462" t="s">
        <v>5853</v>
      </c>
      <c r="AF824" s="462" t="s">
        <v>5043</v>
      </c>
      <c r="AG824" s="462" t="s">
        <v>5854</v>
      </c>
      <c r="AH824" s="462" t="s">
        <v>888</v>
      </c>
      <c r="AI824" s="713">
        <v>46249</v>
      </c>
      <c r="AJ824" s="713"/>
      <c r="AK824" s="437">
        <f>IFERROR(IF(VLOOKUP(AT824,Vessel!A:F,5,FALSE)=0,"",VLOOKUP(AT824,Vessel!A:F,5,FALSE)),"")</f>
        <v>46251.127662037034</v>
      </c>
      <c r="AL824" s="713">
        <v>46295</v>
      </c>
      <c r="AM824" s="939">
        <f>IFERROR(VLOOKUP(AT824, Vessel!A:H, 8, FALSE), "")</f>
        <v>46301.229166666664</v>
      </c>
      <c r="AN824" s="713">
        <v>46301</v>
      </c>
      <c r="AP824" s="462" t="s">
        <v>5855</v>
      </c>
      <c r="AQ824" s="940" t="s">
        <v>80</v>
      </c>
      <c r="AR824" s="462" t="s">
        <v>5856</v>
      </c>
      <c r="AS824" s="462" t="s">
        <v>5857</v>
      </c>
      <c r="AT824" s="462" t="s">
        <v>5857</v>
      </c>
      <c r="AU82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49.872337962966412</v>
      </c>
      <c r="AW824" s="713" cm="1">
        <f t="array" ref="AW82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46301</v>
      </c>
      <c r="AX82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824" s="713">
        <f>IF(ISERROR(PV_DATA[[#This Row],[New Ark PO status]]),"",_xlfn.XLOOKUP(PV_DATA[[#This Row],[SPTN-PVHK New Ark PO'#]],New_Ark_Data[Purchase order Number],New_Ark_Data[Estimated time of arrival],"",0))</f>
        <v>46296</v>
      </c>
      <c r="AZ824" s="936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824" s="713">
        <f>IFERROR(PV_DATA[[#This Row],[ODP ETA Port]]+PV_DATA[[#This Row],[Customs/Leg3 Assumption]],"n/a")</f>
        <v>46301</v>
      </c>
      <c r="BB824" s="936">
        <f>YEAR(PV_DATA[[#This Row],[ETA for New Ark update]])</f>
        <v>2026</v>
      </c>
      <c r="BC824" s="462">
        <f>MONTH(PV_DATA[[#This Row],[ETA for New Ark update]])</f>
        <v>10</v>
      </c>
      <c r="BD824" s="462">
        <f>IFERROR(_xlfn.ISOWEEKNUM(PV_DATA[[#This Row],[ETA for New Ark update]]),0)</f>
        <v>41</v>
      </c>
      <c r="BE824" s="462">
        <f>_xlfn.XLOOKUP(PV_DATA[[#This Row],[New Ark SKU]],Table9[New Ark SKU],Table9[Total PCS per Pallet],,0)</f>
        <v>36</v>
      </c>
      <c r="BF824" s="462">
        <f>_xlfn.XLOOKUP(PV_DATA[[#This Row],[New Ark SKU]],Table9[New Ark SKU],Table9[Total PCS per 40HQ Container],,0)</f>
        <v>864</v>
      </c>
      <c r="BG824" s="462" t="str">
        <f>_xlfn.XLOOKUP(PV_DATA[[#This Row],[New Ark SKU]],Table9[New Ark SKU],Table9[Back Glass],,0)</f>
        <v>Black glazing</v>
      </c>
      <c r="BH824" s="462" t="str">
        <f>_xlfn.XLOOKUP(PV_DATA[[#This Row],[PORT DESTINATION]],Table12[PORT DESTINATION],Table12[Cosco Line],,0)</f>
        <v>AEU</v>
      </c>
    </row>
    <row r="825" spans="1:62" s="462" customFormat="1" ht="10.5" hidden="1">
      <c r="A825" s="941" t="s">
        <v>5858</v>
      </c>
      <c r="B825" s="935" t="s">
        <v>1757</v>
      </c>
      <c r="C825" s="935" t="str">
        <f>IFERROR(LEFT(PV_DATA[[#This Row],[TCL REFERENCE]],FIND(".",PV_DATA[[#This Row],[TCL REFERENCE]],1)-1),"Main Line")</f>
        <v>26Jul017</v>
      </c>
      <c r="D825" s="462" t="s">
        <v>63</v>
      </c>
      <c r="E825" s="462" t="s">
        <v>64</v>
      </c>
      <c r="F825" s="935" t="str" cm="1">
        <f t="array" ref="F82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825" s="462" t="s">
        <v>402</v>
      </c>
      <c r="H825" s="462" t="s">
        <v>451</v>
      </c>
      <c r="I825" s="462" t="s">
        <v>882</v>
      </c>
      <c r="J825" s="935" t="s">
        <v>5859</v>
      </c>
      <c r="M825" s="462" t="s">
        <v>68</v>
      </c>
      <c r="N825" s="712">
        <v>46230</v>
      </c>
      <c r="O825" s="462" t="s">
        <v>284</v>
      </c>
      <c r="P825" s="935" t="s">
        <v>5860</v>
      </c>
      <c r="Q825" s="935" t="s">
        <v>5861</v>
      </c>
      <c r="R825" s="430" t="str">
        <f>_xlfn.XLOOKUP(PV_DATA[[#This Row],[New Ark SKU]],Table9[New Ark SKU],Table9[Connector],,0)</f>
        <v>EVO2A</v>
      </c>
      <c r="S825" s="433" t="str">
        <f>_xlfn.XLOOKUP(PV_DATA[[#This Row],[New Ark SKU]],Table9[New Ark SKU],Table9[Cable],,0)</f>
        <v>±1200mm</v>
      </c>
      <c r="T825" s="942">
        <v>485</v>
      </c>
      <c r="U825" s="1072">
        <v>936</v>
      </c>
      <c r="V825" s="943">
        <f>PV_DATA[[#This Row],[QUANTITY]]*PV_DATA[[#This Row],[WATT]]/1000000</f>
        <v>0.45395999999999997</v>
      </c>
      <c r="W825" s="944">
        <f>PV_DATA[[#This Row],[QUANTITY]]/36</f>
        <v>26</v>
      </c>
      <c r="X825" s="1017">
        <f>PV_DATA[[#This Row],[QUANTITY]]/936</f>
        <v>1</v>
      </c>
      <c r="Y825" s="462" t="s">
        <v>4373</v>
      </c>
      <c r="Z825" s="462" t="str">
        <f t="shared" si="10"/>
        <v>COMPLETED</v>
      </c>
      <c r="AA825" s="935" t="s">
        <v>5862</v>
      </c>
      <c r="AB825" s="713">
        <v>46243</v>
      </c>
      <c r="AC825" s="937">
        <f>IF(PV_DATA[[#This Row],[Pick-Up Date]]&lt;&gt;"",_xlfn.ISOWEEKNUM(PV_DATA[[#This Row],[Pick-Up Date]]),"")</f>
        <v>32</v>
      </c>
      <c r="AD825" s="462" t="s">
        <v>5863</v>
      </c>
      <c r="AF825" s="935" t="s">
        <v>5864</v>
      </c>
      <c r="AG825" s="462" t="s">
        <v>123</v>
      </c>
      <c r="AH825" s="462" t="s">
        <v>456</v>
      </c>
      <c r="AI825" s="713">
        <v>46249</v>
      </c>
      <c r="AJ825" s="713"/>
      <c r="AK825" s="437">
        <f>IFERROR(IF(VLOOKUP(AT825,Vessel!A:F,5,FALSE)=0,"",VLOOKUP(AT825,Vessel!A:F,5,FALSE)),"")</f>
        <v>46251.127662037034</v>
      </c>
      <c r="AL825" s="718">
        <v>46285</v>
      </c>
      <c r="AM825" s="939">
        <f>IFERROR(VLOOKUP(AT825, Vessel!A:H, 8, FALSE), "")</f>
        <v>46290.041666666664</v>
      </c>
      <c r="AN825" s="713">
        <f>IFERROR(IF(VLOOKUP(AT825,Vessel!A:I,9,FALSE)=0,"",VLOOKUP(AT825,Vessel!A:I,9,FALSE)),"")</f>
        <v>46290.087800925925</v>
      </c>
      <c r="AP825" s="462" t="s">
        <v>5855</v>
      </c>
      <c r="AQ825" s="940" t="s">
        <v>80</v>
      </c>
      <c r="AR825" s="462" t="s">
        <v>5865</v>
      </c>
      <c r="AS825" s="462" t="s">
        <v>5866</v>
      </c>
      <c r="AT825" s="462" t="s">
        <v>5866</v>
      </c>
      <c r="AU82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38.960138888891379</v>
      </c>
      <c r="AW825" s="713" cm="1">
        <f t="array" ref="AW82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46290.087800925925</v>
      </c>
      <c r="AX82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25" s="713">
        <f>IF(ISERROR(PV_DATA[[#This Row],[New Ark PO status]]),"",_xlfn.XLOOKUP(PV_DATA[[#This Row],[SPTN-PVHK New Ark PO'#]],New_Ark_Data[Purchase order Number],New_Ark_Data[Estimated time of arrival],"",0))</f>
        <v>46303</v>
      </c>
      <c r="AZ825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25" s="713">
        <f>IFERROR(PV_DATA[[#This Row],[ODP ETA Port]]+PV_DATA[[#This Row],[Customs/Leg3 Assumption]],"n/a")</f>
        <v>46297.087800925925</v>
      </c>
      <c r="BB825" s="936">
        <f>YEAR(PV_DATA[[#This Row],[ETA for New Ark update]])</f>
        <v>2026</v>
      </c>
      <c r="BC825" s="462">
        <f>MONTH(PV_DATA[[#This Row],[ETA for New Ark update]])</f>
        <v>10</v>
      </c>
      <c r="BD825" s="462">
        <f>IFERROR(_xlfn.ISOWEEKNUM(PV_DATA[[#This Row],[ETA for New Ark update]]),0)</f>
        <v>40</v>
      </c>
      <c r="BE825" s="462">
        <f>_xlfn.XLOOKUP(PV_DATA[[#This Row],[New Ark SKU]],Table9[New Ark SKU],Table9[Total PCS per Pallet],,0)</f>
        <v>36</v>
      </c>
      <c r="BF825" s="462">
        <f>_xlfn.XLOOKUP(PV_DATA[[#This Row],[New Ark SKU]],Table9[New Ark SKU],Table9[Total PCS per 40HQ Container],,0)</f>
        <v>936</v>
      </c>
      <c r="BG825" s="462" t="str">
        <f>_xlfn.XLOOKUP(PV_DATA[[#This Row],[New Ark SKU]],Table9[New Ark SKU],Table9[Back Glass],,0)</f>
        <v>Black glazing</v>
      </c>
      <c r="BH825" s="938" t="str">
        <f>_xlfn.XLOOKUP(PV_DATA[[#This Row],[PORT DESTINATION]],Table12[PORT DESTINATION],Table12[Cosco Line],,0)</f>
        <v>AEU</v>
      </c>
    </row>
    <row r="826" spans="1:62" ht="10.5" hidden="1">
      <c r="A826" s="462" t="s">
        <v>5867</v>
      </c>
      <c r="B826" s="462" t="s">
        <v>111</v>
      </c>
      <c r="C826" s="462" t="str">
        <f>IFERROR(LEFT(PV_DATA[[#This Row],[TCL REFERENCE]],FIND(".",PV_DATA[[#This Row],[TCL REFERENCE]],1)-1),"Main Line")</f>
        <v>26Jun015</v>
      </c>
      <c r="D826" s="462" t="s">
        <v>63</v>
      </c>
      <c r="E826" s="462" t="s">
        <v>64</v>
      </c>
      <c r="F826" s="462" t="str" cm="1">
        <f t="array" ref="F82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26" s="462" t="s">
        <v>402</v>
      </c>
      <c r="H826" s="462" t="s">
        <v>67</v>
      </c>
      <c r="I826" s="462" t="s">
        <v>1395</v>
      </c>
      <c r="J826" s="430" t="s">
        <v>96</v>
      </c>
      <c r="K826" s="614"/>
      <c r="L826" s="614"/>
      <c r="M826" s="430" t="s">
        <v>68</v>
      </c>
      <c r="N826" s="432">
        <v>46202</v>
      </c>
      <c r="O826" s="430" t="s">
        <v>5388</v>
      </c>
      <c r="P826" s="430" t="s">
        <v>5409</v>
      </c>
      <c r="Q826" s="430" t="s">
        <v>5410</v>
      </c>
      <c r="R826" s="430" t="str">
        <f>_xlfn.XLOOKUP(PV_DATA[[#This Row],[New Ark SKU]],Table9[New Ark SKU],Table9[Connector],,0)</f>
        <v>EVO2A</v>
      </c>
      <c r="S826" s="433" t="str">
        <f>_xlfn.XLOOKUP(PV_DATA[[#This Row],[New Ark SKU]],Table9[New Ark SKU],Table9[Cable],,0)</f>
        <v>±1200mm</v>
      </c>
      <c r="T826" s="433">
        <v>465</v>
      </c>
      <c r="U826" s="1070">
        <f>936*2</f>
        <v>1872</v>
      </c>
      <c r="V826" s="434">
        <f>PV_DATA[[#This Row],[QUANTITY]]*PV_DATA[[#This Row],[WATT]]/1000000</f>
        <v>0.87048000000000003</v>
      </c>
      <c r="W826" s="435">
        <f>PV_DATA[[#This Row],[QUANTITY]]/PV_DATA[[#This Row],[Qty/Pallet]]</f>
        <v>52</v>
      </c>
      <c r="X826" s="1015">
        <f>PV_DATA[[#This Row],[QUANTITY]]/PV_DATA[[#This Row],[Qty/CT]]</f>
        <v>2</v>
      </c>
      <c r="Y826" s="430" t="s">
        <v>4374</v>
      </c>
      <c r="Z826" s="430" t="str">
        <f t="shared" si="10"/>
        <v>COMPLETED</v>
      </c>
      <c r="AA826" s="430" t="s">
        <v>5532</v>
      </c>
      <c r="AB826" s="437">
        <v>46239</v>
      </c>
      <c r="AC826" s="485">
        <f>IF(PV_DATA[[#This Row],[Pick-Up Date]]&lt;&gt;"",_xlfn.ISOWEEKNUM(PV_DATA[[#This Row],[Pick-Up Date]]),"")</f>
        <v>32</v>
      </c>
      <c r="AD826" s="430" t="s">
        <v>5868</v>
      </c>
      <c r="AE826" s="430"/>
      <c r="AF826" s="430" t="s">
        <v>122</v>
      </c>
      <c r="AG826" s="430" t="s">
        <v>123</v>
      </c>
      <c r="AH826" s="430" t="s">
        <v>105</v>
      </c>
      <c r="AI826" s="713">
        <v>46245</v>
      </c>
      <c r="AK826" s="1024">
        <v>46248</v>
      </c>
      <c r="AL826" s="437">
        <v>46281</v>
      </c>
      <c r="AM826" s="588">
        <f>IFERROR(VLOOKUP(AT826, Vessel!A:H, 8, FALSE), "")</f>
        <v>46284.875</v>
      </c>
      <c r="AN826" s="437">
        <f>IFERROR(IF(VLOOKUP(AT826,Vessel!A:I,9,FALSE)=0,"",VLOOKUP(AT826,Vessel!A:I,9,FALSE)),"")</f>
        <v>46285.134953703702</v>
      </c>
      <c r="AP826" s="430" t="s">
        <v>5809</v>
      </c>
      <c r="AQ826" s="430" t="s">
        <v>80</v>
      </c>
      <c r="AR826" s="430" t="s">
        <v>5869</v>
      </c>
      <c r="AS826" s="430" t="s">
        <v>5870</v>
      </c>
      <c r="AT826" s="430" t="s">
        <v>5870</v>
      </c>
      <c r="AU82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37.134953703702195</v>
      </c>
      <c r="AW826" s="437" cm="1">
        <f t="array" ref="AW82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46285.134953703702</v>
      </c>
      <c r="AX826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26" s="437">
        <f>IF(ISERROR(PV_DATA[[#This Row],[New Ark PO status]]),"",_xlfn.XLOOKUP(PV_DATA[[#This Row],[SPTN-PVHK New Ark PO'#]],New_Ark_Data[Purchase order Number],New_Ark_Data[Estimated time of arrival],"",0))</f>
        <v>46300</v>
      </c>
      <c r="AZ826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26" s="437">
        <f>IFERROR(PV_DATA[[#This Row],[ODP ETA Port]]+PV_DATA[[#This Row],[Customs/Leg3 Assumption]],"n/a")</f>
        <v>46292.134953703702</v>
      </c>
      <c r="BB826" s="433">
        <f>YEAR(PV_DATA[[#This Row],[ETA for New Ark update]])</f>
        <v>2026</v>
      </c>
      <c r="BC826" s="430">
        <f>MONTH(PV_DATA[[#This Row],[ETA for New Ark update]])</f>
        <v>9</v>
      </c>
      <c r="BD826" s="430">
        <f>IFERROR(_xlfn.ISOWEEKNUM(PV_DATA[[#This Row],[ETA for New Ark update]]),0)</f>
        <v>39</v>
      </c>
      <c r="BE826" s="430">
        <f>_xlfn.XLOOKUP(PV_DATA[[#This Row],[New Ark SKU]],Table9[New Ark SKU],Table9[Total PCS per Pallet],,0)</f>
        <v>36</v>
      </c>
      <c r="BF826" s="430">
        <f>_xlfn.XLOOKUP(PV_DATA[[#This Row],[New Ark SKU]],Table9[New Ark SKU],Table9[Total PCS per 40HQ Container],,0)</f>
        <v>936</v>
      </c>
      <c r="BG826" s="430" t="str">
        <f>_xlfn.XLOOKUP(PV_DATA[[#This Row],[New Ark SKU]],Table9[New Ark SKU],Table9[Back Glass],,0)</f>
        <v>Black glazing</v>
      </c>
      <c r="BH826" s="430" t="str">
        <f>_xlfn.XLOOKUP(PV_DATA[[#This Row],[PORT DESTINATION]],Table12[PORT DESTINATION],Table12[Cosco Line],,0)</f>
        <v>AEU</v>
      </c>
      <c r="BJ826" s="430"/>
    </row>
    <row r="827" spans="1:62" ht="10.5" hidden="1">
      <c r="A827" s="462" t="s">
        <v>5871</v>
      </c>
      <c r="B827" s="462" t="s">
        <v>111</v>
      </c>
      <c r="C827" s="462" t="str">
        <f>IFERROR(LEFT(PV_DATA[[#This Row],[TCL REFERENCE]],FIND(".",PV_DATA[[#This Row],[TCL REFERENCE]],1)-1),"Main Line")</f>
        <v>26Jul002</v>
      </c>
      <c r="D827" s="462" t="s">
        <v>63</v>
      </c>
      <c r="E827" s="462" t="s">
        <v>64</v>
      </c>
      <c r="F827" s="462" t="str" cm="1">
        <f t="array" ref="F82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27" s="462" t="s">
        <v>402</v>
      </c>
      <c r="H827" s="462" t="s">
        <v>67</v>
      </c>
      <c r="I827" s="462" t="s">
        <v>882</v>
      </c>
      <c r="J827" s="430" t="s">
        <v>96</v>
      </c>
      <c r="K827" s="430"/>
      <c r="L827" s="430"/>
      <c r="M827" s="430" t="s">
        <v>68</v>
      </c>
      <c r="N827" s="432">
        <v>46209</v>
      </c>
      <c r="O827" s="430" t="s">
        <v>550</v>
      </c>
      <c r="P827" s="430" t="s">
        <v>2134</v>
      </c>
      <c r="Q827" s="430" t="s">
        <v>2135</v>
      </c>
      <c r="R827" s="430" t="str">
        <f>_xlfn.XLOOKUP(PV_DATA[[#This Row],[New Ark SKU]],Table9[New Ark SKU],Table9[Connector],,0)</f>
        <v>EVO2A</v>
      </c>
      <c r="S827" s="433" t="str">
        <f>_xlfn.XLOOKUP(PV_DATA[[#This Row],[New Ark SKU]],Table9[New Ark SKU],Table9[Cable],,0)</f>
        <v>±1350mm</v>
      </c>
      <c r="T827" s="433">
        <v>515</v>
      </c>
      <c r="U827" s="1070">
        <v>1584</v>
      </c>
      <c r="V827" s="434">
        <f>PV_DATA[[#This Row],[QUANTITY]]*PV_DATA[[#This Row],[WATT]]/1000000</f>
        <v>0.81576000000000004</v>
      </c>
      <c r="W827" s="435">
        <f>PV_DATA[[#This Row],[QUANTITY]]/PV_DATA[[#This Row],[Qty/Pallet]]</f>
        <v>44</v>
      </c>
      <c r="X827" s="1015">
        <f>PV_DATA[[#This Row],[QUANTITY]]/PV_DATA[[#This Row],[Qty/CT]]</f>
        <v>2</v>
      </c>
      <c r="Y827" s="430" t="s">
        <v>4374</v>
      </c>
      <c r="Z827" s="430" t="str">
        <f t="shared" si="10"/>
        <v>COMPLETED</v>
      </c>
      <c r="AA827" s="430"/>
      <c r="AB827" s="437">
        <v>46238</v>
      </c>
      <c r="AC827" s="485">
        <f>IF(PV_DATA[[#This Row],[Pick-Up Date]]&lt;&gt;"",_xlfn.ISOWEEKNUM(PV_DATA[[#This Row],[Pick-Up Date]]),"")</f>
        <v>32</v>
      </c>
      <c r="AD827" s="430" t="s">
        <v>5872</v>
      </c>
      <c r="AE827" s="430"/>
      <c r="AF827" s="430" t="s">
        <v>122</v>
      </c>
      <c r="AG827" s="430" t="s">
        <v>123</v>
      </c>
      <c r="AH827" s="430" t="s">
        <v>105</v>
      </c>
      <c r="AI827" s="713">
        <v>46245</v>
      </c>
      <c r="AK827" s="1024">
        <v>46248</v>
      </c>
      <c r="AL827" s="956">
        <v>46281</v>
      </c>
      <c r="AM827" s="1124">
        <f>IFERROR(VLOOKUP(AT827, Vessel!A:H, 8, FALSE), "")</f>
        <v>46284.875</v>
      </c>
      <c r="AN827" s="437">
        <f>IFERROR(IF(VLOOKUP(AT827,Vessel!A:I,9,FALSE)=0,"",VLOOKUP(AT827,Vessel!A:I,9,FALSE)),"")</f>
        <v>46285.134953703702</v>
      </c>
      <c r="AP827" s="430" t="s">
        <v>5809</v>
      </c>
      <c r="AQ827" s="430" t="s">
        <v>80</v>
      </c>
      <c r="AR827" s="430" t="s">
        <v>5873</v>
      </c>
      <c r="AS827" s="430" t="s">
        <v>5874</v>
      </c>
      <c r="AT827" s="430" t="s">
        <v>5874</v>
      </c>
      <c r="AU82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37.134953703702195</v>
      </c>
      <c r="AW827" s="437" cm="1">
        <f t="array" ref="AW82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46285.134953703702</v>
      </c>
      <c r="AX827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27" s="437">
        <f>IF(ISERROR(PV_DATA[[#This Row],[New Ark PO status]]),"",_xlfn.XLOOKUP(PV_DATA[[#This Row],[SPTN-PVHK New Ark PO'#]],New_Ark_Data[Purchase order Number],New_Ark_Data[Estimated time of arrival],"",0))</f>
        <v>46300</v>
      </c>
      <c r="AZ827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27" s="437">
        <f>IFERROR(PV_DATA[[#This Row],[ODP ETA Port]]+PV_DATA[[#This Row],[Customs/Leg3 Assumption]],"n/a")</f>
        <v>46292.134953703702</v>
      </c>
      <c r="BB827" s="433">
        <f>YEAR(PV_DATA[[#This Row],[ETA for New Ark update]])</f>
        <v>2026</v>
      </c>
      <c r="BC827" s="430">
        <f>MONTH(PV_DATA[[#This Row],[ETA for New Ark update]])</f>
        <v>9</v>
      </c>
      <c r="BD827" s="430">
        <f>IFERROR(_xlfn.ISOWEEKNUM(PV_DATA[[#This Row],[ETA for New Ark update]]),0)</f>
        <v>39</v>
      </c>
      <c r="BE827" s="430">
        <f>_xlfn.XLOOKUP(PV_DATA[[#This Row],[New Ark SKU]],Table9[New Ark SKU],Table9[Total PCS per Pallet],,0)</f>
        <v>36</v>
      </c>
      <c r="BF827" s="430">
        <f>_xlfn.XLOOKUP(PV_DATA[[#This Row],[New Ark SKU]],Table9[New Ark SKU],Table9[Total PCS per 40HQ Container],,0)</f>
        <v>792</v>
      </c>
      <c r="BG827" s="430" t="str">
        <f>_xlfn.XLOOKUP(PV_DATA[[#This Row],[New Ark SKU]],Table9[New Ark SKU],Table9[Back Glass],,0)</f>
        <v>Black glazing</v>
      </c>
      <c r="BH827" s="430" t="str">
        <f>_xlfn.XLOOKUP(PV_DATA[[#This Row],[PORT DESTINATION]],Table12[PORT DESTINATION],Table12[Cosco Line],,0)</f>
        <v>AEU</v>
      </c>
      <c r="BJ827" s="430"/>
    </row>
    <row r="828" spans="1:62" ht="10.5" hidden="1">
      <c r="A828" s="462" t="s">
        <v>5875</v>
      </c>
      <c r="B828" s="462" t="s">
        <v>111</v>
      </c>
      <c r="C828" s="462" t="str">
        <f>IFERROR(LEFT(PV_DATA[[#This Row],[TCL REFERENCE]],FIND(".",PV_DATA[[#This Row],[TCL REFERENCE]],1)-1),"Main Line")</f>
        <v>26Jun004</v>
      </c>
      <c r="D828" s="462" t="s">
        <v>63</v>
      </c>
      <c r="E828" s="462" t="s">
        <v>64</v>
      </c>
      <c r="F828" s="462" t="str" cm="1">
        <f t="array" ref="F82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28" s="462" t="s">
        <v>402</v>
      </c>
      <c r="H828" s="462" t="s">
        <v>67</v>
      </c>
      <c r="I828" s="462" t="s">
        <v>689</v>
      </c>
      <c r="J828" s="430" t="s">
        <v>96</v>
      </c>
      <c r="K828" s="430"/>
      <c r="L828" s="430"/>
      <c r="M828" s="430" t="s">
        <v>68</v>
      </c>
      <c r="N828" s="432">
        <v>46188</v>
      </c>
      <c r="O828" s="430" t="s">
        <v>132</v>
      </c>
      <c r="P828" s="430" t="s">
        <v>1062</v>
      </c>
      <c r="Q828" s="430" t="s">
        <v>1063</v>
      </c>
      <c r="R828" s="430" t="str">
        <f>_xlfn.XLOOKUP(PV_DATA[[#This Row],[New Ark SKU]],Table9[New Ark SKU],Table9[Connector],,0)</f>
        <v>EVO2A</v>
      </c>
      <c r="S828" s="433" t="str">
        <f>_xlfn.XLOOKUP(PV_DATA[[#This Row],[New Ark SKU]],Table9[New Ark SKU],Table9[Cable],,0)</f>
        <v>±1200mm</v>
      </c>
      <c r="T828" s="433">
        <v>470</v>
      </c>
      <c r="U828" s="1070">
        <f>864*5</f>
        <v>4320</v>
      </c>
      <c r="V828" s="434">
        <f>PV_DATA[[#This Row],[QUANTITY]]*PV_DATA[[#This Row],[WATT]]/1000000</f>
        <v>2.0304000000000002</v>
      </c>
      <c r="W828" s="435">
        <f>PV_DATA[[#This Row],[QUANTITY]]/PV_DATA[[#This Row],[Qty/Pallet]]</f>
        <v>120</v>
      </c>
      <c r="X828" s="1015">
        <f>PV_DATA[[#This Row],[QUANTITY]]/PV_DATA[[#This Row],[Qty/CT]]</f>
        <v>5</v>
      </c>
      <c r="Y828" s="430" t="s">
        <v>4371</v>
      </c>
      <c r="Z828" s="430" t="str">
        <f t="shared" si="10"/>
        <v>COMPLETED</v>
      </c>
      <c r="AA828" s="430"/>
      <c r="AB828" s="437">
        <v>46238</v>
      </c>
      <c r="AC828" s="485">
        <f>IF(PV_DATA[[#This Row],[Pick-Up Date]]&lt;&gt;"",_xlfn.ISOWEEKNUM(PV_DATA[[#This Row],[Pick-Up Date]]),"")</f>
        <v>32</v>
      </c>
      <c r="AD828" s="430" t="s">
        <v>5876</v>
      </c>
      <c r="AE828" s="430"/>
      <c r="AF828" s="430" t="s">
        <v>122</v>
      </c>
      <c r="AG828" s="430" t="s">
        <v>123</v>
      </c>
      <c r="AH828" s="430" t="s">
        <v>105</v>
      </c>
      <c r="AI828" s="713">
        <v>46245</v>
      </c>
      <c r="AK828" s="1024">
        <v>46248</v>
      </c>
      <c r="AL828" s="437">
        <v>46281</v>
      </c>
      <c r="AM828" s="588">
        <f>IFERROR(VLOOKUP(AT828, Vessel!A:H, 8, FALSE), "")</f>
        <v>46284.875</v>
      </c>
      <c r="AN828" s="437">
        <f>IFERROR(IF(VLOOKUP(AT828,Vessel!A:I,9,FALSE)=0,"",VLOOKUP(AT828,Vessel!A:I,9,FALSE)),"")</f>
        <v>46285.134953703702</v>
      </c>
      <c r="AP828" s="430" t="s">
        <v>5809</v>
      </c>
      <c r="AQ828" s="430" t="s">
        <v>80</v>
      </c>
      <c r="AR828" s="430" t="s">
        <v>5873</v>
      </c>
      <c r="AS828" s="430" t="s">
        <v>5874</v>
      </c>
      <c r="AT828" s="430" t="s">
        <v>5874</v>
      </c>
      <c r="AU82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37.134953703702195</v>
      </c>
      <c r="AV828" s="437"/>
      <c r="AW828" s="437" cm="1">
        <f t="array" ref="AW82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46285.134953703702</v>
      </c>
      <c r="AX828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28" s="437">
        <f>IF(ISERROR(PV_DATA[[#This Row],[New Ark PO status]]),"",_xlfn.XLOOKUP(PV_DATA[[#This Row],[SPTN-PVHK New Ark PO'#]],New_Ark_Data[Purchase order Number],New_Ark_Data[Estimated time of arrival],"",0))</f>
        <v>46300</v>
      </c>
      <c r="AZ828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28" s="437">
        <f>IFERROR(PV_DATA[[#This Row],[ODP ETA Port]]+PV_DATA[[#This Row],[Customs/Leg3 Assumption]],"n/a")</f>
        <v>46292.134953703702</v>
      </c>
      <c r="BB828" s="433">
        <f>YEAR(PV_DATA[[#This Row],[ETA for New Ark update]])</f>
        <v>2026</v>
      </c>
      <c r="BC828" s="430">
        <f>MONTH(PV_DATA[[#This Row],[ETA for New Ark update]])</f>
        <v>9</v>
      </c>
      <c r="BD828" s="430">
        <f>IFERROR(_xlfn.ISOWEEKNUM(PV_DATA[[#This Row],[ETA for New Ark update]]),0)</f>
        <v>39</v>
      </c>
      <c r="BE828" s="430">
        <f>_xlfn.XLOOKUP(PV_DATA[[#This Row],[New Ark SKU]],Table9[New Ark SKU],Table9[Total PCS per Pallet],,0)</f>
        <v>36</v>
      </c>
      <c r="BF828" s="430">
        <f>_xlfn.XLOOKUP(PV_DATA[[#This Row],[New Ark SKU]],Table9[New Ark SKU],Table9[Total PCS per 40HQ Container],,0)</f>
        <v>864</v>
      </c>
      <c r="BG828" s="430" t="str">
        <f>_xlfn.XLOOKUP(PV_DATA[[#This Row],[New Ark SKU]],Table9[New Ark SKU],Table9[Back Glass],,0)</f>
        <v>White glazing</v>
      </c>
      <c r="BH828" s="430" t="str">
        <f>_xlfn.XLOOKUP(PV_DATA[[#This Row],[PORT DESTINATION]],Table12[PORT DESTINATION],Table12[Cosco Line],,0)</f>
        <v>AEU</v>
      </c>
      <c r="BJ828" s="430"/>
    </row>
    <row r="829" spans="1:62" hidden="1">
      <c r="A829" s="462" t="s">
        <v>5877</v>
      </c>
      <c r="B829" s="462" t="s">
        <v>111</v>
      </c>
      <c r="C829" s="462" t="str">
        <f>IFERROR(LEFT(PV_DATA[[#This Row],[TCL REFERENCE]],FIND(".",PV_DATA[[#This Row],[TCL REFERENCE]],1)-1),"Main Line")</f>
        <v>Main Line</v>
      </c>
      <c r="D829" s="462" t="s">
        <v>63</v>
      </c>
      <c r="E829" s="462" t="s">
        <v>64</v>
      </c>
      <c r="F829" s="462" t="str" cm="1">
        <f t="array" ref="F82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29" s="910" t="s">
        <v>402</v>
      </c>
      <c r="H829" s="462" t="s">
        <v>67</v>
      </c>
      <c r="I829" s="462" t="s">
        <v>689</v>
      </c>
      <c r="J829" s="430" t="s">
        <v>5878</v>
      </c>
      <c r="K829" s="430"/>
      <c r="L829" s="430"/>
      <c r="M829" s="430" t="s">
        <v>68</v>
      </c>
      <c r="N829" s="432">
        <v>46174</v>
      </c>
      <c r="O829" s="430" t="s">
        <v>132</v>
      </c>
      <c r="P829" s="430" t="s">
        <v>133</v>
      </c>
      <c r="Q829" s="430" t="s">
        <v>134</v>
      </c>
      <c r="R829" s="430" t="str">
        <f>_xlfn.XLOOKUP(PV_DATA[[#This Row],[New Ark SKU]],Table9[New Ark SKU],Table9[Connector],,0)</f>
        <v>EVO2A</v>
      </c>
      <c r="S829" s="433" t="str">
        <f>_xlfn.XLOOKUP(PV_DATA[[#This Row],[New Ark SKU]],Table9[New Ark SKU],Table9[Cable],,0)</f>
        <v>±1400mm</v>
      </c>
      <c r="T829" s="433">
        <v>720</v>
      </c>
      <c r="U829" s="1070" cm="1">
        <f t="array" ref="U829">3564-fx_qty</f>
        <v>594</v>
      </c>
      <c r="V829" s="434">
        <f>PV_DATA[[#This Row],[QUANTITY]]*PV_DATA[[#This Row],[WATT]]/1000000</f>
        <v>0.42768</v>
      </c>
      <c r="W829" s="435">
        <f>PV_DATA[[#This Row],[QUANTITY]]/PV_DATA[[#This Row],[Qty/Pallet]]</f>
        <v>18</v>
      </c>
      <c r="X829" s="1015">
        <f>PV_DATA[[#This Row],[QUANTITY]]/PV_DATA[[#This Row],[Qty/CT]]</f>
        <v>1</v>
      </c>
      <c r="Y829" s="430" t="s">
        <v>4372</v>
      </c>
      <c r="Z829" s="430" t="str">
        <f t="shared" si="10"/>
        <v>COMPLETED</v>
      </c>
      <c r="AA829" s="430" t="s">
        <v>4999</v>
      </c>
      <c r="AB829" s="437">
        <v>46238</v>
      </c>
      <c r="AC829" s="485">
        <f>IF(PV_DATA[[#This Row],[Pick-Up Date]]&lt;&gt;"",_xlfn.ISOWEEKNUM(PV_DATA[[#This Row],[Pick-Up Date]]),"")</f>
        <v>32</v>
      </c>
      <c r="AD829" s="430" t="s">
        <v>5879</v>
      </c>
      <c r="AE829" s="430"/>
      <c r="AF829" s="430" t="s">
        <v>111</v>
      </c>
      <c r="AG829" s="430" t="s">
        <v>123</v>
      </c>
      <c r="AH829" s="430" t="s">
        <v>105</v>
      </c>
      <c r="AI829" s="713">
        <v>46245</v>
      </c>
      <c r="AK829" s="1024">
        <v>46248</v>
      </c>
      <c r="AL829" s="437">
        <v>46281</v>
      </c>
      <c r="AM829" s="588">
        <f>IFERROR(VLOOKUP(AT829, Vessel!A:H, 8, FALSE), "")</f>
        <v>46284.875</v>
      </c>
      <c r="AN829" s="588">
        <f>IFERROR(IF(VLOOKUP(AT829,Vessel!A:I,9,FALSE)=0,"",VLOOKUP(AT829,Vessel!A:I,9,FALSE)),"")</f>
        <v>46285.134953703702</v>
      </c>
      <c r="AP829" s="430" t="s">
        <v>5809</v>
      </c>
      <c r="AQ829" s="430" t="s">
        <v>80</v>
      </c>
      <c r="AR829" s="430" t="s">
        <v>5873</v>
      </c>
      <c r="AS829" s="430" t="s">
        <v>5874</v>
      </c>
      <c r="AT829" s="430" t="s">
        <v>5874</v>
      </c>
      <c r="AU82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37.134953703702195</v>
      </c>
      <c r="AW829" s="437" cm="1">
        <f t="array" ref="AW82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46285.134953703702</v>
      </c>
      <c r="AX829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29" s="437">
        <f>IF(ISERROR(PV_DATA[[#This Row],[New Ark PO status]]),"",_xlfn.XLOOKUP(PV_DATA[[#This Row],[SPTN-PVHK New Ark PO'#]],New_Ark_Data[Purchase order Number],New_Ark_Data[Estimated time of arrival],"",0))</f>
        <v>46300</v>
      </c>
      <c r="AZ829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29" s="437">
        <f>IFERROR(PV_DATA[[#This Row],[ODP ETA Port]]+PV_DATA[[#This Row],[Customs/Leg3 Assumption]],"n/a")</f>
        <v>46292.134953703702</v>
      </c>
      <c r="BB829" s="433">
        <f>YEAR(PV_DATA[[#This Row],[ETA for New Ark update]])</f>
        <v>2026</v>
      </c>
      <c r="BC829" s="430">
        <f>MONTH(PV_DATA[[#This Row],[ETA for New Ark update]])</f>
        <v>9</v>
      </c>
      <c r="BD829" s="430">
        <f>IFERROR(_xlfn.ISOWEEKNUM(PV_DATA[[#This Row],[ETA for New Ark update]]),0)</f>
        <v>39</v>
      </c>
      <c r="BE829" s="430">
        <f>_xlfn.XLOOKUP(PV_DATA[[#This Row],[New Ark SKU]],Table9[New Ark SKU],Table9[Total PCS per Pallet],,0)</f>
        <v>33</v>
      </c>
      <c r="BF829" s="430">
        <f>_xlfn.XLOOKUP(PV_DATA[[#This Row],[New Ark SKU]],Table9[New Ark SKU],Table9[Total PCS per 40HQ Container],,0)</f>
        <v>594</v>
      </c>
      <c r="BG829" s="430" t="str">
        <f>_xlfn.XLOOKUP(PV_DATA[[#This Row],[New Ark SKU]],Table9[New Ark SKU],Table9[Back Glass],,0)</f>
        <v>White glazing</v>
      </c>
      <c r="BH829" s="430" t="str">
        <f>_xlfn.XLOOKUP(PV_DATA[[#This Row],[PORT DESTINATION]],Table12[PORT DESTINATION],Table12[Cosco Line],,0)</f>
        <v>AEU</v>
      </c>
      <c r="BJ829" s="430"/>
    </row>
    <row r="830" spans="1:62" hidden="1">
      <c r="A830" s="462" t="s">
        <v>5880</v>
      </c>
      <c r="B830" s="462" t="s">
        <v>111</v>
      </c>
      <c r="C830" s="462" t="str">
        <f>IFERROR(LEFT(PV_DATA[[#This Row],[TCL REFERENCE]],FIND(".",PV_DATA[[#This Row],[TCL REFERENCE]],1)-1),"Main Line")</f>
        <v>Main Line</v>
      </c>
      <c r="D830" s="462" t="s">
        <v>63</v>
      </c>
      <c r="E830" s="462" t="s">
        <v>64</v>
      </c>
      <c r="F830" s="462" t="str" cm="1">
        <f t="array" ref="F83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30" s="910" t="s">
        <v>402</v>
      </c>
      <c r="H830" s="462" t="s">
        <v>67</v>
      </c>
      <c r="I830" s="462" t="s">
        <v>689</v>
      </c>
      <c r="J830" s="430" t="s">
        <v>5881</v>
      </c>
      <c r="K830" s="430"/>
      <c r="L830" s="430"/>
      <c r="M830" s="430" t="s">
        <v>68</v>
      </c>
      <c r="N830" s="432">
        <v>46174</v>
      </c>
      <c r="O830" s="430" t="s">
        <v>132</v>
      </c>
      <c r="P830" s="430" t="s">
        <v>5882</v>
      </c>
      <c r="Q830" s="430" t="s">
        <v>5883</v>
      </c>
      <c r="R830" s="430" t="str">
        <f>_xlfn.XLOOKUP(PV_DATA[[#This Row],[New Ark SKU]],Table9[New Ark SKU],Table9[Connector],,0)</f>
        <v>EVO2A</v>
      </c>
      <c r="S830" s="433" t="str">
        <f>_xlfn.XLOOKUP(PV_DATA[[#This Row],[New Ark SKU]],Table9[New Ark SKU],Table9[Cable],,0)</f>
        <v>±1400mm</v>
      </c>
      <c r="T830" s="433">
        <v>715</v>
      </c>
      <c r="U830" s="1070">
        <f>594</f>
        <v>594</v>
      </c>
      <c r="V830" s="434">
        <f>PV_DATA[[#This Row],[QUANTITY]]*PV_DATA[[#This Row],[WATT]]/1000000</f>
        <v>0.42470999999999998</v>
      </c>
      <c r="W830" s="435">
        <f>PV_DATA[[#This Row],[QUANTITY]]/PV_DATA[[#This Row],[Qty/Pallet]]</f>
        <v>18</v>
      </c>
      <c r="X830" s="1015">
        <f>PV_DATA[[#This Row],[QUANTITY]]/PV_DATA[[#This Row],[Qty/CT]]</f>
        <v>1</v>
      </c>
      <c r="Y830" s="430" t="s">
        <v>4372</v>
      </c>
      <c r="Z830" s="430" t="str">
        <f t="shared" si="10"/>
        <v>COMPLETED</v>
      </c>
      <c r="AA830" s="430" t="s">
        <v>4999</v>
      </c>
      <c r="AB830" s="437">
        <v>46238</v>
      </c>
      <c r="AC830" s="485">
        <f>IF(PV_DATA[[#This Row],[Pick-Up Date]]&lt;&gt;"",_xlfn.ISOWEEKNUM(PV_DATA[[#This Row],[Pick-Up Date]]),"")</f>
        <v>32</v>
      </c>
      <c r="AD830" s="430" t="s">
        <v>5884</v>
      </c>
      <c r="AE830" s="430"/>
      <c r="AF830" s="430" t="s">
        <v>111</v>
      </c>
      <c r="AG830" s="430" t="s">
        <v>123</v>
      </c>
      <c r="AH830" s="430" t="s">
        <v>105</v>
      </c>
      <c r="AI830" s="713">
        <v>46245</v>
      </c>
      <c r="AK830" s="1024">
        <v>46248</v>
      </c>
      <c r="AL830" s="437">
        <v>46281</v>
      </c>
      <c r="AM830" s="588">
        <f>IFERROR(VLOOKUP(AT830, Vessel!A:H, 8, FALSE), "")</f>
        <v>46284.875</v>
      </c>
      <c r="AN830" s="588">
        <f>IFERROR(IF(VLOOKUP(AT830,Vessel!A:I,9,FALSE)=0,"",VLOOKUP(AT830,Vessel!A:I,9,FALSE)),"")</f>
        <v>46285.134953703702</v>
      </c>
      <c r="AP830" s="430" t="s">
        <v>5809</v>
      </c>
      <c r="AQ830" s="430" t="s">
        <v>80</v>
      </c>
      <c r="AR830" s="430" t="s">
        <v>5873</v>
      </c>
      <c r="AS830" s="430" t="s">
        <v>5874</v>
      </c>
      <c r="AT830" s="430" t="s">
        <v>5874</v>
      </c>
      <c r="AU83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37.134953703702195</v>
      </c>
      <c r="AW830" s="437" cm="1">
        <f t="array" ref="AW83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46285.134953703702</v>
      </c>
      <c r="AX830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30" s="437">
        <f>IF(ISERROR(PV_DATA[[#This Row],[New Ark PO status]]),"",_xlfn.XLOOKUP(PV_DATA[[#This Row],[SPTN-PVHK New Ark PO'#]],New_Ark_Data[Purchase order Number],New_Ark_Data[Estimated time of arrival],"",0))</f>
        <v>46288</v>
      </c>
      <c r="AZ830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30" s="437">
        <f>IFERROR(PV_DATA[[#This Row],[ODP ETA Port]]+PV_DATA[[#This Row],[Customs/Leg3 Assumption]],"n/a")</f>
        <v>46292.134953703702</v>
      </c>
      <c r="BB830" s="433">
        <f>YEAR(PV_DATA[[#This Row],[ETA for New Ark update]])</f>
        <v>2026</v>
      </c>
      <c r="BC830" s="430">
        <f>MONTH(PV_DATA[[#This Row],[ETA for New Ark update]])</f>
        <v>9</v>
      </c>
      <c r="BD830" s="430">
        <f>IFERROR(_xlfn.ISOWEEKNUM(PV_DATA[[#This Row],[ETA for New Ark update]]),0)</f>
        <v>39</v>
      </c>
      <c r="BE830" s="430">
        <f>_xlfn.XLOOKUP(PV_DATA[[#This Row],[New Ark SKU]],Table9[New Ark SKU],Table9[Total PCS per Pallet],,0)</f>
        <v>33</v>
      </c>
      <c r="BF830" s="430">
        <f>_xlfn.XLOOKUP(PV_DATA[[#This Row],[New Ark SKU]],Table9[New Ark SKU],Table9[Total PCS per 40HQ Container],,0)</f>
        <v>594</v>
      </c>
      <c r="BG830" s="430" t="str">
        <f>_xlfn.XLOOKUP(PV_DATA[[#This Row],[New Ark SKU]],Table9[New Ark SKU],Table9[Back Glass],,0)</f>
        <v>White glazing</v>
      </c>
      <c r="BH830" s="430" t="str">
        <f>_xlfn.XLOOKUP(PV_DATA[[#This Row],[PORT DESTINATION]],Table12[PORT DESTINATION],Table12[Cosco Line],,0)</f>
        <v>AEU</v>
      </c>
      <c r="BJ830" s="430"/>
    </row>
    <row r="831" spans="1:62" ht="10.5" hidden="1">
      <c r="A831" s="462" t="s">
        <v>5885</v>
      </c>
      <c r="B831" s="462" t="s">
        <v>111</v>
      </c>
      <c r="C831" s="462" t="str">
        <f>IFERROR(LEFT(PV_DATA[[#This Row],[TCL REFERENCE]],FIND(".",PV_DATA[[#This Row],[TCL REFERENCE]],1)-1),"Main Line")</f>
        <v>26Jul002</v>
      </c>
      <c r="D831" s="462" t="s">
        <v>63</v>
      </c>
      <c r="E831" s="462" t="s">
        <v>64</v>
      </c>
      <c r="F831" s="462" t="str" cm="1">
        <f t="array" ref="F83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31" s="462" t="s">
        <v>402</v>
      </c>
      <c r="H831" s="462" t="s">
        <v>67</v>
      </c>
      <c r="I831" s="462" t="s">
        <v>689</v>
      </c>
      <c r="J831" s="430" t="s">
        <v>96</v>
      </c>
      <c r="K831" s="430"/>
      <c r="L831" s="430"/>
      <c r="M831" s="430" t="s">
        <v>68</v>
      </c>
      <c r="N831" s="432">
        <v>46209</v>
      </c>
      <c r="O831" s="430" t="s">
        <v>550</v>
      </c>
      <c r="P831" s="430" t="s">
        <v>2134</v>
      </c>
      <c r="Q831" s="430" t="s">
        <v>2135</v>
      </c>
      <c r="R831" s="430" t="str">
        <f>_xlfn.XLOOKUP(PV_DATA[[#This Row],[New Ark SKU]],Table9[New Ark SKU],Table9[Connector],,0)</f>
        <v>EVO2A</v>
      </c>
      <c r="S831" s="433" t="str">
        <f>_xlfn.XLOOKUP(PV_DATA[[#This Row],[New Ark SKU]],Table9[New Ark SKU],Table9[Cable],,0)</f>
        <v>±1350mm</v>
      </c>
      <c r="T831" s="433">
        <v>515</v>
      </c>
      <c r="U831" s="1070">
        <f>792*3</f>
        <v>2376</v>
      </c>
      <c r="V831" s="434">
        <f>PV_DATA[[#This Row],[QUANTITY]]*PV_DATA[[#This Row],[WATT]]/1000000</f>
        <v>1.2236400000000001</v>
      </c>
      <c r="W831" s="435">
        <f>PV_DATA[[#This Row],[QUANTITY]]/PV_DATA[[#This Row],[Qty/Pallet]]</f>
        <v>66</v>
      </c>
      <c r="X831" s="1015">
        <f>PV_DATA[[#This Row],[QUANTITY]]/PV_DATA[[#This Row],[Qty/CT]]</f>
        <v>3</v>
      </c>
      <c r="Y831" s="430" t="s">
        <v>4374</v>
      </c>
      <c r="Z831" s="430" t="str">
        <f t="shared" si="10"/>
        <v>COMPLETED</v>
      </c>
      <c r="AA831" s="430"/>
      <c r="AB831" s="437">
        <v>46238</v>
      </c>
      <c r="AC831" s="485">
        <f>IF(PV_DATA[[#This Row],[Pick-Up Date]]&lt;&gt;"",_xlfn.ISOWEEKNUM(PV_DATA[[#This Row],[Pick-Up Date]]),"")</f>
        <v>32</v>
      </c>
      <c r="AD831" s="430" t="s">
        <v>5886</v>
      </c>
      <c r="AE831" s="430"/>
      <c r="AF831" s="430" t="s">
        <v>122</v>
      </c>
      <c r="AG831" s="430" t="s">
        <v>123</v>
      </c>
      <c r="AH831" s="430" t="s">
        <v>105</v>
      </c>
      <c r="AI831" s="713">
        <v>46248</v>
      </c>
      <c r="AK831" s="1024">
        <v>46248</v>
      </c>
      <c r="AL831" s="1078">
        <v>46291</v>
      </c>
      <c r="AM831" s="1124">
        <f>IFERROR(VLOOKUP(AT831, Vessel!A:H, 8, FALSE), "")</f>
        <v>46284.875</v>
      </c>
      <c r="AN831" s="588">
        <f>IFERROR(IF(VLOOKUP(AT831,Vessel!A:I,9,FALSE)=0,"",VLOOKUP(AT831,Vessel!A:I,9,FALSE)),"")</f>
        <v>46285.134953703702</v>
      </c>
      <c r="AP831" s="430" t="s">
        <v>5887</v>
      </c>
      <c r="AQ831" s="438" t="s">
        <v>80</v>
      </c>
      <c r="AR831" s="430" t="s">
        <v>5888</v>
      </c>
      <c r="AS831" s="430" t="s">
        <v>5889</v>
      </c>
      <c r="AT831" s="430" t="s">
        <v>5889</v>
      </c>
      <c r="AU83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37.134953703702195</v>
      </c>
      <c r="AW831" s="437" cm="1">
        <f t="array" ref="AW83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46285.134953703702</v>
      </c>
      <c r="AX831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31" s="437">
        <f>IF(ISERROR(PV_DATA[[#This Row],[New Ark PO status]]),"",_xlfn.XLOOKUP(PV_DATA[[#This Row],[SPTN-PVHK New Ark PO'#]],New_Ark_Data[Purchase order Number],New_Ark_Data[Estimated time of arrival],"",0))</f>
        <v>46300</v>
      </c>
      <c r="AZ831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31" s="437">
        <f>IFERROR(PV_DATA[[#This Row],[ODP ETA Port]]+PV_DATA[[#This Row],[Customs/Leg3 Assumption]],"n/a")</f>
        <v>46292.134953703702</v>
      </c>
      <c r="BB831" s="433">
        <f>YEAR(PV_DATA[[#This Row],[ETA for New Ark update]])</f>
        <v>2026</v>
      </c>
      <c r="BC831" s="430">
        <f>MONTH(PV_DATA[[#This Row],[ETA for New Ark update]])</f>
        <v>9</v>
      </c>
      <c r="BD831" s="430">
        <f>IFERROR(_xlfn.ISOWEEKNUM(PV_DATA[[#This Row],[ETA for New Ark update]]),0)</f>
        <v>39</v>
      </c>
      <c r="BE831" s="430">
        <f>_xlfn.XLOOKUP(PV_DATA[[#This Row],[New Ark SKU]],Table9[New Ark SKU],Table9[Total PCS per Pallet],,0)</f>
        <v>36</v>
      </c>
      <c r="BF831" s="430">
        <f>_xlfn.XLOOKUP(PV_DATA[[#This Row],[New Ark SKU]],Table9[New Ark SKU],Table9[Total PCS per 40HQ Container],,0)</f>
        <v>792</v>
      </c>
      <c r="BG831" s="430" t="str">
        <f>_xlfn.XLOOKUP(PV_DATA[[#This Row],[New Ark SKU]],Table9[New Ark SKU],Table9[Back Glass],,0)</f>
        <v>Black glazing</v>
      </c>
      <c r="BH831" s="430" t="str">
        <f>_xlfn.XLOOKUP(PV_DATA[[#This Row],[PORT DESTINATION]],Table12[PORT DESTINATION],Table12[Cosco Line],,0)</f>
        <v>AEU</v>
      </c>
      <c r="BJ831" s="430"/>
    </row>
    <row r="832" spans="1:62" ht="10.5" hidden="1">
      <c r="A832" s="462" t="s">
        <v>5890</v>
      </c>
      <c r="B832" s="462" t="s">
        <v>111</v>
      </c>
      <c r="C832" s="462" t="str">
        <f>IFERROR(LEFT(PV_DATA[[#This Row],[TCL REFERENCE]],FIND(".",PV_DATA[[#This Row],[TCL REFERENCE]],1)-1),"Main Line")</f>
        <v>26Jun015</v>
      </c>
      <c r="D832" s="462" t="s">
        <v>63</v>
      </c>
      <c r="E832" s="462" t="s">
        <v>64</v>
      </c>
      <c r="F832" s="462" t="str" cm="1">
        <f t="array" ref="F83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32" s="462" t="s">
        <v>402</v>
      </c>
      <c r="H832" s="462" t="s">
        <v>67</v>
      </c>
      <c r="I832" s="462" t="s">
        <v>882</v>
      </c>
      <c r="J832" s="430" t="s">
        <v>96</v>
      </c>
      <c r="K832" s="430"/>
      <c r="L832" s="430"/>
      <c r="M832" s="430" t="s">
        <v>68</v>
      </c>
      <c r="N832" s="432">
        <v>46202</v>
      </c>
      <c r="O832" s="430" t="s">
        <v>5388</v>
      </c>
      <c r="P832" s="430" t="s">
        <v>5409</v>
      </c>
      <c r="Q832" s="430" t="s">
        <v>5410</v>
      </c>
      <c r="R832" s="430" t="str">
        <f>_xlfn.XLOOKUP(PV_DATA[[#This Row],[New Ark SKU]],Table9[New Ark SKU],Table9[Connector],,0)</f>
        <v>EVO2A</v>
      </c>
      <c r="S832" s="433" t="str">
        <f>_xlfn.XLOOKUP(PV_DATA[[#This Row],[New Ark SKU]],Table9[New Ark SKU],Table9[Cable],,0)</f>
        <v>±1200mm</v>
      </c>
      <c r="T832" s="433">
        <v>465</v>
      </c>
      <c r="U832" s="1070">
        <v>4680</v>
      </c>
      <c r="V832" s="544">
        <f>PV_DATA[[#This Row],[QUANTITY]]*PV_DATA[[#This Row],[WATT]]/1000000</f>
        <v>2.1762000000000001</v>
      </c>
      <c r="W832" s="435">
        <f>PV_DATA[[#This Row],[QUANTITY]]/PV_DATA[[#This Row],[Qty/Pallet]]</f>
        <v>130</v>
      </c>
      <c r="X832" s="1015">
        <f>PV_DATA[[#This Row],[QUANTITY]]/PV_DATA[[#This Row],[Qty/CT]]</f>
        <v>5</v>
      </c>
      <c r="Y832" s="430" t="s">
        <v>4374</v>
      </c>
      <c r="Z832" s="430" t="str">
        <f t="shared" si="10"/>
        <v>COMPLETED</v>
      </c>
      <c r="AA832" s="430" t="s">
        <v>5532</v>
      </c>
      <c r="AB832" s="437">
        <v>46238</v>
      </c>
      <c r="AC832" s="485">
        <f>IF(PV_DATA[[#This Row],[Pick-Up Date]]&lt;&gt;"",_xlfn.ISOWEEKNUM(PV_DATA[[#This Row],[Pick-Up Date]]),"")</f>
        <v>32</v>
      </c>
      <c r="AD832" s="430" t="s">
        <v>5891</v>
      </c>
      <c r="AE832" s="430"/>
      <c r="AF832" s="430" t="s">
        <v>122</v>
      </c>
      <c r="AG832" s="430" t="s">
        <v>123</v>
      </c>
      <c r="AH832" s="430" t="s">
        <v>105</v>
      </c>
      <c r="AI832" s="713">
        <v>46248</v>
      </c>
      <c r="AK832" s="1024">
        <v>46248</v>
      </c>
      <c r="AL832" s="437">
        <v>46291</v>
      </c>
      <c r="AM832" s="588">
        <f>IFERROR(VLOOKUP(AT832, Vessel!A:H, 8, FALSE), "")</f>
        <v>46284.875</v>
      </c>
      <c r="AN832" s="588">
        <f>IFERROR(IF(VLOOKUP(AT832,Vessel!A:I,9,FALSE)=0,"",VLOOKUP(AT832,Vessel!A:I,9,FALSE)),"")</f>
        <v>46285.134953703702</v>
      </c>
      <c r="AP832" s="430" t="s">
        <v>5887</v>
      </c>
      <c r="AQ832" s="430" t="s">
        <v>80</v>
      </c>
      <c r="AR832" s="430" t="s">
        <v>5888</v>
      </c>
      <c r="AS832" s="430" t="s">
        <v>5889</v>
      </c>
      <c r="AT832" s="430" t="s">
        <v>5889</v>
      </c>
      <c r="AU83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37.134953703702195</v>
      </c>
      <c r="AV832" s="437"/>
      <c r="AW832" s="437" cm="1">
        <f t="array" ref="AW83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46285.134953703702</v>
      </c>
      <c r="AX832" s="433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32" s="437">
        <f>IF(ISERROR(PV_DATA[[#This Row],[New Ark PO status]]),"",_xlfn.XLOOKUP(PV_DATA[[#This Row],[SPTN-PVHK New Ark PO'#]],New_Ark_Data[Purchase order Number],New_Ark_Data[Estimated time of arrival],"",0))</f>
        <v>46300</v>
      </c>
      <c r="AZ832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32" s="437">
        <f>IFERROR(PV_DATA[[#This Row],[ODP ETA Port]]+PV_DATA[[#This Row],[Customs/Leg3 Assumption]],"n/a")</f>
        <v>46292.134953703702</v>
      </c>
      <c r="BB832" s="433">
        <f>YEAR(PV_DATA[[#This Row],[ETA for New Ark update]])</f>
        <v>2026</v>
      </c>
      <c r="BC832" s="430">
        <f>MONTH(PV_DATA[[#This Row],[ETA for New Ark update]])</f>
        <v>9</v>
      </c>
      <c r="BD832" s="430">
        <f>IFERROR(_xlfn.ISOWEEKNUM(PV_DATA[[#This Row],[ETA for New Ark update]]),0)</f>
        <v>39</v>
      </c>
      <c r="BE832" s="430">
        <f>_xlfn.XLOOKUP(PV_DATA[[#This Row],[New Ark SKU]],Table9[New Ark SKU],Table9[Total PCS per Pallet],,0)</f>
        <v>36</v>
      </c>
      <c r="BF832" s="430">
        <f>_xlfn.XLOOKUP(PV_DATA[[#This Row],[New Ark SKU]],Table9[New Ark SKU],Table9[Total PCS per 40HQ Container],,0)</f>
        <v>936</v>
      </c>
      <c r="BG832" s="430" t="str">
        <f>_xlfn.XLOOKUP(PV_DATA[[#This Row],[New Ark SKU]],Table9[New Ark SKU],Table9[Back Glass],,0)</f>
        <v>Black glazing</v>
      </c>
      <c r="BH832" s="610" t="str">
        <f>_xlfn.XLOOKUP(PV_DATA[[#This Row],[PORT DESTINATION]],Table12[PORT DESTINATION],Table12[Cosco Line],,0)</f>
        <v>AEU</v>
      </c>
      <c r="BJ832" s="430"/>
    </row>
    <row r="833" spans="1:60" s="462" customFormat="1" ht="10.5" hidden="1">
      <c r="A833" s="462" t="s">
        <v>5892</v>
      </c>
      <c r="B833" s="462" t="s">
        <v>111</v>
      </c>
      <c r="C833" s="462" t="str">
        <f>IFERROR(LEFT(PV_DATA[[#This Row],[TCL REFERENCE]],FIND(".",PV_DATA[[#This Row],[TCL REFERENCE]],1)-1),"Main Line")</f>
        <v>26Jun015</v>
      </c>
      <c r="D833" s="462" t="s">
        <v>63</v>
      </c>
      <c r="E833" s="462" t="s">
        <v>64</v>
      </c>
      <c r="F833" s="462" t="str" cm="1">
        <f t="array" ref="F83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33" s="462" t="s">
        <v>402</v>
      </c>
      <c r="H833" s="462" t="s">
        <v>67</v>
      </c>
      <c r="I833" s="462" t="s">
        <v>882</v>
      </c>
      <c r="J833" s="462" t="s">
        <v>96</v>
      </c>
      <c r="M833" s="462" t="s">
        <v>68</v>
      </c>
      <c r="N833" s="712">
        <v>46202</v>
      </c>
      <c r="O833" s="462" t="s">
        <v>5388</v>
      </c>
      <c r="P833" s="462" t="s">
        <v>5409</v>
      </c>
      <c r="Q833" s="462" t="s">
        <v>5410</v>
      </c>
      <c r="R833" s="430" t="str">
        <f>_xlfn.XLOOKUP(PV_DATA[[#This Row],[New Ark SKU]],Table9[New Ark SKU],Table9[Connector],,0)</f>
        <v>EVO2A</v>
      </c>
      <c r="S833" s="433" t="str">
        <f>_xlfn.XLOOKUP(PV_DATA[[#This Row],[New Ark SKU]],Table9[New Ark SKU],Table9[Cable],,0)</f>
        <v>±1200mm</v>
      </c>
      <c r="T833" s="936">
        <v>465</v>
      </c>
      <c r="U833" s="1069">
        <f>936*3</f>
        <v>2808</v>
      </c>
      <c r="V833" s="458">
        <f>PV_DATA[[#This Row],[QUANTITY]]*PV_DATA[[#This Row],[WATT]]/1000000</f>
        <v>1.30572</v>
      </c>
      <c r="W833" s="714">
        <f>PV_DATA[[#This Row],[QUANTITY]]/PV_DATA[[#This Row],[Qty/Pallet]]</f>
        <v>78</v>
      </c>
      <c r="X833" s="1017">
        <f>PV_DATA[[#This Row],[QUANTITY]]/PV_DATA[[#This Row],[Qty/CT]]</f>
        <v>3</v>
      </c>
      <c r="Y833" s="462" t="s">
        <v>4374</v>
      </c>
      <c r="Z833" s="462" t="str">
        <f t="shared" si="10"/>
        <v>COMPLETED</v>
      </c>
      <c r="AA833" s="462" t="s">
        <v>5532</v>
      </c>
      <c r="AB833" s="713">
        <v>46237</v>
      </c>
      <c r="AC833" s="937">
        <f>IF(PV_DATA[[#This Row],[Pick-Up Date]]&lt;&gt;"",_xlfn.ISOWEEKNUM(PV_DATA[[#This Row],[Pick-Up Date]]),"")</f>
        <v>32</v>
      </c>
      <c r="AD833" s="462" t="s">
        <v>5893</v>
      </c>
      <c r="AF833" s="462" t="s">
        <v>122</v>
      </c>
      <c r="AG833" s="462" t="s">
        <v>123</v>
      </c>
      <c r="AH833" s="462" t="s">
        <v>105</v>
      </c>
      <c r="AI833" s="713">
        <v>46244</v>
      </c>
      <c r="AJ833" s="713"/>
      <c r="AK833" s="437">
        <f>IFERROR(IF(VLOOKUP(AT833,Vessel!A:F,5,FALSE)=0,"",VLOOKUP(AT833,Vessel!A:F,5,FALSE)),"")</f>
        <v>46249.754317129627</v>
      </c>
      <c r="AL833" s="713">
        <v>46281</v>
      </c>
      <c r="AM833" s="939">
        <f>IFERROR(VLOOKUP(AT833, Vessel!A:H, 8, FALSE), "")</f>
        <v>46300.4375</v>
      </c>
      <c r="AN833" s="939">
        <v>46300</v>
      </c>
      <c r="AP833" s="462" t="s">
        <v>5894</v>
      </c>
      <c r="AQ833" s="940" t="s">
        <v>80</v>
      </c>
      <c r="AR833" s="462" t="s">
        <v>5895</v>
      </c>
      <c r="AS833" s="462" t="s">
        <v>5896</v>
      </c>
      <c r="AT833" s="462" t="s">
        <v>5896</v>
      </c>
      <c r="AU83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50.245682870372548</v>
      </c>
      <c r="AW833" s="713" cm="1">
        <f t="array" ref="AW83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46300</v>
      </c>
      <c r="AX83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33" s="713">
        <f>IF(ISERROR(PV_DATA[[#This Row],[New Ark PO status]]),"",_xlfn.XLOOKUP(PV_DATA[[#This Row],[SPTN-PVHK New Ark PO'#]],New_Ark_Data[Purchase order Number],New_Ark_Data[Estimated time of arrival],"",0))</f>
        <v>46288</v>
      </c>
      <c r="AZ833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33" s="713">
        <f>IFERROR(PV_DATA[[#This Row],[ODP ETA Port]]+PV_DATA[[#This Row],[Customs/Leg3 Assumption]],"n/a")</f>
        <v>46307</v>
      </c>
      <c r="BB833" s="936">
        <f>YEAR(PV_DATA[[#This Row],[ETA for New Ark update]])</f>
        <v>2026</v>
      </c>
      <c r="BC833" s="462">
        <f>MONTH(PV_DATA[[#This Row],[ETA for New Ark update]])</f>
        <v>10</v>
      </c>
      <c r="BD833" s="462">
        <f>IFERROR(_xlfn.ISOWEEKNUM(PV_DATA[[#This Row],[ETA for New Ark update]]),0)</f>
        <v>42</v>
      </c>
      <c r="BE833" s="462">
        <f>_xlfn.XLOOKUP(PV_DATA[[#This Row],[New Ark SKU]],Table9[New Ark SKU],Table9[Total PCS per Pallet],,0)</f>
        <v>36</v>
      </c>
      <c r="BF833" s="462">
        <f>_xlfn.XLOOKUP(PV_DATA[[#This Row],[New Ark SKU]],Table9[New Ark SKU],Table9[Total PCS per 40HQ Container],,0)</f>
        <v>936</v>
      </c>
      <c r="BG833" s="462" t="str">
        <f>_xlfn.XLOOKUP(PV_DATA[[#This Row],[New Ark SKU]],Table9[New Ark SKU],Table9[Back Glass],,0)</f>
        <v>Black glazing</v>
      </c>
      <c r="BH833" s="462" t="str">
        <f>_xlfn.XLOOKUP(PV_DATA[[#This Row],[PORT DESTINATION]],Table12[PORT DESTINATION],Table12[Cosco Line],,0)</f>
        <v>AEU</v>
      </c>
    </row>
    <row r="834" spans="1:60" s="462" customFormat="1" ht="10.5" hidden="1">
      <c r="A834" s="462" t="s">
        <v>5897</v>
      </c>
      <c r="B834" s="462" t="s">
        <v>111</v>
      </c>
      <c r="C834" s="462" t="str">
        <f>IFERROR(LEFT(PV_DATA[[#This Row],[TCL REFERENCE]],FIND(".",PV_DATA[[#This Row],[TCL REFERENCE]],1)-1),"Main Line")</f>
        <v>26Jul002</v>
      </c>
      <c r="D834" s="462" t="s">
        <v>63</v>
      </c>
      <c r="E834" s="462" t="s">
        <v>64</v>
      </c>
      <c r="F834" s="462" t="str" cm="1">
        <f t="array" ref="F83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34" s="462" t="s">
        <v>402</v>
      </c>
      <c r="H834" s="462" t="s">
        <v>67</v>
      </c>
      <c r="I834" s="462" t="s">
        <v>882</v>
      </c>
      <c r="J834" s="462" t="s">
        <v>96</v>
      </c>
      <c r="M834" s="462" t="s">
        <v>68</v>
      </c>
      <c r="N834" s="712">
        <v>46209</v>
      </c>
      <c r="O834" s="462" t="s">
        <v>550</v>
      </c>
      <c r="P834" s="462" t="s">
        <v>2134</v>
      </c>
      <c r="Q834" s="462" t="s">
        <v>2135</v>
      </c>
      <c r="R834" s="430" t="str">
        <f>_xlfn.XLOOKUP(PV_DATA[[#This Row],[New Ark SKU]],Table9[New Ark SKU],Table9[Connector],,0)</f>
        <v>EVO2A</v>
      </c>
      <c r="S834" s="433" t="str">
        <f>_xlfn.XLOOKUP(PV_DATA[[#This Row],[New Ark SKU]],Table9[New Ark SKU],Table9[Cable],,0)</f>
        <v>±1350mm</v>
      </c>
      <c r="T834" s="936">
        <v>515</v>
      </c>
      <c r="U834" s="1069">
        <v>1584</v>
      </c>
      <c r="V834" s="458">
        <f>PV_DATA[[#This Row],[QUANTITY]]*PV_DATA[[#This Row],[WATT]]/1000000</f>
        <v>0.81576000000000004</v>
      </c>
      <c r="W834" s="714">
        <f>PV_DATA[[#This Row],[QUANTITY]]/PV_DATA[[#This Row],[Qty/Pallet]]</f>
        <v>44</v>
      </c>
      <c r="X834" s="1017">
        <f>PV_DATA[[#This Row],[QUANTITY]]/PV_DATA[[#This Row],[Qty/CT]]</f>
        <v>2</v>
      </c>
      <c r="Y834" s="462" t="s">
        <v>4372</v>
      </c>
      <c r="Z834" s="462" t="str">
        <f t="shared" si="10"/>
        <v>COMPLETED</v>
      </c>
      <c r="AB834" s="713">
        <v>46237</v>
      </c>
      <c r="AC834" s="937">
        <f>IF(PV_DATA[[#This Row],[Pick-Up Date]]&lt;&gt;"",_xlfn.ISOWEEKNUM(PV_DATA[[#This Row],[Pick-Up Date]]),"")</f>
        <v>32</v>
      </c>
      <c r="AD834" s="462" t="s">
        <v>5898</v>
      </c>
      <c r="AF834" s="462" t="s">
        <v>122</v>
      </c>
      <c r="AG834" s="462" t="s">
        <v>123</v>
      </c>
      <c r="AH834" s="462" t="s">
        <v>105</v>
      </c>
      <c r="AI834" s="713">
        <v>46244</v>
      </c>
      <c r="AJ834" s="713"/>
      <c r="AK834" s="437">
        <f>IFERROR(IF(VLOOKUP(AT834,Vessel!A:F,5,FALSE)=0,"",VLOOKUP(AT834,Vessel!A:F,5,FALSE)),"")</f>
        <v>46249.754317129627</v>
      </c>
      <c r="AL834" s="1011">
        <v>46281</v>
      </c>
      <c r="AM834" s="1127">
        <f>IFERROR(VLOOKUP(AT834, Vessel!A:H, 8, FALSE), "")</f>
        <v>46300.4375</v>
      </c>
      <c r="AN834" s="939">
        <v>46300</v>
      </c>
      <c r="AP834" s="462" t="s">
        <v>5894</v>
      </c>
      <c r="AQ834" s="940" t="s">
        <v>80</v>
      </c>
      <c r="AR834" s="462" t="s">
        <v>5895</v>
      </c>
      <c r="AS834" s="462" t="s">
        <v>5896</v>
      </c>
      <c r="AT834" s="462" t="s">
        <v>5896</v>
      </c>
      <c r="AU83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50.245682870372548</v>
      </c>
      <c r="AW834" s="713" cm="1">
        <f t="array" ref="AW83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46300</v>
      </c>
      <c r="AX83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34" s="713">
        <f>IF(ISERROR(PV_DATA[[#This Row],[New Ark PO status]]),"",_xlfn.XLOOKUP(PV_DATA[[#This Row],[SPTN-PVHK New Ark PO'#]],New_Ark_Data[Purchase order Number],New_Ark_Data[Estimated time of arrival],"",0))</f>
        <v>46309</v>
      </c>
      <c r="AZ834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34" s="713">
        <f>IFERROR(PV_DATA[[#This Row],[ODP ETA Port]]+PV_DATA[[#This Row],[Customs/Leg3 Assumption]],"n/a")</f>
        <v>46307</v>
      </c>
      <c r="BB834" s="936">
        <f>YEAR(PV_DATA[[#This Row],[ETA for New Ark update]])</f>
        <v>2026</v>
      </c>
      <c r="BC834" s="462">
        <f>MONTH(PV_DATA[[#This Row],[ETA for New Ark update]])</f>
        <v>10</v>
      </c>
      <c r="BD834" s="462">
        <f>IFERROR(_xlfn.ISOWEEKNUM(PV_DATA[[#This Row],[ETA for New Ark update]]),0)</f>
        <v>42</v>
      </c>
      <c r="BE834" s="462">
        <f>_xlfn.XLOOKUP(PV_DATA[[#This Row],[New Ark SKU]],Table9[New Ark SKU],Table9[Total PCS per Pallet],,0)</f>
        <v>36</v>
      </c>
      <c r="BF834" s="462">
        <f>_xlfn.XLOOKUP(PV_DATA[[#This Row],[New Ark SKU]],Table9[New Ark SKU],Table9[Total PCS per 40HQ Container],,0)</f>
        <v>792</v>
      </c>
      <c r="BG834" s="462" t="str">
        <f>_xlfn.XLOOKUP(PV_DATA[[#This Row],[New Ark SKU]],Table9[New Ark SKU],Table9[Back Glass],,0)</f>
        <v>Black glazing</v>
      </c>
      <c r="BH834" s="462" t="str">
        <f>_xlfn.XLOOKUP(PV_DATA[[#This Row],[PORT DESTINATION]],Table12[PORT DESTINATION],Table12[Cosco Line],,0)</f>
        <v>AEU</v>
      </c>
    </row>
    <row r="835" spans="1:60" s="984" customFormat="1" ht="10.5" hidden="1">
      <c r="A835" s="984" t="s">
        <v>5899</v>
      </c>
      <c r="B835" s="984" t="s">
        <v>111</v>
      </c>
      <c r="C835" s="984" t="str">
        <f>IFERROR(LEFT(PV_DATA[[#This Row],[TCL REFERENCE]],FIND(".",PV_DATA[[#This Row],[TCL REFERENCE]],1)-1),"Main Line")</f>
        <v>26May012</v>
      </c>
      <c r="D835" s="984" t="s">
        <v>63</v>
      </c>
      <c r="E835" s="462" t="s">
        <v>144</v>
      </c>
      <c r="F835" s="984" t="str" cm="1">
        <f t="array" ref="F83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835" s="984" t="s">
        <v>402</v>
      </c>
      <c r="H835" s="985" t="s">
        <v>670</v>
      </c>
      <c r="I835" s="984" t="s">
        <v>882</v>
      </c>
      <c r="J835" s="984" t="s">
        <v>5900</v>
      </c>
      <c r="K835" s="984" t="s">
        <v>5901</v>
      </c>
      <c r="L835" s="984">
        <v>24</v>
      </c>
      <c r="M835" s="984" t="s">
        <v>4976</v>
      </c>
      <c r="N835" s="986">
        <v>46167</v>
      </c>
      <c r="O835" s="984" t="s">
        <v>4540</v>
      </c>
      <c r="P835" s="984" t="s">
        <v>4606</v>
      </c>
      <c r="Q835" s="984" t="s">
        <v>4607</v>
      </c>
      <c r="R835" s="430" t="str">
        <f>_xlfn.XLOOKUP(PV_DATA[[#This Row],[New Ark SKU]],Table9[New Ark SKU],Table9[Connector],,0)</f>
        <v>H4(Com)</v>
      </c>
      <c r="S835" s="433" t="str">
        <f>_xlfn.XLOOKUP(PV_DATA[[#This Row],[New Ark SKU]],Table9[New Ark SKU],Table9[Cable],,0)</f>
        <v>+400mm/-200mm</v>
      </c>
      <c r="T835" s="987">
        <v>630</v>
      </c>
      <c r="U835" s="1073">
        <v>2160</v>
      </c>
      <c r="V835" s="988">
        <f>PV_DATA[[#This Row],[QUANTITY]]*PV_DATA[[#This Row],[WATT]]/1000000</f>
        <v>1.3608</v>
      </c>
      <c r="W835" s="989">
        <f>PV_DATA[[#This Row],[QUANTITY]]/PV_DATA[[#This Row],[Qty/Pallet]]</f>
        <v>60</v>
      </c>
      <c r="X835" s="1018">
        <f>PV_DATA[[#This Row],[QUANTITY]]/PV_DATA[[#This Row],[Qty/CT]]</f>
        <v>3</v>
      </c>
      <c r="Y835" s="984" t="s">
        <v>4374</v>
      </c>
      <c r="Z835" s="984" t="str">
        <f t="shared" si="10"/>
        <v>COMPLETED</v>
      </c>
      <c r="AA835" s="984" t="s">
        <v>5403</v>
      </c>
      <c r="AB835" s="985">
        <v>46238</v>
      </c>
      <c r="AC835" s="990">
        <f>IF(PV_DATA[[#This Row],[Pick-Up Date]]&lt;&gt;"",_xlfn.ISOWEEKNUM(PV_DATA[[#This Row],[Pick-Up Date]]),"")</f>
        <v>32</v>
      </c>
      <c r="AD835" s="984" t="s">
        <v>5902</v>
      </c>
      <c r="AF835" s="984" t="s">
        <v>122</v>
      </c>
      <c r="AG835" s="984" t="s">
        <v>123</v>
      </c>
      <c r="AH835" s="984" t="s">
        <v>105</v>
      </c>
      <c r="AI835" s="985">
        <v>46237</v>
      </c>
      <c r="AJ835" s="985">
        <v>46240</v>
      </c>
      <c r="AK835" s="437">
        <v>46240</v>
      </c>
      <c r="AL835" s="985">
        <v>46274</v>
      </c>
      <c r="AM835" s="985">
        <v>46284</v>
      </c>
      <c r="AN835" s="985">
        <v>46287</v>
      </c>
      <c r="AP835" s="984" t="s">
        <v>5727</v>
      </c>
      <c r="AQ835" s="984" t="s">
        <v>161</v>
      </c>
      <c r="AR835" s="984" t="s">
        <v>5903</v>
      </c>
      <c r="AS835" s="984" t="s">
        <v>5904</v>
      </c>
      <c r="AT835" s="984" t="s">
        <v>5905</v>
      </c>
      <c r="AU83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V835" s="985"/>
      <c r="AW835" s="985" cm="1">
        <f t="array" ref="AW83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46287</v>
      </c>
      <c r="AX835" s="987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835" s="985">
        <f>IF(ISERROR(PV_DATA[[#This Row],[New Ark PO status]]),"",_xlfn.XLOOKUP(PV_DATA[[#This Row],[SPTN-PVHK New Ark PO'#]],New_Ark_Data[Purchase order Number],New_Ark_Data[Estimated time of arrival],"",0))</f>
        <v>46276</v>
      </c>
      <c r="AZ835" s="987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835" s="985">
        <f>IFERROR(PV_DATA[[#This Row],[ODP ETA Port]]+PV_DATA[[#This Row],[Customs/Leg3 Assumption]],"n/a")</f>
        <v>46287</v>
      </c>
      <c r="BB835" s="987">
        <f>YEAR(PV_DATA[[#This Row],[ETA for New Ark update]])</f>
        <v>2026</v>
      </c>
      <c r="BC835" s="984">
        <f>MONTH(PV_DATA[[#This Row],[ETA for New Ark update]])</f>
        <v>9</v>
      </c>
      <c r="BD835" s="984">
        <f>IFERROR(_xlfn.ISOWEEKNUM(PV_DATA[[#This Row],[ETA for New Ark update]]),0)</f>
        <v>39</v>
      </c>
      <c r="BE835" s="984">
        <f>_xlfn.XLOOKUP(PV_DATA[[#This Row],[New Ark SKU]],Table9[New Ark SKU],Table9[Total PCS per Pallet],,0)</f>
        <v>36</v>
      </c>
      <c r="BF835" s="984">
        <f>_xlfn.XLOOKUP(PV_DATA[[#This Row],[New Ark SKU]],Table9[New Ark SKU],Table9[Total PCS per 40HQ Container],,0)</f>
        <v>720</v>
      </c>
      <c r="BG835" s="984" t="str">
        <f>_xlfn.XLOOKUP(PV_DATA[[#This Row],[New Ark SKU]],Table9[New Ark SKU],Table9[Back Glass],,0)</f>
        <v>Transparent</v>
      </c>
      <c r="BH835" s="984" t="str">
        <f>_xlfn.XLOOKUP(PV_DATA[[#This Row],[PORT DESTINATION]],Table12[PORT DESTINATION],Table12[Cosco Line],,0)</f>
        <v>AEU</v>
      </c>
    </row>
    <row r="836" spans="1:60" s="462" customFormat="1" ht="10.5" hidden="1">
      <c r="A836" s="462" t="s">
        <v>5906</v>
      </c>
      <c r="B836" s="462" t="s">
        <v>111</v>
      </c>
      <c r="C836" s="462" t="str">
        <f>IFERROR(LEFT(PV_DATA[[#This Row],[TCL REFERENCE]],FIND(".",PV_DATA[[#This Row],[TCL REFERENCE]],1)-1),"Main Line")</f>
        <v>26May011</v>
      </c>
      <c r="D836" s="462" t="s">
        <v>63</v>
      </c>
      <c r="E836" s="462" t="s">
        <v>64</v>
      </c>
      <c r="F836" s="462" t="str" cm="1">
        <f t="array" ref="F83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36" s="462" t="s">
        <v>402</v>
      </c>
      <c r="H836" s="713" t="s">
        <v>67</v>
      </c>
      <c r="I836" s="462" t="s">
        <v>689</v>
      </c>
      <c r="J836" s="462" t="s">
        <v>5907</v>
      </c>
      <c r="M836" s="462" t="s">
        <v>68</v>
      </c>
      <c r="N836" s="712">
        <v>46167</v>
      </c>
      <c r="O836" s="462" t="s">
        <v>4540</v>
      </c>
      <c r="P836" s="462" t="s">
        <v>4601</v>
      </c>
      <c r="Q836" s="462" t="s">
        <v>330</v>
      </c>
      <c r="R836" s="430" t="str">
        <f>_xlfn.XLOOKUP(PV_DATA[[#This Row],[New Ark SKU]],Table9[New Ark SKU],Table9[Connector],,0)</f>
        <v>H4(Com)</v>
      </c>
      <c r="S836" s="433" t="str">
        <f>_xlfn.XLOOKUP(PV_DATA[[#This Row],[New Ark SKU]],Table9[New Ark SKU],Table9[Cable],,0)</f>
        <v>+400mm/-200mm</v>
      </c>
      <c r="T836" s="936">
        <v>625</v>
      </c>
      <c r="U836" s="1069">
        <f>720*2</f>
        <v>1440</v>
      </c>
      <c r="V836" s="957">
        <f>PV_DATA[[#This Row],[QUANTITY]]*PV_DATA[[#This Row],[WATT]]/1000000</f>
        <v>0.9</v>
      </c>
      <c r="W836" s="714">
        <f>PV_DATA[[#This Row],[QUANTITY]]/PV_DATA[[#This Row],[Qty/Pallet]]</f>
        <v>40</v>
      </c>
      <c r="X836" s="1017">
        <f>PV_DATA[[#This Row],[QUANTITY]]/PV_DATA[[#This Row],[Qty/CT]]</f>
        <v>2</v>
      </c>
      <c r="Y836" s="462" t="s">
        <v>4369</v>
      </c>
      <c r="Z836" s="462" t="str">
        <f t="shared" si="10"/>
        <v>COMPLETED</v>
      </c>
      <c r="AA836" s="462" t="s">
        <v>5403</v>
      </c>
      <c r="AB836" s="713">
        <v>46238</v>
      </c>
      <c r="AC836" s="937">
        <f>IF(PV_DATA[[#This Row],[Pick-Up Date]]&lt;&gt;"",_xlfn.ISOWEEKNUM(PV_DATA[[#This Row],[Pick-Up Date]]),"")</f>
        <v>32</v>
      </c>
      <c r="AD836" s="462" t="s">
        <v>5908</v>
      </c>
      <c r="AF836" s="462" t="s">
        <v>122</v>
      </c>
      <c r="AG836" s="462" t="s">
        <v>123</v>
      </c>
      <c r="AH836" s="462" t="s">
        <v>105</v>
      </c>
      <c r="AI836" s="713">
        <v>46237</v>
      </c>
      <c r="AJ836" s="713">
        <v>46240</v>
      </c>
      <c r="AK836" s="437">
        <v>46240</v>
      </c>
      <c r="AL836" s="713">
        <v>46274</v>
      </c>
      <c r="AM836" s="713">
        <v>46284</v>
      </c>
      <c r="AN836" s="939">
        <v>46287</v>
      </c>
      <c r="AP836" s="462" t="s">
        <v>5727</v>
      </c>
      <c r="AQ836" s="462" t="s">
        <v>161</v>
      </c>
      <c r="AR836" s="462" t="s">
        <v>5909</v>
      </c>
      <c r="AS836" s="462" t="s">
        <v>5905</v>
      </c>
      <c r="AT836" s="462" t="s">
        <v>5905</v>
      </c>
      <c r="AU83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V836" s="713"/>
      <c r="AW836" s="713" cm="1">
        <f t="array" ref="AW83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46287</v>
      </c>
      <c r="AX83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36" s="713">
        <f>IF(ISERROR(PV_DATA[[#This Row],[New Ark PO status]]),"",_xlfn.XLOOKUP(PV_DATA[[#This Row],[SPTN-PVHK New Ark PO'#]],New_Ark_Data[Purchase order Number],New_Ark_Data[Estimated time of arrival],"",0))</f>
        <v>46295</v>
      </c>
      <c r="AZ836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36" s="713">
        <f>IFERROR(PV_DATA[[#This Row],[ODP ETA Port]]+PV_DATA[[#This Row],[Customs/Leg3 Assumption]],"n/a")</f>
        <v>46294</v>
      </c>
      <c r="BB836" s="936">
        <f>YEAR(PV_DATA[[#This Row],[ETA for New Ark update]])</f>
        <v>2026</v>
      </c>
      <c r="BC836" s="462">
        <f>MONTH(PV_DATA[[#This Row],[ETA for New Ark update]])</f>
        <v>9</v>
      </c>
      <c r="BD836" s="462">
        <f>IFERROR(_xlfn.ISOWEEKNUM(PV_DATA[[#This Row],[ETA for New Ark update]]),0)</f>
        <v>40</v>
      </c>
      <c r="BE836" s="462">
        <f>_xlfn.XLOOKUP(PV_DATA[[#This Row],[New Ark SKU]],Table9[New Ark SKU],Table9[Total PCS per Pallet],,0)</f>
        <v>36</v>
      </c>
      <c r="BF836" s="462">
        <f>_xlfn.XLOOKUP(PV_DATA[[#This Row],[New Ark SKU]],Table9[New Ark SKU],Table9[Total PCS per 40HQ Container],,0)</f>
        <v>720</v>
      </c>
      <c r="BG836" s="462" t="str">
        <f>_xlfn.XLOOKUP(PV_DATA[[#This Row],[New Ark SKU]],Table9[New Ark SKU],Table9[Back Glass],,0)</f>
        <v>Transparent</v>
      </c>
      <c r="BH836" s="462" t="str">
        <f>_xlfn.XLOOKUP(PV_DATA[[#This Row],[PORT DESTINATION]],Table12[PORT DESTINATION],Table12[Cosco Line],,0)</f>
        <v>AEU</v>
      </c>
    </row>
    <row r="837" spans="1:60" s="984" customFormat="1" ht="10.5" hidden="1">
      <c r="A837" s="984" t="s">
        <v>5910</v>
      </c>
      <c r="B837" s="984" t="s">
        <v>111</v>
      </c>
      <c r="C837" s="984" t="str">
        <f>IFERROR(LEFT(PV_DATA[[#This Row],[TCL REFERENCE]],FIND(".",PV_DATA[[#This Row],[TCL REFERENCE]],1)-1),"Main Line")</f>
        <v>26May012</v>
      </c>
      <c r="D837" s="984" t="s">
        <v>63</v>
      </c>
      <c r="E837" s="462" t="s">
        <v>144</v>
      </c>
      <c r="F837" s="984" t="str" cm="1">
        <f t="array" ref="F83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837" s="984" t="s">
        <v>402</v>
      </c>
      <c r="H837" s="985" t="s">
        <v>670</v>
      </c>
      <c r="I837" s="984" t="s">
        <v>882</v>
      </c>
      <c r="J837" s="984" t="s">
        <v>5900</v>
      </c>
      <c r="K837" s="984" t="s">
        <v>5901</v>
      </c>
      <c r="L837" s="984">
        <v>25</v>
      </c>
      <c r="M837" s="984" t="s">
        <v>4976</v>
      </c>
      <c r="N837" s="986">
        <v>46167</v>
      </c>
      <c r="O837" s="984" t="s">
        <v>4540</v>
      </c>
      <c r="P837" s="984" t="s">
        <v>4606</v>
      </c>
      <c r="Q837" s="984" t="s">
        <v>4607</v>
      </c>
      <c r="R837" s="430" t="str">
        <f>_xlfn.XLOOKUP(PV_DATA[[#This Row],[New Ark SKU]],Table9[New Ark SKU],Table9[Connector],,0)</f>
        <v>H4(Com)</v>
      </c>
      <c r="S837" s="433" t="str">
        <f>_xlfn.XLOOKUP(PV_DATA[[#This Row],[New Ark SKU]],Table9[New Ark SKU],Table9[Cable],,0)</f>
        <v>+400mm/-200mm</v>
      </c>
      <c r="T837" s="987">
        <v>630</v>
      </c>
      <c r="U837" s="1073">
        <f>720*3</f>
        <v>2160</v>
      </c>
      <c r="V837" s="988">
        <f>PV_DATA[[#This Row],[QUANTITY]]*PV_DATA[[#This Row],[WATT]]/1000000</f>
        <v>1.3608</v>
      </c>
      <c r="W837" s="989">
        <f>PV_DATA[[#This Row],[QUANTITY]]/PV_DATA[[#This Row],[Qty/Pallet]]</f>
        <v>60</v>
      </c>
      <c r="X837" s="1018">
        <f>PV_DATA[[#This Row],[QUANTITY]]/PV_DATA[[#This Row],[Qty/CT]]</f>
        <v>3</v>
      </c>
      <c r="Y837" s="984" t="s">
        <v>4374</v>
      </c>
      <c r="Z837" s="984" t="str">
        <f t="shared" si="10"/>
        <v>COMPLETED</v>
      </c>
      <c r="AA837" s="984" t="s">
        <v>5403</v>
      </c>
      <c r="AB837" s="985">
        <v>46238</v>
      </c>
      <c r="AC837" s="990">
        <f>IF(PV_DATA[[#This Row],[Pick-Up Date]]&lt;&gt;"",_xlfn.ISOWEEKNUM(PV_DATA[[#This Row],[Pick-Up Date]]),"")</f>
        <v>32</v>
      </c>
      <c r="AD837" s="984" t="s">
        <v>5911</v>
      </c>
      <c r="AF837" s="984" t="s">
        <v>122</v>
      </c>
      <c r="AG837" s="984" t="s">
        <v>123</v>
      </c>
      <c r="AH837" s="984" t="s">
        <v>105</v>
      </c>
      <c r="AI837" s="985">
        <v>46237</v>
      </c>
      <c r="AJ837" s="985">
        <v>46240</v>
      </c>
      <c r="AK837" s="437">
        <v>46240</v>
      </c>
      <c r="AL837" s="985">
        <v>46274</v>
      </c>
      <c r="AM837" s="985">
        <v>46284</v>
      </c>
      <c r="AN837" s="985">
        <v>46287</v>
      </c>
      <c r="AP837" s="984" t="s">
        <v>5727</v>
      </c>
      <c r="AQ837" s="984" t="s">
        <v>161</v>
      </c>
      <c r="AR837" s="984" t="s">
        <v>5903</v>
      </c>
      <c r="AS837" s="984" t="s">
        <v>5904</v>
      </c>
      <c r="AT837" s="984" t="s">
        <v>5905</v>
      </c>
      <c r="AU83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V837" s="985"/>
      <c r="AW837" s="985" cm="1">
        <f t="array" ref="AW83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46287</v>
      </c>
      <c r="AX837" s="987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837" s="985" t="str">
        <f>IF(ISERROR(PV_DATA[[#This Row],[New Ark PO status]]),"",_xlfn.XLOOKUP(PV_DATA[[#This Row],[SPTN-PVHK New Ark PO'#]],New_Ark_Data[Purchase order Number],New_Ark_Data[Estimated time of arrival],"",0))</f>
        <v/>
      </c>
      <c r="AZ837" s="987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837" s="985">
        <f>IFERROR(PV_DATA[[#This Row],[ODP ETA Port]]+PV_DATA[[#This Row],[Customs/Leg3 Assumption]],"n/a")</f>
        <v>46287</v>
      </c>
      <c r="BB837" s="987">
        <f>YEAR(PV_DATA[[#This Row],[ETA for New Ark update]])</f>
        <v>2026</v>
      </c>
      <c r="BC837" s="984">
        <f>MONTH(PV_DATA[[#This Row],[ETA for New Ark update]])</f>
        <v>9</v>
      </c>
      <c r="BD837" s="984">
        <f>IFERROR(_xlfn.ISOWEEKNUM(PV_DATA[[#This Row],[ETA for New Ark update]]),0)</f>
        <v>39</v>
      </c>
      <c r="BE837" s="984">
        <f>_xlfn.XLOOKUP(PV_DATA[[#This Row],[New Ark SKU]],Table9[New Ark SKU],Table9[Total PCS per Pallet],,0)</f>
        <v>36</v>
      </c>
      <c r="BF837" s="984">
        <f>_xlfn.XLOOKUP(PV_DATA[[#This Row],[New Ark SKU]],Table9[New Ark SKU],Table9[Total PCS per 40HQ Container],,0)</f>
        <v>720</v>
      </c>
      <c r="BG837" s="984" t="str">
        <f>_xlfn.XLOOKUP(PV_DATA[[#This Row],[New Ark SKU]],Table9[New Ark SKU],Table9[Back Glass],,0)</f>
        <v>Transparent</v>
      </c>
      <c r="BH837" s="984" t="str">
        <f>_xlfn.XLOOKUP(PV_DATA[[#This Row],[PORT DESTINATION]],Table12[PORT DESTINATION],Table12[Cosco Line],,0)</f>
        <v>AEU</v>
      </c>
    </row>
    <row r="838" spans="1:60" s="984" customFormat="1" ht="10.5" hidden="1">
      <c r="A838" s="984" t="s">
        <v>5912</v>
      </c>
      <c r="B838" s="984" t="s">
        <v>111</v>
      </c>
      <c r="C838" s="984" t="str">
        <f>IFERROR(LEFT(PV_DATA[[#This Row],[TCL REFERENCE]],FIND(".",PV_DATA[[#This Row],[TCL REFERENCE]],1)-1),"Main Line")</f>
        <v>26May012</v>
      </c>
      <c r="D838" s="984" t="s">
        <v>63</v>
      </c>
      <c r="E838" s="462" t="s">
        <v>144</v>
      </c>
      <c r="F838" s="984" t="str" cm="1">
        <f t="array" ref="F83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838" s="984" t="s">
        <v>402</v>
      </c>
      <c r="H838" s="985" t="s">
        <v>670</v>
      </c>
      <c r="I838" s="984" t="s">
        <v>882</v>
      </c>
      <c r="J838" s="984" t="s">
        <v>5900</v>
      </c>
      <c r="K838" s="984" t="s">
        <v>5901</v>
      </c>
      <c r="L838" s="984">
        <v>26</v>
      </c>
      <c r="M838" s="984" t="s">
        <v>4976</v>
      </c>
      <c r="N838" s="986">
        <v>46167</v>
      </c>
      <c r="O838" s="984" t="s">
        <v>4540</v>
      </c>
      <c r="P838" s="984" t="s">
        <v>4606</v>
      </c>
      <c r="Q838" s="984" t="s">
        <v>4607</v>
      </c>
      <c r="R838" s="430" t="str">
        <f>_xlfn.XLOOKUP(PV_DATA[[#This Row],[New Ark SKU]],Table9[New Ark SKU],Table9[Connector],,0)</f>
        <v>H4(Com)</v>
      </c>
      <c r="S838" s="433" t="str">
        <f>_xlfn.XLOOKUP(PV_DATA[[#This Row],[New Ark SKU]],Table9[New Ark SKU],Table9[Cable],,0)</f>
        <v>+400mm/-200mm</v>
      </c>
      <c r="T838" s="987">
        <v>630</v>
      </c>
      <c r="U838" s="1073">
        <f>720*2</f>
        <v>1440</v>
      </c>
      <c r="V838" s="988">
        <f>PV_DATA[[#This Row],[QUANTITY]]*PV_DATA[[#This Row],[WATT]]/1000000</f>
        <v>0.90720000000000001</v>
      </c>
      <c r="W838" s="989">
        <f>PV_DATA[[#This Row],[QUANTITY]]/PV_DATA[[#This Row],[Qty/Pallet]]</f>
        <v>40</v>
      </c>
      <c r="X838" s="1018">
        <f>PV_DATA[[#This Row],[QUANTITY]]/PV_DATA[[#This Row],[Qty/CT]]</f>
        <v>2</v>
      </c>
      <c r="Y838" s="984" t="s">
        <v>4374</v>
      </c>
      <c r="Z838" s="984" t="str">
        <f t="shared" si="10"/>
        <v>COMPLETED</v>
      </c>
      <c r="AA838" s="984" t="s">
        <v>5403</v>
      </c>
      <c r="AB838" s="985">
        <v>46238</v>
      </c>
      <c r="AC838" s="990">
        <f>IF(PV_DATA[[#This Row],[Pick-Up Date]]&lt;&gt;"",_xlfn.ISOWEEKNUM(PV_DATA[[#This Row],[Pick-Up Date]]),"")</f>
        <v>32</v>
      </c>
      <c r="AD838" s="984" t="s">
        <v>5913</v>
      </c>
      <c r="AF838" s="984" t="s">
        <v>122</v>
      </c>
      <c r="AG838" s="984" t="s">
        <v>123</v>
      </c>
      <c r="AH838" s="984" t="s">
        <v>105</v>
      </c>
      <c r="AI838" s="985">
        <v>46237</v>
      </c>
      <c r="AJ838" s="985">
        <v>46240</v>
      </c>
      <c r="AK838" s="437">
        <v>46255</v>
      </c>
      <c r="AL838" s="985">
        <v>46274</v>
      </c>
      <c r="AM838" s="985">
        <v>46305</v>
      </c>
      <c r="AN838" s="985">
        <v>46307</v>
      </c>
      <c r="AP838" s="984" t="s">
        <v>5914</v>
      </c>
      <c r="AQ838" s="984" t="s">
        <v>161</v>
      </c>
      <c r="AR838" s="984" t="s">
        <v>5915</v>
      </c>
      <c r="AS838" s="984" t="s">
        <v>5916</v>
      </c>
      <c r="AT838" s="984" t="s">
        <v>5916</v>
      </c>
      <c r="AU83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</v>
      </c>
      <c r="AV838" s="985"/>
      <c r="AW838" s="985" cm="1">
        <f t="array" ref="AW83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46307</v>
      </c>
      <c r="AX838" s="987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838" s="985" t="str">
        <f>IF(ISERROR(PV_DATA[[#This Row],[New Ark PO status]]),"",_xlfn.XLOOKUP(PV_DATA[[#This Row],[SPTN-PVHK New Ark PO'#]],New_Ark_Data[Purchase order Number],New_Ark_Data[Estimated time of arrival],"",0))</f>
        <v/>
      </c>
      <c r="AZ838" s="987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838" s="985">
        <f>IFERROR(PV_DATA[[#This Row],[ODP ETA Port]]+PV_DATA[[#This Row],[Customs/Leg3 Assumption]],"n/a")</f>
        <v>46307</v>
      </c>
      <c r="BB838" s="987">
        <f>YEAR(PV_DATA[[#This Row],[ETA for New Ark update]])</f>
        <v>2026</v>
      </c>
      <c r="BC838" s="984">
        <f>MONTH(PV_DATA[[#This Row],[ETA for New Ark update]])</f>
        <v>10</v>
      </c>
      <c r="BD838" s="984">
        <f>IFERROR(_xlfn.ISOWEEKNUM(PV_DATA[[#This Row],[ETA for New Ark update]]),0)</f>
        <v>42</v>
      </c>
      <c r="BE838" s="984">
        <f>_xlfn.XLOOKUP(PV_DATA[[#This Row],[New Ark SKU]],Table9[New Ark SKU],Table9[Total PCS per Pallet],,0)</f>
        <v>36</v>
      </c>
      <c r="BF838" s="984">
        <f>_xlfn.XLOOKUP(PV_DATA[[#This Row],[New Ark SKU]],Table9[New Ark SKU],Table9[Total PCS per 40HQ Container],,0)</f>
        <v>720</v>
      </c>
      <c r="BG838" s="984" t="str">
        <f>_xlfn.XLOOKUP(PV_DATA[[#This Row],[New Ark SKU]],Table9[New Ark SKU],Table9[Back Glass],,0)</f>
        <v>Transparent</v>
      </c>
      <c r="BH838" s="984" t="str">
        <f>_xlfn.XLOOKUP(PV_DATA[[#This Row],[PORT DESTINATION]],Table12[PORT DESTINATION],Table12[Cosco Line],,0)</f>
        <v>AEU</v>
      </c>
    </row>
    <row r="839" spans="1:60" s="462" customFormat="1" ht="10.5" hidden="1">
      <c r="A839" s="462" t="s">
        <v>5917</v>
      </c>
      <c r="B839" s="462" t="s">
        <v>111</v>
      </c>
      <c r="C839" s="462" t="str">
        <f>IFERROR(LEFT(PV_DATA[[#This Row],[TCL REFERENCE]],FIND(".",PV_DATA[[#This Row],[TCL REFERENCE]],1)-1),"Main Line")</f>
        <v>26May011</v>
      </c>
      <c r="D839" s="462" t="s">
        <v>63</v>
      </c>
      <c r="E839" s="462" t="s">
        <v>144</v>
      </c>
      <c r="F839" s="462" t="str" cm="1">
        <f t="array" ref="F83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839" s="462" t="s">
        <v>402</v>
      </c>
      <c r="H839" s="713" t="s">
        <v>670</v>
      </c>
      <c r="I839" s="462" t="s">
        <v>1395</v>
      </c>
      <c r="J839" s="730" t="s">
        <v>5401</v>
      </c>
      <c r="K839" s="462" t="s">
        <v>5402</v>
      </c>
      <c r="L839" s="462">
        <v>2</v>
      </c>
      <c r="M839" s="462" t="s">
        <v>840</v>
      </c>
      <c r="N839" s="712">
        <v>46167</v>
      </c>
      <c r="O839" s="462" t="s">
        <v>4540</v>
      </c>
      <c r="P839" s="462" t="s">
        <v>4601</v>
      </c>
      <c r="Q839" s="462" t="s">
        <v>330</v>
      </c>
      <c r="R839" s="430" t="str">
        <f>_xlfn.XLOOKUP(PV_DATA[[#This Row],[New Ark SKU]],Table9[New Ark SKU],Table9[Connector],,0)</f>
        <v>H4(Com)</v>
      </c>
      <c r="S839" s="433" t="str">
        <f>_xlfn.XLOOKUP(PV_DATA[[#This Row],[New Ark SKU]],Table9[New Ark SKU],Table9[Cable],,0)</f>
        <v>+400mm/-200mm</v>
      </c>
      <c r="T839" s="936">
        <v>625</v>
      </c>
      <c r="U839" s="1069">
        <v>2880</v>
      </c>
      <c r="V839" s="957">
        <f>PV_DATA[[#This Row],[QUANTITY]]*PV_DATA[[#This Row],[WATT]]/1000000</f>
        <v>1.8</v>
      </c>
      <c r="W839" s="714">
        <f>PV_DATA[[#This Row],[QUANTITY]]/PV_DATA[[#This Row],[Qty/Pallet]]</f>
        <v>80</v>
      </c>
      <c r="X839" s="1037">
        <v>4</v>
      </c>
      <c r="Y839" s="462" t="s">
        <v>4369</v>
      </c>
      <c r="Z839" s="462" t="str">
        <f t="shared" si="10"/>
        <v>COMPLETED</v>
      </c>
      <c r="AA839" s="462" t="s">
        <v>5403</v>
      </c>
      <c r="AB839" s="713">
        <v>46238</v>
      </c>
      <c r="AC839" s="937">
        <f>IF(PV_DATA[[#This Row],[Pick-Up Date]]&lt;&gt;"",_xlfn.ISOWEEKNUM(PV_DATA[[#This Row],[Pick-Up Date]]),"")</f>
        <v>32</v>
      </c>
      <c r="AD839" s="462" t="s">
        <v>5918</v>
      </c>
      <c r="AF839" s="462" t="s">
        <v>122</v>
      </c>
      <c r="AG839" s="462" t="s">
        <v>123</v>
      </c>
      <c r="AH839" s="462" t="s">
        <v>105</v>
      </c>
      <c r="AI839" s="713">
        <v>46237</v>
      </c>
      <c r="AJ839" s="713">
        <v>46240</v>
      </c>
      <c r="AK839" s="437">
        <v>46240</v>
      </c>
      <c r="AL839" s="713">
        <v>46274</v>
      </c>
      <c r="AM839" s="713">
        <v>46284</v>
      </c>
      <c r="AN839" s="939">
        <v>46287</v>
      </c>
      <c r="AP839" s="462" t="s">
        <v>5727</v>
      </c>
      <c r="AQ839" s="462" t="s">
        <v>161</v>
      </c>
      <c r="AR839" s="462" t="s">
        <v>5919</v>
      </c>
      <c r="AS839" s="462" t="s">
        <v>5920</v>
      </c>
      <c r="AT839" s="462" t="s">
        <v>5905</v>
      </c>
      <c r="AU83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V839" s="713"/>
      <c r="AW839" s="713" cm="1">
        <f t="array" ref="AW83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46287</v>
      </c>
      <c r="AX83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839" s="713">
        <f>IF(ISERROR(PV_DATA[[#This Row],[New Ark PO status]]),"",_xlfn.XLOOKUP(PV_DATA[[#This Row],[SPTN-PVHK New Ark PO'#]],New_Ark_Data[Purchase order Number],New_Ark_Data[Estimated time of arrival],"",0))</f>
        <v>46274</v>
      </c>
      <c r="AZ839" s="936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839" s="713">
        <f>IFERROR(PV_DATA[[#This Row],[ODP ETA Port]]+PV_DATA[[#This Row],[Customs/Leg3 Assumption]],"n/a")</f>
        <v>46287</v>
      </c>
      <c r="BB839" s="936">
        <f>YEAR(PV_DATA[[#This Row],[ETA for New Ark update]])</f>
        <v>2026</v>
      </c>
      <c r="BC839" s="462">
        <f>MONTH(PV_DATA[[#This Row],[ETA for New Ark update]])</f>
        <v>9</v>
      </c>
      <c r="BD839" s="462">
        <f>IFERROR(_xlfn.ISOWEEKNUM(PV_DATA[[#This Row],[ETA for New Ark update]]),0)</f>
        <v>39</v>
      </c>
      <c r="BE839" s="462">
        <f>_xlfn.XLOOKUP(PV_DATA[[#This Row],[New Ark SKU]],Table9[New Ark SKU],Table9[Total PCS per Pallet],,0)</f>
        <v>36</v>
      </c>
      <c r="BF839" s="462">
        <f>_xlfn.XLOOKUP(PV_DATA[[#This Row],[New Ark SKU]],Table9[New Ark SKU],Table9[Total PCS per 40HQ Container],,0)</f>
        <v>720</v>
      </c>
      <c r="BG839" s="462" t="str">
        <f>_xlfn.XLOOKUP(PV_DATA[[#This Row],[New Ark SKU]],Table9[New Ark SKU],Table9[Back Glass],,0)</f>
        <v>Transparent</v>
      </c>
      <c r="BH839" s="462" t="str">
        <f>_xlfn.XLOOKUP(PV_DATA[[#This Row],[PORT DESTINATION]],Table12[PORT DESTINATION],Table12[Cosco Line],,0)</f>
        <v>AEU</v>
      </c>
    </row>
    <row r="840" spans="1:60" s="462" customFormat="1" ht="11.25" hidden="1" customHeight="1">
      <c r="A840" s="462" t="s">
        <v>5921</v>
      </c>
      <c r="B840" s="462" t="s">
        <v>111</v>
      </c>
      <c r="C840" s="462" t="str">
        <f>IFERROR(LEFT(PV_DATA[[#This Row],[TCL REFERENCE]],FIND(".",PV_DATA[[#This Row],[TCL REFERENCE]],1)-1),"Main Line")</f>
        <v>26May011</v>
      </c>
      <c r="D840" s="462" t="s">
        <v>63</v>
      </c>
      <c r="E840" s="462" t="s">
        <v>144</v>
      </c>
      <c r="F840" s="462" t="str" cm="1">
        <f t="array" ref="F84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840" s="462" t="s">
        <v>402</v>
      </c>
      <c r="H840" s="713" t="s">
        <v>670</v>
      </c>
      <c r="I840" s="462" t="s">
        <v>869</v>
      </c>
      <c r="J840" s="730" t="s">
        <v>5401</v>
      </c>
      <c r="K840" s="462" t="s">
        <v>5402</v>
      </c>
      <c r="L840" s="462">
        <v>4</v>
      </c>
      <c r="M840" s="462" t="s">
        <v>840</v>
      </c>
      <c r="N840" s="712">
        <v>46167</v>
      </c>
      <c r="O840" s="462" t="s">
        <v>4540</v>
      </c>
      <c r="P840" s="462" t="s">
        <v>4601</v>
      </c>
      <c r="Q840" s="462" t="s">
        <v>330</v>
      </c>
      <c r="R840" s="430" t="str">
        <f>_xlfn.XLOOKUP(PV_DATA[[#This Row],[New Ark SKU]],Table9[New Ark SKU],Table9[Connector],,0)</f>
        <v>H4(Com)</v>
      </c>
      <c r="S840" s="433" t="str">
        <f>_xlfn.XLOOKUP(PV_DATA[[#This Row],[New Ark SKU]],Table9[New Ark SKU],Table9[Cable],,0)</f>
        <v>+400mm/-200mm</v>
      </c>
      <c r="T840" s="936">
        <v>625</v>
      </c>
      <c r="U840" s="1069">
        <v>720</v>
      </c>
      <c r="V840" s="458">
        <f>PV_DATA[[#This Row],[QUANTITY]]*PV_DATA[[#This Row],[WATT]]/1000000</f>
        <v>0.45</v>
      </c>
      <c r="W840" s="714">
        <f>PV_DATA[[#This Row],[QUANTITY]]/PV_DATA[[#This Row],[Qty/Pallet]]</f>
        <v>20</v>
      </c>
      <c r="X840" s="1037">
        <f>PV_DATA[[#This Row],[QUANTITY]]/PV_DATA[[#This Row],[Qty/CT]]</f>
        <v>1</v>
      </c>
      <c r="Y840" s="462" t="s">
        <v>4369</v>
      </c>
      <c r="Z840" s="462" t="str">
        <f t="shared" si="10"/>
        <v>COMPLETED</v>
      </c>
      <c r="AA840" s="462" t="s">
        <v>5403</v>
      </c>
      <c r="AB840" s="713">
        <v>46238</v>
      </c>
      <c r="AC840" s="937">
        <f>IF(PV_DATA[[#This Row],[Pick-Up Date]]&lt;&gt;"",_xlfn.ISOWEEKNUM(PV_DATA[[#This Row],[Pick-Up Date]]),"")</f>
        <v>32</v>
      </c>
      <c r="AD840" s="462" t="s">
        <v>5922</v>
      </c>
      <c r="AF840" s="462" t="s">
        <v>122</v>
      </c>
      <c r="AG840" s="462" t="s">
        <v>123</v>
      </c>
      <c r="AH840" s="462" t="s">
        <v>105</v>
      </c>
      <c r="AI840" s="713">
        <v>46237</v>
      </c>
      <c r="AJ840" s="713">
        <v>46240</v>
      </c>
      <c r="AK840" s="437">
        <v>46240</v>
      </c>
      <c r="AL840" s="713">
        <v>46274</v>
      </c>
      <c r="AM840" s="713">
        <v>46284</v>
      </c>
      <c r="AN840" s="939">
        <v>46287</v>
      </c>
      <c r="AP840" s="462" t="s">
        <v>5727</v>
      </c>
      <c r="AQ840" s="462" t="s">
        <v>161</v>
      </c>
      <c r="AR840" s="462" t="s">
        <v>5919</v>
      </c>
      <c r="AS840" s="462" t="s">
        <v>5920</v>
      </c>
      <c r="AT840" s="462" t="s">
        <v>5905</v>
      </c>
      <c r="AU84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</v>
      </c>
      <c r="AV840" s="713"/>
      <c r="AW840" s="713" cm="1">
        <f t="array" ref="AW84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46287</v>
      </c>
      <c r="AX84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840" s="713">
        <f>IF(ISERROR(PV_DATA[[#This Row],[New Ark PO status]]),"",_xlfn.XLOOKUP(PV_DATA[[#This Row],[SPTN-PVHK New Ark PO'#]],New_Ark_Data[Purchase order Number],New_Ark_Data[Estimated time of arrival],"",0))</f>
        <v>46274</v>
      </c>
      <c r="AZ840" s="936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840" s="713">
        <f>IFERROR(PV_DATA[[#This Row],[ODP ETA Port]]+PV_DATA[[#This Row],[Customs/Leg3 Assumption]],"n/a")</f>
        <v>46287</v>
      </c>
      <c r="BB840" s="936">
        <f>YEAR(PV_DATA[[#This Row],[ETA for New Ark update]])</f>
        <v>2026</v>
      </c>
      <c r="BC840" s="462">
        <f>MONTH(PV_DATA[[#This Row],[ETA for New Ark update]])</f>
        <v>9</v>
      </c>
      <c r="BD840" s="462">
        <f>IFERROR(_xlfn.ISOWEEKNUM(PV_DATA[[#This Row],[ETA for New Ark update]]),0)</f>
        <v>39</v>
      </c>
      <c r="BE840" s="462">
        <f>_xlfn.XLOOKUP(PV_DATA[[#This Row],[New Ark SKU]],Table9[New Ark SKU],Table9[Total PCS per Pallet],,0)</f>
        <v>36</v>
      </c>
      <c r="BF840" s="462">
        <f>_xlfn.XLOOKUP(PV_DATA[[#This Row],[New Ark SKU]],Table9[New Ark SKU],Table9[Total PCS per 40HQ Container],,0)</f>
        <v>720</v>
      </c>
      <c r="BG840" s="462" t="str">
        <f>_xlfn.XLOOKUP(PV_DATA[[#This Row],[New Ark SKU]],Table9[New Ark SKU],Table9[Back Glass],,0)</f>
        <v>Transparent</v>
      </c>
      <c r="BH840" s="938" t="str">
        <f>_xlfn.XLOOKUP(PV_DATA[[#This Row],[PORT DESTINATION]],Table12[PORT DESTINATION],Table12[Cosco Line],,0)</f>
        <v>AEU</v>
      </c>
    </row>
    <row r="841" spans="1:60" s="462" customFormat="1" ht="10.5" hidden="1">
      <c r="A841" s="462" t="s">
        <v>5923</v>
      </c>
      <c r="B841" s="462" t="s">
        <v>111</v>
      </c>
      <c r="C841" s="462" t="str">
        <f>IFERROR(LEFT(PV_DATA[[#This Row],[TCL REFERENCE]],FIND(".",PV_DATA[[#This Row],[TCL REFERENCE]],1)-1),"Main Line")</f>
        <v>Main Line</v>
      </c>
      <c r="D841" s="462" t="s">
        <v>63</v>
      </c>
      <c r="E841" s="462" t="s">
        <v>64</v>
      </c>
      <c r="F841" s="462" t="str" cm="1">
        <f t="array" ref="F84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41" s="462" t="s">
        <v>402</v>
      </c>
      <c r="H841" s="462" t="s">
        <v>67</v>
      </c>
      <c r="I841" s="462" t="s">
        <v>689</v>
      </c>
      <c r="J841" s="462" t="s">
        <v>96</v>
      </c>
      <c r="M841" s="462" t="s">
        <v>68</v>
      </c>
      <c r="N841" s="712">
        <v>46174</v>
      </c>
      <c r="O841" s="462" t="s">
        <v>70</v>
      </c>
      <c r="P841" s="462" t="s">
        <v>5924</v>
      </c>
      <c r="Q841" s="462" t="s">
        <v>1807</v>
      </c>
      <c r="R841" s="430" t="str">
        <f>_xlfn.XLOOKUP(PV_DATA[[#This Row],[New Ark SKU]],Table9[New Ark SKU],Table9[Connector],,0)</f>
        <v>EVO2A</v>
      </c>
      <c r="S841" s="433" t="str">
        <f>_xlfn.XLOOKUP(PV_DATA[[#This Row],[New Ark SKU]],Table9[New Ark SKU],Table9[Cable],,0)</f>
        <v>±1400mm</v>
      </c>
      <c r="T841" s="936">
        <v>720</v>
      </c>
      <c r="U841" s="1069" cm="1">
        <f t="array" ref="U841">594-fx_qty</f>
        <v>594</v>
      </c>
      <c r="V841" s="458">
        <f>PV_DATA[[#This Row],[QUANTITY]]*PV_DATA[[#This Row],[WATT]]/1000000</f>
        <v>0.42768</v>
      </c>
      <c r="W841" s="714">
        <f>PV_DATA[[#This Row],[QUANTITY]]/PV_DATA[[#This Row],[Qty/Pallet]]</f>
        <v>18</v>
      </c>
      <c r="X841" s="1017">
        <f>PV_DATA[[#This Row],[QUANTITY]]/PV_DATA[[#This Row],[Qty/CT]]</f>
        <v>1</v>
      </c>
      <c r="Y841" s="462" t="s">
        <v>4374</v>
      </c>
      <c r="Z841" s="462" t="str">
        <f t="shared" si="10"/>
        <v>COMPLETED</v>
      </c>
      <c r="AA841" s="462" t="s">
        <v>4999</v>
      </c>
      <c r="AB841" s="713">
        <v>46238</v>
      </c>
      <c r="AC841" s="937">
        <f>IF(PV_DATA[[#This Row],[Pick-Up Date]]&lt;&gt;"",_xlfn.ISOWEEKNUM(PV_DATA[[#This Row],[Pick-Up Date]]),"")</f>
        <v>32</v>
      </c>
      <c r="AD841" s="462" t="s">
        <v>5925</v>
      </c>
      <c r="AF841" s="462" t="s">
        <v>111</v>
      </c>
      <c r="AG841" s="462" t="s">
        <v>123</v>
      </c>
      <c r="AH841" s="462" t="s">
        <v>105</v>
      </c>
      <c r="AI841" s="713">
        <v>46244</v>
      </c>
      <c r="AJ841" s="713">
        <v>46248</v>
      </c>
      <c r="AK841" s="437">
        <v>46249</v>
      </c>
      <c r="AL841" s="713">
        <v>46281</v>
      </c>
      <c r="AM841" s="713">
        <v>46299.25</v>
      </c>
      <c r="AN841" s="939">
        <v>46300</v>
      </c>
      <c r="AP841" s="462" t="s">
        <v>5894</v>
      </c>
      <c r="AQ841" s="940" t="s">
        <v>161</v>
      </c>
      <c r="AR841" s="462" t="s">
        <v>5926</v>
      </c>
      <c r="AS841" s="462" t="s">
        <v>5927</v>
      </c>
      <c r="AT841" s="462" t="s">
        <v>5927</v>
      </c>
      <c r="AU84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</v>
      </c>
      <c r="AW841" s="713" cm="1">
        <f t="array" ref="AW84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46300</v>
      </c>
      <c r="AX84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41" s="713">
        <f>IF(ISERROR(PV_DATA[[#This Row],[New Ark PO status]]),"",_xlfn.XLOOKUP(PV_DATA[[#This Row],[SPTN-PVHK New Ark PO'#]],New_Ark_Data[Purchase order Number],New_Ark_Data[Estimated time of arrival],"",0))</f>
        <v>46309</v>
      </c>
      <c r="AZ841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41" s="713">
        <f>IFERROR(PV_DATA[[#This Row],[ODP ETA Port]]+PV_DATA[[#This Row],[Customs/Leg3 Assumption]],"n/a")</f>
        <v>46307</v>
      </c>
      <c r="BB841" s="936">
        <f>YEAR(PV_DATA[[#This Row],[ETA for New Ark update]])</f>
        <v>2026</v>
      </c>
      <c r="BC841" s="462">
        <f>MONTH(PV_DATA[[#This Row],[ETA for New Ark update]])</f>
        <v>10</v>
      </c>
      <c r="BD841" s="462">
        <f>IFERROR(_xlfn.ISOWEEKNUM(PV_DATA[[#This Row],[ETA for New Ark update]]),0)</f>
        <v>42</v>
      </c>
      <c r="BE841" s="462">
        <f>_xlfn.XLOOKUP(PV_DATA[[#This Row],[New Ark SKU]],Table9[New Ark SKU],Table9[Total PCS per Pallet],,0)</f>
        <v>33</v>
      </c>
      <c r="BF841" s="462">
        <f>_xlfn.XLOOKUP(PV_DATA[[#This Row],[New Ark SKU]],Table9[New Ark SKU],Table9[Total PCS per 40HQ Container],,0)</f>
        <v>594</v>
      </c>
      <c r="BG841" s="462" t="str">
        <f>_xlfn.XLOOKUP(PV_DATA[[#This Row],[New Ark SKU]],Table9[New Ark SKU],Table9[Back Glass],,0)</f>
        <v>Redirection Film</v>
      </c>
      <c r="BH841" s="462" t="str">
        <f>_xlfn.XLOOKUP(PV_DATA[[#This Row],[PORT DESTINATION]],Table12[PORT DESTINATION],Table12[Cosco Line],,0)</f>
        <v>AEU</v>
      </c>
    </row>
    <row r="842" spans="1:60" s="462" customFormat="1" ht="10.5" hidden="1">
      <c r="A842" s="462" t="s">
        <v>5928</v>
      </c>
      <c r="B842" s="462" t="s">
        <v>111</v>
      </c>
      <c r="C842" s="462" t="str">
        <f>IFERROR(LEFT(PV_DATA[[#This Row],[TCL REFERENCE]],FIND(".",PV_DATA[[#This Row],[TCL REFERENCE]],1)-1),"Main Line")</f>
        <v>26Jul004</v>
      </c>
      <c r="D842" s="462" t="s">
        <v>63</v>
      </c>
      <c r="E842" s="462" t="s">
        <v>64</v>
      </c>
      <c r="F842" s="462" t="str" cm="1">
        <f t="array" ref="F84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42" s="462" t="s">
        <v>402</v>
      </c>
      <c r="H842" s="462" t="s">
        <v>67</v>
      </c>
      <c r="I842" s="462" t="s">
        <v>689</v>
      </c>
      <c r="J842" s="462" t="s">
        <v>96</v>
      </c>
      <c r="M842" s="462" t="s">
        <v>68</v>
      </c>
      <c r="N842" s="712">
        <v>46223</v>
      </c>
      <c r="O842" s="462" t="s">
        <v>132</v>
      </c>
      <c r="P842" s="462" t="s">
        <v>1062</v>
      </c>
      <c r="Q842" s="462" t="s">
        <v>1063</v>
      </c>
      <c r="R842" s="430" t="str">
        <f>_xlfn.XLOOKUP(PV_DATA[[#This Row],[New Ark SKU]],Table9[New Ark SKU],Table9[Connector],,0)</f>
        <v>EVO2A</v>
      </c>
      <c r="S842" s="433" t="str">
        <f>_xlfn.XLOOKUP(PV_DATA[[#This Row],[New Ark SKU]],Table9[New Ark SKU],Table9[Cable],,0)</f>
        <v>±1200mm</v>
      </c>
      <c r="T842" s="936">
        <v>470</v>
      </c>
      <c r="U842" s="1069">
        <f>864*4</f>
        <v>3456</v>
      </c>
      <c r="V842" s="458">
        <f>PV_DATA[[#This Row],[QUANTITY]]*PV_DATA[[#This Row],[WATT]]/1000000</f>
        <v>1.62432</v>
      </c>
      <c r="W842" s="714">
        <f>PV_DATA[[#This Row],[QUANTITY]]/PV_DATA[[#This Row],[Qty/Pallet]]</f>
        <v>96</v>
      </c>
      <c r="X842" s="1017">
        <f>PV_DATA[[#This Row],[QUANTITY]]/PV_DATA[[#This Row],[Qty/CT]]</f>
        <v>4</v>
      </c>
      <c r="Y842" s="462" t="s">
        <v>4375</v>
      </c>
      <c r="Z842" s="462" t="str">
        <f t="shared" si="10"/>
        <v>COMPLETED</v>
      </c>
      <c r="AB842" s="713">
        <v>46238</v>
      </c>
      <c r="AC842" s="937">
        <f>IF(PV_DATA[[#This Row],[Pick-Up Date]]&lt;&gt;"",_xlfn.ISOWEEKNUM(PV_DATA[[#This Row],[Pick-Up Date]]),"")</f>
        <v>32</v>
      </c>
      <c r="AD842" s="462" t="s">
        <v>5929</v>
      </c>
      <c r="AF842" s="462" t="s">
        <v>122</v>
      </c>
      <c r="AG842" s="462" t="s">
        <v>123</v>
      </c>
      <c r="AH842" s="462" t="s">
        <v>105</v>
      </c>
      <c r="AI842" s="713">
        <v>46244</v>
      </c>
      <c r="AJ842" s="713">
        <v>46248</v>
      </c>
      <c r="AK842" s="437">
        <v>46249</v>
      </c>
      <c r="AL842" s="713">
        <v>46281</v>
      </c>
      <c r="AM842" s="713">
        <v>46299.25</v>
      </c>
      <c r="AN842" s="939">
        <v>46300</v>
      </c>
      <c r="AP842" s="462" t="s">
        <v>5894</v>
      </c>
      <c r="AQ842" s="940" t="s">
        <v>161</v>
      </c>
      <c r="AR842" s="462" t="s">
        <v>5926</v>
      </c>
      <c r="AS842" s="462" t="s">
        <v>5927</v>
      </c>
      <c r="AT842" s="462" t="s">
        <v>5927</v>
      </c>
      <c r="AU84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</v>
      </c>
      <c r="AW842" s="713" cm="1">
        <f t="array" ref="AW84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46300</v>
      </c>
      <c r="AX84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42" s="713">
        <f>IF(ISERROR(PV_DATA[[#This Row],[New Ark PO status]]),"",_xlfn.XLOOKUP(PV_DATA[[#This Row],[SPTN-PVHK New Ark PO'#]],New_Ark_Data[Purchase order Number],New_Ark_Data[Estimated time of arrival],"",0))</f>
        <v>46309</v>
      </c>
      <c r="AZ842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42" s="713">
        <f>IFERROR(PV_DATA[[#This Row],[ODP ETA Port]]+PV_DATA[[#This Row],[Customs/Leg3 Assumption]],"n/a")</f>
        <v>46307</v>
      </c>
      <c r="BB842" s="936">
        <f>YEAR(PV_DATA[[#This Row],[ETA for New Ark update]])</f>
        <v>2026</v>
      </c>
      <c r="BC842" s="462">
        <f>MONTH(PV_DATA[[#This Row],[ETA for New Ark update]])</f>
        <v>10</v>
      </c>
      <c r="BD842" s="462">
        <f>IFERROR(_xlfn.ISOWEEKNUM(PV_DATA[[#This Row],[ETA for New Ark update]]),0)</f>
        <v>42</v>
      </c>
      <c r="BE842" s="462">
        <f>_xlfn.XLOOKUP(PV_DATA[[#This Row],[New Ark SKU]],Table9[New Ark SKU],Table9[Total PCS per Pallet],,0)</f>
        <v>36</v>
      </c>
      <c r="BF842" s="462">
        <f>_xlfn.XLOOKUP(PV_DATA[[#This Row],[New Ark SKU]],Table9[New Ark SKU],Table9[Total PCS per 40HQ Container],,0)</f>
        <v>864</v>
      </c>
      <c r="BG842" s="462" t="str">
        <f>_xlfn.XLOOKUP(PV_DATA[[#This Row],[New Ark SKU]],Table9[New Ark SKU],Table9[Back Glass],,0)</f>
        <v>White glazing</v>
      </c>
      <c r="BH842" s="462" t="str">
        <f>_xlfn.XLOOKUP(PV_DATA[[#This Row],[PORT DESTINATION]],Table12[PORT DESTINATION],Table12[Cosco Line],,0)</f>
        <v>AEU</v>
      </c>
    </row>
    <row r="843" spans="1:60" s="462" customFormat="1" ht="10.5" hidden="1">
      <c r="A843" s="462" t="s">
        <v>5930</v>
      </c>
      <c r="B843" s="462" t="s">
        <v>111</v>
      </c>
      <c r="C843" s="462" t="str">
        <f>IFERROR(LEFT(PV_DATA[[#This Row],[TCL REFERENCE]],FIND(".",PV_DATA[[#This Row],[TCL REFERENCE]],1)-1),"Main Line")</f>
        <v>26Jun033</v>
      </c>
      <c r="D843" s="462" t="s">
        <v>63</v>
      </c>
      <c r="E843" s="462" t="s">
        <v>64</v>
      </c>
      <c r="F843" s="462" t="str" cm="1">
        <f t="array" ref="F84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43" s="462" t="s">
        <v>402</v>
      </c>
      <c r="H843" s="462" t="s">
        <v>67</v>
      </c>
      <c r="I843" s="462" t="s">
        <v>689</v>
      </c>
      <c r="J843" s="462" t="s">
        <v>96</v>
      </c>
      <c r="M843" s="462" t="s">
        <v>68</v>
      </c>
      <c r="N843" s="712">
        <v>46209</v>
      </c>
      <c r="O843" s="462" t="s">
        <v>70</v>
      </c>
      <c r="P843" s="462" t="s">
        <v>5758</v>
      </c>
      <c r="Q843" s="462" t="s">
        <v>1484</v>
      </c>
      <c r="R843" s="430" t="str">
        <f>_xlfn.XLOOKUP(PV_DATA[[#This Row],[New Ark SKU]],Table9[New Ark SKU],Table9[Connector],,0)</f>
        <v>EVO2A</v>
      </c>
      <c r="S843" s="433" t="str">
        <f>_xlfn.XLOOKUP(PV_DATA[[#This Row],[New Ark SKU]],Table9[New Ark SKU],Table9[Cable],,0)</f>
        <v>±1400mm</v>
      </c>
      <c r="T843" s="936">
        <v>725</v>
      </c>
      <c r="U843" s="1069">
        <f>594*10</f>
        <v>5940</v>
      </c>
      <c r="V843" s="458">
        <f>PV_DATA[[#This Row],[QUANTITY]]*PV_DATA[[#This Row],[WATT]]/1000000</f>
        <v>4.3064999999999998</v>
      </c>
      <c r="W843" s="714">
        <f>PV_DATA[[#This Row],[QUANTITY]]/PV_DATA[[#This Row],[Qty/Pallet]]</f>
        <v>180</v>
      </c>
      <c r="X843" s="1017">
        <f>PV_DATA[[#This Row],[QUANTITY]]/PV_DATA[[#This Row],[Qty/CT]]</f>
        <v>10</v>
      </c>
      <c r="Y843" s="462" t="s">
        <v>4375</v>
      </c>
      <c r="Z843" s="462" t="str">
        <f t="shared" si="10"/>
        <v>COMPLETED</v>
      </c>
      <c r="AB843" s="713">
        <v>46238</v>
      </c>
      <c r="AC843" s="937">
        <f>IF(PV_DATA[[#This Row],[Pick-Up Date]]&lt;&gt;"",_xlfn.ISOWEEKNUM(PV_DATA[[#This Row],[Pick-Up Date]]),"")</f>
        <v>32</v>
      </c>
      <c r="AD843" s="462" t="s">
        <v>5931</v>
      </c>
      <c r="AF843" s="462" t="s">
        <v>122</v>
      </c>
      <c r="AG843" s="462" t="s">
        <v>123</v>
      </c>
      <c r="AH843" s="462" t="s">
        <v>105</v>
      </c>
      <c r="AI843" s="713">
        <v>46244</v>
      </c>
      <c r="AJ843" s="713">
        <v>46248</v>
      </c>
      <c r="AK843" s="437">
        <v>46249</v>
      </c>
      <c r="AL843" s="713">
        <v>46281</v>
      </c>
      <c r="AM843" s="713">
        <v>46299.25</v>
      </c>
      <c r="AN843" s="939">
        <v>46300</v>
      </c>
      <c r="AP843" s="462" t="s">
        <v>5894</v>
      </c>
      <c r="AQ843" s="940" t="s">
        <v>161</v>
      </c>
      <c r="AR843" s="462" t="s">
        <v>5926</v>
      </c>
      <c r="AS843" s="462" t="s">
        <v>5927</v>
      </c>
      <c r="AT843" s="462" t="s">
        <v>5927</v>
      </c>
      <c r="AU84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</v>
      </c>
      <c r="AW843" s="713" cm="1">
        <f t="array" ref="AW84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46300</v>
      </c>
      <c r="AX84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43" s="713">
        <f>IF(ISERROR(PV_DATA[[#This Row],[New Ark PO status]]),"",_xlfn.XLOOKUP(PV_DATA[[#This Row],[SPTN-PVHK New Ark PO'#]],New_Ark_Data[Purchase order Number],New_Ark_Data[Estimated time of arrival],"",0))</f>
        <v>46309</v>
      </c>
      <c r="AZ843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43" s="713">
        <f>IFERROR(PV_DATA[[#This Row],[ODP ETA Port]]+PV_DATA[[#This Row],[Customs/Leg3 Assumption]],"n/a")</f>
        <v>46307</v>
      </c>
      <c r="BB843" s="936">
        <f>YEAR(PV_DATA[[#This Row],[ETA for New Ark update]])</f>
        <v>2026</v>
      </c>
      <c r="BC843" s="462">
        <f>MONTH(PV_DATA[[#This Row],[ETA for New Ark update]])</f>
        <v>10</v>
      </c>
      <c r="BD843" s="462">
        <f>IFERROR(_xlfn.ISOWEEKNUM(PV_DATA[[#This Row],[ETA for New Ark update]]),0)</f>
        <v>42</v>
      </c>
      <c r="BE843" s="462">
        <f>_xlfn.XLOOKUP(PV_DATA[[#This Row],[New Ark SKU]],Table9[New Ark SKU],Table9[Total PCS per Pallet],,0)</f>
        <v>33</v>
      </c>
      <c r="BF843" s="462">
        <f>_xlfn.XLOOKUP(PV_DATA[[#This Row],[New Ark SKU]],Table9[New Ark SKU],Table9[Total PCS per 40HQ Container],,0)</f>
        <v>594</v>
      </c>
      <c r="BG843" s="462" t="str">
        <f>_xlfn.XLOOKUP(PV_DATA[[#This Row],[New Ark SKU]],Table9[New Ark SKU],Table9[Back Glass],,0)</f>
        <v>Transparent</v>
      </c>
      <c r="BH843" s="462" t="str">
        <f>_xlfn.XLOOKUP(PV_DATA[[#This Row],[PORT DESTINATION]],Table12[PORT DESTINATION],Table12[Cosco Line],,0)</f>
        <v>AEU</v>
      </c>
    </row>
    <row r="844" spans="1:60" s="730" customFormat="1" ht="10.5" hidden="1">
      <c r="A844" s="462" t="s">
        <v>5932</v>
      </c>
      <c r="B844" s="462" t="s">
        <v>111</v>
      </c>
      <c r="C844" s="462" t="str">
        <f>IFERROR(LEFT(PV_DATA[[#This Row],[TCL REFERENCE]],FIND(".",PV_DATA[[#This Row],[TCL REFERENCE]],1)-1),"Main Line")</f>
        <v>26Jul001</v>
      </c>
      <c r="D844" s="462" t="s">
        <v>63</v>
      </c>
      <c r="E844" s="462" t="s">
        <v>64</v>
      </c>
      <c r="F844" s="462" t="str" cm="1">
        <f t="array" ref="F84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44" s="462" t="s">
        <v>402</v>
      </c>
      <c r="H844" s="462" t="s">
        <v>67</v>
      </c>
      <c r="I844" s="462" t="s">
        <v>882</v>
      </c>
      <c r="J844" s="462" t="s">
        <v>96</v>
      </c>
      <c r="K844" s="462"/>
      <c r="L844" s="462"/>
      <c r="M844" s="462" t="s">
        <v>68</v>
      </c>
      <c r="N844" s="712">
        <v>46209</v>
      </c>
      <c r="O844" s="462" t="s">
        <v>550</v>
      </c>
      <c r="P844" s="462" t="s">
        <v>551</v>
      </c>
      <c r="Q844" s="462" t="s">
        <v>2151</v>
      </c>
      <c r="R844" s="430" t="str">
        <f>_xlfn.XLOOKUP(PV_DATA[[#This Row],[New Ark SKU]],Table9[New Ark SKU],Table9[Connector],,0)</f>
        <v>EVO2A</v>
      </c>
      <c r="S844" s="433" t="str">
        <f>_xlfn.XLOOKUP(PV_DATA[[#This Row],[New Ark SKU]],Table9[New Ark SKU],Table9[Cable],,0)</f>
        <v>±1350mm</v>
      </c>
      <c r="T844" s="936">
        <v>510</v>
      </c>
      <c r="U844" s="1069">
        <v>1584</v>
      </c>
      <c r="V844" s="458">
        <f>PV_DATA[[#This Row],[QUANTITY]]*PV_DATA[[#This Row],[WATT]]/1000000</f>
        <v>0.80784</v>
      </c>
      <c r="W844" s="714">
        <f>PV_DATA[[#This Row],[QUANTITY]]/PV_DATA[[#This Row],[Qty/Pallet]]</f>
        <v>44</v>
      </c>
      <c r="X844" s="1017">
        <f>PV_DATA[[#This Row],[QUANTITY]]/PV_DATA[[#This Row],[Qty/CT]]</f>
        <v>2</v>
      </c>
      <c r="Y844" s="462" t="s">
        <v>4372</v>
      </c>
      <c r="Z844" s="462" t="str">
        <f t="shared" si="10"/>
        <v>COMPLETED</v>
      </c>
      <c r="AA844" s="462"/>
      <c r="AB844" s="713">
        <v>46246</v>
      </c>
      <c r="AC844" s="937">
        <f>IF(PV_DATA[[#This Row],[Pick-Up Date]]&lt;&gt;"",_xlfn.ISOWEEKNUM(PV_DATA[[#This Row],[Pick-Up Date]]),"")</f>
        <v>33</v>
      </c>
      <c r="AD844" s="462" t="s">
        <v>5933</v>
      </c>
      <c r="AE844" s="462"/>
      <c r="AF844" s="462" t="s">
        <v>122</v>
      </c>
      <c r="AG844" s="462" t="s">
        <v>123</v>
      </c>
      <c r="AH844" s="462" t="s">
        <v>78</v>
      </c>
      <c r="AI844" s="713">
        <v>46246</v>
      </c>
      <c r="AJ844" s="713"/>
      <c r="AK844" s="437">
        <f>IFERROR(IF(VLOOKUP(AT844,Vessel!A:F,5,FALSE)=0,"",VLOOKUP(AT844,Vessel!A:F,5,FALSE)),"")</f>
        <v>46253.978368055556</v>
      </c>
      <c r="AL844" s="1013">
        <v>46288</v>
      </c>
      <c r="AM844" s="1127">
        <f>IFERROR(VLOOKUP(AT844, Vessel!A:H, 8, FALSE), "")</f>
        <v>46290.25</v>
      </c>
      <c r="AN844" s="939">
        <f>IFERROR(IF(VLOOKUP(AT844,Vessel!A:I,9,FALSE)=0,"",VLOOKUP(AT844,Vessel!A:I,9,FALSE)),"")</f>
        <v>46290.232800925929</v>
      </c>
      <c r="AO844" s="462"/>
      <c r="AP844" s="462" t="s">
        <v>5934</v>
      </c>
      <c r="AQ844" s="940" t="s">
        <v>80</v>
      </c>
      <c r="AR844" s="462" t="s">
        <v>5935</v>
      </c>
      <c r="AS844" s="462" t="s">
        <v>5936</v>
      </c>
      <c r="AT844" s="462" t="s">
        <v>5936</v>
      </c>
      <c r="AU84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36.254432870373421</v>
      </c>
      <c r="AV844" s="462"/>
      <c r="AW844" s="713" cm="1">
        <f t="array" ref="AW84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46290.232800925929</v>
      </c>
      <c r="AX84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44" s="713">
        <f>IF(ISERROR(PV_DATA[[#This Row],[New Ark PO status]]),"",_xlfn.XLOOKUP(PV_DATA[[#This Row],[SPTN-PVHK New Ark PO'#]],New_Ark_Data[Purchase order Number],New_Ark_Data[Estimated time of arrival],"",0))</f>
        <v>46302</v>
      </c>
      <c r="AZ844" s="936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44" s="713">
        <f>IFERROR(PV_DATA[[#This Row],[ODP ETA Port]]+PV_DATA[[#This Row],[Customs/Leg3 Assumption]],"n/a")</f>
        <v>46298.232800925929</v>
      </c>
      <c r="BB844" s="936">
        <f>YEAR(PV_DATA[[#This Row],[ETA for New Ark update]])</f>
        <v>2026</v>
      </c>
      <c r="BC844" s="462">
        <f>MONTH(PV_DATA[[#This Row],[ETA for New Ark update]])</f>
        <v>10</v>
      </c>
      <c r="BD844" s="462">
        <f>IFERROR(_xlfn.ISOWEEKNUM(PV_DATA[[#This Row],[ETA for New Ark update]]),0)</f>
        <v>40</v>
      </c>
      <c r="BE844" s="462">
        <f>_xlfn.XLOOKUP(PV_DATA[[#This Row],[New Ark SKU]],Table9[New Ark SKU],Table9[Total PCS per Pallet],,0)</f>
        <v>36</v>
      </c>
      <c r="BF844" s="462">
        <f>_xlfn.XLOOKUP(PV_DATA[[#This Row],[New Ark SKU]],Table9[New Ark SKU],Table9[Total PCS per 40HQ Container],,0)</f>
        <v>792</v>
      </c>
      <c r="BG844" s="462" t="str">
        <f>_xlfn.XLOOKUP(PV_DATA[[#This Row],[New Ark SKU]],Table9[New Ark SKU],Table9[Back Glass],,0)</f>
        <v>Black glazing</v>
      </c>
      <c r="BH844" s="938" t="str">
        <f>_xlfn.XLOOKUP(PV_DATA[[#This Row],[PORT DESTINATION]],Table12[PORT DESTINATION],Table12[Cosco Line],,0)</f>
        <v>AEM</v>
      </c>
    </row>
    <row r="845" spans="1:60" s="462" customFormat="1" ht="10.5" hidden="1">
      <c r="A845" s="462" t="s">
        <v>5937</v>
      </c>
      <c r="B845" s="462" t="s">
        <v>111</v>
      </c>
      <c r="C845" s="462" t="str">
        <f>IFERROR(LEFT(PV_DATA[[#This Row],[TCL REFERENCE]],FIND(".",PV_DATA[[#This Row],[TCL REFERENCE]],1)-1),"Main Line")</f>
        <v>26Jul013</v>
      </c>
      <c r="D845" s="462" t="s">
        <v>63</v>
      </c>
      <c r="E845" s="462" t="s">
        <v>144</v>
      </c>
      <c r="F845" s="462" t="str" cm="1">
        <f t="array" ref="F84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845" s="462" t="s">
        <v>402</v>
      </c>
      <c r="H845" s="462" t="s">
        <v>1912</v>
      </c>
      <c r="I845" s="462" t="s">
        <v>1395</v>
      </c>
      <c r="J845" s="462" t="s">
        <v>1912</v>
      </c>
      <c r="K845" s="462" t="s">
        <v>5558</v>
      </c>
      <c r="L845" s="462">
        <v>1</v>
      </c>
      <c r="M845" s="462" t="s">
        <v>840</v>
      </c>
      <c r="N845" s="712">
        <v>46202</v>
      </c>
      <c r="O845" s="462" t="s">
        <v>5345</v>
      </c>
      <c r="P845" s="462" t="s">
        <v>5346</v>
      </c>
      <c r="Q845" s="462" t="s">
        <v>5347</v>
      </c>
      <c r="R845" s="430" t="str">
        <f>_xlfn.XLOOKUP(PV_DATA[[#This Row],[New Ark SKU]],Table9[New Ark SKU],Table9[Connector],,0)</f>
        <v>EVO2A</v>
      </c>
      <c r="S845" s="433" t="str">
        <f>_xlfn.XLOOKUP(PV_DATA[[#This Row],[New Ark SKU]],Table9[New Ark SKU],Table9[Cable],,0)</f>
        <v>±1400mm</v>
      </c>
      <c r="T845" s="936">
        <v>580</v>
      </c>
      <c r="U845" s="1069">
        <v>2160</v>
      </c>
      <c r="V845" s="458">
        <f>PV_DATA[[#This Row],[QUANTITY]]*PV_DATA[[#This Row],[WATT]]/1000000</f>
        <v>1.2527999999999999</v>
      </c>
      <c r="W845" s="714">
        <f>PV_DATA[[#This Row],[QUANTITY]]/PV_DATA[[#This Row],[Qty/Pallet]]</f>
        <v>60</v>
      </c>
      <c r="X845" s="1017">
        <f>PV_DATA[[#This Row],[QUANTITY]]/PV_DATA[[#This Row],[Qty/CT]]</f>
        <v>3</v>
      </c>
      <c r="Y845" s="462" t="s">
        <v>4374</v>
      </c>
      <c r="Z845" s="462" t="str">
        <f t="shared" si="10"/>
        <v>COMPLETED</v>
      </c>
      <c r="AA845" s="462" t="s">
        <v>5676</v>
      </c>
      <c r="AB845" s="713">
        <v>46246</v>
      </c>
      <c r="AC845" s="937">
        <f>IF(PV_DATA[[#This Row],[Pick-Up Date]]&lt;&gt;"",_xlfn.ISOWEEKNUM(PV_DATA[[#This Row],[Pick-Up Date]]),"")</f>
        <v>33</v>
      </c>
      <c r="AD845" s="462" t="s">
        <v>5938</v>
      </c>
      <c r="AF845" s="462" t="s">
        <v>122</v>
      </c>
      <c r="AG845" s="462" t="s">
        <v>123</v>
      </c>
      <c r="AH845" s="462" t="s">
        <v>124</v>
      </c>
      <c r="AI845" s="713">
        <v>46246</v>
      </c>
      <c r="AJ845" s="713"/>
      <c r="AK845" s="437">
        <f>IFERROR(IF(VLOOKUP(AT845,Vessel!A:F,5,FALSE)=0,"",VLOOKUP(AT845,Vessel!A:F,5,FALSE)),"")</f>
        <v>46253.978368055556</v>
      </c>
      <c r="AL845" s="713">
        <v>46282</v>
      </c>
      <c r="AM845" s="939">
        <f>IFERROR(VLOOKUP(AT845, Vessel!A:H, 8, FALSE), "")</f>
        <v>46284.333333333336</v>
      </c>
      <c r="AN845" s="939">
        <f>IFERROR(IF(VLOOKUP(AT845,Vessel!A:I,9,FALSE)=0,"",VLOOKUP(AT845,Vessel!A:I,9,FALSE)),"")</f>
        <v>46284.41574074074</v>
      </c>
      <c r="AP845" s="462" t="s">
        <v>5934</v>
      </c>
      <c r="AQ845" s="462" t="s">
        <v>80</v>
      </c>
      <c r="AR845" s="462" t="s">
        <v>5939</v>
      </c>
      <c r="AS845" s="462" t="s">
        <v>5940</v>
      </c>
      <c r="AT845" s="462" t="s">
        <v>5940</v>
      </c>
      <c r="AU84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30.437372685184528</v>
      </c>
      <c r="AW845" s="713" cm="1">
        <f t="array" ref="AW84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46284.41574074074</v>
      </c>
      <c r="AX84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845" s="713">
        <f>IF(ISERROR(PV_DATA[[#This Row],[New Ark PO status]]),"",_xlfn.XLOOKUP(PV_DATA[[#This Row],[SPTN-PVHK New Ark PO'#]],New_Ark_Data[Purchase order Number],New_Ark_Data[Estimated time of arrival],"",0))</f>
        <v>46282</v>
      </c>
      <c r="AZ845" s="936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845" s="713">
        <f>IFERROR(PV_DATA[[#This Row],[ODP ETA Port]]+PV_DATA[[#This Row],[Customs/Leg3 Assumption]],"n/a")</f>
        <v>46284.41574074074</v>
      </c>
      <c r="BB845" s="936">
        <f>YEAR(PV_DATA[[#This Row],[ETA for New Ark update]])</f>
        <v>2026</v>
      </c>
      <c r="BC845" s="462">
        <f>MONTH(PV_DATA[[#This Row],[ETA for New Ark update]])</f>
        <v>9</v>
      </c>
      <c r="BD845" s="462">
        <f>IFERROR(_xlfn.ISOWEEKNUM(PV_DATA[[#This Row],[ETA for New Ark update]]),0)</f>
        <v>38</v>
      </c>
      <c r="BE845" s="462">
        <f>_xlfn.XLOOKUP(PV_DATA[[#This Row],[New Ark SKU]],Table9[New Ark SKU],Table9[Total PCS per Pallet],,0)</f>
        <v>36</v>
      </c>
      <c r="BF845" s="462">
        <f>_xlfn.XLOOKUP(PV_DATA[[#This Row],[New Ark SKU]],Table9[New Ark SKU],Table9[Total PCS per 40HQ Container],,0)</f>
        <v>720</v>
      </c>
      <c r="BG845" s="462" t="str">
        <f>_xlfn.XLOOKUP(PV_DATA[[#This Row],[New Ark SKU]],Table9[New Ark SKU],Table9[Back Glass],,0)</f>
        <v>Transparent</v>
      </c>
      <c r="BH845" s="462" t="str">
        <f>_xlfn.XLOOKUP(PV_DATA[[#This Row],[PORT DESTINATION]],Table12[PORT DESTINATION],Table12[Cosco Line],,0)</f>
        <v>AEM</v>
      </c>
    </row>
    <row r="846" spans="1:60" s="462" customFormat="1" ht="10.5" hidden="1">
      <c r="A846" s="462" t="s">
        <v>5941</v>
      </c>
      <c r="B846" s="462" t="s">
        <v>111</v>
      </c>
      <c r="C846" s="462" t="str">
        <f>IFERROR(LEFT(PV_DATA[[#This Row],[TCL REFERENCE]],FIND(".",PV_DATA[[#This Row],[TCL REFERENCE]],1)-1),"Main Line")</f>
        <v>26Jul002</v>
      </c>
      <c r="D846" s="462" t="s">
        <v>63</v>
      </c>
      <c r="E846" s="462" t="s">
        <v>64</v>
      </c>
      <c r="F846" s="462" t="str" cm="1">
        <f t="array" ref="F84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846" s="462" t="s">
        <v>402</v>
      </c>
      <c r="H846" s="462" t="s">
        <v>311</v>
      </c>
      <c r="I846" s="462" t="s">
        <v>689</v>
      </c>
      <c r="J846" s="462" t="s">
        <v>96</v>
      </c>
      <c r="M846" s="462" t="s">
        <v>68</v>
      </c>
      <c r="N846" s="712">
        <v>46209</v>
      </c>
      <c r="O846" s="462" t="s">
        <v>550</v>
      </c>
      <c r="P846" s="462" t="s">
        <v>2134</v>
      </c>
      <c r="Q846" s="462" t="s">
        <v>2135</v>
      </c>
      <c r="R846" s="430" t="str">
        <f>_xlfn.XLOOKUP(PV_DATA[[#This Row],[New Ark SKU]],Table9[New Ark SKU],Table9[Connector],,0)</f>
        <v>EVO2A</v>
      </c>
      <c r="S846" s="433" t="str">
        <f>_xlfn.XLOOKUP(PV_DATA[[#This Row],[New Ark SKU]],Table9[New Ark SKU],Table9[Cable],,0)</f>
        <v>±1350mm</v>
      </c>
      <c r="T846" s="936">
        <v>515</v>
      </c>
      <c r="U846" s="1069">
        <f>792*2</f>
        <v>1584</v>
      </c>
      <c r="V846" s="458">
        <f>PV_DATA[[#This Row],[QUANTITY]]*PV_DATA[[#This Row],[WATT]]/1000000</f>
        <v>0.81576000000000004</v>
      </c>
      <c r="W846" s="714">
        <f>PV_DATA[[#This Row],[QUANTITY]]/PV_DATA[[#This Row],[Qty/Pallet]]</f>
        <v>44</v>
      </c>
      <c r="X846" s="1017">
        <f>PV_DATA[[#This Row],[QUANTITY]]/PV_DATA[[#This Row],[Qty/CT]]</f>
        <v>2</v>
      </c>
      <c r="Y846" s="462" t="s">
        <v>4374</v>
      </c>
      <c r="Z846" s="462" t="str">
        <f t="shared" si="10"/>
        <v>COMPLETED</v>
      </c>
      <c r="AA846" s="462" t="s">
        <v>5942</v>
      </c>
      <c r="AB846" s="713">
        <v>46237</v>
      </c>
      <c r="AC846" s="937">
        <f>IF(PV_DATA[[#This Row],[Pick-Up Date]]&lt;&gt;"",_xlfn.ISOWEEKNUM(PV_DATA[[#This Row],[Pick-Up Date]]),"")</f>
        <v>32</v>
      </c>
      <c r="AD846" s="462" t="s">
        <v>5943</v>
      </c>
      <c r="AF846" s="462" t="s">
        <v>122</v>
      </c>
      <c r="AG846" s="462" t="s">
        <v>123</v>
      </c>
      <c r="AH846" s="462" t="s">
        <v>1561</v>
      </c>
      <c r="AI846" s="713">
        <v>46245</v>
      </c>
      <c r="AJ846" s="713">
        <f>IFERROR(VLOOKUP(AT846, Vessel!A:D, 4, FALSE), "")</f>
        <v>46241.770833333336</v>
      </c>
      <c r="AK846" s="437">
        <f>IFERROR(IF(VLOOKUP(AT846,Vessel!A:F,5,FALSE)=0,"",VLOOKUP(AT846,Vessel!A:F,5,FALSE)),"")</f>
        <v>46241.8122337963</v>
      </c>
      <c r="AL846" s="1013">
        <v>46304</v>
      </c>
      <c r="AM846" s="1127">
        <f>IFERROR(VLOOKUP(AT846, Vessel!A:H, 8, FALSE), "")</f>
        <v>46299.875</v>
      </c>
      <c r="AN846" s="713">
        <v>46299</v>
      </c>
      <c r="AP846" s="462" t="s">
        <v>5944</v>
      </c>
      <c r="AQ846" s="462" t="s">
        <v>80</v>
      </c>
      <c r="AR846" s="462" t="s">
        <v>5945</v>
      </c>
      <c r="AS846" s="462" t="s">
        <v>5946</v>
      </c>
      <c r="AT846" s="462" t="s">
        <v>5946</v>
      </c>
      <c r="AU84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57.187766203700448</v>
      </c>
      <c r="AW846" s="713" cm="1">
        <f t="array" ref="AW84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46299</v>
      </c>
      <c r="AX84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46" s="713">
        <f>IF(ISERROR(PV_DATA[[#This Row],[New Ark PO status]]),"",_xlfn.XLOOKUP(PV_DATA[[#This Row],[SPTN-PVHK New Ark PO'#]],New_Ark_Data[Purchase order Number],New_Ark_Data[Estimated time of arrival],"",0))</f>
        <v>46300</v>
      </c>
      <c r="AZ846" s="936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846" s="713">
        <f>IFERROR(PV_DATA[[#This Row],[ODP ETA Port]]+PV_DATA[[#This Row],[Customs/Leg3 Assumption]],"n/a")</f>
        <v>46309</v>
      </c>
      <c r="BB846" s="936">
        <f>YEAR(PV_DATA[[#This Row],[ETA for New Ark update]])</f>
        <v>2026</v>
      </c>
      <c r="BC846" s="462">
        <f>MONTH(PV_DATA[[#This Row],[ETA for New Ark update]])</f>
        <v>10</v>
      </c>
      <c r="BD846" s="462">
        <f>IFERROR(_xlfn.ISOWEEKNUM(PV_DATA[[#This Row],[ETA for New Ark update]]),0)</f>
        <v>42</v>
      </c>
      <c r="BE846" s="462">
        <f>_xlfn.XLOOKUP(PV_DATA[[#This Row],[New Ark SKU]],Table9[New Ark SKU],Table9[Total PCS per Pallet],,0)</f>
        <v>36</v>
      </c>
      <c r="BF846" s="462">
        <f>_xlfn.XLOOKUP(PV_DATA[[#This Row],[New Ark SKU]],Table9[New Ark SKU],Table9[Total PCS per 40HQ Container],,0)</f>
        <v>792</v>
      </c>
      <c r="BG846" s="462" t="str">
        <f>_xlfn.XLOOKUP(PV_DATA[[#This Row],[New Ark SKU]],Table9[New Ark SKU],Table9[Back Glass],,0)</f>
        <v>Black glazing</v>
      </c>
      <c r="BH846" s="462" t="str">
        <f>_xlfn.XLOOKUP(PV_DATA[[#This Row],[PORT DESTINATION]],Table12[PORT DESTINATION],Table12[Cosco Line],,0)</f>
        <v>AEM</v>
      </c>
    </row>
    <row r="847" spans="1:60" s="462" customFormat="1" ht="10.5" hidden="1">
      <c r="A847" s="462" t="s">
        <v>5947</v>
      </c>
      <c r="B847" s="462" t="s">
        <v>111</v>
      </c>
      <c r="C847" s="462" t="str">
        <f>IFERROR(LEFT(PV_DATA[[#This Row],[TCL REFERENCE]],FIND(".",PV_DATA[[#This Row],[TCL REFERENCE]],1)-1),"Main Line")</f>
        <v>26Jul004</v>
      </c>
      <c r="D847" s="462" t="s">
        <v>63</v>
      </c>
      <c r="E847" s="462" t="s">
        <v>64</v>
      </c>
      <c r="F847" s="462" t="str" cm="1">
        <f t="array" ref="F84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47" s="462" t="s">
        <v>402</v>
      </c>
      <c r="H847" s="462" t="s">
        <v>67</v>
      </c>
      <c r="I847" s="462" t="s">
        <v>882</v>
      </c>
      <c r="J847" s="462" t="s">
        <v>96</v>
      </c>
      <c r="M847" s="462" t="s">
        <v>68</v>
      </c>
      <c r="N847" s="712">
        <v>46223</v>
      </c>
      <c r="O847" s="462" t="s">
        <v>132</v>
      </c>
      <c r="P847" s="462" t="s">
        <v>1062</v>
      </c>
      <c r="Q847" s="462" t="s">
        <v>1063</v>
      </c>
      <c r="R847" s="430" t="str">
        <f>_xlfn.XLOOKUP(PV_DATA[[#This Row],[New Ark SKU]],Table9[New Ark SKU],Table9[Connector],,0)</f>
        <v>EVO2A</v>
      </c>
      <c r="S847" s="433" t="str">
        <f>_xlfn.XLOOKUP(PV_DATA[[#This Row],[New Ark SKU]],Table9[New Ark SKU],Table9[Cable],,0)</f>
        <v>±1200mm</v>
      </c>
      <c r="T847" s="936">
        <v>470</v>
      </c>
      <c r="U847" s="1069">
        <v>1728</v>
      </c>
      <c r="V847" s="458">
        <f>PV_DATA[[#This Row],[QUANTITY]]*PV_DATA[[#This Row],[WATT]]/1000000</f>
        <v>0.81215999999999999</v>
      </c>
      <c r="W847" s="714">
        <f>PV_DATA[[#This Row],[QUANTITY]]/PV_DATA[[#This Row],[Qty/Pallet]]</f>
        <v>48</v>
      </c>
      <c r="X847" s="1017">
        <f>PV_DATA[[#This Row],[QUANTITY]]/PV_DATA[[#This Row],[Qty/CT]]</f>
        <v>2</v>
      </c>
      <c r="Y847" s="462" t="s">
        <v>4373</v>
      </c>
      <c r="Z847" s="462" t="str">
        <f t="shared" si="10"/>
        <v>COMPLETED</v>
      </c>
      <c r="AB847" s="713">
        <v>46248</v>
      </c>
      <c r="AC847" s="937">
        <f>IF(PV_DATA[[#This Row],[Pick-Up Date]]&lt;&gt;"",_xlfn.ISOWEEKNUM(PV_DATA[[#This Row],[Pick-Up Date]]),"")</f>
        <v>33</v>
      </c>
      <c r="AD847" s="462" t="s">
        <v>5948</v>
      </c>
      <c r="AE847" s="462" t="s">
        <v>5948</v>
      </c>
      <c r="AF847" s="462" t="s">
        <v>122</v>
      </c>
      <c r="AG847" s="462" t="s">
        <v>123</v>
      </c>
      <c r="AH847" s="462" t="s">
        <v>78</v>
      </c>
      <c r="AI847" s="713">
        <v>46249</v>
      </c>
      <c r="AJ847" s="713">
        <v>46252</v>
      </c>
      <c r="AK847" s="437">
        <v>46257</v>
      </c>
      <c r="AL847" s="713">
        <v>46295</v>
      </c>
      <c r="AM847" s="1190">
        <v>46296.75</v>
      </c>
      <c r="AN847" s="713">
        <v>46296</v>
      </c>
      <c r="AP847" s="462" t="s">
        <v>5949</v>
      </c>
      <c r="AQ847" s="462" t="s">
        <v>161</v>
      </c>
      <c r="AR847" s="462" t="s">
        <v>5950</v>
      </c>
      <c r="AS847" s="462">
        <v>274946111</v>
      </c>
      <c r="AT847" s="462">
        <v>274946111</v>
      </c>
      <c r="AU84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39</v>
      </c>
      <c r="AW847" s="713" cm="1">
        <f t="array" ref="AW84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46296</v>
      </c>
      <c r="AX84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47" s="713">
        <f>IF(ISERROR(PV_DATA[[#This Row],[New Ark PO status]]),"",_xlfn.XLOOKUP(PV_DATA[[#This Row],[SPTN-PVHK New Ark PO'#]],New_Ark_Data[Purchase order Number],New_Ark_Data[Estimated time of arrival],"",0))</f>
        <v>46309</v>
      </c>
      <c r="AZ847" s="936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47" s="713">
        <f>IFERROR(PV_DATA[[#This Row],[ODP ETA Port]]+PV_DATA[[#This Row],[Customs/Leg3 Assumption]],"n/a")</f>
        <v>46304</v>
      </c>
      <c r="BB847" s="936">
        <f>YEAR(PV_DATA[[#This Row],[ETA for New Ark update]])</f>
        <v>2026</v>
      </c>
      <c r="BC847" s="462">
        <f>MONTH(PV_DATA[[#This Row],[ETA for New Ark update]])</f>
        <v>10</v>
      </c>
      <c r="BD847" s="462">
        <f>IFERROR(_xlfn.ISOWEEKNUM(PV_DATA[[#This Row],[ETA for New Ark update]]),0)</f>
        <v>41</v>
      </c>
      <c r="BE847" s="462">
        <f>_xlfn.XLOOKUP(PV_DATA[[#This Row],[New Ark SKU]],Table9[New Ark SKU],Table9[Total PCS per Pallet],,0)</f>
        <v>36</v>
      </c>
      <c r="BF847" s="462">
        <f>_xlfn.XLOOKUP(PV_DATA[[#This Row],[New Ark SKU]],Table9[New Ark SKU],Table9[Total PCS per 40HQ Container],,0)</f>
        <v>864</v>
      </c>
      <c r="BG847" s="462" t="str">
        <f>_xlfn.XLOOKUP(PV_DATA[[#This Row],[New Ark SKU]],Table9[New Ark SKU],Table9[Back Glass],,0)</f>
        <v>White glazing</v>
      </c>
      <c r="BH847" s="462" t="str">
        <f>_xlfn.XLOOKUP(PV_DATA[[#This Row],[PORT DESTINATION]],Table12[PORT DESTINATION],Table12[Cosco Line],,0)</f>
        <v>AEM</v>
      </c>
    </row>
    <row r="848" spans="1:60" s="462" customFormat="1" ht="10.5" hidden="1">
      <c r="A848" s="730" t="s">
        <v>5951</v>
      </c>
      <c r="B848" s="462" t="s">
        <v>111</v>
      </c>
      <c r="C848" s="462" t="str">
        <f>IFERROR(LEFT(PV_DATA[[#This Row],[TCL REFERENCE]],FIND(".",PV_DATA[[#This Row],[TCL REFERENCE]],1)-1),"Main Line")</f>
        <v>26Jul015</v>
      </c>
      <c r="D848" s="462" t="s">
        <v>63</v>
      </c>
      <c r="E848" s="439" t="s">
        <v>64</v>
      </c>
      <c r="F848" s="462" t="str" cm="1">
        <f t="array" ref="F84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48" s="462" t="s">
        <v>402</v>
      </c>
      <c r="H848" s="462" t="s">
        <v>67</v>
      </c>
      <c r="I848" s="462" t="s">
        <v>1395</v>
      </c>
      <c r="J848" s="462" t="s">
        <v>96</v>
      </c>
      <c r="M848" s="462" t="s">
        <v>68</v>
      </c>
      <c r="N848" s="712">
        <v>46237</v>
      </c>
      <c r="O848" s="462" t="s">
        <v>5388</v>
      </c>
      <c r="P848" s="462" t="s">
        <v>5952</v>
      </c>
      <c r="Q848" s="462" t="s">
        <v>5953</v>
      </c>
      <c r="R848" s="430" t="str">
        <f>_xlfn.XLOOKUP(PV_DATA[[#This Row],[New Ark SKU]],Table9[New Ark SKU],Table9[Connector],,0)</f>
        <v>EVO2A</v>
      </c>
      <c r="S848" s="433" t="str">
        <f>_xlfn.XLOOKUP(PV_DATA[[#This Row],[New Ark SKU]],Table9[New Ark SKU],Table9[Cable],,0)</f>
        <v>±1200mm</v>
      </c>
      <c r="T848" s="936">
        <v>470</v>
      </c>
      <c r="U848" s="1069">
        <f>936*6</f>
        <v>5616</v>
      </c>
      <c r="V848" s="458">
        <f>PV_DATA[[#This Row],[QUANTITY]]*PV_DATA[[#This Row],[WATT]]/1000000</f>
        <v>2.6395200000000001</v>
      </c>
      <c r="W848" s="714">
        <f>PV_DATA[[#This Row],[QUANTITY]]/PV_DATA[[#This Row],[Qty/Pallet]]</f>
        <v>156</v>
      </c>
      <c r="X848" s="1017">
        <f>PV_DATA[[#This Row],[QUANTITY]]/PV_DATA[[#This Row],[Qty/CT]]</f>
        <v>6</v>
      </c>
      <c r="Y848" s="462" t="s">
        <v>4373</v>
      </c>
      <c r="Z848" s="462" t="str">
        <f t="shared" si="10"/>
        <v>COMPLETED</v>
      </c>
      <c r="AB848" s="713">
        <v>46248</v>
      </c>
      <c r="AC848" s="937">
        <f>IF(PV_DATA[[#This Row],[Pick-Up Date]]&lt;&gt;"",_xlfn.ISOWEEKNUM(PV_DATA[[#This Row],[Pick-Up Date]]),"")</f>
        <v>33</v>
      </c>
      <c r="AD848" s="462" t="s">
        <v>5954</v>
      </c>
      <c r="AF848" s="462" t="s">
        <v>122</v>
      </c>
      <c r="AG848" s="462" t="s">
        <v>123</v>
      </c>
      <c r="AH848" s="462" t="s">
        <v>78</v>
      </c>
      <c r="AI848" s="713">
        <v>46249</v>
      </c>
      <c r="AJ848" s="713">
        <v>46252</v>
      </c>
      <c r="AK848" s="437">
        <v>46257</v>
      </c>
      <c r="AL848" s="713">
        <v>46295</v>
      </c>
      <c r="AM848" s="1190">
        <v>46296.75</v>
      </c>
      <c r="AN848" s="713">
        <v>46296</v>
      </c>
      <c r="AP848" s="462" t="s">
        <v>5949</v>
      </c>
      <c r="AQ848" s="462" t="s">
        <v>161</v>
      </c>
      <c r="AR848" s="462" t="s">
        <v>5950</v>
      </c>
      <c r="AS848" s="462">
        <v>274946111</v>
      </c>
      <c r="AT848" s="462">
        <v>274946111</v>
      </c>
      <c r="AU84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39</v>
      </c>
      <c r="AW848" s="713" cm="1">
        <f t="array" ref="AW84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46296</v>
      </c>
      <c r="AX84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48" s="713">
        <f>IF(ISERROR(PV_DATA[[#This Row],[New Ark PO status]]),"",_xlfn.XLOOKUP(PV_DATA[[#This Row],[SPTN-PVHK New Ark PO'#]],New_Ark_Data[Purchase order Number],New_Ark_Data[Estimated time of arrival],"",0))</f>
        <v>46309</v>
      </c>
      <c r="AZ848" s="936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48" s="713">
        <f>IFERROR(PV_DATA[[#This Row],[ODP ETA Port]]+PV_DATA[[#This Row],[Customs/Leg3 Assumption]],"n/a")</f>
        <v>46304</v>
      </c>
      <c r="BB848" s="936">
        <f>YEAR(PV_DATA[[#This Row],[ETA for New Ark update]])</f>
        <v>2026</v>
      </c>
      <c r="BC848" s="462">
        <f>MONTH(PV_DATA[[#This Row],[ETA for New Ark update]])</f>
        <v>10</v>
      </c>
      <c r="BD848" s="462">
        <f>IFERROR(_xlfn.ISOWEEKNUM(PV_DATA[[#This Row],[ETA for New Ark update]]),0)</f>
        <v>41</v>
      </c>
      <c r="BE848" s="462">
        <f>_xlfn.XLOOKUP(PV_DATA[[#This Row],[New Ark SKU]],Table9[New Ark SKU],Table9[Total PCS per Pallet],,0)</f>
        <v>36</v>
      </c>
      <c r="BF848" s="462">
        <f>_xlfn.XLOOKUP(PV_DATA[[#This Row],[New Ark SKU]],Table9[New Ark SKU],Table9[Total PCS per 40HQ Container],,0)</f>
        <v>936</v>
      </c>
      <c r="BG848" s="462" t="str">
        <f>_xlfn.XLOOKUP(PV_DATA[[#This Row],[New Ark SKU]],Table9[New Ark SKU],Table9[Back Glass],,0)</f>
        <v>White glazing</v>
      </c>
      <c r="BH848" s="462" t="str">
        <f>_xlfn.XLOOKUP(PV_DATA[[#This Row],[PORT DESTINATION]],Table12[PORT DESTINATION],Table12[Cosco Line],,0)</f>
        <v>AEM</v>
      </c>
    </row>
    <row r="849" spans="1:60" s="462" customFormat="1" ht="10.5" hidden="1">
      <c r="A849" s="462" t="s">
        <v>5955</v>
      </c>
      <c r="B849" s="462" t="s">
        <v>1757</v>
      </c>
      <c r="C849" s="462" t="str">
        <f>IFERROR(LEFT(PV_DATA[[#This Row],[TCL REFERENCE]],FIND(".",PV_DATA[[#This Row],[TCL REFERENCE]],1)-1),"Main Line")</f>
        <v>26Jul007</v>
      </c>
      <c r="D849" s="462" t="s">
        <v>63</v>
      </c>
      <c r="E849" s="462" t="s">
        <v>64</v>
      </c>
      <c r="F849" s="462" t="str" cm="1">
        <f t="array" ref="F84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49" s="462" t="s">
        <v>402</v>
      </c>
      <c r="H849" s="462" t="s">
        <v>67</v>
      </c>
      <c r="I849" s="462" t="s">
        <v>689</v>
      </c>
      <c r="J849" s="462" t="s">
        <v>96</v>
      </c>
      <c r="M849" s="462" t="s">
        <v>68</v>
      </c>
      <c r="N849" s="712">
        <v>46209</v>
      </c>
      <c r="O849" s="462" t="s">
        <v>4540</v>
      </c>
      <c r="P849" s="462" t="s">
        <v>71</v>
      </c>
      <c r="Q849" s="462" t="s">
        <v>72</v>
      </c>
      <c r="R849" s="430" t="str">
        <f>_xlfn.XLOOKUP(PV_DATA[[#This Row],[New Ark SKU]],Table9[New Ark SKU],Table9[Connector],,0)</f>
        <v>EVO2A</v>
      </c>
      <c r="S849" s="433" t="str">
        <f>_xlfn.XLOOKUP(PV_DATA[[#This Row],[New Ark SKU]],Table9[New Ark SKU],Table9[Cable],,0)</f>
        <v>±1200mm</v>
      </c>
      <c r="T849" s="936">
        <v>500</v>
      </c>
      <c r="U849" s="1069">
        <f>864*6</f>
        <v>5184</v>
      </c>
      <c r="V849" s="458">
        <f>PV_DATA[[#This Row],[QUANTITY]]*PV_DATA[[#This Row],[WATT]]/1000000</f>
        <v>2.5920000000000001</v>
      </c>
      <c r="W849" s="714">
        <f>PV_DATA[[#This Row],[QUANTITY]]/PV_DATA[[#This Row],[Qty/Pallet]]</f>
        <v>144</v>
      </c>
      <c r="X849" s="1017">
        <f>PV_DATA[[#This Row],[QUANTITY]]/PV_DATA[[#This Row],[Qty/CT]]</f>
        <v>6</v>
      </c>
      <c r="Y849" s="462" t="s">
        <v>4374</v>
      </c>
      <c r="Z849" s="462" t="str">
        <f t="shared" si="10"/>
        <v>COMPLETED</v>
      </c>
      <c r="AB849" s="713">
        <v>46249</v>
      </c>
      <c r="AC849" s="937">
        <f>IF(PV_DATA[[#This Row],[Pick-Up Date]]&lt;&gt;"",_xlfn.ISOWEEKNUM(PV_DATA[[#This Row],[Pick-Up Date]]),"")</f>
        <v>33</v>
      </c>
      <c r="AD849" s="462" t="s">
        <v>5956</v>
      </c>
      <c r="AE849" s="462" t="s">
        <v>5956</v>
      </c>
      <c r="AF849" s="462" t="s">
        <v>5043</v>
      </c>
      <c r="AG849" s="462" t="s">
        <v>5854</v>
      </c>
      <c r="AH849" s="462" t="s">
        <v>78</v>
      </c>
      <c r="AI849" s="713">
        <v>46249</v>
      </c>
      <c r="AJ849" s="713">
        <v>46256</v>
      </c>
      <c r="AK849" s="437">
        <v>46257</v>
      </c>
      <c r="AL849" s="713">
        <v>46295</v>
      </c>
      <c r="AM849" s="1190">
        <v>46296.75</v>
      </c>
      <c r="AN849" s="713">
        <v>46296</v>
      </c>
      <c r="AP849" s="462" t="s">
        <v>5957</v>
      </c>
      <c r="AQ849" s="462" t="s">
        <v>161</v>
      </c>
      <c r="AR849" s="462" t="s">
        <v>5958</v>
      </c>
      <c r="AS849" s="462">
        <v>274945948</v>
      </c>
      <c r="AT849" s="462">
        <v>274945948</v>
      </c>
      <c r="AU84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39</v>
      </c>
      <c r="AW849" s="713" cm="1">
        <f t="array" ref="AW84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46296</v>
      </c>
      <c r="AX84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49" s="713">
        <f>IF(ISERROR(PV_DATA[[#This Row],[New Ark PO status]]),"",_xlfn.XLOOKUP(PV_DATA[[#This Row],[SPTN-PVHK New Ark PO'#]],New_Ark_Data[Purchase order Number],New_Ark_Data[Estimated time of arrival],"",0))</f>
        <v>46309</v>
      </c>
      <c r="AZ849" s="936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49" s="713">
        <f>IFERROR(PV_DATA[[#This Row],[ODP ETA Port]]+PV_DATA[[#This Row],[Customs/Leg3 Assumption]],"n/a")</f>
        <v>46304</v>
      </c>
      <c r="BB849" s="936">
        <f>YEAR(PV_DATA[[#This Row],[ETA for New Ark update]])</f>
        <v>2026</v>
      </c>
      <c r="BC849" s="462">
        <f>MONTH(PV_DATA[[#This Row],[ETA for New Ark update]])</f>
        <v>10</v>
      </c>
      <c r="BD849" s="462">
        <f>IFERROR(_xlfn.ISOWEEKNUM(PV_DATA[[#This Row],[ETA for New Ark update]]),0)</f>
        <v>41</v>
      </c>
      <c r="BE849" s="462">
        <f>_xlfn.XLOOKUP(PV_DATA[[#This Row],[New Ark SKU]],Table9[New Ark SKU],Table9[Total PCS per Pallet],,0)</f>
        <v>36</v>
      </c>
      <c r="BF849" s="462">
        <f>_xlfn.XLOOKUP(PV_DATA[[#This Row],[New Ark SKU]],Table9[New Ark SKU],Table9[Total PCS per 40HQ Container],,0)</f>
        <v>864</v>
      </c>
      <c r="BG849" s="462" t="str">
        <f>_xlfn.XLOOKUP(PV_DATA[[#This Row],[New Ark SKU]],Table9[New Ark SKU],Table9[Back Glass],,0)</f>
        <v>Black glazing</v>
      </c>
      <c r="BH849" s="462" t="str">
        <f>_xlfn.XLOOKUP(PV_DATA[[#This Row],[PORT DESTINATION]],Table12[PORT DESTINATION],Table12[Cosco Line],,0)</f>
        <v>AEM</v>
      </c>
    </row>
    <row r="850" spans="1:60" s="462" customFormat="1" ht="10.5" hidden="1">
      <c r="A850" s="462" t="s">
        <v>5959</v>
      </c>
      <c r="B850" s="462" t="s">
        <v>61</v>
      </c>
      <c r="C850" s="462" t="str">
        <f>IFERROR(LEFT(PV_DATA[[#This Row],[TCL REFERENCE]],FIND(".",PV_DATA[[#This Row],[TCL REFERENCE]],1)-1),"Main Line")</f>
        <v>26Jul011</v>
      </c>
      <c r="D850" s="462" t="s">
        <v>63</v>
      </c>
      <c r="E850" s="462" t="s">
        <v>64</v>
      </c>
      <c r="F850" s="462" t="str" cm="1">
        <f t="array" ref="F85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50" s="462" t="s">
        <v>402</v>
      </c>
      <c r="H850" s="462" t="s">
        <v>67</v>
      </c>
      <c r="I850" s="462" t="s">
        <v>1395</v>
      </c>
      <c r="J850" s="462" t="s">
        <v>96</v>
      </c>
      <c r="M850" s="462" t="s">
        <v>68</v>
      </c>
      <c r="N850" s="712">
        <v>46209</v>
      </c>
      <c r="O850" s="462" t="s">
        <v>284</v>
      </c>
      <c r="P850" s="462" t="s">
        <v>5592</v>
      </c>
      <c r="Q850" s="462" t="s">
        <v>1570</v>
      </c>
      <c r="R850" s="430" t="str">
        <f>_xlfn.XLOOKUP(PV_DATA[[#This Row],[New Ark SKU]],Table9[New Ark SKU],Table9[Connector],,0)</f>
        <v>H4(Com)</v>
      </c>
      <c r="S850" s="433" t="str">
        <f>_xlfn.XLOOKUP(PV_DATA[[#This Row],[New Ark SKU]],Table9[New Ark SKU],Table9[Cable],,0)</f>
        <v>±1400mm</v>
      </c>
      <c r="T850" s="936">
        <v>650</v>
      </c>
      <c r="U850" s="1069">
        <v>720</v>
      </c>
      <c r="V850" s="458">
        <f>PV_DATA[[#This Row],[QUANTITY]]*PV_DATA[[#This Row],[WATT]]/1000000</f>
        <v>0.46800000000000003</v>
      </c>
      <c r="W850" s="714">
        <f>PV_DATA[[#This Row],[QUANTITY]]/PV_DATA[[#This Row],[Qty/Pallet]]</f>
        <v>20</v>
      </c>
      <c r="X850" s="1017">
        <f>PV_DATA[[#This Row],[QUANTITY]]/PV_DATA[[#This Row],[Qty/CT]]</f>
        <v>1</v>
      </c>
      <c r="Y850" s="462" t="s">
        <v>4374</v>
      </c>
      <c r="Z850" s="462" t="str">
        <f t="shared" si="10"/>
        <v>IN-TRANSIT</v>
      </c>
      <c r="AB850" s="713">
        <v>46238</v>
      </c>
      <c r="AC850" s="937">
        <f>IF(PV_DATA[[#This Row],[Pick-Up Date]]&lt;&gt;"",_xlfn.ISOWEEKNUM(PV_DATA[[#This Row],[Pick-Up Date]]),"")</f>
        <v>32</v>
      </c>
      <c r="AD850" s="462" t="s">
        <v>5960</v>
      </c>
      <c r="AF850" s="462" t="s">
        <v>61</v>
      </c>
      <c r="AG850" s="462" t="s">
        <v>61</v>
      </c>
      <c r="AH850" s="462" t="s">
        <v>78</v>
      </c>
      <c r="AI850" s="713">
        <v>46243</v>
      </c>
      <c r="AJ850" s="713">
        <f>IFERROR(VLOOKUP(AT850, Vessel!A:D, 4, FALSE), "")</f>
        <v>46243.166666666664</v>
      </c>
      <c r="AK850" s="437">
        <f>IFERROR(IF(VLOOKUP(AT850,Vessel!A:F,5,FALSE)=0,"",VLOOKUP(AT850,Vessel!A:F,5,FALSE)),"")</f>
        <v>46243.192557870374</v>
      </c>
      <c r="AL850" s="713">
        <v>46314</v>
      </c>
      <c r="AM850" s="939">
        <f>IFERROR(VLOOKUP(AT850, Vessel!A:H, 8, FALSE), "")</f>
        <v>46342.25</v>
      </c>
      <c r="AN850" s="939" t="str">
        <f>IFERROR(IF(VLOOKUP(AT850,Vessel!A:I,9,FALSE)=0,"",VLOOKUP(AT850,Vessel!A:I,9,FALSE)),"")</f>
        <v/>
      </c>
      <c r="AP850" s="462" t="s">
        <v>5961</v>
      </c>
      <c r="AQ850" s="940" t="s">
        <v>80</v>
      </c>
      <c r="AR850" s="462" t="s">
        <v>5962</v>
      </c>
      <c r="AS850" s="462" t="s">
        <v>5963</v>
      </c>
      <c r="AT850" s="462" t="s">
        <v>5963</v>
      </c>
      <c r="AU85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99.057442129625997</v>
      </c>
      <c r="AW850" s="713" cm="1">
        <f t="array" ref="AW85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46342.25</v>
      </c>
      <c r="AX85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50" s="713">
        <f>IF(ISERROR(PV_DATA[[#This Row],[New Ark PO status]]),"",_xlfn.XLOOKUP(PV_DATA[[#This Row],[SPTN-PVHK New Ark PO'#]],New_Ark_Data[Purchase order Number],New_Ark_Data[Estimated time of arrival],"",0))</f>
        <v>46342</v>
      </c>
      <c r="AZ850" s="936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50" s="713">
        <f>IFERROR(PV_DATA[[#This Row],[ODP ETA Port]]+PV_DATA[[#This Row],[Customs/Leg3 Assumption]],"n/a")</f>
        <v>46350.25</v>
      </c>
      <c r="BB850" s="936">
        <f>YEAR(PV_DATA[[#This Row],[ETA for New Ark update]])</f>
        <v>2026</v>
      </c>
      <c r="BC850" s="462">
        <f>MONTH(PV_DATA[[#This Row],[ETA for New Ark update]])</f>
        <v>11</v>
      </c>
      <c r="BD850" s="462">
        <f>IFERROR(_xlfn.ISOWEEKNUM(PV_DATA[[#This Row],[ETA for New Ark update]]),0)</f>
        <v>48</v>
      </c>
      <c r="BE850" s="462">
        <f>_xlfn.XLOOKUP(PV_DATA[[#This Row],[New Ark SKU]],Table9[New Ark SKU],Table9[Total PCS per Pallet],,0)</f>
        <v>36</v>
      </c>
      <c r="BF850" s="462">
        <f>_xlfn.XLOOKUP(PV_DATA[[#This Row],[New Ark SKU]],Table9[New Ark SKU],Table9[Total PCS per 40HQ Container],,0)</f>
        <v>720</v>
      </c>
      <c r="BG850" s="462" t="str">
        <f>_xlfn.XLOOKUP(PV_DATA[[#This Row],[New Ark SKU]],Table9[New Ark SKU],Table9[Back Glass],,0)</f>
        <v>White glazing</v>
      </c>
      <c r="BH850" s="462" t="str">
        <f>_xlfn.XLOOKUP(PV_DATA[[#This Row],[PORT DESTINATION]],Table12[PORT DESTINATION],Table12[Cosco Line],,0)</f>
        <v>AEM</v>
      </c>
    </row>
    <row r="851" spans="1:60" s="462" customFormat="1" ht="10.5" hidden="1">
      <c r="A851" s="462" t="s">
        <v>5964</v>
      </c>
      <c r="B851" s="462" t="s">
        <v>61</v>
      </c>
      <c r="C851" s="462" t="str">
        <f>IFERROR(LEFT(PV_DATA[[#This Row],[TCL REFERENCE]],FIND(".",PV_DATA[[#This Row],[TCL REFERENCE]],1)-1),"Main Line")</f>
        <v>26Jul011</v>
      </c>
      <c r="D851" s="462" t="s">
        <v>63</v>
      </c>
      <c r="E851" s="462" t="s">
        <v>64</v>
      </c>
      <c r="F851" s="462" t="str" cm="1">
        <f t="array" ref="F85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851" s="462" t="s">
        <v>402</v>
      </c>
      <c r="H851" s="462" t="s">
        <v>311</v>
      </c>
      <c r="I851" s="462" t="s">
        <v>1395</v>
      </c>
      <c r="J851" s="462" t="s">
        <v>96</v>
      </c>
      <c r="M851" s="462" t="s">
        <v>68</v>
      </c>
      <c r="N851" s="712">
        <v>46202</v>
      </c>
      <c r="O851" s="462" t="s">
        <v>284</v>
      </c>
      <c r="P851" s="462" t="s">
        <v>5592</v>
      </c>
      <c r="Q851" s="462" t="s">
        <v>1570</v>
      </c>
      <c r="R851" s="430" t="str">
        <f>_xlfn.XLOOKUP(PV_DATA[[#This Row],[New Ark SKU]],Table9[New Ark SKU],Table9[Connector],,0)</f>
        <v>H4(Com)</v>
      </c>
      <c r="S851" s="433" t="str">
        <f>_xlfn.XLOOKUP(PV_DATA[[#This Row],[New Ark SKU]],Table9[New Ark SKU],Table9[Cable],,0)</f>
        <v>±1400mm</v>
      </c>
      <c r="T851" s="936">
        <v>650</v>
      </c>
      <c r="U851" s="1069">
        <v>720</v>
      </c>
      <c r="V851" s="458">
        <f>PV_DATA[[#This Row],[QUANTITY]]*PV_DATA[[#This Row],[WATT]]/1000000</f>
        <v>0.46800000000000003</v>
      </c>
      <c r="W851" s="714">
        <f>PV_DATA[[#This Row],[QUANTITY]]/PV_DATA[[#This Row],[Qty/Pallet]]</f>
        <v>20</v>
      </c>
      <c r="X851" s="1017">
        <f>PV_DATA[[#This Row],[QUANTITY]]/PV_DATA[[#This Row],[Qty/CT]]</f>
        <v>1</v>
      </c>
      <c r="Y851" s="462" t="s">
        <v>4374</v>
      </c>
      <c r="Z851" s="462" t="str">
        <f t="shared" si="10"/>
        <v>IN-TRANSIT</v>
      </c>
      <c r="AA851" s="462" t="s">
        <v>5506</v>
      </c>
      <c r="AB851" s="713">
        <v>46238</v>
      </c>
      <c r="AC851" s="937">
        <f>IF(PV_DATA[[#This Row],[Pick-Up Date]]&lt;&gt;"",_xlfn.ISOWEEKNUM(PV_DATA[[#This Row],[Pick-Up Date]]),"")</f>
        <v>32</v>
      </c>
      <c r="AD851" s="462" t="s">
        <v>5965</v>
      </c>
      <c r="AF851" s="462" t="s">
        <v>61</v>
      </c>
      <c r="AG851" s="462" t="s">
        <v>61</v>
      </c>
      <c r="AH851" s="462" t="s">
        <v>1561</v>
      </c>
      <c r="AI851" s="713">
        <v>46243</v>
      </c>
      <c r="AJ851" s="713">
        <f>IFERROR(VLOOKUP(AT851, Vessel!A:D, 4, FALSE), "")</f>
        <v>46243.166666666664</v>
      </c>
      <c r="AK851" s="437">
        <f>IFERROR(IF(VLOOKUP(AT851,Vessel!A:F,5,FALSE)=0,"",VLOOKUP(AT851,Vessel!A:F,5,FALSE)),"")</f>
        <v>46243.192557870374</v>
      </c>
      <c r="AL851" s="713">
        <v>46306</v>
      </c>
      <c r="AM851" s="939">
        <f>IFERROR(VLOOKUP(AT851, Vessel!A:H, 8, FALSE), "")</f>
        <v>46330.75</v>
      </c>
      <c r="AN851" s="939" t="str">
        <f>IFERROR(IF(VLOOKUP(AT851,Vessel!A:I,9,FALSE)=0,"",VLOOKUP(AT851,Vessel!A:I,9,FALSE)),"")</f>
        <v/>
      </c>
      <c r="AP851" s="462" t="s">
        <v>5961</v>
      </c>
      <c r="AQ851" s="940" t="s">
        <v>80</v>
      </c>
      <c r="AR851" s="462" t="s">
        <v>5966</v>
      </c>
      <c r="AS851" s="462" t="s">
        <v>5967</v>
      </c>
      <c r="AT851" s="462" t="s">
        <v>5967</v>
      </c>
      <c r="AU85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87.557442129625997</v>
      </c>
      <c r="AW851" s="713" cm="1">
        <f t="array" ref="AW85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46330.75</v>
      </c>
      <c r="AX85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51" s="713">
        <f>IF(ISERROR(PV_DATA[[#This Row],[New Ark PO status]]),"",_xlfn.XLOOKUP(PV_DATA[[#This Row],[SPTN-PVHK New Ark PO'#]],New_Ark_Data[Purchase order Number],New_Ark_Data[Estimated time of arrival],"",0))</f>
        <v>46321</v>
      </c>
      <c r="AZ851" s="936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851" s="713">
        <f>IFERROR(PV_DATA[[#This Row],[ODP ETA Port]]+PV_DATA[[#This Row],[Customs/Leg3 Assumption]],"n/a")</f>
        <v>46340.75</v>
      </c>
      <c r="BB851" s="936">
        <f>YEAR(PV_DATA[[#This Row],[ETA for New Ark update]])</f>
        <v>2026</v>
      </c>
      <c r="BC851" s="462">
        <f>MONTH(PV_DATA[[#This Row],[ETA for New Ark update]])</f>
        <v>11</v>
      </c>
      <c r="BD851" s="462">
        <f>IFERROR(_xlfn.ISOWEEKNUM(PV_DATA[[#This Row],[ETA for New Ark update]]),0)</f>
        <v>46</v>
      </c>
      <c r="BE851" s="462">
        <f>_xlfn.XLOOKUP(PV_DATA[[#This Row],[New Ark SKU]],Table9[New Ark SKU],Table9[Total PCS per Pallet],,0)</f>
        <v>36</v>
      </c>
      <c r="BF851" s="462">
        <f>_xlfn.XLOOKUP(PV_DATA[[#This Row],[New Ark SKU]],Table9[New Ark SKU],Table9[Total PCS per 40HQ Container],,0)</f>
        <v>720</v>
      </c>
      <c r="BG851" s="462" t="str">
        <f>_xlfn.XLOOKUP(PV_DATA[[#This Row],[New Ark SKU]],Table9[New Ark SKU],Table9[Back Glass],,0)</f>
        <v>White glazing</v>
      </c>
      <c r="BH851" s="462" t="str">
        <f>_xlfn.XLOOKUP(PV_DATA[[#This Row],[PORT DESTINATION]],Table12[PORT DESTINATION],Table12[Cosco Line],,0)</f>
        <v>AEM</v>
      </c>
    </row>
    <row r="852" spans="1:60" s="462" customFormat="1" ht="10.5" hidden="1">
      <c r="A852" s="462" t="s">
        <v>5968</v>
      </c>
      <c r="B852" s="462" t="s">
        <v>61</v>
      </c>
      <c r="C852" s="462" t="str">
        <f>IFERROR(LEFT(PV_DATA[[#This Row],[TCL REFERENCE]],FIND(".",PV_DATA[[#This Row],[TCL REFERENCE]],1)-1),"Main Line")</f>
        <v>26Jul011</v>
      </c>
      <c r="D852" s="462" t="s">
        <v>63</v>
      </c>
      <c r="E852" s="462" t="s">
        <v>64</v>
      </c>
      <c r="F852" s="462" t="str" cm="1">
        <f t="array" ref="F85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852" s="462" t="s">
        <v>402</v>
      </c>
      <c r="H852" s="462" t="s">
        <v>311</v>
      </c>
      <c r="I852" s="462" t="s">
        <v>1395</v>
      </c>
      <c r="J852" s="462" t="s">
        <v>96</v>
      </c>
      <c r="M852" s="462" t="s">
        <v>68</v>
      </c>
      <c r="N852" s="712">
        <v>46202</v>
      </c>
      <c r="O852" s="462" t="s">
        <v>284</v>
      </c>
      <c r="P852" s="462" t="s">
        <v>5592</v>
      </c>
      <c r="Q852" s="462" t="s">
        <v>1570</v>
      </c>
      <c r="R852" s="430" t="str">
        <f>_xlfn.XLOOKUP(PV_DATA[[#This Row],[New Ark SKU]],Table9[New Ark SKU],Table9[Connector],,0)</f>
        <v>H4(Com)</v>
      </c>
      <c r="S852" s="433" t="str">
        <f>_xlfn.XLOOKUP(PV_DATA[[#This Row],[New Ark SKU]],Table9[New Ark SKU],Table9[Cable],,0)</f>
        <v>±1400mm</v>
      </c>
      <c r="T852" s="936">
        <v>650</v>
      </c>
      <c r="U852" s="1069">
        <v>2160</v>
      </c>
      <c r="V852" s="458">
        <f>PV_DATA[[#This Row],[QUANTITY]]*PV_DATA[[#This Row],[WATT]]/1000000</f>
        <v>1.4039999999999999</v>
      </c>
      <c r="W852" s="714">
        <f>PV_DATA[[#This Row],[QUANTITY]]/PV_DATA[[#This Row],[Qty/Pallet]]</f>
        <v>60</v>
      </c>
      <c r="X852" s="1017">
        <f>PV_DATA[[#This Row],[QUANTITY]]/PV_DATA[[#This Row],[Qty/CT]]</f>
        <v>3</v>
      </c>
      <c r="Y852" s="462" t="s">
        <v>4374</v>
      </c>
      <c r="Z852" s="462" t="str">
        <f t="shared" si="10"/>
        <v>IN-TRANSIT</v>
      </c>
      <c r="AA852" s="462" t="s">
        <v>5506</v>
      </c>
      <c r="AB852" s="713">
        <v>46238</v>
      </c>
      <c r="AC852" s="937">
        <f>IF(PV_DATA[[#This Row],[Pick-Up Date]]&lt;&gt;"",_xlfn.ISOWEEKNUM(PV_DATA[[#This Row],[Pick-Up Date]]),"")</f>
        <v>32</v>
      </c>
      <c r="AD852" s="462" t="s">
        <v>5969</v>
      </c>
      <c r="AF852" s="462" t="s">
        <v>61</v>
      </c>
      <c r="AG852" s="462" t="s">
        <v>61</v>
      </c>
      <c r="AH852" s="462" t="s">
        <v>1561</v>
      </c>
      <c r="AI852" s="713">
        <v>46243</v>
      </c>
      <c r="AJ852" s="713">
        <f>IFERROR(VLOOKUP(AT852, Vessel!A:D, 4, FALSE), "")</f>
        <v>46243.166666666664</v>
      </c>
      <c r="AK852" s="437">
        <f>IFERROR(IF(VLOOKUP(AT852,Vessel!A:F,5,FALSE)=0,"",VLOOKUP(AT852,Vessel!A:F,5,FALSE)),"")</f>
        <v>46243.192557870374</v>
      </c>
      <c r="AL852" s="713">
        <v>46306</v>
      </c>
      <c r="AM852" s="939">
        <f>IFERROR(VLOOKUP(AT852, Vessel!A:H, 8, FALSE), "")</f>
        <v>46338.75</v>
      </c>
      <c r="AN852" s="939" t="str">
        <f>IFERROR(IF(VLOOKUP(AT852,Vessel!A:I,9,FALSE)=0,"",VLOOKUP(AT852,Vessel!A:I,9,FALSE)),"")</f>
        <v/>
      </c>
      <c r="AP852" s="462" t="s">
        <v>5961</v>
      </c>
      <c r="AQ852" s="940" t="s">
        <v>80</v>
      </c>
      <c r="AR852" s="462" t="s">
        <v>5970</v>
      </c>
      <c r="AS852" s="462" t="s">
        <v>5971</v>
      </c>
      <c r="AT852" s="462" t="s">
        <v>5971</v>
      </c>
      <c r="AU85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95.557442129625997</v>
      </c>
      <c r="AW852" s="713" cm="1">
        <f t="array" ref="AW85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46338.75</v>
      </c>
      <c r="AX85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52" s="713">
        <f>IF(ISERROR(PV_DATA[[#This Row],[New Ark PO status]]),"",_xlfn.XLOOKUP(PV_DATA[[#This Row],[SPTN-PVHK New Ark PO'#]],New_Ark_Data[Purchase order Number],New_Ark_Data[Estimated time of arrival],"",0))</f>
        <v>46331</v>
      </c>
      <c r="AZ852" s="936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852" s="713">
        <f>IFERROR(PV_DATA[[#This Row],[ODP ETA Port]]+PV_DATA[[#This Row],[Customs/Leg3 Assumption]],"n/a")</f>
        <v>46348.75</v>
      </c>
      <c r="BB852" s="936">
        <f>YEAR(PV_DATA[[#This Row],[ETA for New Ark update]])</f>
        <v>2026</v>
      </c>
      <c r="BC852" s="462">
        <f>MONTH(PV_DATA[[#This Row],[ETA for New Ark update]])</f>
        <v>11</v>
      </c>
      <c r="BD852" s="462">
        <f>IFERROR(_xlfn.ISOWEEKNUM(PV_DATA[[#This Row],[ETA for New Ark update]]),0)</f>
        <v>47</v>
      </c>
      <c r="BE852" s="462">
        <f>_xlfn.XLOOKUP(PV_DATA[[#This Row],[New Ark SKU]],Table9[New Ark SKU],Table9[Total PCS per Pallet],,0)</f>
        <v>36</v>
      </c>
      <c r="BF852" s="462">
        <f>_xlfn.XLOOKUP(PV_DATA[[#This Row],[New Ark SKU]],Table9[New Ark SKU],Table9[Total PCS per 40HQ Container],,0)</f>
        <v>720</v>
      </c>
      <c r="BG852" s="462" t="str">
        <f>_xlfn.XLOOKUP(PV_DATA[[#This Row],[New Ark SKU]],Table9[New Ark SKU],Table9[Back Glass],,0)</f>
        <v>White glazing</v>
      </c>
      <c r="BH852" s="462" t="str">
        <f>_xlfn.XLOOKUP(PV_DATA[[#This Row],[PORT DESTINATION]],Table12[PORT DESTINATION],Table12[Cosco Line],,0)</f>
        <v>AEM</v>
      </c>
    </row>
    <row r="853" spans="1:60" s="462" customFormat="1" ht="10.5" hidden="1">
      <c r="A853" s="462" t="s">
        <v>5972</v>
      </c>
      <c r="B853" s="462" t="s">
        <v>61</v>
      </c>
      <c r="C853" s="462" t="str">
        <f>IFERROR(LEFT(PV_DATA[[#This Row],[TCL REFERENCE]],FIND(".",PV_DATA[[#This Row],[TCL REFERENCE]],1)-1),"Main Line")</f>
        <v>26Jul011</v>
      </c>
      <c r="D853" s="462" t="s">
        <v>63</v>
      </c>
      <c r="E853" s="462" t="s">
        <v>64</v>
      </c>
      <c r="F853" s="462" t="str" cm="1">
        <f t="array" ref="F85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53" s="462" t="s">
        <v>402</v>
      </c>
      <c r="H853" s="462" t="s">
        <v>67</v>
      </c>
      <c r="I853" s="462" t="s">
        <v>1395</v>
      </c>
      <c r="J853" s="462" t="s">
        <v>96</v>
      </c>
      <c r="M853" s="462" t="s">
        <v>68</v>
      </c>
      <c r="N853" s="712">
        <v>46209</v>
      </c>
      <c r="O853" s="462" t="s">
        <v>284</v>
      </c>
      <c r="P853" s="462" t="s">
        <v>5592</v>
      </c>
      <c r="Q853" s="462" t="s">
        <v>1570</v>
      </c>
      <c r="R853" s="430" t="str">
        <f>_xlfn.XLOOKUP(PV_DATA[[#This Row],[New Ark SKU]],Table9[New Ark SKU],Table9[Connector],,0)</f>
        <v>H4(Com)</v>
      </c>
      <c r="S853" s="433" t="str">
        <f>_xlfn.XLOOKUP(PV_DATA[[#This Row],[New Ark SKU]],Table9[New Ark SKU],Table9[Cable],,0)</f>
        <v>±1400mm</v>
      </c>
      <c r="T853" s="936">
        <v>650</v>
      </c>
      <c r="U853" s="1069">
        <v>2160</v>
      </c>
      <c r="V853" s="458">
        <f>PV_DATA[[#This Row],[QUANTITY]]*PV_DATA[[#This Row],[WATT]]/1000000</f>
        <v>1.4039999999999999</v>
      </c>
      <c r="W853" s="714">
        <f>PV_DATA[[#This Row],[QUANTITY]]/PV_DATA[[#This Row],[Qty/Pallet]]</f>
        <v>60</v>
      </c>
      <c r="X853" s="1017">
        <f>PV_DATA[[#This Row],[QUANTITY]]/PV_DATA[[#This Row],[Qty/CT]]</f>
        <v>3</v>
      </c>
      <c r="Y853" s="462" t="s">
        <v>4374</v>
      </c>
      <c r="Z853" s="462" t="str">
        <f t="shared" si="10"/>
        <v>COMPLETED</v>
      </c>
      <c r="AB853" s="713">
        <v>46238</v>
      </c>
      <c r="AC853" s="937">
        <f>IF(PV_DATA[[#This Row],[Pick-Up Date]]&lt;&gt;"",_xlfn.ISOWEEKNUM(PV_DATA[[#This Row],[Pick-Up Date]]),"")</f>
        <v>32</v>
      </c>
      <c r="AD853" s="462" t="s">
        <v>5973</v>
      </c>
      <c r="AF853" s="462" t="s">
        <v>77</v>
      </c>
      <c r="AG853" s="462" t="s">
        <v>61</v>
      </c>
      <c r="AH853" s="462" t="s">
        <v>105</v>
      </c>
      <c r="AI853" s="713">
        <v>46243</v>
      </c>
      <c r="AJ853" s="713">
        <f>IFERROR(IF(VLOOKUP(AT853,Vessel!A:D,4,FALSE)=0,"",VLOOKUP(AT853,Vessel!A:D,4,FALSE)),"")</f>
        <v>46243.166666666664</v>
      </c>
      <c r="AK853" s="437">
        <f>IFERROR(IF(VLOOKUP(AT853,Vessel!A:F,5,FALSE)=0,"",VLOOKUP(AT853,Vessel!A:F,5,FALSE)),"")</f>
        <v>46243.192557870374</v>
      </c>
      <c r="AL853" s="713">
        <v>46287</v>
      </c>
      <c r="AM853" s="939">
        <f>IFERROR(VLOOKUP(AT853, Vessel!A:H, 8, FALSE), "")</f>
        <v>46289.958333333336</v>
      </c>
      <c r="AN853" s="939">
        <f>IFERROR(IF(VLOOKUP(AT853,Vessel!A:I,9,FALSE)=0,"",VLOOKUP(AT853,Vessel!A:I,9,FALSE)),"")</f>
        <v>46290.180347222224</v>
      </c>
      <c r="AP853" s="462" t="s">
        <v>5961</v>
      </c>
      <c r="AQ853" s="462" t="s">
        <v>80</v>
      </c>
      <c r="AR853" s="462" t="s">
        <v>5974</v>
      </c>
      <c r="AS853" s="462" t="s">
        <v>5975</v>
      </c>
      <c r="AT853" s="462" t="s">
        <v>5975</v>
      </c>
      <c r="AU85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46.987789351849642</v>
      </c>
      <c r="AW853" s="713" cm="1">
        <f t="array" ref="AW85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46290.180347222224</v>
      </c>
      <c r="AX85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53" s="713">
        <f>IF(ISERROR(PV_DATA[[#This Row],[New Ark PO status]]),"",_xlfn.XLOOKUP(PV_DATA[[#This Row],[SPTN-PVHK New Ark PO'#]],New_Ark_Data[Purchase order Number],New_Ark_Data[Estimated time of arrival],"",0))</f>
        <v>46303</v>
      </c>
      <c r="AZ853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53" s="713">
        <f>IFERROR(PV_DATA[[#This Row],[ODP ETA Port]]+PV_DATA[[#This Row],[Customs/Leg3 Assumption]],"n/a")</f>
        <v>46297.180347222224</v>
      </c>
      <c r="BB853" s="936">
        <f>YEAR(PV_DATA[[#This Row],[ETA for New Ark update]])</f>
        <v>2026</v>
      </c>
      <c r="BC853" s="462">
        <f>MONTH(PV_DATA[[#This Row],[ETA for New Ark update]])</f>
        <v>10</v>
      </c>
      <c r="BD853" s="462">
        <f>IFERROR(_xlfn.ISOWEEKNUM(PV_DATA[[#This Row],[ETA for New Ark update]]),0)</f>
        <v>40</v>
      </c>
      <c r="BE853" s="462">
        <f>_xlfn.XLOOKUP(PV_DATA[[#This Row],[New Ark SKU]],Table9[New Ark SKU],Table9[Total PCS per Pallet],,0)</f>
        <v>36</v>
      </c>
      <c r="BF853" s="462">
        <f>_xlfn.XLOOKUP(PV_DATA[[#This Row],[New Ark SKU]],Table9[New Ark SKU],Table9[Total PCS per 40HQ Container],,0)</f>
        <v>720</v>
      </c>
      <c r="BG853" s="462" t="str">
        <f>_xlfn.XLOOKUP(PV_DATA[[#This Row],[New Ark SKU]],Table9[New Ark SKU],Table9[Back Glass],,0)</f>
        <v>White glazing</v>
      </c>
      <c r="BH853" s="462" t="str">
        <f>_xlfn.XLOOKUP(PV_DATA[[#This Row],[PORT DESTINATION]],Table12[PORT DESTINATION],Table12[Cosco Line],,0)</f>
        <v>AEU</v>
      </c>
    </row>
    <row r="854" spans="1:60" s="462" customFormat="1" ht="10.5" hidden="1">
      <c r="A854" s="462" t="s">
        <v>5976</v>
      </c>
      <c r="B854" s="462" t="s">
        <v>61</v>
      </c>
      <c r="C854" s="462" t="str">
        <f>IFERROR(LEFT(PV_DATA[[#This Row],[TCL REFERENCE]],FIND(".",PV_DATA[[#This Row],[TCL REFERENCE]],1)-1),"Main Line")</f>
        <v>26Jul011</v>
      </c>
      <c r="D854" s="462" t="s">
        <v>63</v>
      </c>
      <c r="E854" s="462" t="s">
        <v>64</v>
      </c>
      <c r="F854" s="462" t="str" cm="1">
        <f t="array" ref="F85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54" s="462" t="s">
        <v>402</v>
      </c>
      <c r="H854" s="462" t="s">
        <v>67</v>
      </c>
      <c r="I854" s="462" t="s">
        <v>1395</v>
      </c>
      <c r="J854" s="462" t="s">
        <v>96</v>
      </c>
      <c r="M854" s="462" t="s">
        <v>68</v>
      </c>
      <c r="N854" s="712">
        <v>46209</v>
      </c>
      <c r="O854" s="462" t="s">
        <v>284</v>
      </c>
      <c r="P854" s="462" t="s">
        <v>5592</v>
      </c>
      <c r="Q854" s="462" t="s">
        <v>1570</v>
      </c>
      <c r="R854" s="430" t="str">
        <f>_xlfn.XLOOKUP(PV_DATA[[#This Row],[New Ark SKU]],Table9[New Ark SKU],Table9[Connector],,0)</f>
        <v>H4(Com)</v>
      </c>
      <c r="S854" s="433" t="str">
        <f>_xlfn.XLOOKUP(PV_DATA[[#This Row],[New Ark SKU]],Table9[New Ark SKU],Table9[Cable],,0)</f>
        <v>±1400mm</v>
      </c>
      <c r="T854" s="936">
        <v>650</v>
      </c>
      <c r="U854" s="1069">
        <v>1440</v>
      </c>
      <c r="V854" s="458">
        <f>PV_DATA[[#This Row],[QUANTITY]]*PV_DATA[[#This Row],[WATT]]/1000000</f>
        <v>0.93600000000000005</v>
      </c>
      <c r="W854" s="714">
        <f>PV_DATA[[#This Row],[QUANTITY]]/PV_DATA[[#This Row],[Qty/Pallet]]</f>
        <v>40</v>
      </c>
      <c r="X854" s="1017">
        <f>PV_DATA[[#This Row],[QUANTITY]]/PV_DATA[[#This Row],[Qty/CT]]</f>
        <v>2</v>
      </c>
      <c r="Y854" s="462" t="s">
        <v>4374</v>
      </c>
      <c r="Z854" s="462" t="str">
        <f t="shared" si="10"/>
        <v>COMPLETED</v>
      </c>
      <c r="AB854" s="713">
        <v>46238</v>
      </c>
      <c r="AC854" s="937">
        <f>IF(PV_DATA[[#This Row],[Pick-Up Date]]&lt;&gt;"",_xlfn.ISOWEEKNUM(PV_DATA[[#This Row],[Pick-Up Date]]),"")</f>
        <v>32</v>
      </c>
      <c r="AD854" s="462" t="s">
        <v>5977</v>
      </c>
      <c r="AF854" s="462" t="s">
        <v>77</v>
      </c>
      <c r="AG854" s="462" t="s">
        <v>61</v>
      </c>
      <c r="AH854" s="462" t="s">
        <v>105</v>
      </c>
      <c r="AI854" s="713">
        <v>46243</v>
      </c>
      <c r="AJ854" s="713">
        <f>IFERROR(IF(VLOOKUP(AT854,Vessel!A:D,4,FALSE)=0,"",VLOOKUP(AT854,Vessel!A:D,4,FALSE)),"")</f>
        <v>46243.166666666664</v>
      </c>
      <c r="AK854" s="437">
        <f>IFERROR(IF(VLOOKUP(AT854,Vessel!A:F,5,FALSE)=0,"",VLOOKUP(AT854,Vessel!A:F,5,FALSE)),"")</f>
        <v>46243.192557870374</v>
      </c>
      <c r="AL854" s="713">
        <v>46287</v>
      </c>
      <c r="AM854" s="939">
        <f>IFERROR(VLOOKUP(AT854, Vessel!A:H, 8, FALSE), "")</f>
        <v>46289.958333333336</v>
      </c>
      <c r="AN854" s="939">
        <f>IFERROR(IF(VLOOKUP(AT854,Vessel!A:I,9,FALSE)=0,"",VLOOKUP(AT854,Vessel!A:I,9,FALSE)),"")</f>
        <v>46290.180347222224</v>
      </c>
      <c r="AP854" s="462" t="s">
        <v>5961</v>
      </c>
      <c r="AQ854" s="462" t="s">
        <v>80</v>
      </c>
      <c r="AR854" s="462" t="s">
        <v>5978</v>
      </c>
      <c r="AS854" s="462" t="s">
        <v>5979</v>
      </c>
      <c r="AT854" s="462" t="s">
        <v>5979</v>
      </c>
      <c r="AU85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46.987789351849642</v>
      </c>
      <c r="AW854" s="713" cm="1">
        <f t="array" ref="AW85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46290.180347222224</v>
      </c>
      <c r="AX85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54" s="713">
        <f>IF(ISERROR(PV_DATA[[#This Row],[New Ark PO status]]),"",_xlfn.XLOOKUP(PV_DATA[[#This Row],[SPTN-PVHK New Ark PO'#]],New_Ark_Data[Purchase order Number],New_Ark_Data[Estimated time of arrival],"",0))</f>
        <v>46303</v>
      </c>
      <c r="AZ854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54" s="713">
        <f>IFERROR(PV_DATA[[#This Row],[ODP ETA Port]]+PV_DATA[[#This Row],[Customs/Leg3 Assumption]],"n/a")</f>
        <v>46297.180347222224</v>
      </c>
      <c r="BB854" s="936">
        <f>YEAR(PV_DATA[[#This Row],[ETA for New Ark update]])</f>
        <v>2026</v>
      </c>
      <c r="BC854" s="462">
        <f>MONTH(PV_DATA[[#This Row],[ETA for New Ark update]])</f>
        <v>10</v>
      </c>
      <c r="BD854" s="462">
        <f>IFERROR(_xlfn.ISOWEEKNUM(PV_DATA[[#This Row],[ETA for New Ark update]]),0)</f>
        <v>40</v>
      </c>
      <c r="BE854" s="462">
        <f>_xlfn.XLOOKUP(PV_DATA[[#This Row],[New Ark SKU]],Table9[New Ark SKU],Table9[Total PCS per Pallet],,0)</f>
        <v>36</v>
      </c>
      <c r="BF854" s="462">
        <f>_xlfn.XLOOKUP(PV_DATA[[#This Row],[New Ark SKU]],Table9[New Ark SKU],Table9[Total PCS per 40HQ Container],,0)</f>
        <v>720</v>
      </c>
      <c r="BG854" s="462" t="str">
        <f>_xlfn.XLOOKUP(PV_DATA[[#This Row],[New Ark SKU]],Table9[New Ark SKU],Table9[Back Glass],,0)</f>
        <v>White glazing</v>
      </c>
      <c r="BH854" s="462" t="str">
        <f>_xlfn.XLOOKUP(PV_DATA[[#This Row],[PORT DESTINATION]],Table12[PORT DESTINATION],Table12[Cosco Line],,0)</f>
        <v>AEU</v>
      </c>
    </row>
    <row r="855" spans="1:60" s="439" customFormat="1" ht="10.5" hidden="1">
      <c r="A855" s="439" t="s">
        <v>5980</v>
      </c>
      <c r="B855" s="439" t="s">
        <v>61</v>
      </c>
      <c r="C855" s="439" t="str">
        <f>IFERROR(LEFT(PV_DATA[[#This Row],[TCL REFERENCE]],FIND(".",PV_DATA[[#This Row],[TCL REFERENCE]],1)-1),"Main Line")</f>
        <v>26May007</v>
      </c>
      <c r="D855" s="439" t="s">
        <v>63</v>
      </c>
      <c r="E855" s="439" t="s">
        <v>64</v>
      </c>
      <c r="F855" s="439" t="str" cm="1">
        <f t="array" ref="F85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55" s="439" t="s">
        <v>402</v>
      </c>
      <c r="H855" s="439" t="s">
        <v>67</v>
      </c>
      <c r="I855" s="439" t="s">
        <v>689</v>
      </c>
      <c r="J855" s="439" t="s">
        <v>96</v>
      </c>
      <c r="K855" s="725"/>
      <c r="L855" s="725"/>
      <c r="M855" s="439" t="s">
        <v>68</v>
      </c>
      <c r="N855" s="715">
        <v>45809</v>
      </c>
      <c r="O855" s="439" t="s">
        <v>4540</v>
      </c>
      <c r="P855" s="439" t="s">
        <v>195</v>
      </c>
      <c r="Q855" s="439" t="s">
        <v>196</v>
      </c>
      <c r="R855" s="430" t="str">
        <f>_xlfn.XLOOKUP(PV_DATA[[#This Row],[New Ark SKU]],Table9[New Ark SKU],Table9[Connector],,0)</f>
        <v>EVO2A</v>
      </c>
      <c r="S855" s="433" t="str">
        <f>_xlfn.XLOOKUP(PV_DATA[[#This Row],[New Ark SKU]],Table9[New Ark SKU],Table9[Cable],,0)</f>
        <v>±1200mm</v>
      </c>
      <c r="T855" s="722">
        <v>450</v>
      </c>
      <c r="U855" s="1108">
        <v>2808</v>
      </c>
      <c r="V855" s="1117">
        <f>PV_DATA[[#This Row],[QUANTITY]]*PV_DATA[[#This Row],[WATT]]/1000000</f>
        <v>1.2636000000000001</v>
      </c>
      <c r="W855" s="1110">
        <f>PV_DATA[[#This Row],[QUANTITY]]/PV_DATA[[#This Row],[Qty/Pallet]]</f>
        <v>78</v>
      </c>
      <c r="X855" s="1118">
        <f>PV_DATA[[#This Row],[QUANTITY]]/PV_DATA[[#This Row],[Qty/CT]]</f>
        <v>3</v>
      </c>
      <c r="Y855" s="439" t="s">
        <v>4372</v>
      </c>
      <c r="Z855" s="439" t="str">
        <f t="shared" si="10"/>
        <v>COMPLETED</v>
      </c>
      <c r="AA855" s="439" t="s">
        <v>4898</v>
      </c>
      <c r="AB855" s="719">
        <v>46238</v>
      </c>
      <c r="AC855" s="1119">
        <f>IF(PV_DATA[[#This Row],[Pick-Up Date]]&lt;&gt;"",_xlfn.ISOWEEKNUM(PV_DATA[[#This Row],[Pick-Up Date]]),"")</f>
        <v>32</v>
      </c>
      <c r="AD855" s="439" t="s">
        <v>5981</v>
      </c>
      <c r="AF855" s="439" t="s">
        <v>61</v>
      </c>
      <c r="AG855" s="439" t="s">
        <v>61</v>
      </c>
      <c r="AH855" s="439" t="s">
        <v>105</v>
      </c>
      <c r="AI855" s="719">
        <v>46243</v>
      </c>
      <c r="AJ855" s="719">
        <f>IFERROR(IF(VLOOKUP(AT855,Vessel!A:D,4,FALSE)=0,"",VLOOKUP(AT855,Vessel!A:D,4,FALSE)),"")</f>
        <v>46243.166666666664</v>
      </c>
      <c r="AK855" s="441">
        <f>IFERROR(IF(VLOOKUP(AT855,Vessel!A:F,5,FALSE)=0,"",VLOOKUP(AT855,Vessel!A:F,5,FALSE)),"")</f>
        <v>46243.192557870374</v>
      </c>
      <c r="AL855" s="719">
        <v>46287</v>
      </c>
      <c r="AM855" s="1113">
        <f>IFERROR(VLOOKUP(AT855, Vessel!A:H, 8, FALSE), "")</f>
        <v>46289.958333333336</v>
      </c>
      <c r="AN855" s="1113">
        <f>IFERROR(IF(VLOOKUP(AT855,Vessel!A:I,9,FALSE)=0,"",VLOOKUP(AT855,Vessel!A:I,9,FALSE)),"")</f>
        <v>46290.180347222224</v>
      </c>
      <c r="AP855" s="439" t="s">
        <v>5961</v>
      </c>
      <c r="AQ855" s="439" t="s">
        <v>80</v>
      </c>
      <c r="AR855" s="439" t="s">
        <v>5982</v>
      </c>
      <c r="AS855" s="439" t="s">
        <v>5983</v>
      </c>
      <c r="AT855" s="439" t="s">
        <v>5983</v>
      </c>
      <c r="AU855" s="431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46.987789351849642</v>
      </c>
      <c r="AV855" s="719"/>
      <c r="AW855" s="719" cm="1">
        <f t="array" ref="AW85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46290.180347222224</v>
      </c>
      <c r="AX855" s="722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55" s="719">
        <f>IF(ISERROR(PV_DATA[[#This Row],[New Ark PO status]]),"",_xlfn.XLOOKUP(PV_DATA[[#This Row],[SPTN-PVHK New Ark PO'#]],New_Ark_Data[Purchase order Number],New_Ark_Data[Estimated time of arrival],"",0))</f>
        <v>46303</v>
      </c>
      <c r="AZ855" s="72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55" s="719">
        <f>IFERROR(PV_DATA[[#This Row],[ODP ETA Port]]+PV_DATA[[#This Row],[Customs/Leg3 Assumption]],"n/a")</f>
        <v>46297.180347222224</v>
      </c>
      <c r="BB855" s="722">
        <f>YEAR(PV_DATA[[#This Row],[ETA for New Ark update]])</f>
        <v>2026</v>
      </c>
      <c r="BC855" s="439">
        <f>MONTH(PV_DATA[[#This Row],[ETA for New Ark update]])</f>
        <v>10</v>
      </c>
      <c r="BD855" s="439">
        <f>IFERROR(_xlfn.ISOWEEKNUM(PV_DATA[[#This Row],[ETA for New Ark update]]),0)</f>
        <v>40</v>
      </c>
      <c r="BE855" s="439">
        <f>_xlfn.XLOOKUP(PV_DATA[[#This Row],[New Ark SKU]],Table9[New Ark SKU],Table9[Total PCS per Pallet],,0)</f>
        <v>36</v>
      </c>
      <c r="BF855" s="439">
        <f>_xlfn.XLOOKUP(PV_DATA[[#This Row],[New Ark SKU]],Table9[New Ark SKU],Table9[Total PCS per 40HQ Container],,0)</f>
        <v>936</v>
      </c>
      <c r="BG855" s="439" t="str">
        <f>_xlfn.XLOOKUP(PV_DATA[[#This Row],[New Ark SKU]],Table9[New Ark SKU],Table9[Back Glass],,0)</f>
        <v>Black glazing</v>
      </c>
      <c r="BH855" s="439" t="str">
        <f>_xlfn.XLOOKUP(PV_DATA[[#This Row],[PORT DESTINATION]],Table12[PORT DESTINATION],Table12[Cosco Line],,0)</f>
        <v>AEU</v>
      </c>
    </row>
    <row r="856" spans="1:60" s="462" customFormat="1" ht="10.5" hidden="1">
      <c r="A856" s="462" t="s">
        <v>5984</v>
      </c>
      <c r="B856" s="462" t="s">
        <v>1757</v>
      </c>
      <c r="C856" s="462" t="str">
        <f>IFERROR(LEFT(PV_DATA[[#This Row],[TCL REFERENCE]],FIND(".",PV_DATA[[#This Row],[TCL REFERENCE]],1)-1),"Main Line")</f>
        <v>26Jul008</v>
      </c>
      <c r="D856" s="462" t="s">
        <v>63</v>
      </c>
      <c r="E856" s="462" t="s">
        <v>64</v>
      </c>
      <c r="F856" s="462" t="str" cm="1">
        <f t="array" ref="F85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856" s="462" t="s">
        <v>402</v>
      </c>
      <c r="H856" s="462" t="s">
        <v>451</v>
      </c>
      <c r="I856" s="462" t="s">
        <v>882</v>
      </c>
      <c r="J856" s="462" t="s">
        <v>5675</v>
      </c>
      <c r="M856" s="462" t="s">
        <v>68</v>
      </c>
      <c r="N856" s="712">
        <v>46209</v>
      </c>
      <c r="O856" s="462" t="s">
        <v>4540</v>
      </c>
      <c r="P856" s="462" t="s">
        <v>1151</v>
      </c>
      <c r="Q856" s="462" t="s">
        <v>421</v>
      </c>
      <c r="R856" s="430" t="str">
        <f>_xlfn.XLOOKUP(PV_DATA[[#This Row],[New Ark SKU]],Table9[New Ark SKU],Table9[Connector],,0)</f>
        <v>EVO2A</v>
      </c>
      <c r="S856" s="433" t="str">
        <f>_xlfn.XLOOKUP(PV_DATA[[#This Row],[New Ark SKU]],Table9[New Ark SKU],Table9[Cable],,0)</f>
        <v>±1200mm</v>
      </c>
      <c r="T856" s="936">
        <v>505</v>
      </c>
      <c r="U856" s="1069">
        <v>1728</v>
      </c>
      <c r="V856" s="458">
        <f>PV_DATA[[#This Row],[QUANTITY]]*PV_DATA[[#This Row],[WATT]]/1000000</f>
        <v>0.87263999999999997</v>
      </c>
      <c r="W856" s="714">
        <f>PV_DATA[[#This Row],[QUANTITY]]/PV_DATA[[#This Row],[Qty/Pallet]]</f>
        <v>48</v>
      </c>
      <c r="X856" s="1017">
        <f>PV_DATA[[#This Row],[QUANTITY]]/PV_DATA[[#This Row],[Qty/CT]]</f>
        <v>2</v>
      </c>
      <c r="Y856" s="462" t="s">
        <v>4375</v>
      </c>
      <c r="Z856" s="462" t="str">
        <f t="shared" si="10"/>
        <v>COMPLETED</v>
      </c>
      <c r="AA856" s="462" t="s">
        <v>5985</v>
      </c>
      <c r="AB856" s="713">
        <v>46239</v>
      </c>
      <c r="AC856" s="937">
        <f>IF(PV_DATA[[#This Row],[Pick-Up Date]]&lt;&gt;"",_xlfn.ISOWEEKNUM(PV_DATA[[#This Row],[Pick-Up Date]]),"")</f>
        <v>32</v>
      </c>
      <c r="AD856" s="462" t="s">
        <v>5986</v>
      </c>
      <c r="AF856" s="462" t="s">
        <v>1525</v>
      </c>
      <c r="AG856" s="462" t="s">
        <v>1525</v>
      </c>
      <c r="AH856" s="462" t="s">
        <v>456</v>
      </c>
      <c r="AI856" s="713">
        <v>46243</v>
      </c>
      <c r="AJ856" s="713">
        <f>IFERROR(IF(VLOOKUP(AT856,Vessel!A:D,4,FALSE)=0,"",VLOOKUP(AT856,Vessel!A:D,4,FALSE)),"")</f>
        <v>46246.208333333336</v>
      </c>
      <c r="AK856" s="437">
        <f>IFERROR(IF(VLOOKUP(AT856,Vessel!A:F,5,FALSE)=0,"",VLOOKUP(AT856,Vessel!A:F,5,FALSE)),"")</f>
        <v>46246.239791666667</v>
      </c>
      <c r="AL856" s="713">
        <v>46279</v>
      </c>
      <c r="AM856" s="939">
        <f>IFERROR(VLOOKUP(AT856, Vessel!A:H, 8, FALSE), "")</f>
        <v>46286.270833333336</v>
      </c>
      <c r="AN856" s="939">
        <f>IFERROR(IF(VLOOKUP(AT856,Vessel!A:I,9,FALSE)=0,"",VLOOKUP(AT856,Vessel!A:I,9,FALSE)),"")</f>
        <v>46286.275081018517</v>
      </c>
      <c r="AP856" s="462" t="s">
        <v>5678</v>
      </c>
      <c r="AQ856" s="462" t="s">
        <v>80</v>
      </c>
      <c r="AR856" s="462" t="s">
        <v>5987</v>
      </c>
      <c r="AS856" s="462" t="s">
        <v>5988</v>
      </c>
      <c r="AT856" s="462" t="s">
        <v>5988</v>
      </c>
      <c r="AU85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40.035289351850224</v>
      </c>
      <c r="AW856" s="713" cm="1">
        <f t="array" ref="AW85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46286.275081018517</v>
      </c>
      <c r="AX85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56" s="713">
        <f>IF(ISERROR(PV_DATA[[#This Row],[New Ark PO status]]),"",_xlfn.XLOOKUP(PV_DATA[[#This Row],[SPTN-PVHK New Ark PO'#]],New_Ark_Data[Purchase order Number],New_Ark_Data[Estimated time of arrival],"",0))</f>
        <v>46300</v>
      </c>
      <c r="AZ856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56" s="713">
        <f>IFERROR(PV_DATA[[#This Row],[ODP ETA Port]]+PV_DATA[[#This Row],[Customs/Leg3 Assumption]],"n/a")</f>
        <v>46293.275081018517</v>
      </c>
      <c r="BB856" s="936">
        <f>YEAR(PV_DATA[[#This Row],[ETA for New Ark update]])</f>
        <v>2026</v>
      </c>
      <c r="BC856" s="462">
        <f>MONTH(PV_DATA[[#This Row],[ETA for New Ark update]])</f>
        <v>9</v>
      </c>
      <c r="BD856" s="462">
        <f>IFERROR(_xlfn.ISOWEEKNUM(PV_DATA[[#This Row],[ETA for New Ark update]]),0)</f>
        <v>40</v>
      </c>
      <c r="BE856" s="462">
        <f>_xlfn.XLOOKUP(PV_DATA[[#This Row],[New Ark SKU]],Table9[New Ark SKU],Table9[Total PCS per Pallet],,0)</f>
        <v>36</v>
      </c>
      <c r="BF856" s="462">
        <f>_xlfn.XLOOKUP(PV_DATA[[#This Row],[New Ark SKU]],Table9[New Ark SKU],Table9[Total PCS per 40HQ Container],,0)</f>
        <v>864</v>
      </c>
      <c r="BG856" s="462" t="str">
        <f>_xlfn.XLOOKUP(PV_DATA[[#This Row],[New Ark SKU]],Table9[New Ark SKU],Table9[Back Glass],,0)</f>
        <v>Black glazing</v>
      </c>
      <c r="BH856" s="938" t="str">
        <f>_xlfn.XLOOKUP(PV_DATA[[#This Row],[PORT DESTINATION]],Table12[PORT DESTINATION],Table12[Cosco Line],,0)</f>
        <v>AEU</v>
      </c>
    </row>
    <row r="857" spans="1:60" s="462" customFormat="1" ht="10.5" hidden="1">
      <c r="A857" s="462" t="s">
        <v>5989</v>
      </c>
      <c r="B857" s="462" t="s">
        <v>1757</v>
      </c>
      <c r="C857" s="462" t="str">
        <f>IFERROR(LEFT(PV_DATA[[#This Row],[TCL REFERENCE]],FIND(".",PV_DATA[[#This Row],[TCL REFERENCE]],1)-1),"Main Line")</f>
        <v>26Jul007</v>
      </c>
      <c r="D857" s="462" t="s">
        <v>63</v>
      </c>
      <c r="E857" s="462" t="s">
        <v>64</v>
      </c>
      <c r="F857" s="462" t="str" cm="1">
        <f t="array" ref="F85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57" s="462" t="s">
        <v>402</v>
      </c>
      <c r="H857" s="462" t="s">
        <v>67</v>
      </c>
      <c r="I857" s="462" t="s">
        <v>882</v>
      </c>
      <c r="J857" s="462" t="s">
        <v>96</v>
      </c>
      <c r="M857" s="462" t="s">
        <v>68</v>
      </c>
      <c r="N857" s="712">
        <v>46209</v>
      </c>
      <c r="O857" s="462" t="s">
        <v>4540</v>
      </c>
      <c r="P857" s="462" t="s">
        <v>71</v>
      </c>
      <c r="Q857" s="462" t="s">
        <v>72</v>
      </c>
      <c r="R857" s="430" t="str">
        <f>_xlfn.XLOOKUP(PV_DATA[[#This Row],[New Ark SKU]],Table9[New Ark SKU],Table9[Connector],,0)</f>
        <v>EVO2A</v>
      </c>
      <c r="S857" s="433" t="str">
        <f>_xlfn.XLOOKUP(PV_DATA[[#This Row],[New Ark SKU]],Table9[New Ark SKU],Table9[Cable],,0)</f>
        <v>±1200mm</v>
      </c>
      <c r="T857" s="936">
        <v>500</v>
      </c>
      <c r="U857" s="1069">
        <f>864*3</f>
        <v>2592</v>
      </c>
      <c r="V857" s="458">
        <f>PV_DATA[[#This Row],[QUANTITY]]*PV_DATA[[#This Row],[WATT]]/1000000</f>
        <v>1.296</v>
      </c>
      <c r="W857" s="714">
        <f>PV_DATA[[#This Row],[QUANTITY]]/PV_DATA[[#This Row],[Qty/Pallet]]</f>
        <v>72</v>
      </c>
      <c r="X857" s="1017">
        <f>PV_DATA[[#This Row],[QUANTITY]]/PV_DATA[[#This Row],[Qty/CT]]</f>
        <v>3</v>
      </c>
      <c r="Y857" s="462" t="s">
        <v>4374</v>
      </c>
      <c r="Z857" s="462" t="str">
        <f t="shared" si="10"/>
        <v>COMPLETED</v>
      </c>
      <c r="AB857" s="713">
        <v>46240</v>
      </c>
      <c r="AC857" s="937">
        <f>IF(PV_DATA[[#This Row],[Pick-Up Date]]&lt;&gt;"",_xlfn.ISOWEEKNUM(PV_DATA[[#This Row],[Pick-Up Date]]),"")</f>
        <v>32</v>
      </c>
      <c r="AD857" s="462" t="s">
        <v>5990</v>
      </c>
      <c r="AF857" s="462" t="s">
        <v>1525</v>
      </c>
      <c r="AG857" s="462" t="s">
        <v>1525</v>
      </c>
      <c r="AH857" s="462" t="s">
        <v>105</v>
      </c>
      <c r="AI857" s="713">
        <v>46239</v>
      </c>
      <c r="AJ857" s="713"/>
      <c r="AK857" s="437">
        <f>IFERROR(IF(VLOOKUP(AT857,Vessel!A:F,5,FALSE)=0,"",VLOOKUP(AT857,Vessel!A:F,5,FALSE)),"")</f>
        <v>46249.834432870368</v>
      </c>
      <c r="AL857" s="713">
        <v>46274</v>
      </c>
      <c r="AM857" s="939">
        <f>IFERROR(VLOOKUP(AT857, Vessel!A:H, 8, FALSE), "")</f>
        <v>46283.875</v>
      </c>
      <c r="AN857" s="939">
        <f>IFERROR(IF(VLOOKUP(AT857,Vessel!A:I,9,FALSE)=0,"",VLOOKUP(AT857,Vessel!A:I,9,FALSE)),"")</f>
        <v>46283.912627314814</v>
      </c>
      <c r="AP857" s="462" t="s">
        <v>5991</v>
      </c>
      <c r="AQ857" s="462" t="s">
        <v>80</v>
      </c>
      <c r="AR857" s="462" t="s">
        <v>5992</v>
      </c>
      <c r="AS857" s="462" t="s">
        <v>5993</v>
      </c>
      <c r="AT857" s="462" t="s">
        <v>5993</v>
      </c>
      <c r="AU85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34.078194444446126</v>
      </c>
      <c r="AW857" s="713" cm="1">
        <f t="array" ref="AW85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46283.912627314814</v>
      </c>
      <c r="AX85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57" s="713">
        <f>IF(ISERROR(PV_DATA[[#This Row],[New Ark PO status]]),"",_xlfn.XLOOKUP(PV_DATA[[#This Row],[SPTN-PVHK New Ark PO'#]],New_Ark_Data[Purchase order Number],New_Ark_Data[Estimated time of arrival],"",0))</f>
        <v>46296</v>
      </c>
      <c r="AZ857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57" s="713">
        <f>IFERROR(PV_DATA[[#This Row],[ODP ETA Port]]+PV_DATA[[#This Row],[Customs/Leg3 Assumption]],"n/a")</f>
        <v>46290.912627314814</v>
      </c>
      <c r="BB857" s="936">
        <f>YEAR(PV_DATA[[#This Row],[ETA for New Ark update]])</f>
        <v>2026</v>
      </c>
      <c r="BC857" s="462">
        <f>MONTH(PV_DATA[[#This Row],[ETA for New Ark update]])</f>
        <v>9</v>
      </c>
      <c r="BD857" s="462">
        <f>IFERROR(_xlfn.ISOWEEKNUM(PV_DATA[[#This Row],[ETA for New Ark update]]),0)</f>
        <v>39</v>
      </c>
      <c r="BE857" s="462">
        <f>_xlfn.XLOOKUP(PV_DATA[[#This Row],[New Ark SKU]],Table9[New Ark SKU],Table9[Total PCS per Pallet],,0)</f>
        <v>36</v>
      </c>
      <c r="BF857" s="462">
        <f>_xlfn.XLOOKUP(PV_DATA[[#This Row],[New Ark SKU]],Table9[New Ark SKU],Table9[Total PCS per 40HQ Container],,0)</f>
        <v>864</v>
      </c>
      <c r="BG857" s="462" t="str">
        <f>_xlfn.XLOOKUP(PV_DATA[[#This Row],[New Ark SKU]],Table9[New Ark SKU],Table9[Back Glass],,0)</f>
        <v>Black glazing</v>
      </c>
      <c r="BH857" s="462" t="str">
        <f>_xlfn.XLOOKUP(PV_DATA[[#This Row],[PORT DESTINATION]],Table12[PORT DESTINATION],Table12[Cosco Line],,0)</f>
        <v>AEU</v>
      </c>
    </row>
    <row r="858" spans="1:60" s="462" customFormat="1" ht="10.5" hidden="1">
      <c r="A858" s="462" t="s">
        <v>5994</v>
      </c>
      <c r="B858" s="462" t="s">
        <v>1757</v>
      </c>
      <c r="C858" s="462" t="str">
        <f>IFERROR(LEFT(PV_DATA[[#This Row],[TCL REFERENCE]],FIND(".",PV_DATA[[#This Row],[TCL REFERENCE]],1)-1),"Main Line")</f>
        <v>26Jun012</v>
      </c>
      <c r="D858" s="462" t="s">
        <v>63</v>
      </c>
      <c r="E858" s="462" t="s">
        <v>64</v>
      </c>
      <c r="F858" s="462" t="str" cm="1">
        <f t="array" ref="F85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58" s="462" t="s">
        <v>402</v>
      </c>
      <c r="H858" s="462" t="s">
        <v>67</v>
      </c>
      <c r="I858" s="462" t="s">
        <v>1395</v>
      </c>
      <c r="J858" s="462" t="s">
        <v>96</v>
      </c>
      <c r="M858" s="462" t="s">
        <v>68</v>
      </c>
      <c r="N858" s="712">
        <v>46195</v>
      </c>
      <c r="O858" s="462" t="s">
        <v>4540</v>
      </c>
      <c r="P858" s="462" t="s">
        <v>1151</v>
      </c>
      <c r="Q858" s="462" t="s">
        <v>421</v>
      </c>
      <c r="R858" s="430" t="str">
        <f>_xlfn.XLOOKUP(PV_DATA[[#This Row],[New Ark SKU]],Table9[New Ark SKU],Table9[Connector],,0)</f>
        <v>EVO2A</v>
      </c>
      <c r="S858" s="433" t="str">
        <f>_xlfn.XLOOKUP(PV_DATA[[#This Row],[New Ark SKU]],Table9[New Ark SKU],Table9[Cable],,0)</f>
        <v>±1200mm</v>
      </c>
      <c r="T858" s="936">
        <v>505</v>
      </c>
      <c r="U858" s="1069">
        <v>864</v>
      </c>
      <c r="V858" s="458">
        <f>PV_DATA[[#This Row],[QUANTITY]]*PV_DATA[[#This Row],[WATT]]/1000000</f>
        <v>0.43631999999999999</v>
      </c>
      <c r="W858" s="714">
        <f>PV_DATA[[#This Row],[QUANTITY]]/PV_DATA[[#This Row],[Qty/Pallet]]</f>
        <v>24</v>
      </c>
      <c r="X858" s="1017">
        <f>PV_DATA[[#This Row],[QUANTITY]]/PV_DATA[[#This Row],[Qty/CT]]</f>
        <v>1</v>
      </c>
      <c r="Y858" s="462" t="s">
        <v>4371</v>
      </c>
      <c r="Z858" s="462" t="str">
        <f t="shared" si="10"/>
        <v>COMPLETED</v>
      </c>
      <c r="AA858" s="462" t="s">
        <v>5676</v>
      </c>
      <c r="AB858" s="713">
        <v>46241</v>
      </c>
      <c r="AC858" s="937">
        <f>IF(PV_DATA[[#This Row],[Pick-Up Date]]&lt;&gt;"",_xlfn.ISOWEEKNUM(PV_DATA[[#This Row],[Pick-Up Date]]),"")</f>
        <v>32</v>
      </c>
      <c r="AD858" s="462" t="s">
        <v>5995</v>
      </c>
      <c r="AF858" s="462" t="s">
        <v>1525</v>
      </c>
      <c r="AG858" s="462" t="s">
        <v>1525</v>
      </c>
      <c r="AH858" s="462" t="s">
        <v>105</v>
      </c>
      <c r="AI858" s="713">
        <v>46246</v>
      </c>
      <c r="AJ858" s="713"/>
      <c r="AK858" s="437">
        <f>IFERROR(IF(VLOOKUP(AT858,Vessel!A:F,5,FALSE)=0,"",VLOOKUP(AT858,Vessel!A:F,5,FALSE)),"")</f>
        <v>46259.356724537036</v>
      </c>
      <c r="AL858" s="713">
        <v>46281</v>
      </c>
      <c r="AM858" s="939">
        <f>IFERROR(VLOOKUP(AT858, Vessel!A:H, 8, FALSE), "")</f>
        <v>46300.4375</v>
      </c>
      <c r="AN858" s="939">
        <v>46300</v>
      </c>
      <c r="AP858" s="462" t="s">
        <v>5996</v>
      </c>
      <c r="AQ858" s="462" t="s">
        <v>80</v>
      </c>
      <c r="AR858" s="462" t="s">
        <v>5997</v>
      </c>
      <c r="AS858" s="462" t="s">
        <v>5998</v>
      </c>
      <c r="AT858" s="462" t="s">
        <v>5998</v>
      </c>
      <c r="AU85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40.643275462964084</v>
      </c>
      <c r="AV858" s="713"/>
      <c r="AW858" s="713" cm="1">
        <f t="array" ref="AW85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46300</v>
      </c>
      <c r="AX85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58" s="713">
        <f>IF(ISERROR(PV_DATA[[#This Row],[New Ark PO status]]),"",_xlfn.XLOOKUP(PV_DATA[[#This Row],[SPTN-PVHK New Ark PO'#]],New_Ark_Data[Purchase order Number],New_Ark_Data[Estimated time of arrival],"",0))</f>
        <v>46309</v>
      </c>
      <c r="AZ858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58" s="713">
        <f>IFERROR(PV_DATA[[#This Row],[ODP ETA Port]]+PV_DATA[[#This Row],[Customs/Leg3 Assumption]],"n/a")</f>
        <v>46307</v>
      </c>
      <c r="BB858" s="936">
        <f>YEAR(PV_DATA[[#This Row],[ETA for New Ark update]])</f>
        <v>2026</v>
      </c>
      <c r="BC858" s="462">
        <f>MONTH(PV_DATA[[#This Row],[ETA for New Ark update]])</f>
        <v>10</v>
      </c>
      <c r="BD858" s="462">
        <f>IFERROR(_xlfn.ISOWEEKNUM(PV_DATA[[#This Row],[ETA for New Ark update]]),0)</f>
        <v>42</v>
      </c>
      <c r="BE858" s="462">
        <f>_xlfn.XLOOKUP(PV_DATA[[#This Row],[New Ark SKU]],Table9[New Ark SKU],Table9[Total PCS per Pallet],,0)</f>
        <v>36</v>
      </c>
      <c r="BF858" s="462">
        <f>_xlfn.XLOOKUP(PV_DATA[[#This Row],[New Ark SKU]],Table9[New Ark SKU],Table9[Total PCS per 40HQ Container],,0)</f>
        <v>864</v>
      </c>
      <c r="BG858" s="462" t="str">
        <f>_xlfn.XLOOKUP(PV_DATA[[#This Row],[New Ark SKU]],Table9[New Ark SKU],Table9[Back Glass],,0)</f>
        <v>Black glazing</v>
      </c>
      <c r="BH858" s="938" t="str">
        <f>_xlfn.XLOOKUP(PV_DATA[[#This Row],[PORT DESTINATION]],Table12[PORT DESTINATION],Table12[Cosco Line],,0)</f>
        <v>AEU</v>
      </c>
    </row>
    <row r="859" spans="1:60" s="462" customFormat="1" ht="10.5" hidden="1" customHeight="1">
      <c r="A859" s="462" t="s">
        <v>5999</v>
      </c>
      <c r="B859" s="462" t="s">
        <v>1757</v>
      </c>
      <c r="C859" s="462" t="str">
        <f>IFERROR(LEFT(PV_DATA[[#This Row],[TCL REFERENCE]],FIND(".",PV_DATA[[#This Row],[TCL REFERENCE]],1)-1),"Main Line")</f>
        <v>26Jun012</v>
      </c>
      <c r="D859" s="462" t="s">
        <v>63</v>
      </c>
      <c r="E859" s="462" t="s">
        <v>64</v>
      </c>
      <c r="F859" s="462" t="str" cm="1">
        <f t="array" ref="F85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59" s="462" t="s">
        <v>402</v>
      </c>
      <c r="H859" s="462" t="s">
        <v>67</v>
      </c>
      <c r="I859" s="462" t="s">
        <v>1395</v>
      </c>
      <c r="J859" s="462" t="s">
        <v>96</v>
      </c>
      <c r="M859" s="462" t="s">
        <v>68</v>
      </c>
      <c r="N859" s="712">
        <v>46195</v>
      </c>
      <c r="O859" s="462" t="s">
        <v>4540</v>
      </c>
      <c r="P859" s="462" t="s">
        <v>1151</v>
      </c>
      <c r="Q859" s="462" t="s">
        <v>421</v>
      </c>
      <c r="R859" s="430" t="str">
        <f>_xlfn.XLOOKUP(PV_DATA[[#This Row],[New Ark SKU]],Table9[New Ark SKU],Table9[Connector],,0)</f>
        <v>EVO2A</v>
      </c>
      <c r="S859" s="433" t="str">
        <f>_xlfn.XLOOKUP(PV_DATA[[#This Row],[New Ark SKU]],Table9[New Ark SKU],Table9[Cable],,0)</f>
        <v>±1200mm</v>
      </c>
      <c r="T859" s="936">
        <v>505</v>
      </c>
      <c r="U859" s="1069">
        <v>864</v>
      </c>
      <c r="V859" s="458">
        <f>PV_DATA[[#This Row],[QUANTITY]]*PV_DATA[[#This Row],[WATT]]/1000000</f>
        <v>0.43631999999999999</v>
      </c>
      <c r="W859" s="714">
        <f>PV_DATA[[#This Row],[QUANTITY]]/PV_DATA[[#This Row],[Qty/Pallet]]</f>
        <v>24</v>
      </c>
      <c r="X859" s="1017">
        <f>PV_DATA[[#This Row],[QUANTITY]]/PV_DATA[[#This Row],[Qty/CT]]</f>
        <v>1</v>
      </c>
      <c r="Y859" s="462" t="s">
        <v>4371</v>
      </c>
      <c r="Z859" s="462" t="str">
        <f t="shared" si="10"/>
        <v>COMPLETED</v>
      </c>
      <c r="AA859" s="462" t="s">
        <v>5676</v>
      </c>
      <c r="AB859" s="713">
        <v>46241</v>
      </c>
      <c r="AC859" s="937">
        <f>IF(PV_DATA[[#This Row],[Pick-Up Date]]&lt;&gt;"",_xlfn.ISOWEEKNUM(PV_DATA[[#This Row],[Pick-Up Date]]),"")</f>
        <v>32</v>
      </c>
      <c r="AD859" s="462" t="s">
        <v>6000</v>
      </c>
      <c r="AF859" s="462" t="s">
        <v>1525</v>
      </c>
      <c r="AG859" s="462" t="s">
        <v>1525</v>
      </c>
      <c r="AH859" s="462" t="s">
        <v>105</v>
      </c>
      <c r="AI859" s="713">
        <v>46246</v>
      </c>
      <c r="AJ859" s="713"/>
      <c r="AK859" s="437">
        <f>IFERROR(IF(VLOOKUP(AT859,Vessel!A:F,5,FALSE)=0,"",VLOOKUP(AT859,Vessel!A:F,5,FALSE)),"")</f>
        <v>46259.356724537036</v>
      </c>
      <c r="AL859" s="713">
        <v>46281</v>
      </c>
      <c r="AM859" s="939">
        <f>IFERROR(VLOOKUP(AT859, Vessel!A:H, 8, FALSE), "")</f>
        <v>46300.4375</v>
      </c>
      <c r="AN859" s="939">
        <v>46300</v>
      </c>
      <c r="AP859" s="462" t="s">
        <v>5996</v>
      </c>
      <c r="AQ859" s="462" t="s">
        <v>80</v>
      </c>
      <c r="AR859" s="462" t="s">
        <v>5997</v>
      </c>
      <c r="AS859" s="462" t="s">
        <v>5998</v>
      </c>
      <c r="AT859" s="462" t="s">
        <v>5998</v>
      </c>
      <c r="AU85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40.643275462964084</v>
      </c>
      <c r="AW859" s="713" cm="1">
        <f t="array" ref="AW85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46300</v>
      </c>
      <c r="AX85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59" s="713">
        <f>IF(ISERROR(PV_DATA[[#This Row],[New Ark PO status]]),"",_xlfn.XLOOKUP(PV_DATA[[#This Row],[SPTN-PVHK New Ark PO'#]],New_Ark_Data[Purchase order Number],New_Ark_Data[Estimated time of arrival],"",0))</f>
        <v>46309</v>
      </c>
      <c r="AZ859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59" s="713">
        <f>IFERROR(PV_DATA[[#This Row],[ODP ETA Port]]+PV_DATA[[#This Row],[Customs/Leg3 Assumption]],"n/a")</f>
        <v>46307</v>
      </c>
      <c r="BB859" s="936">
        <f>YEAR(PV_DATA[[#This Row],[ETA for New Ark update]])</f>
        <v>2026</v>
      </c>
      <c r="BC859" s="462">
        <f>MONTH(PV_DATA[[#This Row],[ETA for New Ark update]])</f>
        <v>10</v>
      </c>
      <c r="BD859" s="462">
        <f>IFERROR(_xlfn.ISOWEEKNUM(PV_DATA[[#This Row],[ETA for New Ark update]]),0)</f>
        <v>42</v>
      </c>
      <c r="BE859" s="462">
        <f>_xlfn.XLOOKUP(PV_DATA[[#This Row],[New Ark SKU]],Table9[New Ark SKU],Table9[Total PCS per Pallet],,0)</f>
        <v>36</v>
      </c>
      <c r="BF859" s="462">
        <f>_xlfn.XLOOKUP(PV_DATA[[#This Row],[New Ark SKU]],Table9[New Ark SKU],Table9[Total PCS per 40HQ Container],,0)</f>
        <v>864</v>
      </c>
      <c r="BG859" s="462" t="str">
        <f>_xlfn.XLOOKUP(PV_DATA[[#This Row],[New Ark SKU]],Table9[New Ark SKU],Table9[Back Glass],,0)</f>
        <v>Black glazing</v>
      </c>
      <c r="BH859" s="938" t="str">
        <f>_xlfn.XLOOKUP(PV_DATA[[#This Row],[PORT DESTINATION]],Table12[PORT DESTINATION],Table12[Cosco Line],,0)</f>
        <v>AEU</v>
      </c>
    </row>
    <row r="860" spans="1:60" s="462" customFormat="1" ht="10.5" hidden="1" customHeight="1">
      <c r="A860" s="941" t="s">
        <v>6001</v>
      </c>
      <c r="B860" s="935" t="s">
        <v>1757</v>
      </c>
      <c r="C860" s="462" t="str">
        <f>IFERROR(LEFT(PV_DATA[[#This Row],[TCL REFERENCE]],FIND(".",PV_DATA[[#This Row],[TCL REFERENCE]],1)-1),"Main Line")</f>
        <v>26Jul017</v>
      </c>
      <c r="D860" s="462" t="s">
        <v>63</v>
      </c>
      <c r="E860" s="462" t="s">
        <v>64</v>
      </c>
      <c r="F860" s="462" t="str" cm="1">
        <f t="array" ref="F86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60" s="462" t="s">
        <v>402</v>
      </c>
      <c r="H860" s="462" t="s">
        <v>67</v>
      </c>
      <c r="I860" s="462" t="s">
        <v>822</v>
      </c>
      <c r="J860" s="462" t="s">
        <v>96</v>
      </c>
      <c r="M860" s="462" t="s">
        <v>68</v>
      </c>
      <c r="N860" s="712">
        <v>46230</v>
      </c>
      <c r="O860" s="462" t="s">
        <v>284</v>
      </c>
      <c r="P860" s="935" t="s">
        <v>5860</v>
      </c>
      <c r="Q860" s="935" t="s">
        <v>5861</v>
      </c>
      <c r="R860" s="430" t="str">
        <f>_xlfn.XLOOKUP(PV_DATA[[#This Row],[New Ark SKU]],Table9[New Ark SKU],Table9[Connector],,0)</f>
        <v>EVO2A</v>
      </c>
      <c r="S860" s="433" t="str">
        <f>_xlfn.XLOOKUP(PV_DATA[[#This Row],[New Ark SKU]],Table9[New Ark SKU],Table9[Cable],,0)</f>
        <v>±1200mm</v>
      </c>
      <c r="T860" s="942">
        <v>485</v>
      </c>
      <c r="U860" s="1072">
        <v>936</v>
      </c>
      <c r="V860" s="1047">
        <f>PV_DATA[[#This Row],[QUANTITY]]*PV_DATA[[#This Row],[WATT]]/1000000</f>
        <v>0.45395999999999997</v>
      </c>
      <c r="W860" s="1048">
        <f>PV_DATA[[#This Row],[QUANTITY]]/PV_DATA[[#This Row],[Qty/Pallet]]</f>
        <v>26</v>
      </c>
      <c r="X860" s="1017">
        <f>PV_DATA[[#This Row],[QUANTITY]]/936</f>
        <v>1</v>
      </c>
      <c r="Y860" s="462" t="s">
        <v>4374</v>
      </c>
      <c r="Z860" s="462" t="str">
        <f t="shared" si="10"/>
        <v>COMPLETED</v>
      </c>
      <c r="AA860" s="935" t="s">
        <v>5862</v>
      </c>
      <c r="AB860" s="713">
        <v>46241</v>
      </c>
      <c r="AC860" s="937">
        <f>IF(PV_DATA[[#This Row],[Pick-Up Date]]&lt;&gt;"",_xlfn.ISOWEEKNUM(PV_DATA[[#This Row],[Pick-Up Date]]),"")</f>
        <v>32</v>
      </c>
      <c r="AD860" s="462" t="s">
        <v>6002</v>
      </c>
      <c r="AF860" s="935" t="s">
        <v>1525</v>
      </c>
      <c r="AG860" s="935" t="s">
        <v>6003</v>
      </c>
      <c r="AH860" s="462" t="s">
        <v>105</v>
      </c>
      <c r="AI860" s="713">
        <v>46246</v>
      </c>
      <c r="AJ860" s="713"/>
      <c r="AK860" s="437">
        <f>IFERROR(IF(VLOOKUP(AT860,Vessel!A:F,5,FALSE)=0,"",VLOOKUP(AT860,Vessel!A:F,5,FALSE)),"")</f>
        <v>46259.356724537036</v>
      </c>
      <c r="AL860" s="718">
        <v>46281</v>
      </c>
      <c r="AM860" s="939">
        <f>IFERROR(VLOOKUP(AT860, Vessel!A:H, 8, FALSE), "")</f>
        <v>46300.4375</v>
      </c>
      <c r="AN860" s="939">
        <v>46300</v>
      </c>
      <c r="AP860" s="462" t="s">
        <v>5996</v>
      </c>
      <c r="AQ860" s="462" t="s">
        <v>80</v>
      </c>
      <c r="AR860" s="462" t="s">
        <v>5997</v>
      </c>
      <c r="AS860" s="935" t="s">
        <v>5998</v>
      </c>
      <c r="AT860" s="935" t="s">
        <v>5998</v>
      </c>
      <c r="AU86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40.643275462964084</v>
      </c>
      <c r="AW860" s="713" cm="1">
        <f t="array" ref="AW86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46300</v>
      </c>
      <c r="AX86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60" s="713">
        <f>IF(ISERROR(PV_DATA[[#This Row],[New Ark PO status]]),"",_xlfn.XLOOKUP(PV_DATA[[#This Row],[SPTN-PVHK New Ark PO'#]],New_Ark_Data[Purchase order Number],New_Ark_Data[Estimated time of arrival],"",0))</f>
        <v>46309</v>
      </c>
      <c r="AZ860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60" s="713">
        <f>IFERROR(PV_DATA[[#This Row],[ODP ETA Port]]+PV_DATA[[#This Row],[Customs/Leg3 Assumption]],"n/a")</f>
        <v>46307</v>
      </c>
      <c r="BB860" s="936">
        <f>YEAR(PV_DATA[[#This Row],[ETA for New Ark update]])</f>
        <v>2026</v>
      </c>
      <c r="BC860" s="462">
        <f>MONTH(PV_DATA[[#This Row],[ETA for New Ark update]])</f>
        <v>10</v>
      </c>
      <c r="BD860" s="462">
        <f>IFERROR(_xlfn.ISOWEEKNUM(PV_DATA[[#This Row],[ETA for New Ark update]]),0)</f>
        <v>42</v>
      </c>
      <c r="BE860" s="462">
        <f>_xlfn.XLOOKUP(PV_DATA[[#This Row],[New Ark SKU]],Table9[New Ark SKU],Table9[Total PCS per Pallet],,0)</f>
        <v>36</v>
      </c>
      <c r="BF860" s="462">
        <f>_xlfn.XLOOKUP(PV_DATA[[#This Row],[New Ark SKU]],Table9[New Ark SKU],Table9[Total PCS per 40HQ Container],,0)</f>
        <v>936</v>
      </c>
      <c r="BG860" s="462" t="str">
        <f>_xlfn.XLOOKUP(PV_DATA[[#This Row],[New Ark SKU]],Table9[New Ark SKU],Table9[Back Glass],,0)</f>
        <v>Black glazing</v>
      </c>
      <c r="BH860" s="938" t="str">
        <f>_xlfn.XLOOKUP(PV_DATA[[#This Row],[PORT DESTINATION]],Table12[PORT DESTINATION],Table12[Cosco Line],,0)</f>
        <v>AEU</v>
      </c>
    </row>
    <row r="861" spans="1:60" s="462" customFormat="1" ht="10.5" hidden="1">
      <c r="A861" s="462" t="s">
        <v>6004</v>
      </c>
      <c r="B861" s="462" t="s">
        <v>1757</v>
      </c>
      <c r="C861" s="462" t="str">
        <f>IFERROR(LEFT(PV_DATA[[#This Row],[TCL REFERENCE]],FIND(".",PV_DATA[[#This Row],[TCL REFERENCE]],1)-1),"Main Line")</f>
        <v>26Jul008</v>
      </c>
      <c r="D861" s="462" t="s">
        <v>63</v>
      </c>
      <c r="E861" s="462" t="s">
        <v>64</v>
      </c>
      <c r="F861" s="462" t="str" cm="1">
        <f t="array" ref="F86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61" s="462" t="s">
        <v>402</v>
      </c>
      <c r="H861" s="462" t="s">
        <v>67</v>
      </c>
      <c r="I861" s="462" t="s">
        <v>882</v>
      </c>
      <c r="J861" s="462" t="s">
        <v>96</v>
      </c>
      <c r="M861" s="462" t="s">
        <v>68</v>
      </c>
      <c r="N861" s="712">
        <v>46209</v>
      </c>
      <c r="O861" s="462" t="s">
        <v>4540</v>
      </c>
      <c r="P861" s="462" t="s">
        <v>1151</v>
      </c>
      <c r="Q861" s="462" t="s">
        <v>421</v>
      </c>
      <c r="R861" s="430" t="str">
        <f>_xlfn.XLOOKUP(PV_DATA[[#This Row],[New Ark SKU]],Table9[New Ark SKU],Table9[Connector],,0)</f>
        <v>EVO2A</v>
      </c>
      <c r="S861" s="433" t="str">
        <f>_xlfn.XLOOKUP(PV_DATA[[#This Row],[New Ark SKU]],Table9[New Ark SKU],Table9[Cable],,0)</f>
        <v>±1200mm</v>
      </c>
      <c r="T861" s="936">
        <v>505</v>
      </c>
      <c r="U861" s="1069">
        <v>864</v>
      </c>
      <c r="V861" s="458">
        <f>PV_DATA[[#This Row],[QUANTITY]]*PV_DATA[[#This Row],[WATT]]/1000000</f>
        <v>0.43631999999999999</v>
      </c>
      <c r="W861" s="714">
        <f>PV_DATA[[#This Row],[QUANTITY]]/PV_DATA[[#This Row],[Qty/Pallet]]</f>
        <v>24</v>
      </c>
      <c r="X861" s="1017">
        <f>PV_DATA[[#This Row],[QUANTITY]]/PV_DATA[[#This Row],[Qty/CT]]</f>
        <v>1</v>
      </c>
      <c r="Y861" s="462" t="s">
        <v>4373</v>
      </c>
      <c r="Z861" s="462" t="str">
        <f t="shared" si="10"/>
        <v>COMPLETED</v>
      </c>
      <c r="AB861" s="713">
        <v>46241</v>
      </c>
      <c r="AC861" s="937">
        <f>IF(PV_DATA[[#This Row],[Pick-Up Date]]&lt;&gt;"",_xlfn.ISOWEEKNUM(PV_DATA[[#This Row],[Pick-Up Date]]),"")</f>
        <v>32</v>
      </c>
      <c r="AD861" s="462" t="s">
        <v>6005</v>
      </c>
      <c r="AF861" s="462" t="s">
        <v>1525</v>
      </c>
      <c r="AG861" s="462" t="s">
        <v>1525</v>
      </c>
      <c r="AH861" s="462" t="s">
        <v>78</v>
      </c>
      <c r="AI861" s="713">
        <v>46248</v>
      </c>
      <c r="AJ861" s="713"/>
      <c r="AK861" s="437">
        <f>IFERROR(IF(VLOOKUP(AT861,Vessel!A:F,5,FALSE)=0,"",VLOOKUP(AT861,Vessel!A:F,5,FALSE)),"")</f>
        <v>46254.01357638889</v>
      </c>
      <c r="AL861" s="713">
        <v>46288</v>
      </c>
      <c r="AM861" s="939">
        <f>IFERROR(VLOOKUP(AT861, Vessel!A:H, 8, FALSE), "")</f>
        <v>46296.916666666664</v>
      </c>
      <c r="AN861" s="939">
        <v>46296</v>
      </c>
      <c r="AP861" s="462" t="s">
        <v>6006</v>
      </c>
      <c r="AQ861" s="462" t="s">
        <v>80</v>
      </c>
      <c r="AR861" s="462" t="s">
        <v>5926</v>
      </c>
      <c r="AS861" s="462" t="s">
        <v>6007</v>
      </c>
      <c r="AT861" s="462" t="s">
        <v>6007</v>
      </c>
      <c r="AU86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41.986423611109785</v>
      </c>
      <c r="AW861" s="713" cm="1">
        <f t="array" ref="AW86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46296</v>
      </c>
      <c r="AX86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61" s="713">
        <f>IF(ISERROR(PV_DATA[[#This Row],[New Ark PO status]]),"",_xlfn.XLOOKUP(PV_DATA[[#This Row],[SPTN-PVHK New Ark PO'#]],New_Ark_Data[Purchase order Number],New_Ark_Data[Estimated time of arrival],"",0))</f>
        <v>46309</v>
      </c>
      <c r="AZ861" s="936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61" s="713">
        <f>IFERROR(PV_DATA[[#This Row],[ODP ETA Port]]+PV_DATA[[#This Row],[Customs/Leg3 Assumption]],"n/a")</f>
        <v>46304</v>
      </c>
      <c r="BB861" s="936">
        <f>YEAR(PV_DATA[[#This Row],[ETA for New Ark update]])</f>
        <v>2026</v>
      </c>
      <c r="BC861" s="462">
        <f>MONTH(PV_DATA[[#This Row],[ETA for New Ark update]])</f>
        <v>10</v>
      </c>
      <c r="BD861" s="462">
        <f>IFERROR(_xlfn.ISOWEEKNUM(PV_DATA[[#This Row],[ETA for New Ark update]]),0)</f>
        <v>41</v>
      </c>
      <c r="BE861" s="462">
        <f>_xlfn.XLOOKUP(PV_DATA[[#This Row],[New Ark SKU]],Table9[New Ark SKU],Table9[Total PCS per Pallet],,0)</f>
        <v>36</v>
      </c>
      <c r="BF861" s="462">
        <f>_xlfn.XLOOKUP(PV_DATA[[#This Row],[New Ark SKU]],Table9[New Ark SKU],Table9[Total PCS per 40HQ Container],,0)</f>
        <v>864</v>
      </c>
      <c r="BG861" s="462" t="str">
        <f>_xlfn.XLOOKUP(PV_DATA[[#This Row],[New Ark SKU]],Table9[New Ark SKU],Table9[Back Glass],,0)</f>
        <v>Black glazing</v>
      </c>
      <c r="BH861" s="462" t="str">
        <f>_xlfn.XLOOKUP(PV_DATA[[#This Row],[PORT DESTINATION]],Table12[PORT DESTINATION],Table12[Cosco Line],,0)</f>
        <v>AEM</v>
      </c>
    </row>
    <row r="862" spans="1:60" s="913" customFormat="1" ht="10.5" hidden="1">
      <c r="A862" s="912" t="s">
        <v>6008</v>
      </c>
      <c r="B862" s="912" t="s">
        <v>111</v>
      </c>
      <c r="C862" s="912" t="str">
        <f>IFERROR(LEFT(PV_DATA[[#This Row],[TCL REFERENCE]],FIND(".",PV_DATA[[#This Row],[TCL REFERENCE]],1)-1),"Main Line")</f>
        <v>26Jun015</v>
      </c>
      <c r="D862" s="912" t="s">
        <v>63</v>
      </c>
      <c r="E862" s="912" t="s">
        <v>144</v>
      </c>
      <c r="F862" s="912" t="str" cm="1">
        <f t="array" ref="F86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862" s="912" t="s">
        <v>402</v>
      </c>
      <c r="H862" s="912" t="s">
        <v>1080</v>
      </c>
      <c r="I862" s="912" t="s">
        <v>689</v>
      </c>
      <c r="J862" s="913" t="s">
        <v>1080</v>
      </c>
      <c r="K862" s="913" t="s">
        <v>5408</v>
      </c>
      <c r="M862" s="913" t="s">
        <v>4976</v>
      </c>
      <c r="N862" s="914">
        <v>46202</v>
      </c>
      <c r="O862" s="913" t="s">
        <v>5388</v>
      </c>
      <c r="P862" s="913" t="s">
        <v>5409</v>
      </c>
      <c r="Q862" s="913" t="s">
        <v>5410</v>
      </c>
      <c r="R862" s="430" t="str">
        <f>_xlfn.XLOOKUP(PV_DATA[[#This Row],[New Ark SKU]],Table9[New Ark SKU],Table9[Connector],,0)</f>
        <v>EVO2A</v>
      </c>
      <c r="S862" s="433" t="str">
        <f>_xlfn.XLOOKUP(PV_DATA[[#This Row],[New Ark SKU]],Table9[New Ark SKU],Table9[Cable],,0)</f>
        <v>±1200mm</v>
      </c>
      <c r="T862" s="465">
        <v>465</v>
      </c>
      <c r="U862" s="1066">
        <v>936</v>
      </c>
      <c r="V862" s="915">
        <f>PV_DATA[[#This Row],[QUANTITY]]*PV_DATA[[#This Row],[WATT]]/1000000</f>
        <v>0.43524000000000002</v>
      </c>
      <c r="W862" s="916">
        <f>PV_DATA[[#This Row],[QUANTITY]]/PV_DATA[[#This Row],[Qty/Pallet]]</f>
        <v>26</v>
      </c>
      <c r="X862" s="1021">
        <f>PV_DATA[[#This Row],[QUANTITY]]/PV_DATA[[#This Row],[Qty/CT]]</f>
        <v>1</v>
      </c>
      <c r="Y862" s="913" t="s">
        <v>4376</v>
      </c>
      <c r="Z862" s="913" t="str">
        <f t="shared" si="10"/>
        <v>COMPLETED</v>
      </c>
      <c r="AA862" s="913" t="s">
        <v>6009</v>
      </c>
      <c r="AB862" s="732">
        <v>46248</v>
      </c>
      <c r="AC862" s="948">
        <f>IF(PV_DATA[[#This Row],[Pick-Up Date]]&lt;&gt;"",_xlfn.ISOWEEKNUM(PV_DATA[[#This Row],[Pick-Up Date]]),"")</f>
        <v>33</v>
      </c>
      <c r="AF862" s="913" t="s">
        <v>122</v>
      </c>
      <c r="AG862" s="913" t="s">
        <v>123</v>
      </c>
      <c r="AH862" s="913" t="s">
        <v>105</v>
      </c>
      <c r="AI862" s="954">
        <v>46253</v>
      </c>
      <c r="AJ862" s="954">
        <v>46254</v>
      </c>
      <c r="AK862" s="954">
        <v>46254</v>
      </c>
      <c r="AL862" s="732">
        <v>46287</v>
      </c>
      <c r="AM862" s="939">
        <f>IFERROR(VLOOKUP(AT862, Vessel!A:H, 8, FALSE), "")</f>
        <v>46289.958333333336</v>
      </c>
      <c r="AN862" s="939">
        <f>IFERROR(IF(VLOOKUP(AT862,Vessel!A:I,9,FALSE)=0,"",VLOOKUP(AT862,Vessel!A:I,9,FALSE)),"")</f>
        <v>46290.180347222224</v>
      </c>
      <c r="AP862" s="913" t="s">
        <v>5961</v>
      </c>
      <c r="AQ862" s="913" t="s">
        <v>80</v>
      </c>
      <c r="AR862" s="913" t="s">
        <v>6010</v>
      </c>
      <c r="AS862" s="913" t="s">
        <v>6011</v>
      </c>
      <c r="AT862" s="913" t="s">
        <v>6012</v>
      </c>
      <c r="AU86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36.180347222223645</v>
      </c>
      <c r="AW862" s="732" cm="1">
        <f t="array" ref="AW86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46290.180347222224</v>
      </c>
      <c r="AX86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862" s="732" t="str">
        <f>IF(ISERROR(PV_DATA[[#This Row],[New Ark PO status]]),"",_xlfn.XLOOKUP(PV_DATA[[#This Row],[SPTN-PVHK New Ark PO'#]],New_Ark_Data[Purchase order Number],New_Ark_Data[Estimated time of arrival],"",0))</f>
        <v/>
      </c>
      <c r="AZ862" s="465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862" s="732">
        <f>IFERROR(PV_DATA[[#This Row],[ODP ETA Port]]+PV_DATA[[#This Row],[Customs/Leg3 Assumption]],"n/a")</f>
        <v>46290.180347222224</v>
      </c>
      <c r="BB862" s="465">
        <f>YEAR(PV_DATA[[#This Row],[ETA for New Ark update]])</f>
        <v>2026</v>
      </c>
      <c r="BC862" s="913">
        <f>MONTH(PV_DATA[[#This Row],[ETA for New Ark update]])</f>
        <v>9</v>
      </c>
      <c r="BD862" s="913">
        <f>IFERROR(_xlfn.ISOWEEKNUM(PV_DATA[[#This Row],[ETA for New Ark update]]),0)</f>
        <v>39</v>
      </c>
      <c r="BE862" s="913">
        <f>_xlfn.XLOOKUP(PV_DATA[[#This Row],[New Ark SKU]],Table9[New Ark SKU],Table9[Total PCS per Pallet],,0)</f>
        <v>36</v>
      </c>
      <c r="BF862" s="913">
        <f>_xlfn.XLOOKUP(PV_DATA[[#This Row],[New Ark SKU]],Table9[New Ark SKU],Table9[Total PCS per 40HQ Container],,0)</f>
        <v>936</v>
      </c>
      <c r="BG862" s="913" t="str">
        <f>_xlfn.XLOOKUP(PV_DATA[[#This Row],[New Ark SKU]],Table9[New Ark SKU],Table9[Back Glass],,0)</f>
        <v>Black glazing</v>
      </c>
      <c r="BH862" s="917" t="str">
        <f>_xlfn.XLOOKUP(PV_DATA[[#This Row],[PORT DESTINATION]],Table12[PORT DESTINATION],Table12[Cosco Line],,0)</f>
        <v>AEU</v>
      </c>
    </row>
    <row r="863" spans="1:60" s="462" customFormat="1" ht="10.5" hidden="1">
      <c r="A863" s="462" t="s">
        <v>6013</v>
      </c>
      <c r="B863" s="462" t="s">
        <v>111</v>
      </c>
      <c r="C863" s="462" t="str">
        <f>IFERROR(LEFT(PV_DATA[[#This Row],[TCL REFERENCE]],FIND(".",PV_DATA[[#This Row],[TCL REFERENCE]],1)-1),"Main Line")</f>
        <v>26Jun015</v>
      </c>
      <c r="D863" s="462" t="s">
        <v>63</v>
      </c>
      <c r="E863" s="462" t="s">
        <v>144</v>
      </c>
      <c r="F863" s="462" t="str" cm="1">
        <f t="array" ref="F86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863" s="462" t="s">
        <v>402</v>
      </c>
      <c r="H863" s="462" t="s">
        <v>1080</v>
      </c>
      <c r="I863" s="462" t="s">
        <v>689</v>
      </c>
      <c r="J863" s="462" t="s">
        <v>1080</v>
      </c>
      <c r="K863" s="462" t="s">
        <v>5408</v>
      </c>
      <c r="L863" s="462">
        <v>5</v>
      </c>
      <c r="M863" s="462" t="s">
        <v>4976</v>
      </c>
      <c r="N863" s="712">
        <v>46202</v>
      </c>
      <c r="O863" s="462" t="s">
        <v>5388</v>
      </c>
      <c r="P863" s="462" t="s">
        <v>5409</v>
      </c>
      <c r="Q863" s="462" t="s">
        <v>5410</v>
      </c>
      <c r="R863" s="430" t="str">
        <f>_xlfn.XLOOKUP(PV_DATA[[#This Row],[New Ark SKU]],Table9[New Ark SKU],Table9[Connector],,0)</f>
        <v>EVO2A</v>
      </c>
      <c r="S863" s="433" t="str">
        <f>_xlfn.XLOOKUP(PV_DATA[[#This Row],[New Ark SKU]],Table9[New Ark SKU],Table9[Cable],,0)</f>
        <v>±1200mm</v>
      </c>
      <c r="T863" s="936">
        <v>465</v>
      </c>
      <c r="U863" s="1069">
        <v>936</v>
      </c>
      <c r="V863" s="458">
        <f>PV_DATA[[#This Row],[QUANTITY]]*PV_DATA[[#This Row],[WATT]]/1000000</f>
        <v>0.43524000000000002</v>
      </c>
      <c r="W863" s="714">
        <f>PV_DATA[[#This Row],[QUANTITY]]/PV_DATA[[#This Row],[Qty/Pallet]]</f>
        <v>26</v>
      </c>
      <c r="X863" s="1017">
        <f>PV_DATA[[#This Row],[QUANTITY]]/PV_DATA[[#This Row],[Qty/CT]]</f>
        <v>1</v>
      </c>
      <c r="Y863" s="462" t="s">
        <v>4376</v>
      </c>
      <c r="Z863" s="462" t="str">
        <f t="shared" si="10"/>
        <v>COMPLETED</v>
      </c>
      <c r="AA863" s="462" t="s">
        <v>5862</v>
      </c>
      <c r="AB863" s="713">
        <v>46248</v>
      </c>
      <c r="AC863" s="937">
        <f>IF(PV_DATA[[#This Row],[Pick-Up Date]]&lt;&gt;"",_xlfn.ISOWEEKNUM(PV_DATA[[#This Row],[Pick-Up Date]]),"")</f>
        <v>33</v>
      </c>
      <c r="AD863" s="462" t="s">
        <v>6014</v>
      </c>
      <c r="AE863" s="462" t="s">
        <v>6014</v>
      </c>
      <c r="AF863" s="462" t="s">
        <v>122</v>
      </c>
      <c r="AG863" s="462" t="s">
        <v>123</v>
      </c>
      <c r="AH863" s="462" t="s">
        <v>105</v>
      </c>
      <c r="AI863" s="713">
        <v>46253</v>
      </c>
      <c r="AJ863" s="713"/>
      <c r="AK863" s="437">
        <f>IFERROR(IF(VLOOKUP(AT863,Vessel!A:F,5,FALSE)=0,"",VLOOKUP(AT863,Vessel!A:F,5,FALSE)),"")</f>
        <v>46254.231863425928</v>
      </c>
      <c r="AL863" s="713">
        <v>46287</v>
      </c>
      <c r="AM863" s="939">
        <f>IFERROR(VLOOKUP(AT863, Vessel!A:H, 8, FALSE), "")</f>
        <v>46289.958333333336</v>
      </c>
      <c r="AN863" s="939">
        <f>IFERROR(IF(VLOOKUP(AT863,Vessel!A:I,9,FALSE)=0,"",VLOOKUP(AT863,Vessel!A:I,9,FALSE)),"")</f>
        <v>46290.180347222224</v>
      </c>
      <c r="AP863" s="462" t="s">
        <v>5961</v>
      </c>
      <c r="AQ863" s="462" t="s">
        <v>80</v>
      </c>
      <c r="AR863" s="462" t="s">
        <v>6015</v>
      </c>
      <c r="AS863" s="462" t="s">
        <v>6012</v>
      </c>
      <c r="AT863" s="462" t="s">
        <v>6012</v>
      </c>
      <c r="AU86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35.948483796295477</v>
      </c>
      <c r="AV863" s="462" t="s">
        <v>2493</v>
      </c>
      <c r="AW863" s="713" cm="1">
        <f t="array" ref="AW86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46290.180347222224</v>
      </c>
      <c r="AX86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863" s="713">
        <f>IF(ISERROR(PV_DATA[[#This Row],[New Ark PO status]]),"",_xlfn.XLOOKUP(PV_DATA[[#This Row],[SPTN-PVHK New Ark PO'#]],New_Ark_Data[Purchase order Number],New_Ark_Data[Estimated time of arrival],"",0))</f>
        <v>46287</v>
      </c>
      <c r="AZ863" s="936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863" s="713">
        <f>IFERROR(PV_DATA[[#This Row],[ODP ETA Port]]+PV_DATA[[#This Row],[Customs/Leg3 Assumption]],"n/a")</f>
        <v>46290.180347222224</v>
      </c>
      <c r="BB863" s="936">
        <f>YEAR(PV_DATA[[#This Row],[ETA for New Ark update]])</f>
        <v>2026</v>
      </c>
      <c r="BC863" s="462">
        <f>MONTH(PV_DATA[[#This Row],[ETA for New Ark update]])</f>
        <v>9</v>
      </c>
      <c r="BD863" s="462">
        <f>IFERROR(_xlfn.ISOWEEKNUM(PV_DATA[[#This Row],[ETA for New Ark update]]),0)</f>
        <v>39</v>
      </c>
      <c r="BE863" s="462">
        <f>_xlfn.XLOOKUP(PV_DATA[[#This Row],[New Ark SKU]],Table9[New Ark SKU],Table9[Total PCS per Pallet],,0)</f>
        <v>36</v>
      </c>
      <c r="BF863" s="462">
        <f>_xlfn.XLOOKUP(PV_DATA[[#This Row],[New Ark SKU]],Table9[New Ark SKU],Table9[Total PCS per 40HQ Container],,0)</f>
        <v>936</v>
      </c>
      <c r="BG863" s="462" t="str">
        <f>_xlfn.XLOOKUP(PV_DATA[[#This Row],[New Ark SKU]],Table9[New Ark SKU],Table9[Back Glass],,0)</f>
        <v>Black glazing</v>
      </c>
      <c r="BH863" s="938" t="str">
        <f>_xlfn.XLOOKUP(PV_DATA[[#This Row],[PORT DESTINATION]],Table12[PORT DESTINATION],Table12[Cosco Line],,0)</f>
        <v>AEU</v>
      </c>
    </row>
    <row r="864" spans="1:60" s="462" customFormat="1" ht="10.5" hidden="1">
      <c r="A864" s="462" t="s">
        <v>6016</v>
      </c>
      <c r="B864" s="462" t="s">
        <v>111</v>
      </c>
      <c r="C864" s="462" t="str">
        <f>IFERROR(LEFT(PV_DATA[[#This Row],[TCL REFERENCE]],FIND(".",PV_DATA[[#This Row],[TCL REFERENCE]],1)-1),"Main Line")</f>
        <v>26May013</v>
      </c>
      <c r="D864" s="462" t="s">
        <v>63</v>
      </c>
      <c r="E864" s="462" t="s">
        <v>64</v>
      </c>
      <c r="F864" s="462" t="str" cm="1">
        <f t="array" ref="F86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64" s="462" t="s">
        <v>402</v>
      </c>
      <c r="H864" s="713" t="s">
        <v>67</v>
      </c>
      <c r="I864" s="462" t="s">
        <v>689</v>
      </c>
      <c r="J864" s="462" t="s">
        <v>96</v>
      </c>
      <c r="K864" s="1049"/>
      <c r="L864" s="1049"/>
      <c r="M864" s="462" t="s">
        <v>68</v>
      </c>
      <c r="N864" s="712">
        <v>46181</v>
      </c>
      <c r="O864" s="462" t="s">
        <v>4540</v>
      </c>
      <c r="P864" s="462" t="s">
        <v>5050</v>
      </c>
      <c r="Q864" s="462" t="s">
        <v>1807</v>
      </c>
      <c r="R864" s="430" t="str">
        <f>_xlfn.XLOOKUP(PV_DATA[[#This Row],[New Ark SKU]],Table9[New Ark SKU],Table9[Connector],,0)</f>
        <v>H4(Com)</v>
      </c>
      <c r="S864" s="433" t="str">
        <f>_xlfn.XLOOKUP(PV_DATA[[#This Row],[New Ark SKU]],Table9[New Ark SKU],Table9[Cable],,0)</f>
        <v>+400mm/-200mm</v>
      </c>
      <c r="T864" s="936">
        <v>720</v>
      </c>
      <c r="U864" s="1069">
        <f>594*9</f>
        <v>5346</v>
      </c>
      <c r="V864" s="957">
        <f>PV_DATA[[#This Row],[QUANTITY]]*PV_DATA[[#This Row],[WATT]]/1000000</f>
        <v>3.8491200000000001</v>
      </c>
      <c r="W864" s="714">
        <f>PV_DATA[[#This Row],[QUANTITY]]/PV_DATA[[#This Row],[Qty/Pallet]]</f>
        <v>162</v>
      </c>
      <c r="X864" s="1017">
        <f>PV_DATA[[#This Row],[QUANTITY]]/PV_DATA[[#This Row],[Qty/CT]]</f>
        <v>9</v>
      </c>
      <c r="Y864" s="462" t="s">
        <v>4371</v>
      </c>
      <c r="Z864" s="462" t="str">
        <f t="shared" si="10"/>
        <v>COMPLETED</v>
      </c>
      <c r="AA864" s="462" t="s">
        <v>5403</v>
      </c>
      <c r="AB864" s="713">
        <v>46249</v>
      </c>
      <c r="AC864" s="937">
        <f>IF(PV_DATA[[#This Row],[Pick-Up Date]]&lt;&gt;"",_xlfn.ISOWEEKNUM(PV_DATA[[#This Row],[Pick-Up Date]]),"")</f>
        <v>33</v>
      </c>
      <c r="AD864" s="714" t="s">
        <v>6017</v>
      </c>
      <c r="AE864" s="714" t="s">
        <v>6017</v>
      </c>
      <c r="AF864" s="462" t="s">
        <v>122</v>
      </c>
      <c r="AG864" s="462" t="s">
        <v>123</v>
      </c>
      <c r="AH864" s="462" t="s">
        <v>105</v>
      </c>
      <c r="AI864" s="713">
        <v>46253</v>
      </c>
      <c r="AJ864" s="713"/>
      <c r="AK864" s="437">
        <f>IFERROR(IF(VLOOKUP(AT864,Vessel!A:F,5,FALSE)=0,"",VLOOKUP(AT864,Vessel!A:F,5,FALSE)),"")</f>
        <v>46253.207060185188</v>
      </c>
      <c r="AL864" s="713">
        <v>46287</v>
      </c>
      <c r="AM864" s="939">
        <f>IFERROR(VLOOKUP(AT864, Vessel!A:H, 8, FALSE), "")</f>
        <v>46298.333333333336</v>
      </c>
      <c r="AN864" s="939">
        <v>46298</v>
      </c>
      <c r="AP864" s="462" t="s">
        <v>5961</v>
      </c>
      <c r="AQ864" s="462" t="s">
        <v>80</v>
      </c>
      <c r="AR864" s="462" t="s">
        <v>6018</v>
      </c>
      <c r="AS864" s="462" t="s">
        <v>6019</v>
      </c>
      <c r="AT864" s="462" t="s">
        <v>6019</v>
      </c>
      <c r="AU86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44.792939814811689</v>
      </c>
      <c r="AV864" s="713"/>
      <c r="AW864" s="713" cm="1">
        <f t="array" ref="AW86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46298</v>
      </c>
      <c r="AX86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64" s="713">
        <f>IF(ISERROR(PV_DATA[[#This Row],[New Ark PO status]]),"",_xlfn.XLOOKUP(PV_DATA[[#This Row],[SPTN-PVHK New Ark PO'#]],New_Ark_Data[Purchase order Number],New_Ark_Data[Estimated time of arrival],"",0))</f>
        <v>46311</v>
      </c>
      <c r="AZ864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64" s="713">
        <f>IFERROR(PV_DATA[[#This Row],[ODP ETA Port]]+PV_DATA[[#This Row],[Customs/Leg3 Assumption]],"n/a")</f>
        <v>46305</v>
      </c>
      <c r="BB864" s="936">
        <f>YEAR(PV_DATA[[#This Row],[ETA for New Ark update]])</f>
        <v>2026</v>
      </c>
      <c r="BC864" s="462">
        <f>MONTH(PV_DATA[[#This Row],[ETA for New Ark update]])</f>
        <v>10</v>
      </c>
      <c r="BD864" s="462">
        <f>IFERROR(_xlfn.ISOWEEKNUM(PV_DATA[[#This Row],[ETA for New Ark update]]),0)</f>
        <v>41</v>
      </c>
      <c r="BE864" s="462">
        <f>_xlfn.XLOOKUP(PV_DATA[[#This Row],[New Ark SKU]],Table9[New Ark SKU],Table9[Total PCS per Pallet],,0)</f>
        <v>33</v>
      </c>
      <c r="BF864" s="462">
        <f>_xlfn.XLOOKUP(PV_DATA[[#This Row],[New Ark SKU]],Table9[New Ark SKU],Table9[Total PCS per 40HQ Container],,0)</f>
        <v>594</v>
      </c>
      <c r="BG864" s="462" t="str">
        <f>_xlfn.XLOOKUP(PV_DATA[[#This Row],[New Ark SKU]],Table9[New Ark SKU],Table9[Back Glass],,0)</f>
        <v>Transparent</v>
      </c>
      <c r="BH864" s="462" t="str">
        <f>_xlfn.XLOOKUP(PV_DATA[[#This Row],[PORT DESTINATION]],Table12[PORT DESTINATION],Table12[Cosco Line],,0)</f>
        <v>AEU</v>
      </c>
    </row>
    <row r="865" spans="1:62" s="462" customFormat="1" ht="10.5" hidden="1">
      <c r="A865" s="462" t="s">
        <v>6020</v>
      </c>
      <c r="B865" s="462" t="s">
        <v>111</v>
      </c>
      <c r="C865" s="462" t="str">
        <f>IFERROR(LEFT(PV_DATA[[#This Row],[TCL REFERENCE]],FIND(".",PV_DATA[[#This Row],[TCL REFERENCE]],1)-1),"Main Line")</f>
        <v>26Jul002</v>
      </c>
      <c r="D865" s="462" t="s">
        <v>63</v>
      </c>
      <c r="E865" s="462" t="s">
        <v>64</v>
      </c>
      <c r="F865" s="462" t="str" cm="1">
        <f t="array" ref="F86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65" s="462" t="s">
        <v>402</v>
      </c>
      <c r="H865" s="462" t="s">
        <v>67</v>
      </c>
      <c r="I865" s="462" t="s">
        <v>882</v>
      </c>
      <c r="J865" s="462" t="s">
        <v>96</v>
      </c>
      <c r="M865" s="462" t="s">
        <v>68</v>
      </c>
      <c r="N865" s="712">
        <v>46209</v>
      </c>
      <c r="O865" s="462" t="s">
        <v>550</v>
      </c>
      <c r="P865" s="462" t="s">
        <v>2134</v>
      </c>
      <c r="Q865" s="462" t="s">
        <v>2135</v>
      </c>
      <c r="R865" s="430" t="str">
        <f>_xlfn.XLOOKUP(PV_DATA[[#This Row],[New Ark SKU]],Table9[New Ark SKU],Table9[Connector],,0)</f>
        <v>EVO2A</v>
      </c>
      <c r="S865" s="433" t="str">
        <f>_xlfn.XLOOKUP(PV_DATA[[#This Row],[New Ark SKU]],Table9[New Ark SKU],Table9[Cable],,0)</f>
        <v>±1350mm</v>
      </c>
      <c r="T865" s="936">
        <v>515</v>
      </c>
      <c r="U865" s="1069">
        <f>792*5</f>
        <v>3960</v>
      </c>
      <c r="V865" s="458">
        <f>PV_DATA[[#This Row],[QUANTITY]]*PV_DATA[[#This Row],[WATT]]/1000000</f>
        <v>2.0394000000000001</v>
      </c>
      <c r="W865" s="714">
        <f>PV_DATA[[#This Row],[QUANTITY]]/PV_DATA[[#This Row],[Qty/Pallet]]</f>
        <v>110</v>
      </c>
      <c r="X865" s="1017">
        <f>PV_DATA[[#This Row],[QUANTITY]]/PV_DATA[[#This Row],[Qty/CT]]</f>
        <v>5</v>
      </c>
      <c r="Y865" s="462" t="s">
        <v>4375</v>
      </c>
      <c r="Z865" s="462" t="str">
        <f t="shared" si="10"/>
        <v>COMPLETED</v>
      </c>
      <c r="AA865" s="462" t="s">
        <v>5862</v>
      </c>
      <c r="AB865" s="713">
        <v>46249</v>
      </c>
      <c r="AC865" s="937">
        <f>IF(PV_DATA[[#This Row],[Pick-Up Date]]&lt;&gt;"",_xlfn.ISOWEEKNUM(PV_DATA[[#This Row],[Pick-Up Date]]),"")</f>
        <v>33</v>
      </c>
      <c r="AD865" s="462" t="s">
        <v>6021</v>
      </c>
      <c r="AE865" s="462" t="s">
        <v>6021</v>
      </c>
      <c r="AF865" s="462" t="s">
        <v>122</v>
      </c>
      <c r="AG865" s="462" t="s">
        <v>123</v>
      </c>
      <c r="AH865" s="462" t="s">
        <v>105</v>
      </c>
      <c r="AI865" s="713">
        <v>46251</v>
      </c>
      <c r="AJ865" s="713"/>
      <c r="AK865" s="437">
        <f>IFERROR(IF(VLOOKUP(AT865,Vessel!A:F,5,FALSE)=0,"",VLOOKUP(AT865,Vessel!A:F,5,FALSE)),"")</f>
        <v>46254.231863425928</v>
      </c>
      <c r="AL865" s="1078">
        <v>46288</v>
      </c>
      <c r="AM865" s="1127">
        <f>IFERROR(VLOOKUP(AT865, Vessel!A:H, 8, FALSE), "")</f>
        <v>46289.958333333336</v>
      </c>
      <c r="AN865" s="939">
        <f>IFERROR(IF(VLOOKUP(AT865,Vessel!A:I,9,FALSE)=0,"",VLOOKUP(AT865,Vessel!A:I,9,FALSE)),"")</f>
        <v>46290.180347222224</v>
      </c>
      <c r="AP865" s="462" t="s">
        <v>6022</v>
      </c>
      <c r="AQ865" s="940" t="s">
        <v>80</v>
      </c>
      <c r="AR865" s="462" t="s">
        <v>6023</v>
      </c>
      <c r="AS865" s="462" t="s">
        <v>6024</v>
      </c>
      <c r="AT865" s="462" t="s">
        <v>6024</v>
      </c>
      <c r="AU86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35.948483796295477</v>
      </c>
      <c r="AW865" s="713" cm="1">
        <f t="array" ref="AW86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46290.180347222224</v>
      </c>
      <c r="AX86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65" s="713">
        <f>IF(ISERROR(PV_DATA[[#This Row],[New Ark PO status]]),"",_xlfn.XLOOKUP(PV_DATA[[#This Row],[SPTN-PVHK New Ark PO'#]],New_Ark_Data[Purchase order Number],New_Ark_Data[Estimated time of arrival],"",0))</f>
        <v>46303</v>
      </c>
      <c r="AZ865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65" s="713">
        <f>IFERROR(PV_DATA[[#This Row],[ODP ETA Port]]+PV_DATA[[#This Row],[Customs/Leg3 Assumption]],"n/a")</f>
        <v>46297.180347222224</v>
      </c>
      <c r="BB865" s="936">
        <f>YEAR(PV_DATA[[#This Row],[ETA for New Ark update]])</f>
        <v>2026</v>
      </c>
      <c r="BC865" s="462">
        <f>MONTH(PV_DATA[[#This Row],[ETA for New Ark update]])</f>
        <v>10</v>
      </c>
      <c r="BD865" s="462">
        <f>IFERROR(_xlfn.ISOWEEKNUM(PV_DATA[[#This Row],[ETA for New Ark update]]),0)</f>
        <v>40</v>
      </c>
      <c r="BE865" s="462">
        <f>_xlfn.XLOOKUP(PV_DATA[[#This Row],[New Ark SKU]],Table9[New Ark SKU],Table9[Total PCS per Pallet],,0)</f>
        <v>36</v>
      </c>
      <c r="BF865" s="462">
        <f>_xlfn.XLOOKUP(PV_DATA[[#This Row],[New Ark SKU]],Table9[New Ark SKU],Table9[Total PCS per 40HQ Container],,0)</f>
        <v>792</v>
      </c>
      <c r="BG865" s="462" t="str">
        <f>_xlfn.XLOOKUP(PV_DATA[[#This Row],[New Ark SKU]],Table9[New Ark SKU],Table9[Back Glass],,0)</f>
        <v>Black glazing</v>
      </c>
      <c r="BH865" s="462" t="str">
        <f>_xlfn.XLOOKUP(PV_DATA[[#This Row],[PORT DESTINATION]],Table12[PORT DESTINATION],Table12[Cosco Line],,0)</f>
        <v>AEU</v>
      </c>
    </row>
    <row r="866" spans="1:62" s="462" customFormat="1" ht="21" hidden="1">
      <c r="A866" s="462" t="s">
        <v>6025</v>
      </c>
      <c r="B866" s="462" t="s">
        <v>111</v>
      </c>
      <c r="C866" s="462" t="str">
        <f>IFERROR(LEFT(PV_DATA[[#This Row],[TCL REFERENCE]],FIND(".",PV_DATA[[#This Row],[TCL REFERENCE]],1)-1),"Main Line")</f>
        <v>26Jul002</v>
      </c>
      <c r="D866" s="462" t="s">
        <v>63</v>
      </c>
      <c r="E866" s="462" t="s">
        <v>64</v>
      </c>
      <c r="F866" s="462" t="str" cm="1">
        <f t="array" ref="F86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66" s="462" t="s">
        <v>402</v>
      </c>
      <c r="H866" s="462" t="s">
        <v>67</v>
      </c>
      <c r="I866" s="462" t="s">
        <v>689</v>
      </c>
      <c r="J866" s="462" t="s">
        <v>96</v>
      </c>
      <c r="M866" s="462" t="s">
        <v>68</v>
      </c>
      <c r="N866" s="712">
        <v>46209</v>
      </c>
      <c r="O866" s="462" t="s">
        <v>550</v>
      </c>
      <c r="P866" s="462" t="s">
        <v>2134</v>
      </c>
      <c r="Q866" s="462" t="s">
        <v>2135</v>
      </c>
      <c r="R866" s="430" t="str">
        <f>_xlfn.XLOOKUP(PV_DATA[[#This Row],[New Ark SKU]],Table9[New Ark SKU],Table9[Connector],,0)</f>
        <v>EVO2A</v>
      </c>
      <c r="S866" s="433" t="str">
        <f>_xlfn.XLOOKUP(PV_DATA[[#This Row],[New Ark SKU]],Table9[New Ark SKU],Table9[Cable],,0)</f>
        <v>±1350mm</v>
      </c>
      <c r="T866" s="936">
        <v>515</v>
      </c>
      <c r="U866" s="1069">
        <f>792*2</f>
        <v>1584</v>
      </c>
      <c r="V866" s="458">
        <f>PV_DATA[[#This Row],[QUANTITY]]*PV_DATA[[#This Row],[WATT]]/1000000</f>
        <v>0.81576000000000004</v>
      </c>
      <c r="W866" s="714">
        <f>PV_DATA[[#This Row],[QUANTITY]]/PV_DATA[[#This Row],[Qty/Pallet]]</f>
        <v>44</v>
      </c>
      <c r="X866" s="1017">
        <f>PV_DATA[[#This Row],[QUANTITY]]/PV_DATA[[#This Row],[Qty/CT]]</f>
        <v>2</v>
      </c>
      <c r="Y866" s="462" t="s">
        <v>4374</v>
      </c>
      <c r="Z866" s="462" t="str">
        <f t="shared" si="10"/>
        <v>COMPLETED</v>
      </c>
      <c r="AA866" s="462" t="s">
        <v>5862</v>
      </c>
      <c r="AB866" s="713">
        <v>46242</v>
      </c>
      <c r="AC866" s="937">
        <f>IF(PV_DATA[[#This Row],[Pick-Up Date]]&lt;&gt;"",_xlfn.ISOWEEKNUM(PV_DATA[[#This Row],[Pick-Up Date]]),"")</f>
        <v>32</v>
      </c>
      <c r="AD866" s="462" t="s">
        <v>6026</v>
      </c>
      <c r="AF866" s="462" t="s">
        <v>122</v>
      </c>
      <c r="AG866" s="462" t="s">
        <v>123</v>
      </c>
      <c r="AH866" s="462" t="s">
        <v>105</v>
      </c>
      <c r="AI866" s="713">
        <v>46250</v>
      </c>
      <c r="AJ866" s="713">
        <v>46250</v>
      </c>
      <c r="AK866" s="1024">
        <v>46248</v>
      </c>
      <c r="AL866" s="1078">
        <v>46298</v>
      </c>
      <c r="AM866" s="1125">
        <f>IFERROR(VLOOKUP(AT866, Vessel!A:H, 8, FALSE), "")</f>
        <v>46284.875</v>
      </c>
      <c r="AN866" s="939">
        <f>IFERROR(IF(VLOOKUP(AT866,Vessel!A:I,9,FALSE)=0,"",VLOOKUP(AT866,Vessel!A:I,9,FALSE)),"")</f>
        <v>46285.134953703702</v>
      </c>
      <c r="AP866" s="960" t="s">
        <v>6027</v>
      </c>
      <c r="AQ866" s="462" t="s">
        <v>80</v>
      </c>
      <c r="AR866" s="462" t="s">
        <v>6028</v>
      </c>
      <c r="AS866" s="462" t="s">
        <v>6029</v>
      </c>
      <c r="AT866" s="462" t="s">
        <v>6029</v>
      </c>
      <c r="AU86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37.134953703702195</v>
      </c>
      <c r="AW866" s="713" cm="1">
        <f t="array" ref="AW86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46285.134953703702</v>
      </c>
      <c r="AX86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66" s="713">
        <f>IF(ISERROR(PV_DATA[[#This Row],[New Ark PO status]]),"",_xlfn.XLOOKUP(PV_DATA[[#This Row],[SPTN-PVHK New Ark PO'#]],New_Ark_Data[Purchase order Number],New_Ark_Data[Estimated time of arrival],"",0))</f>
        <v>46303</v>
      </c>
      <c r="AZ866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66" s="713">
        <f>IFERROR(PV_DATA[[#This Row],[ODP ETA Port]]+PV_DATA[[#This Row],[Customs/Leg3 Assumption]],"n/a")</f>
        <v>46292.134953703702</v>
      </c>
      <c r="BB866" s="936">
        <f>YEAR(PV_DATA[[#This Row],[ETA for New Ark update]])</f>
        <v>2026</v>
      </c>
      <c r="BC866" s="462">
        <f>MONTH(PV_DATA[[#This Row],[ETA for New Ark update]])</f>
        <v>9</v>
      </c>
      <c r="BD866" s="462">
        <f>IFERROR(_xlfn.ISOWEEKNUM(PV_DATA[[#This Row],[ETA for New Ark update]]),0)</f>
        <v>39</v>
      </c>
      <c r="BE866" s="462">
        <f>_xlfn.XLOOKUP(PV_DATA[[#This Row],[New Ark SKU]],Table9[New Ark SKU],Table9[Total PCS per Pallet],,0)</f>
        <v>36</v>
      </c>
      <c r="BF866" s="462">
        <f>_xlfn.XLOOKUP(PV_DATA[[#This Row],[New Ark SKU]],Table9[New Ark SKU],Table9[Total PCS per 40HQ Container],,0)</f>
        <v>792</v>
      </c>
      <c r="BG866" s="462" t="str">
        <f>_xlfn.XLOOKUP(PV_DATA[[#This Row],[New Ark SKU]],Table9[New Ark SKU],Table9[Back Glass],,0)</f>
        <v>Black glazing</v>
      </c>
      <c r="BH866" s="462" t="str">
        <f>_xlfn.XLOOKUP(PV_DATA[[#This Row],[PORT DESTINATION]],Table12[PORT DESTINATION],Table12[Cosco Line],,0)</f>
        <v>AEU</v>
      </c>
    </row>
    <row r="867" spans="1:62" s="462" customFormat="1" ht="10.5" hidden="1">
      <c r="A867" s="462" t="s">
        <v>6030</v>
      </c>
      <c r="B867" s="462" t="s">
        <v>111</v>
      </c>
      <c r="C867" s="462" t="str">
        <f>IFERROR(LEFT(PV_DATA[[#This Row],[TCL REFERENCE]],FIND(".",PV_DATA[[#This Row],[TCL REFERENCE]],1)-1),"Main Line")</f>
        <v>26Jul004</v>
      </c>
      <c r="D867" s="462" t="s">
        <v>63</v>
      </c>
      <c r="E867" s="462" t="s">
        <v>64</v>
      </c>
      <c r="F867" s="462" t="str" cm="1">
        <f t="array" ref="F86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67" s="462" t="s">
        <v>402</v>
      </c>
      <c r="H867" s="462" t="s">
        <v>67</v>
      </c>
      <c r="I867" s="462" t="s">
        <v>882</v>
      </c>
      <c r="J867" s="462" t="s">
        <v>96</v>
      </c>
      <c r="M867" s="462" t="s">
        <v>68</v>
      </c>
      <c r="N867" s="712">
        <v>46223</v>
      </c>
      <c r="O867" s="462" t="s">
        <v>132</v>
      </c>
      <c r="P867" s="462" t="s">
        <v>1062</v>
      </c>
      <c r="Q867" s="462" t="s">
        <v>1063</v>
      </c>
      <c r="R867" s="430" t="str">
        <f>_xlfn.XLOOKUP(PV_DATA[[#This Row],[New Ark SKU]],Table9[New Ark SKU],Table9[Connector],,0)</f>
        <v>EVO2A</v>
      </c>
      <c r="S867" s="433" t="str">
        <f>_xlfn.XLOOKUP(PV_DATA[[#This Row],[New Ark SKU]],Table9[New Ark SKU],Table9[Cable],,0)</f>
        <v>±1200mm</v>
      </c>
      <c r="T867" s="936">
        <v>470</v>
      </c>
      <c r="U867" s="1069">
        <f>864*3</f>
        <v>2592</v>
      </c>
      <c r="V867" s="458">
        <f>PV_DATA[[#This Row],[QUANTITY]]*PV_DATA[[#This Row],[WATT]]/1000000</f>
        <v>1.21824</v>
      </c>
      <c r="W867" s="714">
        <f>PV_DATA[[#This Row],[QUANTITY]]/PV_DATA[[#This Row],[Qty/Pallet]]</f>
        <v>72</v>
      </c>
      <c r="X867" s="1017">
        <f>PV_DATA[[#This Row],[QUANTITY]]/PV_DATA[[#This Row],[Qty/CT]]</f>
        <v>3</v>
      </c>
      <c r="Y867" s="462" t="s">
        <v>4377</v>
      </c>
      <c r="Z867" s="462" t="str">
        <f t="shared" si="10"/>
        <v>COMPLETED</v>
      </c>
      <c r="AA867" s="462" t="s">
        <v>6031</v>
      </c>
      <c r="AB867" s="713">
        <v>46242</v>
      </c>
      <c r="AC867" s="937">
        <f>IF(PV_DATA[[#This Row],[Pick-Up Date]]&lt;&gt;"",_xlfn.ISOWEEKNUM(PV_DATA[[#This Row],[Pick-Up Date]]),"")</f>
        <v>32</v>
      </c>
      <c r="AD867" s="462" t="s">
        <v>6032</v>
      </c>
      <c r="AF867" s="462" t="s">
        <v>122</v>
      </c>
      <c r="AG867" s="462" t="s">
        <v>123</v>
      </c>
      <c r="AH867" s="462" t="s">
        <v>105</v>
      </c>
      <c r="AI867" s="713">
        <v>46250</v>
      </c>
      <c r="AJ867" s="713">
        <v>46250</v>
      </c>
      <c r="AK867" s="437">
        <v>46248</v>
      </c>
      <c r="AL867" s="713">
        <v>46298</v>
      </c>
      <c r="AM867" s="939">
        <f>IFERROR(VLOOKUP(AT867, Vessel!A:H, 8, FALSE), "")</f>
        <v>46284.875</v>
      </c>
      <c r="AN867" s="939">
        <f>IFERROR(IF(VLOOKUP(AT867,Vessel!A:I,9,FALSE)=0,"",VLOOKUP(AT867,Vessel!A:I,9,FALSE)),"")</f>
        <v>46285.134953703702</v>
      </c>
      <c r="AP867" s="462" t="s">
        <v>6027</v>
      </c>
      <c r="AQ867" s="462" t="s">
        <v>80</v>
      </c>
      <c r="AR867" s="462" t="s">
        <v>6028</v>
      </c>
      <c r="AS867" s="462" t="s">
        <v>6029</v>
      </c>
      <c r="AT867" s="462" t="s">
        <v>6029</v>
      </c>
      <c r="AU86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37.134953703702195</v>
      </c>
      <c r="AW867" s="713" cm="1">
        <f t="array" ref="AW86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46285.134953703702</v>
      </c>
      <c r="AX86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67" s="713">
        <f>IF(ISERROR(PV_DATA[[#This Row],[New Ark PO status]]),"",_xlfn.XLOOKUP(PV_DATA[[#This Row],[SPTN-PVHK New Ark PO'#]],New_Ark_Data[Purchase order Number],New_Ark_Data[Estimated time of arrival],"",0))</f>
        <v>46303</v>
      </c>
      <c r="AZ867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67" s="713">
        <f>IFERROR(PV_DATA[[#This Row],[ODP ETA Port]]+PV_DATA[[#This Row],[Customs/Leg3 Assumption]],"n/a")</f>
        <v>46292.134953703702</v>
      </c>
      <c r="BB867" s="936">
        <f>YEAR(PV_DATA[[#This Row],[ETA for New Ark update]])</f>
        <v>2026</v>
      </c>
      <c r="BC867" s="462">
        <f>MONTH(PV_DATA[[#This Row],[ETA for New Ark update]])</f>
        <v>9</v>
      </c>
      <c r="BD867" s="462">
        <f>IFERROR(_xlfn.ISOWEEKNUM(PV_DATA[[#This Row],[ETA for New Ark update]]),0)</f>
        <v>39</v>
      </c>
      <c r="BE867" s="462">
        <f>_xlfn.XLOOKUP(PV_DATA[[#This Row],[New Ark SKU]],Table9[New Ark SKU],Table9[Total PCS per Pallet],,0)</f>
        <v>36</v>
      </c>
      <c r="BF867" s="462">
        <f>_xlfn.XLOOKUP(PV_DATA[[#This Row],[New Ark SKU]],Table9[New Ark SKU],Table9[Total PCS per 40HQ Container],,0)</f>
        <v>864</v>
      </c>
      <c r="BG867" s="462" t="str">
        <f>_xlfn.XLOOKUP(PV_DATA[[#This Row],[New Ark SKU]],Table9[New Ark SKU],Table9[Back Glass],,0)</f>
        <v>White glazing</v>
      </c>
      <c r="BH867" s="462" t="str">
        <f>_xlfn.XLOOKUP(PV_DATA[[#This Row],[PORT DESTINATION]],Table12[PORT DESTINATION],Table12[Cosco Line],,0)</f>
        <v>AEU</v>
      </c>
    </row>
    <row r="868" spans="1:62" s="462" customFormat="1" ht="10.5" hidden="1">
      <c r="A868" s="462" t="s">
        <v>6033</v>
      </c>
      <c r="B868" s="462" t="s">
        <v>111</v>
      </c>
      <c r="C868" s="462" t="str">
        <f>IFERROR(LEFT(PV_DATA[[#This Row],[TCL REFERENCE]],FIND(".",PV_DATA[[#This Row],[TCL REFERENCE]],1)-1),"Main Line")</f>
        <v>26Jul002</v>
      </c>
      <c r="D868" s="462" t="s">
        <v>63</v>
      </c>
      <c r="E868" s="462" t="s">
        <v>64</v>
      </c>
      <c r="F868" s="462" t="str" cm="1">
        <f t="array" ref="F86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68" s="462" t="s">
        <v>402</v>
      </c>
      <c r="H868" s="462" t="s">
        <v>67</v>
      </c>
      <c r="I868" s="462" t="s">
        <v>689</v>
      </c>
      <c r="J868" s="462" t="s">
        <v>96</v>
      </c>
      <c r="M868" s="462" t="s">
        <v>68</v>
      </c>
      <c r="N868" s="712">
        <v>46209</v>
      </c>
      <c r="O868" s="462" t="s">
        <v>550</v>
      </c>
      <c r="P868" s="462" t="s">
        <v>2134</v>
      </c>
      <c r="Q868" s="462" t="s">
        <v>2135</v>
      </c>
      <c r="R868" s="430" t="str">
        <f>_xlfn.XLOOKUP(PV_DATA[[#This Row],[New Ark SKU]],Table9[New Ark SKU],Table9[Connector],,0)</f>
        <v>EVO2A</v>
      </c>
      <c r="S868" s="433" t="str">
        <f>_xlfn.XLOOKUP(PV_DATA[[#This Row],[New Ark SKU]],Table9[New Ark SKU],Table9[Cable],,0)</f>
        <v>±1350mm</v>
      </c>
      <c r="T868" s="936">
        <v>515</v>
      </c>
      <c r="U868" s="1069">
        <v>1584</v>
      </c>
      <c r="V868" s="458">
        <f>PV_DATA[[#This Row],[QUANTITY]]*PV_DATA[[#This Row],[WATT]]/1000000</f>
        <v>0.81576000000000004</v>
      </c>
      <c r="W868" s="714">
        <f>PV_DATA[[#This Row],[QUANTITY]]/PV_DATA[[#This Row],[Qty/Pallet]]</f>
        <v>44</v>
      </c>
      <c r="X868" s="1017">
        <f>PV_DATA[[#This Row],[QUANTITY]]/PV_DATA[[#This Row],[Qty/CT]]</f>
        <v>2</v>
      </c>
      <c r="Y868" s="462" t="s">
        <v>4376</v>
      </c>
      <c r="Z868" s="462" t="str">
        <f t="shared" si="10"/>
        <v>COMPLETED</v>
      </c>
      <c r="AB868" s="713">
        <v>46242</v>
      </c>
      <c r="AC868" s="937">
        <f>IF(PV_DATA[[#This Row],[Pick-Up Date]]&lt;&gt;"",_xlfn.ISOWEEKNUM(PV_DATA[[#This Row],[Pick-Up Date]]),"")</f>
        <v>32</v>
      </c>
      <c r="AD868" s="462" t="s">
        <v>6034</v>
      </c>
      <c r="AF868" s="462" t="s">
        <v>122</v>
      </c>
      <c r="AG868" s="462" t="s">
        <v>123</v>
      </c>
      <c r="AH868" s="462" t="s">
        <v>105</v>
      </c>
      <c r="AI868" s="713">
        <v>46250</v>
      </c>
      <c r="AJ868" s="713">
        <v>46250</v>
      </c>
      <c r="AK868" s="437">
        <v>46248</v>
      </c>
      <c r="AL868" s="1078">
        <v>46298</v>
      </c>
      <c r="AM868" s="1125">
        <f>IFERROR(VLOOKUP(AT868, Vessel!A:H, 8, FALSE), "")</f>
        <v>46284.875</v>
      </c>
      <c r="AN868" s="939">
        <f>IFERROR(IF(VLOOKUP(AT868,Vessel!A:I,9,FALSE)=0,"",VLOOKUP(AT868,Vessel!A:I,9,FALSE)),"")</f>
        <v>46285.134953703702</v>
      </c>
      <c r="AP868" s="462" t="s">
        <v>6027</v>
      </c>
      <c r="AQ868" s="462" t="s">
        <v>80</v>
      </c>
      <c r="AR868" s="462" t="s">
        <v>6028</v>
      </c>
      <c r="AS868" s="462" t="s">
        <v>6029</v>
      </c>
      <c r="AT868" s="462" t="s">
        <v>6029</v>
      </c>
      <c r="AU86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37.134953703702195</v>
      </c>
      <c r="AW868" s="713" cm="1">
        <f t="array" ref="AW86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46285.134953703702</v>
      </c>
      <c r="AX86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68" s="713">
        <f>IF(ISERROR(PV_DATA[[#This Row],[New Ark PO status]]),"",_xlfn.XLOOKUP(PV_DATA[[#This Row],[SPTN-PVHK New Ark PO'#]],New_Ark_Data[Purchase order Number],New_Ark_Data[Estimated time of arrival],"",0))</f>
        <v>46303</v>
      </c>
      <c r="AZ868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68" s="713">
        <f>IFERROR(PV_DATA[[#This Row],[ODP ETA Port]]+PV_DATA[[#This Row],[Customs/Leg3 Assumption]],"n/a")</f>
        <v>46292.134953703702</v>
      </c>
      <c r="BB868" s="936">
        <f>YEAR(PV_DATA[[#This Row],[ETA for New Ark update]])</f>
        <v>2026</v>
      </c>
      <c r="BC868" s="462">
        <f>MONTH(PV_DATA[[#This Row],[ETA for New Ark update]])</f>
        <v>9</v>
      </c>
      <c r="BD868" s="462">
        <f>IFERROR(_xlfn.ISOWEEKNUM(PV_DATA[[#This Row],[ETA for New Ark update]]),0)</f>
        <v>39</v>
      </c>
      <c r="BE868" s="462">
        <f>_xlfn.XLOOKUP(PV_DATA[[#This Row],[New Ark SKU]],Table9[New Ark SKU],Table9[Total PCS per Pallet],,0)</f>
        <v>36</v>
      </c>
      <c r="BF868" s="462">
        <f>_xlfn.XLOOKUP(PV_DATA[[#This Row],[New Ark SKU]],Table9[New Ark SKU],Table9[Total PCS per 40HQ Container],,0)</f>
        <v>792</v>
      </c>
      <c r="BG868" s="462" t="str">
        <f>_xlfn.XLOOKUP(PV_DATA[[#This Row],[New Ark SKU]],Table9[New Ark SKU],Table9[Back Glass],,0)</f>
        <v>Black glazing</v>
      </c>
      <c r="BH868" s="938" t="str">
        <f>_xlfn.XLOOKUP(PV_DATA[[#This Row],[PORT DESTINATION]],Table12[PORT DESTINATION],Table12[Cosco Line],,0)</f>
        <v>AEU</v>
      </c>
    </row>
    <row r="869" spans="1:62" s="462" customFormat="1" ht="10.5" hidden="1">
      <c r="A869" s="462" t="s">
        <v>6035</v>
      </c>
      <c r="B869" s="462" t="s">
        <v>111</v>
      </c>
      <c r="C869" s="462" t="str">
        <f>IFERROR(LEFT(PV_DATA[[#This Row],[TCL REFERENCE]],FIND(".",PV_DATA[[#This Row],[TCL REFERENCE]],1)-1),"Main Line")</f>
        <v>26May014</v>
      </c>
      <c r="D869" s="462" t="s">
        <v>63</v>
      </c>
      <c r="E869" s="462" t="s">
        <v>64</v>
      </c>
      <c r="F869" s="462" t="str" cm="1">
        <f t="array" ref="F86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69" s="462" t="s">
        <v>402</v>
      </c>
      <c r="H869" s="713" t="s">
        <v>67</v>
      </c>
      <c r="I869" s="462" t="s">
        <v>689</v>
      </c>
      <c r="J869" s="462" t="s">
        <v>96</v>
      </c>
      <c r="K869" s="1049" t="s">
        <v>1451</v>
      </c>
      <c r="L869" s="1049">
        <v>42</v>
      </c>
      <c r="M869" s="462" t="s">
        <v>68</v>
      </c>
      <c r="N869" s="712">
        <v>46181</v>
      </c>
      <c r="O869" s="462" t="s">
        <v>4540</v>
      </c>
      <c r="P869" s="462" t="s">
        <v>5066</v>
      </c>
      <c r="Q869" s="462" t="s">
        <v>1484</v>
      </c>
      <c r="R869" s="430" t="str">
        <f>_xlfn.XLOOKUP(PV_DATA[[#This Row],[New Ark SKU]],Table9[New Ark SKU],Table9[Connector],,0)</f>
        <v>H4(Com)</v>
      </c>
      <c r="S869" s="433" t="str">
        <f>_xlfn.XLOOKUP(PV_DATA[[#This Row],[New Ark SKU]],Table9[New Ark SKU],Table9[Cable],,0)</f>
        <v>+400mm/-200mm</v>
      </c>
      <c r="T869" s="936">
        <v>725</v>
      </c>
      <c r="U869" s="1069">
        <f>594*1</f>
        <v>594</v>
      </c>
      <c r="V869" s="957">
        <f>PV_DATA[[#This Row],[QUANTITY]]*PV_DATA[[#This Row],[WATT]]/1000000</f>
        <v>0.43064999999999998</v>
      </c>
      <c r="W869" s="714">
        <f>PV_DATA[[#This Row],[QUANTITY]]/PV_DATA[[#This Row],[Qty/Pallet]]</f>
        <v>18</v>
      </c>
      <c r="X869" s="1017">
        <f>PV_DATA[[#This Row],[QUANTITY]]/PV_DATA[[#This Row],[Qty/CT]]</f>
        <v>1</v>
      </c>
      <c r="Y869" s="462" t="s">
        <v>4370</v>
      </c>
      <c r="Z869" s="462" t="str">
        <f t="shared" si="10"/>
        <v>COMPLETED</v>
      </c>
      <c r="AA869" s="462" t="s">
        <v>5403</v>
      </c>
      <c r="AB869" s="713">
        <v>46241</v>
      </c>
      <c r="AC869" s="937">
        <f>IF(PV_DATA[[#This Row],[Pick-Up Date]]&lt;&gt;"",_xlfn.ISOWEEKNUM(PV_DATA[[#This Row],[Pick-Up Date]]),"")</f>
        <v>32</v>
      </c>
      <c r="AD869" s="714" t="s">
        <v>6036</v>
      </c>
      <c r="AE869" s="714"/>
      <c r="AF869" s="462" t="s">
        <v>122</v>
      </c>
      <c r="AG869" s="462" t="s">
        <v>123</v>
      </c>
      <c r="AH869" s="462" t="s">
        <v>105</v>
      </c>
      <c r="AI869" s="713">
        <v>46250</v>
      </c>
      <c r="AJ869" s="713">
        <v>46249</v>
      </c>
      <c r="AK869" s="437">
        <v>46248</v>
      </c>
      <c r="AL869" s="713">
        <v>46298</v>
      </c>
      <c r="AM869" s="939">
        <f>IFERROR(VLOOKUP(AT869, Vessel!A:H, 8, FALSE), "")</f>
        <v>46284.875</v>
      </c>
      <c r="AN869" s="939">
        <f>IFERROR(IF(VLOOKUP(AT869,Vessel!A:I,9,FALSE)=0,"",VLOOKUP(AT869,Vessel!A:I,9,FALSE)),"")</f>
        <v>46285.134953703702</v>
      </c>
      <c r="AP869" s="462" t="s">
        <v>6027</v>
      </c>
      <c r="AQ869" s="462" t="s">
        <v>80</v>
      </c>
      <c r="AR869" s="462" t="s">
        <v>6037</v>
      </c>
      <c r="AS869" s="462" t="s">
        <v>6038</v>
      </c>
      <c r="AT869" s="462" t="s">
        <v>6038</v>
      </c>
      <c r="AU86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37.134953703702195</v>
      </c>
      <c r="AV869" s="713"/>
      <c r="AW869" s="713" cm="1">
        <f t="array" ref="AW86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46285.134953703702</v>
      </c>
      <c r="AX86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69" s="713">
        <f>IF(ISERROR(PV_DATA[[#This Row],[New Ark PO status]]),"",_xlfn.XLOOKUP(PV_DATA[[#This Row],[SPTN-PVHK New Ark PO'#]],New_Ark_Data[Purchase order Number],New_Ark_Data[Estimated time of arrival],"",0))</f>
        <v>46300</v>
      </c>
      <c r="AZ869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69" s="713">
        <f>IFERROR(PV_DATA[[#This Row],[ODP ETA Port]]+PV_DATA[[#This Row],[Customs/Leg3 Assumption]],"n/a")</f>
        <v>46292.134953703702</v>
      </c>
      <c r="BB869" s="936">
        <f>YEAR(PV_DATA[[#This Row],[ETA for New Ark update]])</f>
        <v>2026</v>
      </c>
      <c r="BC869" s="462">
        <f>MONTH(PV_DATA[[#This Row],[ETA for New Ark update]])</f>
        <v>9</v>
      </c>
      <c r="BD869" s="462">
        <f>IFERROR(_xlfn.ISOWEEKNUM(PV_DATA[[#This Row],[ETA for New Ark update]]),0)</f>
        <v>39</v>
      </c>
      <c r="BE869" s="462">
        <f>_xlfn.XLOOKUP(PV_DATA[[#This Row],[New Ark SKU]],Table9[New Ark SKU],Table9[Total PCS per Pallet],,0)</f>
        <v>33</v>
      </c>
      <c r="BF869" s="462">
        <f>_xlfn.XLOOKUP(PV_DATA[[#This Row],[New Ark SKU]],Table9[New Ark SKU],Table9[Total PCS per 40HQ Container],,0)</f>
        <v>594</v>
      </c>
      <c r="BG869" s="462" t="str">
        <f>_xlfn.XLOOKUP(PV_DATA[[#This Row],[New Ark SKU]],Table9[New Ark SKU],Table9[Back Glass],,0)</f>
        <v>Transparent</v>
      </c>
      <c r="BH869" s="462" t="str">
        <f>_xlfn.XLOOKUP(PV_DATA[[#This Row],[PORT DESTINATION]],Table12[PORT DESTINATION],Table12[Cosco Line],,0)</f>
        <v>AEU</v>
      </c>
    </row>
    <row r="870" spans="1:62" s="462" customFormat="1" ht="10.5" hidden="1">
      <c r="A870" s="462" t="s">
        <v>6039</v>
      </c>
      <c r="B870" s="462" t="s">
        <v>111</v>
      </c>
      <c r="C870" s="462" t="str">
        <f>IFERROR(LEFT(PV_DATA[[#This Row],[TCL REFERENCE]],FIND(".",PV_DATA[[#This Row],[TCL REFERENCE]],1)-1),"Main Line")</f>
        <v>26May014</v>
      </c>
      <c r="D870" s="462" t="s">
        <v>63</v>
      </c>
      <c r="E870" s="462" t="s">
        <v>64</v>
      </c>
      <c r="F870" s="462" t="str" cm="1">
        <f t="array" ref="F87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70" s="462" t="s">
        <v>402</v>
      </c>
      <c r="H870" s="713" t="s">
        <v>67</v>
      </c>
      <c r="I870" s="462" t="s">
        <v>689</v>
      </c>
      <c r="J870" s="462" t="s">
        <v>96</v>
      </c>
      <c r="K870" s="1049" t="s">
        <v>1451</v>
      </c>
      <c r="L870" s="1049">
        <v>53</v>
      </c>
      <c r="M870" s="462" t="s">
        <v>68</v>
      </c>
      <c r="N870" s="712">
        <v>46181</v>
      </c>
      <c r="O870" s="462" t="s">
        <v>4540</v>
      </c>
      <c r="P870" s="462" t="s">
        <v>5066</v>
      </c>
      <c r="Q870" s="462" t="s">
        <v>1484</v>
      </c>
      <c r="R870" s="430" t="str">
        <f>_xlfn.XLOOKUP(PV_DATA[[#This Row],[New Ark SKU]],Table9[New Ark SKU],Table9[Connector],,0)</f>
        <v>H4(Com)</v>
      </c>
      <c r="S870" s="433" t="str">
        <f>_xlfn.XLOOKUP(PV_DATA[[#This Row],[New Ark SKU]],Table9[New Ark SKU],Table9[Cable],,0)</f>
        <v>+400mm/-200mm</v>
      </c>
      <c r="T870" s="936">
        <v>725</v>
      </c>
      <c r="U870" s="1069">
        <v>594</v>
      </c>
      <c r="V870" s="957">
        <f>PV_DATA[[#This Row],[QUANTITY]]*PV_DATA[[#This Row],[WATT]]/1000000</f>
        <v>0.43064999999999998</v>
      </c>
      <c r="W870" s="714">
        <f>PV_DATA[[#This Row],[QUANTITY]]/PV_DATA[[#This Row],[Qty/Pallet]]</f>
        <v>18</v>
      </c>
      <c r="X870" s="1017">
        <f>PV_DATA[[#This Row],[QUANTITY]]/PV_DATA[[#This Row],[Qty/CT]]</f>
        <v>1</v>
      </c>
      <c r="Y870" s="462" t="s">
        <v>4371</v>
      </c>
      <c r="Z870" s="462" t="str">
        <f t="shared" si="10"/>
        <v>COMPLETED</v>
      </c>
      <c r="AA870" s="462" t="s">
        <v>5403</v>
      </c>
      <c r="AB870" s="713">
        <v>46241</v>
      </c>
      <c r="AC870" s="937">
        <f>IF(PV_DATA[[#This Row],[Pick-Up Date]]&lt;&gt;"",_xlfn.ISOWEEKNUM(PV_DATA[[#This Row],[Pick-Up Date]]),"")</f>
        <v>32</v>
      </c>
      <c r="AD870" s="714" t="s">
        <v>6040</v>
      </c>
      <c r="AE870" s="714"/>
      <c r="AF870" s="462" t="s">
        <v>122</v>
      </c>
      <c r="AG870" s="462" t="s">
        <v>123</v>
      </c>
      <c r="AH870" s="462" t="s">
        <v>105</v>
      </c>
      <c r="AI870" s="713">
        <v>46250</v>
      </c>
      <c r="AJ870" s="713">
        <v>46249</v>
      </c>
      <c r="AK870" s="437">
        <v>46248</v>
      </c>
      <c r="AL870" s="713">
        <v>46298</v>
      </c>
      <c r="AM870" s="939">
        <f>IFERROR(VLOOKUP(AT870, Vessel!A:H, 8, FALSE), "")</f>
        <v>46284.875</v>
      </c>
      <c r="AN870" s="939">
        <f>IFERROR(IF(VLOOKUP(AT870,Vessel!A:I,9,FALSE)=0,"",VLOOKUP(AT870,Vessel!A:I,9,FALSE)),"")</f>
        <v>46285.134953703702</v>
      </c>
      <c r="AP870" s="462" t="s">
        <v>5809</v>
      </c>
      <c r="AQ870" s="462" t="s">
        <v>80</v>
      </c>
      <c r="AR870" s="462" t="s">
        <v>6037</v>
      </c>
      <c r="AS870" s="462" t="s">
        <v>6038</v>
      </c>
      <c r="AT870" s="462" t="s">
        <v>6038</v>
      </c>
      <c r="AU87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37.134953703702195</v>
      </c>
      <c r="AV870" s="713"/>
      <c r="AW870" s="713" cm="1">
        <f t="array" ref="AW87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46285.134953703702</v>
      </c>
      <c r="AX87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70" s="713">
        <f>IF(ISERROR(PV_DATA[[#This Row],[New Ark PO status]]),"",_xlfn.XLOOKUP(PV_DATA[[#This Row],[SPTN-PVHK New Ark PO'#]],New_Ark_Data[Purchase order Number],New_Ark_Data[Estimated time of arrival],"",0))</f>
        <v>46300</v>
      </c>
      <c r="AZ870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70" s="713">
        <f>IFERROR(PV_DATA[[#This Row],[ODP ETA Port]]+PV_DATA[[#This Row],[Customs/Leg3 Assumption]],"n/a")</f>
        <v>46292.134953703702</v>
      </c>
      <c r="BB870" s="936">
        <f>YEAR(PV_DATA[[#This Row],[ETA for New Ark update]])</f>
        <v>2026</v>
      </c>
      <c r="BC870" s="462">
        <f>MONTH(PV_DATA[[#This Row],[ETA for New Ark update]])</f>
        <v>9</v>
      </c>
      <c r="BD870" s="462">
        <f>IFERROR(_xlfn.ISOWEEKNUM(PV_DATA[[#This Row],[ETA for New Ark update]]),0)</f>
        <v>39</v>
      </c>
      <c r="BE870" s="462">
        <f>_xlfn.XLOOKUP(PV_DATA[[#This Row],[New Ark SKU]],Table9[New Ark SKU],Table9[Total PCS per Pallet],,0)</f>
        <v>33</v>
      </c>
      <c r="BF870" s="462">
        <f>_xlfn.XLOOKUP(PV_DATA[[#This Row],[New Ark SKU]],Table9[New Ark SKU],Table9[Total PCS per 40HQ Container],,0)</f>
        <v>594</v>
      </c>
      <c r="BG870" s="462" t="str">
        <f>_xlfn.XLOOKUP(PV_DATA[[#This Row],[New Ark SKU]],Table9[New Ark SKU],Table9[Back Glass],,0)</f>
        <v>Transparent</v>
      </c>
      <c r="BH870" s="462" t="str">
        <f>_xlfn.XLOOKUP(PV_DATA[[#This Row],[PORT DESTINATION]],Table12[PORT DESTINATION],Table12[Cosco Line],,0)</f>
        <v>AEU</v>
      </c>
    </row>
    <row r="871" spans="1:62" s="462" customFormat="1" ht="10.5" hidden="1">
      <c r="A871" s="462" t="s">
        <v>6041</v>
      </c>
      <c r="B871" s="462" t="s">
        <v>111</v>
      </c>
      <c r="C871" s="462" t="str">
        <f>IFERROR(LEFT(PV_DATA[[#This Row],[TCL REFERENCE]],FIND(".",PV_DATA[[#This Row],[TCL REFERENCE]],1)-1),"Main Line")</f>
        <v>26May011</v>
      </c>
      <c r="D871" s="462" t="s">
        <v>63</v>
      </c>
      <c r="E871" s="462" t="s">
        <v>64</v>
      </c>
      <c r="F871" s="462" t="str" cm="1">
        <f t="array" ref="F87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71" s="462" t="s">
        <v>402</v>
      </c>
      <c r="H871" s="713" t="s">
        <v>67</v>
      </c>
      <c r="I871" s="462" t="s">
        <v>689</v>
      </c>
      <c r="J871" s="462" t="s">
        <v>96</v>
      </c>
      <c r="M871" s="462" t="s">
        <v>68</v>
      </c>
      <c r="N871" s="712">
        <v>46167</v>
      </c>
      <c r="O871" s="462" t="s">
        <v>4540</v>
      </c>
      <c r="P871" s="462" t="s">
        <v>4601</v>
      </c>
      <c r="Q871" s="462" t="s">
        <v>330</v>
      </c>
      <c r="R871" s="430" t="str">
        <f>_xlfn.XLOOKUP(PV_DATA[[#This Row],[New Ark SKU]],Table9[New Ark SKU],Table9[Connector],,0)</f>
        <v>H4(Com)</v>
      </c>
      <c r="S871" s="433" t="str">
        <f>_xlfn.XLOOKUP(PV_DATA[[#This Row],[New Ark SKU]],Table9[New Ark SKU],Table9[Cable],,0)</f>
        <v>+400mm/-200mm</v>
      </c>
      <c r="T871" s="936">
        <v>625</v>
      </c>
      <c r="U871" s="1069">
        <f>720*1</f>
        <v>720</v>
      </c>
      <c r="V871" s="957">
        <f>PV_DATA[[#This Row],[QUANTITY]]*PV_DATA[[#This Row],[WATT]]/1000000</f>
        <v>0.45</v>
      </c>
      <c r="W871" s="714">
        <f>PV_DATA[[#This Row],[QUANTITY]]/PV_DATA[[#This Row],[Qty/Pallet]]</f>
        <v>20</v>
      </c>
      <c r="X871" s="1017">
        <f>PV_DATA[[#This Row],[QUANTITY]]/PV_DATA[[#This Row],[Qty/CT]]</f>
        <v>1</v>
      </c>
      <c r="Y871" s="462" t="s">
        <v>4376</v>
      </c>
      <c r="Z871" s="462" t="str">
        <f t="shared" si="10"/>
        <v>COMPLETED</v>
      </c>
      <c r="AA871" s="462" t="s">
        <v>5403</v>
      </c>
      <c r="AB871" s="713">
        <v>46241</v>
      </c>
      <c r="AC871" s="937">
        <f>IF(PV_DATA[[#This Row],[Pick-Up Date]]&lt;&gt;"",_xlfn.ISOWEEKNUM(PV_DATA[[#This Row],[Pick-Up Date]]),"")</f>
        <v>32</v>
      </c>
      <c r="AD871" s="462" t="s">
        <v>6042</v>
      </c>
      <c r="AF871" s="462" t="s">
        <v>122</v>
      </c>
      <c r="AG871" s="462" t="s">
        <v>123</v>
      </c>
      <c r="AH871" s="462" t="s">
        <v>105</v>
      </c>
      <c r="AI871" s="713">
        <v>46250</v>
      </c>
      <c r="AJ871" s="713">
        <v>46249</v>
      </c>
      <c r="AK871" s="437">
        <v>46248</v>
      </c>
      <c r="AL871" s="713">
        <v>46298</v>
      </c>
      <c r="AM871" s="939">
        <f>IFERROR(VLOOKUP(AT871, Vessel!A:H, 8, FALSE), "")</f>
        <v>46284.875</v>
      </c>
      <c r="AN871" s="939">
        <f>IFERROR(IF(VLOOKUP(AT871,Vessel!A:I,9,FALSE)=0,"",VLOOKUP(AT871,Vessel!A:I,9,FALSE)),"")</f>
        <v>46285.134953703702</v>
      </c>
      <c r="AP871" s="462" t="s">
        <v>6027</v>
      </c>
      <c r="AQ871" s="462" t="s">
        <v>80</v>
      </c>
      <c r="AR871" s="462" t="s">
        <v>6037</v>
      </c>
      <c r="AS871" s="462" t="s">
        <v>6038</v>
      </c>
      <c r="AT871" s="462" t="s">
        <v>6038</v>
      </c>
      <c r="AU87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37.134953703702195</v>
      </c>
      <c r="AV871" s="713"/>
      <c r="AW871" s="713" cm="1">
        <f t="array" ref="AW87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46285.134953703702</v>
      </c>
      <c r="AX87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71" s="713">
        <f>IF(ISERROR(PV_DATA[[#This Row],[New Ark PO status]]),"",_xlfn.XLOOKUP(PV_DATA[[#This Row],[SPTN-PVHK New Ark PO'#]],New_Ark_Data[Purchase order Number],New_Ark_Data[Estimated time of arrival],"",0))</f>
        <v>46300</v>
      </c>
      <c r="AZ871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71" s="713">
        <f>IFERROR(PV_DATA[[#This Row],[ODP ETA Port]]+PV_DATA[[#This Row],[Customs/Leg3 Assumption]],"n/a")</f>
        <v>46292.134953703702</v>
      </c>
      <c r="BB871" s="936">
        <f>YEAR(PV_DATA[[#This Row],[ETA for New Ark update]])</f>
        <v>2026</v>
      </c>
      <c r="BC871" s="462">
        <f>MONTH(PV_DATA[[#This Row],[ETA for New Ark update]])</f>
        <v>9</v>
      </c>
      <c r="BD871" s="462">
        <f>IFERROR(_xlfn.ISOWEEKNUM(PV_DATA[[#This Row],[ETA for New Ark update]]),0)</f>
        <v>39</v>
      </c>
      <c r="BE871" s="462">
        <f>_xlfn.XLOOKUP(PV_DATA[[#This Row],[New Ark SKU]],Table9[New Ark SKU],Table9[Total PCS per Pallet],,0)</f>
        <v>36</v>
      </c>
      <c r="BF871" s="462">
        <f>_xlfn.XLOOKUP(PV_DATA[[#This Row],[New Ark SKU]],Table9[New Ark SKU],Table9[Total PCS per 40HQ Container],,0)</f>
        <v>720</v>
      </c>
      <c r="BG871" s="462" t="str">
        <f>_xlfn.XLOOKUP(PV_DATA[[#This Row],[New Ark SKU]],Table9[New Ark SKU],Table9[Back Glass],,0)</f>
        <v>Transparent</v>
      </c>
      <c r="BH871" s="462" t="str">
        <f>_xlfn.XLOOKUP(PV_DATA[[#This Row],[PORT DESTINATION]],Table12[PORT DESTINATION],Table12[Cosco Line],,0)</f>
        <v>AEU</v>
      </c>
    </row>
    <row r="872" spans="1:62" ht="10.5" hidden="1">
      <c r="A872" s="462" t="s">
        <v>6043</v>
      </c>
      <c r="B872" s="462" t="s">
        <v>111</v>
      </c>
      <c r="C872" s="462" t="str">
        <f>IFERROR(LEFT(PV_DATA[[#This Row],[TCL REFERENCE]],FIND(".",PV_DATA[[#This Row],[TCL REFERENCE]],1)-1),"Main Line")</f>
        <v>26May014</v>
      </c>
      <c r="D872" s="462" t="s">
        <v>63</v>
      </c>
      <c r="E872" s="462" t="s">
        <v>64</v>
      </c>
      <c r="F872" s="462" t="str" cm="1">
        <f t="array" ref="F87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72" s="462" t="s">
        <v>402</v>
      </c>
      <c r="H872" s="713" t="s">
        <v>67</v>
      </c>
      <c r="I872" s="462" t="s">
        <v>689</v>
      </c>
      <c r="J872" s="430" t="s">
        <v>96</v>
      </c>
      <c r="K872" s="614" t="s">
        <v>1451</v>
      </c>
      <c r="L872" s="614">
        <v>44</v>
      </c>
      <c r="M872" s="430" t="s">
        <v>68</v>
      </c>
      <c r="N872" s="432">
        <v>46181</v>
      </c>
      <c r="O872" s="430" t="s">
        <v>4540</v>
      </c>
      <c r="P872" s="430" t="s">
        <v>5066</v>
      </c>
      <c r="Q872" s="430" t="s">
        <v>1484</v>
      </c>
      <c r="R872" s="430" t="str">
        <f>_xlfn.XLOOKUP(PV_DATA[[#This Row],[New Ark SKU]],Table9[New Ark SKU],Table9[Connector],,0)</f>
        <v>H4(Com)</v>
      </c>
      <c r="S872" s="433" t="str">
        <f>_xlfn.XLOOKUP(PV_DATA[[#This Row],[New Ark SKU]],Table9[New Ark SKU],Table9[Cable],,0)</f>
        <v>+400mm/-200mm</v>
      </c>
      <c r="T872" s="433">
        <v>725</v>
      </c>
      <c r="U872" s="1062">
        <f>594*5</f>
        <v>2970</v>
      </c>
      <c r="V872" s="544">
        <f>PV_DATA[[#This Row],[QUANTITY]]*PV_DATA[[#This Row],[WATT]]/1000000</f>
        <v>2.1532499999999999</v>
      </c>
      <c r="W872" s="435">
        <f>PV_DATA[[#This Row],[QUANTITY]]/PV_DATA[[#This Row],[Qty/Pallet]]</f>
        <v>90</v>
      </c>
      <c r="X872" s="1015">
        <f>PV_DATA[[#This Row],[QUANTITY]]/PV_DATA[[#This Row],[Qty/CT]]</f>
        <v>5</v>
      </c>
      <c r="Y872" s="430" t="s">
        <v>4370</v>
      </c>
      <c r="Z872" s="430" t="str">
        <f t="shared" si="10"/>
        <v>COMPLETED</v>
      </c>
      <c r="AA872" s="430" t="s">
        <v>5403</v>
      </c>
      <c r="AB872" s="437">
        <v>46255</v>
      </c>
      <c r="AC872" s="485">
        <f>IF(PV_DATA[[#This Row],[Pick-Up Date]]&lt;&gt;"",_xlfn.ISOWEEKNUM(PV_DATA[[#This Row],[Pick-Up Date]]),"")</f>
        <v>34</v>
      </c>
      <c r="AD872" s="435" t="s">
        <v>6044</v>
      </c>
      <c r="AE872" s="435"/>
      <c r="AF872" s="430" t="s">
        <v>122</v>
      </c>
      <c r="AG872" s="430" t="s">
        <v>123</v>
      </c>
      <c r="AH872" s="430" t="s">
        <v>105</v>
      </c>
      <c r="AI872" s="713">
        <v>46258</v>
      </c>
      <c r="AJ872" s="713">
        <v>46267</v>
      </c>
      <c r="AK872" s="437">
        <v>46267</v>
      </c>
      <c r="AL872" s="437">
        <v>46295</v>
      </c>
      <c r="AM872" s="588">
        <v>46322</v>
      </c>
      <c r="AN872" s="588">
        <v>46324</v>
      </c>
      <c r="AP872" s="430" t="s">
        <v>6045</v>
      </c>
      <c r="AQ872" s="430" t="s">
        <v>161</v>
      </c>
      <c r="AR872" s="430" t="s">
        <v>6046</v>
      </c>
      <c r="AS872" s="430" t="s">
        <v>6047</v>
      </c>
      <c r="AT872" s="430" t="s">
        <v>6047</v>
      </c>
      <c r="AU87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</v>
      </c>
      <c r="AV872" s="437"/>
      <c r="AW872" s="437" cm="1">
        <f t="array" ref="AW87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46324</v>
      </c>
      <c r="AX87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72" s="437">
        <f>IF(ISERROR(PV_DATA[[#This Row],[New Ark PO status]]),"",_xlfn.XLOOKUP(PV_DATA[[#This Row],[SPTN-PVHK New Ark PO'#]],New_Ark_Data[Purchase order Number],New_Ark_Data[Estimated time of arrival],"",0))</f>
        <v>46302</v>
      </c>
      <c r="AZ872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72" s="437">
        <f>IFERROR(PV_DATA[[#This Row],[ODP ETA Port]]+PV_DATA[[#This Row],[Customs/Leg3 Assumption]],"n/a")</f>
        <v>46331</v>
      </c>
      <c r="BB872" s="433">
        <f>YEAR(PV_DATA[[#This Row],[ETA for New Ark update]])</f>
        <v>2026</v>
      </c>
      <c r="BC872" s="430">
        <f>MONTH(PV_DATA[[#This Row],[ETA for New Ark update]])</f>
        <v>11</v>
      </c>
      <c r="BD872" s="430">
        <f>IFERROR(_xlfn.ISOWEEKNUM(PV_DATA[[#This Row],[ETA for New Ark update]]),0)</f>
        <v>45</v>
      </c>
      <c r="BE872" s="430">
        <f>_xlfn.XLOOKUP(PV_DATA[[#This Row],[New Ark SKU]],Table9[New Ark SKU],Table9[Total PCS per Pallet],,0)</f>
        <v>33</v>
      </c>
      <c r="BF872" s="430">
        <f>_xlfn.XLOOKUP(PV_DATA[[#This Row],[New Ark SKU]],Table9[New Ark SKU],Table9[Total PCS per 40HQ Container],,0)</f>
        <v>594</v>
      </c>
      <c r="BG872" s="430" t="str">
        <f>_xlfn.XLOOKUP(PV_DATA[[#This Row],[New Ark SKU]],Table9[New Ark SKU],Table9[Back Glass],,0)</f>
        <v>Transparent</v>
      </c>
      <c r="BH872" s="430" t="str">
        <f>_xlfn.XLOOKUP(PV_DATA[[#This Row],[PORT DESTINATION]],Table12[PORT DESTINATION],Table12[Cosco Line],,0)</f>
        <v>AEU</v>
      </c>
      <c r="BJ872" s="430"/>
    </row>
    <row r="873" spans="1:62" ht="10.5" hidden="1">
      <c r="A873" s="462" t="s">
        <v>6048</v>
      </c>
      <c r="B873" s="462" t="s">
        <v>111</v>
      </c>
      <c r="C873" s="462" t="str">
        <f>IFERROR(LEFT(PV_DATA[[#This Row],[TCL REFERENCE]],FIND(".",PV_DATA[[#This Row],[TCL REFERENCE]],1)-1),"Main Line")</f>
        <v>26May014</v>
      </c>
      <c r="D873" s="462" t="s">
        <v>63</v>
      </c>
      <c r="E873" s="462" t="s">
        <v>64</v>
      </c>
      <c r="F873" s="462" t="str" cm="1">
        <f t="array" ref="F87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73" s="462" t="s">
        <v>402</v>
      </c>
      <c r="H873" s="713" t="s">
        <v>67</v>
      </c>
      <c r="I873" s="462" t="s">
        <v>689</v>
      </c>
      <c r="J873" s="430" t="s">
        <v>96</v>
      </c>
      <c r="K873" s="614" t="s">
        <v>1451</v>
      </c>
      <c r="L873" s="614">
        <v>44</v>
      </c>
      <c r="M873" s="430" t="s">
        <v>68</v>
      </c>
      <c r="N873" s="432">
        <v>46181</v>
      </c>
      <c r="O873" s="430" t="s">
        <v>4540</v>
      </c>
      <c r="P873" s="430" t="s">
        <v>5066</v>
      </c>
      <c r="Q873" s="430" t="s">
        <v>1484</v>
      </c>
      <c r="R873" s="430" t="str">
        <f>_xlfn.XLOOKUP(PV_DATA[[#This Row],[New Ark SKU]],Table9[New Ark SKU],Table9[Connector],,0)</f>
        <v>H4(Com)</v>
      </c>
      <c r="S873" s="433" t="str">
        <f>_xlfn.XLOOKUP(PV_DATA[[#This Row],[New Ark SKU]],Table9[New Ark SKU],Table9[Cable],,0)</f>
        <v>+400mm/-200mm</v>
      </c>
      <c r="T873" s="433">
        <v>725</v>
      </c>
      <c r="U873" s="1062">
        <f>594*2</f>
        <v>1188</v>
      </c>
      <c r="V873" s="544">
        <f>PV_DATA[[#This Row],[QUANTITY]]*PV_DATA[[#This Row],[WATT]]/1000000</f>
        <v>0.86129999999999995</v>
      </c>
      <c r="W873" s="435">
        <f>PV_DATA[[#This Row],[QUANTITY]]/PV_DATA[[#This Row],[Qty/Pallet]]</f>
        <v>36</v>
      </c>
      <c r="X873" s="1015">
        <f>PV_DATA[[#This Row],[QUANTITY]]/PV_DATA[[#This Row],[Qty/CT]]</f>
        <v>2</v>
      </c>
      <c r="Y873" s="430" t="s">
        <v>4370</v>
      </c>
      <c r="Z873" s="430" t="str">
        <f t="shared" si="10"/>
        <v>COMPLETED</v>
      </c>
      <c r="AA873" s="430" t="s">
        <v>5403</v>
      </c>
      <c r="AB873" s="437">
        <v>46255</v>
      </c>
      <c r="AC873" s="485">
        <f>IF(PV_DATA[[#This Row],[Pick-Up Date]]&lt;&gt;"",_xlfn.ISOWEEKNUM(PV_DATA[[#This Row],[Pick-Up Date]]),"")</f>
        <v>34</v>
      </c>
      <c r="AD873" s="435" t="s">
        <v>6049</v>
      </c>
      <c r="AE873" s="435"/>
      <c r="AF873" s="430" t="s">
        <v>122</v>
      </c>
      <c r="AG873" s="430" t="s">
        <v>123</v>
      </c>
      <c r="AH873" s="430" t="s">
        <v>105</v>
      </c>
      <c r="AI873" s="713">
        <v>46258</v>
      </c>
      <c r="AJ873" s="713">
        <v>46267</v>
      </c>
      <c r="AK873" s="437">
        <v>46267</v>
      </c>
      <c r="AL873" s="437">
        <v>46295</v>
      </c>
      <c r="AM873" s="588">
        <v>46322</v>
      </c>
      <c r="AN873" s="588">
        <v>46324</v>
      </c>
      <c r="AP873" s="430" t="s">
        <v>6045</v>
      </c>
      <c r="AQ873" s="430" t="s">
        <v>161</v>
      </c>
      <c r="AR873" s="430" t="s">
        <v>6046</v>
      </c>
      <c r="AS873" s="430" t="s">
        <v>6047</v>
      </c>
      <c r="AT873" s="430" t="s">
        <v>6050</v>
      </c>
      <c r="AU87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</v>
      </c>
      <c r="AV873" s="437"/>
      <c r="AW873" s="437" cm="1">
        <f t="array" ref="AW87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46324</v>
      </c>
      <c r="AX87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73" s="437">
        <f>IF(ISERROR(PV_DATA[[#This Row],[New Ark PO status]]),"",_xlfn.XLOOKUP(PV_DATA[[#This Row],[SPTN-PVHK New Ark PO'#]],New_Ark_Data[Purchase order Number],New_Ark_Data[Estimated time of arrival],"",0))</f>
        <v>46302</v>
      </c>
      <c r="AZ873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73" s="437">
        <f>IFERROR(PV_DATA[[#This Row],[ODP ETA Port]]+PV_DATA[[#This Row],[Customs/Leg3 Assumption]],"n/a")</f>
        <v>46331</v>
      </c>
      <c r="BB873" s="433">
        <f>YEAR(PV_DATA[[#This Row],[ETA for New Ark update]])</f>
        <v>2026</v>
      </c>
      <c r="BC873" s="430">
        <f>MONTH(PV_DATA[[#This Row],[ETA for New Ark update]])</f>
        <v>11</v>
      </c>
      <c r="BD873" s="430">
        <f>IFERROR(_xlfn.ISOWEEKNUM(PV_DATA[[#This Row],[ETA for New Ark update]]),0)</f>
        <v>45</v>
      </c>
      <c r="BE873" s="430">
        <f>_xlfn.XLOOKUP(PV_DATA[[#This Row],[New Ark SKU]],Table9[New Ark SKU],Table9[Total PCS per Pallet],,0)</f>
        <v>33</v>
      </c>
      <c r="BF873" s="430">
        <f>_xlfn.XLOOKUP(PV_DATA[[#This Row],[New Ark SKU]],Table9[New Ark SKU],Table9[Total PCS per 40HQ Container],,0)</f>
        <v>594</v>
      </c>
      <c r="BG873" s="430" t="str">
        <f>_xlfn.XLOOKUP(PV_DATA[[#This Row],[New Ark SKU]],Table9[New Ark SKU],Table9[Back Glass],,0)</f>
        <v>Transparent</v>
      </c>
      <c r="BH873" s="430" t="str">
        <f>_xlfn.XLOOKUP(PV_DATA[[#This Row],[PORT DESTINATION]],Table12[PORT DESTINATION],Table12[Cosco Line],,0)</f>
        <v>AEU</v>
      </c>
      <c r="BJ873" s="430"/>
    </row>
    <row r="874" spans="1:62" ht="10.5" hidden="1">
      <c r="A874" s="462" t="s">
        <v>6051</v>
      </c>
      <c r="B874" s="462" t="s">
        <v>111</v>
      </c>
      <c r="C874" s="462" t="str">
        <f>IFERROR(LEFT(PV_DATA[[#This Row],[TCL REFERENCE]],FIND(".",PV_DATA[[#This Row],[TCL REFERENCE]],1)-1),"Main Line")</f>
        <v>26May011</v>
      </c>
      <c r="D874" s="462" t="s">
        <v>63</v>
      </c>
      <c r="E874" s="462" t="s">
        <v>64</v>
      </c>
      <c r="F874" s="462" t="str" cm="1">
        <f t="array" ref="F87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74" s="462" t="s">
        <v>402</v>
      </c>
      <c r="H874" s="462" t="s">
        <v>67</v>
      </c>
      <c r="I874" s="462" t="s">
        <v>869</v>
      </c>
      <c r="J874" s="430" t="s">
        <v>96</v>
      </c>
      <c r="K874" s="430"/>
      <c r="L874" s="430"/>
      <c r="M874" s="430" t="s">
        <v>68</v>
      </c>
      <c r="N874" s="432">
        <v>46167</v>
      </c>
      <c r="O874" s="459" t="s">
        <v>4540</v>
      </c>
      <c r="P874" s="430" t="s">
        <v>4601</v>
      </c>
      <c r="Q874" s="430" t="s">
        <v>330</v>
      </c>
      <c r="R874" s="430" t="str">
        <f>_xlfn.XLOOKUP(PV_DATA[[#This Row],[New Ark SKU]],Table9[New Ark SKU],Table9[Connector],,0)</f>
        <v>H4(Com)</v>
      </c>
      <c r="S874" s="433" t="str">
        <f>_xlfn.XLOOKUP(PV_DATA[[#This Row],[New Ark SKU]],Table9[New Ark SKU],Table9[Cable],,0)</f>
        <v>+400mm/-200mm</v>
      </c>
      <c r="T874" s="433">
        <v>625</v>
      </c>
      <c r="U874" s="1062">
        <f>720*1</f>
        <v>720</v>
      </c>
      <c r="V874" s="544">
        <f>PV_DATA[[#This Row],[QUANTITY]]*PV_DATA[[#This Row],[WATT]]/1000000</f>
        <v>0.45</v>
      </c>
      <c r="W874" s="435">
        <f>PV_DATA[[#This Row],[QUANTITY]]/PV_DATA[[#This Row],[Qty/Pallet]]</f>
        <v>20</v>
      </c>
      <c r="X874" s="1015">
        <f>PV_DATA[[#This Row],[QUANTITY]]/PV_DATA[[#This Row],[Qty/CT]]</f>
        <v>1</v>
      </c>
      <c r="Y874" s="430" t="s">
        <v>4369</v>
      </c>
      <c r="Z874" s="430" t="str">
        <f t="shared" si="10"/>
        <v>COMPLETED</v>
      </c>
      <c r="AA874" s="430" t="s">
        <v>5403</v>
      </c>
      <c r="AB874" s="437">
        <v>46255</v>
      </c>
      <c r="AC874" s="485">
        <f>IF(PV_DATA[[#This Row],[Pick-Up Date]]&lt;&gt;"",_xlfn.ISOWEEKNUM(PV_DATA[[#This Row],[Pick-Up Date]]),"")</f>
        <v>34</v>
      </c>
      <c r="AD874" s="429" t="s">
        <v>6052</v>
      </c>
      <c r="AE874" s="430"/>
      <c r="AF874" s="430" t="s">
        <v>122</v>
      </c>
      <c r="AG874" s="430" t="s">
        <v>123</v>
      </c>
      <c r="AH874" s="430" t="s">
        <v>105</v>
      </c>
      <c r="AI874" s="713">
        <v>46258</v>
      </c>
      <c r="AJ874" s="713">
        <v>46267</v>
      </c>
      <c r="AK874" s="437">
        <v>46267</v>
      </c>
      <c r="AL874" s="437">
        <v>46295</v>
      </c>
      <c r="AM874" s="588">
        <v>46322</v>
      </c>
      <c r="AN874" s="588">
        <v>46324</v>
      </c>
      <c r="AP874" s="430" t="s">
        <v>6053</v>
      </c>
      <c r="AQ874" s="1044" t="s">
        <v>161</v>
      </c>
      <c r="AR874" s="430" t="s">
        <v>6046</v>
      </c>
      <c r="AS874" s="430" t="s">
        <v>6047</v>
      </c>
      <c r="AT874" s="430" t="s">
        <v>6050</v>
      </c>
      <c r="AU87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</v>
      </c>
      <c r="AV874" s="437"/>
      <c r="AW874" s="437" cm="1">
        <f t="array" ref="AW87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46324</v>
      </c>
      <c r="AX87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74" s="437">
        <f>IF(ISERROR(PV_DATA[[#This Row],[New Ark PO status]]),"",_xlfn.XLOOKUP(PV_DATA[[#This Row],[SPTN-PVHK New Ark PO'#]],New_Ark_Data[Purchase order Number],New_Ark_Data[Estimated time of arrival],"",0))</f>
        <v>46302</v>
      </c>
      <c r="AZ874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74" s="437">
        <f>IFERROR(PV_DATA[[#This Row],[ODP ETA Port]]+PV_DATA[[#This Row],[Customs/Leg3 Assumption]],"n/a")</f>
        <v>46331</v>
      </c>
      <c r="BB874" s="433">
        <f>YEAR(PV_DATA[[#This Row],[ETA for New Ark update]])</f>
        <v>2026</v>
      </c>
      <c r="BC874" s="430">
        <f>MONTH(PV_DATA[[#This Row],[ETA for New Ark update]])</f>
        <v>11</v>
      </c>
      <c r="BD874" s="430">
        <f>IFERROR(_xlfn.ISOWEEKNUM(PV_DATA[[#This Row],[ETA for New Ark update]]),0)</f>
        <v>45</v>
      </c>
      <c r="BE874" s="430">
        <f>_xlfn.XLOOKUP(PV_DATA[[#This Row],[New Ark SKU]],Table9[New Ark SKU],Table9[Total PCS per Pallet],,0)</f>
        <v>36</v>
      </c>
      <c r="BF874" s="430">
        <f>_xlfn.XLOOKUP(PV_DATA[[#This Row],[New Ark SKU]],Table9[New Ark SKU],Table9[Total PCS per 40HQ Container],,0)</f>
        <v>720</v>
      </c>
      <c r="BG874" s="430" t="str">
        <f>_xlfn.XLOOKUP(PV_DATA[[#This Row],[New Ark SKU]],Table9[New Ark SKU],Table9[Back Glass],,0)</f>
        <v>Transparent</v>
      </c>
      <c r="BH874" s="430" t="str">
        <f>_xlfn.XLOOKUP(PV_DATA[[#This Row],[PORT DESTINATION]],Table12[PORT DESTINATION],Table12[Cosco Line],,0)</f>
        <v>AEU</v>
      </c>
      <c r="BJ874" s="430"/>
    </row>
    <row r="875" spans="1:62" ht="10.5" hidden="1">
      <c r="A875" s="462" t="s">
        <v>6054</v>
      </c>
      <c r="B875" s="462" t="s">
        <v>111</v>
      </c>
      <c r="C875" s="462" t="str">
        <f>IFERROR(LEFT(PV_DATA[[#This Row],[TCL REFERENCE]],FIND(".",PV_DATA[[#This Row],[TCL REFERENCE]],1)-1),"Main Line")</f>
        <v>26May014</v>
      </c>
      <c r="D875" s="462" t="s">
        <v>63</v>
      </c>
      <c r="E875" s="462" t="s">
        <v>64</v>
      </c>
      <c r="F875" s="462" t="str" cm="1">
        <f t="array" ref="F87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75" s="462" t="s">
        <v>402</v>
      </c>
      <c r="H875" s="713" t="s">
        <v>67</v>
      </c>
      <c r="I875" s="462" t="s">
        <v>689</v>
      </c>
      <c r="J875" s="430" t="s">
        <v>96</v>
      </c>
      <c r="K875" s="614" t="s">
        <v>1451</v>
      </c>
      <c r="L875" s="614">
        <v>53</v>
      </c>
      <c r="M875" s="430" t="s">
        <v>68</v>
      </c>
      <c r="N875" s="432">
        <v>46181</v>
      </c>
      <c r="O875" s="430" t="s">
        <v>4540</v>
      </c>
      <c r="P875" s="430" t="s">
        <v>5066</v>
      </c>
      <c r="Q875" s="430" t="s">
        <v>1484</v>
      </c>
      <c r="R875" s="430" t="str">
        <f>_xlfn.XLOOKUP(PV_DATA[[#This Row],[New Ark SKU]],Table9[New Ark SKU],Table9[Connector],,0)</f>
        <v>H4(Com)</v>
      </c>
      <c r="S875" s="433" t="str">
        <f>_xlfn.XLOOKUP(PV_DATA[[#This Row],[New Ark SKU]],Table9[New Ark SKU],Table9[Cable],,0)</f>
        <v>+400mm/-200mm</v>
      </c>
      <c r="T875" s="433">
        <v>725</v>
      </c>
      <c r="U875" s="1062">
        <v>4752</v>
      </c>
      <c r="V875" s="544">
        <f>PV_DATA[[#This Row],[QUANTITY]]*PV_DATA[[#This Row],[WATT]]/1000000</f>
        <v>3.4451999999999998</v>
      </c>
      <c r="W875" s="435">
        <f>PV_DATA[[#This Row],[QUANTITY]]/PV_DATA[[#This Row],[Qty/Pallet]]</f>
        <v>144</v>
      </c>
      <c r="X875" s="1016">
        <f>PV_DATA[[#This Row],[QUANTITY]]/PV_DATA[[#This Row],[Qty/CT]]</f>
        <v>8</v>
      </c>
      <c r="Y875" s="858" t="s">
        <v>4371</v>
      </c>
      <c r="Z875" s="430" t="str">
        <f t="shared" si="10"/>
        <v>COMPLETED</v>
      </c>
      <c r="AA875" s="430" t="s">
        <v>5403</v>
      </c>
      <c r="AB875" s="437">
        <v>46246</v>
      </c>
      <c r="AC875" s="485">
        <f>IF(PV_DATA[[#This Row],[Pick-Up Date]]&lt;&gt;"",_xlfn.ISOWEEKNUM(PV_DATA[[#This Row],[Pick-Up Date]]),"")</f>
        <v>33</v>
      </c>
      <c r="AD875" s="435" t="s">
        <v>6055</v>
      </c>
      <c r="AE875" s="435"/>
      <c r="AF875" s="430" t="s">
        <v>122</v>
      </c>
      <c r="AG875" s="430" t="s">
        <v>123</v>
      </c>
      <c r="AH875" s="430" t="s">
        <v>105</v>
      </c>
      <c r="AI875" s="713">
        <v>46249</v>
      </c>
      <c r="AK875" s="437">
        <v>46248</v>
      </c>
      <c r="AL875" s="437">
        <v>46282</v>
      </c>
      <c r="AM875" s="588">
        <f>IFERROR(VLOOKUP(AT875, Vessel!A:H, 8, FALSE), "")</f>
        <v>46284.875</v>
      </c>
      <c r="AN875" s="588">
        <f>IFERROR(IF(VLOOKUP(AT875,Vessel!A:I,9,FALSE)=0,"",VLOOKUP(AT875,Vessel!A:I,9,FALSE)),"")</f>
        <v>46285.134953703702</v>
      </c>
      <c r="AP875" s="430" t="s">
        <v>5809</v>
      </c>
      <c r="AQ875" s="430" t="s">
        <v>80</v>
      </c>
      <c r="AR875" s="430" t="s">
        <v>6056</v>
      </c>
      <c r="AS875" s="430" t="s">
        <v>6057</v>
      </c>
      <c r="AT875" s="430" t="s">
        <v>6057</v>
      </c>
      <c r="AU87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37.134953703702195</v>
      </c>
      <c r="AV875" s="437"/>
      <c r="AW875" s="437" cm="1">
        <f t="array" ref="AW87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46285.134953703702</v>
      </c>
      <c r="AX87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75" s="437">
        <f>IF(ISERROR(PV_DATA[[#This Row],[New Ark PO status]]),"",_xlfn.XLOOKUP(PV_DATA[[#This Row],[SPTN-PVHK New Ark PO'#]],New_Ark_Data[Purchase order Number],New_Ark_Data[Estimated time of arrival],"",0))</f>
        <v>46300</v>
      </c>
      <c r="AZ875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75" s="437">
        <f>IFERROR(PV_DATA[[#This Row],[ODP ETA Port]]+PV_DATA[[#This Row],[Customs/Leg3 Assumption]],"n/a")</f>
        <v>46292.134953703702</v>
      </c>
      <c r="BB875" s="433">
        <f>YEAR(PV_DATA[[#This Row],[ETA for New Ark update]])</f>
        <v>2026</v>
      </c>
      <c r="BC875" s="430">
        <f>MONTH(PV_DATA[[#This Row],[ETA for New Ark update]])</f>
        <v>9</v>
      </c>
      <c r="BD875" s="430">
        <f>IFERROR(_xlfn.ISOWEEKNUM(PV_DATA[[#This Row],[ETA for New Ark update]]),0)</f>
        <v>39</v>
      </c>
      <c r="BE875" s="430">
        <f>_xlfn.XLOOKUP(PV_DATA[[#This Row],[New Ark SKU]],Table9[New Ark SKU],Table9[Total PCS per Pallet],,0)</f>
        <v>33</v>
      </c>
      <c r="BF875" s="430">
        <f>_xlfn.XLOOKUP(PV_DATA[[#This Row],[New Ark SKU]],Table9[New Ark SKU],Table9[Total PCS per 40HQ Container],,0)</f>
        <v>594</v>
      </c>
      <c r="BG875" s="430" t="str">
        <f>_xlfn.XLOOKUP(PV_DATA[[#This Row],[New Ark SKU]],Table9[New Ark SKU],Table9[Back Glass],,0)</f>
        <v>Transparent</v>
      </c>
      <c r="BH875" s="430" t="str">
        <f>_xlfn.XLOOKUP(PV_DATA[[#This Row],[PORT DESTINATION]],Table12[PORT DESTINATION],Table12[Cosco Line],,0)</f>
        <v>AEU</v>
      </c>
      <c r="BJ875" s="430"/>
    </row>
    <row r="876" spans="1:62" ht="10.5" hidden="1">
      <c r="A876" s="462" t="s">
        <v>6058</v>
      </c>
      <c r="B876" s="462" t="s">
        <v>111</v>
      </c>
      <c r="C876" s="462" t="str">
        <f>IFERROR(LEFT(PV_DATA[[#This Row],[TCL REFERENCE]],FIND(".",PV_DATA[[#This Row],[TCL REFERENCE]],1)-1),"Main Line")</f>
        <v>26May014</v>
      </c>
      <c r="D876" s="462" t="s">
        <v>63</v>
      </c>
      <c r="E876" s="462" t="s">
        <v>64</v>
      </c>
      <c r="F876" s="462" t="str" cm="1">
        <f t="array" ref="F87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76" s="462" t="s">
        <v>402</v>
      </c>
      <c r="H876" s="713" t="s">
        <v>67</v>
      </c>
      <c r="I876" s="462" t="s">
        <v>689</v>
      </c>
      <c r="J876" s="430" t="s">
        <v>96</v>
      </c>
      <c r="K876" s="614" t="s">
        <v>1451</v>
      </c>
      <c r="L876" s="614">
        <v>44</v>
      </c>
      <c r="M876" s="430" t="s">
        <v>68</v>
      </c>
      <c r="N876" s="432">
        <v>46181</v>
      </c>
      <c r="O876" s="430" t="s">
        <v>4540</v>
      </c>
      <c r="P876" s="430" t="s">
        <v>5066</v>
      </c>
      <c r="Q876" s="430" t="s">
        <v>1484</v>
      </c>
      <c r="R876" s="430" t="str">
        <f>_xlfn.XLOOKUP(PV_DATA[[#This Row],[New Ark SKU]],Table9[New Ark SKU],Table9[Connector],,0)</f>
        <v>H4(Com)</v>
      </c>
      <c r="S876" s="433" t="str">
        <f>_xlfn.XLOOKUP(PV_DATA[[#This Row],[New Ark SKU]],Table9[New Ark SKU],Table9[Cable],,0)</f>
        <v>+400mm/-200mm</v>
      </c>
      <c r="T876" s="433">
        <v>725</v>
      </c>
      <c r="U876" s="1062">
        <v>1188</v>
      </c>
      <c r="V876" s="544">
        <f>PV_DATA[[#This Row],[QUANTITY]]*PV_DATA[[#This Row],[WATT]]/1000000</f>
        <v>0.86129999999999995</v>
      </c>
      <c r="W876" s="435">
        <f>PV_DATA[[#This Row],[QUANTITY]]/PV_DATA[[#This Row],[Qty/Pallet]]</f>
        <v>36</v>
      </c>
      <c r="X876" s="1015">
        <f>PV_DATA[[#This Row],[QUANTITY]]/PV_DATA[[#This Row],[Qty/CT]]</f>
        <v>2</v>
      </c>
      <c r="Y876" s="430" t="s">
        <v>4370</v>
      </c>
      <c r="Z876" s="430" t="str">
        <f t="shared" si="10"/>
        <v>COMPLETED</v>
      </c>
      <c r="AA876" s="430" t="s">
        <v>5403</v>
      </c>
      <c r="AB876" s="437">
        <v>46246</v>
      </c>
      <c r="AC876" s="485">
        <f>IF(PV_DATA[[#This Row],[Pick-Up Date]]&lt;&gt;"",_xlfn.ISOWEEKNUM(PV_DATA[[#This Row],[Pick-Up Date]]),"")</f>
        <v>33</v>
      </c>
      <c r="AD876" s="435" t="s">
        <v>6059</v>
      </c>
      <c r="AE876" s="435"/>
      <c r="AF876" s="430" t="s">
        <v>122</v>
      </c>
      <c r="AG876" s="430" t="s">
        <v>123</v>
      </c>
      <c r="AH876" s="430" t="s">
        <v>105</v>
      </c>
      <c r="AI876" s="713">
        <v>46249</v>
      </c>
      <c r="AK876" s="437">
        <v>46248</v>
      </c>
      <c r="AL876" s="437">
        <v>46282</v>
      </c>
      <c r="AM876" s="588">
        <f>IFERROR(VLOOKUP(AT876, Vessel!A:H, 8, FALSE), "")</f>
        <v>46284.875</v>
      </c>
      <c r="AN876" s="588">
        <f>IFERROR(IF(VLOOKUP(AT876,Vessel!A:I,9,FALSE)=0,"",VLOOKUP(AT876,Vessel!A:I,9,FALSE)),"")</f>
        <v>46285.134953703702</v>
      </c>
      <c r="AP876" s="430" t="s">
        <v>5809</v>
      </c>
      <c r="AQ876" s="430" t="s">
        <v>80</v>
      </c>
      <c r="AR876" s="430" t="s">
        <v>6056</v>
      </c>
      <c r="AS876" s="430" t="s">
        <v>6057</v>
      </c>
      <c r="AT876" s="430" t="s">
        <v>6057</v>
      </c>
      <c r="AU87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37.134953703702195</v>
      </c>
      <c r="AV876" s="437"/>
      <c r="AW876" s="437" cm="1">
        <f t="array" ref="AW87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46285.134953703702</v>
      </c>
      <c r="AX87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76" s="437">
        <f>IF(ISERROR(PV_DATA[[#This Row],[New Ark PO status]]),"",_xlfn.XLOOKUP(PV_DATA[[#This Row],[SPTN-PVHK New Ark PO'#]],New_Ark_Data[Purchase order Number],New_Ark_Data[Estimated time of arrival],"",0))</f>
        <v>46269</v>
      </c>
      <c r="AZ876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76" s="437">
        <f>IFERROR(PV_DATA[[#This Row],[ODP ETA Port]]+PV_DATA[[#This Row],[Customs/Leg3 Assumption]],"n/a")</f>
        <v>46292.134953703702</v>
      </c>
      <c r="BB876" s="433">
        <f>YEAR(PV_DATA[[#This Row],[ETA for New Ark update]])</f>
        <v>2026</v>
      </c>
      <c r="BC876" s="430">
        <f>MONTH(PV_DATA[[#This Row],[ETA for New Ark update]])</f>
        <v>9</v>
      </c>
      <c r="BD876" s="430">
        <f>IFERROR(_xlfn.ISOWEEKNUM(PV_DATA[[#This Row],[ETA for New Ark update]]),0)</f>
        <v>39</v>
      </c>
      <c r="BE876" s="430">
        <f>_xlfn.XLOOKUP(PV_DATA[[#This Row],[New Ark SKU]],Table9[New Ark SKU],Table9[Total PCS per Pallet],,0)</f>
        <v>33</v>
      </c>
      <c r="BF876" s="430">
        <f>_xlfn.XLOOKUP(PV_DATA[[#This Row],[New Ark SKU]],Table9[New Ark SKU],Table9[Total PCS per 40HQ Container],,0)</f>
        <v>594</v>
      </c>
      <c r="BG876" s="430" t="str">
        <f>_xlfn.XLOOKUP(PV_DATA[[#This Row],[New Ark SKU]],Table9[New Ark SKU],Table9[Back Glass],,0)</f>
        <v>Transparent</v>
      </c>
      <c r="BH876" s="430" t="str">
        <f>_xlfn.XLOOKUP(PV_DATA[[#This Row],[PORT DESTINATION]],Table12[PORT DESTINATION],Table12[Cosco Line],,0)</f>
        <v>AEU</v>
      </c>
      <c r="BJ876" s="430"/>
    </row>
    <row r="877" spans="1:62" s="730" customFormat="1" ht="10.5" hidden="1">
      <c r="A877" s="462" t="s">
        <v>6060</v>
      </c>
      <c r="B877" s="462" t="s">
        <v>111</v>
      </c>
      <c r="C877" s="462" t="str">
        <f>IFERROR(LEFT(PV_DATA[[#This Row],[TCL REFERENCE]],FIND(".",PV_DATA[[#This Row],[TCL REFERENCE]],1)-1),"Main Line")</f>
        <v>26May013</v>
      </c>
      <c r="D877" s="462" t="s">
        <v>63</v>
      </c>
      <c r="E877" s="462" t="s">
        <v>64</v>
      </c>
      <c r="F877" s="462" t="str" cm="1">
        <f t="array" ref="F87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77" s="462" t="s">
        <v>402</v>
      </c>
      <c r="H877" s="713" t="s">
        <v>67</v>
      </c>
      <c r="I877" s="462" t="s">
        <v>689</v>
      </c>
      <c r="J877" s="462" t="s">
        <v>96</v>
      </c>
      <c r="K877" s="1049" t="s">
        <v>1451</v>
      </c>
      <c r="L877" s="1049">
        <v>52</v>
      </c>
      <c r="M877" s="462" t="s">
        <v>68</v>
      </c>
      <c r="N877" s="712">
        <v>46181</v>
      </c>
      <c r="O877" s="462" t="s">
        <v>4540</v>
      </c>
      <c r="P877" s="462" t="s">
        <v>5050</v>
      </c>
      <c r="Q877" s="462" t="s">
        <v>1807</v>
      </c>
      <c r="R877" s="430" t="str">
        <f>_xlfn.XLOOKUP(PV_DATA[[#This Row],[New Ark SKU]],Table9[New Ark SKU],Table9[Connector],,0)</f>
        <v>H4(Com)</v>
      </c>
      <c r="S877" s="433" t="str">
        <f>_xlfn.XLOOKUP(PV_DATA[[#This Row],[New Ark SKU]],Table9[New Ark SKU],Table9[Cable],,0)</f>
        <v>+400mm/-200mm</v>
      </c>
      <c r="T877" s="936">
        <v>720</v>
      </c>
      <c r="U877" s="1069">
        <v>1782</v>
      </c>
      <c r="V877" s="957">
        <f>PV_DATA[[#This Row],[QUANTITY]]*PV_DATA[[#This Row],[WATT]]/1000000</f>
        <v>1.28304</v>
      </c>
      <c r="W877" s="714">
        <f>PV_DATA[[#This Row],[QUANTITY]]/PV_DATA[[#This Row],[Qty/Pallet]]</f>
        <v>54</v>
      </c>
      <c r="X877" s="1017">
        <f>PV_DATA[[#This Row],[QUANTITY]]/PV_DATA[[#This Row],[Qty/CT]]</f>
        <v>3</v>
      </c>
      <c r="Y877" s="462" t="s">
        <v>4370</v>
      </c>
      <c r="Z877" s="462" t="str">
        <f t="shared" si="10"/>
        <v>COMPLETED</v>
      </c>
      <c r="AA877" s="462" t="s">
        <v>5403</v>
      </c>
      <c r="AB877" s="713">
        <v>46245</v>
      </c>
      <c r="AC877" s="937">
        <f>IF(PV_DATA[[#This Row],[Pick-Up Date]]&lt;&gt;"",_xlfn.ISOWEEKNUM(PV_DATA[[#This Row],[Pick-Up Date]]),"")</f>
        <v>33</v>
      </c>
      <c r="AD877" s="714" t="s">
        <v>6061</v>
      </c>
      <c r="AE877" s="714"/>
      <c r="AF877" s="462" t="s">
        <v>122</v>
      </c>
      <c r="AG877" s="462" t="s">
        <v>123</v>
      </c>
      <c r="AH877" s="462" t="s">
        <v>105</v>
      </c>
      <c r="AI877" s="713">
        <v>46249</v>
      </c>
      <c r="AJ877" s="713"/>
      <c r="AK877" s="1024">
        <v>46248</v>
      </c>
      <c r="AL877" s="713">
        <v>46282</v>
      </c>
      <c r="AM877" s="939">
        <f>IFERROR(VLOOKUP(AT877, Vessel!A:H, 8, FALSE), "")</f>
        <v>46284.875</v>
      </c>
      <c r="AN877" s="939">
        <f>IFERROR(IF(VLOOKUP(AT877,Vessel!A:I,9,FALSE)=0,"",VLOOKUP(AT877,Vessel!A:I,9,FALSE)),"")</f>
        <v>46285.134953703702</v>
      </c>
      <c r="AO877" s="462"/>
      <c r="AP877" s="462" t="s">
        <v>5809</v>
      </c>
      <c r="AQ877" s="462" t="s">
        <v>80</v>
      </c>
      <c r="AR877" s="462" t="s">
        <v>6062</v>
      </c>
      <c r="AS877" s="462" t="s">
        <v>6063</v>
      </c>
      <c r="AT877" s="462" t="s">
        <v>6063</v>
      </c>
      <c r="AU87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37.134953703702195</v>
      </c>
      <c r="AV877" s="713"/>
      <c r="AW877" s="713" cm="1">
        <f t="array" ref="AW87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46285.134953703702</v>
      </c>
      <c r="AX87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77" s="713">
        <f>IF(ISERROR(PV_DATA[[#This Row],[New Ark PO status]]),"",_xlfn.XLOOKUP(PV_DATA[[#This Row],[SPTN-PVHK New Ark PO'#]],New_Ark_Data[Purchase order Number],New_Ark_Data[Estimated time of arrival],"",0))</f>
        <v>46300</v>
      </c>
      <c r="AZ877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77" s="713">
        <f>IFERROR(PV_DATA[[#This Row],[ODP ETA Port]]+PV_DATA[[#This Row],[Customs/Leg3 Assumption]],"n/a")</f>
        <v>46292.134953703702</v>
      </c>
      <c r="BB877" s="936">
        <f>YEAR(PV_DATA[[#This Row],[ETA for New Ark update]])</f>
        <v>2026</v>
      </c>
      <c r="BC877" s="462">
        <f>MONTH(PV_DATA[[#This Row],[ETA for New Ark update]])</f>
        <v>9</v>
      </c>
      <c r="BD877" s="462">
        <f>IFERROR(_xlfn.ISOWEEKNUM(PV_DATA[[#This Row],[ETA for New Ark update]]),0)</f>
        <v>39</v>
      </c>
      <c r="BE877" s="462">
        <f>_xlfn.XLOOKUP(PV_DATA[[#This Row],[New Ark SKU]],Table9[New Ark SKU],Table9[Total PCS per Pallet],,0)</f>
        <v>33</v>
      </c>
      <c r="BF877" s="462">
        <f>_xlfn.XLOOKUP(PV_DATA[[#This Row],[New Ark SKU]],Table9[New Ark SKU],Table9[Total PCS per 40HQ Container],,0)</f>
        <v>594</v>
      </c>
      <c r="BG877" s="462" t="str">
        <f>_xlfn.XLOOKUP(PV_DATA[[#This Row],[New Ark SKU]],Table9[New Ark SKU],Table9[Back Glass],,0)</f>
        <v>Transparent</v>
      </c>
      <c r="BH877" s="462" t="str">
        <f>_xlfn.XLOOKUP(PV_DATA[[#This Row],[PORT DESTINATION]],Table12[PORT DESTINATION],Table12[Cosco Line],,0)</f>
        <v>AEU</v>
      </c>
    </row>
    <row r="878" spans="1:62" s="446" customFormat="1" ht="10.5" hidden="1">
      <c r="A878" s="446" t="s">
        <v>6064</v>
      </c>
      <c r="B878" s="446" t="s">
        <v>111</v>
      </c>
      <c r="C878" s="446" t="str">
        <f>IFERROR(LEFT(PV_DATA[[#This Row],[TCL REFERENCE]],FIND(".",PV_DATA[[#This Row],[TCL REFERENCE]],1)-1),"Main Line")</f>
        <v>26May012</v>
      </c>
      <c r="D878" s="446" t="s">
        <v>63</v>
      </c>
      <c r="E878" s="446" t="s">
        <v>144</v>
      </c>
      <c r="F878" s="446" t="str" cm="1">
        <f t="array" ref="F87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878" s="446" t="s">
        <v>402</v>
      </c>
      <c r="H878" s="718" t="s">
        <v>670</v>
      </c>
      <c r="I878" s="446" t="s">
        <v>882</v>
      </c>
      <c r="J878" s="446" t="s">
        <v>5900</v>
      </c>
      <c r="K878" s="446" t="s">
        <v>5901</v>
      </c>
      <c r="L878" s="446">
        <v>27</v>
      </c>
      <c r="M878" s="446" t="s">
        <v>4976</v>
      </c>
      <c r="N878" s="1131">
        <v>46167</v>
      </c>
      <c r="O878" s="446" t="s">
        <v>4540</v>
      </c>
      <c r="P878" s="446" t="s">
        <v>4606</v>
      </c>
      <c r="Q878" s="446" t="s">
        <v>4607</v>
      </c>
      <c r="R878" s="430" t="str">
        <f>_xlfn.XLOOKUP(PV_DATA[[#This Row],[New Ark SKU]],Table9[New Ark SKU],Table9[Connector],,0)</f>
        <v>H4(Com)</v>
      </c>
      <c r="S878" s="433" t="str">
        <f>_xlfn.XLOOKUP(PV_DATA[[#This Row],[New Ark SKU]],Table9[New Ark SKU],Table9[Cable],,0)</f>
        <v>+400mm/-200mm</v>
      </c>
      <c r="T878" s="716">
        <v>630</v>
      </c>
      <c r="U878" s="1132">
        <v>4320</v>
      </c>
      <c r="V878" s="1133">
        <f>PV_DATA[[#This Row],[QUANTITY]]*PV_DATA[[#This Row],[WATT]]/1000000</f>
        <v>2.7216</v>
      </c>
      <c r="W878" s="717">
        <f>PV_DATA[[#This Row],[QUANTITY]]/PV_DATA[[#This Row],[Qty/Pallet]]</f>
        <v>120</v>
      </c>
      <c r="X878" s="1037">
        <f>PV_DATA[[#This Row],[QUANTITY]]/PV_DATA[[#This Row],[Qty/CT]]</f>
        <v>6</v>
      </c>
      <c r="Y878" s="446" t="s">
        <v>4374</v>
      </c>
      <c r="Z878" s="446" t="str">
        <f t="shared" si="10"/>
        <v>COMPLETED</v>
      </c>
      <c r="AA878" s="446" t="s">
        <v>5403</v>
      </c>
      <c r="AB878" s="718">
        <v>46245</v>
      </c>
      <c r="AC878" s="1134">
        <f>IF(PV_DATA[[#This Row],[Pick-Up Date]]&lt;&gt;"",_xlfn.ISOWEEKNUM(PV_DATA[[#This Row],[Pick-Up Date]]),"")</f>
        <v>33</v>
      </c>
      <c r="AD878" s="446" t="s">
        <v>6065</v>
      </c>
      <c r="AF878" s="446" t="s">
        <v>122</v>
      </c>
      <c r="AG878" s="446" t="s">
        <v>123</v>
      </c>
      <c r="AH878" s="446" t="s">
        <v>105</v>
      </c>
      <c r="AI878" s="718">
        <v>46249</v>
      </c>
      <c r="AJ878" s="718"/>
      <c r="AK878" s="455">
        <v>46248</v>
      </c>
      <c r="AL878" s="718">
        <v>46282</v>
      </c>
      <c r="AM878" s="1135">
        <f>IFERROR(VLOOKUP(AT878, Vessel!A:H, 8, FALSE), "")</f>
        <v>46284.875</v>
      </c>
      <c r="AN878" s="1135">
        <f>IFERROR(IF(VLOOKUP(AT878,Vessel!A:I,9,FALSE)=0,"",VLOOKUP(AT878,Vessel!A:I,9,FALSE)),"")</f>
        <v>46285.134953703702</v>
      </c>
      <c r="AP878" s="446" t="s">
        <v>5809</v>
      </c>
      <c r="AQ878" s="446" t="s">
        <v>80</v>
      </c>
      <c r="AR878" s="446" t="s">
        <v>6066</v>
      </c>
      <c r="AS878" s="470" t="s">
        <v>6067</v>
      </c>
      <c r="AT878" s="446" t="s">
        <v>6063</v>
      </c>
      <c r="AU878" s="45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37.134953703702195</v>
      </c>
      <c r="AV878" s="718"/>
      <c r="AW878" s="718" cm="1">
        <f t="array" ref="AW87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46285.134953703702</v>
      </c>
      <c r="AX878" s="71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878" s="718">
        <f>IF(ISERROR(PV_DATA[[#This Row],[New Ark PO status]]),"",_xlfn.XLOOKUP(PV_DATA[[#This Row],[SPTN-PVHK New Ark PO'#]],New_Ark_Data[Purchase order Number],New_Ark_Data[Estimated time of arrival],"",0))</f>
        <v>46300</v>
      </c>
      <c r="AZ878" s="716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878" s="718">
        <f>IFERROR(PV_DATA[[#This Row],[ODP ETA Port]]+PV_DATA[[#This Row],[Customs/Leg3 Assumption]],"n/a")</f>
        <v>46285.134953703702</v>
      </c>
      <c r="BB878" s="716">
        <f>YEAR(PV_DATA[[#This Row],[ETA for New Ark update]])</f>
        <v>2026</v>
      </c>
      <c r="BC878" s="446">
        <f>MONTH(PV_DATA[[#This Row],[ETA for New Ark update]])</f>
        <v>9</v>
      </c>
      <c r="BD878" s="446">
        <f>IFERROR(_xlfn.ISOWEEKNUM(PV_DATA[[#This Row],[ETA for New Ark update]]),0)</f>
        <v>38</v>
      </c>
      <c r="BE878" s="446">
        <f>_xlfn.XLOOKUP(PV_DATA[[#This Row],[New Ark SKU]],Table9[New Ark SKU],Table9[Total PCS per Pallet],,0)</f>
        <v>36</v>
      </c>
      <c r="BF878" s="446">
        <f>_xlfn.XLOOKUP(PV_DATA[[#This Row],[New Ark SKU]],Table9[New Ark SKU],Table9[Total PCS per 40HQ Container],,0)</f>
        <v>720</v>
      </c>
      <c r="BG878" s="446" t="str">
        <f>_xlfn.XLOOKUP(PV_DATA[[#This Row],[New Ark SKU]],Table9[New Ark SKU],Table9[Back Glass],,0)</f>
        <v>Transparent</v>
      </c>
      <c r="BH878" s="446" t="str">
        <f>_xlfn.XLOOKUP(PV_DATA[[#This Row],[PORT DESTINATION]],Table12[PORT DESTINATION],Table12[Cosco Line],,0)</f>
        <v>AEU</v>
      </c>
    </row>
    <row r="879" spans="1:62" s="462" customFormat="1" ht="10.5" hidden="1">
      <c r="A879" s="462" t="s">
        <v>6068</v>
      </c>
      <c r="B879" s="462" t="s">
        <v>111</v>
      </c>
      <c r="C879" s="462" t="str">
        <f>IFERROR(LEFT(PV_DATA[[#This Row],[TCL REFERENCE]],FIND(".",PV_DATA[[#This Row],[TCL REFERENCE]],1)-1),"Main Line")</f>
        <v>26Jul003</v>
      </c>
      <c r="D879" s="462" t="s">
        <v>63</v>
      </c>
      <c r="E879" s="462" t="s">
        <v>64</v>
      </c>
      <c r="F879" s="462" t="str" cm="1">
        <f t="array" ref="F87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79" s="462" t="s">
        <v>402</v>
      </c>
      <c r="H879" s="462" t="s">
        <v>67</v>
      </c>
      <c r="I879" s="462" t="s">
        <v>689</v>
      </c>
      <c r="J879" s="462" t="s">
        <v>96</v>
      </c>
      <c r="M879" s="462" t="s">
        <v>68</v>
      </c>
      <c r="N879" s="712">
        <v>46223</v>
      </c>
      <c r="O879" s="462" t="s">
        <v>132</v>
      </c>
      <c r="P879" s="462" t="s">
        <v>189</v>
      </c>
      <c r="Q879" s="462" t="s">
        <v>190</v>
      </c>
      <c r="R879" s="430" t="str">
        <f>_xlfn.XLOOKUP(PV_DATA[[#This Row],[New Ark SKU]],Table9[New Ark SKU],Table9[Connector],,0)</f>
        <v>EVO2A</v>
      </c>
      <c r="S879" s="433" t="str">
        <f>_xlfn.XLOOKUP(PV_DATA[[#This Row],[New Ark SKU]],Table9[New Ark SKU],Table9[Cable],,0)</f>
        <v>±1200mm</v>
      </c>
      <c r="T879" s="936">
        <v>465</v>
      </c>
      <c r="U879" s="1069">
        <v>864</v>
      </c>
      <c r="V879" s="458">
        <f>PV_DATA[[#This Row],[QUANTITY]]*PV_DATA[[#This Row],[WATT]]/1000000</f>
        <v>0.40176000000000001</v>
      </c>
      <c r="W879" s="714">
        <f>PV_DATA[[#This Row],[QUANTITY]]/PV_DATA[[#This Row],[Qty/Pallet]]</f>
        <v>24</v>
      </c>
      <c r="X879" s="1017">
        <f>PV_DATA[[#This Row],[QUANTITY]]/PV_DATA[[#This Row],[Qty/CT]]</f>
        <v>1</v>
      </c>
      <c r="Y879" s="462" t="s">
        <v>4375</v>
      </c>
      <c r="Z879" s="430" t="str">
        <f>IF(AN879&lt;&gt;"","COMPLETED",IF(AK879&lt;&gt;"","IN-TRANSIT",""))</f>
        <v>COMPLETED</v>
      </c>
      <c r="AB879" s="713">
        <v>46247</v>
      </c>
      <c r="AC879" s="937">
        <f>IF(PV_DATA[[#This Row],[Pick-Up Date]]&lt;&gt;"",_xlfn.ISOWEEKNUM(PV_DATA[[#This Row],[Pick-Up Date]]),"")</f>
        <v>33</v>
      </c>
      <c r="AD879" s="462" t="s">
        <v>6069</v>
      </c>
      <c r="AF879" s="462" t="s">
        <v>122</v>
      </c>
      <c r="AG879" s="462" t="s">
        <v>123</v>
      </c>
      <c r="AH879" s="462" t="s">
        <v>78</v>
      </c>
      <c r="AI879" s="713">
        <v>46254</v>
      </c>
      <c r="AJ879" s="713"/>
      <c r="AK879" s="713">
        <f>IFERROR(IF(VLOOKUP(AT879,Vessel!A:F,5,FALSE)=0,"",VLOOKUP(AT879,Vessel!A:F,5,FALSE)),"")</f>
        <v>46253.978368055556</v>
      </c>
      <c r="AL879" s="713">
        <v>46295</v>
      </c>
      <c r="AM879" s="939">
        <f>IFERROR(VLOOKUP(AT879, Vessel!A:H, 8, FALSE), "")</f>
        <v>46290.25</v>
      </c>
      <c r="AN879" s="939">
        <f>IFERROR(IF(VLOOKUP(AT879,Vessel!A:I,9,FALSE)=0,"",VLOOKUP(AT879,Vessel!A:I,9,FALSE)),"")</f>
        <v>46290.232800925929</v>
      </c>
      <c r="AP879" s="462" t="s">
        <v>6070</v>
      </c>
      <c r="AQ879" s="940" t="s">
        <v>80</v>
      </c>
      <c r="AR879" s="462" t="s">
        <v>6071</v>
      </c>
      <c r="AS879" s="462" t="s">
        <v>6072</v>
      </c>
      <c r="AT879" s="462" t="s">
        <v>6072</v>
      </c>
      <c r="AU87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36.254432870373421</v>
      </c>
      <c r="AW879" s="713" cm="1">
        <f t="array" ref="AW87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46290.232800925929</v>
      </c>
      <c r="AX87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79" s="713">
        <f>IF(ISERROR(PV_DATA[[#This Row],[New Ark PO status]]),"",_xlfn.XLOOKUP(PV_DATA[[#This Row],[SPTN-PVHK New Ark PO'#]],New_Ark_Data[Purchase order Number],New_Ark_Data[Estimated time of arrival],"",0))</f>
        <v>46302</v>
      </c>
      <c r="AZ879" s="936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79" s="713">
        <f>IFERROR(PV_DATA[[#This Row],[ODP ETA Port]]+PV_DATA[[#This Row],[Customs/Leg3 Assumption]],"n/a")</f>
        <v>46298.232800925929</v>
      </c>
      <c r="BB879" s="936">
        <f>YEAR(PV_DATA[[#This Row],[ETA for New Ark update]])</f>
        <v>2026</v>
      </c>
      <c r="BC879" s="462">
        <f>MONTH(PV_DATA[[#This Row],[ETA for New Ark update]])</f>
        <v>10</v>
      </c>
      <c r="BD879" s="462">
        <f>IFERROR(_xlfn.ISOWEEKNUM(PV_DATA[[#This Row],[ETA for New Ark update]]),0)</f>
        <v>40</v>
      </c>
      <c r="BE879" s="462">
        <f>_xlfn.XLOOKUP(PV_DATA[[#This Row],[New Ark SKU]],Table9[New Ark SKU],Table9[Total PCS per Pallet],,0)</f>
        <v>36</v>
      </c>
      <c r="BF879" s="462">
        <f>_xlfn.XLOOKUP(PV_DATA[[#This Row],[New Ark SKU]],Table9[New Ark SKU],Table9[Total PCS per 40HQ Container],,0)</f>
        <v>864</v>
      </c>
      <c r="BG879" s="462" t="str">
        <f>_xlfn.XLOOKUP(PV_DATA[[#This Row],[New Ark SKU]],Table9[New Ark SKU],Table9[Back Glass],,0)</f>
        <v>White glazing</v>
      </c>
      <c r="BH879" s="462" t="str">
        <f>_xlfn.XLOOKUP(PV_DATA[[#This Row],[PORT DESTINATION]],Table12[PORT DESTINATION],Table12[Cosco Line],,0)</f>
        <v>AEM</v>
      </c>
    </row>
    <row r="880" spans="1:62" s="462" customFormat="1" ht="10.5" hidden="1">
      <c r="A880" s="462" t="s">
        <v>6073</v>
      </c>
      <c r="B880" s="462" t="s">
        <v>111</v>
      </c>
      <c r="C880" s="462" t="str">
        <f>IFERROR(LEFT(PV_DATA[[#This Row],[TCL REFERENCE]],FIND(".",PV_DATA[[#This Row],[TCL REFERENCE]],1)-1),"Main Line")</f>
        <v>26Jul003</v>
      </c>
      <c r="D880" s="462" t="s">
        <v>63</v>
      </c>
      <c r="E880" s="462" t="s">
        <v>64</v>
      </c>
      <c r="F880" s="462" t="str" cm="1">
        <f t="array" ref="F88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80" s="462" t="s">
        <v>402</v>
      </c>
      <c r="H880" s="462" t="s">
        <v>67</v>
      </c>
      <c r="I880" s="462" t="s">
        <v>882</v>
      </c>
      <c r="J880" s="462" t="s">
        <v>96</v>
      </c>
      <c r="M880" s="462" t="s">
        <v>68</v>
      </c>
      <c r="N880" s="712">
        <v>46223</v>
      </c>
      <c r="O880" s="462" t="s">
        <v>132</v>
      </c>
      <c r="P880" s="462" t="s">
        <v>189</v>
      </c>
      <c r="Q880" s="462" t="s">
        <v>190</v>
      </c>
      <c r="R880" s="430" t="str">
        <f>_xlfn.XLOOKUP(PV_DATA[[#This Row],[New Ark SKU]],Table9[New Ark SKU],Table9[Connector],,0)</f>
        <v>EVO2A</v>
      </c>
      <c r="S880" s="433" t="str">
        <f>_xlfn.XLOOKUP(PV_DATA[[#This Row],[New Ark SKU]],Table9[New Ark SKU],Table9[Cable],,0)</f>
        <v>±1200mm</v>
      </c>
      <c r="T880" s="936">
        <v>465</v>
      </c>
      <c r="U880" s="1069">
        <f>864*3</f>
        <v>2592</v>
      </c>
      <c r="V880" s="458">
        <f>PV_DATA[[#This Row],[QUANTITY]]*PV_DATA[[#This Row],[WATT]]/1000000</f>
        <v>1.2052799999999999</v>
      </c>
      <c r="W880" s="714">
        <f>PV_DATA[[#This Row],[QUANTITY]]/PV_DATA[[#This Row],[Qty/Pallet]]</f>
        <v>72</v>
      </c>
      <c r="X880" s="1017">
        <f>PV_DATA[[#This Row],[QUANTITY]]/PV_DATA[[#This Row],[Qty/CT]]</f>
        <v>3</v>
      </c>
      <c r="Y880" s="462" t="s">
        <v>4373</v>
      </c>
      <c r="Z880" s="462" t="str">
        <f t="shared" ref="Z880:Z911" si="11">IF(AN880&lt;&gt;"","COMPLETED",IF(AK880&lt;&gt;"","IN-TRANSIT",""))</f>
        <v>COMPLETED</v>
      </c>
      <c r="AB880" s="713">
        <v>46247</v>
      </c>
      <c r="AC880" s="937">
        <f>IF(PV_DATA[[#This Row],[Pick-Up Date]]&lt;&gt;"",_xlfn.ISOWEEKNUM(PV_DATA[[#This Row],[Pick-Up Date]]),"")</f>
        <v>33</v>
      </c>
      <c r="AD880" s="462" t="s">
        <v>6074</v>
      </c>
      <c r="AF880" s="462" t="s">
        <v>122</v>
      </c>
      <c r="AG880" s="462" t="s">
        <v>123</v>
      </c>
      <c r="AH880" s="462" t="s">
        <v>78</v>
      </c>
      <c r="AI880" s="713">
        <v>46254</v>
      </c>
      <c r="AJ880" s="713"/>
      <c r="AK880" s="713">
        <f>IFERROR(IF(VLOOKUP(AT880,Vessel!A:F,5,FALSE)=0,"",VLOOKUP(AT880,Vessel!A:F,5,FALSE)),"")</f>
        <v>46253.978368055556</v>
      </c>
      <c r="AL880" s="713">
        <v>46295</v>
      </c>
      <c r="AM880" s="939">
        <f>IFERROR(VLOOKUP(AT880, Vessel!A:H, 8, FALSE), "")</f>
        <v>46290.25</v>
      </c>
      <c r="AN880" s="939">
        <f>IFERROR(IF(VLOOKUP(AT880,Vessel!A:I,9,FALSE)=0,"",VLOOKUP(AT880,Vessel!A:I,9,FALSE)),"")</f>
        <v>46290.232800925929</v>
      </c>
      <c r="AP880" s="462" t="s">
        <v>6070</v>
      </c>
      <c r="AQ880" s="940" t="s">
        <v>80</v>
      </c>
      <c r="AR880" s="462" t="s">
        <v>6071</v>
      </c>
      <c r="AS880" s="462" t="s">
        <v>6072</v>
      </c>
      <c r="AT880" s="462" t="s">
        <v>6072</v>
      </c>
      <c r="AU88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36.254432870373421</v>
      </c>
      <c r="AW880" s="713" cm="1">
        <f t="array" ref="AW88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46290.232800925929</v>
      </c>
      <c r="AX88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80" s="713">
        <f>IF(ISERROR(PV_DATA[[#This Row],[New Ark PO status]]),"",_xlfn.XLOOKUP(PV_DATA[[#This Row],[SPTN-PVHK New Ark PO'#]],New_Ark_Data[Purchase order Number],New_Ark_Data[Estimated time of arrival],"",0))</f>
        <v>46302</v>
      </c>
      <c r="AZ880" s="936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80" s="713">
        <f>IFERROR(PV_DATA[[#This Row],[ODP ETA Port]]+PV_DATA[[#This Row],[Customs/Leg3 Assumption]],"n/a")</f>
        <v>46298.232800925929</v>
      </c>
      <c r="BB880" s="936">
        <f>YEAR(PV_DATA[[#This Row],[ETA for New Ark update]])</f>
        <v>2026</v>
      </c>
      <c r="BC880" s="462">
        <f>MONTH(PV_DATA[[#This Row],[ETA for New Ark update]])</f>
        <v>10</v>
      </c>
      <c r="BD880" s="462">
        <f>IFERROR(_xlfn.ISOWEEKNUM(PV_DATA[[#This Row],[ETA for New Ark update]]),0)</f>
        <v>40</v>
      </c>
      <c r="BE880" s="462">
        <f>_xlfn.XLOOKUP(PV_DATA[[#This Row],[New Ark SKU]],Table9[New Ark SKU],Table9[Total PCS per Pallet],,0)</f>
        <v>36</v>
      </c>
      <c r="BF880" s="462">
        <f>_xlfn.XLOOKUP(PV_DATA[[#This Row],[New Ark SKU]],Table9[New Ark SKU],Table9[Total PCS per 40HQ Container],,0)</f>
        <v>864</v>
      </c>
      <c r="BG880" s="462" t="str">
        <f>_xlfn.XLOOKUP(PV_DATA[[#This Row],[New Ark SKU]],Table9[New Ark SKU],Table9[Back Glass],,0)</f>
        <v>White glazing</v>
      </c>
      <c r="BH880" s="462" t="str">
        <f>_xlfn.XLOOKUP(PV_DATA[[#This Row],[PORT DESTINATION]],Table12[PORT DESTINATION],Table12[Cosco Line],,0)</f>
        <v>AEM</v>
      </c>
    </row>
    <row r="881" spans="1:62" s="462" customFormat="1" ht="10.5" hidden="1">
      <c r="A881" s="462" t="s">
        <v>6075</v>
      </c>
      <c r="B881" s="462" t="s">
        <v>111</v>
      </c>
      <c r="C881" s="462" t="str">
        <f>IFERROR(LEFT(PV_DATA[[#This Row],[TCL REFERENCE]],FIND(".",PV_DATA[[#This Row],[TCL REFERENCE]],1)-1),"Main Line")</f>
        <v>26Jul004</v>
      </c>
      <c r="D881" s="462" t="s">
        <v>63</v>
      </c>
      <c r="E881" s="462" t="s">
        <v>64</v>
      </c>
      <c r="F881" s="462" t="str" cm="1">
        <f t="array" ref="F88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81" s="462" t="s">
        <v>402</v>
      </c>
      <c r="H881" s="462" t="s">
        <v>67</v>
      </c>
      <c r="I881" s="462" t="s">
        <v>689</v>
      </c>
      <c r="J881" s="462" t="s">
        <v>96</v>
      </c>
      <c r="M881" s="462" t="s">
        <v>68</v>
      </c>
      <c r="N881" s="712">
        <v>46223</v>
      </c>
      <c r="O881" s="462" t="s">
        <v>132</v>
      </c>
      <c r="P881" s="462" t="s">
        <v>1062</v>
      </c>
      <c r="Q881" s="462" t="s">
        <v>1063</v>
      </c>
      <c r="R881" s="430" t="str">
        <f>_xlfn.XLOOKUP(PV_DATA[[#This Row],[New Ark SKU]],Table9[New Ark SKU],Table9[Connector],,0)</f>
        <v>EVO2A</v>
      </c>
      <c r="S881" s="433" t="str">
        <f>_xlfn.XLOOKUP(PV_DATA[[#This Row],[New Ark SKU]],Table9[New Ark SKU],Table9[Cable],,0)</f>
        <v>±1200mm</v>
      </c>
      <c r="T881" s="936">
        <v>470</v>
      </c>
      <c r="U881" s="1069">
        <f>864*3</f>
        <v>2592</v>
      </c>
      <c r="V881" s="458">
        <f>PV_DATA[[#This Row],[QUANTITY]]*PV_DATA[[#This Row],[WATT]]/1000000</f>
        <v>1.21824</v>
      </c>
      <c r="W881" s="714">
        <f>PV_DATA[[#This Row],[QUANTITY]]/PV_DATA[[#This Row],[Qty/Pallet]]</f>
        <v>72</v>
      </c>
      <c r="X881" s="1017">
        <f>PV_DATA[[#This Row],[QUANTITY]]/PV_DATA[[#This Row],[Qty/CT]]</f>
        <v>3</v>
      </c>
      <c r="Y881" s="462" t="s">
        <v>4375</v>
      </c>
      <c r="Z881" s="462" t="str">
        <f t="shared" si="11"/>
        <v>COMPLETED</v>
      </c>
      <c r="AB881" s="713">
        <v>46253</v>
      </c>
      <c r="AC881" s="937">
        <f>IF(PV_DATA[[#This Row],[Pick-Up Date]]&lt;&gt;"",_xlfn.ISOWEEKNUM(PV_DATA[[#This Row],[Pick-Up Date]]),"")</f>
        <v>34</v>
      </c>
      <c r="AD881" s="462" t="s">
        <v>6076</v>
      </c>
      <c r="AE881" s="462" t="s">
        <v>6076</v>
      </c>
      <c r="AF881" s="462" t="s">
        <v>122</v>
      </c>
      <c r="AG881" s="462" t="s">
        <v>123</v>
      </c>
      <c r="AH881" s="462" t="s">
        <v>78</v>
      </c>
      <c r="AI881" s="713">
        <v>46259</v>
      </c>
      <c r="AJ881" s="713">
        <v>46263</v>
      </c>
      <c r="AK881" s="713">
        <f>IFERROR(IF(VLOOKUP(AT881,Vessel!A:F,5,FALSE)=0,"",VLOOKUP(AT881,Vessel!A:F,5,FALSE)),"")</f>
        <v>46263.48333333333</v>
      </c>
      <c r="AL881" s="713">
        <v>46307</v>
      </c>
      <c r="AM881" s="939">
        <f>IFERROR(VLOOKUP(AT881, Vessel!A:H, 8, FALSE), "")</f>
        <v>46318.302083333336</v>
      </c>
      <c r="AN881" s="939">
        <f>IFERROR(IF(VLOOKUP(AT881,Vessel!A:I,9,FALSE)=0,"",VLOOKUP(AT881,Vessel!A:I,9,FALSE)),"")</f>
        <v>46318.374756944446</v>
      </c>
      <c r="AP881" s="462" t="s">
        <v>6077</v>
      </c>
      <c r="AQ881" s="940" t="s">
        <v>80</v>
      </c>
      <c r="AR881" s="462" t="s">
        <v>6078</v>
      </c>
      <c r="AS881" s="462" t="s">
        <v>6079</v>
      </c>
      <c r="AT881" s="462" t="s">
        <v>6079</v>
      </c>
      <c r="AU88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54.891423611115897</v>
      </c>
      <c r="AW881" s="713" cm="1">
        <f t="array" ref="AW88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46318.374756944446</v>
      </c>
      <c r="AX88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81" s="713">
        <f>IF(ISERROR(PV_DATA[[#This Row],[New Ark PO status]]),"",_xlfn.XLOOKUP(PV_DATA[[#This Row],[SPTN-PVHK New Ark PO'#]],New_Ark_Data[Purchase order Number],New_Ark_Data[Estimated time of arrival],"",0))</f>
        <v>46316</v>
      </c>
      <c r="AZ881" s="936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81" s="713">
        <f>IFERROR(PV_DATA[[#This Row],[ODP ETA Port]]+PV_DATA[[#This Row],[Customs/Leg3 Assumption]],"n/a")</f>
        <v>46326.374756944446</v>
      </c>
      <c r="BB881" s="936">
        <f>YEAR(PV_DATA[[#This Row],[ETA for New Ark update]])</f>
        <v>2026</v>
      </c>
      <c r="BC881" s="462">
        <f>MONTH(PV_DATA[[#This Row],[ETA for New Ark update]])</f>
        <v>10</v>
      </c>
      <c r="BD881" s="462">
        <f>IFERROR(_xlfn.ISOWEEKNUM(PV_DATA[[#This Row],[ETA for New Ark update]]),0)</f>
        <v>44</v>
      </c>
      <c r="BE881" s="462">
        <f>_xlfn.XLOOKUP(PV_DATA[[#This Row],[New Ark SKU]],Table9[New Ark SKU],Table9[Total PCS per Pallet],,0)</f>
        <v>36</v>
      </c>
      <c r="BF881" s="462">
        <f>_xlfn.XLOOKUP(PV_DATA[[#This Row],[New Ark SKU]],Table9[New Ark SKU],Table9[Total PCS per 40HQ Container],,0)</f>
        <v>864</v>
      </c>
      <c r="BG881" s="462" t="str">
        <f>_xlfn.XLOOKUP(PV_DATA[[#This Row],[New Ark SKU]],Table9[New Ark SKU],Table9[Back Glass],,0)</f>
        <v>White glazing</v>
      </c>
      <c r="BH881" s="462" t="str">
        <f>_xlfn.XLOOKUP(PV_DATA[[#This Row],[PORT DESTINATION]],Table12[PORT DESTINATION],Table12[Cosco Line],,0)</f>
        <v>AEM</v>
      </c>
    </row>
    <row r="882" spans="1:62" s="462" customFormat="1" ht="10.5" hidden="1">
      <c r="A882" s="462" t="s">
        <v>6080</v>
      </c>
      <c r="B882" s="462" t="s">
        <v>111</v>
      </c>
      <c r="C882" s="462" t="str">
        <f>IFERROR(LEFT(PV_DATA[[#This Row],[TCL REFERENCE]],FIND(".",PV_DATA[[#This Row],[TCL REFERENCE]],1)-1),"Main Line")</f>
        <v>26Jul001</v>
      </c>
      <c r="D882" s="462" t="s">
        <v>63</v>
      </c>
      <c r="E882" s="462" t="s">
        <v>64</v>
      </c>
      <c r="F882" s="462" t="str" cm="1">
        <f t="array" ref="F88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82" s="462" t="s">
        <v>402</v>
      </c>
      <c r="H882" s="462" t="s">
        <v>67</v>
      </c>
      <c r="I882" s="462" t="s">
        <v>882</v>
      </c>
      <c r="J882" s="462" t="s">
        <v>96</v>
      </c>
      <c r="M882" s="462" t="s">
        <v>68</v>
      </c>
      <c r="N882" s="712">
        <v>46209</v>
      </c>
      <c r="O882" s="462" t="s">
        <v>550</v>
      </c>
      <c r="P882" s="462" t="s">
        <v>551</v>
      </c>
      <c r="Q882" s="462" t="s">
        <v>2151</v>
      </c>
      <c r="R882" s="430" t="str">
        <f>_xlfn.XLOOKUP(PV_DATA[[#This Row],[New Ark SKU]],Table9[New Ark SKU],Table9[Connector],,0)</f>
        <v>EVO2A</v>
      </c>
      <c r="S882" s="433" t="str">
        <f>_xlfn.XLOOKUP(PV_DATA[[#This Row],[New Ark SKU]],Table9[New Ark SKU],Table9[Cable],,0)</f>
        <v>±1350mm</v>
      </c>
      <c r="T882" s="936">
        <v>510</v>
      </c>
      <c r="U882" s="1069">
        <v>1584</v>
      </c>
      <c r="V882" s="458">
        <f>PV_DATA[[#This Row],[QUANTITY]]*PV_DATA[[#This Row],[WATT]]/1000000</f>
        <v>0.80784</v>
      </c>
      <c r="W882" s="714">
        <f>PV_DATA[[#This Row],[QUANTITY]]/PV_DATA[[#This Row],[Qty/Pallet]]</f>
        <v>44</v>
      </c>
      <c r="X882" s="1017">
        <f>PV_DATA[[#This Row],[QUANTITY]]/PV_DATA[[#This Row],[Qty/CT]]</f>
        <v>2</v>
      </c>
      <c r="Y882" s="462" t="s">
        <v>4373</v>
      </c>
      <c r="Z882" s="462" t="str">
        <f t="shared" si="11"/>
        <v>COMPLETED</v>
      </c>
      <c r="AB882" s="713">
        <v>46253</v>
      </c>
      <c r="AC882" s="937">
        <f>IF(PV_DATA[[#This Row],[Pick-Up Date]]&lt;&gt;"",_xlfn.ISOWEEKNUM(PV_DATA[[#This Row],[Pick-Up Date]]),"")</f>
        <v>34</v>
      </c>
      <c r="AD882" s="462" t="s">
        <v>6081</v>
      </c>
      <c r="AE882" s="462" t="s">
        <v>6081</v>
      </c>
      <c r="AF882" s="462" t="s">
        <v>122</v>
      </c>
      <c r="AG882" s="462" t="s">
        <v>123</v>
      </c>
      <c r="AH882" s="462" t="s">
        <v>78</v>
      </c>
      <c r="AI882" s="713">
        <v>46259</v>
      </c>
      <c r="AJ882" s="713">
        <v>46263</v>
      </c>
      <c r="AK882" s="713">
        <f>IFERROR(IF(VLOOKUP(AT882,Vessel!A:F,5,FALSE)=0,"",VLOOKUP(AT882,Vessel!A:F,5,FALSE)),"")</f>
        <v>46263.48333333333</v>
      </c>
      <c r="AL882" s="1078">
        <v>46307</v>
      </c>
      <c r="AM882" s="1194">
        <f>IFERROR(VLOOKUP(AT882, Vessel!A:H, 8, FALSE), "")</f>
        <v>46318.302083333336</v>
      </c>
      <c r="AN882" s="939">
        <f>IFERROR(IF(VLOOKUP(AT882,Vessel!A:I,9,FALSE)=0,"",VLOOKUP(AT882,Vessel!A:I,9,FALSE)),"")</f>
        <v>46318.374756944446</v>
      </c>
      <c r="AP882" s="462" t="s">
        <v>6077</v>
      </c>
      <c r="AQ882" s="462" t="s">
        <v>80</v>
      </c>
      <c r="AR882" s="462" t="s">
        <v>6078</v>
      </c>
      <c r="AS882" s="462" t="s">
        <v>6079</v>
      </c>
      <c r="AT882" s="462" t="s">
        <v>6079</v>
      </c>
      <c r="AU88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54.891423611115897</v>
      </c>
      <c r="AW882" s="713" cm="1">
        <f t="array" ref="AW88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46318.374756944446</v>
      </c>
      <c r="AX88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82" s="713">
        <f>IF(ISERROR(PV_DATA[[#This Row],[New Ark PO status]]),"",_xlfn.XLOOKUP(PV_DATA[[#This Row],[SPTN-PVHK New Ark PO'#]],New_Ark_Data[Purchase order Number],New_Ark_Data[Estimated time of arrival],"",0))</f>
        <v>46316</v>
      </c>
      <c r="AZ882" s="936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82" s="713">
        <f>IFERROR(PV_DATA[[#This Row],[ODP ETA Port]]+PV_DATA[[#This Row],[Customs/Leg3 Assumption]],"n/a")</f>
        <v>46326.374756944446</v>
      </c>
      <c r="BB882" s="936">
        <f>YEAR(PV_DATA[[#This Row],[ETA for New Ark update]])</f>
        <v>2026</v>
      </c>
      <c r="BC882" s="462">
        <f>MONTH(PV_DATA[[#This Row],[ETA for New Ark update]])</f>
        <v>10</v>
      </c>
      <c r="BD882" s="462">
        <f>IFERROR(_xlfn.ISOWEEKNUM(PV_DATA[[#This Row],[ETA for New Ark update]]),0)</f>
        <v>44</v>
      </c>
      <c r="BE882" s="462">
        <f>_xlfn.XLOOKUP(PV_DATA[[#This Row],[New Ark SKU]],Table9[New Ark SKU],Table9[Total PCS per Pallet],,0)</f>
        <v>36</v>
      </c>
      <c r="BF882" s="462">
        <f>_xlfn.XLOOKUP(PV_DATA[[#This Row],[New Ark SKU]],Table9[New Ark SKU],Table9[Total PCS per 40HQ Container],,0)</f>
        <v>792</v>
      </c>
      <c r="BG882" s="462" t="str">
        <f>_xlfn.XLOOKUP(PV_DATA[[#This Row],[New Ark SKU]],Table9[New Ark SKU],Table9[Back Glass],,0)</f>
        <v>Black glazing</v>
      </c>
      <c r="BH882" s="462" t="str">
        <f>_xlfn.XLOOKUP(PV_DATA[[#This Row],[PORT DESTINATION]],Table12[PORT DESTINATION],Table12[Cosco Line],,0)</f>
        <v>AEM</v>
      </c>
    </row>
    <row r="883" spans="1:62" ht="10.5" hidden="1">
      <c r="A883" s="462" t="s">
        <v>6082</v>
      </c>
      <c r="B883" s="462" t="s">
        <v>1757</v>
      </c>
      <c r="C883" s="462" t="str">
        <f>IFERROR(LEFT(PV_DATA[[#This Row],[TCL REFERENCE]],FIND(".",PV_DATA[[#This Row],[TCL REFERENCE]],1)-1),"Main Line")</f>
        <v>26Jun011</v>
      </c>
      <c r="D883" s="462" t="s">
        <v>63</v>
      </c>
      <c r="E883" s="462" t="s">
        <v>64</v>
      </c>
      <c r="F883" s="462" t="str" cm="1">
        <f t="array" ref="F88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83" s="462" t="s">
        <v>402</v>
      </c>
      <c r="H883" s="462" t="s">
        <v>67</v>
      </c>
      <c r="I883" s="462" t="s">
        <v>689</v>
      </c>
      <c r="J883" s="430" t="s">
        <v>96</v>
      </c>
      <c r="K883" s="430"/>
      <c r="L883" s="430"/>
      <c r="M883" s="430" t="s">
        <v>68</v>
      </c>
      <c r="N883" s="432">
        <v>46195</v>
      </c>
      <c r="O883" s="430" t="s">
        <v>4540</v>
      </c>
      <c r="P883" s="430" t="s">
        <v>71</v>
      </c>
      <c r="Q883" s="430" t="s">
        <v>72</v>
      </c>
      <c r="R883" s="430" t="str">
        <f>_xlfn.XLOOKUP(PV_DATA[[#This Row],[New Ark SKU]],Table9[New Ark SKU],Table9[Connector],,0)</f>
        <v>EVO2A</v>
      </c>
      <c r="S883" s="433" t="str">
        <f>_xlfn.XLOOKUP(PV_DATA[[#This Row],[New Ark SKU]],Table9[New Ark SKU],Table9[Cable],,0)</f>
        <v>±1200mm</v>
      </c>
      <c r="T883" s="433">
        <v>500</v>
      </c>
      <c r="U883" s="1062">
        <v>864</v>
      </c>
      <c r="V883" s="434">
        <f>PV_DATA[[#This Row],[QUANTITY]]*PV_DATA[[#This Row],[WATT]]/1000000</f>
        <v>0.432</v>
      </c>
      <c r="W883" s="435">
        <f>PV_DATA[[#This Row],[QUANTITY]]/PV_DATA[[#This Row],[Qty/Pallet]]</f>
        <v>24</v>
      </c>
      <c r="X883" s="1015">
        <f>PV_DATA[[#This Row],[QUANTITY]]/PV_DATA[[#This Row],[Qty/CT]]</f>
        <v>1</v>
      </c>
      <c r="Y883" s="430" t="s">
        <v>4371</v>
      </c>
      <c r="Z883" s="430" t="str">
        <f t="shared" si="11"/>
        <v>COMPLETED</v>
      </c>
      <c r="AA883" s="430" t="s">
        <v>5157</v>
      </c>
      <c r="AB883" s="543">
        <v>46257</v>
      </c>
      <c r="AC883" s="485">
        <f>IF(PV_DATA[[#This Row],[Pick-Up Date]]&lt;&gt;"",_xlfn.ISOWEEKNUM(PV_DATA[[#This Row],[Pick-Up Date]]),"")</f>
        <v>34</v>
      </c>
      <c r="AD883" s="430" t="s">
        <v>6083</v>
      </c>
      <c r="AE883" s="430"/>
      <c r="AF883" s="459" t="s">
        <v>5043</v>
      </c>
      <c r="AG883" s="459" t="s">
        <v>123</v>
      </c>
      <c r="AH883" s="430" t="s">
        <v>78</v>
      </c>
      <c r="AI883" s="713">
        <v>46253</v>
      </c>
      <c r="AJ883" s="713">
        <v>46267</v>
      </c>
      <c r="AK883" s="437">
        <v>46267</v>
      </c>
      <c r="AL883" s="437">
        <v>46309</v>
      </c>
      <c r="AN883" s="437">
        <v>46309</v>
      </c>
      <c r="AP883" s="430" t="s">
        <v>6084</v>
      </c>
      <c r="AQ883" s="430" t="s">
        <v>161</v>
      </c>
      <c r="AR883" s="430" t="s">
        <v>6085</v>
      </c>
      <c r="AS883" s="430">
        <v>275125721</v>
      </c>
      <c r="AT883" s="430">
        <v>275125721</v>
      </c>
      <c r="AU88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</v>
      </c>
      <c r="AV883" s="437"/>
      <c r="AW883" s="437" cm="1">
        <f t="array" ref="AW88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46309</v>
      </c>
      <c r="AX88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83" s="437">
        <f>IF(ISERROR(PV_DATA[[#This Row],[New Ark PO status]]),"",_xlfn.XLOOKUP(PV_DATA[[#This Row],[SPTN-PVHK New Ark PO'#]],New_Ark_Data[Purchase order Number],New_Ark_Data[Estimated time of arrival],"",0))</f>
        <v>46310</v>
      </c>
      <c r="AZ883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83" s="437">
        <f>IFERROR(PV_DATA[[#This Row],[ODP ETA Port]]+PV_DATA[[#This Row],[Customs/Leg3 Assumption]],"n/a")</f>
        <v>46317</v>
      </c>
      <c r="BB883" s="433">
        <f>YEAR(PV_DATA[[#This Row],[ETA for New Ark update]])</f>
        <v>2026</v>
      </c>
      <c r="BC883" s="430">
        <f>MONTH(PV_DATA[[#This Row],[ETA for New Ark update]])</f>
        <v>10</v>
      </c>
      <c r="BD883" s="430">
        <f>IFERROR(_xlfn.ISOWEEKNUM(PV_DATA[[#This Row],[ETA for New Ark update]]),0)</f>
        <v>43</v>
      </c>
      <c r="BE883" s="430">
        <f>_xlfn.XLOOKUP(PV_DATA[[#This Row],[New Ark SKU]],Table9[New Ark SKU],Table9[Total PCS per Pallet],,0)</f>
        <v>36</v>
      </c>
      <c r="BF883" s="430">
        <f>_xlfn.XLOOKUP(PV_DATA[[#This Row],[New Ark SKU]],Table9[New Ark SKU],Table9[Total PCS per 40HQ Container],,0)</f>
        <v>864</v>
      </c>
      <c r="BG883" s="430" t="str">
        <f>_xlfn.XLOOKUP(PV_DATA[[#This Row],[New Ark SKU]],Table9[New Ark SKU],Table9[Back Glass],,0)</f>
        <v>Black glazing</v>
      </c>
      <c r="BH883" s="430" t="str">
        <f>_xlfn.XLOOKUP(PV_DATA[[#This Row],[PORT DESTINATION]],Table12[PORT DESTINATION],Table12[Cosco Line],,0)</f>
        <v>AEM</v>
      </c>
      <c r="BJ883" s="430"/>
    </row>
    <row r="884" spans="1:62" ht="10.5" hidden="1">
      <c r="A884" s="462" t="s">
        <v>6086</v>
      </c>
      <c r="B884" s="462" t="s">
        <v>1757</v>
      </c>
      <c r="C884" s="462" t="str">
        <f>IFERROR(LEFT(PV_DATA[[#This Row],[TCL REFERENCE]],FIND(".",PV_DATA[[#This Row],[TCL REFERENCE]],1)-1),"Main Line")</f>
        <v>26Jul007</v>
      </c>
      <c r="D884" s="462" t="s">
        <v>63</v>
      </c>
      <c r="E884" s="462" t="s">
        <v>64</v>
      </c>
      <c r="F884" s="462" t="str" cm="1">
        <f t="array" ref="F88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84" s="462" t="s">
        <v>402</v>
      </c>
      <c r="H884" s="462" t="s">
        <v>67</v>
      </c>
      <c r="I884" s="462" t="s">
        <v>689</v>
      </c>
      <c r="J884" s="430" t="s">
        <v>96</v>
      </c>
      <c r="K884" s="430"/>
      <c r="L884" s="430"/>
      <c r="M884" s="430" t="s">
        <v>68</v>
      </c>
      <c r="N884" s="432">
        <v>46209</v>
      </c>
      <c r="O884" s="430" t="s">
        <v>4540</v>
      </c>
      <c r="P884" s="430" t="s">
        <v>71</v>
      </c>
      <c r="Q884" s="430" t="s">
        <v>72</v>
      </c>
      <c r="R884" s="430" t="str">
        <f>_xlfn.XLOOKUP(PV_DATA[[#This Row],[New Ark SKU]],Table9[New Ark SKU],Table9[Connector],,0)</f>
        <v>EVO2A</v>
      </c>
      <c r="S884" s="433" t="str">
        <f>_xlfn.XLOOKUP(PV_DATA[[#This Row],[New Ark SKU]],Table9[New Ark SKU],Table9[Cable],,0)</f>
        <v>±1200mm</v>
      </c>
      <c r="T884" s="433">
        <v>500</v>
      </c>
      <c r="U884" s="1062">
        <f>864*4</f>
        <v>3456</v>
      </c>
      <c r="V884" s="434">
        <f>PV_DATA[[#This Row],[QUANTITY]]*PV_DATA[[#This Row],[WATT]]/1000000</f>
        <v>1.728</v>
      </c>
      <c r="W884" s="435">
        <f>PV_DATA[[#This Row],[QUANTITY]]/PV_DATA[[#This Row],[Qty/Pallet]]</f>
        <v>96</v>
      </c>
      <c r="X884" s="1015">
        <f>PV_DATA[[#This Row],[QUANTITY]]/PV_DATA[[#This Row],[Qty/CT]]</f>
        <v>4</v>
      </c>
      <c r="Y884" s="430" t="s">
        <v>4372</v>
      </c>
      <c r="Z884" s="430" t="str">
        <f t="shared" si="11"/>
        <v>COMPLETED</v>
      </c>
      <c r="AA884" s="430"/>
      <c r="AB884" s="543">
        <v>46257</v>
      </c>
      <c r="AC884" s="485">
        <f>IF(PV_DATA[[#This Row],[Pick-Up Date]]&lt;&gt;"",_xlfn.ISOWEEKNUM(PV_DATA[[#This Row],[Pick-Up Date]]),"")</f>
        <v>34</v>
      </c>
      <c r="AD884" s="430" t="s">
        <v>6087</v>
      </c>
      <c r="AE884" s="430"/>
      <c r="AF884" s="459" t="s">
        <v>5043</v>
      </c>
      <c r="AG884" s="459" t="s">
        <v>5854</v>
      </c>
      <c r="AH884" s="430" t="s">
        <v>78</v>
      </c>
      <c r="AI884" s="713">
        <v>46253</v>
      </c>
      <c r="AJ884" s="713">
        <v>46267</v>
      </c>
      <c r="AK884" s="437">
        <v>46267</v>
      </c>
      <c r="AL884" s="437">
        <v>46309</v>
      </c>
      <c r="AN884" s="437">
        <v>46309</v>
      </c>
      <c r="AP884" s="430" t="s">
        <v>6084</v>
      </c>
      <c r="AQ884" s="438" t="s">
        <v>161</v>
      </c>
      <c r="AR884" s="430" t="s">
        <v>6085</v>
      </c>
      <c r="AS884" s="430">
        <v>275125721</v>
      </c>
      <c r="AT884" s="430">
        <v>275125721</v>
      </c>
      <c r="AU88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</v>
      </c>
      <c r="AW884" s="437" cm="1">
        <f t="array" ref="AW88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46309</v>
      </c>
      <c r="AX88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84" s="437">
        <f>IF(ISERROR(PV_DATA[[#This Row],[New Ark PO status]]),"",_xlfn.XLOOKUP(PV_DATA[[#This Row],[SPTN-PVHK New Ark PO'#]],New_Ark_Data[Purchase order Number],New_Ark_Data[Estimated time of arrival],"",0))</f>
        <v>46310</v>
      </c>
      <c r="AZ884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84" s="437">
        <f>IFERROR(PV_DATA[[#This Row],[ODP ETA Port]]+PV_DATA[[#This Row],[Customs/Leg3 Assumption]],"n/a")</f>
        <v>46317</v>
      </c>
      <c r="BB884" s="433">
        <f>YEAR(PV_DATA[[#This Row],[ETA for New Ark update]])</f>
        <v>2026</v>
      </c>
      <c r="BC884" s="430">
        <f>MONTH(PV_DATA[[#This Row],[ETA for New Ark update]])</f>
        <v>10</v>
      </c>
      <c r="BD884" s="430">
        <f>IFERROR(_xlfn.ISOWEEKNUM(PV_DATA[[#This Row],[ETA for New Ark update]]),0)</f>
        <v>43</v>
      </c>
      <c r="BE884" s="430">
        <f>_xlfn.XLOOKUP(PV_DATA[[#This Row],[New Ark SKU]],Table9[New Ark SKU],Table9[Total PCS per Pallet],,0)</f>
        <v>36</v>
      </c>
      <c r="BF884" s="430">
        <f>_xlfn.XLOOKUP(PV_DATA[[#This Row],[New Ark SKU]],Table9[New Ark SKU],Table9[Total PCS per 40HQ Container],,0)</f>
        <v>864</v>
      </c>
      <c r="BG884" s="430" t="str">
        <f>_xlfn.XLOOKUP(PV_DATA[[#This Row],[New Ark SKU]],Table9[New Ark SKU],Table9[Back Glass],,0)</f>
        <v>Black glazing</v>
      </c>
      <c r="BH884" s="430" t="str">
        <f>_xlfn.XLOOKUP(PV_DATA[[#This Row],[PORT DESTINATION]],Table12[PORT DESTINATION],Table12[Cosco Line],,0)</f>
        <v>AEM</v>
      </c>
      <c r="BJ884" s="430"/>
    </row>
    <row r="885" spans="1:62" ht="10.5" hidden="1">
      <c r="A885" s="730" t="s">
        <v>6088</v>
      </c>
      <c r="B885" s="462" t="s">
        <v>111</v>
      </c>
      <c r="C885" s="462" t="str">
        <f>IFERROR(LEFT(PV_DATA[[#This Row],[TCL REFERENCE]],FIND(".",PV_DATA[[#This Row],[TCL REFERENCE]],1)-1),"Main Line")</f>
        <v>26Jul016</v>
      </c>
      <c r="D885" s="462" t="s">
        <v>63</v>
      </c>
      <c r="E885" s="462" t="s">
        <v>64</v>
      </c>
      <c r="F885" s="462" t="str" cm="1">
        <f t="array" ref="F88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85" s="462" t="s">
        <v>402</v>
      </c>
      <c r="H885" s="462" t="s">
        <v>67</v>
      </c>
      <c r="I885" s="462" t="s">
        <v>882</v>
      </c>
      <c r="J885" s="430" t="s">
        <v>96</v>
      </c>
      <c r="K885" s="430"/>
      <c r="L885" s="430"/>
      <c r="M885" s="430" t="s">
        <v>68</v>
      </c>
      <c r="N885" s="432">
        <v>46234</v>
      </c>
      <c r="O885" s="430" t="s">
        <v>5388</v>
      </c>
      <c r="P885" s="430" t="s">
        <v>5744</v>
      </c>
      <c r="Q885" s="430" t="s">
        <v>5745</v>
      </c>
      <c r="R885" s="430" t="str">
        <f>_xlfn.XLOOKUP(PV_DATA[[#This Row],[New Ark SKU]],Table9[New Ark SKU],Table9[Connector],,0)</f>
        <v>EVO2A</v>
      </c>
      <c r="S885" s="433" t="str">
        <f>_xlfn.XLOOKUP(PV_DATA[[#This Row],[New Ark SKU]],Table9[New Ark SKU],Table9[Cable],,0)</f>
        <v>±1200mm</v>
      </c>
      <c r="T885" s="433">
        <v>475</v>
      </c>
      <c r="U885" s="1062">
        <f>936*12</f>
        <v>11232</v>
      </c>
      <c r="V885" s="434">
        <f>PV_DATA[[#This Row],[QUANTITY]]*PV_DATA[[#This Row],[WATT]]/1000000</f>
        <v>5.3352000000000004</v>
      </c>
      <c r="W885" s="435">
        <f>PV_DATA[[#This Row],[QUANTITY]]/PV_DATA[[#This Row],[Qty/Pallet]]</f>
        <v>312</v>
      </c>
      <c r="X885" s="1015">
        <f>PV_DATA[[#This Row],[QUANTITY]]/PV_DATA[[#This Row],[Qty/CT]]</f>
        <v>12</v>
      </c>
      <c r="Y885" s="430" t="s">
        <v>4374</v>
      </c>
      <c r="Z885" s="430" t="str">
        <f t="shared" si="11"/>
        <v>COMPLETED</v>
      </c>
      <c r="AA885" s="430"/>
      <c r="AB885" s="543">
        <v>46257</v>
      </c>
      <c r="AC885" s="485">
        <f>IF(PV_DATA[[#This Row],[Pick-Up Date]]&lt;&gt;"",_xlfn.ISOWEEKNUM(PV_DATA[[#This Row],[Pick-Up Date]]),"")</f>
        <v>34</v>
      </c>
      <c r="AD885" s="430" t="s">
        <v>6089</v>
      </c>
      <c r="AE885" s="430"/>
      <c r="AF885" s="430" t="s">
        <v>122</v>
      </c>
      <c r="AG885" s="430" t="s">
        <v>123</v>
      </c>
      <c r="AH885" s="430" t="s">
        <v>78</v>
      </c>
      <c r="AI885" s="713">
        <v>46253</v>
      </c>
      <c r="AJ885" s="437">
        <v>46267</v>
      </c>
      <c r="AK885" s="437">
        <v>46267</v>
      </c>
      <c r="AL885" s="437">
        <v>46309</v>
      </c>
      <c r="AN885" s="437">
        <v>46309</v>
      </c>
      <c r="AP885" s="430" t="s">
        <v>6084</v>
      </c>
      <c r="AQ885" s="438" t="s">
        <v>161</v>
      </c>
      <c r="AR885" s="430" t="s">
        <v>6090</v>
      </c>
      <c r="AS885" s="430">
        <v>274886721</v>
      </c>
      <c r="AT885" s="430">
        <v>274886721</v>
      </c>
      <c r="AU88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</v>
      </c>
      <c r="AW885" s="437" cm="1">
        <f t="array" ref="AW88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46309</v>
      </c>
      <c r="AX88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85" s="437">
        <f>IF(ISERROR(PV_DATA[[#This Row],[New Ark PO status]]),"",_xlfn.XLOOKUP(PV_DATA[[#This Row],[SPTN-PVHK New Ark PO'#]],New_Ark_Data[Purchase order Number],New_Ark_Data[Estimated time of arrival],"",0))</f>
        <v>46310</v>
      </c>
      <c r="AZ885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85" s="437">
        <f>IFERROR(PV_DATA[[#This Row],[ODP ETA Port]]+PV_DATA[[#This Row],[Customs/Leg3 Assumption]],"n/a")</f>
        <v>46317</v>
      </c>
      <c r="BB885" s="433">
        <f>YEAR(PV_DATA[[#This Row],[ETA for New Ark update]])</f>
        <v>2026</v>
      </c>
      <c r="BC885" s="430">
        <f>MONTH(PV_DATA[[#This Row],[ETA for New Ark update]])</f>
        <v>10</v>
      </c>
      <c r="BD885" s="430">
        <f>IFERROR(_xlfn.ISOWEEKNUM(PV_DATA[[#This Row],[ETA for New Ark update]]),0)</f>
        <v>43</v>
      </c>
      <c r="BE885" s="430">
        <f>_xlfn.XLOOKUP(PV_DATA[[#This Row],[New Ark SKU]],Table9[New Ark SKU],Table9[Total PCS per Pallet],,0)</f>
        <v>36</v>
      </c>
      <c r="BF885" s="430">
        <f>_xlfn.XLOOKUP(PV_DATA[[#This Row],[New Ark SKU]],Table9[New Ark SKU],Table9[Total PCS per 40HQ Container],,0)</f>
        <v>936</v>
      </c>
      <c r="BG885" s="430" t="str">
        <f>_xlfn.XLOOKUP(PV_DATA[[#This Row],[New Ark SKU]],Table9[New Ark SKU],Table9[Back Glass],,0)</f>
        <v>White glazing</v>
      </c>
      <c r="BH885" s="430" t="str">
        <f>_xlfn.XLOOKUP(PV_DATA[[#This Row],[PORT DESTINATION]],Table12[PORT DESTINATION],Table12[Cosco Line],,0)</f>
        <v>AEM</v>
      </c>
      <c r="BJ885" s="430"/>
    </row>
    <row r="886" spans="1:62" ht="10.5" hidden="1">
      <c r="A886" s="462" t="s">
        <v>6091</v>
      </c>
      <c r="B886" s="462" t="s">
        <v>111</v>
      </c>
      <c r="C886" s="462" t="str">
        <f>IFERROR(LEFT(PV_DATA[[#This Row],[TCL REFERENCE]],FIND(".",PV_DATA[[#This Row],[TCL REFERENCE]],1)-1),"Main Line")</f>
        <v>26Jul004</v>
      </c>
      <c r="D886" s="462" t="s">
        <v>63</v>
      </c>
      <c r="E886" s="462" t="s">
        <v>64</v>
      </c>
      <c r="F886" s="462" t="str" cm="1">
        <f t="array" ref="F88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86" s="462" t="s">
        <v>402</v>
      </c>
      <c r="H886" s="462" t="s">
        <v>67</v>
      </c>
      <c r="I886" s="462" t="s">
        <v>882</v>
      </c>
      <c r="J886" s="430" t="s">
        <v>96</v>
      </c>
      <c r="K886" s="430"/>
      <c r="L886" s="430"/>
      <c r="M886" s="430" t="s">
        <v>68</v>
      </c>
      <c r="N886" s="432">
        <v>46223</v>
      </c>
      <c r="O886" s="430" t="s">
        <v>132</v>
      </c>
      <c r="P886" s="430" t="s">
        <v>1062</v>
      </c>
      <c r="Q886" s="430" t="s">
        <v>1063</v>
      </c>
      <c r="R886" s="430" t="str">
        <f>_xlfn.XLOOKUP(PV_DATA[[#This Row],[New Ark SKU]],Table9[New Ark SKU],Table9[Connector],,0)</f>
        <v>EVO2A</v>
      </c>
      <c r="S886" s="433" t="str">
        <f>_xlfn.XLOOKUP(PV_DATA[[#This Row],[New Ark SKU]],Table9[New Ark SKU],Table9[Cable],,0)</f>
        <v>±1200mm</v>
      </c>
      <c r="T886" s="433">
        <v>470</v>
      </c>
      <c r="U886" s="1062">
        <v>864</v>
      </c>
      <c r="V886" s="434">
        <f>PV_DATA[[#This Row],[QUANTITY]]*PV_DATA[[#This Row],[WATT]]/1000000</f>
        <v>0.40608</v>
      </c>
      <c r="W886" s="435">
        <f>PV_DATA[[#This Row],[QUANTITY]]/PV_DATA[[#This Row],[Qty/Pallet]]</f>
        <v>24</v>
      </c>
      <c r="X886" s="1015">
        <f>PV_DATA[[#This Row],[QUANTITY]]/PV_DATA[[#This Row],[Qty/CT]]</f>
        <v>1</v>
      </c>
      <c r="Y886" s="430" t="s">
        <v>4373</v>
      </c>
      <c r="Z886" s="430" t="str">
        <f t="shared" si="11"/>
        <v>COMPLETED</v>
      </c>
      <c r="AA886" s="430"/>
      <c r="AB886" s="437">
        <v>46259</v>
      </c>
      <c r="AC886" s="485">
        <f>IF(PV_DATA[[#This Row],[Pick-Up Date]]&lt;&gt;"",_xlfn.ISOWEEKNUM(PV_DATA[[#This Row],[Pick-Up Date]]),"")</f>
        <v>35</v>
      </c>
      <c r="AD886" s="430" t="s">
        <v>6092</v>
      </c>
      <c r="AE886" s="430"/>
      <c r="AF886" s="430" t="s">
        <v>122</v>
      </c>
      <c r="AG886" s="430" t="s">
        <v>123</v>
      </c>
      <c r="AH886" s="430" t="s">
        <v>78</v>
      </c>
      <c r="AI886" s="713">
        <v>46256</v>
      </c>
      <c r="AJ886" s="437">
        <v>46265</v>
      </c>
      <c r="AK886" s="437">
        <v>46265</v>
      </c>
      <c r="AL886" s="437">
        <v>46303</v>
      </c>
      <c r="AN886" s="437">
        <v>46303</v>
      </c>
      <c r="AP886" s="430" t="s">
        <v>6093</v>
      </c>
      <c r="AQ886" s="430" t="s">
        <v>161</v>
      </c>
      <c r="AR886" s="430" t="s">
        <v>6094</v>
      </c>
      <c r="AS886" s="430">
        <v>275075026</v>
      </c>
      <c r="AT886" s="430">
        <v>275075026</v>
      </c>
      <c r="AU88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</v>
      </c>
      <c r="AV886" s="437"/>
      <c r="AW886" s="437" cm="1">
        <f t="array" ref="AW88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46303</v>
      </c>
      <c r="AX88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86" s="437">
        <f>IF(ISERROR(PV_DATA[[#This Row],[New Ark PO status]]),"",_xlfn.XLOOKUP(PV_DATA[[#This Row],[SPTN-PVHK New Ark PO'#]],New_Ark_Data[Purchase order Number],New_Ark_Data[Estimated time of arrival],"",0))</f>
        <v>46310</v>
      </c>
      <c r="AZ886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86" s="437">
        <f>IFERROR(PV_DATA[[#This Row],[ODP ETA Port]]+PV_DATA[[#This Row],[Customs/Leg3 Assumption]],"n/a")</f>
        <v>46311</v>
      </c>
      <c r="BB886" s="433">
        <f>YEAR(PV_DATA[[#This Row],[ETA for New Ark update]])</f>
        <v>2026</v>
      </c>
      <c r="BC886" s="430">
        <f>MONTH(PV_DATA[[#This Row],[ETA for New Ark update]])</f>
        <v>10</v>
      </c>
      <c r="BD886" s="430">
        <f>IFERROR(_xlfn.ISOWEEKNUM(PV_DATA[[#This Row],[ETA for New Ark update]]),0)</f>
        <v>42</v>
      </c>
      <c r="BE886" s="430">
        <f>_xlfn.XLOOKUP(PV_DATA[[#This Row],[New Ark SKU]],Table9[New Ark SKU],Table9[Total PCS per Pallet],,0)</f>
        <v>36</v>
      </c>
      <c r="BF886" s="430">
        <f>_xlfn.XLOOKUP(PV_DATA[[#This Row],[New Ark SKU]],Table9[New Ark SKU],Table9[Total PCS per 40HQ Container],,0)</f>
        <v>864</v>
      </c>
      <c r="BG886" s="430" t="str">
        <f>_xlfn.XLOOKUP(PV_DATA[[#This Row],[New Ark SKU]],Table9[New Ark SKU],Table9[Back Glass],,0)</f>
        <v>White glazing</v>
      </c>
      <c r="BH886" s="610" t="str">
        <f>_xlfn.XLOOKUP(PV_DATA[[#This Row],[PORT DESTINATION]],Table12[PORT DESTINATION],Table12[Cosco Line],,0)</f>
        <v>AEM</v>
      </c>
      <c r="BJ886" s="430"/>
    </row>
    <row r="887" spans="1:62" ht="10.5" hidden="1">
      <c r="A887" s="462" t="s">
        <v>6095</v>
      </c>
      <c r="B887" s="462" t="s">
        <v>111</v>
      </c>
      <c r="C887" s="462" t="str">
        <f>IFERROR(LEFT(PV_DATA[[#This Row],[TCL REFERENCE]],FIND(".",PV_DATA[[#This Row],[TCL REFERENCE]],1)-1),"Main Line")</f>
        <v>26Jul001</v>
      </c>
      <c r="D887" s="462" t="s">
        <v>63</v>
      </c>
      <c r="E887" s="462" t="s">
        <v>64</v>
      </c>
      <c r="F887" s="462" t="str" cm="1">
        <f t="array" ref="F88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887" s="462" t="s">
        <v>402</v>
      </c>
      <c r="H887" s="462" t="s">
        <v>67</v>
      </c>
      <c r="I887" s="462" t="s">
        <v>882</v>
      </c>
      <c r="J887" s="430" t="s">
        <v>96</v>
      </c>
      <c r="K887" s="430"/>
      <c r="L887" s="430"/>
      <c r="M887" s="430" t="s">
        <v>68</v>
      </c>
      <c r="N887" s="432">
        <v>46209</v>
      </c>
      <c r="O887" s="430" t="s">
        <v>550</v>
      </c>
      <c r="P887" s="430" t="s">
        <v>551</v>
      </c>
      <c r="Q887" s="430" t="s">
        <v>2151</v>
      </c>
      <c r="R887" s="430" t="str">
        <f>_xlfn.XLOOKUP(PV_DATA[[#This Row],[New Ark SKU]],Table9[New Ark SKU],Table9[Connector],,0)</f>
        <v>EVO2A</v>
      </c>
      <c r="S887" s="433" t="str">
        <f>_xlfn.XLOOKUP(PV_DATA[[#This Row],[New Ark SKU]],Table9[New Ark SKU],Table9[Cable],,0)</f>
        <v>±1350mm</v>
      </c>
      <c r="T887" s="433">
        <v>510</v>
      </c>
      <c r="U887" s="1062">
        <v>3168</v>
      </c>
      <c r="V887" s="434">
        <f>PV_DATA[[#This Row],[QUANTITY]]*PV_DATA[[#This Row],[WATT]]/1000000</f>
        <v>1.61568</v>
      </c>
      <c r="W887" s="435">
        <f>PV_DATA[[#This Row],[QUANTITY]]/PV_DATA[[#This Row],[Qty/Pallet]]</f>
        <v>88</v>
      </c>
      <c r="X887" s="1015">
        <f>PV_DATA[[#This Row],[QUANTITY]]/PV_DATA[[#This Row],[Qty/CT]]</f>
        <v>4</v>
      </c>
      <c r="Y887" s="430" t="s">
        <v>4373</v>
      </c>
      <c r="Z887" s="430" t="str">
        <f t="shared" si="11"/>
        <v>COMPLETED</v>
      </c>
      <c r="AA887" s="430"/>
      <c r="AB887" s="437">
        <v>46259</v>
      </c>
      <c r="AC887" s="485">
        <f>IF(PV_DATA[[#This Row],[Pick-Up Date]]&lt;&gt;"",_xlfn.ISOWEEKNUM(PV_DATA[[#This Row],[Pick-Up Date]]),"")</f>
        <v>35</v>
      </c>
      <c r="AD887" s="430" t="s">
        <v>6096</v>
      </c>
      <c r="AE887" s="430"/>
      <c r="AF887" s="430" t="s">
        <v>122</v>
      </c>
      <c r="AG887" s="430" t="s">
        <v>123</v>
      </c>
      <c r="AH887" s="430" t="s">
        <v>78</v>
      </c>
      <c r="AI887" s="713">
        <v>46256</v>
      </c>
      <c r="AJ887" s="437">
        <v>46265</v>
      </c>
      <c r="AK887" s="437">
        <v>46265</v>
      </c>
      <c r="AL887" s="1078">
        <v>46303</v>
      </c>
      <c r="AM887" s="1126"/>
      <c r="AN887" s="437">
        <v>46303</v>
      </c>
      <c r="AP887" s="430" t="s">
        <v>6093</v>
      </c>
      <c r="AQ887" s="430" t="s">
        <v>161</v>
      </c>
      <c r="AR887" s="430" t="s">
        <v>6094</v>
      </c>
      <c r="AS887" s="430">
        <v>275075026</v>
      </c>
      <c r="AT887" s="430">
        <v>275075026</v>
      </c>
      <c r="AU88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</v>
      </c>
      <c r="AW887" s="437" cm="1">
        <f t="array" ref="AW88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46303</v>
      </c>
      <c r="AX88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87" s="437">
        <f>IF(ISERROR(PV_DATA[[#This Row],[New Ark PO status]]),"",_xlfn.XLOOKUP(PV_DATA[[#This Row],[SPTN-PVHK New Ark PO'#]],New_Ark_Data[Purchase order Number],New_Ark_Data[Estimated time of arrival],"",0))</f>
        <v>46310</v>
      </c>
      <c r="AZ887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887" s="437">
        <f>IFERROR(PV_DATA[[#This Row],[ODP ETA Port]]+PV_DATA[[#This Row],[Customs/Leg3 Assumption]],"n/a")</f>
        <v>46311</v>
      </c>
      <c r="BB887" s="433">
        <f>YEAR(PV_DATA[[#This Row],[ETA for New Ark update]])</f>
        <v>2026</v>
      </c>
      <c r="BC887" s="430">
        <f>MONTH(PV_DATA[[#This Row],[ETA for New Ark update]])</f>
        <v>10</v>
      </c>
      <c r="BD887" s="430">
        <f>IFERROR(_xlfn.ISOWEEKNUM(PV_DATA[[#This Row],[ETA for New Ark update]]),0)</f>
        <v>42</v>
      </c>
      <c r="BE887" s="430">
        <f>_xlfn.XLOOKUP(PV_DATA[[#This Row],[New Ark SKU]],Table9[New Ark SKU],Table9[Total PCS per Pallet],,0)</f>
        <v>36</v>
      </c>
      <c r="BF887" s="430">
        <f>_xlfn.XLOOKUP(PV_DATA[[#This Row],[New Ark SKU]],Table9[New Ark SKU],Table9[Total PCS per 40HQ Container],,0)</f>
        <v>792</v>
      </c>
      <c r="BG887" s="430" t="str">
        <f>_xlfn.XLOOKUP(PV_DATA[[#This Row],[New Ark SKU]],Table9[New Ark SKU],Table9[Back Glass],,0)</f>
        <v>Black glazing</v>
      </c>
      <c r="BH887" s="430" t="str">
        <f>_xlfn.XLOOKUP(PV_DATA[[#This Row],[PORT DESTINATION]],Table12[PORT DESTINATION],Table12[Cosco Line],,0)</f>
        <v>AEM</v>
      </c>
      <c r="BJ887" s="430"/>
    </row>
    <row r="888" spans="1:62" s="462" customFormat="1" ht="10.5" hidden="1">
      <c r="A888" s="462" t="s">
        <v>6097</v>
      </c>
      <c r="B888" s="462" t="s">
        <v>111</v>
      </c>
      <c r="C888" s="462" t="str">
        <f>IFERROR(LEFT(PV_DATA[[#This Row],[TCL REFERENCE]],FIND(".",PV_DATA[[#This Row],[TCL REFERENCE]],1)-1),"Main Line")</f>
        <v>26Jul013</v>
      </c>
      <c r="D888" s="462" t="s">
        <v>63</v>
      </c>
      <c r="E888" s="462" t="s">
        <v>64</v>
      </c>
      <c r="F888" s="462" t="str" cm="1">
        <f t="array" ref="F88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888" s="462" t="s">
        <v>402</v>
      </c>
      <c r="H888" s="462" t="s">
        <v>115</v>
      </c>
      <c r="I888" s="462" t="s">
        <v>1395</v>
      </c>
      <c r="J888" s="462" t="s">
        <v>96</v>
      </c>
      <c r="M888" s="462" t="s">
        <v>68</v>
      </c>
      <c r="N888" s="712">
        <v>46202</v>
      </c>
      <c r="O888" s="462" t="s">
        <v>5345</v>
      </c>
      <c r="P888" s="462" t="s">
        <v>5346</v>
      </c>
      <c r="Q888" s="462" t="s">
        <v>5347</v>
      </c>
      <c r="R888" s="430" t="str">
        <f>_xlfn.XLOOKUP(PV_DATA[[#This Row],[New Ark SKU]],Table9[New Ark SKU],Table9[Connector],,0)</f>
        <v>EVO2A</v>
      </c>
      <c r="S888" s="433" t="str">
        <f>_xlfn.XLOOKUP(PV_DATA[[#This Row],[New Ark SKU]],Table9[New Ark SKU],Table9[Cable],,0)</f>
        <v>±1400mm</v>
      </c>
      <c r="T888" s="936">
        <v>580</v>
      </c>
      <c r="U888" s="1069">
        <v>720</v>
      </c>
      <c r="V888" s="458">
        <f>PV_DATA[[#This Row],[QUANTITY]]*PV_DATA[[#This Row],[WATT]]/1000000</f>
        <v>0.41760000000000003</v>
      </c>
      <c r="W888" s="714">
        <f>PV_DATA[[#This Row],[QUANTITY]]/PV_DATA[[#This Row],[Qty/Pallet]]</f>
        <v>20</v>
      </c>
      <c r="X888" s="1017">
        <f>PV_DATA[[#This Row],[QUANTITY]]/PV_DATA[[#This Row],[Qty/CT]]</f>
        <v>1</v>
      </c>
      <c r="Y888" s="462" t="s">
        <v>4374</v>
      </c>
      <c r="Z888" s="462" t="str">
        <f t="shared" si="11"/>
        <v>IN-TRANSIT</v>
      </c>
      <c r="AA888" s="462" t="s">
        <v>5659</v>
      </c>
      <c r="AB888" s="713">
        <v>46253</v>
      </c>
      <c r="AC888" s="937">
        <f>IF(PV_DATA[[#This Row],[Pick-Up Date]]&lt;&gt;"",_xlfn.ISOWEEKNUM(PV_DATA[[#This Row],[Pick-Up Date]]),"")</f>
        <v>34</v>
      </c>
      <c r="AD888" s="462" t="s">
        <v>6098</v>
      </c>
      <c r="AE888" s="462" t="s">
        <v>6098</v>
      </c>
      <c r="AF888" s="462" t="s">
        <v>122</v>
      </c>
      <c r="AG888" s="462" t="s">
        <v>123</v>
      </c>
      <c r="AH888" s="462" t="s">
        <v>124</v>
      </c>
      <c r="AI888" s="713">
        <v>46259</v>
      </c>
      <c r="AJ888" s="713">
        <v>46263</v>
      </c>
      <c r="AK888" s="713">
        <f>IFERROR(IF(VLOOKUP(AT888,Vessel!A:F,5,FALSE)=0,"",VLOOKUP(AT888,Vessel!A:F,5,FALSE)),"")</f>
        <v>46263.48333333333</v>
      </c>
      <c r="AL888" s="713">
        <v>46310</v>
      </c>
      <c r="AM888" s="939">
        <f>IFERROR(VLOOKUP(AT888, Vessel!A:H, 8, FALSE), "")</f>
        <v>46329.583333333336</v>
      </c>
      <c r="AN888" s="939" t="str">
        <f>IFERROR(IF(VLOOKUP(AT888,Vessel!A:I,9,FALSE)=0,"",VLOOKUP(AT888,Vessel!A:I,9,FALSE)),"")</f>
        <v/>
      </c>
      <c r="AP888" s="462" t="s">
        <v>6077</v>
      </c>
      <c r="AQ888" s="940" t="s">
        <v>80</v>
      </c>
      <c r="AR888" s="462" t="s">
        <v>6099</v>
      </c>
      <c r="AS888" s="462" t="s">
        <v>6100</v>
      </c>
      <c r="AT888" s="462" t="s">
        <v>6100</v>
      </c>
      <c r="AU88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66.100000000005821</v>
      </c>
      <c r="AW888" s="713" cm="1">
        <f t="array" ref="AW88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46329.583333333336</v>
      </c>
      <c r="AX88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88" s="713">
        <f>IF(ISERROR(PV_DATA[[#This Row],[New Ark PO status]]),"",_xlfn.XLOOKUP(PV_DATA[[#This Row],[SPTN-PVHK New Ark PO'#]],New_Ark_Data[Purchase order Number],New_Ark_Data[Estimated time of arrival],"",0))</f>
        <v>46320</v>
      </c>
      <c r="AZ888" s="936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888" s="713">
        <f>IFERROR(PV_DATA[[#This Row],[ODP ETA Port]]+PV_DATA[[#This Row],[Customs/Leg3 Assumption]],"n/a")</f>
        <v>46338.583333333336</v>
      </c>
      <c r="BB888" s="936">
        <f>YEAR(PV_DATA[[#This Row],[ETA for New Ark update]])</f>
        <v>2026</v>
      </c>
      <c r="BC888" s="462">
        <f>MONTH(PV_DATA[[#This Row],[ETA for New Ark update]])</f>
        <v>11</v>
      </c>
      <c r="BD888" s="462">
        <f>IFERROR(_xlfn.ISOWEEKNUM(PV_DATA[[#This Row],[ETA for New Ark update]]),0)</f>
        <v>46</v>
      </c>
      <c r="BE888" s="462">
        <f>_xlfn.XLOOKUP(PV_DATA[[#This Row],[New Ark SKU]],Table9[New Ark SKU],Table9[Total PCS per Pallet],,0)</f>
        <v>36</v>
      </c>
      <c r="BF888" s="462">
        <f>_xlfn.XLOOKUP(PV_DATA[[#This Row],[New Ark SKU]],Table9[New Ark SKU],Table9[Total PCS per 40HQ Container],,0)</f>
        <v>720</v>
      </c>
      <c r="BG888" s="462" t="str">
        <f>_xlfn.XLOOKUP(PV_DATA[[#This Row],[New Ark SKU]],Table9[New Ark SKU],Table9[Back Glass],,0)</f>
        <v>Transparent</v>
      </c>
      <c r="BH888" s="462" t="str">
        <f>_xlfn.XLOOKUP(PV_DATA[[#This Row],[PORT DESTINATION]],Table12[PORT DESTINATION],Table12[Cosco Line],,0)</f>
        <v>AEM</v>
      </c>
    </row>
    <row r="889" spans="1:62" s="462" customFormat="1" ht="10.5" hidden="1">
      <c r="A889" s="462" t="s">
        <v>6101</v>
      </c>
      <c r="B889" s="462" t="s">
        <v>111</v>
      </c>
      <c r="C889" s="462" t="str">
        <f>IFERROR(LEFT(PV_DATA[[#This Row],[TCL REFERENCE]],FIND(".",PV_DATA[[#This Row],[TCL REFERENCE]],1)-1),"Main Line")</f>
        <v>26Jul013</v>
      </c>
      <c r="D889" s="462" t="s">
        <v>63</v>
      </c>
      <c r="E889" s="462" t="s">
        <v>64</v>
      </c>
      <c r="F889" s="462" t="str" cm="1">
        <f t="array" ref="F88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889" s="462" t="s">
        <v>402</v>
      </c>
      <c r="H889" s="462" t="s">
        <v>115</v>
      </c>
      <c r="I889" s="462" t="s">
        <v>1395</v>
      </c>
      <c r="J889" s="462" t="s">
        <v>96</v>
      </c>
      <c r="M889" s="462" t="s">
        <v>68</v>
      </c>
      <c r="N889" s="712">
        <v>46202</v>
      </c>
      <c r="O889" s="462" t="s">
        <v>5345</v>
      </c>
      <c r="P889" s="462" t="s">
        <v>5346</v>
      </c>
      <c r="Q889" s="462" t="s">
        <v>5347</v>
      </c>
      <c r="R889" s="430" t="str">
        <f>_xlfn.XLOOKUP(PV_DATA[[#This Row],[New Ark SKU]],Table9[New Ark SKU],Table9[Connector],,0)</f>
        <v>EVO2A</v>
      </c>
      <c r="S889" s="433" t="str">
        <f>_xlfn.XLOOKUP(PV_DATA[[#This Row],[New Ark SKU]],Table9[New Ark SKU],Table9[Cable],,0)</f>
        <v>±1400mm</v>
      </c>
      <c r="T889" s="936">
        <v>580</v>
      </c>
      <c r="U889" s="1069">
        <v>720</v>
      </c>
      <c r="V889" s="458">
        <f>PV_DATA[[#This Row],[QUANTITY]]*PV_DATA[[#This Row],[WATT]]/1000000</f>
        <v>0.41760000000000003</v>
      </c>
      <c r="W889" s="714">
        <f>PV_DATA[[#This Row],[QUANTITY]]/PV_DATA[[#This Row],[Qty/Pallet]]</f>
        <v>20</v>
      </c>
      <c r="X889" s="1017">
        <f>PV_DATA[[#This Row],[QUANTITY]]/PV_DATA[[#This Row],[Qty/CT]]</f>
        <v>1</v>
      </c>
      <c r="Y889" s="462" t="s">
        <v>4374</v>
      </c>
      <c r="Z889" s="462" t="str">
        <f t="shared" si="11"/>
        <v>IN-TRANSIT</v>
      </c>
      <c r="AA889" s="462" t="s">
        <v>5659</v>
      </c>
      <c r="AB889" s="713">
        <v>46253</v>
      </c>
      <c r="AC889" s="937">
        <f>IF(PV_DATA[[#This Row],[Pick-Up Date]]&lt;&gt;"",_xlfn.ISOWEEKNUM(PV_DATA[[#This Row],[Pick-Up Date]]),"")</f>
        <v>34</v>
      </c>
      <c r="AD889" s="462" t="s">
        <v>6102</v>
      </c>
      <c r="AE889" s="462" t="s">
        <v>6102</v>
      </c>
      <c r="AF889" s="462" t="s">
        <v>122</v>
      </c>
      <c r="AG889" s="462" t="s">
        <v>123</v>
      </c>
      <c r="AH889" s="462" t="s">
        <v>124</v>
      </c>
      <c r="AI889" s="713">
        <v>46259</v>
      </c>
      <c r="AJ889" s="713">
        <v>46263</v>
      </c>
      <c r="AK889" s="713">
        <f>IFERROR(IF(VLOOKUP(AT889,Vessel!A:F,5,FALSE)=0,"",VLOOKUP(AT889,Vessel!A:F,5,FALSE)),"")</f>
        <v>46263.48333333333</v>
      </c>
      <c r="AL889" s="713">
        <v>46310</v>
      </c>
      <c r="AM889" s="939">
        <f>IFERROR(VLOOKUP(AT889, Vessel!A:H, 8, FALSE), "")</f>
        <v>46329.583333333336</v>
      </c>
      <c r="AN889" s="939" t="str">
        <f>IFERROR(IF(VLOOKUP(AT889,Vessel!A:I,9,FALSE)=0,"",VLOOKUP(AT889,Vessel!A:I,9,FALSE)),"")</f>
        <v/>
      </c>
      <c r="AP889" s="462" t="s">
        <v>6077</v>
      </c>
      <c r="AQ889" s="940" t="s">
        <v>80</v>
      </c>
      <c r="AR889" s="462" t="s">
        <v>6099</v>
      </c>
      <c r="AS889" s="462" t="s">
        <v>6100</v>
      </c>
      <c r="AT889" s="462" t="s">
        <v>6100</v>
      </c>
      <c r="AU88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66.100000000005821</v>
      </c>
      <c r="AW889" s="713" cm="1">
        <f t="array" ref="AW88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46329.583333333336</v>
      </c>
      <c r="AX88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89" s="713">
        <f>IF(ISERROR(PV_DATA[[#This Row],[New Ark PO status]]),"",_xlfn.XLOOKUP(PV_DATA[[#This Row],[SPTN-PVHK New Ark PO'#]],New_Ark_Data[Purchase order Number],New_Ark_Data[Estimated time of arrival],"",0))</f>
        <v>46320</v>
      </c>
      <c r="AZ889" s="936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889" s="713">
        <f>IFERROR(PV_DATA[[#This Row],[ODP ETA Port]]+PV_DATA[[#This Row],[Customs/Leg3 Assumption]],"n/a")</f>
        <v>46338.583333333336</v>
      </c>
      <c r="BB889" s="936">
        <f>YEAR(PV_DATA[[#This Row],[ETA for New Ark update]])</f>
        <v>2026</v>
      </c>
      <c r="BC889" s="462">
        <f>MONTH(PV_DATA[[#This Row],[ETA for New Ark update]])</f>
        <v>11</v>
      </c>
      <c r="BD889" s="462">
        <f>IFERROR(_xlfn.ISOWEEKNUM(PV_DATA[[#This Row],[ETA for New Ark update]]),0)</f>
        <v>46</v>
      </c>
      <c r="BE889" s="462">
        <f>_xlfn.XLOOKUP(PV_DATA[[#This Row],[New Ark SKU]],Table9[New Ark SKU],Table9[Total PCS per Pallet],,0)</f>
        <v>36</v>
      </c>
      <c r="BF889" s="462">
        <f>_xlfn.XLOOKUP(PV_DATA[[#This Row],[New Ark SKU]],Table9[New Ark SKU],Table9[Total PCS per 40HQ Container],,0)</f>
        <v>720</v>
      </c>
      <c r="BG889" s="462" t="str">
        <f>_xlfn.XLOOKUP(PV_DATA[[#This Row],[New Ark SKU]],Table9[New Ark SKU],Table9[Back Glass],,0)</f>
        <v>Transparent</v>
      </c>
      <c r="BH889" s="462" t="str">
        <f>_xlfn.XLOOKUP(PV_DATA[[#This Row],[PORT DESTINATION]],Table12[PORT DESTINATION],Table12[Cosco Line],,0)</f>
        <v>AEM</v>
      </c>
    </row>
    <row r="890" spans="1:62" s="462" customFormat="1" ht="10.5" hidden="1">
      <c r="A890" s="462" t="s">
        <v>6103</v>
      </c>
      <c r="B890" s="462" t="s">
        <v>111</v>
      </c>
      <c r="C890" s="462" t="str">
        <f>IFERROR(LEFT(PV_DATA[[#This Row],[TCL REFERENCE]],FIND(".",PV_DATA[[#This Row],[TCL REFERENCE]],1)-1),"Main Line")</f>
        <v>26Jul014</v>
      </c>
      <c r="D890" s="462" t="s">
        <v>63</v>
      </c>
      <c r="E890" s="462" t="s">
        <v>64</v>
      </c>
      <c r="F890" s="462" t="str" cm="1">
        <f t="array" ref="F89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890" s="462" t="s">
        <v>402</v>
      </c>
      <c r="H890" s="462" t="s">
        <v>115</v>
      </c>
      <c r="I890" s="462" t="s">
        <v>882</v>
      </c>
      <c r="J890" s="462" t="s">
        <v>96</v>
      </c>
      <c r="M890" s="462" t="s">
        <v>68</v>
      </c>
      <c r="N890" s="712">
        <v>46202</v>
      </c>
      <c r="O890" s="462" t="s">
        <v>5345</v>
      </c>
      <c r="P890" s="462" t="s">
        <v>5564</v>
      </c>
      <c r="Q890" s="462" t="s">
        <v>5565</v>
      </c>
      <c r="R890" s="430" t="str">
        <f>_xlfn.XLOOKUP(PV_DATA[[#This Row],[New Ark SKU]],Table9[New Ark SKU],Table9[Connector],,0)</f>
        <v>EVO2A</v>
      </c>
      <c r="S890" s="433" t="str">
        <f>_xlfn.XLOOKUP(PV_DATA[[#This Row],[New Ark SKU]],Table9[New Ark SKU],Table9[Cable],,0)</f>
        <v>±1400mm</v>
      </c>
      <c r="T890" s="936">
        <v>585</v>
      </c>
      <c r="U890" s="1069">
        <f>720*2</f>
        <v>1440</v>
      </c>
      <c r="V890" s="458">
        <f>PV_DATA[[#This Row],[QUANTITY]]*PV_DATA[[#This Row],[WATT]]/1000000</f>
        <v>0.84240000000000004</v>
      </c>
      <c r="W890" s="714">
        <f>PV_DATA[[#This Row],[QUANTITY]]/PV_DATA[[#This Row],[Qty/Pallet]]</f>
        <v>40</v>
      </c>
      <c r="X890" s="1017">
        <f>PV_DATA[[#This Row],[QUANTITY]]/PV_DATA[[#This Row],[Qty/CT]]</f>
        <v>2</v>
      </c>
      <c r="Y890" s="462" t="s">
        <v>4375</v>
      </c>
      <c r="Z890" s="462" t="str">
        <f t="shared" si="11"/>
        <v>IN-TRANSIT</v>
      </c>
      <c r="AA890" s="462" t="s">
        <v>5659</v>
      </c>
      <c r="AB890" s="713">
        <v>46253</v>
      </c>
      <c r="AC890" s="937">
        <f>IF(PV_DATA[[#This Row],[Pick-Up Date]]&lt;&gt;"",_xlfn.ISOWEEKNUM(PV_DATA[[#This Row],[Pick-Up Date]]),"")</f>
        <v>34</v>
      </c>
      <c r="AD890" s="462" t="s">
        <v>6104</v>
      </c>
      <c r="AE890" s="462" t="s">
        <v>6104</v>
      </c>
      <c r="AF890" s="462" t="s">
        <v>122</v>
      </c>
      <c r="AG890" s="462" t="s">
        <v>123</v>
      </c>
      <c r="AH890" s="462" t="s">
        <v>124</v>
      </c>
      <c r="AI890" s="713">
        <v>46259</v>
      </c>
      <c r="AJ890" s="713">
        <v>46263</v>
      </c>
      <c r="AK890" s="713">
        <f>IFERROR(IF(VLOOKUP(AT890,Vessel!A:F,5,FALSE)=0,"",VLOOKUP(AT890,Vessel!A:F,5,FALSE)),"")</f>
        <v>46263.48333333333</v>
      </c>
      <c r="AL890" s="713">
        <v>46310</v>
      </c>
      <c r="AM890" s="939">
        <f>IFERROR(VLOOKUP(AT890, Vessel!A:H, 8, FALSE), "")</f>
        <v>46329.583333333336</v>
      </c>
      <c r="AN890" s="939" t="str">
        <f>IFERROR(IF(VLOOKUP(AT890,Vessel!A:I,9,FALSE)=0,"",VLOOKUP(AT890,Vessel!A:I,9,FALSE)),"")</f>
        <v/>
      </c>
      <c r="AP890" s="462" t="s">
        <v>6077</v>
      </c>
      <c r="AQ890" s="940" t="s">
        <v>80</v>
      </c>
      <c r="AR890" s="462" t="s">
        <v>6099</v>
      </c>
      <c r="AS890" s="462" t="s">
        <v>6100</v>
      </c>
      <c r="AT890" s="462" t="s">
        <v>6100</v>
      </c>
      <c r="AU89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66.100000000005821</v>
      </c>
      <c r="AW890" s="713" cm="1">
        <f t="array" ref="AW89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46329.583333333336</v>
      </c>
      <c r="AX89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90" s="713">
        <f>IF(ISERROR(PV_DATA[[#This Row],[New Ark PO status]]),"",_xlfn.XLOOKUP(PV_DATA[[#This Row],[SPTN-PVHK New Ark PO'#]],New_Ark_Data[Purchase order Number],New_Ark_Data[Estimated time of arrival],"",0))</f>
        <v>46320</v>
      </c>
      <c r="AZ890" s="936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890" s="713">
        <f>IFERROR(PV_DATA[[#This Row],[ODP ETA Port]]+PV_DATA[[#This Row],[Customs/Leg3 Assumption]],"n/a")</f>
        <v>46338.583333333336</v>
      </c>
      <c r="BB890" s="936">
        <f>YEAR(PV_DATA[[#This Row],[ETA for New Ark update]])</f>
        <v>2026</v>
      </c>
      <c r="BC890" s="462">
        <f>MONTH(PV_DATA[[#This Row],[ETA for New Ark update]])</f>
        <v>11</v>
      </c>
      <c r="BD890" s="462">
        <f>IFERROR(_xlfn.ISOWEEKNUM(PV_DATA[[#This Row],[ETA for New Ark update]]),0)</f>
        <v>46</v>
      </c>
      <c r="BE890" s="462">
        <f>_xlfn.XLOOKUP(PV_DATA[[#This Row],[New Ark SKU]],Table9[New Ark SKU],Table9[Total PCS per Pallet],,0)</f>
        <v>36</v>
      </c>
      <c r="BF890" s="462">
        <f>_xlfn.XLOOKUP(PV_DATA[[#This Row],[New Ark SKU]],Table9[New Ark SKU],Table9[Total PCS per 40HQ Container],,0)</f>
        <v>720</v>
      </c>
      <c r="BG890" s="462" t="str">
        <f>_xlfn.XLOOKUP(PV_DATA[[#This Row],[New Ark SKU]],Table9[New Ark SKU],Table9[Back Glass],,0)</f>
        <v>Transparent</v>
      </c>
      <c r="BH890" s="462" t="str">
        <f>_xlfn.XLOOKUP(PV_DATA[[#This Row],[PORT DESTINATION]],Table12[PORT DESTINATION],Table12[Cosco Line],,0)</f>
        <v>AEM</v>
      </c>
    </row>
    <row r="891" spans="1:62" s="462" customFormat="1" ht="10.5" hidden="1">
      <c r="A891" s="462" t="s">
        <v>6105</v>
      </c>
      <c r="B891" s="462" t="s">
        <v>111</v>
      </c>
      <c r="C891" s="462" t="str">
        <f>IFERROR(LEFT(PV_DATA[[#This Row],[TCL REFERENCE]],FIND(".",PV_DATA[[#This Row],[TCL REFERENCE]],1)-1),"Main Line")</f>
        <v>26Jul002</v>
      </c>
      <c r="D891" s="462" t="s">
        <v>63</v>
      </c>
      <c r="E891" s="462" t="s">
        <v>64</v>
      </c>
      <c r="F891" s="462" t="str" cm="1">
        <f t="array" ref="F89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891" s="462" t="s">
        <v>402</v>
      </c>
      <c r="H891" s="462" t="s">
        <v>115</v>
      </c>
      <c r="I891" s="462" t="s">
        <v>689</v>
      </c>
      <c r="J891" s="462" t="s">
        <v>96</v>
      </c>
      <c r="M891" s="462" t="s">
        <v>68</v>
      </c>
      <c r="N891" s="712">
        <v>46209</v>
      </c>
      <c r="O891" s="462" t="s">
        <v>550</v>
      </c>
      <c r="P891" s="462" t="s">
        <v>2134</v>
      </c>
      <c r="Q891" s="462" t="s">
        <v>2135</v>
      </c>
      <c r="R891" s="430" t="str">
        <f>_xlfn.XLOOKUP(PV_DATA[[#This Row],[New Ark SKU]],Table9[New Ark SKU],Table9[Connector],,0)</f>
        <v>EVO2A</v>
      </c>
      <c r="S891" s="433" t="str">
        <f>_xlfn.XLOOKUP(PV_DATA[[#This Row],[New Ark SKU]],Table9[New Ark SKU],Table9[Cable],,0)</f>
        <v>±1350mm</v>
      </c>
      <c r="T891" s="936">
        <v>515</v>
      </c>
      <c r="U891" s="1069">
        <v>792</v>
      </c>
      <c r="V891" s="458">
        <f>PV_DATA[[#This Row],[QUANTITY]]*PV_DATA[[#This Row],[WATT]]/1000000</f>
        <v>0.40788000000000002</v>
      </c>
      <c r="W891" s="714">
        <f>PV_DATA[[#This Row],[QUANTITY]]/PV_DATA[[#This Row],[Qty/Pallet]]</f>
        <v>22</v>
      </c>
      <c r="X891" s="1017">
        <f>PV_DATA[[#This Row],[QUANTITY]]/PV_DATA[[#This Row],[Qty/CT]]</f>
        <v>1</v>
      </c>
      <c r="Y891" s="462" t="s">
        <v>4375</v>
      </c>
      <c r="Z891" s="462" t="str">
        <f t="shared" si="11"/>
        <v>IN-TRANSIT</v>
      </c>
      <c r="AA891" s="462" t="s">
        <v>5862</v>
      </c>
      <c r="AB891" s="713">
        <v>46253</v>
      </c>
      <c r="AC891" s="937">
        <f>IF(PV_DATA[[#This Row],[Pick-Up Date]]&lt;&gt;"",_xlfn.ISOWEEKNUM(PV_DATA[[#This Row],[Pick-Up Date]]),"")</f>
        <v>34</v>
      </c>
      <c r="AD891" s="462" t="s">
        <v>6106</v>
      </c>
      <c r="AE891" s="462" t="s">
        <v>6106</v>
      </c>
      <c r="AF891" s="462" t="s">
        <v>122</v>
      </c>
      <c r="AG891" s="462" t="s">
        <v>123</v>
      </c>
      <c r="AH891" s="462" t="s">
        <v>124</v>
      </c>
      <c r="AI891" s="713">
        <v>46259</v>
      </c>
      <c r="AJ891" s="713">
        <v>46263</v>
      </c>
      <c r="AK891" s="713">
        <f>IFERROR(IF(VLOOKUP(AT891,Vessel!A:F,5,FALSE)=0,"",VLOOKUP(AT891,Vessel!A:F,5,FALSE)),"")</f>
        <v>46263.48333333333</v>
      </c>
      <c r="AL891" s="1078">
        <v>46310</v>
      </c>
      <c r="AM891" s="1194">
        <f>IFERROR(VLOOKUP(AT891, Vessel!A:H, 8, FALSE), "")</f>
        <v>46329.583333333336</v>
      </c>
      <c r="AN891" s="939" t="str">
        <f>IFERROR(IF(VLOOKUP(AT891,Vessel!A:I,9,FALSE)=0,"",VLOOKUP(AT891,Vessel!A:I,9,FALSE)),"")</f>
        <v/>
      </c>
      <c r="AP891" s="462" t="s">
        <v>6077</v>
      </c>
      <c r="AQ891" s="940" t="s">
        <v>80</v>
      </c>
      <c r="AR891" s="462" t="s">
        <v>6099</v>
      </c>
      <c r="AS891" s="462" t="s">
        <v>6100</v>
      </c>
      <c r="AT891" s="462" t="s">
        <v>6100</v>
      </c>
      <c r="AU89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66.100000000005821</v>
      </c>
      <c r="AW891" s="713" cm="1">
        <f t="array" ref="AW89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46329.583333333336</v>
      </c>
      <c r="AX89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91" s="713">
        <f>IF(ISERROR(PV_DATA[[#This Row],[New Ark PO status]]),"",_xlfn.XLOOKUP(PV_DATA[[#This Row],[SPTN-PVHK New Ark PO'#]],New_Ark_Data[Purchase order Number],New_Ark_Data[Estimated time of arrival],"",0))</f>
        <v>46321</v>
      </c>
      <c r="AZ891" s="936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891" s="713">
        <f>IFERROR(PV_DATA[[#This Row],[ODP ETA Port]]+PV_DATA[[#This Row],[Customs/Leg3 Assumption]],"n/a")</f>
        <v>46338.583333333336</v>
      </c>
      <c r="BB891" s="936">
        <f>YEAR(PV_DATA[[#This Row],[ETA for New Ark update]])</f>
        <v>2026</v>
      </c>
      <c r="BC891" s="462">
        <f>MONTH(PV_DATA[[#This Row],[ETA for New Ark update]])</f>
        <v>11</v>
      </c>
      <c r="BD891" s="462">
        <f>IFERROR(_xlfn.ISOWEEKNUM(PV_DATA[[#This Row],[ETA for New Ark update]]),0)</f>
        <v>46</v>
      </c>
      <c r="BE891" s="462">
        <f>_xlfn.XLOOKUP(PV_DATA[[#This Row],[New Ark SKU]],Table9[New Ark SKU],Table9[Total PCS per Pallet],,0)</f>
        <v>36</v>
      </c>
      <c r="BF891" s="462">
        <f>_xlfn.XLOOKUP(PV_DATA[[#This Row],[New Ark SKU]],Table9[New Ark SKU],Table9[Total PCS per 40HQ Container],,0)</f>
        <v>792</v>
      </c>
      <c r="BG891" s="462" t="str">
        <f>_xlfn.XLOOKUP(PV_DATA[[#This Row],[New Ark SKU]],Table9[New Ark SKU],Table9[Back Glass],,0)</f>
        <v>Black glazing</v>
      </c>
      <c r="BH891" s="462" t="str">
        <f>_xlfn.XLOOKUP(PV_DATA[[#This Row],[PORT DESTINATION]],Table12[PORT DESTINATION],Table12[Cosco Line],,0)</f>
        <v>AEM</v>
      </c>
    </row>
    <row r="892" spans="1:62" s="462" customFormat="1" ht="10.5" hidden="1">
      <c r="A892" s="462" t="s">
        <v>6107</v>
      </c>
      <c r="B892" s="462" t="s">
        <v>111</v>
      </c>
      <c r="C892" s="462" t="str">
        <f>IFERROR(LEFT(PV_DATA[[#This Row],[TCL REFERENCE]],FIND(".",PV_DATA[[#This Row],[TCL REFERENCE]],1)-1),"Main Line")</f>
        <v>26Jul002</v>
      </c>
      <c r="D892" s="462" t="s">
        <v>63</v>
      </c>
      <c r="E892" s="462" t="s">
        <v>64</v>
      </c>
      <c r="F892" s="462" t="str" cm="1">
        <f t="array" ref="F89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892" s="462" t="s">
        <v>402</v>
      </c>
      <c r="H892" s="462" t="s">
        <v>311</v>
      </c>
      <c r="I892" s="462" t="s">
        <v>689</v>
      </c>
      <c r="J892" s="462" t="s">
        <v>96</v>
      </c>
      <c r="M892" s="462" t="s">
        <v>68</v>
      </c>
      <c r="N892" s="712">
        <v>46209</v>
      </c>
      <c r="O892" s="462" t="s">
        <v>550</v>
      </c>
      <c r="P892" s="462" t="s">
        <v>2134</v>
      </c>
      <c r="Q892" s="462" t="s">
        <v>2135</v>
      </c>
      <c r="R892" s="430" t="str">
        <f>_xlfn.XLOOKUP(PV_DATA[[#This Row],[New Ark SKU]],Table9[New Ark SKU],Table9[Connector],,0)</f>
        <v>EVO2A</v>
      </c>
      <c r="S892" s="433" t="str">
        <f>_xlfn.XLOOKUP(PV_DATA[[#This Row],[New Ark SKU]],Table9[New Ark SKU],Table9[Cable],,0)</f>
        <v>±1350mm</v>
      </c>
      <c r="T892" s="936">
        <v>515</v>
      </c>
      <c r="U892" s="1069">
        <v>792</v>
      </c>
      <c r="V892" s="458">
        <f>PV_DATA[[#This Row],[QUANTITY]]*PV_DATA[[#This Row],[WATT]]/1000000</f>
        <v>0.40788000000000002</v>
      </c>
      <c r="W892" s="714">
        <f>PV_DATA[[#This Row],[QUANTITY]]/PV_DATA[[#This Row],[Qty/Pallet]]</f>
        <v>22</v>
      </c>
      <c r="X892" s="1017">
        <f>PV_DATA[[#This Row],[QUANTITY]]/PV_DATA[[#This Row],[Qty/CT]]</f>
        <v>1</v>
      </c>
      <c r="Y892" s="462" t="s">
        <v>4375</v>
      </c>
      <c r="Z892" s="462" t="str">
        <f t="shared" si="11"/>
        <v>COMPLETED</v>
      </c>
      <c r="AA892" s="462" t="s">
        <v>5942</v>
      </c>
      <c r="AB892" s="713">
        <v>46246</v>
      </c>
      <c r="AC892" s="937">
        <f>IF(PV_DATA[[#This Row],[Pick-Up Date]]&lt;&gt;"",_xlfn.ISOWEEKNUM(PV_DATA[[#This Row],[Pick-Up Date]]),"")</f>
        <v>33</v>
      </c>
      <c r="AD892" s="462" t="s">
        <v>6108</v>
      </c>
      <c r="AF892" s="462" t="s">
        <v>122</v>
      </c>
      <c r="AG892" s="462" t="s">
        <v>123</v>
      </c>
      <c r="AH892" s="462" t="s">
        <v>1561</v>
      </c>
      <c r="AI892" s="713">
        <v>46252</v>
      </c>
      <c r="AJ892" s="713">
        <f>IFERROR(VLOOKUP(AT892, Vessel!A:D, 4, FALSE), "")</f>
        <v>46251.791666666664</v>
      </c>
      <c r="AK892" s="713">
        <f>IFERROR(IF(VLOOKUP(AT892,Vessel!A:F,5,FALSE)=0,"",VLOOKUP(AT892,Vessel!A:F,5,FALSE)),"")</f>
        <v>46251.534803240742</v>
      </c>
      <c r="AL892" s="1078">
        <v>46311</v>
      </c>
      <c r="AM892" s="1127">
        <f>IFERROR(VLOOKUP(AT892, Vessel!A:H, 8, FALSE), "")</f>
        <v>46313.875</v>
      </c>
      <c r="AN892" s="939">
        <f>IFERROR(IF(VLOOKUP(AT892,Vessel!A:I,9,FALSE)=0,"",VLOOKUP(AT892,Vessel!A:I,9,FALSE)),"")</f>
        <v>46313.624143518522</v>
      </c>
      <c r="AP892" s="462" t="s">
        <v>6109</v>
      </c>
      <c r="AQ892" s="940" t="s">
        <v>80</v>
      </c>
      <c r="AR892" s="462" t="s">
        <v>6110</v>
      </c>
      <c r="AS892" s="462" t="s">
        <v>6111</v>
      </c>
      <c r="AT892" s="462" t="s">
        <v>6111</v>
      </c>
      <c r="AU89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62.089340277780138</v>
      </c>
      <c r="AW892" s="713" cm="1">
        <f t="array" ref="AW89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46313.624143518522</v>
      </c>
      <c r="AX89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92" s="713">
        <f>IF(ISERROR(PV_DATA[[#This Row],[New Ark PO status]]),"",_xlfn.XLOOKUP(PV_DATA[[#This Row],[SPTN-PVHK New Ark PO'#]],New_Ark_Data[Purchase order Number],New_Ark_Data[Estimated time of arrival],"",0))</f>
        <v>46315</v>
      </c>
      <c r="AZ892" s="936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892" s="713">
        <f>IFERROR(PV_DATA[[#This Row],[ODP ETA Port]]+PV_DATA[[#This Row],[Customs/Leg3 Assumption]],"n/a")</f>
        <v>46323.624143518522</v>
      </c>
      <c r="BB892" s="936">
        <f>YEAR(PV_DATA[[#This Row],[ETA for New Ark update]])</f>
        <v>2026</v>
      </c>
      <c r="BC892" s="462">
        <f>MONTH(PV_DATA[[#This Row],[ETA for New Ark update]])</f>
        <v>10</v>
      </c>
      <c r="BD892" s="462">
        <f>IFERROR(_xlfn.ISOWEEKNUM(PV_DATA[[#This Row],[ETA for New Ark update]]),0)</f>
        <v>44</v>
      </c>
      <c r="BE892" s="462">
        <f>_xlfn.XLOOKUP(PV_DATA[[#This Row],[New Ark SKU]],Table9[New Ark SKU],Table9[Total PCS per Pallet],,0)</f>
        <v>36</v>
      </c>
      <c r="BF892" s="462">
        <f>_xlfn.XLOOKUP(PV_DATA[[#This Row],[New Ark SKU]],Table9[New Ark SKU],Table9[Total PCS per 40HQ Container],,0)</f>
        <v>792</v>
      </c>
      <c r="BG892" s="462" t="str">
        <f>_xlfn.XLOOKUP(PV_DATA[[#This Row],[New Ark SKU]],Table9[New Ark SKU],Table9[Back Glass],,0)</f>
        <v>Black glazing</v>
      </c>
      <c r="BH892" s="462" t="str">
        <f>_xlfn.XLOOKUP(PV_DATA[[#This Row],[PORT DESTINATION]],Table12[PORT DESTINATION],Table12[Cosco Line],,0)</f>
        <v>AEM</v>
      </c>
    </row>
    <row r="893" spans="1:62" s="462" customFormat="1" ht="10.5" hidden="1">
      <c r="A893" s="462" t="s">
        <v>6112</v>
      </c>
      <c r="B893" s="462" t="s">
        <v>111</v>
      </c>
      <c r="C893" s="462" t="str">
        <f>IFERROR(LEFT(PV_DATA[[#This Row],[TCL REFERENCE]],FIND(".",PV_DATA[[#This Row],[TCL REFERENCE]],1)-1),"Main Line")</f>
        <v>26Jul002</v>
      </c>
      <c r="D893" s="462" t="s">
        <v>63</v>
      </c>
      <c r="E893" s="462" t="s">
        <v>64</v>
      </c>
      <c r="F893" s="462" t="str" cm="1">
        <f t="array" ref="F89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893" s="462" t="s">
        <v>402</v>
      </c>
      <c r="H893" s="462" t="s">
        <v>311</v>
      </c>
      <c r="I893" s="462" t="s">
        <v>689</v>
      </c>
      <c r="J893" s="462" t="s">
        <v>96</v>
      </c>
      <c r="M893" s="462" t="s">
        <v>68</v>
      </c>
      <c r="N893" s="712">
        <v>46209</v>
      </c>
      <c r="O893" s="462" t="s">
        <v>550</v>
      </c>
      <c r="P893" s="462" t="s">
        <v>2134</v>
      </c>
      <c r="Q893" s="462" t="s">
        <v>2135</v>
      </c>
      <c r="R893" s="430" t="str">
        <f>_xlfn.XLOOKUP(PV_DATA[[#This Row],[New Ark SKU]],Table9[New Ark SKU],Table9[Connector],,0)</f>
        <v>EVO2A</v>
      </c>
      <c r="S893" s="433" t="str">
        <f>_xlfn.XLOOKUP(PV_DATA[[#This Row],[New Ark SKU]],Table9[New Ark SKU],Table9[Cable],,0)</f>
        <v>±1350mm</v>
      </c>
      <c r="T893" s="936">
        <v>515</v>
      </c>
      <c r="U893" s="1069">
        <f>792*1</f>
        <v>792</v>
      </c>
      <c r="V893" s="458">
        <f>PV_DATA[[#This Row],[QUANTITY]]*PV_DATA[[#This Row],[WATT]]/1000000</f>
        <v>0.40788000000000002</v>
      </c>
      <c r="W893" s="714">
        <f>PV_DATA[[#This Row],[QUANTITY]]/PV_DATA[[#This Row],[Qty/Pallet]]</f>
        <v>22</v>
      </c>
      <c r="X893" s="1017">
        <f>PV_DATA[[#This Row],[QUANTITY]]/PV_DATA[[#This Row],[Qty/CT]]</f>
        <v>1</v>
      </c>
      <c r="Y893" s="462" t="s">
        <v>4374</v>
      </c>
      <c r="Z893" s="462" t="str">
        <f t="shared" si="11"/>
        <v>COMPLETED</v>
      </c>
      <c r="AA893" s="462" t="s">
        <v>5942</v>
      </c>
      <c r="AB893" s="713">
        <v>46246</v>
      </c>
      <c r="AC893" s="937">
        <f>IF(PV_DATA[[#This Row],[Pick-Up Date]]&lt;&gt;"",_xlfn.ISOWEEKNUM(PV_DATA[[#This Row],[Pick-Up Date]]),"")</f>
        <v>33</v>
      </c>
      <c r="AD893" s="462" t="s">
        <v>6113</v>
      </c>
      <c r="AF893" s="462" t="s">
        <v>122</v>
      </c>
      <c r="AG893" s="462" t="s">
        <v>123</v>
      </c>
      <c r="AH893" s="462" t="s">
        <v>1561</v>
      </c>
      <c r="AI893" s="713">
        <v>46252</v>
      </c>
      <c r="AJ893" s="713">
        <f>IFERROR(VLOOKUP(AT893, Vessel!A:D, 4, FALSE), "")</f>
        <v>46251.791666666664</v>
      </c>
      <c r="AK893" s="713">
        <f>IFERROR(IF(VLOOKUP(AT893,Vessel!A:F,5,FALSE)=0,"",VLOOKUP(AT893,Vessel!A:F,5,FALSE)),"")</f>
        <v>46251.534803240742</v>
      </c>
      <c r="AL893" s="1078">
        <v>46311</v>
      </c>
      <c r="AM893" s="1127">
        <f>IFERROR(VLOOKUP(AT893, Vessel!A:H, 8, FALSE), "")</f>
        <v>46313.875</v>
      </c>
      <c r="AN893" s="939">
        <f>IFERROR(IF(VLOOKUP(AT893,Vessel!A:I,9,FALSE)=0,"",VLOOKUP(AT893,Vessel!A:I,9,FALSE)),"")</f>
        <v>46313.624143518522</v>
      </c>
      <c r="AP893" s="462" t="s">
        <v>6109</v>
      </c>
      <c r="AQ893" s="462" t="s">
        <v>80</v>
      </c>
      <c r="AR893" s="462" t="s">
        <v>6110</v>
      </c>
      <c r="AS893" s="462" t="s">
        <v>6111</v>
      </c>
      <c r="AT893" s="462" t="s">
        <v>6111</v>
      </c>
      <c r="AU89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62.089340277780138</v>
      </c>
      <c r="AW893" s="713" cm="1">
        <f t="array" ref="AW89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46313.624143518522</v>
      </c>
      <c r="AX89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93" s="713">
        <f>IF(ISERROR(PV_DATA[[#This Row],[New Ark PO status]]),"",_xlfn.XLOOKUP(PV_DATA[[#This Row],[SPTN-PVHK New Ark PO'#]],New_Ark_Data[Purchase order Number],New_Ark_Data[Estimated time of arrival],"",0))</f>
        <v>46315</v>
      </c>
      <c r="AZ893" s="936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893" s="713">
        <f>IFERROR(PV_DATA[[#This Row],[ODP ETA Port]]+PV_DATA[[#This Row],[Customs/Leg3 Assumption]],"n/a")</f>
        <v>46323.624143518522</v>
      </c>
      <c r="BB893" s="936">
        <f>YEAR(PV_DATA[[#This Row],[ETA for New Ark update]])</f>
        <v>2026</v>
      </c>
      <c r="BC893" s="462">
        <f>MONTH(PV_DATA[[#This Row],[ETA for New Ark update]])</f>
        <v>10</v>
      </c>
      <c r="BD893" s="462">
        <f>IFERROR(_xlfn.ISOWEEKNUM(PV_DATA[[#This Row],[ETA for New Ark update]]),0)</f>
        <v>44</v>
      </c>
      <c r="BE893" s="462">
        <f>_xlfn.XLOOKUP(PV_DATA[[#This Row],[New Ark SKU]],Table9[New Ark SKU],Table9[Total PCS per Pallet],,0)</f>
        <v>36</v>
      </c>
      <c r="BF893" s="462">
        <f>_xlfn.XLOOKUP(PV_DATA[[#This Row],[New Ark SKU]],Table9[New Ark SKU],Table9[Total PCS per 40HQ Container],,0)</f>
        <v>792</v>
      </c>
      <c r="BG893" s="462" t="str">
        <f>_xlfn.XLOOKUP(PV_DATA[[#This Row],[New Ark SKU]],Table9[New Ark SKU],Table9[Back Glass],,0)</f>
        <v>Black glazing</v>
      </c>
      <c r="BH893" s="462" t="str">
        <f>_xlfn.XLOOKUP(PV_DATA[[#This Row],[PORT DESTINATION]],Table12[PORT DESTINATION],Table12[Cosco Line],,0)</f>
        <v>AEM</v>
      </c>
    </row>
    <row r="894" spans="1:62" s="431" customFormat="1" ht="10.5" hidden="1">
      <c r="A894" s="439" t="s">
        <v>6114</v>
      </c>
      <c r="B894" s="431" t="s">
        <v>5783</v>
      </c>
      <c r="C894" s="431" t="str">
        <f>IFERROR(LEFT(PV_DATA[[#This Row],[TCL REFERENCE]],FIND(".",PV_DATA[[#This Row],[TCL REFERENCE]],1)-1),"Main Line")</f>
        <v>26Jul005</v>
      </c>
      <c r="D894" s="431" t="s">
        <v>63</v>
      </c>
      <c r="E894" s="431" t="s">
        <v>64</v>
      </c>
      <c r="F894" s="431" t="str" cm="1">
        <f t="array" ref="F89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94" s="439" t="s">
        <v>402</v>
      </c>
      <c r="H894" s="431" t="s">
        <v>67</v>
      </c>
      <c r="I894" s="431" t="s">
        <v>689</v>
      </c>
      <c r="J894" s="431" t="s">
        <v>96</v>
      </c>
      <c r="M894" s="431" t="s">
        <v>68</v>
      </c>
      <c r="N894" s="461">
        <v>46223</v>
      </c>
      <c r="O894" s="431" t="s">
        <v>4540</v>
      </c>
      <c r="P894" s="431" t="s">
        <v>195</v>
      </c>
      <c r="Q894" s="431" t="s">
        <v>196</v>
      </c>
      <c r="R894" s="430" t="str">
        <f>_xlfn.XLOOKUP(PV_DATA[[#This Row],[New Ark SKU]],Table9[New Ark SKU],Table9[Connector],,0)</f>
        <v>EVO2A</v>
      </c>
      <c r="S894" s="433" t="str">
        <f>_xlfn.XLOOKUP(PV_DATA[[#This Row],[New Ark SKU]],Table9[New Ark SKU],Table9[Cable],,0)</f>
        <v>±1200mm</v>
      </c>
      <c r="T894" s="442">
        <v>450</v>
      </c>
      <c r="U894" s="1067">
        <f>936*4</f>
        <v>3744</v>
      </c>
      <c r="V894" s="448">
        <f>PV_DATA[[#This Row],[QUANTITY]]*PV_DATA[[#This Row],[WATT]]/1000000</f>
        <v>1.6848000000000001</v>
      </c>
      <c r="W894" s="466">
        <f>PV_DATA[[#This Row],[QUANTITY]]/PV_DATA[[#This Row],[Qty/Pallet]]</f>
        <v>104</v>
      </c>
      <c r="X894" s="1019">
        <f>PV_DATA[[#This Row],[QUANTITY]]/PV_DATA[[#This Row],[Qty/CT]]</f>
        <v>4</v>
      </c>
      <c r="Y894" s="431" t="s">
        <v>4374</v>
      </c>
      <c r="Z894" s="431" t="str">
        <f t="shared" si="11"/>
        <v>COMPLETED</v>
      </c>
      <c r="AA894" s="431" t="s">
        <v>6115</v>
      </c>
      <c r="AB894" s="441">
        <v>46244</v>
      </c>
      <c r="AC894" s="467">
        <f>IF(PV_DATA[[#This Row],[Pick-Up Date]]&lt;&gt;"",_xlfn.ISOWEEKNUM(PV_DATA[[#This Row],[Pick-Up Date]]),"")</f>
        <v>33</v>
      </c>
      <c r="AD894" s="431" t="s">
        <v>6116</v>
      </c>
      <c r="AF894" s="431" t="s">
        <v>6117</v>
      </c>
      <c r="AG894" s="431" t="s">
        <v>123</v>
      </c>
      <c r="AH894" s="431" t="s">
        <v>105</v>
      </c>
      <c r="AI894" s="441">
        <v>46249</v>
      </c>
      <c r="AJ894" s="441">
        <v>46256</v>
      </c>
      <c r="AK894" s="441">
        <v>46256</v>
      </c>
      <c r="AL894" s="441">
        <v>46292</v>
      </c>
      <c r="AM894" s="437">
        <v>46299</v>
      </c>
      <c r="AN894" s="586">
        <v>46300</v>
      </c>
      <c r="AP894" s="431" t="s">
        <v>6118</v>
      </c>
      <c r="AQ894" s="445" t="s">
        <v>161</v>
      </c>
      <c r="AR894" s="431" t="s">
        <v>6119</v>
      </c>
      <c r="AS894" s="431" t="s">
        <v>6120</v>
      </c>
      <c r="AT894" s="431" t="s">
        <v>6120</v>
      </c>
      <c r="AU894" s="431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W894" s="441" cm="1">
        <f t="array" ref="AW89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46300</v>
      </c>
      <c r="AX894" s="442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94" s="441">
        <f>IF(ISERROR(PV_DATA[[#This Row],[New Ark PO status]]),"",_xlfn.XLOOKUP(PV_DATA[[#This Row],[SPTN-PVHK New Ark PO'#]],New_Ark_Data[Purchase order Number],New_Ark_Data[Estimated time of arrival],"",0))</f>
        <v>46309</v>
      </c>
      <c r="AZ89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94" s="441">
        <f>IFERROR(PV_DATA[[#This Row],[ODP ETA Port]]+PV_DATA[[#This Row],[Customs/Leg3 Assumption]],"n/a")</f>
        <v>46307</v>
      </c>
      <c r="BB894" s="442">
        <f>YEAR(PV_DATA[[#This Row],[ETA for New Ark update]])</f>
        <v>2026</v>
      </c>
      <c r="BC894" s="431">
        <f>MONTH(PV_DATA[[#This Row],[ETA for New Ark update]])</f>
        <v>10</v>
      </c>
      <c r="BD894" s="431">
        <f>IFERROR(_xlfn.ISOWEEKNUM(PV_DATA[[#This Row],[ETA for New Ark update]]),0)</f>
        <v>42</v>
      </c>
      <c r="BE894" s="431">
        <f>_xlfn.XLOOKUP(PV_DATA[[#This Row],[New Ark SKU]],Table9[New Ark SKU],Table9[Total PCS per Pallet],,0)</f>
        <v>36</v>
      </c>
      <c r="BF894" s="431">
        <f>_xlfn.XLOOKUP(PV_DATA[[#This Row],[New Ark SKU]],Table9[New Ark SKU],Table9[Total PCS per 40HQ Container],,0)</f>
        <v>936</v>
      </c>
      <c r="BG894" s="431" t="str">
        <f>_xlfn.XLOOKUP(PV_DATA[[#This Row],[New Ark SKU]],Table9[New Ark SKU],Table9[Back Glass],,0)</f>
        <v>Black glazing</v>
      </c>
      <c r="BH894" s="431" t="str">
        <f>_xlfn.XLOOKUP(PV_DATA[[#This Row],[PORT DESTINATION]],Table12[PORT DESTINATION],Table12[Cosco Line],,0)</f>
        <v>AEU</v>
      </c>
    </row>
    <row r="895" spans="1:62" s="439" customFormat="1" ht="10.5" hidden="1">
      <c r="A895" s="439" t="s">
        <v>6121</v>
      </c>
      <c r="B895" s="439" t="s">
        <v>5783</v>
      </c>
      <c r="C895" s="439" t="str">
        <f>IFERROR(LEFT(PV_DATA[[#This Row],[TCL REFERENCE]],FIND(".",PV_DATA[[#This Row],[TCL REFERENCE]],1)-1),"Main Line")</f>
        <v>26Jul005</v>
      </c>
      <c r="D895" s="439" t="s">
        <v>63</v>
      </c>
      <c r="E895" s="439" t="s">
        <v>64</v>
      </c>
      <c r="F895" s="439" t="str" cm="1">
        <f t="array" ref="F89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95" s="439" t="s">
        <v>402</v>
      </c>
      <c r="H895" s="439" t="s">
        <v>67</v>
      </c>
      <c r="I895" s="439" t="s">
        <v>689</v>
      </c>
      <c r="J895" s="439" t="s">
        <v>96</v>
      </c>
      <c r="M895" s="439" t="s">
        <v>68</v>
      </c>
      <c r="N895" s="715">
        <v>46223</v>
      </c>
      <c r="O895" s="439" t="s">
        <v>4540</v>
      </c>
      <c r="P895" s="439" t="s">
        <v>195</v>
      </c>
      <c r="Q895" s="439" t="s">
        <v>196</v>
      </c>
      <c r="R895" s="430" t="str">
        <f>_xlfn.XLOOKUP(PV_DATA[[#This Row],[New Ark SKU]],Table9[New Ark SKU],Table9[Connector],,0)</f>
        <v>EVO2A</v>
      </c>
      <c r="S895" s="433" t="str">
        <f>_xlfn.XLOOKUP(PV_DATA[[#This Row],[New Ark SKU]],Table9[New Ark SKU],Table9[Cable],,0)</f>
        <v>±1200mm</v>
      </c>
      <c r="T895" s="722">
        <v>450</v>
      </c>
      <c r="U895" s="1108">
        <v>3744</v>
      </c>
      <c r="V895" s="1129">
        <f>PV_DATA[[#This Row],[QUANTITY]]*PV_DATA[[#This Row],[WATT]]/1000000</f>
        <v>1.6848000000000001</v>
      </c>
      <c r="W895" s="1110">
        <f>PV_DATA[[#This Row],[QUANTITY]]/PV_DATA[[#This Row],[Qty/Pallet]]</f>
        <v>104</v>
      </c>
      <c r="X895" s="1118">
        <f>PV_DATA[[#This Row],[QUANTITY]]/PV_DATA[[#This Row],[Qty/CT]]</f>
        <v>4</v>
      </c>
      <c r="Y895" s="439" t="s">
        <v>4374</v>
      </c>
      <c r="Z895" s="439" t="str">
        <f t="shared" si="11"/>
        <v>COMPLETED</v>
      </c>
      <c r="AA895" s="439" t="s">
        <v>6122</v>
      </c>
      <c r="AB895" s="719">
        <v>46243</v>
      </c>
      <c r="AC895" s="1119">
        <f>IF(PV_DATA[[#This Row],[Pick-Up Date]]&lt;&gt;"",_xlfn.ISOWEEKNUM(PV_DATA[[#This Row],[Pick-Up Date]]),"")</f>
        <v>32</v>
      </c>
      <c r="AD895" s="439" t="s">
        <v>6123</v>
      </c>
      <c r="AF895" s="439" t="s">
        <v>6117</v>
      </c>
      <c r="AG895" s="439" t="s">
        <v>123</v>
      </c>
      <c r="AH895" s="439" t="s">
        <v>105</v>
      </c>
      <c r="AI895" s="719">
        <v>46249</v>
      </c>
      <c r="AJ895" s="719">
        <v>46256</v>
      </c>
      <c r="AK895" s="719">
        <v>46256</v>
      </c>
      <c r="AL895" s="719">
        <v>46292</v>
      </c>
      <c r="AM895" s="437">
        <v>46299</v>
      </c>
      <c r="AN895" s="586">
        <v>46300</v>
      </c>
      <c r="AP895" s="439" t="s">
        <v>6118</v>
      </c>
      <c r="AQ895" s="1130" t="s">
        <v>161</v>
      </c>
      <c r="AR895" s="439" t="s">
        <v>6119</v>
      </c>
      <c r="AS895" s="439" t="s">
        <v>6120</v>
      </c>
      <c r="AT895" s="439" t="s">
        <v>6120</v>
      </c>
      <c r="AU895" s="431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W895" s="719" cm="1">
        <f t="array" ref="AW89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46300</v>
      </c>
      <c r="AX895" s="722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95" s="719">
        <f>IF(ISERROR(PV_DATA[[#This Row],[New Ark PO status]]),"",_xlfn.XLOOKUP(PV_DATA[[#This Row],[SPTN-PVHK New Ark PO'#]],New_Ark_Data[Purchase order Number],New_Ark_Data[Estimated time of arrival],"",0))</f>
        <v>46309</v>
      </c>
      <c r="AZ895" s="72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95" s="719">
        <f>IFERROR(PV_DATA[[#This Row],[ODP ETA Port]]+PV_DATA[[#This Row],[Customs/Leg3 Assumption]],"n/a")</f>
        <v>46307</v>
      </c>
      <c r="BB895" s="722">
        <f>YEAR(PV_DATA[[#This Row],[ETA for New Ark update]])</f>
        <v>2026</v>
      </c>
      <c r="BC895" s="439">
        <f>MONTH(PV_DATA[[#This Row],[ETA for New Ark update]])</f>
        <v>10</v>
      </c>
      <c r="BD895" s="439">
        <f>IFERROR(_xlfn.ISOWEEKNUM(PV_DATA[[#This Row],[ETA for New Ark update]]),0)</f>
        <v>42</v>
      </c>
      <c r="BE895" s="439">
        <f>_xlfn.XLOOKUP(PV_DATA[[#This Row],[New Ark SKU]],Table9[New Ark SKU],Table9[Total PCS per Pallet],,0)</f>
        <v>36</v>
      </c>
      <c r="BF895" s="439">
        <f>_xlfn.XLOOKUP(PV_DATA[[#This Row],[New Ark SKU]],Table9[New Ark SKU],Table9[Total PCS per 40HQ Container],,0)</f>
        <v>936</v>
      </c>
      <c r="BG895" s="439" t="str">
        <f>_xlfn.XLOOKUP(PV_DATA[[#This Row],[New Ark SKU]],Table9[New Ark SKU],Table9[Back Glass],,0)</f>
        <v>Black glazing</v>
      </c>
      <c r="BH895" s="439" t="str">
        <f>_xlfn.XLOOKUP(PV_DATA[[#This Row],[PORT DESTINATION]],Table12[PORT DESTINATION],Table12[Cosco Line],,0)</f>
        <v>AEU</v>
      </c>
    </row>
    <row r="896" spans="1:62" s="462" customFormat="1" ht="10.5" hidden="1">
      <c r="A896" s="462" t="s">
        <v>6124</v>
      </c>
      <c r="B896" s="462" t="s">
        <v>5783</v>
      </c>
      <c r="C896" s="462" t="str">
        <f>IFERROR(LEFT(PV_DATA[[#This Row],[TCL REFERENCE]],FIND(".",PV_DATA[[#This Row],[TCL REFERENCE]],1)-1),"Main Line")</f>
        <v>26Jul005</v>
      </c>
      <c r="D896" s="462" t="s">
        <v>63</v>
      </c>
      <c r="E896" s="462" t="s">
        <v>64</v>
      </c>
      <c r="F896" s="462" t="str" cm="1">
        <f t="array" ref="F89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96" s="462" t="s">
        <v>402</v>
      </c>
      <c r="H896" s="462" t="s">
        <v>67</v>
      </c>
      <c r="I896" s="462" t="s">
        <v>689</v>
      </c>
      <c r="J896" s="462" t="s">
        <v>96</v>
      </c>
      <c r="M896" s="462" t="s">
        <v>68</v>
      </c>
      <c r="N896" s="712">
        <v>46223</v>
      </c>
      <c r="O896" s="462" t="s">
        <v>4540</v>
      </c>
      <c r="P896" s="462" t="s">
        <v>195</v>
      </c>
      <c r="Q896" s="462" t="s">
        <v>196</v>
      </c>
      <c r="R896" s="430" t="str">
        <f>_xlfn.XLOOKUP(PV_DATA[[#This Row],[New Ark SKU]],Table9[New Ark SKU],Table9[Connector],,0)</f>
        <v>EVO2A</v>
      </c>
      <c r="S896" s="433" t="str">
        <f>_xlfn.XLOOKUP(PV_DATA[[#This Row],[New Ark SKU]],Table9[New Ark SKU],Table9[Cable],,0)</f>
        <v>±1200mm</v>
      </c>
      <c r="T896" s="936">
        <v>450</v>
      </c>
      <c r="U896" s="1069">
        <v>936</v>
      </c>
      <c r="V896" s="458">
        <f>PV_DATA[[#This Row],[QUANTITY]]*PV_DATA[[#This Row],[WATT]]/1000000</f>
        <v>0.42120000000000002</v>
      </c>
      <c r="W896" s="714">
        <f>PV_DATA[[#This Row],[QUANTITY]]/PV_DATA[[#This Row],[Qty/Pallet]]</f>
        <v>26</v>
      </c>
      <c r="X896" s="1017">
        <f>PV_DATA[[#This Row],[QUANTITY]]/PV_DATA[[#This Row],[Qty/CT]]</f>
        <v>1</v>
      </c>
      <c r="Y896" s="462" t="s">
        <v>4374</v>
      </c>
      <c r="Z896" s="462" t="str">
        <f t="shared" si="11"/>
        <v>COMPLETED</v>
      </c>
      <c r="AA896" s="462" t="s">
        <v>6122</v>
      </c>
      <c r="AB896" s="713">
        <v>46243</v>
      </c>
      <c r="AC896" s="937">
        <f>IF(PV_DATA[[#This Row],[Pick-Up Date]]&lt;&gt;"",_xlfn.ISOWEEKNUM(PV_DATA[[#This Row],[Pick-Up Date]]),"")</f>
        <v>32</v>
      </c>
      <c r="AD896" s="462" t="s">
        <v>6125</v>
      </c>
      <c r="AF896" s="462" t="s">
        <v>6117</v>
      </c>
      <c r="AG896" s="462" t="s">
        <v>123</v>
      </c>
      <c r="AH896" s="462" t="s">
        <v>105</v>
      </c>
      <c r="AI896" s="713">
        <v>46249</v>
      </c>
      <c r="AJ896" s="713">
        <v>46256</v>
      </c>
      <c r="AK896" s="713">
        <v>46256</v>
      </c>
      <c r="AL896" s="713">
        <v>46292</v>
      </c>
      <c r="AM896" s="437">
        <v>46299</v>
      </c>
      <c r="AN896" s="586">
        <v>46300</v>
      </c>
      <c r="AP896" s="462" t="s">
        <v>6118</v>
      </c>
      <c r="AQ896" s="940" t="s">
        <v>161</v>
      </c>
      <c r="AR896" s="462" t="s">
        <v>6119</v>
      </c>
      <c r="AS896" s="462" t="s">
        <v>6120</v>
      </c>
      <c r="AT896" s="462" t="s">
        <v>6120</v>
      </c>
      <c r="AU89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W896" s="713" cm="1">
        <f t="array" ref="AW89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46300</v>
      </c>
      <c r="AX89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96" s="713">
        <f>IF(ISERROR(PV_DATA[[#This Row],[New Ark PO status]]),"",_xlfn.XLOOKUP(PV_DATA[[#This Row],[SPTN-PVHK New Ark PO'#]],New_Ark_Data[Purchase order Number],New_Ark_Data[Estimated time of arrival],"",0))</f>
        <v>46309</v>
      </c>
      <c r="AZ896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96" s="713">
        <f>IFERROR(PV_DATA[[#This Row],[ODP ETA Port]]+PV_DATA[[#This Row],[Customs/Leg3 Assumption]],"n/a")</f>
        <v>46307</v>
      </c>
      <c r="BB896" s="936">
        <f>YEAR(PV_DATA[[#This Row],[ETA for New Ark update]])</f>
        <v>2026</v>
      </c>
      <c r="BC896" s="462">
        <f>MONTH(PV_DATA[[#This Row],[ETA for New Ark update]])</f>
        <v>10</v>
      </c>
      <c r="BD896" s="462">
        <f>IFERROR(_xlfn.ISOWEEKNUM(PV_DATA[[#This Row],[ETA for New Ark update]]),0)</f>
        <v>42</v>
      </c>
      <c r="BE896" s="462">
        <f>_xlfn.XLOOKUP(PV_DATA[[#This Row],[New Ark SKU]],Table9[New Ark SKU],Table9[Total PCS per Pallet],,0)</f>
        <v>36</v>
      </c>
      <c r="BF896" s="462">
        <f>_xlfn.XLOOKUP(PV_DATA[[#This Row],[New Ark SKU]],Table9[New Ark SKU],Table9[Total PCS per 40HQ Container],,0)</f>
        <v>936</v>
      </c>
      <c r="BG896" s="462" t="str">
        <f>_xlfn.XLOOKUP(PV_DATA[[#This Row],[New Ark SKU]],Table9[New Ark SKU],Table9[Back Glass],,0)</f>
        <v>Black glazing</v>
      </c>
      <c r="BH896" s="462" t="str">
        <f>_xlfn.XLOOKUP(PV_DATA[[#This Row],[PORT DESTINATION]],Table12[PORT DESTINATION],Table12[Cosco Line],,0)</f>
        <v>AEU</v>
      </c>
    </row>
    <row r="897" spans="1:62" s="462" customFormat="1" ht="10.5" hidden="1">
      <c r="A897" s="462" t="s">
        <v>6126</v>
      </c>
      <c r="B897" s="462" t="s">
        <v>5783</v>
      </c>
      <c r="C897" s="462" t="str">
        <f>IFERROR(LEFT(PV_DATA[[#This Row],[TCL REFERENCE]],FIND(".",PV_DATA[[#This Row],[TCL REFERENCE]],1)-1),"Main Line")</f>
        <v>26Jul005</v>
      </c>
      <c r="D897" s="462" t="s">
        <v>63</v>
      </c>
      <c r="E897" s="462" t="s">
        <v>64</v>
      </c>
      <c r="F897" s="462" t="str" cm="1">
        <f t="array" ref="F89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97" s="462" t="s">
        <v>402</v>
      </c>
      <c r="H897" s="462" t="s">
        <v>67</v>
      </c>
      <c r="I897" s="462" t="s">
        <v>689</v>
      </c>
      <c r="J897" s="462" t="s">
        <v>96</v>
      </c>
      <c r="M897" s="462" t="s">
        <v>68</v>
      </c>
      <c r="N897" s="712">
        <v>46223</v>
      </c>
      <c r="O897" s="462" t="s">
        <v>4540</v>
      </c>
      <c r="P897" s="462" t="s">
        <v>195</v>
      </c>
      <c r="Q897" s="462" t="s">
        <v>196</v>
      </c>
      <c r="R897" s="430" t="str">
        <f>_xlfn.XLOOKUP(PV_DATA[[#This Row],[New Ark SKU]],Table9[New Ark SKU],Table9[Connector],,0)</f>
        <v>EVO2A</v>
      </c>
      <c r="S897" s="433" t="str">
        <f>_xlfn.XLOOKUP(PV_DATA[[#This Row],[New Ark SKU]],Table9[New Ark SKU],Table9[Cable],,0)</f>
        <v>±1200mm</v>
      </c>
      <c r="T897" s="936">
        <v>450</v>
      </c>
      <c r="U897" s="1069">
        <v>1872</v>
      </c>
      <c r="V897" s="458">
        <f>PV_DATA[[#This Row],[QUANTITY]]*PV_DATA[[#This Row],[WATT]]/1000000</f>
        <v>0.84240000000000004</v>
      </c>
      <c r="W897" s="714">
        <f>PV_DATA[[#This Row],[QUANTITY]]/PV_DATA[[#This Row],[Qty/Pallet]]</f>
        <v>52</v>
      </c>
      <c r="X897" s="1017">
        <f>PV_DATA[[#This Row],[QUANTITY]]/PV_DATA[[#This Row],[Qty/CT]]</f>
        <v>2</v>
      </c>
      <c r="Y897" s="462" t="s">
        <v>4375</v>
      </c>
      <c r="Z897" s="462" t="str">
        <f t="shared" si="11"/>
        <v>COMPLETED</v>
      </c>
      <c r="AA897" s="462" t="s">
        <v>6031</v>
      </c>
      <c r="AB897" s="713">
        <v>46243</v>
      </c>
      <c r="AC897" s="937">
        <f>IF(PV_DATA[[#This Row],[Pick-Up Date]]&lt;&gt;"",_xlfn.ISOWEEKNUM(PV_DATA[[#This Row],[Pick-Up Date]]),"")</f>
        <v>32</v>
      </c>
      <c r="AD897" s="462" t="s">
        <v>6127</v>
      </c>
      <c r="AF897" s="462" t="s">
        <v>6117</v>
      </c>
      <c r="AG897" s="462" t="s">
        <v>123</v>
      </c>
      <c r="AH897" s="462" t="s">
        <v>105</v>
      </c>
      <c r="AI897" s="713">
        <v>46249</v>
      </c>
      <c r="AJ897" s="713">
        <v>46256</v>
      </c>
      <c r="AK897" s="713">
        <v>46256</v>
      </c>
      <c r="AL897" s="713">
        <v>46292</v>
      </c>
      <c r="AM897" s="437">
        <v>46299</v>
      </c>
      <c r="AN897" s="586">
        <v>46300</v>
      </c>
      <c r="AP897" s="462" t="s">
        <v>6118</v>
      </c>
      <c r="AQ897" s="940" t="s">
        <v>161</v>
      </c>
      <c r="AR897" s="462" t="s">
        <v>6128</v>
      </c>
      <c r="AS897" s="462" t="s">
        <v>6129</v>
      </c>
      <c r="AT897" s="462" t="s">
        <v>6129</v>
      </c>
      <c r="AU89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W897" s="713" cm="1">
        <f t="array" ref="AW89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46300</v>
      </c>
      <c r="AX89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97" s="713">
        <f>IF(ISERROR(PV_DATA[[#This Row],[New Ark PO status]]),"",_xlfn.XLOOKUP(PV_DATA[[#This Row],[SPTN-PVHK New Ark PO'#]],New_Ark_Data[Purchase order Number],New_Ark_Data[Estimated time of arrival],"",0))</f>
        <v>46309</v>
      </c>
      <c r="AZ897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97" s="713">
        <f>IFERROR(PV_DATA[[#This Row],[ODP ETA Port]]+PV_DATA[[#This Row],[Customs/Leg3 Assumption]],"n/a")</f>
        <v>46307</v>
      </c>
      <c r="BB897" s="936">
        <f>YEAR(PV_DATA[[#This Row],[ETA for New Ark update]])</f>
        <v>2026</v>
      </c>
      <c r="BC897" s="462">
        <f>MONTH(PV_DATA[[#This Row],[ETA for New Ark update]])</f>
        <v>10</v>
      </c>
      <c r="BD897" s="462">
        <f>IFERROR(_xlfn.ISOWEEKNUM(PV_DATA[[#This Row],[ETA for New Ark update]]),0)</f>
        <v>42</v>
      </c>
      <c r="BE897" s="462">
        <f>_xlfn.XLOOKUP(PV_DATA[[#This Row],[New Ark SKU]],Table9[New Ark SKU],Table9[Total PCS per Pallet],,0)</f>
        <v>36</v>
      </c>
      <c r="BF897" s="462">
        <f>_xlfn.XLOOKUP(PV_DATA[[#This Row],[New Ark SKU]],Table9[New Ark SKU],Table9[Total PCS per 40HQ Container],,0)</f>
        <v>936</v>
      </c>
      <c r="BG897" s="462" t="str">
        <f>_xlfn.XLOOKUP(PV_DATA[[#This Row],[New Ark SKU]],Table9[New Ark SKU],Table9[Back Glass],,0)</f>
        <v>Black glazing</v>
      </c>
      <c r="BH897" s="462" t="str">
        <f>_xlfn.XLOOKUP(PV_DATA[[#This Row],[PORT DESTINATION]],Table12[PORT DESTINATION],Table12[Cosco Line],,0)</f>
        <v>AEU</v>
      </c>
    </row>
    <row r="898" spans="1:62" s="462" customFormat="1" ht="10.5" hidden="1">
      <c r="A898" s="462" t="s">
        <v>6130</v>
      </c>
      <c r="B898" s="462" t="s">
        <v>5783</v>
      </c>
      <c r="C898" s="462" t="str">
        <f>IFERROR(LEFT(PV_DATA[[#This Row],[TCL REFERENCE]],FIND(".",PV_DATA[[#This Row],[TCL REFERENCE]],1)-1),"Main Line")</f>
        <v>26Jul005</v>
      </c>
      <c r="D898" s="462" t="s">
        <v>63</v>
      </c>
      <c r="E898" s="462" t="s">
        <v>64</v>
      </c>
      <c r="F898" s="462" t="str" cm="1">
        <f t="array" ref="F89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98" s="462" t="s">
        <v>402</v>
      </c>
      <c r="H898" s="462" t="s">
        <v>67</v>
      </c>
      <c r="I898" s="462" t="s">
        <v>689</v>
      </c>
      <c r="J898" s="462" t="s">
        <v>96</v>
      </c>
      <c r="M898" s="462" t="s">
        <v>68</v>
      </c>
      <c r="N898" s="712">
        <v>46223</v>
      </c>
      <c r="O898" s="462" t="s">
        <v>4540</v>
      </c>
      <c r="P898" s="462" t="s">
        <v>195</v>
      </c>
      <c r="Q898" s="462" t="s">
        <v>196</v>
      </c>
      <c r="R898" s="430" t="str">
        <f>_xlfn.XLOOKUP(PV_DATA[[#This Row],[New Ark SKU]],Table9[New Ark SKU],Table9[Connector],,0)</f>
        <v>EVO2A</v>
      </c>
      <c r="S898" s="433" t="str">
        <f>_xlfn.XLOOKUP(PV_DATA[[#This Row],[New Ark SKU]],Table9[New Ark SKU],Table9[Cable],,0)</f>
        <v>±1200mm</v>
      </c>
      <c r="T898" s="936">
        <v>450</v>
      </c>
      <c r="U898" s="1069">
        <v>2808</v>
      </c>
      <c r="V898" s="458">
        <f>PV_DATA[[#This Row],[QUANTITY]]*PV_DATA[[#This Row],[WATT]]/1000000</f>
        <v>1.2636000000000001</v>
      </c>
      <c r="W898" s="714">
        <f>PV_DATA[[#This Row],[QUANTITY]]/PV_DATA[[#This Row],[Qty/Pallet]]</f>
        <v>78</v>
      </c>
      <c r="X898" s="1017">
        <f>PV_DATA[[#This Row],[QUANTITY]]/PV_DATA[[#This Row],[Qty/CT]]</f>
        <v>3</v>
      </c>
      <c r="Y898" s="462" t="s">
        <v>4375</v>
      </c>
      <c r="Z898" s="462" t="str">
        <f t="shared" si="11"/>
        <v>COMPLETED</v>
      </c>
      <c r="AA898" s="462" t="s">
        <v>6031</v>
      </c>
      <c r="AB898" s="713">
        <v>46243</v>
      </c>
      <c r="AC898" s="937">
        <f>IF(PV_DATA[[#This Row],[Pick-Up Date]]&lt;&gt;"",_xlfn.ISOWEEKNUM(PV_DATA[[#This Row],[Pick-Up Date]]),"")</f>
        <v>32</v>
      </c>
      <c r="AD898" s="462" t="s">
        <v>6131</v>
      </c>
      <c r="AF898" s="462" t="s">
        <v>6117</v>
      </c>
      <c r="AG898" s="462" t="s">
        <v>123</v>
      </c>
      <c r="AH898" s="462" t="s">
        <v>105</v>
      </c>
      <c r="AI898" s="713">
        <v>46249</v>
      </c>
      <c r="AJ898" s="713">
        <v>46256</v>
      </c>
      <c r="AK898" s="713">
        <v>46256</v>
      </c>
      <c r="AL898" s="713">
        <v>46292</v>
      </c>
      <c r="AM898" s="437">
        <v>46299</v>
      </c>
      <c r="AN898" s="586">
        <v>46300</v>
      </c>
      <c r="AP898" s="462" t="s">
        <v>6118</v>
      </c>
      <c r="AQ898" s="940" t="s">
        <v>161</v>
      </c>
      <c r="AR898" s="462" t="s">
        <v>6128</v>
      </c>
      <c r="AS898" s="462" t="s">
        <v>6129</v>
      </c>
      <c r="AT898" s="462" t="s">
        <v>6129</v>
      </c>
      <c r="AU89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W898" s="713" cm="1">
        <f t="array" ref="AW89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46300</v>
      </c>
      <c r="AX89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98" s="713">
        <f>IF(ISERROR(PV_DATA[[#This Row],[New Ark PO status]]),"",_xlfn.XLOOKUP(PV_DATA[[#This Row],[SPTN-PVHK New Ark PO'#]],New_Ark_Data[Purchase order Number],New_Ark_Data[Estimated time of arrival],"",0))</f>
        <v>46309</v>
      </c>
      <c r="AZ898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98" s="713">
        <f>IFERROR(PV_DATA[[#This Row],[ODP ETA Port]]+PV_DATA[[#This Row],[Customs/Leg3 Assumption]],"n/a")</f>
        <v>46307</v>
      </c>
      <c r="BB898" s="936">
        <f>YEAR(PV_DATA[[#This Row],[ETA for New Ark update]])</f>
        <v>2026</v>
      </c>
      <c r="BC898" s="462">
        <f>MONTH(PV_DATA[[#This Row],[ETA for New Ark update]])</f>
        <v>10</v>
      </c>
      <c r="BD898" s="462">
        <f>IFERROR(_xlfn.ISOWEEKNUM(PV_DATA[[#This Row],[ETA for New Ark update]]),0)</f>
        <v>42</v>
      </c>
      <c r="BE898" s="462">
        <f>_xlfn.XLOOKUP(PV_DATA[[#This Row],[New Ark SKU]],Table9[New Ark SKU],Table9[Total PCS per Pallet],,0)</f>
        <v>36</v>
      </c>
      <c r="BF898" s="462">
        <f>_xlfn.XLOOKUP(PV_DATA[[#This Row],[New Ark SKU]],Table9[New Ark SKU],Table9[Total PCS per 40HQ Container],,0)</f>
        <v>936</v>
      </c>
      <c r="BG898" s="462" t="str">
        <f>_xlfn.XLOOKUP(PV_DATA[[#This Row],[New Ark SKU]],Table9[New Ark SKU],Table9[Back Glass],,0)</f>
        <v>Black glazing</v>
      </c>
      <c r="BH898" s="462" t="str">
        <f>_xlfn.XLOOKUP(PV_DATA[[#This Row],[PORT DESTINATION]],Table12[PORT DESTINATION],Table12[Cosco Line],,0)</f>
        <v>AEU</v>
      </c>
    </row>
    <row r="899" spans="1:62" s="462" customFormat="1" ht="10.5" hidden="1">
      <c r="A899" s="462" t="s">
        <v>6132</v>
      </c>
      <c r="B899" s="462" t="s">
        <v>5783</v>
      </c>
      <c r="C899" s="462" t="str">
        <f>IFERROR(LEFT(PV_DATA[[#This Row],[TCL REFERENCE]],FIND(".",PV_DATA[[#This Row],[TCL REFERENCE]],1)-1),"Main Line")</f>
        <v>26Jul005</v>
      </c>
      <c r="D899" s="462" t="s">
        <v>63</v>
      </c>
      <c r="E899" s="462" t="s">
        <v>64</v>
      </c>
      <c r="F899" s="462" t="str" cm="1">
        <f t="array" ref="F89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899" s="462" t="s">
        <v>402</v>
      </c>
      <c r="H899" s="462" t="s">
        <v>67</v>
      </c>
      <c r="I899" s="462" t="s">
        <v>689</v>
      </c>
      <c r="J899" s="462" t="s">
        <v>96</v>
      </c>
      <c r="M899" s="462" t="s">
        <v>68</v>
      </c>
      <c r="N899" s="712">
        <v>46223</v>
      </c>
      <c r="O899" s="462" t="s">
        <v>4540</v>
      </c>
      <c r="P899" s="462" t="s">
        <v>195</v>
      </c>
      <c r="Q899" s="462" t="s">
        <v>196</v>
      </c>
      <c r="R899" s="430" t="str">
        <f>_xlfn.XLOOKUP(PV_DATA[[#This Row],[New Ark SKU]],Table9[New Ark SKU],Table9[Connector],,0)</f>
        <v>EVO2A</v>
      </c>
      <c r="S899" s="433" t="str">
        <f>_xlfn.XLOOKUP(PV_DATA[[#This Row],[New Ark SKU]],Table9[New Ark SKU],Table9[Cable],,0)</f>
        <v>±1200mm</v>
      </c>
      <c r="T899" s="936">
        <v>450</v>
      </c>
      <c r="U899" s="1069">
        <f>936*5</f>
        <v>4680</v>
      </c>
      <c r="V899" s="458">
        <f>PV_DATA[[#This Row],[QUANTITY]]*PV_DATA[[#This Row],[WATT]]/1000000</f>
        <v>2.1059999999999999</v>
      </c>
      <c r="W899" s="714">
        <f>PV_DATA[[#This Row],[QUANTITY]]/PV_DATA[[#This Row],[Qty/Pallet]]</f>
        <v>130</v>
      </c>
      <c r="X899" s="1017">
        <f>PV_DATA[[#This Row],[QUANTITY]]/PV_DATA[[#This Row],[Qty/CT]]</f>
        <v>5</v>
      </c>
      <c r="Y899" s="462" t="s">
        <v>4376</v>
      </c>
      <c r="Z899" s="462" t="str">
        <f t="shared" si="11"/>
        <v>COMPLETED</v>
      </c>
      <c r="AA899" s="462" t="s">
        <v>6133</v>
      </c>
      <c r="AB899" s="713">
        <v>46243</v>
      </c>
      <c r="AC899" s="937">
        <f>IF(PV_DATA[[#This Row],[Pick-Up Date]]&lt;&gt;"",_xlfn.ISOWEEKNUM(PV_DATA[[#This Row],[Pick-Up Date]]),"")</f>
        <v>32</v>
      </c>
      <c r="AD899" s="462" t="s">
        <v>6134</v>
      </c>
      <c r="AF899" s="462" t="s">
        <v>6117</v>
      </c>
      <c r="AG899" s="462" t="s">
        <v>123</v>
      </c>
      <c r="AH899" s="462" t="s">
        <v>105</v>
      </c>
      <c r="AI899" s="713">
        <v>46249</v>
      </c>
      <c r="AJ899" s="713">
        <v>46256</v>
      </c>
      <c r="AK899" s="713">
        <v>46256</v>
      </c>
      <c r="AL899" s="713">
        <v>46292</v>
      </c>
      <c r="AM899" s="437">
        <v>46299</v>
      </c>
      <c r="AN899" s="586">
        <v>46300</v>
      </c>
      <c r="AP899" s="462" t="s">
        <v>6118</v>
      </c>
      <c r="AQ899" s="940" t="s">
        <v>161</v>
      </c>
      <c r="AR899" s="462" t="s">
        <v>6128</v>
      </c>
      <c r="AS899" s="462" t="s">
        <v>6129</v>
      </c>
      <c r="AT899" s="462" t="s">
        <v>6129</v>
      </c>
      <c r="AU89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W899" s="713" cm="1">
        <f t="array" ref="AW89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46300</v>
      </c>
      <c r="AX89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899" s="713">
        <f>IF(ISERROR(PV_DATA[[#This Row],[New Ark PO status]]),"",_xlfn.XLOOKUP(PV_DATA[[#This Row],[SPTN-PVHK New Ark PO'#]],New_Ark_Data[Purchase order Number],New_Ark_Data[Estimated time of arrival],"",0))</f>
        <v>46309</v>
      </c>
      <c r="AZ899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899" s="713">
        <f>IFERROR(PV_DATA[[#This Row],[ODP ETA Port]]+PV_DATA[[#This Row],[Customs/Leg3 Assumption]],"n/a")</f>
        <v>46307</v>
      </c>
      <c r="BB899" s="936">
        <f>YEAR(PV_DATA[[#This Row],[ETA for New Ark update]])</f>
        <v>2026</v>
      </c>
      <c r="BC899" s="462">
        <f>MONTH(PV_DATA[[#This Row],[ETA for New Ark update]])</f>
        <v>10</v>
      </c>
      <c r="BD899" s="462">
        <f>IFERROR(_xlfn.ISOWEEKNUM(PV_DATA[[#This Row],[ETA for New Ark update]]),0)</f>
        <v>42</v>
      </c>
      <c r="BE899" s="462">
        <f>_xlfn.XLOOKUP(PV_DATA[[#This Row],[New Ark SKU]],Table9[New Ark SKU],Table9[Total PCS per Pallet],,0)</f>
        <v>36</v>
      </c>
      <c r="BF899" s="462">
        <f>_xlfn.XLOOKUP(PV_DATA[[#This Row],[New Ark SKU]],Table9[New Ark SKU],Table9[Total PCS per 40HQ Container],,0)</f>
        <v>936</v>
      </c>
      <c r="BG899" s="462" t="str">
        <f>_xlfn.XLOOKUP(PV_DATA[[#This Row],[New Ark SKU]],Table9[New Ark SKU],Table9[Back Glass],,0)</f>
        <v>Black glazing</v>
      </c>
      <c r="BH899" s="462" t="str">
        <f>_xlfn.XLOOKUP(PV_DATA[[#This Row],[PORT DESTINATION]],Table12[PORT DESTINATION],Table12[Cosco Line],,0)</f>
        <v>AEU</v>
      </c>
    </row>
    <row r="900" spans="1:62" s="462" customFormat="1" ht="10.5" hidden="1">
      <c r="A900" s="462" t="s">
        <v>6135</v>
      </c>
      <c r="B900" s="462" t="s">
        <v>1757</v>
      </c>
      <c r="C900" s="462" t="str">
        <f>IFERROR(LEFT(PV_DATA[[#This Row],[TCL REFERENCE]],FIND(".",PV_DATA[[#This Row],[TCL REFERENCE]],1)-1),"Main Line")</f>
        <v>26Jun011</v>
      </c>
      <c r="D900" s="462" t="s">
        <v>63</v>
      </c>
      <c r="E900" s="462" t="s">
        <v>64</v>
      </c>
      <c r="F900" s="462" t="str" cm="1">
        <f t="array" ref="F90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00" s="462" t="s">
        <v>402</v>
      </c>
      <c r="H900" s="462" t="s">
        <v>67</v>
      </c>
      <c r="I900" s="462" t="s">
        <v>689</v>
      </c>
      <c r="J900" s="462" t="s">
        <v>96</v>
      </c>
      <c r="M900" s="462" t="s">
        <v>68</v>
      </c>
      <c r="N900" s="712">
        <v>46195</v>
      </c>
      <c r="O900" s="462" t="s">
        <v>4540</v>
      </c>
      <c r="P900" s="462" t="s">
        <v>71</v>
      </c>
      <c r="Q900" s="462" t="s">
        <v>72</v>
      </c>
      <c r="R900" s="430" t="str">
        <f>_xlfn.XLOOKUP(PV_DATA[[#This Row],[New Ark SKU]],Table9[New Ark SKU],Table9[Connector],,0)</f>
        <v>EVO2A</v>
      </c>
      <c r="S900" s="433" t="str">
        <f>_xlfn.XLOOKUP(PV_DATA[[#This Row],[New Ark SKU]],Table9[New Ark SKU],Table9[Cable],,0)</f>
        <v>±1200mm</v>
      </c>
      <c r="T900" s="936">
        <v>500</v>
      </c>
      <c r="U900" s="1069">
        <v>864</v>
      </c>
      <c r="V900" s="458">
        <f>PV_DATA[[#This Row],[QUANTITY]]*PV_DATA[[#This Row],[WATT]]/1000000</f>
        <v>0.432</v>
      </c>
      <c r="W900" s="714">
        <f>PV_DATA[[#This Row],[QUANTITY]]/PV_DATA[[#This Row],[Qty/Pallet]]</f>
        <v>24</v>
      </c>
      <c r="X900" s="1017">
        <f>PV_DATA[[#This Row],[QUANTITY]]/PV_DATA[[#This Row],[Qty/CT]]</f>
        <v>1</v>
      </c>
      <c r="Y900" s="462" t="s">
        <v>4372</v>
      </c>
      <c r="Z900" s="462" t="str">
        <f t="shared" si="11"/>
        <v>COMPLETED</v>
      </c>
      <c r="AA900" s="462" t="s">
        <v>5639</v>
      </c>
      <c r="AB900" s="713">
        <v>46241</v>
      </c>
      <c r="AC900" s="937">
        <f>IF(PV_DATA[[#This Row],[Pick-Up Date]]&lt;&gt;"",_xlfn.ISOWEEKNUM(PV_DATA[[#This Row],[Pick-Up Date]]),"")</f>
        <v>32</v>
      </c>
      <c r="AD900" s="462" t="s">
        <v>6136</v>
      </c>
      <c r="AF900" s="462" t="s">
        <v>1525</v>
      </c>
      <c r="AG900" s="462" t="s">
        <v>1525</v>
      </c>
      <c r="AH900" s="462" t="s">
        <v>78</v>
      </c>
      <c r="AI900" s="713">
        <v>46249</v>
      </c>
      <c r="AJ900" s="713" t="str">
        <f>IFERROR(IF(VLOOKUP(AS900,Vessel!#REF!,5,FALSE)=0,"",VLOOKUP(AS900,Vessel!#REF!,5,FALSE)),"")</f>
        <v/>
      </c>
      <c r="AK900" s="713">
        <f>IFERROR(IF(VLOOKUP(AT900,Vessel!A:F,5,FALSE)=0,"",VLOOKUP(AT900,Vessel!A:F,5,FALSE)),"")</f>
        <v>46255.885057870371</v>
      </c>
      <c r="AL900" s="713">
        <v>46300</v>
      </c>
      <c r="AM900" s="939">
        <f>IFERROR(VLOOKUP(AT900, Vessel!A:H, 8, FALSE), "")</f>
        <v>46320.645833333336</v>
      </c>
      <c r="AN900" s="939">
        <f>IFERROR(IF(VLOOKUP(AT900,Vessel!A:I,9,FALSE)=0,"",VLOOKUP(AT900,Vessel!A:I,9,FALSE)),"")</f>
        <v>46320.713321759256</v>
      </c>
      <c r="AP900" s="462" t="s">
        <v>6137</v>
      </c>
      <c r="AQ900" s="462" t="s">
        <v>80</v>
      </c>
      <c r="AR900" s="462" t="s">
        <v>6138</v>
      </c>
      <c r="AS900" s="462" t="s">
        <v>6139</v>
      </c>
      <c r="AT900" s="462" t="s">
        <v>6139</v>
      </c>
      <c r="AU90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64.828263888884976</v>
      </c>
      <c r="AV900" s="713"/>
      <c r="AW900" s="713" cm="1">
        <f t="array" ref="AW90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46320.713321759256</v>
      </c>
      <c r="AX90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00" s="713">
        <f>IF(ISERROR(PV_DATA[[#This Row],[New Ark PO status]]),"",_xlfn.XLOOKUP(PV_DATA[[#This Row],[SPTN-PVHK New Ark PO'#]],New_Ark_Data[Purchase order Number],New_Ark_Data[Estimated time of arrival],"",0))</f>
        <v>46314</v>
      </c>
      <c r="AZ900" s="936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00" s="713">
        <f>IFERROR(PV_DATA[[#This Row],[ODP ETA Port]]+PV_DATA[[#This Row],[Customs/Leg3 Assumption]],"n/a")</f>
        <v>46328.713321759256</v>
      </c>
      <c r="BB900" s="936">
        <f>YEAR(PV_DATA[[#This Row],[ETA for New Ark update]])</f>
        <v>2026</v>
      </c>
      <c r="BC900" s="462">
        <f>MONTH(PV_DATA[[#This Row],[ETA for New Ark update]])</f>
        <v>11</v>
      </c>
      <c r="BD900" s="462">
        <f>IFERROR(_xlfn.ISOWEEKNUM(PV_DATA[[#This Row],[ETA for New Ark update]]),0)</f>
        <v>45</v>
      </c>
      <c r="BE900" s="462">
        <f>_xlfn.XLOOKUP(PV_DATA[[#This Row],[New Ark SKU]],Table9[New Ark SKU],Table9[Total PCS per Pallet],,0)</f>
        <v>36</v>
      </c>
      <c r="BF900" s="462">
        <f>_xlfn.XLOOKUP(PV_DATA[[#This Row],[New Ark SKU]],Table9[New Ark SKU],Table9[Total PCS per 40HQ Container],,0)</f>
        <v>864</v>
      </c>
      <c r="BG900" s="462" t="str">
        <f>_xlfn.XLOOKUP(PV_DATA[[#This Row],[New Ark SKU]],Table9[New Ark SKU],Table9[Back Glass],,0)</f>
        <v>Black glazing</v>
      </c>
      <c r="BH900" s="938" t="str">
        <f>_xlfn.XLOOKUP(PV_DATA[[#This Row],[PORT DESTINATION]],Table12[PORT DESTINATION],Table12[Cosco Line],,0)</f>
        <v>AEM</v>
      </c>
    </row>
    <row r="901" spans="1:62" s="462" customFormat="1" ht="10.5" hidden="1">
      <c r="A901" s="462" t="s">
        <v>6140</v>
      </c>
      <c r="B901" s="462" t="s">
        <v>111</v>
      </c>
      <c r="C901" s="462" t="str">
        <f>IFERROR(LEFT(PV_DATA[[#This Row],[TCL REFERENCE]],FIND(".",PV_DATA[[#This Row],[TCL REFERENCE]],1)-1),"Main Line")</f>
        <v>26Jul002</v>
      </c>
      <c r="D901" s="462" t="s">
        <v>63</v>
      </c>
      <c r="E901" s="462" t="s">
        <v>64</v>
      </c>
      <c r="F901" s="462" t="str" cm="1">
        <f t="array" ref="F90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901" s="462" t="s">
        <v>402</v>
      </c>
      <c r="H901" s="462" t="s">
        <v>311</v>
      </c>
      <c r="I901" s="462" t="s">
        <v>689</v>
      </c>
      <c r="J901" s="462" t="s">
        <v>96</v>
      </c>
      <c r="M901" s="462" t="s">
        <v>68</v>
      </c>
      <c r="N901" s="712">
        <v>46209</v>
      </c>
      <c r="O901" s="462" t="s">
        <v>550</v>
      </c>
      <c r="P901" s="462" t="s">
        <v>2134</v>
      </c>
      <c r="Q901" s="462" t="s">
        <v>2135</v>
      </c>
      <c r="R901" s="430" t="str">
        <f>_xlfn.XLOOKUP(PV_DATA[[#This Row],[New Ark SKU]],Table9[New Ark SKU],Table9[Connector],,0)</f>
        <v>EVO2A</v>
      </c>
      <c r="S901" s="433" t="str">
        <f>_xlfn.XLOOKUP(PV_DATA[[#This Row],[New Ark SKU]],Table9[New Ark SKU],Table9[Cable],,0)</f>
        <v>±1350mm</v>
      </c>
      <c r="T901" s="936">
        <v>515</v>
      </c>
      <c r="U901" s="1069">
        <v>792</v>
      </c>
      <c r="V901" s="458">
        <f>PV_DATA[[#This Row],[QUANTITY]]*PV_DATA[[#This Row],[WATT]]/1000000</f>
        <v>0.40788000000000002</v>
      </c>
      <c r="W901" s="714">
        <f>PV_DATA[[#This Row],[QUANTITY]]/PV_DATA[[#This Row],[Qty/Pallet]]</f>
        <v>22</v>
      </c>
      <c r="X901" s="1017">
        <f>PV_DATA[[#This Row],[QUANTITY]]/PV_DATA[[#This Row],[Qty/CT]]</f>
        <v>1</v>
      </c>
      <c r="Y901" s="462" t="s">
        <v>4375</v>
      </c>
      <c r="Z901" s="462" t="str">
        <f t="shared" si="11"/>
        <v>COMPLETED</v>
      </c>
      <c r="AA901" s="462" t="s">
        <v>5942</v>
      </c>
      <c r="AB901" s="713">
        <v>46252</v>
      </c>
      <c r="AC901" s="937">
        <f>IF(PV_DATA[[#This Row],[Pick-Up Date]]&lt;&gt;"",_xlfn.ISOWEEKNUM(PV_DATA[[#This Row],[Pick-Up Date]]),"")</f>
        <v>34</v>
      </c>
      <c r="AD901" s="462" t="s">
        <v>6141</v>
      </c>
      <c r="AE901" s="462" t="s">
        <v>6141</v>
      </c>
      <c r="AF901" s="462" t="s">
        <v>1525</v>
      </c>
      <c r="AG901" s="462" t="s">
        <v>6003</v>
      </c>
      <c r="AH901" s="462" t="s">
        <v>1561</v>
      </c>
      <c r="AI901" s="713">
        <v>46247</v>
      </c>
      <c r="AJ901" s="713">
        <f>IFERROR(VLOOKUP(AT901, Vessel!A:D, 4, FALSE), "")</f>
        <v>46257.291666666664</v>
      </c>
      <c r="AK901" s="713">
        <f>IFERROR(IF(VLOOKUP(AT901,Vessel!A:F,5,FALSE)=0,"",VLOOKUP(AT901,Vessel!A:F,5,FALSE)),"")</f>
        <v>46257.156030092592</v>
      </c>
      <c r="AL901" s="1013">
        <v>46303</v>
      </c>
      <c r="AM901" s="1127">
        <f>IFERROR(VLOOKUP(AT901, Vessel!A:H, 8, FALSE), "")</f>
        <v>46313.875</v>
      </c>
      <c r="AN901" s="939">
        <f>IFERROR(IF(VLOOKUP(AT901,Vessel!A:I,9,FALSE)=0,"",VLOOKUP(AT901,Vessel!A:I,9,FALSE)),"")</f>
        <v>46313.624143518522</v>
      </c>
      <c r="AP901" s="462" t="s">
        <v>5944</v>
      </c>
      <c r="AQ901" s="462" t="s">
        <v>80</v>
      </c>
      <c r="AR901" s="462" t="s">
        <v>6142</v>
      </c>
      <c r="AS901" s="462" t="s">
        <v>6143</v>
      </c>
      <c r="AT901" s="462" t="s">
        <v>6143</v>
      </c>
      <c r="AU90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56.468113425929914</v>
      </c>
      <c r="AW901" s="713" cm="1">
        <f t="array" ref="AW90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46313.624143518522</v>
      </c>
      <c r="AX90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01" s="713">
        <f>IF(ISERROR(PV_DATA[[#This Row],[New Ark PO status]]),"",_xlfn.XLOOKUP(PV_DATA[[#This Row],[SPTN-PVHK New Ark PO'#]],New_Ark_Data[Purchase order Number],New_Ark_Data[Estimated time of arrival],"",0))</f>
        <v>46310</v>
      </c>
      <c r="AZ901" s="936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901" s="713">
        <f>IFERROR(PV_DATA[[#This Row],[ODP ETA Port]]+PV_DATA[[#This Row],[Customs/Leg3 Assumption]],"n/a")</f>
        <v>46323.624143518522</v>
      </c>
      <c r="BB901" s="936">
        <f>YEAR(PV_DATA[[#This Row],[ETA for New Ark update]])</f>
        <v>2026</v>
      </c>
      <c r="BC901" s="462">
        <f>MONTH(PV_DATA[[#This Row],[ETA for New Ark update]])</f>
        <v>10</v>
      </c>
      <c r="BD901" s="462">
        <f>IFERROR(_xlfn.ISOWEEKNUM(PV_DATA[[#This Row],[ETA for New Ark update]]),0)</f>
        <v>44</v>
      </c>
      <c r="BE901" s="462">
        <f>_xlfn.XLOOKUP(PV_DATA[[#This Row],[New Ark SKU]],Table9[New Ark SKU],Table9[Total PCS per Pallet],,0)</f>
        <v>36</v>
      </c>
      <c r="BF901" s="462">
        <f>_xlfn.XLOOKUP(PV_DATA[[#This Row],[New Ark SKU]],Table9[New Ark SKU],Table9[Total PCS per 40HQ Container],,0)</f>
        <v>792</v>
      </c>
      <c r="BG901" s="462" t="str">
        <f>_xlfn.XLOOKUP(PV_DATA[[#This Row],[New Ark SKU]],Table9[New Ark SKU],Table9[Back Glass],,0)</f>
        <v>Black glazing</v>
      </c>
      <c r="BH901" s="462" t="str">
        <f>_xlfn.XLOOKUP(PV_DATA[[#This Row],[PORT DESTINATION]],Table12[PORT DESTINATION],Table12[Cosco Line],,0)</f>
        <v>AEM</v>
      </c>
    </row>
    <row r="902" spans="1:62" s="462" customFormat="1" ht="10.5" hidden="1">
      <c r="A902" s="941" t="s">
        <v>6144</v>
      </c>
      <c r="B902" s="935" t="s">
        <v>1757</v>
      </c>
      <c r="C902" s="935" t="str">
        <f>IFERROR(LEFT(PV_DATA[[#This Row],[TCL REFERENCE]],FIND(".",PV_DATA[[#This Row],[TCL REFERENCE]],1)-1),"Main Line")</f>
        <v>26Jul017</v>
      </c>
      <c r="D902" s="462" t="s">
        <v>63</v>
      </c>
      <c r="E902" s="462" t="s">
        <v>64</v>
      </c>
      <c r="F902" s="935" t="str" cm="1">
        <f t="array" ref="F90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02" s="462" t="s">
        <v>402</v>
      </c>
      <c r="H902" s="462" t="s">
        <v>67</v>
      </c>
      <c r="I902" s="462" t="s">
        <v>882</v>
      </c>
      <c r="J902" s="462" t="s">
        <v>96</v>
      </c>
      <c r="K902" s="935"/>
      <c r="L902" s="935"/>
      <c r="M902" s="462" t="s">
        <v>68</v>
      </c>
      <c r="N902" s="712">
        <v>46230</v>
      </c>
      <c r="O902" s="462" t="s">
        <v>284</v>
      </c>
      <c r="P902" s="935" t="s">
        <v>5860</v>
      </c>
      <c r="Q902" s="935" t="s">
        <v>5861</v>
      </c>
      <c r="R902" s="430" t="str">
        <f>_xlfn.XLOOKUP(PV_DATA[[#This Row],[New Ark SKU]],Table9[New Ark SKU],Table9[Connector],,0)</f>
        <v>EVO2A</v>
      </c>
      <c r="S902" s="433" t="str">
        <f>_xlfn.XLOOKUP(PV_DATA[[#This Row],[New Ark SKU]],Table9[New Ark SKU],Table9[Cable],,0)</f>
        <v>±1200mm</v>
      </c>
      <c r="T902" s="942">
        <v>485</v>
      </c>
      <c r="U902" s="1072">
        <v>4680</v>
      </c>
      <c r="V902" s="1045">
        <f>PV_DATA[[#This Row],[QUANTITY]]*PV_DATA[[#This Row],[WATT]]/1000000</f>
        <v>2.2698</v>
      </c>
      <c r="W902" s="1046">
        <f>PV_DATA[[#This Row],[QUANTITY]]/36</f>
        <v>130</v>
      </c>
      <c r="X902" s="1017">
        <f>PV_DATA[[#This Row],[QUANTITY]]/PV_DATA[[#This Row],[Qty/CT]]</f>
        <v>5</v>
      </c>
      <c r="Y902" s="462" t="s">
        <v>4375</v>
      </c>
      <c r="Z902" s="462" t="str">
        <f t="shared" si="11"/>
        <v>COMPLETED</v>
      </c>
      <c r="AA902" s="935" t="s">
        <v>5862</v>
      </c>
      <c r="AB902" s="713">
        <v>46241</v>
      </c>
      <c r="AC902" s="1040">
        <f>IF(PV_DATA[[#This Row],[Pick-Up Date]]&lt;&gt;"",_xlfn.ISOWEEKNUM(PV_DATA[[#This Row],[Pick-Up Date]]),"")</f>
        <v>32</v>
      </c>
      <c r="AD902" s="935" t="s">
        <v>6145</v>
      </c>
      <c r="AE902" s="935"/>
      <c r="AF902" s="935" t="s">
        <v>1525</v>
      </c>
      <c r="AG902" s="935" t="s">
        <v>6003</v>
      </c>
      <c r="AH902" s="462" t="s">
        <v>105</v>
      </c>
      <c r="AI902" s="713">
        <v>46248</v>
      </c>
      <c r="AJ902" s="713">
        <v>46252</v>
      </c>
      <c r="AK902" s="713">
        <f>IFERROR(IF(VLOOKUP(AT902,Vessel!A:F,5,FALSE)=0,"",VLOOKUP(AT902,Vessel!A:F,5,FALSE)),"")</f>
        <v>46257.848101851851</v>
      </c>
      <c r="AL902" s="718">
        <v>46281</v>
      </c>
      <c r="AM902" s="939">
        <f>IFERROR(VLOOKUP(AT902, Vessel!A:H, 8, FALSE), "")</f>
        <v>46289.958333333336</v>
      </c>
      <c r="AN902" s="939">
        <f>IFERROR(IF(VLOOKUP(AT902,Vessel!A:I,9,FALSE)=0,"",VLOOKUP(AT902,Vessel!A:I,9,FALSE)),"")</f>
        <v>46290.180347222224</v>
      </c>
      <c r="AO902" s="935"/>
      <c r="AP902" s="462" t="s">
        <v>6146</v>
      </c>
      <c r="AQ902" s="462" t="s">
        <v>80</v>
      </c>
      <c r="AR902" s="462" t="s">
        <v>6147</v>
      </c>
      <c r="AS902" s="462" t="s">
        <v>6148</v>
      </c>
      <c r="AT902" s="935" t="s">
        <v>6148</v>
      </c>
      <c r="AU90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32.33224537037313</v>
      </c>
      <c r="AV902" s="935"/>
      <c r="AW902" s="959" cm="1">
        <f t="array" ref="AW90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46290.180347222224</v>
      </c>
      <c r="AX90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02" s="959">
        <f>IF(ISERROR(PV_DATA[[#This Row],[New Ark PO status]]),"",_xlfn.XLOOKUP(PV_DATA[[#This Row],[SPTN-PVHK New Ark PO'#]],New_Ark_Data[Purchase order Number],New_Ark_Data[Estimated time of arrival],"",0))</f>
        <v>46303</v>
      </c>
      <c r="AZ902" s="9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02" s="959">
        <f>IFERROR(PV_DATA[[#This Row],[ODP ETA Port]]+PV_DATA[[#This Row],[Customs/Leg3 Assumption]],"n/a")</f>
        <v>46297.180347222224</v>
      </c>
      <c r="BB902" s="942">
        <f>YEAR(PV_DATA[[#This Row],[ETA for New Ark update]])</f>
        <v>2026</v>
      </c>
      <c r="BC902" s="935">
        <f>MONTH(PV_DATA[[#This Row],[ETA for New Ark update]])</f>
        <v>10</v>
      </c>
      <c r="BD902" s="935">
        <f>IFERROR(_xlfn.ISOWEEKNUM(PV_DATA[[#This Row],[ETA for New Ark update]]),0)</f>
        <v>40</v>
      </c>
      <c r="BE902" s="935">
        <f>_xlfn.XLOOKUP(PV_DATA[[#This Row],[New Ark SKU]],Table9[New Ark SKU],Table9[Total PCS per Pallet],,0)</f>
        <v>36</v>
      </c>
      <c r="BF902" s="935">
        <f>_xlfn.XLOOKUP(PV_DATA[[#This Row],[New Ark SKU]],Table9[New Ark SKU],Table9[Total PCS per 40HQ Container],,0)</f>
        <v>936</v>
      </c>
      <c r="BG902" s="462" t="str">
        <f>_xlfn.XLOOKUP(PV_DATA[[#This Row],[New Ark SKU]],Table9[New Ark SKU],Table9[Back Glass],,0)</f>
        <v>Black glazing</v>
      </c>
      <c r="BH902" s="1041" t="str">
        <f>_xlfn.XLOOKUP(PV_DATA[[#This Row],[PORT DESTINATION]],Table12[PORT DESTINATION],Table12[Cosco Line],,0)</f>
        <v>AEU</v>
      </c>
    </row>
    <row r="903" spans="1:62" s="446" customFormat="1" ht="10.5" hidden="1">
      <c r="A903" s="446" t="s">
        <v>6149</v>
      </c>
      <c r="B903" s="446" t="s">
        <v>61</v>
      </c>
      <c r="C903" s="446" t="str">
        <f>IFERROR(LEFT(PV_DATA[[#This Row],[TCL REFERENCE]],FIND(".",PV_DATA[[#This Row],[TCL REFERENCE]],1)-1),"Main Line")</f>
        <v>26Jun006</v>
      </c>
      <c r="D903" s="446" t="s">
        <v>63</v>
      </c>
      <c r="E903" s="446" t="s">
        <v>64</v>
      </c>
      <c r="F903" s="446" t="str" cm="1">
        <f t="array" ref="F90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03" s="446" t="s">
        <v>402</v>
      </c>
      <c r="H903" s="446" t="s">
        <v>67</v>
      </c>
      <c r="I903" s="446" t="s">
        <v>689</v>
      </c>
      <c r="J903" s="446" t="s">
        <v>96</v>
      </c>
      <c r="M903" s="446" t="s">
        <v>68</v>
      </c>
      <c r="N903" s="1131">
        <v>46188</v>
      </c>
      <c r="O903" s="446" t="s">
        <v>4540</v>
      </c>
      <c r="P903" s="446" t="s">
        <v>1002</v>
      </c>
      <c r="Q903" s="446" t="s">
        <v>330</v>
      </c>
      <c r="R903" s="450" t="str">
        <f>_xlfn.XLOOKUP(PV_DATA[[#This Row],[New Ark SKU]],Table9[New Ark SKU],Table9[Connector],,0)</f>
        <v>EVO2A</v>
      </c>
      <c r="S903" s="452" t="str">
        <f>_xlfn.XLOOKUP(PV_DATA[[#This Row],[New Ark SKU]],Table9[New Ark SKU],Table9[Cable],,0)</f>
        <v>±1400mm</v>
      </c>
      <c r="T903" s="716">
        <v>625</v>
      </c>
      <c r="U903" s="1132">
        <f>720*5</f>
        <v>3600</v>
      </c>
      <c r="V903" s="464">
        <f>PV_DATA[[#This Row],[QUANTITY]]*PV_DATA[[#This Row],[WATT]]/1000000</f>
        <v>2.25</v>
      </c>
      <c r="W903" s="717">
        <f>PV_DATA[[#This Row],[QUANTITY]]/PV_DATA[[#This Row],[Qty/Pallet]]</f>
        <v>100</v>
      </c>
      <c r="X903" s="1037">
        <f>PV_DATA[[#This Row],[QUANTITY]]/PV_DATA[[#This Row],[Qty/CT]]</f>
        <v>5</v>
      </c>
      <c r="Y903" s="446" t="s">
        <v>4373</v>
      </c>
      <c r="Z903" s="446" t="str">
        <f t="shared" si="11"/>
        <v>IN-TRANSIT</v>
      </c>
      <c r="AB903" s="718">
        <v>46246</v>
      </c>
      <c r="AC903" s="1134">
        <f>IF(PV_DATA[[#This Row],[Pick-Up Date]]&lt;&gt;"",_xlfn.ISOWEEKNUM(PV_DATA[[#This Row],[Pick-Up Date]]),"")</f>
        <v>33</v>
      </c>
      <c r="AD903" s="446" t="s">
        <v>6150</v>
      </c>
      <c r="AF903" s="446" t="s">
        <v>61</v>
      </c>
      <c r="AG903" s="446" t="s">
        <v>61</v>
      </c>
      <c r="AH903" s="446" t="s">
        <v>105</v>
      </c>
      <c r="AI903" s="718">
        <v>46253</v>
      </c>
      <c r="AJ903" s="718">
        <v>46257</v>
      </c>
      <c r="AK903" s="718">
        <v>46257</v>
      </c>
      <c r="AL903" s="718">
        <v>46314</v>
      </c>
      <c r="AM903" s="455">
        <v>46338</v>
      </c>
      <c r="AN903" s="1135"/>
      <c r="AP903" s="446" t="s">
        <v>6151</v>
      </c>
      <c r="AQ903" s="446" t="s">
        <v>161</v>
      </c>
      <c r="AR903" s="446" t="s">
        <v>6152</v>
      </c>
      <c r="AT903" s="446" t="s">
        <v>6153</v>
      </c>
      <c r="AU903" s="45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81</v>
      </c>
      <c r="AV903" s="718"/>
      <c r="AW903" s="718" cm="1">
        <f t="array" ref="AW90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46338</v>
      </c>
      <c r="AX903" s="71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03" s="718">
        <f>IF(ISERROR(PV_DATA[[#This Row],[New Ark PO status]]),"",_xlfn.XLOOKUP(PV_DATA[[#This Row],[SPTN-PVHK New Ark PO'#]],New_Ark_Data[Purchase order Number],New_Ark_Data[Estimated time of arrival],"",0))</f>
        <v>46321</v>
      </c>
      <c r="AZ903" s="71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03" s="718">
        <f>IFERROR(PV_DATA[[#This Row],[ODP ETA Port]]+PV_DATA[[#This Row],[Customs/Leg3 Assumption]],"n/a")</f>
        <v>46345</v>
      </c>
      <c r="BB903" s="716">
        <f>YEAR(PV_DATA[[#This Row],[ETA for New Ark update]])</f>
        <v>2026</v>
      </c>
      <c r="BC903" s="446">
        <f>MONTH(PV_DATA[[#This Row],[ETA for New Ark update]])</f>
        <v>11</v>
      </c>
      <c r="BD903" s="446">
        <f>IFERROR(_xlfn.ISOWEEKNUM(PV_DATA[[#This Row],[ETA for New Ark update]]),0)</f>
        <v>47</v>
      </c>
      <c r="BE903" s="446">
        <f>_xlfn.XLOOKUP(PV_DATA[[#This Row],[New Ark SKU]],Table9[New Ark SKU],Table9[Total PCS per Pallet],,0)</f>
        <v>36</v>
      </c>
      <c r="BF903" s="446">
        <f>_xlfn.XLOOKUP(PV_DATA[[#This Row],[New Ark SKU]],Table9[New Ark SKU],Table9[Total PCS per 40HQ Container],,0)</f>
        <v>720</v>
      </c>
      <c r="BG903" s="446" t="str">
        <f>_xlfn.XLOOKUP(PV_DATA[[#This Row],[New Ark SKU]],Table9[New Ark SKU],Table9[Back Glass],,0)</f>
        <v>Redirection Film</v>
      </c>
      <c r="BH903" s="446" t="str">
        <f>_xlfn.XLOOKUP(PV_DATA[[#This Row],[PORT DESTINATION]],Table12[PORT DESTINATION],Table12[Cosco Line],,0)</f>
        <v>AEU</v>
      </c>
    </row>
    <row r="904" spans="1:62" s="462" customFormat="1" ht="10.5" hidden="1">
      <c r="A904" s="462" t="s">
        <v>6154</v>
      </c>
      <c r="B904" s="462" t="s">
        <v>61</v>
      </c>
      <c r="C904" s="462" t="str">
        <f>IFERROR(LEFT(PV_DATA[[#This Row],[TCL REFERENCE]],FIND(".",PV_DATA[[#This Row],[TCL REFERENCE]],1)-1),"Main Line")</f>
        <v>26May007</v>
      </c>
      <c r="D904" s="462" t="s">
        <v>63</v>
      </c>
      <c r="E904" s="462" t="s">
        <v>64</v>
      </c>
      <c r="F904" s="462" t="str" cm="1">
        <f t="array" ref="F90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04" s="462" t="s">
        <v>402</v>
      </c>
      <c r="H904" s="462" t="s">
        <v>67</v>
      </c>
      <c r="I904" s="462" t="s">
        <v>689</v>
      </c>
      <c r="J904" s="462" t="s">
        <v>96</v>
      </c>
      <c r="M904" s="462" t="s">
        <v>68</v>
      </c>
      <c r="N904" s="712">
        <v>45809</v>
      </c>
      <c r="O904" s="462" t="s">
        <v>4540</v>
      </c>
      <c r="P904" s="462" t="s">
        <v>195</v>
      </c>
      <c r="Q904" s="462" t="s">
        <v>196</v>
      </c>
      <c r="R904" s="430" t="str">
        <f>_xlfn.XLOOKUP(PV_DATA[[#This Row],[New Ark SKU]],Table9[New Ark SKU],Table9[Connector],,0)</f>
        <v>EVO2A</v>
      </c>
      <c r="S904" s="433" t="str">
        <f>_xlfn.XLOOKUP(PV_DATA[[#This Row],[New Ark SKU]],Table9[New Ark SKU],Table9[Cable],,0)</f>
        <v>±1200mm</v>
      </c>
      <c r="T904" s="936">
        <v>450</v>
      </c>
      <c r="U904" s="1069">
        <v>3744</v>
      </c>
      <c r="V904" s="458">
        <f>PV_DATA[[#This Row],[QUANTITY]]*PV_DATA[[#This Row],[WATT]]/1000000</f>
        <v>1.6848000000000001</v>
      </c>
      <c r="W904" s="714">
        <f>PV_DATA[[#This Row],[QUANTITY]]/PV_DATA[[#This Row],[Qty/Pallet]]</f>
        <v>104</v>
      </c>
      <c r="X904" s="1017">
        <f>PV_DATA[[#This Row],[QUANTITY]]/PV_DATA[[#This Row],[Qty/CT]]</f>
        <v>4</v>
      </c>
      <c r="Y904" s="462" t="s">
        <v>4372</v>
      </c>
      <c r="Z904" s="462" t="str">
        <f t="shared" si="11"/>
        <v>COMPLETED</v>
      </c>
      <c r="AA904" s="462" t="s">
        <v>5059</v>
      </c>
      <c r="AB904" s="713">
        <v>46241</v>
      </c>
      <c r="AC904" s="937">
        <f>IF(PV_DATA[[#This Row],[Pick-Up Date]]&lt;&gt;"",_xlfn.ISOWEEKNUM(PV_DATA[[#This Row],[Pick-Up Date]]),"")</f>
        <v>32</v>
      </c>
      <c r="AD904" s="462" t="s">
        <v>6155</v>
      </c>
      <c r="AF904" s="462" t="s">
        <v>61</v>
      </c>
      <c r="AG904" s="462" t="s">
        <v>61</v>
      </c>
      <c r="AH904" s="462" t="s">
        <v>105</v>
      </c>
      <c r="AI904" s="713">
        <v>46246</v>
      </c>
      <c r="AJ904" s="713">
        <v>46252</v>
      </c>
      <c r="AK904" s="713">
        <v>46252</v>
      </c>
      <c r="AL904" s="713">
        <v>46307</v>
      </c>
      <c r="AM904" s="713">
        <v>46308</v>
      </c>
      <c r="AN904" s="713">
        <v>46308</v>
      </c>
      <c r="AP904" s="462" t="s">
        <v>6156</v>
      </c>
      <c r="AQ904" s="462" t="s">
        <v>161</v>
      </c>
      <c r="AR904" s="462" t="s">
        <v>6157</v>
      </c>
      <c r="AT904" s="462" t="s">
        <v>6158</v>
      </c>
      <c r="AU90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</v>
      </c>
      <c r="AV904" s="713"/>
      <c r="AW904" s="713" cm="1">
        <f t="array" ref="AW90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</v>
      </c>
      <c r="AX90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04" s="713">
        <f>IF(ISERROR(PV_DATA[[#This Row],[New Ark PO status]]),"",_xlfn.XLOOKUP(PV_DATA[[#This Row],[SPTN-PVHK New Ark PO'#]],New_Ark_Data[Purchase order Number],New_Ark_Data[Estimated time of arrival],"",0))</f>
        <v>46311</v>
      </c>
      <c r="AZ904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04" s="713">
        <f>IFERROR(PV_DATA[[#This Row],[ODP ETA Port]]+PV_DATA[[#This Row],[Customs/Leg3 Assumption]],"n/a")</f>
        <v>46315</v>
      </c>
      <c r="BB904" s="936">
        <f>YEAR(PV_DATA[[#This Row],[ETA for New Ark update]])</f>
        <v>2026</v>
      </c>
      <c r="BC904" s="462">
        <f>MONTH(PV_DATA[[#This Row],[ETA for New Ark update]])</f>
        <v>10</v>
      </c>
      <c r="BD904" s="462">
        <f>IFERROR(_xlfn.ISOWEEKNUM(PV_DATA[[#This Row],[ETA for New Ark update]]),0)</f>
        <v>43</v>
      </c>
      <c r="BE904" s="462">
        <f>_xlfn.XLOOKUP(PV_DATA[[#This Row],[New Ark SKU]],Table9[New Ark SKU],Table9[Total PCS per Pallet],,0)</f>
        <v>36</v>
      </c>
      <c r="BF904" s="462">
        <f>_xlfn.XLOOKUP(PV_DATA[[#This Row],[New Ark SKU]],Table9[New Ark SKU],Table9[Total PCS per 40HQ Container],,0)</f>
        <v>936</v>
      </c>
      <c r="BG904" s="462" t="str">
        <f>_xlfn.XLOOKUP(PV_DATA[[#This Row],[New Ark SKU]],Table9[New Ark SKU],Table9[Back Glass],,0)</f>
        <v>Black glazing</v>
      </c>
      <c r="BH904" s="462" t="str">
        <f>_xlfn.XLOOKUP(PV_DATA[[#This Row],[PORT DESTINATION]],Table12[PORT DESTINATION],Table12[Cosco Line],,0)</f>
        <v>AEU</v>
      </c>
    </row>
    <row r="905" spans="1:62" s="462" customFormat="1" ht="10.5" hidden="1">
      <c r="A905" s="462" t="s">
        <v>6159</v>
      </c>
      <c r="B905" s="462" t="s">
        <v>61</v>
      </c>
      <c r="C905" s="462" t="str">
        <f>IFERROR(LEFT(PV_DATA[[#This Row],[TCL REFERENCE]],FIND(".",PV_DATA[[#This Row],[TCL REFERENCE]],1)-1),"Main Line")</f>
        <v>26May007</v>
      </c>
      <c r="D905" s="462" t="s">
        <v>63</v>
      </c>
      <c r="E905" s="462" t="s">
        <v>64</v>
      </c>
      <c r="F905" s="462" t="str" cm="1">
        <f t="array" ref="F90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05" s="462" t="s">
        <v>402</v>
      </c>
      <c r="H905" s="462" t="s">
        <v>67</v>
      </c>
      <c r="I905" s="462" t="s">
        <v>689</v>
      </c>
      <c r="J905" s="462" t="s">
        <v>96</v>
      </c>
      <c r="M905" s="462" t="s">
        <v>68</v>
      </c>
      <c r="N905" s="712">
        <v>45809</v>
      </c>
      <c r="O905" s="462" t="s">
        <v>4540</v>
      </c>
      <c r="P905" s="462" t="s">
        <v>195</v>
      </c>
      <c r="Q905" s="462" t="s">
        <v>196</v>
      </c>
      <c r="R905" s="430" t="str">
        <f>_xlfn.XLOOKUP(PV_DATA[[#This Row],[New Ark SKU]],Table9[New Ark SKU],Table9[Connector],,0)</f>
        <v>EVO2A</v>
      </c>
      <c r="S905" s="433" t="str">
        <f>_xlfn.XLOOKUP(PV_DATA[[#This Row],[New Ark SKU]],Table9[New Ark SKU],Table9[Cable],,0)</f>
        <v>±1200mm</v>
      </c>
      <c r="T905" s="936">
        <v>450</v>
      </c>
      <c r="U905" s="1069">
        <v>3744</v>
      </c>
      <c r="V905" s="458">
        <f>PV_DATA[[#This Row],[QUANTITY]]*PV_DATA[[#This Row],[WATT]]/1000000</f>
        <v>1.6848000000000001</v>
      </c>
      <c r="W905" s="714">
        <f>PV_DATA[[#This Row],[QUANTITY]]/PV_DATA[[#This Row],[Qty/Pallet]]</f>
        <v>104</v>
      </c>
      <c r="X905" s="1017">
        <f>PV_DATA[[#This Row],[QUANTITY]]/PV_DATA[[#This Row],[Qty/CT]]</f>
        <v>4</v>
      </c>
      <c r="Y905" s="462" t="s">
        <v>4372</v>
      </c>
      <c r="Z905" s="462" t="str">
        <f t="shared" si="11"/>
        <v>COMPLETED</v>
      </c>
      <c r="AA905" s="462" t="s">
        <v>5059</v>
      </c>
      <c r="AB905" s="713">
        <v>46241</v>
      </c>
      <c r="AC905" s="937">
        <f>IF(PV_DATA[[#This Row],[Pick-Up Date]]&lt;&gt;"",_xlfn.ISOWEEKNUM(PV_DATA[[#This Row],[Pick-Up Date]]),"")</f>
        <v>32</v>
      </c>
      <c r="AD905" s="462" t="s">
        <v>6160</v>
      </c>
      <c r="AF905" s="462" t="s">
        <v>61</v>
      </c>
      <c r="AG905" s="462" t="s">
        <v>61</v>
      </c>
      <c r="AH905" s="462" t="s">
        <v>105</v>
      </c>
      <c r="AI905" s="713">
        <v>46249</v>
      </c>
      <c r="AJ905" s="713">
        <v>46249</v>
      </c>
      <c r="AK905" s="713">
        <v>46249</v>
      </c>
      <c r="AL905" s="713">
        <v>46309</v>
      </c>
      <c r="AM905" s="939"/>
      <c r="AN905" s="713">
        <v>46308</v>
      </c>
      <c r="AP905" s="462" t="s">
        <v>6161</v>
      </c>
      <c r="AQ905" s="462" t="s">
        <v>161</v>
      </c>
      <c r="AR905" s="462" t="s">
        <v>6162</v>
      </c>
      <c r="AT905" s="462" t="s">
        <v>6163</v>
      </c>
      <c r="AU90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V905" s="713"/>
      <c r="AW905" s="713" cm="1">
        <f t="array" ref="AW90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</v>
      </c>
      <c r="AX90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05" s="713">
        <f>IF(ISERROR(PV_DATA[[#This Row],[New Ark PO status]]),"",_xlfn.XLOOKUP(PV_DATA[[#This Row],[SPTN-PVHK New Ark PO'#]],New_Ark_Data[Purchase order Number],New_Ark_Data[Estimated time of arrival],"",0))</f>
        <v>46305</v>
      </c>
      <c r="AZ905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05" s="713">
        <f>IFERROR(PV_DATA[[#This Row],[ODP ETA Port]]+PV_DATA[[#This Row],[Customs/Leg3 Assumption]],"n/a")</f>
        <v>46315</v>
      </c>
      <c r="BB905" s="936">
        <f>YEAR(PV_DATA[[#This Row],[ETA for New Ark update]])</f>
        <v>2026</v>
      </c>
      <c r="BC905" s="462">
        <f>MONTH(PV_DATA[[#This Row],[ETA for New Ark update]])</f>
        <v>10</v>
      </c>
      <c r="BD905" s="462">
        <f>IFERROR(_xlfn.ISOWEEKNUM(PV_DATA[[#This Row],[ETA for New Ark update]]),0)</f>
        <v>43</v>
      </c>
      <c r="BE905" s="462">
        <f>_xlfn.XLOOKUP(PV_DATA[[#This Row],[New Ark SKU]],Table9[New Ark SKU],Table9[Total PCS per Pallet],,0)</f>
        <v>36</v>
      </c>
      <c r="BF905" s="462">
        <f>_xlfn.XLOOKUP(PV_DATA[[#This Row],[New Ark SKU]],Table9[New Ark SKU],Table9[Total PCS per 40HQ Container],,0)</f>
        <v>936</v>
      </c>
      <c r="BG905" s="462" t="str">
        <f>_xlfn.XLOOKUP(PV_DATA[[#This Row],[New Ark SKU]],Table9[New Ark SKU],Table9[Back Glass],,0)</f>
        <v>Black glazing</v>
      </c>
      <c r="BH905" s="462" t="str">
        <f>_xlfn.XLOOKUP(PV_DATA[[#This Row],[PORT DESTINATION]],Table12[PORT DESTINATION],Table12[Cosco Line],,0)</f>
        <v>AEU</v>
      </c>
    </row>
    <row r="906" spans="1:62" s="439" customFormat="1" ht="10.5" hidden="1">
      <c r="A906" s="439" t="s">
        <v>6164</v>
      </c>
      <c r="B906" s="439" t="s">
        <v>61</v>
      </c>
      <c r="C906" s="439" t="str">
        <f>IFERROR(LEFT(PV_DATA[[#This Row],[TCL REFERENCE]],FIND(".",PV_DATA[[#This Row],[TCL REFERENCE]],1)-1),"Main Line")</f>
        <v>26May007</v>
      </c>
      <c r="D906" s="439" t="s">
        <v>63</v>
      </c>
      <c r="E906" s="439" t="s">
        <v>64</v>
      </c>
      <c r="F906" s="439" t="str" cm="1">
        <f t="array" ref="F90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06" s="439" t="s">
        <v>402</v>
      </c>
      <c r="H906" s="439" t="s">
        <v>67</v>
      </c>
      <c r="I906" s="439" t="s">
        <v>882</v>
      </c>
      <c r="J906" s="439" t="s">
        <v>96</v>
      </c>
      <c r="K906" s="725"/>
      <c r="L906" s="725"/>
      <c r="M906" s="439" t="s">
        <v>68</v>
      </c>
      <c r="N906" s="715">
        <v>45809</v>
      </c>
      <c r="O906" s="439" t="s">
        <v>4540</v>
      </c>
      <c r="P906" s="439" t="s">
        <v>195</v>
      </c>
      <c r="Q906" s="439" t="s">
        <v>196</v>
      </c>
      <c r="R906" s="430" t="str">
        <f>_xlfn.XLOOKUP(PV_DATA[[#This Row],[New Ark SKU]],Table9[New Ark SKU],Table9[Connector],,0)</f>
        <v>EVO2A</v>
      </c>
      <c r="S906" s="433" t="str">
        <f>_xlfn.XLOOKUP(PV_DATA[[#This Row],[New Ark SKU]],Table9[New Ark SKU],Table9[Cable],,0)</f>
        <v>±1200mm</v>
      </c>
      <c r="T906" s="722">
        <v>450</v>
      </c>
      <c r="U906" s="1108">
        <f>936*5</f>
        <v>4680</v>
      </c>
      <c r="V906" s="1129">
        <f>PV_DATA[[#This Row],[QUANTITY]]*PV_DATA[[#This Row],[WATT]]/1000000</f>
        <v>2.1059999999999999</v>
      </c>
      <c r="W906" s="1110">
        <f>PV_DATA[[#This Row],[QUANTITY]]/PV_DATA[[#This Row],[Qty/Pallet]]</f>
        <v>130</v>
      </c>
      <c r="X906" s="1118">
        <f>PV_DATA[[#This Row],[QUANTITY]]/PV_DATA[[#This Row],[Qty/CT]]</f>
        <v>5</v>
      </c>
      <c r="Y906" s="439" t="s">
        <v>4371</v>
      </c>
      <c r="Z906" s="439" t="str">
        <f t="shared" si="11"/>
        <v>COMPLETED</v>
      </c>
      <c r="AB906" s="719">
        <v>46241</v>
      </c>
      <c r="AC906" s="1119">
        <f>IF(PV_DATA[[#This Row],[Pick-Up Date]]&lt;&gt;"",_xlfn.ISOWEEKNUM(PV_DATA[[#This Row],[Pick-Up Date]]),"")</f>
        <v>32</v>
      </c>
      <c r="AD906" s="439" t="s">
        <v>6165</v>
      </c>
      <c r="AF906" s="439" t="s">
        <v>61</v>
      </c>
      <c r="AG906" s="439" t="s">
        <v>61</v>
      </c>
      <c r="AH906" s="439" t="s">
        <v>105</v>
      </c>
      <c r="AI906" s="719">
        <v>46249</v>
      </c>
      <c r="AJ906" s="719">
        <v>46249</v>
      </c>
      <c r="AK906" s="719">
        <v>46249</v>
      </c>
      <c r="AL906" s="713">
        <v>46309</v>
      </c>
      <c r="AM906" s="1113"/>
      <c r="AN906" s="713">
        <v>46308</v>
      </c>
      <c r="AP906" s="439" t="s">
        <v>6161</v>
      </c>
      <c r="AQ906" s="439" t="s">
        <v>161</v>
      </c>
      <c r="AR906" s="439" t="s">
        <v>6162</v>
      </c>
      <c r="AT906" s="439" t="s">
        <v>6163</v>
      </c>
      <c r="AU906" s="431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V906" s="719"/>
      <c r="AW906" s="719" cm="1">
        <f t="array" ref="AW90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</v>
      </c>
      <c r="AX906" s="722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06" s="719">
        <f>IF(ISERROR(PV_DATA[[#This Row],[New Ark PO status]]),"",_xlfn.XLOOKUP(PV_DATA[[#This Row],[SPTN-PVHK New Ark PO'#]],New_Ark_Data[Purchase order Number],New_Ark_Data[Estimated time of arrival],"",0))</f>
        <v>46305</v>
      </c>
      <c r="AZ906" s="72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06" s="719">
        <f>IFERROR(PV_DATA[[#This Row],[ODP ETA Port]]+PV_DATA[[#This Row],[Customs/Leg3 Assumption]],"n/a")</f>
        <v>46315</v>
      </c>
      <c r="BB906" s="722">
        <f>YEAR(PV_DATA[[#This Row],[ETA for New Ark update]])</f>
        <v>2026</v>
      </c>
      <c r="BC906" s="439">
        <f>MONTH(PV_DATA[[#This Row],[ETA for New Ark update]])</f>
        <v>10</v>
      </c>
      <c r="BD906" s="439">
        <f>IFERROR(_xlfn.ISOWEEKNUM(PV_DATA[[#This Row],[ETA for New Ark update]]),0)</f>
        <v>43</v>
      </c>
      <c r="BE906" s="439">
        <f>_xlfn.XLOOKUP(PV_DATA[[#This Row],[New Ark SKU]],Table9[New Ark SKU],Table9[Total PCS per Pallet],,0)</f>
        <v>36</v>
      </c>
      <c r="BF906" s="439">
        <f>_xlfn.XLOOKUP(PV_DATA[[#This Row],[New Ark SKU]],Table9[New Ark SKU],Table9[Total PCS per 40HQ Container],,0)</f>
        <v>936</v>
      </c>
      <c r="BG906" s="439" t="str">
        <f>_xlfn.XLOOKUP(PV_DATA[[#This Row],[New Ark SKU]],Table9[New Ark SKU],Table9[Back Glass],,0)</f>
        <v>Black glazing</v>
      </c>
      <c r="BH906" s="439" t="str">
        <f>_xlfn.XLOOKUP(PV_DATA[[#This Row],[PORT DESTINATION]],Table12[PORT DESTINATION],Table12[Cosco Line],,0)</f>
        <v>AEU</v>
      </c>
    </row>
    <row r="907" spans="1:62" s="462" customFormat="1" ht="10.5" hidden="1">
      <c r="A907" s="462" t="s">
        <v>6166</v>
      </c>
      <c r="B907" s="462" t="s">
        <v>61</v>
      </c>
      <c r="C907" s="462" t="str">
        <f>IFERROR(LEFT(PV_DATA[[#This Row],[TCL REFERENCE]],FIND(".",PV_DATA[[#This Row],[TCL REFERENCE]],1)-1),"Main Line")</f>
        <v>26Jun009</v>
      </c>
      <c r="D907" s="462" t="s">
        <v>63</v>
      </c>
      <c r="E907" s="462" t="s">
        <v>64</v>
      </c>
      <c r="F907" s="462" t="str" cm="1">
        <f t="array" ref="F90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07" s="462" t="s">
        <v>402</v>
      </c>
      <c r="H907" s="462" t="s">
        <v>67</v>
      </c>
      <c r="I907" s="462" t="s">
        <v>882</v>
      </c>
      <c r="J907" s="462" t="s">
        <v>96</v>
      </c>
      <c r="M907" s="462" t="s">
        <v>68</v>
      </c>
      <c r="N907" s="712">
        <v>46188</v>
      </c>
      <c r="O907" s="462" t="s">
        <v>4540</v>
      </c>
      <c r="P907" s="462" t="s">
        <v>195</v>
      </c>
      <c r="Q907" s="462" t="s">
        <v>196</v>
      </c>
      <c r="R907" s="430" t="str">
        <f>_xlfn.XLOOKUP(PV_DATA[[#This Row],[New Ark SKU]],Table9[New Ark SKU],Table9[Connector],,0)</f>
        <v>EVO2A</v>
      </c>
      <c r="S907" s="433" t="str">
        <f>_xlfn.XLOOKUP(PV_DATA[[#This Row],[New Ark SKU]],Table9[New Ark SKU],Table9[Cable],,0)</f>
        <v>±1200mm</v>
      </c>
      <c r="T907" s="936">
        <v>450</v>
      </c>
      <c r="U907" s="1069">
        <v>936</v>
      </c>
      <c r="V907" s="458">
        <f>PV_DATA[[#This Row],[QUANTITY]]*PV_DATA[[#This Row],[WATT]]/1000000</f>
        <v>0.42120000000000002</v>
      </c>
      <c r="W907" s="714">
        <f>PV_DATA[[#This Row],[QUANTITY]]/PV_DATA[[#This Row],[Qty/Pallet]]</f>
        <v>26</v>
      </c>
      <c r="X907" s="1017">
        <f>PV_DATA[[#This Row],[QUANTITY]]/PV_DATA[[#This Row],[Qty/CT]]</f>
        <v>1</v>
      </c>
      <c r="Y907" s="462" t="s">
        <v>4370</v>
      </c>
      <c r="Z907" s="462" t="str">
        <f t="shared" si="11"/>
        <v>COMPLETED</v>
      </c>
      <c r="AB907" s="713">
        <v>46241</v>
      </c>
      <c r="AC907" s="937">
        <f>IF(PV_DATA[[#This Row],[Pick-Up Date]]&lt;&gt;"",_xlfn.ISOWEEKNUM(PV_DATA[[#This Row],[Pick-Up Date]]),"")</f>
        <v>32</v>
      </c>
      <c r="AD907" s="462" t="s">
        <v>6167</v>
      </c>
      <c r="AF907" s="462" t="s">
        <v>61</v>
      </c>
      <c r="AG907" s="462" t="s">
        <v>61</v>
      </c>
      <c r="AH907" s="462" t="s">
        <v>105</v>
      </c>
      <c r="AI907" s="713">
        <v>46249</v>
      </c>
      <c r="AJ907" s="713">
        <v>46249</v>
      </c>
      <c r="AK907" s="713">
        <v>46249</v>
      </c>
      <c r="AL907" s="713">
        <v>46309</v>
      </c>
      <c r="AM907" s="939"/>
      <c r="AN907" s="713">
        <v>46308</v>
      </c>
      <c r="AP907" s="462" t="s">
        <v>6161</v>
      </c>
      <c r="AQ907" s="462" t="s">
        <v>161</v>
      </c>
      <c r="AR907" s="462" t="s">
        <v>6162</v>
      </c>
      <c r="AT907" s="462" t="s">
        <v>6163</v>
      </c>
      <c r="AU90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V907" s="713"/>
      <c r="AW907" s="713" cm="1">
        <f t="array" ref="AW90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</v>
      </c>
      <c r="AX90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07" s="713">
        <f>IF(ISERROR(PV_DATA[[#This Row],[New Ark PO status]]),"",_xlfn.XLOOKUP(PV_DATA[[#This Row],[SPTN-PVHK New Ark PO'#]],New_Ark_Data[Purchase order Number],New_Ark_Data[Estimated time of arrival],"",0))</f>
        <v>46305</v>
      </c>
      <c r="AZ907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07" s="713">
        <f>IFERROR(PV_DATA[[#This Row],[ODP ETA Port]]+PV_DATA[[#This Row],[Customs/Leg3 Assumption]],"n/a")</f>
        <v>46315</v>
      </c>
      <c r="BB907" s="936">
        <f>YEAR(PV_DATA[[#This Row],[ETA for New Ark update]])</f>
        <v>2026</v>
      </c>
      <c r="BC907" s="462">
        <f>MONTH(PV_DATA[[#This Row],[ETA for New Ark update]])</f>
        <v>10</v>
      </c>
      <c r="BD907" s="462">
        <f>IFERROR(_xlfn.ISOWEEKNUM(PV_DATA[[#This Row],[ETA for New Ark update]]),0)</f>
        <v>43</v>
      </c>
      <c r="BE907" s="462">
        <f>_xlfn.XLOOKUP(PV_DATA[[#This Row],[New Ark SKU]],Table9[New Ark SKU],Table9[Total PCS per Pallet],,0)</f>
        <v>36</v>
      </c>
      <c r="BF907" s="462">
        <f>_xlfn.XLOOKUP(PV_DATA[[#This Row],[New Ark SKU]],Table9[New Ark SKU],Table9[Total PCS per 40HQ Container],,0)</f>
        <v>936</v>
      </c>
      <c r="BG907" s="462" t="str">
        <f>_xlfn.XLOOKUP(PV_DATA[[#This Row],[New Ark SKU]],Table9[New Ark SKU],Table9[Back Glass],,0)</f>
        <v>Black glazing</v>
      </c>
      <c r="BH907" s="462" t="str">
        <f>_xlfn.XLOOKUP(PV_DATA[[#This Row],[PORT DESTINATION]],Table12[PORT DESTINATION],Table12[Cosco Line],,0)</f>
        <v>AEU</v>
      </c>
    </row>
    <row r="908" spans="1:62" s="462" customFormat="1" ht="10.5" hidden="1">
      <c r="A908" s="462" t="s">
        <v>6168</v>
      </c>
      <c r="B908" s="462" t="s">
        <v>61</v>
      </c>
      <c r="C908" s="462" t="str">
        <f>IFERROR(LEFT(PV_DATA[[#This Row],[TCL REFERENCE]],FIND(".",PV_DATA[[#This Row],[TCL REFERENCE]],1)-1),"Main Line")</f>
        <v>26Jun021</v>
      </c>
      <c r="D908" s="462" t="s">
        <v>63</v>
      </c>
      <c r="E908" s="462" t="s">
        <v>64</v>
      </c>
      <c r="F908" s="462" t="str" cm="1">
        <f t="array" ref="F90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08" s="462" t="s">
        <v>402</v>
      </c>
      <c r="H908" s="462" t="s">
        <v>67</v>
      </c>
      <c r="I908" s="462" t="s">
        <v>689</v>
      </c>
      <c r="J908" s="462" t="s">
        <v>96</v>
      </c>
      <c r="M908" s="462" t="s">
        <v>68</v>
      </c>
      <c r="N908" s="712">
        <v>46202</v>
      </c>
      <c r="O908" s="462" t="s">
        <v>284</v>
      </c>
      <c r="P908" s="730" t="s">
        <v>6169</v>
      </c>
      <c r="Q908" s="462" t="s">
        <v>1570</v>
      </c>
      <c r="R908" s="430" t="str">
        <f>_xlfn.XLOOKUP(PV_DATA[[#This Row],[New Ark SKU]],Table9[New Ark SKU],Table9[Connector],,0)</f>
        <v>EVO2A</v>
      </c>
      <c r="S908" s="433" t="str">
        <f>_xlfn.XLOOKUP(PV_DATA[[#This Row],[New Ark SKU]],Table9[New Ark SKU],Table9[Cable],,0)</f>
        <v>±1400mm</v>
      </c>
      <c r="T908" s="936">
        <v>650</v>
      </c>
      <c r="U908" s="1069">
        <v>1440</v>
      </c>
      <c r="V908" s="458">
        <f>PV_DATA[[#This Row],[QUANTITY]]*PV_DATA[[#This Row],[WATT]]/1000000</f>
        <v>0.93600000000000005</v>
      </c>
      <c r="W908" s="714">
        <f>PV_DATA[[#This Row],[QUANTITY]]/PV_DATA[[#This Row],[Qty/Pallet]]</f>
        <v>40</v>
      </c>
      <c r="X908" s="1017">
        <f>PV_DATA[[#This Row],[QUANTITY]]/PV_DATA[[#This Row],[Qty/CT]]</f>
        <v>2</v>
      </c>
      <c r="Y908" s="462" t="s">
        <v>4375</v>
      </c>
      <c r="Z908" s="462" t="str">
        <f t="shared" si="11"/>
        <v>COMPLETED</v>
      </c>
      <c r="AB908" s="713">
        <v>46241</v>
      </c>
      <c r="AC908" s="937">
        <f>IF(PV_DATA[[#This Row],[Pick-Up Date]]&lt;&gt;"",_xlfn.ISOWEEKNUM(PV_DATA[[#This Row],[Pick-Up Date]]),"")</f>
        <v>32</v>
      </c>
      <c r="AD908" s="462" t="s">
        <v>6170</v>
      </c>
      <c r="AF908" s="462" t="s">
        <v>61</v>
      </c>
      <c r="AG908" s="462" t="s">
        <v>61</v>
      </c>
      <c r="AH908" s="462" t="s">
        <v>105</v>
      </c>
      <c r="AI908" s="713">
        <v>46249</v>
      </c>
      <c r="AJ908" s="713">
        <v>46249</v>
      </c>
      <c r="AK908" s="713">
        <v>46249</v>
      </c>
      <c r="AL908" s="713">
        <v>46309</v>
      </c>
      <c r="AM908" s="939"/>
      <c r="AN908" s="713">
        <v>46308</v>
      </c>
      <c r="AP908" s="462" t="s">
        <v>6161</v>
      </c>
      <c r="AQ908" s="462" t="s">
        <v>161</v>
      </c>
      <c r="AR908" s="462" t="s">
        <v>6162</v>
      </c>
      <c r="AT908" s="462" t="s">
        <v>6163</v>
      </c>
      <c r="AU90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</v>
      </c>
      <c r="AW908" s="713" cm="1">
        <f t="array" ref="AW90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</v>
      </c>
      <c r="AX90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08" s="713">
        <f>IF(ISERROR(PV_DATA[[#This Row],[New Ark PO status]]),"",_xlfn.XLOOKUP(PV_DATA[[#This Row],[SPTN-PVHK New Ark PO'#]],New_Ark_Data[Purchase order Number],New_Ark_Data[Estimated time of arrival],"",0))</f>
        <v>46305</v>
      </c>
      <c r="AZ908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08" s="713">
        <f>IFERROR(PV_DATA[[#This Row],[ODP ETA Port]]+PV_DATA[[#This Row],[Customs/Leg3 Assumption]],"n/a")</f>
        <v>46315</v>
      </c>
      <c r="BB908" s="936">
        <f>YEAR(PV_DATA[[#This Row],[ETA for New Ark update]])</f>
        <v>2026</v>
      </c>
      <c r="BC908" s="462">
        <f>MONTH(PV_DATA[[#This Row],[ETA for New Ark update]])</f>
        <v>10</v>
      </c>
      <c r="BD908" s="462">
        <f>IFERROR(_xlfn.ISOWEEKNUM(PV_DATA[[#This Row],[ETA for New Ark update]]),0)</f>
        <v>43</v>
      </c>
      <c r="BE908" s="462">
        <f>_xlfn.XLOOKUP(PV_DATA[[#This Row],[New Ark SKU]],Table9[New Ark SKU],Table9[Total PCS per Pallet],,0)</f>
        <v>36</v>
      </c>
      <c r="BF908" s="462">
        <f>_xlfn.XLOOKUP(PV_DATA[[#This Row],[New Ark SKU]],Table9[New Ark SKU],Table9[Total PCS per 40HQ Container],,0)</f>
        <v>720</v>
      </c>
      <c r="BG908" s="462" t="str">
        <f>_xlfn.XLOOKUP(PV_DATA[[#This Row],[New Ark SKU]],Table9[New Ark SKU],Table9[Back Glass],,0)</f>
        <v>White glazing</v>
      </c>
      <c r="BH908" s="462" t="str">
        <f>_xlfn.XLOOKUP(PV_DATA[[#This Row],[PORT DESTINATION]],Table12[PORT DESTINATION],Table12[Cosco Line],,0)</f>
        <v>AEU</v>
      </c>
    </row>
    <row r="909" spans="1:62" s="462" customFormat="1" ht="10.5" hidden="1">
      <c r="A909" s="462" t="s">
        <v>6171</v>
      </c>
      <c r="B909" s="462" t="s">
        <v>61</v>
      </c>
      <c r="C909" s="462" t="str">
        <f>IFERROR(LEFT(PV_DATA[[#This Row],[TCL REFERENCE]],FIND(".",PV_DATA[[#This Row],[TCL REFERENCE]],1)-1),"Main Line")</f>
        <v>26Jun010</v>
      </c>
      <c r="D909" s="462" t="s">
        <v>63</v>
      </c>
      <c r="E909" s="462" t="s">
        <v>64</v>
      </c>
      <c r="F909" s="462" t="str" cm="1">
        <f t="array" ref="F90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09" s="462" t="s">
        <v>402</v>
      </c>
      <c r="H909" s="462" t="s">
        <v>67</v>
      </c>
      <c r="I909" s="462" t="s">
        <v>689</v>
      </c>
      <c r="J909" s="462" t="s">
        <v>96</v>
      </c>
      <c r="M909" s="462" t="s">
        <v>68</v>
      </c>
      <c r="N909" s="712">
        <v>46188</v>
      </c>
      <c r="O909" s="462" t="s">
        <v>4540</v>
      </c>
      <c r="P909" s="462" t="s">
        <v>965</v>
      </c>
      <c r="Q909" s="462" t="s">
        <v>966</v>
      </c>
      <c r="R909" s="430" t="str">
        <f>_xlfn.XLOOKUP(PV_DATA[[#This Row],[New Ark SKU]],Table9[New Ark SKU],Table9[Connector],,0)</f>
        <v>EVO2A</v>
      </c>
      <c r="S909" s="433" t="str">
        <f>_xlfn.XLOOKUP(PV_DATA[[#This Row],[New Ark SKU]],Table9[New Ark SKU],Table9[Cable],,0)</f>
        <v>±1200mm</v>
      </c>
      <c r="T909" s="936">
        <v>455</v>
      </c>
      <c r="U909" s="1069">
        <f>936*3</f>
        <v>2808</v>
      </c>
      <c r="V909" s="458">
        <f>PV_DATA[[#This Row],[QUANTITY]]*PV_DATA[[#This Row],[WATT]]/1000000</f>
        <v>1.2776400000000001</v>
      </c>
      <c r="W909" s="714">
        <f>PV_DATA[[#This Row],[QUANTITY]]/PV_DATA[[#This Row],[Qty/Pallet]]</f>
        <v>78</v>
      </c>
      <c r="X909" s="1017">
        <f>PV_DATA[[#This Row],[QUANTITY]]/PV_DATA[[#This Row],[Qty/CT]]</f>
        <v>3</v>
      </c>
      <c r="Y909" s="462" t="s">
        <v>4372</v>
      </c>
      <c r="Z909" s="462" t="str">
        <f t="shared" si="11"/>
        <v>COMPLETED</v>
      </c>
      <c r="AA909" s="462" t="s">
        <v>5794</v>
      </c>
      <c r="AB909" s="713">
        <v>46243</v>
      </c>
      <c r="AC909" s="937">
        <f>IF(PV_DATA[[#This Row],[Pick-Up Date]]&lt;&gt;"",_xlfn.ISOWEEKNUM(PV_DATA[[#This Row],[Pick-Up Date]]),"")</f>
        <v>32</v>
      </c>
      <c r="AD909" s="462" t="s">
        <v>6172</v>
      </c>
      <c r="AF909" s="462" t="s">
        <v>61</v>
      </c>
      <c r="AG909" s="462" t="s">
        <v>61</v>
      </c>
      <c r="AH909" s="462" t="s">
        <v>105</v>
      </c>
      <c r="AI909" s="713">
        <v>46249</v>
      </c>
      <c r="AJ909" s="713">
        <v>46249</v>
      </c>
      <c r="AK909" s="713">
        <v>46249</v>
      </c>
      <c r="AL909" s="437">
        <v>46305</v>
      </c>
      <c r="AM909" s="437">
        <v>46314</v>
      </c>
      <c r="AN909" s="713">
        <v>46316</v>
      </c>
      <c r="AP909" s="462" t="s">
        <v>6173</v>
      </c>
      <c r="AQ909" s="462" t="s">
        <v>161</v>
      </c>
      <c r="AR909" s="462" t="s">
        <v>6174</v>
      </c>
      <c r="AS909" s="462" t="s">
        <v>6175</v>
      </c>
      <c r="AT909" s="462" t="s">
        <v>6176</v>
      </c>
      <c r="AU90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67</v>
      </c>
      <c r="AV909" s="713"/>
      <c r="AW909" s="713" cm="1">
        <f t="array" ref="AW90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46316</v>
      </c>
      <c r="AX90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09" s="713">
        <f>IF(ISERROR(PV_DATA[[#This Row],[New Ark PO status]]),"",_xlfn.XLOOKUP(PV_DATA[[#This Row],[SPTN-PVHK New Ark PO'#]],New_Ark_Data[Purchase order Number],New_Ark_Data[Estimated time of arrival],"",0))</f>
        <v>46312</v>
      </c>
      <c r="AZ909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09" s="713">
        <f>IFERROR(PV_DATA[[#This Row],[ODP ETA Port]]+PV_DATA[[#This Row],[Customs/Leg3 Assumption]],"n/a")</f>
        <v>46323</v>
      </c>
      <c r="BB909" s="936">
        <f>YEAR(PV_DATA[[#This Row],[ETA for New Ark update]])</f>
        <v>2026</v>
      </c>
      <c r="BC909" s="462">
        <f>MONTH(PV_DATA[[#This Row],[ETA for New Ark update]])</f>
        <v>10</v>
      </c>
      <c r="BD909" s="462">
        <f>IFERROR(_xlfn.ISOWEEKNUM(PV_DATA[[#This Row],[ETA for New Ark update]]),0)</f>
        <v>44</v>
      </c>
      <c r="BE909" s="462">
        <f>_xlfn.XLOOKUP(PV_DATA[[#This Row],[New Ark SKU]],Table9[New Ark SKU],Table9[Total PCS per Pallet],,0)</f>
        <v>36</v>
      </c>
      <c r="BF909" s="462">
        <f>_xlfn.XLOOKUP(PV_DATA[[#This Row],[New Ark SKU]],Table9[New Ark SKU],Table9[Total PCS per 40HQ Container],,0)</f>
        <v>936</v>
      </c>
      <c r="BG909" s="462" t="str">
        <f>_xlfn.XLOOKUP(PV_DATA[[#This Row],[New Ark SKU]],Table9[New Ark SKU],Table9[Back Glass],,0)</f>
        <v>Black glazing</v>
      </c>
      <c r="BH909" s="462" t="str">
        <f>_xlfn.XLOOKUP(PV_DATA[[#This Row],[PORT DESTINATION]],Table12[PORT DESTINATION],Table12[Cosco Line],,0)</f>
        <v>AEU</v>
      </c>
    </row>
    <row r="910" spans="1:62" s="462" customFormat="1" ht="10.5" hidden="1">
      <c r="A910" s="462" t="s">
        <v>6177</v>
      </c>
      <c r="B910" s="462" t="s">
        <v>61</v>
      </c>
      <c r="C910" s="462" t="str">
        <f>IFERROR(LEFT(PV_DATA[[#This Row],[TCL REFERENCE]],FIND(".",PV_DATA[[#This Row],[TCL REFERENCE]],1)-1),"Main Line")</f>
        <v>26Jun009</v>
      </c>
      <c r="D910" s="462" t="s">
        <v>63</v>
      </c>
      <c r="E910" s="462" t="s">
        <v>64</v>
      </c>
      <c r="F910" s="462" t="str" cm="1">
        <f t="array" ref="F91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10" s="462" t="s">
        <v>402</v>
      </c>
      <c r="H910" s="462" t="s">
        <v>67</v>
      </c>
      <c r="I910" s="462" t="s">
        <v>689</v>
      </c>
      <c r="J910" s="462" t="s">
        <v>96</v>
      </c>
      <c r="M910" s="462" t="s">
        <v>68</v>
      </c>
      <c r="N910" s="712">
        <v>46188</v>
      </c>
      <c r="O910" s="462" t="s">
        <v>4540</v>
      </c>
      <c r="P910" s="462" t="s">
        <v>195</v>
      </c>
      <c r="Q910" s="462" t="s">
        <v>196</v>
      </c>
      <c r="R910" s="430" t="str">
        <f>_xlfn.XLOOKUP(PV_DATA[[#This Row],[New Ark SKU]],Table9[New Ark SKU],Table9[Connector],,0)</f>
        <v>EVO2A</v>
      </c>
      <c r="S910" s="433" t="str">
        <f>_xlfn.XLOOKUP(PV_DATA[[#This Row],[New Ark SKU]],Table9[New Ark SKU],Table9[Cable],,0)</f>
        <v>±1200mm</v>
      </c>
      <c r="T910" s="936">
        <v>450</v>
      </c>
      <c r="U910" s="1069">
        <f>936*3</f>
        <v>2808</v>
      </c>
      <c r="V910" s="458">
        <f>PV_DATA[[#This Row],[QUANTITY]]*PV_DATA[[#This Row],[WATT]]/1000000</f>
        <v>1.2636000000000001</v>
      </c>
      <c r="W910" s="714">
        <f>PV_DATA[[#This Row],[QUANTITY]]/PV_DATA[[#This Row],[Qty/Pallet]]</f>
        <v>78</v>
      </c>
      <c r="X910" s="1017">
        <f>PV_DATA[[#This Row],[QUANTITY]]/PV_DATA[[#This Row],[Qty/CT]]</f>
        <v>3</v>
      </c>
      <c r="Y910" s="462" t="s">
        <v>4371</v>
      </c>
      <c r="Z910" s="462" t="str">
        <f t="shared" si="11"/>
        <v>COMPLETED</v>
      </c>
      <c r="AB910" s="713">
        <v>46243</v>
      </c>
      <c r="AC910" s="937">
        <f>IF(PV_DATA[[#This Row],[Pick-Up Date]]&lt;&gt;"",_xlfn.ISOWEEKNUM(PV_DATA[[#This Row],[Pick-Up Date]]),"")</f>
        <v>32</v>
      </c>
      <c r="AD910" s="462" t="s">
        <v>6178</v>
      </c>
      <c r="AF910" s="462" t="s">
        <v>61</v>
      </c>
      <c r="AG910" s="462" t="s">
        <v>61</v>
      </c>
      <c r="AH910" s="462" t="s">
        <v>105</v>
      </c>
      <c r="AI910" s="713">
        <v>46249</v>
      </c>
      <c r="AJ910" s="713">
        <v>46249</v>
      </c>
      <c r="AK910" s="713">
        <v>46249</v>
      </c>
      <c r="AL910" s="437">
        <v>46305</v>
      </c>
      <c r="AM910" s="437">
        <v>46314</v>
      </c>
      <c r="AN910" s="713">
        <v>46316</v>
      </c>
      <c r="AP910" s="462" t="s">
        <v>6173</v>
      </c>
      <c r="AQ910" s="462" t="s">
        <v>161</v>
      </c>
      <c r="AR910" s="462" t="s">
        <v>6174</v>
      </c>
      <c r="AS910" s="462" t="s">
        <v>6175</v>
      </c>
      <c r="AT910" s="462" t="s">
        <v>6176</v>
      </c>
      <c r="AU91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67</v>
      </c>
      <c r="AV910" s="713"/>
      <c r="AW910" s="713" cm="1">
        <f t="array" ref="AW91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46316</v>
      </c>
      <c r="AX91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10" s="713">
        <f>IF(ISERROR(PV_DATA[[#This Row],[New Ark PO status]]),"",_xlfn.XLOOKUP(PV_DATA[[#This Row],[SPTN-PVHK New Ark PO'#]],New_Ark_Data[Purchase order Number],New_Ark_Data[Estimated time of arrival],"",0))</f>
        <v>46312</v>
      </c>
      <c r="AZ910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10" s="713">
        <f>IFERROR(PV_DATA[[#This Row],[ODP ETA Port]]+PV_DATA[[#This Row],[Customs/Leg3 Assumption]],"n/a")</f>
        <v>46323</v>
      </c>
      <c r="BB910" s="936">
        <f>YEAR(PV_DATA[[#This Row],[ETA for New Ark update]])</f>
        <v>2026</v>
      </c>
      <c r="BC910" s="462">
        <f>MONTH(PV_DATA[[#This Row],[ETA for New Ark update]])</f>
        <v>10</v>
      </c>
      <c r="BD910" s="462">
        <f>IFERROR(_xlfn.ISOWEEKNUM(PV_DATA[[#This Row],[ETA for New Ark update]]),0)</f>
        <v>44</v>
      </c>
      <c r="BE910" s="462">
        <f>_xlfn.XLOOKUP(PV_DATA[[#This Row],[New Ark SKU]],Table9[New Ark SKU],Table9[Total PCS per Pallet],,0)</f>
        <v>36</v>
      </c>
      <c r="BF910" s="462">
        <f>_xlfn.XLOOKUP(PV_DATA[[#This Row],[New Ark SKU]],Table9[New Ark SKU],Table9[Total PCS per 40HQ Container],,0)</f>
        <v>936</v>
      </c>
      <c r="BG910" s="462" t="str">
        <f>_xlfn.XLOOKUP(PV_DATA[[#This Row],[New Ark SKU]],Table9[New Ark SKU],Table9[Back Glass],,0)</f>
        <v>Black glazing</v>
      </c>
      <c r="BH910" s="462" t="str">
        <f>_xlfn.XLOOKUP(PV_DATA[[#This Row],[PORT DESTINATION]],Table12[PORT DESTINATION],Table12[Cosco Line],,0)</f>
        <v>AEU</v>
      </c>
    </row>
    <row r="911" spans="1:62" ht="10.5" hidden="1">
      <c r="A911" s="462" t="s">
        <v>6179</v>
      </c>
      <c r="B911" s="462" t="s">
        <v>61</v>
      </c>
      <c r="C911" s="462" t="str">
        <f>IFERROR(LEFT(PV_DATA[[#This Row],[TCL REFERENCE]],FIND(".",PV_DATA[[#This Row],[TCL REFERENCE]],1)-1),"Main Line")</f>
        <v>Main Line</v>
      </c>
      <c r="D911" s="462" t="s">
        <v>63</v>
      </c>
      <c r="E911" s="462" t="s">
        <v>64</v>
      </c>
      <c r="F911" s="462" t="str" cm="1">
        <f t="array" ref="F91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11" s="462" t="s">
        <v>402</v>
      </c>
      <c r="H911" s="462" t="s">
        <v>67</v>
      </c>
      <c r="I911" s="462" t="s">
        <v>689</v>
      </c>
      <c r="J911" s="430" t="s">
        <v>96</v>
      </c>
      <c r="K911" s="430"/>
      <c r="L911" s="430"/>
      <c r="M911" s="430" t="s">
        <v>68</v>
      </c>
      <c r="N911" s="432">
        <v>46174</v>
      </c>
      <c r="O911" s="430" t="s">
        <v>70</v>
      </c>
      <c r="P911" s="459" t="s">
        <v>329</v>
      </c>
      <c r="Q911" s="430" t="s">
        <v>330</v>
      </c>
      <c r="R911" s="430" t="str">
        <f>_xlfn.XLOOKUP(PV_DATA[[#This Row],[New Ark SKU]],Table9[New Ark SKU],Table9[Connector],,0)</f>
        <v>H4(Com)</v>
      </c>
      <c r="S911" s="433" t="str">
        <f>_xlfn.XLOOKUP(PV_DATA[[#This Row],[New Ark SKU]],Table9[New Ark SKU],Table9[Cable],,0)</f>
        <v>±1400mm</v>
      </c>
      <c r="T911" s="433">
        <v>625</v>
      </c>
      <c r="U911" s="1062" cm="1">
        <f t="array" ref="U911">3600-fx_qty</f>
        <v>3600</v>
      </c>
      <c r="V911" s="434">
        <f>PV_DATA[[#This Row],[QUANTITY]]*PV_DATA[[#This Row],[WATT]]/1000000</f>
        <v>2.25</v>
      </c>
      <c r="W911" s="435">
        <f>PV_DATA[[#This Row],[QUANTITY]]/PV_DATA[[#This Row],[Qty/Pallet]]</f>
        <v>100</v>
      </c>
      <c r="X911" s="1015">
        <f>PV_DATA[[#This Row],[QUANTITY]]/PV_DATA[[#This Row],[Qty/CT]]</f>
        <v>5</v>
      </c>
      <c r="Y911" s="430" t="s">
        <v>4372</v>
      </c>
      <c r="Z911" s="430" t="str">
        <f t="shared" si="11"/>
        <v>COMPLETED</v>
      </c>
      <c r="AA911" s="430" t="s">
        <v>4999</v>
      </c>
      <c r="AB911" s="713">
        <v>46243</v>
      </c>
      <c r="AC911" s="485">
        <f>IF(PV_DATA[[#This Row],[Pick-Up Date]]&lt;&gt;"",_xlfn.ISOWEEKNUM(PV_DATA[[#This Row],[Pick-Up Date]]),"")</f>
        <v>32</v>
      </c>
      <c r="AD911" s="430" t="s">
        <v>6180</v>
      </c>
      <c r="AE911" s="430"/>
      <c r="AF911" s="430" t="s">
        <v>77</v>
      </c>
      <c r="AG911" s="430" t="s">
        <v>61</v>
      </c>
      <c r="AH911" s="430" t="s">
        <v>105</v>
      </c>
      <c r="AI911" s="713">
        <v>46249</v>
      </c>
      <c r="AJ911" s="437">
        <v>46249</v>
      </c>
      <c r="AK911" s="437">
        <v>46249</v>
      </c>
      <c r="AL911" s="437">
        <v>46305</v>
      </c>
      <c r="AM911" s="437">
        <v>46314</v>
      </c>
      <c r="AN911" s="713">
        <v>46316</v>
      </c>
      <c r="AP911" s="430" t="s">
        <v>6173</v>
      </c>
      <c r="AQ911" s="430" t="s">
        <v>161</v>
      </c>
      <c r="AR911" s="430" t="s">
        <v>6174</v>
      </c>
      <c r="AS911" s="430" t="s">
        <v>6175</v>
      </c>
      <c r="AT911" s="430" t="s">
        <v>6176</v>
      </c>
      <c r="AU91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67</v>
      </c>
      <c r="AW911" s="437" cm="1">
        <f t="array" ref="AW91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46316</v>
      </c>
      <c r="AX91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11" s="437">
        <f>IF(ISERROR(PV_DATA[[#This Row],[New Ark PO status]]),"",_xlfn.XLOOKUP(PV_DATA[[#This Row],[SPTN-PVHK New Ark PO'#]],New_Ark_Data[Purchase order Number],New_Ark_Data[Estimated time of arrival],"",0))</f>
        <v>46312</v>
      </c>
      <c r="AZ911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11" s="437">
        <f>IFERROR(PV_DATA[[#This Row],[ODP ETA Port]]+PV_DATA[[#This Row],[Customs/Leg3 Assumption]],"n/a")</f>
        <v>46323</v>
      </c>
      <c r="BB911" s="433">
        <f>YEAR(PV_DATA[[#This Row],[ETA for New Ark update]])</f>
        <v>2026</v>
      </c>
      <c r="BC911" s="430">
        <f>MONTH(PV_DATA[[#This Row],[ETA for New Ark update]])</f>
        <v>10</v>
      </c>
      <c r="BD911" s="430">
        <f>IFERROR(_xlfn.ISOWEEKNUM(PV_DATA[[#This Row],[ETA for New Ark update]]),0)</f>
        <v>44</v>
      </c>
      <c r="BE911" s="430">
        <f>_xlfn.XLOOKUP(PV_DATA[[#This Row],[New Ark SKU]],Table9[New Ark SKU],Table9[Total PCS per Pallet],,0)</f>
        <v>36</v>
      </c>
      <c r="BF911" s="430">
        <f>_xlfn.XLOOKUP(PV_DATA[[#This Row],[New Ark SKU]],Table9[New Ark SKU],Table9[Total PCS per 40HQ Container],,0)</f>
        <v>720</v>
      </c>
      <c r="BG911" s="430" t="str">
        <f>_xlfn.XLOOKUP(PV_DATA[[#This Row],[New Ark SKU]],Table9[New Ark SKU],Table9[Back Glass],,0)</f>
        <v>Redirection Film</v>
      </c>
      <c r="BH911" s="430" t="str">
        <f>_xlfn.XLOOKUP(PV_DATA[[#This Row],[PORT DESTINATION]],Table12[PORT DESTINATION],Table12[Cosco Line],,0)</f>
        <v>AEU</v>
      </c>
      <c r="BJ911" s="430"/>
    </row>
    <row r="912" spans="1:62" s="446" customFormat="1" ht="10.5" hidden="1">
      <c r="A912" s="446" t="s">
        <v>6181</v>
      </c>
      <c r="B912" s="446" t="s">
        <v>61</v>
      </c>
      <c r="C912" s="446" t="str">
        <f>IFERROR(LEFT(PV_DATA[[#This Row],[TCL REFERENCE]],FIND(".",PV_DATA[[#This Row],[TCL REFERENCE]],1)-1),"Main Line")</f>
        <v>26Jun006</v>
      </c>
      <c r="D912" s="446" t="s">
        <v>63</v>
      </c>
      <c r="E912" s="446" t="s">
        <v>64</v>
      </c>
      <c r="F912" s="446" t="str" cm="1">
        <f t="array" ref="F91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12" s="446" t="s">
        <v>402</v>
      </c>
      <c r="H912" s="446" t="s">
        <v>67</v>
      </c>
      <c r="I912" s="446" t="s">
        <v>689</v>
      </c>
      <c r="J912" s="446" t="s">
        <v>96</v>
      </c>
      <c r="M912" s="446" t="s">
        <v>68</v>
      </c>
      <c r="N912" s="1131">
        <v>46188</v>
      </c>
      <c r="O912" s="446" t="s">
        <v>4540</v>
      </c>
      <c r="P912" s="446" t="s">
        <v>1002</v>
      </c>
      <c r="Q912" s="446" t="s">
        <v>330</v>
      </c>
      <c r="R912" s="450" t="str">
        <f>_xlfn.XLOOKUP(PV_DATA[[#This Row],[New Ark SKU]],Table9[New Ark SKU],Table9[Connector],,0)</f>
        <v>EVO2A</v>
      </c>
      <c r="S912" s="452" t="str">
        <f>_xlfn.XLOOKUP(PV_DATA[[#This Row],[New Ark SKU]],Table9[New Ark SKU],Table9[Cable],,0)</f>
        <v>±1400mm</v>
      </c>
      <c r="T912" s="716">
        <v>625</v>
      </c>
      <c r="U912" s="1132">
        <v>1440</v>
      </c>
      <c r="V912" s="464">
        <f>PV_DATA[[#This Row],[QUANTITY]]*PV_DATA[[#This Row],[WATT]]/1000000</f>
        <v>0.9</v>
      </c>
      <c r="W912" s="717">
        <f>PV_DATA[[#This Row],[QUANTITY]]/PV_DATA[[#This Row],[Qty/Pallet]]</f>
        <v>40</v>
      </c>
      <c r="X912" s="1037">
        <f>PV_DATA[[#This Row],[QUANTITY]]/PV_DATA[[#This Row],[Qty/CT]]</f>
        <v>2</v>
      </c>
      <c r="Y912" s="446" t="s">
        <v>4371</v>
      </c>
      <c r="Z912" s="446" t="str">
        <f t="shared" ref="Z912:Z943" si="12">IF(AN912&lt;&gt;"","COMPLETED",IF(AK912&lt;&gt;"","IN-TRANSIT",""))</f>
        <v>COMPLETED</v>
      </c>
      <c r="AB912" s="718">
        <v>46243</v>
      </c>
      <c r="AC912" s="1134">
        <f>IF(PV_DATA[[#This Row],[Pick-Up Date]]&lt;&gt;"",_xlfn.ISOWEEKNUM(PV_DATA[[#This Row],[Pick-Up Date]]),"")</f>
        <v>32</v>
      </c>
      <c r="AD912" s="446" t="s">
        <v>6182</v>
      </c>
      <c r="AF912" s="446" t="s">
        <v>61</v>
      </c>
      <c r="AG912" s="446" t="s">
        <v>61</v>
      </c>
      <c r="AH912" s="446" t="s">
        <v>105</v>
      </c>
      <c r="AI912" s="718">
        <v>46249</v>
      </c>
      <c r="AJ912" s="718">
        <v>46249</v>
      </c>
      <c r="AK912" s="718">
        <v>46249</v>
      </c>
      <c r="AL912" s="455">
        <v>46305</v>
      </c>
      <c r="AM912" s="455">
        <v>46314</v>
      </c>
      <c r="AN912" s="718">
        <v>46316</v>
      </c>
      <c r="AP912" s="446" t="s">
        <v>6173</v>
      </c>
      <c r="AQ912" s="446" t="s">
        <v>161</v>
      </c>
      <c r="AR912" s="446" t="s">
        <v>6174</v>
      </c>
      <c r="AS912" s="446" t="s">
        <v>6175</v>
      </c>
      <c r="AT912" s="446" t="s">
        <v>6176</v>
      </c>
      <c r="AU912" s="45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67</v>
      </c>
      <c r="AV912" s="718"/>
      <c r="AW912" s="718" cm="1">
        <f t="array" ref="AW91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46316</v>
      </c>
      <c r="AX912" s="71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12" s="718">
        <f>IF(ISERROR(PV_DATA[[#This Row],[New Ark PO status]]),"",_xlfn.XLOOKUP(PV_DATA[[#This Row],[SPTN-PVHK New Ark PO'#]],New_Ark_Data[Purchase order Number],New_Ark_Data[Estimated time of arrival],"",0))</f>
        <v>46312</v>
      </c>
      <c r="AZ912" s="71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12" s="718">
        <f>IFERROR(PV_DATA[[#This Row],[ODP ETA Port]]+PV_DATA[[#This Row],[Customs/Leg3 Assumption]],"n/a")</f>
        <v>46323</v>
      </c>
      <c r="BB912" s="716">
        <f>YEAR(PV_DATA[[#This Row],[ETA for New Ark update]])</f>
        <v>2026</v>
      </c>
      <c r="BC912" s="446">
        <f>MONTH(PV_DATA[[#This Row],[ETA for New Ark update]])</f>
        <v>10</v>
      </c>
      <c r="BD912" s="446">
        <f>IFERROR(_xlfn.ISOWEEKNUM(PV_DATA[[#This Row],[ETA for New Ark update]]),0)</f>
        <v>44</v>
      </c>
      <c r="BE912" s="446">
        <f>_xlfn.XLOOKUP(PV_DATA[[#This Row],[New Ark SKU]],Table9[New Ark SKU],Table9[Total PCS per Pallet],,0)</f>
        <v>36</v>
      </c>
      <c r="BF912" s="446">
        <f>_xlfn.XLOOKUP(PV_DATA[[#This Row],[New Ark SKU]],Table9[New Ark SKU],Table9[Total PCS per 40HQ Container],,0)</f>
        <v>720</v>
      </c>
      <c r="BG912" s="446" t="str">
        <f>_xlfn.XLOOKUP(PV_DATA[[#This Row],[New Ark SKU]],Table9[New Ark SKU],Table9[Back Glass],,0)</f>
        <v>Redirection Film</v>
      </c>
      <c r="BH912" s="446" t="str">
        <f>_xlfn.XLOOKUP(PV_DATA[[#This Row],[PORT DESTINATION]],Table12[PORT DESTINATION],Table12[Cosco Line],,0)</f>
        <v>AEU</v>
      </c>
    </row>
    <row r="913" spans="1:62" s="462" customFormat="1" ht="10.5" hidden="1">
      <c r="A913" s="462" t="s">
        <v>6183</v>
      </c>
      <c r="B913" s="462" t="s">
        <v>61</v>
      </c>
      <c r="C913" s="462" t="str">
        <f>IFERROR(LEFT(PV_DATA[[#This Row],[TCL REFERENCE]],FIND(".",PV_DATA[[#This Row],[TCL REFERENCE]],1)-1),"Main Line")</f>
        <v>26Jul011</v>
      </c>
      <c r="D913" s="462" t="s">
        <v>63</v>
      </c>
      <c r="E913" s="462" t="s">
        <v>64</v>
      </c>
      <c r="F913" s="462" t="s">
        <v>100</v>
      </c>
      <c r="G913" s="462" t="s">
        <v>402</v>
      </c>
      <c r="H913" s="462" t="s">
        <v>67</v>
      </c>
      <c r="I913" s="462" t="s">
        <v>822</v>
      </c>
      <c r="J913" s="462" t="s">
        <v>96</v>
      </c>
      <c r="M913" s="462" t="s">
        <v>68</v>
      </c>
      <c r="N913" s="712">
        <v>46209</v>
      </c>
      <c r="O913" s="462" t="s">
        <v>284</v>
      </c>
      <c r="P913" s="462" t="s">
        <v>5592</v>
      </c>
      <c r="Q913" s="462" t="s">
        <v>1570</v>
      </c>
      <c r="R913" s="430" t="str">
        <f>_xlfn.XLOOKUP(PV_DATA[[#This Row],[New Ark SKU]],Table9[New Ark SKU],Table9[Connector],,0)</f>
        <v>H4(Com)</v>
      </c>
      <c r="S913" s="433" t="str">
        <f>_xlfn.XLOOKUP(PV_DATA[[#This Row],[New Ark SKU]],Table9[New Ark SKU],Table9[Cable],,0)</f>
        <v>±1400mm</v>
      </c>
      <c r="T913" s="936">
        <v>650</v>
      </c>
      <c r="U913" s="1069">
        <f>720*6</f>
        <v>4320</v>
      </c>
      <c r="V913" s="458">
        <f>PV_DATA[[#This Row],[QUANTITY]]*PV_DATA[[#This Row],[WATT]]/1000000</f>
        <v>2.8079999999999998</v>
      </c>
      <c r="W913" s="714">
        <f>PV_DATA[[#This Row],[QUANTITY]]/PV_DATA[[#This Row],[Qty/Pallet]]</f>
        <v>120</v>
      </c>
      <c r="X913" s="1017">
        <f>PV_DATA[[#This Row],[QUANTITY]]/PV_DATA[[#This Row],[Qty/CT]]</f>
        <v>6</v>
      </c>
      <c r="Y913" s="462" t="s">
        <v>4374</v>
      </c>
      <c r="Z913" s="462" t="str">
        <f t="shared" si="12"/>
        <v>COMPLETED</v>
      </c>
      <c r="AB913" s="713">
        <v>46248</v>
      </c>
      <c r="AC913" s="937">
        <f>IF(PV_DATA[[#This Row],[Pick-Up Date]]&lt;&gt;"",_xlfn.ISOWEEKNUM(PV_DATA[[#This Row],[Pick-Up Date]]),"")</f>
        <v>33</v>
      </c>
      <c r="AD913" s="462" t="s">
        <v>6184</v>
      </c>
      <c r="AE913" s="462" t="s">
        <v>6184</v>
      </c>
      <c r="AF913" s="462" t="s">
        <v>61</v>
      </c>
      <c r="AG913" s="462" t="s">
        <v>61</v>
      </c>
      <c r="AH913" s="462" t="s">
        <v>105</v>
      </c>
      <c r="AI913" s="713">
        <v>46254</v>
      </c>
      <c r="AJ913" s="713"/>
      <c r="AK913" s="713">
        <f>IFERROR(IF(VLOOKUP(AT913,Vessel!A:F,5,FALSE)=0,"",VLOOKUP(AT913,Vessel!A:F,5,FALSE)),"")</f>
        <v>46254.49119212963</v>
      </c>
      <c r="AL913" s="713">
        <v>46298</v>
      </c>
      <c r="AM913" s="939">
        <f>IFERROR(VLOOKUP(AT913, Vessel!A:H, 8, FALSE), "")</f>
        <v>46304.020833333336</v>
      </c>
      <c r="AN913" s="939">
        <f>IFERROR(IF(VLOOKUP(AT913,Vessel!A:I,9,FALSE)=0,"",VLOOKUP(AT913,Vessel!A:I,9,FALSE)),"")</f>
        <v>46304.003923611112</v>
      </c>
      <c r="AO913" s="462" t="s">
        <v>402</v>
      </c>
      <c r="AP913" s="462" t="s">
        <v>6185</v>
      </c>
      <c r="AQ913" s="462" t="s">
        <v>80</v>
      </c>
      <c r="AR913" s="462" t="s">
        <v>6186</v>
      </c>
      <c r="AS913" s="462" t="s">
        <v>6187</v>
      </c>
      <c r="AT913" s="462" t="s">
        <v>6187</v>
      </c>
      <c r="AU91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49.512731481481751</v>
      </c>
      <c r="AW913" s="713" cm="1">
        <f t="array" ref="AW91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46304.003923611112</v>
      </c>
      <c r="AX91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13" s="713">
        <f>IF(ISERROR(PV_DATA[[#This Row],[New Ark PO status]]),"",_xlfn.XLOOKUP(PV_DATA[[#This Row],[SPTN-PVHK New Ark PO'#]],New_Ark_Data[Purchase order Number],New_Ark_Data[Estimated time of arrival],"",0))</f>
        <v>46305</v>
      </c>
      <c r="AZ913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13" s="713">
        <f>IFERROR(PV_DATA[[#This Row],[ODP ETA Port]]+PV_DATA[[#This Row],[Customs/Leg3 Assumption]],"n/a")</f>
        <v>46311.003923611112</v>
      </c>
      <c r="BB913" s="936">
        <f>YEAR(PV_DATA[[#This Row],[ETA for New Ark update]])</f>
        <v>2026</v>
      </c>
      <c r="BC913" s="462">
        <f>MONTH(PV_DATA[[#This Row],[ETA for New Ark update]])</f>
        <v>10</v>
      </c>
      <c r="BD913" s="462">
        <f>IFERROR(_xlfn.ISOWEEKNUM(PV_DATA[[#This Row],[ETA for New Ark update]]),0)</f>
        <v>42</v>
      </c>
      <c r="BE913" s="462">
        <f>_xlfn.XLOOKUP(PV_DATA[[#This Row],[New Ark SKU]],Table9[New Ark SKU],Table9[Total PCS per Pallet],,0)</f>
        <v>36</v>
      </c>
      <c r="BF913" s="462">
        <f>_xlfn.XLOOKUP(PV_DATA[[#This Row],[New Ark SKU]],Table9[New Ark SKU],Table9[Total PCS per 40HQ Container],,0)</f>
        <v>720</v>
      </c>
      <c r="BG913" s="462" t="str">
        <f>_xlfn.XLOOKUP(PV_DATA[[#This Row],[New Ark SKU]],Table9[New Ark SKU],Table9[Back Glass],,0)</f>
        <v>White glazing</v>
      </c>
      <c r="BH913" s="462" t="str">
        <f>_xlfn.XLOOKUP(PV_DATA[[#This Row],[PORT DESTINATION]],Table12[PORT DESTINATION],Table12[Cosco Line],,0)</f>
        <v>AEU</v>
      </c>
    </row>
    <row r="914" spans="1:62" s="446" customFormat="1" ht="10.5" hidden="1">
      <c r="A914" s="446" t="s">
        <v>6188</v>
      </c>
      <c r="B914" s="446" t="s">
        <v>61</v>
      </c>
      <c r="C914" s="446" t="str">
        <f>IFERROR(LEFT(PV_DATA[[#This Row],[TCL REFERENCE]],FIND(".",PV_DATA[[#This Row],[TCL REFERENCE]],1)-1),"Main Line")</f>
        <v>26Jun006</v>
      </c>
      <c r="D914" s="446" t="s">
        <v>63</v>
      </c>
      <c r="E914" s="446" t="s">
        <v>64</v>
      </c>
      <c r="F914" s="446" t="str" cm="1">
        <f t="array" ref="F91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14" s="446" t="s">
        <v>402</v>
      </c>
      <c r="H914" s="446" t="s">
        <v>67</v>
      </c>
      <c r="I914" s="446" t="s">
        <v>689</v>
      </c>
      <c r="J914" s="446" t="s">
        <v>96</v>
      </c>
      <c r="M914" s="446" t="s">
        <v>68</v>
      </c>
      <c r="N914" s="1131">
        <v>46188</v>
      </c>
      <c r="O914" s="446" t="s">
        <v>4540</v>
      </c>
      <c r="P914" s="446" t="s">
        <v>1002</v>
      </c>
      <c r="Q914" s="446" t="s">
        <v>330</v>
      </c>
      <c r="R914" s="450" t="str">
        <f>_xlfn.XLOOKUP(PV_DATA[[#This Row],[New Ark SKU]],Table9[New Ark SKU],Table9[Connector],,0)</f>
        <v>EVO2A</v>
      </c>
      <c r="S914" s="452" t="str">
        <f>_xlfn.XLOOKUP(PV_DATA[[#This Row],[New Ark SKU]],Table9[New Ark SKU],Table9[Cable],,0)</f>
        <v>±1400mm</v>
      </c>
      <c r="T914" s="716">
        <v>625</v>
      </c>
      <c r="U914" s="1132">
        <v>1440</v>
      </c>
      <c r="V914" s="464">
        <f>PV_DATA[[#This Row],[QUANTITY]]*PV_DATA[[#This Row],[WATT]]/1000000</f>
        <v>0.9</v>
      </c>
      <c r="W914" s="717">
        <f>PV_DATA[[#This Row],[QUANTITY]]/PV_DATA[[#This Row],[Qty/Pallet]]</f>
        <v>40</v>
      </c>
      <c r="X914" s="1037">
        <f>PV_DATA[[#This Row],[QUANTITY]]/PV_DATA[[#This Row],[Qty/CT]]</f>
        <v>2</v>
      </c>
      <c r="Y914" s="446" t="s">
        <v>4371</v>
      </c>
      <c r="Z914" s="446" t="str">
        <f t="shared" si="12"/>
        <v>COMPLETED</v>
      </c>
      <c r="AA914" s="446" t="s">
        <v>5862</v>
      </c>
      <c r="AB914" s="718">
        <v>46248</v>
      </c>
      <c r="AC914" s="1134">
        <f>IF(PV_DATA[[#This Row],[Pick-Up Date]]&lt;&gt;"",_xlfn.ISOWEEKNUM(PV_DATA[[#This Row],[Pick-Up Date]]),"")</f>
        <v>33</v>
      </c>
      <c r="AD914" s="446" t="s">
        <v>6189</v>
      </c>
      <c r="AE914" s="446" t="s">
        <v>6189</v>
      </c>
      <c r="AF914" s="446" t="s">
        <v>61</v>
      </c>
      <c r="AG914" s="446" t="s">
        <v>61</v>
      </c>
      <c r="AH914" s="446" t="s">
        <v>105</v>
      </c>
      <c r="AI914" s="718">
        <v>46254</v>
      </c>
      <c r="AJ914" s="718"/>
      <c r="AK914" s="718">
        <f>IFERROR(IF(VLOOKUP(AT914,Vessel!A:F,5,FALSE)=0,"",VLOOKUP(AT914,Vessel!A:F,5,FALSE)),"")</f>
        <v>46254.49119212963</v>
      </c>
      <c r="AL914" s="718">
        <v>46298</v>
      </c>
      <c r="AM914" s="1135">
        <f>IFERROR(VLOOKUP(AT914, Vessel!A:H, 8, FALSE), "")</f>
        <v>46304.020833333336</v>
      </c>
      <c r="AN914" s="1135">
        <f>IFERROR(IF(VLOOKUP(AT914,Vessel!A:I,9,FALSE)=0,"",VLOOKUP(AT914,Vessel!A:I,9,FALSE)),"")</f>
        <v>46304.003923611112</v>
      </c>
      <c r="AO914" s="446" t="s">
        <v>402</v>
      </c>
      <c r="AP914" s="446" t="s">
        <v>6185</v>
      </c>
      <c r="AQ914" s="446" t="s">
        <v>80</v>
      </c>
      <c r="AR914" s="446" t="s">
        <v>6186</v>
      </c>
      <c r="AS914" s="446" t="s">
        <v>6187</v>
      </c>
      <c r="AT914" s="446" t="s">
        <v>6187</v>
      </c>
      <c r="AU914" s="45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49.512731481481751</v>
      </c>
      <c r="AV914" s="718"/>
      <c r="AW914" s="718" cm="1">
        <f t="array" ref="AW91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46304.003923611112</v>
      </c>
      <c r="AX914" s="71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14" s="718">
        <f>IF(ISERROR(PV_DATA[[#This Row],[New Ark PO status]]),"",_xlfn.XLOOKUP(PV_DATA[[#This Row],[SPTN-PVHK New Ark PO'#]],New_Ark_Data[Purchase order Number],New_Ark_Data[Estimated time of arrival],"",0))</f>
        <v>46311</v>
      </c>
      <c r="AZ914" s="71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14" s="718">
        <f>IFERROR(PV_DATA[[#This Row],[ODP ETA Port]]+PV_DATA[[#This Row],[Customs/Leg3 Assumption]],"n/a")</f>
        <v>46311.003923611112</v>
      </c>
      <c r="BB914" s="716">
        <f>YEAR(PV_DATA[[#This Row],[ETA for New Ark update]])</f>
        <v>2026</v>
      </c>
      <c r="BC914" s="446">
        <f>MONTH(PV_DATA[[#This Row],[ETA for New Ark update]])</f>
        <v>10</v>
      </c>
      <c r="BD914" s="446">
        <f>IFERROR(_xlfn.ISOWEEKNUM(PV_DATA[[#This Row],[ETA for New Ark update]]),0)</f>
        <v>42</v>
      </c>
      <c r="BE914" s="446">
        <f>_xlfn.XLOOKUP(PV_DATA[[#This Row],[New Ark SKU]],Table9[New Ark SKU],Table9[Total PCS per Pallet],,0)</f>
        <v>36</v>
      </c>
      <c r="BF914" s="446">
        <f>_xlfn.XLOOKUP(PV_DATA[[#This Row],[New Ark SKU]],Table9[New Ark SKU],Table9[Total PCS per 40HQ Container],,0)</f>
        <v>720</v>
      </c>
      <c r="BG914" s="446" t="str">
        <f>_xlfn.XLOOKUP(PV_DATA[[#This Row],[New Ark SKU]],Table9[New Ark SKU],Table9[Back Glass],,0)</f>
        <v>Redirection Film</v>
      </c>
      <c r="BH914" s="446" t="str">
        <f>_xlfn.XLOOKUP(PV_DATA[[#This Row],[PORT DESTINATION]],Table12[PORT DESTINATION],Table12[Cosco Line],,0)</f>
        <v>AEU</v>
      </c>
    </row>
    <row r="915" spans="1:62" s="462" customFormat="1" ht="10.5" hidden="1">
      <c r="A915" s="462" t="s">
        <v>6190</v>
      </c>
      <c r="B915" s="462" t="s">
        <v>61</v>
      </c>
      <c r="C915" s="462" t="str">
        <f>IFERROR(LEFT(PV_DATA[[#This Row],[TCL REFERENCE]],FIND(".",PV_DATA[[#This Row],[TCL REFERENCE]],1)-1),"Main Line")</f>
        <v>26Jun021</v>
      </c>
      <c r="D915" s="462" t="s">
        <v>63</v>
      </c>
      <c r="E915" s="462" t="s">
        <v>64</v>
      </c>
      <c r="F915" s="462" t="str" cm="1">
        <f t="array" ref="F91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15" s="462" t="s">
        <v>402</v>
      </c>
      <c r="H915" s="462" t="s">
        <v>67</v>
      </c>
      <c r="I915" s="462" t="s">
        <v>1395</v>
      </c>
      <c r="J915" s="462" t="s">
        <v>96</v>
      </c>
      <c r="M915" s="462" t="s">
        <v>68</v>
      </c>
      <c r="N915" s="712">
        <v>46202</v>
      </c>
      <c r="O915" s="462" t="s">
        <v>284</v>
      </c>
      <c r="P915" s="730" t="s">
        <v>6169</v>
      </c>
      <c r="Q915" s="462" t="s">
        <v>1570</v>
      </c>
      <c r="R915" s="430" t="str">
        <f>_xlfn.XLOOKUP(PV_DATA[[#This Row],[New Ark SKU]],Table9[New Ark SKU],Table9[Connector],,0)</f>
        <v>EVO2A</v>
      </c>
      <c r="S915" s="433" t="str">
        <f>_xlfn.XLOOKUP(PV_DATA[[#This Row],[New Ark SKU]],Table9[New Ark SKU],Table9[Cable],,0)</f>
        <v>±1400mm</v>
      </c>
      <c r="T915" s="936">
        <v>650</v>
      </c>
      <c r="U915" s="1069">
        <f>720*3</f>
        <v>2160</v>
      </c>
      <c r="V915" s="458">
        <f>PV_DATA[[#This Row],[QUANTITY]]*PV_DATA[[#This Row],[WATT]]/1000000</f>
        <v>1.4039999999999999</v>
      </c>
      <c r="W915" s="714">
        <f>PV_DATA[[#This Row],[QUANTITY]]/PV_DATA[[#This Row],[Qty/Pallet]]</f>
        <v>60</v>
      </c>
      <c r="X915" s="1017">
        <f>PV_DATA[[#This Row],[QUANTITY]]/PV_DATA[[#This Row],[Qty/CT]]</f>
        <v>3</v>
      </c>
      <c r="Y915" s="462" t="s">
        <v>4373</v>
      </c>
      <c r="Z915" s="462" t="str">
        <f t="shared" si="12"/>
        <v>IN-TRANSIT</v>
      </c>
      <c r="AB915" s="713">
        <v>46248</v>
      </c>
      <c r="AC915" s="937">
        <f>IF(PV_DATA[[#This Row],[Pick-Up Date]]&lt;&gt;"",_xlfn.ISOWEEKNUM(PV_DATA[[#This Row],[Pick-Up Date]]),"")</f>
        <v>33</v>
      </c>
      <c r="AD915" s="462" t="s">
        <v>6191</v>
      </c>
      <c r="AE915" s="462" t="s">
        <v>6191</v>
      </c>
      <c r="AF915" s="462" t="s">
        <v>61</v>
      </c>
      <c r="AG915" s="462" t="s">
        <v>61</v>
      </c>
      <c r="AH915" s="462" t="s">
        <v>78</v>
      </c>
      <c r="AI915" s="713">
        <v>46254</v>
      </c>
      <c r="AJ915" s="713">
        <f>IFERROR(VLOOKUP(AT915, Vessel!A:D, 4, FALSE), "")</f>
        <v>46254.666666666664</v>
      </c>
      <c r="AK915" s="713">
        <f>IFERROR(IF(VLOOKUP(AT915,Vessel!A:F,5,FALSE)=0,"",VLOOKUP(AT915,Vessel!A:F,5,FALSE)),"")</f>
        <v>46254.49119212963</v>
      </c>
      <c r="AL915" s="713">
        <v>46321</v>
      </c>
      <c r="AM915" s="939">
        <f>IFERROR(VLOOKUP(AT915, Vessel!A:H, 8, FALSE), "")</f>
        <v>46330.916666666664</v>
      </c>
      <c r="AN915" s="939" t="str">
        <f>IFERROR(IF(VLOOKUP(AT915,Vessel!A:I,9,FALSE)=0,"",VLOOKUP(AT915,Vessel!A:I,9,FALSE)),"")</f>
        <v/>
      </c>
      <c r="AO915" s="462" t="s">
        <v>402</v>
      </c>
      <c r="AP915" s="462" t="s">
        <v>6185</v>
      </c>
      <c r="AQ915" s="940" t="s">
        <v>80</v>
      </c>
      <c r="AR915" s="462" t="s">
        <v>6192</v>
      </c>
      <c r="AS915" s="462" t="s">
        <v>6193</v>
      </c>
      <c r="AT915" s="462" t="s">
        <v>6193</v>
      </c>
      <c r="AU91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76.425474537034461</v>
      </c>
      <c r="AW915" s="713" cm="1">
        <f t="array" ref="AW91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46330.916666666664</v>
      </c>
      <c r="AX91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15" s="713">
        <f>IF(ISERROR(PV_DATA[[#This Row],[New Ark PO status]]),"",_xlfn.XLOOKUP(PV_DATA[[#This Row],[SPTN-PVHK New Ark PO'#]],New_Ark_Data[Purchase order Number],New_Ark_Data[Estimated time of arrival],"",0))</f>
        <v>46328</v>
      </c>
      <c r="AZ915" s="936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15" s="713">
        <f>IFERROR(PV_DATA[[#This Row],[ODP ETA Port]]+PV_DATA[[#This Row],[Customs/Leg3 Assumption]],"n/a")</f>
        <v>46338.916666666664</v>
      </c>
      <c r="BB915" s="936">
        <f>YEAR(PV_DATA[[#This Row],[ETA for New Ark update]])</f>
        <v>2026</v>
      </c>
      <c r="BC915" s="462">
        <f>MONTH(PV_DATA[[#This Row],[ETA for New Ark update]])</f>
        <v>11</v>
      </c>
      <c r="BD915" s="462">
        <f>IFERROR(_xlfn.ISOWEEKNUM(PV_DATA[[#This Row],[ETA for New Ark update]]),0)</f>
        <v>46</v>
      </c>
      <c r="BE915" s="462">
        <f>_xlfn.XLOOKUP(PV_DATA[[#This Row],[New Ark SKU]],Table9[New Ark SKU],Table9[Total PCS per Pallet],,0)</f>
        <v>36</v>
      </c>
      <c r="BF915" s="462">
        <f>_xlfn.XLOOKUP(PV_DATA[[#This Row],[New Ark SKU]],Table9[New Ark SKU],Table9[Total PCS per 40HQ Container],,0)</f>
        <v>720</v>
      </c>
      <c r="BG915" s="462" t="str">
        <f>_xlfn.XLOOKUP(PV_DATA[[#This Row],[New Ark SKU]],Table9[New Ark SKU],Table9[Back Glass],,0)</f>
        <v>White glazing</v>
      </c>
      <c r="BH915" s="462" t="str">
        <f>_xlfn.XLOOKUP(PV_DATA[[#This Row],[PORT DESTINATION]],Table12[PORT DESTINATION],Table12[Cosco Line],,0)</f>
        <v>AEM</v>
      </c>
    </row>
    <row r="916" spans="1:62" s="462" customFormat="1" ht="10.5" hidden="1">
      <c r="A916" s="462" t="s">
        <v>6194</v>
      </c>
      <c r="B916" s="462" t="s">
        <v>61</v>
      </c>
      <c r="C916" s="462" t="str">
        <f>IFERROR(LEFT(PV_DATA[[#This Row],[TCL REFERENCE]],FIND(".",PV_DATA[[#This Row],[TCL REFERENCE]],1)-1),"Main Line")</f>
        <v>26Jul012</v>
      </c>
      <c r="D916" s="462" t="s">
        <v>63</v>
      </c>
      <c r="E916" s="462" t="s">
        <v>64</v>
      </c>
      <c r="F916" s="462" t="str" cm="1">
        <f t="array" ref="F91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16" s="462" t="s">
        <v>402</v>
      </c>
      <c r="H916" s="462" t="s">
        <v>67</v>
      </c>
      <c r="I916" s="462" t="s">
        <v>1395</v>
      </c>
      <c r="J916" s="462" t="s">
        <v>96</v>
      </c>
      <c r="M916" s="462" t="s">
        <v>68</v>
      </c>
      <c r="N916" s="712">
        <v>46209</v>
      </c>
      <c r="O916" s="462" t="s">
        <v>284</v>
      </c>
      <c r="P916" s="462" t="s">
        <v>5505</v>
      </c>
      <c r="Q916" s="462" t="s">
        <v>5355</v>
      </c>
      <c r="R916" s="430" t="str">
        <f>_xlfn.XLOOKUP(PV_DATA[[#This Row],[New Ark SKU]],Table9[New Ark SKU],Table9[Connector],,0)</f>
        <v>H4(Com)</v>
      </c>
      <c r="S916" s="433" t="str">
        <f>_xlfn.XLOOKUP(PV_DATA[[#This Row],[New Ark SKU]],Table9[New Ark SKU],Table9[Cable],,0)</f>
        <v>±1400mm</v>
      </c>
      <c r="T916" s="936">
        <v>655</v>
      </c>
      <c r="U916" s="1069">
        <v>720</v>
      </c>
      <c r="V916" s="458">
        <f>PV_DATA[[#This Row],[QUANTITY]]*PV_DATA[[#This Row],[WATT]]/1000000</f>
        <v>0.47160000000000002</v>
      </c>
      <c r="W916" s="714">
        <f>PV_DATA[[#This Row],[QUANTITY]]/PV_DATA[[#This Row],[Qty/Pallet]]</f>
        <v>20</v>
      </c>
      <c r="X916" s="1017">
        <f>PV_DATA[[#This Row],[QUANTITY]]/PV_DATA[[#This Row],[Qty/CT]]</f>
        <v>1</v>
      </c>
      <c r="Y916" s="462" t="s">
        <v>4373</v>
      </c>
      <c r="Z916" s="462" t="str">
        <f t="shared" si="12"/>
        <v>IN-TRANSIT</v>
      </c>
      <c r="AB916" s="713">
        <v>46248</v>
      </c>
      <c r="AC916" s="937">
        <f>IF(PV_DATA[[#This Row],[Pick-Up Date]]&lt;&gt;"",_xlfn.ISOWEEKNUM(PV_DATA[[#This Row],[Pick-Up Date]]),"")</f>
        <v>33</v>
      </c>
      <c r="AD916" s="462" t="s">
        <v>6195</v>
      </c>
      <c r="AE916" s="462" t="s">
        <v>6195</v>
      </c>
      <c r="AF916" s="462" t="s">
        <v>61</v>
      </c>
      <c r="AG916" s="462" t="s">
        <v>61</v>
      </c>
      <c r="AH916" s="462" t="s">
        <v>78</v>
      </c>
      <c r="AI916" s="713">
        <v>46254</v>
      </c>
      <c r="AJ916" s="713">
        <f>IFERROR(VLOOKUP(AT916, Vessel!A:D, 4, FALSE), "")</f>
        <v>46254.666666666664</v>
      </c>
      <c r="AK916" s="713">
        <f>IFERROR(IF(VLOOKUP(AT916,Vessel!A:F,5,FALSE)=0,"",VLOOKUP(AT916,Vessel!A:F,5,FALSE)),"")</f>
        <v>46254.49119212963</v>
      </c>
      <c r="AL916" s="713">
        <v>46321</v>
      </c>
      <c r="AM916" s="939">
        <f>IFERROR(VLOOKUP(AT916, Vessel!A:H, 8, FALSE), "")</f>
        <v>46330.916666666664</v>
      </c>
      <c r="AN916" s="939" t="str">
        <f>IFERROR(IF(VLOOKUP(AT916,Vessel!A:I,9,FALSE)=0,"",VLOOKUP(AT916,Vessel!A:I,9,FALSE)),"")</f>
        <v/>
      </c>
      <c r="AO916" s="462" t="s">
        <v>402</v>
      </c>
      <c r="AP916" s="462" t="s">
        <v>6185</v>
      </c>
      <c r="AQ916" s="940" t="s">
        <v>80</v>
      </c>
      <c r="AR916" s="462" t="s">
        <v>6192</v>
      </c>
      <c r="AS916" s="462" t="s">
        <v>6193</v>
      </c>
      <c r="AT916" s="462" t="s">
        <v>6193</v>
      </c>
      <c r="AU91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76.425474537034461</v>
      </c>
      <c r="AW916" s="713" cm="1">
        <f t="array" ref="AW91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46330.916666666664</v>
      </c>
      <c r="AX91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16" s="713">
        <f>IF(ISERROR(PV_DATA[[#This Row],[New Ark PO status]]),"",_xlfn.XLOOKUP(PV_DATA[[#This Row],[SPTN-PVHK New Ark PO'#]],New_Ark_Data[Purchase order Number],New_Ark_Data[Estimated time of arrival],"",0))</f>
        <v>46328</v>
      </c>
      <c r="AZ916" s="936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16" s="713">
        <f>IFERROR(PV_DATA[[#This Row],[ODP ETA Port]]+PV_DATA[[#This Row],[Customs/Leg3 Assumption]],"n/a")</f>
        <v>46338.916666666664</v>
      </c>
      <c r="BB916" s="936">
        <f>YEAR(PV_DATA[[#This Row],[ETA for New Ark update]])</f>
        <v>2026</v>
      </c>
      <c r="BC916" s="462">
        <f>MONTH(PV_DATA[[#This Row],[ETA for New Ark update]])</f>
        <v>11</v>
      </c>
      <c r="BD916" s="462">
        <f>IFERROR(_xlfn.ISOWEEKNUM(PV_DATA[[#This Row],[ETA for New Ark update]]),0)</f>
        <v>46</v>
      </c>
      <c r="BE916" s="462">
        <f>_xlfn.XLOOKUP(PV_DATA[[#This Row],[New Ark SKU]],Table9[New Ark SKU],Table9[Total PCS per Pallet],,0)</f>
        <v>36</v>
      </c>
      <c r="BF916" s="462">
        <f>_xlfn.XLOOKUP(PV_DATA[[#This Row],[New Ark SKU]],Table9[New Ark SKU],Table9[Total PCS per 40HQ Container],,0)</f>
        <v>720</v>
      </c>
      <c r="BG916" s="462" t="str">
        <f>_xlfn.XLOOKUP(PV_DATA[[#This Row],[New Ark SKU]],Table9[New Ark SKU],Table9[Back Glass],,0)</f>
        <v>White glazing</v>
      </c>
      <c r="BH916" s="462" t="str">
        <f>_xlfn.XLOOKUP(PV_DATA[[#This Row],[PORT DESTINATION]],Table12[PORT DESTINATION],Table12[Cosco Line],,0)</f>
        <v>AEM</v>
      </c>
    </row>
    <row r="917" spans="1:62" s="462" customFormat="1" ht="10.5" hidden="1">
      <c r="A917" s="462" t="s">
        <v>6196</v>
      </c>
      <c r="B917" s="462" t="s">
        <v>61</v>
      </c>
      <c r="C917" s="462" t="str">
        <f>IFERROR(LEFT(PV_DATA[[#This Row],[TCL REFERENCE]],FIND(".",PV_DATA[[#This Row],[TCL REFERENCE]],1)-1),"Main Line")</f>
        <v>26Jul012</v>
      </c>
      <c r="D917" s="462" t="s">
        <v>63</v>
      </c>
      <c r="E917" s="462" t="s">
        <v>64</v>
      </c>
      <c r="F917" s="462" t="str" cm="1">
        <f t="array" ref="F91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17" s="462" t="s">
        <v>402</v>
      </c>
      <c r="H917" s="462" t="s">
        <v>67</v>
      </c>
      <c r="I917" s="462" t="s">
        <v>1395</v>
      </c>
      <c r="J917" s="462" t="s">
        <v>96</v>
      </c>
      <c r="M917" s="462" t="s">
        <v>68</v>
      </c>
      <c r="N917" s="712">
        <v>46209</v>
      </c>
      <c r="O917" s="462" t="s">
        <v>284</v>
      </c>
      <c r="P917" s="462" t="s">
        <v>5505</v>
      </c>
      <c r="Q917" s="462" t="s">
        <v>5355</v>
      </c>
      <c r="R917" s="430" t="str">
        <f>_xlfn.XLOOKUP(PV_DATA[[#This Row],[New Ark SKU]],Table9[New Ark SKU],Table9[Connector],,0)</f>
        <v>H4(Com)</v>
      </c>
      <c r="S917" s="433" t="str">
        <f>_xlfn.XLOOKUP(PV_DATA[[#This Row],[New Ark SKU]],Table9[New Ark SKU],Table9[Cable],,0)</f>
        <v>±1400mm</v>
      </c>
      <c r="T917" s="936">
        <v>655</v>
      </c>
      <c r="U917" s="1069">
        <v>1440</v>
      </c>
      <c r="V917" s="458">
        <f>PV_DATA[[#This Row],[QUANTITY]]*PV_DATA[[#This Row],[WATT]]/1000000</f>
        <v>0.94320000000000004</v>
      </c>
      <c r="W917" s="714">
        <f>PV_DATA[[#This Row],[QUANTITY]]/PV_DATA[[#This Row],[Qty/Pallet]]</f>
        <v>40</v>
      </c>
      <c r="X917" s="1017">
        <f>PV_DATA[[#This Row],[QUANTITY]]/PV_DATA[[#This Row],[Qty/CT]]</f>
        <v>2</v>
      </c>
      <c r="Y917" s="462" t="s">
        <v>4373</v>
      </c>
      <c r="Z917" s="462" t="str">
        <f t="shared" si="12"/>
        <v>COMPLETED</v>
      </c>
      <c r="AB917" s="713">
        <v>46248</v>
      </c>
      <c r="AC917" s="937">
        <f>IF(PV_DATA[[#This Row],[Pick-Up Date]]&lt;&gt;"",_xlfn.ISOWEEKNUM(PV_DATA[[#This Row],[Pick-Up Date]]),"")</f>
        <v>33</v>
      </c>
      <c r="AD917" s="462" t="s">
        <v>6197</v>
      </c>
      <c r="AE917" s="462" t="s">
        <v>6197</v>
      </c>
      <c r="AF917" s="462" t="s">
        <v>61</v>
      </c>
      <c r="AG917" s="462" t="s">
        <v>61</v>
      </c>
      <c r="AH917" s="462" t="s">
        <v>78</v>
      </c>
      <c r="AI917" s="713">
        <v>46254</v>
      </c>
      <c r="AJ917" s="713">
        <f>IFERROR(VLOOKUP(AT917, Vessel!A:D, 4, FALSE), "")</f>
        <v>46254.666666666664</v>
      </c>
      <c r="AK917" s="713">
        <f>IFERROR(IF(VLOOKUP(AT917,Vessel!A:F,5,FALSE)=0,"",VLOOKUP(AT917,Vessel!A:F,5,FALSE)),"")</f>
        <v>46254.49119212963</v>
      </c>
      <c r="AL917" s="713">
        <v>46309</v>
      </c>
      <c r="AM917" s="939">
        <f>IFERROR(VLOOKUP(AT917, Vessel!A:H, 8, FALSE), "")</f>
        <v>46322.666666666664</v>
      </c>
      <c r="AN917" s="939">
        <f>IFERROR(IF(VLOOKUP(AT917,Vessel!A:I,9,FALSE)=0,"",VLOOKUP(AT917,Vessel!A:I,9,FALSE)),"")</f>
        <v>46322.787372685183</v>
      </c>
      <c r="AO917" s="462" t="s">
        <v>402</v>
      </c>
      <c r="AP917" s="462" t="s">
        <v>6185</v>
      </c>
      <c r="AQ917" s="940" t="s">
        <v>80</v>
      </c>
      <c r="AR917" s="462" t="s">
        <v>6198</v>
      </c>
      <c r="AS917" s="462" t="s">
        <v>6199</v>
      </c>
      <c r="AT917" s="462" t="s">
        <v>6199</v>
      </c>
      <c r="AU91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68.296180555553292</v>
      </c>
      <c r="AW917" s="713" cm="1">
        <f t="array" ref="AW91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46322.787372685183</v>
      </c>
      <c r="AX91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17" s="713">
        <f>IF(ISERROR(PV_DATA[[#This Row],[New Ark PO status]]),"",_xlfn.XLOOKUP(PV_DATA[[#This Row],[SPTN-PVHK New Ark PO'#]],New_Ark_Data[Purchase order Number],New_Ark_Data[Estimated time of arrival],"",0))</f>
        <v>46328</v>
      </c>
      <c r="AZ917" s="936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17" s="713">
        <f>IFERROR(PV_DATA[[#This Row],[ODP ETA Port]]+PV_DATA[[#This Row],[Customs/Leg3 Assumption]],"n/a")</f>
        <v>46330.787372685183</v>
      </c>
      <c r="BB917" s="936">
        <f>YEAR(PV_DATA[[#This Row],[ETA for New Ark update]])</f>
        <v>2026</v>
      </c>
      <c r="BC917" s="462">
        <f>MONTH(PV_DATA[[#This Row],[ETA for New Ark update]])</f>
        <v>11</v>
      </c>
      <c r="BD917" s="462">
        <f>IFERROR(_xlfn.ISOWEEKNUM(PV_DATA[[#This Row],[ETA for New Ark update]]),0)</f>
        <v>45</v>
      </c>
      <c r="BE917" s="462">
        <f>_xlfn.XLOOKUP(PV_DATA[[#This Row],[New Ark SKU]],Table9[New Ark SKU],Table9[Total PCS per Pallet],,0)</f>
        <v>36</v>
      </c>
      <c r="BF917" s="462">
        <f>_xlfn.XLOOKUP(PV_DATA[[#This Row],[New Ark SKU]],Table9[New Ark SKU],Table9[Total PCS per 40HQ Container],,0)</f>
        <v>720</v>
      </c>
      <c r="BG917" s="462" t="str">
        <f>_xlfn.XLOOKUP(PV_DATA[[#This Row],[New Ark SKU]],Table9[New Ark SKU],Table9[Back Glass],,0)</f>
        <v>White glazing</v>
      </c>
      <c r="BH917" s="462" t="str">
        <f>_xlfn.XLOOKUP(PV_DATA[[#This Row],[PORT DESTINATION]],Table12[PORT DESTINATION],Table12[Cosco Line],,0)</f>
        <v>AEM</v>
      </c>
    </row>
    <row r="918" spans="1:62" s="730" customFormat="1" ht="12" hidden="1" customHeight="1">
      <c r="A918" s="462" t="s">
        <v>6200</v>
      </c>
      <c r="B918" s="462" t="s">
        <v>61</v>
      </c>
      <c r="C918" s="462" t="str">
        <f>IFERROR(LEFT(PV_DATA[[#This Row],[TCL REFERENCE]],FIND(".",PV_DATA[[#This Row],[TCL REFERENCE]],1)-1),"Main Line")</f>
        <v>26Jun021</v>
      </c>
      <c r="D918" s="462" t="s">
        <v>63</v>
      </c>
      <c r="E918" s="462" t="s">
        <v>64</v>
      </c>
      <c r="F918" s="462" t="str" cm="1">
        <f t="array" ref="F91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918" s="462" t="s">
        <v>402</v>
      </c>
      <c r="H918" s="462" t="s">
        <v>311</v>
      </c>
      <c r="I918" s="462" t="s">
        <v>1395</v>
      </c>
      <c r="J918" s="462" t="s">
        <v>96</v>
      </c>
      <c r="K918" s="462"/>
      <c r="L918" s="462"/>
      <c r="M918" s="462" t="s">
        <v>68</v>
      </c>
      <c r="N918" s="712">
        <v>46202</v>
      </c>
      <c r="O918" s="462" t="s">
        <v>284</v>
      </c>
      <c r="P918" s="730" t="s">
        <v>6169</v>
      </c>
      <c r="Q918" s="462" t="s">
        <v>1570</v>
      </c>
      <c r="R918" s="430" t="str">
        <f>_xlfn.XLOOKUP(PV_DATA[[#This Row],[New Ark SKU]],Table9[New Ark SKU],Table9[Connector],,0)</f>
        <v>EVO2A</v>
      </c>
      <c r="S918" s="433" t="str">
        <f>_xlfn.XLOOKUP(PV_DATA[[#This Row],[New Ark SKU]],Table9[New Ark SKU],Table9[Cable],,0)</f>
        <v>±1400mm</v>
      </c>
      <c r="T918" s="936">
        <v>650</v>
      </c>
      <c r="U918" s="1069">
        <v>720</v>
      </c>
      <c r="V918" s="458">
        <f>PV_DATA[[#This Row],[QUANTITY]]*PV_DATA[[#This Row],[WATT]]/1000000</f>
        <v>0.46800000000000003</v>
      </c>
      <c r="W918" s="714">
        <f>PV_DATA[[#This Row],[QUANTITY]]/PV_DATA[[#This Row],[Qty/Pallet]]</f>
        <v>20</v>
      </c>
      <c r="X918" s="1017">
        <f>PV_DATA[[#This Row],[QUANTITY]]/PV_DATA[[#This Row],[Qty/CT]]</f>
        <v>1</v>
      </c>
      <c r="Y918" s="462" t="s">
        <v>4372</v>
      </c>
      <c r="Z918" s="462" t="str">
        <f t="shared" si="12"/>
        <v>IN-TRANSIT</v>
      </c>
      <c r="AA918" s="462" t="s">
        <v>5506</v>
      </c>
      <c r="AB918" s="713">
        <v>46248</v>
      </c>
      <c r="AC918" s="937">
        <f>IF(PV_DATA[[#This Row],[Pick-Up Date]]&lt;&gt;"",_xlfn.ISOWEEKNUM(PV_DATA[[#This Row],[Pick-Up Date]]),"")</f>
        <v>33</v>
      </c>
      <c r="AD918" s="462" t="s">
        <v>6201</v>
      </c>
      <c r="AE918" s="462" t="s">
        <v>6201</v>
      </c>
      <c r="AF918" s="462" t="s">
        <v>61</v>
      </c>
      <c r="AG918" s="462" t="s">
        <v>61</v>
      </c>
      <c r="AH918" s="462" t="s">
        <v>1561</v>
      </c>
      <c r="AI918" s="713">
        <v>46254</v>
      </c>
      <c r="AJ918" s="713">
        <f>IFERROR(VLOOKUP(AT918, Vessel!A:D, 4, FALSE), "")</f>
        <v>46254.666666666664</v>
      </c>
      <c r="AK918" s="713">
        <f>IFERROR(IF(VLOOKUP(AT918,Vessel!A:F,5,FALSE)=0,"",VLOOKUP(AT918,Vessel!A:F,5,FALSE)),"")</f>
        <v>46254.49119212963</v>
      </c>
      <c r="AL918" s="713">
        <v>46327</v>
      </c>
      <c r="AM918" s="939">
        <f>IFERROR(VLOOKUP(AT918, Vessel!A:H, 8, FALSE), "")</f>
        <v>46330.75</v>
      </c>
      <c r="AN918" s="939" t="str">
        <f>IFERROR(IF(VLOOKUP(AT918,Vessel!A:I,9,FALSE)=0,"",VLOOKUP(AT918,Vessel!A:I,9,FALSE)),"")</f>
        <v/>
      </c>
      <c r="AO918" s="462" t="s">
        <v>402</v>
      </c>
      <c r="AP918" s="462" t="s">
        <v>6185</v>
      </c>
      <c r="AQ918" s="940" t="s">
        <v>80</v>
      </c>
      <c r="AR918" s="462" t="s">
        <v>6202</v>
      </c>
      <c r="AS918" s="462" t="s">
        <v>6203</v>
      </c>
      <c r="AT918" s="462" t="s">
        <v>6203</v>
      </c>
      <c r="AU91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76.258807870370219</v>
      </c>
      <c r="AV918" s="462"/>
      <c r="AW918" s="713" cm="1">
        <f t="array" ref="AW91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46330.75</v>
      </c>
      <c r="AX91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18" s="713">
        <f>IF(ISERROR(PV_DATA[[#This Row],[New Ark PO status]]),"",_xlfn.XLOOKUP(PV_DATA[[#This Row],[SPTN-PVHK New Ark PO'#]],New_Ark_Data[Purchase order Number],New_Ark_Data[Estimated time of arrival],"",0))</f>
        <v>46328</v>
      </c>
      <c r="AZ918" s="936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918" s="713">
        <f>IFERROR(PV_DATA[[#This Row],[ODP ETA Port]]+PV_DATA[[#This Row],[Customs/Leg3 Assumption]],"n/a")</f>
        <v>46340.75</v>
      </c>
      <c r="BB918" s="936">
        <f>YEAR(PV_DATA[[#This Row],[ETA for New Ark update]])</f>
        <v>2026</v>
      </c>
      <c r="BC918" s="462">
        <f>MONTH(PV_DATA[[#This Row],[ETA for New Ark update]])</f>
        <v>11</v>
      </c>
      <c r="BD918" s="462">
        <f>IFERROR(_xlfn.ISOWEEKNUM(PV_DATA[[#This Row],[ETA for New Ark update]]),0)</f>
        <v>46</v>
      </c>
      <c r="BE918" s="462">
        <f>_xlfn.XLOOKUP(PV_DATA[[#This Row],[New Ark SKU]],Table9[New Ark SKU],Table9[Total PCS per Pallet],,0)</f>
        <v>36</v>
      </c>
      <c r="BF918" s="462">
        <f>_xlfn.XLOOKUP(PV_DATA[[#This Row],[New Ark SKU]],Table9[New Ark SKU],Table9[Total PCS per 40HQ Container],,0)</f>
        <v>720</v>
      </c>
      <c r="BG918" s="462" t="str">
        <f>_xlfn.XLOOKUP(PV_DATA[[#This Row],[New Ark SKU]],Table9[New Ark SKU],Table9[Back Glass],,0)</f>
        <v>White glazing</v>
      </c>
      <c r="BH918" s="462" t="str">
        <f>_xlfn.XLOOKUP(PV_DATA[[#This Row],[PORT DESTINATION]],Table12[PORT DESTINATION],Table12[Cosco Line],,0)</f>
        <v>AEM</v>
      </c>
    </row>
    <row r="919" spans="1:62" s="462" customFormat="1" ht="10.5" hidden="1">
      <c r="A919" s="729" t="s">
        <v>6204</v>
      </c>
      <c r="B919" s="462" t="s">
        <v>61</v>
      </c>
      <c r="C919" s="462" t="str">
        <f>IFERROR(LEFT(PV_DATA[[#This Row],[TCL REFERENCE]],FIND(".",PV_DATA[[#This Row],[TCL REFERENCE]],1)-1),"Main Line")</f>
        <v>26Aug004</v>
      </c>
      <c r="D919" s="462" t="s">
        <v>63</v>
      </c>
      <c r="E919" s="462" t="s">
        <v>64</v>
      </c>
      <c r="F919" s="462" t="str" cm="1">
        <f t="array" ref="F91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919" s="462" t="s">
        <v>402</v>
      </c>
      <c r="H919" s="462" t="s">
        <v>451</v>
      </c>
      <c r="I919" s="462" t="s">
        <v>689</v>
      </c>
      <c r="J919" s="462" t="s">
        <v>5675</v>
      </c>
      <c r="M919" s="462" t="s">
        <v>68</v>
      </c>
      <c r="N919" s="712">
        <v>46237</v>
      </c>
      <c r="O919" s="462" t="s">
        <v>4540</v>
      </c>
      <c r="P919" s="462" t="s">
        <v>1151</v>
      </c>
      <c r="Q919" s="462" t="s">
        <v>421</v>
      </c>
      <c r="R919" s="430" t="str">
        <f>_xlfn.XLOOKUP(PV_DATA[[#This Row],[New Ark SKU]],Table9[New Ark SKU],Table9[Connector],,0)</f>
        <v>EVO2A</v>
      </c>
      <c r="S919" s="433" t="str">
        <f>_xlfn.XLOOKUP(PV_DATA[[#This Row],[New Ark SKU]],Table9[New Ark SKU],Table9[Cable],,0)</f>
        <v>±1200mm</v>
      </c>
      <c r="T919" s="936">
        <v>505</v>
      </c>
      <c r="U919" s="1069">
        <v>864</v>
      </c>
      <c r="V919" s="458">
        <f>PV_DATA[[#This Row],[QUANTITY]]*PV_DATA[[#This Row],[WATT]]/1000000</f>
        <v>0.43631999999999999</v>
      </c>
      <c r="W919" s="714">
        <f>PV_DATA[[#This Row],[QUANTITY]]/PV_DATA[[#This Row],[Qty/Pallet]]</f>
        <v>24</v>
      </c>
      <c r="X919" s="1017">
        <f>PV_DATA[[#This Row],[QUANTITY]]/PV_DATA[[#This Row],[Qty/CT]]</f>
        <v>1</v>
      </c>
      <c r="Y919" s="462" t="s">
        <v>4377</v>
      </c>
      <c r="Z919" s="462" t="str">
        <f t="shared" si="12"/>
        <v>COMPLETED</v>
      </c>
      <c r="AA919" s="462" t="s">
        <v>6205</v>
      </c>
      <c r="AB919" s="713">
        <v>46248</v>
      </c>
      <c r="AC919" s="937">
        <f>IF(PV_DATA[[#This Row],[Pick-Up Date]]&lt;&gt;"",_xlfn.ISOWEEKNUM(PV_DATA[[#This Row],[Pick-Up Date]]),"")</f>
        <v>33</v>
      </c>
      <c r="AD919" s="462" t="s">
        <v>6206</v>
      </c>
      <c r="AE919" s="462" t="s">
        <v>6206</v>
      </c>
      <c r="AF919" s="462" t="s">
        <v>61</v>
      </c>
      <c r="AG919" s="462" t="s">
        <v>61</v>
      </c>
      <c r="AH919" s="462" t="s">
        <v>456</v>
      </c>
      <c r="AI919" s="713">
        <v>46254</v>
      </c>
      <c r="AJ919" s="713">
        <f>IFERROR(VLOOKUP(AT919, Vessel!A:D, 4, FALSE), "")</f>
        <v>46254.666666666664</v>
      </c>
      <c r="AK919" s="713">
        <f>IFERROR(IF(VLOOKUP(AT919,Vessel!A:F,5,FALSE)=0,"",VLOOKUP(AT919,Vessel!A:F,5,FALSE)),"")</f>
        <v>46254.49119212963</v>
      </c>
      <c r="AL919" s="713">
        <v>46306</v>
      </c>
      <c r="AM919" s="939">
        <f>IFERROR(VLOOKUP(AT919, Vessel!A:H, 8, FALSE), "")</f>
        <v>46312.583333333336</v>
      </c>
      <c r="AN919" s="939">
        <f>IFERROR(IF(VLOOKUP(AT919,Vessel!A:I,9,FALSE)=0,"",VLOOKUP(AT919,Vessel!A:I,9,FALSE)),"")</f>
        <v>46312.600763888891</v>
      </c>
      <c r="AO919" s="462" t="s">
        <v>402</v>
      </c>
      <c r="AP919" s="462" t="s">
        <v>6185</v>
      </c>
      <c r="AQ919" s="462" t="s">
        <v>80</v>
      </c>
      <c r="AR919" s="462" t="s">
        <v>6207</v>
      </c>
      <c r="AS919" s="960" t="s">
        <v>6208</v>
      </c>
      <c r="AT919" s="960" t="s">
        <v>6208</v>
      </c>
      <c r="AU91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58.109571759261598</v>
      </c>
      <c r="AW919" s="713" cm="1">
        <f t="array" ref="AW91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46312.600763888891</v>
      </c>
      <c r="AX91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19" s="713">
        <f>IF(ISERROR(PV_DATA[[#This Row],[New Ark PO status]]),"",_xlfn.XLOOKUP(PV_DATA[[#This Row],[SPTN-PVHK New Ark PO'#]],New_Ark_Data[Purchase order Number],New_Ark_Data[Estimated time of arrival],"",0))</f>
        <v>46328</v>
      </c>
      <c r="AZ919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19" s="713">
        <f>IFERROR(PV_DATA[[#This Row],[ODP ETA Port]]+PV_DATA[[#This Row],[Customs/Leg3 Assumption]],"n/a")</f>
        <v>46319.600763888891</v>
      </c>
      <c r="BB919" s="936">
        <f>YEAR(PV_DATA[[#This Row],[ETA for New Ark update]])</f>
        <v>2026</v>
      </c>
      <c r="BC919" s="462">
        <f>MONTH(PV_DATA[[#This Row],[ETA for New Ark update]])</f>
        <v>10</v>
      </c>
      <c r="BD919" s="462">
        <f>IFERROR(_xlfn.ISOWEEKNUM(PV_DATA[[#This Row],[ETA for New Ark update]]),0)</f>
        <v>43</v>
      </c>
      <c r="BE919" s="462">
        <f>_xlfn.XLOOKUP(PV_DATA[[#This Row],[New Ark SKU]],Table9[New Ark SKU],Table9[Total PCS per Pallet],,0)</f>
        <v>36</v>
      </c>
      <c r="BF919" s="462">
        <f>_xlfn.XLOOKUP(PV_DATA[[#This Row],[New Ark SKU]],Table9[New Ark SKU],Table9[Total PCS per 40HQ Container],,0)</f>
        <v>864</v>
      </c>
      <c r="BG919" s="462" t="str">
        <f>_xlfn.XLOOKUP(PV_DATA[[#This Row],[New Ark SKU]],Table9[New Ark SKU],Table9[Back Glass],,0)</f>
        <v>Black glazing</v>
      </c>
      <c r="BH919" s="938" t="str">
        <f>_xlfn.XLOOKUP(PV_DATA[[#This Row],[PORT DESTINATION]],Table12[PORT DESTINATION],Table12[Cosco Line],,0)</f>
        <v>AEU</v>
      </c>
    </row>
    <row r="920" spans="1:62" ht="10.5" hidden="1">
      <c r="A920" s="462" t="s">
        <v>6209</v>
      </c>
      <c r="B920" s="462" t="s">
        <v>1757</v>
      </c>
      <c r="C920" s="462" t="str">
        <f>IFERROR(LEFT(PV_DATA[[#This Row],[TCL REFERENCE]],FIND(".",PV_DATA[[#This Row],[TCL REFERENCE]],1)-1),"Main Line")</f>
        <v>26Aug007</v>
      </c>
      <c r="D920" s="462" t="s">
        <v>63</v>
      </c>
      <c r="E920" s="462" t="s">
        <v>144</v>
      </c>
      <c r="F920" s="935" t="str" cm="1">
        <f t="array" ref="F92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20" s="935" t="s">
        <v>402</v>
      </c>
      <c r="H920" s="462" t="s">
        <v>6210</v>
      </c>
      <c r="I920" s="462" t="s">
        <v>689</v>
      </c>
      <c r="J920" s="430" t="s">
        <v>6210</v>
      </c>
      <c r="K920" s="430" t="s">
        <v>6211</v>
      </c>
      <c r="L920" s="430">
        <v>2</v>
      </c>
      <c r="M920" s="430" t="s">
        <v>4976</v>
      </c>
      <c r="N920" s="432" t="s">
        <v>6212</v>
      </c>
      <c r="O920" s="430" t="s">
        <v>284</v>
      </c>
      <c r="P920" s="430" t="s">
        <v>5860</v>
      </c>
      <c r="Q920" s="430" t="s">
        <v>5861</v>
      </c>
      <c r="R920" s="430" t="str">
        <f>_xlfn.XLOOKUP(PV_DATA[[#This Row],[New Ark SKU]],Table9[New Ark SKU],Table9[Connector],,0)</f>
        <v>EVO2A</v>
      </c>
      <c r="S920" s="433" t="str">
        <f>_xlfn.XLOOKUP(PV_DATA[[#This Row],[New Ark SKU]],Table9[New Ark SKU],Table9[Cable],,0)</f>
        <v>±1200mm</v>
      </c>
      <c r="T920" s="433">
        <v>485</v>
      </c>
      <c r="U920" s="1070">
        <f>936*11</f>
        <v>10296</v>
      </c>
      <c r="V920" s="434">
        <f>PV_DATA[[#This Row],[QUANTITY]]*PV_DATA[[#This Row],[WATT]]/1000000</f>
        <v>4.9935600000000004</v>
      </c>
      <c r="W920" s="969">
        <f>PV_DATA[[#This Row],[QUANTITY]]/36</f>
        <v>286</v>
      </c>
      <c r="X920" s="1015">
        <f>PV_DATA[[#This Row],[QUANTITY]]/PV_DATA[[#This Row],[Qty/CT]]</f>
        <v>11</v>
      </c>
      <c r="Y920" s="430" t="s">
        <v>4375</v>
      </c>
      <c r="Z920" s="430" t="str">
        <f t="shared" si="12"/>
        <v>COMPLETED</v>
      </c>
      <c r="AA920" s="545" t="s">
        <v>5862</v>
      </c>
      <c r="AB920" s="437">
        <v>46256</v>
      </c>
      <c r="AC920" s="485">
        <f>IF(PV_DATA[[#This Row],[Pick-Up Date]]&lt;&gt;"",_xlfn.ISOWEEKNUM(PV_DATA[[#This Row],[Pick-Up Date]]),"")</f>
        <v>34</v>
      </c>
      <c r="AD920" s="430" t="s">
        <v>6213</v>
      </c>
      <c r="AE920" s="430"/>
      <c r="AF920" s="430" t="s">
        <v>5864</v>
      </c>
      <c r="AG920" s="430" t="s">
        <v>123</v>
      </c>
      <c r="AH920" s="430" t="s">
        <v>541</v>
      </c>
      <c r="AI920" s="713">
        <v>46263</v>
      </c>
      <c r="AJ920" s="713">
        <f>IFERROR(VLOOKUP(AT920, Vessel!A:D, 4, FALSE), "")</f>
        <v>46264.5625</v>
      </c>
      <c r="AK920" s="437">
        <v>46264</v>
      </c>
      <c r="AL920" s="1078">
        <v>46304</v>
      </c>
      <c r="AM920" s="939">
        <f>IFERROR(VLOOKUP(AT920, Vessel!A:H, 8, FALSE), "")</f>
        <v>46316.25</v>
      </c>
      <c r="AN920" s="939">
        <f>IFERROR(IF(VLOOKUP(AT920,Vessel!A:I,9,FALSE)=0,"",VLOOKUP(AT920,Vessel!A:I,9,FALSE)),"")</f>
        <v>46316.045949074076</v>
      </c>
      <c r="AP920" s="430" t="s">
        <v>6214</v>
      </c>
      <c r="AQ920" s="438" t="s">
        <v>80</v>
      </c>
      <c r="AR920" s="430" t="s">
        <v>6215</v>
      </c>
      <c r="AS920" s="430" t="s">
        <v>6216</v>
      </c>
      <c r="AT920" s="430" t="s">
        <v>6216</v>
      </c>
      <c r="AU92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52.045949074075907</v>
      </c>
      <c r="AW920" s="437" cm="1">
        <f t="array" ref="AW92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46316.045949074076</v>
      </c>
      <c r="AX92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20" s="437">
        <f>IF(ISERROR(PV_DATA[[#This Row],[New Ark PO status]]),"",_xlfn.XLOOKUP(PV_DATA[[#This Row],[SPTN-PVHK New Ark PO'#]],New_Ark_Data[Purchase order Number],New_Ark_Data[Estimated time of arrival],"",0))</f>
        <v>46304</v>
      </c>
      <c r="AZ920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20" s="437">
        <f>IFERROR(PV_DATA[[#This Row],[ODP ETA Port]]+PV_DATA[[#This Row],[Customs/Leg3 Assumption]],"n/a")</f>
        <v>46316.045949074076</v>
      </c>
      <c r="BB920" s="433">
        <f>YEAR(PV_DATA[[#This Row],[ETA for New Ark update]])</f>
        <v>2026</v>
      </c>
      <c r="BC920" s="430">
        <f>MONTH(PV_DATA[[#This Row],[ETA for New Ark update]])</f>
        <v>10</v>
      </c>
      <c r="BD920" s="430">
        <f>IFERROR(_xlfn.ISOWEEKNUM(PV_DATA[[#This Row],[ETA for New Ark update]]),0)</f>
        <v>43</v>
      </c>
      <c r="BE920" s="430">
        <f>_xlfn.XLOOKUP(PV_DATA[[#This Row],[New Ark SKU]],Table9[New Ark SKU],Table9[Total PCS per Pallet],,0)</f>
        <v>36</v>
      </c>
      <c r="BF920" s="430">
        <f>_xlfn.XLOOKUP(PV_DATA[[#This Row],[New Ark SKU]],Table9[New Ark SKU],Table9[Total PCS per 40HQ Container],,0)</f>
        <v>936</v>
      </c>
      <c r="BG920" s="430" t="str">
        <f>_xlfn.XLOOKUP(PV_DATA[[#This Row],[New Ark SKU]],Table9[New Ark SKU],Table9[Back Glass],,0)</f>
        <v>Black glazing</v>
      </c>
      <c r="BH920" s="610" t="str">
        <f>_xlfn.XLOOKUP(PV_DATA[[#This Row],[PORT DESTINATION]],Table12[PORT DESTINATION],Table12[Cosco Line],,0)</f>
        <v>AEU</v>
      </c>
      <c r="BJ920" s="430"/>
    </row>
    <row r="921" spans="1:62" s="462" customFormat="1" ht="10.5" hidden="1">
      <c r="A921" s="729" t="s">
        <v>6217</v>
      </c>
      <c r="B921" s="462" t="s">
        <v>1757</v>
      </c>
      <c r="C921" s="462" t="str">
        <f>IFERROR(LEFT(PV_DATA[[#This Row],[TCL REFERENCE]],FIND(".",PV_DATA[[#This Row],[TCL REFERENCE]],1)-1),"Main Line")</f>
        <v>26Aug008</v>
      </c>
      <c r="D921" s="462" t="s">
        <v>63</v>
      </c>
      <c r="E921" s="462" t="s">
        <v>64</v>
      </c>
      <c r="F921" s="935" t="str" cm="1">
        <f t="array" ref="F92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921" s="462" t="s">
        <v>402</v>
      </c>
      <c r="H921" s="462" t="s">
        <v>451</v>
      </c>
      <c r="I921" s="462" t="s">
        <v>1395</v>
      </c>
      <c r="J921" s="462" t="s">
        <v>6218</v>
      </c>
      <c r="M921" s="462" t="s">
        <v>68</v>
      </c>
      <c r="N921" s="712" t="s">
        <v>6212</v>
      </c>
      <c r="O921" s="462" t="s">
        <v>284</v>
      </c>
      <c r="P921" s="462" t="s">
        <v>6219</v>
      </c>
      <c r="Q921" s="462" t="s">
        <v>6220</v>
      </c>
      <c r="R921" s="430" t="str">
        <f>_xlfn.XLOOKUP(PV_DATA[[#This Row],[New Ark SKU]],Table9[New Ark SKU],Table9[Connector],,0)</f>
        <v>EVO2A</v>
      </c>
      <c r="S921" s="433" t="str">
        <f>_xlfn.XLOOKUP(PV_DATA[[#This Row],[New Ark SKU]],Table9[New Ark SKU],Table9[Cable],,0)</f>
        <v>±1200mm</v>
      </c>
      <c r="T921" s="936">
        <v>490</v>
      </c>
      <c r="U921" s="1069">
        <f>936</f>
        <v>936</v>
      </c>
      <c r="V921" s="458">
        <f>PV_DATA[[#This Row],[QUANTITY]]*PV_DATA[[#This Row],[WATT]]/1000000</f>
        <v>0.45863999999999999</v>
      </c>
      <c r="W921" s="944">
        <f>PV_DATA[[#This Row],[QUANTITY]]/36</f>
        <v>26</v>
      </c>
      <c r="X921" s="1017">
        <f>PV_DATA[[#This Row],[QUANTITY]]/PV_DATA[[#This Row],[Qty/CT]]</f>
        <v>1</v>
      </c>
      <c r="Y921" s="462" t="s">
        <v>4376</v>
      </c>
      <c r="Z921" s="462" t="str">
        <f t="shared" si="12"/>
        <v>COMPLETED</v>
      </c>
      <c r="AA921" s="1039" t="s">
        <v>5862</v>
      </c>
      <c r="AB921" s="713">
        <v>46254</v>
      </c>
      <c r="AC921" s="937">
        <f>IF(PV_DATA[[#This Row],[Pick-Up Date]]&lt;&gt;"",_xlfn.ISOWEEKNUM(PV_DATA[[#This Row],[Pick-Up Date]]),"")</f>
        <v>34</v>
      </c>
      <c r="AD921" s="462" t="s">
        <v>6221</v>
      </c>
      <c r="AE921" s="462" t="s">
        <v>6221</v>
      </c>
      <c r="AF921" s="935" t="s">
        <v>5864</v>
      </c>
      <c r="AG921" s="462" t="s">
        <v>123</v>
      </c>
      <c r="AH921" s="462" t="s">
        <v>456</v>
      </c>
      <c r="AI921" s="713">
        <v>46258</v>
      </c>
      <c r="AJ921" s="713"/>
      <c r="AK921" s="713">
        <f>IFERROR(IF(VLOOKUP(AT921,Vessel!A:F,5,FALSE)=0,"",VLOOKUP(AT921,Vessel!A:F,5,FALSE)),"")</f>
        <v>46257.983877314815</v>
      </c>
      <c r="AL921" s="1080">
        <v>46299</v>
      </c>
      <c r="AM921" s="939">
        <f>IFERROR(VLOOKUP(AT921, Vessel!A:H, 8, FALSE), "")</f>
        <v>46299.166666666664</v>
      </c>
      <c r="AN921" s="939">
        <v>46299</v>
      </c>
      <c r="AP921" s="462" t="s">
        <v>6222</v>
      </c>
      <c r="AQ921" s="958" t="s">
        <v>80</v>
      </c>
      <c r="AR921" s="462" t="s">
        <v>6223</v>
      </c>
      <c r="AS921" s="462" t="s">
        <v>6224</v>
      </c>
      <c r="AT921" s="462" t="s">
        <v>6224</v>
      </c>
      <c r="AU92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41.01612268518511</v>
      </c>
      <c r="AW921" s="713" cm="1">
        <f t="array" ref="AW92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46299</v>
      </c>
      <c r="AX92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21" s="713">
        <f>IF(ISERROR(PV_DATA[[#This Row],[New Ark PO status]]),"",_xlfn.XLOOKUP(PV_DATA[[#This Row],[SPTN-PVHK New Ark PO'#]],New_Ark_Data[Purchase order Number],New_Ark_Data[Estimated time of arrival],"",0))</f>
        <v>46306</v>
      </c>
      <c r="AZ921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21" s="713">
        <f>IFERROR(PV_DATA[[#This Row],[ODP ETA Port]]+PV_DATA[[#This Row],[Customs/Leg3 Assumption]],"n/a")</f>
        <v>46306</v>
      </c>
      <c r="BB921" s="936">
        <f>YEAR(PV_DATA[[#This Row],[ETA for New Ark update]])</f>
        <v>2026</v>
      </c>
      <c r="BC921" s="462">
        <f>MONTH(PV_DATA[[#This Row],[ETA for New Ark update]])</f>
        <v>10</v>
      </c>
      <c r="BD921" s="462">
        <f>IFERROR(_xlfn.ISOWEEKNUM(PV_DATA[[#This Row],[ETA for New Ark update]]),0)</f>
        <v>41</v>
      </c>
      <c r="BE921" s="462">
        <f>_xlfn.XLOOKUP(PV_DATA[[#This Row],[New Ark SKU]],Table9[New Ark SKU],Table9[Total PCS per Pallet],,0)</f>
        <v>36</v>
      </c>
      <c r="BF921" s="462">
        <f>_xlfn.XLOOKUP(PV_DATA[[#This Row],[New Ark SKU]],Table9[New Ark SKU],Table9[Total PCS per 40HQ Container],,0)</f>
        <v>936</v>
      </c>
      <c r="BG921" s="462" t="str">
        <f>_xlfn.XLOOKUP(PV_DATA[[#This Row],[New Ark SKU]],Table9[New Ark SKU],Table9[Back Glass],,0)</f>
        <v>Black glazing</v>
      </c>
      <c r="BH921" s="938" t="str">
        <f>_xlfn.XLOOKUP(PV_DATA[[#This Row],[PORT DESTINATION]],Table12[PORT DESTINATION],Table12[Cosco Line],,0)</f>
        <v>AEU</v>
      </c>
    </row>
    <row r="922" spans="1:62" s="462" customFormat="1" ht="10.5" hidden="1">
      <c r="A922" s="941" t="s">
        <v>6225</v>
      </c>
      <c r="B922" s="935" t="s">
        <v>1757</v>
      </c>
      <c r="C922" s="935" t="str">
        <f>IFERROR(LEFT(PV_DATA[[#This Row],[TCL REFERENCE]],FIND(".",PV_DATA[[#This Row],[TCL REFERENCE]],1)-1),"Main Line")</f>
        <v>26Jul018</v>
      </c>
      <c r="D922" s="462" t="s">
        <v>63</v>
      </c>
      <c r="E922" s="935" t="s">
        <v>64</v>
      </c>
      <c r="F922" s="935" t="str" cm="1">
        <f t="array" ref="F92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922" s="935" t="s">
        <v>402</v>
      </c>
      <c r="H922" s="462" t="s">
        <v>451</v>
      </c>
      <c r="I922" s="462" t="s">
        <v>882</v>
      </c>
      <c r="J922" s="935" t="s">
        <v>6226</v>
      </c>
      <c r="K922" s="935"/>
      <c r="L922" s="935"/>
      <c r="M922" s="462" t="s">
        <v>68</v>
      </c>
      <c r="N922" s="712">
        <v>46230</v>
      </c>
      <c r="O922" s="462" t="s">
        <v>284</v>
      </c>
      <c r="P922" s="935" t="s">
        <v>6219</v>
      </c>
      <c r="Q922" s="935" t="s">
        <v>6220</v>
      </c>
      <c r="R922" s="430" t="str">
        <f>_xlfn.XLOOKUP(PV_DATA[[#This Row],[New Ark SKU]],Table9[New Ark SKU],Table9[Connector],,0)</f>
        <v>EVO2A</v>
      </c>
      <c r="S922" s="433" t="str">
        <f>_xlfn.XLOOKUP(PV_DATA[[#This Row],[New Ark SKU]],Table9[New Ark SKU],Table9[Cable],,0)</f>
        <v>±1200mm</v>
      </c>
      <c r="T922" s="942">
        <v>490</v>
      </c>
      <c r="U922" s="1072">
        <f>1872</f>
        <v>1872</v>
      </c>
      <c r="V922" s="943">
        <f>PV_DATA[[#This Row],[QUANTITY]]*PV_DATA[[#This Row],[WATT]]/1000000</f>
        <v>0.91727999999999998</v>
      </c>
      <c r="W922" s="944">
        <f>PV_DATA[[#This Row],[QUANTITY]]/36</f>
        <v>52</v>
      </c>
      <c r="X922" s="1017">
        <f>PV_DATA[[#This Row],[QUANTITY]]/PV_DATA[[#This Row],[Qty/CT]]</f>
        <v>2</v>
      </c>
      <c r="Y922" s="462" t="s">
        <v>4373</v>
      </c>
      <c r="Z922" s="462" t="str">
        <f t="shared" si="12"/>
        <v>COMPLETED</v>
      </c>
      <c r="AA922" s="1039" t="s">
        <v>5862</v>
      </c>
      <c r="AB922" s="959">
        <v>46254</v>
      </c>
      <c r="AC922" s="1040">
        <f>IF(PV_DATA[[#This Row],[Pick-Up Date]]&lt;&gt;"",_xlfn.ISOWEEKNUM(PV_DATA[[#This Row],[Pick-Up Date]]),"")</f>
        <v>34</v>
      </c>
      <c r="AD922" s="935" t="s">
        <v>6227</v>
      </c>
      <c r="AE922" s="935" t="s">
        <v>6227</v>
      </c>
      <c r="AF922" s="935" t="s">
        <v>5864</v>
      </c>
      <c r="AG922" s="462" t="s">
        <v>123</v>
      </c>
      <c r="AH922" s="462" t="s">
        <v>456</v>
      </c>
      <c r="AI922" s="959">
        <v>46258</v>
      </c>
      <c r="AJ922" s="713"/>
      <c r="AK922" s="713">
        <f>IFERROR(IF(VLOOKUP(AT922,Vessel!A:F,5,FALSE)=0,"",VLOOKUP(AT922,Vessel!A:F,5,FALSE)),"")</f>
        <v>46257.983877314815</v>
      </c>
      <c r="AL922" s="1079">
        <v>46299</v>
      </c>
      <c r="AM922" s="939">
        <f>IFERROR(VLOOKUP(AT922, Vessel!A:H, 8, FALSE), "")</f>
        <v>46299.166666666664</v>
      </c>
      <c r="AN922" s="939">
        <v>46299</v>
      </c>
      <c r="AO922" s="935"/>
      <c r="AP922" s="935" t="s">
        <v>6222</v>
      </c>
      <c r="AQ922" s="958" t="s">
        <v>80</v>
      </c>
      <c r="AR922" s="462" t="s">
        <v>6223</v>
      </c>
      <c r="AS922" s="935" t="s">
        <v>6224</v>
      </c>
      <c r="AT922" s="935" t="s">
        <v>6224</v>
      </c>
      <c r="AU92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41.01612268518511</v>
      </c>
      <c r="AV922" s="935"/>
      <c r="AW922" s="959" cm="1">
        <f t="array" ref="AW92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46299</v>
      </c>
      <c r="AX92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22" s="959">
        <f>IF(ISERROR(PV_DATA[[#This Row],[New Ark PO status]]),"",_xlfn.XLOOKUP(PV_DATA[[#This Row],[SPTN-PVHK New Ark PO'#]],New_Ark_Data[Purchase order Number],New_Ark_Data[Estimated time of arrival],"",0))</f>
        <v>46306</v>
      </c>
      <c r="AZ922" s="9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22" s="959">
        <f>IFERROR(PV_DATA[[#This Row],[ODP ETA Port]]+PV_DATA[[#This Row],[Customs/Leg3 Assumption]],"n/a")</f>
        <v>46306</v>
      </c>
      <c r="BB922" s="942">
        <f>YEAR(PV_DATA[[#This Row],[ETA for New Ark update]])</f>
        <v>2026</v>
      </c>
      <c r="BC922" s="935">
        <f>MONTH(PV_DATA[[#This Row],[ETA for New Ark update]])</f>
        <v>10</v>
      </c>
      <c r="BD922" s="935">
        <f>IFERROR(_xlfn.ISOWEEKNUM(PV_DATA[[#This Row],[ETA for New Ark update]]),0)</f>
        <v>41</v>
      </c>
      <c r="BE922" s="935">
        <f>_xlfn.XLOOKUP(PV_DATA[[#This Row],[New Ark SKU]],Table9[New Ark SKU],Table9[Total PCS per Pallet],,0)</f>
        <v>36</v>
      </c>
      <c r="BF922" s="935">
        <f>_xlfn.XLOOKUP(PV_DATA[[#This Row],[New Ark SKU]],Table9[New Ark SKU],Table9[Total PCS per 40HQ Container],,0)</f>
        <v>936</v>
      </c>
      <c r="BG922" s="462" t="str">
        <f>_xlfn.XLOOKUP(PV_DATA[[#This Row],[New Ark SKU]],Table9[New Ark SKU],Table9[Back Glass],,0)</f>
        <v>Black glazing</v>
      </c>
      <c r="BH922" s="1041" t="str">
        <f>_xlfn.XLOOKUP(PV_DATA[[#This Row],[PORT DESTINATION]],Table12[PORT DESTINATION],Table12[Cosco Line],,0)</f>
        <v>AEU</v>
      </c>
    </row>
    <row r="923" spans="1:62" s="462" customFormat="1" ht="10.5" hidden="1">
      <c r="A923" s="729" t="s">
        <v>6228</v>
      </c>
      <c r="B923" s="462" t="s">
        <v>1757</v>
      </c>
      <c r="C923" s="462" t="str">
        <f>IFERROR(LEFT(PV_DATA[[#This Row],[TCL REFERENCE]],FIND(".",PV_DATA[[#This Row],[TCL REFERENCE]],1)-1),"Main Line")</f>
        <v>26Jul017</v>
      </c>
      <c r="D923" s="462" t="s">
        <v>63</v>
      </c>
      <c r="E923" s="462" t="s">
        <v>64</v>
      </c>
      <c r="F923" s="935" t="str" cm="1">
        <f t="array" ref="F92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923" s="462" t="s">
        <v>402</v>
      </c>
      <c r="H923" s="462" t="s">
        <v>451</v>
      </c>
      <c r="I923" s="462" t="s">
        <v>882</v>
      </c>
      <c r="J923" s="935" t="s">
        <v>6229</v>
      </c>
      <c r="M923" s="462" t="s">
        <v>68</v>
      </c>
      <c r="N923" s="712" t="s">
        <v>6212</v>
      </c>
      <c r="O923" s="462" t="s">
        <v>284</v>
      </c>
      <c r="P923" s="462" t="s">
        <v>5860</v>
      </c>
      <c r="Q923" s="462" t="s">
        <v>5861</v>
      </c>
      <c r="R923" s="430" t="str">
        <f>_xlfn.XLOOKUP(PV_DATA[[#This Row],[New Ark SKU]],Table9[New Ark SKU],Table9[Connector],,0)</f>
        <v>EVO2A</v>
      </c>
      <c r="S923" s="433" t="str">
        <f>_xlfn.XLOOKUP(PV_DATA[[#This Row],[New Ark SKU]],Table9[New Ark SKU],Table9[Cable],,0)</f>
        <v>±1200mm</v>
      </c>
      <c r="T923" s="936">
        <v>485</v>
      </c>
      <c r="U923" s="1069">
        <v>936</v>
      </c>
      <c r="V923" s="458">
        <f>PV_DATA[[#This Row],[QUANTITY]]*PV_DATA[[#This Row],[WATT]]/1000000</f>
        <v>0.45395999999999997</v>
      </c>
      <c r="W923" s="944">
        <f>PV_DATA[[#This Row],[QUANTITY]]/36</f>
        <v>26</v>
      </c>
      <c r="X923" s="1017">
        <f>PV_DATA[[#This Row],[QUANTITY]]/PV_DATA[[#This Row],[Qty/CT]]</f>
        <v>1</v>
      </c>
      <c r="Y923" s="462" t="s">
        <v>4375</v>
      </c>
      <c r="Z923" s="462" t="str">
        <f t="shared" si="12"/>
        <v>COMPLETED</v>
      </c>
      <c r="AA923" s="1042">
        <v>46253</v>
      </c>
      <c r="AB923" s="713">
        <v>46254</v>
      </c>
      <c r="AC923" s="937">
        <f>IF(PV_DATA[[#This Row],[Pick-Up Date]]&lt;&gt;"",_xlfn.ISOWEEKNUM(PV_DATA[[#This Row],[Pick-Up Date]]),"")</f>
        <v>34</v>
      </c>
      <c r="AD923" s="462" t="s">
        <v>6230</v>
      </c>
      <c r="AE923" s="462" t="s">
        <v>6230</v>
      </c>
      <c r="AF923" s="935" t="s">
        <v>5864</v>
      </c>
      <c r="AG923" s="462" t="s">
        <v>123</v>
      </c>
      <c r="AH923" s="462" t="s">
        <v>456</v>
      </c>
      <c r="AI923" s="713">
        <v>46258</v>
      </c>
      <c r="AJ923" s="713"/>
      <c r="AK923" s="713">
        <f>IFERROR(IF(VLOOKUP(AT923,Vessel!A:F,5,FALSE)=0,"",VLOOKUP(AT923,Vessel!A:F,5,FALSE)),"")</f>
        <v>46257.983877314815</v>
      </c>
      <c r="AL923" s="1080">
        <v>46299</v>
      </c>
      <c r="AM923" s="939">
        <f>IFERROR(VLOOKUP(AT923, Vessel!A:H, 8, FALSE), "")</f>
        <v>46299.166666666664</v>
      </c>
      <c r="AN923" s="939">
        <v>46299</v>
      </c>
      <c r="AP923" s="462" t="s">
        <v>6222</v>
      </c>
      <c r="AQ923" s="958" t="s">
        <v>80</v>
      </c>
      <c r="AR923" s="462" t="s">
        <v>6223</v>
      </c>
      <c r="AS923" s="462" t="s">
        <v>6224</v>
      </c>
      <c r="AT923" s="462" t="s">
        <v>6224</v>
      </c>
      <c r="AU92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41.01612268518511</v>
      </c>
      <c r="AW923" s="713" cm="1">
        <f t="array" ref="AW92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46299</v>
      </c>
      <c r="AX92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23" s="713">
        <f>IF(ISERROR(PV_DATA[[#This Row],[New Ark PO status]]),"",_xlfn.XLOOKUP(PV_DATA[[#This Row],[SPTN-PVHK New Ark PO'#]],New_Ark_Data[Purchase order Number],New_Ark_Data[Estimated time of arrival],"",0))</f>
        <v>46306</v>
      </c>
      <c r="AZ923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23" s="713">
        <f>IFERROR(PV_DATA[[#This Row],[ODP ETA Port]]+PV_DATA[[#This Row],[Customs/Leg3 Assumption]],"n/a")</f>
        <v>46306</v>
      </c>
      <c r="BB923" s="936">
        <f>YEAR(PV_DATA[[#This Row],[ETA for New Ark update]])</f>
        <v>2026</v>
      </c>
      <c r="BC923" s="462">
        <f>MONTH(PV_DATA[[#This Row],[ETA for New Ark update]])</f>
        <v>10</v>
      </c>
      <c r="BD923" s="462">
        <f>IFERROR(_xlfn.ISOWEEKNUM(PV_DATA[[#This Row],[ETA for New Ark update]]),0)</f>
        <v>41</v>
      </c>
      <c r="BE923" s="462">
        <f>_xlfn.XLOOKUP(PV_DATA[[#This Row],[New Ark SKU]],Table9[New Ark SKU],Table9[Total PCS per Pallet],,0)</f>
        <v>36</v>
      </c>
      <c r="BF923" s="462">
        <f>_xlfn.XLOOKUP(PV_DATA[[#This Row],[New Ark SKU]],Table9[New Ark SKU],Table9[Total PCS per 40HQ Container],,0)</f>
        <v>936</v>
      </c>
      <c r="BG923" s="462" t="str">
        <f>_xlfn.XLOOKUP(PV_DATA[[#This Row],[New Ark SKU]],Table9[New Ark SKU],Table9[Back Glass],,0)</f>
        <v>Black glazing</v>
      </c>
      <c r="BH923" s="938" t="str">
        <f>_xlfn.XLOOKUP(PV_DATA[[#This Row],[PORT DESTINATION]],Table12[PORT DESTINATION],Table12[Cosco Line],,0)</f>
        <v>AEU</v>
      </c>
    </row>
    <row r="924" spans="1:62" s="462" customFormat="1" ht="10.5" hidden="1">
      <c r="A924" s="941" t="s">
        <v>6231</v>
      </c>
      <c r="B924" s="935" t="s">
        <v>1757</v>
      </c>
      <c r="C924" s="935" t="str">
        <f>IFERROR(LEFT(PV_DATA[[#This Row],[TCL REFERENCE]],FIND(".",PV_DATA[[#This Row],[TCL REFERENCE]],1)-1),"Main Line")</f>
        <v>26Jul017</v>
      </c>
      <c r="D924" s="462" t="s">
        <v>63</v>
      </c>
      <c r="E924" s="462" t="s">
        <v>64</v>
      </c>
      <c r="F924" s="935" t="str" cm="1">
        <f t="array" ref="F92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924" s="462" t="s">
        <v>402</v>
      </c>
      <c r="H924" s="462" t="s">
        <v>451</v>
      </c>
      <c r="I924" s="462" t="s">
        <v>882</v>
      </c>
      <c r="J924" s="935" t="s">
        <v>5859</v>
      </c>
      <c r="K924" s="935"/>
      <c r="L924" s="935"/>
      <c r="M924" s="462" t="s">
        <v>68</v>
      </c>
      <c r="N924" s="712">
        <v>46230</v>
      </c>
      <c r="O924" s="462" t="s">
        <v>284</v>
      </c>
      <c r="P924" s="935" t="s">
        <v>5860</v>
      </c>
      <c r="Q924" s="935" t="s">
        <v>5861</v>
      </c>
      <c r="R924" s="430" t="str">
        <f>_xlfn.XLOOKUP(PV_DATA[[#This Row],[New Ark SKU]],Table9[New Ark SKU],Table9[Connector],,0)</f>
        <v>EVO2A</v>
      </c>
      <c r="S924" s="433" t="str">
        <f>_xlfn.XLOOKUP(PV_DATA[[#This Row],[New Ark SKU]],Table9[New Ark SKU],Table9[Cable],,0)</f>
        <v>±1200mm</v>
      </c>
      <c r="T924" s="942">
        <v>485</v>
      </c>
      <c r="U924" s="1072">
        <v>936</v>
      </c>
      <c r="V924" s="943">
        <f>PV_DATA[[#This Row],[QUANTITY]]*PV_DATA[[#This Row],[WATT]]/1000000</f>
        <v>0.45395999999999997</v>
      </c>
      <c r="W924" s="944">
        <f>PV_DATA[[#This Row],[QUANTITY]]/36</f>
        <v>26</v>
      </c>
      <c r="X924" s="1017">
        <f>PV_DATA[[#This Row],[QUANTITY]]/PV_DATA[[#This Row],[Qty/CT]]</f>
        <v>1</v>
      </c>
      <c r="Y924" s="462" t="s">
        <v>4373</v>
      </c>
      <c r="Z924" s="462" t="str">
        <f t="shared" si="12"/>
        <v>COMPLETED</v>
      </c>
      <c r="AA924" s="1042">
        <v>46253</v>
      </c>
      <c r="AB924" s="959">
        <v>46254</v>
      </c>
      <c r="AC924" s="1040">
        <f>IF(PV_DATA[[#This Row],[Pick-Up Date]]&lt;&gt;"",_xlfn.ISOWEEKNUM(PV_DATA[[#This Row],[Pick-Up Date]]),"")</f>
        <v>34</v>
      </c>
      <c r="AD924" s="935" t="s">
        <v>6232</v>
      </c>
      <c r="AE924" s="935" t="s">
        <v>6232</v>
      </c>
      <c r="AF924" s="935" t="s">
        <v>5864</v>
      </c>
      <c r="AG924" s="462" t="s">
        <v>123</v>
      </c>
      <c r="AH924" s="462" t="s">
        <v>456</v>
      </c>
      <c r="AI924" s="959">
        <v>46258</v>
      </c>
      <c r="AJ924" s="959"/>
      <c r="AK924" s="713">
        <f>IFERROR(IF(VLOOKUP(AT924,Vessel!A:F,5,FALSE)=0,"",VLOOKUP(AT924,Vessel!A:F,5,FALSE)),"")</f>
        <v>46257.983877314815</v>
      </c>
      <c r="AL924" s="1079">
        <v>46299</v>
      </c>
      <c r="AM924" s="939">
        <f>IFERROR(VLOOKUP(AT924, Vessel!A:H, 8, FALSE), "")</f>
        <v>46299.166666666664</v>
      </c>
      <c r="AN924" s="939">
        <v>46299</v>
      </c>
      <c r="AO924" s="935"/>
      <c r="AP924" s="935" t="s">
        <v>6222</v>
      </c>
      <c r="AQ924" s="958" t="s">
        <v>80</v>
      </c>
      <c r="AR924" s="462" t="s">
        <v>6223</v>
      </c>
      <c r="AS924" s="935" t="s">
        <v>6224</v>
      </c>
      <c r="AT924" s="935" t="s">
        <v>6224</v>
      </c>
      <c r="AU92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41.01612268518511</v>
      </c>
      <c r="AV924" s="935"/>
      <c r="AW924" s="959" cm="1">
        <f t="array" ref="AW92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46299</v>
      </c>
      <c r="AX92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24" s="959">
        <f>IF(ISERROR(PV_DATA[[#This Row],[New Ark PO status]]),"",_xlfn.XLOOKUP(PV_DATA[[#This Row],[SPTN-PVHK New Ark PO'#]],New_Ark_Data[Purchase order Number],New_Ark_Data[Estimated time of arrival],"",0))</f>
        <v>46306</v>
      </c>
      <c r="AZ924" s="9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24" s="959">
        <f>IFERROR(PV_DATA[[#This Row],[ODP ETA Port]]+PV_DATA[[#This Row],[Customs/Leg3 Assumption]],"n/a")</f>
        <v>46306</v>
      </c>
      <c r="BB924" s="942">
        <f>YEAR(PV_DATA[[#This Row],[ETA for New Ark update]])</f>
        <v>2026</v>
      </c>
      <c r="BC924" s="935">
        <f>MONTH(PV_DATA[[#This Row],[ETA for New Ark update]])</f>
        <v>10</v>
      </c>
      <c r="BD924" s="935">
        <f>IFERROR(_xlfn.ISOWEEKNUM(PV_DATA[[#This Row],[ETA for New Ark update]]),0)</f>
        <v>41</v>
      </c>
      <c r="BE924" s="935">
        <f>_xlfn.XLOOKUP(PV_DATA[[#This Row],[New Ark SKU]],Table9[New Ark SKU],Table9[Total PCS per Pallet],,0)</f>
        <v>36</v>
      </c>
      <c r="BF924" s="935">
        <f>_xlfn.XLOOKUP(PV_DATA[[#This Row],[New Ark SKU]],Table9[New Ark SKU],Table9[Total PCS per 40HQ Container],,0)</f>
        <v>936</v>
      </c>
      <c r="BG924" s="462" t="str">
        <f>_xlfn.XLOOKUP(PV_DATA[[#This Row],[New Ark SKU]],Table9[New Ark SKU],Table9[Back Glass],,0)</f>
        <v>Black glazing</v>
      </c>
      <c r="BH924" s="1041" t="str">
        <f>_xlfn.XLOOKUP(PV_DATA[[#This Row],[PORT DESTINATION]],Table12[PORT DESTINATION],Table12[Cosco Line],,0)</f>
        <v>AEU</v>
      </c>
    </row>
    <row r="925" spans="1:62" s="462" customFormat="1" ht="10.5" hidden="1">
      <c r="A925" s="462" t="s">
        <v>6233</v>
      </c>
      <c r="B925" s="462" t="s">
        <v>1757</v>
      </c>
      <c r="C925" s="462" t="str">
        <f>IFERROR(LEFT(PV_DATA[[#This Row],[TCL REFERENCE]],FIND(".",PV_DATA[[#This Row],[TCL REFERENCE]],1)-1),"Main Line")</f>
        <v>26Aug007</v>
      </c>
      <c r="D925" s="462" t="s">
        <v>63</v>
      </c>
      <c r="E925" s="462" t="s">
        <v>144</v>
      </c>
      <c r="F925" s="935" t="str" cm="1">
        <f t="array" ref="F92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25" s="935" t="s">
        <v>402</v>
      </c>
      <c r="H925" s="462" t="s">
        <v>6210</v>
      </c>
      <c r="I925" s="462" t="s">
        <v>689</v>
      </c>
      <c r="J925" s="462" t="s">
        <v>6210</v>
      </c>
      <c r="K925" s="462" t="s">
        <v>6234</v>
      </c>
      <c r="L925" s="462">
        <v>4</v>
      </c>
      <c r="M925" s="462" t="s">
        <v>840</v>
      </c>
      <c r="N925" s="712" t="s">
        <v>6212</v>
      </c>
      <c r="O925" s="462" t="s">
        <v>284</v>
      </c>
      <c r="P925" s="462" t="s">
        <v>5860</v>
      </c>
      <c r="Q925" s="462" t="s">
        <v>5861</v>
      </c>
      <c r="R925" s="430" t="str">
        <f>_xlfn.XLOOKUP(PV_DATA[[#This Row],[New Ark SKU]],Table9[New Ark SKU],Table9[Connector],,0)</f>
        <v>EVO2A</v>
      </c>
      <c r="S925" s="433" t="str">
        <f>_xlfn.XLOOKUP(PV_DATA[[#This Row],[New Ark SKU]],Table9[New Ark SKU],Table9[Cable],,0)</f>
        <v>±1200mm</v>
      </c>
      <c r="T925" s="936">
        <v>485</v>
      </c>
      <c r="U925" s="1069">
        <f>936*5</f>
        <v>4680</v>
      </c>
      <c r="V925" s="458">
        <f>PV_DATA[[#This Row],[QUANTITY]]*PV_DATA[[#This Row],[WATT]]/1000000</f>
        <v>2.2698</v>
      </c>
      <c r="W925" s="944">
        <f>PV_DATA[[#This Row],[QUANTITY]]/36</f>
        <v>130</v>
      </c>
      <c r="X925" s="1017">
        <f>PV_DATA[[#This Row],[QUANTITY]]/PV_DATA[[#This Row],[Qty/CT]]</f>
        <v>5</v>
      </c>
      <c r="Y925" s="462" t="s">
        <v>4376</v>
      </c>
      <c r="Z925" s="462" t="str">
        <f t="shared" si="12"/>
        <v>COMPLETED</v>
      </c>
      <c r="AA925" s="1042">
        <v>46252</v>
      </c>
      <c r="AB925" s="713">
        <v>46251</v>
      </c>
      <c r="AC925" s="937">
        <f>IF(PV_DATA[[#This Row],[Pick-Up Date]]&lt;&gt;"",_xlfn.ISOWEEKNUM(PV_DATA[[#This Row],[Pick-Up Date]]),"")</f>
        <v>34</v>
      </c>
      <c r="AD925" s="462" t="s">
        <v>6235</v>
      </c>
      <c r="AE925" s="462" t="s">
        <v>6235</v>
      </c>
      <c r="AF925" s="935" t="s">
        <v>5864</v>
      </c>
      <c r="AG925" s="462" t="s">
        <v>123</v>
      </c>
      <c r="AH925" s="462" t="s">
        <v>456</v>
      </c>
      <c r="AI925" s="713">
        <v>46258</v>
      </c>
      <c r="AJ925" s="713"/>
      <c r="AK925" s="713">
        <f>IFERROR(IF(VLOOKUP(AT925,Vessel!A:F,5,FALSE)=0,"",VLOOKUP(AT925,Vessel!A:F,5,FALSE)),"")</f>
        <v>46257.983877314815</v>
      </c>
      <c r="AL925" s="1080">
        <v>46299</v>
      </c>
      <c r="AM925" s="939">
        <f>IFERROR(VLOOKUP(AT925, Vessel!A:H, 8, FALSE), "")</f>
        <v>46299.166666666664</v>
      </c>
      <c r="AN925" s="939">
        <v>46299</v>
      </c>
      <c r="AP925" s="462" t="s">
        <v>6053</v>
      </c>
      <c r="AQ925" s="940" t="s">
        <v>80</v>
      </c>
      <c r="AR925" s="462" t="s">
        <v>6236</v>
      </c>
      <c r="AS925" s="462" t="s">
        <v>6237</v>
      </c>
      <c r="AT925" s="462" t="s">
        <v>6237</v>
      </c>
      <c r="AU92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41.01612268518511</v>
      </c>
      <c r="AW925" s="713" cm="1">
        <f t="array" ref="AW92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46299</v>
      </c>
      <c r="AX92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25" s="713">
        <f>IF(ISERROR(PV_DATA[[#This Row],[New Ark PO status]]),"",_xlfn.XLOOKUP(PV_DATA[[#This Row],[SPTN-PVHK New Ark PO'#]],New_Ark_Data[Purchase order Number],New_Ark_Data[Estimated time of arrival],"",0))</f>
        <v>46294</v>
      </c>
      <c r="AZ925" s="936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25" s="713">
        <f>IFERROR(PV_DATA[[#This Row],[ODP ETA Port]]+PV_DATA[[#This Row],[Customs/Leg3 Assumption]],"n/a")</f>
        <v>46299</v>
      </c>
      <c r="BB925" s="936">
        <f>YEAR(PV_DATA[[#This Row],[ETA for New Ark update]])</f>
        <v>2026</v>
      </c>
      <c r="BC925" s="462">
        <f>MONTH(PV_DATA[[#This Row],[ETA for New Ark update]])</f>
        <v>10</v>
      </c>
      <c r="BD925" s="462">
        <f>IFERROR(_xlfn.ISOWEEKNUM(PV_DATA[[#This Row],[ETA for New Ark update]]),0)</f>
        <v>40</v>
      </c>
      <c r="BE925" s="462">
        <f>_xlfn.XLOOKUP(PV_DATA[[#This Row],[New Ark SKU]],Table9[New Ark SKU],Table9[Total PCS per Pallet],,0)</f>
        <v>36</v>
      </c>
      <c r="BF925" s="462">
        <f>_xlfn.XLOOKUP(PV_DATA[[#This Row],[New Ark SKU]],Table9[New Ark SKU],Table9[Total PCS per 40HQ Container],,0)</f>
        <v>936</v>
      </c>
      <c r="BG925" s="462" t="str">
        <f>_xlfn.XLOOKUP(PV_DATA[[#This Row],[New Ark SKU]],Table9[New Ark SKU],Table9[Back Glass],,0)</f>
        <v>Black glazing</v>
      </c>
      <c r="BH925" s="938" t="str">
        <f>_xlfn.XLOOKUP(PV_DATA[[#This Row],[PORT DESTINATION]],Table12[PORT DESTINATION],Table12[Cosco Line],,0)</f>
        <v>AEU</v>
      </c>
    </row>
    <row r="926" spans="1:62" s="462" customFormat="1" ht="10.5" hidden="1">
      <c r="A926" s="462" t="s">
        <v>6238</v>
      </c>
      <c r="B926" s="462" t="s">
        <v>111</v>
      </c>
      <c r="C926" s="462" t="str">
        <f>IFERROR(LEFT(PV_DATA[[#This Row],[TCL REFERENCE]],FIND(".",PV_DATA[[#This Row],[TCL REFERENCE]],1)-1),"Main Line")</f>
        <v>26Jun015</v>
      </c>
      <c r="D926" s="462" t="s">
        <v>63</v>
      </c>
      <c r="E926" s="462" t="s">
        <v>144</v>
      </c>
      <c r="F926" s="462" t="str" cm="1">
        <f t="array" ref="F926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26" s="462" t="s">
        <v>402</v>
      </c>
      <c r="H926" s="462" t="s">
        <v>1080</v>
      </c>
      <c r="I926" s="462" t="s">
        <v>689</v>
      </c>
      <c r="J926" s="462" t="s">
        <v>1080</v>
      </c>
      <c r="K926" s="462" t="s">
        <v>5408</v>
      </c>
      <c r="L926" s="462">
        <v>3</v>
      </c>
      <c r="M926" s="462" t="s">
        <v>4976</v>
      </c>
      <c r="N926" s="712">
        <v>46202</v>
      </c>
      <c r="O926" s="462" t="s">
        <v>5388</v>
      </c>
      <c r="P926" s="462" t="s">
        <v>5409</v>
      </c>
      <c r="Q926" s="462" t="s">
        <v>5410</v>
      </c>
      <c r="R926" s="430" t="str">
        <f>_xlfn.XLOOKUP(PV_DATA[[#This Row],[New Ark SKU]],Table9[New Ark SKU],Table9[Connector],,0)</f>
        <v>EVO2A</v>
      </c>
      <c r="S926" s="433" t="str">
        <f>_xlfn.XLOOKUP(PV_DATA[[#This Row],[New Ark SKU]],Table9[New Ark SKU],Table9[Cable],,0)</f>
        <v>±1200mm</v>
      </c>
      <c r="T926" s="936">
        <v>465</v>
      </c>
      <c r="U926" s="1069">
        <v>1872</v>
      </c>
      <c r="V926" s="458">
        <f>PV_DATA[[#This Row],[QUANTITY]]*PV_DATA[[#This Row],[WATT]]/1000000</f>
        <v>0.87048000000000003</v>
      </c>
      <c r="W926" s="714">
        <f>PV_DATA[[#This Row],[QUANTITY]]/PV_DATA[[#This Row],[Qty/Pallet]]</f>
        <v>52</v>
      </c>
      <c r="X926" s="1017">
        <f>PV_DATA[[#This Row],[QUANTITY]]/PV_DATA[[#This Row],[Qty/CT]]</f>
        <v>2</v>
      </c>
      <c r="Y926" s="462" t="s">
        <v>4376</v>
      </c>
      <c r="Z926" s="462" t="str">
        <f t="shared" si="12"/>
        <v>COMPLETED</v>
      </c>
      <c r="AA926" s="462" t="s">
        <v>5862</v>
      </c>
      <c r="AB926" s="713">
        <v>46250</v>
      </c>
      <c r="AC926" s="937">
        <f>IF(PV_DATA[[#This Row],[Pick-Up Date]]&lt;&gt;"",_xlfn.ISOWEEKNUM(PV_DATA[[#This Row],[Pick-Up Date]]),"")</f>
        <v>33</v>
      </c>
      <c r="AD926" s="462" t="s">
        <v>6239</v>
      </c>
      <c r="AE926" s="462" t="s">
        <v>6239</v>
      </c>
      <c r="AF926" s="462" t="s">
        <v>122</v>
      </c>
      <c r="AG926" s="462" t="s">
        <v>123</v>
      </c>
      <c r="AH926" s="462" t="s">
        <v>105</v>
      </c>
      <c r="AI926" s="713">
        <v>46256</v>
      </c>
      <c r="AJ926" s="713"/>
      <c r="AK926" s="713">
        <f>IFERROR(IF(VLOOKUP(AT926,Vessel!A:F,5,FALSE)=0,"",VLOOKUP(AT926,Vessel!A:F,5,FALSE)),"")</f>
        <v>46256.416493055556</v>
      </c>
      <c r="AL926" s="713">
        <v>46305</v>
      </c>
      <c r="AM926" s="939">
        <f>IFERROR(VLOOKUP(AT926, Vessel!A:H, 8, FALSE), "")</f>
        <v>46306.791666666664</v>
      </c>
      <c r="AN926" s="939">
        <f>IFERROR(IF(VLOOKUP(AT926,Vessel!A:I,9,FALSE)=0,"",VLOOKUP(AT926,Vessel!A:I,9,FALSE)),"")</f>
        <v>46306.860671296294</v>
      </c>
      <c r="AP926" s="462" t="s">
        <v>6240</v>
      </c>
      <c r="AQ926" s="462" t="s">
        <v>80</v>
      </c>
      <c r="AR926" s="462" t="s">
        <v>6241</v>
      </c>
      <c r="AS926" s="462" t="s">
        <v>6242</v>
      </c>
      <c r="AT926" s="462" t="s">
        <v>6242</v>
      </c>
      <c r="AU92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50.444178240737529</v>
      </c>
      <c r="AW926" s="713" cm="1">
        <f t="array" ref="AW92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46306.860671296294</v>
      </c>
      <c r="AX92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26" s="713">
        <f>IF(ISERROR(PV_DATA[[#This Row],[New Ark PO status]]),"",_xlfn.XLOOKUP(PV_DATA[[#This Row],[SPTN-PVHK New Ark PO'#]],New_Ark_Data[Purchase order Number],New_Ark_Data[Estimated time of arrival],"",0))</f>
        <v>46305</v>
      </c>
      <c r="AZ926" s="936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26" s="713">
        <f>IFERROR(PV_DATA[[#This Row],[ODP ETA Port]]+PV_DATA[[#This Row],[Customs/Leg3 Assumption]],"n/a")</f>
        <v>46306.860671296294</v>
      </c>
      <c r="BB926" s="936">
        <f>YEAR(PV_DATA[[#This Row],[ETA for New Ark update]])</f>
        <v>2026</v>
      </c>
      <c r="BC926" s="462">
        <f>MONTH(PV_DATA[[#This Row],[ETA for New Ark update]])</f>
        <v>10</v>
      </c>
      <c r="BD926" s="462">
        <f>IFERROR(_xlfn.ISOWEEKNUM(PV_DATA[[#This Row],[ETA for New Ark update]]),0)</f>
        <v>41</v>
      </c>
      <c r="BE926" s="462">
        <f>_xlfn.XLOOKUP(PV_DATA[[#This Row],[New Ark SKU]],Table9[New Ark SKU],Table9[Total PCS per Pallet],,0)</f>
        <v>36</v>
      </c>
      <c r="BF926" s="462">
        <f>_xlfn.XLOOKUP(PV_DATA[[#This Row],[New Ark SKU]],Table9[New Ark SKU],Table9[Total PCS per 40HQ Container],,0)</f>
        <v>936</v>
      </c>
      <c r="BG926" s="462" t="str">
        <f>_xlfn.XLOOKUP(PV_DATA[[#This Row],[New Ark SKU]],Table9[New Ark SKU],Table9[Back Glass],,0)</f>
        <v>Black glazing</v>
      </c>
      <c r="BH926" s="462" t="str">
        <f>_xlfn.XLOOKUP(PV_DATA[[#This Row],[PORT DESTINATION]],Table12[PORT DESTINATION],Table12[Cosco Line],,0)</f>
        <v>AEU</v>
      </c>
    </row>
    <row r="927" spans="1:62" s="462" customFormat="1" ht="10.5" hidden="1">
      <c r="A927" s="941" t="s">
        <v>6243</v>
      </c>
      <c r="B927" s="935" t="s">
        <v>111</v>
      </c>
      <c r="C927" s="462" t="str">
        <f>IFERROR(LEFT(PV_DATA[[#This Row],[TCL REFERENCE]],FIND(".",PV_DATA[[#This Row],[TCL REFERENCE]],1)-1),"Main Line")</f>
        <v>26Aug010</v>
      </c>
      <c r="D927" s="935" t="s">
        <v>113</v>
      </c>
      <c r="E927" s="462" t="s">
        <v>144</v>
      </c>
      <c r="F927" s="935" t="str" cm="1">
        <f t="array" ref="F92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27" s="462" t="s">
        <v>402</v>
      </c>
      <c r="H927" s="462" t="s">
        <v>670</v>
      </c>
      <c r="I927" s="462" t="s">
        <v>6244</v>
      </c>
      <c r="J927" s="462" t="s">
        <v>670</v>
      </c>
      <c r="K927" s="462" t="s">
        <v>5901</v>
      </c>
      <c r="L927" s="935">
        <v>16</v>
      </c>
      <c r="M927" s="462" t="s">
        <v>4976</v>
      </c>
      <c r="N927" s="1043"/>
      <c r="O927" s="935" t="s">
        <v>4540</v>
      </c>
      <c r="P927" s="935" t="s">
        <v>6245</v>
      </c>
      <c r="Q927" s="935" t="s">
        <v>330</v>
      </c>
      <c r="R927" s="430" t="str">
        <f>_xlfn.XLOOKUP(PV_DATA[[#This Row],[New Ark SKU]],Table9[New Ark SKU],Table9[Connector],,0)</f>
        <v>H4(Com)</v>
      </c>
      <c r="S927" s="433" t="str">
        <f>_xlfn.XLOOKUP(PV_DATA[[#This Row],[New Ark SKU]],Table9[New Ark SKU],Table9[Cable],,0)</f>
        <v>+400mm/-200mm</v>
      </c>
      <c r="T927" s="942">
        <v>625</v>
      </c>
      <c r="U927" s="1072">
        <v>4320</v>
      </c>
      <c r="V927" s="943">
        <f>PV_DATA[[#This Row],[QUANTITY]]*PV_DATA[[#This Row],[WATT]]/1000000</f>
        <v>2.7</v>
      </c>
      <c r="W927" s="714">
        <f>PV_DATA[[#This Row],[QUANTITY]]/36</f>
        <v>120</v>
      </c>
      <c r="X927" s="1115">
        <f>PV_DATA[[#This Row],[QUANTITY]]/PV_DATA[[#This Row],[Qty/CT]]</f>
        <v>6</v>
      </c>
      <c r="Y927" s="462" t="s">
        <v>6246</v>
      </c>
      <c r="Z927" s="462" t="str">
        <f t="shared" si="12"/>
        <v>COMPLETED</v>
      </c>
      <c r="AA927" s="1039">
        <v>46251</v>
      </c>
      <c r="AB927" s="959">
        <v>46250</v>
      </c>
      <c r="AC927" s="1040">
        <f>IF(PV_DATA[[#This Row],[Pick-Up Date]]&lt;&gt;"",_xlfn.ISOWEEKNUM(PV_DATA[[#This Row],[Pick-Up Date]]),"")</f>
        <v>33</v>
      </c>
      <c r="AD927" s="935" t="s">
        <v>6247</v>
      </c>
      <c r="AE927" s="935" t="s">
        <v>6247</v>
      </c>
      <c r="AF927" s="935" t="s">
        <v>122</v>
      </c>
      <c r="AG927" s="935" t="s">
        <v>122</v>
      </c>
      <c r="AH927" s="462" t="s">
        <v>105</v>
      </c>
      <c r="AI927" s="713">
        <v>46256</v>
      </c>
      <c r="AJ927" s="713"/>
      <c r="AK927" s="713">
        <f>IFERROR(IF(VLOOKUP(AT927,Vessel!A:F,5,FALSE)=0,"",VLOOKUP(AT927,Vessel!A:F,5,FALSE)),"")</f>
        <v>46256.416493055556</v>
      </c>
      <c r="AL927" s="713">
        <v>46305</v>
      </c>
      <c r="AM927" s="939">
        <f>IFERROR(VLOOKUP(AT927, Vessel!A:H, 8, FALSE), "")</f>
        <v>46306.791666666664</v>
      </c>
      <c r="AN927" s="939">
        <f>IFERROR(IF(VLOOKUP(AT927,Vessel!A:I,9,FALSE)=0,"",VLOOKUP(AT927,Vessel!A:I,9,FALSE)),"")</f>
        <v>46306.860671296294</v>
      </c>
      <c r="AO927" s="935"/>
      <c r="AP927" s="462" t="s">
        <v>6240</v>
      </c>
      <c r="AQ927" s="958" t="s">
        <v>80</v>
      </c>
      <c r="AR927" s="462" t="s">
        <v>6248</v>
      </c>
      <c r="AS927" s="462" t="s">
        <v>6249</v>
      </c>
      <c r="AT927" s="462" t="s">
        <v>6242</v>
      </c>
      <c r="AU92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50.444178240737529</v>
      </c>
      <c r="AV927" s="935"/>
      <c r="AW927" s="959" cm="1">
        <f t="array" ref="AW92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46306.860671296294</v>
      </c>
      <c r="AX92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27" s="959">
        <f>IF(ISERROR(PV_DATA[[#This Row],[New Ark PO status]]),"",_xlfn.XLOOKUP(PV_DATA[[#This Row],[SPTN-PVHK New Ark PO'#]],New_Ark_Data[Purchase order Number],New_Ark_Data[Estimated time of arrival],"",0))</f>
        <v>46305</v>
      </c>
      <c r="AZ927" s="9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27" s="959">
        <f>IFERROR(PV_DATA[[#This Row],[ODP ETA Port]]+PV_DATA[[#This Row],[Customs/Leg3 Assumption]],"n/a")</f>
        <v>46306.860671296294</v>
      </c>
      <c r="BB927" s="942">
        <f>YEAR(PV_DATA[[#This Row],[ETA for New Ark update]])</f>
        <v>2026</v>
      </c>
      <c r="BC927" s="935">
        <f>MONTH(PV_DATA[[#This Row],[ETA for New Ark update]])</f>
        <v>10</v>
      </c>
      <c r="BD927" s="935">
        <f>IFERROR(_xlfn.ISOWEEKNUM(PV_DATA[[#This Row],[ETA for New Ark update]]),0)</f>
        <v>41</v>
      </c>
      <c r="BE927" s="935">
        <f>_xlfn.XLOOKUP(PV_DATA[[#This Row],[New Ark SKU]],Table9[New Ark SKU],Table9[Total PCS per Pallet],,0)</f>
        <v>36</v>
      </c>
      <c r="BF927" s="935">
        <f>_xlfn.XLOOKUP(PV_DATA[[#This Row],[New Ark SKU]],Table9[New Ark SKU],Table9[Total PCS per 40HQ Container],,0)</f>
        <v>720</v>
      </c>
      <c r="BG927" s="935" t="str">
        <f>_xlfn.XLOOKUP(PV_DATA[[#This Row],[New Ark SKU]],Table9[New Ark SKU],Table9[Back Glass],,0)</f>
        <v>Redirection Film</v>
      </c>
      <c r="BH927" s="1041" t="str">
        <f>_xlfn.XLOOKUP(PV_DATA[[#This Row],[PORT DESTINATION]],Table12[PORT DESTINATION],Table12[Cosco Line],,0)</f>
        <v>AEU</v>
      </c>
    </row>
    <row r="928" spans="1:62" ht="10.5" hidden="1">
      <c r="A928" s="462" t="s">
        <v>6250</v>
      </c>
      <c r="B928" s="462" t="s">
        <v>111</v>
      </c>
      <c r="C928" s="462" t="str">
        <f>IFERROR(LEFT(PV_DATA[[#This Row],[TCL REFERENCE]],FIND(".",PV_DATA[[#This Row],[TCL REFERENCE]],1)-1),"Main Line")</f>
        <v>26May011</v>
      </c>
      <c r="D928" s="462" t="s">
        <v>63</v>
      </c>
      <c r="E928" s="462" t="s">
        <v>64</v>
      </c>
      <c r="F928" s="462" t="str" cm="1">
        <f t="array" ref="F92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28" s="462" t="s">
        <v>402</v>
      </c>
      <c r="H928" s="462" t="s">
        <v>67</v>
      </c>
      <c r="I928" s="462" t="s">
        <v>869</v>
      </c>
      <c r="J928" s="430" t="s">
        <v>96</v>
      </c>
      <c r="K928" s="430"/>
      <c r="L928" s="430"/>
      <c r="M928" s="430" t="s">
        <v>68</v>
      </c>
      <c r="N928" s="432">
        <v>46167</v>
      </c>
      <c r="O928" s="459" t="s">
        <v>4540</v>
      </c>
      <c r="P928" s="430" t="s">
        <v>4601</v>
      </c>
      <c r="Q928" s="430" t="s">
        <v>330</v>
      </c>
      <c r="R928" s="430" t="str">
        <f>_xlfn.XLOOKUP(PV_DATA[[#This Row],[New Ark SKU]],Table9[New Ark SKU],Table9[Connector],,0)</f>
        <v>H4(Com)</v>
      </c>
      <c r="S928" s="433" t="str">
        <f>_xlfn.XLOOKUP(PV_DATA[[#This Row],[New Ark SKU]],Table9[New Ark SKU],Table9[Cable],,0)</f>
        <v>+400mm/-200mm</v>
      </c>
      <c r="T928" s="433">
        <v>625</v>
      </c>
      <c r="U928" s="1062">
        <f>720*1</f>
        <v>720</v>
      </c>
      <c r="V928" s="544">
        <f>PV_DATA[[#This Row],[QUANTITY]]*PV_DATA[[#This Row],[WATT]]/1000000</f>
        <v>0.45</v>
      </c>
      <c r="W928" s="435">
        <f>PV_DATA[[#This Row],[QUANTITY]]/PV_DATA[[#This Row],[Qty/Pallet]]</f>
        <v>20</v>
      </c>
      <c r="X928" s="1015">
        <f>PV_DATA[[#This Row],[QUANTITY]]/PV_DATA[[#This Row],[Qty/CT]]</f>
        <v>1</v>
      </c>
      <c r="Y928" s="430" t="s">
        <v>4369</v>
      </c>
      <c r="Z928" s="430" t="str">
        <f t="shared" si="12"/>
        <v>COMPLETED</v>
      </c>
      <c r="AA928" s="430" t="s">
        <v>5403</v>
      </c>
      <c r="AB928" s="437">
        <v>46255</v>
      </c>
      <c r="AC928" s="485">
        <f>IF(PV_DATA[[#This Row],[Pick-Up Date]]&lt;&gt;"",_xlfn.ISOWEEKNUM(PV_DATA[[#This Row],[Pick-Up Date]]),"")</f>
        <v>34</v>
      </c>
      <c r="AD928" s="430" t="s">
        <v>6251</v>
      </c>
      <c r="AE928" s="430"/>
      <c r="AF928" s="430" t="s">
        <v>122</v>
      </c>
      <c r="AG928" s="430" t="s">
        <v>123</v>
      </c>
      <c r="AH928" s="430" t="s">
        <v>105</v>
      </c>
      <c r="AI928" s="713">
        <v>46257</v>
      </c>
      <c r="AJ928" s="437">
        <v>46261</v>
      </c>
      <c r="AK928" s="437">
        <v>46259</v>
      </c>
      <c r="AL928" s="437">
        <v>46298</v>
      </c>
      <c r="AM928" s="437">
        <v>46308</v>
      </c>
      <c r="AN928" s="437">
        <v>46308</v>
      </c>
      <c r="AP928" s="430" t="s">
        <v>632</v>
      </c>
      <c r="AQ928" s="1044" t="s">
        <v>161</v>
      </c>
      <c r="AR928" s="430" t="s">
        <v>6252</v>
      </c>
      <c r="AS928" s="430" t="s">
        <v>6253</v>
      </c>
      <c r="AT928" s="430" t="s">
        <v>6254</v>
      </c>
      <c r="AU92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V928" s="437"/>
      <c r="AW928" s="437" cm="1">
        <f t="array" ref="AW92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</v>
      </c>
      <c r="AX92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28" s="437">
        <f>IF(ISERROR(PV_DATA[[#This Row],[New Ark PO status]]),"",_xlfn.XLOOKUP(PV_DATA[[#This Row],[SPTN-PVHK New Ark PO'#]],New_Ark_Data[Purchase order Number],New_Ark_Data[Estimated time of arrival],"",0))</f>
        <v>46305</v>
      </c>
      <c r="AZ928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28" s="437">
        <f>IFERROR(PV_DATA[[#This Row],[ODP ETA Port]]+PV_DATA[[#This Row],[Customs/Leg3 Assumption]],"n/a")</f>
        <v>46315</v>
      </c>
      <c r="BB928" s="433">
        <f>YEAR(PV_DATA[[#This Row],[ETA for New Ark update]])</f>
        <v>2026</v>
      </c>
      <c r="BC928" s="430">
        <f>MONTH(PV_DATA[[#This Row],[ETA for New Ark update]])</f>
        <v>10</v>
      </c>
      <c r="BD928" s="430">
        <f>IFERROR(_xlfn.ISOWEEKNUM(PV_DATA[[#This Row],[ETA for New Ark update]]),0)</f>
        <v>43</v>
      </c>
      <c r="BE928" s="430">
        <f>_xlfn.XLOOKUP(PV_DATA[[#This Row],[New Ark SKU]],Table9[New Ark SKU],Table9[Total PCS per Pallet],,0)</f>
        <v>36</v>
      </c>
      <c r="BF928" s="430">
        <f>_xlfn.XLOOKUP(PV_DATA[[#This Row],[New Ark SKU]],Table9[New Ark SKU],Table9[Total PCS per 40HQ Container],,0)</f>
        <v>720</v>
      </c>
      <c r="BG928" s="430" t="str">
        <f>_xlfn.XLOOKUP(PV_DATA[[#This Row],[New Ark SKU]],Table9[New Ark SKU],Table9[Back Glass],,0)</f>
        <v>Transparent</v>
      </c>
      <c r="BH928" s="430" t="str">
        <f>_xlfn.XLOOKUP(PV_DATA[[#This Row],[PORT DESTINATION]],Table12[PORT DESTINATION],Table12[Cosco Line],,0)</f>
        <v>AEU</v>
      </c>
      <c r="BJ928" s="430"/>
    </row>
    <row r="929" spans="1:62" ht="10.5" hidden="1">
      <c r="A929" s="462" t="s">
        <v>6255</v>
      </c>
      <c r="B929" s="462" t="s">
        <v>111</v>
      </c>
      <c r="C929" s="462" t="str">
        <f>IFERROR(LEFT(PV_DATA[[#This Row],[TCL REFERENCE]],FIND(".",PV_DATA[[#This Row],[TCL REFERENCE]],1)-1),"Main Line")</f>
        <v>26Jul002</v>
      </c>
      <c r="D929" s="462" t="s">
        <v>63</v>
      </c>
      <c r="E929" s="462" t="s">
        <v>64</v>
      </c>
      <c r="F929" s="462" t="str" cm="1">
        <f t="array" ref="F92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29" s="462" t="s">
        <v>402</v>
      </c>
      <c r="H929" s="462" t="s">
        <v>67</v>
      </c>
      <c r="I929" s="462" t="s">
        <v>689</v>
      </c>
      <c r="J929" s="430" t="s">
        <v>96</v>
      </c>
      <c r="K929" s="430"/>
      <c r="L929" s="430"/>
      <c r="M929" s="430" t="s">
        <v>68</v>
      </c>
      <c r="N929" s="432">
        <v>46209</v>
      </c>
      <c r="O929" s="430" t="s">
        <v>550</v>
      </c>
      <c r="P929" s="430" t="s">
        <v>2134</v>
      </c>
      <c r="Q929" s="430" t="s">
        <v>2135</v>
      </c>
      <c r="R929" s="430" t="str">
        <f>_xlfn.XLOOKUP(PV_DATA[[#This Row],[New Ark SKU]],Table9[New Ark SKU],Table9[Connector],,0)</f>
        <v>EVO2A</v>
      </c>
      <c r="S929" s="433" t="str">
        <f>_xlfn.XLOOKUP(PV_DATA[[#This Row],[New Ark SKU]],Table9[New Ark SKU],Table9[Cable],,0)</f>
        <v>±1350mm</v>
      </c>
      <c r="T929" s="433">
        <v>515</v>
      </c>
      <c r="U929" s="1062">
        <f>792*1</f>
        <v>792</v>
      </c>
      <c r="V929" s="434">
        <f>PV_DATA[[#This Row],[QUANTITY]]*PV_DATA[[#This Row],[WATT]]/1000000</f>
        <v>0.40788000000000002</v>
      </c>
      <c r="W929" s="435">
        <f>PV_DATA[[#This Row],[QUANTITY]]/PV_DATA[[#This Row],[Qty/Pallet]]</f>
        <v>22</v>
      </c>
      <c r="X929" s="1015">
        <f>PV_DATA[[#This Row],[QUANTITY]]/PV_DATA[[#This Row],[Qty/CT]]</f>
        <v>1</v>
      </c>
      <c r="Y929" s="436" t="s">
        <v>4376</v>
      </c>
      <c r="Z929" s="430" t="str">
        <f t="shared" si="12"/>
        <v>COMPLETED</v>
      </c>
      <c r="AA929" s="430" t="s">
        <v>5862</v>
      </c>
      <c r="AB929" s="437">
        <v>46255</v>
      </c>
      <c r="AC929" s="485">
        <f>IF(PV_DATA[[#This Row],[Pick-Up Date]]&lt;&gt;"",_xlfn.ISOWEEKNUM(PV_DATA[[#This Row],[Pick-Up Date]]),"")</f>
        <v>34</v>
      </c>
      <c r="AD929" s="430" t="s">
        <v>6256</v>
      </c>
      <c r="AE929" s="430"/>
      <c r="AF929" s="430" t="s">
        <v>122</v>
      </c>
      <c r="AG929" s="430" t="s">
        <v>123</v>
      </c>
      <c r="AH929" s="430" t="s">
        <v>105</v>
      </c>
      <c r="AI929" s="713">
        <v>46257</v>
      </c>
      <c r="AJ929" s="437">
        <v>46261</v>
      </c>
      <c r="AK929" s="437">
        <v>46259</v>
      </c>
      <c r="AL929" s="1078">
        <v>46298</v>
      </c>
      <c r="AM929" s="1013">
        <v>46308</v>
      </c>
      <c r="AN929" s="437">
        <v>46308</v>
      </c>
      <c r="AP929" s="430" t="s">
        <v>632</v>
      </c>
      <c r="AQ929" s="1044" t="s">
        <v>161</v>
      </c>
      <c r="AR929" s="430" t="s">
        <v>6252</v>
      </c>
      <c r="AS929" s="430" t="s">
        <v>6253</v>
      </c>
      <c r="AT929" s="430" t="s">
        <v>6257</v>
      </c>
      <c r="AU92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W929" s="437" cm="1">
        <f t="array" ref="AW92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</v>
      </c>
      <c r="AX92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29" s="437">
        <f>IF(ISERROR(PV_DATA[[#This Row],[New Ark PO status]]),"",_xlfn.XLOOKUP(PV_DATA[[#This Row],[SPTN-PVHK New Ark PO'#]],New_Ark_Data[Purchase order Number],New_Ark_Data[Estimated time of arrival],"",0))</f>
        <v>46304</v>
      </c>
      <c r="AZ929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29" s="437">
        <f>IFERROR(PV_DATA[[#This Row],[ODP ETA Port]]+PV_DATA[[#This Row],[Customs/Leg3 Assumption]],"n/a")</f>
        <v>46315</v>
      </c>
      <c r="BB929" s="433">
        <f>YEAR(PV_DATA[[#This Row],[ETA for New Ark update]])</f>
        <v>2026</v>
      </c>
      <c r="BC929" s="430">
        <f>MONTH(PV_DATA[[#This Row],[ETA for New Ark update]])</f>
        <v>10</v>
      </c>
      <c r="BD929" s="430">
        <f>IFERROR(_xlfn.ISOWEEKNUM(PV_DATA[[#This Row],[ETA for New Ark update]]),0)</f>
        <v>43</v>
      </c>
      <c r="BE929" s="430">
        <f>_xlfn.XLOOKUP(PV_DATA[[#This Row],[New Ark SKU]],Table9[New Ark SKU],Table9[Total PCS per Pallet],,0)</f>
        <v>36</v>
      </c>
      <c r="BF929" s="430">
        <f>_xlfn.XLOOKUP(PV_DATA[[#This Row],[New Ark SKU]],Table9[New Ark SKU],Table9[Total PCS per 40HQ Container],,0)</f>
        <v>792</v>
      </c>
      <c r="BG929" s="430" t="str">
        <f>_xlfn.XLOOKUP(PV_DATA[[#This Row],[New Ark SKU]],Table9[New Ark SKU],Table9[Back Glass],,0)</f>
        <v>Black glazing</v>
      </c>
      <c r="BH929" s="430" t="str">
        <f>_xlfn.XLOOKUP(PV_DATA[[#This Row],[PORT DESTINATION]],Table12[PORT DESTINATION],Table12[Cosco Line],,0)</f>
        <v>AEU</v>
      </c>
      <c r="BJ929" s="430"/>
    </row>
    <row r="930" spans="1:62" s="462" customFormat="1" ht="10.5" hidden="1">
      <c r="A930" s="941" t="s">
        <v>6258</v>
      </c>
      <c r="B930" s="935" t="s">
        <v>1757</v>
      </c>
      <c r="C930" s="935" t="str">
        <f>IFERROR(LEFT(PV_DATA[[#This Row],[TCL REFERENCE]],FIND(".",PV_DATA[[#This Row],[TCL REFERENCE]],1)-1),"Main Line")</f>
        <v>26Jul017</v>
      </c>
      <c r="D930" s="462" t="s">
        <v>63</v>
      </c>
      <c r="E930" s="462" t="s">
        <v>64</v>
      </c>
      <c r="F930" s="935" t="str" cm="1">
        <f t="array" ref="F93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30" s="462" t="s">
        <v>402</v>
      </c>
      <c r="H930" s="462" t="s">
        <v>67</v>
      </c>
      <c r="I930" s="462" t="s">
        <v>882</v>
      </c>
      <c r="J930" s="462" t="s">
        <v>96</v>
      </c>
      <c r="K930" s="935"/>
      <c r="L930" s="935"/>
      <c r="M930" s="462" t="s">
        <v>68</v>
      </c>
      <c r="N930" s="712">
        <v>46230</v>
      </c>
      <c r="O930" s="462" t="s">
        <v>284</v>
      </c>
      <c r="P930" s="935" t="s">
        <v>5860</v>
      </c>
      <c r="Q930" s="935" t="s">
        <v>5861</v>
      </c>
      <c r="R930" s="430" t="str">
        <f>_xlfn.XLOOKUP(PV_DATA[[#This Row],[New Ark SKU]],Table9[New Ark SKU],Table9[Connector],,0)</f>
        <v>EVO2A</v>
      </c>
      <c r="S930" s="433" t="str">
        <f>_xlfn.XLOOKUP(PV_DATA[[#This Row],[New Ark SKU]],Table9[New Ark SKU],Table9[Cable],,0)</f>
        <v>±1200mm</v>
      </c>
      <c r="T930" s="942">
        <v>485</v>
      </c>
      <c r="U930" s="1072">
        <v>2808</v>
      </c>
      <c r="V930" s="1045">
        <f>PV_DATA[[#This Row],[QUANTITY]]*PV_DATA[[#This Row],[WATT]]/1000000</f>
        <v>1.36188</v>
      </c>
      <c r="W930" s="1046">
        <f>PV_DATA[[#This Row],[QUANTITY]]/36</f>
        <v>78</v>
      </c>
      <c r="X930" s="1017">
        <f>PV_DATA[[#This Row],[QUANTITY]]/PV_DATA[[#This Row],[Qty/CT]]</f>
        <v>3</v>
      </c>
      <c r="Y930" s="462" t="s">
        <v>4375</v>
      </c>
      <c r="Z930" s="462" t="str">
        <f t="shared" si="12"/>
        <v>COMPLETED</v>
      </c>
      <c r="AA930" s="1039">
        <v>46251</v>
      </c>
      <c r="AB930" s="959">
        <v>46253</v>
      </c>
      <c r="AC930" s="1040">
        <f>IF(PV_DATA[[#This Row],[Pick-Up Date]]&lt;&gt;"",_xlfn.ISOWEEKNUM(PV_DATA[[#This Row],[Pick-Up Date]]),"")</f>
        <v>34</v>
      </c>
      <c r="AD930" s="935" t="s">
        <v>6259</v>
      </c>
      <c r="AE930" s="935" t="s">
        <v>6259</v>
      </c>
      <c r="AF930" s="462" t="s">
        <v>5864</v>
      </c>
      <c r="AG930" s="462" t="s">
        <v>123</v>
      </c>
      <c r="AH930" s="462" t="s">
        <v>105</v>
      </c>
      <c r="AI930" s="959">
        <v>46257</v>
      </c>
      <c r="AJ930" s="959">
        <v>46259</v>
      </c>
      <c r="AK930" s="437">
        <v>46259</v>
      </c>
      <c r="AL930" s="1080">
        <v>46298</v>
      </c>
      <c r="AM930" s="1080">
        <v>46308</v>
      </c>
      <c r="AN930" s="437">
        <v>46308</v>
      </c>
      <c r="AO930" s="935"/>
      <c r="AP930" s="462" t="s">
        <v>6260</v>
      </c>
      <c r="AQ930" s="462" t="s">
        <v>161</v>
      </c>
      <c r="AR930" s="462" t="s">
        <v>6261</v>
      </c>
      <c r="AS930" s="462" t="s">
        <v>6262</v>
      </c>
      <c r="AT930" s="462" t="s">
        <v>6262</v>
      </c>
      <c r="AU93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V930" s="935"/>
      <c r="AW930" s="959" cm="1">
        <f t="array" ref="AW93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</v>
      </c>
      <c r="AX93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30" s="959">
        <f>IF(ISERROR(PV_DATA[[#This Row],[New Ark PO status]]),"",_xlfn.XLOOKUP(PV_DATA[[#This Row],[SPTN-PVHK New Ark PO'#]],New_Ark_Data[Purchase order Number],New_Ark_Data[Estimated time of arrival],"",0))</f>
        <v>46305</v>
      </c>
      <c r="AZ930" s="9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30" s="959">
        <f>IFERROR(PV_DATA[[#This Row],[ODP ETA Port]]+PV_DATA[[#This Row],[Customs/Leg3 Assumption]],"n/a")</f>
        <v>46315</v>
      </c>
      <c r="BB930" s="942">
        <f>YEAR(PV_DATA[[#This Row],[ETA for New Ark update]])</f>
        <v>2026</v>
      </c>
      <c r="BC930" s="935">
        <f>MONTH(PV_DATA[[#This Row],[ETA for New Ark update]])</f>
        <v>10</v>
      </c>
      <c r="BD930" s="935">
        <f>IFERROR(_xlfn.ISOWEEKNUM(PV_DATA[[#This Row],[ETA for New Ark update]]),0)</f>
        <v>43</v>
      </c>
      <c r="BE930" s="935">
        <f>_xlfn.XLOOKUP(PV_DATA[[#This Row],[New Ark SKU]],Table9[New Ark SKU],Table9[Total PCS per Pallet],,0)</f>
        <v>36</v>
      </c>
      <c r="BF930" s="935">
        <f>_xlfn.XLOOKUP(PV_DATA[[#This Row],[New Ark SKU]],Table9[New Ark SKU],Table9[Total PCS per 40HQ Container],,0)</f>
        <v>936</v>
      </c>
      <c r="BG930" s="462" t="str">
        <f>_xlfn.XLOOKUP(PV_DATA[[#This Row],[New Ark SKU]],Table9[New Ark SKU],Table9[Back Glass],,0)</f>
        <v>Black glazing</v>
      </c>
      <c r="BH930" s="1041" t="str">
        <f>_xlfn.XLOOKUP(PV_DATA[[#This Row],[PORT DESTINATION]],Table12[PORT DESTINATION],Table12[Cosco Line],,0)</f>
        <v>AEU</v>
      </c>
    </row>
    <row r="931" spans="1:62" s="462" customFormat="1" ht="10.5" hidden="1">
      <c r="A931" s="729" t="s">
        <v>6263</v>
      </c>
      <c r="B931" s="462" t="s">
        <v>1757</v>
      </c>
      <c r="C931" s="462" t="str">
        <f>IFERROR(LEFT(PV_DATA[[#This Row],[TCL REFERENCE]],FIND(".",PV_DATA[[#This Row],[TCL REFERENCE]],1)-1),"Main Line")</f>
        <v>26Aug007</v>
      </c>
      <c r="D931" s="462" t="s">
        <v>63</v>
      </c>
      <c r="E931" s="462" t="s">
        <v>64</v>
      </c>
      <c r="F931" s="935" t="str" cm="1">
        <f t="array" ref="F93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31" s="462" t="s">
        <v>402</v>
      </c>
      <c r="H931" s="462" t="s">
        <v>67</v>
      </c>
      <c r="I931" s="462" t="s">
        <v>1395</v>
      </c>
      <c r="J931" s="462" t="s">
        <v>96</v>
      </c>
      <c r="M931" s="462" t="s">
        <v>68</v>
      </c>
      <c r="N931" s="712" t="s">
        <v>6212</v>
      </c>
      <c r="O931" s="462" t="s">
        <v>284</v>
      </c>
      <c r="P931" s="462" t="s">
        <v>5860</v>
      </c>
      <c r="Q931" s="462" t="s">
        <v>5861</v>
      </c>
      <c r="R931" s="430" t="str">
        <f>_xlfn.XLOOKUP(PV_DATA[[#This Row],[New Ark SKU]],Table9[New Ark SKU],Table9[Connector],,0)</f>
        <v>EVO2A</v>
      </c>
      <c r="S931" s="433" t="str">
        <f>_xlfn.XLOOKUP(PV_DATA[[#This Row],[New Ark SKU]],Table9[New Ark SKU],Table9[Cable],,0)</f>
        <v>±1200mm</v>
      </c>
      <c r="T931" s="936">
        <v>485</v>
      </c>
      <c r="U931" s="1069">
        <v>1872</v>
      </c>
      <c r="V931" s="1047">
        <f>PV_DATA[[#This Row],[QUANTITY]]*PV_DATA[[#This Row],[WATT]]/1000000</f>
        <v>0.90791999999999995</v>
      </c>
      <c r="W931" s="1046">
        <f>PV_DATA[[#This Row],[QUANTITY]]/36</f>
        <v>52</v>
      </c>
      <c r="X931" s="1017">
        <f>PV_DATA[[#This Row],[QUANTITY]]/PV_DATA[[#This Row],[Qty/CT]]</f>
        <v>2</v>
      </c>
      <c r="Y931" s="462" t="s">
        <v>4374</v>
      </c>
      <c r="Z931" s="462" t="str">
        <f t="shared" si="12"/>
        <v>COMPLETED</v>
      </c>
      <c r="AA931" s="1042">
        <v>46250</v>
      </c>
      <c r="AB931" s="959">
        <v>46253</v>
      </c>
      <c r="AC931" s="937">
        <f>IF(PV_DATA[[#This Row],[Pick-Up Date]]&lt;&gt;"",_xlfn.ISOWEEKNUM(PV_DATA[[#This Row],[Pick-Up Date]]),"")</f>
        <v>34</v>
      </c>
      <c r="AD931" s="462" t="s">
        <v>6264</v>
      </c>
      <c r="AE931" s="462" t="s">
        <v>6264</v>
      </c>
      <c r="AF931" s="462" t="s">
        <v>5864</v>
      </c>
      <c r="AG931" s="462" t="s">
        <v>123</v>
      </c>
      <c r="AH931" s="462" t="s">
        <v>105</v>
      </c>
      <c r="AI931" s="713">
        <v>46257</v>
      </c>
      <c r="AJ931" s="959">
        <v>46259</v>
      </c>
      <c r="AK931" s="437">
        <v>46259</v>
      </c>
      <c r="AL931" s="1080">
        <v>46298</v>
      </c>
      <c r="AM931" s="1080">
        <v>46308</v>
      </c>
      <c r="AN931" s="437">
        <v>46308</v>
      </c>
      <c r="AP931" s="462" t="s">
        <v>6260</v>
      </c>
      <c r="AQ931" s="940" t="s">
        <v>161</v>
      </c>
      <c r="AR931" s="462" t="s">
        <v>6261</v>
      </c>
      <c r="AS931" s="462" t="s">
        <v>6262</v>
      </c>
      <c r="AT931" s="462" t="s">
        <v>6262</v>
      </c>
      <c r="AU93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W931" s="713" cm="1">
        <f t="array" ref="AW93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</v>
      </c>
      <c r="AX93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31" s="713">
        <f>IF(ISERROR(PV_DATA[[#This Row],[New Ark PO status]]),"",_xlfn.XLOOKUP(PV_DATA[[#This Row],[SPTN-PVHK New Ark PO'#]],New_Ark_Data[Purchase order Number],New_Ark_Data[Estimated time of arrival],"",0))</f>
        <v>46305</v>
      </c>
      <c r="AZ931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31" s="713">
        <f>IFERROR(PV_DATA[[#This Row],[ODP ETA Port]]+PV_DATA[[#This Row],[Customs/Leg3 Assumption]],"n/a")</f>
        <v>46315</v>
      </c>
      <c r="BB931" s="936">
        <f>YEAR(PV_DATA[[#This Row],[ETA for New Ark update]])</f>
        <v>2026</v>
      </c>
      <c r="BC931" s="462">
        <f>MONTH(PV_DATA[[#This Row],[ETA for New Ark update]])</f>
        <v>10</v>
      </c>
      <c r="BD931" s="462">
        <f>IFERROR(_xlfn.ISOWEEKNUM(PV_DATA[[#This Row],[ETA for New Ark update]]),0)</f>
        <v>43</v>
      </c>
      <c r="BE931" s="462">
        <f>_xlfn.XLOOKUP(PV_DATA[[#This Row],[New Ark SKU]],Table9[New Ark SKU],Table9[Total PCS per Pallet],,0)</f>
        <v>36</v>
      </c>
      <c r="BF931" s="462">
        <f>_xlfn.XLOOKUP(PV_DATA[[#This Row],[New Ark SKU]],Table9[New Ark SKU],Table9[Total PCS per 40HQ Container],,0)</f>
        <v>936</v>
      </c>
      <c r="BG931" s="462" t="str">
        <f>_xlfn.XLOOKUP(PV_DATA[[#This Row],[New Ark SKU]],Table9[New Ark SKU],Table9[Back Glass],,0)</f>
        <v>Black glazing</v>
      </c>
      <c r="BH931" s="938" t="str">
        <f>_xlfn.XLOOKUP(PV_DATA[[#This Row],[PORT DESTINATION]],Table12[PORT DESTINATION],Table12[Cosco Line],,0)</f>
        <v>AEU</v>
      </c>
    </row>
    <row r="932" spans="1:62" s="462" customFormat="1" ht="10.5" hidden="1">
      <c r="A932" s="941" t="s">
        <v>6265</v>
      </c>
      <c r="B932" s="935" t="s">
        <v>1757</v>
      </c>
      <c r="C932" s="462" t="str">
        <f>IFERROR(LEFT(PV_DATA[[#This Row],[TCL REFERENCE]],FIND(".",PV_DATA[[#This Row],[TCL REFERENCE]],1)-1),"Main Line")</f>
        <v>26Aug007</v>
      </c>
      <c r="D932" s="462" t="s">
        <v>63</v>
      </c>
      <c r="E932" s="462" t="s">
        <v>64</v>
      </c>
      <c r="F932" s="462" t="str" cm="1">
        <f t="array" ref="F93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32" s="462" t="s">
        <v>402</v>
      </c>
      <c r="H932" s="462" t="s">
        <v>67</v>
      </c>
      <c r="I932" s="462" t="s">
        <v>1395</v>
      </c>
      <c r="J932" s="462" t="s">
        <v>96</v>
      </c>
      <c r="M932" s="462" t="s">
        <v>68</v>
      </c>
      <c r="N932" s="712">
        <v>46230</v>
      </c>
      <c r="O932" s="462" t="s">
        <v>284</v>
      </c>
      <c r="P932" s="935" t="s">
        <v>5860</v>
      </c>
      <c r="Q932" s="935" t="s">
        <v>5861</v>
      </c>
      <c r="R932" s="430" t="str">
        <f>_xlfn.XLOOKUP(PV_DATA[[#This Row],[New Ark SKU]],Table9[New Ark SKU],Table9[Connector],,0)</f>
        <v>EVO2A</v>
      </c>
      <c r="S932" s="433" t="str">
        <f>_xlfn.XLOOKUP(PV_DATA[[#This Row],[New Ark SKU]],Table9[New Ark SKU],Table9[Cable],,0)</f>
        <v>±1200mm</v>
      </c>
      <c r="T932" s="942">
        <v>485</v>
      </c>
      <c r="U932" s="1072">
        <v>2808</v>
      </c>
      <c r="V932" s="1047">
        <f>PV_DATA[[#This Row],[QUANTITY]]*PV_DATA[[#This Row],[WATT]]/1000000</f>
        <v>1.36188</v>
      </c>
      <c r="W932" s="1048">
        <f>PV_DATA[[#This Row],[QUANTITY]]/PV_DATA[[#This Row],[Qty/Pallet]]</f>
        <v>78</v>
      </c>
      <c r="X932" s="1017">
        <f>PV_DATA[[#This Row],[QUANTITY]]/PV_DATA[[#This Row],[Qty/CT]]</f>
        <v>3</v>
      </c>
      <c r="Y932" s="462" t="s">
        <v>4374</v>
      </c>
      <c r="Z932" s="462" t="str">
        <f t="shared" si="12"/>
        <v>COMPLETED</v>
      </c>
      <c r="AA932" s="1039">
        <v>46249</v>
      </c>
      <c r="AB932" s="959">
        <v>46253</v>
      </c>
      <c r="AC932" s="937">
        <f>IF(PV_DATA[[#This Row],[Pick-Up Date]]&lt;&gt;"",_xlfn.ISOWEEKNUM(PV_DATA[[#This Row],[Pick-Up Date]]),"")</f>
        <v>34</v>
      </c>
      <c r="AD932" s="462" t="s">
        <v>6266</v>
      </c>
      <c r="AE932" s="462" t="s">
        <v>6266</v>
      </c>
      <c r="AF932" s="462" t="s">
        <v>5864</v>
      </c>
      <c r="AG932" s="462" t="s">
        <v>123</v>
      </c>
      <c r="AH932" s="462" t="s">
        <v>105</v>
      </c>
      <c r="AI932" s="713">
        <v>46257</v>
      </c>
      <c r="AJ932" s="959">
        <v>46259</v>
      </c>
      <c r="AK932" s="437">
        <v>46259</v>
      </c>
      <c r="AL932" s="1080">
        <v>46298</v>
      </c>
      <c r="AM932" s="1080">
        <v>46308</v>
      </c>
      <c r="AN932" s="437">
        <v>46308</v>
      </c>
      <c r="AP932" s="462" t="s">
        <v>6260</v>
      </c>
      <c r="AQ932" s="940" t="s">
        <v>161</v>
      </c>
      <c r="AR932" s="462" t="s">
        <v>6261</v>
      </c>
      <c r="AS932" s="462" t="s">
        <v>6262</v>
      </c>
      <c r="AT932" s="462" t="s">
        <v>6267</v>
      </c>
      <c r="AU93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W932" s="713" cm="1">
        <f t="array" ref="AW93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</v>
      </c>
      <c r="AX93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32" s="713">
        <f>IF(ISERROR(PV_DATA[[#This Row],[New Ark PO status]]),"",_xlfn.XLOOKUP(PV_DATA[[#This Row],[SPTN-PVHK New Ark PO'#]],New_Ark_Data[Purchase order Number],New_Ark_Data[Estimated time of arrival],"",0))</f>
        <v>46305</v>
      </c>
      <c r="AZ932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32" s="713">
        <f>IFERROR(PV_DATA[[#This Row],[ODP ETA Port]]+PV_DATA[[#This Row],[Customs/Leg3 Assumption]],"n/a")</f>
        <v>46315</v>
      </c>
      <c r="BB932" s="936">
        <f>YEAR(PV_DATA[[#This Row],[ETA for New Ark update]])</f>
        <v>2026</v>
      </c>
      <c r="BC932" s="462">
        <f>MONTH(PV_DATA[[#This Row],[ETA for New Ark update]])</f>
        <v>10</v>
      </c>
      <c r="BD932" s="462">
        <f>IFERROR(_xlfn.ISOWEEKNUM(PV_DATA[[#This Row],[ETA for New Ark update]]),0)</f>
        <v>43</v>
      </c>
      <c r="BE932" s="462">
        <f>_xlfn.XLOOKUP(PV_DATA[[#This Row],[New Ark SKU]],Table9[New Ark SKU],Table9[Total PCS per Pallet],,0)</f>
        <v>36</v>
      </c>
      <c r="BF932" s="462">
        <f>_xlfn.XLOOKUP(PV_DATA[[#This Row],[New Ark SKU]],Table9[New Ark SKU],Table9[Total PCS per 40HQ Container],,0)</f>
        <v>936</v>
      </c>
      <c r="BG932" s="462" t="str">
        <f>_xlfn.XLOOKUP(PV_DATA[[#This Row],[New Ark SKU]],Table9[New Ark SKU],Table9[Back Glass],,0)</f>
        <v>Black glazing</v>
      </c>
      <c r="BH932" s="938" t="str">
        <f>_xlfn.XLOOKUP(PV_DATA[[#This Row],[PORT DESTINATION]],Table12[PORT DESTINATION],Table12[Cosco Line],,0)</f>
        <v>AEU</v>
      </c>
    </row>
    <row r="933" spans="1:62" s="462" customFormat="1" ht="10.5" hidden="1">
      <c r="A933" s="729" t="s">
        <v>6268</v>
      </c>
      <c r="B933" s="462" t="s">
        <v>1757</v>
      </c>
      <c r="C933" s="462" t="str">
        <f>IFERROR(LEFT(PV_DATA[[#This Row],[TCL REFERENCE]],FIND(".",PV_DATA[[#This Row],[TCL REFERENCE]],1)-1),"Main Line")</f>
        <v>26Aug007</v>
      </c>
      <c r="D933" s="462" t="s">
        <v>63</v>
      </c>
      <c r="E933" s="462" t="s">
        <v>64</v>
      </c>
      <c r="F933" s="935" t="str" cm="1">
        <f t="array" ref="F93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33" s="462" t="s">
        <v>402</v>
      </c>
      <c r="H933" s="462" t="s">
        <v>67</v>
      </c>
      <c r="I933" s="462" t="s">
        <v>1395</v>
      </c>
      <c r="J933" s="462" t="s">
        <v>96</v>
      </c>
      <c r="M933" s="462" t="s">
        <v>68</v>
      </c>
      <c r="N933" s="712" t="s">
        <v>6212</v>
      </c>
      <c r="O933" s="462" t="s">
        <v>284</v>
      </c>
      <c r="P933" s="462" t="s">
        <v>5860</v>
      </c>
      <c r="Q933" s="462" t="s">
        <v>5861</v>
      </c>
      <c r="R933" s="430" t="str">
        <f>_xlfn.XLOOKUP(PV_DATA[[#This Row],[New Ark SKU]],Table9[New Ark SKU],Table9[Connector],,0)</f>
        <v>EVO2A</v>
      </c>
      <c r="S933" s="433" t="str">
        <f>_xlfn.XLOOKUP(PV_DATA[[#This Row],[New Ark SKU]],Table9[New Ark SKU],Table9[Cable],,0)</f>
        <v>±1200mm</v>
      </c>
      <c r="T933" s="936">
        <v>485</v>
      </c>
      <c r="U933" s="1069">
        <v>1872</v>
      </c>
      <c r="V933" s="1047">
        <f>PV_DATA[[#This Row],[QUANTITY]]*PV_DATA[[#This Row],[WATT]]/1000000</f>
        <v>0.90791999999999995</v>
      </c>
      <c r="W933" s="1046">
        <f>PV_DATA[[#This Row],[QUANTITY]]/36</f>
        <v>52</v>
      </c>
      <c r="X933" s="1017">
        <f>PV_DATA[[#This Row],[QUANTITY]]/PV_DATA[[#This Row],[Qty/CT]]</f>
        <v>2</v>
      </c>
      <c r="Y933" s="462" t="s">
        <v>4374</v>
      </c>
      <c r="Z933" s="462" t="str">
        <f t="shared" si="12"/>
        <v>COMPLETED</v>
      </c>
      <c r="AA933" s="1042">
        <v>46250</v>
      </c>
      <c r="AB933" s="959">
        <v>46253</v>
      </c>
      <c r="AC933" s="937">
        <f>IF(PV_DATA[[#This Row],[Pick-Up Date]]&lt;&gt;"",_xlfn.ISOWEEKNUM(PV_DATA[[#This Row],[Pick-Up Date]]),"")</f>
        <v>34</v>
      </c>
      <c r="AD933" s="462" t="s">
        <v>6269</v>
      </c>
      <c r="AE933" s="462" t="s">
        <v>6269</v>
      </c>
      <c r="AF933" s="462" t="s">
        <v>5864</v>
      </c>
      <c r="AG933" s="462" t="s">
        <v>123</v>
      </c>
      <c r="AH933" s="462" t="s">
        <v>105</v>
      </c>
      <c r="AI933" s="713">
        <v>46257</v>
      </c>
      <c r="AJ933" s="959">
        <v>46259</v>
      </c>
      <c r="AK933" s="437">
        <v>46259</v>
      </c>
      <c r="AL933" s="1080">
        <v>46298</v>
      </c>
      <c r="AM933" s="1080">
        <v>46308</v>
      </c>
      <c r="AN933" s="437">
        <v>46308</v>
      </c>
      <c r="AP933" s="462" t="s">
        <v>6260</v>
      </c>
      <c r="AQ933" s="940" t="s">
        <v>161</v>
      </c>
      <c r="AR933" s="462" t="s">
        <v>6261</v>
      </c>
      <c r="AS933" s="462" t="s">
        <v>6262</v>
      </c>
      <c r="AT933" s="462" t="s">
        <v>6267</v>
      </c>
      <c r="AU93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W933" s="713" cm="1">
        <f t="array" ref="AW93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</v>
      </c>
      <c r="AX93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33" s="713">
        <f>IF(ISERROR(PV_DATA[[#This Row],[New Ark PO status]]),"",_xlfn.XLOOKUP(PV_DATA[[#This Row],[SPTN-PVHK New Ark PO'#]],New_Ark_Data[Purchase order Number],New_Ark_Data[Estimated time of arrival],"",0))</f>
        <v>46305</v>
      </c>
      <c r="AZ933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33" s="713">
        <f>IFERROR(PV_DATA[[#This Row],[ODP ETA Port]]+PV_DATA[[#This Row],[Customs/Leg3 Assumption]],"n/a")</f>
        <v>46315</v>
      </c>
      <c r="BB933" s="936">
        <f>YEAR(PV_DATA[[#This Row],[ETA for New Ark update]])</f>
        <v>2026</v>
      </c>
      <c r="BC933" s="462">
        <f>MONTH(PV_DATA[[#This Row],[ETA for New Ark update]])</f>
        <v>10</v>
      </c>
      <c r="BD933" s="462">
        <f>IFERROR(_xlfn.ISOWEEKNUM(PV_DATA[[#This Row],[ETA for New Ark update]]),0)</f>
        <v>43</v>
      </c>
      <c r="BE933" s="462">
        <f>_xlfn.XLOOKUP(PV_DATA[[#This Row],[New Ark SKU]],Table9[New Ark SKU],Table9[Total PCS per Pallet],,0)</f>
        <v>36</v>
      </c>
      <c r="BF933" s="462">
        <f>_xlfn.XLOOKUP(PV_DATA[[#This Row],[New Ark SKU]],Table9[New Ark SKU],Table9[Total PCS per 40HQ Container],,0)</f>
        <v>936</v>
      </c>
      <c r="BG933" s="462" t="str">
        <f>_xlfn.XLOOKUP(PV_DATA[[#This Row],[New Ark SKU]],Table9[New Ark SKU],Table9[Back Glass],,0)</f>
        <v>Black glazing</v>
      </c>
      <c r="BH933" s="938" t="str">
        <f>_xlfn.XLOOKUP(PV_DATA[[#This Row],[PORT DESTINATION]],Table12[PORT DESTINATION],Table12[Cosco Line],,0)</f>
        <v>AEU</v>
      </c>
    </row>
    <row r="934" spans="1:62" s="462" customFormat="1" ht="10.5" hidden="1">
      <c r="A934" s="941" t="s">
        <v>6270</v>
      </c>
      <c r="B934" s="935" t="s">
        <v>111</v>
      </c>
      <c r="C934" s="462" t="str">
        <f>IFERROR(LEFT(PV_DATA[[#This Row],[TCL REFERENCE]],FIND(".",PV_DATA[[#This Row],[TCL REFERENCE]],1)-1),"Main Line")</f>
        <v>26Aug010</v>
      </c>
      <c r="D934" s="935" t="s">
        <v>113</v>
      </c>
      <c r="E934" s="462" t="s">
        <v>144</v>
      </c>
      <c r="F934" s="935" t="str" cm="1">
        <f t="array" ref="F93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34" s="462" t="s">
        <v>402</v>
      </c>
      <c r="H934" s="462" t="s">
        <v>670</v>
      </c>
      <c r="I934" s="462" t="s">
        <v>6244</v>
      </c>
      <c r="J934" s="462" t="s">
        <v>670</v>
      </c>
      <c r="K934" s="462" t="s">
        <v>5901</v>
      </c>
      <c r="L934" s="935">
        <v>10</v>
      </c>
      <c r="M934" s="462" t="s">
        <v>4976</v>
      </c>
      <c r="N934" s="1043"/>
      <c r="O934" s="935" t="s">
        <v>4540</v>
      </c>
      <c r="P934" s="935" t="s">
        <v>6245</v>
      </c>
      <c r="Q934" s="935" t="s">
        <v>330</v>
      </c>
      <c r="R934" s="430" t="str">
        <f>_xlfn.XLOOKUP(PV_DATA[[#This Row],[New Ark SKU]],Table9[New Ark SKU],Table9[Connector],,0)</f>
        <v>H4(Com)</v>
      </c>
      <c r="S934" s="433" t="str">
        <f>_xlfn.XLOOKUP(PV_DATA[[#This Row],[New Ark SKU]],Table9[New Ark SKU],Table9[Cable],,0)</f>
        <v>+400mm/-200mm</v>
      </c>
      <c r="T934" s="942">
        <v>625</v>
      </c>
      <c r="U934" s="1072">
        <f>720*5</f>
        <v>3600</v>
      </c>
      <c r="V934" s="943">
        <f>PV_DATA[[#This Row],[QUANTITY]]*PV_DATA[[#This Row],[WATT]]/1000000</f>
        <v>2.25</v>
      </c>
      <c r="W934" s="714">
        <f>PV_DATA[[#This Row],[QUANTITY]]/36</f>
        <v>100</v>
      </c>
      <c r="X934" s="1115">
        <f>PV_DATA[[#This Row],[QUANTITY]]/PV_DATA[[#This Row],[Qty/CT]]</f>
        <v>5</v>
      </c>
      <c r="Y934" s="462" t="s">
        <v>6271</v>
      </c>
      <c r="Z934" s="462" t="str">
        <f t="shared" si="12"/>
        <v>COMPLETED</v>
      </c>
      <c r="AA934" s="1039">
        <v>46251</v>
      </c>
      <c r="AB934" s="959">
        <v>46253</v>
      </c>
      <c r="AC934" s="1040">
        <f>IF(PV_DATA[[#This Row],[Pick-Up Date]]&lt;&gt;"",_xlfn.ISOWEEKNUM(PV_DATA[[#This Row],[Pick-Up Date]]),"")</f>
        <v>34</v>
      </c>
      <c r="AD934" s="935" t="s">
        <v>6272</v>
      </c>
      <c r="AE934" s="935" t="s">
        <v>6272</v>
      </c>
      <c r="AF934" s="935" t="s">
        <v>122</v>
      </c>
      <c r="AG934" s="935" t="s">
        <v>122</v>
      </c>
      <c r="AH934" s="462" t="s">
        <v>105</v>
      </c>
      <c r="AI934" s="959">
        <v>46257</v>
      </c>
      <c r="AJ934" s="713">
        <v>46259</v>
      </c>
      <c r="AK934" s="437">
        <v>46259</v>
      </c>
      <c r="AL934" s="959">
        <v>46298</v>
      </c>
      <c r="AM934" s="1080">
        <v>46308</v>
      </c>
      <c r="AN934" s="437">
        <v>46308</v>
      </c>
      <c r="AO934" s="935"/>
      <c r="AP934" s="935" t="s">
        <v>6260</v>
      </c>
      <c r="AQ934" s="958" t="s">
        <v>161</v>
      </c>
      <c r="AR934" s="935" t="s">
        <v>6273</v>
      </c>
      <c r="AS934" s="935" t="s">
        <v>6274</v>
      </c>
      <c r="AT934" s="462" t="s">
        <v>6274</v>
      </c>
      <c r="AU93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V934" s="935"/>
      <c r="AW934" s="959" cm="1">
        <f t="array" ref="AW93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</v>
      </c>
      <c r="AX93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34" s="959">
        <f>IF(ISERROR(PV_DATA[[#This Row],[New Ark PO status]]),"",_xlfn.XLOOKUP(PV_DATA[[#This Row],[SPTN-PVHK New Ark PO'#]],New_Ark_Data[Purchase order Number],New_Ark_Data[Estimated time of arrival],"",0))</f>
        <v>46298</v>
      </c>
      <c r="AZ934" s="9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34" s="959">
        <f>IFERROR(PV_DATA[[#This Row],[ODP ETA Port]]+PV_DATA[[#This Row],[Customs/Leg3 Assumption]],"n/a")</f>
        <v>46308</v>
      </c>
      <c r="BB934" s="942">
        <f>YEAR(PV_DATA[[#This Row],[ETA for New Ark update]])</f>
        <v>2026</v>
      </c>
      <c r="BC934" s="935">
        <f>MONTH(PV_DATA[[#This Row],[ETA for New Ark update]])</f>
        <v>10</v>
      </c>
      <c r="BD934" s="935">
        <f>IFERROR(_xlfn.ISOWEEKNUM(PV_DATA[[#This Row],[ETA for New Ark update]]),0)</f>
        <v>42</v>
      </c>
      <c r="BE934" s="935">
        <f>_xlfn.XLOOKUP(PV_DATA[[#This Row],[New Ark SKU]],Table9[New Ark SKU],Table9[Total PCS per Pallet],,0)</f>
        <v>36</v>
      </c>
      <c r="BF934" s="935">
        <f>_xlfn.XLOOKUP(PV_DATA[[#This Row],[New Ark SKU]],Table9[New Ark SKU],Table9[Total PCS per 40HQ Container],,0)</f>
        <v>720</v>
      </c>
      <c r="BG934" s="935" t="str">
        <f>_xlfn.XLOOKUP(PV_DATA[[#This Row],[New Ark SKU]],Table9[New Ark SKU],Table9[Back Glass],,0)</f>
        <v>Redirection Film</v>
      </c>
      <c r="BH934" s="1041" t="str">
        <f>_xlfn.XLOOKUP(PV_DATA[[#This Row],[PORT DESTINATION]],Table12[PORT DESTINATION],Table12[Cosco Line],,0)</f>
        <v>AEU</v>
      </c>
    </row>
    <row r="935" spans="1:62" s="462" customFormat="1" ht="10.5" hidden="1">
      <c r="A935" s="941" t="s">
        <v>6275</v>
      </c>
      <c r="B935" s="935" t="s">
        <v>111</v>
      </c>
      <c r="C935" s="462" t="str">
        <f>IFERROR(LEFT(PV_DATA[[#This Row],[TCL REFERENCE]],FIND(".",PV_DATA[[#This Row],[TCL REFERENCE]],1)-1),"Main Line")</f>
        <v>26Aug010</v>
      </c>
      <c r="D935" s="935" t="s">
        <v>113</v>
      </c>
      <c r="E935" s="462" t="s">
        <v>144</v>
      </c>
      <c r="F935" s="935" t="str" cm="1">
        <f t="array" ref="F93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35" s="462" t="s">
        <v>402</v>
      </c>
      <c r="H935" s="462" t="s">
        <v>670</v>
      </c>
      <c r="I935" s="462" t="s">
        <v>6244</v>
      </c>
      <c r="J935" s="462" t="s">
        <v>670</v>
      </c>
      <c r="K935" s="462" t="s">
        <v>6276</v>
      </c>
      <c r="L935" s="935">
        <v>11</v>
      </c>
      <c r="M935" s="462" t="s">
        <v>4976</v>
      </c>
      <c r="N935" s="1043"/>
      <c r="O935" s="935" t="s">
        <v>4540</v>
      </c>
      <c r="P935" s="935" t="s">
        <v>6245</v>
      </c>
      <c r="Q935" s="935" t="s">
        <v>330</v>
      </c>
      <c r="R935" s="430" t="str">
        <f>_xlfn.XLOOKUP(PV_DATA[[#This Row],[New Ark SKU]],Table9[New Ark SKU],Table9[Connector],,0)</f>
        <v>H4(Com)</v>
      </c>
      <c r="S935" s="433" t="str">
        <f>_xlfn.XLOOKUP(PV_DATA[[#This Row],[New Ark SKU]],Table9[New Ark SKU],Table9[Cable],,0)</f>
        <v>+400mm/-200mm</v>
      </c>
      <c r="T935" s="942">
        <v>625</v>
      </c>
      <c r="U935" s="1072">
        <f>720*5</f>
        <v>3600</v>
      </c>
      <c r="V935" s="943">
        <f>PV_DATA[[#This Row],[QUANTITY]]*PV_DATA[[#This Row],[WATT]]/1000000</f>
        <v>2.25</v>
      </c>
      <c r="W935" s="714">
        <f>PV_DATA[[#This Row],[QUANTITY]]/36</f>
        <v>100</v>
      </c>
      <c r="X935" s="1115">
        <f>PV_DATA[[#This Row],[QUANTITY]]/PV_DATA[[#This Row],[Qty/CT]]</f>
        <v>5</v>
      </c>
      <c r="Y935" s="462" t="s">
        <v>6271</v>
      </c>
      <c r="Z935" s="462" t="str">
        <f t="shared" si="12"/>
        <v>COMPLETED</v>
      </c>
      <c r="AA935" s="1039">
        <v>46251</v>
      </c>
      <c r="AB935" s="959">
        <v>46254</v>
      </c>
      <c r="AC935" s="1040">
        <f>IF(PV_DATA[[#This Row],[Pick-Up Date]]&lt;&gt;"",_xlfn.ISOWEEKNUM(PV_DATA[[#This Row],[Pick-Up Date]]),"")</f>
        <v>34</v>
      </c>
      <c r="AD935" s="935" t="s">
        <v>6277</v>
      </c>
      <c r="AE935" s="935" t="s">
        <v>6277</v>
      </c>
      <c r="AF935" s="935" t="s">
        <v>122</v>
      </c>
      <c r="AG935" s="935" t="s">
        <v>122</v>
      </c>
      <c r="AH935" s="462" t="s">
        <v>105</v>
      </c>
      <c r="AI935" s="713">
        <v>46257</v>
      </c>
      <c r="AJ935" s="713">
        <v>46259</v>
      </c>
      <c r="AK935" s="437">
        <v>46259</v>
      </c>
      <c r="AL935" s="713">
        <v>46298</v>
      </c>
      <c r="AM935" s="1080">
        <v>46308</v>
      </c>
      <c r="AN935" s="437">
        <v>46308</v>
      </c>
      <c r="AP935" s="462" t="s">
        <v>632</v>
      </c>
      <c r="AQ935" s="958" t="s">
        <v>161</v>
      </c>
      <c r="AR935" s="462" t="s">
        <v>6273</v>
      </c>
      <c r="AS935" s="462" t="s">
        <v>6274</v>
      </c>
      <c r="AT935" s="462" t="s">
        <v>6278</v>
      </c>
      <c r="AU93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</v>
      </c>
      <c r="AW935" s="713" cm="1">
        <f t="array" ref="AW93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</v>
      </c>
      <c r="AX93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35" s="713">
        <f>IF(ISERROR(PV_DATA[[#This Row],[New Ark PO status]]),"",_xlfn.XLOOKUP(PV_DATA[[#This Row],[SPTN-PVHK New Ark PO'#]],New_Ark_Data[Purchase order Number],New_Ark_Data[Estimated time of arrival],"",0))</f>
        <v>46298</v>
      </c>
      <c r="AZ935" s="936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35" s="713">
        <f>IFERROR(PV_DATA[[#This Row],[ODP ETA Port]]+PV_DATA[[#This Row],[Customs/Leg3 Assumption]],"n/a")</f>
        <v>46308</v>
      </c>
      <c r="BB935" s="936">
        <f>YEAR(PV_DATA[[#This Row],[ETA for New Ark update]])</f>
        <v>2026</v>
      </c>
      <c r="BC935" s="462">
        <f>MONTH(PV_DATA[[#This Row],[ETA for New Ark update]])</f>
        <v>10</v>
      </c>
      <c r="BD935" s="462">
        <f>IFERROR(_xlfn.ISOWEEKNUM(PV_DATA[[#This Row],[ETA for New Ark update]]),0)</f>
        <v>42</v>
      </c>
      <c r="BE935" s="462">
        <f>_xlfn.XLOOKUP(PV_DATA[[#This Row],[New Ark SKU]],Table9[New Ark SKU],Table9[Total PCS per Pallet],,0)</f>
        <v>36</v>
      </c>
      <c r="BF935" s="462">
        <f>_xlfn.XLOOKUP(PV_DATA[[#This Row],[New Ark SKU]],Table9[New Ark SKU],Table9[Total PCS per 40HQ Container],,0)</f>
        <v>720</v>
      </c>
      <c r="BG935" s="462" t="str">
        <f>_xlfn.XLOOKUP(PV_DATA[[#This Row],[New Ark SKU]],Table9[New Ark SKU],Table9[Back Glass],,0)</f>
        <v>Redirection Film</v>
      </c>
      <c r="BH935" s="938" t="str">
        <f>_xlfn.XLOOKUP(PV_DATA[[#This Row],[PORT DESTINATION]],Table12[PORT DESTINATION],Table12[Cosco Line],,0)</f>
        <v>AEU</v>
      </c>
    </row>
    <row r="936" spans="1:62" ht="10.5" hidden="1">
      <c r="A936" s="462" t="s">
        <v>6279</v>
      </c>
      <c r="B936" s="462" t="s">
        <v>111</v>
      </c>
      <c r="C936" s="462" t="str">
        <f>IFERROR(LEFT(PV_DATA[[#This Row],[TCL REFERENCE]],FIND(".",PV_DATA[[#This Row],[TCL REFERENCE]],1)-1),"Main Line")</f>
        <v>26Jul003</v>
      </c>
      <c r="D936" s="462" t="s">
        <v>63</v>
      </c>
      <c r="E936" s="462" t="s">
        <v>64</v>
      </c>
      <c r="F936" s="462" t="str" cm="1">
        <f t="array" ref="F93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36" s="462" t="s">
        <v>402</v>
      </c>
      <c r="H936" s="462" t="s">
        <v>67</v>
      </c>
      <c r="I936" s="462" t="s">
        <v>689</v>
      </c>
      <c r="J936" s="430" t="s">
        <v>96</v>
      </c>
      <c r="K936" s="430"/>
      <c r="L936" s="430"/>
      <c r="M936" s="430" t="s">
        <v>68</v>
      </c>
      <c r="N936" s="432">
        <v>46223</v>
      </c>
      <c r="O936" s="430" t="s">
        <v>132</v>
      </c>
      <c r="P936" s="430" t="s">
        <v>189</v>
      </c>
      <c r="Q936" s="430" t="s">
        <v>190</v>
      </c>
      <c r="R936" s="430" t="str">
        <f>_xlfn.XLOOKUP(PV_DATA[[#This Row],[New Ark SKU]],Table9[New Ark SKU],Table9[Connector],,0)</f>
        <v>EVO2A</v>
      </c>
      <c r="S936" s="433" t="str">
        <f>_xlfn.XLOOKUP(PV_DATA[[#This Row],[New Ark SKU]],Table9[New Ark SKU],Table9[Cable],,0)</f>
        <v>±1200mm</v>
      </c>
      <c r="T936" s="433">
        <v>465</v>
      </c>
      <c r="U936" s="1062">
        <f>864*2</f>
        <v>1728</v>
      </c>
      <c r="V936" s="434">
        <f>PV_DATA[[#This Row],[QUANTITY]]*PV_DATA[[#This Row],[WATT]]/1000000</f>
        <v>0.80352000000000001</v>
      </c>
      <c r="W936" s="435">
        <f>PV_DATA[[#This Row],[QUANTITY]]/PV_DATA[[#This Row],[Qty/Pallet]]</f>
        <v>48</v>
      </c>
      <c r="X936" s="1015">
        <f>PV_DATA[[#This Row],[QUANTITY]]/PV_DATA[[#This Row],[Qty/CT]]</f>
        <v>2</v>
      </c>
      <c r="Y936" s="430" t="s">
        <v>4375</v>
      </c>
      <c r="Z936" s="430" t="str">
        <f t="shared" si="12"/>
        <v>IN-TRANSIT</v>
      </c>
      <c r="AA936" s="430"/>
      <c r="AB936" s="437">
        <v>46256</v>
      </c>
      <c r="AC936" s="485">
        <f>IF(PV_DATA[[#This Row],[Pick-Up Date]]&lt;&gt;"",_xlfn.ISOWEEKNUM(PV_DATA[[#This Row],[Pick-Up Date]]),"")</f>
        <v>34</v>
      </c>
      <c r="AD936" s="430" t="s">
        <v>6280</v>
      </c>
      <c r="AE936" s="430"/>
      <c r="AF936" s="430" t="s">
        <v>122</v>
      </c>
      <c r="AG936" s="430" t="s">
        <v>123</v>
      </c>
      <c r="AH936" s="430" t="s">
        <v>78</v>
      </c>
      <c r="AI936" s="713">
        <v>46264</v>
      </c>
      <c r="AJ936" s="437">
        <f>IFERROR(VLOOKUP(AT936, Vessel!A:D, 4, FALSE), "")</f>
        <v>46269.166666666664</v>
      </c>
      <c r="AK936" s="437">
        <f>IFERROR(IF(VLOOKUP(AT936,Vessel!A:F,5,FALSE)=0,"",VLOOKUP(AT936,Vessel!A:F,5,FALSE)),"")</f>
        <v>46269.097187500003</v>
      </c>
      <c r="AL936" s="437">
        <v>46314</v>
      </c>
      <c r="AM936" s="939">
        <f>IFERROR(VLOOKUP(AT936, Vessel!A:H, 8, FALSE), "")</f>
        <v>46330.916666666664</v>
      </c>
      <c r="AN936" s="939" t="str">
        <f>IFERROR(IF(VLOOKUP(AT936,Vessel!A:I,9,FALSE)=0,"",VLOOKUP(AT936,Vessel!A:I,9,FALSE)),"")</f>
        <v/>
      </c>
      <c r="AP936" s="430" t="s">
        <v>6281</v>
      </c>
      <c r="AQ936" s="438" t="s">
        <v>80</v>
      </c>
      <c r="AR936" s="430" t="s">
        <v>6282</v>
      </c>
      <c r="AS936" s="430" t="s">
        <v>6283</v>
      </c>
      <c r="AT936" s="430" t="s">
        <v>6283</v>
      </c>
      <c r="AU93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61.81947916666104</v>
      </c>
      <c r="AW936" s="437" cm="1">
        <f t="array" ref="AW93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46330.916666666664</v>
      </c>
      <c r="AX93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36" s="437">
        <f>IF(ISERROR(PV_DATA[[#This Row],[New Ark PO status]]),"",_xlfn.XLOOKUP(PV_DATA[[#This Row],[SPTN-PVHK New Ark PO'#]],New_Ark_Data[Purchase order Number],New_Ark_Data[Estimated time of arrival],"",0))</f>
        <v>46322</v>
      </c>
      <c r="AZ936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36" s="437">
        <f>IFERROR(PV_DATA[[#This Row],[ODP ETA Port]]+PV_DATA[[#This Row],[Customs/Leg3 Assumption]],"n/a")</f>
        <v>46338.916666666664</v>
      </c>
      <c r="BB936" s="433">
        <f>YEAR(PV_DATA[[#This Row],[ETA for New Ark update]])</f>
        <v>2026</v>
      </c>
      <c r="BC936" s="430">
        <f>MONTH(PV_DATA[[#This Row],[ETA for New Ark update]])</f>
        <v>11</v>
      </c>
      <c r="BD936" s="430">
        <f>IFERROR(_xlfn.ISOWEEKNUM(PV_DATA[[#This Row],[ETA for New Ark update]]),0)</f>
        <v>46</v>
      </c>
      <c r="BE936" s="430">
        <f>_xlfn.XLOOKUP(PV_DATA[[#This Row],[New Ark SKU]],Table9[New Ark SKU],Table9[Total PCS per Pallet],,0)</f>
        <v>36</v>
      </c>
      <c r="BF936" s="430">
        <f>_xlfn.XLOOKUP(PV_DATA[[#This Row],[New Ark SKU]],Table9[New Ark SKU],Table9[Total PCS per 40HQ Container],,0)</f>
        <v>864</v>
      </c>
      <c r="BG936" s="430" t="str">
        <f>_xlfn.XLOOKUP(PV_DATA[[#This Row],[New Ark SKU]],Table9[New Ark SKU],Table9[Back Glass],,0)</f>
        <v>White glazing</v>
      </c>
      <c r="BH936" s="430" t="str">
        <f>_xlfn.XLOOKUP(PV_DATA[[#This Row],[PORT DESTINATION]],Table12[PORT DESTINATION],Table12[Cosco Line],,0)</f>
        <v>AEM</v>
      </c>
      <c r="BJ936" s="430"/>
    </row>
    <row r="937" spans="1:62" ht="10.5" hidden="1">
      <c r="A937" s="462" t="s">
        <v>6284</v>
      </c>
      <c r="B937" s="462" t="s">
        <v>1757</v>
      </c>
      <c r="C937" s="462" t="str">
        <f>IFERROR(LEFT(PV_DATA[[#This Row],[TCL REFERENCE]],FIND(".",PV_DATA[[#This Row],[TCL REFERENCE]],1)-1),"Main Line")</f>
        <v>26Aug007</v>
      </c>
      <c r="D937" s="462" t="s">
        <v>63</v>
      </c>
      <c r="E937" s="462" t="s">
        <v>144</v>
      </c>
      <c r="F937" s="462" t="str" cm="1">
        <f t="array" ref="F93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37" s="462" t="s">
        <v>402</v>
      </c>
      <c r="H937" s="462" t="s">
        <v>6210</v>
      </c>
      <c r="I937" s="462" t="s">
        <v>1395</v>
      </c>
      <c r="J937" s="430" t="s">
        <v>6210</v>
      </c>
      <c r="K937" s="430" t="s">
        <v>6211</v>
      </c>
      <c r="L937" s="430">
        <v>5</v>
      </c>
      <c r="M937" s="430" t="s">
        <v>6285</v>
      </c>
      <c r="N937" s="432" t="s">
        <v>6212</v>
      </c>
      <c r="O937" s="430" t="s">
        <v>284</v>
      </c>
      <c r="P937" s="430" t="s">
        <v>5860</v>
      </c>
      <c r="Q937" s="430" t="s">
        <v>5861</v>
      </c>
      <c r="R937" s="430" t="str">
        <f>_xlfn.XLOOKUP(PV_DATA[[#This Row],[New Ark SKU]],Table9[New Ark SKU],Table9[Connector],,0)</f>
        <v>EVO2A</v>
      </c>
      <c r="S937" s="433" t="str">
        <f>_xlfn.XLOOKUP(PV_DATA[[#This Row],[New Ark SKU]],Table9[New Ark SKU],Table9[Cable],,0)</f>
        <v>±1200mm</v>
      </c>
      <c r="T937" s="433">
        <v>485</v>
      </c>
      <c r="U937" s="1062">
        <v>936</v>
      </c>
      <c r="V937" s="434">
        <f>PV_DATA[[#This Row],[QUANTITY]]*PV_DATA[[#This Row],[WATT]]/1000000</f>
        <v>0.45395999999999997</v>
      </c>
      <c r="W937" s="435">
        <f>PV_DATA[[#This Row],[QUANTITY]]/36</f>
        <v>26</v>
      </c>
      <c r="X937" s="1015">
        <f>PV_DATA[[#This Row],[QUANTITY]]/PV_DATA[[#This Row],[Qty/CT]]</f>
        <v>1</v>
      </c>
      <c r="Y937" s="430" t="s">
        <v>4376</v>
      </c>
      <c r="Z937" s="430" t="str">
        <f t="shared" si="12"/>
        <v>COMPLETED</v>
      </c>
      <c r="AA937" s="430" t="s">
        <v>5862</v>
      </c>
      <c r="AB937" s="1050">
        <v>46264</v>
      </c>
      <c r="AC937" s="485">
        <f>IF(PV_DATA[[#This Row],[Pick-Up Date]]&lt;&gt;"",_xlfn.ISOWEEKNUM(PV_DATA[[#This Row],[Pick-Up Date]]),"")</f>
        <v>35</v>
      </c>
      <c r="AD937" s="430" t="s">
        <v>6286</v>
      </c>
      <c r="AE937" s="430"/>
      <c r="AF937" s="430" t="s">
        <v>1525</v>
      </c>
      <c r="AG937" s="430" t="s">
        <v>6003</v>
      </c>
      <c r="AH937" s="430" t="s">
        <v>541</v>
      </c>
      <c r="AI937" s="437">
        <v>46253</v>
      </c>
      <c r="AJ937" s="437">
        <v>46268</v>
      </c>
      <c r="AK937" s="437">
        <f>IFERROR(IF(VLOOKUP(AT937,Vessel!A:F,5,FALSE)=0,"",VLOOKUP(AT937,Vessel!A:F,5,FALSE)),"")</f>
        <v>46269.101157407407</v>
      </c>
      <c r="AL937" s="1078">
        <v>46304</v>
      </c>
      <c r="AM937" s="939">
        <f>IFERROR(VLOOKUP(AT937, Vessel!A:H, 8, FALSE), "")</f>
        <v>46316.25</v>
      </c>
      <c r="AN937" s="939">
        <f>IFERROR(IF(VLOOKUP(AT937,Vessel!A:I,9,FALSE)=0,"",VLOOKUP(AT937,Vessel!A:I,9,FALSE)),"")</f>
        <v>46316.045949074076</v>
      </c>
      <c r="AP937" s="430" t="s">
        <v>6287</v>
      </c>
      <c r="AQ937" s="430" t="s">
        <v>80</v>
      </c>
      <c r="AR937" s="430" t="s">
        <v>6288</v>
      </c>
      <c r="AS937" s="430" t="s">
        <v>6289</v>
      </c>
      <c r="AT937" s="430" t="s">
        <v>6289</v>
      </c>
      <c r="AU93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46.944791666668607</v>
      </c>
      <c r="AW937" s="437" cm="1">
        <f t="array" ref="AW93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46316.045949074076</v>
      </c>
      <c r="AX93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37" s="437">
        <f>IF(ISERROR(PV_DATA[[#This Row],[New Ark PO status]]),"",_xlfn.XLOOKUP(PV_DATA[[#This Row],[SPTN-PVHK New Ark PO'#]],New_Ark_Data[Purchase order Number],New_Ark_Data[Estimated time of arrival],"",0))</f>
        <v>46304</v>
      </c>
      <c r="AZ937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37" s="437">
        <f>IFERROR(PV_DATA[[#This Row],[ODP ETA Port]]+PV_DATA[[#This Row],[Customs/Leg3 Assumption]],"n/a")</f>
        <v>46316.045949074076</v>
      </c>
      <c r="BB937" s="433">
        <f>YEAR(PV_DATA[[#This Row],[ETA for New Ark update]])</f>
        <v>2026</v>
      </c>
      <c r="BC937" s="430">
        <f>MONTH(PV_DATA[[#This Row],[ETA for New Ark update]])</f>
        <v>10</v>
      </c>
      <c r="BD937" s="430">
        <f>IFERROR(_xlfn.ISOWEEKNUM(PV_DATA[[#This Row],[ETA for New Ark update]]),0)</f>
        <v>43</v>
      </c>
      <c r="BE937" s="430">
        <f>_xlfn.XLOOKUP(PV_DATA[[#This Row],[New Ark SKU]],Table9[New Ark SKU],Table9[Total PCS per Pallet],,0)</f>
        <v>36</v>
      </c>
      <c r="BF937" s="430">
        <f>_xlfn.XLOOKUP(PV_DATA[[#This Row],[New Ark SKU]],Table9[New Ark SKU],Table9[Total PCS per 40HQ Container],,0)</f>
        <v>936</v>
      </c>
      <c r="BG937" s="430" t="str">
        <f>_xlfn.XLOOKUP(PV_DATA[[#This Row],[New Ark SKU]],Table9[New Ark SKU],Table9[Back Glass],,0)</f>
        <v>Black glazing</v>
      </c>
      <c r="BH937" s="430" t="str">
        <f>_xlfn.XLOOKUP(PV_DATA[[#This Row],[PORT DESTINATION]],Table12[PORT DESTINATION],Table12[Cosco Line],,0)</f>
        <v>AEU</v>
      </c>
      <c r="BJ937" s="430"/>
    </row>
    <row r="938" spans="1:62" ht="10.5" hidden="1">
      <c r="A938" s="730" t="s">
        <v>6290</v>
      </c>
      <c r="B938" s="462" t="s">
        <v>111</v>
      </c>
      <c r="C938" s="462" t="str">
        <f>IFERROR(LEFT(PV_DATA[[#This Row],[TCL REFERENCE]],FIND(".",PV_DATA[[#This Row],[TCL REFERENCE]],1)-1),"Main Line")</f>
        <v>26Jul019</v>
      </c>
      <c r="D938" s="462" t="s">
        <v>63</v>
      </c>
      <c r="E938" s="462" t="s">
        <v>64</v>
      </c>
      <c r="F938" s="462" t="str" cm="1">
        <f t="array" ref="F93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38" s="462" t="s">
        <v>402</v>
      </c>
      <c r="H938" s="462" t="s">
        <v>67</v>
      </c>
      <c r="I938" s="462" t="s">
        <v>882</v>
      </c>
      <c r="J938" s="430" t="s">
        <v>96</v>
      </c>
      <c r="K938" s="430"/>
      <c r="L938" s="430"/>
      <c r="M938" s="430" t="s">
        <v>68</v>
      </c>
      <c r="N938" s="432">
        <v>46237</v>
      </c>
      <c r="O938" s="430" t="s">
        <v>5388</v>
      </c>
      <c r="P938" s="430" t="s">
        <v>6291</v>
      </c>
      <c r="Q938" s="430" t="s">
        <v>6292</v>
      </c>
      <c r="R938" s="430" t="str">
        <f>_xlfn.XLOOKUP(PV_DATA[[#This Row],[New Ark SKU]],Table9[New Ark SKU],Table9[Connector],,0)</f>
        <v>EVO2A</v>
      </c>
      <c r="S938" s="433" t="str">
        <f>_xlfn.XLOOKUP(PV_DATA[[#This Row],[New Ark SKU]],Table9[New Ark SKU],Table9[Cable],,0)</f>
        <v>±1200mm</v>
      </c>
      <c r="T938" s="433">
        <v>480</v>
      </c>
      <c r="U938" s="1062">
        <f>936*4</f>
        <v>3744</v>
      </c>
      <c r="V938" s="434">
        <f>PV_DATA[[#This Row],[QUANTITY]]*PV_DATA[[#This Row],[WATT]]/1000000</f>
        <v>1.7971200000000001</v>
      </c>
      <c r="W938" s="435">
        <f>PV_DATA[[#This Row],[QUANTITY]]/PV_DATA[[#This Row],[Qty/Pallet]]</f>
        <v>104</v>
      </c>
      <c r="X938" s="1015">
        <f>PV_DATA[[#This Row],[QUANTITY]]/PV_DATA[[#This Row],[Qty/CT]]</f>
        <v>4</v>
      </c>
      <c r="Y938" s="430" t="s">
        <v>4374</v>
      </c>
      <c r="Z938" s="430" t="str">
        <f t="shared" si="12"/>
        <v>COMPLETED</v>
      </c>
      <c r="AA938" s="430"/>
      <c r="AB938" s="437">
        <v>46259</v>
      </c>
      <c r="AC938" s="485">
        <f>IF(PV_DATA[[#This Row],[Pick-Up Date]]&lt;&gt;"",_xlfn.ISOWEEKNUM(PV_DATA[[#This Row],[Pick-Up Date]]),"")</f>
        <v>35</v>
      </c>
      <c r="AD938" s="430" t="s">
        <v>6293</v>
      </c>
      <c r="AE938" s="430"/>
      <c r="AF938" s="430" t="s">
        <v>122</v>
      </c>
      <c r="AG938" s="430" t="s">
        <v>123</v>
      </c>
      <c r="AH938" s="430" t="s">
        <v>78</v>
      </c>
      <c r="AI938" s="713">
        <v>46256</v>
      </c>
      <c r="AJ938" s="437">
        <v>46265</v>
      </c>
      <c r="AK938" s="437">
        <v>46265</v>
      </c>
      <c r="AL938" s="437">
        <v>46302</v>
      </c>
      <c r="AM938" s="588">
        <v>46303</v>
      </c>
      <c r="AN938" s="588">
        <v>46303</v>
      </c>
      <c r="AP938" s="430" t="s">
        <v>6093</v>
      </c>
      <c r="AQ938" s="438" t="s">
        <v>161</v>
      </c>
      <c r="AR938" s="430" t="s">
        <v>6294</v>
      </c>
      <c r="AS938" s="430">
        <v>274975766</v>
      </c>
      <c r="AT938" s="430">
        <v>274975766</v>
      </c>
      <c r="AU93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</v>
      </c>
      <c r="AW938" s="437" cm="1">
        <f t="array" ref="AW93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46303</v>
      </c>
      <c r="AX93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38" s="437">
        <f>IF(ISERROR(PV_DATA[[#This Row],[New Ark PO status]]),"",_xlfn.XLOOKUP(PV_DATA[[#This Row],[SPTN-PVHK New Ark PO'#]],New_Ark_Data[Purchase order Number],New_Ark_Data[Estimated time of arrival],"",0))</f>
        <v>46310</v>
      </c>
      <c r="AZ938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38" s="437">
        <f>IFERROR(PV_DATA[[#This Row],[ODP ETA Port]]+PV_DATA[[#This Row],[Customs/Leg3 Assumption]],"n/a")</f>
        <v>46311</v>
      </c>
      <c r="BB938" s="433">
        <f>YEAR(PV_DATA[[#This Row],[ETA for New Ark update]])</f>
        <v>2026</v>
      </c>
      <c r="BC938" s="430">
        <f>MONTH(PV_DATA[[#This Row],[ETA for New Ark update]])</f>
        <v>10</v>
      </c>
      <c r="BD938" s="430">
        <f>IFERROR(_xlfn.ISOWEEKNUM(PV_DATA[[#This Row],[ETA for New Ark update]]),0)</f>
        <v>42</v>
      </c>
      <c r="BE938" s="430">
        <f>_xlfn.XLOOKUP(PV_DATA[[#This Row],[New Ark SKU]],Table9[New Ark SKU],Table9[Total PCS per Pallet],,0)</f>
        <v>36</v>
      </c>
      <c r="BF938" s="430">
        <f>_xlfn.XLOOKUP(PV_DATA[[#This Row],[New Ark SKU]],Table9[New Ark SKU],Table9[Total PCS per 40HQ Container],,0)</f>
        <v>936</v>
      </c>
      <c r="BG938" s="430" t="str">
        <f>_xlfn.XLOOKUP(PV_DATA[[#This Row],[New Ark SKU]],Table9[New Ark SKU],Table9[Back Glass],,0)</f>
        <v>White glazing</v>
      </c>
      <c r="BH938" s="430" t="str">
        <f>_xlfn.XLOOKUP(PV_DATA[[#This Row],[PORT DESTINATION]],Table12[PORT DESTINATION],Table12[Cosco Line],,0)</f>
        <v>AEM</v>
      </c>
      <c r="BJ938" s="430"/>
    </row>
    <row r="939" spans="1:62" ht="10.5" hidden="1">
      <c r="A939" s="730" t="s">
        <v>6295</v>
      </c>
      <c r="B939" s="462" t="s">
        <v>111</v>
      </c>
      <c r="C939" s="462" t="str">
        <f>IFERROR(LEFT(PV_DATA[[#This Row],[TCL REFERENCE]],FIND(".",PV_DATA[[#This Row],[TCL REFERENCE]],1)-1),"Main Line")</f>
        <v>26Jul016</v>
      </c>
      <c r="D939" s="462" t="s">
        <v>63</v>
      </c>
      <c r="E939" s="462" t="s">
        <v>64</v>
      </c>
      <c r="F939" s="462" t="str" cm="1">
        <f t="array" ref="F93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39" s="462" t="s">
        <v>402</v>
      </c>
      <c r="H939" s="462" t="s">
        <v>67</v>
      </c>
      <c r="I939" s="462" t="s">
        <v>689</v>
      </c>
      <c r="J939" s="430" t="s">
        <v>96</v>
      </c>
      <c r="K939" s="430"/>
      <c r="L939" s="430"/>
      <c r="M939" s="430" t="s">
        <v>68</v>
      </c>
      <c r="N939" s="432">
        <v>46237</v>
      </c>
      <c r="O939" s="430" t="s">
        <v>5388</v>
      </c>
      <c r="P939" s="430" t="s">
        <v>5744</v>
      </c>
      <c r="Q939" s="430" t="s">
        <v>5745</v>
      </c>
      <c r="R939" s="430" t="str">
        <f>_xlfn.XLOOKUP(PV_DATA[[#This Row],[New Ark SKU]],Table9[New Ark SKU],Table9[Connector],,0)</f>
        <v>EVO2A</v>
      </c>
      <c r="S939" s="433" t="str">
        <f>_xlfn.XLOOKUP(PV_DATA[[#This Row],[New Ark SKU]],Table9[New Ark SKU],Table9[Cable],,0)</f>
        <v>±1200mm</v>
      </c>
      <c r="T939" s="433">
        <v>475</v>
      </c>
      <c r="U939" s="1062">
        <f>936*3</f>
        <v>2808</v>
      </c>
      <c r="V939" s="434">
        <f>PV_DATA[[#This Row],[QUANTITY]]*PV_DATA[[#This Row],[WATT]]/1000000</f>
        <v>1.3338000000000001</v>
      </c>
      <c r="W939" s="435">
        <f>PV_DATA[[#This Row],[QUANTITY]]/PV_DATA[[#This Row],[Qty/Pallet]]</f>
        <v>78</v>
      </c>
      <c r="X939" s="1015">
        <f>PV_DATA[[#This Row],[QUANTITY]]/PV_DATA[[#This Row],[Qty/CT]]</f>
        <v>3</v>
      </c>
      <c r="Y939" s="430" t="s">
        <v>4376</v>
      </c>
      <c r="Z939" s="430" t="str">
        <f t="shared" si="12"/>
        <v>COMPLETED</v>
      </c>
      <c r="AA939" s="430"/>
      <c r="AB939" s="437">
        <v>46259</v>
      </c>
      <c r="AC939" s="485">
        <f>IF(PV_DATA[[#This Row],[Pick-Up Date]]&lt;&gt;"",_xlfn.ISOWEEKNUM(PV_DATA[[#This Row],[Pick-Up Date]]),"")</f>
        <v>35</v>
      </c>
      <c r="AD939" s="430" t="s">
        <v>6296</v>
      </c>
      <c r="AE939" s="430"/>
      <c r="AF939" s="430" t="s">
        <v>122</v>
      </c>
      <c r="AG939" s="430" t="s">
        <v>123</v>
      </c>
      <c r="AH939" s="430" t="s">
        <v>78</v>
      </c>
      <c r="AI939" s="713">
        <v>46256</v>
      </c>
      <c r="AJ939" s="437">
        <v>46265</v>
      </c>
      <c r="AK939" s="437">
        <v>46265</v>
      </c>
      <c r="AL939" s="437">
        <v>46302</v>
      </c>
      <c r="AM939" s="437">
        <v>46303</v>
      </c>
      <c r="AN939" s="588">
        <v>46303</v>
      </c>
      <c r="AP939" s="430" t="s">
        <v>6093</v>
      </c>
      <c r="AQ939" s="438" t="s">
        <v>161</v>
      </c>
      <c r="AR939" s="430" t="s">
        <v>6294</v>
      </c>
      <c r="AS939" s="430">
        <v>274975766</v>
      </c>
      <c r="AT939" s="430">
        <v>274975766</v>
      </c>
      <c r="AU93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</v>
      </c>
      <c r="AW939" s="437" cm="1">
        <f t="array" ref="AW93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46303</v>
      </c>
      <c r="AX93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39" s="437">
        <f>IF(ISERROR(PV_DATA[[#This Row],[New Ark PO status]]),"",_xlfn.XLOOKUP(PV_DATA[[#This Row],[SPTN-PVHK New Ark PO'#]],New_Ark_Data[Purchase order Number],New_Ark_Data[Estimated time of arrival],"",0))</f>
        <v>46310</v>
      </c>
      <c r="AZ939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39" s="437">
        <f>IFERROR(PV_DATA[[#This Row],[ODP ETA Port]]+PV_DATA[[#This Row],[Customs/Leg3 Assumption]],"n/a")</f>
        <v>46311</v>
      </c>
      <c r="BB939" s="433">
        <f>YEAR(PV_DATA[[#This Row],[ETA for New Ark update]])</f>
        <v>2026</v>
      </c>
      <c r="BC939" s="430">
        <f>MONTH(PV_DATA[[#This Row],[ETA for New Ark update]])</f>
        <v>10</v>
      </c>
      <c r="BD939" s="430">
        <f>IFERROR(_xlfn.ISOWEEKNUM(PV_DATA[[#This Row],[ETA for New Ark update]]),0)</f>
        <v>42</v>
      </c>
      <c r="BE939" s="430">
        <f>_xlfn.XLOOKUP(PV_DATA[[#This Row],[New Ark SKU]],Table9[New Ark SKU],Table9[Total PCS per Pallet],,0)</f>
        <v>36</v>
      </c>
      <c r="BF939" s="430">
        <f>_xlfn.XLOOKUP(PV_DATA[[#This Row],[New Ark SKU]],Table9[New Ark SKU],Table9[Total PCS per 40HQ Container],,0)</f>
        <v>936</v>
      </c>
      <c r="BG939" s="430" t="str">
        <f>_xlfn.XLOOKUP(PV_DATA[[#This Row],[New Ark SKU]],Table9[New Ark SKU],Table9[Back Glass],,0)</f>
        <v>White glazing</v>
      </c>
      <c r="BH939" s="430" t="str">
        <f>_xlfn.XLOOKUP(PV_DATA[[#This Row],[PORT DESTINATION]],Table12[PORT DESTINATION],Table12[Cosco Line],,0)</f>
        <v>AEM</v>
      </c>
      <c r="BJ939" s="430"/>
    </row>
    <row r="940" spans="1:62" ht="10.5" hidden="1">
      <c r="A940" s="462" t="s">
        <v>6297</v>
      </c>
      <c r="B940" s="462" t="s">
        <v>111</v>
      </c>
      <c r="C940" s="462" t="str">
        <f>IFERROR(LEFT(PV_DATA[[#This Row],[TCL REFERENCE]],FIND(".",PV_DATA[[#This Row],[TCL REFERENCE]],1)-1),"Main Line")</f>
        <v>26Jul014</v>
      </c>
      <c r="D940" s="462" t="s">
        <v>63</v>
      </c>
      <c r="E940" s="462" t="s">
        <v>64</v>
      </c>
      <c r="F940" s="462" t="str" cm="1">
        <f t="array" ref="F94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940" s="462" t="s">
        <v>402</v>
      </c>
      <c r="H940" s="462" t="s">
        <v>115</v>
      </c>
      <c r="I940" s="462" t="s">
        <v>882</v>
      </c>
      <c r="J940" s="430" t="s">
        <v>96</v>
      </c>
      <c r="K940" s="430"/>
      <c r="L940" s="430"/>
      <c r="M940" s="430" t="s">
        <v>68</v>
      </c>
      <c r="N940" s="432">
        <v>46202</v>
      </c>
      <c r="O940" s="430" t="s">
        <v>5345</v>
      </c>
      <c r="P940" s="430" t="s">
        <v>5564</v>
      </c>
      <c r="Q940" s="430" t="s">
        <v>5565</v>
      </c>
      <c r="R940" s="430" t="str">
        <f>_xlfn.XLOOKUP(PV_DATA[[#This Row],[New Ark SKU]],Table9[New Ark SKU],Table9[Connector],,0)</f>
        <v>EVO2A</v>
      </c>
      <c r="S940" s="433" t="str">
        <f>_xlfn.XLOOKUP(PV_DATA[[#This Row],[New Ark SKU]],Table9[New Ark SKU],Table9[Cable],,0)</f>
        <v>±1400mm</v>
      </c>
      <c r="T940" s="433">
        <v>585</v>
      </c>
      <c r="U940" s="1062">
        <f>720*2</f>
        <v>1440</v>
      </c>
      <c r="V940" s="434">
        <f>PV_DATA[[#This Row],[QUANTITY]]*PV_DATA[[#This Row],[WATT]]/1000000</f>
        <v>0.84240000000000004</v>
      </c>
      <c r="W940" s="435">
        <f>PV_DATA[[#This Row],[QUANTITY]]/PV_DATA[[#This Row],[Qty/Pallet]]</f>
        <v>40</v>
      </c>
      <c r="X940" s="1015">
        <f>PV_DATA[[#This Row],[QUANTITY]]/PV_DATA[[#This Row],[Qty/CT]]</f>
        <v>2</v>
      </c>
      <c r="Y940" s="430" t="s">
        <v>4376</v>
      </c>
      <c r="Z940" s="430" t="str">
        <f t="shared" si="12"/>
        <v>IN-TRANSIT</v>
      </c>
      <c r="AA940" s="430" t="s">
        <v>5659</v>
      </c>
      <c r="AB940" s="437">
        <v>46256</v>
      </c>
      <c r="AC940" s="485">
        <f>IF(PV_DATA[[#This Row],[Pick-Up Date]]&lt;&gt;"",_xlfn.ISOWEEKNUM(PV_DATA[[#This Row],[Pick-Up Date]]),"")</f>
        <v>34</v>
      </c>
      <c r="AD940" s="430" t="s">
        <v>6298</v>
      </c>
      <c r="AE940" s="430"/>
      <c r="AF940" s="430" t="s">
        <v>122</v>
      </c>
      <c r="AG940" s="430" t="s">
        <v>123</v>
      </c>
      <c r="AH940" s="430" t="s">
        <v>124</v>
      </c>
      <c r="AI940" s="713">
        <v>46264</v>
      </c>
      <c r="AJ940" s="437">
        <f>IFERROR(VLOOKUP(AT940, Vessel!A:D, 4, FALSE), "")</f>
        <v>46269.166666666664</v>
      </c>
      <c r="AK940" s="437">
        <f>IFERROR(IF(VLOOKUP(AT940,Vessel!A:F,5,FALSE)=0,"",VLOOKUP(AT940,Vessel!A:F,5,FALSE)),"")</f>
        <v>46269.097187500003</v>
      </c>
      <c r="AL940" s="437">
        <v>46317</v>
      </c>
      <c r="AM940" s="939">
        <f>IFERROR(VLOOKUP(AT940, Vessel!A:H, 8, FALSE), "")</f>
        <v>46336.583333333336</v>
      </c>
      <c r="AN940" s="939" t="str">
        <f>IFERROR(IF(VLOOKUP(AT940,Vessel!A:I,9,FALSE)=0,"",VLOOKUP(AT940,Vessel!A:I,9,FALSE)),"")</f>
        <v/>
      </c>
      <c r="AP940" s="430" t="s">
        <v>6281</v>
      </c>
      <c r="AQ940" s="438" t="s">
        <v>80</v>
      </c>
      <c r="AR940" s="430" t="s">
        <v>6299</v>
      </c>
      <c r="AS940" s="430" t="s">
        <v>6300</v>
      </c>
      <c r="AT940" s="430" t="s">
        <v>6300</v>
      </c>
      <c r="AU94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67.486145833332557</v>
      </c>
      <c r="AW940" s="437" cm="1">
        <f t="array" ref="AW94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46336.583333333336</v>
      </c>
      <c r="AX94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40" s="437">
        <f>IF(ISERROR(PV_DATA[[#This Row],[New Ark PO status]]),"",_xlfn.XLOOKUP(PV_DATA[[#This Row],[SPTN-PVHK New Ark PO'#]],New_Ark_Data[Purchase order Number],New_Ark_Data[Estimated time of arrival],"",0))</f>
        <v>46326</v>
      </c>
      <c r="AZ940" s="433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940" s="437">
        <f>IFERROR(PV_DATA[[#This Row],[ODP ETA Port]]+PV_DATA[[#This Row],[Customs/Leg3 Assumption]],"n/a")</f>
        <v>46345.583333333336</v>
      </c>
      <c r="BB940" s="433">
        <f>YEAR(PV_DATA[[#This Row],[ETA for New Ark update]])</f>
        <v>2026</v>
      </c>
      <c r="BC940" s="430">
        <f>MONTH(PV_DATA[[#This Row],[ETA for New Ark update]])</f>
        <v>11</v>
      </c>
      <c r="BD940" s="430">
        <f>IFERROR(_xlfn.ISOWEEKNUM(PV_DATA[[#This Row],[ETA for New Ark update]]),0)</f>
        <v>47</v>
      </c>
      <c r="BE940" s="430">
        <f>_xlfn.XLOOKUP(PV_DATA[[#This Row],[New Ark SKU]],Table9[New Ark SKU],Table9[Total PCS per Pallet],,0)</f>
        <v>36</v>
      </c>
      <c r="BF940" s="430">
        <f>_xlfn.XLOOKUP(PV_DATA[[#This Row],[New Ark SKU]],Table9[New Ark SKU],Table9[Total PCS per 40HQ Container],,0)</f>
        <v>720</v>
      </c>
      <c r="BG940" s="430" t="str">
        <f>_xlfn.XLOOKUP(PV_DATA[[#This Row],[New Ark SKU]],Table9[New Ark SKU],Table9[Back Glass],,0)</f>
        <v>Transparent</v>
      </c>
      <c r="BH940" s="430" t="str">
        <f>_xlfn.XLOOKUP(PV_DATA[[#This Row],[PORT DESTINATION]],Table12[PORT DESTINATION],Table12[Cosco Line],,0)</f>
        <v>AEM</v>
      </c>
      <c r="BJ940" s="430"/>
    </row>
    <row r="941" spans="1:62" ht="10.5" hidden="1">
      <c r="A941" s="462" t="s">
        <v>6301</v>
      </c>
      <c r="B941" s="462" t="s">
        <v>111</v>
      </c>
      <c r="C941" s="462" t="str">
        <f>IFERROR(LEFT(PV_DATA[[#This Row],[TCL REFERENCE]],FIND(".",PV_DATA[[#This Row],[TCL REFERENCE]],1)-1),"Main Line")</f>
        <v>26Jul013</v>
      </c>
      <c r="D941" s="462" t="s">
        <v>63</v>
      </c>
      <c r="E941" s="462" t="s">
        <v>64</v>
      </c>
      <c r="F941" s="462" t="str" cm="1">
        <f t="array" ref="F94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941" s="462" t="s">
        <v>402</v>
      </c>
      <c r="H941" s="462" t="s">
        <v>115</v>
      </c>
      <c r="I941" s="462" t="s">
        <v>689</v>
      </c>
      <c r="J941" s="430" t="s">
        <v>96</v>
      </c>
      <c r="K941" s="430"/>
      <c r="L941" s="430"/>
      <c r="M941" s="430" t="s">
        <v>68</v>
      </c>
      <c r="N941" s="432">
        <v>46202</v>
      </c>
      <c r="O941" s="430" t="s">
        <v>5345</v>
      </c>
      <c r="P941" s="430" t="s">
        <v>5346</v>
      </c>
      <c r="Q941" s="430" t="s">
        <v>5347</v>
      </c>
      <c r="R941" s="430" t="str">
        <f>_xlfn.XLOOKUP(PV_DATA[[#This Row],[New Ark SKU]],Table9[New Ark SKU],Table9[Connector],,0)</f>
        <v>EVO2A</v>
      </c>
      <c r="S941" s="433" t="str">
        <f>_xlfn.XLOOKUP(PV_DATA[[#This Row],[New Ark SKU]],Table9[New Ark SKU],Table9[Cable],,0)</f>
        <v>±1400mm</v>
      </c>
      <c r="T941" s="433">
        <v>580</v>
      </c>
      <c r="U941" s="1070">
        <f>720*2</f>
        <v>1440</v>
      </c>
      <c r="V941" s="434">
        <f>PV_DATA[[#This Row],[QUANTITY]]*PV_DATA[[#This Row],[WATT]]/1000000</f>
        <v>0.83520000000000005</v>
      </c>
      <c r="W941" s="435">
        <f>PV_DATA[[#This Row],[QUANTITY]]/PV_DATA[[#This Row],[Qty/Pallet]]</f>
        <v>40</v>
      </c>
      <c r="X941" s="1015">
        <f>PV_DATA[[#This Row],[QUANTITY]]/PV_DATA[[#This Row],[Qty/CT]]</f>
        <v>2</v>
      </c>
      <c r="Y941" s="430" t="s">
        <v>4376</v>
      </c>
      <c r="Z941" s="430" t="str">
        <f t="shared" si="12"/>
        <v>IN-TRANSIT</v>
      </c>
      <c r="AA941" s="545">
        <v>46206</v>
      </c>
      <c r="AB941" s="437">
        <v>46256</v>
      </c>
      <c r="AC941" s="485">
        <f>IF(PV_DATA[[#This Row],[Pick-Up Date]]&lt;&gt;"",_xlfn.ISOWEEKNUM(PV_DATA[[#This Row],[Pick-Up Date]]),"")</f>
        <v>34</v>
      </c>
      <c r="AD941" s="430" t="s">
        <v>6302</v>
      </c>
      <c r="AE941" s="430"/>
      <c r="AF941" s="430" t="s">
        <v>122</v>
      </c>
      <c r="AG941" s="430" t="s">
        <v>123</v>
      </c>
      <c r="AH941" s="430" t="s">
        <v>124</v>
      </c>
      <c r="AI941" s="713">
        <v>46264</v>
      </c>
      <c r="AJ941" s="437">
        <f>IFERROR(VLOOKUP(AT941, Vessel!A:D, 4, FALSE), "")</f>
        <v>46269.166666666664</v>
      </c>
      <c r="AK941" s="437">
        <f>IFERROR(IF(VLOOKUP(AT941,Vessel!A:F,5,FALSE)=0,"",VLOOKUP(AT941,Vessel!A:F,5,FALSE)),"")</f>
        <v>46269.097187500003</v>
      </c>
      <c r="AL941" s="437">
        <v>46317</v>
      </c>
      <c r="AM941" s="939">
        <f>IFERROR(VLOOKUP(AT941, Vessel!A:H, 8, FALSE), "")</f>
        <v>46336.583333333336</v>
      </c>
      <c r="AN941" s="939" t="str">
        <f>IFERROR(IF(VLOOKUP(AT941,Vessel!A:I,9,FALSE)=0,"",VLOOKUP(AT941,Vessel!A:I,9,FALSE)),"")</f>
        <v/>
      </c>
      <c r="AP941" s="430" t="s">
        <v>6281</v>
      </c>
      <c r="AQ941" s="438" t="s">
        <v>80</v>
      </c>
      <c r="AR941" s="430" t="s">
        <v>6299</v>
      </c>
      <c r="AS941" s="430" t="s">
        <v>6300</v>
      </c>
      <c r="AT941" s="430" t="s">
        <v>6300</v>
      </c>
      <c r="AU94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67.486145833332557</v>
      </c>
      <c r="AW941" s="437" cm="1">
        <f t="array" ref="AW94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46336.583333333336</v>
      </c>
      <c r="AX94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41" s="437">
        <f>IF(ISERROR(PV_DATA[[#This Row],[New Ark PO status]]),"",_xlfn.XLOOKUP(PV_DATA[[#This Row],[SPTN-PVHK New Ark PO'#]],New_Ark_Data[Purchase order Number],New_Ark_Data[Estimated time of arrival],"",0))</f>
        <v>46326</v>
      </c>
      <c r="AZ941" s="433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941" s="437">
        <f>IFERROR(PV_DATA[[#This Row],[ODP ETA Port]]+PV_DATA[[#This Row],[Customs/Leg3 Assumption]],"n/a")</f>
        <v>46345.583333333336</v>
      </c>
      <c r="BB941" s="433">
        <f>YEAR(PV_DATA[[#This Row],[ETA for New Ark update]])</f>
        <v>2026</v>
      </c>
      <c r="BC941" s="430">
        <f>MONTH(PV_DATA[[#This Row],[ETA for New Ark update]])</f>
        <v>11</v>
      </c>
      <c r="BD941" s="430">
        <f>IFERROR(_xlfn.ISOWEEKNUM(PV_DATA[[#This Row],[ETA for New Ark update]]),0)</f>
        <v>47</v>
      </c>
      <c r="BE941" s="430">
        <f>_xlfn.XLOOKUP(PV_DATA[[#This Row],[New Ark SKU]],Table9[New Ark SKU],Table9[Total PCS per Pallet],,0)</f>
        <v>36</v>
      </c>
      <c r="BF941" s="430">
        <f>_xlfn.XLOOKUP(PV_DATA[[#This Row],[New Ark SKU]],Table9[New Ark SKU],Table9[Total PCS per 40HQ Container],,0)</f>
        <v>720</v>
      </c>
      <c r="BG941" s="430" t="str">
        <f>_xlfn.XLOOKUP(PV_DATA[[#This Row],[New Ark SKU]],Table9[New Ark SKU],Table9[Back Glass],,0)</f>
        <v>Transparent</v>
      </c>
      <c r="BH941" s="430" t="str">
        <f>_xlfn.XLOOKUP(PV_DATA[[#This Row],[PORT DESTINATION]],Table12[PORT DESTINATION],Table12[Cosco Line],,0)</f>
        <v>AEM</v>
      </c>
      <c r="BJ941" s="430"/>
    </row>
    <row r="942" spans="1:62" ht="10.5" hidden="1">
      <c r="A942" s="462" t="s">
        <v>6303</v>
      </c>
      <c r="B942" s="462" t="s">
        <v>111</v>
      </c>
      <c r="C942" s="462" t="str">
        <f>IFERROR(LEFT(PV_DATA[[#This Row],[TCL REFERENCE]],FIND(".",PV_DATA[[#This Row],[TCL REFERENCE]],1)-1),"Main Line")</f>
        <v>26Jul002</v>
      </c>
      <c r="D942" s="462" t="s">
        <v>63</v>
      </c>
      <c r="E942" s="462" t="s">
        <v>64</v>
      </c>
      <c r="F942" s="462" t="str" cm="1">
        <f t="array" ref="F94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942" s="462" t="s">
        <v>402</v>
      </c>
      <c r="H942" s="462" t="s">
        <v>115</v>
      </c>
      <c r="I942" s="462" t="s">
        <v>689</v>
      </c>
      <c r="J942" s="430" t="s">
        <v>96</v>
      </c>
      <c r="K942" s="430"/>
      <c r="L942" s="430"/>
      <c r="M942" s="430" t="s">
        <v>68</v>
      </c>
      <c r="N942" s="432">
        <v>46209</v>
      </c>
      <c r="O942" s="430" t="s">
        <v>550</v>
      </c>
      <c r="P942" s="430" t="s">
        <v>2134</v>
      </c>
      <c r="Q942" s="430" t="s">
        <v>2135</v>
      </c>
      <c r="R942" s="430" t="str">
        <f>_xlfn.XLOOKUP(PV_DATA[[#This Row],[New Ark SKU]],Table9[New Ark SKU],Table9[Connector],,0)</f>
        <v>EVO2A</v>
      </c>
      <c r="S942" s="433" t="str">
        <f>_xlfn.XLOOKUP(PV_DATA[[#This Row],[New Ark SKU]],Table9[New Ark SKU],Table9[Cable],,0)</f>
        <v>±1350mm</v>
      </c>
      <c r="T942" s="433">
        <v>515</v>
      </c>
      <c r="U942" s="1062">
        <v>792</v>
      </c>
      <c r="V942" s="434">
        <f>PV_DATA[[#This Row],[QUANTITY]]*PV_DATA[[#This Row],[WATT]]/1000000</f>
        <v>0.40788000000000002</v>
      </c>
      <c r="W942" s="435">
        <f>PV_DATA[[#This Row],[QUANTITY]]/PV_DATA[[#This Row],[Qty/Pallet]]</f>
        <v>22</v>
      </c>
      <c r="X942" s="1015">
        <f>PV_DATA[[#This Row],[QUANTITY]]/PV_DATA[[#This Row],[Qty/CT]]</f>
        <v>1</v>
      </c>
      <c r="Y942" s="430" t="s">
        <v>4376</v>
      </c>
      <c r="Z942" s="430" t="str">
        <f t="shared" si="12"/>
        <v>IN-TRANSIT</v>
      </c>
      <c r="AA942" s="430" t="s">
        <v>5862</v>
      </c>
      <c r="AB942" s="437">
        <v>46256</v>
      </c>
      <c r="AC942" s="485">
        <f>IF(PV_DATA[[#This Row],[Pick-Up Date]]&lt;&gt;"",_xlfn.ISOWEEKNUM(PV_DATA[[#This Row],[Pick-Up Date]]),"")</f>
        <v>34</v>
      </c>
      <c r="AD942" s="430" t="s">
        <v>6304</v>
      </c>
      <c r="AE942" s="430"/>
      <c r="AF942" s="430" t="s">
        <v>122</v>
      </c>
      <c r="AG942" s="430" t="s">
        <v>123</v>
      </c>
      <c r="AH942" s="430" t="s">
        <v>124</v>
      </c>
      <c r="AI942" s="713">
        <v>46264</v>
      </c>
      <c r="AJ942" s="437">
        <f>IFERROR(VLOOKUP(AT942, Vessel!A:D, 4, FALSE), "")</f>
        <v>46269.166666666664</v>
      </c>
      <c r="AK942" s="437">
        <f>IFERROR(IF(VLOOKUP(AT942,Vessel!A:F,5,FALSE)=0,"",VLOOKUP(AT942,Vessel!A:F,5,FALSE)),"")</f>
        <v>46269.097187500003</v>
      </c>
      <c r="AL942" s="588">
        <v>46317</v>
      </c>
      <c r="AM942" s="1194">
        <f>IFERROR(VLOOKUP(AT942, Vessel!A:H, 8, FALSE), "")</f>
        <v>46336.583333333336</v>
      </c>
      <c r="AN942" s="939" t="str">
        <f>IFERROR(IF(VLOOKUP(AT942,Vessel!A:I,9,FALSE)=0,"",VLOOKUP(AT942,Vessel!A:I,9,FALSE)),"")</f>
        <v/>
      </c>
      <c r="AP942" s="430" t="s">
        <v>6281</v>
      </c>
      <c r="AQ942" s="438" t="s">
        <v>80</v>
      </c>
      <c r="AR942" s="430" t="s">
        <v>6299</v>
      </c>
      <c r="AS942" s="430" t="s">
        <v>6300</v>
      </c>
      <c r="AT942" s="430" t="s">
        <v>6300</v>
      </c>
      <c r="AU94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67.486145833332557</v>
      </c>
      <c r="AW942" s="437" cm="1">
        <f t="array" ref="AW94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46336.583333333336</v>
      </c>
      <c r="AX94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42" s="437">
        <f>IF(ISERROR(PV_DATA[[#This Row],[New Ark PO status]]),"",_xlfn.XLOOKUP(PV_DATA[[#This Row],[SPTN-PVHK New Ark PO'#]],New_Ark_Data[Purchase order Number],New_Ark_Data[Estimated time of arrival],"",0))</f>
        <v>46325</v>
      </c>
      <c r="AZ942" s="433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942" s="437">
        <f>IFERROR(PV_DATA[[#This Row],[ODP ETA Port]]+PV_DATA[[#This Row],[Customs/Leg3 Assumption]],"n/a")</f>
        <v>46345.583333333336</v>
      </c>
      <c r="BB942" s="433">
        <f>YEAR(PV_DATA[[#This Row],[ETA for New Ark update]])</f>
        <v>2026</v>
      </c>
      <c r="BC942" s="430">
        <f>MONTH(PV_DATA[[#This Row],[ETA for New Ark update]])</f>
        <v>11</v>
      </c>
      <c r="BD942" s="430">
        <f>IFERROR(_xlfn.ISOWEEKNUM(PV_DATA[[#This Row],[ETA for New Ark update]]),0)</f>
        <v>47</v>
      </c>
      <c r="BE942" s="430">
        <f>_xlfn.XLOOKUP(PV_DATA[[#This Row],[New Ark SKU]],Table9[New Ark SKU],Table9[Total PCS per Pallet],,0)</f>
        <v>36</v>
      </c>
      <c r="BF942" s="430">
        <f>_xlfn.XLOOKUP(PV_DATA[[#This Row],[New Ark SKU]],Table9[New Ark SKU],Table9[Total PCS per 40HQ Container],,0)</f>
        <v>792</v>
      </c>
      <c r="BG942" s="430" t="str">
        <f>_xlfn.XLOOKUP(PV_DATA[[#This Row],[New Ark SKU]],Table9[New Ark SKU],Table9[Back Glass],,0)</f>
        <v>Black glazing</v>
      </c>
      <c r="BH942" s="430" t="str">
        <f>_xlfn.XLOOKUP(PV_DATA[[#This Row],[PORT DESTINATION]],Table12[PORT DESTINATION],Table12[Cosco Line],,0)</f>
        <v>AEM</v>
      </c>
      <c r="BJ942" s="430"/>
    </row>
    <row r="943" spans="1:62" s="462" customFormat="1" ht="10.5" hidden="1">
      <c r="A943" s="729" t="s">
        <v>6305</v>
      </c>
      <c r="B943" s="935" t="s">
        <v>111</v>
      </c>
      <c r="C943" s="935" t="str">
        <f>IFERROR(LEFT(PV_DATA[[#This Row],[TCL REFERENCE]],FIND(".",PV_DATA[[#This Row],[TCL REFERENCE]],1)-1),"Main Line")</f>
        <v>26Aug002</v>
      </c>
      <c r="D943" s="462" t="s">
        <v>63</v>
      </c>
      <c r="E943" s="462" t="s">
        <v>64</v>
      </c>
      <c r="F943" s="462" t="str" cm="1">
        <f t="array" ref="F94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943" s="462" t="s">
        <v>402</v>
      </c>
      <c r="H943" s="462" t="s">
        <v>311</v>
      </c>
      <c r="I943" s="462" t="s">
        <v>689</v>
      </c>
      <c r="J943" s="462" t="s">
        <v>96</v>
      </c>
      <c r="M943" s="462" t="s">
        <v>68</v>
      </c>
      <c r="N943" s="712">
        <v>46215</v>
      </c>
      <c r="O943" s="935" t="s">
        <v>550</v>
      </c>
      <c r="P943" s="935" t="s">
        <v>2134</v>
      </c>
      <c r="Q943" s="935" t="s">
        <v>2135</v>
      </c>
      <c r="R943" s="430" t="str">
        <f>_xlfn.XLOOKUP(PV_DATA[[#This Row],[New Ark SKU]],Table9[New Ark SKU],Table9[Connector],,0)</f>
        <v>EVO2A</v>
      </c>
      <c r="S943" s="433" t="str">
        <f>_xlfn.XLOOKUP(PV_DATA[[#This Row],[New Ark SKU]],Table9[New Ark SKU],Table9[Cable],,0)</f>
        <v>±1350mm</v>
      </c>
      <c r="T943" s="942">
        <v>515</v>
      </c>
      <c r="U943" s="1069">
        <f>792*2</f>
        <v>1584</v>
      </c>
      <c r="V943" s="943">
        <f>PV_DATA[[#This Row],[QUANTITY]]*PV_DATA[[#This Row],[WATT]]/1000000</f>
        <v>0.81576000000000004</v>
      </c>
      <c r="W943" s="944">
        <f>PV_DATA[[#This Row],[QUANTITY]]/PV_DATA[[#This Row],[Qty/Pallet]]</f>
        <v>44</v>
      </c>
      <c r="X943" s="1017">
        <f>PV_DATA[[#This Row],[QUANTITY]]/PV_DATA[[#This Row],[Qty/CT]]</f>
        <v>2</v>
      </c>
      <c r="Y943" s="462" t="s">
        <v>4377</v>
      </c>
      <c r="Z943" s="462" t="str">
        <f t="shared" si="12"/>
        <v>IN-TRANSIT</v>
      </c>
      <c r="AA943" s="623" t="s">
        <v>5862</v>
      </c>
      <c r="AB943" s="959">
        <v>46252</v>
      </c>
      <c r="AC943" s="1040">
        <f>IF(PV_DATA[[#This Row],[Pick-Up Date]]&lt;&gt;"",_xlfn.ISOWEEKNUM(PV_DATA[[#This Row],[Pick-Up Date]]),"")</f>
        <v>34</v>
      </c>
      <c r="AD943" s="935" t="s">
        <v>6306</v>
      </c>
      <c r="AE943" s="935" t="s">
        <v>6306</v>
      </c>
      <c r="AF943" s="935" t="s">
        <v>122</v>
      </c>
      <c r="AG943" s="935" t="s">
        <v>123</v>
      </c>
      <c r="AH943" s="462" t="s">
        <v>1561</v>
      </c>
      <c r="AI943" s="959">
        <v>46262</v>
      </c>
      <c r="AJ943" s="713">
        <f>IFERROR(VLOOKUP(AT943, Vessel!A:D, 4, FALSE), "")</f>
        <v>46266.083333333336</v>
      </c>
      <c r="AK943" s="437">
        <v>46266</v>
      </c>
      <c r="AL943" s="939">
        <v>46318</v>
      </c>
      <c r="AM943" s="1194">
        <f>IFERROR(VLOOKUP(AT943, Vessel!A:H, 8, FALSE), "")</f>
        <v>46330.75</v>
      </c>
      <c r="AN943" s="939" t="str">
        <f>IFERROR(IF(VLOOKUP(AT943,Vessel!A:I,9,FALSE)=0,"",VLOOKUP(AT943,Vessel!A:I,9,FALSE)),"")</f>
        <v/>
      </c>
      <c r="AO943" s="935"/>
      <c r="AP943" s="935" t="s">
        <v>6307</v>
      </c>
      <c r="AQ943" s="958" t="s">
        <v>80</v>
      </c>
      <c r="AR943" s="935" t="s">
        <v>6308</v>
      </c>
      <c r="AS943" s="935" t="s">
        <v>6309</v>
      </c>
      <c r="AT943" s="462" t="s">
        <v>6309</v>
      </c>
      <c r="AU94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64.75</v>
      </c>
      <c r="AV943" s="935"/>
      <c r="AW943" s="959" cm="1">
        <f t="array" ref="AW94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46330.75</v>
      </c>
      <c r="AX94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43" s="959">
        <f>IF(ISERROR(PV_DATA[[#This Row],[New Ark PO status]]),"",_xlfn.XLOOKUP(PV_DATA[[#This Row],[SPTN-PVHK New Ark PO'#]],New_Ark_Data[Purchase order Number],New_Ark_Data[Estimated time of arrival],"",0))</f>
        <v>46321</v>
      </c>
      <c r="AZ943" s="9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943" s="959">
        <f>IFERROR(PV_DATA[[#This Row],[ODP ETA Port]]+PV_DATA[[#This Row],[Customs/Leg3 Assumption]],"n/a")</f>
        <v>46340.75</v>
      </c>
      <c r="BB943" s="942">
        <f>YEAR(PV_DATA[[#This Row],[ETA for New Ark update]])</f>
        <v>2026</v>
      </c>
      <c r="BC943" s="935">
        <f>MONTH(PV_DATA[[#This Row],[ETA for New Ark update]])</f>
        <v>11</v>
      </c>
      <c r="BD943" s="935">
        <f>IFERROR(_xlfn.ISOWEEKNUM(PV_DATA[[#This Row],[ETA for New Ark update]]),0)</f>
        <v>46</v>
      </c>
      <c r="BE943" s="935">
        <f>_xlfn.XLOOKUP(PV_DATA[[#This Row],[New Ark SKU]],Table9[New Ark SKU],Table9[Total PCS per Pallet],,0)</f>
        <v>36</v>
      </c>
      <c r="BF943" s="935">
        <f>_xlfn.XLOOKUP(PV_DATA[[#This Row],[New Ark SKU]],Table9[New Ark SKU],Table9[Total PCS per 40HQ Container],,0)</f>
        <v>792</v>
      </c>
      <c r="BG943" s="462" t="str">
        <f>_xlfn.XLOOKUP(PV_DATA[[#This Row],[New Ark SKU]],Table9[New Ark SKU],Table9[Back Glass],,0)</f>
        <v>Black glazing</v>
      </c>
      <c r="BH943" s="1041" t="str">
        <f>_xlfn.XLOOKUP(PV_DATA[[#This Row],[PORT DESTINATION]],Table12[PORT DESTINATION],Table12[Cosco Line],,0)</f>
        <v>AEM</v>
      </c>
    </row>
    <row r="944" spans="1:62" ht="10.5" hidden="1">
      <c r="A944" s="462" t="s">
        <v>6310</v>
      </c>
      <c r="B944" s="462" t="s">
        <v>111</v>
      </c>
      <c r="C944" s="462" t="str">
        <f>IFERROR(LEFT(PV_DATA[[#This Row],[TCL REFERENCE]],FIND(".",PV_DATA[[#This Row],[TCL REFERENCE]],1)-1),"Main Line")</f>
        <v>26Jul004</v>
      </c>
      <c r="D944" s="462" t="s">
        <v>63</v>
      </c>
      <c r="E944" s="462" t="s">
        <v>64</v>
      </c>
      <c r="F944" s="462" t="str" cm="1">
        <f t="array" ref="F94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44" s="462" t="s">
        <v>402</v>
      </c>
      <c r="H944" s="462" t="s">
        <v>67</v>
      </c>
      <c r="I944" s="462" t="s">
        <v>689</v>
      </c>
      <c r="J944" s="430" t="s">
        <v>96</v>
      </c>
      <c r="K944" s="430"/>
      <c r="L944" s="430"/>
      <c r="M944" s="430" t="s">
        <v>68</v>
      </c>
      <c r="N944" s="432">
        <v>46223</v>
      </c>
      <c r="O944" s="430" t="s">
        <v>132</v>
      </c>
      <c r="P944" s="430" t="s">
        <v>1062</v>
      </c>
      <c r="Q944" s="430" t="s">
        <v>1063</v>
      </c>
      <c r="R944" s="430" t="str">
        <f>_xlfn.XLOOKUP(PV_DATA[[#This Row],[New Ark SKU]],Table9[New Ark SKU],Table9[Connector],,0)</f>
        <v>EVO2A</v>
      </c>
      <c r="S944" s="433" t="str">
        <f>_xlfn.XLOOKUP(PV_DATA[[#This Row],[New Ark SKU]],Table9[New Ark SKU],Table9[Cable],,0)</f>
        <v>±1200mm</v>
      </c>
      <c r="T944" s="433">
        <v>470</v>
      </c>
      <c r="U944" s="1062">
        <v>1728</v>
      </c>
      <c r="V944" s="434">
        <f>PV_DATA[[#This Row],[QUANTITY]]*PV_DATA[[#This Row],[WATT]]/1000000</f>
        <v>0.81215999999999999</v>
      </c>
      <c r="W944" s="435">
        <f>PV_DATA[[#This Row],[QUANTITY]]/PV_DATA[[#This Row],[Qty/Pallet]]</f>
        <v>48</v>
      </c>
      <c r="X944" s="1015">
        <f>PV_DATA[[#This Row],[QUANTITY]]/PV_DATA[[#This Row],[Qty/CT]]</f>
        <v>2</v>
      </c>
      <c r="Y944" s="430" t="s">
        <v>4377</v>
      </c>
      <c r="Z944" s="430" t="str">
        <f t="shared" ref="Z944:Z975" si="13">IF(AN944&lt;&gt;"","COMPLETED",IF(AK944&lt;&gt;"","IN-TRANSIT",""))</f>
        <v>COMPLETED</v>
      </c>
      <c r="AA944" s="430" t="s">
        <v>5862</v>
      </c>
      <c r="AB944" s="437">
        <v>46271</v>
      </c>
      <c r="AC944" s="485">
        <f>IF(PV_DATA[[#This Row],[Pick-Up Date]]&lt;&gt;"",_xlfn.ISOWEEKNUM(PV_DATA[[#This Row],[Pick-Up Date]]),"")</f>
        <v>36</v>
      </c>
      <c r="AD944" s="430" t="s">
        <v>6311</v>
      </c>
      <c r="AE944" s="430"/>
      <c r="AF944" s="430" t="s">
        <v>122</v>
      </c>
      <c r="AG944" s="430" t="s">
        <v>123</v>
      </c>
      <c r="AH944" s="430" t="s">
        <v>78</v>
      </c>
      <c r="AI944" s="437">
        <v>46260</v>
      </c>
      <c r="AJ944" s="437">
        <v>46276</v>
      </c>
      <c r="AK944" s="437">
        <v>46277</v>
      </c>
      <c r="AL944" s="437">
        <v>46309</v>
      </c>
      <c r="AM944" s="437">
        <v>46317</v>
      </c>
      <c r="AN944" s="437">
        <v>46318</v>
      </c>
      <c r="AP944" s="430" t="s">
        <v>6312</v>
      </c>
      <c r="AQ944" s="438" t="s">
        <v>161</v>
      </c>
      <c r="AR944" s="430" t="s">
        <v>6313</v>
      </c>
      <c r="AS944" s="430">
        <v>274975950</v>
      </c>
      <c r="AT944" s="430">
        <v>274975950</v>
      </c>
      <c r="AU94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W944" s="437" cm="1">
        <f t="array" ref="AW94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46318</v>
      </c>
      <c r="AX94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944" s="437" t="str">
        <f>IF(ISERROR(PV_DATA[[#This Row],[New Ark PO status]]),"",_xlfn.XLOOKUP(PV_DATA[[#This Row],[SPTN-PVHK New Ark PO'#]],New_Ark_Data[Purchase order Number],New_Ark_Data[Estimated time of arrival],"",0))</f>
        <v/>
      </c>
      <c r="AZ944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44" s="437">
        <f>IFERROR(PV_DATA[[#This Row],[ODP ETA Port]]+PV_DATA[[#This Row],[Customs/Leg3 Assumption]],"n/a")</f>
        <v>46326</v>
      </c>
      <c r="BB944" s="433">
        <f>YEAR(PV_DATA[[#This Row],[ETA for New Ark update]])</f>
        <v>2026</v>
      </c>
      <c r="BC944" s="430">
        <f>MONTH(PV_DATA[[#This Row],[ETA for New Ark update]])</f>
        <v>10</v>
      </c>
      <c r="BD944" s="430">
        <f>IFERROR(_xlfn.ISOWEEKNUM(PV_DATA[[#This Row],[ETA for New Ark update]]),0)</f>
        <v>44</v>
      </c>
      <c r="BE944" s="430">
        <f>_xlfn.XLOOKUP(PV_DATA[[#This Row],[New Ark SKU]],Table9[New Ark SKU],Table9[Total PCS per Pallet],,0)</f>
        <v>36</v>
      </c>
      <c r="BF944" s="430">
        <f>_xlfn.XLOOKUP(PV_DATA[[#This Row],[New Ark SKU]],Table9[New Ark SKU],Table9[Total PCS per 40HQ Container],,0)</f>
        <v>864</v>
      </c>
      <c r="BG944" s="430" t="str">
        <f>_xlfn.XLOOKUP(PV_DATA[[#This Row],[New Ark SKU]],Table9[New Ark SKU],Table9[Back Glass],,0)</f>
        <v>White glazing</v>
      </c>
      <c r="BH944" s="430" t="str">
        <f>_xlfn.XLOOKUP(PV_DATA[[#This Row],[PORT DESTINATION]],Table12[PORT DESTINATION],Table12[Cosco Line],,0)</f>
        <v>AEM</v>
      </c>
      <c r="BJ944" s="430"/>
    </row>
    <row r="945" spans="1:62" ht="10.5" hidden="1">
      <c r="A945" s="462" t="s">
        <v>6314</v>
      </c>
      <c r="B945" s="462" t="s">
        <v>111</v>
      </c>
      <c r="C945" s="462" t="str">
        <f>IFERROR(LEFT(PV_DATA[[#This Row],[TCL REFERENCE]],FIND(".",PV_DATA[[#This Row],[TCL REFERENCE]],1)-1),"Main Line")</f>
        <v>26Jul016</v>
      </c>
      <c r="D945" s="462" t="s">
        <v>63</v>
      </c>
      <c r="E945" s="462" t="s">
        <v>64</v>
      </c>
      <c r="F945" s="935" t="str" cm="1">
        <f t="array" ref="F94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45" s="462" t="s">
        <v>402</v>
      </c>
      <c r="H945" s="462" t="s">
        <v>67</v>
      </c>
      <c r="I945" s="462" t="s">
        <v>689</v>
      </c>
      <c r="J945" s="623" t="s">
        <v>96</v>
      </c>
      <c r="K945" s="430"/>
      <c r="L945" s="430"/>
      <c r="M945" s="430" t="s">
        <v>68</v>
      </c>
      <c r="N945" s="432">
        <v>46237</v>
      </c>
      <c r="O945" s="430" t="s">
        <v>5388</v>
      </c>
      <c r="P945" s="430" t="s">
        <v>5744</v>
      </c>
      <c r="Q945" s="430" t="s">
        <v>5745</v>
      </c>
      <c r="R945" s="430" t="str">
        <f>_xlfn.XLOOKUP(PV_DATA[[#This Row],[New Ark SKU]],Table9[New Ark SKU],Table9[Connector],,0)</f>
        <v>EVO2A</v>
      </c>
      <c r="S945" s="433" t="str">
        <f>_xlfn.XLOOKUP(PV_DATA[[#This Row],[New Ark SKU]],Table9[New Ark SKU],Table9[Cable],,0)</f>
        <v>±1200mm</v>
      </c>
      <c r="T945" s="433">
        <v>475</v>
      </c>
      <c r="U945" s="1062">
        <f>936*8</f>
        <v>7488</v>
      </c>
      <c r="V945" s="434">
        <f>PV_DATA[[#This Row],[QUANTITY]]*PV_DATA[[#This Row],[WATT]]/1000000</f>
        <v>3.5568</v>
      </c>
      <c r="W945" s="969">
        <f>PV_DATA[[#This Row],[QUANTITY]]/PV_DATA[[#This Row],[Qty/Pallet]]</f>
        <v>208</v>
      </c>
      <c r="X945" s="1015">
        <f>PV_DATA[[#This Row],[QUANTITY]]/PV_DATA[[#This Row],[Qty/CT]]</f>
        <v>8</v>
      </c>
      <c r="Y945" s="430" t="s">
        <v>4376</v>
      </c>
      <c r="Z945" s="430" t="str">
        <f t="shared" si="13"/>
        <v>COMPLETED</v>
      </c>
      <c r="AA945" s="430"/>
      <c r="AB945" s="437">
        <v>46271</v>
      </c>
      <c r="AC945" s="485">
        <f>IF(PV_DATA[[#This Row],[Pick-Up Date]]&lt;&gt;"",_xlfn.ISOWEEKNUM(PV_DATA[[#This Row],[Pick-Up Date]]),"")</f>
        <v>36</v>
      </c>
      <c r="AD945" s="430" t="s">
        <v>6315</v>
      </c>
      <c r="AE945" s="430"/>
      <c r="AF945" s="430" t="s">
        <v>122</v>
      </c>
      <c r="AG945" s="430" t="s">
        <v>123</v>
      </c>
      <c r="AH945" s="430" t="s">
        <v>78</v>
      </c>
      <c r="AI945" s="437">
        <v>46260</v>
      </c>
      <c r="AJ945" s="437">
        <v>46276</v>
      </c>
      <c r="AK945" s="437">
        <v>46277</v>
      </c>
      <c r="AL945" s="437">
        <v>46309</v>
      </c>
      <c r="AM945" s="437">
        <v>46317</v>
      </c>
      <c r="AN945" s="437">
        <v>46318</v>
      </c>
      <c r="AP945" s="430" t="s">
        <v>6312</v>
      </c>
      <c r="AQ945" s="438" t="s">
        <v>161</v>
      </c>
      <c r="AR945" s="430" t="s">
        <v>6313</v>
      </c>
      <c r="AS945" s="430">
        <v>274975950</v>
      </c>
      <c r="AT945" s="430">
        <v>274975950</v>
      </c>
      <c r="AU94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W945" s="437" cm="1">
        <f t="array" ref="AW94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46318</v>
      </c>
      <c r="AX94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945" s="437" t="str">
        <f>IF(ISERROR(PV_DATA[[#This Row],[New Ark PO status]]),"",_xlfn.XLOOKUP(PV_DATA[[#This Row],[SPTN-PVHK New Ark PO'#]],New_Ark_Data[Purchase order Number],New_Ark_Data[Estimated time of arrival],"",0))</f>
        <v/>
      </c>
      <c r="AZ945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45" s="437">
        <f>IFERROR(PV_DATA[[#This Row],[ODP ETA Port]]+PV_DATA[[#This Row],[Customs/Leg3 Assumption]],"n/a")</f>
        <v>46326</v>
      </c>
      <c r="BB945" s="433">
        <f>YEAR(PV_DATA[[#This Row],[ETA for New Ark update]])</f>
        <v>2026</v>
      </c>
      <c r="BC945" s="430">
        <f>MONTH(PV_DATA[[#This Row],[ETA for New Ark update]])</f>
        <v>10</v>
      </c>
      <c r="BD945" s="430">
        <f>IFERROR(_xlfn.ISOWEEKNUM(PV_DATA[[#This Row],[ETA for New Ark update]]),0)</f>
        <v>44</v>
      </c>
      <c r="BE945" s="430">
        <f>_xlfn.XLOOKUP(PV_DATA[[#This Row],[New Ark SKU]],Table9[New Ark SKU],Table9[Total PCS per Pallet],,0)</f>
        <v>36</v>
      </c>
      <c r="BF945" s="430">
        <f>_xlfn.XLOOKUP(PV_DATA[[#This Row],[New Ark SKU]],Table9[New Ark SKU],Table9[Total PCS per 40HQ Container],,0)</f>
        <v>936</v>
      </c>
      <c r="BG945" s="430" t="str">
        <f>_xlfn.XLOOKUP(PV_DATA[[#This Row],[New Ark SKU]],Table9[New Ark SKU],Table9[Back Glass],,0)</f>
        <v>White glazing</v>
      </c>
      <c r="BH945" s="610" t="str">
        <f>_xlfn.XLOOKUP(PV_DATA[[#This Row],[PORT DESTINATION]],Table12[PORT DESTINATION],Table12[Cosco Line],,0)</f>
        <v>AEM</v>
      </c>
      <c r="BJ945" s="430"/>
    </row>
    <row r="946" spans="1:62" ht="10.5" hidden="1">
      <c r="A946" s="462" t="s">
        <v>6316</v>
      </c>
      <c r="B946" s="935" t="s">
        <v>111</v>
      </c>
      <c r="C946" s="462" t="str">
        <f>IFERROR(LEFT(PV_DATA[[#This Row],[TCL REFERENCE]],FIND(".",PV_DATA[[#This Row],[TCL REFERENCE]],1)-1),"Main Line")</f>
        <v>26Jul016</v>
      </c>
      <c r="D946" s="935" t="s">
        <v>63</v>
      </c>
      <c r="E946" s="462" t="s">
        <v>64</v>
      </c>
      <c r="F946" s="462" t="str" cm="1">
        <f t="array" ref="F94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46" s="462" t="s">
        <v>402</v>
      </c>
      <c r="H946" s="462" t="s">
        <v>67</v>
      </c>
      <c r="I946" s="462" t="s">
        <v>689</v>
      </c>
      <c r="J946" s="430" t="s">
        <v>96</v>
      </c>
      <c r="K946" s="430"/>
      <c r="L946" s="430"/>
      <c r="M946" s="430" t="s">
        <v>68</v>
      </c>
      <c r="N946" s="1053">
        <v>46234</v>
      </c>
      <c r="O946" s="623" t="s">
        <v>5388</v>
      </c>
      <c r="P946" s="623" t="s">
        <v>5744</v>
      </c>
      <c r="Q946" s="623" t="s">
        <v>5745</v>
      </c>
      <c r="R946" s="430" t="str">
        <f>_xlfn.XLOOKUP(PV_DATA[[#This Row],[New Ark SKU]],Table9[New Ark SKU],Table9[Connector],,0)</f>
        <v>EVO2A</v>
      </c>
      <c r="S946" s="433" t="str">
        <f>_xlfn.XLOOKUP(PV_DATA[[#This Row],[New Ark SKU]],Table9[New Ark SKU],Table9[Cable],,0)</f>
        <v>±1200mm</v>
      </c>
      <c r="T946" s="964">
        <v>475</v>
      </c>
      <c r="U946" s="1062">
        <f>936*1</f>
        <v>936</v>
      </c>
      <c r="V946" s="965">
        <f>PV_DATA[[#This Row],[QUANTITY]]*PV_DATA[[#This Row],[WATT]]/1000000</f>
        <v>0.4446</v>
      </c>
      <c r="W946" s="435">
        <f>PV_DATA[[#This Row],[QUANTITY]]/PV_DATA[[#This Row],[Qty/Pallet]]</f>
        <v>26</v>
      </c>
      <c r="X946" s="1153">
        <f>PV_DATA[[#This Row],[QUANTITY]]/PV_DATA[[#This Row],[Qty/CT]]</f>
        <v>1</v>
      </c>
      <c r="Y946" s="430" t="s">
        <v>4375</v>
      </c>
      <c r="Z946" s="430" t="str">
        <f t="shared" si="13"/>
        <v>COMPLETED</v>
      </c>
      <c r="AA946" s="623" t="s">
        <v>6317</v>
      </c>
      <c r="AB946" s="966">
        <v>46271</v>
      </c>
      <c r="AC946" s="1154">
        <f>IF(PV_DATA[[#This Row],[Pick-Up Date]]&lt;&gt;"",_xlfn.ISOWEEKNUM(PV_DATA[[#This Row],[Pick-Up Date]]),"")</f>
        <v>36</v>
      </c>
      <c r="AD946" s="623" t="s">
        <v>6318</v>
      </c>
      <c r="AE946" s="623"/>
      <c r="AF946" s="430" t="s">
        <v>122</v>
      </c>
      <c r="AG946" s="430" t="s">
        <v>123</v>
      </c>
      <c r="AH946" s="430" t="s">
        <v>78</v>
      </c>
      <c r="AI946" s="437">
        <v>46260</v>
      </c>
      <c r="AJ946" s="437">
        <v>46277</v>
      </c>
      <c r="AK946" s="437">
        <v>46277</v>
      </c>
      <c r="AL946" s="437">
        <v>46309</v>
      </c>
      <c r="AM946" s="437">
        <v>46317</v>
      </c>
      <c r="AN946" s="437">
        <v>46318</v>
      </c>
      <c r="AP946" s="430" t="s">
        <v>6312</v>
      </c>
      <c r="AQ946" s="438" t="s">
        <v>161</v>
      </c>
      <c r="AR946" s="430" t="s">
        <v>6319</v>
      </c>
      <c r="AS946" s="430">
        <v>275569028</v>
      </c>
      <c r="AT946" s="430">
        <v>275569028</v>
      </c>
      <c r="AU94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V946" s="623"/>
      <c r="AW946" s="966" cm="1">
        <f t="array" ref="AW94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46318</v>
      </c>
      <c r="AX94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946" s="966" t="str">
        <f>IF(ISERROR(PV_DATA[[#This Row],[New Ark PO status]]),"",_xlfn.XLOOKUP(PV_DATA[[#This Row],[SPTN-PVHK New Ark PO'#]],New_Ark_Data[Purchase order Number],New_Ark_Data[Estimated time of arrival],"",0))</f>
        <v/>
      </c>
      <c r="AZ946" s="964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46" s="966">
        <f>IFERROR(PV_DATA[[#This Row],[ODP ETA Port]]+PV_DATA[[#This Row],[Customs/Leg3 Assumption]],"n/a")</f>
        <v>46326</v>
      </c>
      <c r="BB946" s="964">
        <f>YEAR(PV_DATA[[#This Row],[ETA for New Ark update]])</f>
        <v>2026</v>
      </c>
      <c r="BC946" s="623">
        <f>MONTH(PV_DATA[[#This Row],[ETA for New Ark update]])</f>
        <v>10</v>
      </c>
      <c r="BD946" s="623">
        <f>IFERROR(_xlfn.ISOWEEKNUM(PV_DATA[[#This Row],[ETA for New Ark update]]),0)</f>
        <v>44</v>
      </c>
      <c r="BE946" s="623">
        <f>_xlfn.XLOOKUP(PV_DATA[[#This Row],[New Ark SKU]],Table9[New Ark SKU],Table9[Total PCS per Pallet],,0)</f>
        <v>36</v>
      </c>
      <c r="BF946" s="623">
        <f>_xlfn.XLOOKUP(PV_DATA[[#This Row],[New Ark SKU]],Table9[New Ark SKU],Table9[Total PCS per 40HQ Container],,0)</f>
        <v>936</v>
      </c>
      <c r="BG946" s="623" t="str">
        <f>_xlfn.XLOOKUP(PV_DATA[[#This Row],[New Ark SKU]],Table9[New Ark SKU],Table9[Back Glass],,0)</f>
        <v>White glazing</v>
      </c>
      <c r="BH946" s="967" t="str">
        <f>_xlfn.XLOOKUP(PV_DATA[[#This Row],[PORT DESTINATION]],Table12[PORT DESTINATION],Table12[Cosco Line],,0)</f>
        <v>AEM</v>
      </c>
      <c r="BJ946" s="430"/>
    </row>
    <row r="947" spans="1:62" ht="10.5" hidden="1">
      <c r="A947" s="462" t="s">
        <v>6320</v>
      </c>
      <c r="B947" s="462" t="s">
        <v>111</v>
      </c>
      <c r="C947" s="462" t="str">
        <f>IFERROR(LEFT(PV_DATA[[#This Row],[TCL REFERENCE]],FIND(".",PV_DATA[[#This Row],[TCL REFERENCE]],1)-1),"Main Line")</f>
        <v>26Aug001</v>
      </c>
      <c r="D947" s="462" t="s">
        <v>63</v>
      </c>
      <c r="E947" s="462" t="s">
        <v>64</v>
      </c>
      <c r="F947" s="462" t="str" cm="1">
        <f t="array" ref="F94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47" s="462" t="s">
        <v>402</v>
      </c>
      <c r="H947" s="462" t="s">
        <v>67</v>
      </c>
      <c r="I947" s="462" t="s">
        <v>689</v>
      </c>
      <c r="J947" s="430" t="s">
        <v>96</v>
      </c>
      <c r="K947" s="430"/>
      <c r="L947" s="430"/>
      <c r="M947" s="430" t="s">
        <v>68</v>
      </c>
      <c r="N947" s="432">
        <v>46215</v>
      </c>
      <c r="O947" s="430" t="s">
        <v>550</v>
      </c>
      <c r="P947" s="430" t="s">
        <v>551</v>
      </c>
      <c r="Q947" s="430" t="s">
        <v>2151</v>
      </c>
      <c r="R947" s="430" t="str">
        <f>_xlfn.XLOOKUP(PV_DATA[[#This Row],[New Ark SKU]],Table9[New Ark SKU],Table9[Connector],,0)</f>
        <v>EVO2A</v>
      </c>
      <c r="S947" s="433" t="str">
        <f>_xlfn.XLOOKUP(PV_DATA[[#This Row],[New Ark SKU]],Table9[New Ark SKU],Table9[Cable],,0)</f>
        <v>±1350mm</v>
      </c>
      <c r="T947" s="433">
        <v>510</v>
      </c>
      <c r="U947" s="1062">
        <f>792*4</f>
        <v>3168</v>
      </c>
      <c r="V947" s="434">
        <f>PV_DATA[[#This Row],[QUANTITY]]*PV_DATA[[#This Row],[WATT]]/1000000</f>
        <v>1.61568</v>
      </c>
      <c r="W947" s="435">
        <f>PV_DATA[[#This Row],[QUANTITY]]/PV_DATA[[#This Row],[Qty/Pallet]]</f>
        <v>88</v>
      </c>
      <c r="X947" s="1015">
        <f>PV_DATA[[#This Row],[QUANTITY]]/PV_DATA[[#This Row],[Qty/CT]]</f>
        <v>4</v>
      </c>
      <c r="Y947" s="430" t="s">
        <v>4375</v>
      </c>
      <c r="Z947" s="430" t="str">
        <f t="shared" si="13"/>
        <v>COMPLETED</v>
      </c>
      <c r="AA947" s="430"/>
      <c r="AB947" s="437">
        <v>46271</v>
      </c>
      <c r="AC947" s="485">
        <f>IF(PV_DATA[[#This Row],[Pick-Up Date]]&lt;&gt;"",_xlfn.ISOWEEKNUM(PV_DATA[[#This Row],[Pick-Up Date]]),"")</f>
        <v>36</v>
      </c>
      <c r="AD947" s="430" t="s">
        <v>6321</v>
      </c>
      <c r="AE947" s="430"/>
      <c r="AF947" s="430" t="s">
        <v>122</v>
      </c>
      <c r="AG947" s="430" t="s">
        <v>123</v>
      </c>
      <c r="AH947" s="430" t="s">
        <v>78</v>
      </c>
      <c r="AI947" s="437">
        <v>46260</v>
      </c>
      <c r="AJ947" s="437">
        <v>46277</v>
      </c>
      <c r="AK947" s="437">
        <v>46277</v>
      </c>
      <c r="AL947" s="437">
        <v>46309</v>
      </c>
      <c r="AM947" s="1195">
        <v>46317</v>
      </c>
      <c r="AN947" s="437">
        <v>46318</v>
      </c>
      <c r="AP947" s="430" t="s">
        <v>6312</v>
      </c>
      <c r="AQ947" s="438" t="s">
        <v>161</v>
      </c>
      <c r="AR947" s="430" t="s">
        <v>6319</v>
      </c>
      <c r="AS947" s="430">
        <v>275569028</v>
      </c>
      <c r="AT947" s="430">
        <v>275569028</v>
      </c>
      <c r="AU94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W947" s="437" cm="1">
        <f t="array" ref="AW94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46318</v>
      </c>
      <c r="AX94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947" s="437" t="str">
        <f>IF(ISERROR(PV_DATA[[#This Row],[New Ark PO status]]),"",_xlfn.XLOOKUP(PV_DATA[[#This Row],[SPTN-PVHK New Ark PO'#]],New_Ark_Data[Purchase order Number],New_Ark_Data[Estimated time of arrival],"",0))</f>
        <v/>
      </c>
      <c r="AZ947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47" s="437">
        <f>IFERROR(PV_DATA[[#This Row],[ODP ETA Port]]+PV_DATA[[#This Row],[Customs/Leg3 Assumption]],"n/a")</f>
        <v>46326</v>
      </c>
      <c r="BB947" s="433">
        <f>YEAR(PV_DATA[[#This Row],[ETA for New Ark update]])</f>
        <v>2026</v>
      </c>
      <c r="BC947" s="430">
        <f>MONTH(PV_DATA[[#This Row],[ETA for New Ark update]])</f>
        <v>10</v>
      </c>
      <c r="BD947" s="430">
        <f>IFERROR(_xlfn.ISOWEEKNUM(PV_DATA[[#This Row],[ETA for New Ark update]]),0)</f>
        <v>44</v>
      </c>
      <c r="BE947" s="430">
        <f>_xlfn.XLOOKUP(PV_DATA[[#This Row],[New Ark SKU]],Table9[New Ark SKU],Table9[Total PCS per Pallet],,0)</f>
        <v>36</v>
      </c>
      <c r="BF947" s="430">
        <f>_xlfn.XLOOKUP(PV_DATA[[#This Row],[New Ark SKU]],Table9[New Ark SKU],Table9[Total PCS per 40HQ Container],,0)</f>
        <v>792</v>
      </c>
      <c r="BG947" s="430" t="str">
        <f>_xlfn.XLOOKUP(PV_DATA[[#This Row],[New Ark SKU]],Table9[New Ark SKU],Table9[Back Glass],,0)</f>
        <v>Black glazing</v>
      </c>
      <c r="BH947" s="610" t="str">
        <f>_xlfn.XLOOKUP(PV_DATA[[#This Row],[PORT DESTINATION]],Table12[PORT DESTINATION],Table12[Cosco Line],,0)</f>
        <v>AEM</v>
      </c>
      <c r="BJ947" s="430"/>
    </row>
    <row r="948" spans="1:62" ht="10.5" hidden="1">
      <c r="A948" s="462" t="s">
        <v>6322</v>
      </c>
      <c r="B948" s="462" t="s">
        <v>111</v>
      </c>
      <c r="C948" s="462" t="str">
        <f>IFERROR(LEFT(PV_DATA[[#This Row],[TCL REFERENCE]],FIND(".",PV_DATA[[#This Row],[TCL REFERENCE]],1)-1),"Main Line")</f>
        <v>26Jul019</v>
      </c>
      <c r="D948" s="462" t="s">
        <v>63</v>
      </c>
      <c r="E948" s="462" t="s">
        <v>64</v>
      </c>
      <c r="F948" s="462" t="str" cm="1">
        <f t="array" ref="F94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48" s="462" t="s">
        <v>402</v>
      </c>
      <c r="H948" s="462" t="s">
        <v>67</v>
      </c>
      <c r="I948" s="462" t="s">
        <v>689</v>
      </c>
      <c r="J948" s="430" t="s">
        <v>96</v>
      </c>
      <c r="K948" s="430"/>
      <c r="L948" s="430"/>
      <c r="M948" s="430" t="s">
        <v>68</v>
      </c>
      <c r="N948" s="432">
        <v>46234</v>
      </c>
      <c r="O948" s="430" t="s">
        <v>5388</v>
      </c>
      <c r="P948" s="430" t="s">
        <v>6291</v>
      </c>
      <c r="Q948" s="430" t="s">
        <v>6292</v>
      </c>
      <c r="R948" s="430" t="str">
        <f>_xlfn.XLOOKUP(PV_DATA[[#This Row],[New Ark SKU]],Table9[New Ark SKU],Table9[Connector],,0)</f>
        <v>EVO2A</v>
      </c>
      <c r="S948" s="433" t="str">
        <f>_xlfn.XLOOKUP(PV_DATA[[#This Row],[New Ark SKU]],Table9[New Ark SKU],Table9[Cable],,0)</f>
        <v>±1200mm</v>
      </c>
      <c r="T948" s="433">
        <v>480</v>
      </c>
      <c r="U948" s="1062">
        <v>1872</v>
      </c>
      <c r="V948" s="434">
        <f>PV_DATA[[#This Row],[QUANTITY]]*PV_DATA[[#This Row],[WATT]]/1000000</f>
        <v>0.89856000000000003</v>
      </c>
      <c r="W948" s="435">
        <f>PV_DATA[[#This Row],[QUANTITY]]/PV_DATA[[#This Row],[Qty/Pallet]]</f>
        <v>52</v>
      </c>
      <c r="X948" s="1015">
        <f>PV_DATA[[#This Row],[QUANTITY]]/PV_DATA[[#This Row],[Qty/CT]]</f>
        <v>2</v>
      </c>
      <c r="Y948" s="430" t="s">
        <v>4375</v>
      </c>
      <c r="Z948" s="430" t="str">
        <f t="shared" si="13"/>
        <v>COMPLETED</v>
      </c>
      <c r="AA948" s="430" t="s">
        <v>6317</v>
      </c>
      <c r="AB948" s="437">
        <v>46271</v>
      </c>
      <c r="AC948" s="485">
        <f>IF(PV_DATA[[#This Row],[Pick-Up Date]]&lt;&gt;"",_xlfn.ISOWEEKNUM(PV_DATA[[#This Row],[Pick-Up Date]]),"")</f>
        <v>36</v>
      </c>
      <c r="AD948" s="430" t="s">
        <v>6323</v>
      </c>
      <c r="AE948" s="430"/>
      <c r="AF948" s="430" t="s">
        <v>122</v>
      </c>
      <c r="AG948" s="430" t="s">
        <v>123</v>
      </c>
      <c r="AH948" s="430" t="s">
        <v>78</v>
      </c>
      <c r="AI948" s="437">
        <v>46260</v>
      </c>
      <c r="AJ948" s="437">
        <v>46277</v>
      </c>
      <c r="AK948" s="437">
        <v>46277</v>
      </c>
      <c r="AL948" s="437">
        <v>46309</v>
      </c>
      <c r="AM948" s="437">
        <v>46317</v>
      </c>
      <c r="AN948" s="437">
        <v>46318</v>
      </c>
      <c r="AP948" s="430" t="s">
        <v>6312</v>
      </c>
      <c r="AQ948" s="438" t="s">
        <v>161</v>
      </c>
      <c r="AR948" s="430" t="s">
        <v>6319</v>
      </c>
      <c r="AS948" s="430">
        <v>275569028</v>
      </c>
      <c r="AT948" s="430">
        <v>275569028</v>
      </c>
      <c r="AU94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W948" s="437" cm="1">
        <f t="array" ref="AW94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46318</v>
      </c>
      <c r="AX94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948" s="437" t="str">
        <f>IF(ISERROR(PV_DATA[[#This Row],[New Ark PO status]]),"",_xlfn.XLOOKUP(PV_DATA[[#This Row],[SPTN-PVHK New Ark PO'#]],New_Ark_Data[Purchase order Number],New_Ark_Data[Estimated time of arrival],"",0))</f>
        <v/>
      </c>
      <c r="AZ948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48" s="437">
        <f>IFERROR(PV_DATA[[#This Row],[ODP ETA Port]]+PV_DATA[[#This Row],[Customs/Leg3 Assumption]],"n/a")</f>
        <v>46326</v>
      </c>
      <c r="BB948" s="433">
        <f>YEAR(PV_DATA[[#This Row],[ETA for New Ark update]])</f>
        <v>2026</v>
      </c>
      <c r="BC948" s="430">
        <f>MONTH(PV_DATA[[#This Row],[ETA for New Ark update]])</f>
        <v>10</v>
      </c>
      <c r="BD948" s="430">
        <f>IFERROR(_xlfn.ISOWEEKNUM(PV_DATA[[#This Row],[ETA for New Ark update]]),0)</f>
        <v>44</v>
      </c>
      <c r="BE948" s="430">
        <f>_xlfn.XLOOKUP(PV_DATA[[#This Row],[New Ark SKU]],Table9[New Ark SKU],Table9[Total PCS per Pallet],,0)</f>
        <v>36</v>
      </c>
      <c r="BF948" s="430">
        <f>_xlfn.XLOOKUP(PV_DATA[[#This Row],[New Ark SKU]],Table9[New Ark SKU],Table9[Total PCS per 40HQ Container],,0)</f>
        <v>936</v>
      </c>
      <c r="BG948" s="430" t="str">
        <f>_xlfn.XLOOKUP(PV_DATA[[#This Row],[New Ark SKU]],Table9[New Ark SKU],Table9[Back Glass],,0)</f>
        <v>White glazing</v>
      </c>
      <c r="BH948" s="430" t="str">
        <f>_xlfn.XLOOKUP(PV_DATA[[#This Row],[PORT DESTINATION]],Table12[PORT DESTINATION],Table12[Cosco Line],,0)</f>
        <v>AEM</v>
      </c>
      <c r="BJ948" s="430"/>
    </row>
    <row r="949" spans="1:62" s="431" customFormat="1" ht="10.5" hidden="1">
      <c r="A949" s="727" t="s">
        <v>6324</v>
      </c>
      <c r="B949" s="726" t="s">
        <v>111</v>
      </c>
      <c r="C949" s="439" t="str">
        <f>IFERROR(LEFT(PV_DATA[[#This Row],[TCL REFERENCE]],FIND(".",PV_DATA[[#This Row],[TCL REFERENCE]],1)-1),"Main Line")</f>
        <v>26Aug002</v>
      </c>
      <c r="D949" s="726" t="s">
        <v>63</v>
      </c>
      <c r="E949" s="439" t="s">
        <v>64</v>
      </c>
      <c r="F949" s="726" t="str" cm="1">
        <f t="array" ref="F94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949" s="439" t="s">
        <v>402</v>
      </c>
      <c r="H949" s="439" t="s">
        <v>311</v>
      </c>
      <c r="I949" s="439" t="s">
        <v>689</v>
      </c>
      <c r="J949" s="431" t="s">
        <v>96</v>
      </c>
      <c r="L949" s="619"/>
      <c r="M949" s="431" t="s">
        <v>6325</v>
      </c>
      <c r="N949" s="630">
        <v>46215</v>
      </c>
      <c r="O949" s="619" t="s">
        <v>550</v>
      </c>
      <c r="P949" s="619" t="s">
        <v>2134</v>
      </c>
      <c r="Q949" s="619" t="s">
        <v>2135</v>
      </c>
      <c r="R949" s="430" t="str">
        <f>_xlfn.XLOOKUP(PV_DATA[[#This Row],[New Ark SKU]],Table9[New Ark SKU],Table9[Connector],,0)</f>
        <v>EVO2A</v>
      </c>
      <c r="S949" s="433" t="str">
        <f>_xlfn.XLOOKUP(PV_DATA[[#This Row],[New Ark SKU]],Table9[New Ark SKU],Table9[Cable],,0)</f>
        <v>±1350mm</v>
      </c>
      <c r="T949" s="620">
        <v>515</v>
      </c>
      <c r="U949" s="1067">
        <v>792</v>
      </c>
      <c r="V949" s="624">
        <f>PV_DATA[[#This Row],[QUANTITY]]*PV_DATA[[#This Row],[WATT]]/1000000</f>
        <v>0.40788000000000002</v>
      </c>
      <c r="W949" s="466">
        <f>PV_DATA[[#This Row],[QUANTITY]]/PV_DATA[[#This Row],[Qty/Pallet]]</f>
        <v>22</v>
      </c>
      <c r="X949" s="1022">
        <f>PV_DATA[[#This Row],[QUANTITY]]/PV_DATA[[#This Row],[Qty/CT]]</f>
        <v>1</v>
      </c>
      <c r="Y949" s="431" t="s">
        <v>4376</v>
      </c>
      <c r="Z949" s="431" t="str">
        <f t="shared" si="13"/>
        <v>IN-TRANSIT</v>
      </c>
      <c r="AA949" s="619" t="s">
        <v>5862</v>
      </c>
      <c r="AB949" s="896">
        <v>46267</v>
      </c>
      <c r="AC949" s="627">
        <f>IF(PV_DATA[[#This Row],[Pick-Up Date]]&lt;&gt;"",_xlfn.ISOWEEKNUM(PV_DATA[[#This Row],[Pick-Up Date]]),"")</f>
        <v>36</v>
      </c>
      <c r="AD949" s="619" t="s">
        <v>6326</v>
      </c>
      <c r="AE949" s="619"/>
      <c r="AF949" s="619" t="s">
        <v>1525</v>
      </c>
      <c r="AG949" s="619" t="s">
        <v>6003</v>
      </c>
      <c r="AH949" s="447" t="s">
        <v>1561</v>
      </c>
      <c r="AI949" s="626">
        <v>46263</v>
      </c>
      <c r="AJ949" s="626">
        <v>46271</v>
      </c>
      <c r="AK949" s="437">
        <f>IFERROR(IF(VLOOKUP(AT949,Vessel!A:F,5,FALSE)=0,"",VLOOKUP(AT949,Vessel!A:F,5,FALSE)),"")</f>
        <v>46270.981307870374</v>
      </c>
      <c r="AL949" s="626">
        <v>46318</v>
      </c>
      <c r="AM949" s="1194">
        <f>IFERROR(VLOOKUP(AT949, Vessel!A:H, 8, FALSE), "")</f>
        <v>46330.75</v>
      </c>
      <c r="AN949" s="939" t="str">
        <f>IFERROR(IF(VLOOKUP(AT949,Vessel!A:I,9,FALSE)=0,"",VLOOKUP(AT949,Vessel!A:I,9,FALSE)),"")</f>
        <v/>
      </c>
      <c r="AO949" s="619"/>
      <c r="AP949" s="619" t="s">
        <v>6327</v>
      </c>
      <c r="AQ949" s="628" t="s">
        <v>80</v>
      </c>
      <c r="AR949" s="726" t="s">
        <v>6328</v>
      </c>
      <c r="AS949" s="619" t="s">
        <v>6329</v>
      </c>
      <c r="AT949" s="431" t="s">
        <v>6329</v>
      </c>
      <c r="AU94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59.768692129626288</v>
      </c>
      <c r="AV949" s="619"/>
      <c r="AW949" s="626" cm="1">
        <f t="array" ref="AW94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46330.75</v>
      </c>
      <c r="AX94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949" s="626" t="str">
        <f>IF(ISERROR(PV_DATA[[#This Row],[New Ark PO status]]),"",_xlfn.XLOOKUP(PV_DATA[[#This Row],[SPTN-PVHK New Ark PO'#]],New_Ark_Data[Purchase order Number],New_Ark_Data[Estimated time of arrival],"",0))</f>
        <v/>
      </c>
      <c r="AZ949" s="620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949" s="626">
        <f>IFERROR(PV_DATA[[#This Row],[ODP ETA Port]]+PV_DATA[[#This Row],[Customs/Leg3 Assumption]],"n/a")</f>
        <v>46340.75</v>
      </c>
      <c r="BB949" s="620">
        <f>YEAR(PV_DATA[[#This Row],[ETA for New Ark update]])</f>
        <v>2026</v>
      </c>
      <c r="BC949" s="619">
        <f>MONTH(PV_DATA[[#This Row],[ETA for New Ark update]])</f>
        <v>11</v>
      </c>
      <c r="BD949" s="619">
        <f>IFERROR(_xlfn.ISOWEEKNUM(PV_DATA[[#This Row],[ETA for New Ark update]]),0)</f>
        <v>46</v>
      </c>
      <c r="BE949" s="619">
        <f>_xlfn.XLOOKUP(PV_DATA[[#This Row],[New Ark SKU]],Table9[New Ark SKU],Table9[Total PCS per Pallet],,0)</f>
        <v>36</v>
      </c>
      <c r="BF949" s="619">
        <f>_xlfn.XLOOKUP(PV_DATA[[#This Row],[New Ark SKU]],Table9[New Ark SKU],Table9[Total PCS per 40HQ Container],,0)</f>
        <v>792</v>
      </c>
      <c r="BG949" s="619" t="str">
        <f>_xlfn.XLOOKUP(PV_DATA[[#This Row],[New Ark SKU]],Table9[New Ark SKU],Table9[Back Glass],,0)</f>
        <v>Black glazing</v>
      </c>
      <c r="BH949" s="629" t="str">
        <f>_xlfn.XLOOKUP(PV_DATA[[#This Row],[PORT DESTINATION]],Table12[PORT DESTINATION],Table12[Cosco Line],,0)</f>
        <v>AEM</v>
      </c>
    </row>
    <row r="950" spans="1:62" ht="10.5" hidden="1">
      <c r="A950" s="941" t="s">
        <v>6330</v>
      </c>
      <c r="B950" s="935" t="s">
        <v>1757</v>
      </c>
      <c r="C950" s="935" t="str">
        <f>IFERROR(LEFT(PV_DATA[[#This Row],[TCL REFERENCE]],FIND(".",PV_DATA[[#This Row],[TCL REFERENCE]],1)-1),"Main Line")</f>
        <v>26Aug008</v>
      </c>
      <c r="D950" s="935" t="s">
        <v>63</v>
      </c>
      <c r="E950" s="462" t="s">
        <v>144</v>
      </c>
      <c r="F950" s="462" t="str" cm="1">
        <f t="array" ref="F95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50" s="462" t="s">
        <v>402</v>
      </c>
      <c r="H950" s="462" t="s">
        <v>6331</v>
      </c>
      <c r="I950" s="462" t="s">
        <v>1395</v>
      </c>
      <c r="J950" s="430" t="s">
        <v>6332</v>
      </c>
      <c r="K950" s="430" t="s">
        <v>6333</v>
      </c>
      <c r="L950" s="430">
        <v>1</v>
      </c>
      <c r="M950" s="430" t="s">
        <v>840</v>
      </c>
      <c r="N950" s="432" t="s">
        <v>6212</v>
      </c>
      <c r="O950" s="623" t="s">
        <v>284</v>
      </c>
      <c r="P950" s="623" t="s">
        <v>6219</v>
      </c>
      <c r="Q950" s="623" t="s">
        <v>6220</v>
      </c>
      <c r="R950" s="430" t="str">
        <f>_xlfn.XLOOKUP(PV_DATA[[#This Row],[New Ark SKU]],Table9[New Ark SKU],Table9[Connector],,0)</f>
        <v>EVO2A</v>
      </c>
      <c r="S950" s="433" t="str">
        <f>_xlfn.XLOOKUP(PV_DATA[[#This Row],[New Ark SKU]],Table9[New Ark SKU],Table9[Cable],,0)</f>
        <v>±1200mm</v>
      </c>
      <c r="T950" s="964">
        <v>490</v>
      </c>
      <c r="U950" s="1074">
        <f>936*1</f>
        <v>936</v>
      </c>
      <c r="V950" s="965">
        <f>PV_DATA[[#This Row],[QUANTITY]]*PV_DATA[[#This Row],[WATT]]/1000000</f>
        <v>0.45863999999999999</v>
      </c>
      <c r="W950" s="969">
        <f>PV_DATA[[#This Row],[QUANTITY]]/36</f>
        <v>26</v>
      </c>
      <c r="X950" s="1015">
        <f>PV_DATA[[#This Row],[QUANTITY]]/PV_DATA[[#This Row],[Qty/CT]]</f>
        <v>1</v>
      </c>
      <c r="Y950" s="430" t="s">
        <v>4374</v>
      </c>
      <c r="Z950" s="430" t="str">
        <f t="shared" si="13"/>
        <v>COMPLETED</v>
      </c>
      <c r="AA950" s="1051" t="s">
        <v>5862</v>
      </c>
      <c r="AB950" s="543">
        <v>46264</v>
      </c>
      <c r="AC950" s="485">
        <f>IF(PV_DATA[[#This Row],[Pick-Up Date]]&lt;&gt;"",_xlfn.ISOWEEKNUM(PV_DATA[[#This Row],[Pick-Up Date]]),"")</f>
        <v>35</v>
      </c>
      <c r="AD950" s="623" t="s">
        <v>6334</v>
      </c>
      <c r="AE950" s="623"/>
      <c r="AF950" s="1052" t="s">
        <v>1525</v>
      </c>
      <c r="AG950" s="430" t="s">
        <v>6003</v>
      </c>
      <c r="AH950" s="430" t="s">
        <v>456</v>
      </c>
      <c r="AI950" s="437">
        <v>46262</v>
      </c>
      <c r="AJ950" s="437">
        <f>IFERROR(VLOOKUP(AT950, Vessel!A:D, 4, FALSE), "")</f>
        <v>46269.041666666664</v>
      </c>
      <c r="AK950" s="437">
        <f>IFERROR(IF(VLOOKUP(AT950,Vessel!A:F,5,FALSE)=0,"",VLOOKUP(AT950,Vessel!A:F,5,FALSE)),"")</f>
        <v>46269.101157407407</v>
      </c>
      <c r="AL950" s="1078">
        <v>46299</v>
      </c>
      <c r="AM950" s="939">
        <f>IFERROR(VLOOKUP(AT950, Vessel!A:H, 8, FALSE), "")</f>
        <v>46317.25</v>
      </c>
      <c r="AN950" s="939">
        <f>IFERROR(IF(VLOOKUP(AT950,Vessel!A:I,9,FALSE)=0,"",VLOOKUP(AT950,Vessel!A:I,9,FALSE)),"")</f>
        <v>46317.282534722224</v>
      </c>
      <c r="AO950" s="438"/>
      <c r="AP950" s="430" t="s">
        <v>6335</v>
      </c>
      <c r="AQ950" s="430" t="s">
        <v>80</v>
      </c>
      <c r="AR950" s="462" t="s">
        <v>6336</v>
      </c>
      <c r="AS950" s="430" t="s">
        <v>6337</v>
      </c>
      <c r="AT950" s="430" t="s">
        <v>6337</v>
      </c>
      <c r="AU95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48.181377314816928</v>
      </c>
      <c r="AW950" s="437" cm="1">
        <f t="array" ref="AW95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46317.282534722224</v>
      </c>
      <c r="AX95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50" s="437">
        <f>IF(ISERROR(PV_DATA[[#This Row],[New Ark PO status]]),"",_xlfn.XLOOKUP(PV_DATA[[#This Row],[SPTN-PVHK New Ark PO'#]],New_Ark_Data[Purchase order Number],New_Ark_Data[Estimated time of arrival],"",0))</f>
        <v>46307</v>
      </c>
      <c r="AZ950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50" s="437">
        <f>IFERROR(PV_DATA[[#This Row],[ODP ETA Port]]+PV_DATA[[#This Row],[Customs/Leg3 Assumption]],"n/a")</f>
        <v>46317.282534722224</v>
      </c>
      <c r="BB950" s="433">
        <f>YEAR(PV_DATA[[#This Row],[ETA for New Ark update]])</f>
        <v>2026</v>
      </c>
      <c r="BC950" s="430">
        <f>MONTH(PV_DATA[[#This Row],[ETA for New Ark update]])</f>
        <v>10</v>
      </c>
      <c r="BD950" s="430">
        <f>IFERROR(_xlfn.ISOWEEKNUM(PV_DATA[[#This Row],[ETA for New Ark update]]),0)</f>
        <v>43</v>
      </c>
      <c r="BE950" s="430">
        <f>_xlfn.XLOOKUP(PV_DATA[[#This Row],[New Ark SKU]],Table9[New Ark SKU],Table9[Total PCS per Pallet],,0)</f>
        <v>36</v>
      </c>
      <c r="BF950" s="430">
        <f>_xlfn.XLOOKUP(PV_DATA[[#This Row],[New Ark SKU]],Table9[New Ark SKU],Table9[Total PCS per 40HQ Container],,0)</f>
        <v>936</v>
      </c>
      <c r="BG950" s="610" t="str">
        <f>_xlfn.XLOOKUP(PV_DATA[[#This Row],[New Ark SKU]],Table9[New Ark SKU],Table9[Back Glass],,0)</f>
        <v>Black glazing</v>
      </c>
      <c r="BH950" s="967" t="str">
        <f>_xlfn.XLOOKUP(PV_DATA[[#This Row],[PORT DESTINATION]],Table12[PORT DESTINATION],Table12[Cosco Line],,0)</f>
        <v>AEU</v>
      </c>
      <c r="BJ950" s="430"/>
    </row>
    <row r="951" spans="1:62" ht="10.5" hidden="1">
      <c r="A951" s="941" t="s">
        <v>6338</v>
      </c>
      <c r="B951" s="935" t="s">
        <v>1757</v>
      </c>
      <c r="C951" s="462" t="str">
        <f>IFERROR(LEFT(PV_DATA[[#This Row],[TCL REFERENCE]],FIND(".",PV_DATA[[#This Row],[TCL REFERENCE]],1)-1),"Main Line")</f>
        <v>26Aug008</v>
      </c>
      <c r="D951" s="935" t="s">
        <v>63</v>
      </c>
      <c r="E951" s="935" t="s">
        <v>64</v>
      </c>
      <c r="F951" s="462" t="str" cm="1">
        <f t="array" ref="F95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951" s="935" t="s">
        <v>402</v>
      </c>
      <c r="H951" s="462" t="s">
        <v>451</v>
      </c>
      <c r="I951" s="462" t="s">
        <v>1395</v>
      </c>
      <c r="J951" s="623" t="s">
        <v>6339</v>
      </c>
      <c r="K951" s="430"/>
      <c r="L951" s="432"/>
      <c r="M951" s="430" t="s">
        <v>68</v>
      </c>
      <c r="N951" s="432" t="s">
        <v>6212</v>
      </c>
      <c r="O951" s="623" t="s">
        <v>284</v>
      </c>
      <c r="P951" s="623" t="s">
        <v>6219</v>
      </c>
      <c r="Q951" s="623" t="s">
        <v>6220</v>
      </c>
      <c r="R951" s="430" t="str">
        <f>_xlfn.XLOOKUP(PV_DATA[[#This Row],[New Ark SKU]],Table9[New Ark SKU],Table9[Connector],,0)</f>
        <v>EVO2A</v>
      </c>
      <c r="S951" s="433" t="str">
        <f>_xlfn.XLOOKUP(PV_DATA[[#This Row],[New Ark SKU]],Table9[New Ark SKU],Table9[Cable],,0)</f>
        <v>±1200mm</v>
      </c>
      <c r="T951" s="964">
        <v>490</v>
      </c>
      <c r="U951" s="1074">
        <v>1872</v>
      </c>
      <c r="V951" s="965">
        <f>PV_DATA[[#This Row],[QUANTITY]]*PV_DATA[[#This Row],[WATT]]/1000000</f>
        <v>0.91727999999999998</v>
      </c>
      <c r="W951" s="969">
        <f>PV_DATA[[#This Row],[QUANTITY]]/36</f>
        <v>52</v>
      </c>
      <c r="X951" s="1015">
        <f>PV_DATA[[#This Row],[QUANTITY]]/PV_DATA[[#This Row],[Qty/CT]]</f>
        <v>2</v>
      </c>
      <c r="Y951" s="430" t="s">
        <v>4375</v>
      </c>
      <c r="Z951" s="430" t="str">
        <f t="shared" si="13"/>
        <v>COMPLETED</v>
      </c>
      <c r="AA951" s="1051" t="s">
        <v>5862</v>
      </c>
      <c r="AB951" s="543">
        <v>46264</v>
      </c>
      <c r="AC951" s="485">
        <f>IF(PV_DATA[[#This Row],[Pick-Up Date]]&lt;&gt;"",_xlfn.ISOWEEKNUM(PV_DATA[[#This Row],[Pick-Up Date]]),"")</f>
        <v>35</v>
      </c>
      <c r="AD951" s="430" t="s">
        <v>6340</v>
      </c>
      <c r="AE951" s="430"/>
      <c r="AF951" s="430" t="s">
        <v>1525</v>
      </c>
      <c r="AG951" s="430" t="s">
        <v>6003</v>
      </c>
      <c r="AH951" s="430" t="s">
        <v>456</v>
      </c>
      <c r="AI951" s="437">
        <v>46260</v>
      </c>
      <c r="AJ951" s="437">
        <f>IFERROR(VLOOKUP(AT951, Vessel!A:D, 4, FALSE), "")</f>
        <v>46269.041666666664</v>
      </c>
      <c r="AK951" s="437">
        <f>IFERROR(IF(VLOOKUP(AT951,Vessel!A:F,5,FALSE)=0,"",VLOOKUP(AT951,Vessel!A:F,5,FALSE)),"")</f>
        <v>46269.101157407407</v>
      </c>
      <c r="AL951" s="1078">
        <v>46299</v>
      </c>
      <c r="AM951" s="939">
        <f>IFERROR(VLOOKUP(AT951, Vessel!A:H, 8, FALSE), "")</f>
        <v>46317.25</v>
      </c>
      <c r="AN951" s="939">
        <f>IFERROR(IF(VLOOKUP(AT951,Vessel!A:I,9,FALSE)=0,"",VLOOKUP(AT951,Vessel!A:I,9,FALSE)),"")</f>
        <v>46317.282534722224</v>
      </c>
      <c r="AO951" s="438"/>
      <c r="AP951" s="430" t="s">
        <v>6335</v>
      </c>
      <c r="AQ951" s="430" t="s">
        <v>80</v>
      </c>
      <c r="AR951" s="462" t="s">
        <v>6341</v>
      </c>
      <c r="AS951" s="430" t="s">
        <v>6342</v>
      </c>
      <c r="AT951" s="430" t="s">
        <v>6342</v>
      </c>
      <c r="AU95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48.181377314816928</v>
      </c>
      <c r="AV951" s="433"/>
      <c r="AW951" s="437" cm="1">
        <f t="array" ref="AW95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46317.282534722224</v>
      </c>
      <c r="AX95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51" s="437">
        <f>IF(ISERROR(PV_DATA[[#This Row],[New Ark PO status]]),"",_xlfn.XLOOKUP(PV_DATA[[#This Row],[SPTN-PVHK New Ark PO'#]],New_Ark_Data[Purchase order Number],New_Ark_Data[Estimated time of arrival],"",0))</f>
        <v>46314</v>
      </c>
      <c r="AZ951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51" s="437">
        <f>IFERROR(PV_DATA[[#This Row],[ODP ETA Port]]+PV_DATA[[#This Row],[Customs/Leg3 Assumption]],"n/a")</f>
        <v>46324.282534722224</v>
      </c>
      <c r="BB951" s="433">
        <f>YEAR(PV_DATA[[#This Row],[ETA for New Ark update]])</f>
        <v>2026</v>
      </c>
      <c r="BC951" s="430">
        <f>MONTH(PV_DATA[[#This Row],[ETA for New Ark update]])</f>
        <v>10</v>
      </c>
      <c r="BD951" s="430">
        <f>IFERROR(_xlfn.ISOWEEKNUM(PV_DATA[[#This Row],[ETA for New Ark update]]),0)</f>
        <v>44</v>
      </c>
      <c r="BE951" s="430">
        <f>_xlfn.XLOOKUP(PV_DATA[[#This Row],[New Ark SKU]],Table9[New Ark SKU],Table9[Total PCS per Pallet],,0)</f>
        <v>36</v>
      </c>
      <c r="BF951" s="430">
        <f>_xlfn.XLOOKUP(PV_DATA[[#This Row],[New Ark SKU]],Table9[New Ark SKU],Table9[Total PCS per 40HQ Container],,0)</f>
        <v>936</v>
      </c>
      <c r="BG951" s="430" t="str">
        <f>_xlfn.XLOOKUP(PV_DATA[[#This Row],[New Ark SKU]],Table9[New Ark SKU],Table9[Back Glass],,0)</f>
        <v>Black glazing</v>
      </c>
      <c r="BH951" s="610" t="str">
        <f>_xlfn.XLOOKUP(PV_DATA[[#This Row],[PORT DESTINATION]],Table12[PORT DESTINATION],Table12[Cosco Line],,0)</f>
        <v>AEU</v>
      </c>
      <c r="BJ951" s="430"/>
    </row>
    <row r="952" spans="1:62" s="462" customFormat="1" ht="10.5" hidden="1">
      <c r="A952" s="729" t="s">
        <v>6343</v>
      </c>
      <c r="B952" s="935" t="s">
        <v>111</v>
      </c>
      <c r="C952" s="935" t="str">
        <f>IFERROR(LEFT(PV_DATA[[#This Row],[TCL REFERENCE]],FIND(".",PV_DATA[[#This Row],[TCL REFERENCE]],1)-1),"Main Line")</f>
        <v>26Aug002</v>
      </c>
      <c r="D952" s="462" t="s">
        <v>63</v>
      </c>
      <c r="E952" s="462" t="s">
        <v>64</v>
      </c>
      <c r="F952" s="462" t="str" cm="1">
        <f t="array" ref="F95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952" s="462" t="s">
        <v>402</v>
      </c>
      <c r="H952" s="462" t="s">
        <v>311</v>
      </c>
      <c r="I952" s="462" t="s">
        <v>689</v>
      </c>
      <c r="J952" s="462" t="s">
        <v>96</v>
      </c>
      <c r="M952" s="462" t="s">
        <v>6325</v>
      </c>
      <c r="N952" s="712">
        <v>46215</v>
      </c>
      <c r="O952" s="935" t="s">
        <v>550</v>
      </c>
      <c r="P952" s="935" t="s">
        <v>2134</v>
      </c>
      <c r="Q952" s="935" t="s">
        <v>2135</v>
      </c>
      <c r="R952" s="430" t="str">
        <f>_xlfn.XLOOKUP(PV_DATA[[#This Row],[New Ark SKU]],Table9[New Ark SKU],Table9[Connector],,0)</f>
        <v>EVO2A</v>
      </c>
      <c r="S952" s="433" t="str">
        <f>_xlfn.XLOOKUP(PV_DATA[[#This Row],[New Ark SKU]],Table9[New Ark SKU],Table9[Cable],,0)</f>
        <v>±1350mm</v>
      </c>
      <c r="T952" s="942">
        <v>515</v>
      </c>
      <c r="U952" s="1069">
        <v>792</v>
      </c>
      <c r="V952" s="943">
        <f>PV_DATA[[#This Row],[QUANTITY]]*PV_DATA[[#This Row],[WATT]]/1000000</f>
        <v>0.40788000000000002</v>
      </c>
      <c r="W952" s="944">
        <f>PV_DATA[[#This Row],[QUANTITY]]/PV_DATA[[#This Row],[Qty/Pallet]]</f>
        <v>22</v>
      </c>
      <c r="X952" s="1017">
        <f>PV_DATA[[#This Row],[QUANTITY]]/PV_DATA[[#This Row],[Qty/CT]]</f>
        <v>1</v>
      </c>
      <c r="Y952" s="462" t="s">
        <v>4376</v>
      </c>
      <c r="Z952" s="462" t="str">
        <f t="shared" si="13"/>
        <v>COMPLETED</v>
      </c>
      <c r="AA952" s="623" t="s">
        <v>5862</v>
      </c>
      <c r="AB952" s="959">
        <v>46252</v>
      </c>
      <c r="AC952" s="1040">
        <f>IF(PV_DATA[[#This Row],[Pick-Up Date]]&lt;&gt;"",_xlfn.ISOWEEKNUM(PV_DATA[[#This Row],[Pick-Up Date]]),"")</f>
        <v>34</v>
      </c>
      <c r="AD952" s="935" t="s">
        <v>6344</v>
      </c>
      <c r="AE952" s="935" t="s">
        <v>6344</v>
      </c>
      <c r="AF952" s="462" t="s">
        <v>1525</v>
      </c>
      <c r="AG952" s="462" t="s">
        <v>6003</v>
      </c>
      <c r="AH952" s="462" t="s">
        <v>1561</v>
      </c>
      <c r="AI952" s="959">
        <v>46254</v>
      </c>
      <c r="AJ952" s="713">
        <f>IFERROR(VLOOKUP(AT952, Vessel!A:D, 4, FALSE), "")</f>
        <v>46257.291666666664</v>
      </c>
      <c r="AK952" s="713">
        <f>IFERROR(IF(VLOOKUP(AT952,Vessel!A:F,5,FALSE)=0,"",VLOOKUP(AT952,Vessel!A:F,5,FALSE)),"")</f>
        <v>46257.156030092592</v>
      </c>
      <c r="AL952" s="1079">
        <v>46308</v>
      </c>
      <c r="AM952" s="1126">
        <f>IFERROR(VLOOKUP(AT952, Vessel!A:H, 8, FALSE), "")</f>
        <v>46313.875</v>
      </c>
      <c r="AN952" s="939">
        <f>IFERROR(IF(VLOOKUP(AT952,Vessel!A:I,9,FALSE)=0,"",VLOOKUP(AT952,Vessel!A:I,9,FALSE)),"")</f>
        <v>46313.624143518522</v>
      </c>
      <c r="AO952" s="935"/>
      <c r="AP952" s="935" t="s">
        <v>6109</v>
      </c>
      <c r="AQ952" s="940" t="s">
        <v>80</v>
      </c>
      <c r="AR952" s="935" t="s">
        <v>6345</v>
      </c>
      <c r="AS952" s="935" t="s">
        <v>6346</v>
      </c>
      <c r="AT952" s="462" t="s">
        <v>6346</v>
      </c>
      <c r="AU95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56.468113425929914</v>
      </c>
      <c r="AV952" s="935"/>
      <c r="AW952" s="959" cm="1">
        <f t="array" ref="AW95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46313.624143518522</v>
      </c>
      <c r="AX95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52" s="959">
        <f>IF(ISERROR(PV_DATA[[#This Row],[New Ark PO status]]),"",_xlfn.XLOOKUP(PV_DATA[[#This Row],[SPTN-PVHK New Ark PO'#]],New_Ark_Data[Purchase order Number],New_Ark_Data[Estimated time of arrival],"",0))</f>
        <v>46310</v>
      </c>
      <c r="AZ952" s="9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952" s="959">
        <f>IFERROR(PV_DATA[[#This Row],[ODP ETA Port]]+PV_DATA[[#This Row],[Customs/Leg3 Assumption]],"n/a")</f>
        <v>46323.624143518522</v>
      </c>
      <c r="BB952" s="942">
        <f>YEAR(PV_DATA[[#This Row],[ETA for New Ark update]])</f>
        <v>2026</v>
      </c>
      <c r="BC952" s="935">
        <f>MONTH(PV_DATA[[#This Row],[ETA for New Ark update]])</f>
        <v>10</v>
      </c>
      <c r="BD952" s="935">
        <f>IFERROR(_xlfn.ISOWEEKNUM(PV_DATA[[#This Row],[ETA for New Ark update]]),0)</f>
        <v>44</v>
      </c>
      <c r="BE952" s="935">
        <f>_xlfn.XLOOKUP(PV_DATA[[#This Row],[New Ark SKU]],Table9[New Ark SKU],Table9[Total PCS per Pallet],,0)</f>
        <v>36</v>
      </c>
      <c r="BF952" s="935">
        <f>_xlfn.XLOOKUP(PV_DATA[[#This Row],[New Ark SKU]],Table9[New Ark SKU],Table9[Total PCS per 40HQ Container],,0)</f>
        <v>792</v>
      </c>
      <c r="BG952" s="462" t="str">
        <f>_xlfn.XLOOKUP(PV_DATA[[#This Row],[New Ark SKU]],Table9[New Ark SKU],Table9[Back Glass],,0)</f>
        <v>Black glazing</v>
      </c>
      <c r="BH952" s="1041" t="str">
        <f>_xlfn.XLOOKUP(PV_DATA[[#This Row],[PORT DESTINATION]],Table12[PORT DESTINATION],Table12[Cosco Line],,0)</f>
        <v>AEM</v>
      </c>
    </row>
    <row r="953" spans="1:62" s="431" customFormat="1" ht="10.5" hidden="1">
      <c r="A953" s="439" t="s">
        <v>6347</v>
      </c>
      <c r="B953" s="439" t="s">
        <v>1757</v>
      </c>
      <c r="C953" s="439" t="str">
        <f>IFERROR(LEFT(PV_DATA[[#This Row],[TCL REFERENCE]],FIND(".",PV_DATA[[#This Row],[TCL REFERENCE]],1)-1),"Main Line")</f>
        <v>26Jul008</v>
      </c>
      <c r="D953" s="439" t="s">
        <v>63</v>
      </c>
      <c r="E953" s="439" t="s">
        <v>64</v>
      </c>
      <c r="F953" s="439" t="str" cm="1">
        <f t="array" ref="F95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53" s="439" t="s">
        <v>402</v>
      </c>
      <c r="H953" s="439" t="s">
        <v>67</v>
      </c>
      <c r="I953" s="439" t="s">
        <v>1395</v>
      </c>
      <c r="J953" s="439" t="s">
        <v>6348</v>
      </c>
      <c r="K953" s="479" t="s">
        <v>6349</v>
      </c>
      <c r="L953" s="479">
        <v>1</v>
      </c>
      <c r="M953" s="431" t="s">
        <v>68</v>
      </c>
      <c r="N953" s="461">
        <v>46209</v>
      </c>
      <c r="O953" s="431" t="s">
        <v>4540</v>
      </c>
      <c r="P953" s="431" t="s">
        <v>1151</v>
      </c>
      <c r="Q953" s="431" t="s">
        <v>421</v>
      </c>
      <c r="R953" s="431" t="str">
        <f>_xlfn.XLOOKUP(PV_DATA[[#This Row],[New Ark SKU]],Table9[New Ark SKU],Table9[Connector],,0)</f>
        <v>EVO2A</v>
      </c>
      <c r="S953" s="442" t="str">
        <f>_xlfn.XLOOKUP(PV_DATA[[#This Row],[New Ark SKU]],Table9[New Ark SKU],Table9[Cable],,0)</f>
        <v>±1200mm</v>
      </c>
      <c r="T953" s="442">
        <v>505</v>
      </c>
      <c r="U953" s="1067">
        <v>864</v>
      </c>
      <c r="V953" s="448">
        <f>PV_DATA[[#This Row],[QUANTITY]]*PV_DATA[[#This Row],[WATT]]/1000000</f>
        <v>0.43631999999999999</v>
      </c>
      <c r="W953" s="466">
        <f>PV_DATA[[#This Row],[QUANTITY]]/PV_DATA[[#This Row],[Qty/Pallet]]</f>
        <v>24</v>
      </c>
      <c r="X953" s="1019">
        <f>PV_DATA[[#This Row],[QUANTITY]]/PV_DATA[[#This Row],[Qty/CT]]</f>
        <v>1</v>
      </c>
      <c r="Y953" s="431" t="s">
        <v>4374</v>
      </c>
      <c r="Z953" s="431" t="str">
        <f t="shared" si="13"/>
        <v>COMPLETED</v>
      </c>
      <c r="AB953" s="441">
        <v>46266</v>
      </c>
      <c r="AC953" s="467">
        <f>IF(PV_DATA[[#This Row],[Pick-Up Date]]&lt;&gt;"",_xlfn.ISOWEEKNUM(PV_DATA[[#This Row],[Pick-Up Date]]),"")</f>
        <v>36</v>
      </c>
      <c r="AD953" s="431" t="s">
        <v>6350</v>
      </c>
      <c r="AF953" s="447" t="s">
        <v>1525</v>
      </c>
      <c r="AG953" s="447" t="s">
        <v>1525</v>
      </c>
      <c r="AH953" s="431" t="s">
        <v>78</v>
      </c>
      <c r="AI953" s="441">
        <v>46261</v>
      </c>
      <c r="AJ953" s="441">
        <v>46267</v>
      </c>
      <c r="AK953" s="441">
        <f>IFERROR(IF(VLOOKUP(AT953,Vessel!A:F,5,FALSE)=0,"",VLOOKUP(AT953,Vessel!A:F,5,FALSE)),"")</f>
        <v>46270.062141203707</v>
      </c>
      <c r="AL953" s="441">
        <v>46307</v>
      </c>
      <c r="AM953" s="1113">
        <f>IFERROR(VLOOKUP(AT953, Vessel!A:H, 8, FALSE), "")</f>
        <v>46318.302083333336</v>
      </c>
      <c r="AN953" s="1113">
        <f>IFERROR(IF(VLOOKUP(AT953,Vessel!A:I,9,FALSE)=0,"",VLOOKUP(AT953,Vessel!A:I,9,FALSE)),"")</f>
        <v>46318.374756944446</v>
      </c>
      <c r="AP953" s="431" t="s">
        <v>6077</v>
      </c>
      <c r="AQ953" s="431" t="s">
        <v>80</v>
      </c>
      <c r="AR953" s="431" t="s">
        <v>6351</v>
      </c>
      <c r="AS953" s="431" t="s">
        <v>6352</v>
      </c>
      <c r="AT953" s="431" t="s">
        <v>6352</v>
      </c>
      <c r="AU953" s="431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48.312615740738693</v>
      </c>
      <c r="AW953" s="441" cm="1">
        <f t="array" ref="AW95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46318.374756944446</v>
      </c>
      <c r="AX953" s="722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953" s="441" t="str">
        <f>IF(ISERROR(PV_DATA[[#This Row],[New Ark PO status]]),"",_xlfn.XLOOKUP(PV_DATA[[#This Row],[SPTN-PVHK New Ark PO'#]],New_Ark_Data[Purchase order Number],New_Ark_Data[Estimated time of arrival],"",0))</f>
        <v/>
      </c>
      <c r="AZ953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53" s="441">
        <f>IFERROR(PV_DATA[[#This Row],[ODP ETA Port]]+PV_DATA[[#This Row],[Customs/Leg3 Assumption]],"n/a")</f>
        <v>46326.374756944446</v>
      </c>
      <c r="BB953" s="442">
        <f>YEAR(PV_DATA[[#This Row],[ETA for New Ark update]])</f>
        <v>2026</v>
      </c>
      <c r="BC953" s="431">
        <f>MONTH(PV_DATA[[#This Row],[ETA for New Ark update]])</f>
        <v>10</v>
      </c>
      <c r="BD953" s="431">
        <f>IFERROR(_xlfn.ISOWEEKNUM(PV_DATA[[#This Row],[ETA for New Ark update]]),0)</f>
        <v>44</v>
      </c>
      <c r="BE953" s="431">
        <f>_xlfn.XLOOKUP(PV_DATA[[#This Row],[New Ark SKU]],Table9[New Ark SKU],Table9[Total PCS per Pallet],,0)</f>
        <v>36</v>
      </c>
      <c r="BF953" s="431">
        <f>_xlfn.XLOOKUP(PV_DATA[[#This Row],[New Ark SKU]],Table9[New Ark SKU],Table9[Total PCS per 40HQ Container],,0)</f>
        <v>864</v>
      </c>
      <c r="BG953" s="431" t="str">
        <f>_xlfn.XLOOKUP(PV_DATA[[#This Row],[New Ark SKU]],Table9[New Ark SKU],Table9[Back Glass],,0)</f>
        <v>Black glazing</v>
      </c>
      <c r="BH953" s="431" t="str">
        <f>_xlfn.XLOOKUP(PV_DATA[[#This Row],[PORT DESTINATION]],Table12[PORT DESTINATION],Table12[Cosco Line],,0)</f>
        <v>AEM</v>
      </c>
    </row>
    <row r="954" spans="1:62" s="462" customFormat="1" ht="10.5" hidden="1">
      <c r="A954" s="462" t="s">
        <v>6353</v>
      </c>
      <c r="B954" s="462" t="s">
        <v>1757</v>
      </c>
      <c r="C954" s="462" t="str">
        <f>IFERROR(LEFT(PV_DATA[[#This Row],[TCL REFERENCE]],FIND(".",PV_DATA[[#This Row],[TCL REFERENCE]],1)-1),"Main Line")</f>
        <v>26Jul008</v>
      </c>
      <c r="D954" s="462" t="s">
        <v>63</v>
      </c>
      <c r="E954" s="462" t="s">
        <v>144</v>
      </c>
      <c r="F954" s="462" t="str" cm="1">
        <f t="array" ref="F95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54" s="462" t="s">
        <v>146</v>
      </c>
      <c r="H954" s="462" t="s">
        <v>4973</v>
      </c>
      <c r="I954" s="462" t="s">
        <v>1395</v>
      </c>
      <c r="J954" s="462" t="s">
        <v>4973</v>
      </c>
      <c r="K954" s="462" t="s">
        <v>6349</v>
      </c>
      <c r="L954" s="462">
        <v>5</v>
      </c>
      <c r="M954" s="462" t="s">
        <v>6285</v>
      </c>
      <c r="N954" s="712">
        <v>46209</v>
      </c>
      <c r="O954" s="462" t="s">
        <v>4540</v>
      </c>
      <c r="P954" s="462" t="s">
        <v>1151</v>
      </c>
      <c r="Q954" s="462" t="s">
        <v>421</v>
      </c>
      <c r="R954" s="430" t="str">
        <f>_xlfn.XLOOKUP(PV_DATA[[#This Row],[New Ark SKU]],Table9[New Ark SKU],Table9[Connector],,0)</f>
        <v>EVO2A</v>
      </c>
      <c r="S954" s="433" t="str">
        <f>_xlfn.XLOOKUP(PV_DATA[[#This Row],[New Ark SKU]],Table9[New Ark SKU],Table9[Cable],,0)</f>
        <v>±1200mm</v>
      </c>
      <c r="T954" s="936">
        <v>505</v>
      </c>
      <c r="U954" s="1069">
        <v>864</v>
      </c>
      <c r="V954" s="458">
        <f>PV_DATA[[#This Row],[QUANTITY]]*PV_DATA[[#This Row],[WATT]]/1000000</f>
        <v>0.43631999999999999</v>
      </c>
      <c r="W954" s="714">
        <f>PV_DATA[[#This Row],[QUANTITY]]/PV_DATA[[#This Row],[Qty/Pallet]]</f>
        <v>24</v>
      </c>
      <c r="X954" s="1017">
        <f>PV_DATA[[#This Row],[QUANTITY]]/PV_DATA[[#This Row],[Qty/CT]]</f>
        <v>1</v>
      </c>
      <c r="Y954" s="462" t="s">
        <v>4374</v>
      </c>
      <c r="Z954" s="462" t="str">
        <f t="shared" si="13"/>
        <v>COMPLETED</v>
      </c>
      <c r="AB954" s="713">
        <v>46245</v>
      </c>
      <c r="AC954" s="937">
        <f>IF(PV_DATA[[#This Row],[Pick-Up Date]]&lt;&gt;"",_xlfn.ISOWEEKNUM(PV_DATA[[#This Row],[Pick-Up Date]]),"")</f>
        <v>33</v>
      </c>
      <c r="AD954" s="462" t="s">
        <v>6354</v>
      </c>
      <c r="AF954" s="462" t="s">
        <v>1525</v>
      </c>
      <c r="AG954" s="462" t="s">
        <v>1525</v>
      </c>
      <c r="AH954" s="462" t="s">
        <v>78</v>
      </c>
      <c r="AI954" s="713">
        <v>46251</v>
      </c>
      <c r="AJ954" s="713"/>
      <c r="AK954" s="713">
        <f>IFERROR(IF(VLOOKUP(AT954,Vessel!A:F,5,FALSE)=0,"",VLOOKUP(AT954,Vessel!A:F,5,FALSE)),"")</f>
        <v>46254.01357638889</v>
      </c>
      <c r="AL954" s="713">
        <v>46295</v>
      </c>
      <c r="AM954" s="939">
        <f>IFERROR(VLOOKUP(AT954, Vessel!A:H, 8, FALSE), "")</f>
        <v>46296.916666666664</v>
      </c>
      <c r="AN954" s="939">
        <v>46296</v>
      </c>
      <c r="AP954" s="462" t="s">
        <v>6355</v>
      </c>
      <c r="AQ954" s="462" t="s">
        <v>80</v>
      </c>
      <c r="AR954" s="935" t="s">
        <v>6356</v>
      </c>
      <c r="AS954" s="462" t="s">
        <v>6357</v>
      </c>
      <c r="AT954" s="462" t="s">
        <v>6357</v>
      </c>
      <c r="AU95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41.986423611109785</v>
      </c>
      <c r="AW954" s="713" cm="1">
        <f t="array" ref="AW95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46296</v>
      </c>
      <c r="AX95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54" s="713">
        <f>IF(ISERROR(PV_DATA[[#This Row],[New Ark PO status]]),"",_xlfn.XLOOKUP(PV_DATA[[#This Row],[SPTN-PVHK New Ark PO'#]],New_Ark_Data[Purchase order Number],New_Ark_Data[Estimated time of arrival],"",0))</f>
        <v>46295</v>
      </c>
      <c r="AZ954" s="936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54" s="713">
        <f>IFERROR(PV_DATA[[#This Row],[ODP ETA Port]]+PV_DATA[[#This Row],[Customs/Leg3 Assumption]],"n/a")</f>
        <v>46296</v>
      </c>
      <c r="BB954" s="936">
        <f>YEAR(PV_DATA[[#This Row],[ETA for New Ark update]])</f>
        <v>2026</v>
      </c>
      <c r="BC954" s="462">
        <f>MONTH(PV_DATA[[#This Row],[ETA for New Ark update]])</f>
        <v>10</v>
      </c>
      <c r="BD954" s="462">
        <f>IFERROR(_xlfn.ISOWEEKNUM(PV_DATA[[#This Row],[ETA for New Ark update]]),0)</f>
        <v>40</v>
      </c>
      <c r="BE954" s="462">
        <f>_xlfn.XLOOKUP(PV_DATA[[#This Row],[New Ark SKU]],Table9[New Ark SKU],Table9[Total PCS per Pallet],,0)</f>
        <v>36</v>
      </c>
      <c r="BF954" s="462">
        <f>_xlfn.XLOOKUP(PV_DATA[[#This Row],[New Ark SKU]],Table9[New Ark SKU],Table9[Total PCS per 40HQ Container],,0)</f>
        <v>864</v>
      </c>
      <c r="BG954" s="462" t="str">
        <f>_xlfn.XLOOKUP(PV_DATA[[#This Row],[New Ark SKU]],Table9[New Ark SKU],Table9[Back Glass],,0)</f>
        <v>Black glazing</v>
      </c>
      <c r="BH954" s="462" t="str">
        <f>_xlfn.XLOOKUP(PV_DATA[[#This Row],[PORT DESTINATION]],Table12[PORT DESTINATION],Table12[Cosco Line],,0)</f>
        <v>AEM</v>
      </c>
    </row>
    <row r="955" spans="1:62" ht="10.5" hidden="1">
      <c r="A955" s="439" t="s">
        <v>6358</v>
      </c>
      <c r="B955" s="439" t="s">
        <v>1757</v>
      </c>
      <c r="C955" s="439" t="str">
        <f>IFERROR(LEFT(PV_DATA[[#This Row],[TCL REFERENCE]],FIND(".",PV_DATA[[#This Row],[TCL REFERENCE]],1)-1),"Main Line")</f>
        <v>26Jun011</v>
      </c>
      <c r="D955" s="439" t="s">
        <v>63</v>
      </c>
      <c r="E955" s="439" t="s">
        <v>64</v>
      </c>
      <c r="F955" s="462" t="str" cm="1">
        <f t="array" ref="F95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55" s="439" t="s">
        <v>402</v>
      </c>
      <c r="H955" s="439" t="s">
        <v>67</v>
      </c>
      <c r="I955" s="439" t="s">
        <v>689</v>
      </c>
      <c r="J955" s="431" t="s">
        <v>96</v>
      </c>
      <c r="K955" s="431"/>
      <c r="L955" s="431"/>
      <c r="M955" s="430" t="s">
        <v>6325</v>
      </c>
      <c r="N955" s="461">
        <v>46195</v>
      </c>
      <c r="O955" s="431" t="s">
        <v>4540</v>
      </c>
      <c r="P955" s="431" t="s">
        <v>71</v>
      </c>
      <c r="Q955" s="431" t="s">
        <v>72</v>
      </c>
      <c r="R955" s="430" t="str">
        <f>_xlfn.XLOOKUP(PV_DATA[[#This Row],[New Ark SKU]],Table9[New Ark SKU],Table9[Connector],,0)</f>
        <v>EVO2A</v>
      </c>
      <c r="S955" s="433" t="str">
        <f>_xlfn.XLOOKUP(PV_DATA[[#This Row],[New Ark SKU]],Table9[New Ark SKU],Table9[Cable],,0)</f>
        <v>±1200mm</v>
      </c>
      <c r="T955" s="442">
        <v>500</v>
      </c>
      <c r="U955" s="1067">
        <v>864</v>
      </c>
      <c r="V955" s="448">
        <f>PV_DATA[[#This Row],[QUANTITY]]*PV_DATA[[#This Row],[WATT]]/1000000</f>
        <v>0.432</v>
      </c>
      <c r="W955" s="466">
        <f>PV_DATA[[#This Row],[QUANTITY]]/PV_DATA[[#This Row],[Qty/Pallet]]</f>
        <v>24</v>
      </c>
      <c r="X955" s="1019">
        <f>PV_DATA[[#This Row],[QUANTITY]]/PV_DATA[[#This Row],[Qty/CT]]</f>
        <v>1</v>
      </c>
      <c r="Y955" s="431" t="s">
        <v>4372</v>
      </c>
      <c r="Z955" s="430" t="str">
        <f t="shared" si="13"/>
        <v>IN-TRANSIT</v>
      </c>
      <c r="AA955" s="431" t="s">
        <v>5639</v>
      </c>
      <c r="AB955" s="441">
        <v>46269</v>
      </c>
      <c r="AC955" s="467">
        <f>IF(PV_DATA[[#This Row],[Pick-Up Date]]&lt;&gt;"",_xlfn.ISOWEEKNUM(PV_DATA[[#This Row],[Pick-Up Date]]),"")</f>
        <v>36</v>
      </c>
      <c r="AD955" s="431" t="s">
        <v>6359</v>
      </c>
      <c r="AE955" s="431"/>
      <c r="AF955" s="447" t="s">
        <v>1525</v>
      </c>
      <c r="AG955" s="447" t="s">
        <v>1525</v>
      </c>
      <c r="AH955" s="431" t="s">
        <v>78</v>
      </c>
      <c r="AI955" s="441">
        <v>46265</v>
      </c>
      <c r="AJ955" s="437">
        <f>IFERROR(VLOOKUP(AT955, Vessel!A:D, 4, FALSE), "")</f>
        <v>46275</v>
      </c>
      <c r="AK955" s="437">
        <f>IFERROR(IF(VLOOKUP(AT955,Vessel!A:F,5,FALSE)=0,"",VLOOKUP(AT955,Vessel!A:F,5,FALSE)),"")</f>
        <v>46275.042812500003</v>
      </c>
      <c r="AL955" s="441">
        <v>46314</v>
      </c>
      <c r="AM955" s="939">
        <f>IFERROR(VLOOKUP(AT955, Vessel!A:H, 8, FALSE), "")</f>
        <v>46330.916666666664</v>
      </c>
      <c r="AN955" s="939" t="str">
        <f>IFERROR(IF(VLOOKUP(AT955,Vessel!A:I,9,FALSE)=0,"",VLOOKUP(AT955,Vessel!A:I,9,FALSE)),"")</f>
        <v/>
      </c>
      <c r="AO955" s="431"/>
      <c r="AP955" s="431" t="s">
        <v>6360</v>
      </c>
      <c r="AQ955" s="431" t="s">
        <v>80</v>
      </c>
      <c r="AR955" s="431" t="s">
        <v>6361</v>
      </c>
      <c r="AS955" s="431" t="s">
        <v>6362</v>
      </c>
      <c r="AT955" s="431" t="s">
        <v>6362</v>
      </c>
      <c r="AU95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55.873854166660749</v>
      </c>
      <c r="AV955" s="441"/>
      <c r="AW955" s="441" cm="1">
        <f t="array" ref="AW95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46330.916666666664</v>
      </c>
      <c r="AX95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955" s="441" t="str">
        <f>IF(ISERROR(PV_DATA[[#This Row],[New Ark PO status]]),"",_xlfn.XLOOKUP(PV_DATA[[#This Row],[SPTN-PVHK New Ark PO'#]],New_Ark_Data[Purchase order Number],New_Ark_Data[Estimated time of arrival],"",0))</f>
        <v/>
      </c>
      <c r="AZ955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55" s="441">
        <f>IFERROR(PV_DATA[[#This Row],[ODP ETA Port]]+PV_DATA[[#This Row],[Customs/Leg3 Assumption]],"n/a")</f>
        <v>46338.916666666664</v>
      </c>
      <c r="BB955" s="442">
        <f>YEAR(PV_DATA[[#This Row],[ETA for New Ark update]])</f>
        <v>2026</v>
      </c>
      <c r="BC955" s="431">
        <f>MONTH(PV_DATA[[#This Row],[ETA for New Ark update]])</f>
        <v>11</v>
      </c>
      <c r="BD955" s="431">
        <f>IFERROR(_xlfn.ISOWEEKNUM(PV_DATA[[#This Row],[ETA for New Ark update]]),0)</f>
        <v>46</v>
      </c>
      <c r="BE955" s="431">
        <f>_xlfn.XLOOKUP(PV_DATA[[#This Row],[New Ark SKU]],Table9[New Ark SKU],Table9[Total PCS per Pallet],,0)</f>
        <v>36</v>
      </c>
      <c r="BF955" s="431">
        <f>_xlfn.XLOOKUP(PV_DATA[[#This Row],[New Ark SKU]],Table9[New Ark SKU],Table9[Total PCS per 40HQ Container],,0)</f>
        <v>864</v>
      </c>
      <c r="BG955" s="431" t="str">
        <f>_xlfn.XLOOKUP(PV_DATA[[#This Row],[New Ark SKU]],Table9[New Ark SKU],Table9[Back Glass],,0)</f>
        <v>Black glazing</v>
      </c>
      <c r="BH955" s="431" t="str">
        <f>_xlfn.XLOOKUP(PV_DATA[[#This Row],[PORT DESTINATION]],Table12[PORT DESTINATION],Table12[Cosco Line],,0)</f>
        <v>AEM</v>
      </c>
      <c r="BJ955" s="430"/>
    </row>
    <row r="956" spans="1:62" ht="11.15" hidden="1" customHeight="1">
      <c r="A956" s="462" t="s">
        <v>6363</v>
      </c>
      <c r="B956" s="462" t="s">
        <v>1757</v>
      </c>
      <c r="C956" s="462" t="str">
        <f>IFERROR(LEFT(PV_DATA[[#This Row],[TCL REFERENCE]],FIND(".",PV_DATA[[#This Row],[TCL REFERENCE]],1)-1),"Main Line")</f>
        <v>26Aug007</v>
      </c>
      <c r="D956" s="462" t="s">
        <v>63</v>
      </c>
      <c r="E956" s="462" t="s">
        <v>144</v>
      </c>
      <c r="F956" s="935" t="str" cm="1">
        <f t="array" ref="F956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56" s="935" t="s">
        <v>402</v>
      </c>
      <c r="H956" s="462" t="s">
        <v>6210</v>
      </c>
      <c r="I956" s="462" t="s">
        <v>689</v>
      </c>
      <c r="J956" s="430" t="s">
        <v>6210</v>
      </c>
      <c r="K956" s="430" t="s">
        <v>6234</v>
      </c>
      <c r="L956" s="430">
        <v>7</v>
      </c>
      <c r="M956" s="430" t="s">
        <v>840</v>
      </c>
      <c r="N956" s="432" t="s">
        <v>6212</v>
      </c>
      <c r="O956" s="430" t="s">
        <v>284</v>
      </c>
      <c r="P956" s="430" t="s">
        <v>5860</v>
      </c>
      <c r="Q956" s="430" t="s">
        <v>5861</v>
      </c>
      <c r="R956" s="430" t="str">
        <f>_xlfn.XLOOKUP(PV_DATA[[#This Row],[New Ark SKU]],Table9[New Ark SKU],Table9[Connector],,0)</f>
        <v>EVO2A</v>
      </c>
      <c r="S956" s="433" t="str">
        <f>_xlfn.XLOOKUP(PV_DATA[[#This Row],[New Ark SKU]],Table9[New Ark SKU],Table9[Cable],,0)</f>
        <v>±1200mm</v>
      </c>
      <c r="T956" s="433">
        <v>485</v>
      </c>
      <c r="U956" s="1062">
        <v>1872</v>
      </c>
      <c r="V956" s="434">
        <f>PV_DATA[[#This Row],[QUANTITY]]*PV_DATA[[#This Row],[WATT]]/1000000</f>
        <v>0.90791999999999995</v>
      </c>
      <c r="W956" s="969">
        <f>PV_DATA[[#This Row],[QUANTITY]]/36</f>
        <v>52</v>
      </c>
      <c r="X956" s="1015">
        <f>PV_DATA[[#This Row],[QUANTITY]]/PV_DATA[[#This Row],[Qty/CT]]</f>
        <v>2</v>
      </c>
      <c r="Y956" s="430" t="s">
        <v>4376</v>
      </c>
      <c r="Z956" s="430" t="str">
        <f t="shared" si="13"/>
        <v>COMPLETED</v>
      </c>
      <c r="AA956" s="545">
        <v>46255</v>
      </c>
      <c r="AB956" s="437">
        <v>46255</v>
      </c>
      <c r="AC956" s="485">
        <f>IF(PV_DATA[[#This Row],[Pick-Up Date]]&lt;&gt;"",_xlfn.ISOWEEKNUM(PV_DATA[[#This Row],[Pick-Up Date]]),"")</f>
        <v>34</v>
      </c>
      <c r="AD956" s="430" t="s">
        <v>6364</v>
      </c>
      <c r="AE956" s="430"/>
      <c r="AF956" s="430" t="s">
        <v>1525</v>
      </c>
      <c r="AG956" s="430" t="s">
        <v>6003</v>
      </c>
      <c r="AH956" s="430" t="s">
        <v>456</v>
      </c>
      <c r="AI956" s="713">
        <v>46259</v>
      </c>
      <c r="AK956" s="437">
        <f>IFERROR(IF(VLOOKUP(AT956,Vessel!A:F,5,FALSE)=0,"",VLOOKUP(AT956,Vessel!A:F,5,FALSE)),"")</f>
        <v>46260.478738425925</v>
      </c>
      <c r="AL956" s="1078">
        <v>46296</v>
      </c>
      <c r="AM956" s="939">
        <f>IFERROR(VLOOKUP(AT956, Vessel!A:H, 8, FALSE), "")</f>
        <v>46305.041666666664</v>
      </c>
      <c r="AN956" s="939">
        <f>IFERROR(IF(VLOOKUP(AT956,Vessel!A:I,9,FALSE)=0,"",VLOOKUP(AT956,Vessel!A:I,9,FALSE)),"")</f>
        <v>46305.05978009259</v>
      </c>
      <c r="AP956" s="430" t="s">
        <v>6365</v>
      </c>
      <c r="AQ956" s="430" t="s">
        <v>80</v>
      </c>
      <c r="AR956" s="430" t="s">
        <v>6366</v>
      </c>
      <c r="AS956" s="430" t="s">
        <v>6367</v>
      </c>
      <c r="AT956" s="430" t="s">
        <v>6367</v>
      </c>
      <c r="AU95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44.581041666664532</v>
      </c>
      <c r="AW956" s="437" cm="1">
        <f t="array" ref="AW95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46305.05978009259</v>
      </c>
      <c r="AX95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56" s="437">
        <f>IF(ISERROR(PV_DATA[[#This Row],[New Ark PO status]]),"",_xlfn.XLOOKUP(PV_DATA[[#This Row],[SPTN-PVHK New Ark PO'#]],New_Ark_Data[Purchase order Number],New_Ark_Data[Estimated time of arrival],"",0))</f>
        <v>46296</v>
      </c>
      <c r="AZ956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56" s="437">
        <f>IFERROR(PV_DATA[[#This Row],[ODP ETA Port]]+PV_DATA[[#This Row],[Customs/Leg3 Assumption]],"n/a")</f>
        <v>46305.05978009259</v>
      </c>
      <c r="BB956" s="433">
        <f>YEAR(PV_DATA[[#This Row],[ETA for New Ark update]])</f>
        <v>2026</v>
      </c>
      <c r="BC956" s="430">
        <f>MONTH(PV_DATA[[#This Row],[ETA for New Ark update]])</f>
        <v>10</v>
      </c>
      <c r="BD956" s="430">
        <f>IFERROR(_xlfn.ISOWEEKNUM(PV_DATA[[#This Row],[ETA for New Ark update]]),0)</f>
        <v>41</v>
      </c>
      <c r="BE956" s="430">
        <f>_xlfn.XLOOKUP(PV_DATA[[#This Row],[New Ark SKU]],Table9[New Ark SKU],Table9[Total PCS per Pallet],,0)</f>
        <v>36</v>
      </c>
      <c r="BF956" s="430">
        <f>_xlfn.XLOOKUP(PV_DATA[[#This Row],[New Ark SKU]],Table9[New Ark SKU],Table9[Total PCS per 40HQ Container],,0)</f>
        <v>936</v>
      </c>
      <c r="BG956" s="430" t="str">
        <f>_xlfn.XLOOKUP(PV_DATA[[#This Row],[New Ark SKU]],Table9[New Ark SKU],Table9[Back Glass],,0)</f>
        <v>Black glazing</v>
      </c>
      <c r="BH956" s="610" t="str">
        <f>_xlfn.XLOOKUP(PV_DATA[[#This Row],[PORT DESTINATION]],Table12[PORT DESTINATION],Table12[Cosco Line],,0)</f>
        <v>AEU</v>
      </c>
      <c r="BJ956" s="430"/>
    </row>
    <row r="957" spans="1:62" ht="10.5" hidden="1">
      <c r="A957" s="729" t="s">
        <v>6368</v>
      </c>
      <c r="B957" s="462" t="s">
        <v>1757</v>
      </c>
      <c r="C957" s="462" t="str">
        <f>IFERROR(LEFT(PV_DATA[[#This Row],[TCL REFERENCE]],FIND(".",PV_DATA[[#This Row],[TCL REFERENCE]],1)-1),"Main Line")</f>
        <v>26Aug007</v>
      </c>
      <c r="D957" s="462" t="s">
        <v>63</v>
      </c>
      <c r="E957" s="462" t="s">
        <v>144</v>
      </c>
      <c r="F957" s="462" t="str" cm="1">
        <f t="array" ref="F95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57" s="462" t="s">
        <v>402</v>
      </c>
      <c r="H957" s="462" t="s">
        <v>6210</v>
      </c>
      <c r="I957" s="462" t="s">
        <v>1395</v>
      </c>
      <c r="J957" s="430" t="s">
        <v>6210</v>
      </c>
      <c r="K957" s="430" t="s">
        <v>6211</v>
      </c>
      <c r="L957" s="430">
        <v>4</v>
      </c>
      <c r="M957" s="430" t="s">
        <v>6285</v>
      </c>
      <c r="N957" s="432" t="s">
        <v>6212</v>
      </c>
      <c r="O957" s="430" t="s">
        <v>284</v>
      </c>
      <c r="P957" s="430" t="s">
        <v>5860</v>
      </c>
      <c r="Q957" s="430" t="s">
        <v>5861</v>
      </c>
      <c r="R957" s="430" t="str">
        <f>_xlfn.XLOOKUP(PV_DATA[[#This Row],[New Ark SKU]],Table9[New Ark SKU],Table9[Connector],,0)</f>
        <v>EVO2A</v>
      </c>
      <c r="S957" s="433" t="str">
        <f>_xlfn.XLOOKUP(PV_DATA[[#This Row],[New Ark SKU]],Table9[New Ark SKU],Table9[Cable],,0)</f>
        <v>±1200mm</v>
      </c>
      <c r="T957" s="433">
        <v>485</v>
      </c>
      <c r="U957" s="1070">
        <v>4680</v>
      </c>
      <c r="V957" s="434">
        <f>PV_DATA[[#This Row],[QUANTITY]]*PV_DATA[[#This Row],[WATT]]/1000000</f>
        <v>2.2698</v>
      </c>
      <c r="W957" s="969">
        <f>PV_DATA[[#This Row],[QUANTITY]]/36</f>
        <v>130</v>
      </c>
      <c r="X957" s="1015">
        <f>PV_DATA[[#This Row],[QUANTITY]]/PV_DATA[[#This Row],[Qty/CT]]</f>
        <v>5</v>
      </c>
      <c r="Y957" s="430" t="s">
        <v>4376</v>
      </c>
      <c r="Z957" s="430" t="str">
        <f t="shared" si="13"/>
        <v>COMPLETED</v>
      </c>
      <c r="AA957" s="430" t="s">
        <v>5862</v>
      </c>
      <c r="AB957" s="437">
        <v>46255</v>
      </c>
      <c r="AC957" s="485">
        <f>IF(PV_DATA[[#This Row],[Pick-Up Date]]&lt;&gt;"",_xlfn.ISOWEEKNUM(PV_DATA[[#This Row],[Pick-Up Date]]),"")</f>
        <v>34</v>
      </c>
      <c r="AD957" s="430" t="s">
        <v>6369</v>
      </c>
      <c r="AE957" s="430"/>
      <c r="AF957" s="430" t="s">
        <v>1525</v>
      </c>
      <c r="AG957" s="430" t="s">
        <v>6003</v>
      </c>
      <c r="AH957" s="430" t="s">
        <v>541</v>
      </c>
      <c r="AI957" s="713">
        <v>46255</v>
      </c>
      <c r="AJ957" s="437">
        <v>46260</v>
      </c>
      <c r="AK957" s="437">
        <f>IFERROR(IF(VLOOKUP(AT957,Vessel!A:F,5,FALSE)=0,"",VLOOKUP(AT957,Vessel!A:F,5,FALSE)),"")</f>
        <v>46257.848101851851</v>
      </c>
      <c r="AL957" s="1078">
        <v>46297</v>
      </c>
      <c r="AM957" s="939">
        <f>IFERROR(VLOOKUP(AT957, Vessel!A:H, 8, FALSE), "")</f>
        <v>46301.833333333336</v>
      </c>
      <c r="AN957" s="939">
        <v>46301</v>
      </c>
      <c r="AP957" s="430" t="s">
        <v>5961</v>
      </c>
      <c r="AQ957" s="430" t="s">
        <v>80</v>
      </c>
      <c r="AR957" s="430" t="s">
        <v>6370</v>
      </c>
      <c r="AS957" s="430" t="s">
        <v>6371</v>
      </c>
      <c r="AT957" s="430" t="s">
        <v>6371</v>
      </c>
      <c r="AU95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43.151898148149485</v>
      </c>
      <c r="AW957" s="437" cm="1">
        <f t="array" ref="AW95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46301</v>
      </c>
      <c r="AX95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57" s="437">
        <f>IF(ISERROR(PV_DATA[[#This Row],[New Ark PO status]]),"",_xlfn.XLOOKUP(PV_DATA[[#This Row],[SPTN-PVHK New Ark PO'#]],New_Ark_Data[Purchase order Number],New_Ark_Data[Estimated time of arrival],"",0))</f>
        <v>46297</v>
      </c>
      <c r="AZ957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57" s="437">
        <f>IFERROR(PV_DATA[[#This Row],[ODP ETA Port]]+PV_DATA[[#This Row],[Customs/Leg3 Assumption]],"n/a")</f>
        <v>46301</v>
      </c>
      <c r="BB957" s="433">
        <f>YEAR(PV_DATA[[#This Row],[ETA for New Ark update]])</f>
        <v>2026</v>
      </c>
      <c r="BC957" s="430">
        <f>MONTH(PV_DATA[[#This Row],[ETA for New Ark update]])</f>
        <v>10</v>
      </c>
      <c r="BD957" s="430">
        <f>IFERROR(_xlfn.ISOWEEKNUM(PV_DATA[[#This Row],[ETA for New Ark update]]),0)</f>
        <v>41</v>
      </c>
      <c r="BE957" s="430">
        <f>_xlfn.XLOOKUP(PV_DATA[[#This Row],[New Ark SKU]],Table9[New Ark SKU],Table9[Total PCS per Pallet],,0)</f>
        <v>36</v>
      </c>
      <c r="BF957" s="430">
        <f>_xlfn.XLOOKUP(PV_DATA[[#This Row],[New Ark SKU]],Table9[New Ark SKU],Table9[Total PCS per 40HQ Container],,0)</f>
        <v>936</v>
      </c>
      <c r="BG957" s="430" t="str">
        <f>_xlfn.XLOOKUP(PV_DATA[[#This Row],[New Ark SKU]],Table9[New Ark SKU],Table9[Back Glass],,0)</f>
        <v>Black glazing</v>
      </c>
      <c r="BH957" s="610" t="str">
        <f>_xlfn.XLOOKUP(PV_DATA[[#This Row],[PORT DESTINATION]],Table12[PORT DESTINATION],Table12[Cosco Line],,0)</f>
        <v>AEU</v>
      </c>
      <c r="BJ957" s="430"/>
    </row>
    <row r="958" spans="1:62" ht="10.5" hidden="1">
      <c r="A958" s="729" t="s">
        <v>6372</v>
      </c>
      <c r="B958" s="462" t="s">
        <v>1757</v>
      </c>
      <c r="C958" s="462" t="str">
        <f>IFERROR(LEFT(PV_DATA[[#This Row],[TCL REFERENCE]],FIND(".",PV_DATA[[#This Row],[TCL REFERENCE]],1)-1),"Main Line")</f>
        <v>26Aug007</v>
      </c>
      <c r="D958" s="462" t="s">
        <v>63</v>
      </c>
      <c r="E958" s="462" t="s">
        <v>144</v>
      </c>
      <c r="F958" s="935" t="str" cm="1">
        <f t="array" ref="F95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58" s="462" t="s">
        <v>402</v>
      </c>
      <c r="H958" s="462" t="s">
        <v>6210</v>
      </c>
      <c r="I958" s="462" t="s">
        <v>882</v>
      </c>
      <c r="J958" s="430" t="s">
        <v>6210</v>
      </c>
      <c r="K958" s="430" t="s">
        <v>6234</v>
      </c>
      <c r="L958" s="430">
        <v>2</v>
      </c>
      <c r="M958" s="430" t="s">
        <v>6285</v>
      </c>
      <c r="N958" s="432" t="s">
        <v>6212</v>
      </c>
      <c r="O958" s="430" t="s">
        <v>284</v>
      </c>
      <c r="P958" s="430" t="s">
        <v>5860</v>
      </c>
      <c r="Q958" s="430" t="s">
        <v>5861</v>
      </c>
      <c r="R958" s="430" t="str">
        <f>_xlfn.XLOOKUP(PV_DATA[[#This Row],[New Ark SKU]],Table9[New Ark SKU],Table9[Connector],,0)</f>
        <v>EVO2A</v>
      </c>
      <c r="S958" s="433" t="str">
        <f>_xlfn.XLOOKUP(PV_DATA[[#This Row],[New Ark SKU]],Table9[New Ark SKU],Table9[Cable],,0)</f>
        <v>±1200mm</v>
      </c>
      <c r="T958" s="433">
        <v>485</v>
      </c>
      <c r="U958" s="1070">
        <v>1872</v>
      </c>
      <c r="V958" s="434">
        <f>PV_DATA[[#This Row],[QUANTITY]]*PV_DATA[[#This Row],[WATT]]/1000000</f>
        <v>0.90791999999999995</v>
      </c>
      <c r="W958" s="969">
        <f>PV_DATA[[#This Row],[QUANTITY]]/36</f>
        <v>52</v>
      </c>
      <c r="X958" s="1015">
        <f>PV_DATA[[#This Row],[QUANTITY]]/PV_DATA[[#This Row],[Qty/CT]]</f>
        <v>2</v>
      </c>
      <c r="Y958" s="430" t="s">
        <v>4375</v>
      </c>
      <c r="Z958" s="430" t="str">
        <f t="shared" si="13"/>
        <v>COMPLETED</v>
      </c>
      <c r="AA958" s="430" t="s">
        <v>5862</v>
      </c>
      <c r="AB958" s="437">
        <v>46255</v>
      </c>
      <c r="AC958" s="485">
        <f>IF(PV_DATA[[#This Row],[Pick-Up Date]]&lt;&gt;"",_xlfn.ISOWEEKNUM(PV_DATA[[#This Row],[Pick-Up Date]]),"")</f>
        <v>34</v>
      </c>
      <c r="AD958" s="430" t="s">
        <v>6373</v>
      </c>
      <c r="AE958" s="430"/>
      <c r="AF958" s="430" t="s">
        <v>1525</v>
      </c>
      <c r="AG958" s="430" t="s">
        <v>6003</v>
      </c>
      <c r="AH958" s="430" t="s">
        <v>456</v>
      </c>
      <c r="AI958" s="713">
        <v>46256</v>
      </c>
      <c r="AK958" s="437">
        <f>IFERROR(IF(VLOOKUP(AT958,Vessel!A:F,5,FALSE)=0,"",VLOOKUP(AT958,Vessel!A:F,5,FALSE)),"")</f>
        <v>46260.478738425925</v>
      </c>
      <c r="AL958" s="1078">
        <v>46292</v>
      </c>
      <c r="AM958" s="939">
        <f>IFERROR(VLOOKUP(AT958, Vessel!A:H, 8, FALSE), "")</f>
        <v>46305.041666666664</v>
      </c>
      <c r="AN958" s="939">
        <f>IFERROR(IF(VLOOKUP(AT958,Vessel!A:I,9,FALSE)=0,"",VLOOKUP(AT958,Vessel!A:I,9,FALSE)),"")</f>
        <v>46305.05978009259</v>
      </c>
      <c r="AP958" s="430" t="s">
        <v>6374</v>
      </c>
      <c r="AQ958" s="438" t="s">
        <v>80</v>
      </c>
      <c r="AR958" s="430" t="s">
        <v>6375</v>
      </c>
      <c r="AS958" s="430" t="s">
        <v>6376</v>
      </c>
      <c r="AT958" s="430" t="s">
        <v>6376</v>
      </c>
      <c r="AU95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44.581041666664532</v>
      </c>
      <c r="AW958" s="437" cm="1">
        <f t="array" ref="AW95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46305.05978009259</v>
      </c>
      <c r="AX95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58" s="437">
        <f>IF(ISERROR(PV_DATA[[#This Row],[New Ark PO status]]),"",_xlfn.XLOOKUP(PV_DATA[[#This Row],[SPTN-PVHK New Ark PO'#]],New_Ark_Data[Purchase order Number],New_Ark_Data[Estimated time of arrival],"",0))</f>
        <v>46296</v>
      </c>
      <c r="AZ958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58" s="437">
        <f>IFERROR(PV_DATA[[#This Row],[ODP ETA Port]]+PV_DATA[[#This Row],[Customs/Leg3 Assumption]],"n/a")</f>
        <v>46305.05978009259</v>
      </c>
      <c r="BB958" s="433">
        <f>YEAR(PV_DATA[[#This Row],[ETA for New Ark update]])</f>
        <v>2026</v>
      </c>
      <c r="BC958" s="430">
        <f>MONTH(PV_DATA[[#This Row],[ETA for New Ark update]])</f>
        <v>10</v>
      </c>
      <c r="BD958" s="430">
        <f>IFERROR(_xlfn.ISOWEEKNUM(PV_DATA[[#This Row],[ETA for New Ark update]]),0)</f>
        <v>41</v>
      </c>
      <c r="BE958" s="430">
        <f>_xlfn.XLOOKUP(PV_DATA[[#This Row],[New Ark SKU]],Table9[New Ark SKU],Table9[Total PCS per Pallet],,0)</f>
        <v>36</v>
      </c>
      <c r="BF958" s="430">
        <f>_xlfn.XLOOKUP(PV_DATA[[#This Row],[New Ark SKU]],Table9[New Ark SKU],Table9[Total PCS per 40HQ Container],,0)</f>
        <v>936</v>
      </c>
      <c r="BG958" s="430" t="str">
        <f>_xlfn.XLOOKUP(PV_DATA[[#This Row],[New Ark SKU]],Table9[New Ark SKU],Table9[Back Glass],,0)</f>
        <v>Black glazing</v>
      </c>
      <c r="BH958" s="610" t="str">
        <f>_xlfn.XLOOKUP(PV_DATA[[#This Row],[PORT DESTINATION]],Table12[PORT DESTINATION],Table12[Cosco Line],,0)</f>
        <v>AEU</v>
      </c>
      <c r="BJ958" s="430"/>
    </row>
    <row r="959" spans="1:62" ht="10.5" hidden="1">
      <c r="A959" s="729" t="s">
        <v>6377</v>
      </c>
      <c r="B959" s="462" t="s">
        <v>1757</v>
      </c>
      <c r="C959" s="462" t="str">
        <f>IFERROR(LEFT(PV_DATA[[#This Row],[TCL REFERENCE]],FIND(".",PV_DATA[[#This Row],[TCL REFERENCE]],1)-1),"Main Line")</f>
        <v>26Aug007</v>
      </c>
      <c r="D959" s="462" t="s">
        <v>63</v>
      </c>
      <c r="E959" s="462" t="s">
        <v>144</v>
      </c>
      <c r="F959" s="935" t="str" cm="1">
        <f t="array" ref="F95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59" s="462" t="s">
        <v>402</v>
      </c>
      <c r="H959" s="462" t="s">
        <v>6210</v>
      </c>
      <c r="I959" s="462" t="s">
        <v>882</v>
      </c>
      <c r="J959" s="430" t="s">
        <v>6210</v>
      </c>
      <c r="K959" s="430" t="s">
        <v>6234</v>
      </c>
      <c r="L959" s="430">
        <v>6</v>
      </c>
      <c r="M959" s="430" t="s">
        <v>4976</v>
      </c>
      <c r="N959" s="432" t="s">
        <v>6212</v>
      </c>
      <c r="O959" s="430" t="s">
        <v>284</v>
      </c>
      <c r="P959" s="430" t="s">
        <v>5860</v>
      </c>
      <c r="Q959" s="430" t="s">
        <v>5861</v>
      </c>
      <c r="R959" s="430" t="str">
        <f>_xlfn.XLOOKUP(PV_DATA[[#This Row],[New Ark SKU]],Table9[New Ark SKU],Table9[Connector],,0)</f>
        <v>EVO2A</v>
      </c>
      <c r="S959" s="433" t="str">
        <f>_xlfn.XLOOKUP(PV_DATA[[#This Row],[New Ark SKU]],Table9[New Ark SKU],Table9[Cable],,0)</f>
        <v>±1200mm</v>
      </c>
      <c r="T959" s="433">
        <v>485</v>
      </c>
      <c r="U959" s="1070">
        <v>1872</v>
      </c>
      <c r="V959" s="434">
        <f>PV_DATA[[#This Row],[QUANTITY]]*PV_DATA[[#This Row],[WATT]]/1000000</f>
        <v>0.90791999999999995</v>
      </c>
      <c r="W959" s="969">
        <f>PV_DATA[[#This Row],[QUANTITY]]/36</f>
        <v>52</v>
      </c>
      <c r="X959" s="1015">
        <f>PV_DATA[[#This Row],[QUANTITY]]/PV_DATA[[#This Row],[Qty/CT]]</f>
        <v>2</v>
      </c>
      <c r="Y959" s="430" t="s">
        <v>4375</v>
      </c>
      <c r="Z959" s="430" t="str">
        <f t="shared" si="13"/>
        <v>COMPLETED</v>
      </c>
      <c r="AA959" s="430" t="s">
        <v>5862</v>
      </c>
      <c r="AB959" s="437">
        <v>46255</v>
      </c>
      <c r="AC959" s="485">
        <f>IF(PV_DATA[[#This Row],[Pick-Up Date]]&lt;&gt;"",_xlfn.ISOWEEKNUM(PV_DATA[[#This Row],[Pick-Up Date]]),"")</f>
        <v>34</v>
      </c>
      <c r="AD959" s="430" t="s">
        <v>6378</v>
      </c>
      <c r="AE959" s="430"/>
      <c r="AF959" s="430" t="s">
        <v>1525</v>
      </c>
      <c r="AG959" s="430" t="s">
        <v>6003</v>
      </c>
      <c r="AH959" s="430" t="s">
        <v>456</v>
      </c>
      <c r="AI959" s="713">
        <v>46253</v>
      </c>
      <c r="AK959" s="437">
        <f>IFERROR(IF(VLOOKUP(AT959,Vessel!A:F,5,FALSE)=0,"",VLOOKUP(AT959,Vessel!A:F,5,FALSE)),"")</f>
        <v>46260.478738425925</v>
      </c>
      <c r="AL959" s="1078">
        <v>46292</v>
      </c>
      <c r="AM959" s="939">
        <f>IFERROR(VLOOKUP(AT959, Vessel!A:H, 8, FALSE), "")</f>
        <v>46305.041666666664</v>
      </c>
      <c r="AN959" s="939">
        <f>IFERROR(IF(VLOOKUP(AT959,Vessel!A:I,9,FALSE)=0,"",VLOOKUP(AT959,Vessel!A:I,9,FALSE)),"")</f>
        <v>46305.05978009259</v>
      </c>
      <c r="AP959" s="430" t="s">
        <v>6374</v>
      </c>
      <c r="AQ959" s="438" t="s">
        <v>80</v>
      </c>
      <c r="AR959" s="430" t="s">
        <v>6379</v>
      </c>
      <c r="AS959" s="430" t="s">
        <v>6380</v>
      </c>
      <c r="AT959" s="858" t="s">
        <v>6380</v>
      </c>
      <c r="AU95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44.581041666664532</v>
      </c>
      <c r="AW959" s="437" cm="1">
        <f t="array" ref="AW95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46305.05978009259</v>
      </c>
      <c r="AX95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59" s="437">
        <f>IF(ISERROR(PV_DATA[[#This Row],[New Ark PO status]]),"",_xlfn.XLOOKUP(PV_DATA[[#This Row],[SPTN-PVHK New Ark PO'#]],New_Ark_Data[Purchase order Number],New_Ark_Data[Estimated time of arrival],"",0))</f>
        <v>46296</v>
      </c>
      <c r="AZ959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59" s="437">
        <f>IFERROR(PV_DATA[[#This Row],[ODP ETA Port]]+PV_DATA[[#This Row],[Customs/Leg3 Assumption]],"n/a")</f>
        <v>46305.05978009259</v>
      </c>
      <c r="BB959" s="433">
        <f>YEAR(PV_DATA[[#This Row],[ETA for New Ark update]])</f>
        <v>2026</v>
      </c>
      <c r="BC959" s="430">
        <f>MONTH(PV_DATA[[#This Row],[ETA for New Ark update]])</f>
        <v>10</v>
      </c>
      <c r="BD959" s="430">
        <f>IFERROR(_xlfn.ISOWEEKNUM(PV_DATA[[#This Row],[ETA for New Ark update]]),0)</f>
        <v>41</v>
      </c>
      <c r="BE959" s="430">
        <f>_xlfn.XLOOKUP(PV_DATA[[#This Row],[New Ark SKU]],Table9[New Ark SKU],Table9[Total PCS per Pallet],,0)</f>
        <v>36</v>
      </c>
      <c r="BF959" s="430">
        <f>_xlfn.XLOOKUP(PV_DATA[[#This Row],[New Ark SKU]],Table9[New Ark SKU],Table9[Total PCS per 40HQ Container],,0)</f>
        <v>936</v>
      </c>
      <c r="BG959" s="430" t="str">
        <f>_xlfn.XLOOKUP(PV_DATA[[#This Row],[New Ark SKU]],Table9[New Ark SKU],Table9[Back Glass],,0)</f>
        <v>Black glazing</v>
      </c>
      <c r="BH959" s="610" t="str">
        <f>_xlfn.XLOOKUP(PV_DATA[[#This Row],[PORT DESTINATION]],Table12[PORT DESTINATION],Table12[Cosco Line],,0)</f>
        <v>AEU</v>
      </c>
      <c r="BJ959" s="430"/>
    </row>
    <row r="960" spans="1:62" ht="10.5" hidden="1">
      <c r="A960" s="729" t="s">
        <v>6381</v>
      </c>
      <c r="B960" s="462" t="s">
        <v>1757</v>
      </c>
      <c r="C960" s="462" t="str">
        <f>IFERROR(LEFT(PV_DATA[[#This Row],[TCL REFERENCE]],FIND(".",PV_DATA[[#This Row],[TCL REFERENCE]],1)-1),"Main Line")</f>
        <v>26Aug007</v>
      </c>
      <c r="D960" s="462" t="s">
        <v>63</v>
      </c>
      <c r="E960" s="462" t="s">
        <v>144</v>
      </c>
      <c r="F960" s="935" t="str" cm="1">
        <f t="array" ref="F96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60" s="462" t="s">
        <v>402</v>
      </c>
      <c r="H960" s="462" t="s">
        <v>6210</v>
      </c>
      <c r="I960" s="462" t="s">
        <v>882</v>
      </c>
      <c r="J960" s="430" t="s">
        <v>6210</v>
      </c>
      <c r="K960" s="430" t="s">
        <v>6211</v>
      </c>
      <c r="L960" s="430">
        <v>6</v>
      </c>
      <c r="M960" s="430" t="s">
        <v>4976</v>
      </c>
      <c r="N960" s="432" t="s">
        <v>6212</v>
      </c>
      <c r="O960" s="430" t="s">
        <v>284</v>
      </c>
      <c r="P960" s="430" t="s">
        <v>5860</v>
      </c>
      <c r="Q960" s="430" t="s">
        <v>5861</v>
      </c>
      <c r="R960" s="430" t="str">
        <f>_xlfn.XLOOKUP(PV_DATA[[#This Row],[New Ark SKU]],Table9[New Ark SKU],Table9[Connector],,0)</f>
        <v>EVO2A</v>
      </c>
      <c r="S960" s="433" t="str">
        <f>_xlfn.XLOOKUP(PV_DATA[[#This Row],[New Ark SKU]],Table9[New Ark SKU],Table9[Cable],,0)</f>
        <v>±1200mm</v>
      </c>
      <c r="T960" s="433">
        <v>485</v>
      </c>
      <c r="U960" s="1069">
        <f>936*5</f>
        <v>4680</v>
      </c>
      <c r="V960" s="434">
        <f>PV_DATA[[#This Row],[QUANTITY]]*PV_DATA[[#This Row],[WATT]]/1000000</f>
        <v>2.2698</v>
      </c>
      <c r="W960" s="969">
        <f>PV_DATA[[#This Row],[QUANTITY]]/36</f>
        <v>130</v>
      </c>
      <c r="X960" s="1015">
        <f>PV_DATA[[#This Row],[QUANTITY]]/PV_DATA[[#This Row],[Qty/CT]]</f>
        <v>5</v>
      </c>
      <c r="Y960" s="430" t="s">
        <v>4375</v>
      </c>
      <c r="Z960" s="430" t="str">
        <f t="shared" si="13"/>
        <v>COMPLETED</v>
      </c>
      <c r="AA960" s="430" t="s">
        <v>5862</v>
      </c>
      <c r="AB960" s="437">
        <v>46265</v>
      </c>
      <c r="AC960" s="485">
        <f>IF(PV_DATA[[#This Row],[Pick-Up Date]]&lt;&gt;"",_xlfn.ISOWEEKNUM(PV_DATA[[#This Row],[Pick-Up Date]]),"")</f>
        <v>36</v>
      </c>
      <c r="AD960" s="430" t="s">
        <v>6382</v>
      </c>
      <c r="AE960" s="430"/>
      <c r="AF960" s="430" t="s">
        <v>1525</v>
      </c>
      <c r="AG960" s="430" t="s">
        <v>6003</v>
      </c>
      <c r="AH960" s="430" t="s">
        <v>541</v>
      </c>
      <c r="AI960" s="437">
        <v>46259</v>
      </c>
      <c r="AJ960" s="437">
        <v>46269</v>
      </c>
      <c r="AK960" s="437">
        <f>IFERROR(IF(VLOOKUP(AT960,Vessel!A:F,5,FALSE)=0,"",VLOOKUP(AT960,Vessel!A:F,5,FALSE)),"")</f>
        <v>46269.824548611112</v>
      </c>
      <c r="AL960" s="1078">
        <v>46304</v>
      </c>
      <c r="AM960" s="939">
        <f>IFERROR(VLOOKUP(AT960, Vessel!A:H, 8, FALSE), "")</f>
        <v>46316.25</v>
      </c>
      <c r="AN960" s="939">
        <f>IFERROR(IF(VLOOKUP(AT960,Vessel!A:I,9,FALSE)=0,"",VLOOKUP(AT960,Vessel!A:I,9,FALSE)),"")</f>
        <v>46316.045949074076</v>
      </c>
      <c r="AP960" s="430" t="s">
        <v>6185</v>
      </c>
      <c r="AQ960" s="430" t="s">
        <v>80</v>
      </c>
      <c r="AR960" s="430" t="s">
        <v>6383</v>
      </c>
      <c r="AS960" s="430" t="s">
        <v>6384</v>
      </c>
      <c r="AT960" s="430" t="s">
        <v>6384</v>
      </c>
      <c r="AU96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46.221400462964084</v>
      </c>
      <c r="AW960" s="437" cm="1">
        <f t="array" ref="AW96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46316.045949074076</v>
      </c>
      <c r="AX96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60" s="437">
        <f>IF(ISERROR(PV_DATA[[#This Row],[New Ark PO status]]),"",_xlfn.XLOOKUP(PV_DATA[[#This Row],[SPTN-PVHK New Ark PO'#]],New_Ark_Data[Purchase order Number],New_Ark_Data[Estimated time of arrival],"",0))</f>
        <v>46304</v>
      </c>
      <c r="AZ960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60" s="437">
        <f>IFERROR(PV_DATA[[#This Row],[ODP ETA Port]]+PV_DATA[[#This Row],[Customs/Leg3 Assumption]],"n/a")</f>
        <v>46316.045949074076</v>
      </c>
      <c r="BB960" s="433">
        <f>YEAR(PV_DATA[[#This Row],[ETA for New Ark update]])</f>
        <v>2026</v>
      </c>
      <c r="BC960" s="430">
        <f>MONTH(PV_DATA[[#This Row],[ETA for New Ark update]])</f>
        <v>10</v>
      </c>
      <c r="BD960" s="430">
        <f>IFERROR(_xlfn.ISOWEEKNUM(PV_DATA[[#This Row],[ETA for New Ark update]]),0)</f>
        <v>43</v>
      </c>
      <c r="BE960" s="430">
        <f>_xlfn.XLOOKUP(PV_DATA[[#This Row],[New Ark SKU]],Table9[New Ark SKU],Table9[Total PCS per Pallet],,0)</f>
        <v>36</v>
      </c>
      <c r="BF960" s="430">
        <f>_xlfn.XLOOKUP(PV_DATA[[#This Row],[New Ark SKU]],Table9[New Ark SKU],Table9[Total PCS per 40HQ Container],,0)</f>
        <v>936</v>
      </c>
      <c r="BG960" s="430" t="str">
        <f>_xlfn.XLOOKUP(PV_DATA[[#This Row],[New Ark SKU]],Table9[New Ark SKU],Table9[Back Glass],,0)</f>
        <v>Black glazing</v>
      </c>
      <c r="BH960" s="610" t="str">
        <f>_xlfn.XLOOKUP(PV_DATA[[#This Row],[PORT DESTINATION]],Table12[PORT DESTINATION],Table12[Cosco Line],,0)</f>
        <v>AEU</v>
      </c>
      <c r="BJ960" s="430"/>
    </row>
    <row r="961" spans="1:60" s="462" customFormat="1" ht="10.5" hidden="1">
      <c r="A961" s="462" t="s">
        <v>6385</v>
      </c>
      <c r="B961" s="462" t="s">
        <v>61</v>
      </c>
      <c r="C961" s="462" t="str">
        <f>IFERROR(LEFT(PV_DATA[[#This Row],[TCL REFERENCE]],FIND(".",PV_DATA[[#This Row],[TCL REFERENCE]],1)-1),"Main Line")</f>
        <v>26Jun005</v>
      </c>
      <c r="D961" s="462" t="s">
        <v>63</v>
      </c>
      <c r="E961" s="462" t="s">
        <v>64</v>
      </c>
      <c r="F961" s="462" t="str" cm="1">
        <f t="array" ref="F96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61" s="462" t="s">
        <v>402</v>
      </c>
      <c r="H961" s="462" t="s">
        <v>67</v>
      </c>
      <c r="I961" s="462" t="s">
        <v>689</v>
      </c>
      <c r="J961" s="462" t="s">
        <v>96</v>
      </c>
      <c r="M961" s="462" t="s">
        <v>68</v>
      </c>
      <c r="N961" s="712">
        <v>46188</v>
      </c>
      <c r="O961" s="462" t="s">
        <v>4540</v>
      </c>
      <c r="P961" s="462" t="s">
        <v>1461</v>
      </c>
      <c r="Q961" s="462" t="s">
        <v>103</v>
      </c>
      <c r="R961" s="430" t="str">
        <f>_xlfn.XLOOKUP(PV_DATA[[#This Row],[New Ark SKU]],Table9[New Ark SKU],Table9[Connector],,0)</f>
        <v>EVO2A</v>
      </c>
      <c r="S961" s="433" t="str">
        <f>_xlfn.XLOOKUP(PV_DATA[[#This Row],[New Ark SKU]],Table9[New Ark SKU],Table9[Cable],,0)</f>
        <v>±1400mm</v>
      </c>
      <c r="T961" s="936">
        <v>620</v>
      </c>
      <c r="U961" s="1069">
        <v>720</v>
      </c>
      <c r="V961" s="458">
        <f>PV_DATA[[#This Row],[QUANTITY]]*PV_DATA[[#This Row],[WATT]]/1000000</f>
        <v>0.44640000000000002</v>
      </c>
      <c r="W961" s="714">
        <f>PV_DATA[[#This Row],[QUANTITY]]/PV_DATA[[#This Row],[Qty/Pallet]]</f>
        <v>20</v>
      </c>
      <c r="X961" s="1017">
        <f>PV_DATA[[#This Row],[QUANTITY]]/PV_DATA[[#This Row],[Qty/CT]]</f>
        <v>1</v>
      </c>
      <c r="Y961" s="462" t="s">
        <v>4373</v>
      </c>
      <c r="Z961" s="462" t="str">
        <f t="shared" si="13"/>
        <v>COMPLETED</v>
      </c>
      <c r="AA961" s="462" t="s">
        <v>5862</v>
      </c>
      <c r="AB961" s="713">
        <v>46253</v>
      </c>
      <c r="AC961" s="937">
        <f>IF(PV_DATA[[#This Row],[Pick-Up Date]]&lt;&gt;"",_xlfn.ISOWEEKNUM(PV_DATA[[#This Row],[Pick-Up Date]]),"")</f>
        <v>34</v>
      </c>
      <c r="AD961" s="462" t="s">
        <v>6386</v>
      </c>
      <c r="AE961" s="462" t="s">
        <v>6386</v>
      </c>
      <c r="AF961" s="462" t="s">
        <v>61</v>
      </c>
      <c r="AG961" s="462" t="s">
        <v>61</v>
      </c>
      <c r="AH961" s="462" t="s">
        <v>105</v>
      </c>
      <c r="AI961" s="713">
        <v>46258</v>
      </c>
      <c r="AJ961" s="713">
        <v>46259</v>
      </c>
      <c r="AK961" s="713">
        <f>IFERROR(IF(VLOOKUP(AT961,Vessel!A:F,5,FALSE)=0,"",VLOOKUP(AT961,Vessel!A:F,5,FALSE)),"")</f>
        <v>46259.371157407404</v>
      </c>
      <c r="AL961" s="713">
        <v>46303</v>
      </c>
      <c r="AM961" s="939">
        <f>IFERROR(VLOOKUP(AT961, Vessel!A:H, 8, FALSE), "")</f>
        <v>46308.083333333336</v>
      </c>
      <c r="AN961" s="939">
        <f>IFERROR(IF(VLOOKUP(AT961,Vessel!A:I,9,FALSE)=0,"",VLOOKUP(AT961,Vessel!A:I,9,FALSE)),"")</f>
        <v>46308.112372685187</v>
      </c>
      <c r="AP961" s="462" t="s">
        <v>6387</v>
      </c>
      <c r="AQ961" s="462" t="s">
        <v>80</v>
      </c>
      <c r="AR961" s="462" t="s">
        <v>6388</v>
      </c>
      <c r="AS961" s="462" t="s">
        <v>6389</v>
      </c>
      <c r="AT961" s="462" t="s">
        <v>6389</v>
      </c>
      <c r="AU96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48.74121527778334</v>
      </c>
      <c r="AW961" s="713" cm="1">
        <f t="array" ref="AW96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46308.112372685187</v>
      </c>
      <c r="AX96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61" s="713">
        <f>IF(ISERROR(PV_DATA[[#This Row],[New Ark PO status]]),"",_xlfn.XLOOKUP(PV_DATA[[#This Row],[SPTN-PVHK New Ark PO'#]],New_Ark_Data[Purchase order Number],New_Ark_Data[Estimated time of arrival],"",0))</f>
        <v>46310</v>
      </c>
      <c r="AZ961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61" s="713">
        <f>IFERROR(PV_DATA[[#This Row],[ODP ETA Port]]+PV_DATA[[#This Row],[Customs/Leg3 Assumption]],"n/a")</f>
        <v>46315.112372685187</v>
      </c>
      <c r="BB961" s="936">
        <f>YEAR(PV_DATA[[#This Row],[ETA for New Ark update]])</f>
        <v>2026</v>
      </c>
      <c r="BC961" s="462">
        <f>MONTH(PV_DATA[[#This Row],[ETA for New Ark update]])</f>
        <v>10</v>
      </c>
      <c r="BD961" s="462">
        <f>IFERROR(_xlfn.ISOWEEKNUM(PV_DATA[[#This Row],[ETA for New Ark update]]),0)</f>
        <v>43</v>
      </c>
      <c r="BE961" s="462">
        <f>_xlfn.XLOOKUP(PV_DATA[[#This Row],[New Ark SKU]],Table9[New Ark SKU],Table9[Total PCS per Pallet],,0)</f>
        <v>36</v>
      </c>
      <c r="BF961" s="462">
        <f>_xlfn.XLOOKUP(PV_DATA[[#This Row],[New Ark SKU]],Table9[New Ark SKU],Table9[Total PCS per 40HQ Container],,0)</f>
        <v>720</v>
      </c>
      <c r="BG961" s="462" t="str">
        <f>_xlfn.XLOOKUP(PV_DATA[[#This Row],[New Ark SKU]],Table9[New Ark SKU],Table9[Back Glass],,0)</f>
        <v>Redirection Film</v>
      </c>
      <c r="BH961" s="938" t="str">
        <f>_xlfn.XLOOKUP(PV_DATA[[#This Row],[PORT DESTINATION]],Table12[PORT DESTINATION],Table12[Cosco Line],,0)</f>
        <v>AEU</v>
      </c>
    </row>
    <row r="962" spans="1:60" s="462" customFormat="1" ht="10.5" hidden="1">
      <c r="A962" s="462" t="s">
        <v>6390</v>
      </c>
      <c r="B962" s="462" t="s">
        <v>61</v>
      </c>
      <c r="C962" s="462" t="str">
        <f>IFERROR(LEFT(PV_DATA[[#This Row],[TCL REFERENCE]],FIND(".",PV_DATA[[#This Row],[TCL REFERENCE]],1)-1),"Main Line")</f>
        <v>26Jun021</v>
      </c>
      <c r="D962" s="462" t="s">
        <v>63</v>
      </c>
      <c r="E962" s="462" t="s">
        <v>64</v>
      </c>
      <c r="F962" s="462" t="str" cm="1">
        <f t="array" ref="F96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62" s="462" t="s">
        <v>402</v>
      </c>
      <c r="H962" s="462" t="s">
        <v>67</v>
      </c>
      <c r="I962" s="462" t="s">
        <v>689</v>
      </c>
      <c r="J962" s="462" t="s">
        <v>96</v>
      </c>
      <c r="M962" s="462" t="s">
        <v>68</v>
      </c>
      <c r="N962" s="712">
        <v>46202</v>
      </c>
      <c r="O962" s="462" t="s">
        <v>284</v>
      </c>
      <c r="P962" s="730" t="s">
        <v>6169</v>
      </c>
      <c r="Q962" s="462" t="s">
        <v>1570</v>
      </c>
      <c r="R962" s="430" t="str">
        <f>_xlfn.XLOOKUP(PV_DATA[[#This Row],[New Ark SKU]],Table9[New Ark SKU],Table9[Connector],,0)</f>
        <v>EVO2A</v>
      </c>
      <c r="S962" s="433" t="str">
        <f>_xlfn.XLOOKUP(PV_DATA[[#This Row],[New Ark SKU]],Table9[New Ark SKU],Table9[Cable],,0)</f>
        <v>±1400mm</v>
      </c>
      <c r="T962" s="936">
        <v>650</v>
      </c>
      <c r="U962" s="1069">
        <v>720</v>
      </c>
      <c r="V962" s="458">
        <f>PV_DATA[[#This Row],[QUANTITY]]*PV_DATA[[#This Row],[WATT]]/1000000</f>
        <v>0.46800000000000003</v>
      </c>
      <c r="W962" s="714">
        <f>PV_DATA[[#This Row],[QUANTITY]]/PV_DATA[[#This Row],[Qty/Pallet]]</f>
        <v>20</v>
      </c>
      <c r="X962" s="1017">
        <f>PV_DATA[[#This Row],[QUANTITY]]/PV_DATA[[#This Row],[Qty/CT]]</f>
        <v>1</v>
      </c>
      <c r="Y962" s="462" t="s">
        <v>4375</v>
      </c>
      <c r="Z962" s="462" t="str">
        <f t="shared" si="13"/>
        <v>COMPLETED</v>
      </c>
      <c r="AB962" s="713">
        <v>46253</v>
      </c>
      <c r="AC962" s="937">
        <f>IF(PV_DATA[[#This Row],[Pick-Up Date]]&lt;&gt;"",_xlfn.ISOWEEKNUM(PV_DATA[[#This Row],[Pick-Up Date]]),"")</f>
        <v>34</v>
      </c>
      <c r="AD962" s="462" t="s">
        <v>6391</v>
      </c>
      <c r="AE962" s="462" t="s">
        <v>6391</v>
      </c>
      <c r="AF962" s="462" t="s">
        <v>61</v>
      </c>
      <c r="AG962" s="462" t="s">
        <v>61</v>
      </c>
      <c r="AH962" s="462" t="s">
        <v>105</v>
      </c>
      <c r="AI962" s="713">
        <v>46258</v>
      </c>
      <c r="AJ962" s="713">
        <v>46259</v>
      </c>
      <c r="AK962" s="713">
        <f>IFERROR(IF(VLOOKUP(AT962,Vessel!A:F,5,FALSE)=0,"",VLOOKUP(AT962,Vessel!A:F,5,FALSE)),"")</f>
        <v>46259.371157407404</v>
      </c>
      <c r="AL962" s="713">
        <v>46303</v>
      </c>
      <c r="AM962" s="939">
        <f>IFERROR(VLOOKUP(AT962, Vessel!A:H, 8, FALSE), "")</f>
        <v>46308.083333333336</v>
      </c>
      <c r="AN962" s="939">
        <f>IFERROR(IF(VLOOKUP(AT962,Vessel!A:I,9,FALSE)=0,"",VLOOKUP(AT962,Vessel!A:I,9,FALSE)),"")</f>
        <v>46308.112372685187</v>
      </c>
      <c r="AP962" s="462" t="s">
        <v>6387</v>
      </c>
      <c r="AQ962" s="462" t="s">
        <v>80</v>
      </c>
      <c r="AR962" s="462" t="s">
        <v>6388</v>
      </c>
      <c r="AS962" s="462" t="s">
        <v>6389</v>
      </c>
      <c r="AT962" s="462" t="s">
        <v>6389</v>
      </c>
      <c r="AU96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48.74121527778334</v>
      </c>
      <c r="AW962" s="713" cm="1">
        <f t="array" ref="AW96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46308.112372685187</v>
      </c>
      <c r="AX96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62" s="713">
        <f>IF(ISERROR(PV_DATA[[#This Row],[New Ark PO status]]),"",_xlfn.XLOOKUP(PV_DATA[[#This Row],[SPTN-PVHK New Ark PO'#]],New_Ark_Data[Purchase order Number],New_Ark_Data[Estimated time of arrival],"",0))</f>
        <v>46310</v>
      </c>
      <c r="AZ962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62" s="713">
        <f>IFERROR(PV_DATA[[#This Row],[ODP ETA Port]]+PV_DATA[[#This Row],[Customs/Leg3 Assumption]],"n/a")</f>
        <v>46315.112372685187</v>
      </c>
      <c r="BB962" s="936">
        <f>YEAR(PV_DATA[[#This Row],[ETA for New Ark update]])</f>
        <v>2026</v>
      </c>
      <c r="BC962" s="462">
        <f>MONTH(PV_DATA[[#This Row],[ETA for New Ark update]])</f>
        <v>10</v>
      </c>
      <c r="BD962" s="462">
        <f>IFERROR(_xlfn.ISOWEEKNUM(PV_DATA[[#This Row],[ETA for New Ark update]]),0)</f>
        <v>43</v>
      </c>
      <c r="BE962" s="462">
        <f>_xlfn.XLOOKUP(PV_DATA[[#This Row],[New Ark SKU]],Table9[New Ark SKU],Table9[Total PCS per Pallet],,0)</f>
        <v>36</v>
      </c>
      <c r="BF962" s="462">
        <f>_xlfn.XLOOKUP(PV_DATA[[#This Row],[New Ark SKU]],Table9[New Ark SKU],Table9[Total PCS per 40HQ Container],,0)</f>
        <v>720</v>
      </c>
      <c r="BG962" s="462" t="str">
        <f>_xlfn.XLOOKUP(PV_DATA[[#This Row],[New Ark SKU]],Table9[New Ark SKU],Table9[Back Glass],,0)</f>
        <v>White glazing</v>
      </c>
      <c r="BH962" s="938" t="str">
        <f>_xlfn.XLOOKUP(PV_DATA[[#This Row],[PORT DESTINATION]],Table12[PORT DESTINATION],Table12[Cosco Line],,0)</f>
        <v>AEU</v>
      </c>
    </row>
    <row r="963" spans="1:60" s="462" customFormat="1" ht="10.5" hidden="1">
      <c r="A963" s="729" t="s">
        <v>6392</v>
      </c>
      <c r="B963" s="462" t="s">
        <v>61</v>
      </c>
      <c r="C963" s="462" t="str">
        <f>IFERROR(LEFT(PV_DATA[[#This Row],[TCL REFERENCE]],FIND(".",PV_DATA[[#This Row],[TCL REFERENCE]],1)-1),"Main Line")</f>
        <v>26Aug003</v>
      </c>
      <c r="D963" s="462" t="s">
        <v>63</v>
      </c>
      <c r="E963" s="462" t="s">
        <v>64</v>
      </c>
      <c r="F963" s="462" t="str" cm="1">
        <f t="array" ref="F96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63" s="462" t="s">
        <v>402</v>
      </c>
      <c r="H963" s="462" t="s">
        <v>67</v>
      </c>
      <c r="I963" s="462" t="s">
        <v>1395</v>
      </c>
      <c r="J963" s="462" t="s">
        <v>96</v>
      </c>
      <c r="M963" s="462" t="s">
        <v>68</v>
      </c>
      <c r="N963" s="712">
        <v>46237</v>
      </c>
      <c r="O963" s="462" t="s">
        <v>4540</v>
      </c>
      <c r="P963" s="462" t="s">
        <v>71</v>
      </c>
      <c r="Q963" s="462" t="s">
        <v>72</v>
      </c>
      <c r="R963" s="430" t="str">
        <f>_xlfn.XLOOKUP(PV_DATA[[#This Row],[New Ark SKU]],Table9[New Ark SKU],Table9[Connector],,0)</f>
        <v>EVO2A</v>
      </c>
      <c r="S963" s="433" t="str">
        <f>_xlfn.XLOOKUP(PV_DATA[[#This Row],[New Ark SKU]],Table9[New Ark SKU],Table9[Cable],,0)</f>
        <v>±1200mm</v>
      </c>
      <c r="T963" s="936">
        <v>500</v>
      </c>
      <c r="U963" s="1069">
        <f>864*6</f>
        <v>5184</v>
      </c>
      <c r="V963" s="458">
        <f>PV_DATA[[#This Row],[QUANTITY]]*PV_DATA[[#This Row],[WATT]]/1000000</f>
        <v>2.5920000000000001</v>
      </c>
      <c r="W963" s="714">
        <f>PV_DATA[[#This Row],[QUANTITY]]/PV_DATA[[#This Row],[Qty/Pallet]]</f>
        <v>144</v>
      </c>
      <c r="X963" s="1017">
        <f>PV_DATA[[#This Row],[QUANTITY]]/PV_DATA[[#This Row],[Qty/CT]]</f>
        <v>6</v>
      </c>
      <c r="Y963" s="462" t="s">
        <v>4376</v>
      </c>
      <c r="Z963" s="462" t="str">
        <f t="shared" si="13"/>
        <v>COMPLETED</v>
      </c>
      <c r="AA963" s="462" t="s">
        <v>5862</v>
      </c>
      <c r="AB963" s="713">
        <v>46253</v>
      </c>
      <c r="AC963" s="937">
        <f>IF(PV_DATA[[#This Row],[Pick-Up Date]]&lt;&gt;"",_xlfn.ISOWEEKNUM(PV_DATA[[#This Row],[Pick-Up Date]]),"")</f>
        <v>34</v>
      </c>
      <c r="AD963" s="462" t="s">
        <v>6393</v>
      </c>
      <c r="AE963" s="462" t="s">
        <v>6393</v>
      </c>
      <c r="AF963" s="462" t="s">
        <v>61</v>
      </c>
      <c r="AG963" s="462" t="s">
        <v>61</v>
      </c>
      <c r="AH963" s="462" t="s">
        <v>105</v>
      </c>
      <c r="AI963" s="713">
        <v>46258</v>
      </c>
      <c r="AJ963" s="713">
        <v>46259</v>
      </c>
      <c r="AK963" s="713">
        <f>IFERROR(IF(VLOOKUP(AT963,Vessel!A:F,5,FALSE)=0,"",VLOOKUP(AT963,Vessel!A:F,5,FALSE)),"")</f>
        <v>46259.371157407404</v>
      </c>
      <c r="AL963" s="713">
        <v>46303</v>
      </c>
      <c r="AM963" s="939">
        <f>IFERROR(VLOOKUP(AT963, Vessel!A:H, 8, FALSE), "")</f>
        <v>46308.083333333336</v>
      </c>
      <c r="AN963" s="939">
        <f>IFERROR(IF(VLOOKUP(AT963,Vessel!A:I,9,FALSE)=0,"",VLOOKUP(AT963,Vessel!A:I,9,FALSE)),"")</f>
        <v>46308.112372685187</v>
      </c>
      <c r="AP963" s="462" t="s">
        <v>6387</v>
      </c>
      <c r="AQ963" s="462" t="s">
        <v>80</v>
      </c>
      <c r="AR963" s="462" t="s">
        <v>6388</v>
      </c>
      <c r="AS963" s="462" t="s">
        <v>6389</v>
      </c>
      <c r="AT963" s="462" t="s">
        <v>6389</v>
      </c>
      <c r="AU96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48.74121527778334</v>
      </c>
      <c r="AW963" s="713" cm="1">
        <f t="array" ref="AW96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46308.112372685187</v>
      </c>
      <c r="AX96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63" s="713">
        <f>IF(ISERROR(PV_DATA[[#This Row],[New Ark PO status]]),"",_xlfn.XLOOKUP(PV_DATA[[#This Row],[SPTN-PVHK New Ark PO'#]],New_Ark_Data[Purchase order Number],New_Ark_Data[Estimated time of arrival],"",0))</f>
        <v>46310</v>
      </c>
      <c r="AZ963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63" s="713">
        <f>IFERROR(PV_DATA[[#This Row],[ODP ETA Port]]+PV_DATA[[#This Row],[Customs/Leg3 Assumption]],"n/a")</f>
        <v>46315.112372685187</v>
      </c>
      <c r="BB963" s="936">
        <f>YEAR(PV_DATA[[#This Row],[ETA for New Ark update]])</f>
        <v>2026</v>
      </c>
      <c r="BC963" s="462">
        <f>MONTH(PV_DATA[[#This Row],[ETA for New Ark update]])</f>
        <v>10</v>
      </c>
      <c r="BD963" s="462">
        <f>IFERROR(_xlfn.ISOWEEKNUM(PV_DATA[[#This Row],[ETA for New Ark update]]),0)</f>
        <v>43</v>
      </c>
      <c r="BE963" s="462">
        <f>_xlfn.XLOOKUP(PV_DATA[[#This Row],[New Ark SKU]],Table9[New Ark SKU],Table9[Total PCS per Pallet],,0)</f>
        <v>36</v>
      </c>
      <c r="BF963" s="462">
        <f>_xlfn.XLOOKUP(PV_DATA[[#This Row],[New Ark SKU]],Table9[New Ark SKU],Table9[Total PCS per 40HQ Container],,0)</f>
        <v>864</v>
      </c>
      <c r="BG963" s="462" t="str">
        <f>_xlfn.XLOOKUP(PV_DATA[[#This Row],[New Ark SKU]],Table9[New Ark SKU],Table9[Back Glass],,0)</f>
        <v>Black glazing</v>
      </c>
      <c r="BH963" s="938" t="str">
        <f>_xlfn.XLOOKUP(PV_DATA[[#This Row],[PORT DESTINATION]],Table12[PORT DESTINATION],Table12[Cosco Line],,0)</f>
        <v>AEU</v>
      </c>
    </row>
    <row r="964" spans="1:60" s="462" customFormat="1" ht="10.5" hidden="1">
      <c r="A964" s="462" t="s">
        <v>6394</v>
      </c>
      <c r="B964" s="462" t="s">
        <v>61</v>
      </c>
      <c r="C964" s="462" t="str">
        <f>IFERROR(LEFT(PV_DATA[[#This Row],[TCL REFERENCE]],FIND(".",PV_DATA[[#This Row],[TCL REFERENCE]],1)-1),"Main Line")</f>
        <v>26Jun005</v>
      </c>
      <c r="D964" s="462" t="s">
        <v>63</v>
      </c>
      <c r="E964" s="462" t="s">
        <v>64</v>
      </c>
      <c r="F964" s="462" t="str" cm="1">
        <f t="array" ref="F96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64" s="462" t="s">
        <v>402</v>
      </c>
      <c r="H964" s="462" t="s">
        <v>67</v>
      </c>
      <c r="I964" s="462" t="s">
        <v>689</v>
      </c>
      <c r="J964" s="462" t="s">
        <v>96</v>
      </c>
      <c r="M964" s="462" t="s">
        <v>68</v>
      </c>
      <c r="N964" s="712">
        <v>46188</v>
      </c>
      <c r="O964" s="462" t="s">
        <v>4540</v>
      </c>
      <c r="P964" s="462" t="s">
        <v>1461</v>
      </c>
      <c r="Q964" s="462" t="s">
        <v>103</v>
      </c>
      <c r="R964" s="430" t="str">
        <f>_xlfn.XLOOKUP(PV_DATA[[#This Row],[New Ark SKU]],Table9[New Ark SKU],Table9[Connector],,0)</f>
        <v>EVO2A</v>
      </c>
      <c r="S964" s="433" t="str">
        <f>_xlfn.XLOOKUP(PV_DATA[[#This Row],[New Ark SKU]],Table9[New Ark SKU],Table9[Cable],,0)</f>
        <v>±1400mm</v>
      </c>
      <c r="T964" s="936">
        <v>620</v>
      </c>
      <c r="U964" s="1069">
        <v>1440</v>
      </c>
      <c r="V964" s="458">
        <f>PV_DATA[[#This Row],[QUANTITY]]*PV_DATA[[#This Row],[WATT]]/1000000</f>
        <v>0.89280000000000004</v>
      </c>
      <c r="W964" s="714">
        <f>PV_DATA[[#This Row],[QUANTITY]]/PV_DATA[[#This Row],[Qty/Pallet]]</f>
        <v>40</v>
      </c>
      <c r="X964" s="1017">
        <f>PV_DATA[[#This Row],[QUANTITY]]/PV_DATA[[#This Row],[Qty/CT]]</f>
        <v>2</v>
      </c>
      <c r="Y964" s="462" t="s">
        <v>4373</v>
      </c>
      <c r="Z964" s="462" t="str">
        <f t="shared" si="13"/>
        <v>COMPLETED</v>
      </c>
      <c r="AA964" s="462" t="s">
        <v>5862</v>
      </c>
      <c r="AB964" s="713">
        <v>46249</v>
      </c>
      <c r="AC964" s="937">
        <f>IF(PV_DATA[[#This Row],[Pick-Up Date]]&lt;&gt;"",_xlfn.ISOWEEKNUM(PV_DATA[[#This Row],[Pick-Up Date]]),"")</f>
        <v>33</v>
      </c>
      <c r="AD964" s="462" t="s">
        <v>6395</v>
      </c>
      <c r="AE964" s="462" t="s">
        <v>6395</v>
      </c>
      <c r="AF964" s="462" t="s">
        <v>61</v>
      </c>
      <c r="AG964" s="462" t="s">
        <v>61</v>
      </c>
      <c r="AH964" s="462" t="s">
        <v>105</v>
      </c>
      <c r="AI964" s="713">
        <v>46257</v>
      </c>
      <c r="AJ964" s="713">
        <v>46263</v>
      </c>
      <c r="AK964" s="437">
        <v>46263</v>
      </c>
      <c r="AL964" s="713">
        <v>46305</v>
      </c>
      <c r="AM964" s="713">
        <v>46322</v>
      </c>
      <c r="AN964" s="588">
        <v>46324</v>
      </c>
      <c r="AO964" s="462" t="s">
        <v>402</v>
      </c>
      <c r="AP964" s="462" t="s">
        <v>6396</v>
      </c>
      <c r="AQ964" s="462" t="s">
        <v>161</v>
      </c>
      <c r="AR964" s="462" t="s">
        <v>6397</v>
      </c>
      <c r="AS964" s="462" t="s">
        <v>6398</v>
      </c>
      <c r="AT964" s="462" t="s">
        <v>6398</v>
      </c>
      <c r="AU96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61</v>
      </c>
      <c r="AV964" s="713"/>
      <c r="AW964" s="713" cm="1">
        <f t="array" ref="AW96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46324</v>
      </c>
      <c r="AX96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64" s="713">
        <f>IF(ISERROR(PV_DATA[[#This Row],[New Ark PO status]]),"",_xlfn.XLOOKUP(PV_DATA[[#This Row],[SPTN-PVHK New Ark PO'#]],New_Ark_Data[Purchase order Number],New_Ark_Data[Estimated time of arrival],"",0))</f>
        <v>46318</v>
      </c>
      <c r="AZ964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64" s="713">
        <f>IFERROR(PV_DATA[[#This Row],[ODP ETA Port]]+PV_DATA[[#This Row],[Customs/Leg3 Assumption]],"n/a")</f>
        <v>46331</v>
      </c>
      <c r="BB964" s="936">
        <f>YEAR(PV_DATA[[#This Row],[ETA for New Ark update]])</f>
        <v>2026</v>
      </c>
      <c r="BC964" s="462">
        <f>MONTH(PV_DATA[[#This Row],[ETA for New Ark update]])</f>
        <v>11</v>
      </c>
      <c r="BD964" s="462">
        <f>IFERROR(_xlfn.ISOWEEKNUM(PV_DATA[[#This Row],[ETA for New Ark update]]),0)</f>
        <v>45</v>
      </c>
      <c r="BE964" s="462">
        <f>_xlfn.XLOOKUP(PV_DATA[[#This Row],[New Ark SKU]],Table9[New Ark SKU],Table9[Total PCS per Pallet],,0)</f>
        <v>36</v>
      </c>
      <c r="BF964" s="462">
        <f>_xlfn.XLOOKUP(PV_DATA[[#This Row],[New Ark SKU]],Table9[New Ark SKU],Table9[Total PCS per 40HQ Container],,0)</f>
        <v>720</v>
      </c>
      <c r="BG964" s="462" t="str">
        <f>_xlfn.XLOOKUP(PV_DATA[[#This Row],[New Ark SKU]],Table9[New Ark SKU],Table9[Back Glass],,0)</f>
        <v>Redirection Film</v>
      </c>
      <c r="BH964" s="462" t="str">
        <f>_xlfn.XLOOKUP(PV_DATA[[#This Row],[PORT DESTINATION]],Table12[PORT DESTINATION],Table12[Cosco Line],,0)</f>
        <v>AEU</v>
      </c>
    </row>
    <row r="965" spans="1:60" s="462" customFormat="1" ht="10.5" hidden="1">
      <c r="A965" s="729" t="s">
        <v>6399</v>
      </c>
      <c r="B965" s="462" t="s">
        <v>61</v>
      </c>
      <c r="C965" s="462" t="str">
        <f>IFERROR(LEFT(PV_DATA[[#This Row],[TCL REFERENCE]],FIND(".",PV_DATA[[#This Row],[TCL REFERENCE]],1)-1),"Main Line")</f>
        <v>26Aug004</v>
      </c>
      <c r="D965" s="462" t="s">
        <v>63</v>
      </c>
      <c r="E965" s="462" t="s">
        <v>64</v>
      </c>
      <c r="F965" s="462" t="str" cm="1">
        <f t="array" ref="F96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65" s="462" t="s">
        <v>402</v>
      </c>
      <c r="H965" s="462" t="s">
        <v>67</v>
      </c>
      <c r="I965" s="462" t="s">
        <v>882</v>
      </c>
      <c r="J965" s="462" t="s">
        <v>96</v>
      </c>
      <c r="M965" s="462" t="s">
        <v>68</v>
      </c>
      <c r="N965" s="712">
        <v>46237</v>
      </c>
      <c r="O965" s="462" t="s">
        <v>4540</v>
      </c>
      <c r="P965" s="462" t="s">
        <v>1151</v>
      </c>
      <c r="Q965" s="462" t="s">
        <v>421</v>
      </c>
      <c r="R965" s="430" t="str">
        <f>_xlfn.XLOOKUP(PV_DATA[[#This Row],[New Ark SKU]],Table9[New Ark SKU],Table9[Connector],,0)</f>
        <v>EVO2A</v>
      </c>
      <c r="S965" s="433" t="str">
        <f>_xlfn.XLOOKUP(PV_DATA[[#This Row],[New Ark SKU]],Table9[New Ark SKU],Table9[Cable],,0)</f>
        <v>±1200mm</v>
      </c>
      <c r="T965" s="936">
        <v>505</v>
      </c>
      <c r="U965" s="1069">
        <f>864*6</f>
        <v>5184</v>
      </c>
      <c r="V965" s="458">
        <f>PV_DATA[[#This Row],[QUANTITY]]*PV_DATA[[#This Row],[WATT]]/1000000</f>
        <v>2.6179199999999998</v>
      </c>
      <c r="W965" s="714">
        <f>PV_DATA[[#This Row],[QUANTITY]]/PV_DATA[[#This Row],[Qty/Pallet]]</f>
        <v>144</v>
      </c>
      <c r="X965" s="1017">
        <f>PV_DATA[[#This Row],[QUANTITY]]/PV_DATA[[#This Row],[Qty/CT]]</f>
        <v>6</v>
      </c>
      <c r="Y965" s="462" t="s">
        <v>4375</v>
      </c>
      <c r="Z965" s="462" t="str">
        <f t="shared" si="13"/>
        <v>COMPLETED</v>
      </c>
      <c r="AA965" s="462" t="s">
        <v>6400</v>
      </c>
      <c r="AB965" s="713">
        <v>46249</v>
      </c>
      <c r="AC965" s="937">
        <f>IF(PV_DATA[[#This Row],[Pick-Up Date]]&lt;&gt;"",_xlfn.ISOWEEKNUM(PV_DATA[[#This Row],[Pick-Up Date]]),"")</f>
        <v>33</v>
      </c>
      <c r="AD965" s="462" t="s">
        <v>6401</v>
      </c>
      <c r="AE965" s="462" t="s">
        <v>6401</v>
      </c>
      <c r="AF965" s="462" t="s">
        <v>61</v>
      </c>
      <c r="AG965" s="462" t="s">
        <v>61</v>
      </c>
      <c r="AH965" s="462" t="s">
        <v>105</v>
      </c>
      <c r="AI965" s="713">
        <v>46257</v>
      </c>
      <c r="AJ965" s="713">
        <v>46263</v>
      </c>
      <c r="AK965" s="437">
        <v>46263</v>
      </c>
      <c r="AL965" s="713">
        <v>46305</v>
      </c>
      <c r="AM965" s="713">
        <v>46322</v>
      </c>
      <c r="AN965" s="588">
        <v>46324</v>
      </c>
      <c r="AO965" s="462" t="s">
        <v>402</v>
      </c>
      <c r="AP965" s="462" t="s">
        <v>6396</v>
      </c>
      <c r="AQ965" s="462" t="s">
        <v>161</v>
      </c>
      <c r="AR965" s="462" t="s">
        <v>6397</v>
      </c>
      <c r="AS965" s="462" t="s">
        <v>6398</v>
      </c>
      <c r="AT965" s="462" t="s">
        <v>6398</v>
      </c>
      <c r="AU96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61</v>
      </c>
      <c r="AW965" s="713" cm="1">
        <f t="array" ref="AW96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46324</v>
      </c>
      <c r="AX96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65" s="713">
        <f>IF(ISERROR(PV_DATA[[#This Row],[New Ark PO status]]),"",_xlfn.XLOOKUP(PV_DATA[[#This Row],[SPTN-PVHK New Ark PO'#]],New_Ark_Data[Purchase order Number],New_Ark_Data[Estimated time of arrival],"",0))</f>
        <v>46318</v>
      </c>
      <c r="AZ965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65" s="713">
        <f>IFERROR(PV_DATA[[#This Row],[ODP ETA Port]]+PV_DATA[[#This Row],[Customs/Leg3 Assumption]],"n/a")</f>
        <v>46331</v>
      </c>
      <c r="BB965" s="936">
        <f>YEAR(PV_DATA[[#This Row],[ETA for New Ark update]])</f>
        <v>2026</v>
      </c>
      <c r="BC965" s="462">
        <f>MONTH(PV_DATA[[#This Row],[ETA for New Ark update]])</f>
        <v>11</v>
      </c>
      <c r="BD965" s="462">
        <f>IFERROR(_xlfn.ISOWEEKNUM(PV_DATA[[#This Row],[ETA for New Ark update]]),0)</f>
        <v>45</v>
      </c>
      <c r="BE965" s="462">
        <f>_xlfn.XLOOKUP(PV_DATA[[#This Row],[New Ark SKU]],Table9[New Ark SKU],Table9[Total PCS per Pallet],,0)</f>
        <v>36</v>
      </c>
      <c r="BF965" s="462">
        <f>_xlfn.XLOOKUP(PV_DATA[[#This Row],[New Ark SKU]],Table9[New Ark SKU],Table9[Total PCS per 40HQ Container],,0)</f>
        <v>864</v>
      </c>
      <c r="BG965" s="462" t="str">
        <f>_xlfn.XLOOKUP(PV_DATA[[#This Row],[New Ark SKU]],Table9[New Ark SKU],Table9[Back Glass],,0)</f>
        <v>Black glazing</v>
      </c>
      <c r="BH965" s="938" t="str">
        <f>_xlfn.XLOOKUP(PV_DATA[[#This Row],[PORT DESTINATION]],Table12[PORT DESTINATION],Table12[Cosco Line],,0)</f>
        <v>AEU</v>
      </c>
    </row>
    <row r="966" spans="1:60" s="462" customFormat="1" ht="10.5" hidden="1">
      <c r="A966" s="729" t="s">
        <v>6402</v>
      </c>
      <c r="B966" s="462" t="s">
        <v>61</v>
      </c>
      <c r="C966" s="462" t="str">
        <f>IFERROR(LEFT(PV_DATA[[#This Row],[TCL REFERENCE]],FIND(".",PV_DATA[[#This Row],[TCL REFERENCE]],1)-1),"Main Line")</f>
        <v>26Aug004</v>
      </c>
      <c r="D966" s="462" t="s">
        <v>63</v>
      </c>
      <c r="E966" s="462" t="s">
        <v>64</v>
      </c>
      <c r="F966" s="462" t="str" cm="1">
        <f t="array" ref="F96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66" s="462" t="s">
        <v>402</v>
      </c>
      <c r="H966" s="462" t="s">
        <v>67</v>
      </c>
      <c r="I966" s="462" t="s">
        <v>882</v>
      </c>
      <c r="J966" s="462" t="s">
        <v>96</v>
      </c>
      <c r="M966" s="462" t="s">
        <v>68</v>
      </c>
      <c r="N966" s="712">
        <v>46237</v>
      </c>
      <c r="O966" s="462" t="s">
        <v>4540</v>
      </c>
      <c r="P966" s="462" t="s">
        <v>1151</v>
      </c>
      <c r="Q966" s="462" t="s">
        <v>421</v>
      </c>
      <c r="R966" s="430" t="str">
        <f>_xlfn.XLOOKUP(PV_DATA[[#This Row],[New Ark SKU]],Table9[New Ark SKU],Table9[Connector],,0)</f>
        <v>EVO2A</v>
      </c>
      <c r="S966" s="433" t="str">
        <f>_xlfn.XLOOKUP(PV_DATA[[#This Row],[New Ark SKU]],Table9[New Ark SKU],Table9[Cable],,0)</f>
        <v>±1200mm</v>
      </c>
      <c r="T966" s="936">
        <v>505</v>
      </c>
      <c r="U966" s="1069">
        <f>864*6</f>
        <v>5184</v>
      </c>
      <c r="V966" s="458">
        <f>PV_DATA[[#This Row],[QUANTITY]]*PV_DATA[[#This Row],[WATT]]/1000000</f>
        <v>2.6179199999999998</v>
      </c>
      <c r="W966" s="714">
        <f>PV_DATA[[#This Row],[QUANTITY]]/PV_DATA[[#This Row],[Qty/Pallet]]</f>
        <v>144</v>
      </c>
      <c r="X966" s="1017">
        <f>PV_DATA[[#This Row],[QUANTITY]]/PV_DATA[[#This Row],[Qty/CT]]</f>
        <v>6</v>
      </c>
      <c r="Y966" s="462" t="s">
        <v>4376</v>
      </c>
      <c r="Z966" s="462" t="str">
        <f t="shared" si="13"/>
        <v>COMPLETED</v>
      </c>
      <c r="AA966" s="462" t="s">
        <v>6403</v>
      </c>
      <c r="AB966" s="713">
        <v>46249</v>
      </c>
      <c r="AC966" s="937">
        <f>IF(PV_DATA[[#This Row],[Pick-Up Date]]&lt;&gt;"",_xlfn.ISOWEEKNUM(PV_DATA[[#This Row],[Pick-Up Date]]),"")</f>
        <v>33</v>
      </c>
      <c r="AD966" s="462" t="s">
        <v>6404</v>
      </c>
      <c r="AE966" s="462" t="s">
        <v>6404</v>
      </c>
      <c r="AF966" s="462" t="s">
        <v>61</v>
      </c>
      <c r="AG966" s="462" t="s">
        <v>61</v>
      </c>
      <c r="AH966" s="462" t="s">
        <v>105</v>
      </c>
      <c r="AI966" s="713">
        <v>46257</v>
      </c>
      <c r="AJ966" s="713">
        <v>46263</v>
      </c>
      <c r="AK966" s="437">
        <v>46263</v>
      </c>
      <c r="AL966" s="713">
        <v>46305</v>
      </c>
      <c r="AM966" s="713">
        <v>46322</v>
      </c>
      <c r="AN966" s="588">
        <v>46324</v>
      </c>
      <c r="AO966" s="462" t="s">
        <v>402</v>
      </c>
      <c r="AP966" s="462" t="s">
        <v>6396</v>
      </c>
      <c r="AQ966" s="462" t="s">
        <v>161</v>
      </c>
      <c r="AR966" s="462" t="s">
        <v>6397</v>
      </c>
      <c r="AS966" s="462" t="s">
        <v>6398</v>
      </c>
      <c r="AT966" s="462" t="s">
        <v>6398</v>
      </c>
      <c r="AU96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61</v>
      </c>
      <c r="AW966" s="713" cm="1">
        <f t="array" ref="AW96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46324</v>
      </c>
      <c r="AX96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66" s="713">
        <f>IF(ISERROR(PV_DATA[[#This Row],[New Ark PO status]]),"",_xlfn.XLOOKUP(PV_DATA[[#This Row],[SPTN-PVHK New Ark PO'#]],New_Ark_Data[Purchase order Number],New_Ark_Data[Estimated time of arrival],"",0))</f>
        <v>46318</v>
      </c>
      <c r="AZ966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66" s="713">
        <f>IFERROR(PV_DATA[[#This Row],[ODP ETA Port]]+PV_DATA[[#This Row],[Customs/Leg3 Assumption]],"n/a")</f>
        <v>46331</v>
      </c>
      <c r="BB966" s="936">
        <f>YEAR(PV_DATA[[#This Row],[ETA for New Ark update]])</f>
        <v>2026</v>
      </c>
      <c r="BC966" s="462">
        <f>MONTH(PV_DATA[[#This Row],[ETA for New Ark update]])</f>
        <v>11</v>
      </c>
      <c r="BD966" s="462">
        <f>IFERROR(_xlfn.ISOWEEKNUM(PV_DATA[[#This Row],[ETA for New Ark update]]),0)</f>
        <v>45</v>
      </c>
      <c r="BE966" s="462">
        <f>_xlfn.XLOOKUP(PV_DATA[[#This Row],[New Ark SKU]],Table9[New Ark SKU],Table9[Total PCS per Pallet],,0)</f>
        <v>36</v>
      </c>
      <c r="BF966" s="462">
        <f>_xlfn.XLOOKUP(PV_DATA[[#This Row],[New Ark SKU]],Table9[New Ark SKU],Table9[Total PCS per 40HQ Container],,0)</f>
        <v>864</v>
      </c>
      <c r="BG966" s="462" t="str">
        <f>_xlfn.XLOOKUP(PV_DATA[[#This Row],[New Ark SKU]],Table9[New Ark SKU],Table9[Back Glass],,0)</f>
        <v>Black glazing</v>
      </c>
      <c r="BH966" s="938" t="str">
        <f>_xlfn.XLOOKUP(PV_DATA[[#This Row],[PORT DESTINATION]],Table12[PORT DESTINATION],Table12[Cosco Line],,0)</f>
        <v>AEU</v>
      </c>
    </row>
    <row r="967" spans="1:60" s="462" customFormat="1" ht="10.5" hidden="1">
      <c r="A967" s="462" t="s">
        <v>6405</v>
      </c>
      <c r="B967" s="462" t="s">
        <v>61</v>
      </c>
      <c r="C967" s="462" t="str">
        <f>IFERROR(LEFT(PV_DATA[[#This Row],[TCL REFERENCE]],FIND(".",PV_DATA[[#This Row],[TCL REFERENCE]],1)-1),"Main Line")</f>
        <v>26Jun005</v>
      </c>
      <c r="D967" s="462" t="s">
        <v>63</v>
      </c>
      <c r="E967" s="462" t="s">
        <v>64</v>
      </c>
      <c r="F967" s="462" t="str" cm="1">
        <f t="array" ref="F96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67" s="462" t="s">
        <v>402</v>
      </c>
      <c r="H967" s="462" t="s">
        <v>67</v>
      </c>
      <c r="I967" s="462" t="s">
        <v>689</v>
      </c>
      <c r="J967" s="462" t="s">
        <v>96</v>
      </c>
      <c r="M967" s="462" t="s">
        <v>68</v>
      </c>
      <c r="N967" s="712">
        <v>46188</v>
      </c>
      <c r="O967" s="462" t="s">
        <v>4540</v>
      </c>
      <c r="P967" s="462" t="s">
        <v>1461</v>
      </c>
      <c r="Q967" s="462" t="s">
        <v>103</v>
      </c>
      <c r="R967" s="430" t="str">
        <f>_xlfn.XLOOKUP(PV_DATA[[#This Row],[New Ark SKU]],Table9[New Ark SKU],Table9[Connector],,0)</f>
        <v>EVO2A</v>
      </c>
      <c r="S967" s="433" t="str">
        <f>_xlfn.XLOOKUP(PV_DATA[[#This Row],[New Ark SKU]],Table9[New Ark SKU],Table9[Cable],,0)</f>
        <v>±1400mm</v>
      </c>
      <c r="T967" s="936">
        <v>620</v>
      </c>
      <c r="U967" s="1069">
        <v>1440</v>
      </c>
      <c r="V967" s="458">
        <f>PV_DATA[[#This Row],[QUANTITY]]*PV_DATA[[#This Row],[WATT]]/1000000</f>
        <v>0.89280000000000004</v>
      </c>
      <c r="W967" s="714">
        <f>PV_DATA[[#This Row],[QUANTITY]]/PV_DATA[[#This Row],[Qty/Pallet]]</f>
        <v>40</v>
      </c>
      <c r="X967" s="1017">
        <f>PV_DATA[[#This Row],[QUANTITY]]/PV_DATA[[#This Row],[Qty/CT]]</f>
        <v>2</v>
      </c>
      <c r="Y967" s="462" t="s">
        <v>4373</v>
      </c>
      <c r="Z967" s="462" t="str">
        <f t="shared" si="13"/>
        <v>COMPLETED</v>
      </c>
      <c r="AA967" s="462" t="s">
        <v>5862</v>
      </c>
      <c r="AB967" s="713">
        <v>46247</v>
      </c>
      <c r="AC967" s="937">
        <f>IF(PV_DATA[[#This Row],[Pick-Up Date]]&lt;&gt;"",_xlfn.ISOWEEKNUM(PV_DATA[[#This Row],[Pick-Up Date]]),"")</f>
        <v>33</v>
      </c>
      <c r="AD967" s="462" t="s">
        <v>6406</v>
      </c>
      <c r="AF967" s="462" t="s">
        <v>61</v>
      </c>
      <c r="AG967" s="462" t="s">
        <v>61</v>
      </c>
      <c r="AH967" s="462" t="s">
        <v>105</v>
      </c>
      <c r="AI967" s="713">
        <v>46253</v>
      </c>
      <c r="AJ967" s="713"/>
      <c r="AK967" s="713">
        <v>46254</v>
      </c>
      <c r="AL967" s="713">
        <v>46305</v>
      </c>
      <c r="AM967" s="713"/>
      <c r="AN967" s="713">
        <v>46305</v>
      </c>
      <c r="AO967" s="462" t="s">
        <v>402</v>
      </c>
      <c r="AP967" s="462" t="s">
        <v>6407</v>
      </c>
      <c r="AQ967" s="462" t="s">
        <v>161</v>
      </c>
      <c r="AR967" s="462" t="s">
        <v>6408</v>
      </c>
      <c r="AS967" s="462" t="s">
        <v>6409</v>
      </c>
      <c r="AT967" s="462" t="s">
        <v>6409</v>
      </c>
      <c r="AU96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</v>
      </c>
      <c r="AV967" s="713"/>
      <c r="AW967" s="713" cm="1">
        <f t="array" ref="AW96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46305</v>
      </c>
      <c r="AX96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67" s="713">
        <f>IF(ISERROR(PV_DATA[[#This Row],[New Ark PO status]]),"",_xlfn.XLOOKUP(PV_DATA[[#This Row],[SPTN-PVHK New Ark PO'#]],New_Ark_Data[Purchase order Number],New_Ark_Data[Estimated time of arrival],"",0))</f>
        <v>46312</v>
      </c>
      <c r="AZ967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67" s="713">
        <f>IFERROR(PV_DATA[[#This Row],[ODP ETA Port]]+PV_DATA[[#This Row],[Customs/Leg3 Assumption]],"n/a")</f>
        <v>46312</v>
      </c>
      <c r="BB967" s="936">
        <f>YEAR(PV_DATA[[#This Row],[ETA for New Ark update]])</f>
        <v>2026</v>
      </c>
      <c r="BC967" s="462">
        <f>MONTH(PV_DATA[[#This Row],[ETA for New Ark update]])</f>
        <v>10</v>
      </c>
      <c r="BD967" s="462">
        <f>IFERROR(_xlfn.ISOWEEKNUM(PV_DATA[[#This Row],[ETA for New Ark update]]),0)</f>
        <v>42</v>
      </c>
      <c r="BE967" s="462">
        <f>_xlfn.XLOOKUP(PV_DATA[[#This Row],[New Ark SKU]],Table9[New Ark SKU],Table9[Total PCS per Pallet],,0)</f>
        <v>36</v>
      </c>
      <c r="BF967" s="462">
        <f>_xlfn.XLOOKUP(PV_DATA[[#This Row],[New Ark SKU]],Table9[New Ark SKU],Table9[Total PCS per 40HQ Container],,0)</f>
        <v>720</v>
      </c>
      <c r="BG967" s="462" t="str">
        <f>_xlfn.XLOOKUP(PV_DATA[[#This Row],[New Ark SKU]],Table9[New Ark SKU],Table9[Back Glass],,0)</f>
        <v>Redirection Film</v>
      </c>
      <c r="BH967" s="462" t="str">
        <f>_xlfn.XLOOKUP(PV_DATA[[#This Row],[PORT DESTINATION]],Table12[PORT DESTINATION],Table12[Cosco Line],,0)</f>
        <v>AEU</v>
      </c>
    </row>
    <row r="968" spans="1:60" s="446" customFormat="1" ht="10.5" hidden="1">
      <c r="A968" s="446" t="s">
        <v>6410</v>
      </c>
      <c r="B968" s="446" t="s">
        <v>61</v>
      </c>
      <c r="C968" s="446" t="str">
        <f>IFERROR(LEFT(PV_DATA[[#This Row],[TCL REFERENCE]],FIND(".",PV_DATA[[#This Row],[TCL REFERENCE]],1)-1),"Main Line")</f>
        <v>Main Line</v>
      </c>
      <c r="D968" s="446" t="s">
        <v>63</v>
      </c>
      <c r="E968" s="446" t="s">
        <v>64</v>
      </c>
      <c r="F968" s="446" t="str" cm="1">
        <f t="array" ref="F96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68" s="446" t="s">
        <v>402</v>
      </c>
      <c r="H968" s="446" t="s">
        <v>67</v>
      </c>
      <c r="I968" s="446" t="s">
        <v>689</v>
      </c>
      <c r="J968" s="446" t="s">
        <v>96</v>
      </c>
      <c r="M968" s="446" t="s">
        <v>68</v>
      </c>
      <c r="N968" s="1131">
        <v>46188</v>
      </c>
      <c r="O968" s="446" t="s">
        <v>4540</v>
      </c>
      <c r="P968" s="446" t="s">
        <v>1002</v>
      </c>
      <c r="Q968" s="446" t="s">
        <v>330</v>
      </c>
      <c r="R968" s="450" t="str">
        <f>_xlfn.XLOOKUP(PV_DATA[[#This Row],[New Ark SKU]],Table9[New Ark SKU],Table9[Connector],,0)</f>
        <v>EVO2A</v>
      </c>
      <c r="S968" s="452" t="str">
        <f>_xlfn.XLOOKUP(PV_DATA[[#This Row],[New Ark SKU]],Table9[New Ark SKU],Table9[Cable],,0)</f>
        <v>±1400mm</v>
      </c>
      <c r="T968" s="716">
        <v>625</v>
      </c>
      <c r="U968" s="1132" cm="1">
        <f t="array" ref="U968">9360-fx_qty</f>
        <v>2880</v>
      </c>
      <c r="V968" s="464">
        <f>PV_DATA[[#This Row],[QUANTITY]]*PV_DATA[[#This Row],[WATT]]/1000000</f>
        <v>1.8</v>
      </c>
      <c r="W968" s="717">
        <f>PV_DATA[[#This Row],[QUANTITY]]/PV_DATA[[#This Row],[Qty/Pallet]]</f>
        <v>80</v>
      </c>
      <c r="X968" s="1037">
        <f>PV_DATA[[#This Row],[QUANTITY]]/PV_DATA[[#This Row],[Qty/CT]]</f>
        <v>4</v>
      </c>
      <c r="Y968" s="446" t="s">
        <v>4373</v>
      </c>
      <c r="Z968" s="446" t="str">
        <f t="shared" si="13"/>
        <v>COMPLETED</v>
      </c>
      <c r="AA968" s="446" t="s">
        <v>5862</v>
      </c>
      <c r="AB968" s="718">
        <v>46247</v>
      </c>
      <c r="AC968" s="1134">
        <f>IF(PV_DATA[[#This Row],[Pick-Up Date]]&lt;&gt;"",_xlfn.ISOWEEKNUM(PV_DATA[[#This Row],[Pick-Up Date]]),"")</f>
        <v>33</v>
      </c>
      <c r="AD968" s="446" t="s">
        <v>6411</v>
      </c>
      <c r="AF968" s="446" t="s">
        <v>61</v>
      </c>
      <c r="AG968" s="446" t="s">
        <v>61</v>
      </c>
      <c r="AH968" s="446" t="s">
        <v>105</v>
      </c>
      <c r="AI968" s="718">
        <v>46253</v>
      </c>
      <c r="AJ968" s="718"/>
      <c r="AK968" s="718">
        <v>46254</v>
      </c>
      <c r="AL968" s="718">
        <v>46305</v>
      </c>
      <c r="AM968" s="718"/>
      <c r="AN968" s="718">
        <v>46305</v>
      </c>
      <c r="AO968" s="446" t="s">
        <v>402</v>
      </c>
      <c r="AP968" s="446" t="s">
        <v>6407</v>
      </c>
      <c r="AQ968" s="446" t="s">
        <v>161</v>
      </c>
      <c r="AR968" s="446" t="s">
        <v>6408</v>
      </c>
      <c r="AS968" s="446" t="s">
        <v>6409</v>
      </c>
      <c r="AT968" s="446" t="s">
        <v>6409</v>
      </c>
      <c r="AU968" s="45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</v>
      </c>
      <c r="AV968" s="718"/>
      <c r="AW968" s="718" cm="1">
        <f t="array" ref="AW96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46305</v>
      </c>
      <c r="AX968" s="71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68" s="718">
        <f>IF(ISERROR(PV_DATA[[#This Row],[New Ark PO status]]),"",_xlfn.XLOOKUP(PV_DATA[[#This Row],[SPTN-PVHK New Ark PO'#]],New_Ark_Data[Purchase order Number],New_Ark_Data[Estimated time of arrival],"",0))</f>
        <v>46312</v>
      </c>
      <c r="AZ968" s="71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68" s="718">
        <f>IFERROR(PV_DATA[[#This Row],[ODP ETA Port]]+PV_DATA[[#This Row],[Customs/Leg3 Assumption]],"n/a")</f>
        <v>46312</v>
      </c>
      <c r="BB968" s="716">
        <f>YEAR(PV_DATA[[#This Row],[ETA for New Ark update]])</f>
        <v>2026</v>
      </c>
      <c r="BC968" s="446">
        <f>MONTH(PV_DATA[[#This Row],[ETA for New Ark update]])</f>
        <v>10</v>
      </c>
      <c r="BD968" s="446">
        <f>IFERROR(_xlfn.ISOWEEKNUM(PV_DATA[[#This Row],[ETA for New Ark update]]),0)</f>
        <v>42</v>
      </c>
      <c r="BE968" s="446">
        <f>_xlfn.XLOOKUP(PV_DATA[[#This Row],[New Ark SKU]],Table9[New Ark SKU],Table9[Total PCS per Pallet],,0)</f>
        <v>36</v>
      </c>
      <c r="BF968" s="446">
        <f>_xlfn.XLOOKUP(PV_DATA[[#This Row],[New Ark SKU]],Table9[New Ark SKU],Table9[Total PCS per 40HQ Container],,0)</f>
        <v>720</v>
      </c>
      <c r="BG968" s="446" t="str">
        <f>_xlfn.XLOOKUP(PV_DATA[[#This Row],[New Ark SKU]],Table9[New Ark SKU],Table9[Back Glass],,0)</f>
        <v>Redirection Film</v>
      </c>
      <c r="BH968" s="446" t="str">
        <f>_xlfn.XLOOKUP(PV_DATA[[#This Row],[PORT DESTINATION]],Table12[PORT DESTINATION],Table12[Cosco Line],,0)</f>
        <v>AEU</v>
      </c>
    </row>
    <row r="969" spans="1:60" s="462" customFormat="1" ht="10.5" hidden="1">
      <c r="A969" s="462" t="s">
        <v>6412</v>
      </c>
      <c r="B969" s="462" t="s">
        <v>61</v>
      </c>
      <c r="C969" s="462" t="str">
        <f>IFERROR(LEFT(PV_DATA[[#This Row],[TCL REFERENCE]],FIND(".",PV_DATA[[#This Row],[TCL REFERENCE]],1)-1),"Main Line")</f>
        <v>26Jun005</v>
      </c>
      <c r="D969" s="462" t="s">
        <v>63</v>
      </c>
      <c r="E969" s="462" t="s">
        <v>64</v>
      </c>
      <c r="F969" s="462" t="str" cm="1">
        <f t="array" ref="F96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69" s="462" t="s">
        <v>402</v>
      </c>
      <c r="H969" s="462" t="s">
        <v>67</v>
      </c>
      <c r="I969" s="462" t="s">
        <v>689</v>
      </c>
      <c r="J969" s="462" t="s">
        <v>96</v>
      </c>
      <c r="M969" s="462" t="s">
        <v>68</v>
      </c>
      <c r="N969" s="712">
        <v>46188</v>
      </c>
      <c r="O969" s="462" t="s">
        <v>4540</v>
      </c>
      <c r="P969" s="462" t="s">
        <v>1461</v>
      </c>
      <c r="Q969" s="462" t="s">
        <v>103</v>
      </c>
      <c r="R969" s="430" t="str">
        <f>_xlfn.XLOOKUP(PV_DATA[[#This Row],[New Ark SKU]],Table9[New Ark SKU],Table9[Connector],,0)</f>
        <v>EVO2A</v>
      </c>
      <c r="S969" s="433" t="str">
        <f>_xlfn.XLOOKUP(PV_DATA[[#This Row],[New Ark SKU]],Table9[New Ark SKU],Table9[Cable],,0)</f>
        <v>±1400mm</v>
      </c>
      <c r="T969" s="936">
        <v>620</v>
      </c>
      <c r="U969" s="1069">
        <f>720*3</f>
        <v>2160</v>
      </c>
      <c r="V969" s="458">
        <f>PV_DATA[[#This Row],[QUANTITY]]*PV_DATA[[#This Row],[WATT]]/1000000</f>
        <v>1.3391999999999999</v>
      </c>
      <c r="W969" s="714">
        <f>PV_DATA[[#This Row],[QUANTITY]]/PV_DATA[[#This Row],[Qty/Pallet]]</f>
        <v>60</v>
      </c>
      <c r="X969" s="1017">
        <f>PV_DATA[[#This Row],[QUANTITY]]/PV_DATA[[#This Row],[Qty/CT]]</f>
        <v>3</v>
      </c>
      <c r="Y969" s="462" t="s">
        <v>4373</v>
      </c>
      <c r="Z969" s="462" t="str">
        <f t="shared" si="13"/>
        <v>IN-TRANSIT</v>
      </c>
      <c r="AA969" s="462" t="s">
        <v>5862</v>
      </c>
      <c r="AB969" s="713">
        <v>46253</v>
      </c>
      <c r="AC969" s="937">
        <f>IF(PV_DATA[[#This Row],[Pick-Up Date]]&lt;&gt;"",_xlfn.ISOWEEKNUM(PV_DATA[[#This Row],[Pick-Up Date]]),"")</f>
        <v>34</v>
      </c>
      <c r="AD969" s="462" t="s">
        <v>6413</v>
      </c>
      <c r="AE969" s="462" t="s">
        <v>6413</v>
      </c>
      <c r="AF969" s="462" t="s">
        <v>61</v>
      </c>
      <c r="AG969" s="462" t="s">
        <v>61</v>
      </c>
      <c r="AH969" s="462" t="s">
        <v>78</v>
      </c>
      <c r="AI969" s="713">
        <v>46258</v>
      </c>
      <c r="AJ969" s="713">
        <v>46259</v>
      </c>
      <c r="AK969" s="713">
        <f>IFERROR(IF(VLOOKUP(AT969,Vessel!A:F,5,FALSE)=0,"",VLOOKUP(AT969,Vessel!A:F,5,FALSE)),"")</f>
        <v>46259.371157407404</v>
      </c>
      <c r="AL969" s="713">
        <v>46321</v>
      </c>
      <c r="AM969" s="939">
        <f>IFERROR(VLOOKUP(AT969, Vessel!A:H, 8, FALSE), "")</f>
        <v>46336.25</v>
      </c>
      <c r="AN969" s="939" t="str">
        <f>IFERROR(IF(VLOOKUP(AT969,Vessel!A:I,9,FALSE)=0,"",VLOOKUP(AT969,Vessel!A:I,9,FALSE)),"")</f>
        <v/>
      </c>
      <c r="AP969" s="462" t="s">
        <v>6387</v>
      </c>
      <c r="AQ969" s="462" t="s">
        <v>80</v>
      </c>
      <c r="AR969" s="462" t="s">
        <v>6414</v>
      </c>
      <c r="AS969" s="462" t="s">
        <v>6415</v>
      </c>
      <c r="AT969" s="462" t="s">
        <v>6415</v>
      </c>
      <c r="AU96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76.878842592595902</v>
      </c>
      <c r="AV969" s="713"/>
      <c r="AW969" s="713" cm="1">
        <f t="array" ref="AW96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46336.25</v>
      </c>
      <c r="AX96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69" s="713">
        <f>IF(ISERROR(PV_DATA[[#This Row],[New Ark PO status]]),"",_xlfn.XLOOKUP(PV_DATA[[#This Row],[SPTN-PVHK New Ark PO'#]],New_Ark_Data[Purchase order Number],New_Ark_Data[Estimated time of arrival],"",0))</f>
        <v>46329</v>
      </c>
      <c r="AZ969" s="936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69" s="713">
        <f>IFERROR(PV_DATA[[#This Row],[ODP ETA Port]]+PV_DATA[[#This Row],[Customs/Leg3 Assumption]],"n/a")</f>
        <v>46344.25</v>
      </c>
      <c r="BB969" s="936">
        <f>YEAR(PV_DATA[[#This Row],[ETA for New Ark update]])</f>
        <v>2026</v>
      </c>
      <c r="BC969" s="462">
        <f>MONTH(PV_DATA[[#This Row],[ETA for New Ark update]])</f>
        <v>11</v>
      </c>
      <c r="BD969" s="462">
        <f>IFERROR(_xlfn.ISOWEEKNUM(PV_DATA[[#This Row],[ETA for New Ark update]]),0)</f>
        <v>47</v>
      </c>
      <c r="BE969" s="462">
        <f>_xlfn.XLOOKUP(PV_DATA[[#This Row],[New Ark SKU]],Table9[New Ark SKU],Table9[Total PCS per Pallet],,0)</f>
        <v>36</v>
      </c>
      <c r="BF969" s="462">
        <f>_xlfn.XLOOKUP(PV_DATA[[#This Row],[New Ark SKU]],Table9[New Ark SKU],Table9[Total PCS per 40HQ Container],,0)</f>
        <v>720</v>
      </c>
      <c r="BG969" s="462" t="str">
        <f>_xlfn.XLOOKUP(PV_DATA[[#This Row],[New Ark SKU]],Table9[New Ark SKU],Table9[Back Glass],,0)</f>
        <v>Redirection Film</v>
      </c>
      <c r="BH969" s="462" t="str">
        <f>_xlfn.XLOOKUP(PV_DATA[[#This Row],[PORT DESTINATION]],Table12[PORT DESTINATION],Table12[Cosco Line],,0)</f>
        <v>AEM</v>
      </c>
    </row>
    <row r="970" spans="1:60" s="462" customFormat="1" ht="10.5" hidden="1">
      <c r="A970" s="462" t="s">
        <v>6416</v>
      </c>
      <c r="B970" s="462" t="s">
        <v>61</v>
      </c>
      <c r="C970" s="462" t="str">
        <f>IFERROR(LEFT(PV_DATA[[#This Row],[TCL REFERENCE]],FIND(".",PV_DATA[[#This Row],[TCL REFERENCE]],1)-1),"Main Line")</f>
        <v>26Jun021</v>
      </c>
      <c r="D970" s="462" t="s">
        <v>63</v>
      </c>
      <c r="E970" s="462" t="s">
        <v>64</v>
      </c>
      <c r="F970" s="462" t="str" cm="1">
        <f t="array" ref="F97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70" s="462" t="s">
        <v>402</v>
      </c>
      <c r="H970" s="462" t="s">
        <v>67</v>
      </c>
      <c r="I970" s="462" t="s">
        <v>1395</v>
      </c>
      <c r="J970" s="462" t="s">
        <v>96</v>
      </c>
      <c r="M970" s="462" t="s">
        <v>68</v>
      </c>
      <c r="N970" s="712">
        <v>46202</v>
      </c>
      <c r="O970" s="462" t="s">
        <v>284</v>
      </c>
      <c r="P970" s="730" t="s">
        <v>6169</v>
      </c>
      <c r="Q970" s="462" t="s">
        <v>1570</v>
      </c>
      <c r="R970" s="430" t="str">
        <f>_xlfn.XLOOKUP(PV_DATA[[#This Row],[New Ark SKU]],Table9[New Ark SKU],Table9[Connector],,0)</f>
        <v>EVO2A</v>
      </c>
      <c r="S970" s="433" t="str">
        <f>_xlfn.XLOOKUP(PV_DATA[[#This Row],[New Ark SKU]],Table9[New Ark SKU],Table9[Cable],,0)</f>
        <v>±1400mm</v>
      </c>
      <c r="T970" s="936">
        <v>650</v>
      </c>
      <c r="U970" s="1069">
        <v>720</v>
      </c>
      <c r="V970" s="458">
        <f>PV_DATA[[#This Row],[QUANTITY]]*PV_DATA[[#This Row],[WATT]]/1000000</f>
        <v>0.46800000000000003</v>
      </c>
      <c r="W970" s="714">
        <f>PV_DATA[[#This Row],[QUANTITY]]/PV_DATA[[#This Row],[Qty/Pallet]]</f>
        <v>20</v>
      </c>
      <c r="X970" s="1017">
        <f>PV_DATA[[#This Row],[QUANTITY]]/PV_DATA[[#This Row],[Qty/CT]]</f>
        <v>1</v>
      </c>
      <c r="Y970" s="462" t="s">
        <v>4372</v>
      </c>
      <c r="Z970" s="462" t="str">
        <f t="shared" si="13"/>
        <v>IN-TRANSIT</v>
      </c>
      <c r="AB970" s="713">
        <v>46253</v>
      </c>
      <c r="AC970" s="937">
        <f>IF(PV_DATA[[#This Row],[Pick-Up Date]]&lt;&gt;"",_xlfn.ISOWEEKNUM(PV_DATA[[#This Row],[Pick-Up Date]]),"")</f>
        <v>34</v>
      </c>
      <c r="AD970" s="462" t="s">
        <v>6417</v>
      </c>
      <c r="AE970" s="462" t="s">
        <v>6417</v>
      </c>
      <c r="AF970" s="462" t="s">
        <v>61</v>
      </c>
      <c r="AG970" s="462" t="s">
        <v>61</v>
      </c>
      <c r="AH970" s="462" t="s">
        <v>78</v>
      </c>
      <c r="AI970" s="713">
        <v>46258</v>
      </c>
      <c r="AJ970" s="713">
        <v>46259</v>
      </c>
      <c r="AK970" s="713">
        <f>IFERROR(IF(VLOOKUP(AT970,Vessel!A:F,5,FALSE)=0,"",VLOOKUP(AT970,Vessel!A:F,5,FALSE)),"")</f>
        <v>46259.371157407404</v>
      </c>
      <c r="AL970" s="713">
        <v>46321</v>
      </c>
      <c r="AM970" s="939">
        <f>IFERROR(VLOOKUP(AT970, Vessel!A:H, 8, FALSE), "")</f>
        <v>46336.25</v>
      </c>
      <c r="AN970" s="939" t="str">
        <f>IFERROR(IF(VLOOKUP(AT970,Vessel!A:I,9,FALSE)=0,"",VLOOKUP(AT970,Vessel!A:I,9,FALSE)),"")</f>
        <v/>
      </c>
      <c r="AP970" s="462" t="s">
        <v>6387</v>
      </c>
      <c r="AQ970" s="940" t="s">
        <v>80</v>
      </c>
      <c r="AR970" s="462" t="s">
        <v>6414</v>
      </c>
      <c r="AS970" s="462" t="s">
        <v>6415</v>
      </c>
      <c r="AT970" s="462" t="s">
        <v>6415</v>
      </c>
      <c r="AU97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76.878842592595902</v>
      </c>
      <c r="AW970" s="713" cm="1">
        <f t="array" ref="AW97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46336.25</v>
      </c>
      <c r="AX97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70" s="713">
        <f>IF(ISERROR(PV_DATA[[#This Row],[New Ark PO status]]),"",_xlfn.XLOOKUP(PV_DATA[[#This Row],[SPTN-PVHK New Ark PO'#]],New_Ark_Data[Purchase order Number],New_Ark_Data[Estimated time of arrival],"",0))</f>
        <v>46329</v>
      </c>
      <c r="AZ970" s="936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70" s="713">
        <f>IFERROR(PV_DATA[[#This Row],[ODP ETA Port]]+PV_DATA[[#This Row],[Customs/Leg3 Assumption]],"n/a")</f>
        <v>46344.25</v>
      </c>
      <c r="BB970" s="936">
        <f>YEAR(PV_DATA[[#This Row],[ETA for New Ark update]])</f>
        <v>2026</v>
      </c>
      <c r="BC970" s="462">
        <f>MONTH(PV_DATA[[#This Row],[ETA for New Ark update]])</f>
        <v>11</v>
      </c>
      <c r="BD970" s="462">
        <f>IFERROR(_xlfn.ISOWEEKNUM(PV_DATA[[#This Row],[ETA for New Ark update]]),0)</f>
        <v>47</v>
      </c>
      <c r="BE970" s="462">
        <f>_xlfn.XLOOKUP(PV_DATA[[#This Row],[New Ark SKU]],Table9[New Ark SKU],Table9[Total PCS per Pallet],,0)</f>
        <v>36</v>
      </c>
      <c r="BF970" s="462">
        <f>_xlfn.XLOOKUP(PV_DATA[[#This Row],[New Ark SKU]],Table9[New Ark SKU],Table9[Total PCS per 40HQ Container],,0)</f>
        <v>720</v>
      </c>
      <c r="BG970" s="462" t="str">
        <f>_xlfn.XLOOKUP(PV_DATA[[#This Row],[New Ark SKU]],Table9[New Ark SKU],Table9[Back Glass],,0)</f>
        <v>White glazing</v>
      </c>
      <c r="BH970" s="462" t="str">
        <f>_xlfn.XLOOKUP(PV_DATA[[#This Row],[PORT DESTINATION]],Table12[PORT DESTINATION],Table12[Cosco Line],,0)</f>
        <v>AEM</v>
      </c>
    </row>
    <row r="971" spans="1:60" s="462" customFormat="1" ht="10.5" hidden="1">
      <c r="A971" s="462" t="s">
        <v>6418</v>
      </c>
      <c r="B971" s="462" t="s">
        <v>61</v>
      </c>
      <c r="C971" s="462" t="str">
        <f>IFERROR(LEFT(PV_DATA[[#This Row],[TCL REFERENCE]],FIND(".",PV_DATA[[#This Row],[TCL REFERENCE]],1)-1),"Main Line")</f>
        <v>26Aug004</v>
      </c>
      <c r="D971" s="462" t="s">
        <v>63</v>
      </c>
      <c r="E971" s="462" t="s">
        <v>144</v>
      </c>
      <c r="F971" s="462" t="str" cm="1">
        <f t="array" ref="F97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71" s="462" t="s">
        <v>146</v>
      </c>
      <c r="H971" s="462" t="s">
        <v>4973</v>
      </c>
      <c r="I971" s="462" t="s">
        <v>869</v>
      </c>
      <c r="J971" s="462" t="s">
        <v>4973</v>
      </c>
      <c r="K971" s="462" t="s">
        <v>6349</v>
      </c>
      <c r="L971" s="462">
        <v>2</v>
      </c>
      <c r="M971" s="462" t="s">
        <v>4976</v>
      </c>
      <c r="N971" s="712">
        <v>46237</v>
      </c>
      <c r="O971" s="462" t="s">
        <v>4540</v>
      </c>
      <c r="P971" s="462" t="s">
        <v>1151</v>
      </c>
      <c r="Q971" s="462" t="s">
        <v>421</v>
      </c>
      <c r="R971" s="430" t="str">
        <f>_xlfn.XLOOKUP(PV_DATA[[#This Row],[New Ark SKU]],Table9[New Ark SKU],Table9[Connector],,0)</f>
        <v>EVO2A</v>
      </c>
      <c r="S971" s="433" t="str">
        <f>_xlfn.XLOOKUP(PV_DATA[[#This Row],[New Ark SKU]],Table9[New Ark SKU],Table9[Cable],,0)</f>
        <v>±1200mm</v>
      </c>
      <c r="T971" s="936">
        <v>505</v>
      </c>
      <c r="U971" s="1069">
        <f>864*2</f>
        <v>1728</v>
      </c>
      <c r="V971" s="458">
        <f>PV_DATA[[#This Row],[QUANTITY]]*PV_DATA[[#This Row],[WATT]]/1000000</f>
        <v>0.87263999999999997</v>
      </c>
      <c r="W971" s="714">
        <f>PV_DATA[[#This Row],[QUANTITY]]/PV_DATA[[#This Row],[Qty/Pallet]]</f>
        <v>48</v>
      </c>
      <c r="X971" s="1017">
        <f>PV_DATA[[#This Row],[QUANTITY]]/PV_DATA[[#This Row],[Qty/CT]]</f>
        <v>2</v>
      </c>
      <c r="Y971" s="462" t="s">
        <v>4375</v>
      </c>
      <c r="Z971" s="462" t="str">
        <f t="shared" si="13"/>
        <v>COMPLETED</v>
      </c>
      <c r="AA971" s="462" t="s">
        <v>6419</v>
      </c>
      <c r="AB971" s="713">
        <v>46253</v>
      </c>
      <c r="AC971" s="937">
        <f>IF(PV_DATA[[#This Row],[Pick-Up Date]]&lt;&gt;"",_xlfn.ISOWEEKNUM(PV_DATA[[#This Row],[Pick-Up Date]]),"")</f>
        <v>34</v>
      </c>
      <c r="AD971" s="462" t="s">
        <v>6420</v>
      </c>
      <c r="AE971" s="462" t="s">
        <v>6420</v>
      </c>
      <c r="AF971" s="462" t="s">
        <v>61</v>
      </c>
      <c r="AG971" s="462" t="s">
        <v>61</v>
      </c>
      <c r="AH971" s="462" t="s">
        <v>78</v>
      </c>
      <c r="AI971" s="959">
        <v>46258</v>
      </c>
      <c r="AJ971" s="713">
        <v>46259</v>
      </c>
      <c r="AK971" s="713">
        <f>IFERROR(IF(VLOOKUP(AT971,Vessel!A:F,5,FALSE)=0,"",VLOOKUP(AT971,Vessel!A:F,5,FALSE)),"")</f>
        <v>46259.371157407404</v>
      </c>
      <c r="AL971" s="959">
        <v>46316</v>
      </c>
      <c r="AM971" s="939">
        <f>IFERROR(VLOOKUP(AT971, Vessel!A:H, 8, FALSE), "")</f>
        <v>46322.666666666664</v>
      </c>
      <c r="AN971" s="939">
        <f>IFERROR(IF(VLOOKUP(AT971,Vessel!A:I,9,FALSE)=0,"",VLOOKUP(AT971,Vessel!A:I,9,FALSE)),"")</f>
        <v>46322.787372685183</v>
      </c>
      <c r="AP971" s="462" t="s">
        <v>6387</v>
      </c>
      <c r="AQ971" s="940" t="s">
        <v>80</v>
      </c>
      <c r="AR971" s="462" t="s">
        <v>6421</v>
      </c>
      <c r="AS971" s="462" t="s">
        <v>6422</v>
      </c>
      <c r="AT971" s="462" t="s">
        <v>6422</v>
      </c>
      <c r="AU97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63.416215277778974</v>
      </c>
      <c r="AW971" s="713" cm="1">
        <f t="array" ref="AW97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46322.787372685183</v>
      </c>
      <c r="AX97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71" s="713">
        <f>IF(ISERROR(PV_DATA[[#This Row],[New Ark PO status]]),"",_xlfn.XLOOKUP(PV_DATA[[#This Row],[SPTN-PVHK New Ark PO'#]],New_Ark_Data[Purchase order Number],New_Ark_Data[Estimated time of arrival],"",0))</f>
        <v>46316</v>
      </c>
      <c r="AZ971" s="936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71" s="713">
        <f>IFERROR(PV_DATA[[#This Row],[ODP ETA Port]]+PV_DATA[[#This Row],[Customs/Leg3 Assumption]],"n/a")</f>
        <v>46322.787372685183</v>
      </c>
      <c r="BB971" s="936">
        <f>YEAR(PV_DATA[[#This Row],[ETA for New Ark update]])</f>
        <v>2026</v>
      </c>
      <c r="BC971" s="462">
        <f>MONTH(PV_DATA[[#This Row],[ETA for New Ark update]])</f>
        <v>10</v>
      </c>
      <c r="BD971" s="462">
        <f>IFERROR(_xlfn.ISOWEEKNUM(PV_DATA[[#This Row],[ETA for New Ark update]]),0)</f>
        <v>44</v>
      </c>
      <c r="BE971" s="462">
        <f>_xlfn.XLOOKUP(PV_DATA[[#This Row],[New Ark SKU]],Table9[New Ark SKU],Table9[Total PCS per Pallet],,0)</f>
        <v>36</v>
      </c>
      <c r="BF971" s="462">
        <f>_xlfn.XLOOKUP(PV_DATA[[#This Row],[New Ark SKU]],Table9[New Ark SKU],Table9[Total PCS per 40HQ Container],,0)</f>
        <v>864</v>
      </c>
      <c r="BG971" s="462" t="str">
        <f>_xlfn.XLOOKUP(PV_DATA[[#This Row],[New Ark SKU]],Table9[New Ark SKU],Table9[Back Glass],,0)</f>
        <v>Black glazing</v>
      </c>
      <c r="BH971" s="938" t="str">
        <f>_xlfn.XLOOKUP(PV_DATA[[#This Row],[PORT DESTINATION]],Table12[PORT DESTINATION],Table12[Cosco Line],,0)</f>
        <v>AEM</v>
      </c>
    </row>
    <row r="972" spans="1:60" s="431" customFormat="1" ht="10.5" hidden="1">
      <c r="A972" s="728" t="s">
        <v>6423</v>
      </c>
      <c r="B972" s="439" t="s">
        <v>61</v>
      </c>
      <c r="C972" s="439" t="str">
        <f>IFERROR(LEFT(PV_DATA[[#This Row],[TCL REFERENCE]],FIND(".",PV_DATA[[#This Row],[TCL REFERENCE]],1)-1),"Main Line")</f>
        <v>26Aug004</v>
      </c>
      <c r="D972" s="439" t="s">
        <v>63</v>
      </c>
      <c r="E972" s="439" t="s">
        <v>64</v>
      </c>
      <c r="F972" s="439" t="str" cm="1">
        <f t="array" ref="F97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72" s="439" t="s">
        <v>402</v>
      </c>
      <c r="H972" s="439" t="s">
        <v>67</v>
      </c>
      <c r="I972" s="439" t="s">
        <v>6424</v>
      </c>
      <c r="J972" s="431" t="s">
        <v>96</v>
      </c>
      <c r="M972" s="430" t="s">
        <v>6325</v>
      </c>
      <c r="N972" s="461">
        <v>46237</v>
      </c>
      <c r="O972" s="431" t="s">
        <v>4540</v>
      </c>
      <c r="P972" s="431" t="s">
        <v>1151</v>
      </c>
      <c r="Q972" s="431" t="s">
        <v>421</v>
      </c>
      <c r="R972" s="430" t="str">
        <f>_xlfn.XLOOKUP(PV_DATA[[#This Row],[New Ark SKU]],Table9[New Ark SKU],Table9[Connector],,0)</f>
        <v>EVO2A</v>
      </c>
      <c r="S972" s="433" t="str">
        <f>_xlfn.XLOOKUP(PV_DATA[[#This Row],[New Ark SKU]],Table9[New Ark SKU],Table9[Cable],,0)</f>
        <v>±1200mm</v>
      </c>
      <c r="T972" s="442">
        <v>505</v>
      </c>
      <c r="U972" s="1067">
        <v>1728</v>
      </c>
      <c r="V972" s="448">
        <f>PV_DATA[[#This Row],[QUANTITY]]*PV_DATA[[#This Row],[WATT]]/1000000</f>
        <v>0.87263999999999997</v>
      </c>
      <c r="W972" s="466">
        <f>PV_DATA[[#This Row],[QUANTITY]]/PV_DATA[[#This Row],[Qty/Pallet]]</f>
        <v>48</v>
      </c>
      <c r="X972" s="1019">
        <f>PV_DATA[[#This Row],[QUANTITY]]/PV_DATA[[#This Row],[Qty/CT]]</f>
        <v>2</v>
      </c>
      <c r="Y972" s="431" t="s">
        <v>4377</v>
      </c>
      <c r="Z972" s="431" t="str">
        <f t="shared" si="13"/>
        <v>IN-TRANSIT</v>
      </c>
      <c r="AA972" s="431" t="s">
        <v>6425</v>
      </c>
      <c r="AB972" s="441">
        <v>46255</v>
      </c>
      <c r="AC972" s="467">
        <f>IF(PV_DATA[[#This Row],[Pick-Up Date]]&lt;&gt;"",_xlfn.ISOWEEKNUM(PV_DATA[[#This Row],[Pick-Up Date]]),"")</f>
        <v>34</v>
      </c>
      <c r="AD972" s="431" t="s">
        <v>6426</v>
      </c>
      <c r="AF972" s="447" t="s">
        <v>61</v>
      </c>
      <c r="AG972" s="447" t="s">
        <v>61</v>
      </c>
      <c r="AH972" s="431" t="s">
        <v>105</v>
      </c>
      <c r="AI972" s="962">
        <v>46263</v>
      </c>
      <c r="AJ972" s="437">
        <v>46267</v>
      </c>
      <c r="AK972" s="437">
        <v>46267</v>
      </c>
      <c r="AL972" s="626">
        <v>46321</v>
      </c>
      <c r="AM972" s="626">
        <v>46338</v>
      </c>
      <c r="AN972" s="586"/>
      <c r="AO972" s="431" t="s">
        <v>402</v>
      </c>
      <c r="AP972" s="431" t="s">
        <v>6427</v>
      </c>
      <c r="AQ972" s="445" t="s">
        <v>161</v>
      </c>
      <c r="AR972" s="431" t="s">
        <v>6428</v>
      </c>
      <c r="AS972" s="431" t="s">
        <v>6429</v>
      </c>
      <c r="AT972" s="431" t="s">
        <v>6429</v>
      </c>
      <c r="AU97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71</v>
      </c>
      <c r="AW972" s="441" cm="1">
        <f t="array" ref="AW97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46338</v>
      </c>
      <c r="AX97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72" s="441">
        <f>IF(ISERROR(PV_DATA[[#This Row],[New Ark PO status]]),"",_xlfn.XLOOKUP(PV_DATA[[#This Row],[SPTN-PVHK New Ark PO'#]],New_Ark_Data[Purchase order Number],New_Ark_Data[Estimated time of arrival],"",0))</f>
        <v>46328</v>
      </c>
      <c r="AZ97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72" s="441">
        <f>IFERROR(PV_DATA[[#This Row],[ODP ETA Port]]+PV_DATA[[#This Row],[Customs/Leg3 Assumption]],"n/a")</f>
        <v>46345</v>
      </c>
      <c r="BB972" s="442">
        <f>YEAR(PV_DATA[[#This Row],[ETA for New Ark update]])</f>
        <v>2026</v>
      </c>
      <c r="BC972" s="431">
        <f>MONTH(PV_DATA[[#This Row],[ETA for New Ark update]])</f>
        <v>11</v>
      </c>
      <c r="BD972" s="431">
        <f>IFERROR(_xlfn.ISOWEEKNUM(PV_DATA[[#This Row],[ETA for New Ark update]]),0)</f>
        <v>47</v>
      </c>
      <c r="BE972" s="431">
        <f>_xlfn.XLOOKUP(PV_DATA[[#This Row],[New Ark SKU]],Table9[New Ark SKU],Table9[Total PCS per Pallet],,0)</f>
        <v>36</v>
      </c>
      <c r="BF972" s="431">
        <f>_xlfn.XLOOKUP(PV_DATA[[#This Row],[New Ark SKU]],Table9[New Ark SKU],Table9[Total PCS per 40HQ Container],,0)</f>
        <v>864</v>
      </c>
      <c r="BG972" s="431" t="str">
        <f>_xlfn.XLOOKUP(PV_DATA[[#This Row],[New Ark SKU]],Table9[New Ark SKU],Table9[Back Glass],,0)</f>
        <v>Black glazing</v>
      </c>
      <c r="BH972" s="622" t="str">
        <f>_xlfn.XLOOKUP(PV_DATA[[#This Row],[PORT DESTINATION]],Table12[PORT DESTINATION],Table12[Cosco Line],,0)</f>
        <v>AEU</v>
      </c>
    </row>
    <row r="973" spans="1:60" s="462" customFormat="1" ht="10.5" hidden="1">
      <c r="A973" s="462" t="s">
        <v>6430</v>
      </c>
      <c r="B973" s="462" t="s">
        <v>61</v>
      </c>
      <c r="C973" s="462" t="str">
        <f>IFERROR(LEFT(PV_DATA[[#This Row],[TCL REFERENCE]],FIND(".",PV_DATA[[#This Row],[TCL REFERENCE]],1)-1),"Main Line")</f>
        <v>26Jun021</v>
      </c>
      <c r="D973" s="462" t="s">
        <v>63</v>
      </c>
      <c r="E973" s="462" t="s">
        <v>64</v>
      </c>
      <c r="F973" s="462" t="str" cm="1">
        <f t="array" ref="F97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73" s="462" t="s">
        <v>402</v>
      </c>
      <c r="H973" s="462" t="s">
        <v>67</v>
      </c>
      <c r="I973" s="462" t="s">
        <v>689</v>
      </c>
      <c r="J973" s="462" t="s">
        <v>96</v>
      </c>
      <c r="M973" s="462" t="s">
        <v>6325</v>
      </c>
      <c r="N973" s="712">
        <v>46202</v>
      </c>
      <c r="O973" s="462" t="s">
        <v>284</v>
      </c>
      <c r="P973" s="730" t="s">
        <v>6169</v>
      </c>
      <c r="Q973" s="462" t="s">
        <v>1570</v>
      </c>
      <c r="R973" s="430" t="str">
        <f>_xlfn.XLOOKUP(PV_DATA[[#This Row],[New Ark SKU]],Table9[New Ark SKU],Table9[Connector],,0)</f>
        <v>EVO2A</v>
      </c>
      <c r="S973" s="433" t="str">
        <f>_xlfn.XLOOKUP(PV_DATA[[#This Row],[New Ark SKU]],Table9[New Ark SKU],Table9[Cable],,0)</f>
        <v>±1400mm</v>
      </c>
      <c r="T973" s="936">
        <v>650</v>
      </c>
      <c r="U973" s="1069">
        <v>720</v>
      </c>
      <c r="V973" s="458">
        <f>PV_DATA[[#This Row],[QUANTITY]]*PV_DATA[[#This Row],[WATT]]/1000000</f>
        <v>0.46800000000000003</v>
      </c>
      <c r="W973" s="714">
        <f>PV_DATA[[#This Row],[QUANTITY]]/PV_DATA[[#This Row],[Qty/Pallet]]</f>
        <v>20</v>
      </c>
      <c r="X973" s="1017">
        <f>PV_DATA[[#This Row],[QUANTITY]]/PV_DATA[[#This Row],[Qty/CT]]</f>
        <v>1</v>
      </c>
      <c r="Y973" s="462" t="s">
        <v>4374</v>
      </c>
      <c r="Z973" s="462" t="str">
        <f t="shared" si="13"/>
        <v>IN-TRANSIT</v>
      </c>
      <c r="AA973" s="961" t="s">
        <v>6431</v>
      </c>
      <c r="AB973" s="713">
        <v>46252</v>
      </c>
      <c r="AC973" s="937">
        <f>IF(PV_DATA[[#This Row],[Pick-Up Date]]&lt;&gt;"",_xlfn.ISOWEEKNUM(PV_DATA[[#This Row],[Pick-Up Date]]),"")</f>
        <v>34</v>
      </c>
      <c r="AD973" s="462" t="s">
        <v>6432</v>
      </c>
      <c r="AE973" s="462" t="s">
        <v>6432</v>
      </c>
      <c r="AF973" s="462" t="s">
        <v>61</v>
      </c>
      <c r="AG973" s="462" t="s">
        <v>61</v>
      </c>
      <c r="AH973" s="462" t="s">
        <v>105</v>
      </c>
      <c r="AI973" s="713">
        <v>46259</v>
      </c>
      <c r="AJ973" s="713">
        <v>46259</v>
      </c>
      <c r="AK973" s="954">
        <v>46259</v>
      </c>
      <c r="AL973" s="713">
        <v>46319</v>
      </c>
      <c r="AM973" s="713">
        <v>46336</v>
      </c>
      <c r="AN973" s="939"/>
      <c r="AO973" s="462" t="s">
        <v>402</v>
      </c>
      <c r="AP973" s="462" t="s">
        <v>6433</v>
      </c>
      <c r="AQ973" s="940" t="s">
        <v>161</v>
      </c>
      <c r="AR973" s="462" t="s">
        <v>6434</v>
      </c>
      <c r="AS973" s="462" t="s">
        <v>6435</v>
      </c>
      <c r="AT973" s="462" t="s">
        <v>6435</v>
      </c>
      <c r="AU97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77</v>
      </c>
      <c r="AW973" s="713" cm="1">
        <f t="array" ref="AW97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46336</v>
      </c>
      <c r="AX97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73" s="713">
        <f>IF(ISERROR(PV_DATA[[#This Row],[New Ark PO status]]),"",_xlfn.XLOOKUP(PV_DATA[[#This Row],[SPTN-PVHK New Ark PO'#]],New_Ark_Data[Purchase order Number],New_Ark_Data[Estimated time of arrival],"",0))</f>
        <v>46336</v>
      </c>
      <c r="AZ973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73" s="713">
        <f>IFERROR(PV_DATA[[#This Row],[ODP ETA Port]]+PV_DATA[[#This Row],[Customs/Leg3 Assumption]],"n/a")</f>
        <v>46343</v>
      </c>
      <c r="BB973" s="936">
        <f>YEAR(PV_DATA[[#This Row],[ETA for New Ark update]])</f>
        <v>2026</v>
      </c>
      <c r="BC973" s="462">
        <f>MONTH(PV_DATA[[#This Row],[ETA for New Ark update]])</f>
        <v>11</v>
      </c>
      <c r="BD973" s="462">
        <f>IFERROR(_xlfn.ISOWEEKNUM(PV_DATA[[#This Row],[ETA for New Ark update]]),0)</f>
        <v>47</v>
      </c>
      <c r="BE973" s="462">
        <f>_xlfn.XLOOKUP(PV_DATA[[#This Row],[New Ark SKU]],Table9[New Ark SKU],Table9[Total PCS per Pallet],,0)</f>
        <v>36</v>
      </c>
      <c r="BF973" s="462">
        <f>_xlfn.XLOOKUP(PV_DATA[[#This Row],[New Ark SKU]],Table9[New Ark SKU],Table9[Total PCS per 40HQ Container],,0)</f>
        <v>720</v>
      </c>
      <c r="BG973" s="462" t="str">
        <f>_xlfn.XLOOKUP(PV_DATA[[#This Row],[New Ark SKU]],Table9[New Ark SKU],Table9[Back Glass],,0)</f>
        <v>White glazing</v>
      </c>
      <c r="BH973" s="462" t="str">
        <f>_xlfn.XLOOKUP(PV_DATA[[#This Row],[PORT DESTINATION]],Table12[PORT DESTINATION],Table12[Cosco Line],,0)</f>
        <v>AEU</v>
      </c>
    </row>
    <row r="974" spans="1:60" s="462" customFormat="1" ht="10.5" hidden="1">
      <c r="A974" s="462" t="s">
        <v>6436</v>
      </c>
      <c r="B974" s="462" t="s">
        <v>61</v>
      </c>
      <c r="C974" s="462" t="str">
        <f>IFERROR(LEFT(PV_DATA[[#This Row],[TCL REFERENCE]],FIND(".",PV_DATA[[#This Row],[TCL REFERENCE]],1)-1),"Main Line")</f>
        <v>26May008</v>
      </c>
      <c r="D974" s="462" t="s">
        <v>63</v>
      </c>
      <c r="E974" s="462" t="s">
        <v>64</v>
      </c>
      <c r="F974" s="462" t="str" cm="1">
        <f t="array" ref="F97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74" s="462" t="s">
        <v>402</v>
      </c>
      <c r="H974" s="462" t="s">
        <v>67</v>
      </c>
      <c r="I974" s="462" t="s">
        <v>689</v>
      </c>
      <c r="J974" s="462" t="s">
        <v>96</v>
      </c>
      <c r="M974" s="462" t="s">
        <v>68</v>
      </c>
      <c r="N974" s="712">
        <v>45809</v>
      </c>
      <c r="O974" s="462" t="s">
        <v>4540</v>
      </c>
      <c r="P974" s="462" t="s">
        <v>965</v>
      </c>
      <c r="Q974" s="462" t="s">
        <v>966</v>
      </c>
      <c r="R974" s="430" t="str">
        <f>_xlfn.XLOOKUP(PV_DATA[[#This Row],[New Ark SKU]],Table9[New Ark SKU],Table9[Connector],,0)</f>
        <v>EVO2A</v>
      </c>
      <c r="S974" s="433" t="str">
        <f>_xlfn.XLOOKUP(PV_DATA[[#This Row],[New Ark SKU]],Table9[New Ark SKU],Table9[Cable],,0)</f>
        <v>±1200mm</v>
      </c>
      <c r="T974" s="936">
        <v>455</v>
      </c>
      <c r="U974" s="1069">
        <f>936*6</f>
        <v>5616</v>
      </c>
      <c r="V974" s="458">
        <f>PV_DATA[[#This Row],[QUANTITY]]*PV_DATA[[#This Row],[WATT]]/1000000</f>
        <v>2.5552800000000002</v>
      </c>
      <c r="W974" s="714">
        <f>PV_DATA[[#This Row],[QUANTITY]]/PV_DATA[[#This Row],[Qty/Pallet]]</f>
        <v>156</v>
      </c>
      <c r="X974" s="1017">
        <f>PV_DATA[[#This Row],[QUANTITY]]/PV_DATA[[#This Row],[Qty/CT]]</f>
        <v>6</v>
      </c>
      <c r="Y974" s="462" t="s">
        <v>4371</v>
      </c>
      <c r="Z974" s="462" t="str">
        <f t="shared" si="13"/>
        <v>COMPLETED</v>
      </c>
      <c r="AA974" s="462" t="s">
        <v>5794</v>
      </c>
      <c r="AB974" s="713">
        <v>46246</v>
      </c>
      <c r="AC974" s="937">
        <f>IF(PV_DATA[[#This Row],[Pick-Up Date]]&lt;&gt;"",_xlfn.ISOWEEKNUM(PV_DATA[[#This Row],[Pick-Up Date]]),"")</f>
        <v>33</v>
      </c>
      <c r="AD974" s="462" t="s">
        <v>6437</v>
      </c>
      <c r="AF974" s="462" t="s">
        <v>61</v>
      </c>
      <c r="AG974" s="462" t="s">
        <v>61</v>
      </c>
      <c r="AH974" s="462" t="s">
        <v>105</v>
      </c>
      <c r="AI974" s="713">
        <v>46253</v>
      </c>
      <c r="AJ974" s="713">
        <v>46260</v>
      </c>
      <c r="AK974" s="713">
        <v>46260</v>
      </c>
      <c r="AL974" s="713">
        <v>46313</v>
      </c>
      <c r="AM974" s="713">
        <v>46322</v>
      </c>
      <c r="AN974" s="588">
        <v>46324</v>
      </c>
      <c r="AP974" s="462" t="s">
        <v>6438</v>
      </c>
      <c r="AQ974" s="462" t="s">
        <v>161</v>
      </c>
      <c r="AR974" s="462" t="s">
        <v>6439</v>
      </c>
      <c r="AS974" s="462" t="s">
        <v>6440</v>
      </c>
      <c r="AT974" s="462" t="s">
        <v>6440</v>
      </c>
      <c r="AU97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</v>
      </c>
      <c r="AV974" s="713"/>
      <c r="AW974" s="713" cm="1">
        <f t="array" ref="AW97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46324</v>
      </c>
      <c r="AX97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74" s="713">
        <f>IF(ISERROR(PV_DATA[[#This Row],[New Ark PO status]]),"",_xlfn.XLOOKUP(PV_DATA[[#This Row],[SPTN-PVHK New Ark PO'#]],New_Ark_Data[Purchase order Number],New_Ark_Data[Estimated time of arrival],"",0))</f>
        <v>46304</v>
      </c>
      <c r="AZ974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74" s="713">
        <f>IFERROR(PV_DATA[[#This Row],[ODP ETA Port]]+PV_DATA[[#This Row],[Customs/Leg3 Assumption]],"n/a")</f>
        <v>46331</v>
      </c>
      <c r="BB974" s="936">
        <f>YEAR(PV_DATA[[#This Row],[ETA for New Ark update]])</f>
        <v>2026</v>
      </c>
      <c r="BC974" s="462">
        <f>MONTH(PV_DATA[[#This Row],[ETA for New Ark update]])</f>
        <v>11</v>
      </c>
      <c r="BD974" s="462">
        <f>IFERROR(_xlfn.ISOWEEKNUM(PV_DATA[[#This Row],[ETA for New Ark update]]),0)</f>
        <v>45</v>
      </c>
      <c r="BE974" s="462">
        <f>_xlfn.XLOOKUP(PV_DATA[[#This Row],[New Ark SKU]],Table9[New Ark SKU],Table9[Total PCS per Pallet],,0)</f>
        <v>36</v>
      </c>
      <c r="BF974" s="462">
        <f>_xlfn.XLOOKUP(PV_DATA[[#This Row],[New Ark SKU]],Table9[New Ark SKU],Table9[Total PCS per 40HQ Container],,0)</f>
        <v>936</v>
      </c>
      <c r="BG974" s="462" t="str">
        <f>_xlfn.XLOOKUP(PV_DATA[[#This Row],[New Ark SKU]],Table9[New Ark SKU],Table9[Back Glass],,0)</f>
        <v>Black glazing</v>
      </c>
      <c r="BH974" s="462" t="str">
        <f>_xlfn.XLOOKUP(PV_DATA[[#This Row],[PORT DESTINATION]],Table12[PORT DESTINATION],Table12[Cosco Line],,0)</f>
        <v>AEU</v>
      </c>
    </row>
    <row r="975" spans="1:60" s="462" customFormat="1" ht="10.5" hidden="1">
      <c r="A975" s="729" t="s">
        <v>6441</v>
      </c>
      <c r="B975" s="462" t="s">
        <v>61</v>
      </c>
      <c r="C975" s="462" t="str">
        <f>IFERROR(LEFT(PV_DATA[[#This Row],[TCL REFERENCE]],FIND(".",PV_DATA[[#This Row],[TCL REFERENCE]],1)-1),"Main Line")</f>
        <v>26Aug004</v>
      </c>
      <c r="D975" s="462" t="s">
        <v>63</v>
      </c>
      <c r="E975" s="462" t="s">
        <v>64</v>
      </c>
      <c r="F975" s="462" t="str" cm="1">
        <f t="array" ref="F97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975" s="462" t="s">
        <v>402</v>
      </c>
      <c r="H975" s="462" t="s">
        <v>451</v>
      </c>
      <c r="I975" s="462" t="s">
        <v>689</v>
      </c>
      <c r="J975" s="462" t="s">
        <v>5675</v>
      </c>
      <c r="M975" s="462" t="s">
        <v>68</v>
      </c>
      <c r="N975" s="712">
        <v>46237</v>
      </c>
      <c r="O975" s="462" t="s">
        <v>4540</v>
      </c>
      <c r="P975" s="462" t="s">
        <v>1151</v>
      </c>
      <c r="Q975" s="462" t="s">
        <v>421</v>
      </c>
      <c r="R975" s="430" t="str">
        <f>_xlfn.XLOOKUP(PV_DATA[[#This Row],[New Ark SKU]],Table9[New Ark SKU],Table9[Connector],,0)</f>
        <v>EVO2A</v>
      </c>
      <c r="S975" s="433" t="str">
        <f>_xlfn.XLOOKUP(PV_DATA[[#This Row],[New Ark SKU]],Table9[New Ark SKU],Table9[Cable],,0)</f>
        <v>±1200mm</v>
      </c>
      <c r="T975" s="936">
        <v>505</v>
      </c>
      <c r="U975" s="1069">
        <v>864</v>
      </c>
      <c r="V975" s="458">
        <f>PV_DATA[[#This Row],[QUANTITY]]*PV_DATA[[#This Row],[WATT]]/1000000</f>
        <v>0.43631999999999999</v>
      </c>
      <c r="W975" s="714">
        <f>PV_DATA[[#This Row],[QUANTITY]]/PV_DATA[[#This Row],[Qty/Pallet]]</f>
        <v>24</v>
      </c>
      <c r="X975" s="1017">
        <f>PV_DATA[[#This Row],[QUANTITY]]/PV_DATA[[#This Row],[Qty/CT]]</f>
        <v>1</v>
      </c>
      <c r="Y975" s="462" t="s">
        <v>4377</v>
      </c>
      <c r="Z975" s="462" t="str">
        <f t="shared" si="13"/>
        <v>COMPLETED</v>
      </c>
      <c r="AA975" s="462" t="s">
        <v>6425</v>
      </c>
      <c r="AB975" s="713">
        <v>46253</v>
      </c>
      <c r="AC975" s="937">
        <f>IF(PV_DATA[[#This Row],[Pick-Up Date]]&lt;&gt;"",_xlfn.ISOWEEKNUM(PV_DATA[[#This Row],[Pick-Up Date]]),"")</f>
        <v>34</v>
      </c>
      <c r="AD975" s="462" t="s">
        <v>6442</v>
      </c>
      <c r="AE975" s="462" t="s">
        <v>6442</v>
      </c>
      <c r="AF975" s="462" t="s">
        <v>61</v>
      </c>
      <c r="AG975" s="462" t="s">
        <v>61</v>
      </c>
      <c r="AH975" s="462" t="s">
        <v>456</v>
      </c>
      <c r="AI975" s="713">
        <v>46258</v>
      </c>
      <c r="AJ975" s="713">
        <v>46259</v>
      </c>
      <c r="AK975" s="713">
        <f>IFERROR(IF(VLOOKUP(AT975,Vessel!A:F,5,FALSE)=0,"",VLOOKUP(AT975,Vessel!A:F,5,FALSE)),"")</f>
        <v>46259.371157407404</v>
      </c>
      <c r="AL975" s="713">
        <v>46313</v>
      </c>
      <c r="AM975" s="939">
        <f>IFERROR(VLOOKUP(AT975, Vessel!A:H, 8, FALSE), "")</f>
        <v>46322.958333333336</v>
      </c>
      <c r="AN975" s="939">
        <f>IFERROR(IF(VLOOKUP(AT975,Vessel!A:I,9,FALSE)=0,"",VLOOKUP(AT975,Vessel!A:I,9,FALSE)),"")</f>
        <v>46322.921701388892</v>
      </c>
      <c r="AO975" s="462" t="s">
        <v>402</v>
      </c>
      <c r="AP975" s="462" t="s">
        <v>6387</v>
      </c>
      <c r="AQ975" s="462" t="s">
        <v>80</v>
      </c>
      <c r="AR975" s="960" t="s">
        <v>6443</v>
      </c>
      <c r="AS975" s="462" t="s">
        <v>6444</v>
      </c>
      <c r="AT975" s="462" t="s">
        <v>6444</v>
      </c>
      <c r="AU97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63.550543981487863</v>
      </c>
      <c r="AW975" s="713" cm="1">
        <f t="array" ref="AW97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46322.921701388892</v>
      </c>
      <c r="AX97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75" s="713">
        <f>IF(ISERROR(PV_DATA[[#This Row],[New Ark PO status]]),"",_xlfn.XLOOKUP(PV_DATA[[#This Row],[SPTN-PVHK New Ark PO'#]],New_Ark_Data[Purchase order Number],New_Ark_Data[Estimated time of arrival],"",0))</f>
        <v>46321</v>
      </c>
      <c r="AZ975" s="936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75" s="713">
        <f>IFERROR(PV_DATA[[#This Row],[ODP ETA Port]]+PV_DATA[[#This Row],[Customs/Leg3 Assumption]],"n/a")</f>
        <v>46329.921701388892</v>
      </c>
      <c r="BB975" s="936">
        <f>YEAR(PV_DATA[[#This Row],[ETA for New Ark update]])</f>
        <v>2026</v>
      </c>
      <c r="BC975" s="462">
        <f>MONTH(PV_DATA[[#This Row],[ETA for New Ark update]])</f>
        <v>11</v>
      </c>
      <c r="BD975" s="462">
        <f>IFERROR(_xlfn.ISOWEEKNUM(PV_DATA[[#This Row],[ETA for New Ark update]]),0)</f>
        <v>45</v>
      </c>
      <c r="BE975" s="462">
        <f>_xlfn.XLOOKUP(PV_DATA[[#This Row],[New Ark SKU]],Table9[New Ark SKU],Table9[Total PCS per Pallet],,0)</f>
        <v>36</v>
      </c>
      <c r="BF975" s="462">
        <f>_xlfn.XLOOKUP(PV_DATA[[#This Row],[New Ark SKU]],Table9[New Ark SKU],Table9[Total PCS per 40HQ Container],,0)</f>
        <v>864</v>
      </c>
      <c r="BG975" s="462" t="str">
        <f>_xlfn.XLOOKUP(PV_DATA[[#This Row],[New Ark SKU]],Table9[New Ark SKU],Table9[Back Glass],,0)</f>
        <v>Black glazing</v>
      </c>
      <c r="BH975" s="938" t="str">
        <f>_xlfn.XLOOKUP(PV_DATA[[#This Row],[PORT DESTINATION]],Table12[PORT DESTINATION],Table12[Cosco Line],,0)</f>
        <v>AEU</v>
      </c>
    </row>
    <row r="976" spans="1:60" s="431" customFormat="1" ht="10.5" hidden="1">
      <c r="A976" s="971" t="s">
        <v>6445</v>
      </c>
      <c r="B976" s="726" t="s">
        <v>111</v>
      </c>
      <c r="C976" s="439" t="str">
        <f>IFERROR(LEFT(PV_DATA[[#This Row],[TCL REFERENCE]],FIND(".",PV_DATA[[#This Row],[TCL REFERENCE]],1)-1),"Main Line")</f>
        <v>26Jul019</v>
      </c>
      <c r="D976" s="726" t="s">
        <v>63</v>
      </c>
      <c r="E976" s="439" t="s">
        <v>144</v>
      </c>
      <c r="F976" s="726" t="str" cm="1">
        <f t="array" ref="F976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76" s="439" t="s">
        <v>402</v>
      </c>
      <c r="H976" s="439" t="s">
        <v>6446</v>
      </c>
      <c r="I976" s="439" t="s">
        <v>882</v>
      </c>
      <c r="J976" s="439" t="s">
        <v>6446</v>
      </c>
      <c r="K976" s="430" t="s">
        <v>6447</v>
      </c>
      <c r="L976" s="623">
        <v>1</v>
      </c>
      <c r="M976" s="430" t="s">
        <v>840</v>
      </c>
      <c r="N976" s="1053">
        <v>46234</v>
      </c>
      <c r="O976" s="623" t="s">
        <v>5388</v>
      </c>
      <c r="P976" s="623" t="s">
        <v>6291</v>
      </c>
      <c r="Q976" s="619" t="s">
        <v>6292</v>
      </c>
      <c r="R976" s="430" t="str">
        <f>_xlfn.XLOOKUP(PV_DATA[[#This Row],[New Ark SKU]],Table9[New Ark SKU],Table9[Connector],,0)</f>
        <v>EVO2A</v>
      </c>
      <c r="S976" s="433" t="str">
        <f>_xlfn.XLOOKUP(PV_DATA[[#This Row],[New Ark SKU]],Table9[New Ark SKU],Table9[Cable],,0)</f>
        <v>±1200mm</v>
      </c>
      <c r="T976" s="620">
        <v>480</v>
      </c>
      <c r="U976" s="1038">
        <f>936*2</f>
        <v>1872</v>
      </c>
      <c r="V976" s="624">
        <f>PV_DATA[[#This Row],[QUANTITY]]*PV_DATA[[#This Row],[WATT]]/1000000</f>
        <v>0.89856000000000003</v>
      </c>
      <c r="W976" s="466">
        <f>PV_DATA[[#This Row],[QUANTITY]]/PV_DATA[[#This Row],[Qty/Pallet]]</f>
        <v>52</v>
      </c>
      <c r="X976" s="1019">
        <f>PV_DATA[[#This Row],[QUANTITY]]/PV_DATA[[#This Row],[Qty/CT]]</f>
        <v>2</v>
      </c>
      <c r="Y976" s="431" t="s">
        <v>4375</v>
      </c>
      <c r="Z976" s="431" t="str">
        <f t="shared" ref="Z976:Z996" si="14">IF(AN976&lt;&gt;"","COMPLETED",IF(AK976&lt;&gt;"","IN-TRANSIT",""))</f>
        <v>COMPLETED</v>
      </c>
      <c r="AA976" s="619" t="s">
        <v>6317</v>
      </c>
      <c r="AB976" s="626">
        <v>46262</v>
      </c>
      <c r="AC976" s="627">
        <f>IF(PV_DATA[[#This Row],[Pick-Up Date]]&lt;&gt;"",_xlfn.ISOWEEKNUM(PV_DATA[[#This Row],[Pick-Up Date]]),"")</f>
        <v>35</v>
      </c>
      <c r="AD976" s="619" t="s">
        <v>6448</v>
      </c>
      <c r="AE976" s="619"/>
      <c r="AF976" s="619" t="s">
        <v>122</v>
      </c>
      <c r="AG976" s="619" t="s">
        <v>123</v>
      </c>
      <c r="AH976" s="431" t="s">
        <v>356</v>
      </c>
      <c r="AI976" s="997">
        <v>46269</v>
      </c>
      <c r="AJ976" s="626">
        <f>IFERROR(VLOOKUP(AT976, Vessel!A:D, 4, FALSE), "")</f>
        <v>46278.8125</v>
      </c>
      <c r="AK976" s="441">
        <f>IFERROR(IF(VLOOKUP(AT976,Vessel!A:F,5,FALSE)=0,"",VLOOKUP(AT976,Vessel!A:F,5,FALSE)),"")</f>
        <v>46278.838460648149</v>
      </c>
      <c r="AL976" s="626">
        <v>46313</v>
      </c>
      <c r="AM976" s="939">
        <f>IFERROR(VLOOKUP(AT976, Vessel!A:H, 8, FALSE), "")</f>
        <v>46321.291666666664</v>
      </c>
      <c r="AN976" s="939">
        <f>IFERROR(IF(VLOOKUP(AT976,Vessel!A:I,9,FALSE)=0,"",VLOOKUP(AT976,Vessel!A:I,9,FALSE)),"")</f>
        <v>46321.413657407407</v>
      </c>
      <c r="AO976" s="619"/>
      <c r="AP976" s="619" t="s">
        <v>6449</v>
      </c>
      <c r="AQ976" s="628" t="s">
        <v>80</v>
      </c>
      <c r="AR976" s="619" t="s">
        <v>6450</v>
      </c>
      <c r="AS976" s="619" t="s">
        <v>6451</v>
      </c>
      <c r="AT976" s="619" t="s">
        <v>6451</v>
      </c>
      <c r="AU97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42.575196759258688</v>
      </c>
      <c r="AV976" s="619"/>
      <c r="AW976" s="626" cm="1">
        <f t="array" ref="AW97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46321.413657407407</v>
      </c>
      <c r="AX97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76" s="626">
        <f>IF(ISERROR(PV_DATA[[#This Row],[New Ark PO status]]),"",_xlfn.XLOOKUP(PV_DATA[[#This Row],[SPTN-PVHK New Ark PO'#]],New_Ark_Data[Purchase order Number],New_Ark_Data[Estimated time of arrival],"",0))</f>
        <v>46313</v>
      </c>
      <c r="AZ976" s="620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76" s="626">
        <f>IFERROR(PV_DATA[[#This Row],[ODP ETA Port]]+PV_DATA[[#This Row],[Customs/Leg3 Assumption]],"n/a")</f>
        <v>46321.413657407407</v>
      </c>
      <c r="BB976" s="620">
        <f>YEAR(PV_DATA[[#This Row],[ETA for New Ark update]])</f>
        <v>2026</v>
      </c>
      <c r="BC976" s="619">
        <f>MONTH(PV_DATA[[#This Row],[ETA for New Ark update]])</f>
        <v>10</v>
      </c>
      <c r="BD976" s="619">
        <f>IFERROR(_xlfn.ISOWEEKNUM(PV_DATA[[#This Row],[ETA for New Ark update]]),0)</f>
        <v>44</v>
      </c>
      <c r="BE976" s="619">
        <f>_xlfn.XLOOKUP(PV_DATA[[#This Row],[New Ark SKU]],Table9[New Ark SKU],Table9[Total PCS per Pallet],,0)</f>
        <v>36</v>
      </c>
      <c r="BF976" s="619">
        <f>_xlfn.XLOOKUP(PV_DATA[[#This Row],[New Ark SKU]],Table9[New Ark SKU],Table9[Total PCS per 40HQ Container],,0)</f>
        <v>936</v>
      </c>
      <c r="BG976" s="619" t="str">
        <f>_xlfn.XLOOKUP(PV_DATA[[#This Row],[New Ark SKU]],Table9[New Ark SKU],Table9[Back Glass],,0)</f>
        <v>White glazing</v>
      </c>
      <c r="BH976" s="629" t="str">
        <f>_xlfn.XLOOKUP(PV_DATA[[#This Row],[PORT DESTINATION]],Table12[PORT DESTINATION],Table12[Cosco Line],,0)</f>
        <v>AEU</v>
      </c>
    </row>
    <row r="977" spans="1:62" s="431" customFormat="1" ht="10.5" hidden="1">
      <c r="A977" s="941" t="s">
        <v>6452</v>
      </c>
      <c r="B977" s="726" t="s">
        <v>1757</v>
      </c>
      <c r="C977" s="439" t="str">
        <f>IFERROR(LEFT(PV_DATA[[#This Row],[TCL REFERENCE]],FIND(".",PV_DATA[[#This Row],[TCL REFERENCE]],1)-1),"Main Line")</f>
        <v>26Jul017</v>
      </c>
      <c r="D977" s="726" t="s">
        <v>63</v>
      </c>
      <c r="E977" s="439" t="s">
        <v>64</v>
      </c>
      <c r="F977" s="726" t="str" cm="1">
        <f t="array" ref="F97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977" s="439" t="s">
        <v>402</v>
      </c>
      <c r="H977" s="439" t="s">
        <v>451</v>
      </c>
      <c r="I977" s="439" t="s">
        <v>882</v>
      </c>
      <c r="J977" s="431" t="s">
        <v>6229</v>
      </c>
      <c r="K977" s="430"/>
      <c r="L977" s="623"/>
      <c r="M977" s="430" t="s">
        <v>68</v>
      </c>
      <c r="N977" s="1053" t="s">
        <v>6212</v>
      </c>
      <c r="O977" s="623" t="s">
        <v>284</v>
      </c>
      <c r="P977" s="623" t="s">
        <v>5860</v>
      </c>
      <c r="Q977" s="619" t="s">
        <v>5861</v>
      </c>
      <c r="R977" s="430" t="str">
        <f>_xlfn.XLOOKUP(PV_DATA[[#This Row],[New Ark SKU]],Table9[New Ark SKU],Table9[Connector],,0)</f>
        <v>EVO2A</v>
      </c>
      <c r="S977" s="433" t="str">
        <f>_xlfn.XLOOKUP(PV_DATA[[#This Row],[New Ark SKU]],Table9[New Ark SKU],Table9[Cable],,0)</f>
        <v>±1200mm</v>
      </c>
      <c r="T977" s="620">
        <v>485</v>
      </c>
      <c r="U977" s="1067">
        <v>2808</v>
      </c>
      <c r="V977" s="624">
        <f>PV_DATA[[#This Row],[QUANTITY]]*PV_DATA[[#This Row],[WATT]]/1000000</f>
        <v>1.36188</v>
      </c>
      <c r="W977" s="466">
        <f>PV_DATA[[#This Row],[QUANTITY]]/36</f>
        <v>78</v>
      </c>
      <c r="X977" s="1022">
        <f>PV_DATA[[#This Row],[QUANTITY]]/PV_DATA[[#This Row],[Qty/CT]]</f>
        <v>3</v>
      </c>
      <c r="Y977" s="431" t="s">
        <v>4375</v>
      </c>
      <c r="Z977" s="431" t="str">
        <f t="shared" si="14"/>
        <v>IN-TRANSIT</v>
      </c>
      <c r="AA977" s="855">
        <v>46257</v>
      </c>
      <c r="AB977" s="626">
        <v>46262</v>
      </c>
      <c r="AC977" s="627">
        <f>IF(PV_DATA[[#This Row],[Pick-Up Date]]&lt;&gt;"",_xlfn.ISOWEEKNUM(PV_DATA[[#This Row],[Pick-Up Date]]),"")</f>
        <v>35</v>
      </c>
      <c r="AD977" s="431" t="s">
        <v>6453</v>
      </c>
      <c r="AE977" s="619"/>
      <c r="AF977" s="619" t="s">
        <v>5864</v>
      </c>
      <c r="AG977" s="619" t="s">
        <v>123</v>
      </c>
      <c r="AH977" s="431" t="s">
        <v>456</v>
      </c>
      <c r="AI977" s="896">
        <v>46269</v>
      </c>
      <c r="AJ977" s="626">
        <f>IFERROR(VLOOKUP(AT977, Vessel!A:D, 4, FALSE), "")</f>
        <v>46282.395833333336</v>
      </c>
      <c r="AK977" s="441">
        <f>IFERROR(IF(VLOOKUP(AT977,Vessel!A:F,5,FALSE)=0,"",VLOOKUP(AT977,Vessel!A:F,5,FALSE)),"")</f>
        <v>46282.285486111112</v>
      </c>
      <c r="AL977" s="1081">
        <v>46306</v>
      </c>
      <c r="AM977" s="939">
        <f>IFERROR(VLOOKUP(AT977, Vessel!A:H, 8, FALSE), "")</f>
        <v>46335.25</v>
      </c>
      <c r="AN977" s="939" t="str">
        <f>IFERROR(IF(VLOOKUP(AT977,Vessel!A:I,9,FALSE)=0,"",VLOOKUP(AT977,Vessel!A:I,9,FALSE)),"")</f>
        <v/>
      </c>
      <c r="AO977" s="619"/>
      <c r="AP977" s="619" t="s">
        <v>6449</v>
      </c>
      <c r="AQ977" s="628" t="s">
        <v>80</v>
      </c>
      <c r="AR977" s="619" t="s">
        <v>6454</v>
      </c>
      <c r="AS977" s="619" t="s">
        <v>6455</v>
      </c>
      <c r="AT977" s="619" t="s">
        <v>6455</v>
      </c>
      <c r="AU97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52.964513888888177</v>
      </c>
      <c r="AV977" s="619"/>
      <c r="AW977" s="626" cm="1">
        <f t="array" ref="AW97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46335.25</v>
      </c>
      <c r="AX97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77" s="626">
        <f>IF(ISERROR(PV_DATA[[#This Row],[New Ark PO status]]),"",_xlfn.XLOOKUP(PV_DATA[[#This Row],[SPTN-PVHK New Ark PO'#]],New_Ark_Data[Purchase order Number],New_Ark_Data[Estimated time of arrival],"",0))</f>
        <v>46314</v>
      </c>
      <c r="AZ977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77" s="626">
        <f>IFERROR(PV_DATA[[#This Row],[ODP ETA Port]]+PV_DATA[[#This Row],[Customs/Leg3 Assumption]],"n/a")</f>
        <v>46342.25</v>
      </c>
      <c r="BB977" s="620">
        <f>YEAR(PV_DATA[[#This Row],[ETA for New Ark update]])</f>
        <v>2026</v>
      </c>
      <c r="BC977" s="619">
        <f>MONTH(PV_DATA[[#This Row],[ETA for New Ark update]])</f>
        <v>11</v>
      </c>
      <c r="BD977" s="619">
        <f>IFERROR(_xlfn.ISOWEEKNUM(PV_DATA[[#This Row],[ETA for New Ark update]]),0)</f>
        <v>47</v>
      </c>
      <c r="BE977" s="619">
        <f>_xlfn.XLOOKUP(PV_DATA[[#This Row],[New Ark SKU]],Table9[New Ark SKU],Table9[Total PCS per Pallet],,0)</f>
        <v>36</v>
      </c>
      <c r="BF977" s="619">
        <f>_xlfn.XLOOKUP(PV_DATA[[#This Row],[New Ark SKU]],Table9[New Ark SKU],Table9[Total PCS per 40HQ Container],,0)</f>
        <v>936</v>
      </c>
      <c r="BG977" s="619" t="str">
        <f>_xlfn.XLOOKUP(PV_DATA[[#This Row],[New Ark SKU]],Table9[New Ark SKU],Table9[Back Glass],,0)</f>
        <v>Black glazing</v>
      </c>
      <c r="BH977" s="629" t="str">
        <f>_xlfn.XLOOKUP(PV_DATA[[#This Row],[PORT DESTINATION]],Table12[PORT DESTINATION],Table12[Cosco Line],,0)</f>
        <v>AEU</v>
      </c>
    </row>
    <row r="978" spans="1:62" s="431" customFormat="1" ht="10.5" hidden="1">
      <c r="A978" s="729" t="s">
        <v>6456</v>
      </c>
      <c r="B978" s="726" t="s">
        <v>111</v>
      </c>
      <c r="C978" s="726" t="str">
        <f>IFERROR(LEFT(PV_DATA[[#This Row],[TCL REFERENCE]],FIND(".",PV_DATA[[#This Row],[TCL REFERENCE]],1)-1),"Main Line")</f>
        <v>26Aug002</v>
      </c>
      <c r="D978" s="439" t="s">
        <v>63</v>
      </c>
      <c r="E978" s="439" t="s">
        <v>64</v>
      </c>
      <c r="F978" s="439" t="str" cm="1">
        <f t="array" ref="F97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78" s="439" t="s">
        <v>402</v>
      </c>
      <c r="H978" s="439" t="s">
        <v>67</v>
      </c>
      <c r="I978" s="439" t="s">
        <v>689</v>
      </c>
      <c r="J978" s="431" t="s">
        <v>96</v>
      </c>
      <c r="K978" s="430"/>
      <c r="L978" s="430"/>
      <c r="M978" s="430" t="s">
        <v>68</v>
      </c>
      <c r="N978" s="432">
        <v>46215</v>
      </c>
      <c r="O978" s="623" t="s">
        <v>550</v>
      </c>
      <c r="P978" s="623" t="s">
        <v>2134</v>
      </c>
      <c r="Q978" s="619" t="s">
        <v>2135</v>
      </c>
      <c r="R978" s="430" t="str">
        <f>_xlfn.XLOOKUP(PV_DATA[[#This Row],[New Ark SKU]],Table9[New Ark SKU],Table9[Connector],,0)</f>
        <v>EVO2A</v>
      </c>
      <c r="S978" s="433" t="str">
        <f>_xlfn.XLOOKUP(PV_DATA[[#This Row],[New Ark SKU]],Table9[New Ark SKU],Table9[Cable],,0)</f>
        <v>±1350mm</v>
      </c>
      <c r="T978" s="620">
        <v>515</v>
      </c>
      <c r="U978" s="1038">
        <f>792*2</f>
        <v>1584</v>
      </c>
      <c r="V978" s="624">
        <f>PV_DATA[[#This Row],[QUANTITY]]*PV_DATA[[#This Row],[WATT]]/1000000</f>
        <v>0.81576000000000004</v>
      </c>
      <c r="W978" s="625">
        <f>PV_DATA[[#This Row],[QUANTITY]]/PV_DATA[[#This Row],[Qty/Pallet]]</f>
        <v>44</v>
      </c>
      <c r="X978" s="1019">
        <f>PV_DATA[[#This Row],[QUANTITY]]/PV_DATA[[#This Row],[Qty/CT]]</f>
        <v>2</v>
      </c>
      <c r="Y978" s="431" t="s">
        <v>4377</v>
      </c>
      <c r="Z978" s="431" t="str">
        <f t="shared" si="14"/>
        <v>COMPLETED</v>
      </c>
      <c r="AA978" s="431" t="s">
        <v>5862</v>
      </c>
      <c r="AB978" s="626">
        <v>46259</v>
      </c>
      <c r="AC978" s="627">
        <f>IF(PV_DATA[[#This Row],[Pick-Up Date]]&lt;&gt;"",_xlfn.ISOWEEKNUM(PV_DATA[[#This Row],[Pick-Up Date]]),"")</f>
        <v>35</v>
      </c>
      <c r="AD978" s="619" t="s">
        <v>6457</v>
      </c>
      <c r="AE978" s="619"/>
      <c r="AF978" s="619" t="s">
        <v>122</v>
      </c>
      <c r="AG978" s="619" t="s">
        <v>123</v>
      </c>
      <c r="AH978" s="431" t="s">
        <v>105</v>
      </c>
      <c r="AI978" s="896">
        <v>46267</v>
      </c>
      <c r="AJ978" s="441">
        <f>IFERROR(VLOOKUP(AT978, Vessel!A:D, 4, FALSE), "")</f>
        <v>46267.520833333336</v>
      </c>
      <c r="AK978" s="441">
        <f>IFERROR(IF(VLOOKUP(AT978,Vessel!A:F,5,FALSE)=0,"",VLOOKUP(AT978,Vessel!A:F,5,FALSE)),"")</f>
        <v>46267.407708333332</v>
      </c>
      <c r="AL978" s="1014">
        <v>46302</v>
      </c>
      <c r="AM978" s="1127">
        <f>IFERROR(VLOOKUP(AT978, Vessel!A:H, 8, FALSE), "")</f>
        <v>46308.083333333336</v>
      </c>
      <c r="AN978" s="939">
        <f>IFERROR(IF(VLOOKUP(AT978,Vessel!A:I,9,FALSE)=0,"",VLOOKUP(AT978,Vessel!A:I,9,FALSE)),"")</f>
        <v>46308.112372685187</v>
      </c>
      <c r="AO978" s="619"/>
      <c r="AP978" s="619" t="s">
        <v>6458</v>
      </c>
      <c r="AQ978" s="431" t="s">
        <v>80</v>
      </c>
      <c r="AR978" s="619" t="s">
        <v>6459</v>
      </c>
      <c r="AS978" s="619" t="s">
        <v>6460</v>
      </c>
      <c r="AT978" s="431" t="s">
        <v>6460</v>
      </c>
      <c r="AU97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40.704664351855172</v>
      </c>
      <c r="AV978" s="619"/>
      <c r="AW978" s="626" cm="1">
        <f t="array" ref="AW97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46308.112372685187</v>
      </c>
      <c r="AX97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78" s="626">
        <f>IF(ISERROR(PV_DATA[[#This Row],[New Ark PO status]]),"",_xlfn.XLOOKUP(PV_DATA[[#This Row],[SPTN-PVHK New Ark PO'#]],New_Ark_Data[Purchase order Number],New_Ark_Data[Estimated time of arrival],"",0))</f>
        <v>46311</v>
      </c>
      <c r="AZ978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78" s="626">
        <f>IFERROR(PV_DATA[[#This Row],[ODP ETA Port]]+PV_DATA[[#This Row],[Customs/Leg3 Assumption]],"n/a")</f>
        <v>46315.112372685187</v>
      </c>
      <c r="BB978" s="620">
        <f>YEAR(PV_DATA[[#This Row],[ETA for New Ark update]])</f>
        <v>2026</v>
      </c>
      <c r="BC978" s="619">
        <f>MONTH(PV_DATA[[#This Row],[ETA for New Ark update]])</f>
        <v>10</v>
      </c>
      <c r="BD978" s="619">
        <f>IFERROR(_xlfn.ISOWEEKNUM(PV_DATA[[#This Row],[ETA for New Ark update]]),0)</f>
        <v>43</v>
      </c>
      <c r="BE978" s="619">
        <f>_xlfn.XLOOKUP(PV_DATA[[#This Row],[New Ark SKU]],Table9[New Ark SKU],Table9[Total PCS per Pallet],,0)</f>
        <v>36</v>
      </c>
      <c r="BF978" s="619">
        <f>_xlfn.XLOOKUP(PV_DATA[[#This Row],[New Ark SKU]],Table9[New Ark SKU],Table9[Total PCS per 40HQ Container],,0)</f>
        <v>792</v>
      </c>
      <c r="BG978" s="431" t="str">
        <f>_xlfn.XLOOKUP(PV_DATA[[#This Row],[New Ark SKU]],Table9[New Ark SKU],Table9[Back Glass],,0)</f>
        <v>Black glazing</v>
      </c>
      <c r="BH978" s="629" t="str">
        <f>_xlfn.XLOOKUP(PV_DATA[[#This Row],[PORT DESTINATION]],Table12[PORT DESTINATION],Table12[Cosco Line],,0)</f>
        <v>AEU</v>
      </c>
    </row>
    <row r="979" spans="1:62" s="431" customFormat="1" ht="10.5" hidden="1">
      <c r="A979" s="727" t="s">
        <v>6461</v>
      </c>
      <c r="B979" s="726" t="s">
        <v>111</v>
      </c>
      <c r="C979" s="439" t="str">
        <f>IFERROR(LEFT(PV_DATA[[#This Row],[TCL REFERENCE]],FIND(".",PV_DATA[[#This Row],[TCL REFERENCE]],1)-1),"Main Line")</f>
        <v>26Aug010</v>
      </c>
      <c r="D979" s="726" t="s">
        <v>113</v>
      </c>
      <c r="E979" s="439" t="s">
        <v>144</v>
      </c>
      <c r="F979" s="726" t="str" cm="1">
        <f t="array" ref="F97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79" s="439" t="s">
        <v>402</v>
      </c>
      <c r="H979" s="439" t="s">
        <v>670</v>
      </c>
      <c r="I979" s="439" t="s">
        <v>6244</v>
      </c>
      <c r="J979" s="439" t="s">
        <v>670</v>
      </c>
      <c r="K979" s="430" t="s">
        <v>5901</v>
      </c>
      <c r="L979" s="623">
        <v>22</v>
      </c>
      <c r="M979" s="430" t="s">
        <v>4976</v>
      </c>
      <c r="N979" s="1053"/>
      <c r="O979" s="623" t="s">
        <v>4540</v>
      </c>
      <c r="P979" s="623" t="s">
        <v>6245</v>
      </c>
      <c r="Q979" s="619" t="s">
        <v>330</v>
      </c>
      <c r="R979" s="430" t="str">
        <f>_xlfn.XLOOKUP(PV_DATA[[#This Row],[New Ark SKU]],Table9[New Ark SKU],Table9[Connector],,0)</f>
        <v>H4(Com)</v>
      </c>
      <c r="S979" s="433" t="str">
        <f>_xlfn.XLOOKUP(PV_DATA[[#This Row],[New Ark SKU]],Table9[New Ark SKU],Table9[Cable],,0)</f>
        <v>+400mm/-200mm</v>
      </c>
      <c r="T979" s="620">
        <v>625</v>
      </c>
      <c r="U979" s="1038">
        <f>720*3</f>
        <v>2160</v>
      </c>
      <c r="V979" s="624">
        <f>PV_DATA[[#This Row],[QUANTITY]]*PV_DATA[[#This Row],[WATT]]/1000000</f>
        <v>1.35</v>
      </c>
      <c r="W979" s="466">
        <f>PV_DATA[[#This Row],[QUANTITY]]/36</f>
        <v>60</v>
      </c>
      <c r="X979" s="1022">
        <f>PV_DATA[[#This Row],[QUANTITY]]/PV_DATA[[#This Row],[Qty/CT]]</f>
        <v>3</v>
      </c>
      <c r="Y979" s="431" t="s">
        <v>6271</v>
      </c>
      <c r="Z979" s="431" t="str">
        <f t="shared" si="14"/>
        <v>COMPLETED</v>
      </c>
      <c r="AA979" s="855">
        <v>46251</v>
      </c>
      <c r="AB979" s="626">
        <v>46259</v>
      </c>
      <c r="AC979" s="627">
        <f>IF(PV_DATA[[#This Row],[Pick-Up Date]]&lt;&gt;"",_xlfn.ISOWEEKNUM(PV_DATA[[#This Row],[Pick-Up Date]]),"")</f>
        <v>35</v>
      </c>
      <c r="AD979" s="619" t="s">
        <v>6462</v>
      </c>
      <c r="AE979" s="619"/>
      <c r="AF979" s="619" t="s">
        <v>122</v>
      </c>
      <c r="AG979" s="619" t="s">
        <v>122</v>
      </c>
      <c r="AH979" s="431" t="s">
        <v>105</v>
      </c>
      <c r="AI979" s="997">
        <v>46267</v>
      </c>
      <c r="AJ979" s="441">
        <f>IFERROR(VLOOKUP(AT979, Vessel!A:D, 4, FALSE), "")</f>
        <v>46267.520833333336</v>
      </c>
      <c r="AK979" s="441">
        <f>IFERROR(IF(VLOOKUP(AT979,Vessel!A:F,5,FALSE)=0,"",VLOOKUP(AT979,Vessel!A:F,5,FALSE)),"")</f>
        <v>46267.407708333332</v>
      </c>
      <c r="AL979" s="626">
        <v>46302</v>
      </c>
      <c r="AM979" s="939">
        <f>IFERROR(VLOOKUP(AT979, Vessel!A:H, 8, FALSE), "")</f>
        <v>46308.083333333336</v>
      </c>
      <c r="AN979" s="939">
        <f>IFERROR(IF(VLOOKUP(AT979,Vessel!A:I,9,FALSE)=0,"",VLOOKUP(AT979,Vessel!A:I,9,FALSE)),"")</f>
        <v>46308.112372685187</v>
      </c>
      <c r="AO979" s="619"/>
      <c r="AP979" s="619" t="s">
        <v>6458</v>
      </c>
      <c r="AQ979" s="431" t="s">
        <v>80</v>
      </c>
      <c r="AR979" s="619" t="s">
        <v>6463</v>
      </c>
      <c r="AS979" s="619" t="s">
        <v>6464</v>
      </c>
      <c r="AT979" s="431" t="s">
        <v>6460</v>
      </c>
      <c r="AU97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40.704664351855172</v>
      </c>
      <c r="AV979" s="619"/>
      <c r="AW979" s="626" cm="1">
        <f t="array" ref="AW97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46308.112372685187</v>
      </c>
      <c r="AX97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79" s="626">
        <f>IF(ISERROR(PV_DATA[[#This Row],[New Ark PO status]]),"",_xlfn.XLOOKUP(PV_DATA[[#This Row],[SPTN-PVHK New Ark PO'#]],New_Ark_Data[Purchase order Number],New_Ark_Data[Estimated time of arrival],"",0))</f>
        <v>46305</v>
      </c>
      <c r="AZ979" s="620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79" s="626">
        <f>IFERROR(PV_DATA[[#This Row],[ODP ETA Port]]+PV_DATA[[#This Row],[Customs/Leg3 Assumption]],"n/a")</f>
        <v>46308.112372685187</v>
      </c>
      <c r="BB979" s="620">
        <f>YEAR(PV_DATA[[#This Row],[ETA for New Ark update]])</f>
        <v>2026</v>
      </c>
      <c r="BC979" s="619">
        <f>MONTH(PV_DATA[[#This Row],[ETA for New Ark update]])</f>
        <v>10</v>
      </c>
      <c r="BD979" s="619">
        <f>IFERROR(_xlfn.ISOWEEKNUM(PV_DATA[[#This Row],[ETA for New Ark update]]),0)</f>
        <v>42</v>
      </c>
      <c r="BE979" s="619">
        <f>_xlfn.XLOOKUP(PV_DATA[[#This Row],[New Ark SKU]],Table9[New Ark SKU],Table9[Total PCS per Pallet],,0)</f>
        <v>36</v>
      </c>
      <c r="BF979" s="619">
        <f>_xlfn.XLOOKUP(PV_DATA[[#This Row],[New Ark SKU]],Table9[New Ark SKU],Table9[Total PCS per 40HQ Container],,0)</f>
        <v>720</v>
      </c>
      <c r="BG979" s="619" t="str">
        <f>_xlfn.XLOOKUP(PV_DATA[[#This Row],[New Ark SKU]],Table9[New Ark SKU],Table9[Back Glass],,0)</f>
        <v>Redirection Film</v>
      </c>
      <c r="BH979" s="629" t="str">
        <f>_xlfn.XLOOKUP(PV_DATA[[#This Row],[PORT DESTINATION]],Table12[PORT DESTINATION],Table12[Cosco Line],,0)</f>
        <v>AEU</v>
      </c>
    </row>
    <row r="980" spans="1:62" s="431" customFormat="1" ht="10.5" hidden="1">
      <c r="A980" s="727" t="s">
        <v>6465</v>
      </c>
      <c r="B980" s="726" t="s">
        <v>111</v>
      </c>
      <c r="C980" s="439" t="str">
        <f>IFERROR(LEFT(PV_DATA[[#This Row],[TCL REFERENCE]],FIND(".",PV_DATA[[#This Row],[TCL REFERENCE]],1)-1),"Main Line")</f>
        <v>26Aug010</v>
      </c>
      <c r="D980" s="726" t="s">
        <v>113</v>
      </c>
      <c r="E980" s="439" t="s">
        <v>144</v>
      </c>
      <c r="F980" s="726" t="str" cm="1">
        <f t="array" ref="F98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80" s="439" t="s">
        <v>402</v>
      </c>
      <c r="H980" s="439" t="s">
        <v>670</v>
      </c>
      <c r="I980" s="439" t="s">
        <v>6244</v>
      </c>
      <c r="J980" s="439" t="s">
        <v>670</v>
      </c>
      <c r="K980" s="430" t="s">
        <v>5901</v>
      </c>
      <c r="L980" s="623">
        <v>14</v>
      </c>
      <c r="M980" s="430" t="s">
        <v>4976</v>
      </c>
      <c r="N980" s="1053"/>
      <c r="O980" s="623" t="s">
        <v>4540</v>
      </c>
      <c r="P980" s="623" t="s">
        <v>6245</v>
      </c>
      <c r="Q980" s="619" t="s">
        <v>330</v>
      </c>
      <c r="R980" s="430" t="str">
        <f>_xlfn.XLOOKUP(PV_DATA[[#This Row],[New Ark SKU]],Table9[New Ark SKU],Table9[Connector],,0)</f>
        <v>H4(Com)</v>
      </c>
      <c r="S980" s="433" t="str">
        <f>_xlfn.XLOOKUP(PV_DATA[[#This Row],[New Ark SKU]],Table9[New Ark SKU],Table9[Cable],,0)</f>
        <v>+400mm/-200mm</v>
      </c>
      <c r="T980" s="620">
        <v>625</v>
      </c>
      <c r="U980" s="1038">
        <v>7920</v>
      </c>
      <c r="V980" s="624">
        <f>PV_DATA[[#This Row],[QUANTITY]]*PV_DATA[[#This Row],[WATT]]/1000000</f>
        <v>4.95</v>
      </c>
      <c r="W980" s="466">
        <f>PV_DATA[[#This Row],[QUANTITY]]/36</f>
        <v>220</v>
      </c>
      <c r="X980" s="1022">
        <f>PV_DATA[[#This Row],[QUANTITY]]/PV_DATA[[#This Row],[Qty/CT]]</f>
        <v>11</v>
      </c>
      <c r="Y980" s="431" t="s">
        <v>6246</v>
      </c>
      <c r="Z980" s="431" t="str">
        <f t="shared" si="14"/>
        <v>COMPLETED</v>
      </c>
      <c r="AA980" s="855">
        <v>46261</v>
      </c>
      <c r="AB980" s="626">
        <v>46259</v>
      </c>
      <c r="AC980" s="627">
        <f>IF(PV_DATA[[#This Row],[Pick-Up Date]]&lt;&gt;"",_xlfn.ISOWEEKNUM(PV_DATA[[#This Row],[Pick-Up Date]]),"")</f>
        <v>35</v>
      </c>
      <c r="AD980" s="619" t="s">
        <v>6466</v>
      </c>
      <c r="AE980" s="619"/>
      <c r="AF980" s="619" t="s">
        <v>122</v>
      </c>
      <c r="AG980" s="619" t="s">
        <v>122</v>
      </c>
      <c r="AH980" s="431" t="s">
        <v>105</v>
      </c>
      <c r="AI980" s="997">
        <v>46268</v>
      </c>
      <c r="AJ980" s="441">
        <f>IFERROR(VLOOKUP(AT980, Vessel!A:D, 4, FALSE), "")</f>
        <v>46267.520833333336</v>
      </c>
      <c r="AK980" s="441">
        <f>IFERROR(IF(VLOOKUP(AT980,Vessel!A:F,5,FALSE)=0,"",VLOOKUP(AT980,Vessel!A:F,5,FALSE)),"")</f>
        <v>46267.407708333332</v>
      </c>
      <c r="AL980" s="626">
        <v>46303</v>
      </c>
      <c r="AM980" s="939">
        <f>IFERROR(VLOOKUP(AT980, Vessel!A:H, 8, FALSE), "")</f>
        <v>46308.083333333336</v>
      </c>
      <c r="AN980" s="939">
        <f>IFERROR(IF(VLOOKUP(AT980,Vessel!A:I,9,FALSE)=0,"",VLOOKUP(AT980,Vessel!A:I,9,FALSE)),"")</f>
        <v>46308.112372685187</v>
      </c>
      <c r="AO980" s="619"/>
      <c r="AP980" s="619" t="s">
        <v>6387</v>
      </c>
      <c r="AQ980" s="628" t="s">
        <v>80</v>
      </c>
      <c r="AR980" s="619" t="s">
        <v>6467</v>
      </c>
      <c r="AS980" s="619" t="s">
        <v>6468</v>
      </c>
      <c r="AT980" s="431" t="s">
        <v>6468</v>
      </c>
      <c r="AU98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40.704664351855172</v>
      </c>
      <c r="AV980" s="619"/>
      <c r="AW980" s="626" cm="1">
        <f t="array" ref="AW98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46308.112372685187</v>
      </c>
      <c r="AX98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80" s="626">
        <f>IF(ISERROR(PV_DATA[[#This Row],[New Ark PO status]]),"",_xlfn.XLOOKUP(PV_DATA[[#This Row],[SPTN-PVHK New Ark PO'#]],New_Ark_Data[Purchase order Number],New_Ark_Data[Estimated time of arrival],"",0))</f>
        <v>46303</v>
      </c>
      <c r="AZ980" s="620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80" s="626">
        <f>IFERROR(PV_DATA[[#This Row],[ODP ETA Port]]+PV_DATA[[#This Row],[Customs/Leg3 Assumption]],"n/a")</f>
        <v>46308.112372685187</v>
      </c>
      <c r="BB980" s="620">
        <f>YEAR(PV_DATA[[#This Row],[ETA for New Ark update]])</f>
        <v>2026</v>
      </c>
      <c r="BC980" s="619">
        <f>MONTH(PV_DATA[[#This Row],[ETA for New Ark update]])</f>
        <v>10</v>
      </c>
      <c r="BD980" s="619">
        <f>IFERROR(_xlfn.ISOWEEKNUM(PV_DATA[[#This Row],[ETA for New Ark update]]),0)</f>
        <v>42</v>
      </c>
      <c r="BE980" s="619">
        <f>_xlfn.XLOOKUP(PV_DATA[[#This Row],[New Ark SKU]],Table9[New Ark SKU],Table9[Total PCS per Pallet],,0)</f>
        <v>36</v>
      </c>
      <c r="BF980" s="619">
        <f>_xlfn.XLOOKUP(PV_DATA[[#This Row],[New Ark SKU]],Table9[New Ark SKU],Table9[Total PCS per 40HQ Container],,0)</f>
        <v>720</v>
      </c>
      <c r="BG980" s="619" t="str">
        <f>_xlfn.XLOOKUP(PV_DATA[[#This Row],[New Ark SKU]],Table9[New Ark SKU],Table9[Back Glass],,0)</f>
        <v>Redirection Film</v>
      </c>
      <c r="BH980" s="629" t="str">
        <f>_xlfn.XLOOKUP(PV_DATA[[#This Row],[PORT DESTINATION]],Table12[PORT DESTINATION],Table12[Cosco Line],,0)</f>
        <v>AEU</v>
      </c>
    </row>
    <row r="981" spans="1:62" s="431" customFormat="1" ht="10.5" hidden="1">
      <c r="A981" s="727" t="s">
        <v>6469</v>
      </c>
      <c r="B981" s="726" t="s">
        <v>111</v>
      </c>
      <c r="C981" s="439" t="str">
        <f>IFERROR(LEFT(PV_DATA[[#This Row],[TCL REFERENCE]],FIND(".",PV_DATA[[#This Row],[TCL REFERENCE]],1)-1),"Main Line")</f>
        <v>26Aug025</v>
      </c>
      <c r="D981" s="726" t="s">
        <v>113</v>
      </c>
      <c r="E981" s="439" t="s">
        <v>144</v>
      </c>
      <c r="F981" s="726" t="str" cm="1">
        <f t="array" ref="F98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81" s="439" t="s">
        <v>402</v>
      </c>
      <c r="H981" s="439" t="s">
        <v>670</v>
      </c>
      <c r="I981" s="439" t="s">
        <v>6244</v>
      </c>
      <c r="J981" s="439" t="s">
        <v>670</v>
      </c>
      <c r="K981" s="430" t="s">
        <v>6276</v>
      </c>
      <c r="L981" s="623">
        <v>18</v>
      </c>
      <c r="M981" s="430" t="s">
        <v>4976</v>
      </c>
      <c r="N981" s="1053"/>
      <c r="O981" s="623" t="s">
        <v>4540</v>
      </c>
      <c r="P981" s="623" t="s">
        <v>6470</v>
      </c>
      <c r="Q981" s="619" t="s">
        <v>4607</v>
      </c>
      <c r="R981" s="430" t="str">
        <f>_xlfn.XLOOKUP(PV_DATA[[#This Row],[New Ark SKU]],Table9[New Ark SKU],Table9[Connector],,0)</f>
        <v>H4(Com)</v>
      </c>
      <c r="S981" s="433" t="str">
        <f>_xlfn.XLOOKUP(PV_DATA[[#This Row],[New Ark SKU]],Table9[New Ark SKU],Table9[Cable],,0)</f>
        <v>+400mm/-200mm</v>
      </c>
      <c r="T981" s="620">
        <v>630</v>
      </c>
      <c r="U981" s="1067">
        <f>720*8</f>
        <v>5760</v>
      </c>
      <c r="V981" s="624">
        <f>PV_DATA[[#This Row],[QUANTITY]]*PV_DATA[[#This Row],[WATT]]/1000000</f>
        <v>3.6288</v>
      </c>
      <c r="W981" s="466">
        <f>PV_DATA[[#This Row],[QUANTITY]]/36</f>
        <v>160</v>
      </c>
      <c r="X981" s="1022">
        <f>PV_DATA[[#This Row],[QUANTITY]]/PV_DATA[[#This Row],[Qty/CT]]</f>
        <v>8</v>
      </c>
      <c r="Y981" s="431" t="s">
        <v>6271</v>
      </c>
      <c r="Z981" s="431" t="str">
        <f t="shared" si="14"/>
        <v>COMPLETED</v>
      </c>
      <c r="AA981" s="855">
        <v>46251</v>
      </c>
      <c r="AB981" s="626">
        <v>46263</v>
      </c>
      <c r="AC981" s="627">
        <f>IF(PV_DATA[[#This Row],[Pick-Up Date]]&lt;&gt;"",_xlfn.ISOWEEKNUM(PV_DATA[[#This Row],[Pick-Up Date]]),"")</f>
        <v>35</v>
      </c>
      <c r="AD981" s="619" t="s">
        <v>6471</v>
      </c>
      <c r="AE981" s="619"/>
      <c r="AF981" s="619" t="s">
        <v>122</v>
      </c>
      <c r="AG981" s="619" t="s">
        <v>122</v>
      </c>
      <c r="AH981" s="431" t="s">
        <v>105</v>
      </c>
      <c r="AI981" s="626">
        <v>46270</v>
      </c>
      <c r="AJ981" s="626">
        <v>46275</v>
      </c>
      <c r="AK981" s="626">
        <v>46274</v>
      </c>
      <c r="AL981" s="626">
        <v>46312</v>
      </c>
      <c r="AM981" s="437">
        <v>46317</v>
      </c>
      <c r="AN981" s="437">
        <v>46317</v>
      </c>
      <c r="AO981" s="619"/>
      <c r="AP981" s="619" t="s">
        <v>6458</v>
      </c>
      <c r="AQ981" s="628" t="s">
        <v>161</v>
      </c>
      <c r="AR981" s="619" t="s">
        <v>6472</v>
      </c>
      <c r="AS981" s="619" t="s">
        <v>6473</v>
      </c>
      <c r="AT981" s="431" t="s">
        <v>6473</v>
      </c>
      <c r="AU98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</v>
      </c>
      <c r="AV981" s="619"/>
      <c r="AW981" s="626" cm="1">
        <f t="array" ref="AW98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46317</v>
      </c>
      <c r="AX98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81" s="626">
        <f>IF(ISERROR(PV_DATA[[#This Row],[New Ark PO status]]),"",_xlfn.XLOOKUP(PV_DATA[[#This Row],[SPTN-PVHK New Ark PO'#]],New_Ark_Data[Purchase order Number],New_Ark_Data[Estimated time of arrival],"",0))</f>
        <v>46302</v>
      </c>
      <c r="AZ981" s="620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81" s="626">
        <f>IFERROR(PV_DATA[[#This Row],[ODP ETA Port]]+PV_DATA[[#This Row],[Customs/Leg3 Assumption]],"n/a")</f>
        <v>46317</v>
      </c>
      <c r="BB981" s="620">
        <f>YEAR(PV_DATA[[#This Row],[ETA for New Ark update]])</f>
        <v>2026</v>
      </c>
      <c r="BC981" s="619">
        <f>MONTH(PV_DATA[[#This Row],[ETA for New Ark update]])</f>
        <v>10</v>
      </c>
      <c r="BD981" s="619">
        <f>IFERROR(_xlfn.ISOWEEKNUM(PV_DATA[[#This Row],[ETA for New Ark update]]),0)</f>
        <v>43</v>
      </c>
      <c r="BE981" s="619">
        <f>_xlfn.XLOOKUP(PV_DATA[[#This Row],[New Ark SKU]],Table9[New Ark SKU],Table9[Total PCS per Pallet],,0)</f>
        <v>36</v>
      </c>
      <c r="BF981" s="619">
        <f>_xlfn.XLOOKUP(PV_DATA[[#This Row],[New Ark SKU]],Table9[New Ark SKU],Table9[Total PCS per 40HQ Container],,0)</f>
        <v>720</v>
      </c>
      <c r="BG981" s="619" t="str">
        <f>_xlfn.XLOOKUP(PV_DATA[[#This Row],[New Ark SKU]],Table9[New Ark SKU],Table9[Back Glass],,0)</f>
        <v>Redirection Film</v>
      </c>
      <c r="BH981" s="629" t="str">
        <f>_xlfn.XLOOKUP(PV_DATA[[#This Row],[PORT DESTINATION]],Table12[PORT DESTINATION],Table12[Cosco Line],,0)</f>
        <v>AEU</v>
      </c>
    </row>
    <row r="982" spans="1:62" s="431" customFormat="1" ht="10.5" hidden="1">
      <c r="A982" s="728" t="s">
        <v>6474</v>
      </c>
      <c r="B982" s="439" t="s">
        <v>111</v>
      </c>
      <c r="C982" s="439" t="str">
        <f>IFERROR(LEFT(PV_DATA[[#This Row],[TCL REFERENCE]],FIND(".",PV_DATA[[#This Row],[TCL REFERENCE]],1)-1),"Main Line")</f>
        <v>26Aug010</v>
      </c>
      <c r="D982" s="439" t="s">
        <v>113</v>
      </c>
      <c r="E982" s="439" t="s">
        <v>144</v>
      </c>
      <c r="F982" s="726" t="str" cm="1">
        <f t="array" ref="F98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82" s="439" t="s">
        <v>402</v>
      </c>
      <c r="H982" s="439" t="s">
        <v>670</v>
      </c>
      <c r="I982" s="439" t="s">
        <v>6244</v>
      </c>
      <c r="J982" s="726" t="s">
        <v>670</v>
      </c>
      <c r="K982" s="430" t="s">
        <v>5901</v>
      </c>
      <c r="L982" s="430">
        <v>12</v>
      </c>
      <c r="M982" s="430" t="s">
        <v>4976</v>
      </c>
      <c r="N982" s="432"/>
      <c r="O982" s="430" t="s">
        <v>4540</v>
      </c>
      <c r="P982" s="430" t="s">
        <v>6245</v>
      </c>
      <c r="Q982" s="431" t="s">
        <v>330</v>
      </c>
      <c r="R982" s="430" t="str">
        <f>_xlfn.XLOOKUP(PV_DATA[[#This Row],[New Ark SKU]],Table9[New Ark SKU],Table9[Connector],,0)</f>
        <v>H4(Com)</v>
      </c>
      <c r="S982" s="433" t="str">
        <f>_xlfn.XLOOKUP(PV_DATA[[#This Row],[New Ark SKU]],Table9[New Ark SKU],Table9[Cable],,0)</f>
        <v>+400mm/-200mm</v>
      </c>
      <c r="T982" s="442">
        <v>625</v>
      </c>
      <c r="U982" s="1067">
        <f>720*5</f>
        <v>3600</v>
      </c>
      <c r="V982" s="448">
        <f>PV_DATA[[#This Row],[QUANTITY]]*PV_DATA[[#This Row],[WATT]]/1000000</f>
        <v>2.25</v>
      </c>
      <c r="W982" s="625">
        <f>PV_DATA[[#This Row],[QUANTITY]]/36</f>
        <v>100</v>
      </c>
      <c r="X982" s="1019">
        <f>PV_DATA[[#This Row],[QUANTITY]]/PV_DATA[[#This Row],[Qty/CT]]</f>
        <v>5</v>
      </c>
      <c r="Y982" s="431" t="s">
        <v>6246</v>
      </c>
      <c r="Z982" s="431" t="str">
        <f t="shared" si="14"/>
        <v>COMPLETED</v>
      </c>
      <c r="AA982" s="661">
        <v>46251</v>
      </c>
      <c r="AB982" s="441">
        <v>46260</v>
      </c>
      <c r="AC982" s="467">
        <f>IF(PV_DATA[[#This Row],[Pick-Up Date]]&lt;&gt;"",_xlfn.ISOWEEKNUM(PV_DATA[[#This Row],[Pick-Up Date]]),"")</f>
        <v>35</v>
      </c>
      <c r="AD982" s="431" t="s">
        <v>6475</v>
      </c>
      <c r="AF982" s="431" t="s">
        <v>122</v>
      </c>
      <c r="AG982" s="431" t="s">
        <v>122</v>
      </c>
      <c r="AH982" s="431" t="s">
        <v>105</v>
      </c>
      <c r="AI982" s="719">
        <v>46264</v>
      </c>
      <c r="AJ982" s="441">
        <v>46269</v>
      </c>
      <c r="AK982" s="441">
        <v>46272</v>
      </c>
      <c r="AL982" s="441">
        <v>46305</v>
      </c>
      <c r="AM982" s="441">
        <v>46314</v>
      </c>
      <c r="AN982" s="441">
        <v>46314</v>
      </c>
      <c r="AP982" s="431" t="s">
        <v>6476</v>
      </c>
      <c r="AQ982" s="628" t="s">
        <v>161</v>
      </c>
      <c r="AR982" s="431" t="s">
        <v>6477</v>
      </c>
      <c r="AS982" s="431" t="s">
        <v>6478</v>
      </c>
      <c r="AT982" s="431" t="s">
        <v>6478</v>
      </c>
      <c r="AU98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</v>
      </c>
      <c r="AW982" s="441" cm="1">
        <f t="array" ref="AW98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46314</v>
      </c>
      <c r="AX98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82" s="441">
        <f>IF(ISERROR(PV_DATA[[#This Row],[New Ark PO status]]),"",_xlfn.XLOOKUP(PV_DATA[[#This Row],[SPTN-PVHK New Ark PO'#]],New_Ark_Data[Purchase order Number],New_Ark_Data[Estimated time of arrival],"",0))</f>
        <v>46305</v>
      </c>
      <c r="AZ982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82" s="441">
        <f>IFERROR(PV_DATA[[#This Row],[ODP ETA Port]]+PV_DATA[[#This Row],[Customs/Leg3 Assumption]],"n/a")</f>
        <v>46314</v>
      </c>
      <c r="BB982" s="442">
        <f>YEAR(PV_DATA[[#This Row],[ETA for New Ark update]])</f>
        <v>2026</v>
      </c>
      <c r="BC982" s="431">
        <f>MONTH(PV_DATA[[#This Row],[ETA for New Ark update]])</f>
        <v>10</v>
      </c>
      <c r="BD982" s="431">
        <f>IFERROR(_xlfn.ISOWEEKNUM(PV_DATA[[#This Row],[ETA for New Ark update]]),0)</f>
        <v>43</v>
      </c>
      <c r="BE982" s="431">
        <f>_xlfn.XLOOKUP(PV_DATA[[#This Row],[New Ark SKU]],Table9[New Ark SKU],Table9[Total PCS per Pallet],,0)</f>
        <v>36</v>
      </c>
      <c r="BF982" s="431">
        <f>_xlfn.XLOOKUP(PV_DATA[[#This Row],[New Ark SKU]],Table9[New Ark SKU],Table9[Total PCS per 40HQ Container],,0)</f>
        <v>720</v>
      </c>
      <c r="BG982" s="431" t="str">
        <f>_xlfn.XLOOKUP(PV_DATA[[#This Row],[New Ark SKU]],Table9[New Ark SKU],Table9[Back Glass],,0)</f>
        <v>Redirection Film</v>
      </c>
      <c r="BH982" s="622" t="str">
        <f>_xlfn.XLOOKUP(PV_DATA[[#This Row],[PORT DESTINATION]],Table12[PORT DESTINATION],Table12[Cosco Line],,0)</f>
        <v>AEU</v>
      </c>
    </row>
    <row r="983" spans="1:62" s="431" customFormat="1" ht="10.5" hidden="1">
      <c r="A983" s="728" t="s">
        <v>6479</v>
      </c>
      <c r="B983" s="439" t="s">
        <v>111</v>
      </c>
      <c r="C983" s="439" t="str">
        <f>IFERROR(LEFT(PV_DATA[[#This Row],[TCL REFERENCE]],FIND(".",PV_DATA[[#This Row],[TCL REFERENCE]],1)-1),"Main Line")</f>
        <v>26Aug010</v>
      </c>
      <c r="D983" s="439" t="s">
        <v>113</v>
      </c>
      <c r="E983" s="439" t="s">
        <v>144</v>
      </c>
      <c r="F983" s="439" t="str" cm="1">
        <f t="array" ref="F98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83" s="439" t="s">
        <v>402</v>
      </c>
      <c r="H983" s="439" t="s">
        <v>670</v>
      </c>
      <c r="I983" s="439" t="s">
        <v>6244</v>
      </c>
      <c r="J983" s="439" t="s">
        <v>670</v>
      </c>
      <c r="K983" s="430" t="s">
        <v>6276</v>
      </c>
      <c r="L983" s="430">
        <v>21</v>
      </c>
      <c r="M983" s="430" t="s">
        <v>4976</v>
      </c>
      <c r="N983" s="432"/>
      <c r="O983" s="430" t="s">
        <v>4540</v>
      </c>
      <c r="P983" s="430" t="s">
        <v>6245</v>
      </c>
      <c r="Q983" s="431" t="s">
        <v>330</v>
      </c>
      <c r="R983" s="430" t="str">
        <f>_xlfn.XLOOKUP(PV_DATA[[#This Row],[New Ark SKU]],Table9[New Ark SKU],Table9[Connector],,0)</f>
        <v>H4(Com)</v>
      </c>
      <c r="S983" s="433" t="str">
        <f>_xlfn.XLOOKUP(PV_DATA[[#This Row],[New Ark SKU]],Table9[New Ark SKU],Table9[Cable],,0)</f>
        <v>+400mm/-200mm</v>
      </c>
      <c r="T983" s="442">
        <v>625</v>
      </c>
      <c r="U983" s="1067">
        <v>3600</v>
      </c>
      <c r="V983" s="448">
        <f>PV_DATA[[#This Row],[QUANTITY]]*PV_DATA[[#This Row],[WATT]]/1000000</f>
        <v>2.25</v>
      </c>
      <c r="W983" s="466">
        <f>PV_DATA[[#This Row],[QUANTITY]]/36</f>
        <v>100</v>
      </c>
      <c r="X983" s="1019">
        <f>PV_DATA[[#This Row],[QUANTITY]]/PV_DATA[[#This Row],[Qty/CT]]</f>
        <v>5</v>
      </c>
      <c r="Y983" s="431" t="s">
        <v>6246</v>
      </c>
      <c r="Z983" s="431" t="str">
        <f t="shared" si="14"/>
        <v>COMPLETED</v>
      </c>
      <c r="AA983" s="661">
        <v>46251</v>
      </c>
      <c r="AB983" s="441">
        <v>46260</v>
      </c>
      <c r="AC983" s="467">
        <f>IF(PV_DATA[[#This Row],[Pick-Up Date]]&lt;&gt;"",_xlfn.ISOWEEKNUM(PV_DATA[[#This Row],[Pick-Up Date]]),"")</f>
        <v>35</v>
      </c>
      <c r="AD983" s="431" t="s">
        <v>6480</v>
      </c>
      <c r="AF983" s="431" t="s">
        <v>122</v>
      </c>
      <c r="AG983" s="431" t="s">
        <v>122</v>
      </c>
      <c r="AH983" s="431" t="s">
        <v>105</v>
      </c>
      <c r="AI983" s="719">
        <v>46264</v>
      </c>
      <c r="AJ983" s="441">
        <v>46269</v>
      </c>
      <c r="AK983" s="441">
        <v>46272</v>
      </c>
      <c r="AL983" s="441">
        <v>46305</v>
      </c>
      <c r="AM983" s="441">
        <v>46314</v>
      </c>
      <c r="AN983" s="441">
        <v>46314</v>
      </c>
      <c r="AP983" s="431" t="s">
        <v>6476</v>
      </c>
      <c r="AQ983" s="445" t="s">
        <v>161</v>
      </c>
      <c r="AR983" s="431" t="s">
        <v>6477</v>
      </c>
      <c r="AS983" s="431" t="s">
        <v>6478</v>
      </c>
      <c r="AT983" s="431" t="s">
        <v>6481</v>
      </c>
      <c r="AU98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</v>
      </c>
      <c r="AW983" s="441" cm="1">
        <f t="array" ref="AW98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46314</v>
      </c>
      <c r="AX98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83" s="441">
        <f>IF(ISERROR(PV_DATA[[#This Row],[New Ark PO status]]),"",_xlfn.XLOOKUP(PV_DATA[[#This Row],[SPTN-PVHK New Ark PO'#]],New_Ark_Data[Purchase order Number],New_Ark_Data[Estimated time of arrival],"",0))</f>
        <v>46305</v>
      </c>
      <c r="AZ983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83" s="441">
        <f>IFERROR(PV_DATA[[#This Row],[ODP ETA Port]]+PV_DATA[[#This Row],[Customs/Leg3 Assumption]],"n/a")</f>
        <v>46314</v>
      </c>
      <c r="BB983" s="442">
        <f>YEAR(PV_DATA[[#This Row],[ETA for New Ark update]])</f>
        <v>2026</v>
      </c>
      <c r="BC983" s="431">
        <f>MONTH(PV_DATA[[#This Row],[ETA for New Ark update]])</f>
        <v>10</v>
      </c>
      <c r="BD983" s="431">
        <f>IFERROR(_xlfn.ISOWEEKNUM(PV_DATA[[#This Row],[ETA for New Ark update]]),0)</f>
        <v>43</v>
      </c>
      <c r="BE983" s="431">
        <f>_xlfn.XLOOKUP(PV_DATA[[#This Row],[New Ark SKU]],Table9[New Ark SKU],Table9[Total PCS per Pallet],,0)</f>
        <v>36</v>
      </c>
      <c r="BF983" s="431">
        <f>_xlfn.XLOOKUP(PV_DATA[[#This Row],[New Ark SKU]],Table9[New Ark SKU],Table9[Total PCS per 40HQ Container],,0)</f>
        <v>720</v>
      </c>
      <c r="BG983" s="431" t="str">
        <f>_xlfn.XLOOKUP(PV_DATA[[#This Row],[New Ark SKU]],Table9[New Ark SKU],Table9[Back Glass],,0)</f>
        <v>Redirection Film</v>
      </c>
      <c r="BH983" s="622" t="str">
        <f>_xlfn.XLOOKUP(PV_DATA[[#This Row],[PORT DESTINATION]],Table12[PORT DESTINATION],Table12[Cosco Line],,0)</f>
        <v>AEU</v>
      </c>
    </row>
    <row r="984" spans="1:62" s="431" customFormat="1" ht="10.5" hidden="1">
      <c r="A984" s="439" t="s">
        <v>6482</v>
      </c>
      <c r="B984" s="439" t="s">
        <v>111</v>
      </c>
      <c r="C984" s="439" t="str">
        <f>IFERROR(LEFT(PV_DATA[[#This Row],[TCL REFERENCE]],FIND(".",PV_DATA[[#This Row],[TCL REFERENCE]],1)-1),"Main Line")</f>
        <v>26Aug010</v>
      </c>
      <c r="D984" s="439" t="s">
        <v>113</v>
      </c>
      <c r="E984" s="439" t="s">
        <v>144</v>
      </c>
      <c r="F984" s="439" t="str" cm="1">
        <f t="array" ref="F98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84" s="439" t="s">
        <v>402</v>
      </c>
      <c r="H984" s="439" t="s">
        <v>670</v>
      </c>
      <c r="I984" s="439" t="s">
        <v>6244</v>
      </c>
      <c r="J984" s="439" t="s">
        <v>670</v>
      </c>
      <c r="K984" s="430" t="s">
        <v>5901</v>
      </c>
      <c r="L984" s="430">
        <v>9</v>
      </c>
      <c r="M984" s="430" t="s">
        <v>4976</v>
      </c>
      <c r="N984" s="432"/>
      <c r="O984" s="430" t="s">
        <v>4540</v>
      </c>
      <c r="P984" s="430" t="s">
        <v>6245</v>
      </c>
      <c r="Q984" s="431" t="s">
        <v>330</v>
      </c>
      <c r="R984" s="430" t="str">
        <f>_xlfn.XLOOKUP(PV_DATA[[#This Row],[New Ark SKU]],Table9[New Ark SKU],Table9[Connector],,0)</f>
        <v>H4(Com)</v>
      </c>
      <c r="S984" s="433" t="str">
        <f>_xlfn.XLOOKUP(PV_DATA[[#This Row],[New Ark SKU]],Table9[New Ark SKU],Table9[Cable],,0)</f>
        <v>+400mm/-200mm</v>
      </c>
      <c r="T984" s="442">
        <v>625</v>
      </c>
      <c r="U984" s="1067">
        <v>3600</v>
      </c>
      <c r="V984" s="448">
        <f>PV_DATA[[#This Row],[QUANTITY]]*PV_DATA[[#This Row],[WATT]]/1000000</f>
        <v>2.25</v>
      </c>
      <c r="W984" s="466">
        <f>PV_DATA[[#This Row],[QUANTITY]]/36</f>
        <v>100</v>
      </c>
      <c r="X984" s="1019">
        <f>PV_DATA[[#This Row],[QUANTITY]]/PV_DATA[[#This Row],[Qty/CT]]</f>
        <v>5</v>
      </c>
      <c r="Y984" s="431" t="s">
        <v>6246</v>
      </c>
      <c r="Z984" s="431" t="str">
        <f t="shared" si="14"/>
        <v>COMPLETED</v>
      </c>
      <c r="AA984" s="661">
        <v>46251</v>
      </c>
      <c r="AB984" s="441">
        <v>46261</v>
      </c>
      <c r="AC984" s="467">
        <f>IF(PV_DATA[[#This Row],[Pick-Up Date]]&lt;&gt;"",_xlfn.ISOWEEKNUM(PV_DATA[[#This Row],[Pick-Up Date]]),"")</f>
        <v>35</v>
      </c>
      <c r="AD984" s="431" t="s">
        <v>6483</v>
      </c>
      <c r="AF984" s="431" t="s">
        <v>122</v>
      </c>
      <c r="AG984" s="431" t="s">
        <v>122</v>
      </c>
      <c r="AH984" s="431" t="s">
        <v>105</v>
      </c>
      <c r="AI984" s="719">
        <v>46264</v>
      </c>
      <c r="AJ984" s="441">
        <v>46269</v>
      </c>
      <c r="AK984" s="441">
        <v>46272</v>
      </c>
      <c r="AL984" s="441">
        <v>46305</v>
      </c>
      <c r="AM984" s="441">
        <v>46314</v>
      </c>
      <c r="AN984" s="441">
        <v>46314</v>
      </c>
      <c r="AP984" s="431" t="s">
        <v>6476</v>
      </c>
      <c r="AQ984" s="445" t="s">
        <v>161</v>
      </c>
      <c r="AR984" s="431" t="s">
        <v>6484</v>
      </c>
      <c r="AS984" s="431" t="s">
        <v>6485</v>
      </c>
      <c r="AT984" s="431" t="s">
        <v>6485</v>
      </c>
      <c r="AU98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</v>
      </c>
      <c r="AW984" s="441" cm="1">
        <f t="array" ref="AW98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46314</v>
      </c>
      <c r="AX98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84" s="441">
        <f>IF(ISERROR(PV_DATA[[#This Row],[New Ark PO status]]),"",_xlfn.XLOOKUP(PV_DATA[[#This Row],[SPTN-PVHK New Ark PO'#]],New_Ark_Data[Purchase order Number],New_Ark_Data[Estimated time of arrival],"",0))</f>
        <v>46305</v>
      </c>
      <c r="AZ984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84" s="441">
        <f>IFERROR(PV_DATA[[#This Row],[ODP ETA Port]]+PV_DATA[[#This Row],[Customs/Leg3 Assumption]],"n/a")</f>
        <v>46314</v>
      </c>
      <c r="BB984" s="442">
        <f>YEAR(PV_DATA[[#This Row],[ETA for New Ark update]])</f>
        <v>2026</v>
      </c>
      <c r="BC984" s="431">
        <f>MONTH(PV_DATA[[#This Row],[ETA for New Ark update]])</f>
        <v>10</v>
      </c>
      <c r="BD984" s="431">
        <f>IFERROR(_xlfn.ISOWEEKNUM(PV_DATA[[#This Row],[ETA for New Ark update]]),0)</f>
        <v>43</v>
      </c>
      <c r="BE984" s="431">
        <f>_xlfn.XLOOKUP(PV_DATA[[#This Row],[New Ark SKU]],Table9[New Ark SKU],Table9[Total PCS per Pallet],,0)</f>
        <v>36</v>
      </c>
      <c r="BF984" s="431">
        <f>_xlfn.XLOOKUP(PV_DATA[[#This Row],[New Ark SKU]],Table9[New Ark SKU],Table9[Total PCS per 40HQ Container],,0)</f>
        <v>720</v>
      </c>
      <c r="BG984" s="431" t="str">
        <f>_xlfn.XLOOKUP(PV_DATA[[#This Row],[New Ark SKU]],Table9[New Ark SKU],Table9[Back Glass],,0)</f>
        <v>Redirection Film</v>
      </c>
      <c r="BH984" s="431" t="str">
        <f>_xlfn.XLOOKUP(PV_DATA[[#This Row],[PORT DESTINATION]],Table12[PORT DESTINATION],Table12[Cosco Line],,0)</f>
        <v>AEU</v>
      </c>
    </row>
    <row r="985" spans="1:62" ht="10.5" hidden="1">
      <c r="A985" s="727" t="s">
        <v>6486</v>
      </c>
      <c r="B985" s="726" t="s">
        <v>111</v>
      </c>
      <c r="C985" s="439" t="str">
        <f>IFERROR(LEFT(PV_DATA[[#This Row],[TCL REFERENCE]],FIND(".",PV_DATA[[#This Row],[TCL REFERENCE]],1)-1),"Main Line")</f>
        <v>26Aug025</v>
      </c>
      <c r="D985" s="726" t="s">
        <v>113</v>
      </c>
      <c r="E985" s="439" t="s">
        <v>144</v>
      </c>
      <c r="F985" s="726" t="str" cm="1">
        <f t="array" ref="F98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85" s="439" t="s">
        <v>402</v>
      </c>
      <c r="H985" s="439" t="s">
        <v>670</v>
      </c>
      <c r="I985" s="439" t="s">
        <v>6244</v>
      </c>
      <c r="J985" s="439" t="s">
        <v>670</v>
      </c>
      <c r="K985" s="623" t="s">
        <v>6276</v>
      </c>
      <c r="L985" s="623">
        <v>35</v>
      </c>
      <c r="M985" s="430" t="s">
        <v>4976</v>
      </c>
      <c r="N985" s="1053"/>
      <c r="O985" s="623" t="s">
        <v>4540</v>
      </c>
      <c r="P985" s="623" t="s">
        <v>6470</v>
      </c>
      <c r="Q985" s="619" t="s">
        <v>4607</v>
      </c>
      <c r="R985" s="430" t="str">
        <f>_xlfn.XLOOKUP(PV_DATA[[#This Row],[New Ark SKU]],Table9[New Ark SKU],Table9[Connector],,0)</f>
        <v>H4(Com)</v>
      </c>
      <c r="S985" s="433" t="str">
        <f>_xlfn.XLOOKUP(PV_DATA[[#This Row],[New Ark SKU]],Table9[New Ark SKU],Table9[Cable],,0)</f>
        <v>+400mm/-200mm</v>
      </c>
      <c r="T985" s="620">
        <v>630</v>
      </c>
      <c r="U985" s="1067">
        <v>720</v>
      </c>
      <c r="V985" s="624">
        <f>PV_DATA[[#This Row],[QUANTITY]]*PV_DATA[[#This Row],[WATT]]/1000000</f>
        <v>0.4536</v>
      </c>
      <c r="W985" s="466">
        <f>PV_DATA[[#This Row],[QUANTITY]]/36</f>
        <v>20</v>
      </c>
      <c r="X985" s="1022">
        <f>PV_DATA[[#This Row],[QUANTITY]]/PV_DATA[[#This Row],[Qty/CT]]</f>
        <v>1</v>
      </c>
      <c r="Y985" s="431" t="s">
        <v>4377</v>
      </c>
      <c r="Z985" s="430" t="str">
        <f t="shared" si="14"/>
        <v>COMPLETED</v>
      </c>
      <c r="AA985" s="619"/>
      <c r="AB985" s="626">
        <v>46261</v>
      </c>
      <c r="AC985" s="627">
        <f>IF(PV_DATA[[#This Row],[Pick-Up Date]]&lt;&gt;"",_xlfn.ISOWEEKNUM(PV_DATA[[#This Row],[Pick-Up Date]]),"")</f>
        <v>35</v>
      </c>
      <c r="AD985" s="619" t="s">
        <v>6487</v>
      </c>
      <c r="AE985" s="619"/>
      <c r="AF985" s="619" t="s">
        <v>122</v>
      </c>
      <c r="AG985" s="619" t="s">
        <v>122</v>
      </c>
      <c r="AH985" s="430" t="s">
        <v>105</v>
      </c>
      <c r="AI985" s="719">
        <v>46264</v>
      </c>
      <c r="AJ985" s="441">
        <v>46269</v>
      </c>
      <c r="AK985" s="441">
        <v>46272</v>
      </c>
      <c r="AL985" s="441">
        <v>46305</v>
      </c>
      <c r="AM985" s="441">
        <v>46314</v>
      </c>
      <c r="AN985" s="441">
        <v>46314</v>
      </c>
      <c r="AO985" s="619"/>
      <c r="AP985" s="431" t="s">
        <v>6476</v>
      </c>
      <c r="AQ985" s="628" t="s">
        <v>161</v>
      </c>
      <c r="AR985" s="431" t="s">
        <v>6488</v>
      </c>
      <c r="AS985" s="431" t="s">
        <v>6489</v>
      </c>
      <c r="AT985" s="431" t="s">
        <v>6490</v>
      </c>
      <c r="AU98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</v>
      </c>
      <c r="AV985" s="619"/>
      <c r="AW985" s="626" cm="1">
        <f t="array" ref="AW98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46314</v>
      </c>
      <c r="AX98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85" s="626">
        <f>IF(ISERROR(PV_DATA[[#This Row],[New Ark PO status]]),"",_xlfn.XLOOKUP(PV_DATA[[#This Row],[SPTN-PVHK New Ark PO'#]],New_Ark_Data[Purchase order Number],New_Ark_Data[Estimated time of arrival],"",0))</f>
        <v>46305</v>
      </c>
      <c r="AZ985" s="620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85" s="626">
        <f>IFERROR(PV_DATA[[#This Row],[ODP ETA Port]]+PV_DATA[[#This Row],[Customs/Leg3 Assumption]],"n/a")</f>
        <v>46314</v>
      </c>
      <c r="BB985" s="442">
        <f>YEAR(PV_DATA[[#This Row],[ETA for New Ark update]])</f>
        <v>2026</v>
      </c>
      <c r="BC985" s="431">
        <f>MONTH(PV_DATA[[#This Row],[ETA for New Ark update]])</f>
        <v>10</v>
      </c>
      <c r="BD985" s="619">
        <f>IFERROR(_xlfn.ISOWEEKNUM(PV_DATA[[#This Row],[ETA for New Ark update]]),0)</f>
        <v>43</v>
      </c>
      <c r="BE985" s="619">
        <f>_xlfn.XLOOKUP(PV_DATA[[#This Row],[New Ark SKU]],Table9[New Ark SKU],Table9[Total PCS per Pallet],,0)</f>
        <v>36</v>
      </c>
      <c r="BF985" s="619">
        <f>_xlfn.XLOOKUP(PV_DATA[[#This Row],[New Ark SKU]],Table9[New Ark SKU],Table9[Total PCS per 40HQ Container],,0)</f>
        <v>720</v>
      </c>
      <c r="BG985" s="619" t="str">
        <f>_xlfn.XLOOKUP(PV_DATA[[#This Row],[New Ark SKU]],Table9[New Ark SKU],Table9[Back Glass],,0)</f>
        <v>Redirection Film</v>
      </c>
      <c r="BH985" s="629" t="str">
        <f>_xlfn.XLOOKUP(PV_DATA[[#This Row],[PORT DESTINATION]],Table12[PORT DESTINATION],Table12[Cosco Line],,0)</f>
        <v>AEU</v>
      </c>
      <c r="BJ985" s="430"/>
    </row>
    <row r="986" spans="1:62" s="431" customFormat="1" ht="10.5" hidden="1">
      <c r="A986" s="727" t="s">
        <v>6491</v>
      </c>
      <c r="B986" s="726" t="s">
        <v>111</v>
      </c>
      <c r="C986" s="439" t="str">
        <f>IFERROR(LEFT(PV_DATA[[#This Row],[TCL REFERENCE]],FIND(".",PV_DATA[[#This Row],[TCL REFERENCE]],1)-1),"Main Line")</f>
        <v>26Aug009</v>
      </c>
      <c r="D986" s="726" t="s">
        <v>113</v>
      </c>
      <c r="E986" s="439" t="s">
        <v>144</v>
      </c>
      <c r="F986" s="726" t="str" cm="1">
        <f t="array" ref="F986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86" s="439" t="s">
        <v>402</v>
      </c>
      <c r="H986" s="439" t="s">
        <v>670</v>
      </c>
      <c r="I986" s="439" t="s">
        <v>6244</v>
      </c>
      <c r="J986" s="439" t="s">
        <v>670</v>
      </c>
      <c r="K986" s="430" t="s">
        <v>6276</v>
      </c>
      <c r="L986" s="623">
        <v>31</v>
      </c>
      <c r="M986" s="430" t="s">
        <v>4976</v>
      </c>
      <c r="N986" s="1053"/>
      <c r="O986" s="623" t="s">
        <v>4540</v>
      </c>
      <c r="P986" s="623" t="s">
        <v>6492</v>
      </c>
      <c r="Q986" s="619" t="s">
        <v>103</v>
      </c>
      <c r="R986" s="430" t="str">
        <f>_xlfn.XLOOKUP(PV_DATA[[#This Row],[New Ark SKU]],Table9[New Ark SKU],Table9[Connector],,0)</f>
        <v>H4(Com)</v>
      </c>
      <c r="S986" s="433" t="str">
        <f>_xlfn.XLOOKUP(PV_DATA[[#This Row],[New Ark SKU]],Table9[New Ark SKU],Table9[Cable],,0)</f>
        <v>+400mm/-200mm</v>
      </c>
      <c r="T986" s="620">
        <v>620</v>
      </c>
      <c r="U986" s="1038">
        <v>1440</v>
      </c>
      <c r="V986" s="624">
        <f>PV_DATA[[#This Row],[QUANTITY]]*PV_DATA[[#This Row],[WATT]]/1000000</f>
        <v>0.89280000000000004</v>
      </c>
      <c r="W986" s="466">
        <f>PV_DATA[[#This Row],[QUANTITY]]/36</f>
        <v>40</v>
      </c>
      <c r="X986" s="1022">
        <f>PV_DATA[[#This Row],[QUANTITY]]/PV_DATA[[#This Row],[Qty/CT]]</f>
        <v>2</v>
      </c>
      <c r="Y986" s="431" t="s">
        <v>4377</v>
      </c>
      <c r="Z986" s="431" t="str">
        <f t="shared" si="14"/>
        <v>COMPLETED</v>
      </c>
      <c r="AA986" s="450" t="s">
        <v>6493</v>
      </c>
      <c r="AB986" s="626">
        <v>46261</v>
      </c>
      <c r="AC986" s="627">
        <f>IF(PV_DATA[[#This Row],[Pick-Up Date]]&lt;&gt;"",_xlfn.ISOWEEKNUM(PV_DATA[[#This Row],[Pick-Up Date]]),"")</f>
        <v>35</v>
      </c>
      <c r="AD986" s="619" t="s">
        <v>6494</v>
      </c>
      <c r="AE986" s="619"/>
      <c r="AF986" s="619" t="s">
        <v>122</v>
      </c>
      <c r="AG986" s="619" t="s">
        <v>122</v>
      </c>
      <c r="AH986" s="431" t="s">
        <v>105</v>
      </c>
      <c r="AI986" s="719">
        <v>46264</v>
      </c>
      <c r="AJ986" s="441">
        <v>46269</v>
      </c>
      <c r="AK986" s="441">
        <v>46272</v>
      </c>
      <c r="AL986" s="441">
        <v>46305</v>
      </c>
      <c r="AM986" s="441">
        <v>46314</v>
      </c>
      <c r="AN986" s="441">
        <v>46314</v>
      </c>
      <c r="AO986" s="619"/>
      <c r="AP986" s="431" t="s">
        <v>6476</v>
      </c>
      <c r="AQ986" s="628" t="s">
        <v>161</v>
      </c>
      <c r="AR986" s="431" t="s">
        <v>6488</v>
      </c>
      <c r="AS986" s="431" t="s">
        <v>6489</v>
      </c>
      <c r="AT986" s="431" t="s">
        <v>6490</v>
      </c>
      <c r="AU98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</v>
      </c>
      <c r="AV986" s="619"/>
      <c r="AW986" s="626" cm="1">
        <f t="array" ref="AW98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46314</v>
      </c>
      <c r="AX98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86" s="626">
        <f>IF(ISERROR(PV_DATA[[#This Row],[New Ark PO status]]),"",_xlfn.XLOOKUP(PV_DATA[[#This Row],[SPTN-PVHK New Ark PO'#]],New_Ark_Data[Purchase order Number],New_Ark_Data[Estimated time of arrival],"",0))</f>
        <v>46305</v>
      </c>
      <c r="AZ986" s="620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86" s="626">
        <f>IFERROR(PV_DATA[[#This Row],[ODP ETA Port]]+PV_DATA[[#This Row],[Customs/Leg3 Assumption]],"n/a")</f>
        <v>46314</v>
      </c>
      <c r="BB986" s="620">
        <f>YEAR(PV_DATA[[#This Row],[ETA for New Ark update]])</f>
        <v>2026</v>
      </c>
      <c r="BC986" s="619">
        <f>MONTH(PV_DATA[[#This Row],[ETA for New Ark update]])</f>
        <v>10</v>
      </c>
      <c r="BD986" s="619">
        <f>IFERROR(_xlfn.ISOWEEKNUM(PV_DATA[[#This Row],[ETA for New Ark update]]),0)</f>
        <v>43</v>
      </c>
      <c r="BE986" s="619">
        <f>_xlfn.XLOOKUP(PV_DATA[[#This Row],[New Ark SKU]],Table9[New Ark SKU],Table9[Total PCS per Pallet],,0)</f>
        <v>36</v>
      </c>
      <c r="BF986" s="619">
        <f>_xlfn.XLOOKUP(PV_DATA[[#This Row],[New Ark SKU]],Table9[New Ark SKU],Table9[Total PCS per 40HQ Container],,0)</f>
        <v>720</v>
      </c>
      <c r="BG986" s="619" t="str">
        <f>_xlfn.XLOOKUP(PV_DATA[[#This Row],[New Ark SKU]],Table9[New Ark SKU],Table9[Back Glass],,0)</f>
        <v>Redirection Film</v>
      </c>
      <c r="BH986" s="629" t="str">
        <f>_xlfn.XLOOKUP(PV_DATA[[#This Row],[PORT DESTINATION]],Table12[PORT DESTINATION],Table12[Cosco Line],,0)</f>
        <v>AEU</v>
      </c>
    </row>
    <row r="987" spans="1:62" s="431" customFormat="1" ht="10.5" hidden="1">
      <c r="A987" s="727" t="s">
        <v>6495</v>
      </c>
      <c r="B987" s="726" t="s">
        <v>111</v>
      </c>
      <c r="C987" s="439" t="str">
        <f>IFERROR(LEFT(PV_DATA[[#This Row],[TCL REFERENCE]],FIND(".",PV_DATA[[#This Row],[TCL REFERENCE]],1)-1),"Main Line")</f>
        <v>26Jul010</v>
      </c>
      <c r="D987" s="726" t="s">
        <v>63</v>
      </c>
      <c r="E987" s="439" t="s">
        <v>64</v>
      </c>
      <c r="F987" s="726" t="str" cm="1">
        <f t="array" ref="F98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87" s="439" t="s">
        <v>402</v>
      </c>
      <c r="H987" s="439" t="s">
        <v>67</v>
      </c>
      <c r="I987" s="439" t="s">
        <v>1395</v>
      </c>
      <c r="J987" s="431" t="s">
        <v>96</v>
      </c>
      <c r="K987" s="430"/>
      <c r="L987" s="623"/>
      <c r="M987" s="430" t="s">
        <v>68</v>
      </c>
      <c r="N987" s="1053">
        <v>46251</v>
      </c>
      <c r="O987" s="623" t="s">
        <v>5388</v>
      </c>
      <c r="P987" s="623" t="s">
        <v>5389</v>
      </c>
      <c r="Q987" s="619" t="s">
        <v>5390</v>
      </c>
      <c r="R987" s="430" t="str">
        <f>_xlfn.XLOOKUP(PV_DATA[[#This Row],[New Ark SKU]],Table9[New Ark SKU],Table9[Connector],,0)</f>
        <v>EVO2A</v>
      </c>
      <c r="S987" s="433" t="str">
        <f>_xlfn.XLOOKUP(PV_DATA[[#This Row],[New Ark SKU]],Table9[New Ark SKU],Table9[Cable],,0)</f>
        <v>±1200mm</v>
      </c>
      <c r="T987" s="620">
        <v>470</v>
      </c>
      <c r="U987" s="1038">
        <v>1872</v>
      </c>
      <c r="V987" s="624">
        <f>PV_DATA[[#This Row],[QUANTITY]]*PV_DATA[[#This Row],[WATT]]/1000000</f>
        <v>0.87983999999999996</v>
      </c>
      <c r="W987" s="466">
        <f>PV_DATA[[#This Row],[QUANTITY]]/PV_DATA[[#This Row],[Qty/Pallet]]</f>
        <v>52</v>
      </c>
      <c r="X987" s="1022">
        <f>PV_DATA[[#This Row],[QUANTITY]]/PV_DATA[[#This Row],[Qty/CT]]</f>
        <v>2</v>
      </c>
      <c r="Y987" s="431" t="s">
        <v>4377</v>
      </c>
      <c r="Z987" s="431" t="str">
        <f t="shared" si="14"/>
        <v>COMPLETED</v>
      </c>
      <c r="AA987" s="855">
        <v>46260</v>
      </c>
      <c r="AB987" s="626">
        <v>46261</v>
      </c>
      <c r="AC987" s="627">
        <f>IF(PV_DATA[[#This Row],[Pick-Up Date]]&lt;&gt;"",_xlfn.ISOWEEKNUM(PV_DATA[[#This Row],[Pick-Up Date]]),"")</f>
        <v>35</v>
      </c>
      <c r="AD987" s="619" t="s">
        <v>6496</v>
      </c>
      <c r="AE987" s="619"/>
      <c r="AF987" s="619" t="s">
        <v>122</v>
      </c>
      <c r="AG987" s="619" t="s">
        <v>123</v>
      </c>
      <c r="AH987" s="431" t="s">
        <v>105</v>
      </c>
      <c r="AI987" s="719">
        <v>46264</v>
      </c>
      <c r="AJ987" s="441">
        <v>46269</v>
      </c>
      <c r="AK987" s="441">
        <v>46272</v>
      </c>
      <c r="AL987" s="441">
        <v>46305</v>
      </c>
      <c r="AM987" s="441">
        <v>46314</v>
      </c>
      <c r="AN987" s="441">
        <v>46314</v>
      </c>
      <c r="AO987" s="619"/>
      <c r="AP987" s="431" t="s">
        <v>6476</v>
      </c>
      <c r="AQ987" s="628" t="s">
        <v>161</v>
      </c>
      <c r="AR987" s="431" t="s">
        <v>6497</v>
      </c>
      <c r="AS987" s="431" t="s">
        <v>6498</v>
      </c>
      <c r="AT987" s="431" t="s">
        <v>6490</v>
      </c>
      <c r="AU98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</v>
      </c>
      <c r="AV987" s="619"/>
      <c r="AW987" s="626" cm="1">
        <f t="array" ref="AW98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46314</v>
      </c>
      <c r="AX98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87" s="626">
        <f>IF(ISERROR(PV_DATA[[#This Row],[New Ark PO status]]),"",_xlfn.XLOOKUP(PV_DATA[[#This Row],[SPTN-PVHK New Ark PO'#]],New_Ark_Data[Purchase order Number],New_Ark_Data[Estimated time of arrival],"",0))</f>
        <v>46312</v>
      </c>
      <c r="AZ987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87" s="626">
        <f>IFERROR(PV_DATA[[#This Row],[ODP ETA Port]]+PV_DATA[[#This Row],[Customs/Leg3 Assumption]],"n/a")</f>
        <v>46321</v>
      </c>
      <c r="BB987" s="620">
        <f>YEAR(PV_DATA[[#This Row],[ETA for New Ark update]])</f>
        <v>2026</v>
      </c>
      <c r="BC987" s="619">
        <f>MONTH(PV_DATA[[#This Row],[ETA for New Ark update]])</f>
        <v>10</v>
      </c>
      <c r="BD987" s="619">
        <f>IFERROR(_xlfn.ISOWEEKNUM(PV_DATA[[#This Row],[ETA for New Ark update]]),0)</f>
        <v>44</v>
      </c>
      <c r="BE987" s="619">
        <f>_xlfn.XLOOKUP(PV_DATA[[#This Row],[New Ark SKU]],Table9[New Ark SKU],Table9[Total PCS per Pallet],,0)</f>
        <v>36</v>
      </c>
      <c r="BF987" s="619">
        <f>_xlfn.XLOOKUP(PV_DATA[[#This Row],[New Ark SKU]],Table9[New Ark SKU],Table9[Total PCS per 40HQ Container],,0)</f>
        <v>936</v>
      </c>
      <c r="BG987" s="619" t="str">
        <f>_xlfn.XLOOKUP(PV_DATA[[#This Row],[New Ark SKU]],Table9[New Ark SKU],Table9[Back Glass],,0)</f>
        <v>Black glazing</v>
      </c>
      <c r="BH987" s="629" t="str">
        <f>_xlfn.XLOOKUP(PV_DATA[[#This Row],[PORT DESTINATION]],Table12[PORT DESTINATION],Table12[Cosco Line],,0)</f>
        <v>AEU</v>
      </c>
    </row>
    <row r="988" spans="1:62" ht="10.5" hidden="1">
      <c r="A988" s="729" t="s">
        <v>6499</v>
      </c>
      <c r="B988" s="462" t="s">
        <v>111</v>
      </c>
      <c r="C988" s="462" t="str">
        <f>IFERROR(LEFT(PV_DATA[[#This Row],[TCL REFERENCE]],FIND(".",PV_DATA[[#This Row],[TCL REFERENCE]],1)-1),"Main Line")</f>
        <v>26Aug009</v>
      </c>
      <c r="D988" s="462" t="s">
        <v>113</v>
      </c>
      <c r="E988" s="462" t="s">
        <v>144</v>
      </c>
      <c r="F988" s="462" t="str" cm="1">
        <f t="array" ref="F98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88" s="462" t="s">
        <v>402</v>
      </c>
      <c r="H988" s="462" t="s">
        <v>670</v>
      </c>
      <c r="I988" s="462" t="s">
        <v>6244</v>
      </c>
      <c r="J988" s="462" t="s">
        <v>670</v>
      </c>
      <c r="K988" s="430" t="s">
        <v>5901</v>
      </c>
      <c r="L988" s="430">
        <v>34</v>
      </c>
      <c r="M988" s="430" t="s">
        <v>4976</v>
      </c>
      <c r="N988" s="432"/>
      <c r="O988" s="430" t="s">
        <v>4540</v>
      </c>
      <c r="P988" s="430" t="s">
        <v>6492</v>
      </c>
      <c r="Q988" s="430" t="s">
        <v>103</v>
      </c>
      <c r="R988" s="430" t="str">
        <f>_xlfn.XLOOKUP(PV_DATA[[#This Row],[New Ark SKU]],Table9[New Ark SKU],Table9[Connector],,0)</f>
        <v>H4(Com)</v>
      </c>
      <c r="S988" s="433" t="str">
        <f>_xlfn.XLOOKUP(PV_DATA[[#This Row],[New Ark SKU]],Table9[New Ark SKU],Table9[Cable],,0)</f>
        <v>+400mm/-200mm</v>
      </c>
      <c r="T988" s="433">
        <v>620</v>
      </c>
      <c r="U988" s="1062">
        <v>2160</v>
      </c>
      <c r="V988" s="434">
        <f>PV_DATA[[#This Row],[QUANTITY]]*PV_DATA[[#This Row],[WATT]]/1000000</f>
        <v>1.3391999999999999</v>
      </c>
      <c r="W988" s="969">
        <f>PV_DATA[[#This Row],[QUANTITY]]/36</f>
        <v>60</v>
      </c>
      <c r="X988" s="1015">
        <f>PV_DATA[[#This Row],[QUANTITY]]/720</f>
        <v>3</v>
      </c>
      <c r="Y988" s="430" t="s">
        <v>4377</v>
      </c>
      <c r="Z988" s="430" t="str">
        <f t="shared" si="14"/>
        <v>COMPLETED</v>
      </c>
      <c r="AA988" s="545">
        <v>46261</v>
      </c>
      <c r="AB988" s="437">
        <v>46267</v>
      </c>
      <c r="AC988" s="485">
        <f>IF(PV_DATA[[#This Row],[Pick-Up Date]]&lt;&gt;"",_xlfn.ISOWEEKNUM(PV_DATA[[#This Row],[Pick-Up Date]]),"")</f>
        <v>36</v>
      </c>
      <c r="AD988" s="430" t="s">
        <v>6500</v>
      </c>
      <c r="AE988" s="430"/>
      <c r="AF988" s="430" t="s">
        <v>122</v>
      </c>
      <c r="AG988" s="430" t="s">
        <v>122</v>
      </c>
      <c r="AH988" s="430" t="s">
        <v>105</v>
      </c>
      <c r="AI988" s="437">
        <v>46270</v>
      </c>
      <c r="AJ988" s="437">
        <v>46275</v>
      </c>
      <c r="AK988" s="437">
        <v>46274</v>
      </c>
      <c r="AL988" s="437">
        <v>46302</v>
      </c>
      <c r="AM988" s="441">
        <v>46316</v>
      </c>
      <c r="AN988" s="437">
        <v>46317</v>
      </c>
      <c r="AP988" s="430" t="s">
        <v>6458</v>
      </c>
      <c r="AQ988" s="438" t="s">
        <v>161</v>
      </c>
      <c r="AR988" s="430" t="s">
        <v>6501</v>
      </c>
      <c r="AS988" s="430" t="s">
        <v>6502</v>
      </c>
      <c r="AT988" s="430" t="s">
        <v>6502</v>
      </c>
      <c r="AU98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</v>
      </c>
      <c r="AW988" s="437" cm="1">
        <f t="array" ref="AW98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46317</v>
      </c>
      <c r="AX98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988" s="437" t="str">
        <f>IF(ISERROR(PV_DATA[[#This Row],[New Ark PO status]]),"",_xlfn.XLOOKUP(PV_DATA[[#This Row],[SPTN-PVHK New Ark PO'#]],New_Ark_Data[Purchase order Number],New_Ark_Data[Estimated time of arrival],"",0))</f>
        <v/>
      </c>
      <c r="AZ988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88" s="437">
        <f>IFERROR(PV_DATA[[#This Row],[ODP ETA Port]]+PV_DATA[[#This Row],[Customs/Leg3 Assumption]],"n/a")</f>
        <v>46317</v>
      </c>
      <c r="BB988" s="433">
        <f>YEAR(PV_DATA[[#This Row],[ETA for New Ark update]])</f>
        <v>2026</v>
      </c>
      <c r="BC988" s="430">
        <f>MONTH(PV_DATA[[#This Row],[ETA for New Ark update]])</f>
        <v>10</v>
      </c>
      <c r="BD988" s="430">
        <f>IFERROR(_xlfn.ISOWEEKNUM(PV_DATA[[#This Row],[ETA for New Ark update]]),0)</f>
        <v>43</v>
      </c>
      <c r="BE988" s="430">
        <f>_xlfn.XLOOKUP(PV_DATA[[#This Row],[New Ark SKU]],Table9[New Ark SKU],Table9[Total PCS per Pallet],,0)</f>
        <v>36</v>
      </c>
      <c r="BF988" s="430">
        <f>_xlfn.XLOOKUP(PV_DATA[[#This Row],[New Ark SKU]],Table9[New Ark SKU],Table9[Total PCS per 40HQ Container],,0)</f>
        <v>720</v>
      </c>
      <c r="BG988" s="430" t="str">
        <f>_xlfn.XLOOKUP(PV_DATA[[#This Row],[New Ark SKU]],Table9[New Ark SKU],Table9[Back Glass],,0)</f>
        <v>Redirection Film</v>
      </c>
      <c r="BH988" s="610" t="str">
        <f>_xlfn.XLOOKUP(PV_DATA[[#This Row],[PORT DESTINATION]],Table12[PORT DESTINATION],Table12[Cosco Line],,0)</f>
        <v>AEU</v>
      </c>
      <c r="BJ988" s="430"/>
    </row>
    <row r="989" spans="1:62" ht="10.5" hidden="1">
      <c r="A989" s="941" t="s">
        <v>6503</v>
      </c>
      <c r="B989" s="935" t="s">
        <v>111</v>
      </c>
      <c r="C989" s="462" t="str">
        <f>IFERROR(LEFT(PV_DATA[[#This Row],[TCL REFERENCE]],FIND(".",PV_DATA[[#This Row],[TCL REFERENCE]],1)-1),"Main Line")</f>
        <v>26Aug025</v>
      </c>
      <c r="D989" s="935" t="s">
        <v>113</v>
      </c>
      <c r="E989" s="462" t="s">
        <v>144</v>
      </c>
      <c r="F989" s="935" t="str" cm="1">
        <f t="array" ref="F98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89" s="462" t="s">
        <v>402</v>
      </c>
      <c r="H989" s="462" t="s">
        <v>670</v>
      </c>
      <c r="I989" s="462" t="s">
        <v>6244</v>
      </c>
      <c r="J989" s="462" t="s">
        <v>670</v>
      </c>
      <c r="K989" s="623" t="s">
        <v>6276</v>
      </c>
      <c r="L989" s="623">
        <v>30</v>
      </c>
      <c r="M989" s="430" t="s">
        <v>4976</v>
      </c>
      <c r="N989" s="1053"/>
      <c r="O989" s="623" t="s">
        <v>4540</v>
      </c>
      <c r="P989" s="623" t="s">
        <v>6470</v>
      </c>
      <c r="Q989" s="623" t="s">
        <v>4607</v>
      </c>
      <c r="R989" s="430" t="str">
        <f>_xlfn.XLOOKUP(PV_DATA[[#This Row],[New Ark SKU]],Table9[New Ark SKU],Table9[Connector],,0)</f>
        <v>H4(Com)</v>
      </c>
      <c r="S989" s="433" t="str">
        <f>_xlfn.XLOOKUP(PV_DATA[[#This Row],[New Ark SKU]],Table9[New Ark SKU],Table9[Cable],,0)</f>
        <v>+400mm/-200mm</v>
      </c>
      <c r="T989" s="964">
        <v>630</v>
      </c>
      <c r="U989" s="1062">
        <v>720</v>
      </c>
      <c r="V989" s="965">
        <f>PV_DATA[[#This Row],[QUANTITY]]*PV_DATA[[#This Row],[WATT]]/1000000</f>
        <v>0.4536</v>
      </c>
      <c r="W989" s="435">
        <f>PV_DATA[[#This Row],[QUANTITY]]/36</f>
        <v>20</v>
      </c>
      <c r="X989" s="1153">
        <f>PV_DATA[[#This Row],[QUANTITY]]/PV_DATA[[#This Row],[Qty/CT]]</f>
        <v>1</v>
      </c>
      <c r="Y989" s="430" t="s">
        <v>4377</v>
      </c>
      <c r="Z989" s="430" t="str">
        <f t="shared" si="14"/>
        <v>COMPLETED</v>
      </c>
      <c r="AA989" s="623"/>
      <c r="AB989" s="966">
        <v>46267</v>
      </c>
      <c r="AC989" s="1154">
        <f>IF(PV_DATA[[#This Row],[Pick-Up Date]]&lt;&gt;"",_xlfn.ISOWEEKNUM(PV_DATA[[#This Row],[Pick-Up Date]]),"")</f>
        <v>36</v>
      </c>
      <c r="AD989" s="623" t="s">
        <v>6504</v>
      </c>
      <c r="AE989" s="623"/>
      <c r="AF989" s="623" t="s">
        <v>122</v>
      </c>
      <c r="AG989" s="623" t="s">
        <v>122</v>
      </c>
      <c r="AH989" s="430" t="s">
        <v>105</v>
      </c>
      <c r="AI989" s="966">
        <v>46270</v>
      </c>
      <c r="AJ989" s="437">
        <v>46275</v>
      </c>
      <c r="AK989" s="437">
        <v>46274</v>
      </c>
      <c r="AL989" s="966">
        <v>46302</v>
      </c>
      <c r="AM989" s="441">
        <v>46316</v>
      </c>
      <c r="AN989" s="437">
        <v>46317</v>
      </c>
      <c r="AO989" s="623"/>
      <c r="AP989" s="430" t="s">
        <v>6458</v>
      </c>
      <c r="AQ989" s="438" t="s">
        <v>161</v>
      </c>
      <c r="AR989" s="430" t="s">
        <v>6501</v>
      </c>
      <c r="AS989" s="430" t="s">
        <v>6502</v>
      </c>
      <c r="AT989" s="430" t="s">
        <v>6502</v>
      </c>
      <c r="AU98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</v>
      </c>
      <c r="AV989" s="623"/>
      <c r="AW989" s="966" cm="1">
        <f t="array" ref="AW98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46317</v>
      </c>
      <c r="AX98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989" s="966" t="str">
        <f>IF(ISERROR(PV_DATA[[#This Row],[New Ark PO status]]),"",_xlfn.XLOOKUP(PV_DATA[[#This Row],[SPTN-PVHK New Ark PO'#]],New_Ark_Data[Purchase order Number],New_Ark_Data[Estimated time of arrival],"",0))</f>
        <v/>
      </c>
      <c r="AZ989" s="964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89" s="966">
        <f>IFERROR(PV_DATA[[#This Row],[ODP ETA Port]]+PV_DATA[[#This Row],[Customs/Leg3 Assumption]],"n/a")</f>
        <v>46317</v>
      </c>
      <c r="BB989" s="433">
        <f>YEAR(PV_DATA[[#This Row],[ETA for New Ark update]])</f>
        <v>2026</v>
      </c>
      <c r="BC989" s="430">
        <f>MONTH(PV_DATA[[#This Row],[ETA for New Ark update]])</f>
        <v>10</v>
      </c>
      <c r="BD989" s="623">
        <f>IFERROR(_xlfn.ISOWEEKNUM(PV_DATA[[#This Row],[ETA for New Ark update]]),0)</f>
        <v>43</v>
      </c>
      <c r="BE989" s="623">
        <f>_xlfn.XLOOKUP(PV_DATA[[#This Row],[New Ark SKU]],Table9[New Ark SKU],Table9[Total PCS per Pallet],,0)</f>
        <v>36</v>
      </c>
      <c r="BF989" s="623">
        <f>_xlfn.XLOOKUP(PV_DATA[[#This Row],[New Ark SKU]],Table9[New Ark SKU],Table9[Total PCS per 40HQ Container],,0)</f>
        <v>720</v>
      </c>
      <c r="BG989" s="623" t="str">
        <f>_xlfn.XLOOKUP(PV_DATA[[#This Row],[New Ark SKU]],Table9[New Ark SKU],Table9[Back Glass],,0)</f>
        <v>Redirection Film</v>
      </c>
      <c r="BH989" s="967" t="str">
        <f>_xlfn.XLOOKUP(PV_DATA[[#This Row],[PORT DESTINATION]],Table12[PORT DESTINATION],Table12[Cosco Line],,0)</f>
        <v>AEU</v>
      </c>
      <c r="BJ989" s="430"/>
    </row>
    <row r="990" spans="1:62" ht="10.5" hidden="1">
      <c r="A990" s="941" t="s">
        <v>6505</v>
      </c>
      <c r="B990" s="935" t="s">
        <v>111</v>
      </c>
      <c r="C990" s="462" t="str">
        <f>IFERROR(LEFT(PV_DATA[[#This Row],[TCL REFERENCE]],FIND(".",PV_DATA[[#This Row],[TCL REFERENCE]],1)-1),"Main Line")</f>
        <v>26Jul010</v>
      </c>
      <c r="D990" s="935" t="s">
        <v>63</v>
      </c>
      <c r="E990" s="462" t="s">
        <v>64</v>
      </c>
      <c r="F990" s="935" t="str" cm="1">
        <f t="array" ref="F99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990" s="462" t="s">
        <v>402</v>
      </c>
      <c r="H990" s="462" t="s">
        <v>67</v>
      </c>
      <c r="I990" s="462" t="s">
        <v>1395</v>
      </c>
      <c r="J990" s="430" t="s">
        <v>96</v>
      </c>
      <c r="K990" s="430"/>
      <c r="L990" s="623"/>
      <c r="M990" s="430" t="s">
        <v>68</v>
      </c>
      <c r="N990" s="1053">
        <v>46251</v>
      </c>
      <c r="O990" s="623" t="s">
        <v>5388</v>
      </c>
      <c r="P990" s="623" t="s">
        <v>5389</v>
      </c>
      <c r="Q990" s="623" t="s">
        <v>5390</v>
      </c>
      <c r="R990" s="430" t="str">
        <f>_xlfn.XLOOKUP(PV_DATA[[#This Row],[New Ark SKU]],Table9[New Ark SKU],Table9[Connector],,0)</f>
        <v>EVO2A</v>
      </c>
      <c r="S990" s="433" t="str">
        <f>_xlfn.XLOOKUP(PV_DATA[[#This Row],[New Ark SKU]],Table9[New Ark SKU],Table9[Cable],,0)</f>
        <v>±1200mm</v>
      </c>
      <c r="T990" s="964">
        <v>470</v>
      </c>
      <c r="U990" s="1074">
        <v>1872</v>
      </c>
      <c r="V990" s="965">
        <f>PV_DATA[[#This Row],[QUANTITY]]*PV_DATA[[#This Row],[WATT]]/1000000</f>
        <v>0.87983999999999996</v>
      </c>
      <c r="W990" s="435">
        <f>PV_DATA[[#This Row],[QUANTITY]]/PV_DATA[[#This Row],[Qty/Pallet]]</f>
        <v>52</v>
      </c>
      <c r="X990" s="1153">
        <f>PV_DATA[[#This Row],[QUANTITY]]/PV_DATA[[#This Row],[Qty/CT]]</f>
        <v>2</v>
      </c>
      <c r="Y990" s="430" t="s">
        <v>4377</v>
      </c>
      <c r="Z990" s="430" t="str">
        <f t="shared" si="14"/>
        <v>COMPLETED</v>
      </c>
      <c r="AA990" s="1051">
        <v>46260</v>
      </c>
      <c r="AB990" s="966">
        <v>46267</v>
      </c>
      <c r="AC990" s="1154">
        <f>IF(PV_DATA[[#This Row],[Pick-Up Date]]&lt;&gt;"",_xlfn.ISOWEEKNUM(PV_DATA[[#This Row],[Pick-Up Date]]),"")</f>
        <v>36</v>
      </c>
      <c r="AD990" s="623" t="s">
        <v>6506</v>
      </c>
      <c r="AE990" s="623"/>
      <c r="AF990" s="623" t="s">
        <v>122</v>
      </c>
      <c r="AG990" s="623" t="s">
        <v>123</v>
      </c>
      <c r="AH990" s="430" t="s">
        <v>105</v>
      </c>
      <c r="AI990" s="966">
        <v>46270</v>
      </c>
      <c r="AJ990" s="437">
        <v>46275</v>
      </c>
      <c r="AK990" s="437">
        <v>46274</v>
      </c>
      <c r="AL990" s="966">
        <v>46302</v>
      </c>
      <c r="AM990" s="441">
        <v>46316</v>
      </c>
      <c r="AN990" s="437">
        <v>46317</v>
      </c>
      <c r="AO990" s="623"/>
      <c r="AP990" s="623" t="s">
        <v>6458</v>
      </c>
      <c r="AQ990" s="438" t="s">
        <v>161</v>
      </c>
      <c r="AR990" s="623" t="s">
        <v>6507</v>
      </c>
      <c r="AS990" s="623" t="s">
        <v>6508</v>
      </c>
      <c r="AT990" s="430" t="s">
        <v>6502</v>
      </c>
      <c r="AU99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</v>
      </c>
      <c r="AV990" s="623"/>
      <c r="AW990" s="966" cm="1">
        <f t="array" ref="AW99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46317</v>
      </c>
      <c r="AX99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990" s="966" t="str">
        <f>IF(ISERROR(PV_DATA[[#This Row],[New Ark PO status]]),"",_xlfn.XLOOKUP(PV_DATA[[#This Row],[SPTN-PVHK New Ark PO'#]],New_Ark_Data[Purchase order Number],New_Ark_Data[Estimated time of arrival],"",0))</f>
        <v/>
      </c>
      <c r="AZ990" s="964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990" s="966">
        <f>IFERROR(PV_DATA[[#This Row],[ODP ETA Port]]+PV_DATA[[#This Row],[Customs/Leg3 Assumption]],"n/a")</f>
        <v>46324</v>
      </c>
      <c r="BB990" s="964">
        <f>YEAR(PV_DATA[[#This Row],[ETA for New Ark update]])</f>
        <v>2026</v>
      </c>
      <c r="BC990" s="623">
        <f>MONTH(PV_DATA[[#This Row],[ETA for New Ark update]])</f>
        <v>10</v>
      </c>
      <c r="BD990" s="623">
        <f>IFERROR(_xlfn.ISOWEEKNUM(PV_DATA[[#This Row],[ETA for New Ark update]]),0)</f>
        <v>44</v>
      </c>
      <c r="BE990" s="623">
        <f>_xlfn.XLOOKUP(PV_DATA[[#This Row],[New Ark SKU]],Table9[New Ark SKU],Table9[Total PCS per Pallet],,0)</f>
        <v>36</v>
      </c>
      <c r="BF990" s="623">
        <f>_xlfn.XLOOKUP(PV_DATA[[#This Row],[New Ark SKU]],Table9[New Ark SKU],Table9[Total PCS per 40HQ Container],,0)</f>
        <v>936</v>
      </c>
      <c r="BG990" s="623" t="str">
        <f>_xlfn.XLOOKUP(PV_DATA[[#This Row],[New Ark SKU]],Table9[New Ark SKU],Table9[Back Glass],,0)</f>
        <v>Black glazing</v>
      </c>
      <c r="BH990" s="967" t="str">
        <f>_xlfn.XLOOKUP(PV_DATA[[#This Row],[PORT DESTINATION]],Table12[PORT DESTINATION],Table12[Cosco Line],,0)</f>
        <v>AEU</v>
      </c>
      <c r="BJ990" s="430"/>
    </row>
    <row r="991" spans="1:62" ht="10.5" hidden="1">
      <c r="A991" s="462" t="s">
        <v>6509</v>
      </c>
      <c r="B991" s="462" t="s">
        <v>111</v>
      </c>
      <c r="C991" s="462" t="str">
        <f>IFERROR(LEFT(PV_DATA[[#This Row],[TCL REFERENCE]],FIND(".",PV_DATA[[#This Row],[TCL REFERENCE]],1)-1),"Main Line")</f>
        <v>26Jun015</v>
      </c>
      <c r="D991" s="462" t="s">
        <v>63</v>
      </c>
      <c r="E991" s="462" t="s">
        <v>144</v>
      </c>
      <c r="F991" s="462" t="str" cm="1">
        <f t="array" ref="F99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91" s="462" t="s">
        <v>402</v>
      </c>
      <c r="H991" s="462" t="s">
        <v>1080</v>
      </c>
      <c r="I991" s="462" t="s">
        <v>689</v>
      </c>
      <c r="J991" s="430" t="s">
        <v>1080</v>
      </c>
      <c r="K991" s="430" t="s">
        <v>5408</v>
      </c>
      <c r="L991" s="430">
        <v>4</v>
      </c>
      <c r="M991" s="430" t="s">
        <v>4976</v>
      </c>
      <c r="N991" s="432">
        <v>46202</v>
      </c>
      <c r="O991" s="430" t="s">
        <v>5388</v>
      </c>
      <c r="P991" s="430" t="s">
        <v>5409</v>
      </c>
      <c r="Q991" s="430" t="s">
        <v>5410</v>
      </c>
      <c r="R991" s="430" t="str">
        <f>_xlfn.XLOOKUP(PV_DATA[[#This Row],[New Ark SKU]],Table9[New Ark SKU],Table9[Connector],,0)</f>
        <v>EVO2A</v>
      </c>
      <c r="S991" s="433" t="str">
        <f>_xlfn.XLOOKUP(PV_DATA[[#This Row],[New Ark SKU]],Table9[New Ark SKU],Table9[Cable],,0)</f>
        <v>±1200mm</v>
      </c>
      <c r="T991" s="433">
        <v>465</v>
      </c>
      <c r="U991" s="1062">
        <v>936</v>
      </c>
      <c r="V991" s="434">
        <f>PV_DATA[[#This Row],[QUANTITY]]*PV_DATA[[#This Row],[WATT]]/1000000</f>
        <v>0.43524000000000002</v>
      </c>
      <c r="W991" s="435">
        <f>PV_DATA[[#This Row],[QUANTITY]]/PV_DATA[[#This Row],[Qty/Pallet]]</f>
        <v>26</v>
      </c>
      <c r="X991" s="1015">
        <f>PV_DATA[[#This Row],[QUANTITY]]/PV_DATA[[#This Row],[Qty/CT]]</f>
        <v>1</v>
      </c>
      <c r="Y991" s="430" t="s">
        <v>6510</v>
      </c>
      <c r="Z991" s="430" t="str">
        <f t="shared" si="14"/>
        <v>COMPLETED</v>
      </c>
      <c r="AA991" s="430" t="s">
        <v>6511</v>
      </c>
      <c r="AB991" s="437">
        <v>46267</v>
      </c>
      <c r="AC991" s="485"/>
      <c r="AD991" s="430" t="s">
        <v>6512</v>
      </c>
      <c r="AE991" s="430"/>
      <c r="AF991" s="430" t="s">
        <v>122</v>
      </c>
      <c r="AG991" s="430" t="s">
        <v>123</v>
      </c>
      <c r="AH991" s="430" t="s">
        <v>105</v>
      </c>
      <c r="AI991" s="437">
        <v>46270</v>
      </c>
      <c r="AJ991" s="437">
        <v>46275</v>
      </c>
      <c r="AK991" s="437">
        <v>46274</v>
      </c>
      <c r="AL991" s="437">
        <v>46302</v>
      </c>
      <c r="AM991" s="441">
        <v>46316</v>
      </c>
      <c r="AN991" s="437">
        <v>46317</v>
      </c>
      <c r="AP991" s="430" t="s">
        <v>6458</v>
      </c>
      <c r="AQ991" s="430" t="s">
        <v>161</v>
      </c>
      <c r="AR991" s="430" t="s">
        <v>6513</v>
      </c>
      <c r="AS991" s="430" t="s">
        <v>6514</v>
      </c>
      <c r="AT991" s="430" t="s">
        <v>6502</v>
      </c>
      <c r="AU99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</v>
      </c>
      <c r="AW991" s="437" cm="1">
        <f t="array" ref="AW99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46317</v>
      </c>
      <c r="AX99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991" s="437" t="str">
        <f>IF(ISERROR(PV_DATA[[#This Row],[New Ark PO status]]),"",_xlfn.XLOOKUP(PV_DATA[[#This Row],[SPTN-PVHK New Ark PO'#]],New_Ark_Data[Purchase order Number],New_Ark_Data[Estimated time of arrival],"",0))</f>
        <v/>
      </c>
      <c r="AZ991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91" s="437">
        <f>IFERROR(PV_DATA[[#This Row],[ODP ETA Port]]+PV_DATA[[#This Row],[Customs/Leg3 Assumption]],"n/a")</f>
        <v>46317</v>
      </c>
      <c r="BB991" s="433">
        <f>YEAR(PV_DATA[[#This Row],[ETA for New Ark update]])</f>
        <v>2026</v>
      </c>
      <c r="BC991" s="430">
        <f>MONTH(PV_DATA[[#This Row],[ETA for New Ark update]])</f>
        <v>10</v>
      </c>
      <c r="BD991" s="430">
        <f>IFERROR(_xlfn.ISOWEEKNUM(PV_DATA[[#This Row],[ETA for New Ark update]]),0)</f>
        <v>43</v>
      </c>
      <c r="BE991" s="430">
        <f>_xlfn.XLOOKUP(PV_DATA[[#This Row],[New Ark SKU]],Table9[New Ark SKU],Table9[Total PCS per Pallet],,0)</f>
        <v>36</v>
      </c>
      <c r="BF991" s="430">
        <f>_xlfn.XLOOKUP(PV_DATA[[#This Row],[New Ark SKU]],Table9[New Ark SKU],Table9[Total PCS per 40HQ Container],,0)</f>
        <v>936</v>
      </c>
      <c r="BG991" s="430" t="str">
        <f>_xlfn.XLOOKUP(PV_DATA[[#This Row],[New Ark SKU]],Table9[New Ark SKU],Table9[Back Glass],,0)</f>
        <v>Black glazing</v>
      </c>
      <c r="BH991" s="430" t="str">
        <f>_xlfn.XLOOKUP(PV_DATA[[#This Row],[PORT DESTINATION]],Table12[PORT DESTINATION],Table12[Cosco Line],,0)</f>
        <v>AEU</v>
      </c>
      <c r="BJ991" s="430"/>
    </row>
    <row r="992" spans="1:62" ht="11.15" hidden="1" customHeight="1">
      <c r="A992" s="462" t="s">
        <v>6515</v>
      </c>
      <c r="B992" s="462" t="s">
        <v>111</v>
      </c>
      <c r="C992" s="462" t="str">
        <f>IFERROR(LEFT(PV_DATA[[#This Row],[TCL REFERENCE]],FIND(".",PV_DATA[[#This Row],[TCL REFERENCE]],1)-1),"Main Line")</f>
        <v>26Aug010</v>
      </c>
      <c r="D992" s="462" t="s">
        <v>113</v>
      </c>
      <c r="E992" s="462" t="s">
        <v>144</v>
      </c>
      <c r="F992" s="935" t="str" cm="1">
        <f t="array" ref="F99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992" s="935" t="s">
        <v>402</v>
      </c>
      <c r="H992" s="462" t="s">
        <v>6516</v>
      </c>
      <c r="I992" s="462" t="s">
        <v>1395</v>
      </c>
      <c r="J992" s="462" t="s">
        <v>6516</v>
      </c>
      <c r="K992" s="430" t="s">
        <v>6517</v>
      </c>
      <c r="L992" s="430">
        <v>1</v>
      </c>
      <c r="M992" s="430" t="s">
        <v>840</v>
      </c>
      <c r="N992" s="432"/>
      <c r="O992" s="430" t="s">
        <v>4540</v>
      </c>
      <c r="P992" s="430" t="s">
        <v>6245</v>
      </c>
      <c r="Q992" s="430" t="s">
        <v>330</v>
      </c>
      <c r="R992" s="430" t="str">
        <f>_xlfn.XLOOKUP(PV_DATA[[#This Row],[New Ark SKU]],Table9[New Ark SKU],Table9[Connector],,0)</f>
        <v>H4(Com)</v>
      </c>
      <c r="S992" s="433" t="str">
        <f>_xlfn.XLOOKUP(PV_DATA[[#This Row],[New Ark SKU]],Table9[New Ark SKU],Table9[Cable],,0)</f>
        <v>+400mm/-200mm</v>
      </c>
      <c r="T992" s="433">
        <v>625</v>
      </c>
      <c r="U992" s="1062">
        <f>720*11</f>
        <v>7920</v>
      </c>
      <c r="V992" s="434">
        <f>PV_DATA[[#This Row],[QUANTITY]]*PV_DATA[[#This Row],[WATT]]/1000000</f>
        <v>4.95</v>
      </c>
      <c r="W992" s="969">
        <f>PV_DATA[[#This Row],[QUANTITY]]/36</f>
        <v>220</v>
      </c>
      <c r="X992" s="1015">
        <f>PV_DATA[[#This Row],[QUANTITY]]/PV_DATA[[#This Row],[Qty/CT]]</f>
        <v>11</v>
      </c>
      <c r="Y992" s="430" t="s">
        <v>6510</v>
      </c>
      <c r="Z992" s="430" t="str">
        <f t="shared" si="14"/>
        <v>IN-TRANSIT</v>
      </c>
      <c r="AA992" s="545">
        <v>46263</v>
      </c>
      <c r="AB992" s="437">
        <v>46264</v>
      </c>
      <c r="AC992" s="485">
        <f>IF(PV_DATA[[#This Row],[Pick-Up Date]]&lt;&gt;"",_xlfn.ISOWEEKNUM(PV_DATA[[#This Row],[Pick-Up Date]]),"")</f>
        <v>35</v>
      </c>
      <c r="AD992" s="430" t="s">
        <v>6518</v>
      </c>
      <c r="AE992" s="430"/>
      <c r="AF992" s="430" t="s">
        <v>122</v>
      </c>
      <c r="AG992" s="430" t="s">
        <v>122</v>
      </c>
      <c r="AH992" s="430" t="s">
        <v>6519</v>
      </c>
      <c r="AI992" s="437">
        <v>46276</v>
      </c>
      <c r="AJ992" s="437">
        <v>46273</v>
      </c>
      <c r="AK992" s="437">
        <v>46273</v>
      </c>
      <c r="AL992" s="437">
        <v>46314</v>
      </c>
      <c r="AM992" s="437">
        <v>46328</v>
      </c>
      <c r="AN992" s="588"/>
      <c r="AP992" s="430" t="s">
        <v>6520</v>
      </c>
      <c r="AQ992" s="438" t="s">
        <v>161</v>
      </c>
      <c r="AR992" s="430" t="s">
        <v>6521</v>
      </c>
      <c r="AS992" s="430" t="s">
        <v>6522</v>
      </c>
      <c r="AT992" s="430" t="s">
        <v>6522</v>
      </c>
      <c r="AU99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55</v>
      </c>
      <c r="AW992" s="437" cm="1">
        <f t="array" ref="AW99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46328</v>
      </c>
      <c r="AX99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992" s="437">
        <f>IF(ISERROR(PV_DATA[[#This Row],[New Ark PO status]]),"",_xlfn.XLOOKUP(PV_DATA[[#This Row],[SPTN-PVHK New Ark PO'#]],New_Ark_Data[Purchase order Number],New_Ark_Data[Estimated time of arrival],"",0))</f>
        <v>46314</v>
      </c>
      <c r="AZ992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992" s="437">
        <f>IFERROR(PV_DATA[[#This Row],[ODP ETA Port]]+PV_DATA[[#This Row],[Customs/Leg3 Assumption]],"n/a")</f>
        <v>46328</v>
      </c>
      <c r="BB992" s="433" t="s">
        <v>6325</v>
      </c>
      <c r="BC992" s="433" t="s">
        <v>6325</v>
      </c>
      <c r="BD992" s="430">
        <f>IFERROR(_xlfn.ISOWEEKNUM(PV_DATA[[#This Row],[ETA for New Ark update]]),0)</f>
        <v>45</v>
      </c>
      <c r="BE992" s="430">
        <f>_xlfn.XLOOKUP(PV_DATA[[#This Row],[New Ark SKU]],Table9[New Ark SKU],Table9[Total PCS per Pallet],,0)</f>
        <v>36</v>
      </c>
      <c r="BF992" s="430">
        <f>_xlfn.XLOOKUP(PV_DATA[[#This Row],[New Ark SKU]],Table9[New Ark SKU],Table9[Total PCS per 40HQ Container],,0)</f>
        <v>720</v>
      </c>
      <c r="BG992" s="430" t="str">
        <f>_xlfn.XLOOKUP(PV_DATA[[#This Row],[New Ark SKU]],Table9[New Ark SKU],Table9[Back Glass],,0)</f>
        <v>Redirection Film</v>
      </c>
      <c r="BH992" s="610" t="str">
        <f>_xlfn.XLOOKUP(PV_DATA[[#This Row],[PORT DESTINATION]],Table12[PORT DESTINATION],Table12[Cosco Line],,0)</f>
        <v>n/a</v>
      </c>
      <c r="BJ992" s="430"/>
    </row>
    <row r="993" spans="1:62" ht="10.5" hidden="1">
      <c r="A993" s="462" t="s">
        <v>6523</v>
      </c>
      <c r="B993" s="462" t="s">
        <v>111</v>
      </c>
      <c r="C993" s="462" t="str">
        <f>IFERROR(LEFT(PV_DATA[[#This Row],[TCL REFERENCE]],FIND(".",PV_DATA[[#This Row],[TCL REFERENCE]],1)-1),"Main Line")</f>
        <v>26Aug002</v>
      </c>
      <c r="D993" s="462" t="s">
        <v>63</v>
      </c>
      <c r="E993" s="462" t="s">
        <v>64</v>
      </c>
      <c r="F993" s="462" t="str" cm="1">
        <f t="array" ref="F99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993" s="462" t="s">
        <v>402</v>
      </c>
      <c r="H993" s="462" t="s">
        <v>311</v>
      </c>
      <c r="I993" s="462" t="s">
        <v>689</v>
      </c>
      <c r="J993" s="430" t="s">
        <v>96</v>
      </c>
      <c r="K993" s="430"/>
      <c r="L993" s="430"/>
      <c r="M993" s="430" t="s">
        <v>68</v>
      </c>
      <c r="N993" s="432">
        <v>46215</v>
      </c>
      <c r="O993" s="430" t="s">
        <v>550</v>
      </c>
      <c r="P993" s="430" t="s">
        <v>2134</v>
      </c>
      <c r="Q993" s="430" t="s">
        <v>2135</v>
      </c>
      <c r="R993" s="430" t="str">
        <f>_xlfn.XLOOKUP(PV_DATA[[#This Row],[New Ark SKU]],Table9[New Ark SKU],Table9[Connector],,0)</f>
        <v>EVO2A</v>
      </c>
      <c r="S993" s="433" t="str">
        <f>_xlfn.XLOOKUP(PV_DATA[[#This Row],[New Ark SKU]],Table9[New Ark SKU],Table9[Cable],,0)</f>
        <v>±1350mm</v>
      </c>
      <c r="T993" s="433">
        <v>515</v>
      </c>
      <c r="U993" s="1062">
        <f>792*6</f>
        <v>4752</v>
      </c>
      <c r="V993" s="434">
        <f>PV_DATA[[#This Row],[QUANTITY]]*PV_DATA[[#This Row],[WATT]]/1000000</f>
        <v>2.4472800000000001</v>
      </c>
      <c r="W993" s="435">
        <f>PV_DATA[[#This Row],[QUANTITY]]/PV_DATA[[#This Row],[Qty/Pallet]]</f>
        <v>132</v>
      </c>
      <c r="X993" s="1015">
        <f>PV_DATA[[#This Row],[QUANTITY]]/PV_DATA[[#This Row],[Qty/CT]]</f>
        <v>6</v>
      </c>
      <c r="Y993" s="430" t="s">
        <v>4376</v>
      </c>
      <c r="Z993" s="430" t="str">
        <f t="shared" si="14"/>
        <v>IN-TRANSIT</v>
      </c>
      <c r="AA993" s="430" t="s">
        <v>5862</v>
      </c>
      <c r="AB993" s="437">
        <v>46265</v>
      </c>
      <c r="AC993" s="485">
        <f>IF(PV_DATA[[#This Row],[Pick-Up Date]]&lt;&gt;"",_xlfn.ISOWEEKNUM(PV_DATA[[#This Row],[Pick-Up Date]]),"")</f>
        <v>36</v>
      </c>
      <c r="AD993" s="430" t="s">
        <v>6524</v>
      </c>
      <c r="AE993" s="430"/>
      <c r="AF993" s="430" t="s">
        <v>122</v>
      </c>
      <c r="AG993" s="430" t="s">
        <v>123</v>
      </c>
      <c r="AH993" s="459" t="s">
        <v>314</v>
      </c>
      <c r="AI993" s="437">
        <v>46274</v>
      </c>
      <c r="AJ993" s="437">
        <f>IFERROR(VLOOKUP(AT993, Vessel!A:D, 4, FALSE), "")</f>
        <v>46273.041666666664</v>
      </c>
      <c r="AK993" s="437">
        <v>46273</v>
      </c>
      <c r="AL993" s="437">
        <v>46316</v>
      </c>
      <c r="AM993" s="1194">
        <f>IFERROR(VLOOKUP(AT993, Vessel!A:H, 8, FALSE), "")</f>
        <v>46330.75</v>
      </c>
      <c r="AN993" s="939" t="str">
        <f>IFERROR(IF(VLOOKUP(AT993,Vessel!A:I,9,FALSE)=0,"",VLOOKUP(AT993,Vessel!A:I,9,FALSE)),"")</f>
        <v/>
      </c>
      <c r="AP993" s="430" t="s">
        <v>6520</v>
      </c>
      <c r="AQ993" s="438" t="s">
        <v>80</v>
      </c>
      <c r="AR993" s="430" t="s">
        <v>6525</v>
      </c>
      <c r="AS993" s="430" t="s">
        <v>6526</v>
      </c>
      <c r="AT993" s="430" t="s">
        <v>6526</v>
      </c>
      <c r="AU99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57.75</v>
      </c>
      <c r="AW993" s="437" cm="1">
        <f t="array" ref="AW99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46330.75</v>
      </c>
      <c r="AX99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93" s="437">
        <f>IF(ISERROR(PV_DATA[[#This Row],[New Ark PO status]]),"",_xlfn.XLOOKUP(PV_DATA[[#This Row],[SPTN-PVHK New Ark PO'#]],New_Ark_Data[Purchase order Number],New_Ark_Data[Estimated time of arrival],"",0))</f>
        <v>46329</v>
      </c>
      <c r="AZ993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993" s="437">
        <f>IFERROR(PV_DATA[[#This Row],[ODP ETA Port]]+PV_DATA[[#This Row],[Customs/Leg3 Assumption]],"n/a")</f>
        <v>46340.75</v>
      </c>
      <c r="BB993" s="433">
        <f>YEAR(PV_DATA[[#This Row],[ETA for New Ark update]])</f>
        <v>2026</v>
      </c>
      <c r="BC993" s="430">
        <f>MONTH(PV_DATA[[#This Row],[ETA for New Ark update]])</f>
        <v>11</v>
      </c>
      <c r="BD993" s="430">
        <f>IFERROR(_xlfn.ISOWEEKNUM(PV_DATA[[#This Row],[ETA for New Ark update]]),0)</f>
        <v>46</v>
      </c>
      <c r="BE993" s="430">
        <f>_xlfn.XLOOKUP(PV_DATA[[#This Row],[New Ark SKU]],Table9[New Ark SKU],Table9[Total PCS per Pallet],,0)</f>
        <v>36</v>
      </c>
      <c r="BF993" s="430">
        <f>_xlfn.XLOOKUP(PV_DATA[[#This Row],[New Ark SKU]],Table9[New Ark SKU],Table9[Total PCS per 40HQ Container],,0)</f>
        <v>792</v>
      </c>
      <c r="BG993" s="430" t="str">
        <f>_xlfn.XLOOKUP(PV_DATA[[#This Row],[New Ark SKU]],Table9[New Ark SKU],Table9[Back Glass],,0)</f>
        <v>Black glazing</v>
      </c>
      <c r="BH993" s="430" t="str">
        <f>_xlfn.XLOOKUP(PV_DATA[[#This Row],[PORT DESTINATION]],Table12[PORT DESTINATION],Table12[Cosco Line],,0)</f>
        <v>AEM</v>
      </c>
      <c r="BJ993" s="430"/>
    </row>
    <row r="994" spans="1:62" ht="10.5" hidden="1">
      <c r="A994" s="462" t="s">
        <v>6527</v>
      </c>
      <c r="B994" s="462" t="s">
        <v>111</v>
      </c>
      <c r="C994" s="462" t="str">
        <f>IFERROR(LEFT(PV_DATA[[#This Row],[TCL REFERENCE]],FIND(".",PV_DATA[[#This Row],[TCL REFERENCE]],1)-1),"Main Line")</f>
        <v>26Jul016</v>
      </c>
      <c r="D994" s="462" t="s">
        <v>63</v>
      </c>
      <c r="E994" s="462" t="s">
        <v>64</v>
      </c>
      <c r="F994" s="462" t="str" cm="1">
        <f t="array" ref="F99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94" s="462" t="s">
        <v>402</v>
      </c>
      <c r="H994" s="462" t="s">
        <v>67</v>
      </c>
      <c r="I994" s="462" t="s">
        <v>689</v>
      </c>
      <c r="J994" s="430" t="s">
        <v>96</v>
      </c>
      <c r="K994" s="430"/>
      <c r="L994" s="430"/>
      <c r="M994" s="430" t="s">
        <v>68</v>
      </c>
      <c r="N994" s="432">
        <v>46237</v>
      </c>
      <c r="O994" s="430" t="s">
        <v>5388</v>
      </c>
      <c r="P994" s="430" t="s">
        <v>5744</v>
      </c>
      <c r="Q994" s="430" t="s">
        <v>5745</v>
      </c>
      <c r="R994" s="430" t="str">
        <f>_xlfn.XLOOKUP(PV_DATA[[#This Row],[New Ark SKU]],Table9[New Ark SKU],Table9[Connector],,0)</f>
        <v>EVO2A</v>
      </c>
      <c r="S994" s="433" t="str">
        <f>_xlfn.XLOOKUP(PV_DATA[[#This Row],[New Ark SKU]],Table9[New Ark SKU],Table9[Cable],,0)</f>
        <v>±1200mm</v>
      </c>
      <c r="T994" s="433">
        <v>475</v>
      </c>
      <c r="U994" s="1062">
        <v>2808</v>
      </c>
      <c r="V994" s="434">
        <f>PV_DATA[[#This Row],[QUANTITY]]*PV_DATA[[#This Row],[WATT]]/1000000</f>
        <v>1.3338000000000001</v>
      </c>
      <c r="W994" s="435">
        <f>PV_DATA[[#This Row],[QUANTITY]]/PV_DATA[[#This Row],[Qty/Pallet]]</f>
        <v>78</v>
      </c>
      <c r="X994" s="1015">
        <f>PV_DATA[[#This Row],[QUANTITY]]/PV_DATA[[#This Row],[Qty/CT]]</f>
        <v>3</v>
      </c>
      <c r="Y994" s="430" t="s">
        <v>4376</v>
      </c>
      <c r="Z994" s="430" t="str">
        <f t="shared" si="14"/>
        <v>COMPLETED</v>
      </c>
      <c r="AA994" s="430" t="s">
        <v>5862</v>
      </c>
      <c r="AB994" s="437">
        <v>46260</v>
      </c>
      <c r="AC994" s="485">
        <f>IF(PV_DATA[[#This Row],[Pick-Up Date]]&lt;&gt;"",_xlfn.ISOWEEKNUM(PV_DATA[[#This Row],[Pick-Up Date]]),"")</f>
        <v>35</v>
      </c>
      <c r="AD994" s="430" t="s">
        <v>6528</v>
      </c>
      <c r="AE994" s="430"/>
      <c r="AF994" s="430" t="s">
        <v>122</v>
      </c>
      <c r="AG994" s="430" t="s">
        <v>123</v>
      </c>
      <c r="AH994" s="430" t="s">
        <v>78</v>
      </c>
      <c r="AI994" s="543">
        <v>46268</v>
      </c>
      <c r="AJ994" s="437">
        <v>46271</v>
      </c>
      <c r="AK994" s="437">
        <f>IFERROR(IF(VLOOKUP(AT994,Vessel!A:F,5,FALSE)=0,"",VLOOKUP(AT994,Vessel!A:F,5,FALSE)),"")</f>
        <v>46270.941423611112</v>
      </c>
      <c r="AL994" s="437">
        <v>46309</v>
      </c>
      <c r="AM994" s="939">
        <f>IFERROR(VLOOKUP(AT994, Vessel!A:H, 8, FALSE), "")</f>
        <v>46310.833333333336</v>
      </c>
      <c r="AN994" s="939">
        <f>IFERROR(IF(VLOOKUP(AT994,Vessel!A:I,9,FALSE)=0,"",VLOOKUP(AT994,Vessel!A:I,9,FALSE)),"")</f>
        <v>46310.812465277777</v>
      </c>
      <c r="AP994" s="430" t="s">
        <v>6529</v>
      </c>
      <c r="AQ994" s="438" t="s">
        <v>80</v>
      </c>
      <c r="AR994" s="430" t="s">
        <v>6530</v>
      </c>
      <c r="AS994" s="430" t="s">
        <v>6531</v>
      </c>
      <c r="AT994" s="623" t="s">
        <v>6531</v>
      </c>
      <c r="AU99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39.871041666665406</v>
      </c>
      <c r="AW994" s="437" cm="1">
        <f t="array" ref="AW99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46310.812465277777</v>
      </c>
      <c r="AX99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94" s="437">
        <f>IF(ISERROR(PV_DATA[[#This Row],[New Ark PO status]]),"",_xlfn.XLOOKUP(PV_DATA[[#This Row],[SPTN-PVHK New Ark PO'#]],New_Ark_Data[Purchase order Number],New_Ark_Data[Estimated time of arrival],"",0))</f>
        <v>46317</v>
      </c>
      <c r="AZ994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94" s="437">
        <f>IFERROR(PV_DATA[[#This Row],[ODP ETA Port]]+PV_DATA[[#This Row],[Customs/Leg3 Assumption]],"n/a")</f>
        <v>46318.812465277777</v>
      </c>
      <c r="BB994" s="433">
        <f>YEAR(PV_DATA[[#This Row],[ETA for New Ark update]])</f>
        <v>2026</v>
      </c>
      <c r="BC994" s="430">
        <f>MONTH(PV_DATA[[#This Row],[ETA for New Ark update]])</f>
        <v>10</v>
      </c>
      <c r="BD994" s="430">
        <f>IFERROR(_xlfn.ISOWEEKNUM(PV_DATA[[#This Row],[ETA for New Ark update]]),0)</f>
        <v>43</v>
      </c>
      <c r="BE994" s="430">
        <f>_xlfn.XLOOKUP(PV_DATA[[#This Row],[New Ark SKU]],Table9[New Ark SKU],Table9[Total PCS per Pallet],,0)</f>
        <v>36</v>
      </c>
      <c r="BF994" s="430">
        <f>_xlfn.XLOOKUP(PV_DATA[[#This Row],[New Ark SKU]],Table9[New Ark SKU],Table9[Total PCS per 40HQ Container],,0)</f>
        <v>936</v>
      </c>
      <c r="BG994" s="430" t="str">
        <f>_xlfn.XLOOKUP(PV_DATA[[#This Row],[New Ark SKU]],Table9[New Ark SKU],Table9[Back Glass],,0)</f>
        <v>White glazing</v>
      </c>
      <c r="BH994" s="610" t="str">
        <f>_xlfn.XLOOKUP(PV_DATA[[#This Row],[PORT DESTINATION]],Table12[PORT DESTINATION],Table12[Cosco Line],,0)</f>
        <v>AEM</v>
      </c>
      <c r="BJ994" s="430"/>
    </row>
    <row r="995" spans="1:62" ht="10.5" hidden="1">
      <c r="A995" s="462" t="s">
        <v>6532</v>
      </c>
      <c r="B995" s="462" t="s">
        <v>111</v>
      </c>
      <c r="C995" s="462" t="str">
        <f>IFERROR(LEFT(PV_DATA[[#This Row],[TCL REFERENCE]],FIND(".",PV_DATA[[#This Row],[TCL REFERENCE]],1)-1),"Main Line")</f>
        <v>26Aug001</v>
      </c>
      <c r="D995" s="462" t="s">
        <v>63</v>
      </c>
      <c r="E995" s="462" t="s">
        <v>64</v>
      </c>
      <c r="F995" s="462" t="str" cm="1">
        <f t="array" ref="F99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95" s="462" t="s">
        <v>402</v>
      </c>
      <c r="H995" s="462" t="s">
        <v>67</v>
      </c>
      <c r="I995" s="462" t="s">
        <v>689</v>
      </c>
      <c r="J995" s="430" t="s">
        <v>96</v>
      </c>
      <c r="K995" s="430"/>
      <c r="L995" s="430"/>
      <c r="M995" s="430" t="s">
        <v>68</v>
      </c>
      <c r="N995" s="432">
        <v>46215</v>
      </c>
      <c r="O995" s="430" t="s">
        <v>550</v>
      </c>
      <c r="P995" s="430" t="s">
        <v>551</v>
      </c>
      <c r="Q995" s="430" t="s">
        <v>2151</v>
      </c>
      <c r="R995" s="430" t="str">
        <f>_xlfn.XLOOKUP(PV_DATA[[#This Row],[New Ark SKU]],Table9[New Ark SKU],Table9[Connector],,0)</f>
        <v>EVO2A</v>
      </c>
      <c r="S995" s="433" t="str">
        <f>_xlfn.XLOOKUP(PV_DATA[[#This Row],[New Ark SKU]],Table9[New Ark SKU],Table9[Cable],,0)</f>
        <v>±1350mm</v>
      </c>
      <c r="T995" s="433">
        <v>510</v>
      </c>
      <c r="U995" s="1062">
        <v>1584</v>
      </c>
      <c r="V995" s="434">
        <f>PV_DATA[[#This Row],[QUANTITY]]*PV_DATA[[#This Row],[WATT]]/1000000</f>
        <v>0.80784</v>
      </c>
      <c r="W995" s="435">
        <f>PV_DATA[[#This Row],[QUANTITY]]/PV_DATA[[#This Row],[Qty/Pallet]]</f>
        <v>44</v>
      </c>
      <c r="X995" s="1015">
        <f>PV_DATA[[#This Row],[QUANTITY]]/PV_DATA[[#This Row],[Qty/CT]]</f>
        <v>2</v>
      </c>
      <c r="Y995" s="430" t="s">
        <v>4376</v>
      </c>
      <c r="Z995" s="430" t="str">
        <f t="shared" si="14"/>
        <v>COMPLETED</v>
      </c>
      <c r="AA995" s="430" t="s">
        <v>5862</v>
      </c>
      <c r="AB995" s="437">
        <v>46273</v>
      </c>
      <c r="AC995" s="485">
        <f>IF(PV_DATA[[#This Row],[Pick-Up Date]]&lt;&gt;"",_xlfn.ISOWEEKNUM(PV_DATA[[#This Row],[Pick-Up Date]]),"")</f>
        <v>37</v>
      </c>
      <c r="AD995" s="430" t="s">
        <v>6533</v>
      </c>
      <c r="AE995" s="430"/>
      <c r="AF995" s="430" t="s">
        <v>122</v>
      </c>
      <c r="AG995" s="430" t="s">
        <v>123</v>
      </c>
      <c r="AH995" s="430" t="s">
        <v>78</v>
      </c>
      <c r="AI995" s="437">
        <v>46271</v>
      </c>
      <c r="AJ995" s="437">
        <v>46275</v>
      </c>
      <c r="AK995" s="437">
        <v>46275</v>
      </c>
      <c r="AL995" s="437">
        <v>46316</v>
      </c>
      <c r="AM995" s="1195">
        <v>46317</v>
      </c>
      <c r="AN995" s="437">
        <v>46318</v>
      </c>
      <c r="AP995" s="430" t="s">
        <v>6534</v>
      </c>
      <c r="AQ995" s="438" t="s">
        <v>161</v>
      </c>
      <c r="AR995" s="623" t="s">
        <v>6535</v>
      </c>
      <c r="AS995" s="430">
        <v>275745289</v>
      </c>
      <c r="AT995" s="430">
        <v>275745289</v>
      </c>
      <c r="AU99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</v>
      </c>
      <c r="AW995" s="437" cm="1">
        <f t="array" ref="AW99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46318</v>
      </c>
      <c r="AX99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995" s="437" t="str">
        <f>IF(ISERROR(PV_DATA[[#This Row],[New Ark PO status]]),"",_xlfn.XLOOKUP(PV_DATA[[#This Row],[SPTN-PVHK New Ark PO'#]],New_Ark_Data[Purchase order Number],New_Ark_Data[Estimated time of arrival],"",0))</f>
        <v/>
      </c>
      <c r="AZ995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95" s="437">
        <f>IFERROR(PV_DATA[[#This Row],[ODP ETA Port]]+PV_DATA[[#This Row],[Customs/Leg3 Assumption]],"n/a")</f>
        <v>46326</v>
      </c>
      <c r="BB995" s="433">
        <f>YEAR(PV_DATA[[#This Row],[ETA for New Ark update]])</f>
        <v>2026</v>
      </c>
      <c r="BC995" s="430">
        <f>MONTH(PV_DATA[[#This Row],[ETA for New Ark update]])</f>
        <v>10</v>
      </c>
      <c r="BD995" s="430">
        <f>IFERROR(_xlfn.ISOWEEKNUM(PV_DATA[[#This Row],[ETA for New Ark update]]),0)</f>
        <v>44</v>
      </c>
      <c r="BE995" s="430">
        <f>_xlfn.XLOOKUP(PV_DATA[[#This Row],[New Ark SKU]],Table9[New Ark SKU],Table9[Total PCS per Pallet],,0)</f>
        <v>36</v>
      </c>
      <c r="BF995" s="430">
        <f>_xlfn.XLOOKUP(PV_DATA[[#This Row],[New Ark SKU]],Table9[New Ark SKU],Table9[Total PCS per 40HQ Container],,0)</f>
        <v>792</v>
      </c>
      <c r="BG995" s="430" t="str">
        <f>_xlfn.XLOOKUP(PV_DATA[[#This Row],[New Ark SKU]],Table9[New Ark SKU],Table9[Back Glass],,0)</f>
        <v>Black glazing</v>
      </c>
      <c r="BH995" s="430" t="str">
        <f>_xlfn.XLOOKUP(PV_DATA[[#This Row],[PORT DESTINATION]],Table12[PORT DESTINATION],Table12[Cosco Line],,0)</f>
        <v>AEM</v>
      </c>
      <c r="BJ995" s="430"/>
    </row>
    <row r="996" spans="1:62" ht="10.5" hidden="1">
      <c r="A996" s="462" t="s">
        <v>6536</v>
      </c>
      <c r="B996" s="935" t="s">
        <v>111</v>
      </c>
      <c r="C996" s="462" t="str">
        <f>IFERROR(LEFT(PV_DATA[[#This Row],[TCL REFERENCE]],FIND(".",PV_DATA[[#This Row],[TCL REFERENCE]],1)-1),"Main Line")</f>
        <v>26Jul016</v>
      </c>
      <c r="D996" s="935" t="s">
        <v>63</v>
      </c>
      <c r="E996" s="462" t="s">
        <v>64</v>
      </c>
      <c r="F996" s="935" t="str" cm="1">
        <f t="array" ref="F99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96" s="462" t="s">
        <v>402</v>
      </c>
      <c r="H996" s="462" t="s">
        <v>67</v>
      </c>
      <c r="I996" s="462" t="s">
        <v>689</v>
      </c>
      <c r="J996" s="430" t="s">
        <v>96</v>
      </c>
      <c r="K996" s="430"/>
      <c r="L996" s="623"/>
      <c r="M996" s="430" t="s">
        <v>68</v>
      </c>
      <c r="N996" s="1053">
        <v>46234</v>
      </c>
      <c r="O996" s="623" t="s">
        <v>5388</v>
      </c>
      <c r="P996" s="623" t="s">
        <v>5744</v>
      </c>
      <c r="Q996" s="623" t="s">
        <v>5745</v>
      </c>
      <c r="R996" s="430" t="str">
        <f>_xlfn.XLOOKUP(PV_DATA[[#This Row],[New Ark SKU]],Table9[New Ark SKU],Table9[Connector],,0)</f>
        <v>EVO2A</v>
      </c>
      <c r="S996" s="433" t="str">
        <f>_xlfn.XLOOKUP(PV_DATA[[#This Row],[New Ark SKU]],Table9[New Ark SKU],Table9[Cable],,0)</f>
        <v>±1200mm</v>
      </c>
      <c r="T996" s="964">
        <v>475</v>
      </c>
      <c r="U996" s="1062">
        <f>936*3</f>
        <v>2808</v>
      </c>
      <c r="V996" s="965">
        <f>PV_DATA[[#This Row],[QUANTITY]]*PV_DATA[[#This Row],[WATT]]/1000000</f>
        <v>1.3338000000000001</v>
      </c>
      <c r="W996" s="435">
        <f>PV_DATA[[#This Row],[QUANTITY]]/PV_DATA[[#This Row],[Qty/Pallet]]</f>
        <v>78</v>
      </c>
      <c r="X996" s="1153">
        <f>PV_DATA[[#This Row],[QUANTITY]]/PV_DATA[[#This Row],[Qty/CT]]</f>
        <v>3</v>
      </c>
      <c r="Y996" s="430" t="s">
        <v>4377</v>
      </c>
      <c r="Z996" s="430" t="str">
        <f t="shared" si="14"/>
        <v>COMPLETED</v>
      </c>
      <c r="AA996" s="623" t="s">
        <v>6317</v>
      </c>
      <c r="AB996" s="966">
        <v>46273</v>
      </c>
      <c r="AC996" s="1154">
        <f>IF(PV_DATA[[#This Row],[Pick-Up Date]]&lt;&gt;"",_xlfn.ISOWEEKNUM(PV_DATA[[#This Row],[Pick-Up Date]]),"")</f>
        <v>37</v>
      </c>
      <c r="AD996" s="623" t="s">
        <v>6537</v>
      </c>
      <c r="AE996" s="623"/>
      <c r="AF996" s="623" t="s">
        <v>122</v>
      </c>
      <c r="AG996" s="623" t="s">
        <v>123</v>
      </c>
      <c r="AH996" s="430" t="s">
        <v>78</v>
      </c>
      <c r="AI996" s="966">
        <v>46271</v>
      </c>
      <c r="AJ996" s="966">
        <v>46275</v>
      </c>
      <c r="AK996" s="437">
        <v>46275</v>
      </c>
      <c r="AL996" s="966">
        <v>46316</v>
      </c>
      <c r="AM996" s="437">
        <v>46317</v>
      </c>
      <c r="AN996" s="437">
        <v>46318</v>
      </c>
      <c r="AO996" s="623"/>
      <c r="AP996" s="623" t="s">
        <v>6534</v>
      </c>
      <c r="AQ996" s="1044" t="s">
        <v>161</v>
      </c>
      <c r="AR996" s="623" t="s">
        <v>6535</v>
      </c>
      <c r="AS996" s="623">
        <v>275745289</v>
      </c>
      <c r="AT996" s="430">
        <v>275745289</v>
      </c>
      <c r="AU99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</v>
      </c>
      <c r="AV996" s="623"/>
      <c r="AW996" s="966" cm="1">
        <f t="array" ref="AW99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46318</v>
      </c>
      <c r="AX99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996" s="966" t="str">
        <f>IF(ISERROR(PV_DATA[[#This Row],[New Ark PO status]]),"",_xlfn.XLOOKUP(PV_DATA[[#This Row],[SPTN-PVHK New Ark PO'#]],New_Ark_Data[Purchase order Number],New_Ark_Data[Estimated time of arrival],"",0))</f>
        <v/>
      </c>
      <c r="AZ996" s="964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96" s="966">
        <f>IFERROR(PV_DATA[[#This Row],[ODP ETA Port]]+PV_DATA[[#This Row],[Customs/Leg3 Assumption]],"n/a")</f>
        <v>46326</v>
      </c>
      <c r="BB996" s="964">
        <f>YEAR(PV_DATA[[#This Row],[ETA for New Ark update]])</f>
        <v>2026</v>
      </c>
      <c r="BC996" s="623">
        <f>MONTH(PV_DATA[[#This Row],[ETA for New Ark update]])</f>
        <v>10</v>
      </c>
      <c r="BD996" s="623">
        <f>IFERROR(_xlfn.ISOWEEKNUM(PV_DATA[[#This Row],[ETA for New Ark update]]),0)</f>
        <v>44</v>
      </c>
      <c r="BE996" s="623">
        <f>_xlfn.XLOOKUP(PV_DATA[[#This Row],[New Ark SKU]],Table9[New Ark SKU],Table9[Total PCS per Pallet],,0)</f>
        <v>36</v>
      </c>
      <c r="BF996" s="623">
        <f>_xlfn.XLOOKUP(PV_DATA[[#This Row],[New Ark SKU]],Table9[New Ark SKU],Table9[Total PCS per 40HQ Container],,0)</f>
        <v>936</v>
      </c>
      <c r="BG996" s="623" t="str">
        <f>_xlfn.XLOOKUP(PV_DATA[[#This Row],[New Ark SKU]],Table9[New Ark SKU],Table9[Back Glass],,0)</f>
        <v>White glazing</v>
      </c>
      <c r="BH996" s="967" t="str">
        <f>_xlfn.XLOOKUP(PV_DATA[[#This Row],[PORT DESTINATION]],Table12[PORT DESTINATION],Table12[Cosco Line],,0)</f>
        <v>AEM</v>
      </c>
      <c r="BJ996" s="430"/>
    </row>
    <row r="997" spans="1:62" ht="10.5" hidden="1">
      <c r="A997" s="462" t="s">
        <v>6538</v>
      </c>
      <c r="B997" s="462" t="s">
        <v>111</v>
      </c>
      <c r="C997" s="462" t="str">
        <f>IFERROR(LEFT(PV_DATA[[#This Row],[TCL REFERENCE]],FIND(".",PV_DATA[[#This Row],[TCL REFERENCE]],1)-1),"Main Line")</f>
        <v>26Aug019</v>
      </c>
      <c r="D997" s="462" t="s">
        <v>63</v>
      </c>
      <c r="E997" s="462" t="s">
        <v>64</v>
      </c>
      <c r="F997" s="462" t="str" cm="1">
        <f t="array" ref="F99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97" s="462" t="s">
        <v>402</v>
      </c>
      <c r="H997" s="462" t="s">
        <v>67</v>
      </c>
      <c r="I997" s="462" t="s">
        <v>689</v>
      </c>
      <c r="J997" s="430" t="s">
        <v>96</v>
      </c>
      <c r="K997" s="430"/>
      <c r="L997" s="430"/>
      <c r="M997" s="430" t="s">
        <v>6325</v>
      </c>
      <c r="N997" s="432">
        <v>46238</v>
      </c>
      <c r="O997" s="430" t="s">
        <v>132</v>
      </c>
      <c r="P997" s="430" t="s">
        <v>189</v>
      </c>
      <c r="Q997" s="430" t="s">
        <v>190</v>
      </c>
      <c r="R997" s="430" t="str">
        <f>_xlfn.XLOOKUP(PV_DATA[[#This Row],[New Ark SKU]],Table9[New Ark SKU],Table9[Connector],,0)</f>
        <v>EVO2A</v>
      </c>
      <c r="S997" s="433" t="str">
        <f>_xlfn.XLOOKUP(PV_DATA[[#This Row],[New Ark SKU]],Table9[New Ark SKU],Table9[Cable],,0)</f>
        <v>±1200mm</v>
      </c>
      <c r="T997" s="433">
        <v>465</v>
      </c>
      <c r="U997" s="1062">
        <v>864</v>
      </c>
      <c r="V997" s="544">
        <f>PV_DATA[[#This Row],[QUANTITY]]*PV_DATA[[#This Row],[WATT]]/1000000</f>
        <v>0.40176000000000001</v>
      </c>
      <c r="W997" s="435">
        <f>PV_DATA[[#This Row],[QUANTITY]]/PV_DATA[[#This Row],[Qty/Pallet]]</f>
        <v>24</v>
      </c>
      <c r="X997" s="1015">
        <f>PV_DATA[[#This Row],[QUANTITY]]/PV_DATA[[#This Row],[Qty/CT]]</f>
        <v>1</v>
      </c>
      <c r="Y997" s="430" t="s">
        <v>4378</v>
      </c>
      <c r="Z997" s="430"/>
      <c r="AA997" s="430" t="s">
        <v>5862</v>
      </c>
      <c r="AB997" s="437">
        <v>46273</v>
      </c>
      <c r="AC997" s="485"/>
      <c r="AD997" s="430" t="s">
        <v>6539</v>
      </c>
      <c r="AE997" s="430"/>
      <c r="AF997" s="430" t="s">
        <v>122</v>
      </c>
      <c r="AG997" s="430" t="s">
        <v>123</v>
      </c>
      <c r="AH997" s="430" t="s">
        <v>78</v>
      </c>
      <c r="AI997" s="966">
        <v>46271</v>
      </c>
      <c r="AJ997" s="437">
        <v>46275</v>
      </c>
      <c r="AK997" s="437">
        <v>46275</v>
      </c>
      <c r="AL997" s="966">
        <v>46316</v>
      </c>
      <c r="AM997" s="437">
        <v>46317</v>
      </c>
      <c r="AN997" s="437">
        <v>46318</v>
      </c>
      <c r="AP997" s="623" t="s">
        <v>6534</v>
      </c>
      <c r="AQ997" s="1044" t="s">
        <v>161</v>
      </c>
      <c r="AR997" s="430" t="s">
        <v>6535</v>
      </c>
      <c r="AS997" s="430">
        <v>275745289</v>
      </c>
      <c r="AT997" s="430">
        <v>275745289</v>
      </c>
      <c r="AU99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</v>
      </c>
      <c r="AV997" s="437"/>
      <c r="AW997" s="437" cm="1">
        <f t="array" ref="AW99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46318</v>
      </c>
      <c r="AX99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997" s="437" t="str">
        <f>IF(ISERROR(PV_DATA[[#This Row],[New Ark PO status]]),"",_xlfn.XLOOKUP(PV_DATA[[#This Row],[SPTN-PVHK New Ark PO'#]],New_Ark_Data[Purchase order Number],New_Ark_Data[Estimated time of arrival],"",0))</f>
        <v/>
      </c>
      <c r="AZ997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97" s="437">
        <f>IFERROR(PV_DATA[[#This Row],[ODP ETA Port]]+PV_DATA[[#This Row],[Customs/Leg3 Assumption]],"n/a")</f>
        <v>46326</v>
      </c>
      <c r="BB997" s="433">
        <f>YEAR(PV_DATA[[#This Row],[ETA for New Ark update]])</f>
        <v>2026</v>
      </c>
      <c r="BC997" s="430">
        <f>MONTH(PV_DATA[[#This Row],[ETA for New Ark update]])</f>
        <v>10</v>
      </c>
      <c r="BD997" s="430">
        <f>IFERROR(_xlfn.ISOWEEKNUM(PV_DATA[[#This Row],[ETA for New Ark update]]),0)</f>
        <v>44</v>
      </c>
      <c r="BE997" s="430">
        <f>_xlfn.XLOOKUP(PV_DATA[[#This Row],[New Ark SKU]],Table9[New Ark SKU],Table9[Total PCS per Pallet],,0)</f>
        <v>36</v>
      </c>
      <c r="BF997" s="430">
        <f>_xlfn.XLOOKUP(PV_DATA[[#This Row],[New Ark SKU]],Table9[New Ark SKU],Table9[Total PCS per 40HQ Container],,0)</f>
        <v>864</v>
      </c>
      <c r="BG997" s="430" t="str">
        <f>_xlfn.XLOOKUP(PV_DATA[[#This Row],[New Ark SKU]],Table9[New Ark SKU],Table9[Back Glass],,0)</f>
        <v>White glazing</v>
      </c>
      <c r="BH997" s="430" t="str">
        <f>_xlfn.XLOOKUP(PV_DATA[[#This Row],[PORT DESTINATION]],Table12[PORT DESTINATION],Table12[Cosco Line],,0)</f>
        <v>AEM</v>
      </c>
      <c r="BJ997" s="430"/>
    </row>
    <row r="998" spans="1:62" ht="10.5" hidden="1">
      <c r="A998" s="462" t="s">
        <v>6540</v>
      </c>
      <c r="B998" s="462" t="s">
        <v>111</v>
      </c>
      <c r="C998" s="462" t="str">
        <f>IFERROR(LEFT(PV_DATA[[#This Row],[TCL REFERENCE]],FIND(".",PV_DATA[[#This Row],[TCL REFERENCE]],1)-1),"Main Line")</f>
        <v>26Jul004</v>
      </c>
      <c r="D998" s="462" t="s">
        <v>63</v>
      </c>
      <c r="E998" s="462" t="s">
        <v>64</v>
      </c>
      <c r="F998" s="462" t="str" cm="1">
        <f t="array" ref="F99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98" s="462" t="s">
        <v>402</v>
      </c>
      <c r="H998" s="462" t="s">
        <v>67</v>
      </c>
      <c r="I998" s="462" t="s">
        <v>689</v>
      </c>
      <c r="J998" s="430" t="s">
        <v>96</v>
      </c>
      <c r="K998" s="430"/>
      <c r="L998" s="430"/>
      <c r="M998" s="430" t="s">
        <v>6325</v>
      </c>
      <c r="N998" s="432">
        <v>46223</v>
      </c>
      <c r="O998" s="430" t="s">
        <v>132</v>
      </c>
      <c r="P998" s="430" t="s">
        <v>1062</v>
      </c>
      <c r="Q998" s="430" t="s">
        <v>1063</v>
      </c>
      <c r="R998" s="430" t="str">
        <f>_xlfn.XLOOKUP(PV_DATA[[#This Row],[New Ark SKU]],Table9[New Ark SKU],Table9[Connector],,0)</f>
        <v>EVO2A</v>
      </c>
      <c r="S998" s="433" t="str">
        <f>_xlfn.XLOOKUP(PV_DATA[[#This Row],[New Ark SKU]],Table9[New Ark SKU],Table9[Cable],,0)</f>
        <v>±1200mm</v>
      </c>
      <c r="T998" s="433">
        <v>470</v>
      </c>
      <c r="U998" s="1062">
        <v>864</v>
      </c>
      <c r="V998" s="434">
        <f>PV_DATA[[#This Row],[QUANTITY]]*PV_DATA[[#This Row],[WATT]]/1000000</f>
        <v>0.40608</v>
      </c>
      <c r="W998" s="435">
        <f>PV_DATA[[#This Row],[QUANTITY]]/PV_DATA[[#This Row],[Qty/Pallet]]</f>
        <v>24</v>
      </c>
      <c r="X998" s="1015">
        <f>PV_DATA[[#This Row],[QUANTITY]]/PV_DATA[[#This Row],[Qty/CT]]</f>
        <v>1</v>
      </c>
      <c r="Y998" s="430" t="s">
        <v>4377</v>
      </c>
      <c r="Z998" s="430" t="str">
        <f>IF(AN998&lt;&gt;"","COMPLETED",IF(AK998&lt;&gt;"","IN-TRANSIT",""))</f>
        <v>IN-TRANSIT</v>
      </c>
      <c r="AA998" s="430" t="s">
        <v>5862</v>
      </c>
      <c r="AB998" s="437">
        <v>46266</v>
      </c>
      <c r="AC998" s="485">
        <f>IF(PV_DATA[[#This Row],[Pick-Up Date]]&lt;&gt;"",_xlfn.ISOWEEKNUM(PV_DATA[[#This Row],[Pick-Up Date]]),"")</f>
        <v>36</v>
      </c>
      <c r="AD998" s="430" t="s">
        <v>6541</v>
      </c>
      <c r="AE998" s="430"/>
      <c r="AF998" s="430" t="s">
        <v>122</v>
      </c>
      <c r="AG998" s="430" t="s">
        <v>123</v>
      </c>
      <c r="AH998" s="430" t="s">
        <v>78</v>
      </c>
      <c r="AI998" s="437">
        <v>46274</v>
      </c>
      <c r="AJ998" s="437">
        <f>IFERROR(VLOOKUP(AT998, Vessel!A:D, 4, FALSE), "")</f>
        <v>46273.041666666664</v>
      </c>
      <c r="AK998" s="437">
        <v>46273</v>
      </c>
      <c r="AL998" s="437">
        <v>46321</v>
      </c>
      <c r="AM998" s="939">
        <f>IFERROR(VLOOKUP(AT998, Vessel!A:H, 8, FALSE), "")</f>
        <v>46336.25</v>
      </c>
      <c r="AN998" s="939" t="str">
        <f>IFERROR(IF(VLOOKUP(AT998,Vessel!A:I,9,FALSE)=0,"",VLOOKUP(AT998,Vessel!A:I,9,FALSE)),"")</f>
        <v/>
      </c>
      <c r="AP998" s="430" t="s">
        <v>6520</v>
      </c>
      <c r="AQ998" s="438" t="s">
        <v>80</v>
      </c>
      <c r="AR998" s="430" t="s">
        <v>6542</v>
      </c>
      <c r="AS998" s="430" t="s">
        <v>6543</v>
      </c>
      <c r="AT998" s="430" t="s">
        <v>6543</v>
      </c>
      <c r="AU99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63.25</v>
      </c>
      <c r="AW998" s="437" cm="1">
        <f t="array" ref="AW99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46336.25</v>
      </c>
      <c r="AX99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98" s="437">
        <f>IF(ISERROR(PV_DATA[[#This Row],[New Ark PO status]]),"",_xlfn.XLOOKUP(PV_DATA[[#This Row],[SPTN-PVHK New Ark PO'#]],New_Ark_Data[Purchase order Number],New_Ark_Data[Estimated time of arrival],"",0))</f>
        <v>46329</v>
      </c>
      <c r="AZ998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98" s="437">
        <f>IFERROR(PV_DATA[[#This Row],[ODP ETA Port]]+PV_DATA[[#This Row],[Customs/Leg3 Assumption]],"n/a")</f>
        <v>46344.25</v>
      </c>
      <c r="BB998" s="433">
        <f>YEAR(PV_DATA[[#This Row],[ETA for New Ark update]])</f>
        <v>2026</v>
      </c>
      <c r="BC998" s="430">
        <f>MONTH(PV_DATA[[#This Row],[ETA for New Ark update]])</f>
        <v>11</v>
      </c>
      <c r="BD998" s="430">
        <f>IFERROR(_xlfn.ISOWEEKNUM(PV_DATA[[#This Row],[ETA for New Ark update]]),0)</f>
        <v>47</v>
      </c>
      <c r="BE998" s="430">
        <f>_xlfn.XLOOKUP(PV_DATA[[#This Row],[New Ark SKU]],Table9[New Ark SKU],Table9[Total PCS per Pallet],,0)</f>
        <v>36</v>
      </c>
      <c r="BF998" s="430">
        <f>_xlfn.XLOOKUP(PV_DATA[[#This Row],[New Ark SKU]],Table9[New Ark SKU],Table9[Total PCS per 40HQ Container],,0)</f>
        <v>864</v>
      </c>
      <c r="BG998" s="430" t="str">
        <f>_xlfn.XLOOKUP(PV_DATA[[#This Row],[New Ark SKU]],Table9[New Ark SKU],Table9[Back Glass],,0)</f>
        <v>White glazing</v>
      </c>
      <c r="BH998" s="430" t="str">
        <f>_xlfn.XLOOKUP(PV_DATA[[#This Row],[PORT DESTINATION]],Table12[PORT DESTINATION],Table12[Cosco Line],,0)</f>
        <v>AEM</v>
      </c>
      <c r="BJ998" s="430"/>
    </row>
    <row r="999" spans="1:62" ht="10.5" hidden="1">
      <c r="A999" s="462" t="s">
        <v>6544</v>
      </c>
      <c r="B999" s="462" t="s">
        <v>111</v>
      </c>
      <c r="C999" s="462" t="str">
        <f>IFERROR(LEFT(PV_DATA[[#This Row],[TCL REFERENCE]],FIND(".",PV_DATA[[#This Row],[TCL REFERENCE]],1)-1),"Main Line")</f>
        <v>26Aug019</v>
      </c>
      <c r="D999" s="462" t="s">
        <v>63</v>
      </c>
      <c r="E999" s="462" t="s">
        <v>64</v>
      </c>
      <c r="F999" s="462" t="str" cm="1">
        <f t="array" ref="F99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999" s="462" t="s">
        <v>402</v>
      </c>
      <c r="H999" s="462" t="s">
        <v>67</v>
      </c>
      <c r="I999" s="462" t="s">
        <v>689</v>
      </c>
      <c r="J999" s="430" t="s">
        <v>96</v>
      </c>
      <c r="K999" s="430"/>
      <c r="L999" s="430"/>
      <c r="M999" s="430" t="s">
        <v>6545</v>
      </c>
      <c r="N999" s="432">
        <v>46238</v>
      </c>
      <c r="O999" s="430" t="s">
        <v>132</v>
      </c>
      <c r="P999" s="430" t="s">
        <v>189</v>
      </c>
      <c r="Q999" s="430" t="s">
        <v>190</v>
      </c>
      <c r="R999" s="430" t="str">
        <f>_xlfn.XLOOKUP(PV_DATA[[#This Row],[New Ark SKU]],Table9[New Ark SKU],Table9[Connector],,0)</f>
        <v>EVO2A</v>
      </c>
      <c r="S999" s="433" t="str">
        <f>_xlfn.XLOOKUP(PV_DATA[[#This Row],[New Ark SKU]],Table9[New Ark SKU],Table9[Cable],,0)</f>
        <v>±1200mm</v>
      </c>
      <c r="T999" s="433">
        <v>465</v>
      </c>
      <c r="U999" s="1062">
        <v>864</v>
      </c>
      <c r="V999" s="544">
        <f>PV_DATA[[#This Row],[QUANTITY]]*PV_DATA[[#This Row],[WATT]]/1000000</f>
        <v>0.40176000000000001</v>
      </c>
      <c r="W999" s="435">
        <f>PV_DATA[[#This Row],[QUANTITY]]/PV_DATA[[#This Row],[Qty/Pallet]]</f>
        <v>24</v>
      </c>
      <c r="X999" s="1015">
        <f>PV_DATA[[#This Row],[QUANTITY]]/PV_DATA[[#This Row],[Qty/CT]]</f>
        <v>1</v>
      </c>
      <c r="Y999" s="430" t="s">
        <v>4378</v>
      </c>
      <c r="Z999" s="430"/>
      <c r="AA999" s="430" t="s">
        <v>5862</v>
      </c>
      <c r="AB999" s="437">
        <v>46266</v>
      </c>
      <c r="AC999" s="485"/>
      <c r="AD999" s="430" t="s">
        <v>6546</v>
      </c>
      <c r="AE999" s="430"/>
      <c r="AF999" s="430" t="s">
        <v>122</v>
      </c>
      <c r="AG999" s="430" t="s">
        <v>123</v>
      </c>
      <c r="AH999" s="430" t="s">
        <v>78</v>
      </c>
      <c r="AI999" s="437">
        <v>46274</v>
      </c>
      <c r="AJ999" s="437">
        <f>IFERROR(VLOOKUP(AT999, Vessel!A:D, 4, FALSE), "")</f>
        <v>46273.041666666664</v>
      </c>
      <c r="AK999" s="437">
        <v>46273</v>
      </c>
      <c r="AL999" s="437">
        <v>46321</v>
      </c>
      <c r="AM999" s="939">
        <f>IFERROR(VLOOKUP(AT999, Vessel!A:H, 8, FALSE), "")</f>
        <v>46336.25</v>
      </c>
      <c r="AN999" s="939" t="str">
        <f>IFERROR(IF(VLOOKUP(AT999,Vessel!A:I,9,FALSE)=0,"",VLOOKUP(AT999,Vessel!A:I,9,FALSE)),"")</f>
        <v/>
      </c>
      <c r="AP999" s="430" t="s">
        <v>6520</v>
      </c>
      <c r="AQ999" s="430" t="s">
        <v>80</v>
      </c>
      <c r="AR999" s="430" t="s">
        <v>6542</v>
      </c>
      <c r="AS999" s="430" t="s">
        <v>6543</v>
      </c>
      <c r="AT999" s="430" t="s">
        <v>6543</v>
      </c>
      <c r="AU99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63.25</v>
      </c>
      <c r="AV999" s="437"/>
      <c r="AW999" s="437" cm="1">
        <f t="array" ref="AW99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46336.25</v>
      </c>
      <c r="AX99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999" s="437">
        <f>IF(ISERROR(PV_DATA[[#This Row],[New Ark PO status]]),"",_xlfn.XLOOKUP(PV_DATA[[#This Row],[SPTN-PVHK New Ark PO'#]],New_Ark_Data[Purchase order Number],New_Ark_Data[Estimated time of arrival],"",0))</f>
        <v>46329</v>
      </c>
      <c r="AZ999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999" s="437">
        <f>IFERROR(PV_DATA[[#This Row],[ODP ETA Port]]+PV_DATA[[#This Row],[Customs/Leg3 Assumption]],"n/a")</f>
        <v>46344.25</v>
      </c>
      <c r="BB999" s="433">
        <f>YEAR(PV_DATA[[#This Row],[ETA for New Ark update]])</f>
        <v>2026</v>
      </c>
      <c r="BC999" s="430">
        <f>MONTH(PV_DATA[[#This Row],[ETA for New Ark update]])</f>
        <v>11</v>
      </c>
      <c r="BD999" s="430">
        <f>IFERROR(_xlfn.ISOWEEKNUM(PV_DATA[[#This Row],[ETA for New Ark update]]),0)</f>
        <v>47</v>
      </c>
      <c r="BE999" s="430">
        <f>_xlfn.XLOOKUP(PV_DATA[[#This Row],[New Ark SKU]],Table9[New Ark SKU],Table9[Total PCS per Pallet],,0)</f>
        <v>36</v>
      </c>
      <c r="BF999" s="430">
        <f>_xlfn.XLOOKUP(PV_DATA[[#This Row],[New Ark SKU]],Table9[New Ark SKU],Table9[Total PCS per 40HQ Container],,0)</f>
        <v>864</v>
      </c>
      <c r="BG999" s="430" t="str">
        <f>_xlfn.XLOOKUP(PV_DATA[[#This Row],[New Ark SKU]],Table9[New Ark SKU],Table9[Back Glass],,0)</f>
        <v>White glazing</v>
      </c>
      <c r="BH999" s="430" t="str">
        <f>_xlfn.XLOOKUP(PV_DATA[[#This Row],[PORT DESTINATION]],Table12[PORT DESTINATION],Table12[Cosco Line],,0)</f>
        <v>AEM</v>
      </c>
      <c r="BJ999" s="430"/>
    </row>
    <row r="1000" spans="1:62" ht="10.5" hidden="1">
      <c r="A1000" s="462" t="s">
        <v>6547</v>
      </c>
      <c r="B1000" s="462" t="s">
        <v>111</v>
      </c>
      <c r="C1000" s="462" t="str">
        <f>IFERROR(LEFT(PV_DATA[[#This Row],[TCL REFERENCE]],FIND(".",PV_DATA[[#This Row],[TCL REFERENCE]],1)-1),"Main Line")</f>
        <v>26Jul014</v>
      </c>
      <c r="D1000" s="462" t="s">
        <v>63</v>
      </c>
      <c r="E1000" s="462" t="s">
        <v>64</v>
      </c>
      <c r="F1000" s="462" t="str" cm="1">
        <f t="array" ref="F100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000" s="462" t="s">
        <v>402</v>
      </c>
      <c r="H1000" s="462" t="s">
        <v>115</v>
      </c>
      <c r="I1000" s="462" t="s">
        <v>689</v>
      </c>
      <c r="J1000" s="430" t="s">
        <v>96</v>
      </c>
      <c r="K1000" s="430"/>
      <c r="L1000" s="430"/>
      <c r="M1000" s="430" t="s">
        <v>68</v>
      </c>
      <c r="N1000" s="432">
        <v>46202</v>
      </c>
      <c r="O1000" s="430" t="s">
        <v>5345</v>
      </c>
      <c r="P1000" s="430" t="s">
        <v>5564</v>
      </c>
      <c r="Q1000" s="430" t="s">
        <v>5565</v>
      </c>
      <c r="R1000" s="430" t="str">
        <f>_xlfn.XLOOKUP(PV_DATA[[#This Row],[New Ark SKU]],Table9[New Ark SKU],Table9[Connector],,0)</f>
        <v>EVO2A</v>
      </c>
      <c r="S1000" s="433" t="str">
        <f>_xlfn.XLOOKUP(PV_DATA[[#This Row],[New Ark SKU]],Table9[New Ark SKU],Table9[Cable],,0)</f>
        <v>±1400mm</v>
      </c>
      <c r="T1000" s="433">
        <v>585</v>
      </c>
      <c r="U1000" s="1070">
        <f>720*2</f>
        <v>1440</v>
      </c>
      <c r="V1000" s="434">
        <f>PV_DATA[[#This Row],[QUANTITY]]*PV_DATA[[#This Row],[WATT]]/1000000</f>
        <v>0.84240000000000004</v>
      </c>
      <c r="W1000" s="435">
        <f>PV_DATA[[#This Row],[QUANTITY]]/PV_DATA[[#This Row],[Qty/Pallet]]</f>
        <v>40</v>
      </c>
      <c r="X1000" s="1015">
        <f>PV_DATA[[#This Row],[QUANTITY]]/720</f>
        <v>2</v>
      </c>
      <c r="Y1000" s="430" t="s">
        <v>4377</v>
      </c>
      <c r="Z1000" s="430" t="str">
        <f t="shared" ref="Z1000:Z1006" si="15">IF(AN1000&lt;&gt;"","COMPLETED",IF(AK1000&lt;&gt;"","IN-TRANSIT",""))</f>
        <v>COMPLETED</v>
      </c>
      <c r="AA1000" s="545">
        <v>46206</v>
      </c>
      <c r="AB1000" s="437">
        <v>46261</v>
      </c>
      <c r="AC1000" s="485">
        <f>IF(PV_DATA[[#This Row],[Pick-Up Date]]&lt;&gt;"",_xlfn.ISOWEEKNUM(PV_DATA[[#This Row],[Pick-Up Date]]),"")</f>
        <v>35</v>
      </c>
      <c r="AD1000" s="430" t="s">
        <v>6548</v>
      </c>
      <c r="AE1000" s="430"/>
      <c r="AF1000" s="430" t="s">
        <v>122</v>
      </c>
      <c r="AG1000" s="430" t="s">
        <v>123</v>
      </c>
      <c r="AH1000" s="430" t="s">
        <v>124</v>
      </c>
      <c r="AI1000" s="543">
        <v>46268</v>
      </c>
      <c r="AJ1000" s="437">
        <v>46270</v>
      </c>
      <c r="AK1000" s="437">
        <f>IFERROR(IF(VLOOKUP(AT1000,Vessel!A:F,5,FALSE)=0,"",VLOOKUP(AT1000,Vessel!A:F,5,FALSE)),"")</f>
        <v>46270.941423611112</v>
      </c>
      <c r="AL1000" s="437">
        <v>46303</v>
      </c>
      <c r="AM1000" s="939">
        <f>IFERROR(VLOOKUP(AT1000, Vessel!A:H, 8, FALSE), "")</f>
        <v>46304.333333333336</v>
      </c>
      <c r="AN1000" s="939">
        <f>IFERROR(IF(VLOOKUP(AT1000,Vessel!A:I,9,FALSE)=0,"",VLOOKUP(AT1000,Vessel!A:I,9,FALSE)),"")</f>
        <v>46304.309965277775</v>
      </c>
      <c r="AP1000" s="430" t="s">
        <v>6549</v>
      </c>
      <c r="AQ1000" s="438" t="s">
        <v>80</v>
      </c>
      <c r="AR1000" s="430" t="s">
        <v>6550</v>
      </c>
      <c r="AS1000" s="430" t="s">
        <v>6551</v>
      </c>
      <c r="AT1000" s="430" t="s">
        <v>6551</v>
      </c>
      <c r="AU100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33.368541666663077</v>
      </c>
      <c r="AW1000" s="437" cm="1">
        <f t="array" ref="AW100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46304.309965277775</v>
      </c>
      <c r="AX100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1000" s="437">
        <f>IF(ISERROR(PV_DATA[[#This Row],[New Ark PO status]]),"",_xlfn.XLOOKUP(PV_DATA[[#This Row],[SPTN-PVHK New Ark PO'#]],New_Ark_Data[Purchase order Number],New_Ark_Data[Estimated time of arrival],"",0))</f>
        <v>46311</v>
      </c>
      <c r="AZ1000" s="433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000" s="437">
        <f>IFERROR(PV_DATA[[#This Row],[ODP ETA Port]]+PV_DATA[[#This Row],[Customs/Leg3 Assumption]],"n/a")</f>
        <v>46313.309965277775</v>
      </c>
      <c r="BB1000" s="433">
        <f>YEAR(PV_DATA[[#This Row],[ETA for New Ark update]])</f>
        <v>2026</v>
      </c>
      <c r="BC1000" s="430">
        <f>MONTH(PV_DATA[[#This Row],[ETA for New Ark update]])</f>
        <v>10</v>
      </c>
      <c r="BD1000" s="430">
        <f>IFERROR(_xlfn.ISOWEEKNUM(PV_DATA[[#This Row],[ETA for New Ark update]]),0)</f>
        <v>42</v>
      </c>
      <c r="BE1000" s="430">
        <f>_xlfn.XLOOKUP(PV_DATA[[#This Row],[New Ark SKU]],Table9[New Ark SKU],Table9[Total PCS per Pallet],,0)</f>
        <v>36</v>
      </c>
      <c r="BF1000" s="430">
        <f>_xlfn.XLOOKUP(PV_DATA[[#This Row],[New Ark SKU]],Table9[New Ark SKU],Table9[Total PCS per 40HQ Container],,0)</f>
        <v>720</v>
      </c>
      <c r="BG1000" s="430" t="str">
        <f>_xlfn.XLOOKUP(PV_DATA[[#This Row],[New Ark SKU]],Table9[New Ark SKU],Table9[Back Glass],,0)</f>
        <v>Transparent</v>
      </c>
      <c r="BH1000" s="610" t="str">
        <f>_xlfn.XLOOKUP(PV_DATA[[#This Row],[PORT DESTINATION]],Table12[PORT DESTINATION],Table12[Cosco Line],,0)</f>
        <v>AEM</v>
      </c>
      <c r="BJ1000" s="430"/>
    </row>
    <row r="1001" spans="1:62" ht="10.5" hidden="1">
      <c r="A1001" s="941" t="s">
        <v>6552</v>
      </c>
      <c r="B1001" s="935" t="s">
        <v>1757</v>
      </c>
      <c r="C1001" s="462" t="str">
        <f>IFERROR(LEFT(PV_DATA[[#This Row],[TCL REFERENCE]],FIND(".",PV_DATA[[#This Row],[TCL REFERENCE]],1)-1),"Main Line")</f>
        <v>26Jul017</v>
      </c>
      <c r="D1001" s="935" t="s">
        <v>63</v>
      </c>
      <c r="E1001" s="462" t="s">
        <v>64</v>
      </c>
      <c r="F1001" s="935" t="str" cm="1">
        <f t="array" ref="F100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1001" s="462" t="s">
        <v>402</v>
      </c>
      <c r="H1001" s="462" t="s">
        <v>451</v>
      </c>
      <c r="I1001" s="462" t="s">
        <v>882</v>
      </c>
      <c r="J1001" s="430" t="s">
        <v>6229</v>
      </c>
      <c r="K1001" s="430"/>
      <c r="L1001" s="623"/>
      <c r="M1001" s="430" t="s">
        <v>68</v>
      </c>
      <c r="N1001" s="1053" t="s">
        <v>6212</v>
      </c>
      <c r="O1001" s="623" t="s">
        <v>284</v>
      </c>
      <c r="P1001" s="623" t="s">
        <v>5860</v>
      </c>
      <c r="Q1001" s="623" t="s">
        <v>5861</v>
      </c>
      <c r="R1001" s="430" t="str">
        <f>_xlfn.XLOOKUP(PV_DATA[[#This Row],[New Ark SKU]],Table9[New Ark SKU],Table9[Connector],,0)</f>
        <v>EVO2A</v>
      </c>
      <c r="S1001" s="433" t="str">
        <f>_xlfn.XLOOKUP(PV_DATA[[#This Row],[New Ark SKU]],Table9[New Ark SKU],Table9[Cable],,0)</f>
        <v>±1200mm</v>
      </c>
      <c r="T1001" s="964">
        <v>485</v>
      </c>
      <c r="U1001" s="1074">
        <v>936</v>
      </c>
      <c r="V1001" s="965">
        <f>PV_DATA[[#This Row],[QUANTITY]]*PV_DATA[[#This Row],[WATT]]/1000000</f>
        <v>0.45395999999999997</v>
      </c>
      <c r="W1001" s="435">
        <f>PV_DATA[[#This Row],[QUANTITY]]/36</f>
        <v>26</v>
      </c>
      <c r="X1001" s="1153">
        <f>PV_DATA[[#This Row],[QUANTITY]]/PV_DATA[[#This Row],[Qty/CT]]</f>
        <v>1</v>
      </c>
      <c r="Y1001" s="430" t="s">
        <v>4375</v>
      </c>
      <c r="Z1001" s="430" t="str">
        <f t="shared" si="15"/>
        <v>COMPLETED</v>
      </c>
      <c r="AA1001" s="1051">
        <v>46257</v>
      </c>
      <c r="AB1001" s="1050">
        <v>46268</v>
      </c>
      <c r="AC1001" s="1154">
        <f>IF(PV_DATA[[#This Row],[Pick-Up Date]]&lt;&gt;"",_xlfn.ISOWEEKNUM(PV_DATA[[#This Row],[Pick-Up Date]]),"")</f>
        <v>36</v>
      </c>
      <c r="AD1001" s="623" t="s">
        <v>6553</v>
      </c>
      <c r="AE1001" s="623"/>
      <c r="AF1001" s="623" t="s">
        <v>1525</v>
      </c>
      <c r="AG1001" s="623" t="s">
        <v>6003</v>
      </c>
      <c r="AH1001" s="430" t="s">
        <v>456</v>
      </c>
      <c r="AI1001" s="966">
        <v>46267</v>
      </c>
      <c r="AJ1001" s="437">
        <f>IFERROR(VLOOKUP(AT1001, Vessel!A:D, 4, FALSE), "")</f>
        <v>46273.645833333336</v>
      </c>
      <c r="AK1001" s="437">
        <f>IFERROR(IF(VLOOKUP(AT1001,Vessel!A:F,5,FALSE)=0,"",VLOOKUP(AT1001,Vessel!A:F,5,FALSE)),"")</f>
        <v>46273.670289351852</v>
      </c>
      <c r="AL1001" s="966"/>
      <c r="AM1001" s="939">
        <f>IFERROR(VLOOKUP(AT1001, Vessel!A:H, 8, FALSE), "")</f>
        <v>46312.583333333336</v>
      </c>
      <c r="AN1001" s="939">
        <f>IFERROR(IF(VLOOKUP(AT1001,Vessel!A:I,9,FALSE)=0,"",VLOOKUP(AT1001,Vessel!A:I,9,FALSE)),"")</f>
        <v>46312.600763888891</v>
      </c>
      <c r="AO1001" s="623"/>
      <c r="AP1001" s="623" t="s">
        <v>6449</v>
      </c>
      <c r="AQ1001" s="623" t="s">
        <v>80</v>
      </c>
      <c r="AR1001" s="623" t="s">
        <v>6554</v>
      </c>
      <c r="AS1001" s="623" t="s">
        <v>6555</v>
      </c>
      <c r="AT1001" s="430" t="s">
        <v>6555</v>
      </c>
      <c r="AU100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38.930474537039117</v>
      </c>
      <c r="AV1001" s="623"/>
      <c r="AW1001" s="966" cm="1">
        <f t="array" ref="AW100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46312.600763888891</v>
      </c>
      <c r="AX100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01" s="966" t="str">
        <f>IF(ISERROR(PV_DATA[[#This Row],[New Ark PO status]]),"",_xlfn.XLOOKUP(PV_DATA[[#This Row],[SPTN-PVHK New Ark PO'#]],New_Ark_Data[Purchase order Number],New_Ark_Data[Estimated time of arrival],"",0))</f>
        <v/>
      </c>
      <c r="AZ1001" s="964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01" s="966">
        <f>IFERROR(PV_DATA[[#This Row],[ODP ETA Port]]+PV_DATA[[#This Row],[Customs/Leg3 Assumption]],"n/a")</f>
        <v>46319.600763888891</v>
      </c>
      <c r="BB1001" s="964">
        <f>YEAR(PV_DATA[[#This Row],[ETA for New Ark update]])</f>
        <v>2026</v>
      </c>
      <c r="BC1001" s="623">
        <f>MONTH(PV_DATA[[#This Row],[ETA for New Ark update]])</f>
        <v>10</v>
      </c>
      <c r="BD1001" s="623">
        <f>IFERROR(_xlfn.ISOWEEKNUM(PV_DATA[[#This Row],[ETA for New Ark update]]),0)</f>
        <v>43</v>
      </c>
      <c r="BE1001" s="623">
        <f>_xlfn.XLOOKUP(PV_DATA[[#This Row],[New Ark SKU]],Table9[New Ark SKU],Table9[Total PCS per Pallet],,0)</f>
        <v>36</v>
      </c>
      <c r="BF1001" s="623">
        <f>_xlfn.XLOOKUP(PV_DATA[[#This Row],[New Ark SKU]],Table9[New Ark SKU],Table9[Total PCS per 40HQ Container],,0)</f>
        <v>936</v>
      </c>
      <c r="BG1001" s="623" t="str">
        <f>_xlfn.XLOOKUP(PV_DATA[[#This Row],[New Ark SKU]],Table9[New Ark SKU],Table9[Back Glass],,0)</f>
        <v>Black glazing</v>
      </c>
      <c r="BH1001" s="967" t="str">
        <f>_xlfn.XLOOKUP(PV_DATA[[#This Row],[PORT DESTINATION]],Table12[PORT DESTINATION],Table12[Cosco Line],,0)</f>
        <v>AEU</v>
      </c>
      <c r="BJ1001" s="430"/>
    </row>
    <row r="1002" spans="1:62" ht="10.5" hidden="1">
      <c r="A1002" s="462" t="s">
        <v>6556</v>
      </c>
      <c r="B1002" s="462" t="s">
        <v>1757</v>
      </c>
      <c r="C1002" s="462" t="str">
        <f>IFERROR(LEFT(PV_DATA[[#This Row],[TCL REFERENCE]],FIND(".",PV_DATA[[#This Row],[TCL REFERENCE]],1)-1),"Main Line")</f>
        <v>26Aug007</v>
      </c>
      <c r="D1002" s="462" t="s">
        <v>63</v>
      </c>
      <c r="E1002" s="462" t="s">
        <v>144</v>
      </c>
      <c r="F1002" s="462" t="str" cm="1">
        <f t="array" ref="F100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02" s="462" t="s">
        <v>402</v>
      </c>
      <c r="H1002" s="462" t="s">
        <v>6210</v>
      </c>
      <c r="I1002" s="462" t="s">
        <v>689</v>
      </c>
      <c r="J1002" s="430" t="s">
        <v>6210</v>
      </c>
      <c r="K1002" s="430" t="s">
        <v>6234</v>
      </c>
      <c r="L1002" s="430">
        <v>5</v>
      </c>
      <c r="M1002" s="430" t="s">
        <v>840</v>
      </c>
      <c r="N1002" s="432" t="s">
        <v>6212</v>
      </c>
      <c r="O1002" s="430" t="s">
        <v>284</v>
      </c>
      <c r="P1002" s="430" t="s">
        <v>5860</v>
      </c>
      <c r="Q1002" s="430" t="s">
        <v>5861</v>
      </c>
      <c r="R1002" s="430" t="str">
        <f>_xlfn.XLOOKUP(PV_DATA[[#This Row],[New Ark SKU]],Table9[New Ark SKU],Table9[Connector],,0)</f>
        <v>EVO2A</v>
      </c>
      <c r="S1002" s="433" t="str">
        <f>_xlfn.XLOOKUP(PV_DATA[[#This Row],[New Ark SKU]],Table9[New Ark SKU],Table9[Cable],,0)</f>
        <v>±1200mm</v>
      </c>
      <c r="T1002" s="433">
        <v>485</v>
      </c>
      <c r="U1002" s="1062">
        <v>936</v>
      </c>
      <c r="V1002" s="434">
        <f>PV_DATA[[#This Row],[QUANTITY]]*PV_DATA[[#This Row],[WATT]]/1000000</f>
        <v>0.45395999999999997</v>
      </c>
      <c r="W1002" s="435">
        <f>PV_DATA[[#This Row],[QUANTITY]]/36</f>
        <v>26</v>
      </c>
      <c r="X1002" s="1015">
        <f>PV_DATA[[#This Row],[QUANTITY]]/PV_DATA[[#This Row],[Qty/CT]]</f>
        <v>1</v>
      </c>
      <c r="Y1002" s="430" t="s">
        <v>4376</v>
      </c>
      <c r="Z1002" s="430" t="str">
        <f t="shared" si="15"/>
        <v>COMPLETED</v>
      </c>
      <c r="AA1002" s="545">
        <v>46255</v>
      </c>
      <c r="AB1002" s="1050">
        <v>46268</v>
      </c>
      <c r="AC1002" s="485">
        <f>IF(PV_DATA[[#This Row],[Pick-Up Date]]&lt;&gt;"",_xlfn.ISOWEEKNUM(PV_DATA[[#This Row],[Pick-Up Date]]),"")</f>
        <v>36</v>
      </c>
      <c r="AD1002" s="430" t="s">
        <v>6557</v>
      </c>
      <c r="AE1002" s="430"/>
      <c r="AF1002" s="430" t="s">
        <v>1525</v>
      </c>
      <c r="AG1002" s="430" t="s">
        <v>6003</v>
      </c>
      <c r="AH1002" s="430" t="s">
        <v>456</v>
      </c>
      <c r="AI1002" s="437">
        <v>46267</v>
      </c>
      <c r="AJ1002" s="437">
        <f>IFERROR(VLOOKUP(AT1002, Vessel!A:D, 4, FALSE), "")</f>
        <v>46273.645833333336</v>
      </c>
      <c r="AK1002" s="437">
        <f>IFERROR(IF(VLOOKUP(AT1002,Vessel!A:F,5,FALSE)=0,"",VLOOKUP(AT1002,Vessel!A:F,5,FALSE)),"")</f>
        <v>46273.670289351852</v>
      </c>
      <c r="AL1002" s="437">
        <v>46337</v>
      </c>
      <c r="AM1002" s="939">
        <f>IFERROR(VLOOKUP(AT1002, Vessel!A:H, 8, FALSE), "")</f>
        <v>46312.583333333336</v>
      </c>
      <c r="AN1002" s="939">
        <f>IFERROR(IF(VLOOKUP(AT1002,Vessel!A:I,9,FALSE)=0,"",VLOOKUP(AT1002,Vessel!A:I,9,FALSE)),"")</f>
        <v>46312.600763888891</v>
      </c>
      <c r="AP1002" s="430" t="s">
        <v>6449</v>
      </c>
      <c r="AQ1002" s="430" t="s">
        <v>80</v>
      </c>
      <c r="AR1002" s="430" t="s">
        <v>6558</v>
      </c>
      <c r="AS1002" s="430" t="s">
        <v>6559</v>
      </c>
      <c r="AT1002" s="430" t="s">
        <v>6559</v>
      </c>
      <c r="AU100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38.930474537039117</v>
      </c>
      <c r="AW1002" s="437" cm="1">
        <f t="array" ref="AW100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46312.600763888891</v>
      </c>
      <c r="AX100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02" s="437" t="str">
        <f>IF(ISERROR(PV_DATA[[#This Row],[New Ark PO status]]),"",_xlfn.XLOOKUP(PV_DATA[[#This Row],[SPTN-PVHK New Ark PO'#]],New_Ark_Data[Purchase order Number],New_Ark_Data[Estimated time of arrival],"",0))</f>
        <v/>
      </c>
      <c r="AZ1002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02" s="437">
        <f>IFERROR(PV_DATA[[#This Row],[ODP ETA Port]]+PV_DATA[[#This Row],[Customs/Leg3 Assumption]],"n/a")</f>
        <v>46312.600763888891</v>
      </c>
      <c r="BB1002" s="433">
        <f>YEAR(PV_DATA[[#This Row],[ETA for New Ark update]])</f>
        <v>2026</v>
      </c>
      <c r="BC1002" s="430">
        <f>MONTH(PV_DATA[[#This Row],[ETA for New Ark update]])</f>
        <v>10</v>
      </c>
      <c r="BD1002" s="430">
        <f>IFERROR(_xlfn.ISOWEEKNUM(PV_DATA[[#This Row],[ETA for New Ark update]]),0)</f>
        <v>42</v>
      </c>
      <c r="BE1002" s="430">
        <f>_xlfn.XLOOKUP(PV_DATA[[#This Row],[New Ark SKU]],Table9[New Ark SKU],Table9[Total PCS per Pallet],,0)</f>
        <v>36</v>
      </c>
      <c r="BF1002" s="430">
        <f>_xlfn.XLOOKUP(PV_DATA[[#This Row],[New Ark SKU]],Table9[New Ark SKU],Table9[Total PCS per 40HQ Container],,0)</f>
        <v>936</v>
      </c>
      <c r="BG1002" s="430" t="str">
        <f>_xlfn.XLOOKUP(PV_DATA[[#This Row],[New Ark SKU]],Table9[New Ark SKU],Table9[Back Glass],,0)</f>
        <v>Black glazing</v>
      </c>
      <c r="BH1002" s="430" t="str">
        <f>_xlfn.XLOOKUP(PV_DATA[[#This Row],[PORT DESTINATION]],Table12[PORT DESTINATION],Table12[Cosco Line],,0)</f>
        <v>AEU</v>
      </c>
      <c r="BJ1002" s="430"/>
    </row>
    <row r="1003" spans="1:62" ht="10.5" hidden="1">
      <c r="A1003" s="729" t="s">
        <v>6560</v>
      </c>
      <c r="B1003" s="462" t="s">
        <v>1757</v>
      </c>
      <c r="C1003" s="462" t="str">
        <f>IFERROR(LEFT(PV_DATA[[#This Row],[TCL REFERENCE]],FIND(".",PV_DATA[[#This Row],[TCL REFERENCE]],1)-1),"Main Line")</f>
        <v>26Aug007</v>
      </c>
      <c r="D1003" s="462" t="s">
        <v>63</v>
      </c>
      <c r="E1003" s="462" t="s">
        <v>64</v>
      </c>
      <c r="F1003" s="935" t="str" cm="1">
        <f t="array" ref="F100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03" s="462" t="s">
        <v>402</v>
      </c>
      <c r="H1003" s="462" t="s">
        <v>67</v>
      </c>
      <c r="I1003" s="462" t="s">
        <v>1395</v>
      </c>
      <c r="J1003" s="430" t="s">
        <v>96</v>
      </c>
      <c r="K1003" s="430"/>
      <c r="L1003" s="430"/>
      <c r="M1003" s="430" t="s">
        <v>68</v>
      </c>
      <c r="N1003" s="432" t="s">
        <v>6212</v>
      </c>
      <c r="O1003" s="430" t="s">
        <v>284</v>
      </c>
      <c r="P1003" s="430" t="s">
        <v>5860</v>
      </c>
      <c r="Q1003" s="430" t="s">
        <v>5861</v>
      </c>
      <c r="R1003" s="430" t="str">
        <f>_xlfn.XLOOKUP(PV_DATA[[#This Row],[New Ark SKU]],Table9[New Ark SKU],Table9[Connector],,0)</f>
        <v>EVO2A</v>
      </c>
      <c r="S1003" s="433" t="str">
        <f>_xlfn.XLOOKUP(PV_DATA[[#This Row],[New Ark SKU]],Table9[New Ark SKU],Table9[Cable],,0)</f>
        <v>±1200mm</v>
      </c>
      <c r="T1003" s="433">
        <v>485</v>
      </c>
      <c r="U1003" s="1062">
        <f>936*5</f>
        <v>4680</v>
      </c>
      <c r="V1003" s="1199">
        <f>PV_DATA[[#This Row],[QUANTITY]]*PV_DATA[[#This Row],[WATT]]/1000000</f>
        <v>2.2698</v>
      </c>
      <c r="W1003" s="1200">
        <f>PV_DATA[[#This Row],[QUANTITY]]/36</f>
        <v>130</v>
      </c>
      <c r="X1003" s="1015">
        <f>PV_DATA[[#This Row],[QUANTITY]]/PV_DATA[[#This Row],[Qty/CT]]</f>
        <v>5</v>
      </c>
      <c r="Y1003" s="430" t="s">
        <v>4375</v>
      </c>
      <c r="Z1003" s="430" t="str">
        <f t="shared" si="15"/>
        <v>COMPLETED</v>
      </c>
      <c r="AA1003" s="545">
        <v>46256</v>
      </c>
      <c r="AB1003" s="1050">
        <v>46268</v>
      </c>
      <c r="AC1003" s="485">
        <f>IF(PV_DATA[[#This Row],[Pick-Up Date]]&lt;&gt;"",_xlfn.ISOWEEKNUM(PV_DATA[[#This Row],[Pick-Up Date]]),"")</f>
        <v>36</v>
      </c>
      <c r="AD1003" s="430" t="s">
        <v>6561</v>
      </c>
      <c r="AE1003" s="430"/>
      <c r="AF1003" s="430" t="s">
        <v>1525</v>
      </c>
      <c r="AG1003" s="430" t="s">
        <v>6003</v>
      </c>
      <c r="AH1003" s="430" t="s">
        <v>105</v>
      </c>
      <c r="AI1003" s="437">
        <v>46266</v>
      </c>
      <c r="AJ1003" s="437">
        <f>IFERROR(VLOOKUP(AT1003, Vessel!A:D, 4, FALSE), "")</f>
        <v>46272.625</v>
      </c>
      <c r="AK1003" s="437">
        <f>IFERROR(IF(VLOOKUP(AT1003,Vessel!A:F,5,FALSE)=0,"",VLOOKUP(AT1003,Vessel!A:F,5,FALSE)),"")</f>
        <v>46272.645995370367</v>
      </c>
      <c r="AL1003" s="437">
        <v>46305</v>
      </c>
      <c r="AM1003" s="939">
        <f>IFERROR(VLOOKUP(AT1003, Vessel!A:H, 8, FALSE), "")</f>
        <v>46308.083333333336</v>
      </c>
      <c r="AN1003" s="939">
        <f>IFERROR(IF(VLOOKUP(AT1003,Vessel!A:I,9,FALSE)=0,"",VLOOKUP(AT1003,Vessel!A:I,9,FALSE)),"")</f>
        <v>46308.112372685187</v>
      </c>
      <c r="AP1003" s="430" t="s">
        <v>6387</v>
      </c>
      <c r="AQ1003" s="430" t="s">
        <v>80</v>
      </c>
      <c r="AR1003" s="430" t="s">
        <v>6562</v>
      </c>
      <c r="AS1003" s="430" t="s">
        <v>6563</v>
      </c>
      <c r="AT1003" s="430" t="s">
        <v>6563</v>
      </c>
      <c r="AU100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35.46637731482042</v>
      </c>
      <c r="AW1003" s="437" cm="1">
        <f t="array" ref="AW100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46308.112372685187</v>
      </c>
      <c r="AX100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03" s="437" t="str">
        <f>IF(ISERROR(PV_DATA[[#This Row],[New Ark PO status]]),"",_xlfn.XLOOKUP(PV_DATA[[#This Row],[SPTN-PVHK New Ark PO'#]],New_Ark_Data[Purchase order Number],New_Ark_Data[Estimated time of arrival],"",0))</f>
        <v/>
      </c>
      <c r="AZ1003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03" s="437">
        <f>IFERROR(PV_DATA[[#This Row],[ODP ETA Port]]+PV_DATA[[#This Row],[Customs/Leg3 Assumption]],"n/a")</f>
        <v>46315.112372685187</v>
      </c>
      <c r="BB1003" s="433">
        <f>YEAR(PV_DATA[[#This Row],[ETA for New Ark update]])</f>
        <v>2026</v>
      </c>
      <c r="BC1003" s="430">
        <f>MONTH(PV_DATA[[#This Row],[ETA for New Ark update]])</f>
        <v>10</v>
      </c>
      <c r="BD1003" s="430">
        <f>IFERROR(_xlfn.ISOWEEKNUM(PV_DATA[[#This Row],[ETA for New Ark update]]),0)</f>
        <v>43</v>
      </c>
      <c r="BE1003" s="430">
        <f>_xlfn.XLOOKUP(PV_DATA[[#This Row],[New Ark SKU]],Table9[New Ark SKU],Table9[Total PCS per Pallet],,0)</f>
        <v>36</v>
      </c>
      <c r="BF1003" s="430">
        <f>_xlfn.XLOOKUP(PV_DATA[[#This Row],[New Ark SKU]],Table9[New Ark SKU],Table9[Total PCS per 40HQ Container],,0)</f>
        <v>936</v>
      </c>
      <c r="BG1003" s="430" t="str">
        <f>_xlfn.XLOOKUP(PV_DATA[[#This Row],[New Ark SKU]],Table9[New Ark SKU],Table9[Back Glass],,0)</f>
        <v>Black glazing</v>
      </c>
      <c r="BH1003" s="610" t="str">
        <f>_xlfn.XLOOKUP(PV_DATA[[#This Row],[PORT DESTINATION]],Table12[PORT DESTINATION],Table12[Cosco Line],,0)</f>
        <v>AEU</v>
      </c>
      <c r="BJ1003" s="430"/>
    </row>
    <row r="1004" spans="1:62" ht="11.15" hidden="1" customHeight="1">
      <c r="A1004" s="462" t="s">
        <v>6564</v>
      </c>
      <c r="B1004" s="462" t="s">
        <v>1757</v>
      </c>
      <c r="C1004" s="462" t="str">
        <f>IFERROR(LEFT(PV_DATA[[#This Row],[TCL REFERENCE]],FIND(".",PV_DATA[[#This Row],[TCL REFERENCE]],1)-1),"Main Line")</f>
        <v>26Aug007</v>
      </c>
      <c r="D1004" s="462" t="s">
        <v>63</v>
      </c>
      <c r="E1004" s="462" t="s">
        <v>144</v>
      </c>
      <c r="F1004" s="935" t="str" cm="1">
        <f t="array" ref="F100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04" s="935" t="s">
        <v>402</v>
      </c>
      <c r="H1004" s="462" t="s">
        <v>6210</v>
      </c>
      <c r="I1004" s="462" t="s">
        <v>689</v>
      </c>
      <c r="J1004" s="430" t="s">
        <v>6210</v>
      </c>
      <c r="K1004" s="430" t="s">
        <v>6234</v>
      </c>
      <c r="L1004" s="430">
        <v>8</v>
      </c>
      <c r="M1004" s="430" t="s">
        <v>840</v>
      </c>
      <c r="N1004" s="432" t="s">
        <v>6212</v>
      </c>
      <c r="O1004" s="430" t="s">
        <v>284</v>
      </c>
      <c r="P1004" s="430" t="s">
        <v>5860</v>
      </c>
      <c r="Q1004" s="430" t="s">
        <v>5861</v>
      </c>
      <c r="R1004" s="430" t="str">
        <f>_xlfn.XLOOKUP(PV_DATA[[#This Row],[New Ark SKU]],Table9[New Ark SKU],Table9[Connector],,0)</f>
        <v>EVO2A</v>
      </c>
      <c r="S1004" s="433" t="str">
        <f>_xlfn.XLOOKUP(PV_DATA[[#This Row],[New Ark SKU]],Table9[New Ark SKU],Table9[Cable],,0)</f>
        <v>±1200mm</v>
      </c>
      <c r="T1004" s="433">
        <v>485</v>
      </c>
      <c r="U1004" s="1062">
        <v>1872</v>
      </c>
      <c r="V1004" s="434">
        <f>PV_DATA[[#This Row],[QUANTITY]]*PV_DATA[[#This Row],[WATT]]/1000000</f>
        <v>0.90791999999999995</v>
      </c>
      <c r="W1004" s="969">
        <f>PV_DATA[[#This Row],[QUANTITY]]/36</f>
        <v>52</v>
      </c>
      <c r="X1004" s="1015">
        <f>PV_DATA[[#This Row],[QUANTITY]]/PV_DATA[[#This Row],[Qty/CT]]</f>
        <v>2</v>
      </c>
      <c r="Y1004" s="430" t="s">
        <v>4376</v>
      </c>
      <c r="Z1004" s="430" t="str">
        <f t="shared" si="15"/>
        <v>COMPLETED</v>
      </c>
      <c r="AA1004" s="545">
        <v>46255</v>
      </c>
      <c r="AB1004" s="437">
        <v>46265</v>
      </c>
      <c r="AC1004" s="485">
        <f>IF(PV_DATA[[#This Row],[Pick-Up Date]]&lt;&gt;"",_xlfn.ISOWEEKNUM(PV_DATA[[#This Row],[Pick-Up Date]]),"")</f>
        <v>36</v>
      </c>
      <c r="AD1004" s="430" t="s">
        <v>6565</v>
      </c>
      <c r="AE1004" s="430"/>
      <c r="AF1004" s="430" t="s">
        <v>1525</v>
      </c>
      <c r="AG1004" s="430" t="s">
        <v>6003</v>
      </c>
      <c r="AH1004" s="430" t="s">
        <v>456</v>
      </c>
      <c r="AI1004" s="437">
        <v>46267</v>
      </c>
      <c r="AJ1004" s="437">
        <v>46273</v>
      </c>
      <c r="AK1004" s="437">
        <v>46273</v>
      </c>
      <c r="AL1004" s="437">
        <v>46309</v>
      </c>
      <c r="AM1004" s="437">
        <v>46320</v>
      </c>
      <c r="AN1004" s="437">
        <v>46321</v>
      </c>
      <c r="AP1004" s="430" t="s">
        <v>6566</v>
      </c>
      <c r="AQ1004" s="438" t="s">
        <v>6567</v>
      </c>
      <c r="AR1004" s="430" t="s">
        <v>6568</v>
      </c>
      <c r="AS1004" s="430" t="s">
        <v>6569</v>
      </c>
      <c r="AT1004" s="430" t="s">
        <v>6569</v>
      </c>
      <c r="AU100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</v>
      </c>
      <c r="AW1004" s="437" cm="1">
        <f t="array" ref="AW100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46321</v>
      </c>
      <c r="AX100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1004" s="437">
        <f>IF(ISERROR(PV_DATA[[#This Row],[New Ark PO status]]),"",_xlfn.XLOOKUP(PV_DATA[[#This Row],[SPTN-PVHK New Ark PO'#]],New_Ark_Data[Purchase order Number],New_Ark_Data[Estimated time of arrival],"",0))</f>
        <v>46309</v>
      </c>
      <c r="AZ1004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04" s="437">
        <f>IFERROR(PV_DATA[[#This Row],[ODP ETA Port]]+PV_DATA[[#This Row],[Customs/Leg3 Assumption]],"n/a")</f>
        <v>46321</v>
      </c>
      <c r="BB1004" s="433">
        <f>YEAR(PV_DATA[[#This Row],[ETA for New Ark update]])</f>
        <v>2026</v>
      </c>
      <c r="BC1004" s="430">
        <f>MONTH(PV_DATA[[#This Row],[ETA for New Ark update]])</f>
        <v>10</v>
      </c>
      <c r="BD1004" s="430">
        <f>IFERROR(_xlfn.ISOWEEKNUM(PV_DATA[[#This Row],[ETA for New Ark update]]),0)</f>
        <v>44</v>
      </c>
      <c r="BE1004" s="430">
        <f>_xlfn.XLOOKUP(PV_DATA[[#This Row],[New Ark SKU]],Table9[New Ark SKU],Table9[Total PCS per Pallet],,0)</f>
        <v>36</v>
      </c>
      <c r="BF1004" s="430">
        <f>_xlfn.XLOOKUP(PV_DATA[[#This Row],[New Ark SKU]],Table9[New Ark SKU],Table9[Total PCS per 40HQ Container],,0)</f>
        <v>936</v>
      </c>
      <c r="BG1004" s="430" t="str">
        <f>_xlfn.XLOOKUP(PV_DATA[[#This Row],[New Ark SKU]],Table9[New Ark SKU],Table9[Back Glass],,0)</f>
        <v>Black glazing</v>
      </c>
      <c r="BH1004" s="610" t="str">
        <f>_xlfn.XLOOKUP(PV_DATA[[#This Row],[PORT DESTINATION]],Table12[PORT DESTINATION],Table12[Cosco Line],,0)</f>
        <v>AEU</v>
      </c>
      <c r="BJ1004" s="430"/>
    </row>
    <row r="1005" spans="1:62" ht="10.5" hidden="1">
      <c r="A1005" s="941" t="s">
        <v>6570</v>
      </c>
      <c r="B1005" s="935" t="s">
        <v>1757</v>
      </c>
      <c r="C1005" s="462" t="str">
        <f>IFERROR(LEFT(PV_DATA[[#This Row],[TCL REFERENCE]],FIND(".",PV_DATA[[#This Row],[TCL REFERENCE]],1)-1),"Main Line")</f>
        <v>26Aug008</v>
      </c>
      <c r="D1005" s="935" t="s">
        <v>63</v>
      </c>
      <c r="E1005" s="935" t="s">
        <v>64</v>
      </c>
      <c r="F1005" s="462" t="str" cm="1">
        <f t="array" ref="F100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1005" s="935" t="s">
        <v>402</v>
      </c>
      <c r="H1005" s="462" t="s">
        <v>451</v>
      </c>
      <c r="I1005" s="462" t="s">
        <v>1395</v>
      </c>
      <c r="J1005" s="623" t="s">
        <v>6339</v>
      </c>
      <c r="K1005" s="430"/>
      <c r="L1005" s="432"/>
      <c r="M1005" s="430" t="s">
        <v>68</v>
      </c>
      <c r="N1005" s="432" t="s">
        <v>6212</v>
      </c>
      <c r="O1005" s="623" t="s">
        <v>284</v>
      </c>
      <c r="P1005" s="623" t="s">
        <v>6219</v>
      </c>
      <c r="Q1005" s="623" t="s">
        <v>6220</v>
      </c>
      <c r="R1005" s="430" t="str">
        <f>_xlfn.XLOOKUP(PV_DATA[[#This Row],[New Ark SKU]],Table9[New Ark SKU],Table9[Connector],,0)</f>
        <v>EVO2A</v>
      </c>
      <c r="S1005" s="433" t="str">
        <f>_xlfn.XLOOKUP(PV_DATA[[#This Row],[New Ark SKU]],Table9[New Ark SKU],Table9[Cable],,0)</f>
        <v>±1200mm</v>
      </c>
      <c r="T1005" s="964">
        <v>490</v>
      </c>
      <c r="U1005" s="1074">
        <v>2808</v>
      </c>
      <c r="V1005" s="965">
        <f>PV_DATA[[#This Row],[QUANTITY]]*PV_DATA[[#This Row],[WATT]]/1000000</f>
        <v>1.37592</v>
      </c>
      <c r="W1005" s="969">
        <f>PV_DATA[[#This Row],[QUANTITY]]/36</f>
        <v>78</v>
      </c>
      <c r="X1005" s="1015">
        <f>PV_DATA[[#This Row],[QUANTITY]]/PV_DATA[[#This Row],[Qty/CT]]</f>
        <v>3</v>
      </c>
      <c r="Y1005" s="430" t="s">
        <v>4375</v>
      </c>
      <c r="Z1005" s="430" t="str">
        <f t="shared" si="15"/>
        <v>COMPLETED</v>
      </c>
      <c r="AA1005" s="1051" t="s">
        <v>5862</v>
      </c>
      <c r="AB1005" s="437">
        <v>46264</v>
      </c>
      <c r="AC1005" s="485">
        <f>IF(PV_DATA[[#This Row],[Pick-Up Date]]&lt;&gt;"",_xlfn.ISOWEEKNUM(PV_DATA[[#This Row],[Pick-Up Date]]),"")</f>
        <v>35</v>
      </c>
      <c r="AD1005" s="430" t="s">
        <v>6571</v>
      </c>
      <c r="AE1005" s="430"/>
      <c r="AF1005" s="430" t="s">
        <v>1525</v>
      </c>
      <c r="AG1005" s="430" t="s">
        <v>6003</v>
      </c>
      <c r="AH1005" s="430" t="s">
        <v>456</v>
      </c>
      <c r="AI1005" s="437">
        <v>46269</v>
      </c>
      <c r="AJ1005" s="437">
        <f>IFERROR(VLOOKUP(AT1005, Vessel!A:D, 4, FALSE), "")</f>
        <v>46269.041666666664</v>
      </c>
      <c r="AK1005" s="437">
        <f>IFERROR(IF(VLOOKUP(AT1005,Vessel!A:F,5,FALSE)=0,"",VLOOKUP(AT1005,Vessel!A:F,5,FALSE)),"")</f>
        <v>46269.101157407407</v>
      </c>
      <c r="AL1005" s="437">
        <v>46306</v>
      </c>
      <c r="AM1005" s="939">
        <f>IFERROR(VLOOKUP(AT1005, Vessel!A:H, 8, FALSE), "")</f>
        <v>46317.25</v>
      </c>
      <c r="AN1005" s="939">
        <f>IFERROR(IF(VLOOKUP(AT1005,Vessel!A:I,9,FALSE)=0,"",VLOOKUP(AT1005,Vessel!A:I,9,FALSE)),"")</f>
        <v>46317.282534722224</v>
      </c>
      <c r="AO1005" s="438"/>
      <c r="AP1005" s="430" t="s">
        <v>6572</v>
      </c>
      <c r="AQ1005" s="430" t="s">
        <v>80</v>
      </c>
      <c r="AR1005" s="430" t="s">
        <v>6573</v>
      </c>
      <c r="AS1005" s="430" t="s">
        <v>6574</v>
      </c>
      <c r="AT1005" s="430" t="s">
        <v>6574</v>
      </c>
      <c r="AU100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48.181377314816928</v>
      </c>
      <c r="AV1005" s="433"/>
      <c r="AW1005" s="437" cm="1">
        <f t="array" ref="AW100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46317.282534722224</v>
      </c>
      <c r="AX100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1005" s="437">
        <f>IF(ISERROR(PV_DATA[[#This Row],[New Ark PO status]]),"",_xlfn.XLOOKUP(PV_DATA[[#This Row],[SPTN-PVHK New Ark PO'#]],New_Ark_Data[Purchase order Number],New_Ark_Data[Estimated time of arrival],"",0))</f>
        <v>46314</v>
      </c>
      <c r="AZ1005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05" s="437">
        <f>IFERROR(PV_DATA[[#This Row],[ODP ETA Port]]+PV_DATA[[#This Row],[Customs/Leg3 Assumption]],"n/a")</f>
        <v>46324.282534722224</v>
      </c>
      <c r="BB1005" s="433">
        <f>YEAR(PV_DATA[[#This Row],[ETA for New Ark update]])</f>
        <v>2026</v>
      </c>
      <c r="BC1005" s="430">
        <f>MONTH(PV_DATA[[#This Row],[ETA for New Ark update]])</f>
        <v>10</v>
      </c>
      <c r="BD1005" s="430">
        <f>IFERROR(_xlfn.ISOWEEKNUM(PV_DATA[[#This Row],[ETA for New Ark update]]),0)</f>
        <v>44</v>
      </c>
      <c r="BE1005" s="430">
        <f>_xlfn.XLOOKUP(PV_DATA[[#This Row],[New Ark SKU]],Table9[New Ark SKU],Table9[Total PCS per Pallet],,0)</f>
        <v>36</v>
      </c>
      <c r="BF1005" s="430">
        <f>_xlfn.XLOOKUP(PV_DATA[[#This Row],[New Ark SKU]],Table9[New Ark SKU],Table9[Total PCS per 40HQ Container],,0)</f>
        <v>936</v>
      </c>
      <c r="BG1005" s="430" t="str">
        <f>_xlfn.XLOOKUP(PV_DATA[[#This Row],[New Ark SKU]],Table9[New Ark SKU],Table9[Back Glass],,0)</f>
        <v>Black glazing</v>
      </c>
      <c r="BH1005" s="610" t="str">
        <f>_xlfn.XLOOKUP(PV_DATA[[#This Row],[PORT DESTINATION]],Table12[PORT DESTINATION],Table12[Cosco Line],,0)</f>
        <v>AEU</v>
      </c>
      <c r="BJ1005" s="430"/>
    </row>
    <row r="1006" spans="1:62" ht="10.5" hidden="1">
      <c r="A1006" s="462" t="s">
        <v>6575</v>
      </c>
      <c r="B1006" s="462" t="s">
        <v>1757</v>
      </c>
      <c r="C1006" s="462" t="str">
        <f>IFERROR(LEFT(PV_DATA[[#This Row],[TCL REFERENCE]],FIND(".",PV_DATA[[#This Row],[TCL REFERENCE]],1)-1),"Main Line")</f>
        <v>26Jul007</v>
      </c>
      <c r="D1006" s="462" t="s">
        <v>63</v>
      </c>
      <c r="E1006" s="462" t="s">
        <v>64</v>
      </c>
      <c r="F1006" s="462" t="str" cm="1">
        <f t="array" ref="F100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006" s="462" t="s">
        <v>402</v>
      </c>
      <c r="H1006" s="462" t="s">
        <v>67</v>
      </c>
      <c r="I1006" s="462" t="s">
        <v>689</v>
      </c>
      <c r="J1006" s="430" t="s">
        <v>96</v>
      </c>
      <c r="K1006" s="462"/>
      <c r="L1006" s="430"/>
      <c r="M1006" s="430" t="s">
        <v>6325</v>
      </c>
      <c r="N1006" s="432">
        <v>46209</v>
      </c>
      <c r="O1006" s="430" t="s">
        <v>4540</v>
      </c>
      <c r="P1006" s="430" t="s">
        <v>71</v>
      </c>
      <c r="Q1006" s="430" t="s">
        <v>72</v>
      </c>
      <c r="R1006" s="430" t="str">
        <f>_xlfn.XLOOKUP(PV_DATA[[#This Row],[New Ark SKU]],Table9[New Ark SKU],Table9[Connector],,0)</f>
        <v>EVO2A</v>
      </c>
      <c r="S1006" s="433" t="str">
        <f>_xlfn.XLOOKUP(PV_DATA[[#This Row],[New Ark SKU]],Table9[New Ark SKU],Table9[Cable],,0)</f>
        <v>±1200mm</v>
      </c>
      <c r="T1006" s="433">
        <v>500</v>
      </c>
      <c r="U1006" s="1062">
        <v>864</v>
      </c>
      <c r="V1006" s="434">
        <f>PV_DATA[[#This Row],[QUANTITY]]*PV_DATA[[#This Row],[WATT]]/1000000</f>
        <v>0.432</v>
      </c>
      <c r="W1006" s="435">
        <f>PV_DATA[[#This Row],[QUANTITY]]/PV_DATA[[#This Row],[Qty/Pallet]]</f>
        <v>24</v>
      </c>
      <c r="X1006" s="1015">
        <f>PV_DATA[[#This Row],[QUANTITY]]/PV_DATA[[#This Row],[Qty/CT]]</f>
        <v>1</v>
      </c>
      <c r="Y1006" s="430" t="s">
        <v>4375</v>
      </c>
      <c r="Z1006" s="430" t="str">
        <f t="shared" si="15"/>
        <v>COMPLETED</v>
      </c>
      <c r="AA1006" s="1051" t="s">
        <v>5862</v>
      </c>
      <c r="AB1006" s="437">
        <v>46264</v>
      </c>
      <c r="AC1006" s="485">
        <f>IF(PV_DATA[[#This Row],[Pick-Up Date]]&lt;&gt;"",_xlfn.ISOWEEKNUM(PV_DATA[[#This Row],[Pick-Up Date]]),"")</f>
        <v>35</v>
      </c>
      <c r="AD1006" s="430" t="s">
        <v>6576</v>
      </c>
      <c r="AE1006" s="430"/>
      <c r="AF1006" s="459" t="s">
        <v>1525</v>
      </c>
      <c r="AG1006" s="459" t="s">
        <v>1525</v>
      </c>
      <c r="AH1006" s="430" t="s">
        <v>78</v>
      </c>
      <c r="AI1006" s="437">
        <v>46268</v>
      </c>
      <c r="AJ1006" s="437">
        <v>46268</v>
      </c>
      <c r="AK1006" s="437">
        <f>IFERROR(IF(VLOOKUP(AT1006,Vessel!A:F,5,FALSE)=0,"",VLOOKUP(AT1006,Vessel!A:F,5,FALSE)),"")</f>
        <v>46268.365231481483</v>
      </c>
      <c r="AL1006" s="437">
        <v>46316</v>
      </c>
      <c r="AM1006" s="939">
        <f>IFERROR(VLOOKUP(AT1006, Vessel!A:H, 8, FALSE), "")</f>
        <v>46310.833333333336</v>
      </c>
      <c r="AN1006" s="939">
        <f>IFERROR(IF(VLOOKUP(AT1006,Vessel!A:I,9,FALSE)=0,"",VLOOKUP(AT1006,Vessel!A:I,9,FALSE)),"")</f>
        <v>46310.812465277777</v>
      </c>
      <c r="AP1006" s="430" t="s">
        <v>6577</v>
      </c>
      <c r="AQ1006" s="430" t="s">
        <v>80</v>
      </c>
      <c r="AR1006" s="430" t="s">
        <v>6578</v>
      </c>
      <c r="AS1006" s="430" t="s">
        <v>6579</v>
      </c>
      <c r="AT1006" s="430" t="s">
        <v>6579</v>
      </c>
      <c r="AU100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42.447233796294313</v>
      </c>
      <c r="AW1006" s="437" cm="1">
        <f t="array" ref="AW100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46310.812465277777</v>
      </c>
      <c r="AX100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1006" s="437">
        <f>IF(ISERROR(PV_DATA[[#This Row],[New Ark PO status]]),"",_xlfn.XLOOKUP(PV_DATA[[#This Row],[SPTN-PVHK New Ark PO'#]],New_Ark_Data[Purchase order Number],New_Ark_Data[Estimated time of arrival],"",0))</f>
        <v>46317</v>
      </c>
      <c r="AZ1006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006" s="437">
        <f>IFERROR(PV_DATA[[#This Row],[ODP ETA Port]]+PV_DATA[[#This Row],[Customs/Leg3 Assumption]],"n/a")</f>
        <v>46318.812465277777</v>
      </c>
      <c r="BB1006" s="433">
        <f>YEAR(PV_DATA[[#This Row],[ETA for New Ark update]])</f>
        <v>2026</v>
      </c>
      <c r="BC1006" s="430">
        <f>MONTH(PV_DATA[[#This Row],[ETA for New Ark update]])</f>
        <v>10</v>
      </c>
      <c r="BD1006" s="430">
        <f>IFERROR(_xlfn.ISOWEEKNUM(PV_DATA[[#This Row],[ETA for New Ark update]]),0)</f>
        <v>43</v>
      </c>
      <c r="BE1006" s="430">
        <f>_xlfn.XLOOKUP(PV_DATA[[#This Row],[New Ark SKU]],Table9[New Ark SKU],Table9[Total PCS per Pallet],,0)</f>
        <v>36</v>
      </c>
      <c r="BF1006" s="430">
        <f>_xlfn.XLOOKUP(PV_DATA[[#This Row],[New Ark SKU]],Table9[New Ark SKU],Table9[Total PCS per 40HQ Container],,0)</f>
        <v>864</v>
      </c>
      <c r="BG1006" s="430" t="str">
        <f>_xlfn.XLOOKUP(PV_DATA[[#This Row],[New Ark SKU]],Table9[New Ark SKU],Table9[Back Glass],,0)</f>
        <v>Black glazing</v>
      </c>
      <c r="BH1006" s="430" t="str">
        <f>_xlfn.XLOOKUP(PV_DATA[[#This Row],[PORT DESTINATION]],Table12[PORT DESTINATION],Table12[Cosco Line],,0)</f>
        <v>AEM</v>
      </c>
      <c r="BJ1006" s="430"/>
    </row>
    <row r="1007" spans="1:62" ht="10.5" hidden="1">
      <c r="A1007" s="729" t="s">
        <v>6580</v>
      </c>
      <c r="B1007" s="462" t="s">
        <v>61</v>
      </c>
      <c r="C1007" s="462" t="str">
        <f>IFERROR(LEFT(PV_DATA[[#This Row],[TCL REFERENCE]],FIND(".",PV_DATA[[#This Row],[TCL REFERENCE]],1)-1),"Main Line")</f>
        <v>26Aug003</v>
      </c>
      <c r="D1007" s="462" t="s">
        <v>63</v>
      </c>
      <c r="E1007" s="462" t="s">
        <v>64</v>
      </c>
      <c r="F1007" s="462" t="str" cm="1">
        <f t="array" ref="F100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07" s="462" t="s">
        <v>402</v>
      </c>
      <c r="H1007" s="462" t="s">
        <v>67</v>
      </c>
      <c r="I1007" s="462" t="s">
        <v>6424</v>
      </c>
      <c r="J1007" s="430" t="s">
        <v>96</v>
      </c>
      <c r="K1007" s="462"/>
      <c r="L1007" s="430"/>
      <c r="M1007" s="430" t="s">
        <v>6325</v>
      </c>
      <c r="N1007" s="432">
        <v>46237</v>
      </c>
      <c r="O1007" s="430" t="s">
        <v>4540</v>
      </c>
      <c r="P1007" s="430" t="s">
        <v>71</v>
      </c>
      <c r="Q1007" s="430" t="s">
        <v>72</v>
      </c>
      <c r="R1007" s="430" t="str">
        <f>_xlfn.XLOOKUP(PV_DATA[[#This Row],[New Ark SKU]],Table9[New Ark SKU],Table9[Connector],,0)</f>
        <v>EVO2A</v>
      </c>
      <c r="S1007" s="433" t="str">
        <f>_xlfn.XLOOKUP(PV_DATA[[#This Row],[New Ark SKU]],Table9[New Ark SKU],Table9[Cable],,0)</f>
        <v>±1200mm</v>
      </c>
      <c r="T1007" s="433">
        <v>500</v>
      </c>
      <c r="U1007" s="1062">
        <v>4320</v>
      </c>
      <c r="V1007" s="434">
        <f>PV_DATA[[#This Row],[QUANTITY]]*PV_DATA[[#This Row],[WATT]]/1000000</f>
        <v>2.16</v>
      </c>
      <c r="W1007" s="435">
        <f>PV_DATA[[#This Row],[QUANTITY]]/PV_DATA[[#This Row],[Qty/Pallet]]</f>
        <v>120</v>
      </c>
      <c r="X1007" s="1015">
        <f>PV_DATA[[#This Row],[QUANTITY]]/PV_DATA[[#This Row],[Qty/CT]]</f>
        <v>5</v>
      </c>
      <c r="Y1007" s="430" t="s">
        <v>4374</v>
      </c>
      <c r="Z1007" s="430"/>
      <c r="AA1007" s="430" t="s">
        <v>5862</v>
      </c>
      <c r="AB1007" s="543">
        <v>46262</v>
      </c>
      <c r="AC1007" s="485">
        <f>IF(PV_DATA[[#This Row],[Pick-Up Date]]&lt;&gt;"",_xlfn.ISOWEEKNUM(PV_DATA[[#This Row],[Pick-Up Date]]),"")</f>
        <v>35</v>
      </c>
      <c r="AD1007" s="430" t="s">
        <v>6581</v>
      </c>
      <c r="AE1007" s="430"/>
      <c r="AF1007" s="459" t="s">
        <v>61</v>
      </c>
      <c r="AG1007" s="459" t="s">
        <v>61</v>
      </c>
      <c r="AH1007" s="430" t="s">
        <v>105</v>
      </c>
      <c r="AI1007" s="1050">
        <v>46268</v>
      </c>
      <c r="AJ1007" s="437">
        <f>IFERROR(VLOOKUP(AT1007, Vessel!A:D, 4, FALSE), "")</f>
        <v>46269.833333333336</v>
      </c>
      <c r="AK1007" s="437">
        <f>IFERROR(IF(VLOOKUP(AT1007,Vessel!A:F,5,FALSE)=0,"",VLOOKUP(AT1007,Vessel!A:F,5,FALSE)),"")</f>
        <v>46269.854108796295</v>
      </c>
      <c r="AL1007" s="966">
        <v>46313</v>
      </c>
      <c r="AM1007" s="939">
        <f>IFERROR(VLOOKUP(AT1007, Vessel!A:H, 8, FALSE), "")</f>
        <v>46316.583333333336</v>
      </c>
      <c r="AN1007" s="939">
        <f>IFERROR(IF(VLOOKUP(AT1007,Vessel!A:I,9,FALSE)=0,"",VLOOKUP(AT1007,Vessel!A:I,9,FALSE)),"")</f>
        <v>46316.635636574072</v>
      </c>
      <c r="AO1007" s="462" t="s">
        <v>402</v>
      </c>
      <c r="AP1007" s="430" t="s">
        <v>6582</v>
      </c>
      <c r="AQ1007" s="430" t="s">
        <v>80</v>
      </c>
      <c r="AR1007" s="430" t="s">
        <v>6583</v>
      </c>
      <c r="AS1007" s="430" t="s">
        <v>6584</v>
      </c>
      <c r="AT1007" s="430" t="s">
        <v>6584</v>
      </c>
      <c r="AU100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46.781527777777228</v>
      </c>
      <c r="AW1007" s="437" cm="1">
        <f t="array" ref="AW100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46316.635636574072</v>
      </c>
      <c r="AX100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1007" s="437">
        <f>IF(ISERROR(PV_DATA[[#This Row],[New Ark PO status]]),"",_xlfn.XLOOKUP(PV_DATA[[#This Row],[SPTN-PVHK New Ark PO'#]],New_Ark_Data[Purchase order Number],New_Ark_Data[Estimated time of arrival],"",0))</f>
        <v>46321</v>
      </c>
      <c r="AZ1007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07" s="437">
        <f>IFERROR(PV_DATA[[#This Row],[ODP ETA Port]]+PV_DATA[[#This Row],[Customs/Leg3 Assumption]],"n/a")</f>
        <v>46323.635636574072</v>
      </c>
      <c r="BB1007" s="433">
        <f>YEAR(PV_DATA[[#This Row],[ETA for New Ark update]])</f>
        <v>2026</v>
      </c>
      <c r="BC1007" s="430">
        <f>MONTH(PV_DATA[[#This Row],[ETA for New Ark update]])</f>
        <v>10</v>
      </c>
      <c r="BD1007" s="430">
        <f>IFERROR(_xlfn.ISOWEEKNUM(PV_DATA[[#This Row],[ETA for New Ark update]]),0)</f>
        <v>44</v>
      </c>
      <c r="BE1007" s="430">
        <f>_xlfn.XLOOKUP(PV_DATA[[#This Row],[New Ark SKU]],Table9[New Ark SKU],Table9[Total PCS per Pallet],,0)</f>
        <v>36</v>
      </c>
      <c r="BF1007" s="430">
        <f>_xlfn.XLOOKUP(PV_DATA[[#This Row],[New Ark SKU]],Table9[New Ark SKU],Table9[Total PCS per 40HQ Container],,0)</f>
        <v>864</v>
      </c>
      <c r="BG1007" s="430" t="str">
        <f>_xlfn.XLOOKUP(PV_DATA[[#This Row],[New Ark SKU]],Table9[New Ark SKU],Table9[Back Glass],,0)</f>
        <v>Black glazing</v>
      </c>
      <c r="BH1007" s="610" t="str">
        <f>_xlfn.XLOOKUP(PV_DATA[[#This Row],[PORT DESTINATION]],Table12[PORT DESTINATION],Table12[Cosco Line],,0)</f>
        <v>AEU</v>
      </c>
      <c r="BJ1007" s="430"/>
    </row>
    <row r="1008" spans="1:62" ht="10.5" hidden="1">
      <c r="A1008" s="729" t="s">
        <v>6585</v>
      </c>
      <c r="B1008" s="462" t="s">
        <v>61</v>
      </c>
      <c r="C1008" s="462" t="str">
        <f>IFERROR(LEFT(PV_DATA[[#This Row],[TCL REFERENCE]],FIND(".",PV_DATA[[#This Row],[TCL REFERENCE]],1)-1),"Main Line")</f>
        <v>26Aug004</v>
      </c>
      <c r="D1008" s="462" t="s">
        <v>63</v>
      </c>
      <c r="E1008" s="462" t="s">
        <v>64</v>
      </c>
      <c r="F1008" s="462" t="str" cm="1">
        <f t="array" ref="F100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08" s="462" t="s">
        <v>402</v>
      </c>
      <c r="H1008" s="462" t="s">
        <v>67</v>
      </c>
      <c r="I1008" s="462" t="s">
        <v>6424</v>
      </c>
      <c r="J1008" s="430" t="s">
        <v>96</v>
      </c>
      <c r="K1008" s="430"/>
      <c r="L1008" s="430"/>
      <c r="M1008" s="430" t="s">
        <v>6325</v>
      </c>
      <c r="N1008" s="432">
        <v>46237</v>
      </c>
      <c r="O1008" s="430" t="s">
        <v>4540</v>
      </c>
      <c r="P1008" s="430" t="s">
        <v>1151</v>
      </c>
      <c r="Q1008" s="430" t="s">
        <v>421</v>
      </c>
      <c r="R1008" s="430" t="str">
        <f>_xlfn.XLOOKUP(PV_DATA[[#This Row],[New Ark SKU]],Table9[New Ark SKU],Table9[Connector],,0)</f>
        <v>EVO2A</v>
      </c>
      <c r="S1008" s="433" t="str">
        <f>_xlfn.XLOOKUP(PV_DATA[[#This Row],[New Ark SKU]],Table9[New Ark SKU],Table9[Cable],,0)</f>
        <v>±1200mm</v>
      </c>
      <c r="T1008" s="433">
        <v>505</v>
      </c>
      <c r="U1008" s="1062">
        <v>2592</v>
      </c>
      <c r="V1008" s="434">
        <f>PV_DATA[[#This Row],[QUANTITY]]*PV_DATA[[#This Row],[WATT]]/1000000</f>
        <v>1.3089599999999999</v>
      </c>
      <c r="W1008" s="435">
        <f>PV_DATA[[#This Row],[QUANTITY]]/PV_DATA[[#This Row],[Qty/Pallet]]</f>
        <v>72</v>
      </c>
      <c r="X1008" s="1015">
        <f>PV_DATA[[#This Row],[QUANTITY]]/PV_DATA[[#This Row],[Qty/CT]]</f>
        <v>3</v>
      </c>
      <c r="Y1008" s="430" t="s">
        <v>4377</v>
      </c>
      <c r="Z1008" s="430" t="str">
        <f t="shared" ref="Z1008:Z1019" si="16">IF(AN1008&lt;&gt;"","COMPLETED",IF(AK1008&lt;&gt;"","IN-TRANSIT",""))</f>
        <v>COMPLETED</v>
      </c>
      <c r="AA1008" s="430" t="s">
        <v>6425</v>
      </c>
      <c r="AB1008" s="543">
        <v>46262</v>
      </c>
      <c r="AC1008" s="485">
        <f>IF(PV_DATA[[#This Row],[Pick-Up Date]]&lt;&gt;"",_xlfn.ISOWEEKNUM(PV_DATA[[#This Row],[Pick-Up Date]]),"")</f>
        <v>35</v>
      </c>
      <c r="AD1008" s="430" t="s">
        <v>6586</v>
      </c>
      <c r="AE1008" s="430"/>
      <c r="AF1008" s="459" t="s">
        <v>61</v>
      </c>
      <c r="AG1008" s="459" t="s">
        <v>61</v>
      </c>
      <c r="AH1008" s="430" t="s">
        <v>105</v>
      </c>
      <c r="AI1008" s="1050">
        <v>46268</v>
      </c>
      <c r="AJ1008" s="437">
        <f>IFERROR(VLOOKUP(AT1008, Vessel!A:D, 4, FALSE), "")</f>
        <v>46269.833333333336</v>
      </c>
      <c r="AK1008" s="437">
        <f>IFERROR(IF(VLOOKUP(AT1008,Vessel!A:F,5,FALSE)=0,"",VLOOKUP(AT1008,Vessel!A:F,5,FALSE)),"")</f>
        <v>46269.854108796295</v>
      </c>
      <c r="AL1008" s="966">
        <v>46313</v>
      </c>
      <c r="AM1008" s="939">
        <f>IFERROR(VLOOKUP(AT1008, Vessel!A:H, 8, FALSE), "")</f>
        <v>46316.583333333336</v>
      </c>
      <c r="AN1008" s="939">
        <f>IFERROR(IF(VLOOKUP(AT1008,Vessel!A:I,9,FALSE)=0,"",VLOOKUP(AT1008,Vessel!A:I,9,FALSE)),"")</f>
        <v>46316.635636574072</v>
      </c>
      <c r="AO1008" s="462" t="s">
        <v>402</v>
      </c>
      <c r="AP1008" s="430" t="s">
        <v>6582</v>
      </c>
      <c r="AQ1008" s="438" t="s">
        <v>80</v>
      </c>
      <c r="AR1008" s="430" t="s">
        <v>6583</v>
      </c>
      <c r="AS1008" s="430" t="s">
        <v>6584</v>
      </c>
      <c r="AT1008" s="430" t="s">
        <v>6584</v>
      </c>
      <c r="AU100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46.781527777777228</v>
      </c>
      <c r="AW1008" s="437" cm="1">
        <f t="array" ref="AW100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46316.635636574072</v>
      </c>
      <c r="AX100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1008" s="437">
        <f>IF(ISERROR(PV_DATA[[#This Row],[New Ark PO status]]),"",_xlfn.XLOOKUP(PV_DATA[[#This Row],[SPTN-PVHK New Ark PO'#]],New_Ark_Data[Purchase order Number],New_Ark_Data[Estimated time of arrival],"",0))</f>
        <v>46321</v>
      </c>
      <c r="AZ1008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08" s="437">
        <f>IFERROR(PV_DATA[[#This Row],[ODP ETA Port]]+PV_DATA[[#This Row],[Customs/Leg3 Assumption]],"n/a")</f>
        <v>46323.635636574072</v>
      </c>
      <c r="BB1008" s="433">
        <f>YEAR(PV_DATA[[#This Row],[ETA for New Ark update]])</f>
        <v>2026</v>
      </c>
      <c r="BC1008" s="430">
        <f>MONTH(PV_DATA[[#This Row],[ETA for New Ark update]])</f>
        <v>10</v>
      </c>
      <c r="BD1008" s="430">
        <f>IFERROR(_xlfn.ISOWEEKNUM(PV_DATA[[#This Row],[ETA for New Ark update]]),0)</f>
        <v>44</v>
      </c>
      <c r="BE1008" s="430">
        <f>_xlfn.XLOOKUP(PV_DATA[[#This Row],[New Ark SKU]],Table9[New Ark SKU],Table9[Total PCS per Pallet],,0)</f>
        <v>36</v>
      </c>
      <c r="BF1008" s="430">
        <f>_xlfn.XLOOKUP(PV_DATA[[#This Row],[New Ark SKU]],Table9[New Ark SKU],Table9[Total PCS per 40HQ Container],,0)</f>
        <v>864</v>
      </c>
      <c r="BG1008" s="430" t="str">
        <f>_xlfn.XLOOKUP(PV_DATA[[#This Row],[New Ark SKU]],Table9[New Ark SKU],Table9[Back Glass],,0)</f>
        <v>Black glazing</v>
      </c>
      <c r="BH1008" s="610" t="str">
        <f>_xlfn.XLOOKUP(PV_DATA[[#This Row],[PORT DESTINATION]],Table12[PORT DESTINATION],Table12[Cosco Line],,0)</f>
        <v>AEU</v>
      </c>
      <c r="BJ1008" s="430"/>
    </row>
    <row r="1009" spans="1:60" s="430" customFormat="1" ht="10.5" hidden="1">
      <c r="A1009" s="729" t="s">
        <v>6587</v>
      </c>
      <c r="B1009" s="462" t="s">
        <v>61</v>
      </c>
      <c r="C1009" s="462" t="str">
        <f>IFERROR(LEFT(PV_DATA[[#This Row],[TCL REFERENCE]],FIND(".",PV_DATA[[#This Row],[TCL REFERENCE]],1)-1),"Main Line")</f>
        <v>26Aug004</v>
      </c>
      <c r="D1009" s="462" t="s">
        <v>63</v>
      </c>
      <c r="E1009" s="462" t="s">
        <v>144</v>
      </c>
      <c r="F1009" s="462" t="str" cm="1">
        <f t="array" ref="F100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09" s="462" t="s">
        <v>146</v>
      </c>
      <c r="H1009" s="462" t="s">
        <v>4973</v>
      </c>
      <c r="I1009" s="462" t="s">
        <v>869</v>
      </c>
      <c r="J1009" s="462" t="s">
        <v>4973</v>
      </c>
      <c r="K1009" s="430" t="s">
        <v>6349</v>
      </c>
      <c r="L1009" s="430">
        <v>3</v>
      </c>
      <c r="M1009" s="430" t="s">
        <v>6285</v>
      </c>
      <c r="N1009" s="432">
        <v>46237</v>
      </c>
      <c r="O1009" s="430" t="s">
        <v>4540</v>
      </c>
      <c r="P1009" s="430" t="s">
        <v>1151</v>
      </c>
      <c r="Q1009" s="430" t="s">
        <v>421</v>
      </c>
      <c r="R1009" s="430" t="str">
        <f>_xlfn.XLOOKUP(PV_DATA[[#This Row],[New Ark SKU]],Table9[New Ark SKU],Table9[Connector],,0)</f>
        <v>EVO2A</v>
      </c>
      <c r="S1009" s="433" t="str">
        <f>_xlfn.XLOOKUP(PV_DATA[[#This Row],[New Ark SKU]],Table9[New Ark SKU],Table9[Cable],,0)</f>
        <v>±1200mm</v>
      </c>
      <c r="T1009" s="433">
        <v>505</v>
      </c>
      <c r="U1009" s="1062">
        <f>864*2</f>
        <v>1728</v>
      </c>
      <c r="V1009" s="434">
        <f>PV_DATA[[#This Row],[QUANTITY]]*PV_DATA[[#This Row],[WATT]]/1000000</f>
        <v>0.87263999999999997</v>
      </c>
      <c r="W1009" s="435">
        <f>PV_DATA[[#This Row],[QUANTITY]]/PV_DATA[[#This Row],[Qty/Pallet]]</f>
        <v>48</v>
      </c>
      <c r="X1009" s="1015">
        <f>PV_DATA[[#This Row],[QUANTITY]]/PV_DATA[[#This Row],[Qty/CT]]</f>
        <v>2</v>
      </c>
      <c r="Y1009" s="430" t="s">
        <v>4377</v>
      </c>
      <c r="Z1009" s="430" t="str">
        <f t="shared" si="16"/>
        <v>IN-TRANSIT</v>
      </c>
      <c r="AA1009" s="430" t="s">
        <v>6425</v>
      </c>
      <c r="AB1009" s="543">
        <v>46261</v>
      </c>
      <c r="AC1009" s="485">
        <f>IF(PV_DATA[[#This Row],[Pick-Up Date]]&lt;&gt;"",_xlfn.ISOWEEKNUM(PV_DATA[[#This Row],[Pick-Up Date]]),"")</f>
        <v>35</v>
      </c>
      <c r="AD1009" s="430" t="s">
        <v>6588</v>
      </c>
      <c r="AF1009" s="459" t="s">
        <v>61</v>
      </c>
      <c r="AG1009" s="459" t="s">
        <v>61</v>
      </c>
      <c r="AH1009" s="430" t="s">
        <v>78</v>
      </c>
      <c r="AI1009" s="713">
        <v>46268</v>
      </c>
      <c r="AJ1009" s="437">
        <f>IFERROR(VLOOKUP(AT1009, Vessel!A:D, 4, FALSE), "")</f>
        <v>46269.833333333336</v>
      </c>
      <c r="AK1009" s="437">
        <f>IFERROR(IF(VLOOKUP(AT1009,Vessel!A:F,5,FALSE)=0,"",VLOOKUP(AT1009,Vessel!A:F,5,FALSE)),"")</f>
        <v>46269.854108796295</v>
      </c>
      <c r="AL1009" s="966">
        <v>46323</v>
      </c>
      <c r="AM1009" s="939">
        <f>IFERROR(VLOOKUP(AT1009, Vessel!A:H, 8, FALSE), "")</f>
        <v>46325.833333333336</v>
      </c>
      <c r="AN1009" s="939" t="str">
        <f>IFERROR(IF(VLOOKUP(AT1009,Vessel!A:I,9,FALSE)=0,"",VLOOKUP(AT1009,Vessel!A:I,9,FALSE)),"")</f>
        <v/>
      </c>
      <c r="AO1009" s="462" t="s">
        <v>402</v>
      </c>
      <c r="AP1009" s="430" t="s">
        <v>6582</v>
      </c>
      <c r="AQ1009" s="438" t="s">
        <v>80</v>
      </c>
      <c r="AR1009" s="430" t="s">
        <v>6589</v>
      </c>
      <c r="AS1009" s="430" t="s">
        <v>6590</v>
      </c>
      <c r="AT1009" s="430" t="s">
        <v>6590</v>
      </c>
      <c r="AU100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55.979224537040864</v>
      </c>
      <c r="AW1009" s="437" cm="1">
        <f t="array" ref="AW100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46325.833333333336</v>
      </c>
      <c r="AX100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Stock-Approved</v>
      </c>
      <c r="AY1009" s="437">
        <f>IF(ISERROR(PV_DATA[[#This Row],[New Ark PO status]]),"",_xlfn.XLOOKUP(PV_DATA[[#This Row],[SPTN-PVHK New Ark PO'#]],New_Ark_Data[Purchase order Number],New_Ark_Data[Estimated time of arrival],"",0))</f>
        <v>46323</v>
      </c>
      <c r="AZ1009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09" s="437">
        <f>IFERROR(PV_DATA[[#This Row],[ODP ETA Port]]+PV_DATA[[#This Row],[Customs/Leg3 Assumption]],"n/a")</f>
        <v>46325.833333333336</v>
      </c>
      <c r="BB1009" s="433">
        <f>YEAR(PV_DATA[[#This Row],[ETA for New Ark update]])</f>
        <v>2026</v>
      </c>
      <c r="BC1009" s="430">
        <f>MONTH(PV_DATA[[#This Row],[ETA for New Ark update]])</f>
        <v>10</v>
      </c>
      <c r="BD1009" s="430">
        <f>IFERROR(_xlfn.ISOWEEKNUM(PV_DATA[[#This Row],[ETA for New Ark update]]),0)</f>
        <v>44</v>
      </c>
      <c r="BE1009" s="430">
        <f>_xlfn.XLOOKUP(PV_DATA[[#This Row],[New Ark SKU]],Table9[New Ark SKU],Table9[Total PCS per Pallet],,0)</f>
        <v>36</v>
      </c>
      <c r="BF1009" s="430">
        <f>_xlfn.XLOOKUP(PV_DATA[[#This Row],[New Ark SKU]],Table9[New Ark SKU],Table9[Total PCS per 40HQ Container],,0)</f>
        <v>864</v>
      </c>
      <c r="BG1009" s="430" t="str">
        <f>_xlfn.XLOOKUP(PV_DATA[[#This Row],[New Ark SKU]],Table9[New Ark SKU],Table9[Back Glass],,0)</f>
        <v>Black glazing</v>
      </c>
      <c r="BH1009" s="610" t="str">
        <f>_xlfn.XLOOKUP(PV_DATA[[#This Row],[PORT DESTINATION]],Table12[PORT DESTINATION],Table12[Cosco Line],,0)</f>
        <v>AEM</v>
      </c>
    </row>
    <row r="1010" spans="1:60" s="430" customFormat="1" ht="10.5" hidden="1">
      <c r="A1010" s="729" t="s">
        <v>6591</v>
      </c>
      <c r="B1010" s="462" t="s">
        <v>61</v>
      </c>
      <c r="C1010" s="462" t="str">
        <f>IFERROR(LEFT(PV_DATA[[#This Row],[TCL REFERENCE]],FIND(".",PV_DATA[[#This Row],[TCL REFERENCE]],1)-1),"Main Line")</f>
        <v>26Aug006</v>
      </c>
      <c r="D1010" s="462" t="s">
        <v>63</v>
      </c>
      <c r="E1010" s="462" t="s">
        <v>64</v>
      </c>
      <c r="F1010" s="462" t="str" cm="1">
        <f t="array" ref="F101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010" s="462" t="s">
        <v>402</v>
      </c>
      <c r="H1010" s="462" t="s">
        <v>67</v>
      </c>
      <c r="I1010" s="462" t="s">
        <v>882</v>
      </c>
      <c r="J1010" s="430" t="s">
        <v>96</v>
      </c>
      <c r="M1010" s="430" t="s">
        <v>6325</v>
      </c>
      <c r="N1010" s="432">
        <v>46258</v>
      </c>
      <c r="O1010" s="430" t="s">
        <v>4540</v>
      </c>
      <c r="P1010" s="430" t="s">
        <v>691</v>
      </c>
      <c r="Q1010" s="430" t="s">
        <v>692</v>
      </c>
      <c r="R1010" s="430" t="str">
        <f>_xlfn.XLOOKUP(PV_DATA[[#This Row],[New Ark SKU]],Table9[New Ark SKU],Table9[Connector],,0)</f>
        <v>EVO2A</v>
      </c>
      <c r="S1010" s="433" t="str">
        <f>_xlfn.XLOOKUP(PV_DATA[[#This Row],[New Ark SKU]],Table9[New Ark SKU],Table9[Cable],,0)</f>
        <v>±1200mm</v>
      </c>
      <c r="T1010" s="433">
        <v>505</v>
      </c>
      <c r="U1010" s="1062">
        <f>864*4</f>
        <v>3456</v>
      </c>
      <c r="V1010" s="434">
        <f>PV_DATA[[#This Row],[QUANTITY]]*PV_DATA[[#This Row],[WATT]]/1000000</f>
        <v>1.7452799999999999</v>
      </c>
      <c r="W1010" s="435">
        <f>PV_DATA[[#This Row],[QUANTITY]]/PV_DATA[[#This Row],[Qty/Pallet]]</f>
        <v>96</v>
      </c>
      <c r="X1010" s="1015">
        <f>PV_DATA[[#This Row],[QUANTITY]]/PV_DATA[[#This Row],[Qty/CT]]</f>
        <v>4</v>
      </c>
      <c r="Y1010" s="430" t="s">
        <v>4376</v>
      </c>
      <c r="Z1010" s="430" t="str">
        <f t="shared" si="16"/>
        <v>IN-TRANSIT</v>
      </c>
      <c r="AA1010" s="430" t="s">
        <v>6592</v>
      </c>
      <c r="AB1010" s="543">
        <v>46262</v>
      </c>
      <c r="AC1010" s="485">
        <f>IF(PV_DATA[[#This Row],[Pick-Up Date]]&lt;&gt;"",_xlfn.ISOWEEKNUM(PV_DATA[[#This Row],[Pick-Up Date]]),"")</f>
        <v>35</v>
      </c>
      <c r="AD1010" s="430" t="s">
        <v>6593</v>
      </c>
      <c r="AF1010" s="430" t="s">
        <v>77</v>
      </c>
      <c r="AG1010" s="430" t="s">
        <v>61</v>
      </c>
      <c r="AH1010" s="430" t="s">
        <v>78</v>
      </c>
      <c r="AI1010" s="543">
        <v>46268</v>
      </c>
      <c r="AJ1010" s="437">
        <f>IFERROR(VLOOKUP(AT1010, Vessel!A:D, 4, FALSE), "")</f>
        <v>46269.833333333336</v>
      </c>
      <c r="AK1010" s="437">
        <f>IFERROR(IF(VLOOKUP(AT1010,Vessel!A:F,5,FALSE)=0,"",VLOOKUP(AT1010,Vessel!A:F,5,FALSE)),"")</f>
        <v>46269.854108796295</v>
      </c>
      <c r="AL1010" s="437">
        <v>46335</v>
      </c>
      <c r="AM1010" s="939">
        <f>IFERROR(VLOOKUP(AT1010, Vessel!A:H, 8, FALSE), "")</f>
        <v>46350.791666666664</v>
      </c>
      <c r="AN1010" s="939" t="str">
        <f>IFERROR(IF(VLOOKUP(AT1010,Vessel!A:I,9,FALSE)=0,"",VLOOKUP(AT1010,Vessel!A:I,9,FALSE)),"")</f>
        <v/>
      </c>
      <c r="AO1010" s="462" t="s">
        <v>402</v>
      </c>
      <c r="AP1010" s="430" t="s">
        <v>6582</v>
      </c>
      <c r="AQ1010" s="438" t="s">
        <v>80</v>
      </c>
      <c r="AR1010" s="430" t="s">
        <v>6594</v>
      </c>
      <c r="AS1010" s="430" t="s">
        <v>6595</v>
      </c>
      <c r="AT1010" s="430" t="s">
        <v>6595</v>
      </c>
      <c r="AU101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80.937557870369346</v>
      </c>
      <c r="AW1010" s="437" cm="1">
        <f t="array" ref="AW101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46350.791666666664</v>
      </c>
      <c r="AX101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1010" s="437">
        <f>IF(ISERROR(PV_DATA[[#This Row],[New Ark PO status]]),"",_xlfn.XLOOKUP(PV_DATA[[#This Row],[SPTN-PVHK New Ark PO'#]],New_Ark_Data[Purchase order Number],New_Ark_Data[Estimated time of arrival],"",0))</f>
        <v>46343</v>
      </c>
      <c r="AZ1010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010" s="437">
        <f>IFERROR(PV_DATA[[#This Row],[ODP ETA Port]]+PV_DATA[[#This Row],[Customs/Leg3 Assumption]],"n/a")</f>
        <v>46358.791666666664</v>
      </c>
      <c r="BB1010" s="433">
        <f>YEAR(PV_DATA[[#This Row],[ETA for New Ark update]])</f>
        <v>2026</v>
      </c>
      <c r="BC1010" s="430">
        <f>MONTH(PV_DATA[[#This Row],[ETA for New Ark update]])</f>
        <v>12</v>
      </c>
      <c r="BD1010" s="430">
        <f>IFERROR(_xlfn.ISOWEEKNUM(PV_DATA[[#This Row],[ETA for New Ark update]]),0)</f>
        <v>49</v>
      </c>
      <c r="BE1010" s="430">
        <f>_xlfn.XLOOKUP(PV_DATA[[#This Row],[New Ark SKU]],Table9[New Ark SKU],Table9[Total PCS per Pallet],,0)</f>
        <v>36</v>
      </c>
      <c r="BF1010" s="430">
        <f>_xlfn.XLOOKUP(PV_DATA[[#This Row],[New Ark SKU]],Table9[New Ark SKU],Table9[Total PCS per 40HQ Container],,0)</f>
        <v>864</v>
      </c>
      <c r="BG1010" s="430" t="str">
        <f>_xlfn.XLOOKUP(PV_DATA[[#This Row],[New Ark SKU]],Table9[New Ark SKU],Table9[Back Glass],,0)</f>
        <v>Black glazing</v>
      </c>
      <c r="BH1010" s="610" t="str">
        <f>_xlfn.XLOOKUP(PV_DATA[[#This Row],[PORT DESTINATION]],Table12[PORT DESTINATION],Table12[Cosco Line],,0)</f>
        <v>AEM</v>
      </c>
    </row>
    <row r="1011" spans="1:60" s="463" customFormat="1" ht="12" hidden="1" customHeight="1">
      <c r="A1011" s="462" t="s">
        <v>6596</v>
      </c>
      <c r="B1011" s="462" t="s">
        <v>61</v>
      </c>
      <c r="C1011" s="462" t="str">
        <f>IFERROR(LEFT(PV_DATA[[#This Row],[TCL REFERENCE]],FIND(".",PV_DATA[[#This Row],[TCL REFERENCE]],1)-1),"Main Line")</f>
        <v>26Jun021</v>
      </c>
      <c r="D1011" s="462" t="s">
        <v>63</v>
      </c>
      <c r="E1011" s="462" t="s">
        <v>64</v>
      </c>
      <c r="F1011" s="462" t="str" cm="1">
        <f t="array" ref="F101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011" s="462" t="s">
        <v>402</v>
      </c>
      <c r="H1011" s="462" t="s">
        <v>311</v>
      </c>
      <c r="I1011" s="462" t="s">
        <v>1395</v>
      </c>
      <c r="J1011" s="430" t="s">
        <v>96</v>
      </c>
      <c r="K1011" s="430"/>
      <c r="L1011" s="430"/>
      <c r="M1011" s="430" t="s">
        <v>6325</v>
      </c>
      <c r="N1011" s="432">
        <v>46202</v>
      </c>
      <c r="O1011" s="430" t="s">
        <v>284</v>
      </c>
      <c r="P1011" s="484" t="s">
        <v>6169</v>
      </c>
      <c r="Q1011" s="430" t="s">
        <v>1570</v>
      </c>
      <c r="R1011" s="430" t="str">
        <f>_xlfn.XLOOKUP(PV_DATA[[#This Row],[New Ark SKU]],Table9[New Ark SKU],Table9[Connector],,0)</f>
        <v>EVO2A</v>
      </c>
      <c r="S1011" s="433" t="str">
        <f>_xlfn.XLOOKUP(PV_DATA[[#This Row],[New Ark SKU]],Table9[New Ark SKU],Table9[Cable],,0)</f>
        <v>±1400mm</v>
      </c>
      <c r="T1011" s="433">
        <v>650</v>
      </c>
      <c r="U1011" s="1062">
        <v>720</v>
      </c>
      <c r="V1011" s="434">
        <f>PV_DATA[[#This Row],[QUANTITY]]*PV_DATA[[#This Row],[WATT]]/1000000</f>
        <v>0.46800000000000003</v>
      </c>
      <c r="W1011" s="435">
        <f>PV_DATA[[#This Row],[QUANTITY]]/PV_DATA[[#This Row],[Qty/Pallet]]</f>
        <v>20</v>
      </c>
      <c r="X1011" s="1015">
        <f>PV_DATA[[#This Row],[QUANTITY]]/PV_DATA[[#This Row],[Qty/CT]]</f>
        <v>1</v>
      </c>
      <c r="Y1011" s="430" t="s">
        <v>4372</v>
      </c>
      <c r="Z1011" s="430" t="str">
        <f t="shared" si="16"/>
        <v>IN-TRANSIT</v>
      </c>
      <c r="AA1011" s="430" t="s">
        <v>5506</v>
      </c>
      <c r="AB1011" s="1050">
        <v>46262</v>
      </c>
      <c r="AC1011" s="485">
        <f>IF(PV_DATA[[#This Row],[Pick-Up Date]]&lt;&gt;"",_xlfn.ISOWEEKNUM(PV_DATA[[#This Row],[Pick-Up Date]]),"")</f>
        <v>35</v>
      </c>
      <c r="AD1011" s="430" t="s">
        <v>6597</v>
      </c>
      <c r="AE1011" s="430"/>
      <c r="AF1011" s="430" t="s">
        <v>61</v>
      </c>
      <c r="AG1011" s="430" t="s">
        <v>61</v>
      </c>
      <c r="AH1011" s="430" t="s">
        <v>1561</v>
      </c>
      <c r="AI1011" s="543">
        <v>46268</v>
      </c>
      <c r="AJ1011" s="437">
        <f>IFERROR(VLOOKUP(AT1011, Vessel!A:D, 4, FALSE), "")</f>
        <v>46269.833333333336</v>
      </c>
      <c r="AK1011" s="437">
        <f>IFERROR(IF(VLOOKUP(AT1011,Vessel!A:F,5,FALSE)=0,"",VLOOKUP(AT1011,Vessel!A:F,5,FALSE)),"")</f>
        <v>46269.854108796295</v>
      </c>
      <c r="AL1011" s="437">
        <v>46334</v>
      </c>
      <c r="AM1011" s="939">
        <f>IFERROR(VLOOKUP(AT1011, Vessel!A:H, 8, FALSE), "")</f>
        <v>46346.75</v>
      </c>
      <c r="AN1011" s="939" t="str">
        <f>IFERROR(IF(VLOOKUP(AT1011,Vessel!A:I,9,FALSE)=0,"",VLOOKUP(AT1011,Vessel!A:I,9,FALSE)),"")</f>
        <v/>
      </c>
      <c r="AO1011" s="430" t="s">
        <v>402</v>
      </c>
      <c r="AP1011" s="430" t="s">
        <v>6582</v>
      </c>
      <c r="AQ1011" s="438" t="s">
        <v>80</v>
      </c>
      <c r="AR1011" s="430" t="s">
        <v>6598</v>
      </c>
      <c r="AS1011" s="430" t="s">
        <v>6599</v>
      </c>
      <c r="AT1011" s="430" t="s">
        <v>6599</v>
      </c>
      <c r="AU101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76.895891203705105</v>
      </c>
      <c r="AV1011" s="430"/>
      <c r="AW1011" s="437" cm="1">
        <f t="array" ref="AW101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46346.75</v>
      </c>
      <c r="AX101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1011" s="437">
        <f>IF(ISERROR(PV_DATA[[#This Row],[New Ark PO status]]),"",_xlfn.XLOOKUP(PV_DATA[[#This Row],[SPTN-PVHK New Ark PO'#]],New_Ark_Data[Purchase order Number],New_Ark_Data[Estimated time of arrival],"",0))</f>
        <v>46346</v>
      </c>
      <c r="AZ1011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011" s="437">
        <f>IFERROR(PV_DATA[[#This Row],[ODP ETA Port]]+PV_DATA[[#This Row],[Customs/Leg3 Assumption]],"n/a")</f>
        <v>46356.75</v>
      </c>
      <c r="BB1011" s="433">
        <f>YEAR(PV_DATA[[#This Row],[ETA for New Ark update]])</f>
        <v>2026</v>
      </c>
      <c r="BC1011" s="430">
        <f>MONTH(PV_DATA[[#This Row],[ETA for New Ark update]])</f>
        <v>11</v>
      </c>
      <c r="BD1011" s="430">
        <f>IFERROR(_xlfn.ISOWEEKNUM(PV_DATA[[#This Row],[ETA for New Ark update]]),0)</f>
        <v>49</v>
      </c>
      <c r="BE1011" s="430">
        <f>_xlfn.XLOOKUP(PV_DATA[[#This Row],[New Ark SKU]],Table9[New Ark SKU],Table9[Total PCS per Pallet],,0)</f>
        <v>36</v>
      </c>
      <c r="BF1011" s="430">
        <f>_xlfn.XLOOKUP(PV_DATA[[#This Row],[New Ark SKU]],Table9[New Ark SKU],Table9[Total PCS per 40HQ Container],,0)</f>
        <v>720</v>
      </c>
      <c r="BG1011" s="430" t="str">
        <f>_xlfn.XLOOKUP(PV_DATA[[#This Row],[New Ark SKU]],Table9[New Ark SKU],Table9[Back Glass],,0)</f>
        <v>White glazing</v>
      </c>
      <c r="BH1011" s="430" t="str">
        <f>_xlfn.XLOOKUP(PV_DATA[[#This Row],[PORT DESTINATION]],Table12[PORT DESTINATION],Table12[Cosco Line],,0)</f>
        <v>AEM</v>
      </c>
    </row>
    <row r="1012" spans="1:60" s="430" customFormat="1" ht="10.5" hidden="1">
      <c r="A1012" s="462" t="s">
        <v>6600</v>
      </c>
      <c r="B1012" s="462" t="s">
        <v>61</v>
      </c>
      <c r="C1012" s="462" t="str">
        <f>IFERROR(LEFT(PV_DATA[[#This Row],[TCL REFERENCE]],FIND(".",PV_DATA[[#This Row],[TCL REFERENCE]],1)-1),"Main Line")</f>
        <v>26Jun021</v>
      </c>
      <c r="D1012" s="462" t="s">
        <v>63</v>
      </c>
      <c r="E1012" s="462" t="s">
        <v>64</v>
      </c>
      <c r="F1012" s="462" t="str" cm="1">
        <f t="array" ref="F101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12" s="462" t="s">
        <v>402</v>
      </c>
      <c r="H1012" s="462" t="s">
        <v>67</v>
      </c>
      <c r="I1012" s="462" t="s">
        <v>689</v>
      </c>
      <c r="J1012" s="430" t="s">
        <v>96</v>
      </c>
      <c r="M1012" s="430" t="s">
        <v>6325</v>
      </c>
      <c r="N1012" s="432">
        <v>46202</v>
      </c>
      <c r="O1012" s="430" t="s">
        <v>284</v>
      </c>
      <c r="P1012" s="484" t="s">
        <v>6169</v>
      </c>
      <c r="Q1012" s="430" t="s">
        <v>1570</v>
      </c>
      <c r="R1012" s="430" t="str">
        <f>_xlfn.XLOOKUP(PV_DATA[[#This Row],[New Ark SKU]],Table9[New Ark SKU],Table9[Connector],,0)</f>
        <v>EVO2A</v>
      </c>
      <c r="S1012" s="433" t="str">
        <f>_xlfn.XLOOKUP(PV_DATA[[#This Row],[New Ark SKU]],Table9[New Ark SKU],Table9[Cable],,0)</f>
        <v>±1400mm</v>
      </c>
      <c r="T1012" s="433">
        <v>650</v>
      </c>
      <c r="U1012" s="1062">
        <f>720*2</f>
        <v>1440</v>
      </c>
      <c r="V1012" s="434">
        <f>PV_DATA[[#This Row],[QUANTITY]]*PV_DATA[[#This Row],[WATT]]/1000000</f>
        <v>0.93600000000000005</v>
      </c>
      <c r="W1012" s="435">
        <f>PV_DATA[[#This Row],[QUANTITY]]/PV_DATA[[#This Row],[Qty/Pallet]]</f>
        <v>40</v>
      </c>
      <c r="X1012" s="1015">
        <f>PV_DATA[[#This Row],[QUANTITY]]/PV_DATA[[#This Row],[Qty/CT]]</f>
        <v>2</v>
      </c>
      <c r="Y1012" s="430" t="s">
        <v>4376</v>
      </c>
      <c r="Z1012" s="430" t="str">
        <f t="shared" si="16"/>
        <v>IN-TRANSIT</v>
      </c>
      <c r="AA1012" s="1201" t="s">
        <v>6431</v>
      </c>
      <c r="AB1012" s="959">
        <v>46258</v>
      </c>
      <c r="AC1012" s="485">
        <f>IF(PV_DATA[[#This Row],[Pick-Up Date]]&lt;&gt;"",_xlfn.ISOWEEKNUM(PV_DATA[[#This Row],[Pick-Up Date]]),"")</f>
        <v>35</v>
      </c>
      <c r="AD1012" s="430" t="s">
        <v>6601</v>
      </c>
      <c r="AF1012" s="430" t="s">
        <v>61</v>
      </c>
      <c r="AG1012" s="430" t="s">
        <v>61</v>
      </c>
      <c r="AH1012" s="430" t="s">
        <v>105</v>
      </c>
      <c r="AI1012" s="543">
        <v>46267</v>
      </c>
      <c r="AJ1012" s="437">
        <v>46269</v>
      </c>
      <c r="AK1012" s="543">
        <v>46269</v>
      </c>
      <c r="AL1012" s="437">
        <v>46335</v>
      </c>
      <c r="AM1012" s="437"/>
      <c r="AN1012" s="588"/>
      <c r="AO1012" s="462" t="s">
        <v>402</v>
      </c>
      <c r="AP1012" s="430" t="s">
        <v>6602</v>
      </c>
      <c r="AQ1012" s="438" t="s">
        <v>161</v>
      </c>
      <c r="AR1012" s="430" t="s">
        <v>6603</v>
      </c>
      <c r="AS1012" s="430" t="s">
        <v>6604</v>
      </c>
      <c r="AT1012" s="430" t="s">
        <v>6604</v>
      </c>
      <c r="AU101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66</v>
      </c>
      <c r="AW1012" s="437" cm="1">
        <f t="array" ref="AW101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46335</v>
      </c>
      <c r="AX101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1012" s="437">
        <f>IF(ISERROR(PV_DATA[[#This Row],[New Ark PO status]]),"",_xlfn.XLOOKUP(PV_DATA[[#This Row],[SPTN-PVHK New Ark PO'#]],New_Ark_Data[Purchase order Number],New_Ark_Data[Estimated time of arrival],"",0))</f>
        <v>46342</v>
      </c>
      <c r="AZ1012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12" s="437">
        <f>IFERROR(PV_DATA[[#This Row],[ODP ETA Port]]+PV_DATA[[#This Row],[Customs/Leg3 Assumption]],"n/a")</f>
        <v>46342</v>
      </c>
      <c r="BB1012" s="433">
        <f>YEAR(PV_DATA[[#This Row],[ETA for New Ark update]])</f>
        <v>2026</v>
      </c>
      <c r="BC1012" s="430">
        <f>MONTH(PV_DATA[[#This Row],[ETA for New Ark update]])</f>
        <v>11</v>
      </c>
      <c r="BD1012" s="430">
        <f>IFERROR(_xlfn.ISOWEEKNUM(PV_DATA[[#This Row],[ETA for New Ark update]]),0)</f>
        <v>47</v>
      </c>
      <c r="BE1012" s="430">
        <f>_xlfn.XLOOKUP(PV_DATA[[#This Row],[New Ark SKU]],Table9[New Ark SKU],Table9[Total PCS per Pallet],,0)</f>
        <v>36</v>
      </c>
      <c r="BF1012" s="430">
        <f>_xlfn.XLOOKUP(PV_DATA[[#This Row],[New Ark SKU]],Table9[New Ark SKU],Table9[Total PCS per 40HQ Container],,0)</f>
        <v>720</v>
      </c>
      <c r="BG1012" s="430" t="str">
        <f>_xlfn.XLOOKUP(PV_DATA[[#This Row],[New Ark SKU]],Table9[New Ark SKU],Table9[Back Glass],,0)</f>
        <v>White glazing</v>
      </c>
      <c r="BH1012" s="430" t="str">
        <f>_xlfn.XLOOKUP(PV_DATA[[#This Row],[PORT DESTINATION]],Table12[PORT DESTINATION],Table12[Cosco Line],,0)</f>
        <v>AEU</v>
      </c>
    </row>
    <row r="1013" spans="1:60" s="430" customFormat="1" ht="10.5" hidden="1">
      <c r="A1013" s="729" t="s">
        <v>6605</v>
      </c>
      <c r="B1013" s="462" t="s">
        <v>61</v>
      </c>
      <c r="C1013" s="462" t="str">
        <f>IFERROR(LEFT(PV_DATA[[#This Row],[TCL REFERENCE]],FIND(".",PV_DATA[[#This Row],[TCL REFERENCE]],1)-1),"Main Line")</f>
        <v>26Aug004</v>
      </c>
      <c r="D1013" s="462" t="s">
        <v>63</v>
      </c>
      <c r="E1013" s="462" t="s">
        <v>64</v>
      </c>
      <c r="F1013" s="462" t="str" cm="1">
        <f t="array" ref="F101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13" s="462" t="s">
        <v>402</v>
      </c>
      <c r="H1013" s="462" t="s">
        <v>67</v>
      </c>
      <c r="I1013" s="462" t="s">
        <v>6424</v>
      </c>
      <c r="J1013" s="430" t="s">
        <v>96</v>
      </c>
      <c r="M1013" s="430" t="s">
        <v>6325</v>
      </c>
      <c r="N1013" s="432">
        <v>46237</v>
      </c>
      <c r="O1013" s="430" t="s">
        <v>4540</v>
      </c>
      <c r="P1013" s="430" t="s">
        <v>1151</v>
      </c>
      <c r="Q1013" s="430" t="s">
        <v>421</v>
      </c>
      <c r="R1013" s="430" t="str">
        <f>_xlfn.XLOOKUP(PV_DATA[[#This Row],[New Ark SKU]],Table9[New Ark SKU],Table9[Connector],,0)</f>
        <v>EVO2A</v>
      </c>
      <c r="S1013" s="433" t="str">
        <f>_xlfn.XLOOKUP(PV_DATA[[#This Row],[New Ark SKU]],Table9[New Ark SKU],Table9[Cable],,0)</f>
        <v>±1200mm</v>
      </c>
      <c r="T1013" s="433">
        <v>505</v>
      </c>
      <c r="U1013" s="1062">
        <v>864</v>
      </c>
      <c r="V1013" s="434">
        <f>PV_DATA[[#This Row],[QUANTITY]]*PV_DATA[[#This Row],[WATT]]/1000000</f>
        <v>0.43631999999999999</v>
      </c>
      <c r="W1013" s="435">
        <f>PV_DATA[[#This Row],[QUANTITY]]/PV_DATA[[#This Row],[Qty/Pallet]]</f>
        <v>24</v>
      </c>
      <c r="X1013" s="1015">
        <f>PV_DATA[[#This Row],[QUANTITY]]/PV_DATA[[#This Row],[Qty/CT]]</f>
        <v>1</v>
      </c>
      <c r="Y1013" s="430" t="s">
        <v>4377</v>
      </c>
      <c r="Z1013" s="430" t="str">
        <f t="shared" si="16"/>
        <v>IN-TRANSIT</v>
      </c>
      <c r="AA1013" s="430" t="s">
        <v>6425</v>
      </c>
      <c r="AB1013" s="959">
        <v>46258</v>
      </c>
      <c r="AC1013" s="485">
        <f>IF(PV_DATA[[#This Row],[Pick-Up Date]]&lt;&gt;"",_xlfn.ISOWEEKNUM(PV_DATA[[#This Row],[Pick-Up Date]]),"")</f>
        <v>35</v>
      </c>
      <c r="AD1013" s="430" t="s">
        <v>6606</v>
      </c>
      <c r="AF1013" s="459" t="s">
        <v>61</v>
      </c>
      <c r="AG1013" s="459" t="s">
        <v>61</v>
      </c>
      <c r="AH1013" s="430" t="s">
        <v>105</v>
      </c>
      <c r="AI1013" s="543">
        <v>46267</v>
      </c>
      <c r="AJ1013" s="437">
        <v>46269</v>
      </c>
      <c r="AK1013" s="543">
        <v>46269</v>
      </c>
      <c r="AL1013" s="437">
        <v>46335</v>
      </c>
      <c r="AM1013" s="588"/>
      <c r="AN1013" s="588"/>
      <c r="AO1013" s="462" t="s">
        <v>402</v>
      </c>
      <c r="AP1013" s="430" t="s">
        <v>6602</v>
      </c>
      <c r="AQ1013" s="438" t="s">
        <v>161</v>
      </c>
      <c r="AR1013" s="430" t="s">
        <v>6603</v>
      </c>
      <c r="AS1013" s="430" t="s">
        <v>6604</v>
      </c>
      <c r="AT1013" s="430" t="s">
        <v>6604</v>
      </c>
      <c r="AU101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66</v>
      </c>
      <c r="AW1013" s="437" cm="1">
        <f t="array" ref="AW101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46335</v>
      </c>
      <c r="AX101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In Transit-Approved</v>
      </c>
      <c r="AY1013" s="437">
        <f>IF(ISERROR(PV_DATA[[#This Row],[New Ark PO status]]),"",_xlfn.XLOOKUP(PV_DATA[[#This Row],[SPTN-PVHK New Ark PO'#]],New_Ark_Data[Purchase order Number],New_Ark_Data[Estimated time of arrival],"",0))</f>
        <v>46342</v>
      </c>
      <c r="AZ1013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13" s="437">
        <f>IFERROR(PV_DATA[[#This Row],[ODP ETA Port]]+PV_DATA[[#This Row],[Customs/Leg3 Assumption]],"n/a")</f>
        <v>46342</v>
      </c>
      <c r="BB1013" s="433">
        <f>YEAR(PV_DATA[[#This Row],[ETA for New Ark update]])</f>
        <v>2026</v>
      </c>
      <c r="BC1013" s="430">
        <f>MONTH(PV_DATA[[#This Row],[ETA for New Ark update]])</f>
        <v>11</v>
      </c>
      <c r="BD1013" s="430">
        <f>IFERROR(_xlfn.ISOWEEKNUM(PV_DATA[[#This Row],[ETA for New Ark update]]),0)</f>
        <v>47</v>
      </c>
      <c r="BE1013" s="430">
        <f>_xlfn.XLOOKUP(PV_DATA[[#This Row],[New Ark SKU]],Table9[New Ark SKU],Table9[Total PCS per Pallet],,0)</f>
        <v>36</v>
      </c>
      <c r="BF1013" s="430">
        <f>_xlfn.XLOOKUP(PV_DATA[[#This Row],[New Ark SKU]],Table9[New Ark SKU],Table9[Total PCS per 40HQ Container],,0)</f>
        <v>864</v>
      </c>
      <c r="BG1013" s="430" t="str">
        <f>_xlfn.XLOOKUP(PV_DATA[[#This Row],[New Ark SKU]],Table9[New Ark SKU],Table9[Back Glass],,0)</f>
        <v>Black glazing</v>
      </c>
      <c r="BH1013" s="610" t="str">
        <f>_xlfn.XLOOKUP(PV_DATA[[#This Row],[PORT DESTINATION]],Table12[PORT DESTINATION],Table12[Cosco Line],,0)</f>
        <v>AEU</v>
      </c>
    </row>
    <row r="1014" spans="1:60" s="430" customFormat="1" ht="10.5" hidden="1">
      <c r="A1014" s="462" t="s">
        <v>6607</v>
      </c>
      <c r="B1014" s="462" t="s">
        <v>111</v>
      </c>
      <c r="C1014" s="462" t="str">
        <f>IFERROR(LEFT(PV_DATA[[#This Row],[TCL REFERENCE]],FIND(".",PV_DATA[[#This Row],[TCL REFERENCE]],1)-1),"Main Line")</f>
        <v>26Aug009</v>
      </c>
      <c r="D1014" s="462" t="s">
        <v>113</v>
      </c>
      <c r="E1014" s="462" t="s">
        <v>144</v>
      </c>
      <c r="F1014" s="462" t="str" cm="1">
        <f t="array" ref="F101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14" s="462" t="s">
        <v>402</v>
      </c>
      <c r="H1014" s="462" t="s">
        <v>670</v>
      </c>
      <c r="I1014" s="462" t="s">
        <v>6244</v>
      </c>
      <c r="J1014" s="462" t="s">
        <v>670</v>
      </c>
      <c r="K1014" s="430" t="s">
        <v>6276</v>
      </c>
      <c r="L1014" s="430">
        <v>1</v>
      </c>
      <c r="M1014" s="430" t="s">
        <v>4976</v>
      </c>
      <c r="N1014" s="432"/>
      <c r="O1014" s="430" t="s">
        <v>4540</v>
      </c>
      <c r="P1014" s="430" t="s">
        <v>6492</v>
      </c>
      <c r="Q1014" s="430" t="s">
        <v>103</v>
      </c>
      <c r="R1014" s="430" t="str">
        <f>_xlfn.XLOOKUP(PV_DATA[[#This Row],[New Ark SKU]],Table9[New Ark SKU],Table9[Connector],,0)</f>
        <v>H4(Com)</v>
      </c>
      <c r="S1014" s="433" t="str">
        <f>_xlfn.XLOOKUP(PV_DATA[[#This Row],[New Ark SKU]],Table9[New Ark SKU],Table9[Cable],,0)</f>
        <v>+400mm/-200mm</v>
      </c>
      <c r="T1014" s="433">
        <v>620</v>
      </c>
      <c r="U1014" s="1062">
        <v>720</v>
      </c>
      <c r="V1014" s="434">
        <f>PV_DATA[[#This Row],[QUANTITY]]*PV_DATA[[#This Row],[WATT]]/1000000</f>
        <v>0.44640000000000002</v>
      </c>
      <c r="W1014" s="435">
        <f>PV_DATA[[#This Row],[QUANTITY]]/PV_DATA[[#This Row],[Qty/Pallet]]</f>
        <v>20</v>
      </c>
      <c r="X1014" s="1015">
        <f>PV_DATA[[#This Row],[QUANTITY]]/720</f>
        <v>1</v>
      </c>
      <c r="Y1014" s="436" t="s">
        <v>6271</v>
      </c>
      <c r="Z1014" s="430" t="str">
        <f t="shared" si="16"/>
        <v>IN-TRANSIT</v>
      </c>
      <c r="AA1014" s="545">
        <v>46251</v>
      </c>
      <c r="AB1014" s="437">
        <v>46269</v>
      </c>
      <c r="AC1014" s="485">
        <f>IF(PV_DATA[[#This Row],[Pick-Up Date]]&lt;&gt;"",_xlfn.ISOWEEKNUM(PV_DATA[[#This Row],[Pick-Up Date]]),"")</f>
        <v>36</v>
      </c>
      <c r="AD1014" s="430" t="s">
        <v>6608</v>
      </c>
      <c r="AF1014" s="430" t="s">
        <v>122</v>
      </c>
      <c r="AG1014" s="430" t="s">
        <v>122</v>
      </c>
      <c r="AH1014" s="430" t="s">
        <v>105</v>
      </c>
      <c r="AI1014" s="437">
        <v>46271</v>
      </c>
      <c r="AJ1014" s="437">
        <v>46282</v>
      </c>
      <c r="AK1014" s="437">
        <v>46280</v>
      </c>
      <c r="AL1014" s="437">
        <v>46312</v>
      </c>
      <c r="AM1014" s="437">
        <v>46326</v>
      </c>
      <c r="AN1014" s="588"/>
      <c r="AP1014" s="430" t="s">
        <v>6609</v>
      </c>
      <c r="AQ1014" s="438" t="s">
        <v>161</v>
      </c>
      <c r="AR1014" s="623" t="s">
        <v>6610</v>
      </c>
      <c r="AS1014" s="430" t="s">
        <v>6611</v>
      </c>
      <c r="AT1014" s="430" t="s">
        <v>6611</v>
      </c>
      <c r="AU101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1014" s="437" cm="1">
        <f t="array" ref="AW101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46326</v>
      </c>
      <c r="AX101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14" s="437" t="str">
        <f>IF(ISERROR(PV_DATA[[#This Row],[New Ark PO status]]),"",_xlfn.XLOOKUP(PV_DATA[[#This Row],[SPTN-PVHK New Ark PO'#]],New_Ark_Data[Purchase order Number],New_Ark_Data[Estimated time of arrival],"",0))</f>
        <v/>
      </c>
      <c r="AZ1014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14" s="437">
        <f>IFERROR(PV_DATA[[#This Row],[ODP ETA Port]]+PV_DATA[[#This Row],[Customs/Leg3 Assumption]],"n/a")</f>
        <v>46326</v>
      </c>
      <c r="BB1014" s="433">
        <f>YEAR(PV_DATA[[#This Row],[ETA for New Ark update]])</f>
        <v>2026</v>
      </c>
      <c r="BC1014" s="430">
        <f>MONTH(PV_DATA[[#This Row],[ETA for New Ark update]])</f>
        <v>10</v>
      </c>
      <c r="BD1014" s="430">
        <f>IFERROR(_xlfn.ISOWEEKNUM(PV_DATA[[#This Row],[ETA for New Ark update]]),0)</f>
        <v>44</v>
      </c>
      <c r="BE1014" s="430">
        <f>_xlfn.XLOOKUP(PV_DATA[[#This Row],[New Ark SKU]],Table9[New Ark SKU],Table9[Total PCS per Pallet],,0)</f>
        <v>36</v>
      </c>
      <c r="BF1014" s="430">
        <f>_xlfn.XLOOKUP(PV_DATA[[#This Row],[New Ark SKU]],Table9[New Ark SKU],Table9[Total PCS per 40HQ Container],,0)</f>
        <v>720</v>
      </c>
      <c r="BG1014" s="430" t="str">
        <f>_xlfn.XLOOKUP(PV_DATA[[#This Row],[New Ark SKU]],Table9[New Ark SKU],Table9[Back Glass],,0)</f>
        <v>Redirection Film</v>
      </c>
      <c r="BH1014" s="430" t="str">
        <f>_xlfn.XLOOKUP(PV_DATA[[#This Row],[PORT DESTINATION]],Table12[PORT DESTINATION],Table12[Cosco Line],,0)</f>
        <v>AEU</v>
      </c>
    </row>
    <row r="1015" spans="1:60" s="430" customFormat="1" ht="10.5" hidden="1">
      <c r="A1015" s="462" t="s">
        <v>6612</v>
      </c>
      <c r="B1015" s="935" t="s">
        <v>111</v>
      </c>
      <c r="C1015" s="462" t="str">
        <f>IFERROR(LEFT(PV_DATA[[#This Row],[TCL REFERENCE]],FIND(".",PV_DATA[[#This Row],[TCL REFERENCE]],1)-1),"Main Line")</f>
        <v>26Aug025</v>
      </c>
      <c r="D1015" s="935" t="s">
        <v>113</v>
      </c>
      <c r="E1015" s="462" t="s">
        <v>144</v>
      </c>
      <c r="F1015" s="935" t="str" cm="1">
        <f t="array" ref="F101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15" s="462" t="s">
        <v>402</v>
      </c>
      <c r="H1015" s="462" t="s">
        <v>670</v>
      </c>
      <c r="I1015" s="462" t="s">
        <v>6244</v>
      </c>
      <c r="J1015" s="462" t="s">
        <v>670</v>
      </c>
      <c r="K1015" s="430" t="s">
        <v>5901</v>
      </c>
      <c r="L1015" s="623">
        <v>17</v>
      </c>
      <c r="M1015" s="430" t="s">
        <v>4976</v>
      </c>
      <c r="N1015" s="1053"/>
      <c r="O1015" s="623" t="s">
        <v>4540</v>
      </c>
      <c r="P1015" s="623" t="s">
        <v>6470</v>
      </c>
      <c r="Q1015" s="623" t="s">
        <v>4607</v>
      </c>
      <c r="R1015" s="430" t="str">
        <f>_xlfn.XLOOKUP(PV_DATA[[#This Row],[New Ark SKU]],Table9[New Ark SKU],Table9[Connector],,0)</f>
        <v>H4(Com)</v>
      </c>
      <c r="S1015" s="433" t="str">
        <f>_xlfn.XLOOKUP(PV_DATA[[#This Row],[New Ark SKU]],Table9[New Ark SKU],Table9[Cable],,0)</f>
        <v>+400mm/-200mm</v>
      </c>
      <c r="T1015" s="964">
        <v>630</v>
      </c>
      <c r="U1015" s="1074">
        <v>2880</v>
      </c>
      <c r="V1015" s="965">
        <f>PV_DATA[[#This Row],[QUANTITY]]*PV_DATA[[#This Row],[WATT]]/1000000</f>
        <v>1.8144</v>
      </c>
      <c r="W1015" s="435">
        <f>PV_DATA[[#This Row],[QUANTITY]]/36</f>
        <v>80</v>
      </c>
      <c r="X1015" s="1153">
        <f>PV_DATA[[#This Row],[QUANTITY]]/PV_DATA[[#This Row],[Qty/CT]]</f>
        <v>4</v>
      </c>
      <c r="Y1015" s="430" t="s">
        <v>6246</v>
      </c>
      <c r="Z1015" s="430" t="str">
        <f t="shared" si="16"/>
        <v>IN-TRANSIT</v>
      </c>
      <c r="AA1015" s="1051">
        <v>46261</v>
      </c>
      <c r="AB1015" s="966">
        <v>46269</v>
      </c>
      <c r="AC1015" s="1154">
        <f>IF(PV_DATA[[#This Row],[Pick-Up Date]]&lt;&gt;"",_xlfn.ISOWEEKNUM(PV_DATA[[#This Row],[Pick-Up Date]]),"")</f>
        <v>36</v>
      </c>
      <c r="AD1015" s="623" t="s">
        <v>6613</v>
      </c>
      <c r="AE1015" s="623"/>
      <c r="AF1015" s="623" t="s">
        <v>122</v>
      </c>
      <c r="AG1015" s="623" t="s">
        <v>122</v>
      </c>
      <c r="AH1015" s="430" t="s">
        <v>105</v>
      </c>
      <c r="AI1015" s="966">
        <v>46271</v>
      </c>
      <c r="AJ1015" s="437">
        <v>46282</v>
      </c>
      <c r="AK1015" s="437">
        <v>46280</v>
      </c>
      <c r="AL1015" s="966">
        <v>46312</v>
      </c>
      <c r="AM1015" s="437">
        <v>46326</v>
      </c>
      <c r="AN1015" s="588"/>
      <c r="AO1015" s="623"/>
      <c r="AP1015" s="623" t="s">
        <v>6609</v>
      </c>
      <c r="AQ1015" s="1044" t="s">
        <v>161</v>
      </c>
      <c r="AR1015" s="623" t="s">
        <v>6610</v>
      </c>
      <c r="AS1015" s="623" t="s">
        <v>6611</v>
      </c>
      <c r="AT1015" s="430" t="s">
        <v>6611</v>
      </c>
      <c r="AU101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V1015" s="623"/>
      <c r="AW1015" s="966" cm="1">
        <f t="array" ref="AW101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46326</v>
      </c>
      <c r="AX101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15" s="966" t="str">
        <f>IF(ISERROR(PV_DATA[[#This Row],[New Ark PO status]]),"",_xlfn.XLOOKUP(PV_DATA[[#This Row],[SPTN-PVHK New Ark PO'#]],New_Ark_Data[Purchase order Number],New_Ark_Data[Estimated time of arrival],"",0))</f>
        <v/>
      </c>
      <c r="AZ1015" s="964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15" s="966">
        <f>IFERROR(PV_DATA[[#This Row],[ODP ETA Port]]+PV_DATA[[#This Row],[Customs/Leg3 Assumption]],"n/a")</f>
        <v>46326</v>
      </c>
      <c r="BB1015" s="964">
        <f>YEAR(PV_DATA[[#This Row],[ETA for New Ark update]])</f>
        <v>2026</v>
      </c>
      <c r="BC1015" s="623">
        <f>MONTH(PV_DATA[[#This Row],[ETA for New Ark update]])</f>
        <v>10</v>
      </c>
      <c r="BD1015" s="623">
        <f>IFERROR(_xlfn.ISOWEEKNUM(PV_DATA[[#This Row],[ETA for New Ark update]]),0)</f>
        <v>44</v>
      </c>
      <c r="BE1015" s="623">
        <f>_xlfn.XLOOKUP(PV_DATA[[#This Row],[New Ark SKU]],Table9[New Ark SKU],Table9[Total PCS per Pallet],,0)</f>
        <v>36</v>
      </c>
      <c r="BF1015" s="623">
        <f>_xlfn.XLOOKUP(PV_DATA[[#This Row],[New Ark SKU]],Table9[New Ark SKU],Table9[Total PCS per 40HQ Container],,0)</f>
        <v>720</v>
      </c>
      <c r="BG1015" s="623" t="str">
        <f>_xlfn.XLOOKUP(PV_DATA[[#This Row],[New Ark SKU]],Table9[New Ark SKU],Table9[Back Glass],,0)</f>
        <v>Redirection Film</v>
      </c>
      <c r="BH1015" s="967" t="str">
        <f>_xlfn.XLOOKUP(PV_DATA[[#This Row],[PORT DESTINATION]],Table12[PORT DESTINATION],Table12[Cosco Line],,0)</f>
        <v>AEU</v>
      </c>
    </row>
    <row r="1016" spans="1:60" s="430" customFormat="1" ht="10.5" hidden="1">
      <c r="A1016" s="729" t="s">
        <v>6614</v>
      </c>
      <c r="B1016" s="462" t="s">
        <v>111</v>
      </c>
      <c r="C1016" s="462" t="str">
        <f>IFERROR(LEFT(PV_DATA[[#This Row],[TCL REFERENCE]],FIND(".",PV_DATA[[#This Row],[TCL REFERENCE]],1)-1),"Main Line")</f>
        <v>26Aug002</v>
      </c>
      <c r="D1016" s="462" t="s">
        <v>63</v>
      </c>
      <c r="E1016" s="462" t="s">
        <v>64</v>
      </c>
      <c r="F1016" s="462" t="str" cm="1">
        <f t="array" ref="F101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1016" s="462" t="s">
        <v>402</v>
      </c>
      <c r="H1016" s="462" t="s">
        <v>67</v>
      </c>
      <c r="I1016" s="462" t="s">
        <v>689</v>
      </c>
      <c r="J1016" s="430" t="s">
        <v>96</v>
      </c>
      <c r="M1016" s="430" t="s">
        <v>6325</v>
      </c>
      <c r="N1016" s="432">
        <v>46215</v>
      </c>
      <c r="O1016" s="430" t="s">
        <v>550</v>
      </c>
      <c r="P1016" s="430" t="s">
        <v>2134</v>
      </c>
      <c r="Q1016" s="430" t="s">
        <v>2135</v>
      </c>
      <c r="R1016" s="430" t="str">
        <f>_xlfn.XLOOKUP(PV_DATA[[#This Row],[New Ark SKU]],Table9[New Ark SKU],Table9[Connector],,0)</f>
        <v>EVO2A</v>
      </c>
      <c r="S1016" s="433" t="str">
        <f>_xlfn.XLOOKUP(PV_DATA[[#This Row],[New Ark SKU]],Table9[New Ark SKU],Table9[Cable],,0)</f>
        <v>±1350mm</v>
      </c>
      <c r="T1016" s="433">
        <v>515</v>
      </c>
      <c r="U1016" s="1062">
        <f>792*3</f>
        <v>2376</v>
      </c>
      <c r="V1016" s="434">
        <f>PV_DATA[[#This Row],[QUANTITY]]*PV_DATA[[#This Row],[WATT]]/1000000</f>
        <v>1.2236400000000001</v>
      </c>
      <c r="W1016" s="435">
        <f>PV_DATA[[#This Row],[QUANTITY]]/PV_DATA[[#This Row],[Qty/Pallet]]</f>
        <v>66</v>
      </c>
      <c r="X1016" s="1015">
        <f>PV_DATA[[#This Row],[QUANTITY]]/PV_DATA[[#This Row],[Qty/CT]]</f>
        <v>3</v>
      </c>
      <c r="Y1016" s="430" t="s">
        <v>4378</v>
      </c>
      <c r="Z1016" s="430" t="str">
        <f t="shared" si="16"/>
        <v>COMPLETED</v>
      </c>
      <c r="AB1016" s="437">
        <v>46268</v>
      </c>
      <c r="AC1016" s="485">
        <f>IF(PV_DATA[[#This Row],[Pick-Up Date]]&lt;&gt;"",_xlfn.ISOWEEKNUM(PV_DATA[[#This Row],[Pick-Up Date]]),"")</f>
        <v>36</v>
      </c>
      <c r="AD1016" s="430" t="s">
        <v>6615</v>
      </c>
      <c r="AF1016" s="430" t="s">
        <v>122</v>
      </c>
      <c r="AG1016" s="430" t="s">
        <v>123</v>
      </c>
      <c r="AH1016" s="430" t="s">
        <v>456</v>
      </c>
      <c r="AI1016" s="437">
        <v>46273</v>
      </c>
      <c r="AJ1016" s="437">
        <f>IFERROR(VLOOKUP(AT1016, Vessel!A:D, 4, FALSE), "")</f>
        <v>46274.083333333336</v>
      </c>
      <c r="AK1016" s="437">
        <f>IFERROR(IF(VLOOKUP(AT1016,Vessel!A:F,5,FALSE)=0,"",VLOOKUP(AT1016,Vessel!A:F,5,FALSE)),"")</f>
        <v>46274.103541666664</v>
      </c>
      <c r="AL1016" s="437">
        <v>46313</v>
      </c>
      <c r="AM1016" s="1194">
        <f>IFERROR(VLOOKUP(AT1016, Vessel!A:H, 8, FALSE), "")</f>
        <v>46322.958333333336</v>
      </c>
      <c r="AN1016" s="939">
        <f>IFERROR(IF(VLOOKUP(AT1016,Vessel!A:I,9,FALSE)=0,"",VLOOKUP(AT1016,Vessel!A:I,9,FALSE)),"")</f>
        <v>46322.921701388892</v>
      </c>
      <c r="AP1016" s="430" t="s">
        <v>6616</v>
      </c>
      <c r="AQ1016" s="438" t="s">
        <v>80</v>
      </c>
      <c r="AR1016" s="430" t="s">
        <v>6617</v>
      </c>
      <c r="AS1016" s="430" t="s">
        <v>6618</v>
      </c>
      <c r="AT1016" s="430" t="s">
        <v>6618</v>
      </c>
      <c r="AU101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48.818159722228302</v>
      </c>
      <c r="AW1016" s="437" cm="1">
        <f t="array" ref="AW101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46322.921701388892</v>
      </c>
      <c r="AX101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16" s="437" t="str">
        <f>IF(ISERROR(PV_DATA[[#This Row],[New Ark PO status]]),"",_xlfn.XLOOKUP(PV_DATA[[#This Row],[SPTN-PVHK New Ark PO'#]],New_Ark_Data[Purchase order Number],New_Ark_Data[Estimated time of arrival],"",0))</f>
        <v/>
      </c>
      <c r="AZ1016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16" s="437">
        <f>IFERROR(PV_DATA[[#This Row],[ODP ETA Port]]+PV_DATA[[#This Row],[Customs/Leg3 Assumption]],"n/a")</f>
        <v>46329.921701388892</v>
      </c>
      <c r="BB1016" s="433" t="s">
        <v>6325</v>
      </c>
      <c r="BC1016" s="433" t="s">
        <v>6325</v>
      </c>
      <c r="BD1016" s="430">
        <f>IFERROR(_xlfn.ISOWEEKNUM(PV_DATA[[#This Row],[ETA for New Ark update]]),0)</f>
        <v>45</v>
      </c>
      <c r="BE1016" s="430">
        <f>_xlfn.XLOOKUP(PV_DATA[[#This Row],[New Ark SKU]],Table9[New Ark SKU],Table9[Total PCS per Pallet],,0)</f>
        <v>36</v>
      </c>
      <c r="BF1016" s="430">
        <f>_xlfn.XLOOKUP(PV_DATA[[#This Row],[New Ark SKU]],Table9[New Ark SKU],Table9[Total PCS per 40HQ Container],,0)</f>
        <v>792</v>
      </c>
      <c r="BG1016" s="430" t="str">
        <f>_xlfn.XLOOKUP(PV_DATA[[#This Row],[New Ark SKU]],Table9[New Ark SKU],Table9[Back Glass],,0)</f>
        <v>Black glazing</v>
      </c>
      <c r="BH1016" s="610" t="str">
        <f>_xlfn.XLOOKUP(PV_DATA[[#This Row],[PORT DESTINATION]],Table12[PORT DESTINATION],Table12[Cosco Line],,0)</f>
        <v>AEU</v>
      </c>
    </row>
    <row r="1017" spans="1:60" s="430" customFormat="1" ht="10.5" hidden="1">
      <c r="A1017" s="941" t="s">
        <v>6619</v>
      </c>
      <c r="B1017" s="935" t="s">
        <v>111</v>
      </c>
      <c r="C1017" s="462" t="str">
        <f>IFERROR(LEFT(PV_DATA[[#This Row],[TCL REFERENCE]],FIND(".",PV_DATA[[#This Row],[TCL REFERENCE]],1)-1),"Main Line")</f>
        <v>26Aug009</v>
      </c>
      <c r="D1017" s="935" t="s">
        <v>113</v>
      </c>
      <c r="E1017" s="462" t="s">
        <v>144</v>
      </c>
      <c r="F1017" s="935" t="str" cm="1">
        <f t="array" ref="F101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17" s="462" t="s">
        <v>402</v>
      </c>
      <c r="H1017" s="462" t="s">
        <v>670</v>
      </c>
      <c r="I1017" s="462" t="s">
        <v>6244</v>
      </c>
      <c r="J1017" s="462" t="s">
        <v>670</v>
      </c>
      <c r="K1017" s="430" t="s">
        <v>6276</v>
      </c>
      <c r="L1017" s="623">
        <v>33</v>
      </c>
      <c r="M1017" s="430" t="s">
        <v>4976</v>
      </c>
      <c r="N1017" s="1053"/>
      <c r="O1017" s="623" t="s">
        <v>4540</v>
      </c>
      <c r="P1017" s="623" t="s">
        <v>6492</v>
      </c>
      <c r="Q1017" s="623" t="s">
        <v>103</v>
      </c>
      <c r="R1017" s="430" t="str">
        <f>_xlfn.XLOOKUP(PV_DATA[[#This Row],[New Ark SKU]],Table9[New Ark SKU],Table9[Connector],,0)</f>
        <v>H4(Com)</v>
      </c>
      <c r="S1017" s="433" t="str">
        <f>_xlfn.XLOOKUP(PV_DATA[[#This Row],[New Ark SKU]],Table9[New Ark SKU],Table9[Cable],,0)</f>
        <v>+400mm/-200mm</v>
      </c>
      <c r="T1017" s="964">
        <v>620</v>
      </c>
      <c r="U1017" s="1074">
        <f>720*11</f>
        <v>7920</v>
      </c>
      <c r="V1017" s="965">
        <f>PV_DATA[[#This Row],[QUANTITY]]*PV_DATA[[#This Row],[WATT]]/1000000</f>
        <v>4.9104000000000001</v>
      </c>
      <c r="W1017" s="435">
        <f>PV_DATA[[#This Row],[QUANTITY]]/36</f>
        <v>220</v>
      </c>
      <c r="X1017" s="1153">
        <f>PV_DATA[[#This Row],[QUANTITY]]/PV_DATA[[#This Row],[Qty/CT]]</f>
        <v>11</v>
      </c>
      <c r="Y1017" s="430" t="s">
        <v>4378</v>
      </c>
      <c r="Z1017" s="430" t="str">
        <f t="shared" si="16"/>
        <v>COMPLETED</v>
      </c>
      <c r="AA1017" s="1051">
        <v>46271</v>
      </c>
      <c r="AB1017" s="966">
        <v>46273</v>
      </c>
      <c r="AC1017" s="1154">
        <f>IF(PV_DATA[[#This Row],[Pick-Up Date]]&lt;&gt;"",_xlfn.ISOWEEKNUM(PV_DATA[[#This Row],[Pick-Up Date]]),"")</f>
        <v>37</v>
      </c>
      <c r="AD1017" s="623" t="s">
        <v>6620</v>
      </c>
      <c r="AE1017" s="623"/>
      <c r="AF1017" s="623" t="s">
        <v>122</v>
      </c>
      <c r="AG1017" s="623" t="s">
        <v>122</v>
      </c>
      <c r="AH1017" s="430" t="s">
        <v>105</v>
      </c>
      <c r="AI1017" s="966">
        <v>46278</v>
      </c>
      <c r="AJ1017" s="966">
        <f>IFERROR(VLOOKUP(AT1017, Vessel!A:D, 4, FALSE), "")</f>
        <v>46278.708333333336</v>
      </c>
      <c r="AK1017" s="437">
        <f>IFERROR(IF(VLOOKUP(AT1017,Vessel!A:F,5,FALSE)=0,"",VLOOKUP(AT1017,Vessel!A:F,5,FALSE)),"")</f>
        <v>46278.586898148147</v>
      </c>
      <c r="AL1017" s="966">
        <v>46313</v>
      </c>
      <c r="AM1017" s="939">
        <f>IFERROR(VLOOKUP(AT1017, Vessel!A:H, 8, FALSE), "")</f>
        <v>46316.583333333336</v>
      </c>
      <c r="AN1017" s="939">
        <f>IFERROR(IF(VLOOKUP(AT1017,Vessel!A:I,9,FALSE)=0,"",VLOOKUP(AT1017,Vessel!A:I,9,FALSE)),"")</f>
        <v>46316.635636574072</v>
      </c>
      <c r="AO1017" s="623"/>
      <c r="AP1017" s="430" t="s">
        <v>6582</v>
      </c>
      <c r="AQ1017" s="1044" t="s">
        <v>80</v>
      </c>
      <c r="AR1017" s="430" t="s">
        <v>6621</v>
      </c>
      <c r="AS1017" s="430" t="s">
        <v>6622</v>
      </c>
      <c r="AT1017" s="430" t="s">
        <v>6622</v>
      </c>
      <c r="AU101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38.048738425924967</v>
      </c>
      <c r="AV1017" s="623"/>
      <c r="AW1017" s="966" cm="1">
        <f t="array" ref="AW101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46316.635636574072</v>
      </c>
      <c r="AX101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17" s="966" t="str">
        <f>IF(ISERROR(PV_DATA[[#This Row],[New Ark PO status]]),"",_xlfn.XLOOKUP(PV_DATA[[#This Row],[SPTN-PVHK New Ark PO'#]],New_Ark_Data[Purchase order Number],New_Ark_Data[Estimated time of arrival],"",0))</f>
        <v/>
      </c>
      <c r="AZ1017" s="964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17" s="966">
        <f>IFERROR(PV_DATA[[#This Row],[ODP ETA Port]]+PV_DATA[[#This Row],[Customs/Leg3 Assumption]],"n/a")</f>
        <v>46316.635636574072</v>
      </c>
      <c r="BB1017" s="964">
        <f>YEAR(PV_DATA[[#This Row],[ETA for New Ark update]])</f>
        <v>2026</v>
      </c>
      <c r="BC1017" s="623">
        <f>MONTH(PV_DATA[[#This Row],[ETA for New Ark update]])</f>
        <v>10</v>
      </c>
      <c r="BD1017" s="623">
        <f>IFERROR(_xlfn.ISOWEEKNUM(PV_DATA[[#This Row],[ETA for New Ark update]]),0)</f>
        <v>43</v>
      </c>
      <c r="BE1017" s="623">
        <f>_xlfn.XLOOKUP(PV_DATA[[#This Row],[New Ark SKU]],Table9[New Ark SKU],Table9[Total PCS per Pallet],,0)</f>
        <v>36</v>
      </c>
      <c r="BF1017" s="623">
        <f>_xlfn.XLOOKUP(PV_DATA[[#This Row],[New Ark SKU]],Table9[New Ark SKU],Table9[Total PCS per 40HQ Container],,0)</f>
        <v>720</v>
      </c>
      <c r="BG1017" s="623" t="str">
        <f>_xlfn.XLOOKUP(PV_DATA[[#This Row],[New Ark SKU]],Table9[New Ark SKU],Table9[Back Glass],,0)</f>
        <v>Redirection Film</v>
      </c>
      <c r="BH1017" s="967" t="str">
        <f>_xlfn.XLOOKUP(PV_DATA[[#This Row],[PORT DESTINATION]],Table12[PORT DESTINATION],Table12[Cosco Line],,0)</f>
        <v>AEU</v>
      </c>
    </row>
    <row r="1018" spans="1:60" s="430" customFormat="1" ht="10.5" hidden="1">
      <c r="A1018" s="941" t="s">
        <v>6623</v>
      </c>
      <c r="B1018" s="935" t="s">
        <v>111</v>
      </c>
      <c r="C1018" s="462" t="str">
        <f>IFERROR(LEFT(PV_DATA[[#This Row],[TCL REFERENCE]],FIND(".",PV_DATA[[#This Row],[TCL REFERENCE]],1)-1),"Main Line")</f>
        <v>26Aug009</v>
      </c>
      <c r="D1018" s="935" t="s">
        <v>113</v>
      </c>
      <c r="E1018" s="462" t="s">
        <v>144</v>
      </c>
      <c r="F1018" s="935" t="str" cm="1">
        <f t="array" ref="F101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18" s="462" t="s">
        <v>402</v>
      </c>
      <c r="H1018" s="462" t="s">
        <v>670</v>
      </c>
      <c r="I1018" s="462" t="s">
        <v>6244</v>
      </c>
      <c r="J1018" s="462" t="s">
        <v>670</v>
      </c>
      <c r="K1018" s="430" t="s">
        <v>6276</v>
      </c>
      <c r="L1018" s="623">
        <v>28</v>
      </c>
      <c r="M1018" s="430" t="s">
        <v>4976</v>
      </c>
      <c r="N1018" s="1053"/>
      <c r="O1018" s="623" t="s">
        <v>4540</v>
      </c>
      <c r="P1018" s="623" t="s">
        <v>6492</v>
      </c>
      <c r="Q1018" s="623" t="s">
        <v>103</v>
      </c>
      <c r="R1018" s="430" t="str">
        <f>_xlfn.XLOOKUP(PV_DATA[[#This Row],[New Ark SKU]],Table9[New Ark SKU],Table9[Connector],,0)</f>
        <v>H4(Com)</v>
      </c>
      <c r="S1018" s="433" t="str">
        <f>_xlfn.XLOOKUP(PV_DATA[[#This Row],[New Ark SKU]],Table9[New Ark SKU],Table9[Cable],,0)</f>
        <v>+400mm/-200mm</v>
      </c>
      <c r="T1018" s="964">
        <v>620</v>
      </c>
      <c r="U1018" s="1074">
        <v>3600</v>
      </c>
      <c r="V1018" s="965">
        <f>PV_DATA[[#This Row],[QUANTITY]]*PV_DATA[[#This Row],[WATT]]/1000000</f>
        <v>2.2320000000000002</v>
      </c>
      <c r="W1018" s="435">
        <f>PV_DATA[[#This Row],[QUANTITY]]/36</f>
        <v>100</v>
      </c>
      <c r="X1018" s="1153">
        <f>PV_DATA[[#This Row],[QUANTITY]]/PV_DATA[[#This Row],[Qty/CT]]</f>
        <v>5</v>
      </c>
      <c r="Y1018" s="430" t="s">
        <v>4378</v>
      </c>
      <c r="Z1018" s="430" t="str">
        <f t="shared" si="16"/>
        <v>IN-TRANSIT</v>
      </c>
      <c r="AA1018" s="1051">
        <v>46266</v>
      </c>
      <c r="AB1018" s="966">
        <v>46268</v>
      </c>
      <c r="AC1018" s="1154">
        <f>IF(PV_DATA[[#This Row],[Pick-Up Date]]&lt;&gt;"",_xlfn.ISOWEEKNUM(PV_DATA[[#This Row],[Pick-Up Date]]),"")</f>
        <v>36</v>
      </c>
      <c r="AD1018" s="623" t="s">
        <v>6624</v>
      </c>
      <c r="AE1018" s="623"/>
      <c r="AF1018" s="623" t="s">
        <v>122</v>
      </c>
      <c r="AG1018" s="623" t="s">
        <v>122</v>
      </c>
      <c r="AH1018" s="430" t="s">
        <v>105</v>
      </c>
      <c r="AI1018" s="966">
        <v>46272</v>
      </c>
      <c r="AJ1018" s="966">
        <f>IFERROR(VLOOKUP(AT1018, Vessel!A:D, 4, FALSE), "")</f>
        <v>46277.8125</v>
      </c>
      <c r="AK1018" s="437">
        <f>IFERROR(IF(VLOOKUP(AT1018,Vessel!A:F,5,FALSE)=0,"",VLOOKUP(AT1018,Vessel!A:F,5,FALSE)),"")</f>
        <v>46277.716585648152</v>
      </c>
      <c r="AL1018" s="966">
        <v>46309</v>
      </c>
      <c r="AM1018" s="939">
        <f>IFERROR(VLOOKUP(AT1018, Vessel!A:H, 8, FALSE), "")</f>
        <v>46324.833333333336</v>
      </c>
      <c r="AN1018" s="939" t="str">
        <f>IFERROR(IF(VLOOKUP(AT1018,Vessel!A:I,9,FALSE)=0,"",VLOOKUP(AT1018,Vessel!A:I,9,FALSE)),"")</f>
        <v/>
      </c>
      <c r="AO1018" s="623"/>
      <c r="AP1018" s="623" t="s">
        <v>6625</v>
      </c>
      <c r="AQ1018" s="1044" t="s">
        <v>80</v>
      </c>
      <c r="AR1018" s="623" t="s">
        <v>6626</v>
      </c>
      <c r="AS1018" s="623" t="s">
        <v>6627</v>
      </c>
      <c r="AT1018" s="430" t="s">
        <v>6627</v>
      </c>
      <c r="AU101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47.116747685184237</v>
      </c>
      <c r="AV1018" s="623"/>
      <c r="AW1018" s="966" cm="1">
        <f t="array" ref="AW101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46324.833333333336</v>
      </c>
      <c r="AX101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18" s="966" t="str">
        <f>IF(ISERROR(PV_DATA[[#This Row],[New Ark PO status]]),"",_xlfn.XLOOKUP(PV_DATA[[#This Row],[SPTN-PVHK New Ark PO'#]],New_Ark_Data[Purchase order Number],New_Ark_Data[Estimated time of arrival],"",0))</f>
        <v/>
      </c>
      <c r="AZ1018" s="964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18" s="966">
        <f>IFERROR(PV_DATA[[#This Row],[ODP ETA Port]]+PV_DATA[[#This Row],[Customs/Leg3 Assumption]],"n/a")</f>
        <v>46324.833333333336</v>
      </c>
      <c r="BB1018" s="964">
        <f>YEAR(PV_DATA[[#This Row],[ETA for New Ark update]])</f>
        <v>2026</v>
      </c>
      <c r="BC1018" s="623">
        <f>MONTH(PV_DATA[[#This Row],[ETA for New Ark update]])</f>
        <v>10</v>
      </c>
      <c r="BD1018" s="623">
        <f>IFERROR(_xlfn.ISOWEEKNUM(PV_DATA[[#This Row],[ETA for New Ark update]]),0)</f>
        <v>44</v>
      </c>
      <c r="BE1018" s="623">
        <f>_xlfn.XLOOKUP(PV_DATA[[#This Row],[New Ark SKU]],Table9[New Ark SKU],Table9[Total PCS per Pallet],,0)</f>
        <v>36</v>
      </c>
      <c r="BF1018" s="623">
        <f>_xlfn.XLOOKUP(PV_DATA[[#This Row],[New Ark SKU]],Table9[New Ark SKU],Table9[Total PCS per 40HQ Container],,0)</f>
        <v>720</v>
      </c>
      <c r="BG1018" s="623" t="str">
        <f>_xlfn.XLOOKUP(PV_DATA[[#This Row],[New Ark SKU]],Table9[New Ark SKU],Table9[Back Glass],,0)</f>
        <v>Redirection Film</v>
      </c>
      <c r="BH1018" s="967" t="str">
        <f>_xlfn.XLOOKUP(PV_DATA[[#This Row],[PORT DESTINATION]],Table12[PORT DESTINATION],Table12[Cosco Line],,0)</f>
        <v>AEU</v>
      </c>
    </row>
    <row r="1019" spans="1:60" s="430" customFormat="1" ht="10.5" hidden="1">
      <c r="A1019" s="941" t="s">
        <v>6628</v>
      </c>
      <c r="B1019" s="935" t="s">
        <v>111</v>
      </c>
      <c r="C1019" s="462" t="str">
        <f>IFERROR(LEFT(PV_DATA[[#This Row],[TCL REFERENCE]],FIND(".",PV_DATA[[#This Row],[TCL REFERENCE]],1)-1),"Main Line")</f>
        <v>26Aug009</v>
      </c>
      <c r="D1019" s="935" t="s">
        <v>113</v>
      </c>
      <c r="E1019" s="462" t="s">
        <v>144</v>
      </c>
      <c r="F1019" s="935" t="str" cm="1">
        <f t="array" ref="F101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19" s="462" t="s">
        <v>402</v>
      </c>
      <c r="H1019" s="462" t="s">
        <v>670</v>
      </c>
      <c r="I1019" s="462" t="s">
        <v>6244</v>
      </c>
      <c r="J1019" s="462" t="s">
        <v>670</v>
      </c>
      <c r="K1019" s="430" t="s">
        <v>5901</v>
      </c>
      <c r="L1019" s="623">
        <v>29</v>
      </c>
      <c r="M1019" s="430" t="s">
        <v>4976</v>
      </c>
      <c r="N1019" s="1053"/>
      <c r="O1019" s="623" t="s">
        <v>4540</v>
      </c>
      <c r="P1019" s="623" t="s">
        <v>6492</v>
      </c>
      <c r="Q1019" s="623" t="s">
        <v>103</v>
      </c>
      <c r="R1019" s="430" t="str">
        <f>_xlfn.XLOOKUP(PV_DATA[[#This Row],[New Ark SKU]],Table9[New Ark SKU],Table9[Connector],,0)</f>
        <v>H4(Com)</v>
      </c>
      <c r="S1019" s="433" t="str">
        <f>_xlfn.XLOOKUP(PV_DATA[[#This Row],[New Ark SKU]],Table9[New Ark SKU],Table9[Cable],,0)</f>
        <v>+400mm/-200mm</v>
      </c>
      <c r="T1019" s="964">
        <v>620</v>
      </c>
      <c r="U1019" s="1074">
        <v>5760</v>
      </c>
      <c r="V1019" s="965">
        <f>PV_DATA[[#This Row],[QUANTITY]]*PV_DATA[[#This Row],[WATT]]/1000000</f>
        <v>3.5712000000000002</v>
      </c>
      <c r="W1019" s="435">
        <f>PV_DATA[[#This Row],[QUANTITY]]/36</f>
        <v>160</v>
      </c>
      <c r="X1019" s="1153">
        <f>PV_DATA[[#This Row],[QUANTITY]]/PV_DATA[[#This Row],[Qty/CT]]</f>
        <v>8</v>
      </c>
      <c r="Y1019" s="430" t="s">
        <v>4378</v>
      </c>
      <c r="Z1019" s="430" t="str">
        <f t="shared" si="16"/>
        <v>COMPLETED</v>
      </c>
      <c r="AA1019" s="1051">
        <v>46269</v>
      </c>
      <c r="AB1019" s="966">
        <v>46270</v>
      </c>
      <c r="AC1019" s="1154">
        <f>IF(PV_DATA[[#This Row],[Pick-Up Date]]&lt;&gt;"",_xlfn.ISOWEEKNUM(PV_DATA[[#This Row],[Pick-Up Date]]),"")</f>
        <v>36</v>
      </c>
      <c r="AD1019" s="623" t="s">
        <v>6629</v>
      </c>
      <c r="AE1019" s="623"/>
      <c r="AF1019" s="623" t="s">
        <v>122</v>
      </c>
      <c r="AG1019" s="623" t="s">
        <v>122</v>
      </c>
      <c r="AH1019" s="430" t="s">
        <v>105</v>
      </c>
      <c r="AI1019" s="966">
        <v>46275</v>
      </c>
      <c r="AJ1019" s="966">
        <f>IFERROR(VLOOKUP(AT1019, Vessel!A:D, 4, FALSE), "")</f>
        <v>46276.520833333336</v>
      </c>
      <c r="AK1019" s="437">
        <f>IFERROR(IF(VLOOKUP(AT1019,Vessel!A:F,5,FALSE)=0,"",VLOOKUP(AT1019,Vessel!A:F,5,FALSE)),"")</f>
        <v>46276.53597222222</v>
      </c>
      <c r="AL1019" s="966">
        <v>46319</v>
      </c>
      <c r="AM1019" s="939">
        <f>IFERROR(VLOOKUP(AT1019, Vessel!A:H, 8, FALSE), "")</f>
        <v>46322.833333333336</v>
      </c>
      <c r="AN1019" s="939">
        <f>IFERROR(IF(VLOOKUP(AT1019,Vessel!A:I,9,FALSE)=0,"",VLOOKUP(AT1019,Vessel!A:I,9,FALSE)),"")</f>
        <v>46322.775902777779</v>
      </c>
      <c r="AO1019" s="623"/>
      <c r="AP1019" s="623" t="s">
        <v>6630</v>
      </c>
      <c r="AQ1019" s="1044" t="s">
        <v>80</v>
      </c>
      <c r="AR1019" s="623" t="s">
        <v>6631</v>
      </c>
      <c r="AS1019" s="623" t="s">
        <v>6632</v>
      </c>
      <c r="AT1019" s="430" t="s">
        <v>6632</v>
      </c>
      <c r="AU101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46.239930555559113</v>
      </c>
      <c r="AV1019" s="623"/>
      <c r="AW1019" s="966" cm="1">
        <f t="array" ref="AW101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46322.775902777779</v>
      </c>
      <c r="AX101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19" s="966" t="str">
        <f>IF(ISERROR(PV_DATA[[#This Row],[New Ark PO status]]),"",_xlfn.XLOOKUP(PV_DATA[[#This Row],[SPTN-PVHK New Ark PO'#]],New_Ark_Data[Purchase order Number],New_Ark_Data[Estimated time of arrival],"",0))</f>
        <v/>
      </c>
      <c r="AZ1019" s="964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19" s="966">
        <f>IFERROR(PV_DATA[[#This Row],[ODP ETA Port]]+PV_DATA[[#This Row],[Customs/Leg3 Assumption]],"n/a")</f>
        <v>46322.775902777779</v>
      </c>
      <c r="BB1019" s="964">
        <f>YEAR(PV_DATA[[#This Row],[ETA for New Ark update]])</f>
        <v>2026</v>
      </c>
      <c r="BC1019" s="623">
        <f>MONTH(PV_DATA[[#This Row],[ETA for New Ark update]])</f>
        <v>10</v>
      </c>
      <c r="BD1019" s="623">
        <f>IFERROR(_xlfn.ISOWEEKNUM(PV_DATA[[#This Row],[ETA for New Ark update]]),0)</f>
        <v>44</v>
      </c>
      <c r="BE1019" s="623">
        <f>_xlfn.XLOOKUP(PV_DATA[[#This Row],[New Ark SKU]],Table9[New Ark SKU],Table9[Total PCS per Pallet],,0)</f>
        <v>36</v>
      </c>
      <c r="BF1019" s="623">
        <f>_xlfn.XLOOKUP(PV_DATA[[#This Row],[New Ark SKU]],Table9[New Ark SKU],Table9[Total PCS per 40HQ Container],,0)</f>
        <v>720</v>
      </c>
      <c r="BG1019" s="623" t="str">
        <f>_xlfn.XLOOKUP(PV_DATA[[#This Row],[New Ark SKU]],Table9[New Ark SKU],Table9[Back Glass],,0)</f>
        <v>Redirection Film</v>
      </c>
      <c r="BH1019" s="967" t="str">
        <f>_xlfn.XLOOKUP(PV_DATA[[#This Row],[PORT DESTINATION]],Table12[PORT DESTINATION],Table12[Cosco Line],,0)</f>
        <v>AEU</v>
      </c>
    </row>
    <row r="1020" spans="1:60" s="430" customFormat="1" ht="10.5" hidden="1">
      <c r="A1020" s="729" t="s">
        <v>6633</v>
      </c>
      <c r="B1020" s="462" t="s">
        <v>111</v>
      </c>
      <c r="C1020" s="462" t="str">
        <f>IFERROR(LEFT(PV_DATA[[#This Row],[TCL REFERENCE]],FIND(".",PV_DATA[[#This Row],[TCL REFERENCE]],1)-1),"Main Line")</f>
        <v>26Aug019</v>
      </c>
      <c r="D1020" s="462" t="s">
        <v>63</v>
      </c>
      <c r="E1020" s="462" t="s">
        <v>64</v>
      </c>
      <c r="F1020" s="462" t="str" cm="1">
        <f t="array" ref="F102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020" s="462" t="s">
        <v>402</v>
      </c>
      <c r="H1020" s="462" t="s">
        <v>67</v>
      </c>
      <c r="I1020" s="462" t="s">
        <v>689</v>
      </c>
      <c r="J1020" s="430" t="s">
        <v>96</v>
      </c>
      <c r="M1020" s="430" t="s">
        <v>6325</v>
      </c>
      <c r="N1020" s="432">
        <v>46238</v>
      </c>
      <c r="O1020" s="430" t="s">
        <v>132</v>
      </c>
      <c r="P1020" s="430" t="s">
        <v>189</v>
      </c>
      <c r="Q1020" s="430" t="s">
        <v>190</v>
      </c>
      <c r="R1020" s="430" t="str">
        <f>_xlfn.XLOOKUP(PV_DATA[[#This Row],[New Ark SKU]],Table9[New Ark SKU],Table9[Connector],,0)</f>
        <v>EVO2A</v>
      </c>
      <c r="S1020" s="433" t="str">
        <f>_xlfn.XLOOKUP(PV_DATA[[#This Row],[New Ark SKU]],Table9[New Ark SKU],Table9[Cable],,0)</f>
        <v>±1200mm</v>
      </c>
      <c r="T1020" s="433">
        <v>465</v>
      </c>
      <c r="U1020" s="1062">
        <v>3456</v>
      </c>
      <c r="V1020" s="544">
        <f>PV_DATA[[#This Row],[QUANTITY]]*PV_DATA[[#This Row],[WATT]]/1000000</f>
        <v>1.60704</v>
      </c>
      <c r="W1020" s="435">
        <f>PV_DATA[[#This Row],[QUANTITY]]/PV_DATA[[#This Row],[Qty/Pallet]]</f>
        <v>96</v>
      </c>
      <c r="X1020" s="1015">
        <f>PV_DATA[[#This Row],[QUANTITY]]/PV_DATA[[#This Row],[Qty/CT]]</f>
        <v>4</v>
      </c>
      <c r="Y1020" s="430" t="s">
        <v>4378</v>
      </c>
      <c r="AA1020" s="430" t="s">
        <v>5862</v>
      </c>
      <c r="AB1020" s="437">
        <v>46269</v>
      </c>
      <c r="AC1020" s="485"/>
      <c r="AD1020" s="430" t="s">
        <v>6634</v>
      </c>
      <c r="AF1020" s="430" t="s">
        <v>122</v>
      </c>
      <c r="AG1020" s="430" t="s">
        <v>123</v>
      </c>
      <c r="AH1020" s="430" t="s">
        <v>78</v>
      </c>
      <c r="AI1020" s="437">
        <v>46277</v>
      </c>
      <c r="AJ1020" s="437">
        <f>IFERROR(VLOOKUP(AT1020, Vessel!A:D, 4, FALSE), "")</f>
        <v>46277.791666666664</v>
      </c>
      <c r="AK1020" s="437">
        <f>IFERROR(IF(VLOOKUP(AT1020,Vessel!A:F,5,FALSE)=0,"",VLOOKUP(AT1020,Vessel!A:F,5,FALSE)),"")</f>
        <v>46277.833090277774</v>
      </c>
      <c r="AL1020" s="437">
        <v>46316</v>
      </c>
      <c r="AM1020" s="939">
        <f>IFERROR(VLOOKUP(AT1020, Vessel!A:H, 8, FALSE), "")</f>
        <v>46322.666666666664</v>
      </c>
      <c r="AN1020" s="939">
        <f>IFERROR(IF(VLOOKUP(AT1020,Vessel!A:I,9,FALSE)=0,"",VLOOKUP(AT1020,Vessel!A:I,9,FALSE)),"")</f>
        <v>46322.787372685183</v>
      </c>
      <c r="AP1020" s="430" t="s">
        <v>6635</v>
      </c>
      <c r="AQ1020" s="430" t="s">
        <v>80</v>
      </c>
      <c r="AR1020" s="623" t="s">
        <v>6636</v>
      </c>
      <c r="AS1020" s="430" t="s">
        <v>6637</v>
      </c>
      <c r="AT1020" s="430" t="s">
        <v>6637</v>
      </c>
      <c r="AU102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44.954282407408755</v>
      </c>
      <c r="AV1020" s="437"/>
      <c r="AW1020" s="437" cm="1">
        <f t="array" ref="AW102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46322.787372685183</v>
      </c>
      <c r="AX102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20" s="437" t="str">
        <f>IF(ISERROR(PV_DATA[[#This Row],[New Ark PO status]]),"",_xlfn.XLOOKUP(PV_DATA[[#This Row],[SPTN-PVHK New Ark PO'#]],New_Ark_Data[Purchase order Number],New_Ark_Data[Estimated time of arrival],"",0))</f>
        <v/>
      </c>
      <c r="AZ1020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020" s="437">
        <f>IFERROR(PV_DATA[[#This Row],[ODP ETA Port]]+PV_DATA[[#This Row],[Customs/Leg3 Assumption]],"n/a")</f>
        <v>46330.787372685183</v>
      </c>
      <c r="BB1020" s="433">
        <f>YEAR(PV_DATA[[#This Row],[ETA for New Ark update]])</f>
        <v>2026</v>
      </c>
      <c r="BC1020" s="430">
        <f>MONTH(PV_DATA[[#This Row],[ETA for New Ark update]])</f>
        <v>11</v>
      </c>
      <c r="BD1020" s="430">
        <f>IFERROR(_xlfn.ISOWEEKNUM(PV_DATA[[#This Row],[ETA for New Ark update]]),0)</f>
        <v>45</v>
      </c>
      <c r="BE1020" s="430">
        <f>_xlfn.XLOOKUP(PV_DATA[[#This Row],[New Ark SKU]],Table9[New Ark SKU],Table9[Total PCS per Pallet],,0)</f>
        <v>36</v>
      </c>
      <c r="BF1020" s="430">
        <f>_xlfn.XLOOKUP(PV_DATA[[#This Row],[New Ark SKU]],Table9[New Ark SKU],Table9[Total PCS per 40HQ Container],,0)</f>
        <v>864</v>
      </c>
      <c r="BG1020" s="430" t="str">
        <f>_xlfn.XLOOKUP(PV_DATA[[#This Row],[New Ark SKU]],Table9[New Ark SKU],Table9[Back Glass],,0)</f>
        <v>White glazing</v>
      </c>
      <c r="BH1020" s="430" t="str">
        <f>_xlfn.XLOOKUP(PV_DATA[[#This Row],[PORT DESTINATION]],Table12[PORT DESTINATION],Table12[Cosco Line],,0)</f>
        <v>AEM</v>
      </c>
    </row>
    <row r="1021" spans="1:60" s="430" customFormat="1" ht="10.5" hidden="1">
      <c r="A1021" s="729" t="s">
        <v>6638</v>
      </c>
      <c r="B1021" s="462" t="s">
        <v>6639</v>
      </c>
      <c r="C1021" s="462" t="str">
        <f>IFERROR(LEFT(PV_DATA[[#This Row],[TCL REFERENCE]],FIND(".",PV_DATA[[#This Row],[TCL REFERENCE]],1)-1),"Main Line")</f>
        <v>26Aug005</v>
      </c>
      <c r="D1021" s="462" t="s">
        <v>63</v>
      </c>
      <c r="E1021" s="462" t="s">
        <v>64</v>
      </c>
      <c r="F1021" s="462" t="str" cm="1">
        <f t="array" ref="F102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021" s="462" t="s">
        <v>402</v>
      </c>
      <c r="H1021" s="462" t="s">
        <v>67</v>
      </c>
      <c r="I1021" s="462" t="s">
        <v>689</v>
      </c>
      <c r="J1021" s="430" t="s">
        <v>96</v>
      </c>
      <c r="M1021" s="430" t="s">
        <v>6325</v>
      </c>
      <c r="N1021" s="432">
        <v>46258</v>
      </c>
      <c r="O1021" s="430" t="s">
        <v>4540</v>
      </c>
      <c r="P1021" s="430" t="s">
        <v>706</v>
      </c>
      <c r="Q1021" s="430" t="s">
        <v>707</v>
      </c>
      <c r="R1021" s="430" t="str">
        <f>_xlfn.XLOOKUP(PV_DATA[[#This Row],[New Ark SKU]],Table9[New Ark SKU],Table9[Connector],,0)</f>
        <v>EVO2A</v>
      </c>
      <c r="S1021" s="433" t="str">
        <f>_xlfn.XLOOKUP(PV_DATA[[#This Row],[New Ark SKU]],Table9[New Ark SKU],Table9[Cable],,0)</f>
        <v>±1200mm</v>
      </c>
      <c r="T1021" s="433">
        <v>500</v>
      </c>
      <c r="U1021" s="1062">
        <f>864*5</f>
        <v>4320</v>
      </c>
      <c r="V1021" s="434">
        <f>PV_DATA[[#This Row],[QUANTITY]]*PV_DATA[[#This Row],[WATT]]/1000000</f>
        <v>2.16</v>
      </c>
      <c r="W1021" s="435">
        <f>PV_DATA[[#This Row],[QUANTITY]]/PV_DATA[[#This Row],[Qty/Pallet]]</f>
        <v>120</v>
      </c>
      <c r="X1021" s="1015">
        <f>PV_DATA[[#This Row],[QUANTITY]]/PV_DATA[[#This Row],[Qty/CT]]</f>
        <v>5</v>
      </c>
      <c r="Y1021" s="430" t="s">
        <v>4379</v>
      </c>
      <c r="Z1021" s="430" t="str">
        <f>IF(AN1021&lt;&gt;"","COMPLETED",IF(AK1021&lt;&gt;"","IN-TRANSIT",""))</f>
        <v>IN-TRANSIT</v>
      </c>
      <c r="AA1021" s="430" t="s">
        <v>6640</v>
      </c>
      <c r="AB1021" s="437">
        <v>46275</v>
      </c>
      <c r="AC1021" s="485">
        <f>IF(PV_DATA[[#This Row],[Pick-Up Date]]&lt;&gt;"",_xlfn.ISOWEEKNUM(PV_DATA[[#This Row],[Pick-Up Date]]),"")</f>
        <v>37</v>
      </c>
      <c r="AD1021" s="430" t="s">
        <v>6641</v>
      </c>
      <c r="AF1021" s="459" t="s">
        <v>122</v>
      </c>
      <c r="AG1021" s="459" t="s">
        <v>123</v>
      </c>
      <c r="AH1021" s="430" t="s">
        <v>78</v>
      </c>
      <c r="AI1021" s="437">
        <v>46280</v>
      </c>
      <c r="AJ1021" s="437">
        <f>IFERROR(VLOOKUP(AT1021, Vessel!A:D, 4, FALSE), "")</f>
        <v>46284.729166666664</v>
      </c>
      <c r="AK1021" s="437">
        <f>IFERROR(IF(VLOOKUP(AT1021,Vessel!A:F,5,FALSE)=0,"",VLOOKUP(AT1021,Vessel!A:F,5,FALSE)),"")</f>
        <v>46284.757893518516</v>
      </c>
      <c r="AL1021" s="437">
        <v>46328</v>
      </c>
      <c r="AM1021" s="939">
        <f>IFERROR(VLOOKUP(AT1021, Vessel!A:H, 8, FALSE), "")</f>
        <v>46342.25</v>
      </c>
      <c r="AN1021" s="939" t="str">
        <f>IFERROR(IF(VLOOKUP(AT1021,Vessel!A:I,9,FALSE)=0,"",VLOOKUP(AT1021,Vessel!A:I,9,FALSE)),"")</f>
        <v/>
      </c>
      <c r="AP1021" s="430" t="s">
        <v>6642</v>
      </c>
      <c r="AQ1021" s="438" t="s">
        <v>80</v>
      </c>
      <c r="AR1021" s="623" t="s">
        <v>6643</v>
      </c>
      <c r="AS1021" s="430" t="s">
        <v>6644</v>
      </c>
      <c r="AT1021" s="430" t="s">
        <v>6644</v>
      </c>
      <c r="AU102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57.49210648148437</v>
      </c>
      <c r="AW1021" s="437" cm="1">
        <f t="array" ref="AW102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46342.25</v>
      </c>
      <c r="AX102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21" s="437" t="str">
        <f>IF(ISERROR(PV_DATA[[#This Row],[New Ark PO status]]),"",_xlfn.XLOOKUP(PV_DATA[[#This Row],[SPTN-PVHK New Ark PO'#]],New_Ark_Data[Purchase order Number],New_Ark_Data[Estimated time of arrival],"",0))</f>
        <v/>
      </c>
      <c r="AZ1021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021" s="437">
        <f>IFERROR(PV_DATA[[#This Row],[ODP ETA Port]]+PV_DATA[[#This Row],[Customs/Leg3 Assumption]],"n/a")</f>
        <v>46350.25</v>
      </c>
      <c r="BB1021" s="433">
        <f>YEAR(PV_DATA[[#This Row],[ETA for New Ark update]])</f>
        <v>2026</v>
      </c>
      <c r="BC1021" s="430">
        <f>MONTH(PV_DATA[[#This Row],[ETA for New Ark update]])</f>
        <v>11</v>
      </c>
      <c r="BD1021" s="430">
        <f>IFERROR(_xlfn.ISOWEEKNUM(PV_DATA[[#This Row],[ETA for New Ark update]]),0)</f>
        <v>48</v>
      </c>
      <c r="BE1021" s="430">
        <f>_xlfn.XLOOKUP(PV_DATA[[#This Row],[New Ark SKU]],Table9[New Ark SKU],Table9[Total PCS per Pallet],,0)</f>
        <v>36</v>
      </c>
      <c r="BF1021" s="430">
        <f>_xlfn.XLOOKUP(PV_DATA[[#This Row],[New Ark SKU]],Table9[New Ark SKU],Table9[Total PCS per 40HQ Container],,0)</f>
        <v>864</v>
      </c>
      <c r="BG1021" s="430" t="str">
        <f>_xlfn.XLOOKUP(PV_DATA[[#This Row],[New Ark SKU]],Table9[New Ark SKU],Table9[Back Glass],,0)</f>
        <v>Black glazing</v>
      </c>
      <c r="BH1021" s="610" t="str">
        <f>_xlfn.XLOOKUP(PV_DATA[[#This Row],[PORT DESTINATION]],Table12[PORT DESTINATION],Table12[Cosco Line],,0)</f>
        <v>AEM</v>
      </c>
    </row>
    <row r="1022" spans="1:60" s="430" customFormat="1" ht="10.5" hidden="1">
      <c r="A1022" s="729" t="s">
        <v>6645</v>
      </c>
      <c r="B1022" s="462" t="s">
        <v>6646</v>
      </c>
      <c r="C1022" s="462" t="str">
        <f>IFERROR(LEFT(PV_DATA[[#This Row],[TCL REFERENCE]],FIND(".",PV_DATA[[#This Row],[TCL REFERENCE]],1)-1),"Main Line")</f>
        <v>26Aug006</v>
      </c>
      <c r="D1022" s="462" t="s">
        <v>63</v>
      </c>
      <c r="E1022" s="462" t="s">
        <v>64</v>
      </c>
      <c r="F1022" s="462" t="str" cm="1">
        <f t="array" ref="F102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022" s="462" t="s">
        <v>402</v>
      </c>
      <c r="H1022" s="462" t="s">
        <v>67</v>
      </c>
      <c r="I1022" s="462" t="s">
        <v>689</v>
      </c>
      <c r="J1022" s="430" t="s">
        <v>96</v>
      </c>
      <c r="M1022" s="430" t="s">
        <v>6325</v>
      </c>
      <c r="N1022" s="432">
        <v>46258</v>
      </c>
      <c r="O1022" s="430" t="s">
        <v>4540</v>
      </c>
      <c r="P1022" s="430" t="s">
        <v>691</v>
      </c>
      <c r="Q1022" s="430" t="s">
        <v>692</v>
      </c>
      <c r="R1022" s="430" t="str">
        <f>_xlfn.XLOOKUP(PV_DATA[[#This Row],[New Ark SKU]],Table9[New Ark SKU],Table9[Connector],,0)</f>
        <v>EVO2A</v>
      </c>
      <c r="S1022" s="433" t="str">
        <f>_xlfn.XLOOKUP(PV_DATA[[#This Row],[New Ark SKU]],Table9[New Ark SKU],Table9[Cable],,0)</f>
        <v>±1200mm</v>
      </c>
      <c r="T1022" s="433">
        <v>505</v>
      </c>
      <c r="U1022" s="1062">
        <f>864*4</f>
        <v>3456</v>
      </c>
      <c r="V1022" s="434">
        <f>PV_DATA[[#This Row],[QUANTITY]]*PV_DATA[[#This Row],[WATT]]/1000000</f>
        <v>1.7452799999999999</v>
      </c>
      <c r="W1022" s="435">
        <f>PV_DATA[[#This Row],[QUANTITY]]/PV_DATA[[#This Row],[Qty/Pallet]]</f>
        <v>96</v>
      </c>
      <c r="X1022" s="1015">
        <f>PV_DATA[[#This Row],[QUANTITY]]/PV_DATA[[#This Row],[Qty/CT]]</f>
        <v>4</v>
      </c>
      <c r="Y1022" s="430" t="s">
        <v>4378</v>
      </c>
      <c r="Z1022" s="430" t="str">
        <f>IF(AN1022&lt;&gt;"","COMPLETED",IF(AK1022&lt;&gt;"","IN-TRANSIT",""))</f>
        <v>IN-TRANSIT</v>
      </c>
      <c r="AA1022" s="430" t="s">
        <v>6640</v>
      </c>
      <c r="AB1022" s="437">
        <v>46275</v>
      </c>
      <c r="AC1022" s="485">
        <f>IF(PV_DATA[[#This Row],[Pick-Up Date]]&lt;&gt;"",_xlfn.ISOWEEKNUM(PV_DATA[[#This Row],[Pick-Up Date]]),"")</f>
        <v>37</v>
      </c>
      <c r="AD1022" s="430" t="s">
        <v>6647</v>
      </c>
      <c r="AF1022" s="430" t="s">
        <v>122</v>
      </c>
      <c r="AG1022" s="430" t="s">
        <v>123</v>
      </c>
      <c r="AH1022" s="430" t="s">
        <v>78</v>
      </c>
      <c r="AI1022" s="437">
        <v>46280</v>
      </c>
      <c r="AJ1022" s="437">
        <f>IFERROR(VLOOKUP(AT1022, Vessel!A:D, 4, FALSE), "")</f>
        <v>46284.729166666664</v>
      </c>
      <c r="AK1022" s="437">
        <f>IFERROR(IF(VLOOKUP(AT1022,Vessel!A:F,5,FALSE)=0,"",VLOOKUP(AT1022,Vessel!A:F,5,FALSE)),"")</f>
        <v>46284.757893518516</v>
      </c>
      <c r="AL1022" s="437">
        <v>46328</v>
      </c>
      <c r="AM1022" s="939">
        <f>IFERROR(VLOOKUP(AT1022, Vessel!A:H, 8, FALSE), "")</f>
        <v>46342.25</v>
      </c>
      <c r="AN1022" s="939" t="str">
        <f>IFERROR(IF(VLOOKUP(AT1022,Vessel!A:I,9,FALSE)=0,"",VLOOKUP(AT1022,Vessel!A:I,9,FALSE)),"")</f>
        <v/>
      </c>
      <c r="AP1022" s="430" t="s">
        <v>6642</v>
      </c>
      <c r="AQ1022" s="438" t="s">
        <v>80</v>
      </c>
      <c r="AR1022" s="623" t="s">
        <v>6643</v>
      </c>
      <c r="AS1022" s="430" t="s">
        <v>6644</v>
      </c>
      <c r="AT1022" s="430" t="s">
        <v>6644</v>
      </c>
      <c r="AU102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57.49210648148437</v>
      </c>
      <c r="AW1022" s="437" cm="1">
        <f t="array" ref="AW102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46342.25</v>
      </c>
      <c r="AX102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22" s="437" t="str">
        <f>IF(ISERROR(PV_DATA[[#This Row],[New Ark PO status]]),"",_xlfn.XLOOKUP(PV_DATA[[#This Row],[SPTN-PVHK New Ark PO'#]],New_Ark_Data[Purchase order Number],New_Ark_Data[Estimated time of arrival],"",0))</f>
        <v/>
      </c>
      <c r="AZ1022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022" s="437">
        <f>IFERROR(PV_DATA[[#This Row],[ODP ETA Port]]+PV_DATA[[#This Row],[Customs/Leg3 Assumption]],"n/a")</f>
        <v>46350.25</v>
      </c>
      <c r="BB1022" s="433">
        <f>YEAR(PV_DATA[[#This Row],[ETA for New Ark update]])</f>
        <v>2026</v>
      </c>
      <c r="BC1022" s="430">
        <f>MONTH(PV_DATA[[#This Row],[ETA for New Ark update]])</f>
        <v>11</v>
      </c>
      <c r="BD1022" s="430">
        <f>IFERROR(_xlfn.ISOWEEKNUM(PV_DATA[[#This Row],[ETA for New Ark update]]),0)</f>
        <v>48</v>
      </c>
      <c r="BE1022" s="430">
        <f>_xlfn.XLOOKUP(PV_DATA[[#This Row],[New Ark SKU]],Table9[New Ark SKU],Table9[Total PCS per Pallet],,0)</f>
        <v>36</v>
      </c>
      <c r="BF1022" s="430">
        <f>_xlfn.XLOOKUP(PV_DATA[[#This Row],[New Ark SKU]],Table9[New Ark SKU],Table9[Total PCS per 40HQ Container],,0)</f>
        <v>864</v>
      </c>
      <c r="BG1022" s="430" t="str">
        <f>_xlfn.XLOOKUP(PV_DATA[[#This Row],[New Ark SKU]],Table9[New Ark SKU],Table9[Back Glass],,0)</f>
        <v>Black glazing</v>
      </c>
      <c r="BH1022" s="610" t="str">
        <f>_xlfn.XLOOKUP(PV_DATA[[#This Row],[PORT DESTINATION]],Table12[PORT DESTINATION],Table12[Cosco Line],,0)</f>
        <v>AEM</v>
      </c>
    </row>
    <row r="1023" spans="1:60" s="430" customFormat="1" ht="10.5" hidden="1">
      <c r="A1023" s="941" t="s">
        <v>6648</v>
      </c>
      <c r="B1023" s="935" t="s">
        <v>111</v>
      </c>
      <c r="C1023" s="462" t="str">
        <f>IFERROR(LEFT(PV_DATA[[#This Row],[TCL REFERENCE]],FIND(".",PV_DATA[[#This Row],[TCL REFERENCE]],1)-1),"Main Line")</f>
        <v>26Aug010</v>
      </c>
      <c r="D1023" s="935" t="s">
        <v>113</v>
      </c>
      <c r="E1023" s="462" t="s">
        <v>64</v>
      </c>
      <c r="F1023" s="935" t="str" cm="1">
        <f t="array" ref="F102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023" s="462" t="s">
        <v>402</v>
      </c>
      <c r="H1023" s="462" t="s">
        <v>115</v>
      </c>
      <c r="I1023" s="462" t="s">
        <v>1395</v>
      </c>
      <c r="J1023" s="430" t="s">
        <v>96</v>
      </c>
      <c r="K1023" s="623"/>
      <c r="L1023" s="623"/>
      <c r="M1023" s="430" t="s">
        <v>68</v>
      </c>
      <c r="N1023" s="1053"/>
      <c r="O1023" s="623" t="s">
        <v>4540</v>
      </c>
      <c r="P1023" s="623" t="s">
        <v>6245</v>
      </c>
      <c r="Q1023" s="623" t="s">
        <v>330</v>
      </c>
      <c r="R1023" s="430" t="str">
        <f>_xlfn.XLOOKUP(PV_DATA[[#This Row],[New Ark SKU]],Table9[New Ark SKU],Table9[Connector],,0)</f>
        <v>H4(Com)</v>
      </c>
      <c r="S1023" s="433" t="str">
        <f>_xlfn.XLOOKUP(PV_DATA[[#This Row],[New Ark SKU]],Table9[New Ark SKU],Table9[Cable],,0)</f>
        <v>+400mm/-200mm</v>
      </c>
      <c r="T1023" s="964">
        <v>625</v>
      </c>
      <c r="U1023" s="1062">
        <v>1440</v>
      </c>
      <c r="V1023" s="965">
        <f>PV_DATA[[#This Row],[QUANTITY]]*PV_DATA[[#This Row],[WATT]]/1000000</f>
        <v>0.9</v>
      </c>
      <c r="W1023" s="435">
        <f>PV_DATA[[#This Row],[QUANTITY]]/36</f>
        <v>40</v>
      </c>
      <c r="X1023" s="1153">
        <f>PV_DATA[[#This Row],[QUANTITY]]/PV_DATA[[#This Row],[Qty/CT]]</f>
        <v>2</v>
      </c>
      <c r="Y1023" s="430" t="s">
        <v>4378</v>
      </c>
      <c r="Z1023" s="430" t="str">
        <f>IF(AN1023&lt;&gt;"","COMPLETED",IF(AK1023&lt;&gt;"","IN-TRANSIT",""))</f>
        <v>IN-TRANSIT</v>
      </c>
      <c r="AA1023" s="623" t="s">
        <v>5862</v>
      </c>
      <c r="AB1023" s="966">
        <v>46268</v>
      </c>
      <c r="AC1023" s="1154">
        <f>IF(PV_DATA[[#This Row],[Pick-Up Date]]&lt;&gt;"",_xlfn.ISOWEEKNUM(PV_DATA[[#This Row],[Pick-Up Date]]),"")</f>
        <v>36</v>
      </c>
      <c r="AD1023" s="623" t="s">
        <v>6649</v>
      </c>
      <c r="AE1023" s="623"/>
      <c r="AF1023" s="623" t="s">
        <v>122</v>
      </c>
      <c r="AG1023" s="623" t="s">
        <v>122</v>
      </c>
      <c r="AH1023" s="430" t="s">
        <v>124</v>
      </c>
      <c r="AI1023" s="966">
        <v>46273</v>
      </c>
      <c r="AJ1023" s="437">
        <f>IFERROR(VLOOKUP(AT1023, Vessel!A:D, 4, FALSE), "")</f>
        <v>46273.041666666664</v>
      </c>
      <c r="AK1023" s="437">
        <f>IFERROR(IF(VLOOKUP(AT1023,Vessel!A:F,5,FALSE)=0,"",VLOOKUP(AT1023,Vessel!A:F,5,FALSE)),"")</f>
        <v>46273.077708333331</v>
      </c>
      <c r="AL1023" s="966">
        <v>46317</v>
      </c>
      <c r="AM1023" s="939">
        <f>IFERROR(VLOOKUP(AT1023, Vessel!A:H, 8, FALSE), "")</f>
        <v>46340.333333333336</v>
      </c>
      <c r="AN1023" s="939" t="str">
        <f>IFERROR(IF(VLOOKUP(AT1023,Vessel!A:I,9,FALSE)=0,"",VLOOKUP(AT1023,Vessel!A:I,9,FALSE)),"")</f>
        <v/>
      </c>
      <c r="AO1023" s="623"/>
      <c r="AP1023" s="623" t="s">
        <v>6650</v>
      </c>
      <c r="AQ1023" s="1044" t="s">
        <v>80</v>
      </c>
      <c r="AR1023" s="623" t="s">
        <v>6651</v>
      </c>
      <c r="AS1023" s="623" t="s">
        <v>6652</v>
      </c>
      <c r="AT1023" s="430" t="s">
        <v>6652</v>
      </c>
      <c r="AU102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67.255625000005239</v>
      </c>
      <c r="AV1023" s="623"/>
      <c r="AW1023" s="966" cm="1">
        <f t="array" ref="AW102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46340.333333333336</v>
      </c>
      <c r="AX102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23" s="966" t="str">
        <f>IF(ISERROR(PV_DATA[[#This Row],[New Ark PO status]]),"",_xlfn.XLOOKUP(PV_DATA[[#This Row],[SPTN-PVHK New Ark PO'#]],New_Ark_Data[Purchase order Number],New_Ark_Data[Estimated time of arrival],"",0))</f>
        <v/>
      </c>
      <c r="AZ1023" s="964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023" s="966">
        <f>IFERROR(PV_DATA[[#This Row],[ODP ETA Port]]+PV_DATA[[#This Row],[Customs/Leg3 Assumption]],"n/a")</f>
        <v>46349.333333333336</v>
      </c>
      <c r="BB1023" s="433" t="s">
        <v>6545</v>
      </c>
      <c r="BC1023" s="433" t="s">
        <v>6545</v>
      </c>
      <c r="BD1023" s="623">
        <f>IFERROR(_xlfn.ISOWEEKNUM(PV_DATA[[#This Row],[ETA for New Ark update]]),0)</f>
        <v>48</v>
      </c>
      <c r="BE1023" s="623">
        <f>_xlfn.XLOOKUP(PV_DATA[[#This Row],[New Ark SKU]],Table9[New Ark SKU],Table9[Total PCS per Pallet],,0)</f>
        <v>36</v>
      </c>
      <c r="BF1023" s="623">
        <f>_xlfn.XLOOKUP(PV_DATA[[#This Row],[New Ark SKU]],Table9[New Ark SKU],Table9[Total PCS per 40HQ Container],,0)</f>
        <v>720</v>
      </c>
      <c r="BG1023" s="623" t="str">
        <f>_xlfn.XLOOKUP(PV_DATA[[#This Row],[New Ark SKU]],Table9[New Ark SKU],Table9[Back Glass],,0)</f>
        <v>Redirection Film</v>
      </c>
      <c r="BH1023" s="967" t="str">
        <f>_xlfn.XLOOKUP(PV_DATA[[#This Row],[PORT DESTINATION]],Table12[PORT DESTINATION],Table12[Cosco Line],,0)</f>
        <v>AEM</v>
      </c>
    </row>
    <row r="1024" spans="1:60" s="430" customFormat="1" ht="10.5" hidden="1">
      <c r="A1024" s="941" t="s">
        <v>6653</v>
      </c>
      <c r="B1024" s="935" t="s">
        <v>111</v>
      </c>
      <c r="C1024" s="462" t="str">
        <f>IFERROR(LEFT(PV_DATA[[#This Row],[TCL REFERENCE]],FIND(".",PV_DATA[[#This Row],[TCL REFERENCE]],1)-1),"Main Line")</f>
        <v>26Aug010</v>
      </c>
      <c r="D1024" s="935" t="s">
        <v>113</v>
      </c>
      <c r="E1024" s="462" t="s">
        <v>64</v>
      </c>
      <c r="F1024" s="935" t="str" cm="1">
        <f t="array" ref="F102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024" s="462" t="s">
        <v>402</v>
      </c>
      <c r="H1024" s="462" t="s">
        <v>115</v>
      </c>
      <c r="I1024" s="462" t="s">
        <v>1395</v>
      </c>
      <c r="J1024" s="430" t="s">
        <v>96</v>
      </c>
      <c r="K1024" s="623"/>
      <c r="L1024" s="623"/>
      <c r="M1024" s="430" t="s">
        <v>68</v>
      </c>
      <c r="N1024" s="1053"/>
      <c r="O1024" s="623" t="s">
        <v>4540</v>
      </c>
      <c r="P1024" s="623" t="s">
        <v>6245</v>
      </c>
      <c r="Q1024" s="623" t="s">
        <v>330</v>
      </c>
      <c r="R1024" s="430" t="str">
        <f>_xlfn.XLOOKUP(PV_DATA[[#This Row],[New Ark SKU]],Table9[New Ark SKU],Table9[Connector],,0)</f>
        <v>H4(Com)</v>
      </c>
      <c r="S1024" s="433" t="str">
        <f>_xlfn.XLOOKUP(PV_DATA[[#This Row],[New Ark SKU]],Table9[New Ark SKU],Table9[Cable],,0)</f>
        <v>+400mm/-200mm</v>
      </c>
      <c r="T1024" s="964">
        <v>625</v>
      </c>
      <c r="U1024" s="1062">
        <v>720</v>
      </c>
      <c r="V1024" s="965">
        <f>PV_DATA[[#This Row],[QUANTITY]]*PV_DATA[[#This Row],[WATT]]/1000000</f>
        <v>0.45</v>
      </c>
      <c r="W1024" s="435">
        <f>PV_DATA[[#This Row],[QUANTITY]]/36</f>
        <v>20</v>
      </c>
      <c r="X1024" s="1153">
        <f>PV_DATA[[#This Row],[QUANTITY]]/PV_DATA[[#This Row],[Qty/CT]]</f>
        <v>1</v>
      </c>
      <c r="Y1024" s="430" t="s">
        <v>4378</v>
      </c>
      <c r="Z1024" s="430" t="str">
        <f>IF(AN1024&lt;&gt;"","COMPLETED",IF(AK1024&lt;&gt;"","IN-TRANSIT",""))</f>
        <v>COMPLETED</v>
      </c>
      <c r="AA1024" s="623" t="s">
        <v>5862</v>
      </c>
      <c r="AB1024" s="966">
        <v>46269</v>
      </c>
      <c r="AC1024" s="1154">
        <f>IF(PV_DATA[[#This Row],[Pick-Up Date]]&lt;&gt;"",_xlfn.ISOWEEKNUM(PV_DATA[[#This Row],[Pick-Up Date]]),"")</f>
        <v>36</v>
      </c>
      <c r="AD1024" s="623" t="s">
        <v>6654</v>
      </c>
      <c r="AE1024" s="623"/>
      <c r="AF1024" s="623" t="s">
        <v>122</v>
      </c>
      <c r="AG1024" s="623" t="s">
        <v>122</v>
      </c>
      <c r="AH1024" s="430" t="s">
        <v>124</v>
      </c>
      <c r="AI1024" s="966">
        <v>46277</v>
      </c>
      <c r="AJ1024" s="437">
        <f>IFERROR(VLOOKUP(AT1024, Vessel!A:D, 4, FALSE), "")</f>
        <v>46277.791666666664</v>
      </c>
      <c r="AK1024" s="437">
        <f>IFERROR(IF(VLOOKUP(AT1024,Vessel!A:F,5,FALSE)=0,"",VLOOKUP(AT1024,Vessel!A:F,5,FALSE)),"")</f>
        <v>46277.833090277774</v>
      </c>
      <c r="AL1024" s="966">
        <v>46310</v>
      </c>
      <c r="AM1024" s="939">
        <f>IFERROR(VLOOKUP(AT1024, Vessel!A:H, 8, FALSE), "")</f>
        <v>46315.342361111114</v>
      </c>
      <c r="AN1024" s="939">
        <f>IFERROR(IF(VLOOKUP(AT1024,Vessel!A:I,9,FALSE)=0,"",VLOOKUP(AT1024,Vessel!A:I,9,FALSE)),"")</f>
        <v>46315.492418981485</v>
      </c>
      <c r="AO1024" s="623"/>
      <c r="AP1024" s="623" t="s">
        <v>6635</v>
      </c>
      <c r="AQ1024" s="1044" t="s">
        <v>80</v>
      </c>
      <c r="AR1024" s="623" t="s">
        <v>6655</v>
      </c>
      <c r="AS1024" s="623" t="s">
        <v>6656</v>
      </c>
      <c r="AT1024" s="430" t="s">
        <v>6656</v>
      </c>
      <c r="AU102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37.659328703710344</v>
      </c>
      <c r="AV1024" s="623"/>
      <c r="AW1024" s="966" cm="1">
        <f t="array" ref="AW102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46315.492418981485</v>
      </c>
      <c r="AX102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24" s="966" t="str">
        <f>IF(ISERROR(PV_DATA[[#This Row],[New Ark PO status]]),"",_xlfn.XLOOKUP(PV_DATA[[#This Row],[SPTN-PVHK New Ark PO'#]],New_Ark_Data[Purchase order Number],New_Ark_Data[Estimated time of arrival],"",0))</f>
        <v/>
      </c>
      <c r="AZ1024" s="964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024" s="966">
        <f>IFERROR(PV_DATA[[#This Row],[ODP ETA Port]]+PV_DATA[[#This Row],[Customs/Leg3 Assumption]],"n/a")</f>
        <v>46324.492418981485</v>
      </c>
      <c r="BB1024" s="433" t="s">
        <v>6545</v>
      </c>
      <c r="BC1024" s="433" t="s">
        <v>6545</v>
      </c>
      <c r="BD1024" s="623">
        <f>IFERROR(_xlfn.ISOWEEKNUM(PV_DATA[[#This Row],[ETA for New Ark update]]),0)</f>
        <v>44</v>
      </c>
      <c r="BE1024" s="623">
        <f>_xlfn.XLOOKUP(PV_DATA[[#This Row],[New Ark SKU]],Table9[New Ark SKU],Table9[Total PCS per Pallet],,0)</f>
        <v>36</v>
      </c>
      <c r="BF1024" s="623">
        <f>_xlfn.XLOOKUP(PV_DATA[[#This Row],[New Ark SKU]],Table9[New Ark SKU],Table9[Total PCS per 40HQ Container],,0)</f>
        <v>720</v>
      </c>
      <c r="BG1024" s="623" t="str">
        <f>_xlfn.XLOOKUP(PV_DATA[[#This Row],[New Ark SKU]],Table9[New Ark SKU],Table9[Back Glass],,0)</f>
        <v>Redirection Film</v>
      </c>
      <c r="BH1024" s="967" t="str">
        <f>_xlfn.XLOOKUP(PV_DATA[[#This Row],[PORT DESTINATION]],Table12[PORT DESTINATION],Table12[Cosco Line],,0)</f>
        <v>AEM</v>
      </c>
    </row>
    <row r="1025" spans="1:60" s="430" customFormat="1" ht="10.5" hidden="1">
      <c r="A1025" s="729" t="s">
        <v>6657</v>
      </c>
      <c r="B1025" s="462" t="s">
        <v>111</v>
      </c>
      <c r="C1025" s="462" t="str">
        <f>IFERROR(LEFT(PV_DATA[[#This Row],[TCL REFERENCE]],FIND(".",PV_DATA[[#This Row],[TCL REFERENCE]],1)-1),"Main Line")</f>
        <v>26Aug020</v>
      </c>
      <c r="D1025" s="462" t="s">
        <v>63</v>
      </c>
      <c r="E1025" s="462" t="s">
        <v>64</v>
      </c>
      <c r="F1025" s="462" t="str" cm="1">
        <f t="array" ref="F102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025" s="462" t="s">
        <v>402</v>
      </c>
      <c r="H1025" s="462" t="s">
        <v>67</v>
      </c>
      <c r="I1025" s="462" t="s">
        <v>689</v>
      </c>
      <c r="J1025" s="430" t="s">
        <v>96</v>
      </c>
      <c r="M1025" s="430" t="s">
        <v>6325</v>
      </c>
      <c r="N1025" s="432">
        <v>46238</v>
      </c>
      <c r="O1025" s="430" t="s">
        <v>132</v>
      </c>
      <c r="P1025" s="430" t="s">
        <v>1062</v>
      </c>
      <c r="Q1025" s="430" t="s">
        <v>1063</v>
      </c>
      <c r="R1025" s="430" t="str">
        <f>_xlfn.XLOOKUP(PV_DATA[[#This Row],[New Ark SKU]],Table9[New Ark SKU],Table9[Connector],,0)</f>
        <v>EVO2A</v>
      </c>
      <c r="S1025" s="433" t="str">
        <f>_xlfn.XLOOKUP(PV_DATA[[#This Row],[New Ark SKU]],Table9[New Ark SKU],Table9[Cable],,0)</f>
        <v>±1200mm</v>
      </c>
      <c r="T1025" s="433">
        <v>470</v>
      </c>
      <c r="U1025" s="1062">
        <f>864*3</f>
        <v>2592</v>
      </c>
      <c r="V1025" s="434">
        <f>PV_DATA[[#This Row],[QUANTITY]]*PV_DATA[[#This Row],[WATT]]/1000000</f>
        <v>1.21824</v>
      </c>
      <c r="W1025" s="435">
        <f>PV_DATA[[#This Row],[QUANTITY]]/PV_DATA[[#This Row],[Qty/Pallet]]</f>
        <v>72</v>
      </c>
      <c r="X1025" s="1015">
        <f>PV_DATA[[#This Row],[QUANTITY]]/PV_DATA[[#This Row],[Qty/CT]]</f>
        <v>3</v>
      </c>
      <c r="Y1025" s="430" t="s">
        <v>4379</v>
      </c>
      <c r="AA1025" s="430" t="s">
        <v>5862</v>
      </c>
      <c r="AB1025" s="437">
        <v>46274</v>
      </c>
      <c r="AC1025" s="438"/>
      <c r="AD1025" s="462" t="s">
        <v>6658</v>
      </c>
      <c r="AF1025" s="430" t="s">
        <v>122</v>
      </c>
      <c r="AG1025" s="430" t="s">
        <v>123</v>
      </c>
      <c r="AH1025" s="430" t="s">
        <v>78</v>
      </c>
      <c r="AI1025" s="437">
        <v>46278</v>
      </c>
      <c r="AJ1025" s="437">
        <v>46279</v>
      </c>
      <c r="AK1025" s="437">
        <v>46279</v>
      </c>
      <c r="AL1025" s="437">
        <v>46330</v>
      </c>
      <c r="AM1025" s="437"/>
      <c r="AN1025" s="437"/>
      <c r="AP1025" s="430" t="s">
        <v>6659</v>
      </c>
      <c r="AQ1025" s="430" t="s">
        <v>161</v>
      </c>
      <c r="AR1025" s="430" t="s">
        <v>6660</v>
      </c>
      <c r="AS1025" s="430">
        <v>276098842</v>
      </c>
      <c r="AT1025" s="430">
        <v>276098842</v>
      </c>
      <c r="AU102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</v>
      </c>
      <c r="AW1025" s="437" cm="1">
        <f t="array" ref="AW102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46330</v>
      </c>
      <c r="AX102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25" s="437" t="str">
        <f>IF(ISERROR(PV_DATA[[#This Row],[New Ark PO status]]),"",_xlfn.XLOOKUP(PV_DATA[[#This Row],[SPTN-PVHK New Ark PO'#]],New_Ark_Data[Purchase order Number],New_Ark_Data[Estimated time of arrival],"",0))</f>
        <v/>
      </c>
      <c r="AZ1025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025" s="437">
        <f>IFERROR(PV_DATA[[#This Row],[ODP ETA Port]]+PV_DATA[[#This Row],[Customs/Leg3 Assumption]],"n/a")</f>
        <v>46338</v>
      </c>
      <c r="BB1025" s="433">
        <f>YEAR(PV_DATA[[#This Row],[ETA for New Ark update]])</f>
        <v>2026</v>
      </c>
      <c r="BC1025" s="430">
        <f>MONTH(PV_DATA[[#This Row],[ETA for New Ark update]])</f>
        <v>11</v>
      </c>
      <c r="BD1025" s="430">
        <f>IFERROR(_xlfn.ISOWEEKNUM(PV_DATA[[#This Row],[ETA for New Ark update]]),0)</f>
        <v>46</v>
      </c>
      <c r="BE1025" s="430">
        <f>_xlfn.XLOOKUP(PV_DATA[[#This Row],[New Ark SKU]],Table9[New Ark SKU],Table9[Total PCS per Pallet],,0)</f>
        <v>36</v>
      </c>
      <c r="BF1025" s="430">
        <f>_xlfn.XLOOKUP(PV_DATA[[#This Row],[New Ark SKU]],Table9[New Ark SKU],Table9[Total PCS per 40HQ Container],,0)</f>
        <v>864</v>
      </c>
      <c r="BG1025" s="430" t="str">
        <f>_xlfn.XLOOKUP(PV_DATA[[#This Row],[New Ark SKU]],Table9[New Ark SKU],Table9[Back Glass],,0)</f>
        <v>White glazing</v>
      </c>
      <c r="BH1025" s="430" t="str">
        <f>_xlfn.XLOOKUP(PV_DATA[[#This Row],[PORT DESTINATION]],Table12[PORT DESTINATION],Table12[Cosco Line],,0)</f>
        <v>AEM</v>
      </c>
    </row>
    <row r="1026" spans="1:60" s="430" customFormat="1" ht="10.5" hidden="1">
      <c r="A1026" s="941" t="s">
        <v>6661</v>
      </c>
      <c r="B1026" s="1052" t="s">
        <v>111</v>
      </c>
      <c r="C1026" s="462" t="str">
        <f>IFERROR(LEFT(PV_DATA[[#This Row],[TCL REFERENCE]],FIND(".",PV_DATA[[#This Row],[TCL REFERENCE]],1)-1),"Main Line")</f>
        <v>26Aug010</v>
      </c>
      <c r="D1026" s="935" t="s">
        <v>113</v>
      </c>
      <c r="E1026" s="462" t="s">
        <v>144</v>
      </c>
      <c r="F1026" s="935" t="str" cm="1">
        <f t="array" ref="F1026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26" s="462" t="s">
        <v>402</v>
      </c>
      <c r="H1026" s="462" t="s">
        <v>6662</v>
      </c>
      <c r="I1026" s="462" t="s">
        <v>6663</v>
      </c>
      <c r="J1026" s="462" t="s">
        <v>6662</v>
      </c>
      <c r="K1026" s="623" t="s">
        <v>6664</v>
      </c>
      <c r="L1026" s="623">
        <v>1</v>
      </c>
      <c r="M1026" s="462" t="s">
        <v>6665</v>
      </c>
      <c r="N1026" s="1053"/>
      <c r="O1026" s="623" t="s">
        <v>4540</v>
      </c>
      <c r="P1026" s="623" t="s">
        <v>6245</v>
      </c>
      <c r="Q1026" s="623" t="s">
        <v>330</v>
      </c>
      <c r="R1026" s="430" t="str">
        <f>_xlfn.XLOOKUP(PV_DATA[[#This Row],[New Ark SKU]],Table9[New Ark SKU],Table9[Connector],,0)</f>
        <v>H4(Com)</v>
      </c>
      <c r="S1026" s="433" t="str">
        <f>_xlfn.XLOOKUP(PV_DATA[[#This Row],[New Ark SKU]],Table9[New Ark SKU],Table9[Cable],,0)</f>
        <v>+400mm/-200mm</v>
      </c>
      <c r="T1026" s="964">
        <v>625</v>
      </c>
      <c r="U1026" s="1062">
        <f>720*8</f>
        <v>5760</v>
      </c>
      <c r="V1026" s="965">
        <f>PV_DATA[[#This Row],[QUANTITY]]*PV_DATA[[#This Row],[WATT]]/1000000</f>
        <v>3.6</v>
      </c>
      <c r="W1026" s="435">
        <f>PV_DATA[[#This Row],[QUANTITY]]/36</f>
        <v>160</v>
      </c>
      <c r="X1026" s="1153">
        <f>PV_DATA[[#This Row],[QUANTITY]]/PV_DATA[[#This Row],[Qty/CT]]</f>
        <v>8</v>
      </c>
      <c r="Y1026" s="430" t="s">
        <v>4378</v>
      </c>
      <c r="Z1026" s="430" t="str">
        <f t="shared" ref="Z1026:Z1033" si="17">IF(AN1026&lt;&gt;"","COMPLETED",IF(AK1026&lt;&gt;"","IN-TRANSIT",""))</f>
        <v>IN-TRANSIT</v>
      </c>
      <c r="AA1026" s="623"/>
      <c r="AB1026" s="966">
        <v>46277</v>
      </c>
      <c r="AC1026" s="1154">
        <f>IF(PV_DATA[[#This Row],[Pick-Up Date]]&lt;&gt;"",_xlfn.ISOWEEKNUM(PV_DATA[[#This Row],[Pick-Up Date]]),"")</f>
        <v>37</v>
      </c>
      <c r="AD1026" s="623" t="s">
        <v>6666</v>
      </c>
      <c r="AE1026" s="623"/>
      <c r="AF1026" s="623" t="s">
        <v>122</v>
      </c>
      <c r="AG1026" s="623" t="s">
        <v>122</v>
      </c>
      <c r="AH1026" s="430" t="s">
        <v>6519</v>
      </c>
      <c r="AI1026" s="966">
        <v>46280</v>
      </c>
      <c r="AJ1026" s="966">
        <v>46284</v>
      </c>
      <c r="AK1026" s="437">
        <v>46284</v>
      </c>
      <c r="AL1026" s="966">
        <v>46324</v>
      </c>
      <c r="AM1026" s="966">
        <v>46325</v>
      </c>
      <c r="AN1026" s="588"/>
      <c r="AO1026" s="623"/>
      <c r="AP1026" s="623" t="s">
        <v>6642</v>
      </c>
      <c r="AQ1026" s="1044" t="s">
        <v>161</v>
      </c>
      <c r="AR1026" s="623" t="s">
        <v>6667</v>
      </c>
      <c r="AS1026" s="623" t="s">
        <v>6668</v>
      </c>
      <c r="AT1026" s="430" t="s">
        <v>6668</v>
      </c>
      <c r="AU102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</v>
      </c>
      <c r="AV1026" s="623"/>
      <c r="AW1026" s="966" cm="1">
        <f t="array" ref="AW102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46325</v>
      </c>
      <c r="AX102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26" s="966" t="str">
        <f>IF(ISERROR(PV_DATA[[#This Row],[New Ark PO status]]),"",_xlfn.XLOOKUP(PV_DATA[[#This Row],[SPTN-PVHK New Ark PO'#]],New_Ark_Data[Purchase order Number],New_Ark_Data[Estimated time of arrival],"",0))</f>
        <v/>
      </c>
      <c r="AZ1026" s="964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26" s="966">
        <f>IFERROR(PV_DATA[[#This Row],[ODP ETA Port]]+PV_DATA[[#This Row],[Customs/Leg3 Assumption]],"n/a")</f>
        <v>46325</v>
      </c>
      <c r="BB1026" s="433" t="s">
        <v>6325</v>
      </c>
      <c r="BC1026" s="433" t="s">
        <v>6325</v>
      </c>
      <c r="BD1026" s="623">
        <f>IFERROR(_xlfn.ISOWEEKNUM(PV_DATA[[#This Row],[ETA for New Ark update]]),0)</f>
        <v>44</v>
      </c>
      <c r="BE1026" s="623">
        <f>_xlfn.XLOOKUP(PV_DATA[[#This Row],[New Ark SKU]],Table9[New Ark SKU],Table9[Total PCS per Pallet],,0)</f>
        <v>36</v>
      </c>
      <c r="BF1026" s="623">
        <f>_xlfn.XLOOKUP(PV_DATA[[#This Row],[New Ark SKU]],Table9[New Ark SKU],Table9[Total PCS per 40HQ Container],,0)</f>
        <v>720</v>
      </c>
      <c r="BG1026" s="623" t="str">
        <f>_xlfn.XLOOKUP(PV_DATA[[#This Row],[New Ark SKU]],Table9[New Ark SKU],Table9[Back Glass],,0)</f>
        <v>Redirection Film</v>
      </c>
      <c r="BH1026" s="967" t="str">
        <f>_xlfn.XLOOKUP(PV_DATA[[#This Row],[PORT DESTINATION]],Table12[PORT DESTINATION],Table12[Cosco Line],,0)</f>
        <v>n/a</v>
      </c>
    </row>
    <row r="1027" spans="1:60" s="430" customFormat="1" ht="10.5" hidden="1">
      <c r="A1027" s="462" t="s">
        <v>6669</v>
      </c>
      <c r="B1027" s="459" t="s">
        <v>6670</v>
      </c>
      <c r="C1027" s="462" t="str">
        <f>IFERROR(LEFT(PV_DATA[[#This Row],[TCL REFERENCE]],FIND(".",PV_DATA[[#This Row],[TCL REFERENCE]],1)-1),"Main Line")</f>
        <v>26Aug006</v>
      </c>
      <c r="D1027" s="462" t="s">
        <v>63</v>
      </c>
      <c r="E1027" s="462" t="s">
        <v>64</v>
      </c>
      <c r="F1027" s="462" t="str" cm="1">
        <f t="array" ref="F102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027" s="462" t="s">
        <v>402</v>
      </c>
      <c r="H1027" s="462" t="s">
        <v>67</v>
      </c>
      <c r="I1027" s="462" t="s">
        <v>882</v>
      </c>
      <c r="J1027" s="430" t="s">
        <v>96</v>
      </c>
      <c r="M1027" s="430" t="s">
        <v>6325</v>
      </c>
      <c r="N1027" s="432">
        <v>46258</v>
      </c>
      <c r="O1027" s="430" t="s">
        <v>4540</v>
      </c>
      <c r="P1027" s="430" t="s">
        <v>691</v>
      </c>
      <c r="Q1027" s="430" t="s">
        <v>692</v>
      </c>
      <c r="R1027" s="430" t="str">
        <f>_xlfn.XLOOKUP(PV_DATA[[#This Row],[New Ark SKU]],Table9[New Ark SKU],Table9[Connector],,0)</f>
        <v>EVO2A</v>
      </c>
      <c r="S1027" s="433" t="str">
        <f>_xlfn.XLOOKUP(PV_DATA[[#This Row],[New Ark SKU]],Table9[New Ark SKU],Table9[Cable],,0)</f>
        <v>±1200mm</v>
      </c>
      <c r="T1027" s="433">
        <v>505</v>
      </c>
      <c r="U1027" s="1062">
        <v>864</v>
      </c>
      <c r="V1027" s="434">
        <f>PV_DATA[[#This Row],[QUANTITY]]*PV_DATA[[#This Row],[WATT]]/1000000</f>
        <v>0.43631999999999999</v>
      </c>
      <c r="W1027" s="435">
        <f>PV_DATA[[#This Row],[QUANTITY]]/PV_DATA[[#This Row],[Qty/Pallet]]</f>
        <v>24</v>
      </c>
      <c r="X1027" s="1015">
        <f>PV_DATA[[#This Row],[QUANTITY]]/PV_DATA[[#This Row],[Qty/CT]]</f>
        <v>1</v>
      </c>
      <c r="Y1027" s="430" t="s">
        <v>4376</v>
      </c>
      <c r="Z1027" s="430" t="str">
        <f t="shared" si="17"/>
        <v>IN-TRANSIT</v>
      </c>
      <c r="AA1027" s="545">
        <v>46274</v>
      </c>
      <c r="AB1027" s="437">
        <v>46276</v>
      </c>
      <c r="AC1027" s="485">
        <f>IF(PV_DATA[[#This Row],[Pick-Up Date]]&lt;&gt;"",_xlfn.ISOWEEKNUM(PV_DATA[[#This Row],[Pick-Up Date]]),"")</f>
        <v>37</v>
      </c>
      <c r="AD1027" s="430" t="s">
        <v>6671</v>
      </c>
      <c r="AF1027" s="430" t="s">
        <v>6003</v>
      </c>
      <c r="AG1027" s="430" t="s">
        <v>6003</v>
      </c>
      <c r="AH1027" s="430" t="s">
        <v>78</v>
      </c>
      <c r="AI1027" s="437">
        <v>46280</v>
      </c>
      <c r="AJ1027" s="437">
        <f>IFERROR(VLOOKUP(AT1027, Vessel!A:D, 4, FALSE), "")</f>
        <v>46281.041666666664</v>
      </c>
      <c r="AK1027" s="437">
        <v>46281</v>
      </c>
      <c r="AL1027" s="437">
        <v>46323</v>
      </c>
      <c r="AM1027" s="939">
        <f>IFERROR(VLOOKUP(AT1027, Vessel!A:H, 8, FALSE), "")</f>
        <v>46325.833333333336</v>
      </c>
      <c r="AN1027" s="939" t="str">
        <f>IFERROR(IF(VLOOKUP(AT1027,Vessel!A:I,9,FALSE)=0,"",VLOOKUP(AT1027,Vessel!A:I,9,FALSE)),"")</f>
        <v/>
      </c>
      <c r="AP1027" s="430" t="s">
        <v>6672</v>
      </c>
      <c r="AQ1027" s="438" t="s">
        <v>80</v>
      </c>
      <c r="AR1027" s="430" t="s">
        <v>6673</v>
      </c>
      <c r="AS1027" s="430" t="s">
        <v>6674</v>
      </c>
      <c r="AT1027" s="430" t="s">
        <v>6674</v>
      </c>
      <c r="AU102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44.833333333335759</v>
      </c>
      <c r="AW1027" s="437" cm="1">
        <f t="array" ref="AW102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46325.833333333336</v>
      </c>
      <c r="AX102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27" s="437" t="str">
        <f>IF(ISERROR(PV_DATA[[#This Row],[New Ark PO status]]),"",_xlfn.XLOOKUP(PV_DATA[[#This Row],[SPTN-PVHK New Ark PO'#]],New_Ark_Data[Purchase order Number],New_Ark_Data[Estimated time of arrival],"",0))</f>
        <v/>
      </c>
      <c r="AZ1027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027" s="437">
        <f>IFERROR(PV_DATA[[#This Row],[ODP ETA Port]]+PV_DATA[[#This Row],[Customs/Leg3 Assumption]],"n/a")</f>
        <v>46333.833333333336</v>
      </c>
      <c r="BB1027" s="433">
        <f>YEAR(PV_DATA[[#This Row],[ETA for New Ark update]])</f>
        <v>2026</v>
      </c>
      <c r="BC1027" s="430">
        <f>MONTH(PV_DATA[[#This Row],[ETA for New Ark update]])</f>
        <v>11</v>
      </c>
      <c r="BD1027" s="430">
        <f>IFERROR(_xlfn.ISOWEEKNUM(PV_DATA[[#This Row],[ETA for New Ark update]]),0)</f>
        <v>45</v>
      </c>
      <c r="BE1027" s="430">
        <f>_xlfn.XLOOKUP(PV_DATA[[#This Row],[New Ark SKU]],Table9[New Ark SKU],Table9[Total PCS per Pallet],,0)</f>
        <v>36</v>
      </c>
      <c r="BF1027" s="430">
        <f>_xlfn.XLOOKUP(PV_DATA[[#This Row],[New Ark SKU]],Table9[New Ark SKU],Table9[Total PCS per 40HQ Container],,0)</f>
        <v>864</v>
      </c>
      <c r="BG1027" s="430" t="str">
        <f>_xlfn.XLOOKUP(PV_DATA[[#This Row],[New Ark SKU]],Table9[New Ark SKU],Table9[Back Glass],,0)</f>
        <v>Black glazing</v>
      </c>
      <c r="BH1027" s="430" t="str">
        <f>_xlfn.XLOOKUP(PV_DATA[[#This Row],[PORT DESTINATION]],Table12[PORT DESTINATION],Table12[Cosco Line],,0)</f>
        <v>AEM</v>
      </c>
    </row>
    <row r="1028" spans="1:60" s="430" customFormat="1" ht="10.5" hidden="1">
      <c r="A1028" s="462" t="s">
        <v>6675</v>
      </c>
      <c r="B1028" s="462" t="s">
        <v>6670</v>
      </c>
      <c r="C1028" s="462" t="str">
        <f>IFERROR(LEFT(PV_DATA[[#This Row],[TCL REFERENCE]],FIND(".",PV_DATA[[#This Row],[TCL REFERENCE]],1)-1),"Main Line")</f>
        <v>26Aug006</v>
      </c>
      <c r="D1028" s="462" t="s">
        <v>63</v>
      </c>
      <c r="E1028" s="462" t="s">
        <v>64</v>
      </c>
      <c r="F1028" s="462" t="str" cm="1">
        <f t="array" ref="F102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028" s="462" t="s">
        <v>402</v>
      </c>
      <c r="H1028" s="462" t="s">
        <v>67</v>
      </c>
      <c r="I1028" s="462" t="s">
        <v>882</v>
      </c>
      <c r="J1028" s="430" t="s">
        <v>96</v>
      </c>
      <c r="M1028" s="430" t="s">
        <v>6545</v>
      </c>
      <c r="N1028" s="432">
        <v>46258</v>
      </c>
      <c r="O1028" s="430" t="s">
        <v>4540</v>
      </c>
      <c r="P1028" s="430" t="s">
        <v>691</v>
      </c>
      <c r="Q1028" s="430" t="s">
        <v>692</v>
      </c>
      <c r="R1028" s="430" t="str">
        <f>_xlfn.XLOOKUP(PV_DATA[[#This Row],[New Ark SKU]],Table9[New Ark SKU],Table9[Connector],,0)</f>
        <v>EVO2A</v>
      </c>
      <c r="S1028" s="433" t="str">
        <f>_xlfn.XLOOKUP(PV_DATA[[#This Row],[New Ark SKU]],Table9[New Ark SKU],Table9[Cable],,0)</f>
        <v>±1200mm</v>
      </c>
      <c r="T1028" s="433">
        <v>505</v>
      </c>
      <c r="U1028" s="1062">
        <v>864</v>
      </c>
      <c r="V1028" s="434">
        <f>PV_DATA[[#This Row],[QUANTITY]]*PV_DATA[[#This Row],[WATT]]/1000000</f>
        <v>0.43631999999999999</v>
      </c>
      <c r="W1028" s="435">
        <f>PV_DATA[[#This Row],[QUANTITY]]/PV_DATA[[#This Row],[Qty/Pallet]]</f>
        <v>24</v>
      </c>
      <c r="X1028" s="1015">
        <f>PV_DATA[[#This Row],[QUANTITY]]/PV_DATA[[#This Row],[Qty/CT]]</f>
        <v>1</v>
      </c>
      <c r="Y1028" s="430" t="s">
        <v>4377</v>
      </c>
      <c r="Z1028" s="430" t="str">
        <f t="shared" si="17"/>
        <v>IN-TRANSIT</v>
      </c>
      <c r="AA1028" s="545">
        <v>46279</v>
      </c>
      <c r="AB1028" s="437">
        <v>46286</v>
      </c>
      <c r="AC1028" s="485">
        <f>IF(PV_DATA[[#This Row],[Pick-Up Date]]&lt;&gt;"",_xlfn.ISOWEEKNUM(PV_DATA[[#This Row],[Pick-Up Date]]),"")</f>
        <v>39</v>
      </c>
      <c r="AD1028" s="430" t="s">
        <v>6676</v>
      </c>
      <c r="AF1028" s="430" t="s">
        <v>6003</v>
      </c>
      <c r="AG1028" s="430" t="s">
        <v>6003</v>
      </c>
      <c r="AH1028" s="430" t="s">
        <v>78</v>
      </c>
      <c r="AI1028" s="437">
        <v>46282</v>
      </c>
      <c r="AJ1028" s="437">
        <f>IFERROR(VLOOKUP(AT1028, Vessel!A:D, 4, FALSE), "")</f>
        <v>46289.625</v>
      </c>
      <c r="AK1028" s="437">
        <f>IFERROR(IF(VLOOKUP(AT1028,Vessel!A:F,5,FALSE)=0,"",VLOOKUP(AT1028,Vessel!A:F,5,FALSE)),"")</f>
        <v>46289.666585648149</v>
      </c>
      <c r="AL1028" s="437">
        <v>46328</v>
      </c>
      <c r="AM1028" s="939">
        <f>IFERROR(VLOOKUP(AT1028, Vessel!A:H, 8, FALSE), "")</f>
        <v>46342.25</v>
      </c>
      <c r="AN1028" s="939" t="str">
        <f>IFERROR(IF(VLOOKUP(AT1028,Vessel!A:I,9,FALSE)=0,"",VLOOKUP(AT1028,Vessel!A:I,9,FALSE)),"")</f>
        <v/>
      </c>
      <c r="AP1028" s="430" t="s">
        <v>6642</v>
      </c>
      <c r="AQ1028" s="438" t="s">
        <v>80</v>
      </c>
      <c r="AR1028" s="430" t="s">
        <v>6677</v>
      </c>
      <c r="AS1028" s="430" t="s">
        <v>6678</v>
      </c>
      <c r="AT1028" s="430" t="s">
        <v>6678</v>
      </c>
      <c r="AU102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52.583414351851388</v>
      </c>
      <c r="AW1028" s="437" cm="1">
        <f t="array" ref="AW102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46342.25</v>
      </c>
      <c r="AX102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28" s="437" t="str">
        <f>IF(ISERROR(PV_DATA[[#This Row],[New Ark PO status]]),"",_xlfn.XLOOKUP(PV_DATA[[#This Row],[SPTN-PVHK New Ark PO'#]],New_Ark_Data[Purchase order Number],New_Ark_Data[Estimated time of arrival],"",0))</f>
        <v/>
      </c>
      <c r="AZ1028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028" s="437">
        <f>IFERROR(PV_DATA[[#This Row],[ODP ETA Port]]+PV_DATA[[#This Row],[Customs/Leg3 Assumption]],"n/a")</f>
        <v>46350.25</v>
      </c>
      <c r="BB1028" s="433">
        <f>YEAR(PV_DATA[[#This Row],[ETA for New Ark update]])</f>
        <v>2026</v>
      </c>
      <c r="BC1028" s="430">
        <f>MONTH(PV_DATA[[#This Row],[ETA for New Ark update]])</f>
        <v>11</v>
      </c>
      <c r="BD1028" s="430">
        <f>IFERROR(_xlfn.ISOWEEKNUM(PV_DATA[[#This Row],[ETA for New Ark update]]),0)</f>
        <v>48</v>
      </c>
      <c r="BE1028" s="430">
        <f>_xlfn.XLOOKUP(PV_DATA[[#This Row],[New Ark SKU]],Table9[New Ark SKU],Table9[Total PCS per Pallet],,0)</f>
        <v>36</v>
      </c>
      <c r="BF1028" s="430">
        <f>_xlfn.XLOOKUP(PV_DATA[[#This Row],[New Ark SKU]],Table9[New Ark SKU],Table9[Total PCS per 40HQ Container],,0)</f>
        <v>864</v>
      </c>
      <c r="BG1028" s="430" t="str">
        <f>_xlfn.XLOOKUP(PV_DATA[[#This Row],[New Ark SKU]],Table9[New Ark SKU],Table9[Back Glass],,0)</f>
        <v>Black glazing</v>
      </c>
      <c r="BH1028" s="430" t="str">
        <f>_xlfn.XLOOKUP(PV_DATA[[#This Row],[PORT DESTINATION]],Table12[PORT DESTINATION],Table12[Cosco Line],,0)</f>
        <v>AEM</v>
      </c>
    </row>
    <row r="1029" spans="1:60" s="430" customFormat="1" ht="10.5" hidden="1">
      <c r="A1029" s="729" t="s">
        <v>6679</v>
      </c>
      <c r="B1029" s="462" t="s">
        <v>6670</v>
      </c>
      <c r="C1029" s="462" t="str">
        <f>IFERROR(LEFT(PV_DATA[[#This Row],[TCL REFERENCE]],FIND(".",PV_DATA[[#This Row],[TCL REFERENCE]],1)-1),"Main Line")</f>
        <v>26Aug005</v>
      </c>
      <c r="D1029" s="462" t="s">
        <v>63</v>
      </c>
      <c r="E1029" s="462" t="s">
        <v>64</v>
      </c>
      <c r="F1029" s="462" t="str" cm="1">
        <f t="array" ref="F102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029" s="462" t="s">
        <v>402</v>
      </c>
      <c r="H1029" s="462" t="s">
        <v>67</v>
      </c>
      <c r="I1029" s="462" t="s">
        <v>689</v>
      </c>
      <c r="J1029" s="430" t="s">
        <v>96</v>
      </c>
      <c r="M1029" s="430" t="s">
        <v>6545</v>
      </c>
      <c r="N1029" s="432">
        <v>46258</v>
      </c>
      <c r="O1029" s="430" t="s">
        <v>4540</v>
      </c>
      <c r="P1029" s="430" t="s">
        <v>706</v>
      </c>
      <c r="Q1029" s="430" t="s">
        <v>707</v>
      </c>
      <c r="R1029" s="430" t="str">
        <f>_xlfn.XLOOKUP(PV_DATA[[#This Row],[New Ark SKU]],Table9[New Ark SKU],Table9[Connector],,0)</f>
        <v>EVO2A</v>
      </c>
      <c r="S1029" s="433" t="str">
        <f>_xlfn.XLOOKUP(PV_DATA[[#This Row],[New Ark SKU]],Table9[New Ark SKU],Table9[Cable],,0)</f>
        <v>±1200mm</v>
      </c>
      <c r="T1029" s="433">
        <v>500</v>
      </c>
      <c r="U1029" s="1062">
        <v>864</v>
      </c>
      <c r="V1029" s="434">
        <f>PV_DATA[[#This Row],[QUANTITY]]*PV_DATA[[#This Row],[WATT]]/1000000</f>
        <v>0.432</v>
      </c>
      <c r="W1029" s="435">
        <f>PV_DATA[[#This Row],[QUANTITY]]/PV_DATA[[#This Row],[Qty/Pallet]]</f>
        <v>24</v>
      </c>
      <c r="X1029" s="1015">
        <f>PV_DATA[[#This Row],[QUANTITY]]/PV_DATA[[#This Row],[Qty/CT]]</f>
        <v>1</v>
      </c>
      <c r="Y1029" s="430" t="s">
        <v>4379</v>
      </c>
      <c r="Z1029" s="430" t="str">
        <f t="shared" si="17"/>
        <v>IN-TRANSIT</v>
      </c>
      <c r="AA1029" s="545">
        <v>46280</v>
      </c>
      <c r="AB1029" s="437">
        <v>46286</v>
      </c>
      <c r="AC1029" s="485">
        <f>IF(PV_DATA[[#This Row],[Pick-Up Date]]&lt;&gt;"",_xlfn.ISOWEEKNUM(PV_DATA[[#This Row],[Pick-Up Date]]),"")</f>
        <v>39</v>
      </c>
      <c r="AD1029" s="430" t="s">
        <v>6680</v>
      </c>
      <c r="AF1029" s="430" t="s">
        <v>6003</v>
      </c>
      <c r="AG1029" s="430" t="s">
        <v>6003</v>
      </c>
      <c r="AH1029" s="430" t="s">
        <v>78</v>
      </c>
      <c r="AI1029" s="437">
        <v>46282</v>
      </c>
      <c r="AJ1029" s="437">
        <f>IFERROR(VLOOKUP(AT1029, Vessel!A:D, 4, FALSE), "")</f>
        <v>46289.625</v>
      </c>
      <c r="AK1029" s="437">
        <f>IFERROR(IF(VLOOKUP(AT1029,Vessel!A:F,5,FALSE)=0,"",VLOOKUP(AT1029,Vessel!A:F,5,FALSE)),"")</f>
        <v>46289.666585648149</v>
      </c>
      <c r="AL1029" s="437">
        <v>46328</v>
      </c>
      <c r="AM1029" s="939">
        <f>IFERROR(VLOOKUP(AT1029, Vessel!A:H, 8, FALSE), "")</f>
        <v>46342.25</v>
      </c>
      <c r="AN1029" s="939" t="str">
        <f>IFERROR(IF(VLOOKUP(AT1029,Vessel!A:I,9,FALSE)=0,"",VLOOKUP(AT1029,Vessel!A:I,9,FALSE)),"")</f>
        <v/>
      </c>
      <c r="AP1029" s="430" t="s">
        <v>6642</v>
      </c>
      <c r="AQ1029" s="430" t="s">
        <v>80</v>
      </c>
      <c r="AR1029" s="430" t="s">
        <v>6677</v>
      </c>
      <c r="AS1029" s="430" t="s">
        <v>6678</v>
      </c>
      <c r="AT1029" s="430" t="s">
        <v>6678</v>
      </c>
      <c r="AU102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52.583414351851388</v>
      </c>
      <c r="AW1029" s="437" cm="1">
        <f t="array" ref="AW102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46342.25</v>
      </c>
      <c r="AX102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29" s="437" t="str">
        <f>IF(ISERROR(PV_DATA[[#This Row],[New Ark PO status]]),"",_xlfn.XLOOKUP(PV_DATA[[#This Row],[SPTN-PVHK New Ark PO'#]],New_Ark_Data[Purchase order Number],New_Ark_Data[Estimated time of arrival],"",0))</f>
        <v/>
      </c>
      <c r="AZ1029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029" s="437">
        <f>IFERROR(PV_DATA[[#This Row],[ODP ETA Port]]+PV_DATA[[#This Row],[Customs/Leg3 Assumption]],"n/a")</f>
        <v>46350.25</v>
      </c>
      <c r="BB1029" s="433">
        <f>YEAR(PV_DATA[[#This Row],[ETA for New Ark update]])</f>
        <v>2026</v>
      </c>
      <c r="BC1029" s="430">
        <f>MONTH(PV_DATA[[#This Row],[ETA for New Ark update]])</f>
        <v>11</v>
      </c>
      <c r="BD1029" s="430">
        <f>IFERROR(_xlfn.ISOWEEKNUM(PV_DATA[[#This Row],[ETA for New Ark update]]),0)</f>
        <v>48</v>
      </c>
      <c r="BE1029" s="430">
        <f>_xlfn.XLOOKUP(PV_DATA[[#This Row],[New Ark SKU]],Table9[New Ark SKU],Table9[Total PCS per Pallet],,0)</f>
        <v>36</v>
      </c>
      <c r="BF1029" s="430">
        <f>_xlfn.XLOOKUP(PV_DATA[[#This Row],[New Ark SKU]],Table9[New Ark SKU],Table9[Total PCS per 40HQ Container],,0)</f>
        <v>864</v>
      </c>
      <c r="BG1029" s="430" t="str">
        <f>_xlfn.XLOOKUP(PV_DATA[[#This Row],[New Ark SKU]],Table9[New Ark SKU],Table9[Back Glass],,0)</f>
        <v>Black glazing</v>
      </c>
      <c r="BH1029" s="610" t="str">
        <f>_xlfn.XLOOKUP(PV_DATA[[#This Row],[PORT DESTINATION]],Table12[PORT DESTINATION],Table12[Cosco Line],,0)</f>
        <v>AEM</v>
      </c>
    </row>
    <row r="1030" spans="1:60" s="430" customFormat="1" ht="10.5" hidden="1">
      <c r="A1030" s="462" t="s">
        <v>6681</v>
      </c>
      <c r="B1030" s="462" t="s">
        <v>6670</v>
      </c>
      <c r="C1030" s="462" t="str">
        <f>IFERROR(LEFT(PV_DATA[[#This Row],[TCL REFERENCE]],FIND(".",PV_DATA[[#This Row],[TCL REFERENCE]],1)-1),"Main Line")</f>
        <v>26Aug006</v>
      </c>
      <c r="D1030" s="462" t="s">
        <v>63</v>
      </c>
      <c r="E1030" s="462" t="s">
        <v>64</v>
      </c>
      <c r="F1030" s="462" t="str" cm="1">
        <f t="array" ref="F103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030" s="462" t="s">
        <v>402</v>
      </c>
      <c r="H1030" s="462" t="s">
        <v>67</v>
      </c>
      <c r="I1030" s="462" t="s">
        <v>882</v>
      </c>
      <c r="J1030" s="430" t="s">
        <v>96</v>
      </c>
      <c r="M1030" s="430" t="s">
        <v>6545</v>
      </c>
      <c r="N1030" s="432">
        <v>46258</v>
      </c>
      <c r="O1030" s="430" t="s">
        <v>4540</v>
      </c>
      <c r="P1030" s="430" t="s">
        <v>691</v>
      </c>
      <c r="Q1030" s="430" t="s">
        <v>692</v>
      </c>
      <c r="R1030" s="430" t="str">
        <f>_xlfn.XLOOKUP(PV_DATA[[#This Row],[New Ark SKU]],Table9[New Ark SKU],Table9[Connector],,0)</f>
        <v>EVO2A</v>
      </c>
      <c r="S1030" s="433" t="str">
        <f>_xlfn.XLOOKUP(PV_DATA[[#This Row],[New Ark SKU]],Table9[New Ark SKU],Table9[Cable],,0)</f>
        <v>±1200mm</v>
      </c>
      <c r="T1030" s="433">
        <v>505</v>
      </c>
      <c r="U1030" s="1062">
        <v>864</v>
      </c>
      <c r="V1030" s="434">
        <f>PV_DATA[[#This Row],[QUANTITY]]*PV_DATA[[#This Row],[WATT]]/1000000</f>
        <v>0.43631999999999999</v>
      </c>
      <c r="W1030" s="435">
        <f>PV_DATA[[#This Row],[QUANTITY]]/PV_DATA[[#This Row],[Qty/Pallet]]</f>
        <v>24</v>
      </c>
      <c r="X1030" s="1015">
        <f>PV_DATA[[#This Row],[QUANTITY]]/PV_DATA[[#This Row],[Qty/CT]]</f>
        <v>1</v>
      </c>
      <c r="Y1030" s="430" t="s">
        <v>4377</v>
      </c>
      <c r="Z1030" s="430" t="str">
        <f t="shared" si="17"/>
        <v>IN-TRANSIT</v>
      </c>
      <c r="AA1030" s="545">
        <v>46280</v>
      </c>
      <c r="AB1030" s="437">
        <v>46299</v>
      </c>
      <c r="AC1030" s="485">
        <f>IF(PV_DATA[[#This Row],[Pick-Up Date]]&lt;&gt;"",_xlfn.ISOWEEKNUM(PV_DATA[[#This Row],[Pick-Up Date]]),"")</f>
        <v>40</v>
      </c>
      <c r="AD1030" s="430" t="s">
        <v>6682</v>
      </c>
      <c r="AF1030" s="430" t="s">
        <v>6003</v>
      </c>
      <c r="AG1030" s="430" t="s">
        <v>6003</v>
      </c>
      <c r="AH1030" s="430" t="s">
        <v>78</v>
      </c>
      <c r="AI1030" s="437">
        <v>46288</v>
      </c>
      <c r="AJ1030" s="437">
        <v>46303</v>
      </c>
      <c r="AK1030" s="437">
        <f>IFERROR(IF(VLOOKUP(AT1030,Vessel!A:F,5,FALSE)=0,"",VLOOKUP(AT1030,Vessel!A:F,5,FALSE)),"")</f>
        <v>46303.778495370374</v>
      </c>
      <c r="AL1030" s="437">
        <v>46335</v>
      </c>
      <c r="AM1030" s="939">
        <f>IFERROR(VLOOKUP(AT1030, Vessel!A:H, 8, FALSE), "")</f>
        <v>46350.791666666664</v>
      </c>
      <c r="AN1030" s="939" t="str">
        <f>IFERROR(IF(VLOOKUP(AT1030,Vessel!A:I,9,FALSE)=0,"",VLOOKUP(AT1030,Vessel!A:I,9,FALSE)),"")</f>
        <v/>
      </c>
      <c r="AP1030" s="430" t="s">
        <v>6683</v>
      </c>
      <c r="AQ1030" s="438" t="s">
        <v>80</v>
      </c>
      <c r="AR1030" s="430" t="s">
        <v>6684</v>
      </c>
      <c r="AS1030" s="430" t="s">
        <v>6685</v>
      </c>
      <c r="AT1030" s="430" t="s">
        <v>6685</v>
      </c>
      <c r="AU103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47.013171296290238</v>
      </c>
      <c r="AW1030" s="437" cm="1">
        <f t="array" ref="AW103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46350.791666666664</v>
      </c>
      <c r="AX103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30" s="437" t="str">
        <f>IF(ISERROR(PV_DATA[[#This Row],[New Ark PO status]]),"",_xlfn.XLOOKUP(PV_DATA[[#This Row],[SPTN-PVHK New Ark PO'#]],New_Ark_Data[Purchase order Number],New_Ark_Data[Estimated time of arrival],"",0))</f>
        <v/>
      </c>
      <c r="AZ1030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030" s="437">
        <f>IFERROR(PV_DATA[[#This Row],[ODP ETA Port]]+PV_DATA[[#This Row],[Customs/Leg3 Assumption]],"n/a")</f>
        <v>46358.791666666664</v>
      </c>
      <c r="BB1030" s="433">
        <f>YEAR(PV_DATA[[#This Row],[ETA for New Ark update]])</f>
        <v>2026</v>
      </c>
      <c r="BC1030" s="430">
        <f>MONTH(PV_DATA[[#This Row],[ETA for New Ark update]])</f>
        <v>12</v>
      </c>
      <c r="BD1030" s="430">
        <f>IFERROR(_xlfn.ISOWEEKNUM(PV_DATA[[#This Row],[ETA for New Ark update]]),0)</f>
        <v>49</v>
      </c>
      <c r="BE1030" s="430">
        <f>_xlfn.XLOOKUP(PV_DATA[[#This Row],[New Ark SKU]],Table9[New Ark SKU],Table9[Total PCS per Pallet],,0)</f>
        <v>36</v>
      </c>
      <c r="BF1030" s="430">
        <f>_xlfn.XLOOKUP(PV_DATA[[#This Row],[New Ark SKU]],Table9[New Ark SKU],Table9[Total PCS per 40HQ Container],,0)</f>
        <v>864</v>
      </c>
      <c r="BG1030" s="430" t="str">
        <f>_xlfn.XLOOKUP(PV_DATA[[#This Row],[New Ark SKU]],Table9[New Ark SKU],Table9[Back Glass],,0)</f>
        <v>Black glazing</v>
      </c>
      <c r="BH1030" s="430" t="str">
        <f>_xlfn.XLOOKUP(PV_DATA[[#This Row],[PORT DESTINATION]],Table12[PORT DESTINATION],Table12[Cosco Line],,0)</f>
        <v>AEM</v>
      </c>
    </row>
    <row r="1031" spans="1:60" s="430" customFormat="1" ht="10.5" hidden="1">
      <c r="A1031" s="462" t="s">
        <v>6686</v>
      </c>
      <c r="B1031" s="459" t="s">
        <v>111</v>
      </c>
      <c r="C1031" s="462" t="str">
        <f>IFERROR(LEFT(PV_DATA[[#This Row],[TCL REFERENCE]],FIND(".",PV_DATA[[#This Row],[TCL REFERENCE]],1)-1),"Main Line")</f>
        <v>26Jul009</v>
      </c>
      <c r="D1031" s="462" t="s">
        <v>63</v>
      </c>
      <c r="E1031" s="462" t="s">
        <v>64</v>
      </c>
      <c r="F1031" s="462" t="str" cm="1">
        <f t="array" ref="F103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31" s="462" t="s">
        <v>402</v>
      </c>
      <c r="H1031" s="462" t="s">
        <v>67</v>
      </c>
      <c r="I1031" s="462" t="s">
        <v>689</v>
      </c>
      <c r="J1031" s="430" t="s">
        <v>96</v>
      </c>
      <c r="M1031" s="430" t="s">
        <v>68</v>
      </c>
      <c r="N1031" s="432">
        <v>46251</v>
      </c>
      <c r="O1031" s="430" t="s">
        <v>5388</v>
      </c>
      <c r="P1031" s="430" t="s">
        <v>6687</v>
      </c>
      <c r="Q1031" s="430" t="s">
        <v>6688</v>
      </c>
      <c r="R1031" s="430" t="str">
        <f>_xlfn.XLOOKUP(PV_DATA[[#This Row],[New Ark SKU]],Table9[New Ark SKU],Table9[Connector],,0)</f>
        <v>EVO2A</v>
      </c>
      <c r="S1031" s="433" t="str">
        <f>_xlfn.XLOOKUP(PV_DATA[[#This Row],[New Ark SKU]],Table9[New Ark SKU],Table9[Cable],,0)</f>
        <v>±1200mm</v>
      </c>
      <c r="T1031" s="433">
        <v>475</v>
      </c>
      <c r="U1031" s="1062">
        <v>4680</v>
      </c>
      <c r="V1031" s="434">
        <f>PV_DATA[[#This Row],[QUANTITY]]*PV_DATA[[#This Row],[WATT]]/1000000</f>
        <v>2.2229999999999999</v>
      </c>
      <c r="W1031" s="435">
        <f>PV_DATA[[#This Row],[QUANTITY]]/PV_DATA[[#This Row],[Qty/Pallet]]</f>
        <v>130</v>
      </c>
      <c r="X1031" s="1015">
        <f>PV_DATA[[#This Row],[QUANTITY]]/PV_DATA[[#This Row],[Qty/CT]]</f>
        <v>5</v>
      </c>
      <c r="Y1031" s="430" t="s">
        <v>4378</v>
      </c>
      <c r="Z1031" s="430" t="str">
        <f t="shared" si="17"/>
        <v>COMPLETED</v>
      </c>
      <c r="AA1031" s="545">
        <v>46260</v>
      </c>
      <c r="AB1031" s="437">
        <v>46279</v>
      </c>
      <c r="AC1031" s="485">
        <f>IF(PV_DATA[[#This Row],[Pick-Up Date]]&lt;&gt;"",_xlfn.ISOWEEKNUM(PV_DATA[[#This Row],[Pick-Up Date]]),"")</f>
        <v>38</v>
      </c>
      <c r="AD1031" s="430" t="s">
        <v>6689</v>
      </c>
      <c r="AF1031" s="430" t="s">
        <v>6003</v>
      </c>
      <c r="AG1031" s="430" t="s">
        <v>6003</v>
      </c>
      <c r="AH1031" s="430" t="s">
        <v>105</v>
      </c>
      <c r="AI1031" s="437">
        <v>46280</v>
      </c>
      <c r="AJ1031" s="437">
        <f>IFERROR(VLOOKUP(AT1031, Vessel!A:D, 4, FALSE), "")</f>
        <v>46282.583333333336</v>
      </c>
      <c r="AK1031" s="437">
        <f>IFERROR(IF(VLOOKUP(AT1031,Vessel!A:F,5,FALSE)=0,"",VLOOKUP(AT1031,Vessel!A:F,5,FALSE)),"")</f>
        <v>46282.614317129628</v>
      </c>
      <c r="AL1031" s="437">
        <v>46313</v>
      </c>
      <c r="AM1031" s="939">
        <f>IFERROR(VLOOKUP(AT1031, Vessel!A:H, 8, FALSE), "")</f>
        <v>46316.583333333336</v>
      </c>
      <c r="AN1031" s="939">
        <f>IFERROR(IF(VLOOKUP(AT1031,Vessel!A:I,9,FALSE)=0,"",VLOOKUP(AT1031,Vessel!A:I,9,FALSE)),"")</f>
        <v>46316.635636574072</v>
      </c>
      <c r="AP1031" s="430" t="s">
        <v>6582</v>
      </c>
      <c r="AQ1031" s="430" t="s">
        <v>80</v>
      </c>
      <c r="AR1031" s="1486" t="s">
        <v>6690</v>
      </c>
      <c r="AS1031" s="430" t="s">
        <v>6691</v>
      </c>
      <c r="AT1031" s="430" t="s">
        <v>6691</v>
      </c>
      <c r="AU103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34.021319444444089</v>
      </c>
      <c r="AW1031" s="437" cm="1">
        <f t="array" ref="AW103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46316.635636574072</v>
      </c>
      <c r="AX103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31" s="437" t="str">
        <f>IF(ISERROR(PV_DATA[[#This Row],[New Ark PO status]]),"",_xlfn.XLOOKUP(PV_DATA[[#This Row],[SPTN-PVHK New Ark PO'#]],New_Ark_Data[Purchase order Number],New_Ark_Data[Estimated time of arrival],"",0))</f>
        <v/>
      </c>
      <c r="AZ1031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31" s="437">
        <f>IFERROR(PV_DATA[[#This Row],[ODP ETA Port]]+PV_DATA[[#This Row],[Customs/Leg3 Assumption]],"n/a")</f>
        <v>46323.635636574072</v>
      </c>
      <c r="BB1031" s="433">
        <f>YEAR(PV_DATA[[#This Row],[ETA for New Ark update]])</f>
        <v>2026</v>
      </c>
      <c r="BC1031" s="430">
        <f>MONTH(PV_DATA[[#This Row],[ETA for New Ark update]])</f>
        <v>10</v>
      </c>
      <c r="BD1031" s="430">
        <f>IFERROR(_xlfn.ISOWEEKNUM(PV_DATA[[#This Row],[ETA for New Ark update]]),0)</f>
        <v>44</v>
      </c>
      <c r="BE1031" s="430">
        <f>_xlfn.XLOOKUP(PV_DATA[[#This Row],[New Ark SKU]],Table9[New Ark SKU],Table9[Total PCS per Pallet],,0)</f>
        <v>36</v>
      </c>
      <c r="BF1031" s="430">
        <f>_xlfn.XLOOKUP(PV_DATA[[#This Row],[New Ark SKU]],Table9[New Ark SKU],Table9[Total PCS per 40HQ Container],,0)</f>
        <v>936</v>
      </c>
      <c r="BG1031" s="430" t="str">
        <f>_xlfn.XLOOKUP(PV_DATA[[#This Row],[New Ark SKU]],Table9[New Ark SKU],Table9[Back Glass],,0)</f>
        <v>Black glazing</v>
      </c>
      <c r="BH1031" s="430" t="str">
        <f>_xlfn.XLOOKUP(PV_DATA[[#This Row],[PORT DESTINATION]],Table12[PORT DESTINATION],Table12[Cosco Line],,0)</f>
        <v>AEU</v>
      </c>
    </row>
    <row r="1032" spans="1:60" s="430" customFormat="1" ht="10.5" hidden="1">
      <c r="A1032" s="462" t="s">
        <v>6692</v>
      </c>
      <c r="B1032" s="459" t="s">
        <v>111</v>
      </c>
      <c r="C1032" s="462" t="str">
        <f>IFERROR(LEFT(PV_DATA[[#This Row],[TCL REFERENCE]],FIND(".",PV_DATA[[#This Row],[TCL REFERENCE]],1)-1),"Main Line")</f>
        <v>26Jul009</v>
      </c>
      <c r="D1032" s="462" t="s">
        <v>63</v>
      </c>
      <c r="E1032" s="462" t="s">
        <v>64</v>
      </c>
      <c r="F1032" s="462" t="str" cm="1">
        <f t="array" ref="F103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32" s="462" t="s">
        <v>402</v>
      </c>
      <c r="H1032" s="462" t="s">
        <v>67</v>
      </c>
      <c r="I1032" s="462" t="s">
        <v>689</v>
      </c>
      <c r="J1032" s="430" t="s">
        <v>96</v>
      </c>
      <c r="M1032" s="430" t="s">
        <v>68</v>
      </c>
      <c r="N1032" s="432">
        <v>46251</v>
      </c>
      <c r="O1032" s="430" t="s">
        <v>5388</v>
      </c>
      <c r="P1032" s="430" t="s">
        <v>6687</v>
      </c>
      <c r="Q1032" s="430" t="s">
        <v>6688</v>
      </c>
      <c r="R1032" s="430" t="str">
        <f>_xlfn.XLOOKUP(PV_DATA[[#This Row],[New Ark SKU]],Table9[New Ark SKU],Table9[Connector],,0)</f>
        <v>EVO2A</v>
      </c>
      <c r="S1032" s="433" t="str">
        <f>_xlfn.XLOOKUP(PV_DATA[[#This Row],[New Ark SKU]],Table9[New Ark SKU],Table9[Cable],,0)</f>
        <v>±1200mm</v>
      </c>
      <c r="T1032" s="433">
        <v>475</v>
      </c>
      <c r="U1032" s="1062">
        <v>936</v>
      </c>
      <c r="V1032" s="434">
        <f>PV_DATA[[#This Row],[QUANTITY]]*PV_DATA[[#This Row],[WATT]]/1000000</f>
        <v>0.4446</v>
      </c>
      <c r="W1032" s="435">
        <f>PV_DATA[[#This Row],[QUANTITY]]/PV_DATA[[#This Row],[Qty/Pallet]]</f>
        <v>26</v>
      </c>
      <c r="X1032" s="1015">
        <f>PV_DATA[[#This Row],[QUANTITY]]/PV_DATA[[#This Row],[Qty/CT]]</f>
        <v>1</v>
      </c>
      <c r="Y1032" s="430" t="s">
        <v>4378</v>
      </c>
      <c r="Z1032" s="430" t="str">
        <f t="shared" si="17"/>
        <v>IN-TRANSIT</v>
      </c>
      <c r="AA1032" s="545">
        <v>46260</v>
      </c>
      <c r="AB1032" s="437">
        <v>46280</v>
      </c>
      <c r="AC1032" s="485">
        <f>IF(PV_DATA[[#This Row],[Pick-Up Date]]&lt;&gt;"",_xlfn.ISOWEEKNUM(PV_DATA[[#This Row],[Pick-Up Date]]),"")</f>
        <v>38</v>
      </c>
      <c r="AD1032" s="430" t="s">
        <v>6693</v>
      </c>
      <c r="AF1032" s="430" t="s">
        <v>6003</v>
      </c>
      <c r="AG1032" s="430" t="s">
        <v>6003</v>
      </c>
      <c r="AH1032" s="430" t="s">
        <v>105</v>
      </c>
      <c r="AI1032" s="966">
        <v>46282</v>
      </c>
      <c r="AJ1032" s="437">
        <f>IFERROR(VLOOKUP(AT1032, Vessel!A:D, 4, FALSE), "")</f>
        <v>46284.375</v>
      </c>
      <c r="AK1032" s="437">
        <f>IFERROR(IF(VLOOKUP(AT1032,Vessel!A:F,5,FALSE)=0,"",VLOOKUP(AT1032,Vessel!A:F,5,FALSE)),"")</f>
        <v>46284.396817129629</v>
      </c>
      <c r="AL1032" s="966">
        <v>46315</v>
      </c>
      <c r="AM1032" s="939">
        <f>IFERROR(VLOOKUP(AT1032, Vessel!A:H, 8, FALSE), "")</f>
        <v>46324.833333333336</v>
      </c>
      <c r="AN1032" s="939" t="str">
        <f>IFERROR(IF(VLOOKUP(AT1032,Vessel!A:I,9,FALSE)=0,"",VLOOKUP(AT1032,Vessel!A:I,9,FALSE)),"")</f>
        <v/>
      </c>
      <c r="AP1032" s="430" t="s">
        <v>6694</v>
      </c>
      <c r="AQ1032" s="430" t="s">
        <v>80</v>
      </c>
      <c r="AR1032" s="430" t="s">
        <v>6695</v>
      </c>
      <c r="AS1032" s="430" t="s">
        <v>6696</v>
      </c>
      <c r="AT1032" s="430" t="s">
        <v>6696</v>
      </c>
      <c r="AU103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40.43651620370656</v>
      </c>
      <c r="AW1032" s="437" cm="1">
        <f t="array" ref="AW103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46324.833333333336</v>
      </c>
      <c r="AX103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32" s="437" t="str">
        <f>IF(ISERROR(PV_DATA[[#This Row],[New Ark PO status]]),"",_xlfn.XLOOKUP(PV_DATA[[#This Row],[SPTN-PVHK New Ark PO'#]],New_Ark_Data[Purchase order Number],New_Ark_Data[Estimated time of arrival],"",0))</f>
        <v/>
      </c>
      <c r="AZ1032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32" s="437">
        <f>IFERROR(PV_DATA[[#This Row],[ODP ETA Port]]+PV_DATA[[#This Row],[Customs/Leg3 Assumption]],"n/a")</f>
        <v>46331.833333333336</v>
      </c>
      <c r="BB1032" s="433">
        <f>YEAR(PV_DATA[[#This Row],[ETA for New Ark update]])</f>
        <v>2026</v>
      </c>
      <c r="BC1032" s="430">
        <f>MONTH(PV_DATA[[#This Row],[ETA for New Ark update]])</f>
        <v>11</v>
      </c>
      <c r="BD1032" s="430">
        <f>IFERROR(_xlfn.ISOWEEKNUM(PV_DATA[[#This Row],[ETA for New Ark update]]),0)</f>
        <v>45</v>
      </c>
      <c r="BE1032" s="430">
        <f>_xlfn.XLOOKUP(PV_DATA[[#This Row],[New Ark SKU]],Table9[New Ark SKU],Table9[Total PCS per Pallet],,0)</f>
        <v>36</v>
      </c>
      <c r="BF1032" s="430">
        <f>_xlfn.XLOOKUP(PV_DATA[[#This Row],[New Ark SKU]],Table9[New Ark SKU],Table9[Total PCS per 40HQ Container],,0)</f>
        <v>936</v>
      </c>
      <c r="BG1032" s="430" t="str">
        <f>_xlfn.XLOOKUP(PV_DATA[[#This Row],[New Ark SKU]],Table9[New Ark SKU],Table9[Back Glass],,0)</f>
        <v>Black glazing</v>
      </c>
      <c r="BH1032" s="430" t="str">
        <f>_xlfn.XLOOKUP(PV_DATA[[#This Row],[PORT DESTINATION]],Table12[PORT DESTINATION],Table12[Cosco Line],,0)</f>
        <v>AEU</v>
      </c>
    </row>
    <row r="1033" spans="1:60" s="430" customFormat="1" ht="10.5" hidden="1">
      <c r="A1033" s="941" t="s">
        <v>6697</v>
      </c>
      <c r="B1033" s="1052" t="s">
        <v>111</v>
      </c>
      <c r="C1033" s="462" t="str">
        <f>IFERROR(LEFT(PV_DATA[[#This Row],[TCL REFERENCE]],FIND(".",PV_DATA[[#This Row],[TCL REFERENCE]],1)-1),"Main Line")</f>
        <v>26Aug010</v>
      </c>
      <c r="D1033" s="935" t="s">
        <v>113</v>
      </c>
      <c r="E1033" s="462" t="s">
        <v>64</v>
      </c>
      <c r="F1033" s="462" t="str" cm="1">
        <f t="array" ref="F103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33" s="462" t="s">
        <v>402</v>
      </c>
      <c r="H1033" s="462" t="s">
        <v>67</v>
      </c>
      <c r="I1033" s="462" t="s">
        <v>689</v>
      </c>
      <c r="J1033" s="430" t="s">
        <v>96</v>
      </c>
      <c r="K1033" s="623"/>
      <c r="L1033" s="623"/>
      <c r="M1033" s="430" t="s">
        <v>68</v>
      </c>
      <c r="N1033" s="1053"/>
      <c r="O1033" s="623" t="s">
        <v>4540</v>
      </c>
      <c r="P1033" s="623" t="s">
        <v>6245</v>
      </c>
      <c r="Q1033" s="623" t="s">
        <v>330</v>
      </c>
      <c r="R1033" s="430" t="str">
        <f>_xlfn.XLOOKUP(PV_DATA[[#This Row],[New Ark SKU]],Table9[New Ark SKU],Table9[Connector],,0)</f>
        <v>H4(Com)</v>
      </c>
      <c r="S1033" s="433" t="str">
        <f>_xlfn.XLOOKUP(PV_DATA[[#This Row],[New Ark SKU]],Table9[New Ark SKU],Table9[Cable],,0)</f>
        <v>+400mm/-200mm</v>
      </c>
      <c r="T1033" s="964">
        <v>625</v>
      </c>
      <c r="U1033" s="1062">
        <v>720</v>
      </c>
      <c r="V1033" s="965">
        <f>PV_DATA[[#This Row],[QUANTITY]]*PV_DATA[[#This Row],[WATT]]/1000000</f>
        <v>0.45</v>
      </c>
      <c r="W1033" s="435">
        <f>PV_DATA[[#This Row],[QUANTITY]]/36</f>
        <v>20</v>
      </c>
      <c r="X1033" s="1153">
        <f>PV_DATA[[#This Row],[QUANTITY]]/PV_DATA[[#This Row],[Qty/CT]]</f>
        <v>1</v>
      </c>
      <c r="Y1033" s="430" t="s">
        <v>4380</v>
      </c>
      <c r="Z1033" s="430" t="str">
        <f t="shared" si="17"/>
        <v>IN-TRANSIT</v>
      </c>
      <c r="AA1033" s="623" t="s">
        <v>5862</v>
      </c>
      <c r="AB1033" s="966">
        <v>46280</v>
      </c>
      <c r="AC1033" s="1154">
        <f>IF(PV_DATA[[#This Row],[Pick-Up Date]]&lt;&gt;"",_xlfn.ISOWEEKNUM(PV_DATA[[#This Row],[Pick-Up Date]]),"")</f>
        <v>38</v>
      </c>
      <c r="AD1033" s="623" t="s">
        <v>6698</v>
      </c>
      <c r="AE1033" s="623"/>
      <c r="AF1033" s="623" t="s">
        <v>6003</v>
      </c>
      <c r="AG1033" s="623" t="s">
        <v>6003</v>
      </c>
      <c r="AH1033" s="430" t="s">
        <v>105</v>
      </c>
      <c r="AI1033" s="966">
        <v>46282</v>
      </c>
      <c r="AJ1033" s="437">
        <v>46284</v>
      </c>
      <c r="AK1033" s="437">
        <f>IFERROR(IF(VLOOKUP(AT1033,Vessel!A:F,5,FALSE)=0,"",VLOOKUP(AT1033,Vessel!A:F,5,FALSE)),"")</f>
        <v>46284.396817129629</v>
      </c>
      <c r="AL1033" s="966">
        <v>46315</v>
      </c>
      <c r="AM1033" s="939">
        <f>IFERROR(VLOOKUP(AT1033, Vessel!A:H, 8, FALSE), "")</f>
        <v>46324.833333333336</v>
      </c>
      <c r="AN1033" s="939" t="str">
        <f>IFERROR(IF(VLOOKUP(AT1033,Vessel!A:I,9,FALSE)=0,"",VLOOKUP(AT1033,Vessel!A:I,9,FALSE)),"")</f>
        <v/>
      </c>
      <c r="AO1033" s="623"/>
      <c r="AP1033" s="623" t="s">
        <v>6694</v>
      </c>
      <c r="AQ1033" s="430" t="s">
        <v>80</v>
      </c>
      <c r="AR1033" s="623" t="s">
        <v>6695</v>
      </c>
      <c r="AS1033" s="623" t="s">
        <v>6696</v>
      </c>
      <c r="AT1033" s="430" t="s">
        <v>6696</v>
      </c>
      <c r="AU103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40.43651620370656</v>
      </c>
      <c r="AV1033" s="623"/>
      <c r="AW1033" s="966" cm="1">
        <f t="array" ref="AW103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46324.833333333336</v>
      </c>
      <c r="AX103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33" s="966" t="str">
        <f>IF(ISERROR(PV_DATA[[#This Row],[New Ark PO status]]),"",_xlfn.XLOOKUP(PV_DATA[[#This Row],[SPTN-PVHK New Ark PO'#]],New_Ark_Data[Purchase order Number],New_Ark_Data[Estimated time of arrival],"",0))</f>
        <v/>
      </c>
      <c r="AZ1033" s="964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33" s="966">
        <f>IFERROR(PV_DATA[[#This Row],[ODP ETA Port]]+PV_DATA[[#This Row],[Customs/Leg3 Assumption]],"n/a")</f>
        <v>46331.833333333336</v>
      </c>
      <c r="BB1033" s="433" t="s">
        <v>6545</v>
      </c>
      <c r="BC1033" s="433" t="s">
        <v>6545</v>
      </c>
      <c r="BD1033" s="623">
        <f>IFERROR(_xlfn.ISOWEEKNUM(PV_DATA[[#This Row],[ETA for New Ark update]]),0)</f>
        <v>45</v>
      </c>
      <c r="BE1033" s="623">
        <f>_xlfn.XLOOKUP(PV_DATA[[#This Row],[New Ark SKU]],Table9[New Ark SKU],Table9[Total PCS per Pallet],,0)</f>
        <v>36</v>
      </c>
      <c r="BF1033" s="623">
        <f>_xlfn.XLOOKUP(PV_DATA[[#This Row],[New Ark SKU]],Table9[New Ark SKU],Table9[Total PCS per 40HQ Container],,0)</f>
        <v>720</v>
      </c>
      <c r="BG1033" s="623" t="str">
        <f>_xlfn.XLOOKUP(PV_DATA[[#This Row],[New Ark SKU]],Table9[New Ark SKU],Table9[Back Glass],,0)</f>
        <v>Redirection Film</v>
      </c>
      <c r="BH1033" s="967" t="str">
        <f>_xlfn.XLOOKUP(PV_DATA[[#This Row],[PORT DESTINATION]],Table12[PORT DESTINATION],Table12[Cosco Line],,0)</f>
        <v>AEU</v>
      </c>
    </row>
    <row r="1034" spans="1:60" s="430" customFormat="1" ht="10.5" hidden="1">
      <c r="A1034" s="729" t="s">
        <v>6699</v>
      </c>
      <c r="B1034" s="459" t="s">
        <v>111</v>
      </c>
      <c r="C1034" s="462" t="str">
        <f>IFERROR(LEFT(PV_DATA[[#This Row],[TCL REFERENCE]],FIND(".",PV_DATA[[#This Row],[TCL REFERENCE]],1)-1),"Main Line")</f>
        <v>26Aug020</v>
      </c>
      <c r="D1034" s="462" t="s">
        <v>63</v>
      </c>
      <c r="E1034" s="462" t="s">
        <v>64</v>
      </c>
      <c r="F1034" s="462" t="str" cm="1">
        <f t="array" ref="F103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34" s="462" t="s">
        <v>402</v>
      </c>
      <c r="H1034" s="462" t="s">
        <v>67</v>
      </c>
      <c r="I1034" s="462" t="s">
        <v>689</v>
      </c>
      <c r="J1034" s="430" t="s">
        <v>96</v>
      </c>
      <c r="M1034" s="430" t="s">
        <v>6545</v>
      </c>
      <c r="N1034" s="432">
        <v>46238</v>
      </c>
      <c r="O1034" s="430" t="s">
        <v>132</v>
      </c>
      <c r="P1034" s="430" t="s">
        <v>1062</v>
      </c>
      <c r="Q1034" s="430" t="s">
        <v>1063</v>
      </c>
      <c r="R1034" s="430" t="str">
        <f>_xlfn.XLOOKUP(PV_DATA[[#This Row],[New Ark SKU]],Table9[New Ark SKU],Table9[Connector],,0)</f>
        <v>EVO2A</v>
      </c>
      <c r="S1034" s="433" t="str">
        <f>_xlfn.XLOOKUP(PV_DATA[[#This Row],[New Ark SKU]],Table9[New Ark SKU],Table9[Cable],,0)</f>
        <v>±1200mm</v>
      </c>
      <c r="T1034" s="433">
        <v>470</v>
      </c>
      <c r="U1034" s="1062">
        <v>864</v>
      </c>
      <c r="V1034" s="434">
        <f>PV_DATA[[#This Row],[QUANTITY]]*PV_DATA[[#This Row],[WATT]]/1000000</f>
        <v>0.40608</v>
      </c>
      <c r="W1034" s="435">
        <f>PV_DATA[[#This Row],[QUANTITY]]/PV_DATA[[#This Row],[Qty/Pallet]]</f>
        <v>24</v>
      </c>
      <c r="X1034" s="1015">
        <f>PV_DATA[[#This Row],[QUANTITY]]/PV_DATA[[#This Row],[Qty/CT]]</f>
        <v>1</v>
      </c>
      <c r="Y1034" s="430" t="s">
        <v>4381</v>
      </c>
      <c r="AA1034" s="430" t="s">
        <v>5862</v>
      </c>
      <c r="AB1034" s="437">
        <v>46280</v>
      </c>
      <c r="AC1034" s="1154">
        <f>IF(PV_DATA[[#This Row],[Pick-Up Date]]&lt;&gt;"",_xlfn.ISOWEEKNUM(PV_DATA[[#This Row],[Pick-Up Date]]),"")</f>
        <v>38</v>
      </c>
      <c r="AD1034" s="462" t="s">
        <v>6700</v>
      </c>
      <c r="AF1034" s="430" t="s">
        <v>6003</v>
      </c>
      <c r="AG1034" s="430" t="s">
        <v>6003</v>
      </c>
      <c r="AH1034" s="430" t="s">
        <v>105</v>
      </c>
      <c r="AI1034" s="966">
        <v>46282</v>
      </c>
      <c r="AJ1034" s="437">
        <v>46284</v>
      </c>
      <c r="AK1034" s="437">
        <f>IFERROR(IF(VLOOKUP(AT1034,Vessel!A:F,5,FALSE)=0,"",VLOOKUP(AT1034,Vessel!A:F,5,FALSE)),"")</f>
        <v>46284.396817129629</v>
      </c>
      <c r="AL1034" s="966">
        <v>46315</v>
      </c>
      <c r="AM1034" s="939">
        <f>IFERROR(VLOOKUP(AT1034, Vessel!A:H, 8, FALSE), "")</f>
        <v>46324.833333333336</v>
      </c>
      <c r="AN1034" s="939" t="str">
        <f>IFERROR(IF(VLOOKUP(AT1034,Vessel!A:I,9,FALSE)=0,"",VLOOKUP(AT1034,Vessel!A:I,9,FALSE)),"")</f>
        <v/>
      </c>
      <c r="AP1034" s="430" t="s">
        <v>6694</v>
      </c>
      <c r="AQ1034" s="430" t="s">
        <v>80</v>
      </c>
      <c r="AR1034" s="430" t="s">
        <v>6695</v>
      </c>
      <c r="AS1034" s="430" t="s">
        <v>6696</v>
      </c>
      <c r="AT1034" s="430" t="s">
        <v>6696</v>
      </c>
      <c r="AU103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40.43651620370656</v>
      </c>
      <c r="AW1034" s="437" cm="1">
        <f t="array" ref="AW103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46324.833333333336</v>
      </c>
      <c r="AX103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34" s="437" t="str">
        <f>IF(ISERROR(PV_DATA[[#This Row],[New Ark PO status]]),"",_xlfn.XLOOKUP(PV_DATA[[#This Row],[SPTN-PVHK New Ark PO'#]],New_Ark_Data[Purchase order Number],New_Ark_Data[Estimated time of arrival],"",0))</f>
        <v/>
      </c>
      <c r="AZ1034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34" s="437">
        <f>IFERROR(PV_DATA[[#This Row],[ODP ETA Port]]+PV_DATA[[#This Row],[Customs/Leg3 Assumption]],"n/a")</f>
        <v>46331.833333333336</v>
      </c>
      <c r="BB1034" s="433">
        <f>YEAR(PV_DATA[[#This Row],[ETA for New Ark update]])</f>
        <v>2026</v>
      </c>
      <c r="BC1034" s="430">
        <f>MONTH(PV_DATA[[#This Row],[ETA for New Ark update]])</f>
        <v>11</v>
      </c>
      <c r="BD1034" s="430">
        <f>IFERROR(_xlfn.ISOWEEKNUM(PV_DATA[[#This Row],[ETA for New Ark update]]),0)</f>
        <v>45</v>
      </c>
      <c r="BE1034" s="430">
        <f>_xlfn.XLOOKUP(PV_DATA[[#This Row],[New Ark SKU]],Table9[New Ark SKU],Table9[Total PCS per Pallet],,0)</f>
        <v>36</v>
      </c>
      <c r="BF1034" s="430">
        <f>_xlfn.XLOOKUP(PV_DATA[[#This Row],[New Ark SKU]],Table9[New Ark SKU],Table9[Total PCS per 40HQ Container],,0)</f>
        <v>864</v>
      </c>
      <c r="BG1034" s="430" t="str">
        <f>_xlfn.XLOOKUP(PV_DATA[[#This Row],[New Ark SKU]],Table9[New Ark SKU],Table9[Back Glass],,0)</f>
        <v>White glazing</v>
      </c>
      <c r="BH1034" s="430" t="str">
        <f>_xlfn.XLOOKUP(PV_DATA[[#This Row],[PORT DESTINATION]],Table12[PORT DESTINATION],Table12[Cosco Line],,0)</f>
        <v>AEU</v>
      </c>
    </row>
    <row r="1035" spans="1:60" s="430" customFormat="1" ht="10.5" hidden="1">
      <c r="A1035" s="462" t="s">
        <v>6701</v>
      </c>
      <c r="B1035" s="462" t="s">
        <v>1757</v>
      </c>
      <c r="C1035" s="462" t="str">
        <f>IFERROR(LEFT(PV_DATA[[#This Row],[TCL REFERENCE]],FIND(".",PV_DATA[[#This Row],[TCL REFERENCE]],1)-1),"Main Line")</f>
        <v>26Jul007</v>
      </c>
      <c r="D1035" s="462" t="s">
        <v>63</v>
      </c>
      <c r="E1035" s="462" t="s">
        <v>144</v>
      </c>
      <c r="F1035" s="462" t="str" cm="1">
        <f t="array" ref="F103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35" s="462" t="s">
        <v>402</v>
      </c>
      <c r="H1035" s="462" t="s">
        <v>1029</v>
      </c>
      <c r="I1035" s="462" t="s">
        <v>869</v>
      </c>
      <c r="J1035" s="462" t="s">
        <v>1029</v>
      </c>
      <c r="K1035" s="462" t="s">
        <v>5852</v>
      </c>
      <c r="L1035" s="430">
        <v>2</v>
      </c>
      <c r="M1035" s="430" t="s">
        <v>6665</v>
      </c>
      <c r="N1035" s="432">
        <v>46209</v>
      </c>
      <c r="O1035" s="430" t="s">
        <v>4540</v>
      </c>
      <c r="P1035" s="430" t="s">
        <v>71</v>
      </c>
      <c r="Q1035" s="430" t="s">
        <v>72</v>
      </c>
      <c r="R1035" s="430" t="str">
        <f>_xlfn.XLOOKUP(PV_DATA[[#This Row],[New Ark SKU]],Table9[New Ark SKU],Table9[Connector],,0)</f>
        <v>EVO2A</v>
      </c>
      <c r="S1035" s="433" t="str">
        <f>_xlfn.XLOOKUP(PV_DATA[[#This Row],[New Ark SKU]],Table9[New Ark SKU],Table9[Cable],,0)</f>
        <v>±1200mm</v>
      </c>
      <c r="T1035" s="433">
        <v>500</v>
      </c>
      <c r="U1035" s="1062">
        <f>864*2</f>
        <v>1728</v>
      </c>
      <c r="V1035" s="434">
        <f>PV_DATA[[#This Row],[QUANTITY]]*PV_DATA[[#This Row],[WATT]]/1000000</f>
        <v>0.86399999999999999</v>
      </c>
      <c r="W1035" s="435">
        <f>PV_DATA[[#This Row],[QUANTITY]]/PV_DATA[[#This Row],[Qty/Pallet]]</f>
        <v>48</v>
      </c>
      <c r="X1035" s="1015">
        <f>PV_DATA[[#This Row],[QUANTITY]]/PV_DATA[[#This Row],[Qty/CT]]</f>
        <v>2</v>
      </c>
      <c r="Y1035" s="430" t="s">
        <v>4378</v>
      </c>
      <c r="Z1035" s="430" t="str">
        <f t="shared" ref="Z1035:Z1042" si="18">IF(AN1035&lt;&gt;"","COMPLETED",IF(AK1035&lt;&gt;"","IN-TRANSIT",""))</f>
        <v>IN-TRANSIT</v>
      </c>
      <c r="AA1035" s="623" t="s">
        <v>6702</v>
      </c>
      <c r="AB1035" s="437">
        <v>46274</v>
      </c>
      <c r="AC1035" s="485">
        <f>IF(PV_DATA[[#This Row],[Pick-Up Date]]&lt;&gt;"",_xlfn.ISOWEEKNUM(PV_DATA[[#This Row],[Pick-Up Date]]),"")</f>
        <v>37</v>
      </c>
      <c r="AD1035" s="430" t="s">
        <v>6703</v>
      </c>
      <c r="AF1035" s="459" t="s">
        <v>1525</v>
      </c>
      <c r="AG1035" s="459" t="s">
        <v>1525</v>
      </c>
      <c r="AH1035" s="430" t="s">
        <v>888</v>
      </c>
      <c r="AI1035" s="437">
        <v>46274</v>
      </c>
      <c r="AJ1035" s="437">
        <f>IFERROR(VLOOKUP(AT1035, Vessel!A:D, 4, FALSE), "")</f>
        <v>46278.78125</v>
      </c>
      <c r="AK1035" s="437">
        <f>IFERROR(IF(VLOOKUP(AT1035,Vessel!A:F,5,FALSE)=0,"",VLOOKUP(AT1035,Vessel!A:F,5,FALSE)),"")</f>
        <v>46278.549780092595</v>
      </c>
      <c r="AL1035" s="437">
        <v>46323</v>
      </c>
      <c r="AM1035" s="939">
        <f>IFERROR(VLOOKUP(AT1035, Vessel!A:H, 8, FALSE), "")</f>
        <v>46331.75</v>
      </c>
      <c r="AN1035" s="939" t="str">
        <f>IFERROR(IF(VLOOKUP(AT1035,Vessel!A:I,9,FALSE)=0,"",VLOOKUP(AT1035,Vessel!A:I,9,FALSE)),"")</f>
        <v/>
      </c>
      <c r="AP1035" s="430" t="s">
        <v>6616</v>
      </c>
      <c r="AQ1035" s="430" t="s">
        <v>80</v>
      </c>
      <c r="AR1035" s="1486" t="s">
        <v>6704</v>
      </c>
      <c r="AS1035" s="430" t="s">
        <v>6705</v>
      </c>
      <c r="AT1035" s="430" t="s">
        <v>6705</v>
      </c>
      <c r="AU103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53.200219907404971</v>
      </c>
      <c r="AW1035" s="437" cm="1">
        <f t="array" ref="AW103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46331.75</v>
      </c>
      <c r="AX103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35" s="437" t="str">
        <f>IF(ISERROR(PV_DATA[[#This Row],[New Ark PO status]]),"",_xlfn.XLOOKUP(PV_DATA[[#This Row],[SPTN-PVHK New Ark PO'#]],New_Ark_Data[Purchase order Number],New_Ark_Data[Estimated time of arrival],"",0))</f>
        <v/>
      </c>
      <c r="AZ1035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35" s="437">
        <f>IFERROR(PV_DATA[[#This Row],[ODP ETA Port]]+PV_DATA[[#This Row],[Customs/Leg3 Assumption]],"n/a")</f>
        <v>46331.75</v>
      </c>
      <c r="BB1035" s="433">
        <f>YEAR(PV_DATA[[#This Row],[ETA for New Ark update]])</f>
        <v>2026</v>
      </c>
      <c r="BC1035" s="430">
        <f>MONTH(PV_DATA[[#This Row],[ETA for New Ark update]])</f>
        <v>11</v>
      </c>
      <c r="BD1035" s="430">
        <f>IFERROR(_xlfn.ISOWEEKNUM(PV_DATA[[#This Row],[ETA for New Ark update]]),0)</f>
        <v>45</v>
      </c>
      <c r="BE1035" s="430">
        <f>_xlfn.XLOOKUP(PV_DATA[[#This Row],[New Ark SKU]],Table9[New Ark SKU],Table9[Total PCS per Pallet],,0)</f>
        <v>36</v>
      </c>
      <c r="BF1035" s="430">
        <f>_xlfn.XLOOKUP(PV_DATA[[#This Row],[New Ark SKU]],Table9[New Ark SKU],Table9[Total PCS per 40HQ Container],,0)</f>
        <v>864</v>
      </c>
      <c r="BG1035" s="430" t="str">
        <f>_xlfn.XLOOKUP(PV_DATA[[#This Row],[New Ark SKU]],Table9[New Ark SKU],Table9[Back Glass],,0)</f>
        <v>Black glazing</v>
      </c>
      <c r="BH1035" s="430" t="str">
        <f>_xlfn.XLOOKUP(PV_DATA[[#This Row],[PORT DESTINATION]],Table12[PORT DESTINATION],Table12[Cosco Line],,0)</f>
        <v>AEU</v>
      </c>
    </row>
    <row r="1036" spans="1:60" s="430" customFormat="1" ht="10.5" hidden="1">
      <c r="A1036" s="462" t="s">
        <v>6706</v>
      </c>
      <c r="B1036" s="462" t="s">
        <v>1757</v>
      </c>
      <c r="C1036" s="462" t="str">
        <f>IFERROR(LEFT(PV_DATA[[#This Row],[TCL REFERENCE]],FIND(".",PV_DATA[[#This Row],[TCL REFERENCE]],1)-1),"Main Line")</f>
        <v>26Jul007</v>
      </c>
      <c r="D1036" s="462" t="s">
        <v>63</v>
      </c>
      <c r="E1036" s="462" t="s">
        <v>64</v>
      </c>
      <c r="F1036" s="462" t="str" cm="1">
        <f t="array" ref="F103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036" s="462" t="s">
        <v>402</v>
      </c>
      <c r="H1036" s="462" t="s">
        <v>67</v>
      </c>
      <c r="I1036" s="462" t="s">
        <v>689</v>
      </c>
      <c r="J1036" s="430" t="s">
        <v>96</v>
      </c>
      <c r="K1036" s="462"/>
      <c r="M1036" s="430" t="s">
        <v>6325</v>
      </c>
      <c r="N1036" s="432">
        <v>46209</v>
      </c>
      <c r="O1036" s="430" t="s">
        <v>4540</v>
      </c>
      <c r="P1036" s="430" t="s">
        <v>71</v>
      </c>
      <c r="Q1036" s="430" t="s">
        <v>72</v>
      </c>
      <c r="R1036" s="430" t="str">
        <f>_xlfn.XLOOKUP(PV_DATA[[#This Row],[New Ark SKU]],Table9[New Ark SKU],Table9[Connector],,0)</f>
        <v>EVO2A</v>
      </c>
      <c r="S1036" s="433" t="str">
        <f>_xlfn.XLOOKUP(PV_DATA[[#This Row],[New Ark SKU]],Table9[New Ark SKU],Table9[Cable],,0)</f>
        <v>±1200mm</v>
      </c>
      <c r="T1036" s="433">
        <v>500</v>
      </c>
      <c r="U1036" s="1062">
        <v>864</v>
      </c>
      <c r="V1036" s="434">
        <f>PV_DATA[[#This Row],[QUANTITY]]*PV_DATA[[#This Row],[WATT]]/1000000</f>
        <v>0.432</v>
      </c>
      <c r="W1036" s="435">
        <f>PV_DATA[[#This Row],[QUANTITY]]/PV_DATA[[#This Row],[Qty/Pallet]]</f>
        <v>24</v>
      </c>
      <c r="X1036" s="1015">
        <f>PV_DATA[[#This Row],[QUANTITY]]/PV_DATA[[#This Row],[Qty/CT]]</f>
        <v>1</v>
      </c>
      <c r="Y1036" s="430" t="s">
        <v>4378</v>
      </c>
      <c r="Z1036" s="430" t="str">
        <f t="shared" si="18"/>
        <v>IN-TRANSIT</v>
      </c>
      <c r="AA1036" s="1051" t="s">
        <v>5862</v>
      </c>
      <c r="AB1036" s="437">
        <v>46274</v>
      </c>
      <c r="AC1036" s="485">
        <f>IF(PV_DATA[[#This Row],[Pick-Up Date]]&lt;&gt;"",_xlfn.ISOWEEKNUM(PV_DATA[[#This Row],[Pick-Up Date]]),"")</f>
        <v>37</v>
      </c>
      <c r="AD1036" s="430" t="s">
        <v>6707</v>
      </c>
      <c r="AF1036" s="459" t="s">
        <v>1525</v>
      </c>
      <c r="AG1036" s="459" t="s">
        <v>1525</v>
      </c>
      <c r="AH1036" s="430" t="s">
        <v>78</v>
      </c>
      <c r="AI1036" s="437">
        <v>46277</v>
      </c>
      <c r="AJ1036" s="437">
        <v>46279</v>
      </c>
      <c r="AK1036" s="437">
        <f>IFERROR(IF(VLOOKUP(AT1036,Vessel!A:F,5,FALSE)=0,"",VLOOKUP(AT1036,Vessel!A:F,5,FALSE)),"")</f>
        <v>46279.80667824074</v>
      </c>
      <c r="AL1036" s="437">
        <v>46321</v>
      </c>
      <c r="AM1036" s="939">
        <f>IFERROR(VLOOKUP(AT1036, Vessel!A:H, 8, FALSE), "")</f>
        <v>46336.25</v>
      </c>
      <c r="AN1036" s="939" t="str">
        <f>IFERROR(IF(VLOOKUP(AT1036,Vessel!A:I,9,FALSE)=0,"",VLOOKUP(AT1036,Vessel!A:I,9,FALSE)),"")</f>
        <v/>
      </c>
      <c r="AP1036" s="430" t="s">
        <v>6520</v>
      </c>
      <c r="AQ1036" s="430" t="s">
        <v>80</v>
      </c>
      <c r="AR1036" s="1486" t="s">
        <v>6708</v>
      </c>
      <c r="AS1036" s="430" t="s">
        <v>6709</v>
      </c>
      <c r="AT1036" s="430" t="s">
        <v>6709</v>
      </c>
      <c r="AU103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56.443321759259561</v>
      </c>
      <c r="AW1036" s="437" cm="1">
        <f t="array" ref="AW103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46336.25</v>
      </c>
      <c r="AX103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36" s="437" t="str">
        <f>IF(ISERROR(PV_DATA[[#This Row],[New Ark PO status]]),"",_xlfn.XLOOKUP(PV_DATA[[#This Row],[SPTN-PVHK New Ark PO'#]],New_Ark_Data[Purchase order Number],New_Ark_Data[Estimated time of arrival],"",0))</f>
        <v/>
      </c>
      <c r="AZ1036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036" s="437">
        <f>IFERROR(PV_DATA[[#This Row],[ODP ETA Port]]+PV_DATA[[#This Row],[Customs/Leg3 Assumption]],"n/a")</f>
        <v>46344.25</v>
      </c>
      <c r="BB1036" s="433">
        <f>YEAR(PV_DATA[[#This Row],[ETA for New Ark update]])</f>
        <v>2026</v>
      </c>
      <c r="BC1036" s="430">
        <f>MONTH(PV_DATA[[#This Row],[ETA for New Ark update]])</f>
        <v>11</v>
      </c>
      <c r="BD1036" s="430">
        <f>IFERROR(_xlfn.ISOWEEKNUM(PV_DATA[[#This Row],[ETA for New Ark update]]),0)</f>
        <v>47</v>
      </c>
      <c r="BE1036" s="430">
        <f>_xlfn.XLOOKUP(PV_DATA[[#This Row],[New Ark SKU]],Table9[New Ark SKU],Table9[Total PCS per Pallet],,0)</f>
        <v>36</v>
      </c>
      <c r="BF1036" s="430">
        <f>_xlfn.XLOOKUP(PV_DATA[[#This Row],[New Ark SKU]],Table9[New Ark SKU],Table9[Total PCS per 40HQ Container],,0)</f>
        <v>864</v>
      </c>
      <c r="BG1036" s="430" t="str">
        <f>_xlfn.XLOOKUP(PV_DATA[[#This Row],[New Ark SKU]],Table9[New Ark SKU],Table9[Back Glass],,0)</f>
        <v>Black glazing</v>
      </c>
      <c r="BH1036" s="610" t="str">
        <f>_xlfn.XLOOKUP(PV_DATA[[#This Row],[PORT DESTINATION]],Table12[PORT DESTINATION],Table12[Cosco Line],,0)</f>
        <v>AEM</v>
      </c>
    </row>
    <row r="1037" spans="1:60" s="430" customFormat="1" ht="10.5" hidden="1">
      <c r="A1037" s="729" t="s">
        <v>6710</v>
      </c>
      <c r="B1037" s="462" t="s">
        <v>61</v>
      </c>
      <c r="C1037" s="462" t="str">
        <f>IFERROR(LEFT(PV_DATA[[#This Row],[TCL REFERENCE]],FIND(".",PV_DATA[[#This Row],[TCL REFERENCE]],1)-1),"Main Line")</f>
        <v>Main Line</v>
      </c>
      <c r="D1037" s="462" t="s">
        <v>63</v>
      </c>
      <c r="E1037" s="462" t="s">
        <v>64</v>
      </c>
      <c r="F1037" s="462" t="str" cm="1">
        <f t="array" ref="F103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037" s="462" t="s">
        <v>402</v>
      </c>
      <c r="H1037" s="462" t="s">
        <v>67</v>
      </c>
      <c r="I1037" s="462" t="s">
        <v>689</v>
      </c>
      <c r="J1037" s="430" t="s">
        <v>96</v>
      </c>
      <c r="M1037" s="430" t="s">
        <v>6325</v>
      </c>
      <c r="N1037" s="432">
        <v>46258</v>
      </c>
      <c r="O1037" s="430" t="s">
        <v>4540</v>
      </c>
      <c r="P1037" s="430" t="s">
        <v>706</v>
      </c>
      <c r="Q1037" s="430" t="s">
        <v>707</v>
      </c>
      <c r="R1037" s="430" t="str">
        <f>_xlfn.XLOOKUP(PV_DATA[[#This Row],[New Ark SKU]],Table9[New Ark SKU],Table9[Connector],,0)</f>
        <v>EVO2A</v>
      </c>
      <c r="S1037" s="433" t="str">
        <f>_xlfn.XLOOKUP(PV_DATA[[#This Row],[New Ark SKU]],Table9[New Ark SKU],Table9[Cable],,0)</f>
        <v>±1200mm</v>
      </c>
      <c r="T1037" s="433">
        <v>500</v>
      </c>
      <c r="U1037" s="1062" cm="1">
        <f t="array" ref="U1037">24192-fx_qty</f>
        <v>1728</v>
      </c>
      <c r="V1037" s="434">
        <f>PV_DATA[[#This Row],[QUANTITY]]*PV_DATA[[#This Row],[WATT]]/1000000</f>
        <v>0.86399999999999999</v>
      </c>
      <c r="W1037" s="435">
        <f>PV_DATA[[#This Row],[QUANTITY]]/PV_DATA[[#This Row],[Qty/Pallet]]</f>
        <v>48</v>
      </c>
      <c r="X1037" s="1015">
        <f>PV_DATA[[#This Row],[QUANTITY]]/PV_DATA[[#This Row],[Qty/CT]]</f>
        <v>2</v>
      </c>
      <c r="Y1037" s="430" t="s">
        <v>4378</v>
      </c>
      <c r="Z1037" s="430" t="str">
        <f t="shared" si="18"/>
        <v>IN-TRANSIT</v>
      </c>
      <c r="AB1037" s="437">
        <v>46268</v>
      </c>
      <c r="AC1037" s="485">
        <f>IF(PV_DATA[[#This Row],[Pick-Up Date]]&lt;&gt;"",_xlfn.ISOWEEKNUM(PV_DATA[[#This Row],[Pick-Up Date]]),"")</f>
        <v>36</v>
      </c>
      <c r="AD1037" s="430" t="s">
        <v>6711</v>
      </c>
      <c r="AF1037" s="430" t="s">
        <v>77</v>
      </c>
      <c r="AG1037" s="430" t="s">
        <v>61</v>
      </c>
      <c r="AH1037" s="430" t="s">
        <v>78</v>
      </c>
      <c r="AI1037" s="437">
        <v>46276</v>
      </c>
      <c r="AJ1037" s="437">
        <f>IFERROR(VLOOKUP(AT1037, Vessel!A:D, 4, FALSE), "")</f>
        <v>46275.833333333336</v>
      </c>
      <c r="AK1037" s="437">
        <f>IFERROR(IF(VLOOKUP(AT1037,Vessel!A:F,5,FALSE)=0,"",VLOOKUP(AT1037,Vessel!A:F,5,FALSE)),"")</f>
        <v>46275.864525462966</v>
      </c>
      <c r="AL1037" s="437">
        <v>46330</v>
      </c>
      <c r="AM1037" s="939">
        <f>IFERROR(VLOOKUP(AT1037, Vessel!A:H, 8, FALSE), "")</f>
        <v>46332.833333333336</v>
      </c>
      <c r="AN1037" s="939" t="str">
        <f>IFERROR(IF(VLOOKUP(AT1037,Vessel!A:I,9,FALSE)=0,"",VLOOKUP(AT1037,Vessel!A:I,9,FALSE)),"")</f>
        <v/>
      </c>
      <c r="AO1037" s="430" t="s">
        <v>402</v>
      </c>
      <c r="AP1037" s="430" t="s">
        <v>6712</v>
      </c>
      <c r="AQ1037" s="438" t="s">
        <v>80</v>
      </c>
      <c r="AR1037" s="430" t="s">
        <v>6713</v>
      </c>
      <c r="AS1037" s="430" t="s">
        <v>6714</v>
      </c>
      <c r="AT1037" s="430" t="s">
        <v>6714</v>
      </c>
      <c r="AU103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56.968807870369346</v>
      </c>
      <c r="AW1037" s="437" cm="1">
        <f t="array" ref="AW103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46332.833333333336</v>
      </c>
      <c r="AX103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37" s="437" t="str">
        <f>IF(ISERROR(PV_DATA[[#This Row],[New Ark PO status]]),"",_xlfn.XLOOKUP(PV_DATA[[#This Row],[SPTN-PVHK New Ark PO'#]],New_Ark_Data[Purchase order Number],New_Ark_Data[Estimated time of arrival],"",0))</f>
        <v/>
      </c>
      <c r="AZ1037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037" s="437">
        <f>IFERROR(PV_DATA[[#This Row],[ODP ETA Port]]+PV_DATA[[#This Row],[Customs/Leg3 Assumption]],"n/a")</f>
        <v>46340.833333333336</v>
      </c>
      <c r="BB1037" s="433">
        <f>YEAR(PV_DATA[[#This Row],[ETA for New Ark update]])</f>
        <v>2026</v>
      </c>
      <c r="BC1037" s="430">
        <f>MONTH(PV_DATA[[#This Row],[ETA for New Ark update]])</f>
        <v>11</v>
      </c>
      <c r="BD1037" s="430">
        <f>IFERROR(_xlfn.ISOWEEKNUM(PV_DATA[[#This Row],[ETA for New Ark update]]),0)</f>
        <v>46</v>
      </c>
      <c r="BE1037" s="430">
        <f>_xlfn.XLOOKUP(PV_DATA[[#This Row],[New Ark SKU]],Table9[New Ark SKU],Table9[Total PCS per Pallet],,0)</f>
        <v>36</v>
      </c>
      <c r="BF1037" s="430">
        <f>_xlfn.XLOOKUP(PV_DATA[[#This Row],[New Ark SKU]],Table9[New Ark SKU],Table9[Total PCS per 40HQ Container],,0)</f>
        <v>864</v>
      </c>
      <c r="BG1037" s="430" t="str">
        <f>_xlfn.XLOOKUP(PV_DATA[[#This Row],[New Ark SKU]],Table9[New Ark SKU],Table9[Back Glass],,0)</f>
        <v>Black glazing</v>
      </c>
      <c r="BH1037" s="610" t="str">
        <f>_xlfn.XLOOKUP(PV_DATA[[#This Row],[PORT DESTINATION]],Table12[PORT DESTINATION],Table12[Cosco Line],,0)</f>
        <v>AEM</v>
      </c>
    </row>
    <row r="1038" spans="1:60" s="430" customFormat="1" ht="10.5" hidden="1">
      <c r="A1038" s="729" t="s">
        <v>6715</v>
      </c>
      <c r="B1038" s="462" t="s">
        <v>61</v>
      </c>
      <c r="C1038" s="462" t="str">
        <f>IFERROR(LEFT(PV_DATA[[#This Row],[TCL REFERENCE]],FIND(".",PV_DATA[[#This Row],[TCL REFERENCE]],1)-1),"Main Line")</f>
        <v>26Aug005</v>
      </c>
      <c r="D1038" s="462" t="s">
        <v>63</v>
      </c>
      <c r="E1038" s="462" t="s">
        <v>64</v>
      </c>
      <c r="F1038" s="462" t="str" cm="1">
        <f t="array" ref="F103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038" s="462" t="s">
        <v>402</v>
      </c>
      <c r="H1038" s="462" t="s">
        <v>67</v>
      </c>
      <c r="I1038" s="462" t="s">
        <v>689</v>
      </c>
      <c r="J1038" s="430" t="s">
        <v>96</v>
      </c>
      <c r="M1038" s="430" t="s">
        <v>6325</v>
      </c>
      <c r="N1038" s="432">
        <v>46258</v>
      </c>
      <c r="O1038" s="430" t="s">
        <v>4540</v>
      </c>
      <c r="P1038" s="430" t="s">
        <v>706</v>
      </c>
      <c r="Q1038" s="430" t="s">
        <v>707</v>
      </c>
      <c r="R1038" s="430" t="str">
        <f>_xlfn.XLOOKUP(PV_DATA[[#This Row],[New Ark SKU]],Table9[New Ark SKU],Table9[Connector],,0)</f>
        <v>EVO2A</v>
      </c>
      <c r="S1038" s="433" t="str">
        <f>_xlfn.XLOOKUP(PV_DATA[[#This Row],[New Ark SKU]],Table9[New Ark SKU],Table9[Cable],,0)</f>
        <v>±1200mm</v>
      </c>
      <c r="T1038" s="433">
        <v>500</v>
      </c>
      <c r="U1038" s="1062">
        <v>3456</v>
      </c>
      <c r="V1038" s="434">
        <f>PV_DATA[[#This Row],[QUANTITY]]*PV_DATA[[#This Row],[WATT]]/1000000</f>
        <v>1.728</v>
      </c>
      <c r="W1038" s="435">
        <f>PV_DATA[[#This Row],[QUANTITY]]/PV_DATA[[#This Row],[Qty/Pallet]]</f>
        <v>96</v>
      </c>
      <c r="X1038" s="1015">
        <f>PV_DATA[[#This Row],[QUANTITY]]/PV_DATA[[#This Row],[Qty/CT]]</f>
        <v>4</v>
      </c>
      <c r="Y1038" s="430" t="s">
        <v>4378</v>
      </c>
      <c r="Z1038" s="430" t="str">
        <f t="shared" si="18"/>
        <v>IN-TRANSIT</v>
      </c>
      <c r="AB1038" s="437">
        <v>46268</v>
      </c>
      <c r="AC1038" s="485">
        <f>IF(PV_DATA[[#This Row],[Pick-Up Date]]&lt;&gt;"",_xlfn.ISOWEEKNUM(PV_DATA[[#This Row],[Pick-Up Date]]),"")</f>
        <v>36</v>
      </c>
      <c r="AD1038" s="430" t="s">
        <v>6716</v>
      </c>
      <c r="AF1038" s="430" t="s">
        <v>77</v>
      </c>
      <c r="AG1038" s="430" t="s">
        <v>61</v>
      </c>
      <c r="AH1038" s="430" t="s">
        <v>78</v>
      </c>
      <c r="AI1038" s="437">
        <v>46276</v>
      </c>
      <c r="AJ1038" s="437">
        <f>IFERROR(VLOOKUP(AT1038, Vessel!A:D, 4, FALSE), "")</f>
        <v>46275.833333333336</v>
      </c>
      <c r="AK1038" s="437">
        <f>IFERROR(IF(VLOOKUP(AT1038,Vessel!A:F,5,FALSE)=0,"",VLOOKUP(AT1038,Vessel!A:F,5,FALSE)),"")</f>
        <v>46275.864525462966</v>
      </c>
      <c r="AL1038" s="437">
        <v>46342</v>
      </c>
      <c r="AM1038" s="939">
        <f>IFERROR(VLOOKUP(AT1038, Vessel!A:H, 8, FALSE), "")</f>
        <v>46348.25</v>
      </c>
      <c r="AN1038" s="939" t="str">
        <f>IFERROR(IF(VLOOKUP(AT1038,Vessel!A:I,9,FALSE)=0,"",VLOOKUP(AT1038,Vessel!A:I,9,FALSE)),"")</f>
        <v/>
      </c>
      <c r="AO1038" s="430" t="s">
        <v>402</v>
      </c>
      <c r="AP1038" s="430" t="s">
        <v>6712</v>
      </c>
      <c r="AQ1038" s="438" t="s">
        <v>80</v>
      </c>
      <c r="AR1038" s="430" t="s">
        <v>6717</v>
      </c>
      <c r="AS1038" s="430" t="s">
        <v>6718</v>
      </c>
      <c r="AT1038" s="430" t="s">
        <v>6718</v>
      </c>
      <c r="AU103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72.385474537033588</v>
      </c>
      <c r="AW1038" s="437" cm="1">
        <f t="array" ref="AW103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46348.25</v>
      </c>
      <c r="AX103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38" s="437" t="str">
        <f>IF(ISERROR(PV_DATA[[#This Row],[New Ark PO status]]),"",_xlfn.XLOOKUP(PV_DATA[[#This Row],[SPTN-PVHK New Ark PO'#]],New_Ark_Data[Purchase order Number],New_Ark_Data[Estimated time of arrival],"",0))</f>
        <v/>
      </c>
      <c r="AZ1038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038" s="437">
        <f>IFERROR(PV_DATA[[#This Row],[ODP ETA Port]]+PV_DATA[[#This Row],[Customs/Leg3 Assumption]],"n/a")</f>
        <v>46356.25</v>
      </c>
      <c r="BB1038" s="433">
        <f>YEAR(PV_DATA[[#This Row],[ETA for New Ark update]])</f>
        <v>2026</v>
      </c>
      <c r="BC1038" s="430">
        <f>MONTH(PV_DATA[[#This Row],[ETA for New Ark update]])</f>
        <v>11</v>
      </c>
      <c r="BD1038" s="430">
        <f>IFERROR(_xlfn.ISOWEEKNUM(PV_DATA[[#This Row],[ETA for New Ark update]]),0)</f>
        <v>49</v>
      </c>
      <c r="BE1038" s="430">
        <f>_xlfn.XLOOKUP(PV_DATA[[#This Row],[New Ark SKU]],Table9[New Ark SKU],Table9[Total PCS per Pallet],,0)</f>
        <v>36</v>
      </c>
      <c r="BF1038" s="430">
        <f>_xlfn.XLOOKUP(PV_DATA[[#This Row],[New Ark SKU]],Table9[New Ark SKU],Table9[Total PCS per 40HQ Container],,0)</f>
        <v>864</v>
      </c>
      <c r="BG1038" s="430" t="str">
        <f>_xlfn.XLOOKUP(PV_DATA[[#This Row],[New Ark SKU]],Table9[New Ark SKU],Table9[Back Glass],,0)</f>
        <v>Black glazing</v>
      </c>
      <c r="BH1038" s="610" t="str">
        <f>_xlfn.XLOOKUP(PV_DATA[[#This Row],[PORT DESTINATION]],Table12[PORT DESTINATION],Table12[Cosco Line],,0)</f>
        <v>AEM</v>
      </c>
    </row>
    <row r="1039" spans="1:60" s="430" customFormat="1" ht="10.5" hidden="1">
      <c r="A1039" s="729" t="s">
        <v>6719</v>
      </c>
      <c r="B1039" s="935" t="s">
        <v>61</v>
      </c>
      <c r="C1039" s="935" t="str">
        <f>IFERROR(LEFT(PV_DATA[[#This Row],[TCL REFERENCE]],FIND(".",PV_DATA[[#This Row],[TCL REFERENCE]],1)-1),"Main Line")</f>
        <v>26Jun021</v>
      </c>
      <c r="D1039" s="462" t="s">
        <v>63</v>
      </c>
      <c r="E1039" s="462" t="s">
        <v>64</v>
      </c>
      <c r="F1039" s="462" t="str" cm="1">
        <f t="array" ref="F103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39" s="462" t="s">
        <v>402</v>
      </c>
      <c r="H1039" s="462" t="s">
        <v>67</v>
      </c>
      <c r="I1039" s="462" t="s">
        <v>689</v>
      </c>
      <c r="J1039" s="430" t="s">
        <v>96</v>
      </c>
      <c r="M1039" s="430" t="s">
        <v>6325</v>
      </c>
      <c r="N1039" s="432">
        <v>46202</v>
      </c>
      <c r="O1039" s="623" t="s">
        <v>284</v>
      </c>
      <c r="P1039" s="1202" t="s">
        <v>6169</v>
      </c>
      <c r="Q1039" s="623" t="s">
        <v>1570</v>
      </c>
      <c r="R1039" s="430" t="str">
        <f>_xlfn.XLOOKUP(PV_DATA[[#This Row],[New Ark SKU]],Table9[New Ark SKU],Table9[Connector],,0)</f>
        <v>EVO2A</v>
      </c>
      <c r="S1039" s="433" t="str">
        <f>_xlfn.XLOOKUP(PV_DATA[[#This Row],[New Ark SKU]],Table9[New Ark SKU],Table9[Cable],,0)</f>
        <v>±1400mm</v>
      </c>
      <c r="T1039" s="964">
        <v>650</v>
      </c>
      <c r="U1039" s="1062">
        <f>720*8</f>
        <v>5760</v>
      </c>
      <c r="V1039" s="965">
        <f>PV_DATA[[#This Row],[QUANTITY]]*PV_DATA[[#This Row],[WATT]]/1000000</f>
        <v>3.7440000000000002</v>
      </c>
      <c r="W1039" s="969">
        <f>PV_DATA[[#This Row],[QUANTITY]]/PV_DATA[[#This Row],[Qty/Pallet]]</f>
        <v>160</v>
      </c>
      <c r="X1039" s="1015">
        <f>PV_DATA[[#This Row],[QUANTITY]]/PV_DATA[[#This Row],[Qty/CT]]</f>
        <v>8</v>
      </c>
      <c r="Y1039" s="430" t="s">
        <v>4378</v>
      </c>
      <c r="Z1039" s="430" t="str">
        <f t="shared" si="18"/>
        <v>IN-TRANSIT</v>
      </c>
      <c r="AA1039" s="1201" t="s">
        <v>6720</v>
      </c>
      <c r="AB1039" s="437">
        <v>46268</v>
      </c>
      <c r="AC1039" s="1154">
        <f>IF(PV_DATA[[#This Row],[Pick-Up Date]]&lt;&gt;"",_xlfn.ISOWEEKNUM(PV_DATA[[#This Row],[Pick-Up Date]]),"")</f>
        <v>36</v>
      </c>
      <c r="AD1039" s="623" t="s">
        <v>6721</v>
      </c>
      <c r="AE1039" s="623"/>
      <c r="AF1039" s="623" t="s">
        <v>61</v>
      </c>
      <c r="AG1039" s="623" t="s">
        <v>61</v>
      </c>
      <c r="AH1039" s="430" t="s">
        <v>105</v>
      </c>
      <c r="AI1039" s="588">
        <v>46276</v>
      </c>
      <c r="AJ1039" s="437">
        <f>IFERROR(VLOOKUP(AT1039, Vessel!A:D, 4, FALSE), "")</f>
        <v>46275.833333333336</v>
      </c>
      <c r="AK1039" s="437">
        <f>IFERROR(IF(VLOOKUP(AT1039,Vessel!A:F,5,FALSE)=0,"",VLOOKUP(AT1039,Vessel!A:F,5,FALSE)),"")</f>
        <v>46275.864525462966</v>
      </c>
      <c r="AL1039" s="588">
        <v>46321</v>
      </c>
      <c r="AM1039" s="939">
        <f>IFERROR(VLOOKUP(AT1039, Vessel!A:H, 8, FALSE), "")</f>
        <v>46327.166666666664</v>
      </c>
      <c r="AN1039" s="939" t="str">
        <f>IFERROR(IF(VLOOKUP(AT1039,Vessel!A:I,9,FALSE)=0,"",VLOOKUP(AT1039,Vessel!A:I,9,FALSE)),"")</f>
        <v/>
      </c>
      <c r="AO1039" s="430" t="s">
        <v>402</v>
      </c>
      <c r="AP1039" s="430" t="s">
        <v>6712</v>
      </c>
      <c r="AQ1039" s="940" t="s">
        <v>80</v>
      </c>
      <c r="AR1039" s="430" t="s">
        <v>6722</v>
      </c>
      <c r="AS1039" s="430" t="s">
        <v>6723</v>
      </c>
      <c r="AT1039" s="430" t="s">
        <v>6723</v>
      </c>
      <c r="AU103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51.302141203697829</v>
      </c>
      <c r="AV1039" s="623"/>
      <c r="AW1039" s="966" cm="1">
        <f t="array" ref="AW103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46327.166666666664</v>
      </c>
      <c r="AX103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39" s="966" t="str">
        <f>IF(ISERROR(PV_DATA[[#This Row],[New Ark PO status]]),"",_xlfn.XLOOKUP(PV_DATA[[#This Row],[SPTN-PVHK New Ark PO'#]],New_Ark_Data[Purchase order Number],New_Ark_Data[Estimated time of arrival],"",0))</f>
        <v/>
      </c>
      <c r="AZ1039" s="964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39" s="966">
        <f>IFERROR(PV_DATA[[#This Row],[ODP ETA Port]]+PV_DATA[[#This Row],[Customs/Leg3 Assumption]],"n/a")</f>
        <v>46334.166666666664</v>
      </c>
      <c r="BB1039" s="964">
        <f>YEAR(PV_DATA[[#This Row],[ETA for New Ark update]])</f>
        <v>2026</v>
      </c>
      <c r="BC1039" s="623">
        <f>MONTH(PV_DATA[[#This Row],[ETA for New Ark update]])</f>
        <v>11</v>
      </c>
      <c r="BD1039" s="623">
        <f>IFERROR(_xlfn.ISOWEEKNUM(PV_DATA[[#This Row],[ETA for New Ark update]]),0)</f>
        <v>45</v>
      </c>
      <c r="BE1039" s="623">
        <f>_xlfn.XLOOKUP(PV_DATA[[#This Row],[New Ark SKU]],Table9[New Ark SKU],Table9[Total PCS per Pallet],,0)</f>
        <v>36</v>
      </c>
      <c r="BF1039" s="623">
        <f>_xlfn.XLOOKUP(PV_DATA[[#This Row],[New Ark SKU]],Table9[New Ark SKU],Table9[Total PCS per 40HQ Container],,0)</f>
        <v>720</v>
      </c>
      <c r="BG1039" s="430" t="str">
        <f>_xlfn.XLOOKUP(PV_DATA[[#This Row],[New Ark SKU]],Table9[New Ark SKU],Table9[Back Glass],,0)</f>
        <v>White glazing</v>
      </c>
      <c r="BH1039" s="967" t="str">
        <f>_xlfn.XLOOKUP(PV_DATA[[#This Row],[PORT DESTINATION]],Table12[PORT DESTINATION],Table12[Cosco Line],,0)</f>
        <v>AEU</v>
      </c>
    </row>
    <row r="1040" spans="1:60" s="430" customFormat="1" ht="10.5" hidden="1">
      <c r="A1040" s="462" t="s">
        <v>6724</v>
      </c>
      <c r="B1040" s="462" t="s">
        <v>61</v>
      </c>
      <c r="C1040" s="462" t="str">
        <f>IFERROR(LEFT(PV_DATA[[#This Row],[TCL REFERENCE]],FIND(".",PV_DATA[[#This Row],[TCL REFERENCE]],1)-1),"Main Line")</f>
        <v>26Jun021</v>
      </c>
      <c r="D1040" s="462" t="s">
        <v>63</v>
      </c>
      <c r="E1040" s="462" t="s">
        <v>64</v>
      </c>
      <c r="F1040" s="462" t="str" cm="1">
        <f t="array" ref="F104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40" s="462" t="s">
        <v>402</v>
      </c>
      <c r="H1040" s="462" t="s">
        <v>67</v>
      </c>
      <c r="I1040" s="462" t="s">
        <v>689</v>
      </c>
      <c r="J1040" s="430" t="s">
        <v>96</v>
      </c>
      <c r="M1040" s="430" t="s">
        <v>6325</v>
      </c>
      <c r="N1040" s="432">
        <v>46202</v>
      </c>
      <c r="O1040" s="430" t="s">
        <v>284</v>
      </c>
      <c r="P1040" s="484" t="s">
        <v>6169</v>
      </c>
      <c r="Q1040" s="430" t="s">
        <v>1570</v>
      </c>
      <c r="R1040" s="430" t="str">
        <f>_xlfn.XLOOKUP(PV_DATA[[#This Row],[New Ark SKU]],Table9[New Ark SKU],Table9[Connector],,0)</f>
        <v>EVO2A</v>
      </c>
      <c r="S1040" s="433" t="str">
        <f>_xlfn.XLOOKUP(PV_DATA[[#This Row],[New Ark SKU]],Table9[New Ark SKU],Table9[Cable],,0)</f>
        <v>±1400mm</v>
      </c>
      <c r="T1040" s="433">
        <v>650</v>
      </c>
      <c r="U1040" s="1062">
        <f>720*8</f>
        <v>5760</v>
      </c>
      <c r="V1040" s="434">
        <f>PV_DATA[[#This Row],[QUANTITY]]*PV_DATA[[#This Row],[WATT]]/1000000</f>
        <v>3.7440000000000002</v>
      </c>
      <c r="W1040" s="435">
        <f>PV_DATA[[#This Row],[QUANTITY]]/PV_DATA[[#This Row],[Qty/Pallet]]</f>
        <v>160</v>
      </c>
      <c r="X1040" s="1015">
        <f>PV_DATA[[#This Row],[QUANTITY]]/PV_DATA[[#This Row],[Qty/CT]]</f>
        <v>8</v>
      </c>
      <c r="Y1040" s="430" t="s">
        <v>4378</v>
      </c>
      <c r="Z1040" s="430" t="str">
        <f t="shared" si="18"/>
        <v>IN-TRANSIT</v>
      </c>
      <c r="AA1040" s="1201" t="s">
        <v>6720</v>
      </c>
      <c r="AB1040" s="437">
        <v>46269</v>
      </c>
      <c r="AC1040" s="485">
        <f>IF(PV_DATA[[#This Row],[Pick-Up Date]]&lt;&gt;"",_xlfn.ISOWEEKNUM(PV_DATA[[#This Row],[Pick-Up Date]]),"")</f>
        <v>36</v>
      </c>
      <c r="AD1040" s="430" t="s">
        <v>6725</v>
      </c>
      <c r="AF1040" s="430" t="s">
        <v>61</v>
      </c>
      <c r="AG1040" s="430" t="s">
        <v>61</v>
      </c>
      <c r="AH1040" s="430" t="s">
        <v>105</v>
      </c>
      <c r="AI1040" s="588">
        <v>46276</v>
      </c>
      <c r="AJ1040" s="437">
        <f>IFERROR(VLOOKUP(AT1040, Vessel!A:D, 4, FALSE), "")</f>
        <v>46275.833333333336</v>
      </c>
      <c r="AK1040" s="437">
        <f>IFERROR(IF(VLOOKUP(AT1040,Vessel!A:F,5,FALSE)=0,"",VLOOKUP(AT1040,Vessel!A:F,5,FALSE)),"")</f>
        <v>46275.864525462966</v>
      </c>
      <c r="AL1040" s="588">
        <v>46321</v>
      </c>
      <c r="AM1040" s="939">
        <f>IFERROR(VLOOKUP(AT1040, Vessel!A:H, 8, FALSE), "")</f>
        <v>46327.166666666664</v>
      </c>
      <c r="AN1040" s="939" t="str">
        <f>IFERROR(IF(VLOOKUP(AT1040,Vessel!A:I,9,FALSE)=0,"",VLOOKUP(AT1040,Vessel!A:I,9,FALSE)),"")</f>
        <v/>
      </c>
      <c r="AO1040" s="430" t="s">
        <v>402</v>
      </c>
      <c r="AP1040" s="430" t="s">
        <v>6712</v>
      </c>
      <c r="AQ1040" s="940" t="s">
        <v>80</v>
      </c>
      <c r="AR1040" s="430" t="s">
        <v>6726</v>
      </c>
      <c r="AS1040" s="430" t="s">
        <v>6727</v>
      </c>
      <c r="AT1040" s="430" t="s">
        <v>6727</v>
      </c>
      <c r="AU104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51.302141203697829</v>
      </c>
      <c r="AW1040" s="437" cm="1">
        <f t="array" ref="AW104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46327.166666666664</v>
      </c>
      <c r="AX104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40" s="437" t="str">
        <f>IF(ISERROR(PV_DATA[[#This Row],[New Ark PO status]]),"",_xlfn.XLOOKUP(PV_DATA[[#This Row],[SPTN-PVHK New Ark PO'#]],New_Ark_Data[Purchase order Number],New_Ark_Data[Estimated time of arrival],"",0))</f>
        <v/>
      </c>
      <c r="AZ1040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40" s="437">
        <f>IFERROR(PV_DATA[[#This Row],[ODP ETA Port]]+PV_DATA[[#This Row],[Customs/Leg3 Assumption]],"n/a")</f>
        <v>46334.166666666664</v>
      </c>
      <c r="BB1040" s="433">
        <f>YEAR(PV_DATA[[#This Row],[ETA for New Ark update]])</f>
        <v>2026</v>
      </c>
      <c r="BC1040" s="430">
        <f>MONTH(PV_DATA[[#This Row],[ETA for New Ark update]])</f>
        <v>11</v>
      </c>
      <c r="BD1040" s="430">
        <f>IFERROR(_xlfn.ISOWEEKNUM(PV_DATA[[#This Row],[ETA for New Ark update]]),0)</f>
        <v>45</v>
      </c>
      <c r="BE1040" s="430">
        <f>_xlfn.XLOOKUP(PV_DATA[[#This Row],[New Ark SKU]],Table9[New Ark SKU],Table9[Total PCS per Pallet],,0)</f>
        <v>36</v>
      </c>
      <c r="BF1040" s="430">
        <f>_xlfn.XLOOKUP(PV_DATA[[#This Row],[New Ark SKU]],Table9[New Ark SKU],Table9[Total PCS per 40HQ Container],,0)</f>
        <v>720</v>
      </c>
      <c r="BG1040" s="430" t="str">
        <f>_xlfn.XLOOKUP(PV_DATA[[#This Row],[New Ark SKU]],Table9[New Ark SKU],Table9[Back Glass],,0)</f>
        <v>White glazing</v>
      </c>
      <c r="BH1040" s="430" t="str">
        <f>_xlfn.XLOOKUP(PV_DATA[[#This Row],[PORT DESTINATION]],Table12[PORT DESTINATION],Table12[Cosco Line],,0)</f>
        <v>AEU</v>
      </c>
    </row>
    <row r="1041" spans="1:60" s="430" customFormat="1" ht="10.5" hidden="1">
      <c r="A1041" s="941" t="s">
        <v>6728</v>
      </c>
      <c r="B1041" s="462" t="s">
        <v>61</v>
      </c>
      <c r="C1041" s="462" t="str">
        <f>IFERROR(LEFT(PV_DATA[[#This Row],[TCL REFERENCE]],FIND(".",PV_DATA[[#This Row],[TCL REFERENCE]],1)-1),"Main Line")</f>
        <v>26Aug011</v>
      </c>
      <c r="D1041" s="935" t="s">
        <v>113</v>
      </c>
      <c r="E1041" s="462" t="s">
        <v>144</v>
      </c>
      <c r="F1041" s="462" t="str" cm="1">
        <f t="array" ref="F104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41" s="462" t="s">
        <v>156</v>
      </c>
      <c r="H1041" s="462" t="s">
        <v>670</v>
      </c>
      <c r="I1041" s="462" t="s">
        <v>1395</v>
      </c>
      <c r="J1041" s="462" t="s">
        <v>670</v>
      </c>
      <c r="K1041" s="430" t="s">
        <v>6729</v>
      </c>
      <c r="L1041" s="430">
        <v>1</v>
      </c>
      <c r="M1041" s="430" t="s">
        <v>840</v>
      </c>
      <c r="N1041" s="432"/>
      <c r="O1041" s="430" t="s">
        <v>284</v>
      </c>
      <c r="P1041" s="430" t="s">
        <v>6730</v>
      </c>
      <c r="Q1041" s="430" t="s">
        <v>1570</v>
      </c>
      <c r="R1041" s="430" t="str">
        <f>_xlfn.XLOOKUP(PV_DATA[[#This Row],[New Ark SKU]],Table9[New Ark SKU],Table9[Connector],,0)</f>
        <v>H4(Com)</v>
      </c>
      <c r="S1041" s="433" t="str">
        <f>_xlfn.XLOOKUP(PV_DATA[[#This Row],[New Ark SKU]],Table9[New Ark SKU],Table9[Cable],,0)</f>
        <v>+400mm/-200mm</v>
      </c>
      <c r="T1041" s="433">
        <v>650</v>
      </c>
      <c r="U1041" s="1062">
        <v>1440</v>
      </c>
      <c r="V1041" s="434">
        <f>PV_DATA[[#This Row],[QUANTITY]]*PV_DATA[[#This Row],[WATT]]/1000000</f>
        <v>0.93600000000000005</v>
      </c>
      <c r="W1041" s="435">
        <f>PV_DATA[[#This Row],[QUANTITY]]/PV_DATA[[#This Row],[Qty/Pallet]]</f>
        <v>40</v>
      </c>
      <c r="X1041" s="1015">
        <f>PV_DATA[[#This Row],[QUANTITY]]/PV_DATA[[#This Row],[Qty/CT]]</f>
        <v>2</v>
      </c>
      <c r="Y1041" s="430" t="s">
        <v>4378</v>
      </c>
      <c r="Z1041" s="430" t="str">
        <f t="shared" si="18"/>
        <v>IN-TRANSIT</v>
      </c>
      <c r="AA1041" s="545">
        <v>46268</v>
      </c>
      <c r="AB1041" s="966">
        <v>46269</v>
      </c>
      <c r="AC1041" s="485">
        <f>IF(PV_DATA[[#This Row],[Pick-Up Date]]&lt;&gt;"",_xlfn.ISOWEEKNUM(PV_DATA[[#This Row],[Pick-Up Date]]),"")</f>
        <v>36</v>
      </c>
      <c r="AD1041" s="430" t="s">
        <v>6731</v>
      </c>
      <c r="AF1041" s="430" t="s">
        <v>77</v>
      </c>
      <c r="AG1041" s="430" t="s">
        <v>77</v>
      </c>
      <c r="AH1041" s="430" t="s">
        <v>105</v>
      </c>
      <c r="AI1041" s="966">
        <v>46272</v>
      </c>
      <c r="AJ1041" s="966">
        <v>46277</v>
      </c>
      <c r="AK1041" s="966">
        <v>46278</v>
      </c>
      <c r="AL1041" s="966">
        <v>46319</v>
      </c>
      <c r="AM1041" s="966">
        <v>46324</v>
      </c>
      <c r="AN1041" s="588"/>
      <c r="AO1041" s="430" t="s">
        <v>156</v>
      </c>
      <c r="AP1041" s="430" t="s">
        <v>6732</v>
      </c>
      <c r="AQ1041" s="438" t="s">
        <v>161</v>
      </c>
      <c r="AR1041" s="430" t="s">
        <v>6733</v>
      </c>
      <c r="AS1041" s="430" t="s">
        <v>6734</v>
      </c>
      <c r="AT1041" s="430" t="s">
        <v>6735</v>
      </c>
      <c r="AW1041" s="437" cm="1">
        <f t="array" ref="AW104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46324</v>
      </c>
      <c r="AX104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41" s="437" t="str">
        <f>IF(ISERROR(PV_DATA[[#This Row],[New Ark PO status]]),"",_xlfn.XLOOKUP(PV_DATA[[#This Row],[SPTN-PVHK New Ark PO'#]],New_Ark_Data[Purchase order Number],New_Ark_Data[Estimated time of arrival],"",0))</f>
        <v/>
      </c>
      <c r="AZ1041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41" s="437">
        <f>IFERROR(PV_DATA[[#This Row],[ODP ETA Port]]+PV_DATA[[#This Row],[Customs/Leg3 Assumption]],"n/a")</f>
        <v>46324</v>
      </c>
      <c r="BB1041" s="433">
        <f>YEAR(PV_DATA[[#This Row],[ETA for New Ark update]])</f>
        <v>2026</v>
      </c>
      <c r="BC1041" s="430">
        <f>MONTH(PV_DATA[[#This Row],[ETA for New Ark update]])</f>
        <v>10</v>
      </c>
      <c r="BD1041" s="430">
        <f>IFERROR(_xlfn.ISOWEEKNUM(PV_DATA[[#This Row],[ETA for New Ark update]]),0)</f>
        <v>44</v>
      </c>
      <c r="BE1041" s="430">
        <f>_xlfn.XLOOKUP(PV_DATA[[#This Row],[New Ark SKU]],Table9[New Ark SKU],Table9[Total PCS per Pallet],,0)</f>
        <v>36</v>
      </c>
      <c r="BF1041" s="430">
        <f>_xlfn.XLOOKUP(PV_DATA[[#This Row],[New Ark SKU]],Table9[New Ark SKU],Table9[Total PCS per 40HQ Container],,0)</f>
        <v>720</v>
      </c>
      <c r="BG1041" s="430" t="str">
        <f>_xlfn.XLOOKUP(PV_DATA[[#This Row],[New Ark SKU]],Table9[New Ark SKU],Table9[Back Glass],,0)</f>
        <v>White glazing</v>
      </c>
      <c r="BH1041" s="610" t="str">
        <f>_xlfn.XLOOKUP(PV_DATA[[#This Row],[PORT DESTINATION]],Table12[PORT DESTINATION],Table12[Cosco Line],,0)</f>
        <v>AEU</v>
      </c>
    </row>
    <row r="1042" spans="1:60" s="430" customFormat="1" ht="10.5" hidden="1">
      <c r="A1042" s="941" t="s">
        <v>6736</v>
      </c>
      <c r="B1042" s="462" t="s">
        <v>61</v>
      </c>
      <c r="C1042" s="462" t="str">
        <f>IFERROR(LEFT(PV_DATA[[#This Row],[TCL REFERENCE]],FIND(".",PV_DATA[[#This Row],[TCL REFERENCE]],1)-1),"Main Line")</f>
        <v>26Aug012</v>
      </c>
      <c r="D1042" s="935" t="s">
        <v>113</v>
      </c>
      <c r="E1042" s="462" t="s">
        <v>144</v>
      </c>
      <c r="F1042" s="462" t="str" cm="1">
        <f t="array" ref="F104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42" s="462" t="s">
        <v>156</v>
      </c>
      <c r="H1042" s="462" t="s">
        <v>670</v>
      </c>
      <c r="I1042" s="462" t="s">
        <v>1395</v>
      </c>
      <c r="J1042" s="462" t="s">
        <v>670</v>
      </c>
      <c r="K1042" s="430" t="s">
        <v>6729</v>
      </c>
      <c r="L1042" s="430">
        <v>2</v>
      </c>
      <c r="M1042" s="430" t="s">
        <v>840</v>
      </c>
      <c r="N1042" s="432"/>
      <c r="O1042" s="430" t="s">
        <v>284</v>
      </c>
      <c r="P1042" s="430" t="s">
        <v>6737</v>
      </c>
      <c r="Q1042" s="430" t="s">
        <v>5355</v>
      </c>
      <c r="R1042" s="430" t="str">
        <f>_xlfn.XLOOKUP(PV_DATA[[#This Row],[New Ark SKU]],Table9[New Ark SKU],Table9[Connector],,0)</f>
        <v>H4(Com)</v>
      </c>
      <c r="S1042" s="433" t="str">
        <f>_xlfn.XLOOKUP(PV_DATA[[#This Row],[New Ark SKU]],Table9[New Ark SKU],Table9[Cable],,0)</f>
        <v>+400mm/-200mm</v>
      </c>
      <c r="T1042" s="433">
        <v>655</v>
      </c>
      <c r="U1042" s="1062">
        <v>2160</v>
      </c>
      <c r="V1042" s="434">
        <f>PV_DATA[[#This Row],[QUANTITY]]*PV_DATA[[#This Row],[WATT]]/1000000</f>
        <v>1.4148000000000001</v>
      </c>
      <c r="W1042" s="435">
        <f>PV_DATA[[#This Row],[QUANTITY]]/PV_DATA[[#This Row],[Qty/Pallet]]</f>
        <v>60</v>
      </c>
      <c r="X1042" s="1015">
        <f>PV_DATA[[#This Row],[QUANTITY]]/PV_DATA[[#This Row],[Qty/CT]]</f>
        <v>3</v>
      </c>
      <c r="Y1042" s="430" t="s">
        <v>4378</v>
      </c>
      <c r="Z1042" s="430" t="str">
        <f t="shared" si="18"/>
        <v>IN-TRANSIT</v>
      </c>
      <c r="AA1042" s="545">
        <v>46277</v>
      </c>
      <c r="AB1042" s="966">
        <v>46269</v>
      </c>
      <c r="AC1042" s="485">
        <f>IF(PV_DATA[[#This Row],[Pick-Up Date]]&lt;&gt;"",_xlfn.ISOWEEKNUM(PV_DATA[[#This Row],[Pick-Up Date]]),"")</f>
        <v>36</v>
      </c>
      <c r="AD1042" s="430" t="s">
        <v>6738</v>
      </c>
      <c r="AF1042" s="430" t="s">
        <v>77</v>
      </c>
      <c r="AG1042" s="430" t="s">
        <v>77</v>
      </c>
      <c r="AH1042" s="430" t="s">
        <v>105</v>
      </c>
      <c r="AI1042" s="966">
        <v>46272</v>
      </c>
      <c r="AJ1042" s="966">
        <v>46277</v>
      </c>
      <c r="AK1042" s="966">
        <v>46278</v>
      </c>
      <c r="AL1042" s="966">
        <v>46319</v>
      </c>
      <c r="AM1042" s="966">
        <v>46324</v>
      </c>
      <c r="AN1042" s="588"/>
      <c r="AO1042" s="430" t="s">
        <v>156</v>
      </c>
      <c r="AP1042" s="430" t="s">
        <v>6732</v>
      </c>
      <c r="AQ1042" s="438" t="s">
        <v>161</v>
      </c>
      <c r="AR1042" s="430" t="s">
        <v>6733</v>
      </c>
      <c r="AS1042" s="430" t="s">
        <v>6734</v>
      </c>
      <c r="AT1042" s="430" t="s">
        <v>6735</v>
      </c>
      <c r="AU104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</v>
      </c>
      <c r="AW1042" s="437" cm="1">
        <f t="array" ref="AW104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46324</v>
      </c>
      <c r="AX104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42" s="437" t="str">
        <f>IF(ISERROR(PV_DATA[[#This Row],[New Ark PO status]]),"",_xlfn.XLOOKUP(PV_DATA[[#This Row],[SPTN-PVHK New Ark PO'#]],New_Ark_Data[Purchase order Number],New_Ark_Data[Estimated time of arrival],"",0))</f>
        <v/>
      </c>
      <c r="AZ1042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42" s="437">
        <f>IFERROR(PV_DATA[[#This Row],[ODP ETA Port]]+PV_DATA[[#This Row],[Customs/Leg3 Assumption]],"n/a")</f>
        <v>46324</v>
      </c>
      <c r="BB1042" s="433" t="s">
        <v>6545</v>
      </c>
      <c r="BC1042" s="433" t="s">
        <v>6545</v>
      </c>
      <c r="BD1042" s="430">
        <f>IFERROR(_xlfn.ISOWEEKNUM(PV_DATA[[#This Row],[ETA for New Ark update]]),0)</f>
        <v>44</v>
      </c>
      <c r="BE1042" s="430">
        <f>_xlfn.XLOOKUP(PV_DATA[[#This Row],[New Ark SKU]],Table9[New Ark SKU],Table9[Total PCS per Pallet],,0)</f>
        <v>36</v>
      </c>
      <c r="BF1042" s="430">
        <f>_xlfn.XLOOKUP(PV_DATA[[#This Row],[New Ark SKU]],Table9[New Ark SKU],Table9[Total PCS per 40HQ Container],,0)</f>
        <v>720</v>
      </c>
      <c r="BG1042" s="430" t="str">
        <f>_xlfn.XLOOKUP(PV_DATA[[#This Row],[New Ark SKU]],Table9[New Ark SKU],Table9[Back Glass],,0)</f>
        <v>White glazing</v>
      </c>
      <c r="BH1042" s="610" t="str">
        <f>_xlfn.XLOOKUP(PV_DATA[[#This Row],[PORT DESTINATION]],Table12[PORT DESTINATION],Table12[Cosco Line],,0)</f>
        <v>AEU</v>
      </c>
    </row>
    <row r="1043" spans="1:60" s="430" customFormat="1" ht="10.5" hidden="1">
      <c r="A1043" s="462" t="s">
        <v>6739</v>
      </c>
      <c r="B1043" s="462" t="s">
        <v>6740</v>
      </c>
      <c r="C1043" s="462" t="str">
        <f>IFERROR(LEFT(PV_DATA[[#This Row],[TCL REFERENCE]],FIND(".",PV_DATA[[#This Row],[TCL REFERENCE]],1)-1),"Main Line")</f>
        <v>26Aug003</v>
      </c>
      <c r="D1043" s="462" t="s">
        <v>63</v>
      </c>
      <c r="E1043" s="462" t="s">
        <v>144</v>
      </c>
      <c r="F1043" s="462" t="str" cm="1">
        <f t="array" ref="F104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43" s="462" t="s">
        <v>402</v>
      </c>
      <c r="H1043" s="462" t="s">
        <v>2394</v>
      </c>
      <c r="I1043" s="462" t="s">
        <v>1395</v>
      </c>
      <c r="J1043" s="462" t="s">
        <v>2394</v>
      </c>
      <c r="K1043" s="462" t="s">
        <v>6741</v>
      </c>
      <c r="L1043" s="430">
        <v>1</v>
      </c>
      <c r="M1043" s="430" t="s">
        <v>840</v>
      </c>
      <c r="N1043" s="432">
        <v>46237</v>
      </c>
      <c r="O1043" s="430" t="s">
        <v>4540</v>
      </c>
      <c r="P1043" s="430" t="s">
        <v>71</v>
      </c>
      <c r="Q1043" s="430" t="s">
        <v>72</v>
      </c>
      <c r="R1043" s="430" t="str">
        <f>_xlfn.XLOOKUP(PV_DATA[[#This Row],[New Ark SKU]],Table9[New Ark SKU],Table9[Connector],,0)</f>
        <v>EVO2A</v>
      </c>
      <c r="S1043" s="433" t="str">
        <f>_xlfn.XLOOKUP(PV_DATA[[#This Row],[New Ark SKU]],Table9[New Ark SKU],Table9[Cable],,0)</f>
        <v>±1200mm</v>
      </c>
      <c r="T1043" s="433">
        <v>500</v>
      </c>
      <c r="U1043" s="1062">
        <f>864*5</f>
        <v>4320</v>
      </c>
      <c r="V1043" s="434">
        <f>PV_DATA[[#This Row],[QUANTITY]]*PV_DATA[[#This Row],[WATT]]/1000000</f>
        <v>2.16</v>
      </c>
      <c r="W1043" s="435">
        <f>PV_DATA[[#This Row],[QUANTITY]]/PV_DATA[[#This Row],[Qty/Pallet]]</f>
        <v>120</v>
      </c>
      <c r="X1043" s="1015">
        <f>PV_DATA[[#This Row],[QUANTITY]]/PV_DATA[[#This Row],[Qty/CT]]</f>
        <v>5</v>
      </c>
      <c r="Y1043" s="430" t="s">
        <v>4379</v>
      </c>
      <c r="AA1043" s="1051" t="s">
        <v>6742</v>
      </c>
      <c r="AB1043" s="437">
        <v>46276</v>
      </c>
      <c r="AC1043" s="485">
        <f>IF(PV_DATA[[#This Row],[Pick-Up Date]]&lt;&gt;"",_xlfn.ISOWEEKNUM(PV_DATA[[#This Row],[Pick-Up Date]]),"")</f>
        <v>37</v>
      </c>
      <c r="AD1043" s="430" t="s">
        <v>6743</v>
      </c>
      <c r="AF1043" s="459" t="s">
        <v>123</v>
      </c>
      <c r="AG1043" s="459" t="s">
        <v>123</v>
      </c>
      <c r="AH1043" s="430" t="s">
        <v>888</v>
      </c>
      <c r="AI1043" s="437">
        <v>46279</v>
      </c>
      <c r="AJ1043" s="437">
        <v>46279</v>
      </c>
      <c r="AK1043" s="437">
        <f>IFERROR(IF(VLOOKUP(AT1043,Vessel!A:F,5,FALSE)=0,"",VLOOKUP(AT1043,Vessel!A:F,5,FALSE)),"")</f>
        <v>46279.699814814812</v>
      </c>
      <c r="AL1043" s="437">
        <v>46330</v>
      </c>
      <c r="AM1043" s="939">
        <f>IFERROR(VLOOKUP(AT1043, Vessel!A:H, 8, FALSE), "")</f>
        <v>46338.25</v>
      </c>
      <c r="AN1043" s="939" t="str">
        <f>IFERROR(IF(VLOOKUP(AT1043,Vessel!A:I,9,FALSE)=0,"",VLOOKUP(AT1043,Vessel!A:I,9,FALSE)),"")</f>
        <v/>
      </c>
      <c r="AP1043" s="430" t="s">
        <v>6744</v>
      </c>
      <c r="AQ1043" s="430" t="s">
        <v>80</v>
      </c>
      <c r="AR1043" s="430" t="s">
        <v>6745</v>
      </c>
      <c r="AS1043" s="430" t="s">
        <v>6746</v>
      </c>
      <c r="AT1043" s="430" t="s">
        <v>6746</v>
      </c>
      <c r="AU104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58.550185185187729</v>
      </c>
      <c r="AW1043" s="437" cm="1">
        <f t="array" ref="AW104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46338.25</v>
      </c>
      <c r="AX104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43" s="437" t="str">
        <f>IF(ISERROR(PV_DATA[[#This Row],[New Ark PO status]]),"",_xlfn.XLOOKUP(PV_DATA[[#This Row],[SPTN-PVHK New Ark PO'#]],New_Ark_Data[Purchase order Number],New_Ark_Data[Estimated time of arrival],"",0))</f>
        <v/>
      </c>
      <c r="AZ1043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43" s="437">
        <f>IFERROR(PV_DATA[[#This Row],[ODP ETA Port]]+PV_DATA[[#This Row],[Customs/Leg3 Assumption]],"n/a")</f>
        <v>46338.25</v>
      </c>
      <c r="BB1043" s="433">
        <f>YEAR(PV_DATA[[#This Row],[ETA for New Ark update]])</f>
        <v>2026</v>
      </c>
      <c r="BC1043" s="430">
        <f>MONTH(PV_DATA[[#This Row],[ETA for New Ark update]])</f>
        <v>11</v>
      </c>
      <c r="BD1043" s="430">
        <f>IFERROR(_xlfn.ISOWEEKNUM(PV_DATA[[#This Row],[ETA for New Ark update]]),0)</f>
        <v>46</v>
      </c>
      <c r="BE1043" s="430">
        <f>_xlfn.XLOOKUP(PV_DATA[[#This Row],[New Ark SKU]],Table9[New Ark SKU],Table9[Total PCS per Pallet],,0)</f>
        <v>36</v>
      </c>
      <c r="BF1043" s="430">
        <f>_xlfn.XLOOKUP(PV_DATA[[#This Row],[New Ark SKU]],Table9[New Ark SKU],Table9[Total PCS per 40HQ Container],,0)</f>
        <v>864</v>
      </c>
      <c r="BG1043" s="430" t="str">
        <f>_xlfn.XLOOKUP(PV_DATA[[#This Row],[New Ark SKU]],Table9[New Ark SKU],Table9[Back Glass],,0)</f>
        <v>Black glazing</v>
      </c>
      <c r="BH1043" s="610" t="str">
        <f>_xlfn.XLOOKUP(PV_DATA[[#This Row],[PORT DESTINATION]],Table12[PORT DESTINATION],Table12[Cosco Line],,0)</f>
        <v>AEU</v>
      </c>
    </row>
    <row r="1044" spans="1:60" s="430" customFormat="1" ht="10.5" hidden="1">
      <c r="A1044" s="729" t="s">
        <v>6747</v>
      </c>
      <c r="B1044" s="459" t="s">
        <v>111</v>
      </c>
      <c r="C1044" s="462" t="str">
        <f>IFERROR(LEFT(PV_DATA[[#This Row],[TCL REFERENCE]],FIND(".",PV_DATA[[#This Row],[TCL REFERENCE]],1)-1),"Main Line")</f>
        <v>26Aug020</v>
      </c>
      <c r="D1044" s="462" t="s">
        <v>63</v>
      </c>
      <c r="E1044" s="462" t="s">
        <v>64</v>
      </c>
      <c r="F1044" s="462" t="str" cm="1">
        <f t="array" ref="F104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44" s="462" t="s">
        <v>402</v>
      </c>
      <c r="H1044" s="462" t="s">
        <v>67</v>
      </c>
      <c r="I1044" s="462" t="s">
        <v>689</v>
      </c>
      <c r="J1044" s="430" t="s">
        <v>96</v>
      </c>
      <c r="M1044" s="430" t="s">
        <v>6325</v>
      </c>
      <c r="N1044" s="432">
        <v>46238</v>
      </c>
      <c r="O1044" s="430" t="s">
        <v>132</v>
      </c>
      <c r="P1044" s="430" t="s">
        <v>1062</v>
      </c>
      <c r="Q1044" s="430" t="s">
        <v>1063</v>
      </c>
      <c r="R1044" s="430" t="str">
        <f>_xlfn.XLOOKUP(PV_DATA[[#This Row],[New Ark SKU]],Table9[New Ark SKU],Table9[Connector],,0)</f>
        <v>EVO2A</v>
      </c>
      <c r="S1044" s="433" t="str">
        <f>_xlfn.XLOOKUP(PV_DATA[[#This Row],[New Ark SKU]],Table9[New Ark SKU],Table9[Cable],,0)</f>
        <v>±1200mm</v>
      </c>
      <c r="T1044" s="433">
        <v>470</v>
      </c>
      <c r="U1044" s="1062">
        <v>4320</v>
      </c>
      <c r="V1044" s="434">
        <f>PV_DATA[[#This Row],[QUANTITY]]*PV_DATA[[#This Row],[WATT]]/1000000</f>
        <v>2.0304000000000002</v>
      </c>
      <c r="W1044" s="435">
        <f>PV_DATA[[#This Row],[QUANTITY]]/PV_DATA[[#This Row],[Qty/Pallet]]</f>
        <v>120</v>
      </c>
      <c r="X1044" s="1015">
        <f>PV_DATA[[#This Row],[QUANTITY]]/PV_DATA[[#This Row],[Qty/CT]]</f>
        <v>5</v>
      </c>
      <c r="Y1044" s="430" t="s">
        <v>4381</v>
      </c>
      <c r="AA1044" s="430" t="s">
        <v>5862</v>
      </c>
      <c r="AB1044" s="437">
        <v>46280</v>
      </c>
      <c r="AC1044" s="485">
        <f>IF(PV_DATA[[#This Row],[Pick-Up Date]]&lt;&gt;"",_xlfn.ISOWEEKNUM(PV_DATA[[#This Row],[Pick-Up Date]]),"")</f>
        <v>38</v>
      </c>
      <c r="AD1044" s="462" t="s">
        <v>6748</v>
      </c>
      <c r="AF1044" s="430" t="s">
        <v>122</v>
      </c>
      <c r="AG1044" s="430" t="s">
        <v>123</v>
      </c>
      <c r="AH1044" s="430" t="s">
        <v>105</v>
      </c>
      <c r="AI1044" s="437">
        <v>46279</v>
      </c>
      <c r="AJ1044" s="437">
        <v>46294</v>
      </c>
      <c r="AK1044" s="437">
        <v>46294</v>
      </c>
      <c r="AL1044" s="437">
        <v>46319</v>
      </c>
      <c r="AM1044" s="437">
        <v>46338</v>
      </c>
      <c r="AN1044" s="588"/>
      <c r="AP1044" s="430" t="s">
        <v>6749</v>
      </c>
      <c r="AQ1044" s="430" t="s">
        <v>161</v>
      </c>
      <c r="AR1044" s="430" t="s">
        <v>6750</v>
      </c>
      <c r="AS1044" s="430" t="s">
        <v>6751</v>
      </c>
      <c r="AT1044" s="430" t="s">
        <v>6751</v>
      </c>
      <c r="AU104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W1044" s="437" cm="1">
        <f t="array" ref="AW104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46338</v>
      </c>
      <c r="AX104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44" s="437" t="str">
        <f>IF(ISERROR(PV_DATA[[#This Row],[New Ark PO status]]),"",_xlfn.XLOOKUP(PV_DATA[[#This Row],[SPTN-PVHK New Ark PO'#]],New_Ark_Data[Purchase order Number],New_Ark_Data[Estimated time of arrival],"",0))</f>
        <v/>
      </c>
      <c r="AZ1044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44" s="437">
        <f>IFERROR(PV_DATA[[#This Row],[ODP ETA Port]]+PV_DATA[[#This Row],[Customs/Leg3 Assumption]],"n/a")</f>
        <v>46345</v>
      </c>
      <c r="BB1044" s="433">
        <f>YEAR(PV_DATA[[#This Row],[ETA for New Ark update]])</f>
        <v>2026</v>
      </c>
      <c r="BC1044" s="430">
        <f>MONTH(PV_DATA[[#This Row],[ETA for New Ark update]])</f>
        <v>11</v>
      </c>
      <c r="BD1044" s="430">
        <f>IFERROR(_xlfn.ISOWEEKNUM(PV_DATA[[#This Row],[ETA for New Ark update]]),0)</f>
        <v>47</v>
      </c>
      <c r="BE1044" s="430">
        <f>_xlfn.XLOOKUP(PV_DATA[[#This Row],[New Ark SKU]],Table9[New Ark SKU],Table9[Total PCS per Pallet],,0)</f>
        <v>36</v>
      </c>
      <c r="BF1044" s="430">
        <f>_xlfn.XLOOKUP(PV_DATA[[#This Row],[New Ark SKU]],Table9[New Ark SKU],Table9[Total PCS per 40HQ Container],,0)</f>
        <v>864</v>
      </c>
      <c r="BG1044" s="430" t="str">
        <f>_xlfn.XLOOKUP(PV_DATA[[#This Row],[New Ark SKU]],Table9[New Ark SKU],Table9[Back Glass],,0)</f>
        <v>White glazing</v>
      </c>
      <c r="BH1044" s="430" t="str">
        <f>_xlfn.XLOOKUP(PV_DATA[[#This Row],[PORT DESTINATION]],Table12[PORT DESTINATION],Table12[Cosco Line],,0)</f>
        <v>AEU</v>
      </c>
    </row>
    <row r="1045" spans="1:60" s="430" customFormat="1" ht="10.5" hidden="1">
      <c r="A1045" s="941" t="s">
        <v>6752</v>
      </c>
      <c r="B1045" s="1052" t="s">
        <v>111</v>
      </c>
      <c r="C1045" s="462" t="str">
        <f>IFERROR(LEFT(PV_DATA[[#This Row],[TCL REFERENCE]],FIND(".",PV_DATA[[#This Row],[TCL REFERENCE]],1)-1),"Main Line")</f>
        <v>26Jul009</v>
      </c>
      <c r="D1045" s="935" t="s">
        <v>63</v>
      </c>
      <c r="E1045" s="462" t="s">
        <v>64</v>
      </c>
      <c r="F1045" s="935" t="str" cm="1">
        <f t="array" ref="F104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45" s="462" t="s">
        <v>402</v>
      </c>
      <c r="H1045" s="462" t="s">
        <v>67</v>
      </c>
      <c r="I1045" s="462" t="s">
        <v>689</v>
      </c>
      <c r="J1045" s="430" t="s">
        <v>96</v>
      </c>
      <c r="L1045" s="623"/>
      <c r="M1045" s="430" t="s">
        <v>68</v>
      </c>
      <c r="N1045" s="1053">
        <v>46251</v>
      </c>
      <c r="O1045" s="623" t="s">
        <v>5388</v>
      </c>
      <c r="P1045" s="623" t="s">
        <v>6687</v>
      </c>
      <c r="Q1045" s="623" t="s">
        <v>6688</v>
      </c>
      <c r="R1045" s="430" t="str">
        <f>_xlfn.XLOOKUP(PV_DATA[[#This Row],[New Ark SKU]],Table9[New Ark SKU],Table9[Connector],,0)</f>
        <v>EVO2A</v>
      </c>
      <c r="S1045" s="433" t="str">
        <f>_xlfn.XLOOKUP(PV_DATA[[#This Row],[New Ark SKU]],Table9[New Ark SKU],Table9[Cable],,0)</f>
        <v>±1200mm</v>
      </c>
      <c r="T1045" s="964">
        <v>475</v>
      </c>
      <c r="U1045" s="1074">
        <f>936*3</f>
        <v>2808</v>
      </c>
      <c r="V1045" s="965">
        <f>PV_DATA[[#This Row],[QUANTITY]]*PV_DATA[[#This Row],[WATT]]/1000000</f>
        <v>1.3338000000000001</v>
      </c>
      <c r="W1045" s="435">
        <f>PV_DATA[[#This Row],[QUANTITY]]/PV_DATA[[#This Row],[Qty/Pallet]]</f>
        <v>78</v>
      </c>
      <c r="X1045" s="1015">
        <f>PV_DATA[[#This Row],[QUANTITY]]/PV_DATA[[#This Row],[Qty/CT]]</f>
        <v>3</v>
      </c>
      <c r="Y1045" s="430" t="s">
        <v>4378</v>
      </c>
      <c r="Z1045" s="430" t="str">
        <f>IF(AN1045&lt;&gt;"","COMPLETED",IF(AK1045&lt;&gt;"","IN-TRANSIT",""))</f>
        <v>IN-TRANSIT</v>
      </c>
      <c r="AA1045" s="1051">
        <v>46260</v>
      </c>
      <c r="AB1045" s="437">
        <v>46280</v>
      </c>
      <c r="AC1045" s="485">
        <f>IF(PV_DATA[[#This Row],[Pick-Up Date]]&lt;&gt;"",_xlfn.ISOWEEKNUM(PV_DATA[[#This Row],[Pick-Up Date]]),"")</f>
        <v>38</v>
      </c>
      <c r="AD1045" s="623" t="s">
        <v>6753</v>
      </c>
      <c r="AE1045" s="623"/>
      <c r="AF1045" s="623" t="s">
        <v>122</v>
      </c>
      <c r="AG1045" s="623" t="s">
        <v>123</v>
      </c>
      <c r="AH1045" s="430" t="s">
        <v>105</v>
      </c>
      <c r="AI1045" s="966">
        <v>46279</v>
      </c>
      <c r="AJ1045" s="437">
        <v>46294</v>
      </c>
      <c r="AK1045" s="437">
        <v>46294</v>
      </c>
      <c r="AL1045" s="966">
        <v>46319</v>
      </c>
      <c r="AM1045" s="437">
        <v>46338</v>
      </c>
      <c r="AN1045" s="588" t="str">
        <f>IFERROR(IF(VLOOKUP(AT1045,Vessel!A:I,9,FALSE)=0,"",VLOOKUP(AT1045,Vessel!A:I,9,FALSE)),"")</f>
        <v/>
      </c>
      <c r="AO1045" s="623"/>
      <c r="AP1045" s="430" t="s">
        <v>6749</v>
      </c>
      <c r="AQ1045" s="430" t="s">
        <v>161</v>
      </c>
      <c r="AR1045" s="623" t="s">
        <v>6750</v>
      </c>
      <c r="AS1045" s="623" t="s">
        <v>6751</v>
      </c>
      <c r="AT1045" s="430" t="s">
        <v>6754</v>
      </c>
      <c r="AU104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V1045" s="623"/>
      <c r="AW1045" s="966" cm="1">
        <f t="array" ref="AW104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46338</v>
      </c>
      <c r="AX104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45" s="966" t="str">
        <f>IF(ISERROR(PV_DATA[[#This Row],[New Ark PO status]]),"",_xlfn.XLOOKUP(PV_DATA[[#This Row],[SPTN-PVHK New Ark PO'#]],New_Ark_Data[Purchase order Number],New_Ark_Data[Estimated time of arrival],"",0))</f>
        <v/>
      </c>
      <c r="AZ1045" s="964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45" s="966">
        <f>IFERROR(PV_DATA[[#This Row],[ODP ETA Port]]+PV_DATA[[#This Row],[Customs/Leg3 Assumption]],"n/a")</f>
        <v>46345</v>
      </c>
      <c r="BB1045" s="964">
        <f>YEAR(PV_DATA[[#This Row],[ETA for New Ark update]])</f>
        <v>2026</v>
      </c>
      <c r="BC1045" s="623">
        <f>MONTH(PV_DATA[[#This Row],[ETA for New Ark update]])</f>
        <v>11</v>
      </c>
      <c r="BD1045" s="623">
        <f>IFERROR(_xlfn.ISOWEEKNUM(PV_DATA[[#This Row],[ETA for New Ark update]]),0)</f>
        <v>47</v>
      </c>
      <c r="BE1045" s="623">
        <f>_xlfn.XLOOKUP(PV_DATA[[#This Row],[New Ark SKU]],Table9[New Ark SKU],Table9[Total PCS per Pallet],,0)</f>
        <v>36</v>
      </c>
      <c r="BF1045" s="623">
        <f>_xlfn.XLOOKUP(PV_DATA[[#This Row],[New Ark SKU]],Table9[New Ark SKU],Table9[Total PCS per 40HQ Container],,0)</f>
        <v>936</v>
      </c>
      <c r="BG1045" s="623" t="str">
        <f>_xlfn.XLOOKUP(PV_DATA[[#This Row],[New Ark SKU]],Table9[New Ark SKU],Table9[Back Glass],,0)</f>
        <v>Black glazing</v>
      </c>
      <c r="BH1045" s="967" t="str">
        <f>_xlfn.XLOOKUP(PV_DATA[[#This Row],[PORT DESTINATION]],Table12[PORT DESTINATION],Table12[Cosco Line],,0)</f>
        <v>AEU</v>
      </c>
    </row>
    <row r="1046" spans="1:60" s="430" customFormat="1" ht="10.5" hidden="1">
      <c r="A1046" s="729" t="s">
        <v>6755</v>
      </c>
      <c r="B1046" s="459" t="s">
        <v>111</v>
      </c>
      <c r="C1046" s="462" t="str">
        <f>IFERROR(LEFT(PV_DATA[[#This Row],[TCL REFERENCE]],FIND(".",PV_DATA[[#This Row],[TCL REFERENCE]],1)-1),"Main Line")</f>
        <v>26Aug020</v>
      </c>
      <c r="D1046" s="462" t="s">
        <v>63</v>
      </c>
      <c r="E1046" s="462" t="s">
        <v>64</v>
      </c>
      <c r="F1046" s="462" t="str" cm="1">
        <f t="array" ref="F104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46" s="462" t="s">
        <v>402</v>
      </c>
      <c r="H1046" s="462" t="s">
        <v>67</v>
      </c>
      <c r="I1046" s="462" t="s">
        <v>689</v>
      </c>
      <c r="J1046" s="430" t="s">
        <v>96</v>
      </c>
      <c r="M1046" s="430" t="s">
        <v>6325</v>
      </c>
      <c r="N1046" s="432">
        <v>46238</v>
      </c>
      <c r="O1046" s="430" t="s">
        <v>132</v>
      </c>
      <c r="P1046" s="430" t="s">
        <v>1062</v>
      </c>
      <c r="Q1046" s="430" t="s">
        <v>1063</v>
      </c>
      <c r="R1046" s="430" t="str">
        <f>_xlfn.XLOOKUP(PV_DATA[[#This Row],[New Ark SKU]],Table9[New Ark SKU],Table9[Connector],,0)</f>
        <v>EVO2A</v>
      </c>
      <c r="S1046" s="433" t="str">
        <f>_xlfn.XLOOKUP(PV_DATA[[#This Row],[New Ark SKU]],Table9[New Ark SKU],Table9[Cable],,0)</f>
        <v>±1200mm</v>
      </c>
      <c r="T1046" s="433">
        <v>470</v>
      </c>
      <c r="U1046" s="1062">
        <v>1728</v>
      </c>
      <c r="V1046" s="434">
        <f>PV_DATA[[#This Row],[QUANTITY]]*PV_DATA[[#This Row],[WATT]]/1000000</f>
        <v>0.81215999999999999</v>
      </c>
      <c r="W1046" s="435">
        <f>PV_DATA[[#This Row],[QUANTITY]]/PV_DATA[[#This Row],[Qty/Pallet]]</f>
        <v>48</v>
      </c>
      <c r="X1046" s="1015">
        <f>PV_DATA[[#This Row],[QUANTITY]]/PV_DATA[[#This Row],[Qty/CT]]</f>
        <v>2</v>
      </c>
      <c r="Y1046" s="430" t="s">
        <v>4381</v>
      </c>
      <c r="AA1046" s="430" t="s">
        <v>5862</v>
      </c>
      <c r="AB1046" s="437">
        <v>46280</v>
      </c>
      <c r="AC1046" s="485">
        <f>IF(PV_DATA[[#This Row],[Pick-Up Date]]&lt;&gt;"",_xlfn.ISOWEEKNUM(PV_DATA[[#This Row],[Pick-Up Date]]),"")</f>
        <v>38</v>
      </c>
      <c r="AD1046" s="462" t="s">
        <v>6756</v>
      </c>
      <c r="AF1046" s="430" t="s">
        <v>122</v>
      </c>
      <c r="AG1046" s="430" t="s">
        <v>123</v>
      </c>
      <c r="AH1046" s="430" t="s">
        <v>105</v>
      </c>
      <c r="AI1046" s="966">
        <v>46279</v>
      </c>
      <c r="AJ1046" s="437">
        <v>46294</v>
      </c>
      <c r="AK1046" s="437">
        <v>46294</v>
      </c>
      <c r="AL1046" s="966">
        <v>46319</v>
      </c>
      <c r="AM1046" s="437">
        <v>46338</v>
      </c>
      <c r="AN1046" s="588" t="str">
        <f>IFERROR(IF(VLOOKUP(AT1046,Vessel!A:I,9,FALSE)=0,"",VLOOKUP(AT1046,Vessel!A:I,9,FALSE)),"")</f>
        <v/>
      </c>
      <c r="AO1046" s="623"/>
      <c r="AP1046" s="430" t="s">
        <v>6749</v>
      </c>
      <c r="AQ1046" s="430" t="s">
        <v>161</v>
      </c>
      <c r="AR1046" s="430" t="s">
        <v>6750</v>
      </c>
      <c r="AS1046" s="430" t="s">
        <v>6751</v>
      </c>
      <c r="AT1046" s="430" t="s">
        <v>6754</v>
      </c>
      <c r="AU104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</v>
      </c>
      <c r="AW1046" s="437" cm="1">
        <f t="array" ref="AW104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46338</v>
      </c>
      <c r="AX104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46" s="437" t="str">
        <f>IF(ISERROR(PV_DATA[[#This Row],[New Ark PO status]]),"",_xlfn.XLOOKUP(PV_DATA[[#This Row],[SPTN-PVHK New Ark PO'#]],New_Ark_Data[Purchase order Number],New_Ark_Data[Estimated time of arrival],"",0))</f>
        <v/>
      </c>
      <c r="AZ1046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46" s="437">
        <f>IFERROR(PV_DATA[[#This Row],[ODP ETA Port]]+PV_DATA[[#This Row],[Customs/Leg3 Assumption]],"n/a")</f>
        <v>46345</v>
      </c>
      <c r="BB1046" s="433">
        <f>YEAR(PV_DATA[[#This Row],[ETA for New Ark update]])</f>
        <v>2026</v>
      </c>
      <c r="BC1046" s="430">
        <f>MONTH(PV_DATA[[#This Row],[ETA for New Ark update]])</f>
        <v>11</v>
      </c>
      <c r="BD1046" s="430">
        <f>IFERROR(_xlfn.ISOWEEKNUM(PV_DATA[[#This Row],[ETA for New Ark update]]),0)</f>
        <v>47</v>
      </c>
      <c r="BE1046" s="430">
        <f>_xlfn.XLOOKUP(PV_DATA[[#This Row],[New Ark SKU]],Table9[New Ark SKU],Table9[Total PCS per Pallet],,0)</f>
        <v>36</v>
      </c>
      <c r="BF1046" s="430">
        <f>_xlfn.XLOOKUP(PV_DATA[[#This Row],[New Ark SKU]],Table9[New Ark SKU],Table9[Total PCS per 40HQ Container],,0)</f>
        <v>864</v>
      </c>
      <c r="BG1046" s="430" t="str">
        <f>_xlfn.XLOOKUP(PV_DATA[[#This Row],[New Ark SKU]],Table9[New Ark SKU],Table9[Back Glass],,0)</f>
        <v>White glazing</v>
      </c>
      <c r="BH1046" s="430" t="str">
        <f>_xlfn.XLOOKUP(PV_DATA[[#This Row],[PORT DESTINATION]],Table12[PORT DESTINATION],Table12[Cosco Line],,0)</f>
        <v>AEU</v>
      </c>
    </row>
    <row r="1047" spans="1:60" s="430" customFormat="1" ht="10.5" hidden="1">
      <c r="A1047" s="941" t="s">
        <v>6757</v>
      </c>
      <c r="B1047" s="1052" t="s">
        <v>111</v>
      </c>
      <c r="C1047" s="462" t="str">
        <f>IFERROR(LEFT(PV_DATA[[#This Row],[TCL REFERENCE]],FIND(".",PV_DATA[[#This Row],[TCL REFERENCE]],1)-1),"Main Line")</f>
        <v>26Jun033</v>
      </c>
      <c r="D1047" s="935" t="s">
        <v>63</v>
      </c>
      <c r="E1047" s="462" t="s">
        <v>64</v>
      </c>
      <c r="F1047" s="935" t="str" cm="1">
        <f t="array" ref="F104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47" s="462" t="s">
        <v>402</v>
      </c>
      <c r="H1047" s="462" t="s">
        <v>67</v>
      </c>
      <c r="I1047" s="462" t="s">
        <v>689</v>
      </c>
      <c r="J1047" s="430" t="s">
        <v>96</v>
      </c>
      <c r="M1047" s="430" t="s">
        <v>68</v>
      </c>
      <c r="N1047" s="1053">
        <v>46209</v>
      </c>
      <c r="O1047" s="623" t="s">
        <v>70</v>
      </c>
      <c r="P1047" s="623" t="s">
        <v>5758</v>
      </c>
      <c r="Q1047" s="623" t="s">
        <v>1484</v>
      </c>
      <c r="R1047" s="430" t="str">
        <f>_xlfn.XLOOKUP(PV_DATA[[#This Row],[New Ark SKU]],Table9[New Ark SKU],Table9[Connector],,0)</f>
        <v>EVO2A</v>
      </c>
      <c r="S1047" s="433" t="str">
        <f>_xlfn.XLOOKUP(PV_DATA[[#This Row],[New Ark SKU]],Table9[New Ark SKU],Table9[Cable],,0)</f>
        <v>±1400mm</v>
      </c>
      <c r="T1047" s="964">
        <v>725</v>
      </c>
      <c r="U1047" s="1074">
        <v>2970</v>
      </c>
      <c r="V1047" s="965">
        <f>PV_DATA[[#This Row],[QUANTITY]]*PV_DATA[[#This Row],[WATT]]/1000000</f>
        <v>2.1532499999999999</v>
      </c>
      <c r="W1047" s="435">
        <f>PV_DATA[[#This Row],[QUANTITY]]/PV_DATA[[#This Row],[Qty/Pallet]]</f>
        <v>90</v>
      </c>
      <c r="X1047" s="1153">
        <f>PV_DATA[[#This Row],[QUANTITY]]/PV_DATA[[#This Row],[Qty/CT]]</f>
        <v>5</v>
      </c>
      <c r="Y1047" s="430" t="s">
        <v>6758</v>
      </c>
      <c r="Z1047" s="430" t="str">
        <f>IF(AN1047&lt;&gt;"","COMPLETED",IF(AK1047&lt;&gt;"","IN-TRANSIT",""))</f>
        <v>IN-TRANSIT</v>
      </c>
      <c r="AA1047" s="430" t="s">
        <v>5759</v>
      </c>
      <c r="AB1047" s="966">
        <v>46280</v>
      </c>
      <c r="AC1047" s="1154">
        <f>IF(PV_DATA[[#This Row],[Pick-Up Date]]&lt;&gt;"",_xlfn.ISOWEEKNUM(PV_DATA[[#This Row],[Pick-Up Date]]),"")</f>
        <v>38</v>
      </c>
      <c r="AD1047" s="623" t="s">
        <v>6759</v>
      </c>
      <c r="AE1047" s="623"/>
      <c r="AF1047" s="623" t="s">
        <v>122</v>
      </c>
      <c r="AG1047" s="623" t="s">
        <v>123</v>
      </c>
      <c r="AH1047" s="430" t="s">
        <v>105</v>
      </c>
      <c r="AI1047" s="966">
        <v>46279</v>
      </c>
      <c r="AJ1047" s="437">
        <v>46285</v>
      </c>
      <c r="AK1047" s="437">
        <v>46286</v>
      </c>
      <c r="AL1047" s="966">
        <v>46319</v>
      </c>
      <c r="AM1047" s="437">
        <v>46331</v>
      </c>
      <c r="AN1047" s="588"/>
      <c r="AP1047" s="430" t="s">
        <v>6760</v>
      </c>
      <c r="AQ1047" s="430" t="s">
        <v>161</v>
      </c>
      <c r="AR1047" s="430" t="s">
        <v>6761</v>
      </c>
      <c r="AS1047" s="430" t="s">
        <v>6762</v>
      </c>
      <c r="AT1047" s="430" t="s">
        <v>6762</v>
      </c>
      <c r="AW1047" s="437" cm="1">
        <f t="array" ref="AW104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46331</v>
      </c>
      <c r="AX104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47" s="437" t="str">
        <f>IF(ISERROR(PV_DATA[[#This Row],[New Ark PO status]]),"",_xlfn.XLOOKUP(PV_DATA[[#This Row],[SPTN-PVHK New Ark PO'#]],New_Ark_Data[Purchase order Number],New_Ark_Data[Estimated time of arrival],"",0))</f>
        <v/>
      </c>
      <c r="AZ1047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47" s="437">
        <f>IFERROR(PV_DATA[[#This Row],[ODP ETA Port]]+PV_DATA[[#This Row],[Customs/Leg3 Assumption]],"n/a")</f>
        <v>46338</v>
      </c>
      <c r="BB1047" s="433">
        <f>YEAR(PV_DATA[[#This Row],[ETA for New Ark update]])</f>
        <v>2026</v>
      </c>
      <c r="BC1047" s="430">
        <f>MONTH(PV_DATA[[#This Row],[ETA for New Ark update]])</f>
        <v>11</v>
      </c>
      <c r="BD1047" s="430">
        <f>IFERROR(_xlfn.ISOWEEKNUM(PV_DATA[[#This Row],[ETA for New Ark update]]),0)</f>
        <v>46</v>
      </c>
      <c r="BE1047" s="430">
        <f>_xlfn.XLOOKUP(PV_DATA[[#This Row],[New Ark SKU]],Table9[New Ark SKU],Table9[Total PCS per Pallet],,0)</f>
        <v>33</v>
      </c>
      <c r="BF1047" s="430">
        <f>_xlfn.XLOOKUP(PV_DATA[[#This Row],[New Ark SKU]],Table9[New Ark SKU],Table9[Total PCS per 40HQ Container],,0)</f>
        <v>594</v>
      </c>
      <c r="BG1047" s="430" t="str">
        <f>_xlfn.XLOOKUP(PV_DATA[[#This Row],[New Ark SKU]],Table9[New Ark SKU],Table9[Back Glass],,0)</f>
        <v>Transparent</v>
      </c>
      <c r="BH1047" s="610" t="str">
        <f>_xlfn.XLOOKUP(PV_DATA[[#This Row],[PORT DESTINATION]],Table12[PORT DESTINATION],Table12[Cosco Line],,0)</f>
        <v>AEU</v>
      </c>
    </row>
    <row r="1048" spans="1:60" s="430" customFormat="1" ht="10.5" hidden="1">
      <c r="A1048" s="462" t="s">
        <v>6763</v>
      </c>
      <c r="B1048" s="459" t="s">
        <v>111</v>
      </c>
      <c r="C1048" s="462" t="str">
        <f>IFERROR(LEFT(PV_DATA[[#This Row],[TCL REFERENCE]],FIND(".",PV_DATA[[#This Row],[TCL REFERENCE]],1)-1),"Main Line")</f>
        <v>26Jul009</v>
      </c>
      <c r="D1048" s="462" t="s">
        <v>63</v>
      </c>
      <c r="E1048" s="462" t="s">
        <v>64</v>
      </c>
      <c r="F1048" s="462" t="str" cm="1">
        <f t="array" ref="F104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48" s="462" t="s">
        <v>402</v>
      </c>
      <c r="H1048" s="462" t="s">
        <v>67</v>
      </c>
      <c r="I1048" s="462" t="s">
        <v>689</v>
      </c>
      <c r="J1048" s="430" t="s">
        <v>96</v>
      </c>
      <c r="M1048" s="430" t="s">
        <v>68</v>
      </c>
      <c r="N1048" s="432">
        <v>46251</v>
      </c>
      <c r="O1048" s="430" t="s">
        <v>5388</v>
      </c>
      <c r="P1048" s="430" t="s">
        <v>6687</v>
      </c>
      <c r="Q1048" s="430" t="s">
        <v>6688</v>
      </c>
      <c r="R1048" s="430" t="str">
        <f>_xlfn.XLOOKUP(PV_DATA[[#This Row],[New Ark SKU]],Table9[New Ark SKU],Table9[Connector],,0)</f>
        <v>EVO2A</v>
      </c>
      <c r="S1048" s="433" t="str">
        <f>_xlfn.XLOOKUP(PV_DATA[[#This Row],[New Ark SKU]],Table9[New Ark SKU],Table9[Cable],,0)</f>
        <v>±1200mm</v>
      </c>
      <c r="T1048" s="433">
        <v>475</v>
      </c>
      <c r="U1048" s="1062">
        <v>936</v>
      </c>
      <c r="V1048" s="434">
        <f>PV_DATA[[#This Row],[QUANTITY]]*PV_DATA[[#This Row],[WATT]]/1000000</f>
        <v>0.4446</v>
      </c>
      <c r="W1048" s="435">
        <f>PV_DATA[[#This Row],[QUANTITY]]/PV_DATA[[#This Row],[Qty/Pallet]]</f>
        <v>26</v>
      </c>
      <c r="X1048" s="1015">
        <f>PV_DATA[[#This Row],[QUANTITY]]/PV_DATA[[#This Row],[Qty/CT]]</f>
        <v>1</v>
      </c>
      <c r="Y1048" s="430" t="s">
        <v>4378</v>
      </c>
      <c r="Z1048" s="430" t="str">
        <f>IF(AN1048&lt;&gt;"","COMPLETED",IF(AK1048&lt;&gt;"","IN-TRANSIT",""))</f>
        <v>IN-TRANSIT</v>
      </c>
      <c r="AA1048" s="545">
        <v>46260</v>
      </c>
      <c r="AB1048" s="437">
        <v>46280</v>
      </c>
      <c r="AC1048" s="485">
        <f>IF(PV_DATA[[#This Row],[Pick-Up Date]]&lt;&gt;"",_xlfn.ISOWEEKNUM(PV_DATA[[#This Row],[Pick-Up Date]]),"")</f>
        <v>38</v>
      </c>
      <c r="AD1048" s="430" t="s">
        <v>6764</v>
      </c>
      <c r="AF1048" s="430" t="s">
        <v>122</v>
      </c>
      <c r="AG1048" s="430" t="s">
        <v>123</v>
      </c>
      <c r="AH1048" s="430" t="s">
        <v>105</v>
      </c>
      <c r="AI1048" s="966">
        <v>46279</v>
      </c>
      <c r="AJ1048" s="437">
        <v>46285</v>
      </c>
      <c r="AK1048" s="437">
        <v>46286</v>
      </c>
      <c r="AL1048" s="966">
        <v>46319</v>
      </c>
      <c r="AM1048" s="437">
        <v>46331</v>
      </c>
      <c r="AN1048" s="588" t="str">
        <f>IFERROR(IF(VLOOKUP(AT1048,Vessel!A:I,9,FALSE)=0,"",VLOOKUP(AT1048,Vessel!A:I,9,FALSE)),"")</f>
        <v/>
      </c>
      <c r="AP1048" s="430" t="s">
        <v>6760</v>
      </c>
      <c r="AQ1048" s="430" t="s">
        <v>161</v>
      </c>
      <c r="AR1048" s="430" t="s">
        <v>6761</v>
      </c>
      <c r="AS1048" s="430" t="s">
        <v>6762</v>
      </c>
      <c r="AT1048" s="430" t="s">
        <v>6765</v>
      </c>
      <c r="AU104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1048" s="437" cm="1">
        <f t="array" ref="AW104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46331</v>
      </c>
      <c r="AX104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48" s="437" t="str">
        <f>IF(ISERROR(PV_DATA[[#This Row],[New Ark PO status]]),"",_xlfn.XLOOKUP(PV_DATA[[#This Row],[SPTN-PVHK New Ark PO'#]],New_Ark_Data[Purchase order Number],New_Ark_Data[Estimated time of arrival],"",0))</f>
        <v/>
      </c>
      <c r="AZ1048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48" s="437">
        <f>IFERROR(PV_DATA[[#This Row],[ODP ETA Port]]+PV_DATA[[#This Row],[Customs/Leg3 Assumption]],"n/a")</f>
        <v>46338</v>
      </c>
      <c r="BB1048" s="433">
        <f>YEAR(PV_DATA[[#This Row],[ETA for New Ark update]])</f>
        <v>2026</v>
      </c>
      <c r="BC1048" s="430">
        <f>MONTH(PV_DATA[[#This Row],[ETA for New Ark update]])</f>
        <v>11</v>
      </c>
      <c r="BD1048" s="430">
        <f>IFERROR(_xlfn.ISOWEEKNUM(PV_DATA[[#This Row],[ETA for New Ark update]]),0)</f>
        <v>46</v>
      </c>
      <c r="BE1048" s="430">
        <f>_xlfn.XLOOKUP(PV_DATA[[#This Row],[New Ark SKU]],Table9[New Ark SKU],Table9[Total PCS per Pallet],,0)</f>
        <v>36</v>
      </c>
      <c r="BF1048" s="430">
        <f>_xlfn.XLOOKUP(PV_DATA[[#This Row],[New Ark SKU]],Table9[New Ark SKU],Table9[Total PCS per 40HQ Container],,0)</f>
        <v>936</v>
      </c>
      <c r="BG1048" s="430" t="str">
        <f>_xlfn.XLOOKUP(PV_DATA[[#This Row],[New Ark SKU]],Table9[New Ark SKU],Table9[Back Glass],,0)</f>
        <v>Black glazing</v>
      </c>
      <c r="BH1048" s="430" t="str">
        <f>_xlfn.XLOOKUP(PV_DATA[[#This Row],[PORT DESTINATION]],Table12[PORT DESTINATION],Table12[Cosco Line],,0)</f>
        <v>AEU</v>
      </c>
    </row>
    <row r="1049" spans="1:60" s="430" customFormat="1" ht="10.5" hidden="1">
      <c r="A1049" s="729" t="s">
        <v>6766</v>
      </c>
      <c r="B1049" s="459" t="s">
        <v>111</v>
      </c>
      <c r="C1049" s="462" t="str">
        <f>IFERROR(LEFT(PV_DATA[[#This Row],[TCL REFERENCE]],FIND(".",PV_DATA[[#This Row],[TCL REFERENCE]],1)-1),"Main Line")</f>
        <v>26Aug020</v>
      </c>
      <c r="D1049" s="462" t="s">
        <v>63</v>
      </c>
      <c r="E1049" s="462" t="s">
        <v>64</v>
      </c>
      <c r="F1049" s="462" t="str" cm="1">
        <f t="array" ref="F104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49" s="462" t="s">
        <v>402</v>
      </c>
      <c r="H1049" s="462" t="s">
        <v>67</v>
      </c>
      <c r="I1049" s="462" t="s">
        <v>689</v>
      </c>
      <c r="J1049" s="430" t="s">
        <v>96</v>
      </c>
      <c r="M1049" s="430" t="s">
        <v>6325</v>
      </c>
      <c r="N1049" s="432">
        <v>46238</v>
      </c>
      <c r="O1049" s="430" t="s">
        <v>132</v>
      </c>
      <c r="P1049" s="430" t="s">
        <v>1062</v>
      </c>
      <c r="Q1049" s="430" t="s">
        <v>1063</v>
      </c>
      <c r="R1049" s="430" t="str">
        <f>_xlfn.XLOOKUP(PV_DATA[[#This Row],[New Ark SKU]],Table9[New Ark SKU],Table9[Connector],,0)</f>
        <v>EVO2A</v>
      </c>
      <c r="S1049" s="433" t="str">
        <f>_xlfn.XLOOKUP(PV_DATA[[#This Row],[New Ark SKU]],Table9[New Ark SKU],Table9[Cable],,0)</f>
        <v>±1200mm</v>
      </c>
      <c r="T1049" s="433">
        <v>470</v>
      </c>
      <c r="U1049" s="1062">
        <f>864*4</f>
        <v>3456</v>
      </c>
      <c r="V1049" s="434">
        <f>PV_DATA[[#This Row],[QUANTITY]]*PV_DATA[[#This Row],[WATT]]/1000000</f>
        <v>1.62432</v>
      </c>
      <c r="W1049" s="435">
        <f>PV_DATA[[#This Row],[QUANTITY]]/PV_DATA[[#This Row],[Qty/Pallet]]</f>
        <v>96</v>
      </c>
      <c r="X1049" s="1015">
        <f>PV_DATA[[#This Row],[QUANTITY]]/PV_DATA[[#This Row],[Qty/CT]]</f>
        <v>4</v>
      </c>
      <c r="Y1049" s="430" t="s">
        <v>4379</v>
      </c>
      <c r="AA1049" s="430" t="s">
        <v>5862</v>
      </c>
      <c r="AB1049" s="437">
        <v>46280</v>
      </c>
      <c r="AC1049" s="438"/>
      <c r="AD1049" s="462" t="s">
        <v>6767</v>
      </c>
      <c r="AF1049" s="430" t="s">
        <v>122</v>
      </c>
      <c r="AG1049" s="430" t="s">
        <v>123</v>
      </c>
      <c r="AH1049" s="430" t="s">
        <v>105</v>
      </c>
      <c r="AI1049" s="966">
        <v>46279</v>
      </c>
      <c r="AJ1049" s="437">
        <v>46285</v>
      </c>
      <c r="AK1049" s="437">
        <v>46286</v>
      </c>
      <c r="AL1049" s="966">
        <v>46319</v>
      </c>
      <c r="AM1049" s="437">
        <v>46331</v>
      </c>
      <c r="AN1049" s="437"/>
      <c r="AP1049" s="430" t="s">
        <v>6760</v>
      </c>
      <c r="AQ1049" s="430" t="s">
        <v>161</v>
      </c>
      <c r="AR1049" s="623" t="s">
        <v>6761</v>
      </c>
      <c r="AS1049" s="430" t="s">
        <v>6762</v>
      </c>
      <c r="AT1049" s="430" t="s">
        <v>6765</v>
      </c>
      <c r="AU104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</v>
      </c>
      <c r="AW1049" s="437" cm="1">
        <f t="array" ref="AW104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46331</v>
      </c>
      <c r="AX104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49" s="437" t="str">
        <f>IF(ISERROR(PV_DATA[[#This Row],[New Ark PO status]]),"",_xlfn.XLOOKUP(PV_DATA[[#This Row],[SPTN-PVHK New Ark PO'#]],New_Ark_Data[Purchase order Number],New_Ark_Data[Estimated time of arrival],"",0))</f>
        <v/>
      </c>
      <c r="AZ1049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49" s="437">
        <f>IFERROR(PV_DATA[[#This Row],[ODP ETA Port]]+PV_DATA[[#This Row],[Customs/Leg3 Assumption]],"n/a")</f>
        <v>46338</v>
      </c>
      <c r="BB1049" s="433">
        <f>YEAR(PV_DATA[[#This Row],[ETA for New Ark update]])</f>
        <v>2026</v>
      </c>
      <c r="BC1049" s="430">
        <f>MONTH(PV_DATA[[#This Row],[ETA for New Ark update]])</f>
        <v>11</v>
      </c>
      <c r="BD1049" s="430">
        <f>IFERROR(_xlfn.ISOWEEKNUM(PV_DATA[[#This Row],[ETA for New Ark update]]),0)</f>
        <v>46</v>
      </c>
      <c r="BE1049" s="430">
        <f>_xlfn.XLOOKUP(PV_DATA[[#This Row],[New Ark SKU]],Table9[New Ark SKU],Table9[Total PCS per Pallet],,0)</f>
        <v>36</v>
      </c>
      <c r="BF1049" s="430">
        <f>_xlfn.XLOOKUP(PV_DATA[[#This Row],[New Ark SKU]],Table9[New Ark SKU],Table9[Total PCS per 40HQ Container],,0)</f>
        <v>864</v>
      </c>
      <c r="BG1049" s="430" t="str">
        <f>_xlfn.XLOOKUP(PV_DATA[[#This Row],[New Ark SKU]],Table9[New Ark SKU],Table9[Back Glass],,0)</f>
        <v>White glazing</v>
      </c>
      <c r="BH1049" s="430" t="str">
        <f>_xlfn.XLOOKUP(PV_DATA[[#This Row],[PORT DESTINATION]],Table12[PORT DESTINATION],Table12[Cosco Line],,0)</f>
        <v>AEU</v>
      </c>
    </row>
    <row r="1050" spans="1:60" s="430" customFormat="1" ht="10.5" hidden="1">
      <c r="A1050" s="729" t="s">
        <v>6768</v>
      </c>
      <c r="B1050" s="462" t="s">
        <v>111</v>
      </c>
      <c r="C1050" s="462" t="str">
        <f>IFERROR(LEFT(PV_DATA[[#This Row],[TCL REFERENCE]],FIND(".",PV_DATA[[#This Row],[TCL REFERENCE]],1)-1),"Main Line")</f>
        <v>26Aug002</v>
      </c>
      <c r="D1050" s="462" t="s">
        <v>63</v>
      </c>
      <c r="E1050" s="462" t="s">
        <v>64</v>
      </c>
      <c r="F1050" s="462" t="str" cm="1">
        <f t="array" ref="F105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50" s="462" t="s">
        <v>402</v>
      </c>
      <c r="H1050" s="462" t="s">
        <v>67</v>
      </c>
      <c r="I1050" s="462" t="s">
        <v>689</v>
      </c>
      <c r="J1050" s="430" t="s">
        <v>96</v>
      </c>
      <c r="M1050" s="430" t="s">
        <v>6545</v>
      </c>
      <c r="N1050" s="432">
        <v>46215</v>
      </c>
      <c r="O1050" s="430" t="s">
        <v>550</v>
      </c>
      <c r="P1050" s="430" t="s">
        <v>2134</v>
      </c>
      <c r="Q1050" s="430" t="s">
        <v>2135</v>
      </c>
      <c r="R1050" s="430" t="str">
        <f>_xlfn.XLOOKUP(PV_DATA[[#This Row],[New Ark SKU]],Table9[New Ark SKU],Table9[Connector],,0)</f>
        <v>EVO2A</v>
      </c>
      <c r="S1050" s="433" t="str">
        <f>_xlfn.XLOOKUP(PV_DATA[[#This Row],[New Ark SKU]],Table9[New Ark SKU],Table9[Cable],,0)</f>
        <v>±1350mm</v>
      </c>
      <c r="T1050" s="433">
        <v>515</v>
      </c>
      <c r="U1050" s="1062">
        <v>1584</v>
      </c>
      <c r="V1050" s="434">
        <f>PV_DATA[[#This Row],[QUANTITY]]*PV_DATA[[#This Row],[WATT]]/1000000</f>
        <v>0.81576000000000004</v>
      </c>
      <c r="W1050" s="435">
        <f>PV_DATA[[#This Row],[QUANTITY]]/PV_DATA[[#This Row],[Qty/Pallet]]</f>
        <v>44</v>
      </c>
      <c r="X1050" s="1015">
        <f>PV_DATA[[#This Row],[QUANTITY]]/PV_DATA[[#This Row],[Qty/CT]]</f>
        <v>2</v>
      </c>
      <c r="Y1050" s="430" t="s">
        <v>4379</v>
      </c>
      <c r="Z1050" s="430" t="str">
        <f t="shared" ref="Z1050:Z1059" si="19">IF(AN1050&lt;&gt;"","COMPLETED",IF(AK1050&lt;&gt;"","IN-TRANSIT",""))</f>
        <v>IN-TRANSIT</v>
      </c>
      <c r="AA1050" s="623" t="s">
        <v>5862</v>
      </c>
      <c r="AB1050" s="437">
        <v>46274</v>
      </c>
      <c r="AC1050" s="485">
        <f>IF(PV_DATA[[#This Row],[Pick-Up Date]]&lt;&gt;"",_xlfn.ISOWEEKNUM(PV_DATA[[#This Row],[Pick-Up Date]]),"")</f>
        <v>37</v>
      </c>
      <c r="AD1050" s="430" t="s">
        <v>6769</v>
      </c>
      <c r="AF1050" s="430" t="s">
        <v>122</v>
      </c>
      <c r="AG1050" s="430" t="s">
        <v>123</v>
      </c>
      <c r="AH1050" s="430" t="s">
        <v>105</v>
      </c>
      <c r="AI1050" s="966">
        <v>46279</v>
      </c>
      <c r="AJ1050" s="966">
        <f>IFERROR(VLOOKUP(AT1050, Vessel!A:D, 4, FALSE), "")</f>
        <v>46286.4375</v>
      </c>
      <c r="AK1050" s="437">
        <f>IFERROR(IF(VLOOKUP(AT1050,Vessel!A:F,5,FALSE)=0,"",VLOOKUP(AT1050,Vessel!A:F,5,FALSE)),"")</f>
        <v>46286.452141203707</v>
      </c>
      <c r="AL1050" s="966">
        <v>46319</v>
      </c>
      <c r="AM1050" s="1194">
        <f>IFERROR(VLOOKUP(AT1050, Vessel!A:H, 8, FALSE), "")</f>
        <v>46333.625</v>
      </c>
      <c r="AN1050" s="939" t="str">
        <f>IFERROR(IF(VLOOKUP(AT1050,Vessel!A:I,9,FALSE)=0,"",VLOOKUP(AT1050,Vessel!A:I,9,FALSE)),"")</f>
        <v/>
      </c>
      <c r="AP1050" s="430" t="s">
        <v>6770</v>
      </c>
      <c r="AQ1050" s="430" t="s">
        <v>80</v>
      </c>
      <c r="AR1050" s="430" t="s">
        <v>6771</v>
      </c>
      <c r="AS1050" s="430" t="s">
        <v>6772</v>
      </c>
      <c r="AT1050" s="430" t="s">
        <v>6772</v>
      </c>
      <c r="AU105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47.17285879629344</v>
      </c>
      <c r="AW1050" s="437" cm="1">
        <f t="array" ref="AW105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46333.625</v>
      </c>
      <c r="AX105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50" s="437" t="str">
        <f>IF(ISERROR(PV_DATA[[#This Row],[New Ark PO status]]),"",_xlfn.XLOOKUP(PV_DATA[[#This Row],[SPTN-PVHK New Ark PO'#]],New_Ark_Data[Purchase order Number],New_Ark_Data[Estimated time of arrival],"",0))</f>
        <v/>
      </c>
      <c r="AZ1050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50" s="437">
        <f>IFERROR(PV_DATA[[#This Row],[ODP ETA Port]]+PV_DATA[[#This Row],[Customs/Leg3 Assumption]],"n/a")</f>
        <v>46340.625</v>
      </c>
      <c r="BB1050" s="433" t="s">
        <v>6545</v>
      </c>
      <c r="BC1050" s="433" t="s">
        <v>6545</v>
      </c>
      <c r="BD1050" s="430">
        <f>IFERROR(_xlfn.ISOWEEKNUM(PV_DATA[[#This Row],[ETA for New Ark update]]),0)</f>
        <v>46</v>
      </c>
      <c r="BE1050" s="430">
        <f>_xlfn.XLOOKUP(PV_DATA[[#This Row],[New Ark SKU]],Table9[New Ark SKU],Table9[Total PCS per Pallet],,0)</f>
        <v>36</v>
      </c>
      <c r="BF1050" s="430">
        <f>_xlfn.XLOOKUP(PV_DATA[[#This Row],[New Ark SKU]],Table9[New Ark SKU],Table9[Total PCS per 40HQ Container],,0)</f>
        <v>792</v>
      </c>
      <c r="BG1050" s="430" t="str">
        <f>_xlfn.XLOOKUP(PV_DATA[[#This Row],[New Ark SKU]],Table9[New Ark SKU],Table9[Back Glass],,0)</f>
        <v>Black glazing</v>
      </c>
      <c r="BH1050" s="610" t="str">
        <f>_xlfn.XLOOKUP(PV_DATA[[#This Row],[PORT DESTINATION]],Table12[PORT DESTINATION],Table12[Cosco Line],,0)</f>
        <v>AEU</v>
      </c>
    </row>
    <row r="1051" spans="1:60" s="430" customFormat="1" ht="10.5" hidden="1">
      <c r="A1051" s="941" t="s">
        <v>6773</v>
      </c>
      <c r="B1051" s="935" t="s">
        <v>111</v>
      </c>
      <c r="C1051" s="462" t="str">
        <f>IFERROR(LEFT(PV_DATA[[#This Row],[TCL REFERENCE]],FIND(".",PV_DATA[[#This Row],[TCL REFERENCE]],1)-1),"Main Line")</f>
        <v>26Jun033</v>
      </c>
      <c r="D1051" s="935" t="s">
        <v>63</v>
      </c>
      <c r="E1051" s="462" t="s">
        <v>64</v>
      </c>
      <c r="F1051" s="935" t="str" cm="1">
        <f t="array" ref="F105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51" s="462" t="s">
        <v>402</v>
      </c>
      <c r="H1051" s="462" t="s">
        <v>67</v>
      </c>
      <c r="I1051" s="462" t="s">
        <v>689</v>
      </c>
      <c r="J1051" s="430" t="s">
        <v>96</v>
      </c>
      <c r="L1051" s="623"/>
      <c r="M1051" s="430" t="s">
        <v>68</v>
      </c>
      <c r="N1051" s="1053">
        <v>46209</v>
      </c>
      <c r="O1051" s="623" t="s">
        <v>70</v>
      </c>
      <c r="P1051" s="623" t="s">
        <v>5758</v>
      </c>
      <c r="Q1051" s="623" t="s">
        <v>1484</v>
      </c>
      <c r="R1051" s="430" t="str">
        <f>_xlfn.XLOOKUP(PV_DATA[[#This Row],[New Ark SKU]],Table9[New Ark SKU],Table9[Connector],,0)</f>
        <v>EVO2A</v>
      </c>
      <c r="S1051" s="433" t="str">
        <f>_xlfn.XLOOKUP(PV_DATA[[#This Row],[New Ark SKU]],Table9[New Ark SKU],Table9[Cable],,0)</f>
        <v>±1400mm</v>
      </c>
      <c r="T1051" s="964">
        <v>725</v>
      </c>
      <c r="U1051" s="1074">
        <v>1782</v>
      </c>
      <c r="V1051" s="965">
        <f>PV_DATA[[#This Row],[QUANTITY]]*PV_DATA[[#This Row],[WATT]]/1000000</f>
        <v>1.2919499999999999</v>
      </c>
      <c r="W1051" s="435">
        <f>PV_DATA[[#This Row],[QUANTITY]]/PV_DATA[[#This Row],[Qty/Pallet]]</f>
        <v>54</v>
      </c>
      <c r="X1051" s="1153">
        <f>PV_DATA[[#This Row],[QUANTITY]]/PV_DATA[[#This Row],[Qty/CT]]</f>
        <v>3</v>
      </c>
      <c r="Y1051" s="430" t="s">
        <v>6758</v>
      </c>
      <c r="Z1051" s="430" t="str">
        <f t="shared" si="19"/>
        <v>IN-TRANSIT</v>
      </c>
      <c r="AA1051" s="430" t="s">
        <v>5759</v>
      </c>
      <c r="AB1051" s="966">
        <v>46274</v>
      </c>
      <c r="AC1051" s="1154">
        <f>IF(PV_DATA[[#This Row],[Pick-Up Date]]&lt;&gt;"",_xlfn.ISOWEEKNUM(PV_DATA[[#This Row],[Pick-Up Date]]),"")</f>
        <v>37</v>
      </c>
      <c r="AD1051" s="623" t="s">
        <v>6774</v>
      </c>
      <c r="AE1051" s="623"/>
      <c r="AF1051" s="623" t="s">
        <v>122</v>
      </c>
      <c r="AG1051" s="623" t="s">
        <v>123</v>
      </c>
      <c r="AH1051" s="430" t="s">
        <v>105</v>
      </c>
      <c r="AI1051" s="966">
        <v>46279</v>
      </c>
      <c r="AJ1051" s="966">
        <f>IFERROR(VLOOKUP(AT1051, Vessel!A:D, 4, FALSE), "")</f>
        <v>46286.4375</v>
      </c>
      <c r="AK1051" s="437">
        <f>IFERROR(IF(VLOOKUP(AT1051,Vessel!A:F,5,FALSE)=0,"",VLOOKUP(AT1051,Vessel!A:F,5,FALSE)),"")</f>
        <v>46286.452141203707</v>
      </c>
      <c r="AL1051" s="966">
        <v>46319</v>
      </c>
      <c r="AM1051" s="939">
        <f>IFERROR(VLOOKUP(AT1051, Vessel!A:H, 8, FALSE), "")</f>
        <v>46333.625</v>
      </c>
      <c r="AN1051" s="939" t="str">
        <f>IFERROR(IF(VLOOKUP(AT1051,Vessel!A:I,9,FALSE)=0,"",VLOOKUP(AT1051,Vessel!A:I,9,FALSE)),"")</f>
        <v/>
      </c>
      <c r="AO1051" s="623"/>
      <c r="AP1051" s="430" t="s">
        <v>6770</v>
      </c>
      <c r="AQ1051" s="430" t="s">
        <v>80</v>
      </c>
      <c r="AR1051" s="623" t="s">
        <v>6771</v>
      </c>
      <c r="AS1051" s="430" t="s">
        <v>6772</v>
      </c>
      <c r="AT1051" s="430" t="s">
        <v>6772</v>
      </c>
      <c r="AU105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47.17285879629344</v>
      </c>
      <c r="AV1051" s="623"/>
      <c r="AW1051" s="966" cm="1">
        <f t="array" ref="AW105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46333.625</v>
      </c>
      <c r="AX105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51" s="966" t="str">
        <f>IF(ISERROR(PV_DATA[[#This Row],[New Ark PO status]]),"",_xlfn.XLOOKUP(PV_DATA[[#This Row],[SPTN-PVHK New Ark PO'#]],New_Ark_Data[Purchase order Number],New_Ark_Data[Estimated time of arrival],"",0))</f>
        <v/>
      </c>
      <c r="AZ1051" s="964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51" s="966">
        <f>IFERROR(PV_DATA[[#This Row],[ODP ETA Port]]+PV_DATA[[#This Row],[Customs/Leg3 Assumption]],"n/a")</f>
        <v>46340.625</v>
      </c>
      <c r="BB1051" s="964">
        <f>YEAR(PV_DATA[[#This Row],[ETA for New Ark update]])</f>
        <v>2026</v>
      </c>
      <c r="BC1051" s="623">
        <f>MONTH(PV_DATA[[#This Row],[ETA for New Ark update]])</f>
        <v>11</v>
      </c>
      <c r="BD1051" s="623">
        <f>IFERROR(_xlfn.ISOWEEKNUM(PV_DATA[[#This Row],[ETA for New Ark update]]),0)</f>
        <v>46</v>
      </c>
      <c r="BE1051" s="623">
        <f>_xlfn.XLOOKUP(PV_DATA[[#This Row],[New Ark SKU]],Table9[New Ark SKU],Table9[Total PCS per Pallet],,0)</f>
        <v>33</v>
      </c>
      <c r="BF1051" s="623">
        <f>_xlfn.XLOOKUP(PV_DATA[[#This Row],[New Ark SKU]],Table9[New Ark SKU],Table9[Total PCS per 40HQ Container],,0)</f>
        <v>594</v>
      </c>
      <c r="BG1051" s="623" t="str">
        <f>_xlfn.XLOOKUP(PV_DATA[[#This Row],[New Ark SKU]],Table9[New Ark SKU],Table9[Back Glass],,0)</f>
        <v>Transparent</v>
      </c>
      <c r="BH1051" s="967" t="str">
        <f>_xlfn.XLOOKUP(PV_DATA[[#This Row],[PORT DESTINATION]],Table12[PORT DESTINATION],Table12[Cosco Line],,0)</f>
        <v>AEU</v>
      </c>
    </row>
    <row r="1052" spans="1:60" s="430" customFormat="1" ht="10.5" hidden="1">
      <c r="A1052" s="462" t="s">
        <v>6775</v>
      </c>
      <c r="B1052" s="462" t="s">
        <v>111</v>
      </c>
      <c r="C1052" s="462" t="str">
        <f>IFERROR(LEFT(PV_DATA[[#This Row],[TCL REFERENCE]],FIND(".",PV_DATA[[#This Row],[TCL REFERENCE]],1)-1),"Main Line")</f>
        <v>26Jul009</v>
      </c>
      <c r="D1052" s="462" t="s">
        <v>63</v>
      </c>
      <c r="E1052" s="462" t="s">
        <v>64</v>
      </c>
      <c r="F1052" s="462" t="str" cm="1">
        <f t="array" ref="F105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52" s="462" t="s">
        <v>402</v>
      </c>
      <c r="H1052" s="462" t="s">
        <v>67</v>
      </c>
      <c r="I1052" s="462" t="s">
        <v>689</v>
      </c>
      <c r="J1052" s="430" t="s">
        <v>96</v>
      </c>
      <c r="M1052" s="430" t="s">
        <v>68</v>
      </c>
      <c r="N1052" s="432">
        <v>46251</v>
      </c>
      <c r="O1052" s="430" t="s">
        <v>5388</v>
      </c>
      <c r="P1052" s="430" t="s">
        <v>6687</v>
      </c>
      <c r="Q1052" s="430" t="s">
        <v>6688</v>
      </c>
      <c r="R1052" s="430" t="str">
        <f>_xlfn.XLOOKUP(PV_DATA[[#This Row],[New Ark SKU]],Table9[New Ark SKU],Table9[Connector],,0)</f>
        <v>EVO2A</v>
      </c>
      <c r="S1052" s="433" t="str">
        <f>_xlfn.XLOOKUP(PV_DATA[[#This Row],[New Ark SKU]],Table9[New Ark SKU],Table9[Cable],,0)</f>
        <v>±1200mm</v>
      </c>
      <c r="T1052" s="433">
        <v>475</v>
      </c>
      <c r="U1052" s="1062">
        <v>1872</v>
      </c>
      <c r="V1052" s="434">
        <f>PV_DATA[[#This Row],[QUANTITY]]*PV_DATA[[#This Row],[WATT]]/1000000</f>
        <v>0.88919999999999999</v>
      </c>
      <c r="W1052" s="435">
        <f>PV_DATA[[#This Row],[QUANTITY]]/PV_DATA[[#This Row],[Qty/Pallet]]</f>
        <v>52</v>
      </c>
      <c r="X1052" s="1015">
        <f>PV_DATA[[#This Row],[QUANTITY]]/PV_DATA[[#This Row],[Qty/CT]]</f>
        <v>2</v>
      </c>
      <c r="Y1052" s="430" t="s">
        <v>4378</v>
      </c>
      <c r="Z1052" s="430" t="str">
        <f t="shared" si="19"/>
        <v>IN-TRANSIT</v>
      </c>
      <c r="AA1052" s="545">
        <v>46260</v>
      </c>
      <c r="AB1052" s="437">
        <v>46271</v>
      </c>
      <c r="AC1052" s="485">
        <f>IF(PV_DATA[[#This Row],[Pick-Up Date]]&lt;&gt;"",_xlfn.ISOWEEKNUM(PV_DATA[[#This Row],[Pick-Up Date]]),"")</f>
        <v>36</v>
      </c>
      <c r="AD1052" s="430" t="s">
        <v>6776</v>
      </c>
      <c r="AF1052" s="430" t="s">
        <v>122</v>
      </c>
      <c r="AG1052" s="430" t="s">
        <v>123</v>
      </c>
      <c r="AH1052" s="430" t="s">
        <v>105</v>
      </c>
      <c r="AI1052" s="437">
        <v>46277</v>
      </c>
      <c r="AJ1052" s="966">
        <f>IFERROR(VLOOKUP(AT1052, Vessel!A:D, 4, FALSE), "")</f>
        <v>46282.395833333336</v>
      </c>
      <c r="AK1052" s="437">
        <f>IFERROR(IF(VLOOKUP(AT1052,Vessel!A:F,5,FALSE)=0,"",VLOOKUP(AT1052,Vessel!A:F,5,FALSE)),"")</f>
        <v>46282.285486111112</v>
      </c>
      <c r="AL1052" s="437">
        <v>46326</v>
      </c>
      <c r="AM1052" s="939">
        <f>IFERROR(VLOOKUP(AT1052, Vessel!A:H, 8, FALSE), "")</f>
        <v>46324.791666666664</v>
      </c>
      <c r="AN1052" s="939" t="str">
        <f>IFERROR(IF(VLOOKUP(AT1052,Vessel!A:I,9,FALSE)=0,"",VLOOKUP(AT1052,Vessel!A:I,9,FALSE)),"")</f>
        <v/>
      </c>
      <c r="AP1052" s="430" t="s">
        <v>6777</v>
      </c>
      <c r="AQ1052" s="430" t="s">
        <v>80</v>
      </c>
      <c r="AR1052" s="430" t="s">
        <v>6778</v>
      </c>
      <c r="AS1052" s="430" t="s">
        <v>6779</v>
      </c>
      <c r="AT1052" s="430" t="s">
        <v>6779</v>
      </c>
      <c r="AU105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42.506180555552419</v>
      </c>
      <c r="AW1052" s="437" cm="1">
        <f t="array" ref="AW105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46324.791666666664</v>
      </c>
      <c r="AX105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52" s="437" t="str">
        <f>IF(ISERROR(PV_DATA[[#This Row],[New Ark PO status]]),"",_xlfn.XLOOKUP(PV_DATA[[#This Row],[SPTN-PVHK New Ark PO'#]],New_Ark_Data[Purchase order Number],New_Ark_Data[Estimated time of arrival],"",0))</f>
        <v/>
      </c>
      <c r="AZ1052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52" s="437">
        <f>IFERROR(PV_DATA[[#This Row],[ODP ETA Port]]+PV_DATA[[#This Row],[Customs/Leg3 Assumption]],"n/a")</f>
        <v>46331.791666666664</v>
      </c>
      <c r="BB1052" s="433">
        <f>YEAR(PV_DATA[[#This Row],[ETA for New Ark update]])</f>
        <v>2026</v>
      </c>
      <c r="BC1052" s="430">
        <f>MONTH(PV_DATA[[#This Row],[ETA for New Ark update]])</f>
        <v>11</v>
      </c>
      <c r="BD1052" s="430">
        <f>IFERROR(_xlfn.ISOWEEKNUM(PV_DATA[[#This Row],[ETA for New Ark update]]),0)</f>
        <v>45</v>
      </c>
      <c r="BE1052" s="430">
        <f>_xlfn.XLOOKUP(PV_DATA[[#This Row],[New Ark SKU]],Table9[New Ark SKU],Table9[Total PCS per Pallet],,0)</f>
        <v>36</v>
      </c>
      <c r="BF1052" s="430">
        <f>_xlfn.XLOOKUP(PV_DATA[[#This Row],[New Ark SKU]],Table9[New Ark SKU],Table9[Total PCS per 40HQ Container],,0)</f>
        <v>936</v>
      </c>
      <c r="BG1052" s="430" t="str">
        <f>_xlfn.XLOOKUP(PV_DATA[[#This Row],[New Ark SKU]],Table9[New Ark SKU],Table9[Back Glass],,0)</f>
        <v>Black glazing</v>
      </c>
      <c r="BH1052" s="430" t="str">
        <f>_xlfn.XLOOKUP(PV_DATA[[#This Row],[PORT DESTINATION]],Table12[PORT DESTINATION],Table12[Cosco Line],,0)</f>
        <v>AEU</v>
      </c>
    </row>
    <row r="1053" spans="1:60" s="430" customFormat="1" ht="10.5" hidden="1">
      <c r="A1053" s="462" t="s">
        <v>6780</v>
      </c>
      <c r="B1053" s="462" t="s">
        <v>111</v>
      </c>
      <c r="C1053" s="462" t="str">
        <f>IFERROR(LEFT(PV_DATA[[#This Row],[TCL REFERENCE]],FIND(".",PV_DATA[[#This Row],[TCL REFERENCE]],1)-1),"Main Line")</f>
        <v>26Jul020</v>
      </c>
      <c r="D1053" s="462" t="s">
        <v>63</v>
      </c>
      <c r="E1053" s="462" t="s">
        <v>64</v>
      </c>
      <c r="F1053" s="462" t="str" cm="1">
        <f t="array" ref="F105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53" s="462" t="s">
        <v>402</v>
      </c>
      <c r="H1053" s="462" t="s">
        <v>67</v>
      </c>
      <c r="I1053" s="462" t="s">
        <v>689</v>
      </c>
      <c r="J1053" s="430" t="s">
        <v>96</v>
      </c>
      <c r="M1053" s="430" t="s">
        <v>68</v>
      </c>
      <c r="N1053" s="432">
        <v>46251</v>
      </c>
      <c r="O1053" s="430" t="s">
        <v>5388</v>
      </c>
      <c r="P1053" s="430" t="s">
        <v>6781</v>
      </c>
      <c r="Q1053" s="430" t="s">
        <v>6782</v>
      </c>
      <c r="R1053" s="430" t="str">
        <f>_xlfn.XLOOKUP(PV_DATA[[#This Row],[New Ark SKU]],Table9[New Ark SKU],Table9[Connector],,0)</f>
        <v>EVO2A</v>
      </c>
      <c r="S1053" s="433" t="str">
        <f>_xlfn.XLOOKUP(PV_DATA[[#This Row],[New Ark SKU]],Table9[New Ark SKU],Table9[Cable],,0)</f>
        <v>±1200mm</v>
      </c>
      <c r="T1053" s="433">
        <v>480</v>
      </c>
      <c r="U1053" s="1062">
        <f>936*6</f>
        <v>5616</v>
      </c>
      <c r="V1053" s="434">
        <f>PV_DATA[[#This Row],[QUANTITY]]*PV_DATA[[#This Row],[WATT]]/1000000</f>
        <v>2.6956799999999999</v>
      </c>
      <c r="W1053" s="435">
        <f>PV_DATA[[#This Row],[QUANTITY]]/PV_DATA[[#This Row],[Qty/Pallet]]</f>
        <v>156</v>
      </c>
      <c r="X1053" s="1015">
        <f>PV_DATA[[#This Row],[QUANTITY]]/PV_DATA[[#This Row],[Qty/CT]]</f>
        <v>6</v>
      </c>
      <c r="Y1053" s="430" t="s">
        <v>4378</v>
      </c>
      <c r="Z1053" s="430" t="str">
        <f t="shared" si="19"/>
        <v>IN-TRANSIT</v>
      </c>
      <c r="AA1053" s="545">
        <v>46260</v>
      </c>
      <c r="AB1053" s="437">
        <v>46271</v>
      </c>
      <c r="AC1053" s="485">
        <f>IF(PV_DATA[[#This Row],[Pick-Up Date]]&lt;&gt;"",_xlfn.ISOWEEKNUM(PV_DATA[[#This Row],[Pick-Up Date]]),"")</f>
        <v>36</v>
      </c>
      <c r="AD1053" s="430" t="s">
        <v>6783</v>
      </c>
      <c r="AF1053" s="430" t="s">
        <v>122</v>
      </c>
      <c r="AG1053" s="430" t="s">
        <v>123</v>
      </c>
      <c r="AH1053" s="430" t="s">
        <v>105</v>
      </c>
      <c r="AI1053" s="437">
        <v>46277</v>
      </c>
      <c r="AJ1053" s="437">
        <f>IFERROR(VLOOKUP(AT1053, Vessel!A:D, 4, FALSE), "")</f>
        <v>46282.395833333336</v>
      </c>
      <c r="AK1053" s="437">
        <f>IFERROR(IF(VLOOKUP(AT1053,Vessel!A:F,5,FALSE)=0,"",VLOOKUP(AT1053,Vessel!A:F,5,FALSE)),"")</f>
        <v>46282.285486111112</v>
      </c>
      <c r="AL1053" s="437">
        <v>46326</v>
      </c>
      <c r="AM1053" s="939">
        <f>IFERROR(VLOOKUP(AT1053, Vessel!A:H, 8, FALSE), "")</f>
        <v>46324.791666666664</v>
      </c>
      <c r="AN1053" s="939" t="str">
        <f>IFERROR(IF(VLOOKUP(AT1053,Vessel!A:I,9,FALSE)=0,"",VLOOKUP(AT1053,Vessel!A:I,9,FALSE)),"")</f>
        <v/>
      </c>
      <c r="AP1053" s="430" t="s">
        <v>6777</v>
      </c>
      <c r="AQ1053" s="430" t="s">
        <v>80</v>
      </c>
      <c r="AR1053" s="430" t="s">
        <v>6778</v>
      </c>
      <c r="AS1053" s="430" t="s">
        <v>6779</v>
      </c>
      <c r="AT1053" s="430" t="s">
        <v>6779</v>
      </c>
      <c r="AU105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42.506180555552419</v>
      </c>
      <c r="AW1053" s="437" cm="1">
        <f t="array" ref="AW105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46324.791666666664</v>
      </c>
      <c r="AX105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53" s="437" t="str">
        <f>IF(ISERROR(PV_DATA[[#This Row],[New Ark PO status]]),"",_xlfn.XLOOKUP(PV_DATA[[#This Row],[SPTN-PVHK New Ark PO'#]],New_Ark_Data[Purchase order Number],New_Ark_Data[Estimated time of arrival],"",0))</f>
        <v/>
      </c>
      <c r="AZ1053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53" s="437">
        <f>IFERROR(PV_DATA[[#This Row],[ODP ETA Port]]+PV_DATA[[#This Row],[Customs/Leg3 Assumption]],"n/a")</f>
        <v>46331.791666666664</v>
      </c>
      <c r="BB1053" s="433">
        <f>YEAR(PV_DATA[[#This Row],[ETA for New Ark update]])</f>
        <v>2026</v>
      </c>
      <c r="BC1053" s="430">
        <f>MONTH(PV_DATA[[#This Row],[ETA for New Ark update]])</f>
        <v>11</v>
      </c>
      <c r="BD1053" s="430">
        <f>IFERROR(_xlfn.ISOWEEKNUM(PV_DATA[[#This Row],[ETA for New Ark update]]),0)</f>
        <v>45</v>
      </c>
      <c r="BE1053" s="430">
        <f>_xlfn.XLOOKUP(PV_DATA[[#This Row],[New Ark SKU]],Table9[New Ark SKU],Table9[Total PCS per Pallet],,0)</f>
        <v>36</v>
      </c>
      <c r="BF1053" s="430">
        <f>_xlfn.XLOOKUP(PV_DATA[[#This Row],[New Ark SKU]],Table9[New Ark SKU],Table9[Total PCS per 40HQ Container],,0)</f>
        <v>936</v>
      </c>
      <c r="BG1053" s="430" t="str">
        <f>_xlfn.XLOOKUP(PV_DATA[[#This Row],[New Ark SKU]],Table9[New Ark SKU],Table9[Back Glass],,0)</f>
        <v>Black glazing</v>
      </c>
      <c r="BH1053" s="430" t="str">
        <f>_xlfn.XLOOKUP(PV_DATA[[#This Row],[PORT DESTINATION]],Table12[PORT DESTINATION],Table12[Cosco Line],,0)</f>
        <v>AEU</v>
      </c>
    </row>
    <row r="1054" spans="1:60" s="430" customFormat="1" ht="13.5" hidden="1" customHeight="1">
      <c r="A1054" s="729" t="s">
        <v>6784</v>
      </c>
      <c r="B1054" s="459" t="s">
        <v>111</v>
      </c>
      <c r="C1054" s="462" t="str">
        <f>IFERROR(LEFT(PV_DATA[[#This Row],[TCL REFERENCE]],FIND(".",PV_DATA[[#This Row],[TCL REFERENCE]],1)-1),"Main Line")</f>
        <v>26Aug009</v>
      </c>
      <c r="D1054" s="935" t="s">
        <v>113</v>
      </c>
      <c r="E1054" s="462" t="s">
        <v>144</v>
      </c>
      <c r="F1054" s="462" t="str" cm="1">
        <f t="array" ref="F105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54" s="462" t="s">
        <v>402</v>
      </c>
      <c r="H1054" s="462" t="s">
        <v>670</v>
      </c>
      <c r="I1054" s="462" t="s">
        <v>6244</v>
      </c>
      <c r="J1054" s="462" t="s">
        <v>670</v>
      </c>
      <c r="K1054" s="430" t="s">
        <v>5901</v>
      </c>
      <c r="L1054" s="430">
        <v>8</v>
      </c>
      <c r="M1054" s="430" t="s">
        <v>4976</v>
      </c>
      <c r="N1054" s="432"/>
      <c r="O1054" s="430" t="s">
        <v>4540</v>
      </c>
      <c r="P1054" s="430" t="s">
        <v>6492</v>
      </c>
      <c r="Q1054" s="430" t="s">
        <v>103</v>
      </c>
      <c r="R1054" s="430" t="str">
        <f>_xlfn.XLOOKUP(PV_DATA[[#This Row],[New Ark SKU]],Table9[New Ark SKU],Table9[Connector],,0)</f>
        <v>H4(Com)</v>
      </c>
      <c r="S1054" s="433" t="str">
        <f>_xlfn.XLOOKUP(PV_DATA[[#This Row],[New Ark SKU]],Table9[New Ark SKU],Table9[Cable],,0)</f>
        <v>+400mm/-200mm</v>
      </c>
      <c r="T1054" s="433">
        <v>620</v>
      </c>
      <c r="U1054" s="1062">
        <v>7920</v>
      </c>
      <c r="V1054" s="434">
        <f>PV_DATA[[#This Row],[QUANTITY]]*PV_DATA[[#This Row],[WATT]]/1000000</f>
        <v>4.9104000000000001</v>
      </c>
      <c r="W1054" s="969">
        <f>PV_DATA[[#This Row],[QUANTITY]]/36</f>
        <v>220</v>
      </c>
      <c r="X1054" s="1015">
        <f>PV_DATA[[#This Row],[QUANTITY]]/PV_DATA[[#This Row],[Qty/CT]]</f>
        <v>11</v>
      </c>
      <c r="Y1054" s="430" t="s">
        <v>4379</v>
      </c>
      <c r="Z1054" s="430" t="str">
        <f t="shared" si="19"/>
        <v>IN-TRANSIT</v>
      </c>
      <c r="AA1054" s="430" t="s">
        <v>5862</v>
      </c>
      <c r="AB1054" s="437">
        <v>46277</v>
      </c>
      <c r="AC1054" s="485">
        <f>IF(PV_DATA[[#This Row],[Pick-Up Date]]&lt;&gt;"",_xlfn.ISOWEEKNUM(PV_DATA[[#This Row],[Pick-Up Date]]),"")</f>
        <v>37</v>
      </c>
      <c r="AD1054" s="430" t="s">
        <v>6785</v>
      </c>
      <c r="AF1054" s="430" t="s">
        <v>122</v>
      </c>
      <c r="AG1054" s="430" t="s">
        <v>122</v>
      </c>
      <c r="AH1054" s="430" t="s">
        <v>105</v>
      </c>
      <c r="AI1054" s="437">
        <v>46285</v>
      </c>
      <c r="AJ1054" s="437">
        <f>IFERROR(VLOOKUP(AT1054, Vessel!A:D, 4, FALSE), "")</f>
        <v>46281.625</v>
      </c>
      <c r="AK1054" s="437">
        <f>IFERROR(IF(VLOOKUP(AT1054,Vessel!A:F,5,FALSE)=0,"",VLOOKUP(AT1054,Vessel!A:F,5,FALSE)),"")</f>
        <v>46281.637303240743</v>
      </c>
      <c r="AL1054" s="437">
        <v>46321</v>
      </c>
      <c r="AM1054" s="939">
        <f>IFERROR(VLOOKUP(AT1054, Vessel!A:H, 8, FALSE), "")</f>
        <v>46327.166666666664</v>
      </c>
      <c r="AN1054" s="939" t="str">
        <f>IFERROR(IF(VLOOKUP(AT1054,Vessel!A:I,9,FALSE)=0,"",VLOOKUP(AT1054,Vessel!A:I,9,FALSE)),"")</f>
        <v/>
      </c>
      <c r="AP1054" s="430" t="s">
        <v>6712</v>
      </c>
      <c r="AQ1054" s="438" t="s">
        <v>80</v>
      </c>
      <c r="AR1054" s="430" t="s">
        <v>6786</v>
      </c>
      <c r="AS1054" s="430" t="s">
        <v>6787</v>
      </c>
      <c r="AT1054" s="430" t="s">
        <v>6787</v>
      </c>
      <c r="AW1054" s="437" cm="1">
        <f t="array" ref="AW105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46327.166666666664</v>
      </c>
      <c r="AX105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54" s="437" t="str">
        <f>IF(ISERROR(PV_DATA[[#This Row],[New Ark PO status]]),"",_xlfn.XLOOKUP(PV_DATA[[#This Row],[SPTN-PVHK New Ark PO'#]],New_Ark_Data[Purchase order Number],New_Ark_Data[Estimated time of arrival],"",0))</f>
        <v/>
      </c>
      <c r="AZ1054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54" s="437">
        <f>IFERROR(PV_DATA[[#This Row],[ODP ETA Port]]+PV_DATA[[#This Row],[Customs/Leg3 Assumption]],"n/a")</f>
        <v>46327.166666666664</v>
      </c>
      <c r="BB1054" s="433">
        <f>YEAR(PV_DATA[[#This Row],[ETA for New Ark update]])</f>
        <v>2026</v>
      </c>
      <c r="BC1054" s="430">
        <f>MONTH(PV_DATA[[#This Row],[ETA for New Ark update]])</f>
        <v>11</v>
      </c>
      <c r="BD1054" s="430">
        <f>IFERROR(_xlfn.ISOWEEKNUM(PV_DATA[[#This Row],[ETA for New Ark update]]),0)</f>
        <v>44</v>
      </c>
      <c r="BE1054" s="430">
        <f>_xlfn.XLOOKUP(PV_DATA[[#This Row],[New Ark SKU]],Table9[New Ark SKU],Table9[Total PCS per Pallet],,0)</f>
        <v>36</v>
      </c>
      <c r="BF1054" s="430">
        <f>_xlfn.XLOOKUP(PV_DATA[[#This Row],[New Ark SKU]],Table9[New Ark SKU],Table9[Total PCS per 40HQ Container],,0)</f>
        <v>720</v>
      </c>
      <c r="BG1054" s="430" t="str">
        <f>_xlfn.XLOOKUP(PV_DATA[[#This Row],[New Ark SKU]],Table9[New Ark SKU],Table9[Back Glass],,0)</f>
        <v>Redirection Film</v>
      </c>
      <c r="BH1054" s="610" t="str">
        <f>_xlfn.XLOOKUP(PV_DATA[[#This Row],[PORT DESTINATION]],Table12[PORT DESTINATION],Table12[Cosco Line],,0)</f>
        <v>AEU</v>
      </c>
    </row>
    <row r="1055" spans="1:60" s="430" customFormat="1" ht="13.5" hidden="1" customHeight="1">
      <c r="A1055" s="729" t="s">
        <v>6788</v>
      </c>
      <c r="B1055" s="459" t="s">
        <v>111</v>
      </c>
      <c r="C1055" s="462" t="str">
        <f>IFERROR(LEFT(PV_DATA[[#This Row],[TCL REFERENCE]],FIND(".",PV_DATA[[#This Row],[TCL REFERENCE]],1)-1),"Main Line")</f>
        <v>26Aug009</v>
      </c>
      <c r="D1055" s="935" t="s">
        <v>113</v>
      </c>
      <c r="E1055" s="462" t="s">
        <v>144</v>
      </c>
      <c r="F1055" s="462" t="str" cm="1">
        <f t="array" ref="F105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55" s="462" t="s">
        <v>402</v>
      </c>
      <c r="H1055" s="462" t="s">
        <v>670</v>
      </c>
      <c r="I1055" s="462" t="s">
        <v>6244</v>
      </c>
      <c r="J1055" s="462" t="s">
        <v>670</v>
      </c>
      <c r="K1055" s="430" t="s">
        <v>5901</v>
      </c>
      <c r="L1055" s="430">
        <v>7</v>
      </c>
      <c r="M1055" s="430" t="s">
        <v>4976</v>
      </c>
      <c r="N1055" s="432"/>
      <c r="O1055" s="430" t="s">
        <v>4540</v>
      </c>
      <c r="P1055" s="430" t="s">
        <v>6492</v>
      </c>
      <c r="Q1055" s="430" t="s">
        <v>103</v>
      </c>
      <c r="R1055" s="430" t="str">
        <f>_xlfn.XLOOKUP(PV_DATA[[#This Row],[New Ark SKU]],Table9[New Ark SKU],Table9[Connector],,0)</f>
        <v>H4(Com)</v>
      </c>
      <c r="S1055" s="433" t="str">
        <f>_xlfn.XLOOKUP(PV_DATA[[#This Row],[New Ark SKU]],Table9[New Ark SKU],Table9[Cable],,0)</f>
        <v>+400mm/-200mm</v>
      </c>
      <c r="T1055" s="433">
        <v>620</v>
      </c>
      <c r="U1055" s="1062">
        <v>2880</v>
      </c>
      <c r="V1055" s="434">
        <f>PV_DATA[[#This Row],[QUANTITY]]*PV_DATA[[#This Row],[WATT]]/1000000</f>
        <v>1.7856000000000001</v>
      </c>
      <c r="W1055" s="969">
        <f>PV_DATA[[#This Row],[QUANTITY]]/36</f>
        <v>80</v>
      </c>
      <c r="X1055" s="1015">
        <f>PV_DATA[[#This Row],[QUANTITY]]/PV_DATA[[#This Row],[Qty/CT]]</f>
        <v>4</v>
      </c>
      <c r="Y1055" s="430" t="s">
        <v>4379</v>
      </c>
      <c r="Z1055" s="430" t="str">
        <f t="shared" si="19"/>
        <v>IN-TRANSIT</v>
      </c>
      <c r="AA1055" s="430" t="s">
        <v>5862</v>
      </c>
      <c r="AB1055" s="437">
        <v>46281</v>
      </c>
      <c r="AC1055" s="485">
        <f>IF(PV_DATA[[#This Row],[Pick-Up Date]]&lt;&gt;"",_xlfn.ISOWEEKNUM(PV_DATA[[#This Row],[Pick-Up Date]]),"")</f>
        <v>38</v>
      </c>
      <c r="AD1055" s="430" t="s">
        <v>6789</v>
      </c>
      <c r="AF1055" s="430" t="s">
        <v>122</v>
      </c>
      <c r="AG1055" s="430" t="s">
        <v>122</v>
      </c>
      <c r="AH1055" s="430" t="s">
        <v>105</v>
      </c>
      <c r="AI1055" s="437">
        <v>46284</v>
      </c>
      <c r="AJ1055" s="437">
        <v>46285</v>
      </c>
      <c r="AK1055" s="437">
        <v>46285</v>
      </c>
      <c r="AL1055" s="437">
        <v>46316</v>
      </c>
      <c r="AM1055" s="437">
        <v>46333</v>
      </c>
      <c r="AN1055" s="588"/>
      <c r="AP1055" s="430" t="s">
        <v>6770</v>
      </c>
      <c r="AQ1055" s="430" t="s">
        <v>161</v>
      </c>
      <c r="AR1055" s="430" t="s">
        <v>6790</v>
      </c>
      <c r="AS1055" s="430" t="s">
        <v>6791</v>
      </c>
      <c r="AT1055" s="430" t="s">
        <v>6791</v>
      </c>
      <c r="AU105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</v>
      </c>
      <c r="AW1055" s="437" cm="1">
        <f t="array" ref="AW105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46333</v>
      </c>
      <c r="AX105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55" s="437" t="str">
        <f>IF(ISERROR(PV_DATA[[#This Row],[New Ark PO status]]),"",_xlfn.XLOOKUP(PV_DATA[[#This Row],[SPTN-PVHK New Ark PO'#]],New_Ark_Data[Purchase order Number],New_Ark_Data[Estimated time of arrival],"",0))</f>
        <v/>
      </c>
      <c r="AZ1055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55" s="437">
        <f>IFERROR(PV_DATA[[#This Row],[ODP ETA Port]]+PV_DATA[[#This Row],[Customs/Leg3 Assumption]],"n/a")</f>
        <v>46333</v>
      </c>
      <c r="BB1055" s="433">
        <f>YEAR(PV_DATA[[#This Row],[ETA for New Ark update]])</f>
        <v>2026</v>
      </c>
      <c r="BC1055" s="430">
        <f>MONTH(PV_DATA[[#This Row],[ETA for New Ark update]])</f>
        <v>11</v>
      </c>
      <c r="BD1055" s="430">
        <f>IFERROR(_xlfn.ISOWEEKNUM(PV_DATA[[#This Row],[ETA for New Ark update]]),0)</f>
        <v>45</v>
      </c>
      <c r="BE1055" s="430">
        <f>_xlfn.XLOOKUP(PV_DATA[[#This Row],[New Ark SKU]],Table9[New Ark SKU],Table9[Total PCS per Pallet],,0)</f>
        <v>36</v>
      </c>
      <c r="BF1055" s="430">
        <f>_xlfn.XLOOKUP(PV_DATA[[#This Row],[New Ark SKU]],Table9[New Ark SKU],Table9[Total PCS per 40HQ Container],,0)</f>
        <v>720</v>
      </c>
      <c r="BG1055" s="430" t="str">
        <f>_xlfn.XLOOKUP(PV_DATA[[#This Row],[New Ark SKU]],Table9[New Ark SKU],Table9[Back Glass],,0)</f>
        <v>Redirection Film</v>
      </c>
      <c r="BH1055" s="610" t="str">
        <f>_xlfn.XLOOKUP(PV_DATA[[#This Row],[PORT DESTINATION]],Table12[PORT DESTINATION],Table12[Cosco Line],,0)</f>
        <v>AEU</v>
      </c>
    </row>
    <row r="1056" spans="1:60" s="430" customFormat="1" ht="10.5" hidden="1">
      <c r="A1056" s="941" t="s">
        <v>6792</v>
      </c>
      <c r="B1056" s="1052" t="s">
        <v>111</v>
      </c>
      <c r="C1056" s="462" t="str">
        <f>IFERROR(LEFT(PV_DATA[[#This Row],[TCL REFERENCE]],FIND(".",PV_DATA[[#This Row],[TCL REFERENCE]],1)-1),"Main Line")</f>
        <v>26Aug025</v>
      </c>
      <c r="D1056" s="935" t="s">
        <v>113</v>
      </c>
      <c r="E1056" s="462" t="s">
        <v>144</v>
      </c>
      <c r="F1056" s="935" t="str" cm="1">
        <f t="array" ref="F1056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56" s="462" t="s">
        <v>402</v>
      </c>
      <c r="H1056" s="462" t="s">
        <v>670</v>
      </c>
      <c r="I1056" s="462" t="s">
        <v>1395</v>
      </c>
      <c r="J1056" s="462" t="s">
        <v>670</v>
      </c>
      <c r="K1056" s="430" t="s">
        <v>6276</v>
      </c>
      <c r="L1056" s="623">
        <v>19</v>
      </c>
      <c r="M1056" s="430" t="s">
        <v>4976</v>
      </c>
      <c r="N1056" s="1053"/>
      <c r="O1056" s="623" t="s">
        <v>4540</v>
      </c>
      <c r="P1056" s="623" t="s">
        <v>6470</v>
      </c>
      <c r="Q1056" s="623" t="s">
        <v>4607</v>
      </c>
      <c r="R1056" s="430" t="str">
        <f>_xlfn.XLOOKUP(PV_DATA[[#This Row],[New Ark SKU]],Table9[New Ark SKU],Table9[Connector],,0)</f>
        <v>H4(Com)</v>
      </c>
      <c r="S1056" s="433" t="str">
        <f>_xlfn.XLOOKUP(PV_DATA[[#This Row],[New Ark SKU]],Table9[New Ark SKU],Table9[Cable],,0)</f>
        <v>+400mm/-200mm</v>
      </c>
      <c r="T1056" s="964">
        <v>630</v>
      </c>
      <c r="U1056" s="1074">
        <v>4320</v>
      </c>
      <c r="V1056" s="965">
        <f>PV_DATA[[#This Row],[QUANTITY]]*PV_DATA[[#This Row],[WATT]]/1000000</f>
        <v>2.7216</v>
      </c>
      <c r="W1056" s="435">
        <f>PV_DATA[[#This Row],[QUANTITY]]/36</f>
        <v>120</v>
      </c>
      <c r="X1056" s="1153">
        <f>PV_DATA[[#This Row],[QUANTITY]]/PV_DATA[[#This Row],[Qty/CT]]</f>
        <v>6</v>
      </c>
      <c r="Y1056" s="430" t="s">
        <v>4380</v>
      </c>
      <c r="Z1056" s="430" t="str">
        <f t="shared" si="19"/>
        <v>IN-TRANSIT</v>
      </c>
      <c r="AA1056" s="430" t="s">
        <v>5862</v>
      </c>
      <c r="AB1056" s="966">
        <v>46281</v>
      </c>
      <c r="AC1056" s="1154">
        <f>IF(PV_DATA[[#This Row],[Pick-Up Date]]&lt;&gt;"",_xlfn.ISOWEEKNUM(PV_DATA[[#This Row],[Pick-Up Date]]),"")</f>
        <v>38</v>
      </c>
      <c r="AD1056" s="623" t="s">
        <v>6793</v>
      </c>
      <c r="AE1056" s="623"/>
      <c r="AF1056" s="623" t="s">
        <v>122</v>
      </c>
      <c r="AG1056" s="623" t="s">
        <v>122</v>
      </c>
      <c r="AH1056" s="430" t="s">
        <v>105</v>
      </c>
      <c r="AI1056" s="437">
        <v>46284</v>
      </c>
      <c r="AJ1056" s="437">
        <v>46285</v>
      </c>
      <c r="AK1056" s="437">
        <v>46285</v>
      </c>
      <c r="AL1056" s="966">
        <v>46316</v>
      </c>
      <c r="AM1056" s="437">
        <v>46333</v>
      </c>
      <c r="AN1056" s="588"/>
      <c r="AO1056" s="623"/>
      <c r="AP1056" s="623" t="s">
        <v>6770</v>
      </c>
      <c r="AQ1056" s="430" t="s">
        <v>161</v>
      </c>
      <c r="AR1056" s="430" t="s">
        <v>6790</v>
      </c>
      <c r="AS1056" s="430" t="s">
        <v>6791</v>
      </c>
      <c r="AT1056" s="430" t="s">
        <v>6791</v>
      </c>
      <c r="AU105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</v>
      </c>
      <c r="AV1056" s="623"/>
      <c r="AW1056" s="966" cm="1">
        <f t="array" ref="AW105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46333</v>
      </c>
      <c r="AX105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56" s="966" t="str">
        <f>IF(ISERROR(PV_DATA[[#This Row],[New Ark PO status]]),"",_xlfn.XLOOKUP(PV_DATA[[#This Row],[SPTN-PVHK New Ark PO'#]],New_Ark_Data[Purchase order Number],New_Ark_Data[Estimated time of arrival],"",0))</f>
        <v/>
      </c>
      <c r="AZ1056" s="964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56" s="966">
        <f>IFERROR(PV_DATA[[#This Row],[ODP ETA Port]]+PV_DATA[[#This Row],[Customs/Leg3 Assumption]],"n/a")</f>
        <v>46333</v>
      </c>
      <c r="BB1056" s="964">
        <f>YEAR(PV_DATA[[#This Row],[ETA for New Ark update]])</f>
        <v>2026</v>
      </c>
      <c r="BC1056" s="623">
        <f>MONTH(PV_DATA[[#This Row],[ETA for New Ark update]])</f>
        <v>11</v>
      </c>
      <c r="BD1056" s="623">
        <f>IFERROR(_xlfn.ISOWEEKNUM(PV_DATA[[#This Row],[ETA for New Ark update]]),0)</f>
        <v>45</v>
      </c>
      <c r="BE1056" s="623">
        <f>_xlfn.XLOOKUP(PV_DATA[[#This Row],[New Ark SKU]],Table9[New Ark SKU],Table9[Total PCS per Pallet],,0)</f>
        <v>36</v>
      </c>
      <c r="BF1056" s="623">
        <f>_xlfn.XLOOKUP(PV_DATA[[#This Row],[New Ark SKU]],Table9[New Ark SKU],Table9[Total PCS per 40HQ Container],,0)</f>
        <v>720</v>
      </c>
      <c r="BG1056" s="623" t="str">
        <f>_xlfn.XLOOKUP(PV_DATA[[#This Row],[New Ark SKU]],Table9[New Ark SKU],Table9[Back Glass],,0)</f>
        <v>Redirection Film</v>
      </c>
      <c r="BH1056" s="967" t="str">
        <f>_xlfn.XLOOKUP(PV_DATA[[#This Row],[PORT DESTINATION]],Table12[PORT DESTINATION],Table12[Cosco Line],,0)</f>
        <v>AEU</v>
      </c>
    </row>
    <row r="1057" spans="1:60" s="430" customFormat="1" ht="10.5" hidden="1">
      <c r="A1057" s="462" t="s">
        <v>6794</v>
      </c>
      <c r="B1057" s="459" t="s">
        <v>6670</v>
      </c>
      <c r="C1057" s="462" t="str">
        <f>IFERROR(LEFT(PV_DATA[[#This Row],[TCL REFERENCE]],FIND(".",PV_DATA[[#This Row],[TCL REFERENCE]],1)-1),"Main Line")</f>
        <v>26Aug006</v>
      </c>
      <c r="D1057" s="462" t="s">
        <v>63</v>
      </c>
      <c r="E1057" s="462" t="s">
        <v>64</v>
      </c>
      <c r="F1057" s="462" t="str" cm="1">
        <f t="array" ref="F105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057" s="462" t="s">
        <v>402</v>
      </c>
      <c r="H1057" s="462" t="s">
        <v>67</v>
      </c>
      <c r="I1057" s="462" t="s">
        <v>882</v>
      </c>
      <c r="J1057" s="430" t="s">
        <v>96</v>
      </c>
      <c r="M1057" s="430" t="s">
        <v>6325</v>
      </c>
      <c r="N1057" s="432">
        <v>46258</v>
      </c>
      <c r="O1057" s="430" t="s">
        <v>4540</v>
      </c>
      <c r="P1057" s="430" t="s">
        <v>691</v>
      </c>
      <c r="Q1057" s="430" t="s">
        <v>692</v>
      </c>
      <c r="R1057" s="430" t="str">
        <f>_xlfn.XLOOKUP(PV_DATA[[#This Row],[New Ark SKU]],Table9[New Ark SKU],Table9[Connector],,0)</f>
        <v>EVO2A</v>
      </c>
      <c r="S1057" s="433" t="str">
        <f>_xlfn.XLOOKUP(PV_DATA[[#This Row],[New Ark SKU]],Table9[New Ark SKU],Table9[Cable],,0)</f>
        <v>±1200mm</v>
      </c>
      <c r="T1057" s="433">
        <v>505</v>
      </c>
      <c r="U1057" s="1062">
        <f>2592+1728</f>
        <v>4320</v>
      </c>
      <c r="V1057" s="434">
        <f>PV_DATA[[#This Row],[QUANTITY]]*PV_DATA[[#This Row],[WATT]]/1000000</f>
        <v>2.1816</v>
      </c>
      <c r="W1057" s="435">
        <f>PV_DATA[[#This Row],[QUANTITY]]/PV_DATA[[#This Row],[Qty/Pallet]]</f>
        <v>120</v>
      </c>
      <c r="X1057" s="1015">
        <f>PV_DATA[[#This Row],[QUANTITY]]/PV_DATA[[#This Row],[Qty/CT]]</f>
        <v>5</v>
      </c>
      <c r="Y1057" s="430" t="s">
        <v>4377</v>
      </c>
      <c r="Z1057" s="430" t="str">
        <f t="shared" si="19"/>
        <v>IN-TRANSIT</v>
      </c>
      <c r="AA1057" s="545">
        <v>46276</v>
      </c>
      <c r="AB1057" s="437">
        <v>46276</v>
      </c>
      <c r="AC1057" s="485">
        <f>IF(PV_DATA[[#This Row],[Pick-Up Date]]&lt;&gt;"",_xlfn.ISOWEEKNUM(PV_DATA[[#This Row],[Pick-Up Date]]),"")</f>
        <v>37</v>
      </c>
      <c r="AD1057" s="430" t="s">
        <v>6795</v>
      </c>
      <c r="AF1057" s="430" t="s">
        <v>123</v>
      </c>
      <c r="AG1057" s="430" t="s">
        <v>123</v>
      </c>
      <c r="AH1057" s="430" t="s">
        <v>78</v>
      </c>
      <c r="AI1057" s="437">
        <v>46282</v>
      </c>
      <c r="AJ1057" s="437">
        <f>IFERROR(VLOOKUP(AT1057, Vessel!A:D, 4, FALSE), "")</f>
        <v>46279.6875</v>
      </c>
      <c r="AK1057" s="437">
        <f>IFERROR(IF(VLOOKUP(AT1057,Vessel!A:F,5,FALSE)=0,"",VLOOKUP(AT1057,Vessel!A:F,5,FALSE)),"")</f>
        <v>46279.699814814812</v>
      </c>
      <c r="AL1057" s="437">
        <v>46323</v>
      </c>
      <c r="AM1057" s="939">
        <f>IFERROR(VLOOKUP(AT1057, Vessel!A:H, 8, FALSE), "")</f>
        <v>46325.833333333336</v>
      </c>
      <c r="AN1057" s="939" t="str">
        <f>IFERROR(IF(VLOOKUP(AT1057,Vessel!A:I,9,FALSE)=0,"",VLOOKUP(AT1057,Vessel!A:I,9,FALSE)),"")</f>
        <v/>
      </c>
      <c r="AP1057" s="430" t="s">
        <v>6796</v>
      </c>
      <c r="AQ1057" s="438" t="s">
        <v>80</v>
      </c>
      <c r="AR1057" s="430" t="s">
        <v>6797</v>
      </c>
      <c r="AS1057" s="430" t="s">
        <v>6798</v>
      </c>
      <c r="AT1057" s="430" t="s">
        <v>6798</v>
      </c>
      <c r="AU105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46.133518518523488</v>
      </c>
      <c r="AW1057" s="437" cm="1">
        <f t="array" ref="AW105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46325.833333333336</v>
      </c>
      <c r="AX105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57" s="437" t="str">
        <f>IF(ISERROR(PV_DATA[[#This Row],[New Ark PO status]]),"",_xlfn.XLOOKUP(PV_DATA[[#This Row],[SPTN-PVHK New Ark PO'#]],New_Ark_Data[Purchase order Number],New_Ark_Data[Estimated time of arrival],"",0))</f>
        <v/>
      </c>
      <c r="AZ1057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057" s="437">
        <f>IFERROR(PV_DATA[[#This Row],[ODP ETA Port]]+PV_DATA[[#This Row],[Customs/Leg3 Assumption]],"n/a")</f>
        <v>46333.833333333336</v>
      </c>
      <c r="BB1057" s="433">
        <f>YEAR(PV_DATA[[#This Row],[ETA for New Ark update]])</f>
        <v>2026</v>
      </c>
      <c r="BC1057" s="430">
        <f>MONTH(PV_DATA[[#This Row],[ETA for New Ark update]])</f>
        <v>11</v>
      </c>
      <c r="BD1057" s="430">
        <f>IFERROR(_xlfn.ISOWEEKNUM(PV_DATA[[#This Row],[ETA for New Ark update]]),0)</f>
        <v>45</v>
      </c>
      <c r="BE1057" s="430">
        <f>_xlfn.XLOOKUP(PV_DATA[[#This Row],[New Ark SKU]],Table9[New Ark SKU],Table9[Total PCS per Pallet],,0)</f>
        <v>36</v>
      </c>
      <c r="BF1057" s="430">
        <f>_xlfn.XLOOKUP(PV_DATA[[#This Row],[New Ark SKU]],Table9[New Ark SKU],Table9[Total PCS per 40HQ Container],,0)</f>
        <v>864</v>
      </c>
      <c r="BG1057" s="430" t="str">
        <f>_xlfn.XLOOKUP(PV_DATA[[#This Row],[New Ark SKU]],Table9[New Ark SKU],Table9[Back Glass],,0)</f>
        <v>Black glazing</v>
      </c>
      <c r="BH1057" s="430" t="str">
        <f>_xlfn.XLOOKUP(PV_DATA[[#This Row],[PORT DESTINATION]],Table12[PORT DESTINATION],Table12[Cosco Line],,0)</f>
        <v>AEM</v>
      </c>
    </row>
    <row r="1058" spans="1:60" s="430" customFormat="1" ht="10.5" hidden="1">
      <c r="A1058" s="941" t="s">
        <v>6799</v>
      </c>
      <c r="B1058" s="1052" t="s">
        <v>111</v>
      </c>
      <c r="C1058" s="462" t="str">
        <f>IFERROR(LEFT(PV_DATA[[#This Row],[TCL REFERENCE]],FIND(".",PV_DATA[[#This Row],[TCL REFERENCE]],1)-1),"Main Line")</f>
        <v>26Aug010</v>
      </c>
      <c r="D1058" s="935" t="s">
        <v>113</v>
      </c>
      <c r="E1058" s="462" t="s">
        <v>144</v>
      </c>
      <c r="F1058" s="935" t="str" cm="1">
        <f t="array" ref="F105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58" s="462" t="s">
        <v>402</v>
      </c>
      <c r="H1058" s="462" t="s">
        <v>6662</v>
      </c>
      <c r="I1058" s="462" t="s">
        <v>6663</v>
      </c>
      <c r="J1058" s="462" t="s">
        <v>6662</v>
      </c>
      <c r="K1058" s="623" t="s">
        <v>6664</v>
      </c>
      <c r="L1058" s="623">
        <v>2</v>
      </c>
      <c r="M1058" s="462" t="s">
        <v>6665</v>
      </c>
      <c r="N1058" s="1053"/>
      <c r="O1058" s="623" t="s">
        <v>4540</v>
      </c>
      <c r="P1058" s="623" t="s">
        <v>6245</v>
      </c>
      <c r="Q1058" s="623" t="s">
        <v>330</v>
      </c>
      <c r="R1058" s="430" t="str">
        <f>_xlfn.XLOOKUP(PV_DATA[[#This Row],[New Ark SKU]],Table9[New Ark SKU],Table9[Connector],,0)</f>
        <v>H4(Com)</v>
      </c>
      <c r="S1058" s="433" t="str">
        <f>_xlfn.XLOOKUP(PV_DATA[[#This Row],[New Ark SKU]],Table9[New Ark SKU],Table9[Cable],,0)</f>
        <v>+400mm/-200mm</v>
      </c>
      <c r="T1058" s="964">
        <v>625</v>
      </c>
      <c r="U1058" s="1062">
        <f>720*14</f>
        <v>10080</v>
      </c>
      <c r="V1058" s="965">
        <f>PV_DATA[[#This Row],[QUANTITY]]*PV_DATA[[#This Row],[WATT]]/1000000</f>
        <v>6.3</v>
      </c>
      <c r="W1058" s="435">
        <f>PV_DATA[[#This Row],[QUANTITY]]/36</f>
        <v>280</v>
      </c>
      <c r="X1058" s="1153">
        <f>PV_DATA[[#This Row],[QUANTITY]]/PV_DATA[[#This Row],[Qty/CT]]</f>
        <v>14</v>
      </c>
      <c r="Y1058" s="430" t="s">
        <v>6800</v>
      </c>
      <c r="Z1058" s="430" t="str">
        <f t="shared" si="19"/>
        <v>IN-TRANSIT</v>
      </c>
      <c r="AA1058" s="623"/>
      <c r="AB1058" s="966">
        <v>46280</v>
      </c>
      <c r="AC1058" s="1154">
        <f>IF(PV_DATA[[#This Row],[Pick-Up Date]]&lt;&gt;"",_xlfn.ISOWEEKNUM(PV_DATA[[#This Row],[Pick-Up Date]]),"")</f>
        <v>38</v>
      </c>
      <c r="AD1058" s="623" t="s">
        <v>6801</v>
      </c>
      <c r="AE1058" s="623"/>
      <c r="AF1058" s="623" t="s">
        <v>122</v>
      </c>
      <c r="AG1058" s="623" t="s">
        <v>122</v>
      </c>
      <c r="AH1058" s="430" t="s">
        <v>6519</v>
      </c>
      <c r="AI1058" s="966">
        <v>46280</v>
      </c>
      <c r="AJ1058" s="966">
        <v>46290</v>
      </c>
      <c r="AK1058" s="966">
        <v>46290</v>
      </c>
      <c r="AL1058" s="966">
        <v>46332</v>
      </c>
      <c r="AM1058" s="966"/>
      <c r="AN1058" s="588"/>
      <c r="AO1058" s="623"/>
      <c r="AP1058" s="623" t="s">
        <v>6802</v>
      </c>
      <c r="AQ1058" s="1044" t="s">
        <v>161</v>
      </c>
      <c r="AR1058" s="623" t="s">
        <v>6803</v>
      </c>
      <c r="AS1058" s="623" t="s">
        <v>6804</v>
      </c>
      <c r="AT1058" s="623" t="s">
        <v>6804</v>
      </c>
      <c r="AU105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</v>
      </c>
      <c r="AV1058" s="623"/>
      <c r="AW1058" s="966" cm="1">
        <f t="array" ref="AW105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46332</v>
      </c>
      <c r="AX105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58" s="966" t="str">
        <f>IF(ISERROR(PV_DATA[[#This Row],[New Ark PO status]]),"",_xlfn.XLOOKUP(PV_DATA[[#This Row],[SPTN-PVHK New Ark PO'#]],New_Ark_Data[Purchase order Number],New_Ark_Data[Estimated time of arrival],"",0))</f>
        <v/>
      </c>
      <c r="AZ1058" s="964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58" s="966">
        <f>IFERROR(PV_DATA[[#This Row],[ODP ETA Port]]+PV_DATA[[#This Row],[Customs/Leg3 Assumption]],"n/a")</f>
        <v>46332</v>
      </c>
      <c r="BB1058" s="433" t="s">
        <v>6325</v>
      </c>
      <c r="BC1058" s="433" t="s">
        <v>6325</v>
      </c>
      <c r="BD1058" s="623">
        <f>IFERROR(_xlfn.ISOWEEKNUM(PV_DATA[[#This Row],[ETA for New Ark update]]),0)</f>
        <v>45</v>
      </c>
      <c r="BE1058" s="623">
        <f>_xlfn.XLOOKUP(PV_DATA[[#This Row],[New Ark SKU]],Table9[New Ark SKU],Table9[Total PCS per Pallet],,0)</f>
        <v>36</v>
      </c>
      <c r="BF1058" s="623">
        <f>_xlfn.XLOOKUP(PV_DATA[[#This Row],[New Ark SKU]],Table9[New Ark SKU],Table9[Total PCS per 40HQ Container],,0)</f>
        <v>720</v>
      </c>
      <c r="BG1058" s="623" t="str">
        <f>_xlfn.XLOOKUP(PV_DATA[[#This Row],[New Ark SKU]],Table9[New Ark SKU],Table9[Back Glass],,0)</f>
        <v>Redirection Film</v>
      </c>
      <c r="BH1058" s="967" t="str">
        <f>_xlfn.XLOOKUP(PV_DATA[[#This Row],[PORT DESTINATION]],Table12[PORT DESTINATION],Table12[Cosco Line],,0)</f>
        <v>n/a</v>
      </c>
    </row>
    <row r="1059" spans="1:60" s="430" customFormat="1" ht="10.5" hidden="1">
      <c r="A1059" s="462" t="s">
        <v>6805</v>
      </c>
      <c r="B1059" s="459" t="s">
        <v>5783</v>
      </c>
      <c r="C1059" s="462" t="str">
        <f>IFERROR(LEFT(PV_DATA[[#This Row],[TCL REFERENCE]],FIND(".",PV_DATA[[#This Row],[TCL REFERENCE]],1)-1),"Main Line")</f>
        <v>26Jul006</v>
      </c>
      <c r="D1059" s="462" t="s">
        <v>63</v>
      </c>
      <c r="E1059" s="462" t="s">
        <v>64</v>
      </c>
      <c r="F1059" s="462" t="str" cm="1">
        <f t="array" ref="F105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59" s="462" t="s">
        <v>402</v>
      </c>
      <c r="H1059" s="462" t="s">
        <v>67</v>
      </c>
      <c r="I1059" s="462" t="s">
        <v>689</v>
      </c>
      <c r="J1059" s="430" t="s">
        <v>96</v>
      </c>
      <c r="M1059" s="430" t="s">
        <v>6325</v>
      </c>
      <c r="N1059" s="432">
        <v>46223</v>
      </c>
      <c r="O1059" s="430" t="s">
        <v>4540</v>
      </c>
      <c r="P1059" s="430" t="s">
        <v>965</v>
      </c>
      <c r="Q1059" s="430" t="s">
        <v>966</v>
      </c>
      <c r="R1059" s="430" t="str">
        <f>_xlfn.XLOOKUP(PV_DATA[[#This Row],[New Ark SKU]],Table9[New Ark SKU],Table9[Connector],,0)</f>
        <v>EVO2A</v>
      </c>
      <c r="S1059" s="433" t="str">
        <f>_xlfn.XLOOKUP(PV_DATA[[#This Row],[New Ark SKU]],Table9[New Ark SKU],Table9[Cable],,0)</f>
        <v>±1200mm</v>
      </c>
      <c r="T1059" s="433">
        <v>455</v>
      </c>
      <c r="U1059" s="1062">
        <f>936*4</f>
        <v>3744</v>
      </c>
      <c r="V1059" s="434">
        <f>PV_DATA[[#This Row],[QUANTITY]]*PV_DATA[[#This Row],[WATT]]/1000000</f>
        <v>1.7035199999999999</v>
      </c>
      <c r="W1059" s="435">
        <f>PV_DATA[[#This Row],[QUANTITY]]/PV_DATA[[#This Row],[Qty/Pallet]]</f>
        <v>104</v>
      </c>
      <c r="X1059" s="1015">
        <f>PV_DATA[[#This Row],[QUANTITY]]/PV_DATA[[#This Row],[Qty/CT]]</f>
        <v>4</v>
      </c>
      <c r="Y1059" s="430" t="s">
        <v>6758</v>
      </c>
      <c r="Z1059" s="430" t="str">
        <f t="shared" si="19"/>
        <v>IN-TRANSIT</v>
      </c>
      <c r="AA1059" s="430" t="s">
        <v>6122</v>
      </c>
      <c r="AB1059" s="437">
        <v>46281</v>
      </c>
      <c r="AC1059" s="485">
        <f>IF(PV_DATA[[#This Row],[Pick-Up Date]]&lt;&gt;"",_xlfn.ISOWEEKNUM(PV_DATA[[#This Row],[Pick-Up Date]]),"")</f>
        <v>38</v>
      </c>
      <c r="AD1059" s="430" t="s">
        <v>6806</v>
      </c>
      <c r="AF1059" s="459" t="s">
        <v>1525</v>
      </c>
      <c r="AG1059" s="459" t="s">
        <v>6003</v>
      </c>
      <c r="AH1059" s="430" t="s">
        <v>105</v>
      </c>
      <c r="AI1059" s="437">
        <v>46287</v>
      </c>
      <c r="AJ1059" s="437">
        <v>46285</v>
      </c>
      <c r="AK1059" s="437">
        <f>IFERROR(IF(VLOOKUP(AT1059,Vessel!A:F,5,FALSE)=0,"",VLOOKUP(AT1059,Vessel!A:F,5,FALSE)),"")</f>
        <v>46285.607071759259</v>
      </c>
      <c r="AL1059" s="437">
        <v>46319</v>
      </c>
      <c r="AM1059" s="939">
        <f>IFERROR(VLOOKUP(AT1059, Vessel!A:H, 8, FALSE), "")</f>
        <v>46327.166666666664</v>
      </c>
      <c r="AN1059" s="939" t="str">
        <f>IFERROR(IF(VLOOKUP(AT1059,Vessel!A:I,9,FALSE)=0,"",VLOOKUP(AT1059,Vessel!A:I,9,FALSE)),"")</f>
        <v/>
      </c>
      <c r="AP1059" s="430" t="s">
        <v>6712</v>
      </c>
      <c r="AQ1059" s="430" t="s">
        <v>80</v>
      </c>
      <c r="AR1059" s="430" t="s">
        <v>6807</v>
      </c>
      <c r="AS1059" s="430" t="s">
        <v>6808</v>
      </c>
      <c r="AT1059" s="430" t="s">
        <v>6808</v>
      </c>
      <c r="AU105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41.559594907404971</v>
      </c>
      <c r="AW1059" s="437" cm="1">
        <f t="array" ref="AW105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46327.166666666664</v>
      </c>
      <c r="AX105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59" s="437" t="str">
        <f>IF(ISERROR(PV_DATA[[#This Row],[New Ark PO status]]),"",_xlfn.XLOOKUP(PV_DATA[[#This Row],[SPTN-PVHK New Ark PO'#]],New_Ark_Data[Purchase order Number],New_Ark_Data[Estimated time of arrival],"",0))</f>
        <v/>
      </c>
      <c r="AZ1059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59" s="437">
        <f>IFERROR(PV_DATA[[#This Row],[ODP ETA Port]]+PV_DATA[[#This Row],[Customs/Leg3 Assumption]],"n/a")</f>
        <v>46334.166666666664</v>
      </c>
      <c r="BB1059" s="433">
        <f>YEAR(PV_DATA[[#This Row],[ETA for New Ark update]])</f>
        <v>2026</v>
      </c>
      <c r="BC1059" s="430">
        <f>MONTH(PV_DATA[[#This Row],[ETA for New Ark update]])</f>
        <v>11</v>
      </c>
      <c r="BD1059" s="430">
        <f>IFERROR(_xlfn.ISOWEEKNUM(PV_DATA[[#This Row],[ETA for New Ark update]]),0)</f>
        <v>45</v>
      </c>
      <c r="BE1059" s="430">
        <f>_xlfn.XLOOKUP(PV_DATA[[#This Row],[New Ark SKU]],Table9[New Ark SKU],Table9[Total PCS per Pallet],,0)</f>
        <v>36</v>
      </c>
      <c r="BF1059" s="430">
        <f>_xlfn.XLOOKUP(PV_DATA[[#This Row],[New Ark SKU]],Table9[New Ark SKU],Table9[Total PCS per 40HQ Container],,0)</f>
        <v>936</v>
      </c>
      <c r="BG1059" s="430" t="str">
        <f>_xlfn.XLOOKUP(PV_DATA[[#This Row],[New Ark SKU]],Table9[New Ark SKU],Table9[Back Glass],,0)</f>
        <v>Black glazing</v>
      </c>
      <c r="BH1059" s="430" t="str">
        <f>_xlfn.XLOOKUP(PV_DATA[[#This Row],[PORT DESTINATION]],Table12[PORT DESTINATION],Table12[Cosco Line],,0)</f>
        <v>AEU</v>
      </c>
    </row>
    <row r="1060" spans="1:60" s="430" customFormat="1" ht="10.5" hidden="1">
      <c r="A1060" s="729" t="s">
        <v>6809</v>
      </c>
      <c r="B1060" s="462" t="s">
        <v>111</v>
      </c>
      <c r="C1060" s="462" t="str">
        <f>IFERROR(LEFT(PV_DATA[[#This Row],[TCL REFERENCE]],FIND(".",PV_DATA[[#This Row],[TCL REFERENCE]],1)-1),"Main Line")</f>
        <v>26Aug020</v>
      </c>
      <c r="D1060" s="462" t="s">
        <v>63</v>
      </c>
      <c r="E1060" s="462" t="s">
        <v>64</v>
      </c>
      <c r="F1060" s="462" t="str" cm="1">
        <f t="array" ref="F106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60" s="462" t="s">
        <v>402</v>
      </c>
      <c r="H1060" s="462" t="s">
        <v>67</v>
      </c>
      <c r="I1060" s="462" t="s">
        <v>689</v>
      </c>
      <c r="J1060" s="430" t="s">
        <v>96</v>
      </c>
      <c r="M1060" s="430" t="s">
        <v>6545</v>
      </c>
      <c r="N1060" s="432">
        <v>46238</v>
      </c>
      <c r="O1060" s="430" t="s">
        <v>132</v>
      </c>
      <c r="P1060" s="430" t="s">
        <v>1062</v>
      </c>
      <c r="Q1060" s="430" t="s">
        <v>1063</v>
      </c>
      <c r="R1060" s="430" t="str">
        <f>_xlfn.XLOOKUP(PV_DATA[[#This Row],[New Ark SKU]],Table9[New Ark SKU],Table9[Connector],,0)</f>
        <v>EVO2A</v>
      </c>
      <c r="S1060" s="433" t="str">
        <f>_xlfn.XLOOKUP(PV_DATA[[#This Row],[New Ark SKU]],Table9[New Ark SKU],Table9[Cable],,0)</f>
        <v>±1200mm</v>
      </c>
      <c r="T1060" s="433">
        <v>470</v>
      </c>
      <c r="U1060" s="1062">
        <v>2592</v>
      </c>
      <c r="V1060" s="434">
        <f>PV_DATA[[#This Row],[QUANTITY]]*PV_DATA[[#This Row],[WATT]]/1000000</f>
        <v>1.21824</v>
      </c>
      <c r="W1060" s="435">
        <f>PV_DATA[[#This Row],[QUANTITY]]/PV_DATA[[#This Row],[Qty/Pallet]]</f>
        <v>72</v>
      </c>
      <c r="X1060" s="1015">
        <f>PV_DATA[[#This Row],[QUANTITY]]/PV_DATA[[#This Row],[Qty/CT]]</f>
        <v>3</v>
      </c>
      <c r="Y1060" s="430" t="s">
        <v>4380</v>
      </c>
      <c r="AA1060" s="430" t="s">
        <v>5862</v>
      </c>
      <c r="AB1060" s="437">
        <v>46287</v>
      </c>
      <c r="AC1060" s="438"/>
      <c r="AD1060" s="462" t="s">
        <v>6810</v>
      </c>
      <c r="AF1060" s="459" t="s">
        <v>1525</v>
      </c>
      <c r="AG1060" s="459" t="s">
        <v>6003</v>
      </c>
      <c r="AH1060" s="430" t="s">
        <v>105</v>
      </c>
      <c r="AI1060" s="437">
        <v>46284</v>
      </c>
      <c r="AJ1060" s="437">
        <v>46291</v>
      </c>
      <c r="AK1060" s="437">
        <f>IFERROR(IF(VLOOKUP(AT1060,Vessel!A:F,5,FALSE)=0,"",VLOOKUP(AT1060,Vessel!A:F,5,FALSE)),"")</f>
        <v>46291.062094907407</v>
      </c>
      <c r="AL1060" s="437">
        <v>46318</v>
      </c>
      <c r="AM1060" s="939">
        <f>IFERROR(VLOOKUP(AT1060, Vessel!A:H, 8, FALSE), "")</f>
        <v>46333.625</v>
      </c>
      <c r="AN1060" s="939" t="str">
        <f>IFERROR(IF(VLOOKUP(AT1060,Vessel!A:I,9,FALSE)=0,"",VLOOKUP(AT1060,Vessel!A:I,9,FALSE)),"")</f>
        <v/>
      </c>
      <c r="AP1060" s="430" t="s">
        <v>6811</v>
      </c>
      <c r="AQ1060" s="430" t="s">
        <v>80</v>
      </c>
      <c r="AR1060" s="430" t="s">
        <v>6812</v>
      </c>
      <c r="AS1060" s="430" t="s">
        <v>6813</v>
      </c>
      <c r="AT1060" s="430" t="s">
        <v>6813</v>
      </c>
      <c r="AU106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42.5629050925927</v>
      </c>
      <c r="AW1060" s="437" cm="1">
        <f t="array" ref="AW106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46333.625</v>
      </c>
      <c r="AX106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60" s="437" t="str">
        <f>IF(ISERROR(PV_DATA[[#This Row],[New Ark PO status]]),"",_xlfn.XLOOKUP(PV_DATA[[#This Row],[SPTN-PVHK New Ark PO'#]],New_Ark_Data[Purchase order Number],New_Ark_Data[Estimated time of arrival],"",0))</f>
        <v/>
      </c>
      <c r="AZ1060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60" s="437">
        <f>IFERROR(PV_DATA[[#This Row],[ODP ETA Port]]+PV_DATA[[#This Row],[Customs/Leg3 Assumption]],"n/a")</f>
        <v>46340.625</v>
      </c>
      <c r="BB1060" s="433">
        <f>YEAR(PV_DATA[[#This Row],[ETA for New Ark update]])</f>
        <v>2026</v>
      </c>
      <c r="BC1060" s="430">
        <f>MONTH(PV_DATA[[#This Row],[ETA for New Ark update]])</f>
        <v>11</v>
      </c>
      <c r="BD1060" s="430">
        <f>IFERROR(_xlfn.ISOWEEKNUM(PV_DATA[[#This Row],[ETA for New Ark update]]),0)</f>
        <v>46</v>
      </c>
      <c r="BE1060" s="430">
        <f>_xlfn.XLOOKUP(PV_DATA[[#This Row],[New Ark SKU]],Table9[New Ark SKU],Table9[Total PCS per Pallet],,0)</f>
        <v>36</v>
      </c>
      <c r="BF1060" s="430">
        <f>_xlfn.XLOOKUP(PV_DATA[[#This Row],[New Ark SKU]],Table9[New Ark SKU],Table9[Total PCS per 40HQ Container],,0)</f>
        <v>864</v>
      </c>
      <c r="BG1060" s="430" t="str">
        <f>_xlfn.XLOOKUP(PV_DATA[[#This Row],[New Ark SKU]],Table9[New Ark SKU],Table9[Back Glass],,0)</f>
        <v>White glazing</v>
      </c>
      <c r="BH1060" s="430" t="str">
        <f>_xlfn.XLOOKUP(PV_DATA[[#This Row],[PORT DESTINATION]],Table12[PORT DESTINATION],Table12[Cosco Line],,0)</f>
        <v>AEU</v>
      </c>
    </row>
    <row r="1061" spans="1:60" s="430" customFormat="1" ht="10.5" hidden="1">
      <c r="A1061" s="729" t="s">
        <v>6814</v>
      </c>
      <c r="B1061" s="459" t="s">
        <v>111</v>
      </c>
      <c r="C1061" s="462" t="str">
        <f>IFERROR(LEFT(PV_DATA[[#This Row],[TCL REFERENCE]],FIND(".",PV_DATA[[#This Row],[TCL REFERENCE]],1)-1),"Main Line")</f>
        <v>26Aug020</v>
      </c>
      <c r="D1061" s="462" t="s">
        <v>63</v>
      </c>
      <c r="E1061" s="462" t="s">
        <v>64</v>
      </c>
      <c r="F1061" s="462" t="str" cm="1">
        <f t="array" ref="F106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61" s="462" t="s">
        <v>402</v>
      </c>
      <c r="H1061" s="462" t="s">
        <v>67</v>
      </c>
      <c r="I1061" s="462" t="s">
        <v>689</v>
      </c>
      <c r="J1061" s="430" t="s">
        <v>96</v>
      </c>
      <c r="M1061" s="430" t="s">
        <v>6545</v>
      </c>
      <c r="N1061" s="432">
        <v>46238</v>
      </c>
      <c r="O1061" s="430" t="s">
        <v>132</v>
      </c>
      <c r="P1061" s="430" t="s">
        <v>1062</v>
      </c>
      <c r="Q1061" s="430" t="s">
        <v>1063</v>
      </c>
      <c r="R1061" s="430" t="str">
        <f>_xlfn.XLOOKUP(PV_DATA[[#This Row],[New Ark SKU]],Table9[New Ark SKU],Table9[Connector],,0)</f>
        <v>EVO2A</v>
      </c>
      <c r="S1061" s="433" t="str">
        <f>_xlfn.XLOOKUP(PV_DATA[[#This Row],[New Ark SKU]],Table9[New Ark SKU],Table9[Cable],,0)</f>
        <v>±1200mm</v>
      </c>
      <c r="T1061" s="433">
        <v>470</v>
      </c>
      <c r="U1061" s="1062">
        <v>864</v>
      </c>
      <c r="V1061" s="434">
        <f>PV_DATA[[#This Row],[QUANTITY]]*PV_DATA[[#This Row],[WATT]]/1000000</f>
        <v>0.40608</v>
      </c>
      <c r="W1061" s="435">
        <f>PV_DATA[[#This Row],[QUANTITY]]/PV_DATA[[#This Row],[Qty/Pallet]]</f>
        <v>24</v>
      </c>
      <c r="X1061" s="1015">
        <f>PV_DATA[[#This Row],[QUANTITY]]/PV_DATA[[#This Row],[Qty/CT]]</f>
        <v>1</v>
      </c>
      <c r="Y1061" s="430" t="s">
        <v>4380</v>
      </c>
      <c r="AA1061" s="430" t="s">
        <v>5862</v>
      </c>
      <c r="AB1061" s="437">
        <v>46281</v>
      </c>
      <c r="AC1061" s="438"/>
      <c r="AD1061" s="462" t="s">
        <v>6815</v>
      </c>
      <c r="AF1061" s="459" t="s">
        <v>1525</v>
      </c>
      <c r="AG1061" s="459" t="s">
        <v>6003</v>
      </c>
      <c r="AH1061" s="430" t="s">
        <v>105</v>
      </c>
      <c r="AI1061" s="437">
        <v>46287</v>
      </c>
      <c r="AJ1061" s="437">
        <f>IFERROR(VLOOKUP(AT1061, Vessel!A:D, 4, FALSE), "")</f>
        <v>46285.583333333336</v>
      </c>
      <c r="AK1061" s="437">
        <f>IFERROR(IF(VLOOKUP(AT1061,Vessel!A:F,5,FALSE)=0,"",VLOOKUP(AT1061,Vessel!A:F,5,FALSE)),"")</f>
        <v>46285.607071759259</v>
      </c>
      <c r="AL1061" s="437">
        <v>46319</v>
      </c>
      <c r="AM1061" s="939">
        <f>IFERROR(VLOOKUP(AT1061, Vessel!A:H, 8, FALSE), "")</f>
        <v>46327.166666666664</v>
      </c>
      <c r="AN1061" s="939" t="str">
        <f>IFERROR(IF(VLOOKUP(AT1061,Vessel!A:I,9,FALSE)=0,"",VLOOKUP(AT1061,Vessel!A:I,9,FALSE)),"")</f>
        <v/>
      </c>
      <c r="AP1061" s="430" t="s">
        <v>6712</v>
      </c>
      <c r="AQ1061" s="430" t="s">
        <v>80</v>
      </c>
      <c r="AR1061" s="430" t="s">
        <v>6816</v>
      </c>
      <c r="AS1061" s="430" t="s">
        <v>6817</v>
      </c>
      <c r="AT1061" s="430" t="s">
        <v>6817</v>
      </c>
      <c r="AU106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41.559594907404971</v>
      </c>
      <c r="AW1061" s="437" cm="1">
        <f t="array" ref="AW106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46327.166666666664</v>
      </c>
      <c r="AX106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61" s="437" t="str">
        <f>IF(ISERROR(PV_DATA[[#This Row],[New Ark PO status]]),"",_xlfn.XLOOKUP(PV_DATA[[#This Row],[SPTN-PVHK New Ark PO'#]],New_Ark_Data[Purchase order Number],New_Ark_Data[Estimated time of arrival],"",0))</f>
        <v/>
      </c>
      <c r="AZ1061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61" s="437">
        <f>IFERROR(PV_DATA[[#This Row],[ODP ETA Port]]+PV_DATA[[#This Row],[Customs/Leg3 Assumption]],"n/a")</f>
        <v>46334.166666666664</v>
      </c>
      <c r="BB1061" s="433">
        <f>YEAR(PV_DATA[[#This Row],[ETA for New Ark update]])</f>
        <v>2026</v>
      </c>
      <c r="BC1061" s="430">
        <f>MONTH(PV_DATA[[#This Row],[ETA for New Ark update]])</f>
        <v>11</v>
      </c>
      <c r="BD1061" s="430">
        <f>IFERROR(_xlfn.ISOWEEKNUM(PV_DATA[[#This Row],[ETA for New Ark update]]),0)</f>
        <v>45</v>
      </c>
      <c r="BE1061" s="430">
        <f>_xlfn.XLOOKUP(PV_DATA[[#This Row],[New Ark SKU]],Table9[New Ark SKU],Table9[Total PCS per Pallet],,0)</f>
        <v>36</v>
      </c>
      <c r="BF1061" s="430">
        <f>_xlfn.XLOOKUP(PV_DATA[[#This Row],[New Ark SKU]],Table9[New Ark SKU],Table9[Total PCS per 40HQ Container],,0)</f>
        <v>864</v>
      </c>
      <c r="BG1061" s="430" t="str">
        <f>_xlfn.XLOOKUP(PV_DATA[[#This Row],[New Ark SKU]],Table9[New Ark SKU],Table9[Back Glass],,0)</f>
        <v>White glazing</v>
      </c>
      <c r="BH1061" s="430" t="str">
        <f>_xlfn.XLOOKUP(PV_DATA[[#This Row],[PORT DESTINATION]],Table12[PORT DESTINATION],Table12[Cosco Line],,0)</f>
        <v>AEU</v>
      </c>
    </row>
    <row r="1062" spans="1:60" s="430" customFormat="1" ht="10.5" hidden="1">
      <c r="A1062" s="462" t="s">
        <v>6818</v>
      </c>
      <c r="B1062" s="462" t="s">
        <v>61</v>
      </c>
      <c r="C1062" s="462" t="str">
        <f>IFERROR(LEFT(PV_DATA[[#This Row],[TCL REFERENCE]],FIND(".",PV_DATA[[#This Row],[TCL REFERENCE]],1)-1),"Main Line")</f>
        <v>26Aug005</v>
      </c>
      <c r="D1062" s="462" t="s">
        <v>63</v>
      </c>
      <c r="E1062" s="462" t="s">
        <v>64</v>
      </c>
      <c r="F1062" s="462" t="str" cm="1">
        <f t="array" ref="F106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062" s="462" t="s">
        <v>402</v>
      </c>
      <c r="H1062" s="462" t="s">
        <v>67</v>
      </c>
      <c r="I1062" s="462" t="s">
        <v>689</v>
      </c>
      <c r="J1062" s="430" t="s">
        <v>96</v>
      </c>
      <c r="M1062" s="430" t="s">
        <v>6325</v>
      </c>
      <c r="N1062" s="432">
        <v>46258</v>
      </c>
      <c r="O1062" s="430" t="s">
        <v>4540</v>
      </c>
      <c r="P1062" s="430" t="s">
        <v>706</v>
      </c>
      <c r="Q1062" s="430" t="s">
        <v>707</v>
      </c>
      <c r="R1062" s="430" t="str">
        <f>_xlfn.XLOOKUP(PV_DATA[[#This Row],[New Ark SKU]],Table9[New Ark SKU],Table9[Connector],,0)</f>
        <v>EVO2A</v>
      </c>
      <c r="S1062" s="433" t="str">
        <f>_xlfn.XLOOKUP(PV_DATA[[#This Row],[New Ark SKU]],Table9[New Ark SKU],Table9[Cable],,0)</f>
        <v>±1200mm</v>
      </c>
      <c r="T1062" s="433">
        <v>500</v>
      </c>
      <c r="U1062" s="1062">
        <v>3456</v>
      </c>
      <c r="V1062" s="434">
        <f>PV_DATA[[#This Row],[QUANTITY]]*PV_DATA[[#This Row],[WATT]]/1000000</f>
        <v>1.728</v>
      </c>
      <c r="W1062" s="435">
        <f>PV_DATA[[#This Row],[QUANTITY]]/PV_DATA[[#This Row],[Qty/Pallet]]</f>
        <v>96</v>
      </c>
      <c r="X1062" s="1015">
        <f>PV_DATA[[#This Row],[QUANTITY]]/PV_DATA[[#This Row],[Qty/CT]]</f>
        <v>4</v>
      </c>
      <c r="Y1062" s="430" t="s">
        <v>4377</v>
      </c>
      <c r="Z1062" s="430" t="str">
        <f>IF(AN1062&lt;&gt;"","COMPLETED",IF(AK1062&lt;&gt;"","IN-TRANSIT",""))</f>
        <v>IN-TRANSIT</v>
      </c>
      <c r="AA1062" s="430" t="s">
        <v>6819</v>
      </c>
      <c r="AB1062" s="959">
        <v>46274</v>
      </c>
      <c r="AC1062" s="485">
        <f>IF(PV_DATA[[#This Row],[Pick-Up Date]]&lt;&gt;"",_xlfn.ISOWEEKNUM(PV_DATA[[#This Row],[Pick-Up Date]]),"")</f>
        <v>37</v>
      </c>
      <c r="AD1062" s="430" t="s">
        <v>6820</v>
      </c>
      <c r="AF1062" s="430" t="s">
        <v>77</v>
      </c>
      <c r="AG1062" s="430" t="s">
        <v>61</v>
      </c>
      <c r="AH1062" s="430" t="s">
        <v>78</v>
      </c>
      <c r="AI1062" s="966">
        <v>46279</v>
      </c>
      <c r="AJ1062" s="437">
        <f>IFERROR(VLOOKUP(AT1062, Vessel!A:D, 4, FALSE), "")</f>
        <v>46279.979166666664</v>
      </c>
      <c r="AK1062" s="437">
        <f>IFERROR(IF(VLOOKUP(AT1062,Vessel!A:F,5,FALSE)=0,"",VLOOKUP(AT1062,Vessel!A:F,5,FALSE)),"")</f>
        <v>46279.989803240744</v>
      </c>
      <c r="AL1062" s="966">
        <v>46349</v>
      </c>
      <c r="AM1062" s="939">
        <f>IFERROR(VLOOKUP(AT1062, Vessel!A:H, 8, FALSE), "")</f>
        <v>46359.791666666664</v>
      </c>
      <c r="AN1062" s="939" t="str">
        <f>IFERROR(IF(VLOOKUP(AT1062,Vessel!A:I,9,FALSE)=0,"",VLOOKUP(AT1062,Vessel!A:I,9,FALSE)),"")</f>
        <v/>
      </c>
      <c r="AP1062" s="430" t="s">
        <v>6821</v>
      </c>
      <c r="AQ1062" s="1077" t="s">
        <v>80</v>
      </c>
      <c r="AR1062" s="430" t="s">
        <v>6822</v>
      </c>
      <c r="AS1062" s="1203" t="s">
        <v>6823</v>
      </c>
      <c r="AT1062" s="430" t="s">
        <v>6823</v>
      </c>
      <c r="AU106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79.801863425920601</v>
      </c>
      <c r="AW1062" s="437" cm="1">
        <f t="array" ref="AW106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46359.791666666664</v>
      </c>
      <c r="AX106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62" s="437" t="str">
        <f>IF(ISERROR(PV_DATA[[#This Row],[New Ark PO status]]),"",_xlfn.XLOOKUP(PV_DATA[[#This Row],[SPTN-PVHK New Ark PO'#]],New_Ark_Data[Purchase order Number],New_Ark_Data[Estimated time of arrival],"",0))</f>
        <v/>
      </c>
      <c r="AZ1062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062" s="437">
        <f>IFERROR(PV_DATA[[#This Row],[ODP ETA Port]]+PV_DATA[[#This Row],[Customs/Leg3 Assumption]],"n/a")</f>
        <v>46367.791666666664</v>
      </c>
      <c r="BB1062" s="433">
        <f>YEAR(PV_DATA[[#This Row],[ETA for New Ark update]])</f>
        <v>2026</v>
      </c>
      <c r="BC1062" s="430">
        <f>MONTH(PV_DATA[[#This Row],[ETA for New Ark update]])</f>
        <v>12</v>
      </c>
      <c r="BD1062" s="430">
        <f>IFERROR(_xlfn.ISOWEEKNUM(PV_DATA[[#This Row],[ETA for New Ark update]]),0)</f>
        <v>50</v>
      </c>
      <c r="BE1062" s="430">
        <f>_xlfn.XLOOKUP(PV_DATA[[#This Row],[New Ark SKU]],Table9[New Ark SKU],Table9[Total PCS per Pallet],,0)</f>
        <v>36</v>
      </c>
      <c r="BF1062" s="430">
        <f>_xlfn.XLOOKUP(PV_DATA[[#This Row],[New Ark SKU]],Table9[New Ark SKU],Table9[Total PCS per 40HQ Container],,0)</f>
        <v>864</v>
      </c>
      <c r="BG1062" s="430" t="str">
        <f>_xlfn.XLOOKUP(PV_DATA[[#This Row],[New Ark SKU]],Table9[New Ark SKU],Table9[Back Glass],,0)</f>
        <v>Black glazing</v>
      </c>
      <c r="BH1062" s="430" t="str">
        <f>_xlfn.XLOOKUP(PV_DATA[[#This Row],[PORT DESTINATION]],Table12[PORT DESTINATION],Table12[Cosco Line],,0)</f>
        <v>AEM</v>
      </c>
    </row>
    <row r="1063" spans="1:60" s="430" customFormat="1" ht="10.5" hidden="1">
      <c r="A1063" s="462" t="s">
        <v>6824</v>
      </c>
      <c r="B1063" s="462" t="s">
        <v>61</v>
      </c>
      <c r="C1063" s="462" t="str">
        <f>IFERROR(LEFT(PV_DATA[[#This Row],[TCL REFERENCE]],FIND(".",PV_DATA[[#This Row],[TCL REFERENCE]],1)-1),"Main Line")</f>
        <v>26Aug005</v>
      </c>
      <c r="D1063" s="462" t="s">
        <v>63</v>
      </c>
      <c r="E1063" s="462" t="s">
        <v>64</v>
      </c>
      <c r="F1063" s="462" t="str" cm="1">
        <f t="array" ref="F106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063" s="462" t="s">
        <v>402</v>
      </c>
      <c r="H1063" s="462" t="s">
        <v>67</v>
      </c>
      <c r="I1063" s="462" t="s">
        <v>689</v>
      </c>
      <c r="J1063" s="430" t="s">
        <v>96</v>
      </c>
      <c r="M1063" s="430" t="s">
        <v>6545</v>
      </c>
      <c r="N1063" s="432">
        <v>46258</v>
      </c>
      <c r="O1063" s="430" t="s">
        <v>4540</v>
      </c>
      <c r="P1063" s="430" t="s">
        <v>706</v>
      </c>
      <c r="Q1063" s="430" t="s">
        <v>707</v>
      </c>
      <c r="R1063" s="430" t="str">
        <f>_xlfn.XLOOKUP(PV_DATA[[#This Row],[New Ark SKU]],Table9[New Ark SKU],Table9[Connector],,0)</f>
        <v>EVO2A</v>
      </c>
      <c r="S1063" s="433" t="str">
        <f>_xlfn.XLOOKUP(PV_DATA[[#This Row],[New Ark SKU]],Table9[New Ark SKU],Table9[Cable],,0)</f>
        <v>±1200mm</v>
      </c>
      <c r="T1063" s="433">
        <v>500</v>
      </c>
      <c r="U1063" s="1062">
        <f>864*2</f>
        <v>1728</v>
      </c>
      <c r="V1063" s="434">
        <f>PV_DATA[[#This Row],[QUANTITY]]*PV_DATA[[#This Row],[WATT]]/1000000</f>
        <v>0.86399999999999999</v>
      </c>
      <c r="W1063" s="435">
        <f>PV_DATA[[#This Row],[QUANTITY]]/PV_DATA[[#This Row],[Qty/Pallet]]</f>
        <v>48</v>
      </c>
      <c r="X1063" s="1015">
        <f>PV_DATA[[#This Row],[QUANTITY]]/PV_DATA[[#This Row],[Qty/CT]]</f>
        <v>2</v>
      </c>
      <c r="Y1063" s="430" t="s">
        <v>4377</v>
      </c>
      <c r="Z1063" s="430" t="str">
        <f>IF(AN1063&lt;&gt;"","COMPLETED",IF(AK1063&lt;&gt;"","IN-TRANSIT",""))</f>
        <v>IN-TRANSIT</v>
      </c>
      <c r="AA1063" s="430" t="s">
        <v>6819</v>
      </c>
      <c r="AB1063" s="959">
        <v>46274</v>
      </c>
      <c r="AC1063" s="485">
        <f>IF(PV_DATA[[#This Row],[Pick-Up Date]]&lt;&gt;"",_xlfn.ISOWEEKNUM(PV_DATA[[#This Row],[Pick-Up Date]]),"")</f>
        <v>37</v>
      </c>
      <c r="AD1063" s="430" t="s">
        <v>6825</v>
      </c>
      <c r="AF1063" s="430" t="s">
        <v>77</v>
      </c>
      <c r="AG1063" s="430" t="s">
        <v>61</v>
      </c>
      <c r="AH1063" s="430" t="s">
        <v>78</v>
      </c>
      <c r="AI1063" s="966">
        <v>46279</v>
      </c>
      <c r="AJ1063" s="437">
        <f>IFERROR(VLOOKUP(AT1063, Vessel!A:D, 4, FALSE), "")</f>
        <v>46279.979166666664</v>
      </c>
      <c r="AK1063" s="437">
        <f>IFERROR(IF(VLOOKUP(AT1063,Vessel!A:F,5,FALSE)=0,"",VLOOKUP(AT1063,Vessel!A:F,5,FALSE)),"")</f>
        <v>46279.989803240744</v>
      </c>
      <c r="AL1063" s="966">
        <v>46337</v>
      </c>
      <c r="AM1063" s="939">
        <f>IFERROR(VLOOKUP(AT1063, Vessel!A:H, 8, FALSE), "")</f>
        <v>46337.25</v>
      </c>
      <c r="AN1063" s="939" t="str">
        <f>IFERROR(IF(VLOOKUP(AT1063,Vessel!A:I,9,FALSE)=0,"",VLOOKUP(AT1063,Vessel!A:I,9,FALSE)),"")</f>
        <v/>
      </c>
      <c r="AP1063" s="430" t="s">
        <v>6821</v>
      </c>
      <c r="AQ1063" s="438" t="s">
        <v>80</v>
      </c>
      <c r="AR1063" s="430" t="s">
        <v>6826</v>
      </c>
      <c r="AS1063" s="430" t="s">
        <v>6827</v>
      </c>
      <c r="AT1063" s="430" t="s">
        <v>6827</v>
      </c>
      <c r="AU106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57.26019675925636</v>
      </c>
      <c r="AW1063" s="437" cm="1">
        <f t="array" ref="AW106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46337.25</v>
      </c>
      <c r="AX106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63" s="437" t="str">
        <f>IF(ISERROR(PV_DATA[[#This Row],[New Ark PO status]]),"",_xlfn.XLOOKUP(PV_DATA[[#This Row],[SPTN-PVHK New Ark PO'#]],New_Ark_Data[Purchase order Number],New_Ark_Data[Estimated time of arrival],"",0))</f>
        <v/>
      </c>
      <c r="AZ1063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063" s="437">
        <f>IFERROR(PV_DATA[[#This Row],[ODP ETA Port]]+PV_DATA[[#This Row],[Customs/Leg3 Assumption]],"n/a")</f>
        <v>46345.25</v>
      </c>
      <c r="BB1063" s="433">
        <f>YEAR(PV_DATA[[#This Row],[ETA for New Ark update]])</f>
        <v>2026</v>
      </c>
      <c r="BC1063" s="430">
        <f>MONTH(PV_DATA[[#This Row],[ETA for New Ark update]])</f>
        <v>11</v>
      </c>
      <c r="BD1063" s="430">
        <f>IFERROR(_xlfn.ISOWEEKNUM(PV_DATA[[#This Row],[ETA for New Ark update]]),0)</f>
        <v>47</v>
      </c>
      <c r="BE1063" s="430">
        <f>_xlfn.XLOOKUP(PV_DATA[[#This Row],[New Ark SKU]],Table9[New Ark SKU],Table9[Total PCS per Pallet],,0)</f>
        <v>36</v>
      </c>
      <c r="BF1063" s="430">
        <f>_xlfn.XLOOKUP(PV_DATA[[#This Row],[New Ark SKU]],Table9[New Ark SKU],Table9[Total PCS per 40HQ Container],,0)</f>
        <v>864</v>
      </c>
      <c r="BG1063" s="430" t="str">
        <f>_xlfn.XLOOKUP(PV_DATA[[#This Row],[New Ark SKU]],Table9[New Ark SKU],Table9[Back Glass],,0)</f>
        <v>Black glazing</v>
      </c>
      <c r="BH1063" s="430" t="str">
        <f>_xlfn.XLOOKUP(PV_DATA[[#This Row],[PORT DESTINATION]],Table12[PORT DESTINATION],Table12[Cosco Line],,0)</f>
        <v>AEM</v>
      </c>
    </row>
    <row r="1064" spans="1:60" s="430" customFormat="1" ht="10.5" hidden="1">
      <c r="A1064" s="941" t="s">
        <v>6828</v>
      </c>
      <c r="B1064" s="462" t="s">
        <v>61</v>
      </c>
      <c r="C1064" s="462" t="str">
        <f>IFERROR(LEFT(PV_DATA[[#This Row],[TCL REFERENCE]],FIND(".",PV_DATA[[#This Row],[TCL REFERENCE]],1)-1),"Main Line")</f>
        <v>26Aug011</v>
      </c>
      <c r="D1064" s="935" t="s">
        <v>113</v>
      </c>
      <c r="E1064" s="462" t="s">
        <v>144</v>
      </c>
      <c r="F1064" s="462" t="str" cm="1">
        <f t="array" ref="F106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64" s="462" t="s">
        <v>156</v>
      </c>
      <c r="H1064" s="462" t="s">
        <v>670</v>
      </c>
      <c r="I1064" s="462" t="s">
        <v>1395</v>
      </c>
      <c r="J1064" s="462" t="s">
        <v>670</v>
      </c>
      <c r="K1064" s="430" t="s">
        <v>6729</v>
      </c>
      <c r="L1064" s="430">
        <v>7</v>
      </c>
      <c r="M1064" s="430" t="s">
        <v>840</v>
      </c>
      <c r="N1064" s="432"/>
      <c r="O1064" s="430" t="s">
        <v>284</v>
      </c>
      <c r="P1064" s="430" t="s">
        <v>6730</v>
      </c>
      <c r="Q1064" s="430" t="s">
        <v>1570</v>
      </c>
      <c r="R1064" s="430" t="str">
        <f>_xlfn.XLOOKUP(PV_DATA[[#This Row],[New Ark SKU]],Table9[New Ark SKU],Table9[Connector],,0)</f>
        <v>H4(Com)</v>
      </c>
      <c r="S1064" s="433" t="str">
        <f>_xlfn.XLOOKUP(PV_DATA[[#This Row],[New Ark SKU]],Table9[New Ark SKU],Table9[Cable],,0)</f>
        <v>+400mm/-200mm</v>
      </c>
      <c r="T1064" s="433">
        <v>650</v>
      </c>
      <c r="U1064" s="1062">
        <f>720*9</f>
        <v>6480</v>
      </c>
      <c r="V1064" s="434">
        <f>PV_DATA[[#This Row],[QUANTITY]]*PV_DATA[[#This Row],[WATT]]/1000000</f>
        <v>4.2119999999999997</v>
      </c>
      <c r="W1064" s="435">
        <f>PV_DATA[[#This Row],[QUANTITY]]/PV_DATA[[#This Row],[Qty/Pallet]]</f>
        <v>180</v>
      </c>
      <c r="X1064" s="1015">
        <f>PV_DATA[[#This Row],[QUANTITY]]/PV_DATA[[#This Row],[Qty/CT]]</f>
        <v>9</v>
      </c>
      <c r="Y1064" s="430" t="s">
        <v>4378</v>
      </c>
      <c r="Z1064" s="430" t="str">
        <f>IF(AN1064&lt;&gt;"","COMPLETED",IF(AK1064&lt;&gt;"","IN-TRANSIT",""))</f>
        <v>IN-TRANSIT</v>
      </c>
      <c r="AA1064" s="545">
        <v>46268</v>
      </c>
      <c r="AB1064" s="966">
        <v>46273</v>
      </c>
      <c r="AC1064" s="485">
        <f>IF(PV_DATA[[#This Row],[Pick-Up Date]]&lt;&gt;"",_xlfn.ISOWEEKNUM(PV_DATA[[#This Row],[Pick-Up Date]]),"")</f>
        <v>37</v>
      </c>
      <c r="AD1064" s="430" t="s">
        <v>6829</v>
      </c>
      <c r="AF1064" s="430" t="s">
        <v>77</v>
      </c>
      <c r="AG1064" s="430" t="s">
        <v>77</v>
      </c>
      <c r="AH1064" s="430" t="s">
        <v>105</v>
      </c>
      <c r="AI1064" s="966">
        <v>46279</v>
      </c>
      <c r="AJ1064" s="966">
        <v>46286</v>
      </c>
      <c r="AK1064" s="966">
        <v>46287</v>
      </c>
      <c r="AL1064" s="966">
        <v>46327</v>
      </c>
      <c r="AM1064" s="437"/>
      <c r="AN1064" s="588"/>
      <c r="AO1064" s="430" t="s">
        <v>156</v>
      </c>
      <c r="AP1064" s="430" t="s">
        <v>6830</v>
      </c>
      <c r="AQ1064" s="438" t="s">
        <v>161</v>
      </c>
      <c r="AR1064" s="430" t="s">
        <v>6831</v>
      </c>
      <c r="AS1064" s="430" t="s">
        <v>6832</v>
      </c>
      <c r="AT1064" s="430" t="s">
        <v>6833</v>
      </c>
      <c r="AU106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W1064" s="437" cm="1">
        <f t="array" ref="AW106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46327</v>
      </c>
      <c r="AX106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64" s="437" t="str">
        <f>IF(ISERROR(PV_DATA[[#This Row],[New Ark PO status]]),"",_xlfn.XLOOKUP(PV_DATA[[#This Row],[SPTN-PVHK New Ark PO'#]],New_Ark_Data[Purchase order Number],New_Ark_Data[Estimated time of arrival],"",0))</f>
        <v/>
      </c>
      <c r="AZ1064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64" s="437">
        <f>IFERROR(PV_DATA[[#This Row],[ODP ETA Port]]+PV_DATA[[#This Row],[Customs/Leg3 Assumption]],"n/a")</f>
        <v>46327</v>
      </c>
      <c r="BB1064" s="433" t="s">
        <v>6545</v>
      </c>
      <c r="BC1064" s="433" t="s">
        <v>6545</v>
      </c>
      <c r="BD1064" s="430">
        <f>IFERROR(_xlfn.ISOWEEKNUM(PV_DATA[[#This Row],[ETA for New Ark update]]),0)</f>
        <v>44</v>
      </c>
      <c r="BE1064" s="430">
        <f>_xlfn.XLOOKUP(PV_DATA[[#This Row],[New Ark SKU]],Table9[New Ark SKU],Table9[Total PCS per Pallet],,0)</f>
        <v>36</v>
      </c>
      <c r="BF1064" s="430">
        <f>_xlfn.XLOOKUP(PV_DATA[[#This Row],[New Ark SKU]],Table9[New Ark SKU],Table9[Total PCS per 40HQ Container],,0)</f>
        <v>720</v>
      </c>
      <c r="BG1064" s="430" t="str">
        <f>_xlfn.XLOOKUP(PV_DATA[[#This Row],[New Ark SKU]],Table9[New Ark SKU],Table9[Back Glass],,0)</f>
        <v>White glazing</v>
      </c>
      <c r="BH1064" s="610" t="str">
        <f>_xlfn.XLOOKUP(PV_DATA[[#This Row],[PORT DESTINATION]],Table12[PORT DESTINATION],Table12[Cosco Line],,0)</f>
        <v>AEU</v>
      </c>
    </row>
    <row r="1065" spans="1:60" s="430" customFormat="1" ht="10.5" hidden="1">
      <c r="A1065" s="941" t="s">
        <v>6834</v>
      </c>
      <c r="B1065" s="462" t="s">
        <v>61</v>
      </c>
      <c r="C1065" s="462" t="str">
        <f>IFERROR(LEFT(PV_DATA[[#This Row],[TCL REFERENCE]],FIND(".",PV_DATA[[#This Row],[TCL REFERENCE]],1)-1),"Main Line")</f>
        <v>Main Line</v>
      </c>
      <c r="D1065" s="935" t="s">
        <v>113</v>
      </c>
      <c r="E1065" s="462" t="s">
        <v>144</v>
      </c>
      <c r="F1065" s="462" t="str" cm="1">
        <f t="array" ref="F106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65" s="462" t="s">
        <v>156</v>
      </c>
      <c r="H1065" s="462" t="s">
        <v>670</v>
      </c>
      <c r="I1065" s="462" t="s">
        <v>1395</v>
      </c>
      <c r="J1065" s="462" t="s">
        <v>670</v>
      </c>
      <c r="K1065" s="430" t="s">
        <v>6729</v>
      </c>
      <c r="L1065" s="430">
        <v>5</v>
      </c>
      <c r="M1065" s="462" t="s">
        <v>6665</v>
      </c>
      <c r="N1065" s="432"/>
      <c r="O1065" s="430" t="s">
        <v>284</v>
      </c>
      <c r="P1065" s="430" t="s">
        <v>6737</v>
      </c>
      <c r="Q1065" s="430" t="s">
        <v>5355</v>
      </c>
      <c r="R1065" s="430" t="str">
        <f>_xlfn.XLOOKUP(PV_DATA[[#This Row],[New Ark SKU]],Table9[New Ark SKU],Table9[Connector],,0)</f>
        <v>H4(Com)</v>
      </c>
      <c r="S1065" s="433" t="str">
        <f>_xlfn.XLOOKUP(PV_DATA[[#This Row],[New Ark SKU]],Table9[New Ark SKU],Table9[Cable],,0)</f>
        <v>+400mm/-200mm</v>
      </c>
      <c r="T1065" s="433">
        <v>655</v>
      </c>
      <c r="U1065" s="1062" cm="1">
        <f t="array" ref="U1065">10080-fx_qty</f>
        <v>7200</v>
      </c>
      <c r="V1065" s="434">
        <f>PV_DATA[[#This Row],[QUANTITY]]*PV_DATA[[#This Row],[WATT]]/1000000</f>
        <v>4.7160000000000002</v>
      </c>
      <c r="W1065" s="435">
        <f>PV_DATA[[#This Row],[QUANTITY]]/PV_DATA[[#This Row],[Qty/Pallet]]</f>
        <v>200</v>
      </c>
      <c r="X1065" s="1015">
        <f>PV_DATA[[#This Row],[QUANTITY]]/PV_DATA[[#This Row],[Qty/CT]]</f>
        <v>10</v>
      </c>
      <c r="Y1065" s="430" t="s">
        <v>4381</v>
      </c>
      <c r="AB1065" s="966">
        <v>46273</v>
      </c>
      <c r="AC1065" s="485">
        <f>IF(PV_DATA[[#This Row],[Pick-Up Date]]&lt;&gt;"",_xlfn.ISOWEEKNUM(PV_DATA[[#This Row],[Pick-Up Date]]),"")</f>
        <v>37</v>
      </c>
      <c r="AD1065" s="430" t="s">
        <v>6835</v>
      </c>
      <c r="AF1065" s="430" t="s">
        <v>77</v>
      </c>
      <c r="AG1065" s="430" t="s">
        <v>77</v>
      </c>
      <c r="AH1065" s="430" t="s">
        <v>105</v>
      </c>
      <c r="AI1065" s="966">
        <v>46279</v>
      </c>
      <c r="AJ1065" s="966">
        <v>46286</v>
      </c>
      <c r="AK1065" s="966">
        <v>46287</v>
      </c>
      <c r="AL1065" s="966">
        <v>46327</v>
      </c>
      <c r="AM1065" s="437"/>
      <c r="AN1065" s="588"/>
      <c r="AO1065" s="430" t="s">
        <v>156</v>
      </c>
      <c r="AP1065" s="430" t="s">
        <v>6830</v>
      </c>
      <c r="AQ1065" s="438" t="s">
        <v>161</v>
      </c>
      <c r="AR1065" s="430" t="s">
        <v>6831</v>
      </c>
      <c r="AS1065" s="430" t="s">
        <v>6833</v>
      </c>
      <c r="AT1065" s="430" t="s">
        <v>6833</v>
      </c>
      <c r="AU106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W1065" s="437" cm="1">
        <f t="array" ref="AW106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46327</v>
      </c>
      <c r="AX106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65" s="437" t="str">
        <f>IF(ISERROR(PV_DATA[[#This Row],[New Ark PO status]]),"",_xlfn.XLOOKUP(PV_DATA[[#This Row],[SPTN-PVHK New Ark PO'#]],New_Ark_Data[Purchase order Number],New_Ark_Data[Estimated time of arrival],"",0))</f>
        <v/>
      </c>
      <c r="AZ1065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65" s="437">
        <f>IFERROR(PV_DATA[[#This Row],[ODP ETA Port]]+PV_DATA[[#This Row],[Customs/Leg3 Assumption]],"n/a")</f>
        <v>46327</v>
      </c>
      <c r="BB1065" s="433" t="s">
        <v>6325</v>
      </c>
      <c r="BC1065" s="433" t="s">
        <v>6325</v>
      </c>
      <c r="BD1065" s="430">
        <f>IFERROR(_xlfn.ISOWEEKNUM(PV_DATA[[#This Row],[ETA for New Ark update]]),0)</f>
        <v>44</v>
      </c>
      <c r="BE1065" s="430">
        <f>_xlfn.XLOOKUP(PV_DATA[[#This Row],[New Ark SKU]],Table9[New Ark SKU],Table9[Total PCS per Pallet],,0)</f>
        <v>36</v>
      </c>
      <c r="BF1065" s="430">
        <f>_xlfn.XLOOKUP(PV_DATA[[#This Row],[New Ark SKU]],Table9[New Ark SKU],Table9[Total PCS per 40HQ Container],,0)</f>
        <v>720</v>
      </c>
      <c r="BG1065" s="430" t="str">
        <f>_xlfn.XLOOKUP(PV_DATA[[#This Row],[New Ark SKU]],Table9[New Ark SKU],Table9[Back Glass],,0)</f>
        <v>White glazing</v>
      </c>
      <c r="BH1065" s="610" t="str">
        <f>_xlfn.XLOOKUP(PV_DATA[[#This Row],[PORT DESTINATION]],Table12[PORT DESTINATION],Table12[Cosco Line],,0)</f>
        <v>AEU</v>
      </c>
    </row>
    <row r="1066" spans="1:60" s="430" customFormat="1" ht="10.5" hidden="1">
      <c r="A1066" s="729" t="s">
        <v>6836</v>
      </c>
      <c r="B1066" s="935" t="s">
        <v>1757</v>
      </c>
      <c r="C1066" s="462" t="str">
        <f>IFERROR(LEFT(PV_DATA[[#This Row],[TCL REFERENCE]],FIND(".",PV_DATA[[#This Row],[TCL REFERENCE]],1)-1),"Main Line")</f>
        <v>26Jul007</v>
      </c>
      <c r="D1066" s="462" t="s">
        <v>63</v>
      </c>
      <c r="E1066" s="462" t="s">
        <v>144</v>
      </c>
      <c r="F1066" s="462" t="str" cm="1">
        <f t="array" ref="F1066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66" s="462" t="s">
        <v>402</v>
      </c>
      <c r="H1066" s="462" t="s">
        <v>881</v>
      </c>
      <c r="I1066" s="462" t="s">
        <v>1395</v>
      </c>
      <c r="J1066" s="462" t="s">
        <v>881</v>
      </c>
      <c r="K1066" s="462" t="s">
        <v>6837</v>
      </c>
      <c r="L1066" s="430">
        <v>2</v>
      </c>
      <c r="M1066" s="430" t="s">
        <v>840</v>
      </c>
      <c r="N1066" s="432">
        <v>46209</v>
      </c>
      <c r="O1066" s="623" t="s">
        <v>4540</v>
      </c>
      <c r="P1066" s="623" t="s">
        <v>71</v>
      </c>
      <c r="Q1066" s="623" t="s">
        <v>72</v>
      </c>
      <c r="R1066" s="430" t="str">
        <f>_xlfn.XLOOKUP(PV_DATA[[#This Row],[New Ark SKU]],Table9[New Ark SKU],Table9[Connector],,0)</f>
        <v>EVO2A</v>
      </c>
      <c r="S1066" s="433" t="str">
        <f>_xlfn.XLOOKUP(PV_DATA[[#This Row],[New Ark SKU]],Table9[New Ark SKU],Table9[Cable],,0)</f>
        <v>±1200mm</v>
      </c>
      <c r="T1066" s="964">
        <v>500</v>
      </c>
      <c r="U1066" s="1074">
        <f>864*5</f>
        <v>4320</v>
      </c>
      <c r="V1066" s="965">
        <f>PV_DATA[[#This Row],[QUANTITY]]*PV_DATA[[#This Row],[WATT]]/1000000</f>
        <v>2.16</v>
      </c>
      <c r="W1066" s="969">
        <f>PV_DATA[[#This Row],[QUANTITY]]/PV_DATA[[#This Row],[Qty/Pallet]]</f>
        <v>120</v>
      </c>
      <c r="X1066" s="1015">
        <f>PV_DATA[[#This Row],[QUANTITY]]/PV_DATA[[#This Row],[Qty/CT]]</f>
        <v>5</v>
      </c>
      <c r="Y1066" s="430" t="s">
        <v>4380</v>
      </c>
      <c r="Z1066" s="430" t="str">
        <f t="shared" ref="Z1066:Z1097" si="20">IF(AN1066&lt;&gt;"","COMPLETED",IF(AK1066&lt;&gt;"","IN-TRANSIT",""))</f>
        <v>IN-TRANSIT</v>
      </c>
      <c r="AA1066" s="1051" t="s">
        <v>6742</v>
      </c>
      <c r="AB1066" s="966">
        <v>46284</v>
      </c>
      <c r="AC1066" s="1154">
        <f>IF(PV_DATA[[#This Row],[Pick-Up Date]]&lt;&gt;"",_xlfn.ISOWEEKNUM(PV_DATA[[#This Row],[Pick-Up Date]]),"")</f>
        <v>38</v>
      </c>
      <c r="AD1066" s="623" t="s">
        <v>6838</v>
      </c>
      <c r="AE1066" s="623"/>
      <c r="AF1066" s="459" t="s">
        <v>123</v>
      </c>
      <c r="AG1066" s="459" t="s">
        <v>123</v>
      </c>
      <c r="AH1066" s="430" t="s">
        <v>888</v>
      </c>
      <c r="AI1066" s="966">
        <v>46295</v>
      </c>
      <c r="AJ1066" s="437">
        <f>IFERROR(VLOOKUP(AT1066, Vessel!A:D, 4, FALSE), "")</f>
        <v>46295.229166666664</v>
      </c>
      <c r="AK1066" s="437">
        <f>IFERROR(IF(VLOOKUP(AT1066,Vessel!A:F,5,FALSE)=0,"",VLOOKUP(AT1066,Vessel!A:F,5,FALSE)),"")</f>
        <v>46295.255243055559</v>
      </c>
      <c r="AL1066" s="966">
        <v>46338</v>
      </c>
      <c r="AM1066" s="939">
        <f>IFERROR(VLOOKUP(AT1066, Vessel!A:H, 8, FALSE), "")</f>
        <v>46344.875</v>
      </c>
      <c r="AN1066" s="939" t="str">
        <f>IFERROR(IF(VLOOKUP(AT1066,Vessel!A:I,9,FALSE)=0,"",VLOOKUP(AT1066,Vessel!A:I,9,FALSE)),"")</f>
        <v/>
      </c>
      <c r="AO1066" s="623"/>
      <c r="AP1066" s="623" t="s">
        <v>6839</v>
      </c>
      <c r="AQ1066" s="623" t="s">
        <v>80</v>
      </c>
      <c r="AR1066" s="623" t="s">
        <v>6840</v>
      </c>
      <c r="AS1066" s="623" t="s">
        <v>6841</v>
      </c>
      <c r="AT1066" s="430" t="s">
        <v>6841</v>
      </c>
      <c r="AU106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49.619756944441178</v>
      </c>
      <c r="AV1066" s="623"/>
      <c r="AW1066" s="966" cm="1">
        <f t="array" ref="AW106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46344.875</v>
      </c>
      <c r="AX106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66" s="966" t="str">
        <f>IF(ISERROR(PV_DATA[[#This Row],[New Ark PO status]]),"",_xlfn.XLOOKUP(PV_DATA[[#This Row],[SPTN-PVHK New Ark PO'#]],New_Ark_Data[Purchase order Number],New_Ark_Data[Estimated time of arrival],"",0))</f>
        <v/>
      </c>
      <c r="AZ1066" s="964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66" s="966">
        <f>IFERROR(PV_DATA[[#This Row],[ODP ETA Port]]+PV_DATA[[#This Row],[Customs/Leg3 Assumption]],"n/a")</f>
        <v>46344.875</v>
      </c>
      <c r="BB1066" s="433">
        <f>YEAR(PV_DATA[[#This Row],[ETA for New Ark update]])</f>
        <v>2026</v>
      </c>
      <c r="BC1066" s="430">
        <f>MONTH(PV_DATA[[#This Row],[ETA for New Ark update]])</f>
        <v>11</v>
      </c>
      <c r="BD1066" s="623">
        <f>IFERROR(_xlfn.ISOWEEKNUM(PV_DATA[[#This Row],[ETA for New Ark update]]),0)</f>
        <v>47</v>
      </c>
      <c r="BE1066" s="623">
        <f>_xlfn.XLOOKUP(PV_DATA[[#This Row],[New Ark SKU]],Table9[New Ark SKU],Table9[Total PCS per Pallet],,0)</f>
        <v>36</v>
      </c>
      <c r="BF1066" s="623">
        <f>_xlfn.XLOOKUP(PV_DATA[[#This Row],[New Ark SKU]],Table9[New Ark SKU],Table9[Total PCS per 40HQ Container],,0)</f>
        <v>864</v>
      </c>
      <c r="BG1066" s="430" t="str">
        <f>_xlfn.XLOOKUP(PV_DATA[[#This Row],[New Ark SKU]],Table9[New Ark SKU],Table9[Back Glass],,0)</f>
        <v>Black glazing</v>
      </c>
      <c r="BH1066" s="967" t="str">
        <f>_xlfn.XLOOKUP(PV_DATA[[#This Row],[PORT DESTINATION]],Table12[PORT DESTINATION],Table12[Cosco Line],,0)</f>
        <v>AEU</v>
      </c>
    </row>
    <row r="1067" spans="1:60" s="430" customFormat="1" ht="10.5" hidden="1">
      <c r="A1067" s="941" t="s">
        <v>6842</v>
      </c>
      <c r="B1067" s="1052" t="s">
        <v>111</v>
      </c>
      <c r="C1067" s="462" t="str">
        <f>IFERROR(LEFT(PV_DATA[[#This Row],[TCL REFERENCE]],FIND(".",PV_DATA[[#This Row],[TCL REFERENCE]],1)-1),"Main Line")</f>
        <v>26Aug010</v>
      </c>
      <c r="D1067" s="935" t="s">
        <v>113</v>
      </c>
      <c r="E1067" s="462" t="s">
        <v>64</v>
      </c>
      <c r="F1067" s="462" t="str" cm="1">
        <f t="array" ref="F106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67" s="462" t="s">
        <v>402</v>
      </c>
      <c r="H1067" s="462" t="s">
        <v>67</v>
      </c>
      <c r="I1067" s="462" t="s">
        <v>689</v>
      </c>
      <c r="J1067" s="430" t="s">
        <v>96</v>
      </c>
      <c r="K1067" s="623"/>
      <c r="L1067" s="623"/>
      <c r="M1067" s="430" t="s">
        <v>68</v>
      </c>
      <c r="N1067" s="1053"/>
      <c r="O1067" s="623" t="s">
        <v>4540</v>
      </c>
      <c r="P1067" s="623" t="s">
        <v>6245</v>
      </c>
      <c r="Q1067" s="623" t="s">
        <v>330</v>
      </c>
      <c r="R1067" s="430" t="str">
        <f>_xlfn.XLOOKUP(PV_DATA[[#This Row],[New Ark SKU]],Table9[New Ark SKU],Table9[Connector],,0)</f>
        <v>H4(Com)</v>
      </c>
      <c r="S1067" s="433" t="str">
        <f>_xlfn.XLOOKUP(PV_DATA[[#This Row],[New Ark SKU]],Table9[New Ark SKU],Table9[Cable],,0)</f>
        <v>+400mm/-200mm</v>
      </c>
      <c r="T1067" s="964">
        <v>625</v>
      </c>
      <c r="U1067" s="1062">
        <v>3600</v>
      </c>
      <c r="V1067" s="965">
        <f>PV_DATA[[#This Row],[QUANTITY]]*PV_DATA[[#This Row],[WATT]]/1000000</f>
        <v>2.25</v>
      </c>
      <c r="W1067" s="435">
        <f>PV_DATA[[#This Row],[QUANTITY]]/36</f>
        <v>100</v>
      </c>
      <c r="X1067" s="1153">
        <f>PV_DATA[[#This Row],[QUANTITY]]/PV_DATA[[#This Row],[Qty/CT]]</f>
        <v>5</v>
      </c>
      <c r="Y1067" s="430" t="s">
        <v>4380</v>
      </c>
      <c r="Z1067" s="430" t="str">
        <f t="shared" si="20"/>
        <v>IN-TRANSIT</v>
      </c>
      <c r="AA1067" s="623" t="s">
        <v>5862</v>
      </c>
      <c r="AB1067" s="966">
        <v>46279</v>
      </c>
      <c r="AC1067" s="1154">
        <f>IF(PV_DATA[[#This Row],[Pick-Up Date]]&lt;&gt;"",_xlfn.ISOWEEKNUM(PV_DATA[[#This Row],[Pick-Up Date]]),"")</f>
        <v>38</v>
      </c>
      <c r="AD1067" s="623" t="s">
        <v>6843</v>
      </c>
      <c r="AE1067" s="623"/>
      <c r="AF1067" s="623" t="s">
        <v>122</v>
      </c>
      <c r="AG1067" s="623" t="s">
        <v>122</v>
      </c>
      <c r="AH1067" s="430" t="s">
        <v>105</v>
      </c>
      <c r="AI1067" s="966">
        <v>46287</v>
      </c>
      <c r="AJ1067" s="966">
        <f>IFERROR(VLOOKUP(AT1067, Vessel!A:D, 4, FALSE), "")</f>
        <v>46294.166666666664</v>
      </c>
      <c r="AK1067" s="437">
        <v>46294</v>
      </c>
      <c r="AL1067" s="966">
        <v>46323</v>
      </c>
      <c r="AM1067" s="966">
        <f>IFERROR(VLOOKUP(AT1067, Vessel!A:H, 8, FALSE), "")</f>
        <v>46338.875</v>
      </c>
      <c r="AN1067" s="966" t="str">
        <f>IFERROR(IF(VLOOKUP(AT1067,Vessel!A:I,9,FALSE)=0,"",VLOOKUP(AT1067,Vessel!A:I,9,FALSE)),"")</f>
        <v/>
      </c>
      <c r="AO1067" s="623"/>
      <c r="AP1067" s="623" t="s">
        <v>6844</v>
      </c>
      <c r="AQ1067" s="1044" t="s">
        <v>80</v>
      </c>
      <c r="AR1067" s="623" t="s">
        <v>6845</v>
      </c>
      <c r="AS1067" s="623" t="s">
        <v>6846</v>
      </c>
      <c r="AT1067" s="430" t="s">
        <v>6846</v>
      </c>
      <c r="AU106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44.875</v>
      </c>
      <c r="AV1067" s="623"/>
      <c r="AW1067" s="966" cm="1">
        <f t="array" ref="AW106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46338.875</v>
      </c>
      <c r="AX106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67" s="966" t="str">
        <f>IF(ISERROR(PV_DATA[[#This Row],[New Ark PO status]]),"",_xlfn.XLOOKUP(PV_DATA[[#This Row],[SPTN-PVHK New Ark PO'#]],New_Ark_Data[Purchase order Number],New_Ark_Data[Estimated time of arrival],"",0))</f>
        <v/>
      </c>
      <c r="AZ1067" s="964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67" s="966">
        <f>IFERROR(PV_DATA[[#This Row],[ODP ETA Port]]+PV_DATA[[#This Row],[Customs/Leg3 Assumption]],"n/a")</f>
        <v>46345.875</v>
      </c>
      <c r="BB1067" s="433" t="s">
        <v>6545</v>
      </c>
      <c r="BC1067" s="433" t="s">
        <v>6545</v>
      </c>
      <c r="BD1067" s="623">
        <f>IFERROR(_xlfn.ISOWEEKNUM(PV_DATA[[#This Row],[ETA for New Ark update]]),0)</f>
        <v>47</v>
      </c>
      <c r="BE1067" s="623">
        <f>_xlfn.XLOOKUP(PV_DATA[[#This Row],[New Ark SKU]],Table9[New Ark SKU],Table9[Total PCS per Pallet],,0)</f>
        <v>36</v>
      </c>
      <c r="BF1067" s="623">
        <f>_xlfn.XLOOKUP(PV_DATA[[#This Row],[New Ark SKU]],Table9[New Ark SKU],Table9[Total PCS per 40HQ Container],,0)</f>
        <v>720</v>
      </c>
      <c r="BG1067" s="623" t="str">
        <f>_xlfn.XLOOKUP(PV_DATA[[#This Row],[New Ark SKU]],Table9[New Ark SKU],Table9[Back Glass],,0)</f>
        <v>Redirection Film</v>
      </c>
      <c r="BH1067" s="967" t="str">
        <f>_xlfn.XLOOKUP(PV_DATA[[#This Row],[PORT DESTINATION]],Table12[PORT DESTINATION],Table12[Cosco Line],,0)</f>
        <v>AEU</v>
      </c>
    </row>
    <row r="1068" spans="1:60" s="430" customFormat="1" ht="13.5" hidden="1" customHeight="1">
      <c r="A1068" s="729" t="s">
        <v>6847</v>
      </c>
      <c r="B1068" s="459" t="s">
        <v>1757</v>
      </c>
      <c r="C1068" s="462" t="str">
        <f>IFERROR(LEFT(PV_DATA[[#This Row],[TCL REFERENCE]],FIND(".",PV_DATA[[#This Row],[TCL REFERENCE]],1)-1),"Main Line")</f>
        <v>26Aug013</v>
      </c>
      <c r="D1068" s="935" t="s">
        <v>113</v>
      </c>
      <c r="E1068" s="462" t="s">
        <v>144</v>
      </c>
      <c r="F1068" s="462" t="str" cm="1">
        <f t="array" ref="F106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68" s="462" t="s">
        <v>402</v>
      </c>
      <c r="H1068" s="462" t="s">
        <v>670</v>
      </c>
      <c r="I1068" s="462" t="s">
        <v>1395</v>
      </c>
      <c r="J1068" s="462" t="s">
        <v>670</v>
      </c>
      <c r="K1068" s="430" t="s">
        <v>6848</v>
      </c>
      <c r="L1068" s="430">
        <v>1</v>
      </c>
      <c r="M1068" s="430" t="s">
        <v>840</v>
      </c>
      <c r="N1068" s="432"/>
      <c r="O1068" s="430" t="s">
        <v>284</v>
      </c>
      <c r="P1068" s="430" t="s">
        <v>6849</v>
      </c>
      <c r="Q1068" s="430" t="s">
        <v>6850</v>
      </c>
      <c r="R1068" s="430" t="str">
        <f>_xlfn.XLOOKUP(PV_DATA[[#This Row],[New Ark SKU]],Table9[New Ark SKU],Table9[Connector],,0)</f>
        <v>EVO2A</v>
      </c>
      <c r="S1068" s="433" t="str">
        <f>_xlfn.XLOOKUP(PV_DATA[[#This Row],[New Ark SKU]],Table9[New Ark SKU],Table9[Cable],,0)</f>
        <v>±1200mm</v>
      </c>
      <c r="T1068" s="433">
        <v>490</v>
      </c>
      <c r="U1068" s="1062">
        <v>8424</v>
      </c>
      <c r="V1068" s="434">
        <f>PV_DATA[[#This Row],[QUANTITY]]*PV_DATA[[#This Row],[WATT]]/1000000</f>
        <v>4.1277600000000003</v>
      </c>
      <c r="W1068" s="969">
        <f>PV_DATA[[#This Row],[QUANTITY]]/36</f>
        <v>234</v>
      </c>
      <c r="X1068" s="1015">
        <f>PV_DATA[[#This Row],[QUANTITY]]/PV_DATA[[#This Row],[Qty/CT]]</f>
        <v>9</v>
      </c>
      <c r="Y1068" s="430" t="s">
        <v>4380</v>
      </c>
      <c r="Z1068" s="430" t="str">
        <f t="shared" si="20"/>
        <v>IN-TRANSIT</v>
      </c>
      <c r="AA1068" s="430" t="s">
        <v>6851</v>
      </c>
      <c r="AB1068" s="437">
        <v>46279</v>
      </c>
      <c r="AC1068" s="485">
        <f>IF(PV_DATA[[#This Row],[Pick-Up Date]]&lt;&gt;"",_xlfn.ISOWEEKNUM(PV_DATA[[#This Row],[Pick-Up Date]]),"")</f>
        <v>38</v>
      </c>
      <c r="AD1068" s="430" t="s">
        <v>6852</v>
      </c>
      <c r="AF1068" s="430" t="s">
        <v>122</v>
      </c>
      <c r="AG1068" s="430" t="s">
        <v>122</v>
      </c>
      <c r="AH1068" s="430" t="s">
        <v>105</v>
      </c>
      <c r="AI1068" s="437">
        <v>46288</v>
      </c>
      <c r="AJ1068" s="437">
        <f>IFERROR(VLOOKUP(AT1068, Vessel!A:D, 4, FALSE), "")</f>
        <v>46287.5</v>
      </c>
      <c r="AK1068" s="437">
        <f>IFERROR(IF(VLOOKUP(AT1068,Vessel!A:F,5,FALSE)=0,"",VLOOKUP(AT1068,Vessel!A:F,5,FALSE)),"")</f>
        <v>46287.427245370367</v>
      </c>
      <c r="AL1068" s="437">
        <v>46324</v>
      </c>
      <c r="AM1068" s="939">
        <f>IFERROR(VLOOKUP(AT1068, Vessel!A:H, 8, FALSE), "")</f>
        <v>46332.625</v>
      </c>
      <c r="AN1068" s="939" t="str">
        <f>IFERROR(IF(VLOOKUP(AT1068,Vessel!A:I,9,FALSE)=0,"",VLOOKUP(AT1068,Vessel!A:I,9,FALSE)),"")</f>
        <v/>
      </c>
      <c r="AP1068" s="430" t="s">
        <v>6821</v>
      </c>
      <c r="AQ1068" s="438" t="s">
        <v>80</v>
      </c>
      <c r="AR1068" s="430" t="s">
        <v>6853</v>
      </c>
      <c r="AS1068" s="430" t="s">
        <v>6854</v>
      </c>
      <c r="AT1068" s="430" t="s">
        <v>6854</v>
      </c>
      <c r="AU106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45.197754629632982</v>
      </c>
      <c r="AW1068" s="437" cm="1">
        <f t="array" ref="AW106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46332.625</v>
      </c>
      <c r="AX106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68" s="437" t="str">
        <f>IF(ISERROR(PV_DATA[[#This Row],[New Ark PO status]]),"",_xlfn.XLOOKUP(PV_DATA[[#This Row],[SPTN-PVHK New Ark PO'#]],New_Ark_Data[Purchase order Number],New_Ark_Data[Estimated time of arrival],"",0))</f>
        <v/>
      </c>
      <c r="AZ1068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68" s="437">
        <f>IFERROR(PV_DATA[[#This Row],[ODP ETA Port]]+PV_DATA[[#This Row],[Customs/Leg3 Assumption]],"n/a")</f>
        <v>46332.625</v>
      </c>
      <c r="BB1068" s="433">
        <f>YEAR(PV_DATA[[#This Row],[ETA for New Ark update]])</f>
        <v>2026</v>
      </c>
      <c r="BC1068" s="430">
        <f>MONTH(PV_DATA[[#This Row],[ETA for New Ark update]])</f>
        <v>11</v>
      </c>
      <c r="BD1068" s="430">
        <f>IFERROR(_xlfn.ISOWEEKNUM(PV_DATA[[#This Row],[ETA for New Ark update]]),0)</f>
        <v>45</v>
      </c>
      <c r="BE1068" s="430">
        <f>_xlfn.XLOOKUP(PV_DATA[[#This Row],[New Ark SKU]],Table9[New Ark SKU],Table9[Total PCS per Pallet],,0)</f>
        <v>36</v>
      </c>
      <c r="BF1068" s="430">
        <f>_xlfn.XLOOKUP(PV_DATA[[#This Row],[New Ark SKU]],Table9[New Ark SKU],Table9[Total PCS per 40HQ Container],,0)</f>
        <v>936</v>
      </c>
      <c r="BG1068" s="430" t="str">
        <f>_xlfn.XLOOKUP(PV_DATA[[#This Row],[New Ark SKU]],Table9[New Ark SKU],Table9[Back Glass],,0)</f>
        <v>Black glazing</v>
      </c>
      <c r="BH1068" s="610" t="str">
        <f>_xlfn.XLOOKUP(PV_DATA[[#This Row],[PORT DESTINATION]],Table12[PORT DESTINATION],Table12[Cosco Line],,0)</f>
        <v>AEU</v>
      </c>
    </row>
    <row r="1069" spans="1:60" s="430" customFormat="1" ht="10.5" hidden="1">
      <c r="A1069" s="462" t="s">
        <v>6855</v>
      </c>
      <c r="B1069" s="459" t="s">
        <v>1757</v>
      </c>
      <c r="C1069" s="462" t="str">
        <f>IFERROR(LEFT(PV_DATA[[#This Row],[TCL REFERENCE]],FIND(".",PV_DATA[[#This Row],[TCL REFERENCE]],1)-1),"Main Line")</f>
        <v>26Aug014</v>
      </c>
      <c r="D1069" s="462" t="s">
        <v>113</v>
      </c>
      <c r="E1069" s="462" t="s">
        <v>144</v>
      </c>
      <c r="F1069" s="462" t="str" cm="1">
        <f t="array" ref="F106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69" s="462" t="s">
        <v>402</v>
      </c>
      <c r="H1069" s="462" t="s">
        <v>670</v>
      </c>
      <c r="I1069" s="462" t="s">
        <v>1395</v>
      </c>
      <c r="J1069" s="462" t="s">
        <v>670</v>
      </c>
      <c r="K1069" s="430" t="s">
        <v>6848</v>
      </c>
      <c r="L1069" s="430">
        <v>5</v>
      </c>
      <c r="M1069" s="430" t="s">
        <v>840</v>
      </c>
      <c r="N1069" s="432"/>
      <c r="O1069" s="430" t="s">
        <v>284</v>
      </c>
      <c r="P1069" s="430" t="s">
        <v>6856</v>
      </c>
      <c r="Q1069" s="430" t="s">
        <v>6857</v>
      </c>
      <c r="R1069" s="430" t="str">
        <f>_xlfn.XLOOKUP(PV_DATA[[#This Row],[New Ark SKU]],Table9[New Ark SKU],Table9[Connector],,0)</f>
        <v>EVO2A</v>
      </c>
      <c r="S1069" s="433" t="str">
        <f>_xlfn.XLOOKUP(PV_DATA[[#This Row],[New Ark SKU]],Table9[New Ark SKU],Table9[Cable],,0)</f>
        <v>±1200mm</v>
      </c>
      <c r="T1069" s="433">
        <v>485</v>
      </c>
      <c r="U1069" s="1062">
        <v>1872</v>
      </c>
      <c r="V1069" s="434">
        <f>PV_DATA[[#This Row],[QUANTITY]]*PV_DATA[[#This Row],[WATT]]/1000000</f>
        <v>0.90791999999999995</v>
      </c>
      <c r="W1069" s="435">
        <f>PV_DATA[[#This Row],[QUANTITY]]/36</f>
        <v>52</v>
      </c>
      <c r="X1069" s="1015">
        <f>PV_DATA[[#This Row],[QUANTITY]]/PV_DATA[[#This Row],[Qty/CT]]</f>
        <v>2</v>
      </c>
      <c r="Y1069" s="430" t="s">
        <v>4380</v>
      </c>
      <c r="Z1069" s="430" t="str">
        <f t="shared" si="20"/>
        <v>IN-TRANSIT</v>
      </c>
      <c r="AA1069" s="430" t="s">
        <v>6851</v>
      </c>
      <c r="AB1069" s="437">
        <v>46279</v>
      </c>
      <c r="AC1069" s="485">
        <f>IF(PV_DATA[[#This Row],[Pick-Up Date]]&lt;&gt;"",_xlfn.ISOWEEKNUM(PV_DATA[[#This Row],[Pick-Up Date]]),"")</f>
        <v>38</v>
      </c>
      <c r="AD1069" s="430" t="s">
        <v>6858</v>
      </c>
      <c r="AF1069" s="430" t="s">
        <v>122</v>
      </c>
      <c r="AG1069" s="430" t="s">
        <v>122</v>
      </c>
      <c r="AH1069" s="430" t="s">
        <v>105</v>
      </c>
      <c r="AI1069" s="437">
        <v>46288</v>
      </c>
      <c r="AJ1069" s="437">
        <f>IFERROR(VLOOKUP(AT1069, Vessel!A:D, 4, FALSE), "")</f>
        <v>46287.5</v>
      </c>
      <c r="AK1069" s="437">
        <f>IFERROR(IF(VLOOKUP(AT1069,Vessel!A:F,5,FALSE)=0,"",VLOOKUP(AT1069,Vessel!A:F,5,FALSE)),"")</f>
        <v>46287.427245370367</v>
      </c>
      <c r="AL1069" s="437">
        <v>46324</v>
      </c>
      <c r="AM1069" s="939">
        <f>IFERROR(VLOOKUP(AT1069, Vessel!A:H, 8, FALSE), "")</f>
        <v>46332.625</v>
      </c>
      <c r="AN1069" s="939" t="str">
        <f>IFERROR(IF(VLOOKUP(AT1069,Vessel!A:I,9,FALSE)=0,"",VLOOKUP(AT1069,Vessel!A:I,9,FALSE)),"")</f>
        <v/>
      </c>
      <c r="AP1069" s="430" t="s">
        <v>6821</v>
      </c>
      <c r="AQ1069" s="438" t="s">
        <v>80</v>
      </c>
      <c r="AR1069" s="430" t="s">
        <v>6853</v>
      </c>
      <c r="AS1069" s="430" t="s">
        <v>6854</v>
      </c>
      <c r="AT1069" s="430" t="s">
        <v>6854</v>
      </c>
      <c r="AU106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45.197754629632982</v>
      </c>
      <c r="AW1069" s="437" cm="1">
        <f t="array" ref="AW106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46332.625</v>
      </c>
      <c r="AX106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69" s="437" t="str">
        <f>IF(ISERROR(PV_DATA[[#This Row],[New Ark PO status]]),"",_xlfn.XLOOKUP(PV_DATA[[#This Row],[SPTN-PVHK New Ark PO'#]],New_Ark_Data[Purchase order Number],New_Ark_Data[Estimated time of arrival],"",0))</f>
        <v/>
      </c>
      <c r="AZ1069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69" s="437">
        <f>IFERROR(PV_DATA[[#This Row],[ODP ETA Port]]+PV_DATA[[#This Row],[Customs/Leg3 Assumption]],"n/a")</f>
        <v>46332.625</v>
      </c>
      <c r="BB1069" s="433">
        <f>YEAR(PV_DATA[[#This Row],[ETA for New Ark update]])</f>
        <v>2026</v>
      </c>
      <c r="BC1069" s="430">
        <f>MONTH(PV_DATA[[#This Row],[ETA for New Ark update]])</f>
        <v>11</v>
      </c>
      <c r="BD1069" s="430">
        <f>IFERROR(_xlfn.ISOWEEKNUM(PV_DATA[[#This Row],[ETA for New Ark update]]),0)</f>
        <v>45</v>
      </c>
      <c r="BE1069" s="430">
        <f>_xlfn.XLOOKUP(PV_DATA[[#This Row],[New Ark SKU]],Table9[New Ark SKU],Table9[Total PCS per Pallet],,0)</f>
        <v>36</v>
      </c>
      <c r="BF1069" s="430">
        <f>_xlfn.XLOOKUP(PV_DATA[[#This Row],[New Ark SKU]],Table9[New Ark SKU],Table9[Total PCS per 40HQ Container],,0)</f>
        <v>936</v>
      </c>
      <c r="BG1069" s="430" t="str">
        <f>_xlfn.XLOOKUP(PV_DATA[[#This Row],[New Ark SKU]],Table9[New Ark SKU],Table9[Back Glass],,0)</f>
        <v>Black glazing</v>
      </c>
      <c r="BH1069" s="430" t="str">
        <f>_xlfn.XLOOKUP(PV_DATA[[#This Row],[PORT DESTINATION]],Table12[PORT DESTINATION],Table12[Cosco Line],,0)</f>
        <v>AEU</v>
      </c>
    </row>
    <row r="1070" spans="1:60" s="430" customFormat="1" ht="10.5" hidden="1">
      <c r="A1070" s="729" t="s">
        <v>6859</v>
      </c>
      <c r="B1070" s="462" t="s">
        <v>1757</v>
      </c>
      <c r="C1070" s="462" t="str">
        <f>IFERROR(LEFT(PV_DATA[[#This Row],[TCL REFERENCE]],FIND(".",PV_DATA[[#This Row],[TCL REFERENCE]],1)-1),"Main Line")</f>
        <v>26Aug014</v>
      </c>
      <c r="D1070" s="462" t="s">
        <v>113</v>
      </c>
      <c r="E1070" s="462" t="s">
        <v>144</v>
      </c>
      <c r="F1070" s="462" t="str" cm="1">
        <f t="array" ref="F107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70" s="462" t="s">
        <v>402</v>
      </c>
      <c r="H1070" s="462" t="s">
        <v>670</v>
      </c>
      <c r="I1070" s="462" t="s">
        <v>1395</v>
      </c>
      <c r="J1070" s="462" t="s">
        <v>670</v>
      </c>
      <c r="K1070" s="430" t="s">
        <v>6848</v>
      </c>
      <c r="L1070" s="430">
        <v>4</v>
      </c>
      <c r="M1070" s="430" t="s">
        <v>840</v>
      </c>
      <c r="N1070" s="432"/>
      <c r="O1070" s="430" t="s">
        <v>284</v>
      </c>
      <c r="P1070" s="430" t="s">
        <v>6856</v>
      </c>
      <c r="Q1070" s="430" t="s">
        <v>6857</v>
      </c>
      <c r="R1070" s="430" t="str">
        <f>_xlfn.XLOOKUP(PV_DATA[[#This Row],[New Ark SKU]],Table9[New Ark SKU],Table9[Connector],,0)</f>
        <v>EVO2A</v>
      </c>
      <c r="S1070" s="433" t="str">
        <f>_xlfn.XLOOKUP(PV_DATA[[#This Row],[New Ark SKU]],Table9[New Ark SKU],Table9[Cable],,0)</f>
        <v>±1200mm</v>
      </c>
      <c r="T1070" s="433">
        <v>485</v>
      </c>
      <c r="U1070" s="1062">
        <f>936*8</f>
        <v>7488</v>
      </c>
      <c r="V1070" s="434">
        <f>PV_DATA[[#This Row],[QUANTITY]]*PV_DATA[[#This Row],[WATT]]/1000000</f>
        <v>3.6316799999999998</v>
      </c>
      <c r="W1070" s="435">
        <f>PV_DATA[[#This Row],[QUANTITY]]/36</f>
        <v>208</v>
      </c>
      <c r="X1070" s="1015">
        <f>PV_DATA[[#This Row],[QUANTITY]]/PV_DATA[[#This Row],[Qty/CT]]</f>
        <v>8</v>
      </c>
      <c r="Y1070" s="430" t="s">
        <v>4379</v>
      </c>
      <c r="Z1070" s="430" t="str">
        <f t="shared" si="20"/>
        <v>IN-TRANSIT</v>
      </c>
      <c r="AA1070" s="430" t="s">
        <v>6860</v>
      </c>
      <c r="AB1070" s="437">
        <v>46283</v>
      </c>
      <c r="AC1070" s="485">
        <f>IF(PV_DATA[[#This Row],[Pick-Up Date]]&lt;&gt;"",_xlfn.ISOWEEKNUM(PV_DATA[[#This Row],[Pick-Up Date]]),"")</f>
        <v>38</v>
      </c>
      <c r="AD1070" s="430" t="s">
        <v>6861</v>
      </c>
      <c r="AF1070" s="430" t="s">
        <v>122</v>
      </c>
      <c r="AG1070" s="430" t="s">
        <v>122</v>
      </c>
      <c r="AH1070" s="430" t="s">
        <v>105</v>
      </c>
      <c r="AI1070" s="437">
        <v>46290</v>
      </c>
      <c r="AJ1070" s="437">
        <f>IFERROR(VLOOKUP(AT1070, Vessel!A:D, 4, FALSE), "")</f>
        <v>46294.166666666664</v>
      </c>
      <c r="AK1070" s="437">
        <v>46294</v>
      </c>
      <c r="AL1070" s="437">
        <v>46333</v>
      </c>
      <c r="AM1070" s="939">
        <f>IFERROR(VLOOKUP(AT1070, Vessel!A:H, 8, FALSE), "")</f>
        <v>46338.875</v>
      </c>
      <c r="AN1070" s="939" t="str">
        <f>IFERROR(IF(VLOOKUP(AT1070,Vessel!A:I,9,FALSE)=0,"",VLOOKUP(AT1070,Vessel!A:I,9,FALSE)),"")</f>
        <v/>
      </c>
      <c r="AP1070" s="430" t="s">
        <v>6862</v>
      </c>
      <c r="AQ1070" s="438" t="s">
        <v>80</v>
      </c>
      <c r="AR1070" s="430" t="s">
        <v>6863</v>
      </c>
      <c r="AS1070" s="430" t="s">
        <v>6864</v>
      </c>
      <c r="AT1070" s="430" t="s">
        <v>6864</v>
      </c>
      <c r="AU107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44.875</v>
      </c>
      <c r="AW1070" s="437" cm="1">
        <f t="array" ref="AW107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46338.875</v>
      </c>
      <c r="AX107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70" s="437" t="str">
        <f>IF(ISERROR(PV_DATA[[#This Row],[New Ark PO status]]),"",_xlfn.XLOOKUP(PV_DATA[[#This Row],[SPTN-PVHK New Ark PO'#]],New_Ark_Data[Purchase order Number],New_Ark_Data[Estimated time of arrival],"",0))</f>
        <v/>
      </c>
      <c r="AZ1070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70" s="437">
        <f>IFERROR(PV_DATA[[#This Row],[ODP ETA Port]]+PV_DATA[[#This Row],[Customs/Leg3 Assumption]],"n/a")</f>
        <v>46338.875</v>
      </c>
      <c r="BB1070" s="433">
        <f>YEAR(PV_DATA[[#This Row],[ETA for New Ark update]])</f>
        <v>2026</v>
      </c>
      <c r="BC1070" s="430">
        <f>MONTH(PV_DATA[[#This Row],[ETA for New Ark update]])</f>
        <v>11</v>
      </c>
      <c r="BD1070" s="430">
        <f>IFERROR(_xlfn.ISOWEEKNUM(PV_DATA[[#This Row],[ETA for New Ark update]]),0)</f>
        <v>46</v>
      </c>
      <c r="BE1070" s="430">
        <f>_xlfn.XLOOKUP(PV_DATA[[#This Row],[New Ark SKU]],Table9[New Ark SKU],Table9[Total PCS per Pallet],,0)</f>
        <v>36</v>
      </c>
      <c r="BF1070" s="430">
        <f>_xlfn.XLOOKUP(PV_DATA[[#This Row],[New Ark SKU]],Table9[New Ark SKU],Table9[Total PCS per 40HQ Container],,0)</f>
        <v>936</v>
      </c>
      <c r="BG1070" s="430" t="str">
        <f>_xlfn.XLOOKUP(PV_DATA[[#This Row],[New Ark SKU]],Table9[New Ark SKU],Table9[Back Glass],,0)</f>
        <v>Black glazing</v>
      </c>
      <c r="BH1070" s="610" t="str">
        <f>_xlfn.XLOOKUP(PV_DATA[[#This Row],[PORT DESTINATION]],Table12[PORT DESTINATION],Table12[Cosco Line],,0)</f>
        <v>AEU</v>
      </c>
    </row>
    <row r="1071" spans="1:60" s="430" customFormat="1" ht="13.5" hidden="1" customHeight="1">
      <c r="A1071" s="729" t="s">
        <v>6865</v>
      </c>
      <c r="B1071" s="462" t="s">
        <v>111</v>
      </c>
      <c r="C1071" s="462" t="str">
        <f>IFERROR(LEFT(PV_DATA[[#This Row],[TCL REFERENCE]],FIND(".",PV_DATA[[#This Row],[TCL REFERENCE]],1)-1),"Main Line")</f>
        <v>26Aug016</v>
      </c>
      <c r="D1071" s="462" t="s">
        <v>63</v>
      </c>
      <c r="E1071" s="462" t="s">
        <v>64</v>
      </c>
      <c r="F1071" s="462" t="str" cm="1">
        <f t="array" ref="F107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071" s="462" t="s">
        <v>402</v>
      </c>
      <c r="H1071" s="462" t="s">
        <v>311</v>
      </c>
      <c r="I1071" s="462" t="s">
        <v>689</v>
      </c>
      <c r="J1071" s="430" t="s">
        <v>96</v>
      </c>
      <c r="M1071" s="430" t="s">
        <v>68</v>
      </c>
      <c r="N1071" s="432">
        <v>46282</v>
      </c>
      <c r="O1071" s="430" t="s">
        <v>550</v>
      </c>
      <c r="P1071" s="430" t="s">
        <v>2134</v>
      </c>
      <c r="Q1071" s="430" t="s">
        <v>2135</v>
      </c>
      <c r="R1071" s="430" t="str">
        <f>_xlfn.XLOOKUP(PV_DATA[[#This Row],[New Ark SKU]],Table9[New Ark SKU],Table9[Connector],,0)</f>
        <v>EVO2A</v>
      </c>
      <c r="S1071" s="433" t="str">
        <f>_xlfn.XLOOKUP(PV_DATA[[#This Row],[New Ark SKU]],Table9[New Ark SKU],Table9[Cable],,0)</f>
        <v>±1350mm</v>
      </c>
      <c r="T1071" s="433">
        <v>515</v>
      </c>
      <c r="U1071" s="1062">
        <f>792*4</f>
        <v>3168</v>
      </c>
      <c r="V1071" s="434">
        <f>PV_DATA[[#This Row],[QUANTITY]]*PV_DATA[[#This Row],[WATT]]/1000000</f>
        <v>1.6315200000000001</v>
      </c>
      <c r="W1071" s="435">
        <f>PV_DATA[[#This Row],[QUANTITY]]/PV_DATA[[#This Row],[Qty/Pallet]]</f>
        <v>88</v>
      </c>
      <c r="X1071" s="1015">
        <f>PV_DATA[[#This Row],[QUANTITY]]/PV_DATA[[#This Row],[Qty/CT]]</f>
        <v>4</v>
      </c>
      <c r="Y1071" s="430" t="s">
        <v>4380</v>
      </c>
      <c r="Z1071" s="430" t="str">
        <f t="shared" si="20"/>
        <v>IN-TRANSIT</v>
      </c>
      <c r="AA1071" s="545">
        <v>46283</v>
      </c>
      <c r="AB1071" s="437">
        <v>46283</v>
      </c>
      <c r="AC1071" s="485">
        <f>IF(PV_DATA[[#This Row],[Pick-Up Date]]&lt;&gt;"",_xlfn.ISOWEEKNUM(PV_DATA[[#This Row],[Pick-Up Date]]),"")</f>
        <v>38</v>
      </c>
      <c r="AD1071" s="430" t="s">
        <v>6866</v>
      </c>
      <c r="AF1071" s="430" t="s">
        <v>122</v>
      </c>
      <c r="AG1071" s="430" t="s">
        <v>122</v>
      </c>
      <c r="AH1071" s="430" t="s">
        <v>314</v>
      </c>
      <c r="AI1071" s="437">
        <v>46292</v>
      </c>
      <c r="AJ1071" s="437">
        <f>IFERROR(VLOOKUP(AT1071, Vessel!A:D, 4, FALSE), "")</f>
        <v>46292.791666666664</v>
      </c>
      <c r="AK1071" s="437">
        <f>IFERROR(IF(VLOOKUP(AT1071,Vessel!A:F,5,FALSE)=0,"",VLOOKUP(AT1071,Vessel!A:F,5,FALSE)),"")</f>
        <v>46292.810983796298</v>
      </c>
      <c r="AL1071" s="437">
        <v>46337</v>
      </c>
      <c r="AM1071" s="1194">
        <f>IFERROR(VLOOKUP(AT1071, Vessel!A:H, 8, FALSE), "")</f>
        <v>46344.5</v>
      </c>
      <c r="AN1071" s="939" t="str">
        <f>IFERROR(IF(VLOOKUP(AT1071,Vessel!A:I,9,FALSE)=0,"",VLOOKUP(AT1071,Vessel!A:I,9,FALSE)),"")</f>
        <v/>
      </c>
      <c r="AP1071" s="430" t="s">
        <v>6867</v>
      </c>
      <c r="AQ1071" s="438" t="s">
        <v>80</v>
      </c>
      <c r="AR1071" s="430" t="s">
        <v>6868</v>
      </c>
      <c r="AS1071" s="430" t="s">
        <v>6869</v>
      </c>
      <c r="AT1071" s="430" t="s">
        <v>6869</v>
      </c>
      <c r="AU107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51.689016203701613</v>
      </c>
      <c r="AW1071" s="437" cm="1">
        <f t="array" ref="AW107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46344.5</v>
      </c>
      <c r="AX107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71" s="437" t="str">
        <f>IF(ISERROR(PV_DATA[[#This Row],[New Ark PO status]]),"",_xlfn.XLOOKUP(PV_DATA[[#This Row],[SPTN-PVHK New Ark PO'#]],New_Ark_Data[Purchase order Number],New_Ark_Data[Estimated time of arrival],"",0))</f>
        <v/>
      </c>
      <c r="AZ1071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071" s="437">
        <f>IFERROR(PV_DATA[[#This Row],[ODP ETA Port]]+PV_DATA[[#This Row],[Customs/Leg3 Assumption]],"n/a")</f>
        <v>46354.5</v>
      </c>
      <c r="BB1071" s="433" t="s">
        <v>6545</v>
      </c>
      <c r="BC1071" s="433" t="s">
        <v>6545</v>
      </c>
      <c r="BD1071" s="430">
        <f>IFERROR(_xlfn.ISOWEEKNUM(PV_DATA[[#This Row],[ETA for New Ark update]]),0)</f>
        <v>48</v>
      </c>
      <c r="BE1071" s="430">
        <f>_xlfn.XLOOKUP(PV_DATA[[#This Row],[New Ark SKU]],Table9[New Ark SKU],Table9[Total PCS per Pallet],,0)</f>
        <v>36</v>
      </c>
      <c r="BF1071" s="430">
        <f>_xlfn.XLOOKUP(PV_DATA[[#This Row],[New Ark SKU]],Table9[New Ark SKU],Table9[Total PCS per 40HQ Container],,0)</f>
        <v>792</v>
      </c>
      <c r="BG1071" s="430" t="str">
        <f>_xlfn.XLOOKUP(PV_DATA[[#This Row],[New Ark SKU]],Table9[New Ark SKU],Table9[Back Glass],,0)</f>
        <v>Black glazing</v>
      </c>
      <c r="BH1071" s="610" t="str">
        <f>_xlfn.XLOOKUP(PV_DATA[[#This Row],[PORT DESTINATION]],Table12[PORT DESTINATION],Table12[Cosco Line],,0)</f>
        <v>AEM</v>
      </c>
    </row>
    <row r="1072" spans="1:60" s="430" customFormat="1" ht="10.5" hidden="1">
      <c r="A1072" s="729" t="s">
        <v>6870</v>
      </c>
      <c r="B1072" s="459" t="s">
        <v>6670</v>
      </c>
      <c r="C1072" s="462" t="str">
        <f>IFERROR(LEFT(PV_DATA[[#This Row],[TCL REFERENCE]],FIND(".",PV_DATA[[#This Row],[TCL REFERENCE]],1)-1),"Main Line")</f>
        <v>26Aug005</v>
      </c>
      <c r="D1072" s="462" t="s">
        <v>63</v>
      </c>
      <c r="E1072" s="462" t="s">
        <v>64</v>
      </c>
      <c r="F1072" s="462" t="str" cm="1">
        <f t="array" ref="F107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072" s="462" t="s">
        <v>402</v>
      </c>
      <c r="H1072" s="462" t="s">
        <v>67</v>
      </c>
      <c r="I1072" s="462" t="s">
        <v>689</v>
      </c>
      <c r="J1072" s="430" t="s">
        <v>96</v>
      </c>
      <c r="M1072" s="430" t="s">
        <v>6325</v>
      </c>
      <c r="N1072" s="432">
        <v>46258</v>
      </c>
      <c r="O1072" s="430" t="s">
        <v>4540</v>
      </c>
      <c r="P1072" s="430" t="s">
        <v>706</v>
      </c>
      <c r="Q1072" s="430" t="s">
        <v>707</v>
      </c>
      <c r="R1072" s="430" t="str">
        <f>_xlfn.XLOOKUP(PV_DATA[[#This Row],[New Ark SKU]],Table9[New Ark SKU],Table9[Connector],,0)</f>
        <v>EVO2A</v>
      </c>
      <c r="S1072" s="433" t="str">
        <f>_xlfn.XLOOKUP(PV_DATA[[#This Row],[New Ark SKU]],Table9[New Ark SKU],Table9[Cable],,0)</f>
        <v>±1200mm</v>
      </c>
      <c r="T1072" s="433">
        <v>500</v>
      </c>
      <c r="U1072" s="1062">
        <v>3456</v>
      </c>
      <c r="V1072" s="434">
        <f>PV_DATA[[#This Row],[QUANTITY]]*PV_DATA[[#This Row],[WATT]]/1000000</f>
        <v>1.728</v>
      </c>
      <c r="W1072" s="435">
        <f>PV_DATA[[#This Row],[QUANTITY]]/PV_DATA[[#This Row],[Qty/Pallet]]</f>
        <v>96</v>
      </c>
      <c r="X1072" s="1015">
        <f>PV_DATA[[#This Row],[QUANTITY]]/PV_DATA[[#This Row],[Qty/CT]]</f>
        <v>4</v>
      </c>
      <c r="Y1072" s="430" t="s">
        <v>4379</v>
      </c>
      <c r="Z1072" s="430" t="str">
        <f t="shared" si="20"/>
        <v>IN-TRANSIT</v>
      </c>
      <c r="AA1072" s="545">
        <v>46280</v>
      </c>
      <c r="AB1072" s="437">
        <v>46279</v>
      </c>
      <c r="AC1072" s="485">
        <f>IF(PV_DATA[[#This Row],[Pick-Up Date]]&lt;&gt;"",_xlfn.ISOWEEKNUM(PV_DATA[[#This Row],[Pick-Up Date]]),"")</f>
        <v>38</v>
      </c>
      <c r="AD1072" s="430" t="s">
        <v>6871</v>
      </c>
      <c r="AF1072" s="430" t="s">
        <v>122</v>
      </c>
      <c r="AG1072" s="430" t="s">
        <v>123</v>
      </c>
      <c r="AH1072" s="430" t="s">
        <v>78</v>
      </c>
      <c r="AI1072" s="437">
        <v>46288</v>
      </c>
      <c r="AJ1072" s="437">
        <f>IFERROR(VLOOKUP(AT1072, Vessel!A:D, 4, FALSE), "")</f>
        <v>46289.583333333336</v>
      </c>
      <c r="AK1072" s="437">
        <v>46289.583333333336</v>
      </c>
      <c r="AL1072" s="437">
        <v>46330</v>
      </c>
      <c r="AM1072" s="939">
        <f>IFERROR(VLOOKUP(AT1072, Vessel!A:H, 8, FALSE), "")</f>
        <v>46332.833333333336</v>
      </c>
      <c r="AN1072" s="939" t="str">
        <f>IFERROR(IF(VLOOKUP(AT1072,Vessel!A:I,9,FALSE)=0,"",VLOOKUP(AT1072,Vessel!A:I,9,FALSE)),"")</f>
        <v/>
      </c>
      <c r="AP1072" s="430" t="s">
        <v>6872</v>
      </c>
      <c r="AQ1072" s="438" t="s">
        <v>80</v>
      </c>
      <c r="AR1072" s="430" t="s">
        <v>6873</v>
      </c>
      <c r="AS1072" s="430" t="s">
        <v>6874</v>
      </c>
      <c r="AT1072" s="430" t="s">
        <v>6874</v>
      </c>
      <c r="AU107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43.25</v>
      </c>
      <c r="AW1072" s="437" cm="1">
        <f t="array" ref="AW107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46332.833333333336</v>
      </c>
      <c r="AX107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72" s="437" t="str">
        <f>IF(ISERROR(PV_DATA[[#This Row],[New Ark PO status]]),"",_xlfn.XLOOKUP(PV_DATA[[#This Row],[SPTN-PVHK New Ark PO'#]],New_Ark_Data[Purchase order Number],New_Ark_Data[Estimated time of arrival],"",0))</f>
        <v/>
      </c>
      <c r="AZ1072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072" s="437">
        <f>IFERROR(PV_DATA[[#This Row],[ODP ETA Port]]+PV_DATA[[#This Row],[Customs/Leg3 Assumption]],"n/a")</f>
        <v>46340.833333333336</v>
      </c>
      <c r="BB1072" s="433">
        <f>YEAR(PV_DATA[[#This Row],[ETA for New Ark update]])</f>
        <v>2026</v>
      </c>
      <c r="BC1072" s="430">
        <f>MONTH(PV_DATA[[#This Row],[ETA for New Ark update]])</f>
        <v>11</v>
      </c>
      <c r="BD1072" s="430">
        <f>IFERROR(_xlfn.ISOWEEKNUM(PV_DATA[[#This Row],[ETA for New Ark update]]),0)</f>
        <v>46</v>
      </c>
      <c r="BE1072" s="430">
        <f>_xlfn.XLOOKUP(PV_DATA[[#This Row],[New Ark SKU]],Table9[New Ark SKU],Table9[Total PCS per Pallet],,0)</f>
        <v>36</v>
      </c>
      <c r="BF1072" s="430">
        <f>_xlfn.XLOOKUP(PV_DATA[[#This Row],[New Ark SKU]],Table9[New Ark SKU],Table9[Total PCS per 40HQ Container],,0)</f>
        <v>864</v>
      </c>
      <c r="BG1072" s="430" t="str">
        <f>_xlfn.XLOOKUP(PV_DATA[[#This Row],[New Ark SKU]],Table9[New Ark SKU],Table9[Back Glass],,0)</f>
        <v>Black glazing</v>
      </c>
      <c r="BH1072" s="610" t="str">
        <f>_xlfn.XLOOKUP(PV_DATA[[#This Row],[PORT DESTINATION]],Table12[PORT DESTINATION],Table12[Cosco Line],,0)</f>
        <v>AEM</v>
      </c>
    </row>
    <row r="1073" spans="1:60" s="430" customFormat="1" ht="13.5" hidden="1" customHeight="1">
      <c r="A1073" s="729" t="s">
        <v>6875</v>
      </c>
      <c r="B1073" s="459" t="s">
        <v>111</v>
      </c>
      <c r="C1073" s="462" t="str">
        <f>IFERROR(LEFT(PV_DATA[[#This Row],[TCL REFERENCE]],FIND(".",PV_DATA[[#This Row],[TCL REFERENCE]],1)-1),"Main Line")</f>
        <v>26Aug015</v>
      </c>
      <c r="D1073" s="462" t="s">
        <v>63</v>
      </c>
      <c r="E1073" s="462" t="s">
        <v>64</v>
      </c>
      <c r="F1073" s="462" t="str" cm="1">
        <f t="array" ref="F107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073" s="462" t="s">
        <v>402</v>
      </c>
      <c r="H1073" s="462" t="s">
        <v>67</v>
      </c>
      <c r="I1073" s="462" t="s">
        <v>689</v>
      </c>
      <c r="J1073" s="430" t="s">
        <v>96</v>
      </c>
      <c r="M1073" s="430" t="s">
        <v>68</v>
      </c>
      <c r="N1073" s="432">
        <v>46285</v>
      </c>
      <c r="O1073" s="430" t="s">
        <v>550</v>
      </c>
      <c r="P1073" s="430" t="s">
        <v>551</v>
      </c>
      <c r="Q1073" s="430" t="s">
        <v>2151</v>
      </c>
      <c r="R1073" s="430" t="str">
        <f>_xlfn.XLOOKUP(PV_DATA[[#This Row],[New Ark SKU]],Table9[New Ark SKU],Table9[Connector],,0)</f>
        <v>EVO2A</v>
      </c>
      <c r="S1073" s="433" t="str">
        <f>_xlfn.XLOOKUP(PV_DATA[[#This Row],[New Ark SKU]],Table9[New Ark SKU],Table9[Cable],,0)</f>
        <v>±1350mm</v>
      </c>
      <c r="T1073" s="433">
        <v>510</v>
      </c>
      <c r="U1073" s="1062">
        <v>3168</v>
      </c>
      <c r="V1073" s="434">
        <f>PV_DATA[[#This Row],[QUANTITY]]*PV_DATA[[#This Row],[WATT]]/1000000</f>
        <v>1.61568</v>
      </c>
      <c r="W1073" s="435">
        <f>PV_DATA[[#This Row],[QUANTITY]]/PV_DATA[[#This Row],[Qty/Pallet]]</f>
        <v>88</v>
      </c>
      <c r="X1073" s="1015">
        <f>PV_DATA[[#This Row],[QUANTITY]]/PV_DATA[[#This Row],[Qty/CT]]</f>
        <v>4</v>
      </c>
      <c r="Y1073" s="430" t="s">
        <v>4381</v>
      </c>
      <c r="Z1073" s="430" t="str">
        <f t="shared" si="20"/>
        <v>IN-TRANSIT</v>
      </c>
      <c r="AA1073" s="545">
        <v>46282</v>
      </c>
      <c r="AB1073" s="437">
        <v>46282</v>
      </c>
      <c r="AC1073" s="485">
        <f>IF(PV_DATA[[#This Row],[Pick-Up Date]]&lt;&gt;"",_xlfn.ISOWEEKNUM(PV_DATA[[#This Row],[Pick-Up Date]]),"")</f>
        <v>38</v>
      </c>
      <c r="AD1073" s="430" t="s">
        <v>6876</v>
      </c>
      <c r="AF1073" s="430" t="s">
        <v>122</v>
      </c>
      <c r="AG1073" s="430" t="s">
        <v>122</v>
      </c>
      <c r="AH1073" s="430" t="s">
        <v>78</v>
      </c>
      <c r="AI1073" s="437">
        <v>46292</v>
      </c>
      <c r="AJ1073" s="437">
        <f>IFERROR(VLOOKUP(AT1073, Vessel!A:D, 4, FALSE), "")</f>
        <v>46292.791666666664</v>
      </c>
      <c r="AK1073" s="437">
        <f>IFERROR(IF(VLOOKUP(AT1073,Vessel!A:F,5,FALSE)=0,"",VLOOKUP(AT1073,Vessel!A:F,5,FALSE)),"")</f>
        <v>46292.810983796298</v>
      </c>
      <c r="AL1073" s="437">
        <v>46342</v>
      </c>
      <c r="AM1073" s="1198">
        <f>IFERROR(VLOOKUP(AT1073, Vessel!A:H, 8, FALSE), "")</f>
        <v>46348.25</v>
      </c>
      <c r="AN1073" s="939" t="str">
        <f>IFERROR(IF(VLOOKUP(AT1073,Vessel!A:I,9,FALSE)=0,"",VLOOKUP(AT1073,Vessel!A:I,9,FALSE)),"")</f>
        <v/>
      </c>
      <c r="AP1073" s="430" t="s">
        <v>6867</v>
      </c>
      <c r="AQ1073" s="438" t="s">
        <v>80</v>
      </c>
      <c r="AR1073" s="430" t="s">
        <v>6877</v>
      </c>
      <c r="AS1073" s="430" t="s">
        <v>6878</v>
      </c>
      <c r="AT1073" s="430" t="s">
        <v>6878</v>
      </c>
      <c r="AU107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55.439016203701613</v>
      </c>
      <c r="AW1073" s="437" cm="1">
        <f t="array" ref="AW107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46348.25</v>
      </c>
      <c r="AX107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73" s="437" t="str">
        <f>IF(ISERROR(PV_DATA[[#This Row],[New Ark PO status]]),"",_xlfn.XLOOKUP(PV_DATA[[#This Row],[SPTN-PVHK New Ark PO'#]],New_Ark_Data[Purchase order Number],New_Ark_Data[Estimated time of arrival],"",0))</f>
        <v/>
      </c>
      <c r="AZ1073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073" s="437">
        <f>IFERROR(PV_DATA[[#This Row],[ODP ETA Port]]+PV_DATA[[#This Row],[Customs/Leg3 Assumption]],"n/a")</f>
        <v>46356.25</v>
      </c>
      <c r="BB1073" s="433" t="s">
        <v>6545</v>
      </c>
      <c r="BC1073" s="433" t="s">
        <v>6545</v>
      </c>
      <c r="BD1073" s="430">
        <f>IFERROR(_xlfn.ISOWEEKNUM(PV_DATA[[#This Row],[ETA for New Ark update]]),0)</f>
        <v>49</v>
      </c>
      <c r="BE1073" s="430">
        <f>_xlfn.XLOOKUP(PV_DATA[[#This Row],[New Ark SKU]],Table9[New Ark SKU],Table9[Total PCS per Pallet],,0)</f>
        <v>36</v>
      </c>
      <c r="BF1073" s="430">
        <f>_xlfn.XLOOKUP(PV_DATA[[#This Row],[New Ark SKU]],Table9[New Ark SKU],Table9[Total PCS per 40HQ Container],,0)</f>
        <v>792</v>
      </c>
      <c r="BG1073" s="430" t="str">
        <f>_xlfn.XLOOKUP(PV_DATA[[#This Row],[New Ark SKU]],Table9[New Ark SKU],Table9[Back Glass],,0)</f>
        <v>Black glazing</v>
      </c>
      <c r="BH1073" s="610" t="str">
        <f>_xlfn.XLOOKUP(PV_DATA[[#This Row],[PORT DESTINATION]],Table12[PORT DESTINATION],Table12[Cosco Line],,0)</f>
        <v>AEM</v>
      </c>
    </row>
    <row r="1074" spans="1:60" s="430" customFormat="1" ht="10.5" hidden="1">
      <c r="A1074" s="941" t="s">
        <v>6879</v>
      </c>
      <c r="B1074" s="1052" t="s">
        <v>111</v>
      </c>
      <c r="C1074" s="462" t="str">
        <f>IFERROR(LEFT(PV_DATA[[#This Row],[TCL REFERENCE]],FIND(".",PV_DATA[[#This Row],[TCL REFERENCE]],1)-1),"Main Line")</f>
        <v>26Aug010</v>
      </c>
      <c r="D1074" s="935" t="s">
        <v>113</v>
      </c>
      <c r="E1074" s="462" t="s">
        <v>64</v>
      </c>
      <c r="F1074" s="935" t="str" cm="1">
        <f t="array" ref="F107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074" s="462" t="s">
        <v>402</v>
      </c>
      <c r="H1074" s="462" t="s">
        <v>115</v>
      </c>
      <c r="I1074" s="462" t="s">
        <v>6880</v>
      </c>
      <c r="J1074" s="430" t="s">
        <v>96</v>
      </c>
      <c r="K1074" s="623"/>
      <c r="L1074" s="623"/>
      <c r="M1074" s="430" t="s">
        <v>68</v>
      </c>
      <c r="N1074" s="1053"/>
      <c r="O1074" s="623" t="s">
        <v>4540</v>
      </c>
      <c r="P1074" s="623" t="s">
        <v>6245</v>
      </c>
      <c r="Q1074" s="623" t="s">
        <v>330</v>
      </c>
      <c r="R1074" s="430" t="str">
        <f>_xlfn.XLOOKUP(PV_DATA[[#This Row],[New Ark SKU]],Table9[New Ark SKU],Table9[Connector],,0)</f>
        <v>H4(Com)</v>
      </c>
      <c r="S1074" s="433" t="str">
        <f>_xlfn.XLOOKUP(PV_DATA[[#This Row],[New Ark SKU]],Table9[New Ark SKU],Table9[Cable],,0)</f>
        <v>+400mm/-200mm</v>
      </c>
      <c r="T1074" s="964">
        <v>625</v>
      </c>
      <c r="U1074" s="1062">
        <f>720*1</f>
        <v>720</v>
      </c>
      <c r="V1074" s="965">
        <f>PV_DATA[[#This Row],[QUANTITY]]*PV_DATA[[#This Row],[WATT]]/1000000</f>
        <v>0.45</v>
      </c>
      <c r="W1074" s="435">
        <f>PV_DATA[[#This Row],[QUANTITY]]/36</f>
        <v>20</v>
      </c>
      <c r="X1074" s="1153">
        <f>PV_DATA[[#This Row],[QUANTITY]]/PV_DATA[[#This Row],[Qty/CT]]</f>
        <v>1</v>
      </c>
      <c r="Y1074" s="430" t="s">
        <v>6881</v>
      </c>
      <c r="Z1074" s="430" t="str">
        <f t="shared" si="20"/>
        <v>IN-TRANSIT</v>
      </c>
      <c r="AA1074" s="623" t="s">
        <v>6882</v>
      </c>
      <c r="AB1074" s="966">
        <v>46282</v>
      </c>
      <c r="AC1074" s="1154">
        <f>IF(PV_DATA[[#This Row],[Pick-Up Date]]&lt;&gt;"",_xlfn.ISOWEEKNUM(PV_DATA[[#This Row],[Pick-Up Date]]),"")</f>
        <v>38</v>
      </c>
      <c r="AD1074" s="623" t="s">
        <v>6883</v>
      </c>
      <c r="AE1074" s="623"/>
      <c r="AF1074" s="623" t="s">
        <v>122</v>
      </c>
      <c r="AG1074" s="623" t="s">
        <v>122</v>
      </c>
      <c r="AH1074" s="430" t="s">
        <v>124</v>
      </c>
      <c r="AI1074" s="966">
        <v>46292</v>
      </c>
      <c r="AJ1074" s="437">
        <f>IFERROR(VLOOKUP(AT1074, Vessel!A:D, 4, FALSE), "")</f>
        <v>46292.791666666664</v>
      </c>
      <c r="AK1074" s="437">
        <f>IFERROR(IF(VLOOKUP(AT1074,Vessel!A:F,5,FALSE)=0,"",VLOOKUP(AT1074,Vessel!A:F,5,FALSE)),"")</f>
        <v>46292.810983796298</v>
      </c>
      <c r="AL1074" s="966">
        <v>46345</v>
      </c>
      <c r="AM1074" s="939">
        <f>IFERROR(VLOOKUP(AT1074, Vessel!A:H, 8, FALSE), "")</f>
        <v>46351.333333333336</v>
      </c>
      <c r="AN1074" s="939" t="str">
        <f>IFERROR(IF(VLOOKUP(AT1074,Vessel!A:I,9,FALSE)=0,"",VLOOKUP(AT1074,Vessel!A:I,9,FALSE)),"")</f>
        <v/>
      </c>
      <c r="AO1074" s="623"/>
      <c r="AP1074" s="623" t="s">
        <v>6867</v>
      </c>
      <c r="AQ1074" s="1044" t="s">
        <v>80</v>
      </c>
      <c r="AR1074" s="623" t="s">
        <v>6884</v>
      </c>
      <c r="AS1074" s="623" t="s">
        <v>6885</v>
      </c>
      <c r="AT1074" s="430" t="s">
        <v>6885</v>
      </c>
      <c r="AU107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58.522349537037371</v>
      </c>
      <c r="AV1074" s="623"/>
      <c r="AW1074" s="966" cm="1">
        <f t="array" ref="AW107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46351.333333333336</v>
      </c>
      <c r="AX107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74" s="966" t="str">
        <f>IF(ISERROR(PV_DATA[[#This Row],[New Ark PO status]]),"",_xlfn.XLOOKUP(PV_DATA[[#This Row],[SPTN-PVHK New Ark PO'#]],New_Ark_Data[Purchase order Number],New_Ark_Data[Estimated time of arrival],"",0))</f>
        <v/>
      </c>
      <c r="AZ1074" s="964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074" s="966">
        <f>IFERROR(PV_DATA[[#This Row],[ODP ETA Port]]+PV_DATA[[#This Row],[Customs/Leg3 Assumption]],"n/a")</f>
        <v>46360.333333333336</v>
      </c>
      <c r="BB1074" s="433" t="s">
        <v>6545</v>
      </c>
      <c r="BC1074" s="433" t="s">
        <v>6545</v>
      </c>
      <c r="BD1074" s="623">
        <f>IFERROR(_xlfn.ISOWEEKNUM(PV_DATA[[#This Row],[ETA for New Ark update]]),0)</f>
        <v>49</v>
      </c>
      <c r="BE1074" s="623">
        <f>_xlfn.XLOOKUP(PV_DATA[[#This Row],[New Ark SKU]],Table9[New Ark SKU],Table9[Total PCS per Pallet],,0)</f>
        <v>36</v>
      </c>
      <c r="BF1074" s="623">
        <f>_xlfn.XLOOKUP(PV_DATA[[#This Row],[New Ark SKU]],Table9[New Ark SKU],Table9[Total PCS per 40HQ Container],,0)</f>
        <v>720</v>
      </c>
      <c r="BG1074" s="623" t="str">
        <f>_xlfn.XLOOKUP(PV_DATA[[#This Row],[New Ark SKU]],Table9[New Ark SKU],Table9[Back Glass],,0)</f>
        <v>Redirection Film</v>
      </c>
      <c r="BH1074" s="967" t="str">
        <f>_xlfn.XLOOKUP(PV_DATA[[#This Row],[PORT DESTINATION]],Table12[PORT DESTINATION],Table12[Cosco Line],,0)</f>
        <v>AEM</v>
      </c>
    </row>
    <row r="1075" spans="1:60" s="430" customFormat="1" ht="13.5" hidden="1" customHeight="1">
      <c r="A1075" s="729" t="s">
        <v>6886</v>
      </c>
      <c r="B1075" s="462" t="s">
        <v>111</v>
      </c>
      <c r="C1075" s="462" t="str">
        <f>IFERROR(LEFT(PV_DATA[[#This Row],[TCL REFERENCE]],FIND(".",PV_DATA[[#This Row],[TCL REFERENCE]],1)-1),"Main Line")</f>
        <v>26Aug016</v>
      </c>
      <c r="D1075" s="462" t="s">
        <v>63</v>
      </c>
      <c r="E1075" s="462" t="s">
        <v>64</v>
      </c>
      <c r="F1075" s="462" t="str" cm="1">
        <f t="array" ref="F107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075" s="462" t="s">
        <v>402</v>
      </c>
      <c r="H1075" s="462" t="s">
        <v>115</v>
      </c>
      <c r="I1075" s="462" t="s">
        <v>689</v>
      </c>
      <c r="J1075" s="430" t="s">
        <v>96</v>
      </c>
      <c r="M1075" s="430" t="s">
        <v>68</v>
      </c>
      <c r="N1075" s="432">
        <v>46282</v>
      </c>
      <c r="O1075" s="430" t="s">
        <v>550</v>
      </c>
      <c r="P1075" s="430" t="s">
        <v>2134</v>
      </c>
      <c r="Q1075" s="430" t="s">
        <v>2135</v>
      </c>
      <c r="R1075" s="430" t="str">
        <f>_xlfn.XLOOKUP(PV_DATA[[#This Row],[New Ark SKU]],Table9[New Ark SKU],Table9[Connector],,0)</f>
        <v>EVO2A</v>
      </c>
      <c r="S1075" s="433" t="str">
        <f>_xlfn.XLOOKUP(PV_DATA[[#This Row],[New Ark SKU]],Table9[New Ark SKU],Table9[Cable],,0)</f>
        <v>±1350mm</v>
      </c>
      <c r="T1075" s="433">
        <v>515</v>
      </c>
      <c r="U1075" s="1062">
        <v>792</v>
      </c>
      <c r="V1075" s="434">
        <f>PV_DATA[[#This Row],[QUANTITY]]*PV_DATA[[#This Row],[WATT]]/1000000</f>
        <v>0.40788000000000002</v>
      </c>
      <c r="W1075" s="435">
        <f>PV_DATA[[#This Row],[QUANTITY]]/PV_DATA[[#This Row],[Qty/Pallet]]</f>
        <v>22</v>
      </c>
      <c r="X1075" s="1015">
        <f>PV_DATA[[#This Row],[QUANTITY]]/PV_DATA[[#This Row],[Qty/CT]]</f>
        <v>1</v>
      </c>
      <c r="Y1075" s="430" t="s">
        <v>4383</v>
      </c>
      <c r="Z1075" s="430" t="str">
        <f t="shared" si="20"/>
        <v>IN-TRANSIT</v>
      </c>
      <c r="AA1075" s="545">
        <v>46283</v>
      </c>
      <c r="AB1075" s="437">
        <v>46282</v>
      </c>
      <c r="AC1075" s="485">
        <f>IF(PV_DATA[[#This Row],[Pick-Up Date]]&lt;&gt;"",_xlfn.ISOWEEKNUM(PV_DATA[[#This Row],[Pick-Up Date]]),"")</f>
        <v>38</v>
      </c>
      <c r="AD1075" s="430" t="s">
        <v>6887</v>
      </c>
      <c r="AF1075" s="430" t="s">
        <v>122</v>
      </c>
      <c r="AG1075" s="430" t="s">
        <v>122</v>
      </c>
      <c r="AH1075" s="430" t="s">
        <v>124</v>
      </c>
      <c r="AI1075" s="437">
        <v>46292</v>
      </c>
      <c r="AJ1075" s="437">
        <f>IFERROR(VLOOKUP(AT1075, Vessel!A:D, 4, FALSE), "")</f>
        <v>46292.791666666664</v>
      </c>
      <c r="AK1075" s="437">
        <f>IFERROR(IF(VLOOKUP(AT1075,Vessel!A:F,5,FALSE)=0,"",VLOOKUP(AT1075,Vessel!A:F,5,FALSE)),"")</f>
        <v>46292.810983796298</v>
      </c>
      <c r="AL1075" s="437">
        <v>46345</v>
      </c>
      <c r="AM1075" s="1198">
        <f>IFERROR(VLOOKUP(AT1075, Vessel!A:H, 8, FALSE), "")</f>
        <v>46351.333333333336</v>
      </c>
      <c r="AN1075" s="939" t="str">
        <f>IFERROR(IF(VLOOKUP(AT1075,Vessel!A:I,9,FALSE)=0,"",VLOOKUP(AT1075,Vessel!A:I,9,FALSE)),"")</f>
        <v/>
      </c>
      <c r="AP1075" s="430" t="s">
        <v>6867</v>
      </c>
      <c r="AQ1075" s="438" t="s">
        <v>80</v>
      </c>
      <c r="AR1075" s="430" t="s">
        <v>6884</v>
      </c>
      <c r="AS1075" s="430" t="s">
        <v>6885</v>
      </c>
      <c r="AT1075" s="430" t="s">
        <v>6885</v>
      </c>
      <c r="AU107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58.522349537037371</v>
      </c>
      <c r="AW1075" s="437" cm="1">
        <f t="array" ref="AW107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46351.333333333336</v>
      </c>
      <c r="AX107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75" s="437" t="str">
        <f>IF(ISERROR(PV_DATA[[#This Row],[New Ark PO status]]),"",_xlfn.XLOOKUP(PV_DATA[[#This Row],[SPTN-PVHK New Ark PO'#]],New_Ark_Data[Purchase order Number],New_Ark_Data[Estimated time of arrival],"",0))</f>
        <v/>
      </c>
      <c r="AZ1075" s="433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075" s="437">
        <f>IFERROR(PV_DATA[[#This Row],[ODP ETA Port]]+PV_DATA[[#This Row],[Customs/Leg3 Assumption]],"n/a")</f>
        <v>46360.333333333336</v>
      </c>
      <c r="BB1075" s="433" t="s">
        <v>6545</v>
      </c>
      <c r="BC1075" s="433" t="s">
        <v>6545</v>
      </c>
      <c r="BD1075" s="430">
        <f>IFERROR(_xlfn.ISOWEEKNUM(PV_DATA[[#This Row],[ETA for New Ark update]]),0)</f>
        <v>49</v>
      </c>
      <c r="BE1075" s="430">
        <f>_xlfn.XLOOKUP(PV_DATA[[#This Row],[New Ark SKU]],Table9[New Ark SKU],Table9[Total PCS per Pallet],,0)</f>
        <v>36</v>
      </c>
      <c r="BF1075" s="430">
        <f>_xlfn.XLOOKUP(PV_DATA[[#This Row],[New Ark SKU]],Table9[New Ark SKU],Table9[Total PCS per 40HQ Container],,0)</f>
        <v>792</v>
      </c>
      <c r="BG1075" s="430" t="str">
        <f>_xlfn.XLOOKUP(PV_DATA[[#This Row],[New Ark SKU]],Table9[New Ark SKU],Table9[Back Glass],,0)</f>
        <v>Black glazing</v>
      </c>
      <c r="BH1075" s="610" t="str">
        <f>_xlfn.XLOOKUP(PV_DATA[[#This Row],[PORT DESTINATION]],Table12[PORT DESTINATION],Table12[Cosco Line],,0)</f>
        <v>AEM</v>
      </c>
    </row>
    <row r="1076" spans="1:60" s="430" customFormat="1" ht="10.5" hidden="1">
      <c r="A1076" s="941" t="s">
        <v>6888</v>
      </c>
      <c r="B1076" s="935" t="s">
        <v>111</v>
      </c>
      <c r="C1076" s="462" t="str">
        <f>IFERROR(LEFT(PV_DATA[[#This Row],[TCL REFERENCE]],FIND(".",PV_DATA[[#This Row],[TCL REFERENCE]],1)-1),"Main Line")</f>
        <v>26Aug010</v>
      </c>
      <c r="D1076" s="935" t="s">
        <v>113</v>
      </c>
      <c r="E1076" s="462" t="s">
        <v>144</v>
      </c>
      <c r="F1076" s="935" t="str" cm="1">
        <f t="array" ref="F1076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76" s="462" t="s">
        <v>402</v>
      </c>
      <c r="H1076" s="462" t="s">
        <v>6662</v>
      </c>
      <c r="I1076" s="462" t="s">
        <v>6663</v>
      </c>
      <c r="J1076" s="462" t="s">
        <v>6662</v>
      </c>
      <c r="K1076" s="623" t="s">
        <v>6664</v>
      </c>
      <c r="L1076" s="623">
        <v>3</v>
      </c>
      <c r="M1076" s="462" t="s">
        <v>6665</v>
      </c>
      <c r="N1076" s="1053"/>
      <c r="O1076" s="623" t="s">
        <v>4540</v>
      </c>
      <c r="P1076" s="623" t="s">
        <v>6245</v>
      </c>
      <c r="Q1076" s="623" t="s">
        <v>330</v>
      </c>
      <c r="R1076" s="430" t="str">
        <f>_xlfn.XLOOKUP(PV_DATA[[#This Row],[New Ark SKU]],Table9[New Ark SKU],Table9[Connector],,0)</f>
        <v>H4(Com)</v>
      </c>
      <c r="S1076" s="433" t="str">
        <f>_xlfn.XLOOKUP(PV_DATA[[#This Row],[New Ark SKU]],Table9[New Ark SKU],Table9[Cable],,0)</f>
        <v>+400mm/-200mm</v>
      </c>
      <c r="T1076" s="964">
        <v>625</v>
      </c>
      <c r="U1076" s="1062">
        <v>7920</v>
      </c>
      <c r="V1076" s="965">
        <f>PV_DATA[[#This Row],[QUANTITY]]*PV_DATA[[#This Row],[WATT]]/1000000</f>
        <v>4.95</v>
      </c>
      <c r="W1076" s="435">
        <f>PV_DATA[[#This Row],[QUANTITY]]/36</f>
        <v>220</v>
      </c>
      <c r="X1076" s="1153">
        <f>PV_DATA[[#This Row],[QUANTITY]]/PV_DATA[[#This Row],[Qty/CT]]</f>
        <v>11</v>
      </c>
      <c r="Y1076" s="430" t="s">
        <v>6889</v>
      </c>
      <c r="Z1076" s="430" t="str">
        <f t="shared" si="20"/>
        <v>IN-TRANSIT</v>
      </c>
      <c r="AA1076" s="623"/>
      <c r="AB1076" s="966">
        <v>46301</v>
      </c>
      <c r="AC1076" s="1154">
        <f>IF(PV_DATA[[#This Row],[Pick-Up Date]]&lt;&gt;"",_xlfn.ISOWEEKNUM(PV_DATA[[#This Row],[Pick-Up Date]]),"")</f>
        <v>41</v>
      </c>
      <c r="AD1076" s="623" t="s">
        <v>6890</v>
      </c>
      <c r="AE1076" s="623"/>
      <c r="AF1076" s="623" t="s">
        <v>122</v>
      </c>
      <c r="AG1076" s="623" t="s">
        <v>122</v>
      </c>
      <c r="AH1076" s="430" t="s">
        <v>6519</v>
      </c>
      <c r="AI1076" s="966">
        <v>46289</v>
      </c>
      <c r="AJ1076" s="437">
        <v>46306</v>
      </c>
      <c r="AK1076" s="437">
        <v>46307</v>
      </c>
      <c r="AL1076" s="966">
        <v>46330</v>
      </c>
      <c r="AM1076" s="966"/>
      <c r="AN1076" s="588" t="str">
        <f>IFERROR(IF(VLOOKUP(AT1076,Vessel!A:I,9,FALSE)=0,"",VLOOKUP(AT1076,Vessel!A:I,9,FALSE)),"")</f>
        <v/>
      </c>
      <c r="AO1076" s="623"/>
      <c r="AP1076" s="623" t="s">
        <v>6891</v>
      </c>
      <c r="AQ1076" s="1044" t="s">
        <v>161</v>
      </c>
      <c r="AR1076" s="623" t="s">
        <v>6892</v>
      </c>
      <c r="AS1076" s="623">
        <v>276628939</v>
      </c>
      <c r="AT1076" s="430">
        <v>276628939</v>
      </c>
      <c r="AU107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23</v>
      </c>
      <c r="AV1076" s="623"/>
      <c r="AW1076" s="966" cm="1">
        <f t="array" ref="AW107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46330</v>
      </c>
      <c r="AX107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76" s="966" t="str">
        <f>IF(ISERROR(PV_DATA[[#This Row],[New Ark PO status]]),"",_xlfn.XLOOKUP(PV_DATA[[#This Row],[SPTN-PVHK New Ark PO'#]],New_Ark_Data[Purchase order Number],New_Ark_Data[Estimated time of arrival],"",0))</f>
        <v/>
      </c>
      <c r="AZ1076" s="964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76" s="966">
        <f>IFERROR(PV_DATA[[#This Row],[ODP ETA Port]]+PV_DATA[[#This Row],[Customs/Leg3 Assumption]],"n/a")</f>
        <v>46330</v>
      </c>
      <c r="BB1076" s="433" t="s">
        <v>6325</v>
      </c>
      <c r="BC1076" s="433" t="s">
        <v>6325</v>
      </c>
      <c r="BD1076" s="623">
        <f>IFERROR(_xlfn.ISOWEEKNUM(PV_DATA[[#This Row],[ETA for New Ark update]]),0)</f>
        <v>45</v>
      </c>
      <c r="BE1076" s="623">
        <f>_xlfn.XLOOKUP(PV_DATA[[#This Row],[New Ark SKU]],Table9[New Ark SKU],Table9[Total PCS per Pallet],,0)</f>
        <v>36</v>
      </c>
      <c r="BF1076" s="623">
        <f>_xlfn.XLOOKUP(PV_DATA[[#This Row],[New Ark SKU]],Table9[New Ark SKU],Table9[Total PCS per 40HQ Container],,0)</f>
        <v>720</v>
      </c>
      <c r="BG1076" s="623" t="str">
        <f>_xlfn.XLOOKUP(PV_DATA[[#This Row],[New Ark SKU]],Table9[New Ark SKU],Table9[Back Glass],,0)</f>
        <v>Redirection Film</v>
      </c>
      <c r="BH1076" s="967" t="str">
        <f>_xlfn.XLOOKUP(PV_DATA[[#This Row],[PORT DESTINATION]],Table12[PORT DESTINATION],Table12[Cosco Line],,0)</f>
        <v>n/a</v>
      </c>
    </row>
    <row r="1077" spans="1:60" s="430" customFormat="1" ht="10.5" hidden="1">
      <c r="A1077" s="941" t="s">
        <v>6893</v>
      </c>
      <c r="B1077" s="935" t="s">
        <v>111</v>
      </c>
      <c r="C1077" s="462" t="str">
        <f>IFERROR(LEFT(PV_DATA[[#This Row],[TCL REFERENCE]],FIND(".",PV_DATA[[#This Row],[TCL REFERENCE]],1)-1),"Main Line")</f>
        <v>26Aug010</v>
      </c>
      <c r="D1077" s="935" t="s">
        <v>113</v>
      </c>
      <c r="E1077" s="462" t="s">
        <v>144</v>
      </c>
      <c r="F1077" s="935" t="str" cm="1">
        <f t="array" ref="F107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77" s="462" t="s">
        <v>402</v>
      </c>
      <c r="H1077" s="462" t="s">
        <v>6662</v>
      </c>
      <c r="I1077" s="462" t="s">
        <v>6880</v>
      </c>
      <c r="J1077" s="462" t="s">
        <v>6662</v>
      </c>
      <c r="K1077" s="623" t="s">
        <v>6664</v>
      </c>
      <c r="L1077" s="623">
        <v>4</v>
      </c>
      <c r="M1077" s="462" t="s">
        <v>6665</v>
      </c>
      <c r="N1077" s="1053"/>
      <c r="O1077" s="623" t="s">
        <v>4540</v>
      </c>
      <c r="P1077" s="623" t="s">
        <v>6245</v>
      </c>
      <c r="Q1077" s="623" t="s">
        <v>330</v>
      </c>
      <c r="R1077" s="430" t="str">
        <f>_xlfn.XLOOKUP(PV_DATA[[#This Row],[New Ark SKU]],Table9[New Ark SKU],Table9[Connector],,0)</f>
        <v>H4(Com)</v>
      </c>
      <c r="S1077" s="433" t="str">
        <f>_xlfn.XLOOKUP(PV_DATA[[#This Row],[New Ark SKU]],Table9[New Ark SKU],Table9[Cable],,0)</f>
        <v>+400mm/-200mm</v>
      </c>
      <c r="T1077" s="964">
        <v>625</v>
      </c>
      <c r="U1077" s="1062">
        <v>7920</v>
      </c>
      <c r="V1077" s="965">
        <f>PV_DATA[[#This Row],[QUANTITY]]*PV_DATA[[#This Row],[WATT]]/1000000</f>
        <v>4.95</v>
      </c>
      <c r="W1077" s="435">
        <f>PV_DATA[[#This Row],[QUANTITY]]/36</f>
        <v>220</v>
      </c>
      <c r="X1077" s="1153">
        <f>PV_DATA[[#This Row],[QUANTITY]]/PV_DATA[[#This Row],[Qty/CT]]</f>
        <v>11</v>
      </c>
      <c r="Y1077" s="430" t="s">
        <v>6881</v>
      </c>
      <c r="Z1077" s="430" t="str">
        <f t="shared" si="20"/>
        <v>IN-TRANSIT</v>
      </c>
      <c r="AA1077" s="623"/>
      <c r="AB1077" s="966">
        <v>46303</v>
      </c>
      <c r="AC1077" s="1154">
        <f>IF(PV_DATA[[#This Row],[Pick-Up Date]]&lt;&gt;"",_xlfn.ISOWEEKNUM(PV_DATA[[#This Row],[Pick-Up Date]]),"")</f>
        <v>41</v>
      </c>
      <c r="AD1077" s="623" t="s">
        <v>6894</v>
      </c>
      <c r="AE1077" s="623"/>
      <c r="AF1077" s="623" t="s">
        <v>122</v>
      </c>
      <c r="AG1077" s="623" t="s">
        <v>122</v>
      </c>
      <c r="AH1077" s="430" t="s">
        <v>6519</v>
      </c>
      <c r="AI1077" s="966">
        <v>46289</v>
      </c>
      <c r="AJ1077" s="437">
        <v>46306</v>
      </c>
      <c r="AK1077" s="437">
        <v>46307</v>
      </c>
      <c r="AL1077" s="966">
        <v>46330</v>
      </c>
      <c r="AM1077" s="966"/>
      <c r="AN1077" s="588" t="str">
        <f>IFERROR(IF(VLOOKUP(AT1077,Vessel!A:I,9,FALSE)=0,"",VLOOKUP(AT1077,Vessel!A:I,9,FALSE)),"")</f>
        <v/>
      </c>
      <c r="AO1077" s="623"/>
      <c r="AP1077" s="623" t="s">
        <v>6891</v>
      </c>
      <c r="AQ1077" s="1044" t="s">
        <v>161</v>
      </c>
      <c r="AR1077" s="623" t="s">
        <v>6895</v>
      </c>
      <c r="AS1077" s="623">
        <v>276629180</v>
      </c>
      <c r="AT1077" s="430">
        <v>276629180</v>
      </c>
      <c r="AU107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23</v>
      </c>
      <c r="AV1077" s="623"/>
      <c r="AW1077" s="966" cm="1">
        <f t="array" ref="AW107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46330</v>
      </c>
      <c r="AX107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77" s="966" t="str">
        <f>IF(ISERROR(PV_DATA[[#This Row],[New Ark PO status]]),"",_xlfn.XLOOKUP(PV_DATA[[#This Row],[SPTN-PVHK New Ark PO'#]],New_Ark_Data[Purchase order Number],New_Ark_Data[Estimated time of arrival],"",0))</f>
        <v/>
      </c>
      <c r="AZ1077" s="964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77" s="966">
        <f>IFERROR(PV_DATA[[#This Row],[ODP ETA Port]]+PV_DATA[[#This Row],[Customs/Leg3 Assumption]],"n/a")</f>
        <v>46330</v>
      </c>
      <c r="BB1077" s="433" t="s">
        <v>6545</v>
      </c>
      <c r="BC1077" s="433" t="s">
        <v>6545</v>
      </c>
      <c r="BD1077" s="623">
        <f>IFERROR(_xlfn.ISOWEEKNUM(PV_DATA[[#This Row],[ETA for New Ark update]]),0)</f>
        <v>45</v>
      </c>
      <c r="BE1077" s="623">
        <f>_xlfn.XLOOKUP(PV_DATA[[#This Row],[New Ark SKU]],Table9[New Ark SKU],Table9[Total PCS per Pallet],,0)</f>
        <v>36</v>
      </c>
      <c r="BF1077" s="623">
        <f>_xlfn.XLOOKUP(PV_DATA[[#This Row],[New Ark SKU]],Table9[New Ark SKU],Table9[Total PCS per 40HQ Container],,0)</f>
        <v>720</v>
      </c>
      <c r="BG1077" s="623" t="str">
        <f>_xlfn.XLOOKUP(PV_DATA[[#This Row],[New Ark SKU]],Table9[New Ark SKU],Table9[Back Glass],,0)</f>
        <v>Redirection Film</v>
      </c>
      <c r="BH1077" s="967" t="str">
        <f>_xlfn.XLOOKUP(PV_DATA[[#This Row],[PORT DESTINATION]],Table12[PORT DESTINATION],Table12[Cosco Line],,0)</f>
        <v>n/a</v>
      </c>
    </row>
    <row r="1078" spans="1:60" s="430" customFormat="1" ht="13.5" hidden="1" customHeight="1">
      <c r="A1078" s="729" t="s">
        <v>6896</v>
      </c>
      <c r="B1078" s="462" t="s">
        <v>111</v>
      </c>
      <c r="C1078" s="462" t="str">
        <f>IFERROR(LEFT(PV_DATA[[#This Row],[TCL REFERENCE]],FIND(".",PV_DATA[[#This Row],[TCL REFERENCE]],1)-1),"Main Line")</f>
        <v>26Aug016</v>
      </c>
      <c r="D1078" s="462" t="s">
        <v>63</v>
      </c>
      <c r="E1078" s="462" t="s">
        <v>64</v>
      </c>
      <c r="F1078" s="462" t="str" cm="1">
        <f t="array" ref="F107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78" s="462" t="s">
        <v>402</v>
      </c>
      <c r="H1078" s="462" t="s">
        <v>67</v>
      </c>
      <c r="I1078" s="462" t="s">
        <v>689</v>
      </c>
      <c r="J1078" s="430" t="s">
        <v>96</v>
      </c>
      <c r="M1078" s="430" t="s">
        <v>68</v>
      </c>
      <c r="N1078" s="432">
        <v>46282</v>
      </c>
      <c r="O1078" s="430" t="s">
        <v>550</v>
      </c>
      <c r="P1078" s="430" t="s">
        <v>2134</v>
      </c>
      <c r="Q1078" s="430" t="s">
        <v>2135</v>
      </c>
      <c r="R1078" s="430" t="str">
        <f>_xlfn.XLOOKUP(PV_DATA[[#This Row],[New Ark SKU]],Table9[New Ark SKU],Table9[Connector],,0)</f>
        <v>EVO2A</v>
      </c>
      <c r="S1078" s="433" t="str">
        <f>_xlfn.XLOOKUP(PV_DATA[[#This Row],[New Ark SKU]],Table9[New Ark SKU],Table9[Cable],,0)</f>
        <v>±1350mm</v>
      </c>
      <c r="T1078" s="433">
        <v>515</v>
      </c>
      <c r="U1078" s="1062">
        <f>792*5</f>
        <v>3960</v>
      </c>
      <c r="V1078" s="434">
        <f>PV_DATA[[#This Row],[QUANTITY]]*PV_DATA[[#This Row],[WATT]]/1000000</f>
        <v>2.0394000000000001</v>
      </c>
      <c r="W1078" s="435">
        <f>PV_DATA[[#This Row],[QUANTITY]]/PV_DATA[[#This Row],[Qty/Pallet]]</f>
        <v>110</v>
      </c>
      <c r="X1078" s="1015">
        <f>PV_DATA[[#This Row],[QUANTITY]]/PV_DATA[[#This Row],[Qty/CT]]</f>
        <v>5</v>
      </c>
      <c r="Y1078" s="430" t="s">
        <v>4380</v>
      </c>
      <c r="Z1078" s="430" t="str">
        <f t="shared" si="20"/>
        <v>IN-TRANSIT</v>
      </c>
      <c r="AA1078" s="545">
        <v>46288</v>
      </c>
      <c r="AB1078" s="437">
        <v>46287</v>
      </c>
      <c r="AC1078" s="485">
        <f>IF(PV_DATA[[#This Row],[Pick-Up Date]]&lt;&gt;"",_xlfn.ISOWEEKNUM(PV_DATA[[#This Row],[Pick-Up Date]]),"")</f>
        <v>39</v>
      </c>
      <c r="AD1078" s="430" t="s">
        <v>6897</v>
      </c>
      <c r="AF1078" s="430" t="s">
        <v>6003</v>
      </c>
      <c r="AG1078" s="430" t="s">
        <v>6003</v>
      </c>
      <c r="AH1078" s="430" t="s">
        <v>105</v>
      </c>
      <c r="AI1078" s="437">
        <v>46292</v>
      </c>
      <c r="AJ1078" s="437">
        <f>IFERROR(VLOOKUP(AT1078, Vessel!A:D, 4, FALSE), "")</f>
        <v>46292.583333333336</v>
      </c>
      <c r="AK1078" s="437">
        <f>IFERROR(IF(VLOOKUP(AT1078,Vessel!A:F,5,FALSE)=0,"",VLOOKUP(AT1078,Vessel!A:F,5,FALSE)),"")</f>
        <v>46291.864884259259</v>
      </c>
      <c r="AL1078" s="437">
        <v>46324</v>
      </c>
      <c r="AM1078" s="1194">
        <f>IFERROR(VLOOKUP(AT1078, Vessel!A:H, 8, FALSE), "")</f>
        <v>46332.625</v>
      </c>
      <c r="AN1078" s="939" t="str">
        <f>IFERROR(IF(VLOOKUP(AT1078,Vessel!A:I,9,FALSE)=0,"",VLOOKUP(AT1078,Vessel!A:I,9,FALSE)),"")</f>
        <v/>
      </c>
      <c r="AP1078" s="430" t="s">
        <v>6821</v>
      </c>
      <c r="AQ1078" s="430" t="s">
        <v>80</v>
      </c>
      <c r="AR1078" s="430" t="s">
        <v>6898</v>
      </c>
      <c r="AS1078" s="430" t="s">
        <v>6899</v>
      </c>
      <c r="AT1078" s="430" t="s">
        <v>6899</v>
      </c>
      <c r="AU107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40.76011574074073</v>
      </c>
      <c r="AW1078" s="437" cm="1">
        <f t="array" ref="AW107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46332.625</v>
      </c>
      <c r="AX107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78" s="437" t="str">
        <f>IF(ISERROR(PV_DATA[[#This Row],[New Ark PO status]]),"",_xlfn.XLOOKUP(PV_DATA[[#This Row],[SPTN-PVHK New Ark PO'#]],New_Ark_Data[Purchase order Number],New_Ark_Data[Estimated time of arrival],"",0))</f>
        <v/>
      </c>
      <c r="AZ1078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78" s="437">
        <f>IFERROR(PV_DATA[[#This Row],[ODP ETA Port]]+PV_DATA[[#This Row],[Customs/Leg3 Assumption]],"n/a")</f>
        <v>46339.625</v>
      </c>
      <c r="BB1078" s="433" t="s">
        <v>6545</v>
      </c>
      <c r="BC1078" s="433" t="s">
        <v>6545</v>
      </c>
      <c r="BD1078" s="430">
        <f>IFERROR(_xlfn.ISOWEEKNUM(PV_DATA[[#This Row],[ETA for New Ark update]]),0)</f>
        <v>46</v>
      </c>
      <c r="BE1078" s="430">
        <f>_xlfn.XLOOKUP(PV_DATA[[#This Row],[New Ark SKU]],Table9[New Ark SKU],Table9[Total PCS per Pallet],,0)</f>
        <v>36</v>
      </c>
      <c r="BF1078" s="430">
        <f>_xlfn.XLOOKUP(PV_DATA[[#This Row],[New Ark SKU]],Table9[New Ark SKU],Table9[Total PCS per 40HQ Container],,0)</f>
        <v>792</v>
      </c>
      <c r="BG1078" s="430" t="str">
        <f>_xlfn.XLOOKUP(PV_DATA[[#This Row],[New Ark SKU]],Table9[New Ark SKU],Table9[Back Glass],,0)</f>
        <v>Black glazing</v>
      </c>
      <c r="BH1078" s="610" t="str">
        <f>_xlfn.XLOOKUP(PV_DATA[[#This Row],[PORT DESTINATION]],Table12[PORT DESTINATION],Table12[Cosco Line],,0)</f>
        <v>AEU</v>
      </c>
    </row>
    <row r="1079" spans="1:60" s="430" customFormat="1" ht="13.5" hidden="1" customHeight="1">
      <c r="A1079" s="729" t="s">
        <v>6900</v>
      </c>
      <c r="B1079" s="462" t="s">
        <v>111</v>
      </c>
      <c r="C1079" s="462" t="str">
        <f>IFERROR(LEFT(PV_DATA[[#This Row],[TCL REFERENCE]],FIND(".",PV_DATA[[#This Row],[TCL REFERENCE]],1)-1),"Main Line")</f>
        <v>26Aug015</v>
      </c>
      <c r="D1079" s="462" t="s">
        <v>63</v>
      </c>
      <c r="E1079" s="462" t="s">
        <v>64</v>
      </c>
      <c r="F1079" s="462" t="str" cm="1">
        <f t="array" ref="F107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79" s="462" t="s">
        <v>402</v>
      </c>
      <c r="H1079" s="462" t="s">
        <v>67</v>
      </c>
      <c r="I1079" s="462" t="s">
        <v>689</v>
      </c>
      <c r="J1079" s="430" t="s">
        <v>96</v>
      </c>
      <c r="M1079" s="430" t="s">
        <v>68</v>
      </c>
      <c r="N1079" s="432">
        <v>46285</v>
      </c>
      <c r="O1079" s="430" t="s">
        <v>550</v>
      </c>
      <c r="P1079" s="430" t="s">
        <v>551</v>
      </c>
      <c r="Q1079" s="430" t="s">
        <v>2151</v>
      </c>
      <c r="R1079" s="430" t="str">
        <f>_xlfn.XLOOKUP(PV_DATA[[#This Row],[New Ark SKU]],Table9[New Ark SKU],Table9[Connector],,0)</f>
        <v>EVO2A</v>
      </c>
      <c r="S1079" s="433" t="str">
        <f>_xlfn.XLOOKUP(PV_DATA[[#This Row],[New Ark SKU]],Table9[New Ark SKU],Table9[Cable],,0)</f>
        <v>±1350mm</v>
      </c>
      <c r="T1079" s="433">
        <v>510</v>
      </c>
      <c r="U1079" s="1062">
        <f>792*3</f>
        <v>2376</v>
      </c>
      <c r="V1079" s="434">
        <f>PV_DATA[[#This Row],[QUANTITY]]*PV_DATA[[#This Row],[WATT]]/1000000</f>
        <v>1.2117599999999999</v>
      </c>
      <c r="W1079" s="435">
        <f>PV_DATA[[#This Row],[QUANTITY]]/PV_DATA[[#This Row],[Qty/Pallet]]</f>
        <v>66</v>
      </c>
      <c r="X1079" s="1015">
        <f>PV_DATA[[#This Row],[QUANTITY]]/PV_DATA[[#This Row],[Qty/CT]]</f>
        <v>3</v>
      </c>
      <c r="Y1079" s="430" t="s">
        <v>4381</v>
      </c>
      <c r="Z1079" s="430" t="str">
        <f t="shared" si="20"/>
        <v>IN-TRANSIT</v>
      </c>
      <c r="AA1079" s="545">
        <v>46288</v>
      </c>
      <c r="AB1079" s="437">
        <v>46294</v>
      </c>
      <c r="AC1079" s="485">
        <f>IF(PV_DATA[[#This Row],[Pick-Up Date]]&lt;&gt;"",_xlfn.ISOWEEKNUM(PV_DATA[[#This Row],[Pick-Up Date]]),"")</f>
        <v>40</v>
      </c>
      <c r="AD1079" s="430" t="s">
        <v>6901</v>
      </c>
      <c r="AF1079" s="430" t="s">
        <v>6003</v>
      </c>
      <c r="AG1079" s="430" t="s">
        <v>6003</v>
      </c>
      <c r="AH1079" s="430" t="s">
        <v>105</v>
      </c>
      <c r="AI1079" s="543">
        <v>46290</v>
      </c>
      <c r="AJ1079" s="437">
        <f>IFERROR(VLOOKUP(AT1079, Vessel!A:D, 4, FALSE), "")</f>
        <v>46300.333333333336</v>
      </c>
      <c r="AK1079" s="437">
        <v>46300</v>
      </c>
      <c r="AL1079" s="437">
        <v>46326</v>
      </c>
      <c r="AM1079" s="1194">
        <f>IFERROR(VLOOKUP(AT1079, Vessel!A:H, 8, FALSE), "")</f>
        <v>46338.875</v>
      </c>
      <c r="AN1079" s="939" t="str">
        <f>IFERROR(IF(VLOOKUP(AT1079,Vessel!A:I,9,FALSE)=0,"",VLOOKUP(AT1079,Vessel!A:I,9,FALSE)),"")</f>
        <v/>
      </c>
      <c r="AP1079" s="430" t="s">
        <v>6902</v>
      </c>
      <c r="AQ1079" s="430" t="s">
        <v>80</v>
      </c>
      <c r="AR1079" s="430" t="s">
        <v>6903</v>
      </c>
      <c r="AS1079" s="430" t="s">
        <v>6904</v>
      </c>
      <c r="AT1079" s="430" t="s">
        <v>6904</v>
      </c>
      <c r="AU107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38.875</v>
      </c>
      <c r="AW1079" s="437" cm="1">
        <f t="array" ref="AW107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46338.875</v>
      </c>
      <c r="AX107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79" s="437" t="str">
        <f>IF(ISERROR(PV_DATA[[#This Row],[New Ark PO status]]),"",_xlfn.XLOOKUP(PV_DATA[[#This Row],[SPTN-PVHK New Ark PO'#]],New_Ark_Data[Purchase order Number],New_Ark_Data[Estimated time of arrival],"",0))</f>
        <v/>
      </c>
      <c r="AZ1079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79" s="437">
        <f>IFERROR(PV_DATA[[#This Row],[ODP ETA Port]]+PV_DATA[[#This Row],[Customs/Leg3 Assumption]],"n/a")</f>
        <v>46345.875</v>
      </c>
      <c r="BB1079" s="433" t="s">
        <v>6545</v>
      </c>
      <c r="BC1079" s="433" t="s">
        <v>6545</v>
      </c>
      <c r="BD1079" s="430">
        <f>IFERROR(_xlfn.ISOWEEKNUM(PV_DATA[[#This Row],[ETA for New Ark update]]),0)</f>
        <v>47</v>
      </c>
      <c r="BE1079" s="430">
        <f>_xlfn.XLOOKUP(PV_DATA[[#This Row],[New Ark SKU]],Table9[New Ark SKU],Table9[Total PCS per Pallet],,0)</f>
        <v>36</v>
      </c>
      <c r="BF1079" s="430">
        <f>_xlfn.XLOOKUP(PV_DATA[[#This Row],[New Ark SKU]],Table9[New Ark SKU],Table9[Total PCS per 40HQ Container],,0)</f>
        <v>792</v>
      </c>
      <c r="BG1079" s="430" t="str">
        <f>_xlfn.XLOOKUP(PV_DATA[[#This Row],[New Ark SKU]],Table9[New Ark SKU],Table9[Back Glass],,0)</f>
        <v>Black glazing</v>
      </c>
      <c r="BH1079" s="610" t="str">
        <f>_xlfn.XLOOKUP(PV_DATA[[#This Row],[PORT DESTINATION]],Table12[PORT DESTINATION],Table12[Cosco Line],,0)</f>
        <v>AEU</v>
      </c>
    </row>
    <row r="1080" spans="1:60" s="430" customFormat="1" ht="13.5" hidden="1" customHeight="1">
      <c r="A1080" s="729" t="s">
        <v>6905</v>
      </c>
      <c r="B1080" s="462" t="s">
        <v>111</v>
      </c>
      <c r="C1080" s="462" t="str">
        <f>IFERROR(LEFT(PV_DATA[[#This Row],[TCL REFERENCE]],FIND(".",PV_DATA[[#This Row],[TCL REFERENCE]],1)-1),"Main Line")</f>
        <v>26Aug016</v>
      </c>
      <c r="D1080" s="462" t="s">
        <v>63</v>
      </c>
      <c r="E1080" s="462" t="s">
        <v>64</v>
      </c>
      <c r="F1080" s="462" t="str" cm="1">
        <f t="array" ref="F108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080" s="462" t="s">
        <v>402</v>
      </c>
      <c r="H1080" s="462" t="s">
        <v>311</v>
      </c>
      <c r="I1080" s="462" t="s">
        <v>689</v>
      </c>
      <c r="J1080" s="430" t="s">
        <v>96</v>
      </c>
      <c r="M1080" s="430" t="s">
        <v>68</v>
      </c>
      <c r="N1080" s="432">
        <v>46282</v>
      </c>
      <c r="O1080" s="430" t="s">
        <v>550</v>
      </c>
      <c r="P1080" s="430" t="s">
        <v>2134</v>
      </c>
      <c r="Q1080" s="430" t="s">
        <v>2135</v>
      </c>
      <c r="R1080" s="430" t="str">
        <f>_xlfn.XLOOKUP(PV_DATA[[#This Row],[New Ark SKU]],Table9[New Ark SKU],Table9[Connector],,0)</f>
        <v>EVO2A</v>
      </c>
      <c r="S1080" s="433" t="str">
        <f>_xlfn.XLOOKUP(PV_DATA[[#This Row],[New Ark SKU]],Table9[New Ark SKU],Table9[Cable],,0)</f>
        <v>±1350mm</v>
      </c>
      <c r="T1080" s="433">
        <v>515</v>
      </c>
      <c r="U1080" s="1062">
        <v>1584</v>
      </c>
      <c r="V1080" s="434">
        <f>PV_DATA[[#This Row],[QUANTITY]]*PV_DATA[[#This Row],[WATT]]/1000000</f>
        <v>0.81576000000000004</v>
      </c>
      <c r="W1080" s="435">
        <f>PV_DATA[[#This Row],[QUANTITY]]/PV_DATA[[#This Row],[Qty/Pallet]]</f>
        <v>44</v>
      </c>
      <c r="X1080" s="1015">
        <f>PV_DATA[[#This Row],[QUANTITY]]/PV_DATA[[#This Row],[Qty/CT]]</f>
        <v>2</v>
      </c>
      <c r="Y1080" s="430" t="s">
        <v>4382</v>
      </c>
      <c r="Z1080" s="430" t="str">
        <f t="shared" si="20"/>
        <v>IN-TRANSIT</v>
      </c>
      <c r="AA1080" s="545">
        <v>46288</v>
      </c>
      <c r="AB1080" s="437">
        <v>46292</v>
      </c>
      <c r="AC1080" s="485">
        <f>IF(PV_DATA[[#This Row],[Pick-Up Date]]&lt;&gt;"",_xlfn.ISOWEEKNUM(PV_DATA[[#This Row],[Pick-Up Date]]),"")</f>
        <v>39</v>
      </c>
      <c r="AD1080" s="430" t="s">
        <v>6906</v>
      </c>
      <c r="AF1080" s="430" t="s">
        <v>6003</v>
      </c>
      <c r="AG1080" s="430" t="s">
        <v>6003</v>
      </c>
      <c r="AH1080" s="430" t="s">
        <v>314</v>
      </c>
      <c r="AI1080" s="543">
        <v>46291</v>
      </c>
      <c r="AJ1080" s="437">
        <f>IFERROR(VLOOKUP(AT1080, Vessel!A:D, 4, FALSE), "")</f>
        <v>46297.333333333336</v>
      </c>
      <c r="AK1080" s="437">
        <v>46297</v>
      </c>
      <c r="AL1080" s="437">
        <v>46337</v>
      </c>
      <c r="AM1080" s="1194">
        <f>IFERROR(VLOOKUP(AT1080, Vessel!A:H, 8, FALSE), "")</f>
        <v>46344.5</v>
      </c>
      <c r="AN1080" s="939" t="str">
        <f>IFERROR(IF(VLOOKUP(AT1080,Vessel!A:I,9,FALSE)=0,"",VLOOKUP(AT1080,Vessel!A:I,9,FALSE)),"")</f>
        <v/>
      </c>
      <c r="AP1080" s="430" t="s">
        <v>6867</v>
      </c>
      <c r="AQ1080" s="430" t="s">
        <v>80</v>
      </c>
      <c r="AR1080" s="430" t="s">
        <v>6907</v>
      </c>
      <c r="AS1080" s="430" t="s">
        <v>6908</v>
      </c>
      <c r="AT1080" s="430" t="s">
        <v>6908</v>
      </c>
      <c r="AU108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47.5</v>
      </c>
      <c r="AW1080" s="437" cm="1">
        <f t="array" ref="AW108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46344.5</v>
      </c>
      <c r="AX108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80" s="437" t="str">
        <f>IF(ISERROR(PV_DATA[[#This Row],[New Ark PO status]]),"",_xlfn.XLOOKUP(PV_DATA[[#This Row],[SPTN-PVHK New Ark PO'#]],New_Ark_Data[Purchase order Number],New_Ark_Data[Estimated time of arrival],"",0))</f>
        <v/>
      </c>
      <c r="AZ1080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080" s="437">
        <f>IFERROR(PV_DATA[[#This Row],[ODP ETA Port]]+PV_DATA[[#This Row],[Customs/Leg3 Assumption]],"n/a")</f>
        <v>46354.5</v>
      </c>
      <c r="BB1080" s="433" t="s">
        <v>6545</v>
      </c>
      <c r="BC1080" s="433" t="s">
        <v>6545</v>
      </c>
      <c r="BD1080" s="430">
        <f>IFERROR(_xlfn.ISOWEEKNUM(PV_DATA[[#This Row],[ETA for New Ark update]]),0)</f>
        <v>48</v>
      </c>
      <c r="BE1080" s="430">
        <f>_xlfn.XLOOKUP(PV_DATA[[#This Row],[New Ark SKU]],Table9[New Ark SKU],Table9[Total PCS per Pallet],,0)</f>
        <v>36</v>
      </c>
      <c r="BF1080" s="430">
        <f>_xlfn.XLOOKUP(PV_DATA[[#This Row],[New Ark SKU]],Table9[New Ark SKU],Table9[Total PCS per 40HQ Container],,0)</f>
        <v>792</v>
      </c>
      <c r="BG1080" s="430" t="str">
        <f>_xlfn.XLOOKUP(PV_DATA[[#This Row],[New Ark SKU]],Table9[New Ark SKU],Table9[Back Glass],,0)</f>
        <v>Black glazing</v>
      </c>
      <c r="BH1080" s="610" t="str">
        <f>_xlfn.XLOOKUP(PV_DATA[[#This Row],[PORT DESTINATION]],Table12[PORT DESTINATION],Table12[Cosco Line],,0)</f>
        <v>AEM</v>
      </c>
    </row>
    <row r="1081" spans="1:60" s="430" customFormat="1" ht="10.5" hidden="1">
      <c r="A1081" s="462" t="s">
        <v>6909</v>
      </c>
      <c r="B1081" s="459" t="s">
        <v>61</v>
      </c>
      <c r="C1081" s="462" t="str">
        <f>IFERROR(LEFT(PV_DATA[[#This Row],[TCL REFERENCE]],FIND(".",PV_DATA[[#This Row],[TCL REFERENCE]],1)-1),"Main Line")</f>
        <v>26Jun021</v>
      </c>
      <c r="D1081" s="462" t="s">
        <v>63</v>
      </c>
      <c r="E1081" s="462" t="s">
        <v>64</v>
      </c>
      <c r="F1081" s="462" t="str" cm="1">
        <f t="array" ref="F108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81" s="462" t="s">
        <v>402</v>
      </c>
      <c r="H1081" s="462" t="s">
        <v>67</v>
      </c>
      <c r="I1081" s="462" t="s">
        <v>689</v>
      </c>
      <c r="J1081" s="430" t="s">
        <v>96</v>
      </c>
      <c r="M1081" s="430" t="s">
        <v>6325</v>
      </c>
      <c r="N1081" s="432">
        <v>46202</v>
      </c>
      <c r="O1081" s="430" t="s">
        <v>284</v>
      </c>
      <c r="P1081" s="484" t="s">
        <v>6169</v>
      </c>
      <c r="Q1081" s="430" t="s">
        <v>1570</v>
      </c>
      <c r="R1081" s="430" t="str">
        <f>_xlfn.XLOOKUP(PV_DATA[[#This Row],[New Ark SKU]],Table9[New Ark SKU],Table9[Connector],,0)</f>
        <v>EVO2A</v>
      </c>
      <c r="S1081" s="433" t="str">
        <f>_xlfn.XLOOKUP(PV_DATA[[#This Row],[New Ark SKU]],Table9[New Ark SKU],Table9[Cable],,0)</f>
        <v>±1400mm</v>
      </c>
      <c r="T1081" s="433">
        <v>650</v>
      </c>
      <c r="U1081" s="1062">
        <f>720*8</f>
        <v>5760</v>
      </c>
      <c r="V1081" s="434">
        <f>PV_DATA[[#This Row],[QUANTITY]]*PV_DATA[[#This Row],[WATT]]/1000000</f>
        <v>3.7440000000000002</v>
      </c>
      <c r="W1081" s="435">
        <f>PV_DATA[[#This Row],[QUANTITY]]/PV_DATA[[#This Row],[Qty/Pallet]]</f>
        <v>160</v>
      </c>
      <c r="X1081" s="1015">
        <f>PV_DATA[[#This Row],[QUANTITY]]/PV_DATA[[#This Row],[Qty/CT]]</f>
        <v>8</v>
      </c>
      <c r="Y1081" s="430" t="s">
        <v>4378</v>
      </c>
      <c r="Z1081" s="430" t="str">
        <f t="shared" si="20"/>
        <v>IN-TRANSIT</v>
      </c>
      <c r="AA1081" s="1201" t="s">
        <v>6431</v>
      </c>
      <c r="AB1081" s="437">
        <v>46279</v>
      </c>
      <c r="AC1081" s="485">
        <f>IF(PV_DATA[[#This Row],[Pick-Up Date]]&lt;&gt;"",_xlfn.ISOWEEKNUM(PV_DATA[[#This Row],[Pick-Up Date]]),"")</f>
        <v>38</v>
      </c>
      <c r="AD1081" s="430" t="s">
        <v>6910</v>
      </c>
      <c r="AF1081" s="430" t="s">
        <v>61</v>
      </c>
      <c r="AG1081" s="430" t="s">
        <v>61</v>
      </c>
      <c r="AH1081" s="430" t="s">
        <v>105</v>
      </c>
      <c r="AI1081" s="437">
        <v>46284</v>
      </c>
      <c r="AJ1081" s="437">
        <f>IFERROR(VLOOKUP(AT1081, Vessel!A:D, 4, FALSE), "")</f>
        <v>46284.958333333336</v>
      </c>
      <c r="AK1081" s="437">
        <f>IFERROR(IF(VLOOKUP(AT1081,Vessel!A:F,5,FALSE)=0,"",VLOOKUP(AT1081,Vessel!A:F,5,FALSE)),"")</f>
        <v>46284.979166666664</v>
      </c>
      <c r="AL1081" s="437">
        <v>46329</v>
      </c>
      <c r="AM1081" s="939">
        <f>IFERROR(VLOOKUP(AT1081, Vessel!A:H, 8, FALSE), "")</f>
        <v>46336.708333333336</v>
      </c>
      <c r="AN1081" s="939" t="str">
        <f>IFERROR(IF(VLOOKUP(AT1081,Vessel!A:I,9,FALSE)=0,"",VLOOKUP(AT1081,Vessel!A:I,9,FALSE)),"")</f>
        <v/>
      </c>
      <c r="AO1081" s="430" t="s">
        <v>402</v>
      </c>
      <c r="AP1081" s="430" t="s">
        <v>6911</v>
      </c>
      <c r="AQ1081" s="940" t="s">
        <v>80</v>
      </c>
      <c r="AR1081" s="430" t="s">
        <v>6912</v>
      </c>
      <c r="AS1081" s="430" t="s">
        <v>6913</v>
      </c>
      <c r="AT1081" s="430" t="s">
        <v>6913</v>
      </c>
      <c r="AU108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51.729166666671517</v>
      </c>
      <c r="AW1081" s="437" cm="1">
        <f t="array" ref="AW108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46336.708333333336</v>
      </c>
      <c r="AX108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81" s="437" t="str">
        <f>IF(ISERROR(PV_DATA[[#This Row],[New Ark PO status]]),"",_xlfn.XLOOKUP(PV_DATA[[#This Row],[SPTN-PVHK New Ark PO'#]],New_Ark_Data[Purchase order Number],New_Ark_Data[Estimated time of arrival],"",0))</f>
        <v/>
      </c>
      <c r="AZ1081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81" s="437">
        <f>IFERROR(PV_DATA[[#This Row],[ODP ETA Port]]+PV_DATA[[#This Row],[Customs/Leg3 Assumption]],"n/a")</f>
        <v>46343.708333333336</v>
      </c>
      <c r="BB1081" s="433">
        <f>YEAR(PV_DATA[[#This Row],[ETA for New Ark update]])</f>
        <v>2026</v>
      </c>
      <c r="BC1081" s="430">
        <f>MONTH(PV_DATA[[#This Row],[ETA for New Ark update]])</f>
        <v>11</v>
      </c>
      <c r="BD1081" s="430">
        <f>IFERROR(_xlfn.ISOWEEKNUM(PV_DATA[[#This Row],[ETA for New Ark update]]),0)</f>
        <v>47</v>
      </c>
      <c r="BE1081" s="430">
        <f>_xlfn.XLOOKUP(PV_DATA[[#This Row],[New Ark SKU]],Table9[New Ark SKU],Table9[Total PCS per Pallet],,0)</f>
        <v>36</v>
      </c>
      <c r="BF1081" s="430">
        <f>_xlfn.XLOOKUP(PV_DATA[[#This Row],[New Ark SKU]],Table9[New Ark SKU],Table9[Total PCS per 40HQ Container],,0)</f>
        <v>720</v>
      </c>
      <c r="BG1081" s="430" t="str">
        <f>_xlfn.XLOOKUP(PV_DATA[[#This Row],[New Ark SKU]],Table9[New Ark SKU],Table9[Back Glass],,0)</f>
        <v>White glazing</v>
      </c>
      <c r="BH1081" s="430" t="str">
        <f>_xlfn.XLOOKUP(PV_DATA[[#This Row],[PORT DESTINATION]],Table12[PORT DESTINATION],Table12[Cosco Line],,0)</f>
        <v>AEU</v>
      </c>
    </row>
    <row r="1082" spans="1:60" s="430" customFormat="1" ht="10.5" hidden="1">
      <c r="A1082" s="729" t="s">
        <v>6914</v>
      </c>
      <c r="B1082" s="459" t="s">
        <v>61</v>
      </c>
      <c r="C1082" s="462" t="str">
        <f>IFERROR(LEFT(PV_DATA[[#This Row],[TCL REFERENCE]],FIND(".",PV_DATA[[#This Row],[TCL REFERENCE]],1)-1),"Main Line")</f>
        <v>26Aug006</v>
      </c>
      <c r="D1082" s="462" t="s">
        <v>63</v>
      </c>
      <c r="E1082" s="462" t="s">
        <v>64</v>
      </c>
      <c r="F1082" s="462" t="str" cm="1">
        <f t="array" ref="F108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082" s="462" t="s">
        <v>402</v>
      </c>
      <c r="H1082" s="462" t="s">
        <v>67</v>
      </c>
      <c r="I1082" s="462" t="s">
        <v>689</v>
      </c>
      <c r="J1082" s="430" t="s">
        <v>96</v>
      </c>
      <c r="M1082" s="430" t="s">
        <v>6545</v>
      </c>
      <c r="N1082" s="432">
        <v>46258</v>
      </c>
      <c r="O1082" s="430" t="s">
        <v>4540</v>
      </c>
      <c r="P1082" s="430" t="s">
        <v>691</v>
      </c>
      <c r="Q1082" s="430" t="s">
        <v>692</v>
      </c>
      <c r="R1082" s="430" t="str">
        <f>_xlfn.XLOOKUP(PV_DATA[[#This Row],[New Ark SKU]],Table9[New Ark SKU],Table9[Connector],,0)</f>
        <v>EVO2A</v>
      </c>
      <c r="S1082" s="433" t="str">
        <f>_xlfn.XLOOKUP(PV_DATA[[#This Row],[New Ark SKU]],Table9[New Ark SKU],Table9[Cable],,0)</f>
        <v>±1200mm</v>
      </c>
      <c r="T1082" s="433">
        <v>505</v>
      </c>
      <c r="U1082" s="1062">
        <v>1728</v>
      </c>
      <c r="V1082" s="434">
        <f>PV_DATA[[#This Row],[QUANTITY]]*PV_DATA[[#This Row],[WATT]]/1000000</f>
        <v>0.87263999999999997</v>
      </c>
      <c r="W1082" s="435">
        <f>PV_DATA[[#This Row],[QUANTITY]]/PV_DATA[[#This Row],[Qty/Pallet]]</f>
        <v>48</v>
      </c>
      <c r="X1082" s="1015">
        <f>PV_DATA[[#This Row],[QUANTITY]]/PV_DATA[[#This Row],[Qty/CT]]</f>
        <v>2</v>
      </c>
      <c r="Y1082" s="430" t="s">
        <v>4379</v>
      </c>
      <c r="Z1082" s="430" t="str">
        <f t="shared" si="20"/>
        <v>IN-TRANSIT</v>
      </c>
      <c r="AA1082" s="430" t="s">
        <v>6640</v>
      </c>
      <c r="AB1082" s="966">
        <v>46279</v>
      </c>
      <c r="AC1082" s="485">
        <f>IF(PV_DATA[[#This Row],[Pick-Up Date]]&lt;&gt;"",_xlfn.ISOWEEKNUM(PV_DATA[[#This Row],[Pick-Up Date]]),"")</f>
        <v>38</v>
      </c>
      <c r="AD1082" s="430" t="s">
        <v>6915</v>
      </c>
      <c r="AF1082" s="430" t="s">
        <v>77</v>
      </c>
      <c r="AG1082" s="430" t="s">
        <v>61</v>
      </c>
      <c r="AH1082" s="430" t="s">
        <v>78</v>
      </c>
      <c r="AI1082" s="966">
        <v>46284</v>
      </c>
      <c r="AJ1082" s="437">
        <f>IFERROR(VLOOKUP(AT1082, Vessel!A:D, 4, FALSE), "")</f>
        <v>46284.958333333336</v>
      </c>
      <c r="AK1082" s="437">
        <f>IFERROR(IF(VLOOKUP(AT1082,Vessel!A:F,5,FALSE)=0,"",VLOOKUP(AT1082,Vessel!A:F,5,FALSE)),"")</f>
        <v>46284.979166666664</v>
      </c>
      <c r="AL1082" s="966">
        <v>46344</v>
      </c>
      <c r="AM1082" s="939">
        <f>IFERROR(VLOOKUP(AT1082, Vessel!A:H, 8, FALSE), "")</f>
        <v>46346.25</v>
      </c>
      <c r="AN1082" s="939" t="str">
        <f>IFERROR(IF(VLOOKUP(AT1082,Vessel!A:I,9,FALSE)=0,"",VLOOKUP(AT1082,Vessel!A:I,9,FALSE)),"")</f>
        <v/>
      </c>
      <c r="AO1082" s="430" t="s">
        <v>402</v>
      </c>
      <c r="AP1082" s="430" t="s">
        <v>6911</v>
      </c>
      <c r="AQ1082" s="438" t="s">
        <v>80</v>
      </c>
      <c r="AR1082" s="430" t="s">
        <v>6916</v>
      </c>
      <c r="AS1082" s="430" t="s">
        <v>6917</v>
      </c>
      <c r="AT1082" s="430" t="s">
        <v>6917</v>
      </c>
      <c r="AU108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61.270833333335759</v>
      </c>
      <c r="AW1082" s="437" cm="1">
        <f t="array" ref="AW108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46346.25</v>
      </c>
      <c r="AX108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82" s="437" t="str">
        <f>IF(ISERROR(PV_DATA[[#This Row],[New Ark PO status]]),"",_xlfn.XLOOKUP(PV_DATA[[#This Row],[SPTN-PVHK New Ark PO'#]],New_Ark_Data[Purchase order Number],New_Ark_Data[Estimated time of arrival],"",0))</f>
        <v/>
      </c>
      <c r="AZ1082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082" s="437">
        <f>IFERROR(PV_DATA[[#This Row],[ODP ETA Port]]+PV_DATA[[#This Row],[Customs/Leg3 Assumption]],"n/a")</f>
        <v>46354.25</v>
      </c>
      <c r="BB1082" s="433">
        <f>YEAR(PV_DATA[[#This Row],[ETA for New Ark update]])</f>
        <v>2026</v>
      </c>
      <c r="BC1082" s="430">
        <f>MONTH(PV_DATA[[#This Row],[ETA for New Ark update]])</f>
        <v>11</v>
      </c>
      <c r="BD1082" s="430">
        <f>IFERROR(_xlfn.ISOWEEKNUM(PV_DATA[[#This Row],[ETA for New Ark update]]),0)</f>
        <v>48</v>
      </c>
      <c r="BE1082" s="430">
        <f>_xlfn.XLOOKUP(PV_DATA[[#This Row],[New Ark SKU]],Table9[New Ark SKU],Table9[Total PCS per Pallet],,0)</f>
        <v>36</v>
      </c>
      <c r="BF1082" s="430">
        <f>_xlfn.XLOOKUP(PV_DATA[[#This Row],[New Ark SKU]],Table9[New Ark SKU],Table9[Total PCS per 40HQ Container],,0)</f>
        <v>864</v>
      </c>
      <c r="BG1082" s="430" t="str">
        <f>_xlfn.XLOOKUP(PV_DATA[[#This Row],[New Ark SKU]],Table9[New Ark SKU],Table9[Back Glass],,0)</f>
        <v>Black glazing</v>
      </c>
      <c r="BH1082" s="610" t="str">
        <f>_xlfn.XLOOKUP(PV_DATA[[#This Row],[PORT DESTINATION]],Table12[PORT DESTINATION],Table12[Cosco Line],,0)</f>
        <v>AEM</v>
      </c>
    </row>
    <row r="1083" spans="1:60" s="430" customFormat="1" ht="10.5" hidden="1">
      <c r="A1083" s="941" t="s">
        <v>6918</v>
      </c>
      <c r="B1083" s="459" t="s">
        <v>61</v>
      </c>
      <c r="C1083" s="462" t="str">
        <f>IFERROR(LEFT(PV_DATA[[#This Row],[TCL REFERENCE]],FIND(".",PV_DATA[[#This Row],[TCL REFERENCE]],1)-1),"Main Line")</f>
        <v>26Aug011</v>
      </c>
      <c r="D1083" s="935" t="s">
        <v>113</v>
      </c>
      <c r="E1083" s="462" t="s">
        <v>144</v>
      </c>
      <c r="F1083" s="462" t="str" cm="1">
        <f t="array" ref="F108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83" s="462" t="s">
        <v>156</v>
      </c>
      <c r="H1083" s="462" t="s">
        <v>670</v>
      </c>
      <c r="I1083" s="462" t="s">
        <v>1395</v>
      </c>
      <c r="J1083" s="462" t="s">
        <v>670</v>
      </c>
      <c r="K1083" s="430" t="s">
        <v>6729</v>
      </c>
      <c r="L1083" s="430">
        <v>6</v>
      </c>
      <c r="M1083" s="462" t="s">
        <v>6665</v>
      </c>
      <c r="N1083" s="432"/>
      <c r="O1083" s="430" t="s">
        <v>284</v>
      </c>
      <c r="P1083" s="430" t="s">
        <v>6730</v>
      </c>
      <c r="Q1083" s="430" t="s">
        <v>1570</v>
      </c>
      <c r="R1083" s="430" t="str">
        <f>_xlfn.XLOOKUP(PV_DATA[[#This Row],[New Ark SKU]],Table9[New Ark SKU],Table9[Connector],,0)</f>
        <v>H4(Com)</v>
      </c>
      <c r="S1083" s="433" t="str">
        <f>_xlfn.XLOOKUP(PV_DATA[[#This Row],[New Ark SKU]],Table9[New Ark SKU],Table9[Cable],,0)</f>
        <v>+400mm/-200mm</v>
      </c>
      <c r="T1083" s="433">
        <v>650</v>
      </c>
      <c r="U1083" s="1062">
        <v>10800</v>
      </c>
      <c r="V1083" s="434">
        <f>PV_DATA[[#This Row],[QUANTITY]]*PV_DATA[[#This Row],[WATT]]/1000000</f>
        <v>7.02</v>
      </c>
      <c r="W1083" s="435">
        <f>PV_DATA[[#This Row],[QUANTITY]]/PV_DATA[[#This Row],[Qty/Pallet]]</f>
        <v>300</v>
      </c>
      <c r="X1083" s="1015">
        <f>PV_DATA[[#This Row],[QUANTITY]]/PV_DATA[[#This Row],[Qty/CT]]</f>
        <v>15</v>
      </c>
      <c r="Y1083" s="430" t="s">
        <v>4379</v>
      </c>
      <c r="Z1083" s="430" t="str">
        <f t="shared" si="20"/>
        <v>IN-TRANSIT</v>
      </c>
      <c r="AA1083" s="545">
        <v>46272</v>
      </c>
      <c r="AB1083" s="966">
        <v>46278</v>
      </c>
      <c r="AC1083" s="485">
        <f>IF(PV_DATA[[#This Row],[Pick-Up Date]]&lt;&gt;"",_xlfn.ISOWEEKNUM(PV_DATA[[#This Row],[Pick-Up Date]]),"")</f>
        <v>37</v>
      </c>
      <c r="AD1083" s="430" t="s">
        <v>6919</v>
      </c>
      <c r="AF1083" s="430" t="s">
        <v>77</v>
      </c>
      <c r="AG1083" s="430" t="s">
        <v>77</v>
      </c>
      <c r="AH1083" s="430" t="s">
        <v>105</v>
      </c>
      <c r="AI1083" s="966">
        <v>46287</v>
      </c>
      <c r="AJ1083" s="966">
        <v>46295</v>
      </c>
      <c r="AK1083" s="966">
        <v>46293</v>
      </c>
      <c r="AL1083" s="966">
        <v>46333</v>
      </c>
      <c r="AM1083" s="437"/>
      <c r="AN1083" s="588"/>
      <c r="AO1083" s="430" t="s">
        <v>156</v>
      </c>
      <c r="AP1083" s="430" t="s">
        <v>6920</v>
      </c>
      <c r="AQ1083" s="438" t="s">
        <v>161</v>
      </c>
      <c r="AR1083" s="430" t="s">
        <v>6921</v>
      </c>
      <c r="AS1083" s="430" t="s">
        <v>6922</v>
      </c>
      <c r="AT1083" s="430" t="s">
        <v>6923</v>
      </c>
      <c r="AU108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W1083" s="437" cm="1">
        <f t="array" ref="AW108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46333</v>
      </c>
      <c r="AX108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83" s="437" t="str">
        <f>IF(ISERROR(PV_DATA[[#This Row],[New Ark PO status]]),"",_xlfn.XLOOKUP(PV_DATA[[#This Row],[SPTN-PVHK New Ark PO'#]],New_Ark_Data[Purchase order Number],New_Ark_Data[Estimated time of arrival],"",0))</f>
        <v/>
      </c>
      <c r="AZ1083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83" s="437">
        <f>IFERROR(PV_DATA[[#This Row],[ODP ETA Port]]+PV_DATA[[#This Row],[Customs/Leg3 Assumption]],"n/a")</f>
        <v>46333</v>
      </c>
      <c r="BB1083" s="433" t="s">
        <v>6545</v>
      </c>
      <c r="BC1083" s="433" t="s">
        <v>6545</v>
      </c>
      <c r="BD1083" s="430">
        <f>IFERROR(_xlfn.ISOWEEKNUM(PV_DATA[[#This Row],[ETA for New Ark update]]),0)</f>
        <v>45</v>
      </c>
      <c r="BE1083" s="430">
        <f>_xlfn.XLOOKUP(PV_DATA[[#This Row],[New Ark SKU]],Table9[New Ark SKU],Table9[Total PCS per Pallet],,0)</f>
        <v>36</v>
      </c>
      <c r="BF1083" s="430">
        <f>_xlfn.XLOOKUP(PV_DATA[[#This Row],[New Ark SKU]],Table9[New Ark SKU],Table9[Total PCS per 40HQ Container],,0)</f>
        <v>720</v>
      </c>
      <c r="BG1083" s="430" t="str">
        <f>_xlfn.XLOOKUP(PV_DATA[[#This Row],[New Ark SKU]],Table9[New Ark SKU],Table9[Back Glass],,0)</f>
        <v>White glazing</v>
      </c>
      <c r="BH1083" s="610" t="str">
        <f>_xlfn.XLOOKUP(PV_DATA[[#This Row],[PORT DESTINATION]],Table12[PORT DESTINATION],Table12[Cosco Line],,0)</f>
        <v>AEU</v>
      </c>
    </row>
    <row r="1084" spans="1:60" s="430" customFormat="1" ht="10.5" hidden="1">
      <c r="A1084" s="941" t="s">
        <v>6924</v>
      </c>
      <c r="B1084" s="459" t="s">
        <v>61</v>
      </c>
      <c r="C1084" s="462" t="str">
        <f>IFERROR(LEFT(PV_DATA[[#This Row],[TCL REFERENCE]],FIND(".",PV_DATA[[#This Row],[TCL REFERENCE]],1)-1),"Main Line")</f>
        <v>26Aug011</v>
      </c>
      <c r="D1084" s="935" t="s">
        <v>113</v>
      </c>
      <c r="E1084" s="462" t="s">
        <v>144</v>
      </c>
      <c r="F1084" s="462" t="str" cm="1">
        <f t="array" ref="F108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84" s="462" t="s">
        <v>156</v>
      </c>
      <c r="H1084" s="462" t="s">
        <v>670</v>
      </c>
      <c r="I1084" s="462" t="s">
        <v>1395</v>
      </c>
      <c r="J1084" s="462" t="s">
        <v>670</v>
      </c>
      <c r="K1084" s="430" t="s">
        <v>6729</v>
      </c>
      <c r="L1084" s="430">
        <v>9</v>
      </c>
      <c r="M1084" s="462" t="s">
        <v>6665</v>
      </c>
      <c r="N1084" s="432"/>
      <c r="O1084" s="430" t="s">
        <v>284</v>
      </c>
      <c r="P1084" s="430" t="s">
        <v>6730</v>
      </c>
      <c r="Q1084" s="430" t="s">
        <v>1570</v>
      </c>
      <c r="R1084" s="430" t="str">
        <f>_xlfn.XLOOKUP(PV_DATA[[#This Row],[New Ark SKU]],Table9[New Ark SKU],Table9[Connector],,0)</f>
        <v>H4(Com)</v>
      </c>
      <c r="S1084" s="433" t="str">
        <f>_xlfn.XLOOKUP(PV_DATA[[#This Row],[New Ark SKU]],Table9[New Ark SKU],Table9[Cable],,0)</f>
        <v>+400mm/-200mm</v>
      </c>
      <c r="T1084" s="433">
        <v>650</v>
      </c>
      <c r="U1084" s="1062">
        <v>5040</v>
      </c>
      <c r="V1084" s="434">
        <f>PV_DATA[[#This Row],[QUANTITY]]*PV_DATA[[#This Row],[WATT]]/1000000</f>
        <v>3.2759999999999998</v>
      </c>
      <c r="W1084" s="435">
        <f>PV_DATA[[#This Row],[QUANTITY]]/PV_DATA[[#This Row],[Qty/Pallet]]</f>
        <v>140</v>
      </c>
      <c r="X1084" s="1015">
        <f>PV_DATA[[#This Row],[QUANTITY]]/PV_DATA[[#This Row],[Qty/CT]]</f>
        <v>7</v>
      </c>
      <c r="Y1084" s="430" t="s">
        <v>4380</v>
      </c>
      <c r="Z1084" s="430" t="str">
        <f t="shared" si="20"/>
        <v>IN-TRANSIT</v>
      </c>
      <c r="AA1084" s="545">
        <v>46275</v>
      </c>
      <c r="AB1084" s="966">
        <v>46278</v>
      </c>
      <c r="AC1084" s="485">
        <f>IF(PV_DATA[[#This Row],[Pick-Up Date]]&lt;&gt;"",_xlfn.ISOWEEKNUM(PV_DATA[[#This Row],[Pick-Up Date]]),"")</f>
        <v>37</v>
      </c>
      <c r="AD1084" s="430" t="s">
        <v>6925</v>
      </c>
      <c r="AF1084" s="430" t="s">
        <v>77</v>
      </c>
      <c r="AG1084" s="430" t="s">
        <v>77</v>
      </c>
      <c r="AH1084" s="430" t="s">
        <v>105</v>
      </c>
      <c r="AI1084" s="966">
        <v>46287</v>
      </c>
      <c r="AJ1084" s="966">
        <v>46295</v>
      </c>
      <c r="AK1084" s="966">
        <v>46293</v>
      </c>
      <c r="AL1084" s="966">
        <v>46333</v>
      </c>
      <c r="AM1084" s="437"/>
      <c r="AN1084" s="588"/>
      <c r="AO1084" s="430" t="s">
        <v>156</v>
      </c>
      <c r="AP1084" s="430" t="s">
        <v>6920</v>
      </c>
      <c r="AQ1084" s="438" t="s">
        <v>161</v>
      </c>
      <c r="AR1084" s="430" t="s">
        <v>6921</v>
      </c>
      <c r="AS1084" s="430" t="s">
        <v>6922</v>
      </c>
      <c r="AT1084" s="430" t="s">
        <v>6926</v>
      </c>
      <c r="AW1084" s="437" cm="1">
        <f t="array" ref="AW108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46333</v>
      </c>
      <c r="AX108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84" s="437" t="str">
        <f>IF(ISERROR(PV_DATA[[#This Row],[New Ark PO status]]),"",_xlfn.XLOOKUP(PV_DATA[[#This Row],[SPTN-PVHK New Ark PO'#]],New_Ark_Data[Purchase order Number],New_Ark_Data[Estimated time of arrival],"",0))</f>
        <v/>
      </c>
      <c r="AZ1084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84" s="437">
        <f>IFERROR(PV_DATA[[#This Row],[ODP ETA Port]]+PV_DATA[[#This Row],[Customs/Leg3 Assumption]],"n/a")</f>
        <v>46333</v>
      </c>
      <c r="BB1084" s="433">
        <f>YEAR(PV_DATA[[#This Row],[ETA for New Ark update]])</f>
        <v>2026</v>
      </c>
      <c r="BC1084" s="430">
        <f>MONTH(PV_DATA[[#This Row],[ETA for New Ark update]])</f>
        <v>11</v>
      </c>
      <c r="BD1084" s="430">
        <f>IFERROR(_xlfn.ISOWEEKNUM(PV_DATA[[#This Row],[ETA for New Ark update]]),0)</f>
        <v>45</v>
      </c>
      <c r="BE1084" s="430">
        <f>_xlfn.XLOOKUP(PV_DATA[[#This Row],[New Ark SKU]],Table9[New Ark SKU],Table9[Total PCS per Pallet],,0)</f>
        <v>36</v>
      </c>
      <c r="BF1084" s="430">
        <f>_xlfn.XLOOKUP(PV_DATA[[#This Row],[New Ark SKU]],Table9[New Ark SKU],Table9[Total PCS per 40HQ Container],,0)</f>
        <v>720</v>
      </c>
      <c r="BG1084" s="430" t="str">
        <f>_xlfn.XLOOKUP(PV_DATA[[#This Row],[New Ark SKU]],Table9[New Ark SKU],Table9[Back Glass],,0)</f>
        <v>White glazing</v>
      </c>
      <c r="BH1084" s="610" t="str">
        <f>_xlfn.XLOOKUP(PV_DATA[[#This Row],[PORT DESTINATION]],Table12[PORT DESTINATION],Table12[Cosco Line],,0)</f>
        <v>AEU</v>
      </c>
    </row>
    <row r="1085" spans="1:60" s="430" customFormat="1" ht="10.5" hidden="1">
      <c r="A1085" s="941" t="s">
        <v>6927</v>
      </c>
      <c r="B1085" s="459" t="s">
        <v>61</v>
      </c>
      <c r="C1085" s="462" t="str">
        <f>IFERROR(LEFT(PV_DATA[[#This Row],[TCL REFERENCE]],FIND(".",PV_DATA[[#This Row],[TCL REFERENCE]],1)-1),"Main Line")</f>
        <v>26Aug011</v>
      </c>
      <c r="D1085" s="935" t="s">
        <v>113</v>
      </c>
      <c r="E1085" s="462" t="s">
        <v>144</v>
      </c>
      <c r="F1085" s="462" t="str" cm="1">
        <f t="array" ref="F108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85" s="462" t="s">
        <v>156</v>
      </c>
      <c r="H1085" s="462" t="s">
        <v>670</v>
      </c>
      <c r="I1085" s="462" t="s">
        <v>1395</v>
      </c>
      <c r="J1085" s="462" t="s">
        <v>670</v>
      </c>
      <c r="K1085" s="430" t="s">
        <v>6729</v>
      </c>
      <c r="L1085" s="430">
        <v>3</v>
      </c>
      <c r="M1085" s="462" t="s">
        <v>6665</v>
      </c>
      <c r="N1085" s="432"/>
      <c r="O1085" s="430" t="s">
        <v>284</v>
      </c>
      <c r="P1085" s="430" t="s">
        <v>6730</v>
      </c>
      <c r="Q1085" s="430" t="s">
        <v>1570</v>
      </c>
      <c r="R1085" s="430" t="str">
        <f>_xlfn.XLOOKUP(PV_DATA[[#This Row],[New Ark SKU]],Table9[New Ark SKU],Table9[Connector],,0)</f>
        <v>H4(Com)</v>
      </c>
      <c r="S1085" s="433" t="str">
        <f>_xlfn.XLOOKUP(PV_DATA[[#This Row],[New Ark SKU]],Table9[New Ark SKU],Table9[Cable],,0)</f>
        <v>+400mm/-200mm</v>
      </c>
      <c r="T1085" s="433">
        <v>650</v>
      </c>
      <c r="U1085" s="1062">
        <v>5760</v>
      </c>
      <c r="V1085" s="434">
        <f>PV_DATA[[#This Row],[QUANTITY]]*PV_DATA[[#This Row],[WATT]]/1000000</f>
        <v>3.7440000000000002</v>
      </c>
      <c r="W1085" s="435">
        <f>PV_DATA[[#This Row],[QUANTITY]]/PV_DATA[[#This Row],[Qty/Pallet]]</f>
        <v>160</v>
      </c>
      <c r="X1085" s="1015">
        <f>PV_DATA[[#This Row],[QUANTITY]]/PV_DATA[[#This Row],[Qty/CT]]</f>
        <v>8</v>
      </c>
      <c r="Y1085" s="430" t="s">
        <v>4380</v>
      </c>
      <c r="Z1085" s="430" t="str">
        <f t="shared" si="20"/>
        <v>IN-TRANSIT</v>
      </c>
      <c r="AA1085" s="545">
        <v>46275</v>
      </c>
      <c r="AB1085" s="966">
        <v>46279</v>
      </c>
      <c r="AC1085" s="485">
        <f>IF(PV_DATA[[#This Row],[Pick-Up Date]]&lt;&gt;"",_xlfn.ISOWEEKNUM(PV_DATA[[#This Row],[Pick-Up Date]]),"")</f>
        <v>38</v>
      </c>
      <c r="AD1085" s="430" t="s">
        <v>6928</v>
      </c>
      <c r="AF1085" s="430" t="s">
        <v>77</v>
      </c>
      <c r="AG1085" s="430" t="s">
        <v>77</v>
      </c>
      <c r="AH1085" s="430" t="s">
        <v>105</v>
      </c>
      <c r="AI1085" s="966">
        <v>46287</v>
      </c>
      <c r="AJ1085" s="966">
        <v>46295</v>
      </c>
      <c r="AK1085" s="966">
        <v>46293</v>
      </c>
      <c r="AL1085" s="966">
        <v>46333</v>
      </c>
      <c r="AM1085" s="437"/>
      <c r="AN1085" s="588"/>
      <c r="AO1085" s="430" t="s">
        <v>156</v>
      </c>
      <c r="AP1085" s="430" t="s">
        <v>6920</v>
      </c>
      <c r="AQ1085" s="438" t="s">
        <v>161</v>
      </c>
      <c r="AR1085" s="430" t="s">
        <v>6921</v>
      </c>
      <c r="AS1085" s="430" t="s">
        <v>6922</v>
      </c>
      <c r="AT1085" s="430" t="s">
        <v>6926</v>
      </c>
      <c r="AU108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</v>
      </c>
      <c r="AW1085" s="437" cm="1">
        <f t="array" ref="AW108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46333</v>
      </c>
      <c r="AX108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85" s="437" t="str">
        <f>IF(ISERROR(PV_DATA[[#This Row],[New Ark PO status]]),"",_xlfn.XLOOKUP(PV_DATA[[#This Row],[SPTN-PVHK New Ark PO'#]],New_Ark_Data[Purchase order Number],New_Ark_Data[Estimated time of arrival],"",0))</f>
        <v/>
      </c>
      <c r="AZ1085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85" s="437">
        <f>IFERROR(PV_DATA[[#This Row],[ODP ETA Port]]+PV_DATA[[#This Row],[Customs/Leg3 Assumption]],"n/a")</f>
        <v>46333</v>
      </c>
      <c r="BB1085" s="433" t="s">
        <v>6545</v>
      </c>
      <c r="BC1085" s="433" t="s">
        <v>6545</v>
      </c>
      <c r="BD1085" s="430">
        <f>IFERROR(_xlfn.ISOWEEKNUM(PV_DATA[[#This Row],[ETA for New Ark update]]),0)</f>
        <v>45</v>
      </c>
      <c r="BE1085" s="430">
        <f>_xlfn.XLOOKUP(PV_DATA[[#This Row],[New Ark SKU]],Table9[New Ark SKU],Table9[Total PCS per Pallet],,0)</f>
        <v>36</v>
      </c>
      <c r="BF1085" s="430">
        <f>_xlfn.XLOOKUP(PV_DATA[[#This Row],[New Ark SKU]],Table9[New Ark SKU],Table9[Total PCS per 40HQ Container],,0)</f>
        <v>720</v>
      </c>
      <c r="BG1085" s="430" t="str">
        <f>_xlfn.XLOOKUP(PV_DATA[[#This Row],[New Ark SKU]],Table9[New Ark SKU],Table9[Back Glass],,0)</f>
        <v>White glazing</v>
      </c>
      <c r="BH1085" s="610" t="str">
        <f>_xlfn.XLOOKUP(PV_DATA[[#This Row],[PORT DESTINATION]],Table12[PORT DESTINATION],Table12[Cosco Line],,0)</f>
        <v>AEU</v>
      </c>
    </row>
    <row r="1086" spans="1:60" s="430" customFormat="1" ht="10.5" hidden="1">
      <c r="A1086" s="941" t="s">
        <v>6929</v>
      </c>
      <c r="B1086" s="462" t="s">
        <v>61</v>
      </c>
      <c r="C1086" s="462" t="str">
        <f>IFERROR(LEFT(PV_DATA[[#This Row],[TCL REFERENCE]],FIND(".",PV_DATA[[#This Row],[TCL REFERENCE]],1)-1),"Main Line")</f>
        <v>26Aug011</v>
      </c>
      <c r="D1086" s="935" t="s">
        <v>113</v>
      </c>
      <c r="E1086" s="462" t="s">
        <v>144</v>
      </c>
      <c r="F1086" s="462" t="str" cm="1">
        <f t="array" ref="F1086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86" s="462" t="s">
        <v>156</v>
      </c>
      <c r="H1086" s="462" t="s">
        <v>670</v>
      </c>
      <c r="I1086" s="462" t="s">
        <v>1395</v>
      </c>
      <c r="J1086" s="462" t="s">
        <v>670</v>
      </c>
      <c r="K1086" s="430" t="s">
        <v>6729</v>
      </c>
      <c r="L1086" s="430">
        <v>8</v>
      </c>
      <c r="M1086" s="462" t="s">
        <v>6665</v>
      </c>
      <c r="N1086" s="432"/>
      <c r="O1086" s="430" t="s">
        <v>284</v>
      </c>
      <c r="P1086" s="430" t="s">
        <v>6730</v>
      </c>
      <c r="Q1086" s="430" t="s">
        <v>1570</v>
      </c>
      <c r="R1086" s="430" t="str">
        <f>_xlfn.XLOOKUP(PV_DATA[[#This Row],[New Ark SKU]],Table9[New Ark SKU],Table9[Connector],,0)</f>
        <v>H4(Com)</v>
      </c>
      <c r="S1086" s="433" t="str">
        <f>_xlfn.XLOOKUP(PV_DATA[[#This Row],[New Ark SKU]],Table9[New Ark SKU],Table9[Cable],,0)</f>
        <v>+400mm/-200mm</v>
      </c>
      <c r="T1086" s="433">
        <v>650</v>
      </c>
      <c r="U1086" s="1062">
        <v>6480</v>
      </c>
      <c r="V1086" s="434">
        <f>PV_DATA[[#This Row],[QUANTITY]]*PV_DATA[[#This Row],[WATT]]/1000000</f>
        <v>4.2119999999999997</v>
      </c>
      <c r="W1086" s="435">
        <f>PV_DATA[[#This Row],[QUANTITY]]/PV_DATA[[#This Row],[Qty/Pallet]]</f>
        <v>180</v>
      </c>
      <c r="X1086" s="1015">
        <f>PV_DATA[[#This Row],[QUANTITY]]/PV_DATA[[#This Row],[Qty/CT]]</f>
        <v>9</v>
      </c>
      <c r="Y1086" s="430" t="s">
        <v>4380</v>
      </c>
      <c r="Z1086" s="430" t="str">
        <f t="shared" si="20"/>
        <v>IN-TRANSIT</v>
      </c>
      <c r="AA1086" s="545">
        <v>46277</v>
      </c>
      <c r="AB1086" s="966">
        <v>46284</v>
      </c>
      <c r="AC1086" s="485">
        <f>IF(PV_DATA[[#This Row],[Pick-Up Date]]&lt;&gt;"",_xlfn.ISOWEEKNUM(PV_DATA[[#This Row],[Pick-Up Date]]),"")</f>
        <v>38</v>
      </c>
      <c r="AD1086" s="430" t="s">
        <v>6930</v>
      </c>
      <c r="AF1086" s="430" t="s">
        <v>77</v>
      </c>
      <c r="AG1086" s="430" t="s">
        <v>77</v>
      </c>
      <c r="AH1086" s="430" t="s">
        <v>105</v>
      </c>
      <c r="AI1086" s="966">
        <v>46286</v>
      </c>
      <c r="AJ1086" s="966">
        <v>46297</v>
      </c>
      <c r="AK1086" s="437">
        <v>46297</v>
      </c>
      <c r="AL1086" s="966">
        <v>46340</v>
      </c>
      <c r="AM1086" s="437">
        <v>46330</v>
      </c>
      <c r="AN1086" s="588"/>
      <c r="AO1086" s="430" t="s">
        <v>156</v>
      </c>
      <c r="AP1086" s="430" t="s">
        <v>6931</v>
      </c>
      <c r="AQ1086" s="438" t="s">
        <v>161</v>
      </c>
      <c r="AR1086" s="430" t="s">
        <v>6932</v>
      </c>
      <c r="AS1086" s="430" t="s">
        <v>6933</v>
      </c>
      <c r="AT1086" s="430" t="s">
        <v>6934</v>
      </c>
      <c r="AU108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33</v>
      </c>
      <c r="AW1086" s="437" cm="1">
        <f t="array" ref="AW108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46330</v>
      </c>
      <c r="AX108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86" s="437" t="str">
        <f>IF(ISERROR(PV_DATA[[#This Row],[New Ark PO status]]),"",_xlfn.XLOOKUP(PV_DATA[[#This Row],[SPTN-PVHK New Ark PO'#]],New_Ark_Data[Purchase order Number],New_Ark_Data[Estimated time of arrival],"",0))</f>
        <v/>
      </c>
      <c r="AZ1086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86" s="437">
        <f>IFERROR(PV_DATA[[#This Row],[ODP ETA Port]]+PV_DATA[[#This Row],[Customs/Leg3 Assumption]],"n/a")</f>
        <v>46330</v>
      </c>
      <c r="BB1086" s="433" t="s">
        <v>6545</v>
      </c>
      <c r="BC1086" s="433" t="s">
        <v>6545</v>
      </c>
      <c r="BD1086" s="430">
        <f>IFERROR(_xlfn.ISOWEEKNUM(PV_DATA[[#This Row],[ETA for New Ark update]]),0)</f>
        <v>45</v>
      </c>
      <c r="BE1086" s="430">
        <f>_xlfn.XLOOKUP(PV_DATA[[#This Row],[New Ark SKU]],Table9[New Ark SKU],Table9[Total PCS per Pallet],,0)</f>
        <v>36</v>
      </c>
      <c r="BF1086" s="430">
        <f>_xlfn.XLOOKUP(PV_DATA[[#This Row],[New Ark SKU]],Table9[New Ark SKU],Table9[Total PCS per 40HQ Container],,0)</f>
        <v>720</v>
      </c>
      <c r="BG1086" s="430" t="str">
        <f>_xlfn.XLOOKUP(PV_DATA[[#This Row],[New Ark SKU]],Table9[New Ark SKU],Table9[Back Glass],,0)</f>
        <v>White glazing</v>
      </c>
      <c r="BH1086" s="610" t="str">
        <f>_xlfn.XLOOKUP(PV_DATA[[#This Row],[PORT DESTINATION]],Table12[PORT DESTINATION],Table12[Cosco Line],,0)</f>
        <v>AEU</v>
      </c>
    </row>
    <row r="1087" spans="1:60" s="430" customFormat="1" ht="10.5" hidden="1">
      <c r="A1087" s="941" t="s">
        <v>6935</v>
      </c>
      <c r="B1087" s="462" t="s">
        <v>61</v>
      </c>
      <c r="C1087" s="462" t="str">
        <f>IFERROR(LEFT(PV_DATA[[#This Row],[TCL REFERENCE]],FIND(".",PV_DATA[[#This Row],[TCL REFERENCE]],1)-1),"Main Line")</f>
        <v>26Aug012</v>
      </c>
      <c r="D1087" s="935" t="s">
        <v>113</v>
      </c>
      <c r="E1087" s="462" t="s">
        <v>144</v>
      </c>
      <c r="F1087" s="462" t="str" cm="1">
        <f t="array" ref="F108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87" s="462" t="s">
        <v>156</v>
      </c>
      <c r="H1087" s="462" t="s">
        <v>670</v>
      </c>
      <c r="I1087" s="462" t="s">
        <v>1395</v>
      </c>
      <c r="J1087" s="462" t="s">
        <v>670</v>
      </c>
      <c r="K1087" s="430" t="s">
        <v>6729</v>
      </c>
      <c r="L1087" s="430">
        <v>4</v>
      </c>
      <c r="M1087" s="462" t="s">
        <v>6665</v>
      </c>
      <c r="N1087" s="432"/>
      <c r="O1087" s="430" t="s">
        <v>284</v>
      </c>
      <c r="P1087" s="430" t="s">
        <v>6737</v>
      </c>
      <c r="Q1087" s="430" t="s">
        <v>5355</v>
      </c>
      <c r="R1087" s="430" t="str">
        <f>_xlfn.XLOOKUP(PV_DATA[[#This Row],[New Ark SKU]],Table9[New Ark SKU],Table9[Connector],,0)</f>
        <v>H4(Com)</v>
      </c>
      <c r="S1087" s="433" t="str">
        <f>_xlfn.XLOOKUP(PV_DATA[[#This Row],[New Ark SKU]],Table9[New Ark SKU],Table9[Cable],,0)</f>
        <v>+400mm/-200mm</v>
      </c>
      <c r="T1087" s="433">
        <v>655</v>
      </c>
      <c r="U1087" s="1062">
        <v>720</v>
      </c>
      <c r="V1087" s="434">
        <f>PV_DATA[[#This Row],[QUANTITY]]*PV_DATA[[#This Row],[WATT]]/1000000</f>
        <v>0.47160000000000002</v>
      </c>
      <c r="W1087" s="435">
        <f>PV_DATA[[#This Row],[QUANTITY]]/PV_DATA[[#This Row],[Qty/Pallet]]</f>
        <v>20</v>
      </c>
      <c r="X1087" s="1015">
        <f>PV_DATA[[#This Row],[QUANTITY]]/PV_DATA[[#This Row],[Qty/CT]]</f>
        <v>1</v>
      </c>
      <c r="Y1087" s="430" t="s">
        <v>4381</v>
      </c>
      <c r="Z1087" s="430" t="str">
        <f t="shared" si="20"/>
        <v>IN-TRANSIT</v>
      </c>
      <c r="AB1087" s="966">
        <v>46284</v>
      </c>
      <c r="AC1087" s="485">
        <f>IF(PV_DATA[[#This Row],[Pick-Up Date]]&lt;&gt;"",_xlfn.ISOWEEKNUM(PV_DATA[[#This Row],[Pick-Up Date]]),"")</f>
        <v>38</v>
      </c>
      <c r="AD1087" s="430" t="s">
        <v>6936</v>
      </c>
      <c r="AF1087" s="430" t="s">
        <v>77</v>
      </c>
      <c r="AG1087" s="430" t="s">
        <v>77</v>
      </c>
      <c r="AH1087" s="430" t="s">
        <v>105</v>
      </c>
      <c r="AI1087" s="966">
        <v>46286</v>
      </c>
      <c r="AJ1087" s="966">
        <v>46297</v>
      </c>
      <c r="AK1087" s="437">
        <v>46297</v>
      </c>
      <c r="AL1087" s="966">
        <v>46340</v>
      </c>
      <c r="AM1087" s="437">
        <v>46330</v>
      </c>
      <c r="AN1087" s="588"/>
      <c r="AO1087" s="430" t="s">
        <v>156</v>
      </c>
      <c r="AP1087" s="430" t="s">
        <v>6931</v>
      </c>
      <c r="AQ1087" s="438" t="s">
        <v>161</v>
      </c>
      <c r="AR1087" s="430" t="s">
        <v>6932</v>
      </c>
      <c r="AS1087" s="430" t="s">
        <v>6933</v>
      </c>
      <c r="AT1087" s="430" t="s">
        <v>6934</v>
      </c>
      <c r="AW1087" s="437" cm="1">
        <f t="array" ref="AW108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46330</v>
      </c>
      <c r="AX108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87" s="437" t="str">
        <f>IF(ISERROR(PV_DATA[[#This Row],[New Ark PO status]]),"",_xlfn.XLOOKUP(PV_DATA[[#This Row],[SPTN-PVHK New Ark PO'#]],New_Ark_Data[Purchase order Number],New_Ark_Data[Estimated time of arrival],"",0))</f>
        <v/>
      </c>
      <c r="AZ1087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87" s="437">
        <f>IFERROR(PV_DATA[[#This Row],[ODP ETA Port]]+PV_DATA[[#This Row],[Customs/Leg3 Assumption]],"n/a")</f>
        <v>46330</v>
      </c>
      <c r="BB1087" s="433">
        <f>YEAR(PV_DATA[[#This Row],[ETA for New Ark update]])</f>
        <v>2026</v>
      </c>
      <c r="BC1087" s="430">
        <f>MONTH(PV_DATA[[#This Row],[ETA for New Ark update]])</f>
        <v>11</v>
      </c>
      <c r="BD1087" s="430">
        <f>IFERROR(_xlfn.ISOWEEKNUM(PV_DATA[[#This Row],[ETA for New Ark update]]),0)</f>
        <v>45</v>
      </c>
      <c r="BE1087" s="430">
        <f>_xlfn.XLOOKUP(PV_DATA[[#This Row],[New Ark SKU]],Table9[New Ark SKU],Table9[Total PCS per Pallet],,0)</f>
        <v>36</v>
      </c>
      <c r="BF1087" s="430">
        <f>_xlfn.XLOOKUP(PV_DATA[[#This Row],[New Ark SKU]],Table9[New Ark SKU],Table9[Total PCS per 40HQ Container],,0)</f>
        <v>720</v>
      </c>
      <c r="BG1087" s="430" t="str">
        <f>_xlfn.XLOOKUP(PV_DATA[[#This Row],[New Ark SKU]],Table9[New Ark SKU],Table9[Back Glass],,0)</f>
        <v>White glazing</v>
      </c>
      <c r="BH1087" s="610" t="str">
        <f>_xlfn.XLOOKUP(PV_DATA[[#This Row],[PORT DESTINATION]],Table12[PORT DESTINATION],Table12[Cosco Line],,0)</f>
        <v>AEU</v>
      </c>
    </row>
    <row r="1088" spans="1:60" s="430" customFormat="1" ht="13.5" hidden="1" customHeight="1">
      <c r="A1088" s="729" t="s">
        <v>6937</v>
      </c>
      <c r="B1088" s="462" t="s">
        <v>111</v>
      </c>
      <c r="C1088" s="462" t="str">
        <f>IFERROR(LEFT(PV_DATA[[#This Row],[TCL REFERENCE]],FIND(".",PV_DATA[[#This Row],[TCL REFERENCE]],1)-1),"Main Line")</f>
        <v>26Aug025</v>
      </c>
      <c r="D1088" s="935" t="s">
        <v>113</v>
      </c>
      <c r="E1088" s="462" t="s">
        <v>144</v>
      </c>
      <c r="F1088" s="462" t="str" cm="1">
        <f t="array" ref="F108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88" s="462" t="s">
        <v>402</v>
      </c>
      <c r="H1088" s="462" t="s">
        <v>670</v>
      </c>
      <c r="I1088" s="462" t="s">
        <v>1395</v>
      </c>
      <c r="J1088" s="462" t="s">
        <v>670</v>
      </c>
      <c r="K1088" s="430" t="s">
        <v>6276</v>
      </c>
      <c r="L1088" s="430">
        <v>20</v>
      </c>
      <c r="M1088" s="430" t="s">
        <v>4976</v>
      </c>
      <c r="N1088" s="432"/>
      <c r="O1088" s="430" t="s">
        <v>4540</v>
      </c>
      <c r="P1088" s="430" t="s">
        <v>6470</v>
      </c>
      <c r="Q1088" s="430" t="s">
        <v>4607</v>
      </c>
      <c r="R1088" s="430" t="str">
        <f>_xlfn.XLOOKUP(PV_DATA[[#This Row],[New Ark SKU]],Table9[New Ark SKU],Table9[Connector],,0)</f>
        <v>H4(Com)</v>
      </c>
      <c r="S1088" s="433" t="str">
        <f>_xlfn.XLOOKUP(PV_DATA[[#This Row],[New Ark SKU]],Table9[New Ark SKU],Table9[Cable],,0)</f>
        <v>+400mm/-200mm</v>
      </c>
      <c r="T1088" s="433">
        <v>630</v>
      </c>
      <c r="U1088" s="1074">
        <v>7920</v>
      </c>
      <c r="V1088" s="434">
        <f>PV_DATA[[#This Row],[QUANTITY]]*PV_DATA[[#This Row],[WATT]]/1000000</f>
        <v>4.9896000000000003</v>
      </c>
      <c r="W1088" s="969">
        <f>PV_DATA[[#This Row],[QUANTITY]]/36</f>
        <v>220</v>
      </c>
      <c r="X1088" s="1153">
        <f>PV_DATA[[#This Row],[QUANTITY]]/PV_DATA[[#This Row],[Qty/CT]]</f>
        <v>11</v>
      </c>
      <c r="Y1088" s="430" t="s">
        <v>4381</v>
      </c>
      <c r="Z1088" s="430" t="str">
        <f t="shared" si="20"/>
        <v>IN-TRANSIT</v>
      </c>
      <c r="AA1088" s="430" t="s">
        <v>5862</v>
      </c>
      <c r="AB1088" s="437">
        <v>46284</v>
      </c>
      <c r="AC1088" s="485">
        <f>IF(PV_DATA[[#This Row],[Pick-Up Date]]&lt;&gt;"",_xlfn.ISOWEEKNUM(PV_DATA[[#This Row],[Pick-Up Date]]),"")</f>
        <v>38</v>
      </c>
      <c r="AD1088" s="430" t="s">
        <v>6938</v>
      </c>
      <c r="AF1088" s="430" t="s">
        <v>122</v>
      </c>
      <c r="AG1088" s="430" t="s">
        <v>122</v>
      </c>
      <c r="AH1088" s="430" t="s">
        <v>105</v>
      </c>
      <c r="AI1088" s="437">
        <v>46288</v>
      </c>
      <c r="AJ1088" s="437">
        <v>46293</v>
      </c>
      <c r="AK1088" s="437">
        <v>46293</v>
      </c>
      <c r="AL1088" s="437">
        <v>46326</v>
      </c>
      <c r="AM1088" s="437"/>
      <c r="AN1088" s="588" t="str">
        <f>IFERROR(IF(VLOOKUP(AT1088,Vessel!A:I,9,FALSE)=0,"",VLOOKUP(AT1088,Vessel!A:I,9,FALSE)),"")</f>
        <v/>
      </c>
      <c r="AQ1088" s="438" t="s">
        <v>161</v>
      </c>
      <c r="AR1088" s="430" t="s">
        <v>6939</v>
      </c>
      <c r="AS1088" s="430" t="s">
        <v>6940</v>
      </c>
      <c r="AT1088" s="430" t="s">
        <v>6941</v>
      </c>
      <c r="AU108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33</v>
      </c>
      <c r="AW1088" s="437" cm="1">
        <f t="array" ref="AW108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46326</v>
      </c>
      <c r="AX108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88" s="437" t="str">
        <f>IF(ISERROR(PV_DATA[[#This Row],[New Ark PO status]]),"",_xlfn.XLOOKUP(PV_DATA[[#This Row],[SPTN-PVHK New Ark PO'#]],New_Ark_Data[Purchase order Number],New_Ark_Data[Estimated time of arrival],"",0))</f>
        <v/>
      </c>
      <c r="AZ1088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88" s="437">
        <f>IFERROR(PV_DATA[[#This Row],[ODP ETA Port]]+PV_DATA[[#This Row],[Customs/Leg3 Assumption]],"n/a")</f>
        <v>46326</v>
      </c>
      <c r="BB1088" s="433">
        <f>YEAR(PV_DATA[[#This Row],[ETA for New Ark update]])</f>
        <v>2026</v>
      </c>
      <c r="BC1088" s="430">
        <f>MONTH(PV_DATA[[#This Row],[ETA for New Ark update]])</f>
        <v>10</v>
      </c>
      <c r="BD1088" s="430">
        <f>IFERROR(_xlfn.ISOWEEKNUM(PV_DATA[[#This Row],[ETA for New Ark update]]),0)</f>
        <v>44</v>
      </c>
      <c r="BE1088" s="430">
        <f>_xlfn.XLOOKUP(PV_DATA[[#This Row],[New Ark SKU]],Table9[New Ark SKU],Table9[Total PCS per Pallet],,0)</f>
        <v>36</v>
      </c>
      <c r="BF1088" s="430">
        <f>_xlfn.XLOOKUP(PV_DATA[[#This Row],[New Ark SKU]],Table9[New Ark SKU],Table9[Total PCS per 40HQ Container],,0)</f>
        <v>720</v>
      </c>
      <c r="BG1088" s="430" t="str">
        <f>_xlfn.XLOOKUP(PV_DATA[[#This Row],[New Ark SKU]],Table9[New Ark SKU],Table9[Back Glass],,0)</f>
        <v>Redirection Film</v>
      </c>
      <c r="BH1088" s="610" t="str">
        <f>_xlfn.XLOOKUP(PV_DATA[[#This Row],[PORT DESTINATION]],Table12[PORT DESTINATION],Table12[Cosco Line],,0)</f>
        <v>AEU</v>
      </c>
    </row>
    <row r="1089" spans="1:60" s="430" customFormat="1" ht="13.5" hidden="1" customHeight="1">
      <c r="A1089" s="729" t="s">
        <v>6942</v>
      </c>
      <c r="B1089" s="462" t="s">
        <v>111</v>
      </c>
      <c r="C1089" s="462" t="str">
        <f>IFERROR(LEFT(PV_DATA[[#This Row],[TCL REFERENCE]],FIND(".",PV_DATA[[#This Row],[TCL REFERENCE]],1)-1),"Main Line")</f>
        <v>26Aug015</v>
      </c>
      <c r="D1089" s="462" t="s">
        <v>63</v>
      </c>
      <c r="E1089" s="462" t="s">
        <v>64</v>
      </c>
      <c r="F1089" s="462" t="str" cm="1">
        <f t="array" ref="F108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89" s="462" t="s">
        <v>402</v>
      </c>
      <c r="H1089" s="462" t="s">
        <v>67</v>
      </c>
      <c r="I1089" s="462" t="s">
        <v>689</v>
      </c>
      <c r="J1089" s="430" t="s">
        <v>96</v>
      </c>
      <c r="M1089" s="430" t="s">
        <v>68</v>
      </c>
      <c r="N1089" s="432">
        <v>46285</v>
      </c>
      <c r="O1089" s="430" t="s">
        <v>550</v>
      </c>
      <c r="P1089" s="430" t="s">
        <v>551</v>
      </c>
      <c r="Q1089" s="430" t="s">
        <v>2151</v>
      </c>
      <c r="R1089" s="430" t="str">
        <f>_xlfn.XLOOKUP(PV_DATA[[#This Row],[New Ark SKU]],Table9[New Ark SKU],Table9[Connector],,0)</f>
        <v>EVO2A</v>
      </c>
      <c r="S1089" s="433" t="str">
        <f>_xlfn.XLOOKUP(PV_DATA[[#This Row],[New Ark SKU]],Table9[New Ark SKU],Table9[Cable],,0)</f>
        <v>±1350mm</v>
      </c>
      <c r="T1089" s="433">
        <v>510</v>
      </c>
      <c r="U1089" s="1062">
        <v>792</v>
      </c>
      <c r="V1089" s="434">
        <f>PV_DATA[[#This Row],[QUANTITY]]*PV_DATA[[#This Row],[WATT]]/1000000</f>
        <v>0.40392</v>
      </c>
      <c r="W1089" s="435">
        <f>PV_DATA[[#This Row],[QUANTITY]]/PV_DATA[[#This Row],[Qty/Pallet]]</f>
        <v>22</v>
      </c>
      <c r="X1089" s="1015">
        <f>PV_DATA[[#This Row],[QUANTITY]]/PV_DATA[[#This Row],[Qty/CT]]</f>
        <v>1</v>
      </c>
      <c r="Y1089" s="430" t="s">
        <v>4382</v>
      </c>
      <c r="Z1089" s="430" t="str">
        <f t="shared" si="20"/>
        <v>IN-TRANSIT</v>
      </c>
      <c r="AA1089" s="545">
        <v>46282</v>
      </c>
      <c r="AB1089" s="437">
        <v>46285</v>
      </c>
      <c r="AC1089" s="485">
        <f>IF(PV_DATA[[#This Row],[Pick-Up Date]]&lt;&gt;"",_xlfn.ISOWEEKNUM(PV_DATA[[#This Row],[Pick-Up Date]]),"")</f>
        <v>38</v>
      </c>
      <c r="AD1089" s="430" t="s">
        <v>6943</v>
      </c>
      <c r="AF1089" s="430" t="s">
        <v>122</v>
      </c>
      <c r="AG1089" s="430" t="s">
        <v>122</v>
      </c>
      <c r="AH1089" s="430" t="s">
        <v>105</v>
      </c>
      <c r="AI1089" s="437">
        <v>46288</v>
      </c>
      <c r="AJ1089" s="437">
        <v>46293</v>
      </c>
      <c r="AK1089" s="437">
        <v>46293</v>
      </c>
      <c r="AL1089" s="437">
        <v>46326</v>
      </c>
      <c r="AM1089" s="1196"/>
      <c r="AN1089" s="588" t="str">
        <f>IFERROR(IF(VLOOKUP(AT1089,Vessel!A:I,9,FALSE)=0,"",VLOOKUP(AT1089,Vessel!A:I,9,FALSE)),"")</f>
        <v/>
      </c>
      <c r="AQ1089" s="438" t="s">
        <v>161</v>
      </c>
      <c r="AR1089" s="430" t="s">
        <v>6944</v>
      </c>
      <c r="AS1089" s="430" t="s">
        <v>6945</v>
      </c>
      <c r="AT1089" s="430" t="s">
        <v>6941</v>
      </c>
      <c r="AU108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33</v>
      </c>
      <c r="AW1089" s="437" cm="1">
        <f t="array" ref="AW108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46326</v>
      </c>
      <c r="AX108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89" s="437" t="str">
        <f>IF(ISERROR(PV_DATA[[#This Row],[New Ark PO status]]),"",_xlfn.XLOOKUP(PV_DATA[[#This Row],[SPTN-PVHK New Ark PO'#]],New_Ark_Data[Purchase order Number],New_Ark_Data[Estimated time of arrival],"",0))</f>
        <v/>
      </c>
      <c r="AZ1089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89" s="437">
        <f>IFERROR(PV_DATA[[#This Row],[ODP ETA Port]]+PV_DATA[[#This Row],[Customs/Leg3 Assumption]],"n/a")</f>
        <v>46333</v>
      </c>
      <c r="BB1089" s="433" t="s">
        <v>6545</v>
      </c>
      <c r="BC1089" s="433" t="s">
        <v>6545</v>
      </c>
      <c r="BD1089" s="430">
        <f>IFERROR(_xlfn.ISOWEEKNUM(PV_DATA[[#This Row],[ETA for New Ark update]]),0)</f>
        <v>45</v>
      </c>
      <c r="BE1089" s="430">
        <f>_xlfn.XLOOKUP(PV_DATA[[#This Row],[New Ark SKU]],Table9[New Ark SKU],Table9[Total PCS per Pallet],,0)</f>
        <v>36</v>
      </c>
      <c r="BF1089" s="430">
        <f>_xlfn.XLOOKUP(PV_DATA[[#This Row],[New Ark SKU]],Table9[New Ark SKU],Table9[Total PCS per 40HQ Container],,0)</f>
        <v>792</v>
      </c>
      <c r="BG1089" s="430" t="str">
        <f>_xlfn.XLOOKUP(PV_DATA[[#This Row],[New Ark SKU]],Table9[New Ark SKU],Table9[Back Glass],,0)</f>
        <v>Black glazing</v>
      </c>
      <c r="BH1089" s="610" t="str">
        <f>_xlfn.XLOOKUP(PV_DATA[[#This Row],[PORT DESTINATION]],Table12[PORT DESTINATION],Table12[Cosco Line],,0)</f>
        <v>AEU</v>
      </c>
    </row>
    <row r="1090" spans="1:60" s="430" customFormat="1" ht="13.5" hidden="1" customHeight="1">
      <c r="A1090" s="462" t="s">
        <v>6946</v>
      </c>
      <c r="B1090" s="462" t="s">
        <v>1757</v>
      </c>
      <c r="C1090" s="459" t="str">
        <f>IFERROR(LEFT(PV_DATA[[#This Row],[TCL REFERENCE]],FIND(".",PV_DATA[[#This Row],[TCL REFERENCE]],1)-1),"Main Line")</f>
        <v>26Aug013</v>
      </c>
      <c r="D1090" s="935" t="s">
        <v>113</v>
      </c>
      <c r="E1090" s="462" t="s">
        <v>144</v>
      </c>
      <c r="F1090" s="462" t="str" cm="1">
        <f t="array" ref="F109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90" s="462" t="s">
        <v>402</v>
      </c>
      <c r="H1090" s="462" t="s">
        <v>670</v>
      </c>
      <c r="I1090" s="462" t="s">
        <v>1395</v>
      </c>
      <c r="J1090" s="462" t="s">
        <v>670</v>
      </c>
      <c r="K1090" s="430" t="s">
        <v>6848</v>
      </c>
      <c r="L1090" s="430">
        <v>2</v>
      </c>
      <c r="M1090" s="430" t="s">
        <v>840</v>
      </c>
      <c r="N1090" s="432"/>
      <c r="O1090" s="430" t="s">
        <v>284</v>
      </c>
      <c r="P1090" s="430" t="s">
        <v>6849</v>
      </c>
      <c r="Q1090" s="430" t="s">
        <v>6850</v>
      </c>
      <c r="R1090" s="430" t="str">
        <f>_xlfn.XLOOKUP(PV_DATA[[#This Row],[New Ark SKU]],Table9[New Ark SKU],Table9[Connector],,0)</f>
        <v>EVO2A</v>
      </c>
      <c r="S1090" s="433" t="str">
        <f>_xlfn.XLOOKUP(PV_DATA[[#This Row],[New Ark SKU]],Table9[New Ark SKU],Table9[Cable],,0)</f>
        <v>±1200mm</v>
      </c>
      <c r="T1090" s="433">
        <v>490</v>
      </c>
      <c r="U1090" s="1062">
        <f>936*4</f>
        <v>3744</v>
      </c>
      <c r="V1090" s="434">
        <f>PV_DATA[[#This Row],[QUANTITY]]*PV_DATA[[#This Row],[WATT]]/1000000</f>
        <v>1.83456</v>
      </c>
      <c r="W1090" s="969">
        <f>PV_DATA[[#This Row],[QUANTITY]]/36</f>
        <v>104</v>
      </c>
      <c r="X1090" s="1015">
        <f>PV_DATA[[#This Row],[QUANTITY]]/PV_DATA[[#This Row],[Qty/CT]]</f>
        <v>4</v>
      </c>
      <c r="Y1090" s="430" t="s">
        <v>4379</v>
      </c>
      <c r="Z1090" s="430" t="str">
        <f t="shared" si="20"/>
        <v>IN-TRANSIT</v>
      </c>
      <c r="AA1090" s="430" t="s">
        <v>6947</v>
      </c>
      <c r="AB1090" s="437">
        <v>46285</v>
      </c>
      <c r="AC1090" s="485">
        <f>IF(PV_DATA[[#This Row],[Pick-Up Date]]&lt;&gt;"",_xlfn.ISOWEEKNUM(PV_DATA[[#This Row],[Pick-Up Date]]),"")</f>
        <v>38</v>
      </c>
      <c r="AD1090" s="430" t="s">
        <v>6948</v>
      </c>
      <c r="AF1090" s="459" t="s">
        <v>5864</v>
      </c>
      <c r="AG1090" s="430" t="s">
        <v>122</v>
      </c>
      <c r="AH1090" s="430" t="s">
        <v>105</v>
      </c>
      <c r="AI1090" s="437">
        <v>46294</v>
      </c>
      <c r="AJ1090" s="437">
        <v>46292</v>
      </c>
      <c r="AK1090" s="437">
        <f>IFERROR(IF(VLOOKUP(AT1090,Vessel!A:F,5,FALSE)=0,"",VLOOKUP(AT1090,Vessel!A:F,5,FALSE)),"")</f>
        <v>46292.541562500002</v>
      </c>
      <c r="AL1090" s="437">
        <v>46329</v>
      </c>
      <c r="AM1090" s="939">
        <f>IFERROR(VLOOKUP(AT1090, Vessel!A:H, 8, FALSE), "")</f>
        <v>46336.708333333336</v>
      </c>
      <c r="AN1090" s="939" t="str">
        <f>IFERROR(IF(VLOOKUP(AT1090,Vessel!A:I,9,FALSE)=0,"",VLOOKUP(AT1090,Vessel!A:I,9,FALSE)),"")</f>
        <v/>
      </c>
      <c r="AP1090" s="430" t="s">
        <v>6949</v>
      </c>
      <c r="AQ1090" s="438" t="s">
        <v>80</v>
      </c>
      <c r="AR1090" s="430" t="s">
        <v>6950</v>
      </c>
      <c r="AS1090" s="430" t="s">
        <v>6951</v>
      </c>
      <c r="AT1090" s="430" t="s">
        <v>6951</v>
      </c>
      <c r="AU109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44.16677083333343</v>
      </c>
      <c r="AW1090" s="437" cm="1">
        <f t="array" ref="AW109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46336.708333333336</v>
      </c>
      <c r="AX109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90" s="437" t="str">
        <f>IF(ISERROR(PV_DATA[[#This Row],[New Ark PO status]]),"",_xlfn.XLOOKUP(PV_DATA[[#This Row],[SPTN-PVHK New Ark PO'#]],New_Ark_Data[Purchase order Number],New_Ark_Data[Estimated time of arrival],"",0))</f>
        <v/>
      </c>
      <c r="AZ1090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90" s="437">
        <f>IFERROR(PV_DATA[[#This Row],[ODP ETA Port]]+PV_DATA[[#This Row],[Customs/Leg3 Assumption]],"n/a")</f>
        <v>46336.708333333336</v>
      </c>
      <c r="BB1090" s="433">
        <f>YEAR(PV_DATA[[#This Row],[ETA for New Ark update]])</f>
        <v>2026</v>
      </c>
      <c r="BC1090" s="430">
        <f>MONTH(PV_DATA[[#This Row],[ETA for New Ark update]])</f>
        <v>11</v>
      </c>
      <c r="BD1090" s="430">
        <f>IFERROR(_xlfn.ISOWEEKNUM(PV_DATA[[#This Row],[ETA for New Ark update]]),0)</f>
        <v>46</v>
      </c>
      <c r="BE1090" s="430">
        <f>_xlfn.XLOOKUP(PV_DATA[[#This Row],[New Ark SKU]],Table9[New Ark SKU],Table9[Total PCS per Pallet],,0)</f>
        <v>36</v>
      </c>
      <c r="BF1090" s="430">
        <f>_xlfn.XLOOKUP(PV_DATA[[#This Row],[New Ark SKU]],Table9[New Ark SKU],Table9[Total PCS per 40HQ Container],,0)</f>
        <v>936</v>
      </c>
      <c r="BG1090" s="430" t="str">
        <f>_xlfn.XLOOKUP(PV_DATA[[#This Row],[New Ark SKU]],Table9[New Ark SKU],Table9[Back Glass],,0)</f>
        <v>Black glazing</v>
      </c>
      <c r="BH1090" s="610" t="str">
        <f>_xlfn.XLOOKUP(PV_DATA[[#This Row],[PORT DESTINATION]],Table12[PORT DESTINATION],Table12[Cosco Line],,0)</f>
        <v>AEU</v>
      </c>
    </row>
    <row r="1091" spans="1:60" s="430" customFormat="1" ht="10.5" hidden="1">
      <c r="A1091" s="462" t="s">
        <v>6952</v>
      </c>
      <c r="B1091" s="462" t="s">
        <v>1757</v>
      </c>
      <c r="C1091" s="459" t="str">
        <f>IFERROR(LEFT(PV_DATA[[#This Row],[TCL REFERENCE]],FIND(".",PV_DATA[[#This Row],[TCL REFERENCE]],1)-1),"Main Line")</f>
        <v>26Aug014</v>
      </c>
      <c r="D1091" s="462" t="s">
        <v>113</v>
      </c>
      <c r="E1091" s="462" t="s">
        <v>144</v>
      </c>
      <c r="F1091" s="462" t="str" cm="1">
        <f t="array" ref="F109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91" s="462" t="s">
        <v>402</v>
      </c>
      <c r="H1091" s="462" t="s">
        <v>670</v>
      </c>
      <c r="I1091" s="462" t="s">
        <v>1395</v>
      </c>
      <c r="J1091" s="462" t="s">
        <v>670</v>
      </c>
      <c r="K1091" s="430" t="s">
        <v>6953</v>
      </c>
      <c r="L1091" s="430">
        <v>6</v>
      </c>
      <c r="M1091" s="430" t="s">
        <v>840</v>
      </c>
      <c r="N1091" s="432"/>
      <c r="O1091" s="430" t="s">
        <v>284</v>
      </c>
      <c r="P1091" s="430" t="s">
        <v>6856</v>
      </c>
      <c r="Q1091" s="430" t="s">
        <v>6857</v>
      </c>
      <c r="R1091" s="430" t="str">
        <f>_xlfn.XLOOKUP(PV_DATA[[#This Row],[New Ark SKU]],Table9[New Ark SKU],Table9[Connector],,0)</f>
        <v>EVO2A</v>
      </c>
      <c r="S1091" s="433" t="str">
        <f>_xlfn.XLOOKUP(PV_DATA[[#This Row],[New Ark SKU]],Table9[New Ark SKU],Table9[Cable],,0)</f>
        <v>±1200mm</v>
      </c>
      <c r="T1091" s="433">
        <v>485</v>
      </c>
      <c r="U1091" s="1062">
        <v>6552</v>
      </c>
      <c r="V1091" s="434">
        <f>PV_DATA[[#This Row],[QUANTITY]]*PV_DATA[[#This Row],[WATT]]/1000000</f>
        <v>3.1777199999999999</v>
      </c>
      <c r="W1091" s="435">
        <f>PV_DATA[[#This Row],[QUANTITY]]/36</f>
        <v>182</v>
      </c>
      <c r="X1091" s="1015">
        <f>PV_DATA[[#This Row],[QUANTITY]]/PV_DATA[[#This Row],[Qty/CT]]</f>
        <v>7</v>
      </c>
      <c r="Y1091" s="430" t="s">
        <v>4380</v>
      </c>
      <c r="Z1091" s="430" t="str">
        <f t="shared" si="20"/>
        <v>IN-TRANSIT</v>
      </c>
      <c r="AA1091" s="430" t="s">
        <v>6954</v>
      </c>
      <c r="AB1091" s="437">
        <v>46286</v>
      </c>
      <c r="AC1091" s="485">
        <f>IF(PV_DATA[[#This Row],[Pick-Up Date]]&lt;&gt;"",_xlfn.ISOWEEKNUM(PV_DATA[[#This Row],[Pick-Up Date]]),"")</f>
        <v>39</v>
      </c>
      <c r="AD1091" s="430" t="s">
        <v>6955</v>
      </c>
      <c r="AF1091" s="459" t="s">
        <v>5864</v>
      </c>
      <c r="AG1091" s="430" t="s">
        <v>122</v>
      </c>
      <c r="AH1091" s="430" t="s">
        <v>105</v>
      </c>
      <c r="AI1091" s="437">
        <v>46294</v>
      </c>
      <c r="AJ1091" s="437">
        <v>46292</v>
      </c>
      <c r="AK1091" s="437">
        <f>IFERROR(IF(VLOOKUP(AT1091,Vessel!A:F,5,FALSE)=0,"",VLOOKUP(AT1091,Vessel!A:F,5,FALSE)),"")</f>
        <v>46292.541562500002</v>
      </c>
      <c r="AL1091" s="437">
        <v>46329</v>
      </c>
      <c r="AM1091" s="939">
        <f>IFERROR(VLOOKUP(AT1091, Vessel!A:H, 8, FALSE), "")</f>
        <v>46336.708333333336</v>
      </c>
      <c r="AN1091" s="939" t="str">
        <f>IFERROR(IF(VLOOKUP(AT1091,Vessel!A:I,9,FALSE)=0,"",VLOOKUP(AT1091,Vessel!A:I,9,FALSE)),"")</f>
        <v/>
      </c>
      <c r="AP1091" s="430" t="s">
        <v>6949</v>
      </c>
      <c r="AQ1091" s="438" t="s">
        <v>80</v>
      </c>
      <c r="AR1091" s="430" t="s">
        <v>6950</v>
      </c>
      <c r="AS1091" s="430" t="s">
        <v>6951</v>
      </c>
      <c r="AT1091" s="430" t="s">
        <v>6951</v>
      </c>
      <c r="AU109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44.16677083333343</v>
      </c>
      <c r="AW1091" s="437" cm="1">
        <f t="array" ref="AW109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46336.708333333336</v>
      </c>
      <c r="AX109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91" s="437" t="str">
        <f>IF(ISERROR(PV_DATA[[#This Row],[New Ark PO status]]),"",_xlfn.XLOOKUP(PV_DATA[[#This Row],[SPTN-PVHK New Ark PO'#]],New_Ark_Data[Purchase order Number],New_Ark_Data[Estimated time of arrival],"",0))</f>
        <v/>
      </c>
      <c r="AZ1091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91" s="437">
        <f>IFERROR(PV_DATA[[#This Row],[ODP ETA Port]]+PV_DATA[[#This Row],[Customs/Leg3 Assumption]],"n/a")</f>
        <v>46336.708333333336</v>
      </c>
      <c r="BB1091" s="433">
        <f>YEAR(PV_DATA[[#This Row],[ETA for New Ark update]])</f>
        <v>2026</v>
      </c>
      <c r="BC1091" s="430">
        <f>MONTH(PV_DATA[[#This Row],[ETA for New Ark update]])</f>
        <v>11</v>
      </c>
      <c r="BD1091" s="430">
        <f>IFERROR(_xlfn.ISOWEEKNUM(PV_DATA[[#This Row],[ETA for New Ark update]]),0)</f>
        <v>46</v>
      </c>
      <c r="BE1091" s="430">
        <f>_xlfn.XLOOKUP(PV_DATA[[#This Row],[New Ark SKU]],Table9[New Ark SKU],Table9[Total PCS per Pallet],,0)</f>
        <v>36</v>
      </c>
      <c r="BF1091" s="430">
        <f>_xlfn.XLOOKUP(PV_DATA[[#This Row],[New Ark SKU]],Table9[New Ark SKU],Table9[Total PCS per 40HQ Container],,0)</f>
        <v>936</v>
      </c>
      <c r="BG1091" s="430" t="str">
        <f>_xlfn.XLOOKUP(PV_DATA[[#This Row],[New Ark SKU]],Table9[New Ark SKU],Table9[Back Glass],,0)</f>
        <v>Black glazing</v>
      </c>
      <c r="BH1091" s="430" t="str">
        <f>_xlfn.XLOOKUP(PV_DATA[[#This Row],[PORT DESTINATION]],Table12[PORT DESTINATION],Table12[Cosco Line],,0)</f>
        <v>AEU</v>
      </c>
    </row>
    <row r="1092" spans="1:60" s="430" customFormat="1" ht="13.5" hidden="1" customHeight="1">
      <c r="A1092" s="462" t="s">
        <v>6956</v>
      </c>
      <c r="B1092" s="462" t="s">
        <v>1757</v>
      </c>
      <c r="C1092" s="462" t="str">
        <f>IFERROR(LEFT(PV_DATA[[#This Row],[TCL REFERENCE]],FIND(".",PV_DATA[[#This Row],[TCL REFERENCE]],1)-1),"Main Line")</f>
        <v>26Aug013</v>
      </c>
      <c r="D1092" s="935" t="s">
        <v>113</v>
      </c>
      <c r="E1092" s="462" t="s">
        <v>144</v>
      </c>
      <c r="F1092" s="462" t="str" cm="1">
        <f t="array" ref="F109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92" s="462" t="s">
        <v>402</v>
      </c>
      <c r="H1092" s="462" t="s">
        <v>670</v>
      </c>
      <c r="I1092" s="462" t="s">
        <v>1395</v>
      </c>
      <c r="J1092" s="462" t="s">
        <v>670</v>
      </c>
      <c r="K1092" s="430" t="s">
        <v>6848</v>
      </c>
      <c r="L1092" s="430">
        <v>11</v>
      </c>
      <c r="M1092" s="430" t="s">
        <v>840</v>
      </c>
      <c r="N1092" s="432"/>
      <c r="O1092" s="430" t="s">
        <v>284</v>
      </c>
      <c r="P1092" s="430" t="s">
        <v>6849</v>
      </c>
      <c r="Q1092" s="430" t="s">
        <v>6850</v>
      </c>
      <c r="R1092" s="430" t="str">
        <f>_xlfn.XLOOKUP(PV_DATA[[#This Row],[New Ark SKU]],Table9[New Ark SKU],Table9[Connector],,0)</f>
        <v>EVO2A</v>
      </c>
      <c r="S1092" s="433" t="str">
        <f>_xlfn.XLOOKUP(PV_DATA[[#This Row],[New Ark SKU]],Table9[New Ark SKU],Table9[Cable],,0)</f>
        <v>±1200mm</v>
      </c>
      <c r="T1092" s="433">
        <v>490</v>
      </c>
      <c r="U1092" s="1062">
        <v>4680</v>
      </c>
      <c r="V1092" s="434">
        <f>PV_DATA[[#This Row],[QUANTITY]]*PV_DATA[[#This Row],[WATT]]/1000000</f>
        <v>2.2932000000000001</v>
      </c>
      <c r="W1092" s="969">
        <f>PV_DATA[[#This Row],[QUANTITY]]/36</f>
        <v>130</v>
      </c>
      <c r="X1092" s="1015">
        <f>PV_DATA[[#This Row],[QUANTITY]]/PV_DATA[[#This Row],[Qty/CT]]</f>
        <v>5</v>
      </c>
      <c r="Y1092" s="430" t="s">
        <v>4381</v>
      </c>
      <c r="Z1092" s="430" t="str">
        <f t="shared" si="20"/>
        <v>IN-TRANSIT</v>
      </c>
      <c r="AA1092" s="430" t="s">
        <v>6957</v>
      </c>
      <c r="AB1092" s="437">
        <v>46291</v>
      </c>
      <c r="AC1092" s="485">
        <f>IF(PV_DATA[[#This Row],[Pick-Up Date]]&lt;&gt;"",_xlfn.ISOWEEKNUM(PV_DATA[[#This Row],[Pick-Up Date]]),"")</f>
        <v>39</v>
      </c>
      <c r="AD1092" s="430" t="s">
        <v>6958</v>
      </c>
      <c r="AF1092" s="459" t="s">
        <v>5864</v>
      </c>
      <c r="AG1092" s="430" t="s">
        <v>122</v>
      </c>
      <c r="AH1092" s="430" t="s">
        <v>105</v>
      </c>
      <c r="AI1092" s="437">
        <v>46293</v>
      </c>
      <c r="AJ1092" s="437">
        <v>46311</v>
      </c>
      <c r="AK1092" s="437">
        <f>IFERROR(IF(VLOOKUP(AT1092,Vessel!A:F,5,FALSE)=0,"",VLOOKUP(AT1092,Vessel!A:F,5,FALSE)),"")</f>
        <v>46309.260312500002</v>
      </c>
      <c r="AL1092" s="543">
        <v>46330</v>
      </c>
      <c r="AM1092" s="437">
        <f>IFERROR(VLOOKUP(AT1092, Vessel!A:H, 8, FALSE), "")</f>
        <v>46346.125</v>
      </c>
      <c r="AN1092" s="437" t="str">
        <f>IFERROR(IF(VLOOKUP(AT1092,Vessel!A:I,9,FALSE)=0,"",VLOOKUP(AT1092,Vessel!A:I,9,FALSE)),"")</f>
        <v/>
      </c>
      <c r="AP1092" s="430" t="s">
        <v>6959</v>
      </c>
      <c r="AQ1092" s="438" t="s">
        <v>80</v>
      </c>
      <c r="AR1092" s="430" t="s">
        <v>6960</v>
      </c>
      <c r="AS1092" s="430" t="s">
        <v>6961</v>
      </c>
      <c r="AT1092" s="430" t="s">
        <v>6961</v>
      </c>
      <c r="AU109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36.864687499997672</v>
      </c>
      <c r="AW1092" s="437" cm="1">
        <f t="array" ref="AW109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46346.125</v>
      </c>
      <c r="AX109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92" s="437" t="str">
        <f>IF(ISERROR(PV_DATA[[#This Row],[New Ark PO status]]),"",_xlfn.XLOOKUP(PV_DATA[[#This Row],[SPTN-PVHK New Ark PO'#]],New_Ark_Data[Purchase order Number],New_Ark_Data[Estimated time of arrival],"",0))</f>
        <v/>
      </c>
      <c r="AZ1092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92" s="437">
        <f>IFERROR(PV_DATA[[#This Row],[ODP ETA Port]]+PV_DATA[[#This Row],[Customs/Leg3 Assumption]],"n/a")</f>
        <v>46346.125</v>
      </c>
      <c r="BB1092" s="433">
        <f>YEAR(PV_DATA[[#This Row],[ETA for New Ark update]])</f>
        <v>2026</v>
      </c>
      <c r="BC1092" s="430">
        <f>MONTH(PV_DATA[[#This Row],[ETA for New Ark update]])</f>
        <v>11</v>
      </c>
      <c r="BD1092" s="430">
        <f>IFERROR(_xlfn.ISOWEEKNUM(PV_DATA[[#This Row],[ETA for New Ark update]]),0)</f>
        <v>47</v>
      </c>
      <c r="BE1092" s="430">
        <f>_xlfn.XLOOKUP(PV_DATA[[#This Row],[New Ark SKU]],Table9[New Ark SKU],Table9[Total PCS per Pallet],,0)</f>
        <v>36</v>
      </c>
      <c r="BF1092" s="430">
        <f>_xlfn.XLOOKUP(PV_DATA[[#This Row],[New Ark SKU]],Table9[New Ark SKU],Table9[Total PCS per 40HQ Container],,0)</f>
        <v>936</v>
      </c>
      <c r="BG1092" s="430" t="str">
        <f>_xlfn.XLOOKUP(PV_DATA[[#This Row],[New Ark SKU]],Table9[New Ark SKU],Table9[Back Glass],,0)</f>
        <v>Black glazing</v>
      </c>
      <c r="BH1092" s="610" t="str">
        <f>_xlfn.XLOOKUP(PV_DATA[[#This Row],[PORT DESTINATION]],Table12[PORT DESTINATION],Table12[Cosco Line],,0)</f>
        <v>AEU</v>
      </c>
    </row>
    <row r="1093" spans="1:60" s="430" customFormat="1" ht="13.5" hidden="1" customHeight="1">
      <c r="A1093" s="462" t="s">
        <v>6962</v>
      </c>
      <c r="B1093" s="462" t="s">
        <v>1757</v>
      </c>
      <c r="C1093" s="459" t="str">
        <f>IFERROR(LEFT(PV_DATA[[#This Row],[TCL REFERENCE]],FIND(".",PV_DATA[[#This Row],[TCL REFERENCE]],1)-1),"Main Line")</f>
        <v>26Aug013</v>
      </c>
      <c r="D1093" s="935" t="s">
        <v>113</v>
      </c>
      <c r="E1093" s="462" t="s">
        <v>144</v>
      </c>
      <c r="F1093" s="462" t="str" cm="1">
        <f t="array" ref="F109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93" s="462" t="s">
        <v>402</v>
      </c>
      <c r="H1093" s="462" t="s">
        <v>670</v>
      </c>
      <c r="I1093" s="462" t="s">
        <v>1395</v>
      </c>
      <c r="J1093" s="462" t="s">
        <v>670</v>
      </c>
      <c r="K1093" s="430" t="s">
        <v>6848</v>
      </c>
      <c r="L1093" s="430">
        <v>12</v>
      </c>
      <c r="M1093" s="430" t="s">
        <v>840</v>
      </c>
      <c r="N1093" s="432"/>
      <c r="O1093" s="430" t="s">
        <v>284</v>
      </c>
      <c r="P1093" s="430" t="s">
        <v>6849</v>
      </c>
      <c r="Q1093" s="430" t="s">
        <v>6850</v>
      </c>
      <c r="R1093" s="430" t="str">
        <f>_xlfn.XLOOKUP(PV_DATA[[#This Row],[New Ark SKU]],Table9[New Ark SKU],Table9[Connector],,0)</f>
        <v>EVO2A</v>
      </c>
      <c r="S1093" s="433" t="str">
        <f>_xlfn.XLOOKUP(PV_DATA[[#This Row],[New Ark SKU]],Table9[New Ark SKU],Table9[Cable],,0)</f>
        <v>±1200mm</v>
      </c>
      <c r="T1093" s="433">
        <v>490</v>
      </c>
      <c r="U1093" s="1062">
        <f>936*8</f>
        <v>7488</v>
      </c>
      <c r="V1093" s="434">
        <f>PV_DATA[[#This Row],[QUANTITY]]*PV_DATA[[#This Row],[WATT]]/1000000</f>
        <v>3.6691199999999999</v>
      </c>
      <c r="W1093" s="969">
        <f>PV_DATA[[#This Row],[QUANTITY]]/36</f>
        <v>208</v>
      </c>
      <c r="X1093" s="1015">
        <f>PV_DATA[[#This Row],[QUANTITY]]/PV_DATA[[#This Row],[Qty/CT]]</f>
        <v>8</v>
      </c>
      <c r="Y1093" s="430" t="s">
        <v>4381</v>
      </c>
      <c r="Z1093" s="430" t="str">
        <f t="shared" si="20"/>
        <v>IN-TRANSIT</v>
      </c>
      <c r="AA1093" s="430" t="s">
        <v>6963</v>
      </c>
      <c r="AB1093" s="437">
        <v>46287</v>
      </c>
      <c r="AC1093" s="485">
        <f>IF(PV_DATA[[#This Row],[Pick-Up Date]]&lt;&gt;"",_xlfn.ISOWEEKNUM(PV_DATA[[#This Row],[Pick-Up Date]]),"")</f>
        <v>39</v>
      </c>
      <c r="AD1093" s="430" t="s">
        <v>6964</v>
      </c>
      <c r="AF1093" s="459" t="s">
        <v>5864</v>
      </c>
      <c r="AG1093" s="430" t="s">
        <v>122</v>
      </c>
      <c r="AH1093" s="430" t="s">
        <v>105</v>
      </c>
      <c r="AI1093" s="437">
        <v>46296</v>
      </c>
      <c r="AJ1093" s="437">
        <f>IFERROR(VLOOKUP(AT1093, Vessel!A:D, 4, FALSE), "")</f>
        <v>46296.5</v>
      </c>
      <c r="AK1093" s="437">
        <f>IFERROR(IF(VLOOKUP(AT1093,Vessel!A:F,5,FALSE)=0,"",VLOOKUP(AT1093,Vessel!A:F,5,FALSE)),"")</f>
        <v>46296.510092592594</v>
      </c>
      <c r="AL1093" s="437">
        <v>46340</v>
      </c>
      <c r="AM1093" s="437">
        <f>IFERROR(VLOOKUP(AT1093, Vessel!A:H, 8, FALSE), "")</f>
        <v>46345.625</v>
      </c>
      <c r="AN1093" s="437" t="str">
        <f>IFERROR(IF(VLOOKUP(AT1093,Vessel!A:I,9,FALSE)=0,"",VLOOKUP(AT1093,Vessel!A:I,9,FALSE)),"")</f>
        <v/>
      </c>
      <c r="AP1093" s="430" t="s">
        <v>6965</v>
      </c>
      <c r="AQ1093" s="438" t="s">
        <v>80</v>
      </c>
      <c r="AR1093" s="430" t="s">
        <v>6966</v>
      </c>
      <c r="AS1093" s="430" t="s">
        <v>6967</v>
      </c>
      <c r="AT1093" s="430" t="s">
        <v>6967</v>
      </c>
      <c r="AU109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49.114907407405553</v>
      </c>
      <c r="AW1093" s="437" cm="1">
        <f t="array" ref="AW109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46345.625</v>
      </c>
      <c r="AX109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93" s="437" t="str">
        <f>IF(ISERROR(PV_DATA[[#This Row],[New Ark PO status]]),"",_xlfn.XLOOKUP(PV_DATA[[#This Row],[SPTN-PVHK New Ark PO'#]],New_Ark_Data[Purchase order Number],New_Ark_Data[Estimated time of arrival],"",0))</f>
        <v/>
      </c>
      <c r="AZ1093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93" s="437">
        <f>IFERROR(PV_DATA[[#This Row],[ODP ETA Port]]+PV_DATA[[#This Row],[Customs/Leg3 Assumption]],"n/a")</f>
        <v>46345.625</v>
      </c>
      <c r="BB1093" s="433">
        <f>YEAR(PV_DATA[[#This Row],[ETA for New Ark update]])</f>
        <v>2026</v>
      </c>
      <c r="BC1093" s="430">
        <f>MONTH(PV_DATA[[#This Row],[ETA for New Ark update]])</f>
        <v>11</v>
      </c>
      <c r="BD1093" s="430">
        <f>IFERROR(_xlfn.ISOWEEKNUM(PV_DATA[[#This Row],[ETA for New Ark update]]),0)</f>
        <v>47</v>
      </c>
      <c r="BE1093" s="430">
        <f>_xlfn.XLOOKUP(PV_DATA[[#This Row],[New Ark SKU]],Table9[New Ark SKU],Table9[Total PCS per Pallet],,0)</f>
        <v>36</v>
      </c>
      <c r="BF1093" s="430">
        <f>_xlfn.XLOOKUP(PV_DATA[[#This Row],[New Ark SKU]],Table9[New Ark SKU],Table9[Total PCS per 40HQ Container],,0)</f>
        <v>936</v>
      </c>
      <c r="BG1093" s="430" t="str">
        <f>_xlfn.XLOOKUP(PV_DATA[[#This Row],[New Ark SKU]],Table9[New Ark SKU],Table9[Back Glass],,0)</f>
        <v>Black glazing</v>
      </c>
      <c r="BH1093" s="610" t="str">
        <f>_xlfn.XLOOKUP(PV_DATA[[#This Row],[PORT DESTINATION]],Table12[PORT DESTINATION],Table12[Cosco Line],,0)</f>
        <v>AEU</v>
      </c>
    </row>
    <row r="1094" spans="1:60" s="430" customFormat="1" ht="13.5" hidden="1" customHeight="1">
      <c r="A1094" s="462" t="s">
        <v>6968</v>
      </c>
      <c r="B1094" s="462" t="s">
        <v>1757</v>
      </c>
      <c r="C1094" s="462" t="str">
        <f>IFERROR(LEFT(PV_DATA[[#This Row],[TCL REFERENCE]],FIND(".",PV_DATA[[#This Row],[TCL REFERENCE]],1)-1),"Main Line")</f>
        <v>26Aug013</v>
      </c>
      <c r="D1094" s="935" t="s">
        <v>113</v>
      </c>
      <c r="E1094" s="462" t="s">
        <v>144</v>
      </c>
      <c r="F1094" s="462" t="str" cm="1">
        <f t="array" ref="F109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94" s="462" t="s">
        <v>402</v>
      </c>
      <c r="H1094" s="462" t="s">
        <v>670</v>
      </c>
      <c r="I1094" s="462" t="s">
        <v>1395</v>
      </c>
      <c r="J1094" s="462" t="s">
        <v>670</v>
      </c>
      <c r="K1094" s="430" t="s">
        <v>6953</v>
      </c>
      <c r="L1094" s="430">
        <v>3</v>
      </c>
      <c r="M1094" s="430" t="s">
        <v>840</v>
      </c>
      <c r="N1094" s="432"/>
      <c r="O1094" s="430" t="s">
        <v>284</v>
      </c>
      <c r="P1094" s="430" t="s">
        <v>6849</v>
      </c>
      <c r="Q1094" s="430" t="s">
        <v>6850</v>
      </c>
      <c r="R1094" s="430" t="str">
        <f>_xlfn.XLOOKUP(PV_DATA[[#This Row],[New Ark SKU]],Table9[New Ark SKU],Table9[Connector],,0)</f>
        <v>EVO2A</v>
      </c>
      <c r="S1094" s="433" t="str">
        <f>_xlfn.XLOOKUP(PV_DATA[[#This Row],[New Ark SKU]],Table9[New Ark SKU],Table9[Cable],,0)</f>
        <v>±1200mm</v>
      </c>
      <c r="T1094" s="433">
        <v>490</v>
      </c>
      <c r="U1094" s="1062">
        <v>5616</v>
      </c>
      <c r="V1094" s="434">
        <f>PV_DATA[[#This Row],[QUANTITY]]*PV_DATA[[#This Row],[WATT]]/1000000</f>
        <v>2.7518400000000001</v>
      </c>
      <c r="W1094" s="969">
        <f>PV_DATA[[#This Row],[QUANTITY]]/36</f>
        <v>156</v>
      </c>
      <c r="X1094" s="1015">
        <f>PV_DATA[[#This Row],[QUANTITY]]/PV_DATA[[#This Row],[Qty/CT]]</f>
        <v>6</v>
      </c>
      <c r="Y1094" s="430" t="s">
        <v>4379</v>
      </c>
      <c r="Z1094" s="430" t="str">
        <f t="shared" si="20"/>
        <v>IN-TRANSIT</v>
      </c>
      <c r="AA1094" s="430" t="s">
        <v>6969</v>
      </c>
      <c r="AB1094" s="437">
        <v>46288</v>
      </c>
      <c r="AC1094" s="485">
        <f>IF(PV_DATA[[#This Row],[Pick-Up Date]]&lt;&gt;"",_xlfn.ISOWEEKNUM(PV_DATA[[#This Row],[Pick-Up Date]]),"")</f>
        <v>39</v>
      </c>
      <c r="AD1094" s="430" t="s">
        <v>6970</v>
      </c>
      <c r="AF1094" s="459" t="s">
        <v>5864</v>
      </c>
      <c r="AG1094" s="430" t="s">
        <v>122</v>
      </c>
      <c r="AH1094" s="430" t="s">
        <v>105</v>
      </c>
      <c r="AI1094" s="437">
        <v>46296</v>
      </c>
      <c r="AJ1094" s="437">
        <v>46297</v>
      </c>
      <c r="AK1094" s="437">
        <v>46297</v>
      </c>
      <c r="AL1094" s="437">
        <v>46340</v>
      </c>
      <c r="AM1094" s="437">
        <f>IFERROR(VLOOKUP(AT1094, Vessel!A:H, 8, FALSE), "")</f>
        <v>46341.979166666664</v>
      </c>
      <c r="AN1094" s="437" t="str">
        <f>IFERROR(IF(VLOOKUP(AT1094,Vessel!A:I,9,FALSE)=0,"",VLOOKUP(AT1094,Vessel!A:I,9,FALSE)),"")</f>
        <v/>
      </c>
      <c r="AP1094" s="430" t="s">
        <v>6965</v>
      </c>
      <c r="AQ1094" s="438" t="s">
        <v>80</v>
      </c>
      <c r="AR1094" s="430" t="s">
        <v>6971</v>
      </c>
      <c r="AS1094" s="430" t="s">
        <v>6972</v>
      </c>
      <c r="AT1094" s="430" t="s">
        <v>6972</v>
      </c>
      <c r="AU109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44.979166666664241</v>
      </c>
      <c r="AW1094" s="437" cm="1">
        <f t="array" ref="AW109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46341.979166666664</v>
      </c>
      <c r="AX109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94" s="437" t="str">
        <f>IF(ISERROR(PV_DATA[[#This Row],[New Ark PO status]]),"",_xlfn.XLOOKUP(PV_DATA[[#This Row],[SPTN-PVHK New Ark PO'#]],New_Ark_Data[Purchase order Number],New_Ark_Data[Estimated time of arrival],"",0))</f>
        <v/>
      </c>
      <c r="AZ1094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94" s="437">
        <f>IFERROR(PV_DATA[[#This Row],[ODP ETA Port]]+PV_DATA[[#This Row],[Customs/Leg3 Assumption]],"n/a")</f>
        <v>46341.979166666664</v>
      </c>
      <c r="BB1094" s="433">
        <f>YEAR(PV_DATA[[#This Row],[ETA for New Ark update]])</f>
        <v>2026</v>
      </c>
      <c r="BC1094" s="430">
        <f>MONTH(PV_DATA[[#This Row],[ETA for New Ark update]])</f>
        <v>11</v>
      </c>
      <c r="BD1094" s="430">
        <f>IFERROR(_xlfn.ISOWEEKNUM(PV_DATA[[#This Row],[ETA for New Ark update]]),0)</f>
        <v>46</v>
      </c>
      <c r="BE1094" s="430">
        <f>_xlfn.XLOOKUP(PV_DATA[[#This Row],[New Ark SKU]],Table9[New Ark SKU],Table9[Total PCS per Pallet],,0)</f>
        <v>36</v>
      </c>
      <c r="BF1094" s="430">
        <f>_xlfn.XLOOKUP(PV_DATA[[#This Row],[New Ark SKU]],Table9[New Ark SKU],Table9[Total PCS per 40HQ Container],,0)</f>
        <v>936</v>
      </c>
      <c r="BG1094" s="430" t="str">
        <f>_xlfn.XLOOKUP(PV_DATA[[#This Row],[New Ark SKU]],Table9[New Ark SKU],Table9[Back Glass],,0)</f>
        <v>Black glazing</v>
      </c>
      <c r="BH1094" s="610" t="str">
        <f>_xlfn.XLOOKUP(PV_DATA[[#This Row],[PORT DESTINATION]],Table12[PORT DESTINATION],Table12[Cosco Line],,0)</f>
        <v>AEU</v>
      </c>
    </row>
    <row r="1095" spans="1:60" s="430" customFormat="1" ht="13.5" hidden="1" customHeight="1">
      <c r="A1095" s="462" t="s">
        <v>6973</v>
      </c>
      <c r="B1095" s="462" t="s">
        <v>1757</v>
      </c>
      <c r="C1095" s="462" t="str">
        <f>IFERROR(LEFT(PV_DATA[[#This Row],[TCL REFERENCE]],FIND(".",PV_DATA[[#This Row],[TCL REFERENCE]],1)-1),"Main Line")</f>
        <v>26Aug013</v>
      </c>
      <c r="D1095" s="935" t="s">
        <v>113</v>
      </c>
      <c r="E1095" s="462" t="s">
        <v>144</v>
      </c>
      <c r="F1095" s="462" t="str" cm="1">
        <f t="array" ref="F109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95" s="462" t="s">
        <v>402</v>
      </c>
      <c r="H1095" s="462" t="s">
        <v>670</v>
      </c>
      <c r="I1095" s="462" t="s">
        <v>1395</v>
      </c>
      <c r="J1095" s="462" t="s">
        <v>670</v>
      </c>
      <c r="K1095" s="430" t="s">
        <v>6848</v>
      </c>
      <c r="L1095" s="430">
        <v>13</v>
      </c>
      <c r="M1095" s="430" t="s">
        <v>840</v>
      </c>
      <c r="N1095" s="432"/>
      <c r="O1095" s="430" t="s">
        <v>284</v>
      </c>
      <c r="P1095" s="430" t="s">
        <v>6849</v>
      </c>
      <c r="Q1095" s="430" t="s">
        <v>6850</v>
      </c>
      <c r="R1095" s="430" t="str">
        <f>_xlfn.XLOOKUP(PV_DATA[[#This Row],[New Ark SKU]],Table9[New Ark SKU],Table9[Connector],,0)</f>
        <v>EVO2A</v>
      </c>
      <c r="S1095" s="433" t="str">
        <f>_xlfn.XLOOKUP(PV_DATA[[#This Row],[New Ark SKU]],Table9[New Ark SKU],Table9[Cable],,0)</f>
        <v>±1200mm</v>
      </c>
      <c r="T1095" s="433">
        <v>490</v>
      </c>
      <c r="U1095" s="1062">
        <v>2808</v>
      </c>
      <c r="V1095" s="434">
        <f>PV_DATA[[#This Row],[QUANTITY]]*PV_DATA[[#This Row],[WATT]]/1000000</f>
        <v>1.37592</v>
      </c>
      <c r="W1095" s="969">
        <f>PV_DATA[[#This Row],[QUANTITY]]/36</f>
        <v>78</v>
      </c>
      <c r="X1095" s="1015">
        <f>PV_DATA[[#This Row],[QUANTITY]]/PV_DATA[[#This Row],[Qty/CT]]</f>
        <v>3</v>
      </c>
      <c r="Y1095" s="430" t="s">
        <v>4380</v>
      </c>
      <c r="Z1095" s="430" t="str">
        <f t="shared" si="20"/>
        <v>IN-TRANSIT</v>
      </c>
      <c r="AA1095" s="545">
        <v>46288</v>
      </c>
      <c r="AB1095" s="437">
        <v>46288</v>
      </c>
      <c r="AC1095" s="485">
        <f>IF(PV_DATA[[#This Row],[Pick-Up Date]]&lt;&gt;"",_xlfn.ISOWEEKNUM(PV_DATA[[#This Row],[Pick-Up Date]]),"")</f>
        <v>39</v>
      </c>
      <c r="AD1095" s="430" t="s">
        <v>6974</v>
      </c>
      <c r="AF1095" s="459" t="s">
        <v>5864</v>
      </c>
      <c r="AG1095" s="430" t="s">
        <v>122</v>
      </c>
      <c r="AH1095" s="430" t="s">
        <v>105</v>
      </c>
      <c r="AI1095" s="437">
        <v>46296</v>
      </c>
      <c r="AJ1095" s="437">
        <v>46297</v>
      </c>
      <c r="AK1095" s="437">
        <v>46297</v>
      </c>
      <c r="AL1095" s="437">
        <v>46340</v>
      </c>
      <c r="AM1095" s="437">
        <f>IFERROR(VLOOKUP(AT1095, Vessel!A:H, 8, FALSE), "")</f>
        <v>46341.979166666664</v>
      </c>
      <c r="AN1095" s="437" t="str">
        <f>IFERROR(IF(VLOOKUP(AT1095,Vessel!A:I,9,FALSE)=0,"",VLOOKUP(AT1095,Vessel!A:I,9,FALSE)),"")</f>
        <v/>
      </c>
      <c r="AP1095" s="430" t="s">
        <v>6965</v>
      </c>
      <c r="AQ1095" s="438" t="s">
        <v>80</v>
      </c>
      <c r="AR1095" s="430" t="s">
        <v>6971</v>
      </c>
      <c r="AS1095" s="430" t="s">
        <v>6972</v>
      </c>
      <c r="AT1095" s="430" t="s">
        <v>6972</v>
      </c>
      <c r="AU109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44.979166666664241</v>
      </c>
      <c r="AW1095" s="437" cm="1">
        <f t="array" ref="AW109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46341.979166666664</v>
      </c>
      <c r="AX109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95" s="437" t="str">
        <f>IF(ISERROR(PV_DATA[[#This Row],[New Ark PO status]]),"",_xlfn.XLOOKUP(PV_DATA[[#This Row],[SPTN-PVHK New Ark PO'#]],New_Ark_Data[Purchase order Number],New_Ark_Data[Estimated time of arrival],"",0))</f>
        <v/>
      </c>
      <c r="AZ1095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95" s="437">
        <f>IFERROR(PV_DATA[[#This Row],[ODP ETA Port]]+PV_DATA[[#This Row],[Customs/Leg3 Assumption]],"n/a")</f>
        <v>46341.979166666664</v>
      </c>
      <c r="BB1095" s="433">
        <f>YEAR(PV_DATA[[#This Row],[ETA for New Ark update]])</f>
        <v>2026</v>
      </c>
      <c r="BC1095" s="430">
        <f>MONTH(PV_DATA[[#This Row],[ETA for New Ark update]])</f>
        <v>11</v>
      </c>
      <c r="BD1095" s="430">
        <f>IFERROR(_xlfn.ISOWEEKNUM(PV_DATA[[#This Row],[ETA for New Ark update]]),0)</f>
        <v>46</v>
      </c>
      <c r="BE1095" s="430">
        <f>_xlfn.XLOOKUP(PV_DATA[[#This Row],[New Ark SKU]],Table9[New Ark SKU],Table9[Total PCS per Pallet],,0)</f>
        <v>36</v>
      </c>
      <c r="BF1095" s="430">
        <f>_xlfn.XLOOKUP(PV_DATA[[#This Row],[New Ark SKU]],Table9[New Ark SKU],Table9[Total PCS per 40HQ Container],,0)</f>
        <v>936</v>
      </c>
      <c r="BG1095" s="430" t="str">
        <f>_xlfn.XLOOKUP(PV_DATA[[#This Row],[New Ark SKU]],Table9[New Ark SKU],Table9[Back Glass],,0)</f>
        <v>Black glazing</v>
      </c>
      <c r="BH1095" s="610" t="str">
        <f>_xlfn.XLOOKUP(PV_DATA[[#This Row],[PORT DESTINATION]],Table12[PORT DESTINATION],Table12[Cosco Line],,0)</f>
        <v>AEU</v>
      </c>
    </row>
    <row r="1096" spans="1:60" s="430" customFormat="1" ht="10.5" hidden="1">
      <c r="A1096" s="462" t="s">
        <v>6975</v>
      </c>
      <c r="B1096" s="462" t="s">
        <v>1757</v>
      </c>
      <c r="C1096" s="462" t="str">
        <f>IFERROR(LEFT(PV_DATA[[#This Row],[TCL REFERENCE]],FIND(".",PV_DATA[[#This Row],[TCL REFERENCE]],1)-1),"Main Line")</f>
        <v>26Aug014</v>
      </c>
      <c r="D1096" s="462" t="s">
        <v>113</v>
      </c>
      <c r="E1096" s="462" t="s">
        <v>144</v>
      </c>
      <c r="F1096" s="462" t="str" cm="1">
        <f t="array" ref="F1096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96" s="462" t="s">
        <v>402</v>
      </c>
      <c r="H1096" s="462" t="s">
        <v>670</v>
      </c>
      <c r="I1096" s="462" t="s">
        <v>1395</v>
      </c>
      <c r="J1096" s="462" t="s">
        <v>670</v>
      </c>
      <c r="K1096" s="430" t="s">
        <v>6848</v>
      </c>
      <c r="L1096" s="430">
        <v>7</v>
      </c>
      <c r="M1096" s="430" t="s">
        <v>840</v>
      </c>
      <c r="N1096" s="432"/>
      <c r="O1096" s="430" t="s">
        <v>284</v>
      </c>
      <c r="P1096" s="430" t="s">
        <v>6856</v>
      </c>
      <c r="Q1096" s="430" t="s">
        <v>6857</v>
      </c>
      <c r="R1096" s="430" t="str">
        <f>_xlfn.XLOOKUP(PV_DATA[[#This Row],[New Ark SKU]],Table9[New Ark SKU],Table9[Connector],,0)</f>
        <v>EVO2A</v>
      </c>
      <c r="S1096" s="433" t="str">
        <f>_xlfn.XLOOKUP(PV_DATA[[#This Row],[New Ark SKU]],Table9[New Ark SKU],Table9[Cable],,0)</f>
        <v>±1200mm</v>
      </c>
      <c r="T1096" s="433">
        <v>485</v>
      </c>
      <c r="U1096" s="1062">
        <v>2808</v>
      </c>
      <c r="V1096" s="434">
        <f>PV_DATA[[#This Row],[QUANTITY]]*PV_DATA[[#This Row],[WATT]]/1000000</f>
        <v>1.36188</v>
      </c>
      <c r="W1096" s="435">
        <f>PV_DATA[[#This Row],[QUANTITY]]/36</f>
        <v>78</v>
      </c>
      <c r="X1096" s="1015">
        <f>PV_DATA[[#This Row],[QUANTITY]]/PV_DATA[[#This Row],[Qty/CT]]</f>
        <v>3</v>
      </c>
      <c r="Y1096" s="430" t="s">
        <v>4381</v>
      </c>
      <c r="Z1096" s="430" t="str">
        <f t="shared" si="20"/>
        <v>IN-TRANSIT</v>
      </c>
      <c r="AA1096" s="430" t="s">
        <v>6976</v>
      </c>
      <c r="AB1096" s="437">
        <v>46288</v>
      </c>
      <c r="AC1096" s="485">
        <f>IF(PV_DATA[[#This Row],[Pick-Up Date]]&lt;&gt;"",_xlfn.ISOWEEKNUM(PV_DATA[[#This Row],[Pick-Up Date]]),"")</f>
        <v>39</v>
      </c>
      <c r="AD1096" s="430" t="s">
        <v>6977</v>
      </c>
      <c r="AF1096" s="459" t="s">
        <v>5864</v>
      </c>
      <c r="AG1096" s="430" t="s">
        <v>122</v>
      </c>
      <c r="AH1096" s="430" t="s">
        <v>105</v>
      </c>
      <c r="AI1096" s="437">
        <v>46296</v>
      </c>
      <c r="AJ1096" s="437">
        <v>46297</v>
      </c>
      <c r="AK1096" s="437">
        <v>46297</v>
      </c>
      <c r="AL1096" s="437">
        <v>46340</v>
      </c>
      <c r="AM1096" s="437">
        <f>IFERROR(VLOOKUP(AT1096, Vessel!A:H, 8, FALSE), "")</f>
        <v>46341.979166666664</v>
      </c>
      <c r="AN1096" s="437" t="str">
        <f>IFERROR(IF(VLOOKUP(AT1096,Vessel!A:I,9,FALSE)=0,"",VLOOKUP(AT1096,Vessel!A:I,9,FALSE)),"")</f>
        <v/>
      </c>
      <c r="AP1096" s="430" t="s">
        <v>6965</v>
      </c>
      <c r="AQ1096" s="438" t="s">
        <v>80</v>
      </c>
      <c r="AR1096" s="430" t="s">
        <v>6971</v>
      </c>
      <c r="AS1096" s="430" t="s">
        <v>6972</v>
      </c>
      <c r="AT1096" s="430" t="s">
        <v>6972</v>
      </c>
      <c r="AU109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44.979166666664241</v>
      </c>
      <c r="AW1096" s="437" cm="1">
        <f t="array" ref="AW109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46341.979166666664</v>
      </c>
      <c r="AX109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96" s="437" t="str">
        <f>IF(ISERROR(PV_DATA[[#This Row],[New Ark PO status]]),"",_xlfn.XLOOKUP(PV_DATA[[#This Row],[SPTN-PVHK New Ark PO'#]],New_Ark_Data[Purchase order Number],New_Ark_Data[Estimated time of arrival],"",0))</f>
        <v/>
      </c>
      <c r="AZ1096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96" s="437">
        <f>IFERROR(PV_DATA[[#This Row],[ODP ETA Port]]+PV_DATA[[#This Row],[Customs/Leg3 Assumption]],"n/a")</f>
        <v>46341.979166666664</v>
      </c>
      <c r="BB1096" s="433">
        <f>YEAR(PV_DATA[[#This Row],[ETA for New Ark update]])</f>
        <v>2026</v>
      </c>
      <c r="BC1096" s="430">
        <f>MONTH(PV_DATA[[#This Row],[ETA for New Ark update]])</f>
        <v>11</v>
      </c>
      <c r="BD1096" s="430">
        <f>IFERROR(_xlfn.ISOWEEKNUM(PV_DATA[[#This Row],[ETA for New Ark update]]),0)</f>
        <v>46</v>
      </c>
      <c r="BE1096" s="430">
        <f>_xlfn.XLOOKUP(PV_DATA[[#This Row],[New Ark SKU]],Table9[New Ark SKU],Table9[Total PCS per Pallet],,0)</f>
        <v>36</v>
      </c>
      <c r="BF1096" s="430">
        <f>_xlfn.XLOOKUP(PV_DATA[[#This Row],[New Ark SKU]],Table9[New Ark SKU],Table9[Total PCS per 40HQ Container],,0)</f>
        <v>936</v>
      </c>
      <c r="BG1096" s="430" t="str">
        <f>_xlfn.XLOOKUP(PV_DATA[[#This Row],[New Ark SKU]],Table9[New Ark SKU],Table9[Back Glass],,0)</f>
        <v>Black glazing</v>
      </c>
      <c r="BH1096" s="430" t="str">
        <f>_xlfn.XLOOKUP(PV_DATA[[#This Row],[PORT DESTINATION]],Table12[PORT DESTINATION],Table12[Cosco Line],,0)</f>
        <v>AEU</v>
      </c>
    </row>
    <row r="1097" spans="1:60" s="430" customFormat="1" ht="10.5" hidden="1">
      <c r="A1097" s="462" t="s">
        <v>6978</v>
      </c>
      <c r="B1097" s="462" t="s">
        <v>1757</v>
      </c>
      <c r="C1097" s="459" t="str">
        <f>IFERROR(LEFT(PV_DATA[[#This Row],[TCL REFERENCE]],FIND(".",PV_DATA[[#This Row],[TCL REFERENCE]],1)-1),"Main Line")</f>
        <v>26Aug014</v>
      </c>
      <c r="D1097" s="462" t="s">
        <v>113</v>
      </c>
      <c r="E1097" s="462" t="s">
        <v>144</v>
      </c>
      <c r="F1097" s="462" t="str" cm="1">
        <f t="array" ref="F109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97" s="462" t="s">
        <v>402</v>
      </c>
      <c r="H1097" s="462" t="s">
        <v>670</v>
      </c>
      <c r="I1097" s="462" t="s">
        <v>1395</v>
      </c>
      <c r="J1097" s="462" t="s">
        <v>670</v>
      </c>
      <c r="K1097" s="430" t="s">
        <v>6953</v>
      </c>
      <c r="L1097" s="430">
        <v>8</v>
      </c>
      <c r="M1097" s="430" t="s">
        <v>840</v>
      </c>
      <c r="N1097" s="432"/>
      <c r="O1097" s="430" t="s">
        <v>284</v>
      </c>
      <c r="P1097" s="430" t="s">
        <v>6856</v>
      </c>
      <c r="Q1097" s="430" t="s">
        <v>6857</v>
      </c>
      <c r="R1097" s="430" t="str">
        <f>_xlfn.XLOOKUP(PV_DATA[[#This Row],[New Ark SKU]],Table9[New Ark SKU],Table9[Connector],,0)</f>
        <v>EVO2A</v>
      </c>
      <c r="S1097" s="433" t="str">
        <f>_xlfn.XLOOKUP(PV_DATA[[#This Row],[New Ark SKU]],Table9[New Ark SKU],Table9[Cable],,0)</f>
        <v>±1200mm</v>
      </c>
      <c r="T1097" s="433">
        <v>485</v>
      </c>
      <c r="U1097" s="1062">
        <v>2808</v>
      </c>
      <c r="V1097" s="434">
        <f>PV_DATA[[#This Row],[QUANTITY]]*PV_DATA[[#This Row],[WATT]]/1000000</f>
        <v>1.36188</v>
      </c>
      <c r="W1097" s="435">
        <f>PV_DATA[[#This Row],[QUANTITY]]/36</f>
        <v>78</v>
      </c>
      <c r="X1097" s="1015">
        <f>PV_DATA[[#This Row],[QUANTITY]]/PV_DATA[[#This Row],[Qty/CT]]</f>
        <v>3</v>
      </c>
      <c r="Y1097" s="430" t="s">
        <v>4381</v>
      </c>
      <c r="Z1097" s="430" t="str">
        <f t="shared" si="20"/>
        <v>IN-TRANSIT</v>
      </c>
      <c r="AA1097" s="430" t="s">
        <v>6979</v>
      </c>
      <c r="AB1097" s="437">
        <v>46289</v>
      </c>
      <c r="AC1097" s="485">
        <f>IF(PV_DATA[[#This Row],[Pick-Up Date]]&lt;&gt;"",_xlfn.ISOWEEKNUM(PV_DATA[[#This Row],[Pick-Up Date]]),"")</f>
        <v>39</v>
      </c>
      <c r="AD1097" s="430" t="s">
        <v>6980</v>
      </c>
      <c r="AF1097" s="459" t="s">
        <v>5864</v>
      </c>
      <c r="AG1097" s="430" t="s">
        <v>122</v>
      </c>
      <c r="AH1097" s="430" t="s">
        <v>105</v>
      </c>
      <c r="AI1097" s="437">
        <v>46296</v>
      </c>
      <c r="AJ1097" s="437">
        <v>46297</v>
      </c>
      <c r="AK1097" s="437">
        <v>46297</v>
      </c>
      <c r="AL1097" s="437">
        <v>46340</v>
      </c>
      <c r="AM1097" s="437">
        <f>IFERROR(VLOOKUP(AT1097, Vessel!A:H, 8, FALSE), "")</f>
        <v>46341.979166666664</v>
      </c>
      <c r="AN1097" s="437" t="str">
        <f>IFERROR(IF(VLOOKUP(AT1097,Vessel!A:I,9,FALSE)=0,"",VLOOKUP(AT1097,Vessel!A:I,9,FALSE)),"")</f>
        <v/>
      </c>
      <c r="AP1097" s="430" t="s">
        <v>6965</v>
      </c>
      <c r="AQ1097" s="438" t="s">
        <v>80</v>
      </c>
      <c r="AR1097" s="430" t="s">
        <v>6981</v>
      </c>
      <c r="AS1097" s="430" t="s">
        <v>6982</v>
      </c>
      <c r="AT1097" s="430" t="s">
        <v>6982</v>
      </c>
      <c r="AU109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44.979166666664241</v>
      </c>
      <c r="AW1097" s="437" cm="1">
        <f t="array" ref="AW109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46341.979166666664</v>
      </c>
      <c r="AX109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97" s="437" t="str">
        <f>IF(ISERROR(PV_DATA[[#This Row],[New Ark PO status]]),"",_xlfn.XLOOKUP(PV_DATA[[#This Row],[SPTN-PVHK New Ark PO'#]],New_Ark_Data[Purchase order Number],New_Ark_Data[Estimated time of arrival],"",0))</f>
        <v/>
      </c>
      <c r="AZ1097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97" s="437">
        <f>IFERROR(PV_DATA[[#This Row],[ODP ETA Port]]+PV_DATA[[#This Row],[Customs/Leg3 Assumption]],"n/a")</f>
        <v>46341.979166666664</v>
      </c>
      <c r="BB1097" s="433">
        <f>YEAR(PV_DATA[[#This Row],[ETA for New Ark update]])</f>
        <v>2026</v>
      </c>
      <c r="BC1097" s="430">
        <f>MONTH(PV_DATA[[#This Row],[ETA for New Ark update]])</f>
        <v>11</v>
      </c>
      <c r="BD1097" s="430">
        <f>IFERROR(_xlfn.ISOWEEKNUM(PV_DATA[[#This Row],[ETA for New Ark update]]),0)</f>
        <v>46</v>
      </c>
      <c r="BE1097" s="430">
        <f>_xlfn.XLOOKUP(PV_DATA[[#This Row],[New Ark SKU]],Table9[New Ark SKU],Table9[Total PCS per Pallet],,0)</f>
        <v>36</v>
      </c>
      <c r="BF1097" s="430">
        <f>_xlfn.XLOOKUP(PV_DATA[[#This Row],[New Ark SKU]],Table9[New Ark SKU],Table9[Total PCS per 40HQ Container],,0)</f>
        <v>936</v>
      </c>
      <c r="BG1097" s="430" t="str">
        <f>_xlfn.XLOOKUP(PV_DATA[[#This Row],[New Ark SKU]],Table9[New Ark SKU],Table9[Back Glass],,0)</f>
        <v>Black glazing</v>
      </c>
      <c r="BH1097" s="610" t="str">
        <f>_xlfn.XLOOKUP(PV_DATA[[#This Row],[PORT DESTINATION]],Table12[PORT DESTINATION],Table12[Cosco Line],,0)</f>
        <v>AEU</v>
      </c>
    </row>
    <row r="1098" spans="1:60" s="430" customFormat="1" ht="13.5" hidden="1" customHeight="1">
      <c r="A1098" s="462" t="s">
        <v>6983</v>
      </c>
      <c r="B1098" s="462" t="s">
        <v>1757</v>
      </c>
      <c r="C1098" s="459" t="str">
        <f>IFERROR(LEFT(PV_DATA[[#This Row],[TCL REFERENCE]],FIND(".",PV_DATA[[#This Row],[TCL REFERENCE]],1)-1),"Main Line")</f>
        <v>26Aug013</v>
      </c>
      <c r="D1098" s="935" t="s">
        <v>113</v>
      </c>
      <c r="E1098" s="462" t="s">
        <v>144</v>
      </c>
      <c r="F1098" s="462" t="str" cm="1">
        <f t="array" ref="F1098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098" s="462" t="s">
        <v>402</v>
      </c>
      <c r="H1098" s="462" t="s">
        <v>670</v>
      </c>
      <c r="I1098" s="462" t="s">
        <v>1395</v>
      </c>
      <c r="J1098" s="462" t="s">
        <v>670</v>
      </c>
      <c r="K1098" s="430" t="s">
        <v>6848</v>
      </c>
      <c r="L1098" s="430">
        <v>10</v>
      </c>
      <c r="M1098" s="430" t="s">
        <v>840</v>
      </c>
      <c r="N1098" s="432"/>
      <c r="O1098" s="430" t="s">
        <v>284</v>
      </c>
      <c r="P1098" s="430" t="s">
        <v>6849</v>
      </c>
      <c r="Q1098" s="430" t="s">
        <v>6850</v>
      </c>
      <c r="R1098" s="430" t="str">
        <f>_xlfn.XLOOKUP(PV_DATA[[#This Row],[New Ark SKU]],Table9[New Ark SKU],Table9[Connector],,0)</f>
        <v>EVO2A</v>
      </c>
      <c r="S1098" s="433" t="str">
        <f>_xlfn.XLOOKUP(PV_DATA[[#This Row],[New Ark SKU]],Table9[New Ark SKU],Table9[Cable],,0)</f>
        <v>±1200mm</v>
      </c>
      <c r="T1098" s="433">
        <v>490</v>
      </c>
      <c r="U1098" s="1062">
        <f>936*5</f>
        <v>4680</v>
      </c>
      <c r="V1098" s="434">
        <f>PV_DATA[[#This Row],[QUANTITY]]*PV_DATA[[#This Row],[WATT]]/1000000</f>
        <v>2.2932000000000001</v>
      </c>
      <c r="W1098" s="969">
        <f>PV_DATA[[#This Row],[QUANTITY]]/36</f>
        <v>130</v>
      </c>
      <c r="X1098" s="1015">
        <f>PV_DATA[[#This Row],[QUANTITY]]/PV_DATA[[#This Row],[Qty/CT]]</f>
        <v>5</v>
      </c>
      <c r="Y1098" s="430" t="s">
        <v>4380</v>
      </c>
      <c r="Z1098" s="430" t="str">
        <f t="shared" ref="Z1098:Z1131" si="21">IF(AN1098&lt;&gt;"","COMPLETED",IF(AK1098&lt;&gt;"","IN-TRANSIT",""))</f>
        <v>IN-TRANSIT</v>
      </c>
      <c r="AA1098" s="430" t="s">
        <v>6984</v>
      </c>
      <c r="AB1098" s="437">
        <v>46289</v>
      </c>
      <c r="AC1098" s="485">
        <f>IF(PV_DATA[[#This Row],[Pick-Up Date]]&lt;&gt;"",_xlfn.ISOWEEKNUM(PV_DATA[[#This Row],[Pick-Up Date]]),"")</f>
        <v>39</v>
      </c>
      <c r="AD1098" s="430" t="s">
        <v>6985</v>
      </c>
      <c r="AF1098" s="459" t="s">
        <v>5864</v>
      </c>
      <c r="AG1098" s="430" t="s">
        <v>122</v>
      </c>
      <c r="AH1098" s="430" t="s">
        <v>105</v>
      </c>
      <c r="AI1098" s="437">
        <v>46296</v>
      </c>
      <c r="AJ1098" s="437">
        <v>46297</v>
      </c>
      <c r="AK1098" s="437">
        <v>46297</v>
      </c>
      <c r="AL1098" s="437">
        <v>46340</v>
      </c>
      <c r="AM1098" s="437">
        <f>IFERROR(VLOOKUP(AT1098, Vessel!A:H, 8, FALSE), "")</f>
        <v>46341.979166666664</v>
      </c>
      <c r="AN1098" s="437" t="str">
        <f>IFERROR(IF(VLOOKUP(AT1098,Vessel!A:I,9,FALSE)=0,"",VLOOKUP(AT1098,Vessel!A:I,9,FALSE)),"")</f>
        <v/>
      </c>
      <c r="AP1098" s="430" t="s">
        <v>6965</v>
      </c>
      <c r="AQ1098" s="438" t="s">
        <v>80</v>
      </c>
      <c r="AR1098" s="430" t="s">
        <v>6981</v>
      </c>
      <c r="AS1098" s="430" t="s">
        <v>6982</v>
      </c>
      <c r="AT1098" s="430" t="s">
        <v>6982</v>
      </c>
      <c r="AU109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44.979166666664241</v>
      </c>
      <c r="AW1098" s="437" cm="1">
        <f t="array" ref="AW109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46341.979166666664</v>
      </c>
      <c r="AX109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98" s="437" t="str">
        <f>IF(ISERROR(PV_DATA[[#This Row],[New Ark PO status]]),"",_xlfn.XLOOKUP(PV_DATA[[#This Row],[SPTN-PVHK New Ark PO'#]],New_Ark_Data[Purchase order Number],New_Ark_Data[Estimated time of arrival],"",0))</f>
        <v/>
      </c>
      <c r="AZ1098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098" s="437">
        <f>IFERROR(PV_DATA[[#This Row],[ODP ETA Port]]+PV_DATA[[#This Row],[Customs/Leg3 Assumption]],"n/a")</f>
        <v>46341.979166666664</v>
      </c>
      <c r="BB1098" s="433">
        <f>YEAR(PV_DATA[[#This Row],[ETA for New Ark update]])</f>
        <v>2026</v>
      </c>
      <c r="BC1098" s="430">
        <f>MONTH(PV_DATA[[#This Row],[ETA for New Ark update]])</f>
        <v>11</v>
      </c>
      <c r="BD1098" s="430">
        <f>IFERROR(_xlfn.ISOWEEKNUM(PV_DATA[[#This Row],[ETA for New Ark update]]),0)</f>
        <v>46</v>
      </c>
      <c r="BE1098" s="430">
        <f>_xlfn.XLOOKUP(PV_DATA[[#This Row],[New Ark SKU]],Table9[New Ark SKU],Table9[Total PCS per Pallet],,0)</f>
        <v>36</v>
      </c>
      <c r="BF1098" s="430">
        <f>_xlfn.XLOOKUP(PV_DATA[[#This Row],[New Ark SKU]],Table9[New Ark SKU],Table9[Total PCS per 40HQ Container],,0)</f>
        <v>936</v>
      </c>
      <c r="BG1098" s="430" t="str">
        <f>_xlfn.XLOOKUP(PV_DATA[[#This Row],[New Ark SKU]],Table9[New Ark SKU],Table9[Back Glass],,0)</f>
        <v>Black glazing</v>
      </c>
      <c r="BH1098" s="610" t="str">
        <f>_xlfn.XLOOKUP(PV_DATA[[#This Row],[PORT DESTINATION]],Table12[PORT DESTINATION],Table12[Cosco Line],,0)</f>
        <v>AEU</v>
      </c>
    </row>
    <row r="1099" spans="1:60" s="430" customFormat="1" ht="10.5" hidden="1">
      <c r="A1099" s="729" t="s">
        <v>6986</v>
      </c>
      <c r="B1099" s="462" t="s">
        <v>111</v>
      </c>
      <c r="C1099" s="462" t="str">
        <f>IFERROR(LEFT(PV_DATA[[#This Row],[TCL REFERENCE]],FIND(".",PV_DATA[[#This Row],[TCL REFERENCE]],1)-1),"Main Line")</f>
        <v>26Aug002</v>
      </c>
      <c r="D1099" s="462" t="s">
        <v>63</v>
      </c>
      <c r="E1099" s="462" t="s">
        <v>64</v>
      </c>
      <c r="F1099" s="462" t="str" cm="1">
        <f t="array" ref="F109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099" s="462" t="s">
        <v>402</v>
      </c>
      <c r="H1099" s="462" t="s">
        <v>67</v>
      </c>
      <c r="I1099" s="462" t="s">
        <v>689</v>
      </c>
      <c r="J1099" s="430" t="s">
        <v>96</v>
      </c>
      <c r="M1099" s="430" t="s">
        <v>6325</v>
      </c>
      <c r="N1099" s="432">
        <v>46215</v>
      </c>
      <c r="O1099" s="430" t="s">
        <v>550</v>
      </c>
      <c r="P1099" s="430" t="s">
        <v>2134</v>
      </c>
      <c r="Q1099" s="430" t="s">
        <v>2135</v>
      </c>
      <c r="R1099" s="430" t="str">
        <f>_xlfn.XLOOKUP(PV_DATA[[#This Row],[New Ark SKU]],Table9[New Ark SKU],Table9[Connector],,0)</f>
        <v>EVO2A</v>
      </c>
      <c r="S1099" s="433" t="str">
        <f>_xlfn.XLOOKUP(PV_DATA[[#This Row],[New Ark SKU]],Table9[New Ark SKU],Table9[Cable],,0)</f>
        <v>±1350mm</v>
      </c>
      <c r="T1099" s="433">
        <v>515</v>
      </c>
      <c r="U1099" s="1062">
        <v>792</v>
      </c>
      <c r="V1099" s="434">
        <f>PV_DATA[[#This Row],[QUANTITY]]*PV_DATA[[#This Row],[WATT]]/1000000</f>
        <v>0.40788000000000002</v>
      </c>
      <c r="W1099" s="435">
        <f>PV_DATA[[#This Row],[QUANTITY]]/PV_DATA[[#This Row],[Qty/Pallet]]</f>
        <v>22</v>
      </c>
      <c r="X1099" s="1015">
        <f>PV_DATA[[#This Row],[QUANTITY]]/PV_DATA[[#This Row],[Qty/CT]]</f>
        <v>1</v>
      </c>
      <c r="Y1099" s="430" t="s">
        <v>4379</v>
      </c>
      <c r="Z1099" s="430" t="str">
        <f t="shared" si="21"/>
        <v>IN-TRANSIT</v>
      </c>
      <c r="AA1099" s="545">
        <v>46293</v>
      </c>
      <c r="AB1099" s="437">
        <v>46292</v>
      </c>
      <c r="AC1099" s="485">
        <f>IF(PV_DATA[[#This Row],[Pick-Up Date]]&lt;&gt;"",_xlfn.ISOWEEKNUM(PV_DATA[[#This Row],[Pick-Up Date]]),"")</f>
        <v>39</v>
      </c>
      <c r="AD1099" s="430" t="s">
        <v>6987</v>
      </c>
      <c r="AF1099" s="430" t="s">
        <v>122</v>
      </c>
      <c r="AG1099" s="430" t="s">
        <v>122</v>
      </c>
      <c r="AH1099" s="430" t="s">
        <v>105</v>
      </c>
      <c r="AI1099" s="437">
        <v>46297</v>
      </c>
      <c r="AJ1099" s="437" t="str">
        <f>IFERROR(VLOOKUP(AT1099, Vessel!A:D, 4, FALSE), "")</f>
        <v/>
      </c>
      <c r="AK1099" s="437">
        <v>46302</v>
      </c>
      <c r="AL1099" s="437">
        <v>46334</v>
      </c>
      <c r="AM1099" s="1279" t="str">
        <f>IFERROR(VLOOKUP(AT1099, Vessel!A:H, 8, FALSE), "")</f>
        <v/>
      </c>
      <c r="AN1099" s="588" t="str">
        <f>IFERROR(IF(VLOOKUP(AT1099,Vessel!A:I,9,FALSE)=0,"",VLOOKUP(AT1099,Vessel!A:I,9,FALSE)),"")</f>
        <v/>
      </c>
      <c r="AP1099" s="430" t="s">
        <v>6988</v>
      </c>
      <c r="AQ1099" s="438" t="s">
        <v>161</v>
      </c>
      <c r="AR1099" s="430" t="s">
        <v>6989</v>
      </c>
      <c r="AS1099" s="430" t="s">
        <v>6990</v>
      </c>
      <c r="AT1099" s="430" t="s">
        <v>6990</v>
      </c>
      <c r="AU109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32</v>
      </c>
      <c r="AW1099" s="437" cm="1">
        <f t="array" ref="AW109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46334</v>
      </c>
      <c r="AX109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099" s="437" t="str">
        <f>IF(ISERROR(PV_DATA[[#This Row],[New Ark PO status]]),"",_xlfn.XLOOKUP(PV_DATA[[#This Row],[SPTN-PVHK New Ark PO'#]],New_Ark_Data[Purchase order Number],New_Ark_Data[Estimated time of arrival],"",0))</f>
        <v/>
      </c>
      <c r="AZ1099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099" s="437">
        <f>IFERROR(PV_DATA[[#This Row],[ODP ETA Port]]+PV_DATA[[#This Row],[Customs/Leg3 Assumption]],"n/a")</f>
        <v>46341</v>
      </c>
      <c r="BB1099" s="433" t="s">
        <v>6325</v>
      </c>
      <c r="BC1099" s="433" t="s">
        <v>6325</v>
      </c>
      <c r="BD1099" s="430">
        <f>IFERROR(_xlfn.ISOWEEKNUM(PV_DATA[[#This Row],[ETA for New Ark update]]),0)</f>
        <v>46</v>
      </c>
      <c r="BE1099" s="430">
        <f>_xlfn.XLOOKUP(PV_DATA[[#This Row],[New Ark SKU]],Table9[New Ark SKU],Table9[Total PCS per Pallet],,0)</f>
        <v>36</v>
      </c>
      <c r="BF1099" s="430">
        <f>_xlfn.XLOOKUP(PV_DATA[[#This Row],[New Ark SKU]],Table9[New Ark SKU],Table9[Total PCS per 40HQ Container],,0)</f>
        <v>792</v>
      </c>
      <c r="BG1099" s="430" t="str">
        <f>_xlfn.XLOOKUP(PV_DATA[[#This Row],[New Ark SKU]],Table9[New Ark SKU],Table9[Back Glass],,0)</f>
        <v>Black glazing</v>
      </c>
      <c r="BH1099" s="610" t="str">
        <f>_xlfn.XLOOKUP(PV_DATA[[#This Row],[PORT DESTINATION]],Table12[PORT DESTINATION],Table12[Cosco Line],,0)</f>
        <v>AEU</v>
      </c>
    </row>
    <row r="1100" spans="1:60" s="430" customFormat="1" ht="13.5" hidden="1" customHeight="1">
      <c r="A1100" s="729" t="s">
        <v>6991</v>
      </c>
      <c r="B1100" s="462" t="s">
        <v>111</v>
      </c>
      <c r="C1100" s="462" t="str">
        <f>IFERROR(LEFT(PV_DATA[[#This Row],[TCL REFERENCE]],FIND(".",PV_DATA[[#This Row],[TCL REFERENCE]],1)-1),"Main Line")</f>
        <v>26Aug016</v>
      </c>
      <c r="D1100" s="462" t="s">
        <v>63</v>
      </c>
      <c r="E1100" s="462" t="s">
        <v>64</v>
      </c>
      <c r="F1100" s="462" t="str" cm="1">
        <f t="array" ref="F110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00" s="462" t="s">
        <v>402</v>
      </c>
      <c r="H1100" s="462" t="s">
        <v>67</v>
      </c>
      <c r="I1100" s="462" t="s">
        <v>689</v>
      </c>
      <c r="J1100" s="430" t="s">
        <v>96</v>
      </c>
      <c r="M1100" s="430" t="s">
        <v>68</v>
      </c>
      <c r="N1100" s="432">
        <v>46282</v>
      </c>
      <c r="O1100" s="430" t="s">
        <v>550</v>
      </c>
      <c r="P1100" s="430" t="s">
        <v>2134</v>
      </c>
      <c r="Q1100" s="430" t="s">
        <v>2135</v>
      </c>
      <c r="R1100" s="430" t="str">
        <f>_xlfn.XLOOKUP(PV_DATA[[#This Row],[New Ark SKU]],Table9[New Ark SKU],Table9[Connector],,0)</f>
        <v>EVO2A</v>
      </c>
      <c r="S1100" s="433" t="str">
        <f>_xlfn.XLOOKUP(PV_DATA[[#This Row],[New Ark SKU]],Table9[New Ark SKU],Table9[Cable],,0)</f>
        <v>±1350mm</v>
      </c>
      <c r="T1100" s="433">
        <v>515</v>
      </c>
      <c r="U1100" s="1062">
        <v>3960</v>
      </c>
      <c r="V1100" s="434">
        <f>PV_DATA[[#This Row],[QUANTITY]]*PV_DATA[[#This Row],[WATT]]/1000000</f>
        <v>2.0394000000000001</v>
      </c>
      <c r="W1100" s="435">
        <f>PV_DATA[[#This Row],[QUANTITY]]/PV_DATA[[#This Row],[Qty/Pallet]]</f>
        <v>110</v>
      </c>
      <c r="X1100" s="1015">
        <f>PV_DATA[[#This Row],[QUANTITY]]/PV_DATA[[#This Row],[Qty/CT]]</f>
        <v>5</v>
      </c>
      <c r="Y1100" s="430" t="s">
        <v>4381</v>
      </c>
      <c r="Z1100" s="430" t="str">
        <f t="shared" si="21"/>
        <v>IN-TRANSIT</v>
      </c>
      <c r="AA1100" s="545">
        <v>46293</v>
      </c>
      <c r="AB1100" s="437">
        <v>46292</v>
      </c>
      <c r="AC1100" s="485">
        <f>IF(PV_DATA[[#This Row],[Pick-Up Date]]&lt;&gt;"",_xlfn.ISOWEEKNUM(PV_DATA[[#This Row],[Pick-Up Date]]),"")</f>
        <v>39</v>
      </c>
      <c r="AD1100" s="430" t="s">
        <v>6992</v>
      </c>
      <c r="AF1100" s="430" t="s">
        <v>122</v>
      </c>
      <c r="AG1100" s="430" t="s">
        <v>122</v>
      </c>
      <c r="AH1100" s="430" t="s">
        <v>105</v>
      </c>
      <c r="AI1100" s="437">
        <v>46297</v>
      </c>
      <c r="AJ1100" s="437" t="str">
        <f>IFERROR(VLOOKUP(AT1100, Vessel!A:D, 4, FALSE), "")</f>
        <v/>
      </c>
      <c r="AK1100" s="437">
        <v>46302</v>
      </c>
      <c r="AL1100" s="437">
        <v>46334</v>
      </c>
      <c r="AM1100" s="1195"/>
      <c r="AN1100" s="588" t="str">
        <f>IFERROR(IF(VLOOKUP(AT1100,Vessel!A:I,9,FALSE)=0,"",VLOOKUP(AT1100,Vessel!A:I,9,FALSE)),"")</f>
        <v/>
      </c>
      <c r="AP1100" s="430" t="s">
        <v>6988</v>
      </c>
      <c r="AQ1100" s="438" t="s">
        <v>161</v>
      </c>
      <c r="AR1100" s="430" t="s">
        <v>6989</v>
      </c>
      <c r="AS1100" s="430" t="s">
        <v>6990</v>
      </c>
      <c r="AT1100" s="430" t="s">
        <v>6990</v>
      </c>
      <c r="AU110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32</v>
      </c>
      <c r="AW1100" s="437" cm="1">
        <f t="array" ref="AW110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46334</v>
      </c>
      <c r="AX110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00" s="437" t="str">
        <f>IF(ISERROR(PV_DATA[[#This Row],[New Ark PO status]]),"",_xlfn.XLOOKUP(PV_DATA[[#This Row],[SPTN-PVHK New Ark PO'#]],New_Ark_Data[Purchase order Number],New_Ark_Data[Estimated time of arrival],"",0))</f>
        <v/>
      </c>
      <c r="AZ1100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00" s="437">
        <f>IFERROR(PV_DATA[[#This Row],[ODP ETA Port]]+PV_DATA[[#This Row],[Customs/Leg3 Assumption]],"n/a")</f>
        <v>46341</v>
      </c>
      <c r="BB1100" s="433" t="s">
        <v>6545</v>
      </c>
      <c r="BC1100" s="433" t="s">
        <v>6545</v>
      </c>
      <c r="BD1100" s="430">
        <f>IFERROR(_xlfn.ISOWEEKNUM(PV_DATA[[#This Row],[ETA for New Ark update]]),0)</f>
        <v>46</v>
      </c>
      <c r="BE1100" s="430">
        <f>_xlfn.XLOOKUP(PV_DATA[[#This Row],[New Ark SKU]],Table9[New Ark SKU],Table9[Total PCS per Pallet],,0)</f>
        <v>36</v>
      </c>
      <c r="BF1100" s="430">
        <f>_xlfn.XLOOKUP(PV_DATA[[#This Row],[New Ark SKU]],Table9[New Ark SKU],Table9[Total PCS per 40HQ Container],,0)</f>
        <v>792</v>
      </c>
      <c r="BG1100" s="430" t="str">
        <f>_xlfn.XLOOKUP(PV_DATA[[#This Row],[New Ark SKU]],Table9[New Ark SKU],Table9[Back Glass],,0)</f>
        <v>Black glazing</v>
      </c>
      <c r="BH1100" s="610" t="str">
        <f>_xlfn.XLOOKUP(PV_DATA[[#This Row],[PORT DESTINATION]],Table12[PORT DESTINATION],Table12[Cosco Line],,0)</f>
        <v>AEU</v>
      </c>
    </row>
    <row r="1101" spans="1:60" s="430" customFormat="1" ht="13.5" hidden="1" customHeight="1">
      <c r="A1101" s="729" t="s">
        <v>6993</v>
      </c>
      <c r="B1101" s="462" t="s">
        <v>111</v>
      </c>
      <c r="C1101" s="462" t="str">
        <f>IFERROR(LEFT(PV_DATA[[#This Row],[TCL REFERENCE]],FIND(".",PV_DATA[[#This Row],[TCL REFERENCE]],1)-1),"Main Line")</f>
        <v>26Aug015</v>
      </c>
      <c r="D1101" s="462" t="s">
        <v>63</v>
      </c>
      <c r="E1101" s="462" t="s">
        <v>64</v>
      </c>
      <c r="F1101" s="462" t="str" cm="1">
        <f t="array" ref="F110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01" s="462" t="s">
        <v>402</v>
      </c>
      <c r="H1101" s="462" t="s">
        <v>67</v>
      </c>
      <c r="I1101" s="462" t="s">
        <v>689</v>
      </c>
      <c r="J1101" s="430" t="s">
        <v>96</v>
      </c>
      <c r="M1101" s="430" t="s">
        <v>68</v>
      </c>
      <c r="N1101" s="432">
        <v>46285</v>
      </c>
      <c r="O1101" s="430" t="s">
        <v>550</v>
      </c>
      <c r="P1101" s="430" t="s">
        <v>551</v>
      </c>
      <c r="Q1101" s="430" t="s">
        <v>2151</v>
      </c>
      <c r="R1101" s="430" t="str">
        <f>_xlfn.XLOOKUP(PV_DATA[[#This Row],[New Ark SKU]],Table9[New Ark SKU],Table9[Connector],,0)</f>
        <v>EVO2A</v>
      </c>
      <c r="S1101" s="433" t="str">
        <f>_xlfn.XLOOKUP(PV_DATA[[#This Row],[New Ark SKU]],Table9[New Ark SKU],Table9[Cable],,0)</f>
        <v>±1350mm</v>
      </c>
      <c r="T1101" s="433">
        <v>510</v>
      </c>
      <c r="U1101" s="1062">
        <v>1584</v>
      </c>
      <c r="V1101" s="434">
        <f>PV_DATA[[#This Row],[QUANTITY]]*PV_DATA[[#This Row],[WATT]]/1000000</f>
        <v>0.80784</v>
      </c>
      <c r="W1101" s="435">
        <f>PV_DATA[[#This Row],[QUANTITY]]/PV_DATA[[#This Row],[Qty/Pallet]]</f>
        <v>44</v>
      </c>
      <c r="X1101" s="1015">
        <f>PV_DATA[[#This Row],[QUANTITY]]/PV_DATA[[#This Row],[Qty/CT]]</f>
        <v>2</v>
      </c>
      <c r="Y1101" s="430" t="s">
        <v>4382</v>
      </c>
      <c r="Z1101" s="430" t="str">
        <f t="shared" si="21"/>
        <v>IN-TRANSIT</v>
      </c>
      <c r="AA1101" s="545">
        <v>46293</v>
      </c>
      <c r="AB1101" s="437">
        <v>46292</v>
      </c>
      <c r="AC1101" s="485">
        <f>IF(PV_DATA[[#This Row],[Pick-Up Date]]&lt;&gt;"",_xlfn.ISOWEEKNUM(PV_DATA[[#This Row],[Pick-Up Date]]),"")</f>
        <v>39</v>
      </c>
      <c r="AD1101" s="430" t="s">
        <v>6994</v>
      </c>
      <c r="AF1101" s="430" t="s">
        <v>122</v>
      </c>
      <c r="AG1101" s="430" t="s">
        <v>122</v>
      </c>
      <c r="AH1101" s="430" t="s">
        <v>105</v>
      </c>
      <c r="AI1101" s="437">
        <v>46297</v>
      </c>
      <c r="AJ1101" s="437" t="str">
        <f>IFERROR(VLOOKUP(AT1101, Vessel!A:D, 4, FALSE), "")</f>
        <v/>
      </c>
      <c r="AK1101" s="437">
        <v>46302</v>
      </c>
      <c r="AL1101" s="437">
        <v>46334</v>
      </c>
      <c r="AM1101" s="1196"/>
      <c r="AN1101" s="588" t="str">
        <f>IFERROR(IF(VLOOKUP(AT1101,Vessel!A:I,9,FALSE)=0,"",VLOOKUP(AT1101,Vessel!A:I,9,FALSE)),"")</f>
        <v/>
      </c>
      <c r="AP1101" s="430" t="s">
        <v>6988</v>
      </c>
      <c r="AQ1101" s="438" t="s">
        <v>161</v>
      </c>
      <c r="AR1101" s="430" t="s">
        <v>6989</v>
      </c>
      <c r="AS1101" s="430" t="s">
        <v>6990</v>
      </c>
      <c r="AT1101" s="430" t="s">
        <v>6990</v>
      </c>
      <c r="AU110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32</v>
      </c>
      <c r="AW1101" s="437" cm="1">
        <f t="array" ref="AW110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46334</v>
      </c>
      <c r="AX110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01" s="437" t="str">
        <f>IF(ISERROR(PV_DATA[[#This Row],[New Ark PO status]]),"",_xlfn.XLOOKUP(PV_DATA[[#This Row],[SPTN-PVHK New Ark PO'#]],New_Ark_Data[Purchase order Number],New_Ark_Data[Estimated time of arrival],"",0))</f>
        <v/>
      </c>
      <c r="AZ1101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01" s="437">
        <f>IFERROR(PV_DATA[[#This Row],[ODP ETA Port]]+PV_DATA[[#This Row],[Customs/Leg3 Assumption]],"n/a")</f>
        <v>46341</v>
      </c>
      <c r="BB1101" s="433" t="s">
        <v>6545</v>
      </c>
      <c r="BC1101" s="433" t="s">
        <v>6545</v>
      </c>
      <c r="BD1101" s="430">
        <f>IFERROR(_xlfn.ISOWEEKNUM(PV_DATA[[#This Row],[ETA for New Ark update]]),0)</f>
        <v>46</v>
      </c>
      <c r="BE1101" s="430">
        <f>_xlfn.XLOOKUP(PV_DATA[[#This Row],[New Ark SKU]],Table9[New Ark SKU],Table9[Total PCS per Pallet],,0)</f>
        <v>36</v>
      </c>
      <c r="BF1101" s="430">
        <f>_xlfn.XLOOKUP(PV_DATA[[#This Row],[New Ark SKU]],Table9[New Ark SKU],Table9[Total PCS per 40HQ Container],,0)</f>
        <v>792</v>
      </c>
      <c r="BG1101" s="430" t="str">
        <f>_xlfn.XLOOKUP(PV_DATA[[#This Row],[New Ark SKU]],Table9[New Ark SKU],Table9[Back Glass],,0)</f>
        <v>Black glazing</v>
      </c>
      <c r="BH1101" s="610" t="str">
        <f>_xlfn.XLOOKUP(PV_DATA[[#This Row],[PORT DESTINATION]],Table12[PORT DESTINATION],Table12[Cosco Line],,0)</f>
        <v>AEU</v>
      </c>
    </row>
    <row r="1102" spans="1:60" s="430" customFormat="1" ht="13.5" hidden="1" customHeight="1">
      <c r="A1102" s="729" t="s">
        <v>6995</v>
      </c>
      <c r="B1102" s="462" t="s">
        <v>111</v>
      </c>
      <c r="C1102" s="462" t="str">
        <f>IFERROR(LEFT(PV_DATA[[#This Row],[TCL REFERENCE]],FIND(".",PV_DATA[[#This Row],[TCL REFERENCE]],1)-1),"Main Line")</f>
        <v>26Aug016</v>
      </c>
      <c r="D1102" s="462" t="s">
        <v>63</v>
      </c>
      <c r="E1102" s="462" t="s">
        <v>64</v>
      </c>
      <c r="F1102" s="462" t="str" cm="1">
        <f t="array" ref="F110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102" s="462" t="s">
        <v>402</v>
      </c>
      <c r="H1102" s="462" t="s">
        <v>311</v>
      </c>
      <c r="I1102" s="462" t="s">
        <v>689</v>
      </c>
      <c r="J1102" s="430" t="s">
        <v>96</v>
      </c>
      <c r="M1102" s="430" t="s">
        <v>68</v>
      </c>
      <c r="N1102" s="432">
        <v>46282</v>
      </c>
      <c r="O1102" s="430" t="s">
        <v>550</v>
      </c>
      <c r="P1102" s="430" t="s">
        <v>2134</v>
      </c>
      <c r="Q1102" s="430" t="s">
        <v>2135</v>
      </c>
      <c r="R1102" s="430" t="str">
        <f>_xlfn.XLOOKUP(PV_DATA[[#This Row],[New Ark SKU]],Table9[New Ark SKU],Table9[Connector],,0)</f>
        <v>EVO2A</v>
      </c>
      <c r="S1102" s="433" t="str">
        <f>_xlfn.XLOOKUP(PV_DATA[[#This Row],[New Ark SKU]],Table9[New Ark SKU],Table9[Cable],,0)</f>
        <v>±1350mm</v>
      </c>
      <c r="T1102" s="433">
        <v>515</v>
      </c>
      <c r="U1102" s="1062">
        <f>792*4</f>
        <v>3168</v>
      </c>
      <c r="V1102" s="434">
        <f>PV_DATA[[#This Row],[QUANTITY]]*PV_DATA[[#This Row],[WATT]]/1000000</f>
        <v>1.6315200000000001</v>
      </c>
      <c r="W1102" s="435">
        <f>PV_DATA[[#This Row],[QUANTITY]]/PV_DATA[[#This Row],[Qty/Pallet]]</f>
        <v>88</v>
      </c>
      <c r="X1102" s="1015">
        <f>PV_DATA[[#This Row],[QUANTITY]]/PV_DATA[[#This Row],[Qty/CT]]</f>
        <v>4</v>
      </c>
      <c r="Y1102" s="430" t="s">
        <v>4382</v>
      </c>
      <c r="Z1102" s="430" t="str">
        <f t="shared" si="21"/>
        <v>IN-TRANSIT</v>
      </c>
      <c r="AA1102" s="545">
        <v>46291</v>
      </c>
      <c r="AB1102" s="437">
        <v>46291</v>
      </c>
      <c r="AC1102" s="485">
        <f>IF(PV_DATA[[#This Row],[Pick-Up Date]]&lt;&gt;"",_xlfn.ISOWEEKNUM(PV_DATA[[#This Row],[Pick-Up Date]]),"")</f>
        <v>39</v>
      </c>
      <c r="AD1102" s="430" t="s">
        <v>6996</v>
      </c>
      <c r="AF1102" s="430" t="s">
        <v>122</v>
      </c>
      <c r="AG1102" s="430" t="s">
        <v>122</v>
      </c>
      <c r="AH1102" s="430" t="s">
        <v>314</v>
      </c>
      <c r="AI1102" s="437">
        <v>46297</v>
      </c>
      <c r="AJ1102" s="437">
        <v>46306</v>
      </c>
      <c r="AK1102" s="437">
        <f>IFERROR(IF(VLOOKUP(AT1102,Vessel!A:F,5,FALSE)=0,"",VLOOKUP(AT1102,Vessel!A:F,5,FALSE)),"")</f>
        <v>46306.437141203707</v>
      </c>
      <c r="AL1102" s="437">
        <v>46344</v>
      </c>
      <c r="AM1102" s="1198">
        <f>IFERROR(VLOOKUP(AT1102, Vessel!A:H, 8, FALSE), "")</f>
        <v>46354.25</v>
      </c>
      <c r="AN1102" s="437" t="str">
        <f>IFERROR(IF(VLOOKUP(AT1102,Vessel!A:I,9,FALSE)=0,"",VLOOKUP(AT1102,Vessel!A:I,9,FALSE)),"")</f>
        <v/>
      </c>
      <c r="AP1102" s="430" t="s">
        <v>6997</v>
      </c>
      <c r="AQ1102" s="438" t="s">
        <v>80</v>
      </c>
      <c r="AR1102" s="430" t="s">
        <v>6998</v>
      </c>
      <c r="AS1102" s="430" t="s">
        <v>6999</v>
      </c>
      <c r="AT1102" s="430" t="s">
        <v>6999</v>
      </c>
      <c r="AU110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47.812858796292858</v>
      </c>
      <c r="AW1102" s="437" cm="1">
        <f t="array" ref="AW110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46354.25</v>
      </c>
      <c r="AX110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02" s="437" t="str">
        <f>IF(ISERROR(PV_DATA[[#This Row],[New Ark PO status]]),"",_xlfn.XLOOKUP(PV_DATA[[#This Row],[SPTN-PVHK New Ark PO'#]],New_Ark_Data[Purchase order Number],New_Ark_Data[Estimated time of arrival],"",0))</f>
        <v/>
      </c>
      <c r="AZ1102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102" s="437">
        <f>IFERROR(PV_DATA[[#This Row],[ODP ETA Port]]+PV_DATA[[#This Row],[Customs/Leg3 Assumption]],"n/a")</f>
        <v>46364.25</v>
      </c>
      <c r="BB1102" s="433" t="s">
        <v>6545</v>
      </c>
      <c r="BC1102" s="433" t="s">
        <v>6545</v>
      </c>
      <c r="BD1102" s="430">
        <f>IFERROR(_xlfn.ISOWEEKNUM(PV_DATA[[#This Row],[ETA for New Ark update]]),0)</f>
        <v>50</v>
      </c>
      <c r="BE1102" s="430">
        <f>_xlfn.XLOOKUP(PV_DATA[[#This Row],[New Ark SKU]],Table9[New Ark SKU],Table9[Total PCS per Pallet],,0)</f>
        <v>36</v>
      </c>
      <c r="BF1102" s="430">
        <f>_xlfn.XLOOKUP(PV_DATA[[#This Row],[New Ark SKU]],Table9[New Ark SKU],Table9[Total PCS per 40HQ Container],,0)</f>
        <v>792</v>
      </c>
      <c r="BG1102" s="430" t="str">
        <f>_xlfn.XLOOKUP(PV_DATA[[#This Row],[New Ark SKU]],Table9[New Ark SKU],Table9[Back Glass],,0)</f>
        <v>Black glazing</v>
      </c>
      <c r="BH1102" s="610" t="str">
        <f>_xlfn.XLOOKUP(PV_DATA[[#This Row],[PORT DESTINATION]],Table12[PORT DESTINATION],Table12[Cosco Line],,0)</f>
        <v>AEM</v>
      </c>
    </row>
    <row r="1103" spans="1:60" s="430" customFormat="1" ht="13.5" hidden="1" customHeight="1">
      <c r="A1103" s="729" t="s">
        <v>7000</v>
      </c>
      <c r="B1103" s="462" t="s">
        <v>111</v>
      </c>
      <c r="C1103" s="462" t="str">
        <f>IFERROR(LEFT(PV_DATA[[#This Row],[TCL REFERENCE]],FIND(".",PV_DATA[[#This Row],[TCL REFERENCE]],1)-1),"Main Line")</f>
        <v>26Aug016</v>
      </c>
      <c r="D1103" s="462" t="s">
        <v>63</v>
      </c>
      <c r="E1103" s="462" t="s">
        <v>64</v>
      </c>
      <c r="F1103" s="462" t="str" cm="1">
        <f t="array" ref="F110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103" s="462" t="s">
        <v>402</v>
      </c>
      <c r="H1103" s="462" t="s">
        <v>311</v>
      </c>
      <c r="I1103" s="462" t="s">
        <v>689</v>
      </c>
      <c r="J1103" s="430" t="s">
        <v>96</v>
      </c>
      <c r="M1103" s="430" t="s">
        <v>68</v>
      </c>
      <c r="N1103" s="432">
        <v>46282</v>
      </c>
      <c r="O1103" s="430" t="s">
        <v>550</v>
      </c>
      <c r="P1103" s="430" t="s">
        <v>2134</v>
      </c>
      <c r="Q1103" s="430" t="s">
        <v>2135</v>
      </c>
      <c r="R1103" s="430" t="str">
        <f>_xlfn.XLOOKUP(PV_DATA[[#This Row],[New Ark SKU]],Table9[New Ark SKU],Table9[Connector],,0)</f>
        <v>EVO2A</v>
      </c>
      <c r="S1103" s="433" t="str">
        <f>_xlfn.XLOOKUP(PV_DATA[[#This Row],[New Ark SKU]],Table9[New Ark SKU],Table9[Cable],,0)</f>
        <v>±1350mm</v>
      </c>
      <c r="T1103" s="433">
        <v>515</v>
      </c>
      <c r="U1103" s="1062">
        <f>792*4</f>
        <v>3168</v>
      </c>
      <c r="V1103" s="434">
        <f>PV_DATA[[#This Row],[QUANTITY]]*PV_DATA[[#This Row],[WATT]]/1000000</f>
        <v>1.6315200000000001</v>
      </c>
      <c r="W1103" s="435">
        <f>PV_DATA[[#This Row],[QUANTITY]]/PV_DATA[[#This Row],[Qty/Pallet]]</f>
        <v>88</v>
      </c>
      <c r="X1103" s="1015">
        <f>PV_DATA[[#This Row],[QUANTITY]]/PV_DATA[[#This Row],[Qty/CT]]</f>
        <v>4</v>
      </c>
      <c r="Y1103" s="430" t="s">
        <v>4381</v>
      </c>
      <c r="Z1103" s="430" t="str">
        <f t="shared" si="21"/>
        <v>IN-TRANSIT</v>
      </c>
      <c r="AA1103" s="545">
        <v>46291</v>
      </c>
      <c r="AB1103" s="437">
        <v>46291</v>
      </c>
      <c r="AC1103" s="485">
        <f>IF(PV_DATA[[#This Row],[Pick-Up Date]]&lt;&gt;"",_xlfn.ISOWEEKNUM(PV_DATA[[#This Row],[Pick-Up Date]]),"")</f>
        <v>39</v>
      </c>
      <c r="AD1103" s="430" t="s">
        <v>7001</v>
      </c>
      <c r="AF1103" s="430" t="s">
        <v>122</v>
      </c>
      <c r="AG1103" s="430" t="s">
        <v>122</v>
      </c>
      <c r="AH1103" s="430" t="s">
        <v>1561</v>
      </c>
      <c r="AI1103" s="437">
        <v>46297</v>
      </c>
      <c r="AJ1103" s="437">
        <v>46306</v>
      </c>
      <c r="AK1103" s="437">
        <f>IFERROR(IF(VLOOKUP(AT1103,Vessel!A:F,5,FALSE)=0,"",VLOOKUP(AT1103,Vessel!A:F,5,FALSE)),"")</f>
        <v>46306.437141203707</v>
      </c>
      <c r="AL1103" s="437">
        <v>46341</v>
      </c>
      <c r="AM1103" s="1198">
        <f>IFERROR(VLOOKUP(AT1103, Vessel!A:H, 8, FALSE), "")</f>
        <v>46355.75</v>
      </c>
      <c r="AN1103" s="437" t="str">
        <f>IFERROR(IF(VLOOKUP(AT1103,Vessel!A:I,9,FALSE)=0,"",VLOOKUP(AT1103,Vessel!A:I,9,FALSE)),"")</f>
        <v/>
      </c>
      <c r="AP1103" s="430" t="s">
        <v>6997</v>
      </c>
      <c r="AQ1103" s="438" t="s">
        <v>80</v>
      </c>
      <c r="AR1103" s="430" t="s">
        <v>7002</v>
      </c>
      <c r="AS1103" s="430" t="s">
        <v>7003</v>
      </c>
      <c r="AT1103" s="430" t="s">
        <v>7003</v>
      </c>
      <c r="AU110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49.312858796292858</v>
      </c>
      <c r="AW1103" s="437" cm="1">
        <f t="array" ref="AW110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46355.75</v>
      </c>
      <c r="AX110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03" s="437" t="str">
        <f>IF(ISERROR(PV_DATA[[#This Row],[New Ark PO status]]),"",_xlfn.XLOOKUP(PV_DATA[[#This Row],[SPTN-PVHK New Ark PO'#]],New_Ark_Data[Purchase order Number],New_Ark_Data[Estimated time of arrival],"",0))</f>
        <v/>
      </c>
      <c r="AZ1103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103" s="437">
        <f>IFERROR(PV_DATA[[#This Row],[ODP ETA Port]]+PV_DATA[[#This Row],[Customs/Leg3 Assumption]],"n/a")</f>
        <v>46365.75</v>
      </c>
      <c r="BB1103" s="433" t="s">
        <v>6545</v>
      </c>
      <c r="BC1103" s="433" t="s">
        <v>6545</v>
      </c>
      <c r="BD1103" s="430">
        <f>IFERROR(_xlfn.ISOWEEKNUM(PV_DATA[[#This Row],[ETA for New Ark update]]),0)</f>
        <v>50</v>
      </c>
      <c r="BE1103" s="430">
        <f>_xlfn.XLOOKUP(PV_DATA[[#This Row],[New Ark SKU]],Table9[New Ark SKU],Table9[Total PCS per Pallet],,0)</f>
        <v>36</v>
      </c>
      <c r="BF1103" s="430">
        <f>_xlfn.XLOOKUP(PV_DATA[[#This Row],[New Ark SKU]],Table9[New Ark SKU],Table9[Total PCS per 40HQ Container],,0)</f>
        <v>792</v>
      </c>
      <c r="BG1103" s="430" t="str">
        <f>_xlfn.XLOOKUP(PV_DATA[[#This Row],[New Ark SKU]],Table9[New Ark SKU],Table9[Back Glass],,0)</f>
        <v>Black glazing</v>
      </c>
      <c r="BH1103" s="610" t="str">
        <f>_xlfn.XLOOKUP(PV_DATA[[#This Row],[PORT DESTINATION]],Table12[PORT DESTINATION],Table12[Cosco Line],,0)</f>
        <v>AEM</v>
      </c>
    </row>
    <row r="1104" spans="1:60" s="430" customFormat="1" ht="13.5" hidden="1" customHeight="1">
      <c r="A1104" s="729" t="s">
        <v>7004</v>
      </c>
      <c r="B1104" s="462" t="s">
        <v>111</v>
      </c>
      <c r="C1104" s="462" t="str">
        <f>IFERROR(LEFT(PV_DATA[[#This Row],[TCL REFERENCE]],FIND(".",PV_DATA[[#This Row],[TCL REFERENCE]],1)-1),"Main Line")</f>
        <v>26Aug015</v>
      </c>
      <c r="D1104" s="462" t="s">
        <v>63</v>
      </c>
      <c r="E1104" s="462" t="s">
        <v>64</v>
      </c>
      <c r="F1104" s="462" t="str" cm="1">
        <f t="array" ref="F110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04" s="462" t="s">
        <v>402</v>
      </c>
      <c r="H1104" s="462" t="s">
        <v>67</v>
      </c>
      <c r="I1104" s="462" t="s">
        <v>689</v>
      </c>
      <c r="J1104" s="430" t="s">
        <v>96</v>
      </c>
      <c r="M1104" s="430" t="s">
        <v>68</v>
      </c>
      <c r="N1104" s="432">
        <v>46285</v>
      </c>
      <c r="O1104" s="430" t="s">
        <v>550</v>
      </c>
      <c r="P1104" s="430" t="s">
        <v>551</v>
      </c>
      <c r="Q1104" s="430" t="s">
        <v>2151</v>
      </c>
      <c r="R1104" s="430" t="str">
        <f>_xlfn.XLOOKUP(PV_DATA[[#This Row],[New Ark SKU]],Table9[New Ark SKU],Table9[Connector],,0)</f>
        <v>EVO2A</v>
      </c>
      <c r="S1104" s="433" t="str">
        <f>_xlfn.XLOOKUP(PV_DATA[[#This Row],[New Ark SKU]],Table9[New Ark SKU],Table9[Cable],,0)</f>
        <v>±1350mm</v>
      </c>
      <c r="T1104" s="433">
        <v>510</v>
      </c>
      <c r="U1104" s="1062">
        <v>3168</v>
      </c>
      <c r="V1104" s="434">
        <f>PV_DATA[[#This Row],[QUANTITY]]*PV_DATA[[#This Row],[WATT]]/1000000</f>
        <v>1.61568</v>
      </c>
      <c r="W1104" s="435">
        <f>PV_DATA[[#This Row],[QUANTITY]]/PV_DATA[[#This Row],[Qty/Pallet]]</f>
        <v>88</v>
      </c>
      <c r="X1104" s="1015">
        <f>PV_DATA[[#This Row],[QUANTITY]]/PV_DATA[[#This Row],[Qty/CT]]</f>
        <v>4</v>
      </c>
      <c r="Y1104" s="430" t="s">
        <v>4382</v>
      </c>
      <c r="Z1104" s="430" t="str">
        <f t="shared" si="21"/>
        <v>IN-TRANSIT</v>
      </c>
      <c r="AA1104" s="545">
        <v>46291</v>
      </c>
      <c r="AB1104" s="437">
        <v>46293</v>
      </c>
      <c r="AC1104" s="485">
        <f>IF(PV_DATA[[#This Row],[Pick-Up Date]]&lt;&gt;"",_xlfn.ISOWEEKNUM(PV_DATA[[#This Row],[Pick-Up Date]]),"")</f>
        <v>40</v>
      </c>
      <c r="AD1104" s="430" t="s">
        <v>7005</v>
      </c>
      <c r="AF1104" s="430" t="s">
        <v>122</v>
      </c>
      <c r="AG1104" s="430" t="s">
        <v>122</v>
      </c>
      <c r="AH1104" s="430" t="s">
        <v>78</v>
      </c>
      <c r="AI1104" s="437">
        <v>46297</v>
      </c>
      <c r="AJ1104" s="437">
        <v>46306</v>
      </c>
      <c r="AK1104" s="437">
        <f>IFERROR(IF(VLOOKUP(AT1104,Vessel!A:F,5,FALSE)=0,"",VLOOKUP(AT1104,Vessel!A:F,5,FALSE)),"")</f>
        <v>46306.437141203707</v>
      </c>
      <c r="AL1104" s="437">
        <v>46349</v>
      </c>
      <c r="AM1104" s="1198">
        <f>IFERROR(VLOOKUP(AT1104, Vessel!A:H, 8, FALSE), "")</f>
        <v>46359.791666666664</v>
      </c>
      <c r="AN1104" s="437" t="str">
        <f>IFERROR(IF(VLOOKUP(AT1104,Vessel!A:I,9,FALSE)=0,"",VLOOKUP(AT1104,Vessel!A:I,9,FALSE)),"")</f>
        <v/>
      </c>
      <c r="AP1104" s="430" t="s">
        <v>6997</v>
      </c>
      <c r="AQ1104" s="438" t="s">
        <v>80</v>
      </c>
      <c r="AR1104" s="430" t="s">
        <v>7006</v>
      </c>
      <c r="AS1104" s="430" t="s">
        <v>7007</v>
      </c>
      <c r="AT1104" s="430" t="s">
        <v>7007</v>
      </c>
      <c r="AU110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53.354525462957099</v>
      </c>
      <c r="AW1104" s="437" cm="1">
        <f t="array" ref="AW110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46359.791666666664</v>
      </c>
      <c r="AX110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04" s="437" t="str">
        <f>IF(ISERROR(PV_DATA[[#This Row],[New Ark PO status]]),"",_xlfn.XLOOKUP(PV_DATA[[#This Row],[SPTN-PVHK New Ark PO'#]],New_Ark_Data[Purchase order Number],New_Ark_Data[Estimated time of arrival],"",0))</f>
        <v/>
      </c>
      <c r="AZ1104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04" s="437">
        <f>IFERROR(PV_DATA[[#This Row],[ODP ETA Port]]+PV_DATA[[#This Row],[Customs/Leg3 Assumption]],"n/a")</f>
        <v>46367.791666666664</v>
      </c>
      <c r="BB1104" s="433" t="s">
        <v>6545</v>
      </c>
      <c r="BC1104" s="433" t="s">
        <v>6545</v>
      </c>
      <c r="BD1104" s="430">
        <f>IFERROR(_xlfn.ISOWEEKNUM(PV_DATA[[#This Row],[ETA for New Ark update]]),0)</f>
        <v>50</v>
      </c>
      <c r="BE1104" s="430">
        <f>_xlfn.XLOOKUP(PV_DATA[[#This Row],[New Ark SKU]],Table9[New Ark SKU],Table9[Total PCS per Pallet],,0)</f>
        <v>36</v>
      </c>
      <c r="BF1104" s="430">
        <f>_xlfn.XLOOKUP(PV_DATA[[#This Row],[New Ark SKU]],Table9[New Ark SKU],Table9[Total PCS per 40HQ Container],,0)</f>
        <v>792</v>
      </c>
      <c r="BG1104" s="430" t="str">
        <f>_xlfn.XLOOKUP(PV_DATA[[#This Row],[New Ark SKU]],Table9[New Ark SKU],Table9[Back Glass],,0)</f>
        <v>Black glazing</v>
      </c>
      <c r="BH1104" s="610" t="str">
        <f>_xlfn.XLOOKUP(PV_DATA[[#This Row],[PORT DESTINATION]],Table12[PORT DESTINATION],Table12[Cosco Line],,0)</f>
        <v>AEM</v>
      </c>
    </row>
    <row r="1105" spans="1:60" s="430" customFormat="1" ht="13.5" hidden="1" customHeight="1">
      <c r="A1105" s="729" t="s">
        <v>7008</v>
      </c>
      <c r="B1105" s="462" t="s">
        <v>111</v>
      </c>
      <c r="C1105" s="462" t="str">
        <f>IFERROR(LEFT(PV_DATA[[#This Row],[TCL REFERENCE]],FIND(".",PV_DATA[[#This Row],[TCL REFERENCE]],1)-1),"Main Line")</f>
        <v>26Aug016</v>
      </c>
      <c r="D1105" s="462" t="s">
        <v>63</v>
      </c>
      <c r="E1105" s="462" t="s">
        <v>64</v>
      </c>
      <c r="F1105" s="462" t="str" cm="1">
        <f t="array" ref="F110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105" s="462" t="s">
        <v>402</v>
      </c>
      <c r="H1105" s="462" t="s">
        <v>115</v>
      </c>
      <c r="I1105" s="462" t="s">
        <v>689</v>
      </c>
      <c r="J1105" s="430" t="s">
        <v>96</v>
      </c>
      <c r="M1105" s="430" t="s">
        <v>68</v>
      </c>
      <c r="N1105" s="432">
        <v>46282</v>
      </c>
      <c r="O1105" s="430" t="s">
        <v>550</v>
      </c>
      <c r="P1105" s="430" t="s">
        <v>2134</v>
      </c>
      <c r="Q1105" s="430" t="s">
        <v>2135</v>
      </c>
      <c r="R1105" s="430" t="str">
        <f>_xlfn.XLOOKUP(PV_DATA[[#This Row],[New Ark SKU]],Table9[New Ark SKU],Table9[Connector],,0)</f>
        <v>EVO2A</v>
      </c>
      <c r="S1105" s="433" t="str">
        <f>_xlfn.XLOOKUP(PV_DATA[[#This Row],[New Ark SKU]],Table9[New Ark SKU],Table9[Cable],,0)</f>
        <v>±1350mm</v>
      </c>
      <c r="T1105" s="433">
        <v>515</v>
      </c>
      <c r="U1105" s="1062">
        <v>792</v>
      </c>
      <c r="V1105" s="434">
        <f>PV_DATA[[#This Row],[QUANTITY]]*PV_DATA[[#This Row],[WATT]]/1000000</f>
        <v>0.40788000000000002</v>
      </c>
      <c r="W1105" s="435">
        <f>PV_DATA[[#This Row],[QUANTITY]]/PV_DATA[[#This Row],[Qty/Pallet]]</f>
        <v>22</v>
      </c>
      <c r="X1105" s="1015">
        <f>PV_DATA[[#This Row],[QUANTITY]]/PV_DATA[[#This Row],[Qty/CT]]</f>
        <v>1</v>
      </c>
      <c r="Y1105" s="430" t="s">
        <v>4382</v>
      </c>
      <c r="Z1105" s="430" t="str">
        <f t="shared" si="21"/>
        <v>IN-TRANSIT</v>
      </c>
      <c r="AA1105" s="545">
        <v>46291</v>
      </c>
      <c r="AB1105" s="437">
        <v>46290</v>
      </c>
      <c r="AC1105" s="485">
        <f>IF(PV_DATA[[#This Row],[Pick-Up Date]]&lt;&gt;"",_xlfn.ISOWEEKNUM(PV_DATA[[#This Row],[Pick-Up Date]]),"")</f>
        <v>39</v>
      </c>
      <c r="AD1105" s="430" t="s">
        <v>7009</v>
      </c>
      <c r="AF1105" s="430" t="s">
        <v>122</v>
      </c>
      <c r="AG1105" s="430" t="s">
        <v>122</v>
      </c>
      <c r="AH1105" s="430" t="s">
        <v>124</v>
      </c>
      <c r="AI1105" s="437">
        <v>46297</v>
      </c>
      <c r="AJ1105" s="437">
        <f>IFERROR(VLOOKUP(AT1105, Vessel!A:D, 4, FALSE), "")</f>
        <v>46299.208333333336</v>
      </c>
      <c r="AK1105" s="437">
        <v>46299</v>
      </c>
      <c r="AL1105" s="437">
        <v>46331</v>
      </c>
      <c r="AM1105" s="437">
        <f>IFERROR(VLOOKUP(AT1105, Vessel!A:H, 8, FALSE), "")</f>
        <v>46340.583333333336</v>
      </c>
      <c r="AN1105" s="437" t="str">
        <f>IFERROR(IF(VLOOKUP(AT1105,Vessel!A:I,9,FALSE)=0,"",VLOOKUP(AT1105,Vessel!A:I,9,FALSE)),"")</f>
        <v/>
      </c>
      <c r="AP1105" s="430" t="s">
        <v>7010</v>
      </c>
      <c r="AQ1105" s="438" t="s">
        <v>80</v>
      </c>
      <c r="AR1105" s="430" t="s">
        <v>7011</v>
      </c>
      <c r="AS1105" s="430" t="s">
        <v>7012</v>
      </c>
      <c r="AT1105" s="430" t="s">
        <v>7012</v>
      </c>
      <c r="AU110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41.583333333335759</v>
      </c>
      <c r="AW1105" s="437" cm="1">
        <f t="array" ref="AW110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46340.583333333336</v>
      </c>
      <c r="AX110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05" s="437" t="str">
        <f>IF(ISERROR(PV_DATA[[#This Row],[New Ark PO status]]),"",_xlfn.XLOOKUP(PV_DATA[[#This Row],[SPTN-PVHK New Ark PO'#]],New_Ark_Data[Purchase order Number],New_Ark_Data[Estimated time of arrival],"",0))</f>
        <v/>
      </c>
      <c r="AZ1105" s="433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105" s="437">
        <f>IFERROR(PV_DATA[[#This Row],[ODP ETA Port]]+PV_DATA[[#This Row],[Customs/Leg3 Assumption]],"n/a")</f>
        <v>46349.583333333336</v>
      </c>
      <c r="BB1105" s="433" t="s">
        <v>6545</v>
      </c>
      <c r="BC1105" s="433" t="s">
        <v>6545</v>
      </c>
      <c r="BD1105" s="430">
        <f>IFERROR(_xlfn.ISOWEEKNUM(PV_DATA[[#This Row],[ETA for New Ark update]]),0)</f>
        <v>48</v>
      </c>
      <c r="BE1105" s="430">
        <f>_xlfn.XLOOKUP(PV_DATA[[#This Row],[New Ark SKU]],Table9[New Ark SKU],Table9[Total PCS per Pallet],,0)</f>
        <v>36</v>
      </c>
      <c r="BF1105" s="430">
        <f>_xlfn.XLOOKUP(PV_DATA[[#This Row],[New Ark SKU]],Table9[New Ark SKU],Table9[Total PCS per 40HQ Container],,0)</f>
        <v>792</v>
      </c>
      <c r="BG1105" s="430" t="str">
        <f>_xlfn.XLOOKUP(PV_DATA[[#This Row],[New Ark SKU]],Table9[New Ark SKU],Table9[Back Glass],,0)</f>
        <v>Black glazing</v>
      </c>
      <c r="BH1105" s="610" t="str">
        <f>_xlfn.XLOOKUP(PV_DATA[[#This Row],[PORT DESTINATION]],Table12[PORT DESTINATION],Table12[Cosco Line],,0)</f>
        <v>AEM</v>
      </c>
    </row>
    <row r="1106" spans="1:60" s="430" customFormat="1" ht="13.5" hidden="1" customHeight="1">
      <c r="A1106" s="729" t="s">
        <v>7013</v>
      </c>
      <c r="B1106" s="462" t="s">
        <v>111</v>
      </c>
      <c r="C1106" s="462" t="str">
        <f>IFERROR(LEFT(PV_DATA[[#This Row],[TCL REFERENCE]],FIND(".",PV_DATA[[#This Row],[TCL REFERENCE]],1)-1),"Main Line")</f>
        <v>26Aug015</v>
      </c>
      <c r="D1106" s="462" t="s">
        <v>63</v>
      </c>
      <c r="E1106" s="462" t="s">
        <v>64</v>
      </c>
      <c r="F1106" s="462" t="str" cm="1">
        <f t="array" ref="F110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06" s="462" t="s">
        <v>402</v>
      </c>
      <c r="H1106" s="462" t="s">
        <v>67</v>
      </c>
      <c r="I1106" s="462" t="s">
        <v>689</v>
      </c>
      <c r="J1106" s="430" t="s">
        <v>96</v>
      </c>
      <c r="M1106" s="430" t="s">
        <v>68</v>
      </c>
      <c r="N1106" s="432">
        <v>46285</v>
      </c>
      <c r="O1106" s="430" t="s">
        <v>550</v>
      </c>
      <c r="P1106" s="430" t="s">
        <v>551</v>
      </c>
      <c r="Q1106" s="430" t="s">
        <v>2151</v>
      </c>
      <c r="R1106" s="430" t="str">
        <f>_xlfn.XLOOKUP(PV_DATA[[#This Row],[New Ark SKU]],Table9[New Ark SKU],Table9[Connector],,0)</f>
        <v>EVO2A</v>
      </c>
      <c r="S1106" s="433" t="str">
        <f>_xlfn.XLOOKUP(PV_DATA[[#This Row],[New Ark SKU]],Table9[New Ark SKU],Table9[Cable],,0)</f>
        <v>±1350mm</v>
      </c>
      <c r="T1106" s="433">
        <v>510</v>
      </c>
      <c r="U1106" s="1062">
        <v>2376</v>
      </c>
      <c r="V1106" s="434">
        <f>PV_DATA[[#This Row],[QUANTITY]]*PV_DATA[[#This Row],[WATT]]/1000000</f>
        <v>1.2117599999999999</v>
      </c>
      <c r="W1106" s="435">
        <f>PV_DATA[[#This Row],[QUANTITY]]/PV_DATA[[#This Row],[Qty/Pallet]]</f>
        <v>66</v>
      </c>
      <c r="X1106" s="1015">
        <f>PV_DATA[[#This Row],[QUANTITY]]/PV_DATA[[#This Row],[Qty/CT]]</f>
        <v>3</v>
      </c>
      <c r="Y1106" s="430" t="s">
        <v>4382</v>
      </c>
      <c r="Z1106" s="430" t="str">
        <f t="shared" si="21"/>
        <v>IN-TRANSIT</v>
      </c>
      <c r="AA1106" s="545">
        <v>46291</v>
      </c>
      <c r="AB1106" s="437">
        <v>46290</v>
      </c>
      <c r="AC1106" s="485">
        <f>IF(PV_DATA[[#This Row],[Pick-Up Date]]&lt;&gt;"",_xlfn.ISOWEEKNUM(PV_DATA[[#This Row],[Pick-Up Date]]),"")</f>
        <v>39</v>
      </c>
      <c r="AD1106" s="430" t="s">
        <v>7014</v>
      </c>
      <c r="AF1106" s="430" t="s">
        <v>122</v>
      </c>
      <c r="AG1106" s="430" t="s">
        <v>122</v>
      </c>
      <c r="AH1106" s="430" t="s">
        <v>78</v>
      </c>
      <c r="AI1106" s="437">
        <v>46297</v>
      </c>
      <c r="AJ1106" s="437">
        <f>IFERROR(VLOOKUP(AT1106, Vessel!A:D, 4, FALSE), "")</f>
        <v>46299.208333333336</v>
      </c>
      <c r="AK1106" s="437">
        <v>46299</v>
      </c>
      <c r="AL1106" s="437">
        <v>46337</v>
      </c>
      <c r="AM1106" s="437">
        <f>IFERROR(VLOOKUP(AT1106, Vessel!A:H, 8, FALSE), "")</f>
        <v>46346.25</v>
      </c>
      <c r="AN1106" s="437" t="str">
        <f>IFERROR(IF(VLOOKUP(AT1106,Vessel!A:I,9,FALSE)=0,"",VLOOKUP(AT1106,Vessel!A:I,9,FALSE)),"")</f>
        <v/>
      </c>
      <c r="AP1106" s="430" t="s">
        <v>7015</v>
      </c>
      <c r="AQ1106" s="438" t="s">
        <v>80</v>
      </c>
      <c r="AR1106" s="430" t="s">
        <v>7016</v>
      </c>
      <c r="AS1106" s="430" t="s">
        <v>7017</v>
      </c>
      <c r="AT1106" s="430" t="s">
        <v>7017</v>
      </c>
      <c r="AU110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47.25</v>
      </c>
      <c r="AW1106" s="437" cm="1">
        <f t="array" ref="AW110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46346.25</v>
      </c>
      <c r="AX110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06" s="437" t="str">
        <f>IF(ISERROR(PV_DATA[[#This Row],[New Ark PO status]]),"",_xlfn.XLOOKUP(PV_DATA[[#This Row],[SPTN-PVHK New Ark PO'#]],New_Ark_Data[Purchase order Number],New_Ark_Data[Estimated time of arrival],"",0))</f>
        <v/>
      </c>
      <c r="AZ1106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06" s="437">
        <f>IFERROR(PV_DATA[[#This Row],[ODP ETA Port]]+PV_DATA[[#This Row],[Customs/Leg3 Assumption]],"n/a")</f>
        <v>46354.25</v>
      </c>
      <c r="BB1106" s="433" t="s">
        <v>6545</v>
      </c>
      <c r="BC1106" s="433" t="s">
        <v>6545</v>
      </c>
      <c r="BD1106" s="430">
        <f>IFERROR(_xlfn.ISOWEEKNUM(PV_DATA[[#This Row],[ETA for New Ark update]]),0)</f>
        <v>48</v>
      </c>
      <c r="BE1106" s="430">
        <f>_xlfn.XLOOKUP(PV_DATA[[#This Row],[New Ark SKU]],Table9[New Ark SKU],Table9[Total PCS per Pallet],,0)</f>
        <v>36</v>
      </c>
      <c r="BF1106" s="430">
        <f>_xlfn.XLOOKUP(PV_DATA[[#This Row],[New Ark SKU]],Table9[New Ark SKU],Table9[Total PCS per 40HQ Container],,0)</f>
        <v>792</v>
      </c>
      <c r="BG1106" s="430" t="str">
        <f>_xlfn.XLOOKUP(PV_DATA[[#This Row],[New Ark SKU]],Table9[New Ark SKU],Table9[Back Glass],,0)</f>
        <v>Black glazing</v>
      </c>
      <c r="BH1106" s="610" t="str">
        <f>_xlfn.XLOOKUP(PV_DATA[[#This Row],[PORT DESTINATION]],Table12[PORT DESTINATION],Table12[Cosco Line],,0)</f>
        <v>AEM</v>
      </c>
    </row>
    <row r="1107" spans="1:60" s="430" customFormat="1" ht="10.5" hidden="1">
      <c r="A1107" s="729" t="s">
        <v>7018</v>
      </c>
      <c r="B1107" s="462" t="s">
        <v>61</v>
      </c>
      <c r="C1107" s="462" t="str">
        <f>IFERROR(LEFT(PV_DATA[[#This Row],[TCL REFERENCE]],FIND(".",PV_DATA[[#This Row],[TCL REFERENCE]],1)-1),"Main Line")</f>
        <v>26Aug003</v>
      </c>
      <c r="D1107" s="462" t="s">
        <v>63</v>
      </c>
      <c r="E1107" s="462" t="s">
        <v>64</v>
      </c>
      <c r="F1107" s="462" t="str" cm="1">
        <f t="array" ref="F110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07" s="462" t="s">
        <v>402</v>
      </c>
      <c r="H1107" s="462" t="s">
        <v>67</v>
      </c>
      <c r="I1107" s="462" t="s">
        <v>6424</v>
      </c>
      <c r="J1107" s="462" t="s">
        <v>7019</v>
      </c>
      <c r="K1107" s="462"/>
      <c r="M1107" s="430" t="s">
        <v>6545</v>
      </c>
      <c r="N1107" s="432">
        <v>46237</v>
      </c>
      <c r="O1107" s="430" t="s">
        <v>4540</v>
      </c>
      <c r="P1107" s="430" t="s">
        <v>71</v>
      </c>
      <c r="Q1107" s="430" t="s">
        <v>72</v>
      </c>
      <c r="R1107" s="430" t="str">
        <f>_xlfn.XLOOKUP(PV_DATA[[#This Row],[New Ark SKU]],Table9[New Ark SKU],Table9[Connector],,0)</f>
        <v>EVO2A</v>
      </c>
      <c r="S1107" s="433" t="str">
        <f>_xlfn.XLOOKUP(PV_DATA[[#This Row],[New Ark SKU]],Table9[New Ark SKU],Table9[Cable],,0)</f>
        <v>±1200mm</v>
      </c>
      <c r="T1107" s="433">
        <v>500</v>
      </c>
      <c r="U1107" s="1062">
        <v>1728</v>
      </c>
      <c r="V1107" s="434">
        <f>PV_DATA[[#This Row],[QUANTITY]]*PV_DATA[[#This Row],[WATT]]/1000000</f>
        <v>0.86399999999999999</v>
      </c>
      <c r="W1107" s="435">
        <f>PV_DATA[[#This Row],[QUANTITY]]/PV_DATA[[#This Row],[Qty/Pallet]]</f>
        <v>48</v>
      </c>
      <c r="X1107" s="1015">
        <f>PV_DATA[[#This Row],[QUANTITY]]/PV_DATA[[#This Row],[Qty/CT]]</f>
        <v>2</v>
      </c>
      <c r="Y1107" s="430" t="s">
        <v>4379</v>
      </c>
      <c r="Z1107" s="430" t="str">
        <f t="shared" si="21"/>
        <v>IN-TRANSIT</v>
      </c>
      <c r="AB1107" s="966">
        <v>46289</v>
      </c>
      <c r="AC1107" s="485">
        <f>IF(PV_DATA[[#This Row],[Pick-Up Date]]&lt;&gt;"",_xlfn.ISOWEEKNUM(PV_DATA[[#This Row],[Pick-Up Date]]),"")</f>
        <v>39</v>
      </c>
      <c r="AD1107" s="430" t="s">
        <v>7020</v>
      </c>
      <c r="AF1107" s="459" t="s">
        <v>61</v>
      </c>
      <c r="AG1107" s="459" t="s">
        <v>61</v>
      </c>
      <c r="AH1107" s="430" t="s">
        <v>78</v>
      </c>
      <c r="AI1107" s="713">
        <v>46295</v>
      </c>
      <c r="AJ1107" s="588">
        <f>IFERROR(VLOOKUP(AT1107, Vessel!A:D, 4, FALSE), "")</f>
        <v>46295.5</v>
      </c>
      <c r="AK1107" s="588">
        <f>IFERROR(IF(VLOOKUP(AT1107,Vessel!A:F,5,FALSE)=0,"",VLOOKUP(AT1107,Vessel!A:F,5,FALSE)),"")</f>
        <v>46295.536527777775</v>
      </c>
      <c r="AL1107" s="588">
        <v>46365</v>
      </c>
      <c r="AM1107" s="588">
        <f>IFERROR(VLOOKUP(AT1107, Vessel!A:H, 8, FALSE), "")</f>
        <v>46365.25</v>
      </c>
      <c r="AN1107" s="588" t="str">
        <f>IFERROR(IF(VLOOKUP(AT1107,Vessel!A:I,9,FALSE)=0,"",VLOOKUP(AT1107,Vessel!A:I,9,FALSE)),"")</f>
        <v/>
      </c>
      <c r="AO1107" s="462" t="s">
        <v>402</v>
      </c>
      <c r="AP1107" s="1203" t="s">
        <v>7021</v>
      </c>
      <c r="AQ1107" s="438" t="s">
        <v>80</v>
      </c>
      <c r="AR1107" s="430" t="s">
        <v>7022</v>
      </c>
      <c r="AS1107" s="430" t="s">
        <v>7023</v>
      </c>
      <c r="AT1107" s="430" t="s">
        <v>7023</v>
      </c>
      <c r="AU110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69.713472222225391</v>
      </c>
      <c r="AW1107" s="437" cm="1">
        <f t="array" ref="AW110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46365.25</v>
      </c>
      <c r="AX110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07" s="437" t="str">
        <f>IF(ISERROR(PV_DATA[[#This Row],[New Ark PO status]]),"",_xlfn.XLOOKUP(PV_DATA[[#This Row],[SPTN-PVHK New Ark PO'#]],New_Ark_Data[Purchase order Number],New_Ark_Data[Estimated time of arrival],"",0))</f>
        <v/>
      </c>
      <c r="AZ1107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07" s="437">
        <f>IFERROR(PV_DATA[[#This Row],[ODP ETA Port]]+PV_DATA[[#This Row],[Customs/Leg3 Assumption]],"n/a")</f>
        <v>46373.25</v>
      </c>
      <c r="BB1107" s="433">
        <f>YEAR(PV_DATA[[#This Row],[ETA for New Ark update]])</f>
        <v>2026</v>
      </c>
      <c r="BC1107" s="430">
        <f>MONTH(PV_DATA[[#This Row],[ETA for New Ark update]])</f>
        <v>12</v>
      </c>
      <c r="BD1107" s="430">
        <f>IFERROR(_xlfn.ISOWEEKNUM(PV_DATA[[#This Row],[ETA for New Ark update]]),0)</f>
        <v>51</v>
      </c>
      <c r="BE1107" s="430">
        <f>_xlfn.XLOOKUP(PV_DATA[[#This Row],[New Ark SKU]],Table9[New Ark SKU],Table9[Total PCS per Pallet],,0)</f>
        <v>36</v>
      </c>
      <c r="BF1107" s="430">
        <f>_xlfn.XLOOKUP(PV_DATA[[#This Row],[New Ark SKU]],Table9[New Ark SKU],Table9[Total PCS per 40HQ Container],,0)</f>
        <v>864</v>
      </c>
      <c r="BG1107" s="430" t="str">
        <f>_xlfn.XLOOKUP(PV_DATA[[#This Row],[New Ark SKU]],Table9[New Ark SKU],Table9[Back Glass],,0)</f>
        <v>Black glazing</v>
      </c>
      <c r="BH1107" s="610" t="str">
        <f>_xlfn.XLOOKUP(PV_DATA[[#This Row],[PORT DESTINATION]],Table12[PORT DESTINATION],Table12[Cosco Line],,0)</f>
        <v>AEM</v>
      </c>
    </row>
    <row r="1108" spans="1:60" s="430" customFormat="1" ht="13.5" hidden="1" customHeight="1">
      <c r="A1108" s="1435" t="s">
        <v>7024</v>
      </c>
      <c r="B1108" s="462" t="s">
        <v>61</v>
      </c>
      <c r="C1108" s="462" t="str">
        <f>IFERROR(LEFT(PV_DATA[[#This Row],[TCL REFERENCE]],FIND(".",PV_DATA[[#This Row],[TCL REFERENCE]],1)-1),"Main Line")</f>
        <v>26Aug022</v>
      </c>
      <c r="D1108" s="462" t="s">
        <v>63</v>
      </c>
      <c r="E1108" s="462" t="s">
        <v>64</v>
      </c>
      <c r="F1108" s="462" t="str" cm="1">
        <f t="array" ref="F110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08" s="462" t="s">
        <v>402</v>
      </c>
      <c r="H1108" s="462" t="s">
        <v>67</v>
      </c>
      <c r="I1108" s="462" t="s">
        <v>689</v>
      </c>
      <c r="J1108" s="430" t="s">
        <v>96</v>
      </c>
      <c r="M1108" s="430" t="s">
        <v>68</v>
      </c>
      <c r="N1108" s="432">
        <v>46272</v>
      </c>
      <c r="O1108" s="430" t="s">
        <v>4540</v>
      </c>
      <c r="P1108" s="430" t="s">
        <v>1151</v>
      </c>
      <c r="Q1108" s="430" t="s">
        <v>421</v>
      </c>
      <c r="R1108" s="430" t="str">
        <f>_xlfn.XLOOKUP(PV_DATA[[#This Row],[New Ark SKU]],Table9[New Ark SKU],Table9[Connector],,0)</f>
        <v>EVO2A</v>
      </c>
      <c r="S1108" s="433" t="str">
        <f>_xlfn.XLOOKUP(PV_DATA[[#This Row],[New Ark SKU]],Table9[New Ark SKU],Table9[Cable],,0)</f>
        <v>±1200mm</v>
      </c>
      <c r="T1108" s="433">
        <v>505</v>
      </c>
      <c r="U1108" s="1062">
        <f>864*5</f>
        <v>4320</v>
      </c>
      <c r="V1108" s="434">
        <f>PV_DATA[[#This Row],[QUANTITY]]*PV_DATA[[#This Row],[WATT]]/1000000</f>
        <v>2.1816</v>
      </c>
      <c r="W1108" s="435">
        <f>PV_DATA[[#This Row],[QUANTITY]]/PV_DATA[[#This Row],[Qty/Pallet]]</f>
        <v>120</v>
      </c>
      <c r="X1108" s="1015">
        <f>PV_DATA[[#This Row],[QUANTITY]]/PV_DATA[[#This Row],[Qty/CT]]</f>
        <v>5</v>
      </c>
      <c r="Y1108" s="430" t="s">
        <v>4381</v>
      </c>
      <c r="Z1108" s="430" t="str">
        <f>IF(AN1108&lt;&gt;"","COMPLETED",IF(AK1108&lt;&gt;"","IN-TRANSIT",""))</f>
        <v>IN-TRANSIT</v>
      </c>
      <c r="AB1108" s="437">
        <v>46308</v>
      </c>
      <c r="AC1108" s="485">
        <f>IF(PV_DATA[[#This Row],[Pick-Up Date]]&lt;&gt;"",_xlfn.ISOWEEKNUM(PV_DATA[[#This Row],[Pick-Up Date]]),"")</f>
        <v>42</v>
      </c>
      <c r="AD1108" s="430" t="s">
        <v>7025</v>
      </c>
      <c r="AF1108" s="459" t="s">
        <v>61</v>
      </c>
      <c r="AG1108" s="459" t="s">
        <v>61</v>
      </c>
      <c r="AH1108" s="430" t="s">
        <v>78</v>
      </c>
      <c r="AI1108" s="437">
        <v>46313</v>
      </c>
      <c r="AJ1108" s="437">
        <f>IFERROR(VLOOKUP(AT1108, Vessel!A:D, 4, FALSE), "")</f>
        <v>46313.854166666664</v>
      </c>
      <c r="AK1108" s="437">
        <f>IFERROR(IF(VLOOKUP(AT1108,Vessel!A:F,5,FALSE)=0,"",VLOOKUP(AT1108,Vessel!A:F,5,FALSE)),"")</f>
        <v>46313.785555555558</v>
      </c>
      <c r="AL1108" s="437">
        <v>46384</v>
      </c>
      <c r="AM1108" s="939">
        <f>IFERROR(VLOOKUP(AT1108, Vessel!A:H, 8, FALSE), "")</f>
        <v>46384.791666666664</v>
      </c>
      <c r="AN1108" s="939" t="str">
        <f>IFERROR(IF(VLOOKUP(AT1108,Vessel!A:I,9,FALSE)=0,"",VLOOKUP(AT1108,Vessel!A:I,9,FALSE)),"")</f>
        <v/>
      </c>
      <c r="AP1108" s="430" t="s">
        <v>7026</v>
      </c>
      <c r="AQ1108" s="940" t="s">
        <v>80</v>
      </c>
      <c r="AR1108" s="430" t="s">
        <v>7027</v>
      </c>
      <c r="AS1108" s="430" t="s">
        <v>7028</v>
      </c>
      <c r="AT1108" s="430" t="s">
        <v>7028</v>
      </c>
      <c r="AU110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71.006111111106293</v>
      </c>
      <c r="AW1108" s="437" cm="1">
        <f t="array" ref="AW110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46384.791666666664</v>
      </c>
      <c r="AX110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08" s="437" t="str">
        <f>IF(ISERROR(PV_DATA[[#This Row],[New Ark PO status]]),"",_xlfn.XLOOKUP(PV_DATA[[#This Row],[SPTN-PVHK New Ark PO'#]],New_Ark_Data[Purchase order Number],New_Ark_Data[Estimated time of arrival],"",0))</f>
        <v/>
      </c>
      <c r="AZ1108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08" s="437">
        <f>IFERROR(PV_DATA[[#This Row],[ODP ETA Port]]+PV_DATA[[#This Row],[Customs/Leg3 Assumption]],"n/a")</f>
        <v>46392.791666666664</v>
      </c>
      <c r="BB1108" s="433" t="s">
        <v>6545</v>
      </c>
      <c r="BC1108" s="433" t="s">
        <v>6545</v>
      </c>
      <c r="BD1108" s="430">
        <f>IFERROR(_xlfn.ISOWEEKNUM(PV_DATA[[#This Row],[ETA for New Ark update]]),0)</f>
        <v>1</v>
      </c>
      <c r="BE1108" s="430">
        <f>_xlfn.XLOOKUP(PV_DATA[[#This Row],[New Ark SKU]],Table9[New Ark SKU],Table9[Total PCS per Pallet],,0)</f>
        <v>36</v>
      </c>
      <c r="BF1108" s="430">
        <f>_xlfn.XLOOKUP(PV_DATA[[#This Row],[New Ark SKU]],Table9[New Ark SKU],Table9[Total PCS per 40HQ Container],,0)</f>
        <v>864</v>
      </c>
      <c r="BG1108" s="430" t="str">
        <f>_xlfn.XLOOKUP(PV_DATA[[#This Row],[New Ark SKU]],Table9[New Ark SKU],Table9[Back Glass],,0)</f>
        <v>Black glazing</v>
      </c>
      <c r="BH1108" s="610" t="str">
        <f>_xlfn.XLOOKUP(PV_DATA[[#This Row],[PORT DESTINATION]],Table12[PORT DESTINATION],Table12[Cosco Line],,0)</f>
        <v>AEM</v>
      </c>
    </row>
    <row r="1109" spans="1:60" s="430" customFormat="1" ht="13.5" hidden="1" customHeight="1">
      <c r="A1109" s="1435" t="s">
        <v>7029</v>
      </c>
      <c r="B1109" s="462" t="s">
        <v>61</v>
      </c>
      <c r="C1109" s="462" t="str">
        <f>IFERROR(LEFT(PV_DATA[[#This Row],[TCL REFERENCE]],FIND(".",PV_DATA[[#This Row],[TCL REFERENCE]],1)-1),"Main Line")</f>
        <v>26Aug022</v>
      </c>
      <c r="D1109" s="462" t="s">
        <v>63</v>
      </c>
      <c r="E1109" s="462" t="s">
        <v>64</v>
      </c>
      <c r="F1109" s="462" t="str" cm="1">
        <f t="array" ref="F110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09" s="462" t="s">
        <v>402</v>
      </c>
      <c r="H1109" s="462" t="s">
        <v>67</v>
      </c>
      <c r="I1109" s="462" t="s">
        <v>689</v>
      </c>
      <c r="J1109" s="430" t="s">
        <v>96</v>
      </c>
      <c r="M1109" s="430" t="s">
        <v>68</v>
      </c>
      <c r="N1109" s="432">
        <v>46272</v>
      </c>
      <c r="O1109" s="430" t="s">
        <v>4540</v>
      </c>
      <c r="P1109" s="430" t="s">
        <v>1151</v>
      </c>
      <c r="Q1109" s="430" t="s">
        <v>421</v>
      </c>
      <c r="R1109" s="430" t="str">
        <f>_xlfn.XLOOKUP(PV_DATA[[#This Row],[New Ark SKU]],Table9[New Ark SKU],Table9[Connector],,0)</f>
        <v>EVO2A</v>
      </c>
      <c r="S1109" s="433" t="str">
        <f>_xlfn.XLOOKUP(PV_DATA[[#This Row],[New Ark SKU]],Table9[New Ark SKU],Table9[Cable],,0)</f>
        <v>±1200mm</v>
      </c>
      <c r="T1109" s="433">
        <v>505</v>
      </c>
      <c r="U1109" s="1062">
        <f>864*1</f>
        <v>864</v>
      </c>
      <c r="V1109" s="434">
        <f>PV_DATA[[#This Row],[QUANTITY]]*PV_DATA[[#This Row],[WATT]]/1000000</f>
        <v>0.43631999999999999</v>
      </c>
      <c r="W1109" s="435">
        <f>PV_DATA[[#This Row],[QUANTITY]]/PV_DATA[[#This Row],[Qty/Pallet]]</f>
        <v>24</v>
      </c>
      <c r="X1109" s="1015">
        <f>PV_DATA[[#This Row],[QUANTITY]]/PV_DATA[[#This Row],[Qty/CT]]</f>
        <v>1</v>
      </c>
      <c r="Y1109" s="430" t="s">
        <v>4381</v>
      </c>
      <c r="Z1109" s="430" t="str">
        <f>IF(AN1109&lt;&gt;"","COMPLETED",IF(AK1109&lt;&gt;"","IN-TRANSIT",""))</f>
        <v>IN-TRANSIT</v>
      </c>
      <c r="AB1109" s="437">
        <v>46308</v>
      </c>
      <c r="AC1109" s="485">
        <f>IF(PV_DATA[[#This Row],[Pick-Up Date]]&lt;&gt;"",_xlfn.ISOWEEKNUM(PV_DATA[[#This Row],[Pick-Up Date]]),"")</f>
        <v>42</v>
      </c>
      <c r="AD1109" s="430" t="s">
        <v>7030</v>
      </c>
      <c r="AF1109" s="459" t="s">
        <v>61</v>
      </c>
      <c r="AG1109" s="459" t="s">
        <v>61</v>
      </c>
      <c r="AH1109" s="430" t="s">
        <v>78</v>
      </c>
      <c r="AI1109" s="437">
        <v>46313</v>
      </c>
      <c r="AJ1109" s="437">
        <f>IFERROR(VLOOKUP(AT1109, Vessel!A:D, 4, FALSE), "")</f>
        <v>46313.854166666664</v>
      </c>
      <c r="AK1109" s="437">
        <f>IFERROR(IF(VLOOKUP(AT1109,Vessel!A:F,5,FALSE)=0,"",VLOOKUP(AT1109,Vessel!A:F,5,FALSE)),"")</f>
        <v>46313.785555555558</v>
      </c>
      <c r="AL1109" s="437">
        <v>46384</v>
      </c>
      <c r="AM1109" s="939">
        <f>IFERROR(VLOOKUP(AT1109, Vessel!A:H, 8, FALSE), "")</f>
        <v>46372.25</v>
      </c>
      <c r="AN1109" s="939" t="str">
        <f>IFERROR(IF(VLOOKUP(AT1109,Vessel!A:I,9,FALSE)=0,"",VLOOKUP(AT1109,Vessel!A:I,9,FALSE)),"")</f>
        <v/>
      </c>
      <c r="AP1109" s="430" t="s">
        <v>7026</v>
      </c>
      <c r="AQ1109" s="940" t="s">
        <v>80</v>
      </c>
      <c r="AR1109" s="430" t="s">
        <v>7031</v>
      </c>
      <c r="AS1109" s="430" t="s">
        <v>7032</v>
      </c>
      <c r="AT1109" s="430" t="s">
        <v>7032</v>
      </c>
      <c r="AU110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58.464444444442051</v>
      </c>
      <c r="AW1109" s="437" cm="1">
        <f t="array" ref="AW110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46372.25</v>
      </c>
      <c r="AX110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09" s="437" t="str">
        <f>IF(ISERROR(PV_DATA[[#This Row],[New Ark PO status]]),"",_xlfn.XLOOKUP(PV_DATA[[#This Row],[SPTN-PVHK New Ark PO'#]],New_Ark_Data[Purchase order Number],New_Ark_Data[Estimated time of arrival],"",0))</f>
        <v/>
      </c>
      <c r="AZ1109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09" s="437">
        <f>IFERROR(PV_DATA[[#This Row],[ODP ETA Port]]+PV_DATA[[#This Row],[Customs/Leg3 Assumption]],"n/a")</f>
        <v>46380.25</v>
      </c>
      <c r="BB1109" s="433" t="s">
        <v>6545</v>
      </c>
      <c r="BC1109" s="433" t="s">
        <v>6545</v>
      </c>
      <c r="BD1109" s="430">
        <f>IFERROR(_xlfn.ISOWEEKNUM(PV_DATA[[#This Row],[ETA for New Ark update]]),0)</f>
        <v>52</v>
      </c>
      <c r="BE1109" s="430">
        <f>_xlfn.XLOOKUP(PV_DATA[[#This Row],[New Ark SKU]],Table9[New Ark SKU],Table9[Total PCS per Pallet],,0)</f>
        <v>36</v>
      </c>
      <c r="BF1109" s="430">
        <f>_xlfn.XLOOKUP(PV_DATA[[#This Row],[New Ark SKU]],Table9[New Ark SKU],Table9[Total PCS per 40HQ Container],,0)</f>
        <v>864</v>
      </c>
      <c r="BG1109" s="430" t="str">
        <f>_xlfn.XLOOKUP(PV_DATA[[#This Row],[New Ark SKU]],Table9[New Ark SKU],Table9[Back Glass],,0)</f>
        <v>Black glazing</v>
      </c>
      <c r="BH1109" s="610" t="str">
        <f>_xlfn.XLOOKUP(PV_DATA[[#This Row],[PORT DESTINATION]],Table12[PORT DESTINATION],Table12[Cosco Line],,0)</f>
        <v>AEM</v>
      </c>
    </row>
    <row r="1110" spans="1:60" s="430" customFormat="1" ht="10.5" hidden="1">
      <c r="A1110" s="1435" t="s">
        <v>7033</v>
      </c>
      <c r="B1110" s="462" t="s">
        <v>61</v>
      </c>
      <c r="C1110" s="462" t="str">
        <f>IFERROR(LEFT(PV_DATA[[#This Row],[TCL REFERENCE]],FIND(".",PV_DATA[[#This Row],[TCL REFERENCE]],1)-1),"Main Line")</f>
        <v>26Aug003</v>
      </c>
      <c r="D1110" s="462" t="s">
        <v>63</v>
      </c>
      <c r="E1110" s="462" t="s">
        <v>64</v>
      </c>
      <c r="F1110" s="462" t="str" cm="1">
        <f t="array" ref="F111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10" s="462" t="s">
        <v>402</v>
      </c>
      <c r="H1110" s="462" t="s">
        <v>67</v>
      </c>
      <c r="I1110" s="462" t="s">
        <v>689</v>
      </c>
      <c r="J1110" s="462" t="s">
        <v>7019</v>
      </c>
      <c r="K1110" s="462"/>
      <c r="M1110" s="430" t="s">
        <v>6545</v>
      </c>
      <c r="N1110" s="432">
        <v>46237</v>
      </c>
      <c r="O1110" s="430" t="s">
        <v>4540</v>
      </c>
      <c r="P1110" s="430" t="s">
        <v>71</v>
      </c>
      <c r="Q1110" s="430" t="s">
        <v>72</v>
      </c>
      <c r="R1110" s="430" t="str">
        <f>_xlfn.XLOOKUP(PV_DATA[[#This Row],[New Ark SKU]],Table9[New Ark SKU],Table9[Connector],,0)</f>
        <v>EVO2A</v>
      </c>
      <c r="S1110" s="433" t="str">
        <f>_xlfn.XLOOKUP(PV_DATA[[#This Row],[New Ark SKU]],Table9[New Ark SKU],Table9[Cable],,0)</f>
        <v>±1200mm</v>
      </c>
      <c r="T1110" s="433">
        <v>500</v>
      </c>
      <c r="U1110" s="1062">
        <v>864</v>
      </c>
      <c r="V1110" s="434">
        <f>PV_DATA[[#This Row],[QUANTITY]]*PV_DATA[[#This Row],[WATT]]/1000000</f>
        <v>0.432</v>
      </c>
      <c r="W1110" s="435">
        <f>PV_DATA[[#This Row],[QUANTITY]]/PV_DATA[[#This Row],[Qty/Pallet]]</f>
        <v>24</v>
      </c>
      <c r="X1110" s="1015">
        <f>PV_DATA[[#This Row],[QUANTITY]]/PV_DATA[[#This Row],[Qty/CT]]</f>
        <v>1</v>
      </c>
      <c r="Y1110" s="430" t="s">
        <v>4379</v>
      </c>
      <c r="Z1110" s="430" t="str">
        <f t="shared" si="21"/>
        <v>IN-TRANSIT</v>
      </c>
      <c r="AB1110" s="437">
        <v>46308</v>
      </c>
      <c r="AC1110" s="485">
        <f>IF(PV_DATA[[#This Row],[Pick-Up Date]]&lt;&gt;"",_xlfn.ISOWEEKNUM(PV_DATA[[#This Row],[Pick-Up Date]]),"")</f>
        <v>42</v>
      </c>
      <c r="AD1110" s="430" t="s">
        <v>7034</v>
      </c>
      <c r="AF1110" s="459" t="s">
        <v>61</v>
      </c>
      <c r="AG1110" s="459" t="s">
        <v>61</v>
      </c>
      <c r="AH1110" s="430" t="s">
        <v>78</v>
      </c>
      <c r="AI1110" s="437">
        <v>46313</v>
      </c>
      <c r="AJ1110" s="588">
        <f>IFERROR(VLOOKUP(AT1110, Vessel!A:D, 4, FALSE), "")</f>
        <v>46313.854166666664</v>
      </c>
      <c r="AK1110" s="588">
        <f>IFERROR(IF(VLOOKUP(AT1110,Vessel!A:F,5,FALSE)=0,"",VLOOKUP(AT1110,Vessel!A:F,5,FALSE)),"")</f>
        <v>46313.785555555558</v>
      </c>
      <c r="AL1110" s="588">
        <v>46372</v>
      </c>
      <c r="AM1110" s="588">
        <f>IFERROR(VLOOKUP(AT1110, Vessel!A:H, 8, FALSE), "")</f>
        <v>46372.25</v>
      </c>
      <c r="AN1110" s="588" t="str">
        <f>IFERROR(IF(VLOOKUP(AT1110,Vessel!A:I,9,FALSE)=0,"",VLOOKUP(AT1110,Vessel!A:I,9,FALSE)),"")</f>
        <v/>
      </c>
      <c r="AO1110" s="1436"/>
      <c r="AP1110" s="1203" t="s">
        <v>7026</v>
      </c>
      <c r="AQ1110" s="940" t="s">
        <v>80</v>
      </c>
      <c r="AR1110" s="430" t="s">
        <v>7031</v>
      </c>
      <c r="AS1110" s="430" t="s">
        <v>7032</v>
      </c>
      <c r="AT1110" s="430" t="s">
        <v>7032</v>
      </c>
      <c r="AU111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58.464444444442051</v>
      </c>
      <c r="AW1110" s="437" cm="1">
        <f t="array" ref="AW111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46372.25</v>
      </c>
      <c r="AX111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10" s="437" t="str">
        <f>IF(ISERROR(PV_DATA[[#This Row],[New Ark PO status]]),"",_xlfn.XLOOKUP(PV_DATA[[#This Row],[SPTN-PVHK New Ark PO'#]],New_Ark_Data[Purchase order Number],New_Ark_Data[Estimated time of arrival],"",0))</f>
        <v/>
      </c>
      <c r="AZ1110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10" s="437">
        <f>IFERROR(PV_DATA[[#This Row],[ODP ETA Port]]+PV_DATA[[#This Row],[Customs/Leg3 Assumption]],"n/a")</f>
        <v>46380.25</v>
      </c>
      <c r="BB1110" s="433">
        <f>YEAR(PV_DATA[[#This Row],[ETA for New Ark update]])</f>
        <v>2026</v>
      </c>
      <c r="BC1110" s="430">
        <f>MONTH(PV_DATA[[#This Row],[ETA for New Ark update]])</f>
        <v>12</v>
      </c>
      <c r="BD1110" s="430">
        <f>IFERROR(_xlfn.ISOWEEKNUM(PV_DATA[[#This Row],[ETA for New Ark update]]),0)</f>
        <v>52</v>
      </c>
      <c r="BE1110" s="430">
        <f>_xlfn.XLOOKUP(PV_DATA[[#This Row],[New Ark SKU]],Table9[New Ark SKU],Table9[Total PCS per Pallet],,0)</f>
        <v>36</v>
      </c>
      <c r="BF1110" s="430">
        <f>_xlfn.XLOOKUP(PV_DATA[[#This Row],[New Ark SKU]],Table9[New Ark SKU],Table9[Total PCS per 40HQ Container],,0)</f>
        <v>864</v>
      </c>
      <c r="BG1110" s="430" t="str">
        <f>_xlfn.XLOOKUP(PV_DATA[[#This Row],[New Ark SKU]],Table9[New Ark SKU],Table9[Back Glass],,0)</f>
        <v>Black glazing</v>
      </c>
      <c r="BH1110" s="610" t="str">
        <f>_xlfn.XLOOKUP(PV_DATA[[#This Row],[PORT DESTINATION]],Table12[PORT DESTINATION],Table12[Cosco Line],,0)</f>
        <v>AEM</v>
      </c>
    </row>
    <row r="1111" spans="1:60" s="430" customFormat="1" ht="10.5" hidden="1">
      <c r="A1111" s="729" t="s">
        <v>7035</v>
      </c>
      <c r="B1111" s="462" t="s">
        <v>61</v>
      </c>
      <c r="C1111" s="462" t="str">
        <f>IFERROR(LEFT(PV_DATA[[#This Row],[TCL REFERENCE]],FIND(".",PV_DATA[[#This Row],[TCL REFERENCE]],1)-1),"Main Line")</f>
        <v>26Aug003</v>
      </c>
      <c r="D1111" s="462" t="s">
        <v>63</v>
      </c>
      <c r="E1111" s="462" t="s">
        <v>64</v>
      </c>
      <c r="F1111" s="462" t="str" cm="1">
        <f t="array" ref="F111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11" s="462" t="s">
        <v>402</v>
      </c>
      <c r="H1111" s="462" t="s">
        <v>67</v>
      </c>
      <c r="I1111" s="462" t="s">
        <v>6424</v>
      </c>
      <c r="J1111" s="430" t="s">
        <v>96</v>
      </c>
      <c r="K1111" s="462"/>
      <c r="M1111" s="430" t="s">
        <v>6325</v>
      </c>
      <c r="N1111" s="432">
        <v>46237</v>
      </c>
      <c r="O1111" s="430" t="s">
        <v>4540</v>
      </c>
      <c r="P1111" s="430" t="s">
        <v>71</v>
      </c>
      <c r="Q1111" s="430" t="s">
        <v>72</v>
      </c>
      <c r="R1111" s="430" t="str">
        <f>_xlfn.XLOOKUP(PV_DATA[[#This Row],[New Ark SKU]],Table9[New Ark SKU],Table9[Connector],,0)</f>
        <v>EVO2A</v>
      </c>
      <c r="S1111" s="433" t="str">
        <f>_xlfn.XLOOKUP(PV_DATA[[#This Row],[New Ark SKU]],Table9[New Ark SKU],Table9[Cable],,0)</f>
        <v>±1200mm</v>
      </c>
      <c r="T1111" s="433">
        <v>500</v>
      </c>
      <c r="U1111" s="1062">
        <v>4320</v>
      </c>
      <c r="V1111" s="434">
        <f>PV_DATA[[#This Row],[QUANTITY]]*PV_DATA[[#This Row],[WATT]]/1000000</f>
        <v>2.16</v>
      </c>
      <c r="W1111" s="435">
        <f>PV_DATA[[#This Row],[QUANTITY]]/PV_DATA[[#This Row],[Qty/Pallet]]</f>
        <v>120</v>
      </c>
      <c r="X1111" s="1015">
        <f>PV_DATA[[#This Row],[QUANTITY]]/PV_DATA[[#This Row],[Qty/CT]]</f>
        <v>5</v>
      </c>
      <c r="Y1111" s="430" t="s">
        <v>4381</v>
      </c>
      <c r="Z1111" s="430" t="str">
        <f t="shared" si="21"/>
        <v>IN-TRANSIT</v>
      </c>
      <c r="AB1111" s="966">
        <v>46289</v>
      </c>
      <c r="AC1111" s="485">
        <f>IF(PV_DATA[[#This Row],[Pick-Up Date]]&lt;&gt;"",_xlfn.ISOWEEKNUM(PV_DATA[[#This Row],[Pick-Up Date]]),"")</f>
        <v>39</v>
      </c>
      <c r="AD1111" s="430" t="s">
        <v>7036</v>
      </c>
      <c r="AF1111" s="459" t="s">
        <v>61</v>
      </c>
      <c r="AG1111" s="459" t="s">
        <v>61</v>
      </c>
      <c r="AH1111" s="430" t="s">
        <v>78</v>
      </c>
      <c r="AI1111" s="588">
        <v>46295</v>
      </c>
      <c r="AJ1111" s="588">
        <f>IFERROR(VLOOKUP(AT1111, Vessel!A:D, 4, FALSE), "")</f>
        <v>46295.5</v>
      </c>
      <c r="AK1111" s="588">
        <f>IFERROR(IF(VLOOKUP(AT1111,Vessel!A:F,5,FALSE)=0,"",VLOOKUP(AT1111,Vessel!A:F,5,FALSE)),"")</f>
        <v>46295.536527777775</v>
      </c>
      <c r="AL1111" s="588">
        <v>46370</v>
      </c>
      <c r="AM1111" s="588">
        <f>IFERROR(VLOOKUP(AT1111, Vessel!A:H, 8, FALSE), "")</f>
        <v>46363.791666666664</v>
      </c>
      <c r="AN1111" s="588" t="str">
        <f>IFERROR(IF(VLOOKUP(AT1111,Vessel!A:I,9,FALSE)=0,"",VLOOKUP(AT1111,Vessel!A:I,9,FALSE)),"")</f>
        <v/>
      </c>
      <c r="AO1111" s="858"/>
      <c r="AP1111" s="430" t="s">
        <v>7021</v>
      </c>
      <c r="AQ1111" s="438" t="s">
        <v>80</v>
      </c>
      <c r="AR1111" s="430" t="s">
        <v>7037</v>
      </c>
      <c r="AS1111" s="430" t="s">
        <v>7038</v>
      </c>
      <c r="AT1111" s="430" t="s">
        <v>7038</v>
      </c>
      <c r="AU111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68.255138888889633</v>
      </c>
      <c r="AW1111" s="437" cm="1">
        <f t="array" ref="AW111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46363.791666666664</v>
      </c>
      <c r="AX111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11" s="437" t="str">
        <f>IF(ISERROR(PV_DATA[[#This Row],[New Ark PO status]]),"",_xlfn.XLOOKUP(PV_DATA[[#This Row],[SPTN-PVHK New Ark PO'#]],New_Ark_Data[Purchase order Number],New_Ark_Data[Estimated time of arrival],"",0))</f>
        <v/>
      </c>
      <c r="AZ1111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11" s="437">
        <f>IFERROR(PV_DATA[[#This Row],[ODP ETA Port]]+PV_DATA[[#This Row],[Customs/Leg3 Assumption]],"n/a")</f>
        <v>46371.791666666664</v>
      </c>
      <c r="BB1111" s="433">
        <f>YEAR(PV_DATA[[#This Row],[ETA for New Ark update]])</f>
        <v>2026</v>
      </c>
      <c r="BC1111" s="430">
        <f>MONTH(PV_DATA[[#This Row],[ETA for New Ark update]])</f>
        <v>12</v>
      </c>
      <c r="BD1111" s="430">
        <f>IFERROR(_xlfn.ISOWEEKNUM(PV_DATA[[#This Row],[ETA for New Ark update]]),0)</f>
        <v>51</v>
      </c>
      <c r="BE1111" s="430">
        <f>_xlfn.XLOOKUP(PV_DATA[[#This Row],[New Ark SKU]],Table9[New Ark SKU],Table9[Total PCS per Pallet],,0)</f>
        <v>36</v>
      </c>
      <c r="BF1111" s="430">
        <f>_xlfn.XLOOKUP(PV_DATA[[#This Row],[New Ark SKU]],Table9[New Ark SKU],Table9[Total PCS per 40HQ Container],,0)</f>
        <v>864</v>
      </c>
      <c r="BG1111" s="430" t="str">
        <f>_xlfn.XLOOKUP(PV_DATA[[#This Row],[New Ark SKU]],Table9[New Ark SKU],Table9[Back Glass],,0)</f>
        <v>Black glazing</v>
      </c>
      <c r="BH1111" s="610" t="str">
        <f>_xlfn.XLOOKUP(PV_DATA[[#This Row],[PORT DESTINATION]],Table12[PORT DESTINATION],Table12[Cosco Line],,0)</f>
        <v>AEM</v>
      </c>
    </row>
    <row r="1112" spans="1:60" s="1205" customFormat="1" ht="10.5" hidden="1">
      <c r="A1112" s="446" t="s">
        <v>4911</v>
      </c>
      <c r="B1112" s="1204" t="s">
        <v>61</v>
      </c>
      <c r="C1112" s="1204" t="str">
        <f>IFERROR(LEFT(PV_DATA[[#This Row],[TCL REFERENCE]],FIND(".",PV_DATA[[#This Row],[TCL REFERENCE]],1)-1),"Main Line")</f>
        <v>Main Line</v>
      </c>
      <c r="D1112" s="1204" t="s">
        <v>63</v>
      </c>
      <c r="E1112" s="1204" t="s">
        <v>68</v>
      </c>
      <c r="F1112" s="1204" t="str" cm="1">
        <f t="array" ref="F1112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112" s="1204" t="s">
        <v>68</v>
      </c>
      <c r="H1112" s="1204" t="s">
        <v>68</v>
      </c>
      <c r="I1112" s="1204" t="s">
        <v>68</v>
      </c>
      <c r="J1112" s="1205" t="s">
        <v>68</v>
      </c>
      <c r="M1112" s="1205" t="s">
        <v>68</v>
      </c>
      <c r="N1112" s="1206">
        <v>46153</v>
      </c>
      <c r="O1112" s="1205" t="s">
        <v>4540</v>
      </c>
      <c r="P1112" s="1205" t="s">
        <v>71</v>
      </c>
      <c r="Q1112" s="1205" t="s">
        <v>72</v>
      </c>
      <c r="R1112" s="430" t="str">
        <f>_xlfn.XLOOKUP(PV_DATA[[#This Row],[New Ark SKU]],Table9[New Ark SKU],Table9[Connector],,0)</f>
        <v>EVO2A</v>
      </c>
      <c r="S1112" s="433" t="str">
        <f>_xlfn.XLOOKUP(PV_DATA[[#This Row],[New Ark SKU]],Table9[New Ark SKU],Table9[Cable],,0)</f>
        <v>±1200mm</v>
      </c>
      <c r="T1112" s="1207">
        <v>500</v>
      </c>
      <c r="U1112" s="1208" cm="1">
        <f t="array" ref="U1112">56160-fx_qty</f>
        <v>0</v>
      </c>
      <c r="V1112" s="1209">
        <f>PV_DATA[[#This Row],[QUANTITY]]*PV_DATA[[#This Row],[WATT]]/1000000</f>
        <v>0</v>
      </c>
      <c r="W1112" s="1210">
        <f>PV_DATA[[#This Row],[QUANTITY]]/PV_DATA[[#This Row],[Qty/Pallet]]</f>
        <v>0</v>
      </c>
      <c r="X1112" s="1211">
        <f>PV_DATA[[#This Row],[QUANTITY]]/PV_DATA[[#This Row],[Qty/CT]]</f>
        <v>0</v>
      </c>
      <c r="Y1112" s="1205" t="s">
        <v>7039</v>
      </c>
      <c r="Z1112" s="1205" t="str">
        <f t="shared" si="21"/>
        <v/>
      </c>
      <c r="AB1112" s="1197"/>
      <c r="AC1112" s="1212" t="str">
        <f>IF(PV_DATA[[#This Row],[Pick-Up Date]]&lt;&gt;"",_xlfn.ISOWEEKNUM(PV_DATA[[#This Row],[Pick-Up Date]]),"")</f>
        <v/>
      </c>
      <c r="AF1112" s="1205" t="s">
        <v>61</v>
      </c>
      <c r="AG1112" s="1205" t="s">
        <v>61</v>
      </c>
      <c r="AH1112" s="1205" t="s">
        <v>68</v>
      </c>
      <c r="AI1112" s="1197"/>
      <c r="AJ1112" s="1197" t="str">
        <f>IFERROR(VLOOKUP(AT1112, Vessel!A:D, 4, FALSE), "")</f>
        <v/>
      </c>
      <c r="AK1112" s="1197" t="str">
        <f>IFERROR(IF(VLOOKUP(AT1112,Vessel!A:F,5,FALSE)=0,"",VLOOKUP(AT1112,Vessel!A:F,5,FALSE)),"")</f>
        <v/>
      </c>
      <c r="AL1112" s="1197"/>
      <c r="AM1112" s="1197"/>
      <c r="AN1112" s="1213" t="str">
        <f>IFERROR(IF(VLOOKUP(AT1112,Vessel!A:I,9,FALSE)=0,"",VLOOKUP(AT1112,Vessel!A:I,9,FALSE)),"")</f>
        <v/>
      </c>
      <c r="AU1112" s="1205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0</v>
      </c>
      <c r="AV1112" s="1197"/>
      <c r="AW1112" s="1197" t="str" cm="1">
        <f t="array" ref="AW111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11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12" s="1197" t="str">
        <f>IF(ISERROR(PV_DATA[[#This Row],[New Ark PO status]]),"",_xlfn.XLOOKUP(PV_DATA[[#This Row],[SPTN-PVHK New Ark PO'#]],New_Ark_Data[Purchase order Number],New_Ark_Data[Estimated time of arrival],"",0))</f>
        <v/>
      </c>
      <c r="AZ1112" s="1207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112" s="1197" t="str">
        <f>IFERROR(PV_DATA[[#This Row],[ODP ETA Port]]+PV_DATA[[#This Row],[Customs/Leg3 Assumption]],"n/a")</f>
        <v>n/a</v>
      </c>
      <c r="BB1112" s="1207" t="e">
        <f>YEAR(PV_DATA[[#This Row],[ETA for New Ark update]])</f>
        <v>#VALUE!</v>
      </c>
      <c r="BC1112" s="1205" t="e">
        <f>MONTH(PV_DATA[[#This Row],[ETA for New Ark update]])</f>
        <v>#VALUE!</v>
      </c>
      <c r="BD1112" s="1205">
        <f>IFERROR(_xlfn.ISOWEEKNUM(PV_DATA[[#This Row],[ETA for New Ark update]]),0)</f>
        <v>0</v>
      </c>
      <c r="BE1112" s="1205">
        <f>_xlfn.XLOOKUP(PV_DATA[[#This Row],[New Ark SKU]],Table9[New Ark SKU],Table9[Total PCS per Pallet],,0)</f>
        <v>36</v>
      </c>
      <c r="BF1112" s="1205">
        <f>_xlfn.XLOOKUP(PV_DATA[[#This Row],[New Ark SKU]],Table9[New Ark SKU],Table9[Total PCS per 40HQ Container],,0)</f>
        <v>864</v>
      </c>
      <c r="BG1112" s="1205" t="str">
        <f>_xlfn.XLOOKUP(PV_DATA[[#This Row],[New Ark SKU]],Table9[New Ark SKU],Table9[Back Glass],,0)</f>
        <v>Black glazing</v>
      </c>
      <c r="BH1112" s="1205" t="str">
        <f>_xlfn.XLOOKUP(PV_DATA[[#This Row],[PORT DESTINATION]],Table12[PORT DESTINATION],Table12[Cosco Line],,0)</f>
        <v>n/a</v>
      </c>
    </row>
    <row r="1113" spans="1:60" s="430" customFormat="1" ht="10.5" hidden="1">
      <c r="A1113" s="462" t="s">
        <v>7040</v>
      </c>
      <c r="B1113" s="462" t="s">
        <v>61</v>
      </c>
      <c r="C1113" s="462" t="str">
        <f>IFERROR(LEFT(PV_DATA[[#This Row],[TCL REFERENCE]],FIND(".",PV_DATA[[#This Row],[TCL REFERENCE]],1)-1),"Main Line")</f>
        <v>26Jun021</v>
      </c>
      <c r="D1113" s="462" t="s">
        <v>63</v>
      </c>
      <c r="E1113" s="462" t="s">
        <v>64</v>
      </c>
      <c r="F1113" s="462" t="str" cm="1">
        <f t="array" ref="F111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13" s="462" t="s">
        <v>402</v>
      </c>
      <c r="H1113" s="462" t="s">
        <v>67</v>
      </c>
      <c r="I1113" s="462" t="s">
        <v>689</v>
      </c>
      <c r="J1113" s="430" t="s">
        <v>96</v>
      </c>
      <c r="M1113" s="430" t="s">
        <v>6325</v>
      </c>
      <c r="N1113" s="432">
        <v>46202</v>
      </c>
      <c r="O1113" s="430" t="s">
        <v>284</v>
      </c>
      <c r="P1113" s="484" t="s">
        <v>6169</v>
      </c>
      <c r="Q1113" s="430" t="s">
        <v>1570</v>
      </c>
      <c r="R1113" s="430" t="str">
        <f>_xlfn.XLOOKUP(PV_DATA[[#This Row],[New Ark SKU]],Table9[New Ark SKU],Table9[Connector],,0)</f>
        <v>EVO2A</v>
      </c>
      <c r="S1113" s="433" t="str">
        <f>_xlfn.XLOOKUP(PV_DATA[[#This Row],[New Ark SKU]],Table9[New Ark SKU],Table9[Cable],,0)</f>
        <v>±1400mm</v>
      </c>
      <c r="T1113" s="433">
        <v>650</v>
      </c>
      <c r="U1113" s="1062">
        <f>720*4</f>
        <v>2880</v>
      </c>
      <c r="V1113" s="434">
        <f>PV_DATA[[#This Row],[QUANTITY]]*PV_DATA[[#This Row],[WATT]]/1000000</f>
        <v>1.8720000000000001</v>
      </c>
      <c r="W1113" s="435">
        <f>PV_DATA[[#This Row],[QUANTITY]]/PV_DATA[[#This Row],[Qty/Pallet]]</f>
        <v>80</v>
      </c>
      <c r="X1113" s="1015">
        <f>PV_DATA[[#This Row],[QUANTITY]]/PV_DATA[[#This Row],[Qty/CT]]</f>
        <v>4</v>
      </c>
      <c r="Y1113" s="430" t="s">
        <v>4378</v>
      </c>
      <c r="Z1113" s="430" t="str">
        <f t="shared" si="21"/>
        <v>IN-TRANSIT</v>
      </c>
      <c r="AA1113" s="1201" t="s">
        <v>6431</v>
      </c>
      <c r="AB1113" s="437">
        <v>46287</v>
      </c>
      <c r="AC1113" s="485">
        <f>IF(PV_DATA[[#This Row],[Pick-Up Date]]&lt;&gt;"",_xlfn.ISOWEEKNUM(PV_DATA[[#This Row],[Pick-Up Date]]),"")</f>
        <v>39</v>
      </c>
      <c r="AD1113" s="430" t="s">
        <v>7041</v>
      </c>
      <c r="AF1113" s="430" t="s">
        <v>61</v>
      </c>
      <c r="AG1113" s="430" t="s">
        <v>61</v>
      </c>
      <c r="AH1113" s="430" t="s">
        <v>105</v>
      </c>
      <c r="AI1113" s="437">
        <v>46292</v>
      </c>
      <c r="AJ1113" s="437">
        <f>IFERROR(VLOOKUP(AT1113, Vessel!A:D, 4, FALSE), "")</f>
        <v>46293.333333333336</v>
      </c>
      <c r="AK1113" s="437">
        <f>IFERROR(IF(VLOOKUP(AT1113,Vessel!A:F,5,FALSE)=0,"",VLOOKUP(AT1113,Vessel!A:F,5,FALSE)),"")</f>
        <v>46293.38</v>
      </c>
      <c r="AL1113" s="437">
        <v>46336</v>
      </c>
      <c r="AM1113" s="939">
        <f>IFERROR(VLOOKUP(AT1113, Vessel!A:H, 8, FALSE), "")</f>
        <v>46342.083333333336</v>
      </c>
      <c r="AN1113" s="939" t="str">
        <f>IFERROR(IF(VLOOKUP(AT1113,Vessel!A:I,9,FALSE)=0,"",VLOOKUP(AT1113,Vessel!A:I,9,FALSE)),"")</f>
        <v/>
      </c>
      <c r="AO1113" s="430" t="s">
        <v>402</v>
      </c>
      <c r="AP1113" s="430" t="s">
        <v>7042</v>
      </c>
      <c r="AQ1113" s="940" t="s">
        <v>80</v>
      </c>
      <c r="AR1113" s="430" t="s">
        <v>7043</v>
      </c>
      <c r="AS1113" s="430" t="s">
        <v>7044</v>
      </c>
      <c r="AT1113" s="430" t="s">
        <v>7044</v>
      </c>
      <c r="AU111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48.703333333338378</v>
      </c>
      <c r="AW1113" s="437" cm="1">
        <f t="array" ref="AW111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46342.083333333336</v>
      </c>
      <c r="AX111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13" s="437" t="str">
        <f>IF(ISERROR(PV_DATA[[#This Row],[New Ark PO status]]),"",_xlfn.XLOOKUP(PV_DATA[[#This Row],[SPTN-PVHK New Ark PO'#]],New_Ark_Data[Purchase order Number],New_Ark_Data[Estimated time of arrival],"",0))</f>
        <v/>
      </c>
      <c r="AZ1113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13" s="437">
        <f>IFERROR(PV_DATA[[#This Row],[ODP ETA Port]]+PV_DATA[[#This Row],[Customs/Leg3 Assumption]],"n/a")</f>
        <v>46349.083333333336</v>
      </c>
      <c r="BB1113" s="433">
        <f>YEAR(PV_DATA[[#This Row],[ETA for New Ark update]])</f>
        <v>2026</v>
      </c>
      <c r="BC1113" s="430">
        <f>MONTH(PV_DATA[[#This Row],[ETA for New Ark update]])</f>
        <v>11</v>
      </c>
      <c r="BD1113" s="430">
        <f>IFERROR(_xlfn.ISOWEEKNUM(PV_DATA[[#This Row],[ETA for New Ark update]]),0)</f>
        <v>48</v>
      </c>
      <c r="BE1113" s="430">
        <f>_xlfn.XLOOKUP(PV_DATA[[#This Row],[New Ark SKU]],Table9[New Ark SKU],Table9[Total PCS per Pallet],,0)</f>
        <v>36</v>
      </c>
      <c r="BF1113" s="430">
        <f>_xlfn.XLOOKUP(PV_DATA[[#This Row],[New Ark SKU]],Table9[New Ark SKU],Table9[Total PCS per 40HQ Container],,0)</f>
        <v>720</v>
      </c>
      <c r="BG1113" s="430" t="str">
        <f>_xlfn.XLOOKUP(PV_DATA[[#This Row],[New Ark SKU]],Table9[New Ark SKU],Table9[Back Glass],,0)</f>
        <v>White glazing</v>
      </c>
      <c r="BH1113" s="430" t="str">
        <f>_xlfn.XLOOKUP(PV_DATA[[#This Row],[PORT DESTINATION]],Table12[PORT DESTINATION],Table12[Cosco Line],,0)</f>
        <v>AEU</v>
      </c>
    </row>
    <row r="1114" spans="1:60" s="430" customFormat="1" ht="10.5" hidden="1">
      <c r="A1114" s="462" t="s">
        <v>7045</v>
      </c>
      <c r="B1114" s="462" t="s">
        <v>61</v>
      </c>
      <c r="C1114" s="462" t="str">
        <f>IFERROR(LEFT(PV_DATA[[#This Row],[TCL REFERENCE]],FIND(".",PV_DATA[[#This Row],[TCL REFERENCE]],1)-1),"Main Line")</f>
        <v>26Jun022</v>
      </c>
      <c r="D1114" s="462" t="s">
        <v>63</v>
      </c>
      <c r="E1114" s="462" t="s">
        <v>64</v>
      </c>
      <c r="F1114" s="462" t="str" cm="1">
        <f t="array" ref="F111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14" s="462" t="s">
        <v>402</v>
      </c>
      <c r="H1114" s="462" t="s">
        <v>67</v>
      </c>
      <c r="I1114" s="462" t="s">
        <v>689</v>
      </c>
      <c r="J1114" s="430" t="s">
        <v>96</v>
      </c>
      <c r="M1114" s="430" t="s">
        <v>6325</v>
      </c>
      <c r="N1114" s="432">
        <v>46202</v>
      </c>
      <c r="O1114" s="430" t="s">
        <v>284</v>
      </c>
      <c r="P1114" s="462" t="s">
        <v>5354</v>
      </c>
      <c r="Q1114" s="430" t="s">
        <v>5355</v>
      </c>
      <c r="R1114" s="430" t="str">
        <f>_xlfn.XLOOKUP(PV_DATA[[#This Row],[New Ark SKU]],Table9[New Ark SKU],Table9[Connector],,0)</f>
        <v>EVO2A</v>
      </c>
      <c r="S1114" s="433" t="str">
        <f>_xlfn.XLOOKUP(PV_DATA[[#This Row],[New Ark SKU]],Table9[New Ark SKU],Table9[Cable],,0)</f>
        <v>±1400mm</v>
      </c>
      <c r="T1114" s="433">
        <v>655</v>
      </c>
      <c r="U1114" s="1062">
        <f>720*4</f>
        <v>2880</v>
      </c>
      <c r="V1114" s="434">
        <f>PV_DATA[[#This Row],[QUANTITY]]*PV_DATA[[#This Row],[WATT]]/1000000</f>
        <v>1.8864000000000001</v>
      </c>
      <c r="W1114" s="435">
        <f>PV_DATA[[#This Row],[QUANTITY]]/PV_DATA[[#This Row],[Qty/Pallet]]</f>
        <v>80</v>
      </c>
      <c r="X1114" s="1015">
        <f>PV_DATA[[#This Row],[QUANTITY]]/PV_DATA[[#This Row],[Qty/CT]]</f>
        <v>4</v>
      </c>
      <c r="Y1114" s="430" t="s">
        <v>4378</v>
      </c>
      <c r="Z1114" s="430" t="str">
        <f t="shared" si="21"/>
        <v>IN-TRANSIT</v>
      </c>
      <c r="AA1114" s="1201" t="s">
        <v>6431</v>
      </c>
      <c r="AB1114" s="437">
        <v>46287</v>
      </c>
      <c r="AC1114" s="485">
        <f>IF(PV_DATA[[#This Row],[Pick-Up Date]]&lt;&gt;"",_xlfn.ISOWEEKNUM(PV_DATA[[#This Row],[Pick-Up Date]]),"")</f>
        <v>39</v>
      </c>
      <c r="AD1114" s="430" t="s">
        <v>7046</v>
      </c>
      <c r="AF1114" s="430" t="s">
        <v>61</v>
      </c>
      <c r="AG1114" s="430" t="s">
        <v>61</v>
      </c>
      <c r="AH1114" s="430" t="s">
        <v>105</v>
      </c>
      <c r="AI1114" s="437">
        <v>46292</v>
      </c>
      <c r="AJ1114" s="437">
        <v>46293</v>
      </c>
      <c r="AK1114" s="437">
        <f>IFERROR(IF(VLOOKUP(AT1114,Vessel!A:F,5,FALSE)=0,"",VLOOKUP(AT1114,Vessel!A:F,5,FALSE)),"")</f>
        <v>46293.38</v>
      </c>
      <c r="AL1114" s="437">
        <v>46336</v>
      </c>
      <c r="AM1114" s="939">
        <f>IFERROR(VLOOKUP(AT1114, Vessel!A:H, 8, FALSE), "")</f>
        <v>46342.083333333336</v>
      </c>
      <c r="AN1114" s="939" t="str">
        <f>IFERROR(IF(VLOOKUP(AT1114,Vessel!A:I,9,FALSE)=0,"",VLOOKUP(AT1114,Vessel!A:I,9,FALSE)),"")</f>
        <v/>
      </c>
      <c r="AO1114" s="430" t="s">
        <v>402</v>
      </c>
      <c r="AP1114" s="430" t="s">
        <v>7042</v>
      </c>
      <c r="AQ1114" s="940" t="s">
        <v>80</v>
      </c>
      <c r="AR1114" s="430" t="s">
        <v>7043</v>
      </c>
      <c r="AS1114" s="430" t="s">
        <v>7044</v>
      </c>
      <c r="AT1114" s="430" t="s">
        <v>7044</v>
      </c>
      <c r="AU111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48.703333333338378</v>
      </c>
      <c r="AW1114" s="437" cm="1">
        <f t="array" ref="AW111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46342.083333333336</v>
      </c>
      <c r="AX111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14" s="437" t="str">
        <f>IF(ISERROR(PV_DATA[[#This Row],[New Ark PO status]]),"",_xlfn.XLOOKUP(PV_DATA[[#This Row],[SPTN-PVHK New Ark PO'#]],New_Ark_Data[Purchase order Number],New_Ark_Data[Estimated time of arrival],"",0))</f>
        <v/>
      </c>
      <c r="AZ1114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14" s="437">
        <f>IFERROR(PV_DATA[[#This Row],[ODP ETA Port]]+PV_DATA[[#This Row],[Customs/Leg3 Assumption]],"n/a")</f>
        <v>46349.083333333336</v>
      </c>
      <c r="BB1114" s="433">
        <f>YEAR(PV_DATA[[#This Row],[ETA for New Ark update]])</f>
        <v>2026</v>
      </c>
      <c r="BC1114" s="430">
        <f>MONTH(PV_DATA[[#This Row],[ETA for New Ark update]])</f>
        <v>11</v>
      </c>
      <c r="BD1114" s="430">
        <f>IFERROR(_xlfn.ISOWEEKNUM(PV_DATA[[#This Row],[ETA for New Ark update]]),0)</f>
        <v>48</v>
      </c>
      <c r="BE1114" s="430">
        <f>_xlfn.XLOOKUP(PV_DATA[[#This Row],[New Ark SKU]],Table9[New Ark SKU],Table9[Total PCS per Pallet],,0)</f>
        <v>36</v>
      </c>
      <c r="BF1114" s="430">
        <f>_xlfn.XLOOKUP(PV_DATA[[#This Row],[New Ark SKU]],Table9[New Ark SKU],Table9[Total PCS per 40HQ Container],,0)</f>
        <v>720</v>
      </c>
      <c r="BG1114" s="430" t="str">
        <f>_xlfn.XLOOKUP(PV_DATA[[#This Row],[New Ark SKU]],Table9[New Ark SKU],Table9[Back Glass],,0)</f>
        <v>White glazing</v>
      </c>
      <c r="BH1114" s="430" t="str">
        <f>_xlfn.XLOOKUP(PV_DATA[[#This Row],[PORT DESTINATION]],Table12[PORT DESTINATION],Table12[Cosco Line],,0)</f>
        <v>AEU</v>
      </c>
    </row>
    <row r="1115" spans="1:60" s="430" customFormat="1" ht="13.5" hidden="1" customHeight="1">
      <c r="A1115" s="729" t="s">
        <v>7047</v>
      </c>
      <c r="B1115" s="462" t="s">
        <v>61</v>
      </c>
      <c r="C1115" s="462" t="str">
        <f>IFERROR(LEFT(PV_DATA[[#This Row],[TCL REFERENCE]],FIND(".",PV_DATA[[#This Row],[TCL REFERENCE]],1)-1),"Main Line")</f>
        <v>26Aug024</v>
      </c>
      <c r="D1115" s="462" t="s">
        <v>63</v>
      </c>
      <c r="E1115" s="462" t="s">
        <v>64</v>
      </c>
      <c r="F1115" s="462" t="str" cm="1">
        <f t="array" ref="F111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1115" s="462" t="s">
        <v>402</v>
      </c>
      <c r="H1115" s="462" t="s">
        <v>451</v>
      </c>
      <c r="I1115" s="462" t="s">
        <v>882</v>
      </c>
      <c r="J1115" s="430" t="s">
        <v>7048</v>
      </c>
      <c r="M1115" s="430" t="s">
        <v>68</v>
      </c>
      <c r="N1115" s="432">
        <v>46279</v>
      </c>
      <c r="O1115" s="430" t="s">
        <v>4540</v>
      </c>
      <c r="P1115" s="430" t="s">
        <v>7049</v>
      </c>
      <c r="Q1115" s="430" t="s">
        <v>7050</v>
      </c>
      <c r="R1115" s="430" t="str">
        <f>_xlfn.XLOOKUP(PV_DATA[[#This Row],[New Ark SKU]],Table9[New Ark SKU],Table9[Connector],,0)</f>
        <v>EVO2A</v>
      </c>
      <c r="S1115" s="433" t="str">
        <f>_xlfn.XLOOKUP(PV_DATA[[#This Row],[New Ark SKU]],Table9[New Ark SKU],Table9[Cable],,0)</f>
        <v>±1200mm</v>
      </c>
      <c r="T1115" s="433">
        <v>505</v>
      </c>
      <c r="U1115" s="1062">
        <v>864</v>
      </c>
      <c r="V1115" s="434">
        <f>PV_DATA[[#This Row],[QUANTITY]]*PV_DATA[[#This Row],[WATT]]/1000000</f>
        <v>0.43631999999999999</v>
      </c>
      <c r="W1115" s="435">
        <f>PV_DATA[[#This Row],[QUANTITY]]/PV_DATA[[#This Row],[Qty/Pallet]]</f>
        <v>24</v>
      </c>
      <c r="X1115" s="1015">
        <f>PV_DATA[[#This Row],[QUANTITY]]/PV_DATA[[#This Row],[Qty/CT]]</f>
        <v>1</v>
      </c>
      <c r="Y1115" s="430" t="s">
        <v>4380</v>
      </c>
      <c r="Z1115" s="430" t="str">
        <f t="shared" si="21"/>
        <v>IN-TRANSIT</v>
      </c>
      <c r="AA1115" s="430" t="s">
        <v>7051</v>
      </c>
      <c r="AB1115" s="437">
        <v>46287</v>
      </c>
      <c r="AC1115" s="485">
        <f>IF(PV_DATA[[#This Row],[Pick-Up Date]]&lt;&gt;"",_xlfn.ISOWEEKNUM(PV_DATA[[#This Row],[Pick-Up Date]]),"")</f>
        <v>39</v>
      </c>
      <c r="AD1115" s="430" t="s">
        <v>7052</v>
      </c>
      <c r="AF1115" s="430" t="s">
        <v>61</v>
      </c>
      <c r="AG1115" s="430" t="s">
        <v>61</v>
      </c>
      <c r="AH1115" s="430" t="s">
        <v>456</v>
      </c>
      <c r="AI1115" s="966">
        <v>46292</v>
      </c>
      <c r="AJ1115" s="437">
        <f>IFERROR(VLOOKUP(AT1115, Vessel!A:D, 4, FALSE), "")</f>
        <v>46293.333333333336</v>
      </c>
      <c r="AK1115" s="437">
        <f>IFERROR(IF(VLOOKUP(AT1115,Vessel!A:F,5,FALSE)=0,"",VLOOKUP(AT1115,Vessel!A:F,5,FALSE)),"")</f>
        <v>46293.38</v>
      </c>
      <c r="AL1115" s="966">
        <v>46348</v>
      </c>
      <c r="AM1115" s="939">
        <f>IFERROR(VLOOKUP(AT1115, Vessel!A:H, 8, FALSE), "")</f>
        <v>46350.145833333336</v>
      </c>
      <c r="AN1115" s="939" t="str">
        <f>IFERROR(IF(VLOOKUP(AT1115,Vessel!A:I,9,FALSE)=0,"",VLOOKUP(AT1115,Vessel!A:I,9,FALSE)),"")</f>
        <v/>
      </c>
      <c r="AO1115" s="430" t="s">
        <v>402</v>
      </c>
      <c r="AP1115" s="430" t="s">
        <v>7042</v>
      </c>
      <c r="AQ1115" s="438" t="s">
        <v>80</v>
      </c>
      <c r="AR1115" s="430" t="s">
        <v>7053</v>
      </c>
      <c r="AS1115" s="430" t="s">
        <v>7054</v>
      </c>
      <c r="AT1115" s="430" t="s">
        <v>7054</v>
      </c>
      <c r="AU111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56.765833333338378</v>
      </c>
      <c r="AW1115" s="437" cm="1">
        <f t="array" ref="AW111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46350.145833333336</v>
      </c>
      <c r="AX111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15" s="437" t="str">
        <f>IF(ISERROR(PV_DATA[[#This Row],[New Ark PO status]]),"",_xlfn.XLOOKUP(PV_DATA[[#This Row],[SPTN-PVHK New Ark PO'#]],New_Ark_Data[Purchase order Number],New_Ark_Data[Estimated time of arrival],"",0))</f>
        <v/>
      </c>
      <c r="AZ1115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15" s="437">
        <f>IFERROR(PV_DATA[[#This Row],[ODP ETA Port]]+PV_DATA[[#This Row],[Customs/Leg3 Assumption]],"n/a")</f>
        <v>46357.145833333336</v>
      </c>
      <c r="BB1115" s="433" t="s">
        <v>6545</v>
      </c>
      <c r="BC1115" s="430" t="s">
        <v>6545</v>
      </c>
      <c r="BD1115" s="430">
        <f>IFERROR(_xlfn.ISOWEEKNUM(PV_DATA[[#This Row],[ETA for New Ark update]]),0)</f>
        <v>49</v>
      </c>
      <c r="BE1115" s="430">
        <v>36</v>
      </c>
      <c r="BF1115" s="430">
        <v>864</v>
      </c>
      <c r="BG1115" s="430" t="str">
        <f>_xlfn.XLOOKUP(PV_DATA[[#This Row],[New Ark SKU]],Table9[New Ark SKU],Table9[Back Glass],,0)</f>
        <v>Black glazing</v>
      </c>
      <c r="BH1115" s="610" t="str">
        <f>_xlfn.XLOOKUP(PV_DATA[[#This Row],[PORT DESTINATION]],Table12[PORT DESTINATION],Table12[Cosco Line],,0)</f>
        <v>AEU</v>
      </c>
    </row>
    <row r="1116" spans="1:60" s="430" customFormat="1" ht="10.5" hidden="1">
      <c r="A1116" s="729" t="s">
        <v>7055</v>
      </c>
      <c r="B1116" s="462" t="s">
        <v>6740</v>
      </c>
      <c r="C1116" s="462" t="str">
        <f>IFERROR(LEFT(PV_DATA[[#This Row],[TCL REFERENCE]],FIND(".",PV_DATA[[#This Row],[TCL REFERENCE]],1)-1),"Main Line")</f>
        <v>26Aug003</v>
      </c>
      <c r="D1116" s="462" t="s">
        <v>63</v>
      </c>
      <c r="E1116" s="462" t="s">
        <v>144</v>
      </c>
      <c r="F1116" s="462" t="str" cm="1">
        <f t="array" ref="F1116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116" s="462" t="s">
        <v>402</v>
      </c>
      <c r="H1116" s="462" t="s">
        <v>2394</v>
      </c>
      <c r="I1116" s="462" t="s">
        <v>1395</v>
      </c>
      <c r="J1116" s="462" t="s">
        <v>2394</v>
      </c>
      <c r="K1116" s="430" t="s">
        <v>7056</v>
      </c>
      <c r="L1116" s="430">
        <v>1</v>
      </c>
      <c r="M1116" s="430" t="s">
        <v>840</v>
      </c>
      <c r="N1116" s="432">
        <v>46237</v>
      </c>
      <c r="O1116" s="430" t="s">
        <v>4540</v>
      </c>
      <c r="P1116" s="430" t="s">
        <v>71</v>
      </c>
      <c r="Q1116" s="430" t="s">
        <v>72</v>
      </c>
      <c r="R1116" s="430" t="str">
        <f>_xlfn.XLOOKUP(PV_DATA[[#This Row],[New Ark SKU]],Table9[New Ark SKU],Table9[Connector],,0)</f>
        <v>EVO2A</v>
      </c>
      <c r="S1116" s="433" t="str">
        <f>_xlfn.XLOOKUP(PV_DATA[[#This Row],[New Ark SKU]],Table9[New Ark SKU],Table9[Cable],,0)</f>
        <v>±1200mm</v>
      </c>
      <c r="T1116" s="433">
        <v>500</v>
      </c>
      <c r="U1116" s="1062">
        <f>864*5</f>
        <v>4320</v>
      </c>
      <c r="V1116" s="434">
        <f>PV_DATA[[#This Row],[QUANTITY]]*PV_DATA[[#This Row],[WATT]]/1000000</f>
        <v>2.16</v>
      </c>
      <c r="W1116" s="435">
        <f>PV_DATA[[#This Row],[QUANTITY]]/PV_DATA[[#This Row],[Qty/Pallet]]</f>
        <v>120</v>
      </c>
      <c r="X1116" s="1015">
        <f>PV_DATA[[#This Row],[QUANTITY]]/PV_DATA[[#This Row],[Qty/CT]]</f>
        <v>5</v>
      </c>
      <c r="Y1116" s="430" t="s">
        <v>4381</v>
      </c>
      <c r="Z1116" s="430" t="str">
        <f t="shared" si="21"/>
        <v>IN-TRANSIT</v>
      </c>
      <c r="AA1116" s="1051" t="s">
        <v>7057</v>
      </c>
      <c r="AB1116" s="437">
        <v>46286</v>
      </c>
      <c r="AC1116" s="485">
        <f>IF(PV_DATA[[#This Row],[Pick-Up Date]]&lt;&gt;"",_xlfn.ISOWEEKNUM(PV_DATA[[#This Row],[Pick-Up Date]]),"")</f>
        <v>39</v>
      </c>
      <c r="AD1116" s="430" t="s">
        <v>7058</v>
      </c>
      <c r="AF1116" s="459" t="s">
        <v>123</v>
      </c>
      <c r="AG1116" s="459" t="s">
        <v>123</v>
      </c>
      <c r="AH1116" s="430" t="s">
        <v>888</v>
      </c>
      <c r="AI1116" s="437">
        <v>46294</v>
      </c>
      <c r="AJ1116" s="437">
        <f>IFERROR(VLOOKUP(AT1116, Vessel!A:D, 4, FALSE), "")</f>
        <v>46299.208333333336</v>
      </c>
      <c r="AK1116" s="437">
        <v>46299</v>
      </c>
      <c r="AL1116" s="437">
        <v>46344</v>
      </c>
      <c r="AM1116" s="939">
        <f>IFERROR(VLOOKUP(AT1116, Vessel!A:H, 8, FALSE), "")</f>
        <v>46351.75</v>
      </c>
      <c r="AN1116" s="939" t="str">
        <f>IFERROR(IF(VLOOKUP(AT1116,Vessel!A:I,9,FALSE)=0,"",VLOOKUP(AT1116,Vessel!A:I,9,FALSE)),"")</f>
        <v/>
      </c>
      <c r="AP1116" s="430" t="s">
        <v>7059</v>
      </c>
      <c r="AQ1116" s="438" t="s">
        <v>80</v>
      </c>
      <c r="AR1116" s="430" t="s">
        <v>7060</v>
      </c>
      <c r="AS1116" s="430" t="s">
        <v>7061</v>
      </c>
      <c r="AT1116" s="430" t="s">
        <v>7061</v>
      </c>
      <c r="AU111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52.75</v>
      </c>
      <c r="AW1116" s="437" cm="1">
        <f t="array" ref="AW111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46351.75</v>
      </c>
      <c r="AX111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16" s="437" t="str">
        <f>IF(ISERROR(PV_DATA[[#This Row],[New Ark PO status]]),"",_xlfn.XLOOKUP(PV_DATA[[#This Row],[SPTN-PVHK New Ark PO'#]],New_Ark_Data[Purchase order Number],New_Ark_Data[Estimated time of arrival],"",0))</f>
        <v/>
      </c>
      <c r="AZ1116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116" s="437">
        <f>IFERROR(PV_DATA[[#This Row],[ODP ETA Port]]+PV_DATA[[#This Row],[Customs/Leg3 Assumption]],"n/a")</f>
        <v>46351.75</v>
      </c>
      <c r="BB1116" s="433" t="s">
        <v>6325</v>
      </c>
      <c r="BC1116" s="433" t="s">
        <v>6325</v>
      </c>
      <c r="BD1116" s="430">
        <f>IFERROR(_xlfn.ISOWEEKNUM(PV_DATA[[#This Row],[ETA for New Ark update]]),0)</f>
        <v>48</v>
      </c>
      <c r="BE1116" s="430">
        <f>_xlfn.XLOOKUP(PV_DATA[[#This Row],[New Ark SKU]],Table9[New Ark SKU],Table9[Total PCS per Pallet],,0)</f>
        <v>36</v>
      </c>
      <c r="BF1116" s="430">
        <f>_xlfn.XLOOKUP(PV_DATA[[#This Row],[New Ark SKU]],Table9[New Ark SKU],Table9[Total PCS per 40HQ Container],,0)</f>
        <v>864</v>
      </c>
      <c r="BG1116" s="430" t="str">
        <f>_xlfn.XLOOKUP(PV_DATA[[#This Row],[New Ark SKU]],Table9[New Ark SKU],Table9[Back Glass],,0)</f>
        <v>Black glazing</v>
      </c>
      <c r="BH1116" s="610" t="str">
        <f>_xlfn.XLOOKUP(PV_DATA[[#This Row],[PORT DESTINATION]],Table12[PORT DESTINATION],Table12[Cosco Line],,0)</f>
        <v>AEU</v>
      </c>
    </row>
    <row r="1117" spans="1:60" s="430" customFormat="1" ht="10.5" hidden="1">
      <c r="A1117" s="462" t="s">
        <v>7062</v>
      </c>
      <c r="B1117" s="462" t="s">
        <v>1757</v>
      </c>
      <c r="C1117" s="462" t="str">
        <f>IFERROR(LEFT(PV_DATA[[#This Row],[TCL REFERENCE]],FIND(".",PV_DATA[[#This Row],[TCL REFERENCE]],1)-1),"Main Line")</f>
        <v>26Aug014</v>
      </c>
      <c r="D1117" s="462" t="s">
        <v>113</v>
      </c>
      <c r="E1117" s="462" t="s">
        <v>144</v>
      </c>
      <c r="F1117" s="462" t="str" cm="1">
        <f t="array" ref="F1117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117" s="462" t="s">
        <v>402</v>
      </c>
      <c r="H1117" s="462" t="s">
        <v>670</v>
      </c>
      <c r="I1117" s="462" t="s">
        <v>1395</v>
      </c>
      <c r="J1117" s="462" t="s">
        <v>670</v>
      </c>
      <c r="K1117" s="430" t="s">
        <v>6953</v>
      </c>
      <c r="L1117" s="430">
        <v>9</v>
      </c>
      <c r="M1117" s="430" t="s">
        <v>840</v>
      </c>
      <c r="N1117" s="432"/>
      <c r="O1117" s="430" t="s">
        <v>284</v>
      </c>
      <c r="P1117" s="430" t="s">
        <v>6856</v>
      </c>
      <c r="Q1117" s="430" t="s">
        <v>6857</v>
      </c>
      <c r="R1117" s="430" t="str">
        <f>_xlfn.XLOOKUP(PV_DATA[[#This Row],[New Ark SKU]],Table9[New Ark SKU],Table9[Connector],,0)</f>
        <v>EVO2A</v>
      </c>
      <c r="S1117" s="433" t="str">
        <f>_xlfn.XLOOKUP(PV_DATA[[#This Row],[New Ark SKU]],Table9[New Ark SKU],Table9[Cable],,0)</f>
        <v>±1200mm</v>
      </c>
      <c r="T1117" s="433">
        <v>485</v>
      </c>
      <c r="U1117" s="1062">
        <v>8424</v>
      </c>
      <c r="V1117" s="434">
        <f>PV_DATA[[#This Row],[QUANTITY]]*PV_DATA[[#This Row],[WATT]]/1000000</f>
        <v>4.0856399999999997</v>
      </c>
      <c r="W1117" s="435">
        <f>PV_DATA[[#This Row],[QUANTITY]]/36</f>
        <v>234</v>
      </c>
      <c r="X1117" s="1015">
        <f>PV_DATA[[#This Row],[QUANTITY]]/PV_DATA[[#This Row],[Qty/CT]]</f>
        <v>9</v>
      </c>
      <c r="Y1117" s="430" t="s">
        <v>4382</v>
      </c>
      <c r="Z1117" s="430" t="str">
        <f t="shared" si="21"/>
        <v>IN-TRANSIT</v>
      </c>
      <c r="AA1117" s="430" t="s">
        <v>7063</v>
      </c>
      <c r="AB1117" s="437">
        <v>46296</v>
      </c>
      <c r="AC1117" s="485">
        <f>IF(PV_DATA[[#This Row],[Pick-Up Date]]&lt;&gt;"",_xlfn.ISOWEEKNUM(PV_DATA[[#This Row],[Pick-Up Date]]),"")</f>
        <v>40</v>
      </c>
      <c r="AD1117" s="430" t="s">
        <v>7064</v>
      </c>
      <c r="AF1117" s="459" t="s">
        <v>5864</v>
      </c>
      <c r="AG1117" s="430" t="s">
        <v>122</v>
      </c>
      <c r="AH1117" s="430" t="s">
        <v>105</v>
      </c>
      <c r="AI1117" s="437">
        <v>46301</v>
      </c>
      <c r="AJ1117" s="437">
        <f>IFERROR(VLOOKUP(AT1117, Vessel!A:D, 4, FALSE), "")</f>
        <v>46300.833333333336</v>
      </c>
      <c r="AK1117" s="437">
        <v>46300</v>
      </c>
      <c r="AL1117" s="437">
        <v>46336</v>
      </c>
      <c r="AM1117" s="939">
        <f>IFERROR(VLOOKUP(AT1117, Vessel!A:H, 8, FALSE), "")</f>
        <v>46342.083333333336</v>
      </c>
      <c r="AN1117" s="939" t="str">
        <f>IFERROR(IF(VLOOKUP(AT1117,Vessel!A:I,9,FALSE)=0,"",VLOOKUP(AT1117,Vessel!A:I,9,FALSE)),"")</f>
        <v/>
      </c>
      <c r="AP1117" s="430" t="s">
        <v>7065</v>
      </c>
      <c r="AQ1117" s="438" t="s">
        <v>80</v>
      </c>
      <c r="AR1117" s="430" t="s">
        <v>7066</v>
      </c>
      <c r="AS1117" s="430" t="s">
        <v>7067</v>
      </c>
      <c r="AT1117" s="430" t="s">
        <v>7067</v>
      </c>
      <c r="AU111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42.083333333335759</v>
      </c>
      <c r="AW1117" s="437" cm="1">
        <f t="array" ref="AW111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46342.083333333336</v>
      </c>
      <c r="AX111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17" s="437" t="str">
        <f>IF(ISERROR(PV_DATA[[#This Row],[New Ark PO status]]),"",_xlfn.XLOOKUP(PV_DATA[[#This Row],[SPTN-PVHK New Ark PO'#]],New_Ark_Data[Purchase order Number],New_Ark_Data[Estimated time of arrival],"",0))</f>
        <v/>
      </c>
      <c r="AZ1117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117" s="437">
        <f>IFERROR(PV_DATA[[#This Row],[ODP ETA Port]]+PV_DATA[[#This Row],[Customs/Leg3 Assumption]],"n/a")</f>
        <v>46342.083333333336</v>
      </c>
      <c r="BB1117" s="433">
        <f>YEAR(PV_DATA[[#This Row],[ETA for New Ark update]])</f>
        <v>2026</v>
      </c>
      <c r="BC1117" s="430">
        <f>MONTH(PV_DATA[[#This Row],[ETA for New Ark update]])</f>
        <v>11</v>
      </c>
      <c r="BD1117" s="430">
        <f>IFERROR(_xlfn.ISOWEEKNUM(PV_DATA[[#This Row],[ETA for New Ark update]]),0)</f>
        <v>47</v>
      </c>
      <c r="BE1117" s="430">
        <f>_xlfn.XLOOKUP(PV_DATA[[#This Row],[New Ark SKU]],Table9[New Ark SKU],Table9[Total PCS per Pallet],,0)</f>
        <v>36</v>
      </c>
      <c r="BF1117" s="430">
        <f>_xlfn.XLOOKUP(PV_DATA[[#This Row],[New Ark SKU]],Table9[New Ark SKU],Table9[Total PCS per 40HQ Container],,0)</f>
        <v>936</v>
      </c>
      <c r="BG1117" s="430" t="str">
        <f>_xlfn.XLOOKUP(PV_DATA[[#This Row],[New Ark SKU]],Table9[New Ark SKU],Table9[Back Glass],,0)</f>
        <v>Black glazing</v>
      </c>
      <c r="BH1117" s="430" t="str">
        <f>_xlfn.XLOOKUP(PV_DATA[[#This Row],[PORT DESTINATION]],Table12[PORT DESTINATION],Table12[Cosco Line],,0)</f>
        <v>AEU</v>
      </c>
    </row>
    <row r="1118" spans="1:60" s="430" customFormat="1" ht="13.5" hidden="1" customHeight="1">
      <c r="A1118" s="729" t="s">
        <v>7068</v>
      </c>
      <c r="B1118" s="462" t="s">
        <v>111</v>
      </c>
      <c r="C1118" s="462" t="str">
        <f>IFERROR(LEFT(PV_DATA[[#This Row],[TCL REFERENCE]],FIND(".",PV_DATA[[#This Row],[TCL REFERENCE]],1)-1),"Main Line")</f>
        <v>26Aug016</v>
      </c>
      <c r="D1118" s="462" t="s">
        <v>63</v>
      </c>
      <c r="E1118" s="462" t="s">
        <v>64</v>
      </c>
      <c r="F1118" s="462" t="str" cm="1">
        <f t="array" ref="F111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18" s="462" t="s">
        <v>402</v>
      </c>
      <c r="H1118" s="462" t="s">
        <v>67</v>
      </c>
      <c r="I1118" s="462" t="s">
        <v>689</v>
      </c>
      <c r="J1118" s="430" t="s">
        <v>96</v>
      </c>
      <c r="M1118" s="430" t="s">
        <v>68</v>
      </c>
      <c r="N1118" s="432">
        <v>46282</v>
      </c>
      <c r="O1118" s="430" t="s">
        <v>550</v>
      </c>
      <c r="P1118" s="430" t="s">
        <v>2134</v>
      </c>
      <c r="Q1118" s="430" t="s">
        <v>2135</v>
      </c>
      <c r="R1118" s="430" t="str">
        <f>_xlfn.XLOOKUP(PV_DATA[[#This Row],[New Ark SKU]],Table9[New Ark SKU],Table9[Connector],,0)</f>
        <v>EVO2A</v>
      </c>
      <c r="S1118" s="433" t="str">
        <f>_xlfn.XLOOKUP(PV_DATA[[#This Row],[New Ark SKU]],Table9[New Ark SKU],Table9[Cable],,0)</f>
        <v>±1350mm</v>
      </c>
      <c r="T1118" s="433">
        <v>515</v>
      </c>
      <c r="U1118" s="1062">
        <v>3960</v>
      </c>
      <c r="V1118" s="434">
        <f>PV_DATA[[#This Row],[QUANTITY]]*PV_DATA[[#This Row],[WATT]]/1000000</f>
        <v>2.0394000000000001</v>
      </c>
      <c r="W1118" s="435">
        <f>PV_DATA[[#This Row],[QUANTITY]]/PV_DATA[[#This Row],[Qty/Pallet]]</f>
        <v>110</v>
      </c>
      <c r="X1118" s="1015">
        <f>PV_DATA[[#This Row],[QUANTITY]]/PV_DATA[[#This Row],[Qty/CT]]</f>
        <v>5</v>
      </c>
      <c r="Y1118" s="430" t="s">
        <v>4382</v>
      </c>
      <c r="Z1118" s="430" t="str">
        <f t="shared" si="21"/>
        <v>IN-TRANSIT</v>
      </c>
      <c r="AA1118" s="545">
        <v>46295</v>
      </c>
      <c r="AB1118" s="437">
        <v>46295</v>
      </c>
      <c r="AC1118" s="485">
        <f>IF(PV_DATA[[#This Row],[Pick-Up Date]]&lt;&gt;"",_xlfn.ISOWEEKNUM(PV_DATA[[#This Row],[Pick-Up Date]]),"")</f>
        <v>40</v>
      </c>
      <c r="AD1118" s="430" t="s">
        <v>7069</v>
      </c>
      <c r="AF1118" s="430" t="s">
        <v>122</v>
      </c>
      <c r="AG1118" s="430" t="s">
        <v>122</v>
      </c>
      <c r="AH1118" s="430" t="s">
        <v>105</v>
      </c>
      <c r="AI1118" s="437">
        <v>46301</v>
      </c>
      <c r="AJ1118" s="437">
        <v>46299</v>
      </c>
      <c r="AK1118" s="437">
        <v>46303</v>
      </c>
      <c r="AL1118" s="437">
        <v>46337</v>
      </c>
      <c r="AM1118" s="939" t="str">
        <f>IFERROR(VLOOKUP(AT1118, Vessel!A:H, 8, FALSE), "")</f>
        <v/>
      </c>
      <c r="AN1118" s="939" t="str">
        <f>IFERROR(IF(VLOOKUP(AT1118,Vessel!A:I,9,FALSE)=0,"",VLOOKUP(AT1118,Vessel!A:I,9,FALSE)),"")</f>
        <v/>
      </c>
      <c r="AP1118" s="430" t="s">
        <v>6988</v>
      </c>
      <c r="AQ1118" s="438" t="s">
        <v>161</v>
      </c>
      <c r="AR1118" s="430" t="s">
        <v>7070</v>
      </c>
      <c r="AS1118" s="430" t="s">
        <v>7071</v>
      </c>
      <c r="AT1118" s="430" t="s">
        <v>7071</v>
      </c>
      <c r="AU111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34</v>
      </c>
      <c r="AW1118" s="437" cm="1">
        <f t="array" ref="AW111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46337</v>
      </c>
      <c r="AX111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18" s="437" t="str">
        <f>IF(ISERROR(PV_DATA[[#This Row],[New Ark PO status]]),"",_xlfn.XLOOKUP(PV_DATA[[#This Row],[SPTN-PVHK New Ark PO'#]],New_Ark_Data[Purchase order Number],New_Ark_Data[Estimated time of arrival],"",0))</f>
        <v/>
      </c>
      <c r="AZ1118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18" s="437">
        <f>IFERROR(PV_DATA[[#This Row],[ODP ETA Port]]+PV_DATA[[#This Row],[Customs/Leg3 Assumption]],"n/a")</f>
        <v>46344</v>
      </c>
      <c r="BB1118" s="433" t="s">
        <v>6545</v>
      </c>
      <c r="BC1118" s="433" t="s">
        <v>6545</v>
      </c>
      <c r="BD1118" s="430">
        <f>IFERROR(_xlfn.ISOWEEKNUM(PV_DATA[[#This Row],[ETA for New Ark update]]),0)</f>
        <v>47</v>
      </c>
      <c r="BE1118" s="430">
        <f>_xlfn.XLOOKUP(PV_DATA[[#This Row],[New Ark SKU]],Table9[New Ark SKU],Table9[Total PCS per Pallet],,0)</f>
        <v>36</v>
      </c>
      <c r="BF1118" s="430">
        <f>_xlfn.XLOOKUP(PV_DATA[[#This Row],[New Ark SKU]],Table9[New Ark SKU],Table9[Total PCS per 40HQ Container],,0)</f>
        <v>792</v>
      </c>
      <c r="BG1118" s="430" t="str">
        <f>_xlfn.XLOOKUP(PV_DATA[[#This Row],[New Ark SKU]],Table9[New Ark SKU],Table9[Back Glass],,0)</f>
        <v>Black glazing</v>
      </c>
      <c r="BH1118" s="610" t="str">
        <f>_xlfn.XLOOKUP(PV_DATA[[#This Row],[PORT DESTINATION]],Table12[PORT DESTINATION],Table12[Cosco Line],,0)</f>
        <v>AEU</v>
      </c>
    </row>
    <row r="1119" spans="1:60" s="430" customFormat="1" ht="10.5" hidden="1">
      <c r="A1119" s="729" t="s">
        <v>7072</v>
      </c>
      <c r="B1119" s="462" t="s">
        <v>1757</v>
      </c>
      <c r="C1119" s="462" t="str">
        <f>IFERROR(LEFT(PV_DATA[[#This Row],[TCL REFERENCE]],FIND(".",PV_DATA[[#This Row],[TCL REFERENCE]],1)-1),"Main Line")</f>
        <v>26Aug014</v>
      </c>
      <c r="D1119" s="462" t="s">
        <v>113</v>
      </c>
      <c r="E1119" s="462" t="s">
        <v>144</v>
      </c>
      <c r="F1119" s="462" t="str" cm="1">
        <f t="array" ref="F1119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119" s="462" t="s">
        <v>402</v>
      </c>
      <c r="H1119" s="462" t="s">
        <v>670</v>
      </c>
      <c r="I1119" s="462" t="s">
        <v>1395</v>
      </c>
      <c r="J1119" s="462" t="s">
        <v>670</v>
      </c>
      <c r="K1119" s="430" t="s">
        <v>6848</v>
      </c>
      <c r="L1119" s="430">
        <v>14</v>
      </c>
      <c r="M1119" s="430" t="s">
        <v>840</v>
      </c>
      <c r="N1119" s="432"/>
      <c r="O1119" s="430" t="s">
        <v>284</v>
      </c>
      <c r="P1119" s="430" t="s">
        <v>6856</v>
      </c>
      <c r="Q1119" s="430" t="s">
        <v>6857</v>
      </c>
      <c r="R1119" s="430" t="str">
        <f>_xlfn.XLOOKUP(PV_DATA[[#This Row],[New Ark SKU]],Table9[New Ark SKU],Table9[Connector],,0)</f>
        <v>EVO2A</v>
      </c>
      <c r="S1119" s="433" t="str">
        <f>_xlfn.XLOOKUP(PV_DATA[[#This Row],[New Ark SKU]],Table9[New Ark SKU],Table9[Cable],,0)</f>
        <v>±1200mm</v>
      </c>
      <c r="T1119" s="433">
        <v>485</v>
      </c>
      <c r="U1119" s="1062">
        <f>936*8</f>
        <v>7488</v>
      </c>
      <c r="V1119" s="434">
        <f>PV_DATA[[#This Row],[QUANTITY]]*PV_DATA[[#This Row],[WATT]]/1000000</f>
        <v>3.6316799999999998</v>
      </c>
      <c r="W1119" s="435">
        <f>PV_DATA[[#This Row],[QUANTITY]]/36</f>
        <v>208</v>
      </c>
      <c r="X1119" s="1015">
        <f>PV_DATA[[#This Row],[QUANTITY]]/PV_DATA[[#This Row],[Qty/CT]]</f>
        <v>8</v>
      </c>
      <c r="Y1119" s="430" t="s">
        <v>4381</v>
      </c>
      <c r="Z1119" s="430" t="str">
        <f t="shared" si="21"/>
        <v>IN-TRANSIT</v>
      </c>
      <c r="AA1119" s="430" t="s">
        <v>7073</v>
      </c>
      <c r="AB1119" s="437">
        <v>46294</v>
      </c>
      <c r="AC1119" s="485">
        <f>IF(PV_DATA[[#This Row],[Pick-Up Date]]&lt;&gt;"",_xlfn.ISOWEEKNUM(PV_DATA[[#This Row],[Pick-Up Date]]),"")</f>
        <v>40</v>
      </c>
      <c r="AD1119" s="430" t="s">
        <v>7074</v>
      </c>
      <c r="AF1119" s="459" t="s">
        <v>5864</v>
      </c>
      <c r="AG1119" s="430" t="s">
        <v>122</v>
      </c>
      <c r="AH1119" s="430" t="s">
        <v>105</v>
      </c>
      <c r="AI1119" s="437">
        <v>46302</v>
      </c>
      <c r="AJ1119" s="437">
        <f>IFERROR(VLOOKUP(AT1119, Vessel!A:D, 4, FALSE), "")</f>
        <v>46301.333333333336</v>
      </c>
      <c r="AK1119" s="437">
        <v>46300</v>
      </c>
      <c r="AL1119" s="543">
        <v>46347</v>
      </c>
      <c r="AM1119" s="939">
        <f>IFERROR(VLOOKUP(AT1119, Vessel!A:H, 8, FALSE), "")</f>
        <v>46344.82916666667</v>
      </c>
      <c r="AN1119" s="939" t="str">
        <f>IFERROR(IF(VLOOKUP(AT1119,Vessel!A:I,9,FALSE)=0,"",VLOOKUP(AT1119,Vessel!A:I,9,FALSE)),"")</f>
        <v/>
      </c>
      <c r="AP1119" s="430" t="s">
        <v>7075</v>
      </c>
      <c r="AQ1119" s="438" t="s">
        <v>80</v>
      </c>
      <c r="AR1119" s="430" t="s">
        <v>7076</v>
      </c>
      <c r="AS1119" s="430" t="s">
        <v>7077</v>
      </c>
      <c r="AT1119" s="430" t="s">
        <v>7077</v>
      </c>
      <c r="AU111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44.829166666670062</v>
      </c>
      <c r="AW1119" s="437" cm="1">
        <f t="array" ref="AW111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46344.82916666667</v>
      </c>
      <c r="AX111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19" s="437" t="str">
        <f>IF(ISERROR(PV_DATA[[#This Row],[New Ark PO status]]),"",_xlfn.XLOOKUP(PV_DATA[[#This Row],[SPTN-PVHK New Ark PO'#]],New_Ark_Data[Purchase order Number],New_Ark_Data[Estimated time of arrival],"",0))</f>
        <v/>
      </c>
      <c r="AZ1119" s="433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119" s="437">
        <f>IFERROR(PV_DATA[[#This Row],[ODP ETA Port]]+PV_DATA[[#This Row],[Customs/Leg3 Assumption]],"n/a")</f>
        <v>46344.82916666667</v>
      </c>
      <c r="BB1119" s="433">
        <f>YEAR(PV_DATA[[#This Row],[ETA for New Ark update]])</f>
        <v>2026</v>
      </c>
      <c r="BC1119" s="430">
        <f>MONTH(PV_DATA[[#This Row],[ETA for New Ark update]])</f>
        <v>11</v>
      </c>
      <c r="BD1119" s="430">
        <f>IFERROR(_xlfn.ISOWEEKNUM(PV_DATA[[#This Row],[ETA for New Ark update]]),0)</f>
        <v>47</v>
      </c>
      <c r="BE1119" s="430">
        <f>_xlfn.XLOOKUP(PV_DATA[[#This Row],[New Ark SKU]],Table9[New Ark SKU],Table9[Total PCS per Pallet],,0)</f>
        <v>36</v>
      </c>
      <c r="BF1119" s="430">
        <f>_xlfn.XLOOKUP(PV_DATA[[#This Row],[New Ark SKU]],Table9[New Ark SKU],Table9[Total PCS per 40HQ Container],,0)</f>
        <v>936</v>
      </c>
      <c r="BG1119" s="430" t="str">
        <f>_xlfn.XLOOKUP(PV_DATA[[#This Row],[New Ark SKU]],Table9[New Ark SKU],Table9[Back Glass],,0)</f>
        <v>Black glazing</v>
      </c>
      <c r="BH1119" s="610" t="str">
        <f>_xlfn.XLOOKUP(PV_DATA[[#This Row],[PORT DESTINATION]],Table12[PORT DESTINATION],Table12[Cosco Line],,0)</f>
        <v>AEU</v>
      </c>
    </row>
    <row r="1120" spans="1:60" s="430" customFormat="1" ht="10.5" hidden="1">
      <c r="A1120" s="729" t="s">
        <v>7078</v>
      </c>
      <c r="B1120" s="462" t="s">
        <v>6670</v>
      </c>
      <c r="C1120" s="462" t="str">
        <f>IFERROR(LEFT(PV_DATA[[#This Row],[TCL REFERENCE]],FIND(".",PV_DATA[[#This Row],[TCL REFERENCE]],1)-1),"Main Line")</f>
        <v>26Aug005</v>
      </c>
      <c r="D1120" s="462" t="s">
        <v>63</v>
      </c>
      <c r="E1120" s="462" t="s">
        <v>64</v>
      </c>
      <c r="F1120" s="462" t="str" cm="1">
        <f t="array" ref="F112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20" s="462" t="s">
        <v>402</v>
      </c>
      <c r="H1120" s="462" t="s">
        <v>67</v>
      </c>
      <c r="I1120" s="462" t="s">
        <v>689</v>
      </c>
      <c r="J1120" s="430" t="s">
        <v>96</v>
      </c>
      <c r="M1120" s="430" t="s">
        <v>6545</v>
      </c>
      <c r="N1120" s="432">
        <v>46258</v>
      </c>
      <c r="O1120" s="430" t="s">
        <v>4540</v>
      </c>
      <c r="P1120" s="430" t="s">
        <v>706</v>
      </c>
      <c r="Q1120" s="430" t="s">
        <v>707</v>
      </c>
      <c r="R1120" s="430" t="str">
        <f>_xlfn.XLOOKUP(PV_DATA[[#This Row],[New Ark SKU]],Table9[New Ark SKU],Table9[Connector],,0)</f>
        <v>EVO2A</v>
      </c>
      <c r="S1120" s="433" t="str">
        <f>_xlfn.XLOOKUP(PV_DATA[[#This Row],[New Ark SKU]],Table9[New Ark SKU],Table9[Cable],,0)</f>
        <v>±1200mm</v>
      </c>
      <c r="T1120" s="433">
        <v>500</v>
      </c>
      <c r="U1120" s="1062">
        <v>864</v>
      </c>
      <c r="V1120" s="434">
        <f>PV_DATA[[#This Row],[QUANTITY]]*PV_DATA[[#This Row],[WATT]]/1000000</f>
        <v>0.432</v>
      </c>
      <c r="W1120" s="435">
        <f>PV_DATA[[#This Row],[QUANTITY]]/PV_DATA[[#This Row],[Qty/Pallet]]</f>
        <v>24</v>
      </c>
      <c r="X1120" s="1015">
        <f>PV_DATA[[#This Row],[QUANTITY]]/PV_DATA[[#This Row],[Qty/CT]]</f>
        <v>1</v>
      </c>
      <c r="Y1120" s="430" t="s">
        <v>4379</v>
      </c>
      <c r="Z1120" s="430" t="str">
        <f t="shared" si="21"/>
        <v>IN-TRANSIT</v>
      </c>
      <c r="AA1120" s="545">
        <v>46280</v>
      </c>
      <c r="AB1120" s="437">
        <v>46295</v>
      </c>
      <c r="AC1120" s="485">
        <f>IF(PV_DATA[[#This Row],[Pick-Up Date]]&lt;&gt;"",_xlfn.ISOWEEKNUM(PV_DATA[[#This Row],[Pick-Up Date]]),"")</f>
        <v>40</v>
      </c>
      <c r="AD1120" s="430" t="s">
        <v>7079</v>
      </c>
      <c r="AF1120" s="430" t="s">
        <v>122</v>
      </c>
      <c r="AG1120" s="430" t="s">
        <v>123</v>
      </c>
      <c r="AH1120" s="430" t="s">
        <v>78</v>
      </c>
      <c r="AI1120" s="437">
        <v>46301</v>
      </c>
      <c r="AJ1120" s="437">
        <f>IFERROR(VLOOKUP(AT1120, Vessel!A:D, 4, FALSE), "")</f>
        <v>46306.5</v>
      </c>
      <c r="AK1120" s="437">
        <f>IFERROR(IF(VLOOKUP(AT1120,Vessel!A:F,5,FALSE)=0,"",VLOOKUP(AT1120,Vessel!A:F,5,FALSE)),"")</f>
        <v>46306.195543981485</v>
      </c>
      <c r="AL1120" s="437">
        <v>46344</v>
      </c>
      <c r="AM1120" s="939">
        <f>IFERROR(VLOOKUP(AT1120, Vessel!A:H, 8, FALSE), "")</f>
        <v>46346.25</v>
      </c>
      <c r="AN1120" s="939" t="str">
        <f>IFERROR(IF(VLOOKUP(AT1120,Vessel!A:I,9,FALSE)=0,"",VLOOKUP(AT1120,Vessel!A:I,9,FALSE)),"")</f>
        <v/>
      </c>
      <c r="AP1120" s="430" t="s">
        <v>7080</v>
      </c>
      <c r="AQ1120" s="438" t="s">
        <v>80</v>
      </c>
      <c r="AR1120" s="430" t="s">
        <v>7081</v>
      </c>
      <c r="AS1120" s="430" t="s">
        <v>7082</v>
      </c>
      <c r="AT1120" s="430" t="s">
        <v>7082</v>
      </c>
      <c r="AU112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40.054456018515339</v>
      </c>
      <c r="AW1120" s="437" cm="1">
        <f t="array" ref="AW112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46346.25</v>
      </c>
      <c r="AX112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20" s="437" t="str">
        <f>IF(ISERROR(PV_DATA[[#This Row],[New Ark PO status]]),"",_xlfn.XLOOKUP(PV_DATA[[#This Row],[SPTN-PVHK New Ark PO'#]],New_Ark_Data[Purchase order Number],New_Ark_Data[Estimated time of arrival],"",0))</f>
        <v/>
      </c>
      <c r="AZ1120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20" s="437">
        <f>IFERROR(PV_DATA[[#This Row],[ODP ETA Port]]+PV_DATA[[#This Row],[Customs/Leg3 Assumption]],"n/a")</f>
        <v>46354.25</v>
      </c>
      <c r="BB1120" s="433">
        <f>YEAR(PV_DATA[[#This Row],[ETA for New Ark update]])</f>
        <v>2026</v>
      </c>
      <c r="BC1120" s="430">
        <f>MONTH(PV_DATA[[#This Row],[ETA for New Ark update]])</f>
        <v>11</v>
      </c>
      <c r="BD1120" s="430">
        <f>IFERROR(_xlfn.ISOWEEKNUM(PV_DATA[[#This Row],[ETA for New Ark update]]),0)</f>
        <v>48</v>
      </c>
      <c r="BE1120" s="430">
        <f>_xlfn.XLOOKUP(PV_DATA[[#This Row],[New Ark SKU]],Table9[New Ark SKU],Table9[Total PCS per Pallet],,0)</f>
        <v>36</v>
      </c>
      <c r="BF1120" s="430">
        <f>_xlfn.XLOOKUP(PV_DATA[[#This Row],[New Ark SKU]],Table9[New Ark SKU],Table9[Total PCS per 40HQ Container],,0)</f>
        <v>864</v>
      </c>
      <c r="BG1120" s="430" t="str">
        <f>_xlfn.XLOOKUP(PV_DATA[[#This Row],[New Ark SKU]],Table9[New Ark SKU],Table9[Back Glass],,0)</f>
        <v>Black glazing</v>
      </c>
      <c r="BH1120" s="610" t="str">
        <f>_xlfn.XLOOKUP(PV_DATA[[#This Row],[PORT DESTINATION]],Table12[PORT DESTINATION],Table12[Cosco Line],,0)</f>
        <v>AEM</v>
      </c>
    </row>
    <row r="1121" spans="1:62" ht="13.5" hidden="1" customHeight="1">
      <c r="A1121" s="729" t="s">
        <v>7083</v>
      </c>
      <c r="B1121" s="462" t="s">
        <v>111</v>
      </c>
      <c r="C1121" s="462" t="str">
        <f>IFERROR(LEFT(PV_DATA[[#This Row],[TCL REFERENCE]],FIND(".",PV_DATA[[#This Row],[TCL REFERENCE]],1)-1),"Main Line")</f>
        <v>26Aug015</v>
      </c>
      <c r="D1121" s="462" t="s">
        <v>63</v>
      </c>
      <c r="E1121" s="462" t="s">
        <v>64</v>
      </c>
      <c r="F1121" s="462" t="str" cm="1">
        <f t="array" ref="F112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21" s="462" t="s">
        <v>402</v>
      </c>
      <c r="H1121" s="462" t="s">
        <v>67</v>
      </c>
      <c r="I1121" s="462" t="s">
        <v>689</v>
      </c>
      <c r="J1121" s="430" t="s">
        <v>96</v>
      </c>
      <c r="K1121" s="430"/>
      <c r="L1121" s="430"/>
      <c r="M1121" s="430" t="s">
        <v>68</v>
      </c>
      <c r="N1121" s="432">
        <v>46285</v>
      </c>
      <c r="O1121" s="430" t="s">
        <v>550</v>
      </c>
      <c r="P1121" s="430" t="s">
        <v>551</v>
      </c>
      <c r="Q1121" s="430" t="s">
        <v>2151</v>
      </c>
      <c r="R1121" s="430" t="str">
        <f>_xlfn.XLOOKUP(PV_DATA[[#This Row],[New Ark SKU]],Table9[New Ark SKU],Table9[Connector],,0)</f>
        <v>EVO2A</v>
      </c>
      <c r="S1121" s="433" t="str">
        <f>_xlfn.XLOOKUP(PV_DATA[[#This Row],[New Ark SKU]],Table9[New Ark SKU],Table9[Cable],,0)</f>
        <v>±1350mm</v>
      </c>
      <c r="T1121" s="433">
        <v>510</v>
      </c>
      <c r="U1121" s="1062">
        <v>2376</v>
      </c>
      <c r="V1121" s="434">
        <f>PV_DATA[[#This Row],[QUANTITY]]*PV_DATA[[#This Row],[WATT]]/1000000</f>
        <v>1.2117599999999999</v>
      </c>
      <c r="W1121" s="435">
        <f>PV_DATA[[#This Row],[QUANTITY]]/PV_DATA[[#This Row],[Qty/Pallet]]</f>
        <v>66</v>
      </c>
      <c r="X1121" s="1015">
        <f>PV_DATA[[#This Row],[QUANTITY]]/PV_DATA[[#This Row],[Qty/CT]]</f>
        <v>3</v>
      </c>
      <c r="Y1121" s="430" t="s">
        <v>4384</v>
      </c>
      <c r="Z1121" s="430" t="str">
        <f t="shared" si="21"/>
        <v>IN-TRANSIT</v>
      </c>
      <c r="AA1121" s="545">
        <v>46295</v>
      </c>
      <c r="AB1121" s="437">
        <v>46295</v>
      </c>
      <c r="AC1121" s="485">
        <f>IF(PV_DATA[[#This Row],[Pick-Up Date]]&lt;&gt;"",_xlfn.ISOWEEKNUM(PV_DATA[[#This Row],[Pick-Up Date]]),"")</f>
        <v>40</v>
      </c>
      <c r="AD1121" s="430" t="s">
        <v>7084</v>
      </c>
      <c r="AE1121" s="430"/>
      <c r="AF1121" s="430" t="s">
        <v>122</v>
      </c>
      <c r="AG1121" s="430" t="s">
        <v>122</v>
      </c>
      <c r="AH1121" s="430" t="s">
        <v>78</v>
      </c>
      <c r="AI1121" s="437">
        <v>46301</v>
      </c>
      <c r="AJ1121" s="437">
        <f>IFERROR(VLOOKUP(AT1121, Vessel!A:D, 4, FALSE), "")</f>
        <v>46306.5</v>
      </c>
      <c r="AK1121" s="437">
        <f>IFERROR(IF(VLOOKUP(AT1121,Vessel!A:F,5,FALSE)=0,"",VLOOKUP(AT1121,Vessel!A:F,5,FALSE)),"")</f>
        <v>46306.195543981485</v>
      </c>
      <c r="AL1121" s="437">
        <v>46344</v>
      </c>
      <c r="AM1121" s="939">
        <f>IFERROR(VLOOKUP(AT1121, Vessel!A:H, 8, FALSE), "")</f>
        <v>46346.25</v>
      </c>
      <c r="AN1121" s="939" t="str">
        <f>IFERROR(IF(VLOOKUP(AT1121,Vessel!A:I,9,FALSE)=0,"",VLOOKUP(AT1121,Vessel!A:I,9,FALSE)),"")</f>
        <v/>
      </c>
      <c r="AP1121" s="430" t="s">
        <v>7080</v>
      </c>
      <c r="AQ1121" s="438" t="s">
        <v>80</v>
      </c>
      <c r="AR1121" s="430" t="s">
        <v>7081</v>
      </c>
      <c r="AS1121" s="430" t="s">
        <v>7082</v>
      </c>
      <c r="AT1121" s="430" t="s">
        <v>7082</v>
      </c>
      <c r="AU112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40.054456018515339</v>
      </c>
      <c r="AW1121" s="437" cm="1">
        <f t="array" ref="AW112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46346.25</v>
      </c>
      <c r="AX112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21" s="437" t="str">
        <f>IF(ISERROR(PV_DATA[[#This Row],[New Ark PO status]]),"",_xlfn.XLOOKUP(PV_DATA[[#This Row],[SPTN-PVHK New Ark PO'#]],New_Ark_Data[Purchase order Number],New_Ark_Data[Estimated time of arrival],"",0))</f>
        <v/>
      </c>
      <c r="AZ1121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21" s="437">
        <f>IFERROR(PV_DATA[[#This Row],[ODP ETA Port]]+PV_DATA[[#This Row],[Customs/Leg3 Assumption]],"n/a")</f>
        <v>46354.25</v>
      </c>
      <c r="BB1121" s="433" t="s">
        <v>6545</v>
      </c>
      <c r="BC1121" s="433" t="s">
        <v>6545</v>
      </c>
      <c r="BD1121" s="430">
        <f>IFERROR(_xlfn.ISOWEEKNUM(PV_DATA[[#This Row],[ETA for New Ark update]]),0)</f>
        <v>48</v>
      </c>
      <c r="BE1121" s="430">
        <f>_xlfn.XLOOKUP(PV_DATA[[#This Row],[New Ark SKU]],Table9[New Ark SKU],Table9[Total PCS per Pallet],,0)</f>
        <v>36</v>
      </c>
      <c r="BF1121" s="430">
        <f>_xlfn.XLOOKUP(PV_DATA[[#This Row],[New Ark SKU]],Table9[New Ark SKU],Table9[Total PCS per 40HQ Container],,0)</f>
        <v>792</v>
      </c>
      <c r="BG1121" s="430" t="str">
        <f>_xlfn.XLOOKUP(PV_DATA[[#This Row],[New Ark SKU]],Table9[New Ark SKU],Table9[Back Glass],,0)</f>
        <v>Black glazing</v>
      </c>
      <c r="BH1121" s="610" t="str">
        <f>_xlfn.XLOOKUP(PV_DATA[[#This Row],[PORT DESTINATION]],Table12[PORT DESTINATION],Table12[Cosco Line],,0)</f>
        <v>AEM</v>
      </c>
      <c r="BJ1121" s="430"/>
    </row>
    <row r="1122" spans="1:62" ht="10.5" hidden="1">
      <c r="A1122" s="941" t="s">
        <v>7085</v>
      </c>
      <c r="B1122" s="935" t="s">
        <v>111</v>
      </c>
      <c r="C1122" s="462" t="str">
        <f>IFERROR(LEFT(PV_DATA[[#This Row],[TCL REFERENCE]],FIND(".",PV_DATA[[#This Row],[TCL REFERENCE]],1)-1),"Main Line")</f>
        <v>26Aug010</v>
      </c>
      <c r="D1122" s="935" t="s">
        <v>113</v>
      </c>
      <c r="E1122" s="462" t="s">
        <v>144</v>
      </c>
      <c r="F1122" s="462" t="str" cm="1">
        <f t="array" ref="F112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122" s="462" t="s">
        <v>402</v>
      </c>
      <c r="H1122" s="462" t="s">
        <v>7086</v>
      </c>
      <c r="I1122" s="462" t="s">
        <v>689</v>
      </c>
      <c r="J1122" s="430" t="s">
        <v>7086</v>
      </c>
      <c r="K1122" s="623"/>
      <c r="L1122" s="623"/>
      <c r="M1122" s="430" t="s">
        <v>840</v>
      </c>
      <c r="N1122" s="1053"/>
      <c r="O1122" s="623" t="s">
        <v>4540</v>
      </c>
      <c r="P1122" s="623" t="s">
        <v>6245</v>
      </c>
      <c r="Q1122" s="623" t="s">
        <v>330</v>
      </c>
      <c r="R1122" s="430" t="str">
        <f>_xlfn.XLOOKUP(PV_DATA[[#This Row],[New Ark SKU]],Table9[New Ark SKU],Table9[Connector],,0)</f>
        <v>H4(Com)</v>
      </c>
      <c r="S1122" s="433" t="str">
        <f>_xlfn.XLOOKUP(PV_DATA[[#This Row],[New Ark SKU]],Table9[New Ark SKU],Table9[Cable],,0)</f>
        <v>+400mm/-200mm</v>
      </c>
      <c r="T1122" s="964">
        <v>625</v>
      </c>
      <c r="U1122" s="1062">
        <f>720*1</f>
        <v>720</v>
      </c>
      <c r="V1122" s="965">
        <f>PV_DATA[[#This Row],[QUANTITY]]*PV_DATA[[#This Row],[WATT]]/1000000</f>
        <v>0.45</v>
      </c>
      <c r="W1122" s="435">
        <f>PV_DATA[[#This Row],[QUANTITY]]/36</f>
        <v>20</v>
      </c>
      <c r="X1122" s="1153">
        <f>PV_DATA[[#This Row],[QUANTITY]]/PV_DATA[[#This Row],[Qty/CT]]</f>
        <v>1</v>
      </c>
      <c r="Y1122" s="430" t="s">
        <v>4381</v>
      </c>
      <c r="Z1122" s="430" t="str">
        <f t="shared" si="21"/>
        <v>COMPLETED</v>
      </c>
      <c r="AA1122" s="623" t="s">
        <v>5862</v>
      </c>
      <c r="AB1122" s="966">
        <v>46283</v>
      </c>
      <c r="AC1122" s="1154">
        <f>IF(PV_DATA[[#This Row],[Pick-Up Date]]&lt;&gt;"",_xlfn.ISOWEEKNUM(PV_DATA[[#This Row],[Pick-Up Date]]),"")</f>
        <v>38</v>
      </c>
      <c r="AD1122" s="623" t="s">
        <v>7087</v>
      </c>
      <c r="AE1122" s="623"/>
      <c r="AF1122" s="623" t="s">
        <v>122</v>
      </c>
      <c r="AG1122" s="623" t="s">
        <v>122</v>
      </c>
      <c r="AH1122" s="430" t="s">
        <v>7088</v>
      </c>
      <c r="AI1122" s="966">
        <v>46288</v>
      </c>
      <c r="AJ1122" s="437">
        <v>46288</v>
      </c>
      <c r="AK1122" s="437">
        <v>46285</v>
      </c>
      <c r="AL1122" s="966">
        <v>46298</v>
      </c>
      <c r="AM1122" s="966">
        <v>46307</v>
      </c>
      <c r="AN1122" s="966">
        <v>46307</v>
      </c>
      <c r="AO1122" s="623" t="s">
        <v>402</v>
      </c>
      <c r="AP1122" s="623" t="s">
        <v>7089</v>
      </c>
      <c r="AQ1122" s="1044" t="s">
        <v>161</v>
      </c>
      <c r="AR1122" s="623" t="s">
        <v>7087</v>
      </c>
      <c r="AS1122" s="623" t="s">
        <v>7090</v>
      </c>
      <c r="AT1122" s="430" t="s">
        <v>7091</v>
      </c>
      <c r="AU112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22</v>
      </c>
      <c r="AV1122" s="623"/>
      <c r="AW1122" s="966" cm="1">
        <f t="array" ref="AW112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46307</v>
      </c>
      <c r="AX112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22" s="966" t="str">
        <f>IF(ISERROR(PV_DATA[[#This Row],[New Ark PO status]]),"",_xlfn.XLOOKUP(PV_DATA[[#This Row],[SPTN-PVHK New Ark PO'#]],New_Ark_Data[Purchase order Number],New_Ark_Data[Estimated time of arrival],"",0))</f>
        <v/>
      </c>
      <c r="AZ1122" s="964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122" s="966">
        <f>IFERROR(PV_DATA[[#This Row],[ODP ETA Port]]+PV_DATA[[#This Row],[Customs/Leg3 Assumption]],"n/a")</f>
        <v>46307</v>
      </c>
      <c r="BB1122" s="433" t="s">
        <v>6545</v>
      </c>
      <c r="BC1122" s="433" t="s">
        <v>6545</v>
      </c>
      <c r="BD1122" s="623">
        <f>IFERROR(_xlfn.ISOWEEKNUM(PV_DATA[[#This Row],[ETA for New Ark update]]),0)</f>
        <v>42</v>
      </c>
      <c r="BE1122" s="623">
        <f>_xlfn.XLOOKUP(PV_DATA[[#This Row],[New Ark SKU]],Table9[New Ark SKU],Table9[Total PCS per Pallet],,0)</f>
        <v>36</v>
      </c>
      <c r="BF1122" s="623">
        <f>_xlfn.XLOOKUP(PV_DATA[[#This Row],[New Ark SKU]],Table9[New Ark SKU],Table9[Total PCS per 40HQ Container],,0)</f>
        <v>720</v>
      </c>
      <c r="BG1122" s="623" t="str">
        <f>_xlfn.XLOOKUP(PV_DATA[[#This Row],[New Ark SKU]],Table9[New Ark SKU],Table9[Back Glass],,0)</f>
        <v>Redirection Film</v>
      </c>
      <c r="BH1122" s="967" t="str">
        <f>_xlfn.XLOOKUP(PV_DATA[[#This Row],[PORT DESTINATION]],Table12[PORT DESTINATION],Table12[Cosco Line],,0)</f>
        <v>n/a</v>
      </c>
      <c r="BJ1122" s="430"/>
    </row>
    <row r="1123" spans="1:62" ht="13.5" hidden="1" customHeight="1">
      <c r="A1123" s="729" t="s">
        <v>7092</v>
      </c>
      <c r="B1123" s="462" t="s">
        <v>111</v>
      </c>
      <c r="C1123" s="462" t="str">
        <f>IFERROR(LEFT(PV_DATA[[#This Row],[TCL REFERENCE]],FIND(".",PV_DATA[[#This Row],[TCL REFERENCE]],1)-1),"Main Line")</f>
        <v>26Aug015</v>
      </c>
      <c r="D1123" s="462" t="s">
        <v>63</v>
      </c>
      <c r="E1123" s="462" t="s">
        <v>64</v>
      </c>
      <c r="F1123" s="462" t="str" cm="1">
        <f t="array" ref="F112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23" s="462" t="s">
        <v>402</v>
      </c>
      <c r="H1123" s="462" t="s">
        <v>67</v>
      </c>
      <c r="I1123" s="462" t="s">
        <v>689</v>
      </c>
      <c r="J1123" s="430" t="s">
        <v>96</v>
      </c>
      <c r="K1123" s="430"/>
      <c r="L1123" s="430"/>
      <c r="M1123" s="430" t="s">
        <v>68</v>
      </c>
      <c r="N1123" s="432">
        <v>46285</v>
      </c>
      <c r="O1123" s="430" t="s">
        <v>550</v>
      </c>
      <c r="P1123" s="430" t="s">
        <v>551</v>
      </c>
      <c r="Q1123" s="430" t="s">
        <v>2151</v>
      </c>
      <c r="R1123" s="430" t="str">
        <f>_xlfn.XLOOKUP(PV_DATA[[#This Row],[New Ark SKU]],Table9[New Ark SKU],Table9[Connector],,0)</f>
        <v>EVO2A</v>
      </c>
      <c r="S1123" s="433" t="str">
        <f>_xlfn.XLOOKUP(PV_DATA[[#This Row],[New Ark SKU]],Table9[New Ark SKU],Table9[Cable],,0)</f>
        <v>±1350mm</v>
      </c>
      <c r="T1123" s="433">
        <v>510</v>
      </c>
      <c r="U1123" s="1062">
        <v>792</v>
      </c>
      <c r="V1123" s="434">
        <f>PV_DATA[[#This Row],[QUANTITY]]*PV_DATA[[#This Row],[WATT]]/1000000</f>
        <v>0.40392</v>
      </c>
      <c r="W1123" s="435">
        <f>PV_DATA[[#This Row],[QUANTITY]]/PV_DATA[[#This Row],[Qty/Pallet]]</f>
        <v>22</v>
      </c>
      <c r="X1123" s="1015">
        <f>PV_DATA[[#This Row],[QUANTITY]]/PV_DATA[[#This Row],[Qty/CT]]</f>
        <v>1</v>
      </c>
      <c r="Y1123" s="430" t="s">
        <v>4382</v>
      </c>
      <c r="Z1123" s="430" t="str">
        <f t="shared" si="21"/>
        <v>IN-TRANSIT</v>
      </c>
      <c r="AA1123" s="545">
        <v>46295</v>
      </c>
      <c r="AB1123" s="437">
        <v>46302</v>
      </c>
      <c r="AC1123" s="485">
        <f>IF(PV_DATA[[#This Row],[Pick-Up Date]]&lt;&gt;"",_xlfn.ISOWEEKNUM(PV_DATA[[#This Row],[Pick-Up Date]]),"")</f>
        <v>41</v>
      </c>
      <c r="AD1123" s="430" t="s">
        <v>7093</v>
      </c>
      <c r="AE1123" s="430"/>
      <c r="AF1123" s="430" t="s">
        <v>6003</v>
      </c>
      <c r="AG1123" s="430" t="s">
        <v>6003</v>
      </c>
      <c r="AH1123" s="430" t="s">
        <v>105</v>
      </c>
      <c r="AI1123" s="437">
        <v>46302</v>
      </c>
      <c r="AJ1123" s="437">
        <v>46305</v>
      </c>
      <c r="AK1123" s="437">
        <f>IFERROR(IF(VLOOKUP(AT1123,Vessel!A:F,5,FALSE)=0,"",VLOOKUP(AT1123,Vessel!A:F,5,FALSE)),"")</f>
        <v>46305.366967592592</v>
      </c>
      <c r="AL1123" s="437">
        <v>46337</v>
      </c>
      <c r="AM1123" s="939">
        <f>IFERROR(VLOOKUP(AT1123, Vessel!A:H, 8, FALSE), "")</f>
        <v>46344.875</v>
      </c>
      <c r="AN1123" s="939" t="str">
        <f>IFERROR(IF(VLOOKUP(AT1123,Vessel!A:I,9,FALSE)=0,"",VLOOKUP(AT1123,Vessel!A:I,9,FALSE)),"")</f>
        <v/>
      </c>
      <c r="AP1123" s="430" t="s">
        <v>7094</v>
      </c>
      <c r="AQ1123" s="438" t="s">
        <v>80</v>
      </c>
      <c r="AR1123" s="430" t="s">
        <v>7095</v>
      </c>
      <c r="AS1123" s="430" t="s">
        <v>7096</v>
      </c>
      <c r="AT1123" s="430" t="s">
        <v>7096</v>
      </c>
      <c r="AU112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39.508032407407882</v>
      </c>
      <c r="AW1123" s="437" cm="1">
        <f t="array" ref="AW112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46344.875</v>
      </c>
      <c r="AX112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23" s="437" t="str">
        <f>IF(ISERROR(PV_DATA[[#This Row],[New Ark PO status]]),"",_xlfn.XLOOKUP(PV_DATA[[#This Row],[SPTN-PVHK New Ark PO'#]],New_Ark_Data[Purchase order Number],New_Ark_Data[Estimated time of arrival],"",0))</f>
        <v/>
      </c>
      <c r="AZ1123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23" s="437">
        <f>IFERROR(PV_DATA[[#This Row],[ODP ETA Port]]+PV_DATA[[#This Row],[Customs/Leg3 Assumption]],"n/a")</f>
        <v>46351.875</v>
      </c>
      <c r="BB1123" s="433" t="s">
        <v>6545</v>
      </c>
      <c r="BC1123" s="433" t="s">
        <v>6545</v>
      </c>
      <c r="BD1123" s="430">
        <f>IFERROR(_xlfn.ISOWEEKNUM(PV_DATA[[#This Row],[ETA for New Ark update]]),0)</f>
        <v>48</v>
      </c>
      <c r="BE1123" s="430">
        <f>_xlfn.XLOOKUP(PV_DATA[[#This Row],[New Ark SKU]],Table9[New Ark SKU],Table9[Total PCS per Pallet],,0)</f>
        <v>36</v>
      </c>
      <c r="BF1123" s="430">
        <f>_xlfn.XLOOKUP(PV_DATA[[#This Row],[New Ark SKU]],Table9[New Ark SKU],Table9[Total PCS per 40HQ Container],,0)</f>
        <v>792</v>
      </c>
      <c r="BG1123" s="430" t="str">
        <f>_xlfn.XLOOKUP(PV_DATA[[#This Row],[New Ark SKU]],Table9[New Ark SKU],Table9[Back Glass],,0)</f>
        <v>Black glazing</v>
      </c>
      <c r="BH1123" s="610" t="str">
        <f>_xlfn.XLOOKUP(PV_DATA[[#This Row],[PORT DESTINATION]],Table12[PORT DESTINATION],Table12[Cosco Line],,0)</f>
        <v>AEU</v>
      </c>
      <c r="BJ1123" s="430"/>
    </row>
    <row r="1124" spans="1:62" ht="13.5" hidden="1" customHeight="1">
      <c r="A1124" s="1435" t="s">
        <v>7097</v>
      </c>
      <c r="B1124" s="462" t="s">
        <v>111</v>
      </c>
      <c r="C1124" s="462" t="str">
        <f>IFERROR(LEFT(PV_DATA[[#This Row],[TCL REFERENCE]],FIND(".",PV_DATA[[#This Row],[TCL REFERENCE]],1)-1),"Main Line")</f>
        <v>26Aug015</v>
      </c>
      <c r="D1124" s="462" t="s">
        <v>63</v>
      </c>
      <c r="E1124" s="462" t="s">
        <v>64</v>
      </c>
      <c r="F1124" s="462" t="str" cm="1">
        <f t="array" ref="F112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124" s="462" t="s">
        <v>402</v>
      </c>
      <c r="H1124" s="462" t="s">
        <v>67</v>
      </c>
      <c r="I1124" s="462" t="s">
        <v>689</v>
      </c>
      <c r="J1124" s="430" t="s">
        <v>96</v>
      </c>
      <c r="K1124" s="430"/>
      <c r="L1124" s="430"/>
      <c r="M1124" s="430" t="s">
        <v>68</v>
      </c>
      <c r="N1124" s="432">
        <v>46285</v>
      </c>
      <c r="O1124" s="430" t="s">
        <v>550</v>
      </c>
      <c r="P1124" s="430" t="s">
        <v>551</v>
      </c>
      <c r="Q1124" s="430" t="s">
        <v>2151</v>
      </c>
      <c r="R1124" s="430" t="str">
        <f>_xlfn.XLOOKUP(PV_DATA[[#This Row],[New Ark SKU]],Table9[New Ark SKU],Table9[Connector],,0)</f>
        <v>EVO2A</v>
      </c>
      <c r="S1124" s="433" t="str">
        <f>_xlfn.XLOOKUP(PV_DATA[[#This Row],[New Ark SKU]],Table9[New Ark SKU],Table9[Cable],,0)</f>
        <v>±1350mm</v>
      </c>
      <c r="T1124" s="433">
        <v>510</v>
      </c>
      <c r="U1124" s="1062">
        <f>792*1</f>
        <v>792</v>
      </c>
      <c r="V1124" s="434">
        <f>PV_DATA[[#This Row],[QUANTITY]]*PV_DATA[[#This Row],[WATT]]/1000000</f>
        <v>0.40392</v>
      </c>
      <c r="W1124" s="435">
        <f>PV_DATA[[#This Row],[QUANTITY]]/PV_DATA[[#This Row],[Qty/Pallet]]</f>
        <v>22</v>
      </c>
      <c r="X1124" s="1015">
        <f>PV_DATA[[#This Row],[QUANTITY]]/PV_DATA[[#This Row],[Qty/CT]]</f>
        <v>1</v>
      </c>
      <c r="Y1124" s="430" t="s">
        <v>4382</v>
      </c>
      <c r="Z1124" s="430" t="str">
        <f t="shared" si="21"/>
        <v>IN-TRANSIT</v>
      </c>
      <c r="AA1124" s="545">
        <v>46291</v>
      </c>
      <c r="AB1124" s="437">
        <v>46305</v>
      </c>
      <c r="AC1124" s="485">
        <f>IF(PV_DATA[[#This Row],[Pick-Up Date]]&lt;&gt;"",_xlfn.ISOWEEKNUM(PV_DATA[[#This Row],[Pick-Up Date]]),"")</f>
        <v>41</v>
      </c>
      <c r="AD1124" s="430" t="s">
        <v>7098</v>
      </c>
      <c r="AE1124" s="430"/>
      <c r="AF1124" s="430" t="s">
        <v>6003</v>
      </c>
      <c r="AG1124" s="430" t="s">
        <v>6003</v>
      </c>
      <c r="AH1124" s="430" t="s">
        <v>314</v>
      </c>
      <c r="AI1124" s="437">
        <v>46298</v>
      </c>
      <c r="AJ1124" s="437">
        <f>IFERROR(VLOOKUP(AT1124, Vessel!A:D, 4, FALSE), "")</f>
        <v>46309.75</v>
      </c>
      <c r="AK1124" s="437">
        <f>IFERROR(IF(VLOOKUP(AT1124,Vessel!A:F,5,FALSE)=0,"",VLOOKUP(AT1124,Vessel!A:F,5,FALSE)),"")</f>
        <v>46309.780462962961</v>
      </c>
      <c r="AL1124" s="437">
        <v>46344</v>
      </c>
      <c r="AM1124" s="939">
        <f>IFERROR(VLOOKUP(AT1124, Vessel!A:H, 8, FALSE), "")</f>
        <v>46354.25</v>
      </c>
      <c r="AN1124" s="939" t="str">
        <f>IFERROR(IF(VLOOKUP(AT1124,Vessel!A:I,9,FALSE)=0,"",VLOOKUP(AT1124,Vessel!A:I,9,FALSE)),"")</f>
        <v/>
      </c>
      <c r="AP1124" s="430" t="s">
        <v>7099</v>
      </c>
      <c r="AQ1124" s="430" t="s">
        <v>80</v>
      </c>
      <c r="AR1124" s="430" t="s">
        <v>7100</v>
      </c>
      <c r="AS1124" s="430" t="s">
        <v>7101</v>
      </c>
      <c r="AT1124" s="430" t="s">
        <v>7101</v>
      </c>
      <c r="AU112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44.469537037039117</v>
      </c>
      <c r="AW1124" s="437" cm="1">
        <f t="array" ref="AW112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46354.25</v>
      </c>
      <c r="AX112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24" s="437" t="str">
        <f>IF(ISERROR(PV_DATA[[#This Row],[New Ark PO status]]),"",_xlfn.XLOOKUP(PV_DATA[[#This Row],[SPTN-PVHK New Ark PO'#]],New_Ark_Data[Purchase order Number],New_Ark_Data[Estimated time of arrival],"",0))</f>
        <v/>
      </c>
      <c r="AZ1124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124" s="437">
        <f>IFERROR(PV_DATA[[#This Row],[ODP ETA Port]]+PV_DATA[[#This Row],[Customs/Leg3 Assumption]],"n/a")</f>
        <v>46364.25</v>
      </c>
      <c r="BB1124" s="433" t="s">
        <v>6545</v>
      </c>
      <c r="BC1124" s="433" t="s">
        <v>6545</v>
      </c>
      <c r="BD1124" s="430">
        <f>IFERROR(_xlfn.ISOWEEKNUM(PV_DATA[[#This Row],[ETA for New Ark update]]),0)</f>
        <v>50</v>
      </c>
      <c r="BE1124" s="430">
        <f>_xlfn.XLOOKUP(PV_DATA[[#This Row],[New Ark SKU]],Table9[New Ark SKU],Table9[Total PCS per Pallet],,0)</f>
        <v>36</v>
      </c>
      <c r="BF1124" s="430">
        <f>_xlfn.XLOOKUP(PV_DATA[[#This Row],[New Ark SKU]],Table9[New Ark SKU],Table9[Total PCS per 40HQ Container],,0)</f>
        <v>792</v>
      </c>
      <c r="BG1124" s="430" t="str">
        <f>_xlfn.XLOOKUP(PV_DATA[[#This Row],[New Ark SKU]],Table9[New Ark SKU],Table9[Back Glass],,0)</f>
        <v>Black glazing</v>
      </c>
      <c r="BH1124" s="610" t="str">
        <f>_xlfn.XLOOKUP(PV_DATA[[#This Row],[PORT DESTINATION]],Table12[PORT DESTINATION],Table12[Cosco Line],,0)</f>
        <v>AEM</v>
      </c>
      <c r="BJ1124" s="430"/>
    </row>
    <row r="1125" spans="1:62" ht="13.5" hidden="1" customHeight="1">
      <c r="A1125" s="729" t="s">
        <v>7102</v>
      </c>
      <c r="B1125" s="462" t="s">
        <v>111</v>
      </c>
      <c r="C1125" s="462" t="str">
        <f>IFERROR(LEFT(PV_DATA[[#This Row],[TCL REFERENCE]],FIND(".",PV_DATA[[#This Row],[TCL REFERENCE]],1)-1),"Main Line")</f>
        <v>26Aug015</v>
      </c>
      <c r="D1125" s="462" t="s">
        <v>63</v>
      </c>
      <c r="E1125" s="462" t="s">
        <v>64</v>
      </c>
      <c r="F1125" s="462" t="str" cm="1">
        <f t="array" ref="F112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25" s="462" t="s">
        <v>402</v>
      </c>
      <c r="H1125" s="462" t="s">
        <v>67</v>
      </c>
      <c r="I1125" s="462" t="s">
        <v>689</v>
      </c>
      <c r="J1125" s="430" t="s">
        <v>96</v>
      </c>
      <c r="K1125" s="430"/>
      <c r="L1125" s="430"/>
      <c r="M1125" s="430" t="s">
        <v>68</v>
      </c>
      <c r="N1125" s="432">
        <v>46285</v>
      </c>
      <c r="O1125" s="430" t="s">
        <v>550</v>
      </c>
      <c r="P1125" s="430" t="s">
        <v>551</v>
      </c>
      <c r="Q1125" s="430" t="s">
        <v>2151</v>
      </c>
      <c r="R1125" s="430" t="str">
        <f>_xlfn.XLOOKUP(PV_DATA[[#This Row],[New Ark SKU]],Table9[New Ark SKU],Table9[Connector],,0)</f>
        <v>EVO2A</v>
      </c>
      <c r="S1125" s="433" t="str">
        <f>_xlfn.XLOOKUP(PV_DATA[[#This Row],[New Ark SKU]],Table9[New Ark SKU],Table9[Cable],,0)</f>
        <v>±1350mm</v>
      </c>
      <c r="T1125" s="433">
        <v>510</v>
      </c>
      <c r="U1125" s="1062">
        <v>792</v>
      </c>
      <c r="V1125" s="434">
        <f>PV_DATA[[#This Row],[QUANTITY]]*PV_DATA[[#This Row],[WATT]]/1000000</f>
        <v>0.40392</v>
      </c>
      <c r="W1125" s="435">
        <f>PV_DATA[[#This Row],[QUANTITY]]/PV_DATA[[#This Row],[Qty/Pallet]]</f>
        <v>22</v>
      </c>
      <c r="X1125" s="1015">
        <f>PV_DATA[[#This Row],[QUANTITY]]/PV_DATA[[#This Row],[Qty/CT]]</f>
        <v>1</v>
      </c>
      <c r="Y1125" s="430" t="s">
        <v>4383</v>
      </c>
      <c r="Z1125" s="430" t="str">
        <f t="shared" si="21"/>
        <v>IN-TRANSIT</v>
      </c>
      <c r="AA1125" s="545">
        <v>46295</v>
      </c>
      <c r="AB1125" s="437">
        <v>46299</v>
      </c>
      <c r="AC1125" s="485">
        <f>IF(PV_DATA[[#This Row],[Pick-Up Date]]&lt;&gt;"",_xlfn.ISOWEEKNUM(PV_DATA[[#This Row],[Pick-Up Date]]),"")</f>
        <v>40</v>
      </c>
      <c r="AD1125" s="430" t="s">
        <v>7103</v>
      </c>
      <c r="AE1125" s="430"/>
      <c r="AF1125" s="430" t="s">
        <v>6003</v>
      </c>
      <c r="AG1125" s="430" t="s">
        <v>6003</v>
      </c>
      <c r="AH1125" s="430" t="s">
        <v>78</v>
      </c>
      <c r="AI1125" s="437">
        <v>46303</v>
      </c>
      <c r="AJ1125" s="437">
        <f>IFERROR(VLOOKUP(AT1125, Vessel!A:D, 4, FALSE), "")</f>
        <v>46303.25</v>
      </c>
      <c r="AK1125" s="437">
        <v>46303</v>
      </c>
      <c r="AL1125" s="437">
        <v>46344</v>
      </c>
      <c r="AM1125" s="939">
        <f>IFERROR(VLOOKUP(AT1125, Vessel!A:H, 8, FALSE), "")</f>
        <v>46346.25</v>
      </c>
      <c r="AN1125" s="939" t="str">
        <f>IFERROR(IF(VLOOKUP(AT1125,Vessel!A:I,9,FALSE)=0,"",VLOOKUP(AT1125,Vessel!A:I,9,FALSE)),"")</f>
        <v/>
      </c>
      <c r="AP1125" s="430" t="s">
        <v>7104</v>
      </c>
      <c r="AQ1125" s="430" t="s">
        <v>80</v>
      </c>
      <c r="AR1125" s="430" t="s">
        <v>7105</v>
      </c>
      <c r="AS1125" s="430" t="s">
        <v>7106</v>
      </c>
      <c r="AT1125" s="430" t="s">
        <v>7106</v>
      </c>
      <c r="AU112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43.25</v>
      </c>
      <c r="AW1125" s="437" cm="1">
        <f t="array" ref="AW112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46346.25</v>
      </c>
      <c r="AX112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25" s="437" t="str">
        <f>IF(ISERROR(PV_DATA[[#This Row],[New Ark PO status]]),"",_xlfn.XLOOKUP(PV_DATA[[#This Row],[SPTN-PVHK New Ark PO'#]],New_Ark_Data[Purchase order Number],New_Ark_Data[Estimated time of arrival],"",0))</f>
        <v/>
      </c>
      <c r="AZ1125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25" s="437">
        <f>IFERROR(PV_DATA[[#This Row],[ODP ETA Port]]+PV_DATA[[#This Row],[Customs/Leg3 Assumption]],"n/a")</f>
        <v>46354.25</v>
      </c>
      <c r="BB1125" s="433" t="s">
        <v>6545</v>
      </c>
      <c r="BC1125" s="433" t="s">
        <v>6545</v>
      </c>
      <c r="BD1125" s="430">
        <f>IFERROR(_xlfn.ISOWEEKNUM(PV_DATA[[#This Row],[ETA for New Ark update]]),0)</f>
        <v>48</v>
      </c>
      <c r="BE1125" s="430">
        <f>_xlfn.XLOOKUP(PV_DATA[[#This Row],[New Ark SKU]],Table9[New Ark SKU],Table9[Total PCS per Pallet],,0)</f>
        <v>36</v>
      </c>
      <c r="BF1125" s="430">
        <f>_xlfn.XLOOKUP(PV_DATA[[#This Row],[New Ark SKU]],Table9[New Ark SKU],Table9[Total PCS per 40HQ Container],,0)</f>
        <v>792</v>
      </c>
      <c r="BG1125" s="430" t="str">
        <f>_xlfn.XLOOKUP(PV_DATA[[#This Row],[New Ark SKU]],Table9[New Ark SKU],Table9[Back Glass],,0)</f>
        <v>Black glazing</v>
      </c>
      <c r="BH1125" s="610" t="str">
        <f>_xlfn.XLOOKUP(PV_DATA[[#This Row],[PORT DESTINATION]],Table12[PORT DESTINATION],Table12[Cosco Line],,0)</f>
        <v>AEM</v>
      </c>
      <c r="BJ1125" s="430"/>
    </row>
    <row r="1126" spans="1:62" ht="13.5" hidden="1" customHeight="1">
      <c r="A1126" s="729" t="s">
        <v>7107</v>
      </c>
      <c r="B1126" s="462" t="s">
        <v>111</v>
      </c>
      <c r="C1126" s="462" t="str">
        <f>IFERROR(LEFT(PV_DATA[[#This Row],[TCL REFERENCE]],FIND(".",PV_DATA[[#This Row],[TCL REFERENCE]],1)-1),"Main Line")</f>
        <v>26Aug016</v>
      </c>
      <c r="D1126" s="462" t="s">
        <v>63</v>
      </c>
      <c r="E1126" s="462" t="s">
        <v>64</v>
      </c>
      <c r="F1126" s="462" t="str" cm="1">
        <f t="array" ref="F112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26" s="462" t="s">
        <v>402</v>
      </c>
      <c r="H1126" s="462" t="s">
        <v>67</v>
      </c>
      <c r="I1126" s="462" t="s">
        <v>689</v>
      </c>
      <c r="J1126" s="430" t="s">
        <v>96</v>
      </c>
      <c r="K1126" s="430"/>
      <c r="L1126" s="430"/>
      <c r="M1126" s="430" t="s">
        <v>68</v>
      </c>
      <c r="N1126" s="432">
        <v>46282</v>
      </c>
      <c r="O1126" s="430" t="s">
        <v>550</v>
      </c>
      <c r="P1126" s="430" t="s">
        <v>2134</v>
      </c>
      <c r="Q1126" s="430" t="s">
        <v>2135</v>
      </c>
      <c r="R1126" s="430" t="str">
        <f>_xlfn.XLOOKUP(PV_DATA[[#This Row],[New Ark SKU]],Table9[New Ark SKU],Table9[Connector],,0)</f>
        <v>EVO2A</v>
      </c>
      <c r="S1126" s="433" t="str">
        <f>_xlfn.XLOOKUP(PV_DATA[[#This Row],[New Ark SKU]],Table9[New Ark SKU],Table9[Cable],,0)</f>
        <v>±1350mm</v>
      </c>
      <c r="T1126" s="433">
        <v>515</v>
      </c>
      <c r="U1126" s="1062">
        <v>792</v>
      </c>
      <c r="V1126" s="434">
        <f>PV_DATA[[#This Row],[QUANTITY]]*PV_DATA[[#This Row],[WATT]]/1000000</f>
        <v>0.40788000000000002</v>
      </c>
      <c r="W1126" s="435">
        <f>PV_DATA[[#This Row],[QUANTITY]]/PV_DATA[[#This Row],[Qty/Pallet]]</f>
        <v>22</v>
      </c>
      <c r="X1126" s="1015">
        <f>PV_DATA[[#This Row],[QUANTITY]]/PV_DATA[[#This Row],[Qty/CT]]</f>
        <v>1</v>
      </c>
      <c r="Y1126" s="430" t="s">
        <v>4382</v>
      </c>
      <c r="Z1126" s="430" t="str">
        <f t="shared" si="21"/>
        <v>IN-TRANSIT</v>
      </c>
      <c r="AA1126" s="545">
        <v>46295</v>
      </c>
      <c r="AB1126" s="437">
        <v>46302</v>
      </c>
      <c r="AC1126" s="485">
        <f>IF(PV_DATA[[#This Row],[Pick-Up Date]]&lt;&gt;"",_xlfn.ISOWEEKNUM(PV_DATA[[#This Row],[Pick-Up Date]]),"")</f>
        <v>41</v>
      </c>
      <c r="AD1126" s="430" t="s">
        <v>7108</v>
      </c>
      <c r="AE1126" s="430"/>
      <c r="AF1126" s="430" t="s">
        <v>6003</v>
      </c>
      <c r="AG1126" s="430" t="s">
        <v>6003</v>
      </c>
      <c r="AH1126" s="430" t="s">
        <v>105</v>
      </c>
      <c r="AI1126" s="437">
        <v>46302</v>
      </c>
      <c r="AJ1126" s="437">
        <f>IFERROR(VLOOKUP(AT1126, Vessel!A:D, 4, FALSE), "")</f>
        <v>46305.354166666664</v>
      </c>
      <c r="AK1126" s="437">
        <v>46305</v>
      </c>
      <c r="AL1126" s="437">
        <v>46337</v>
      </c>
      <c r="AM1126" s="939">
        <f>IFERROR(VLOOKUP(AT1126, Vessel!A:H, 8, FALSE), "")</f>
        <v>46344.875</v>
      </c>
      <c r="AN1126" s="939" t="str">
        <f>IFERROR(IF(VLOOKUP(AT1126,Vessel!A:I,9,FALSE)=0,"",VLOOKUP(AT1126,Vessel!A:I,9,FALSE)),"")</f>
        <v/>
      </c>
      <c r="AP1126" s="430" t="s">
        <v>7094</v>
      </c>
      <c r="AQ1126" s="438" t="s">
        <v>80</v>
      </c>
      <c r="AR1126" s="430" t="s">
        <v>7095</v>
      </c>
      <c r="AS1126" s="430" t="s">
        <v>7096</v>
      </c>
      <c r="AT1126" s="430" t="s">
        <v>7096</v>
      </c>
      <c r="AU112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39.875</v>
      </c>
      <c r="AW1126" s="437" cm="1">
        <f t="array" ref="AW112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46344.875</v>
      </c>
      <c r="AX112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26" s="437" t="str">
        <f>IF(ISERROR(PV_DATA[[#This Row],[New Ark PO status]]),"",_xlfn.XLOOKUP(PV_DATA[[#This Row],[SPTN-PVHK New Ark PO'#]],New_Ark_Data[Purchase order Number],New_Ark_Data[Estimated time of arrival],"",0))</f>
        <v/>
      </c>
      <c r="AZ1126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26" s="437">
        <f>IFERROR(PV_DATA[[#This Row],[ODP ETA Port]]+PV_DATA[[#This Row],[Customs/Leg3 Assumption]],"n/a")</f>
        <v>46351.875</v>
      </c>
      <c r="BB1126" s="433" t="s">
        <v>6545</v>
      </c>
      <c r="BC1126" s="433" t="s">
        <v>6545</v>
      </c>
      <c r="BD1126" s="430">
        <f>IFERROR(_xlfn.ISOWEEKNUM(PV_DATA[[#This Row],[ETA for New Ark update]]),0)</f>
        <v>48</v>
      </c>
      <c r="BE1126" s="430">
        <f>_xlfn.XLOOKUP(PV_DATA[[#This Row],[New Ark SKU]],Table9[New Ark SKU],Table9[Total PCS per Pallet],,0)</f>
        <v>36</v>
      </c>
      <c r="BF1126" s="430">
        <f>_xlfn.XLOOKUP(PV_DATA[[#This Row],[New Ark SKU]],Table9[New Ark SKU],Table9[Total PCS per 40HQ Container],,0)</f>
        <v>792</v>
      </c>
      <c r="BG1126" s="430" t="str">
        <f>_xlfn.XLOOKUP(PV_DATA[[#This Row],[New Ark SKU]],Table9[New Ark SKU],Table9[Back Glass],,0)</f>
        <v>Black glazing</v>
      </c>
      <c r="BH1126" s="610" t="str">
        <f>_xlfn.XLOOKUP(PV_DATA[[#This Row],[PORT DESTINATION]],Table12[PORT DESTINATION],Table12[Cosco Line],,0)</f>
        <v>AEU</v>
      </c>
      <c r="BJ1126" s="430"/>
    </row>
    <row r="1127" spans="1:62" ht="13.5" hidden="1" customHeight="1">
      <c r="A1127" s="729" t="s">
        <v>7109</v>
      </c>
      <c r="B1127" s="462" t="s">
        <v>111</v>
      </c>
      <c r="C1127" s="462" t="str">
        <f>IFERROR(LEFT(PV_DATA[[#This Row],[TCL REFERENCE]],FIND(".",PV_DATA[[#This Row],[TCL REFERENCE]],1)-1),"Main Line")</f>
        <v>26Aug016</v>
      </c>
      <c r="D1127" s="462" t="s">
        <v>63</v>
      </c>
      <c r="E1127" s="462" t="s">
        <v>64</v>
      </c>
      <c r="F1127" s="462" t="str" cm="1">
        <f t="array" ref="F112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1127" s="462" t="s">
        <v>402</v>
      </c>
      <c r="H1127" s="462" t="s">
        <v>451</v>
      </c>
      <c r="I1127" s="462" t="s">
        <v>689</v>
      </c>
      <c r="J1127" s="430" t="s">
        <v>96</v>
      </c>
      <c r="K1127" s="430"/>
      <c r="L1127" s="430"/>
      <c r="M1127" s="430" t="s">
        <v>68</v>
      </c>
      <c r="N1127" s="432">
        <v>46282</v>
      </c>
      <c r="O1127" s="430" t="s">
        <v>550</v>
      </c>
      <c r="P1127" s="430" t="s">
        <v>2134</v>
      </c>
      <c r="Q1127" s="430" t="s">
        <v>2135</v>
      </c>
      <c r="R1127" s="430" t="str">
        <f>_xlfn.XLOOKUP(PV_DATA[[#This Row],[New Ark SKU]],Table9[New Ark SKU],Table9[Connector],,0)</f>
        <v>EVO2A</v>
      </c>
      <c r="S1127" s="433" t="str">
        <f>_xlfn.XLOOKUP(PV_DATA[[#This Row],[New Ark SKU]],Table9[New Ark SKU],Table9[Cable],,0)</f>
        <v>±1350mm</v>
      </c>
      <c r="T1127" s="433">
        <v>515</v>
      </c>
      <c r="U1127" s="1062">
        <f>792*2</f>
        <v>1584</v>
      </c>
      <c r="V1127" s="434">
        <f>PV_DATA[[#This Row],[QUANTITY]]*PV_DATA[[#This Row],[WATT]]/1000000</f>
        <v>0.81576000000000004</v>
      </c>
      <c r="W1127" s="435">
        <f>PV_DATA[[#This Row],[QUANTITY]]/PV_DATA[[#This Row],[Qty/Pallet]]</f>
        <v>44</v>
      </c>
      <c r="X1127" s="1015">
        <f>PV_DATA[[#This Row],[QUANTITY]]/PV_DATA[[#This Row],[Qty/CT]]</f>
        <v>2</v>
      </c>
      <c r="Y1127" s="430" t="s">
        <v>4380</v>
      </c>
      <c r="Z1127" s="430" t="str">
        <f t="shared" si="21"/>
        <v>IN-TRANSIT</v>
      </c>
      <c r="AA1127" s="545">
        <v>46291</v>
      </c>
      <c r="AB1127" s="437">
        <v>46298</v>
      </c>
      <c r="AC1127" s="485">
        <f>IF(PV_DATA[[#This Row],[Pick-Up Date]]&lt;&gt;"",_xlfn.ISOWEEKNUM(PV_DATA[[#This Row],[Pick-Up Date]]),"")</f>
        <v>40</v>
      </c>
      <c r="AD1127" s="430" t="s">
        <v>7110</v>
      </c>
      <c r="AE1127" s="430"/>
      <c r="AF1127" s="430" t="s">
        <v>1525</v>
      </c>
      <c r="AG1127" s="430" t="s">
        <v>6003</v>
      </c>
      <c r="AH1127" s="430" t="s">
        <v>456</v>
      </c>
      <c r="AI1127" s="437">
        <v>46296</v>
      </c>
      <c r="AJ1127" s="437">
        <f>IFERROR(VLOOKUP(AT1127, Vessel!A:D, 4, FALSE), "")</f>
        <v>46303.291666666664</v>
      </c>
      <c r="AK1127" s="437">
        <v>46303</v>
      </c>
      <c r="AL1127" s="437">
        <v>46334</v>
      </c>
      <c r="AM1127" s="939">
        <f>IFERROR(VLOOKUP(AT1127, Vessel!A:H, 8, FALSE), "")</f>
        <v>46340.541666666664</v>
      </c>
      <c r="AN1127" s="939" t="str">
        <f>IFERROR(IF(VLOOKUP(AT1127,Vessel!A:I,9,FALSE)=0,"",VLOOKUP(AT1127,Vessel!A:I,9,FALSE)),"")</f>
        <v/>
      </c>
      <c r="AP1127" s="430" t="s">
        <v>7059</v>
      </c>
      <c r="AQ1127" s="430" t="s">
        <v>80</v>
      </c>
      <c r="AR1127" s="430" t="s">
        <v>7111</v>
      </c>
      <c r="AS1127" s="430" t="s">
        <v>7112</v>
      </c>
      <c r="AT1127" s="430" t="s">
        <v>7112</v>
      </c>
      <c r="AU112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37.541666666664241</v>
      </c>
      <c r="AW1127" s="437" cm="1">
        <f t="array" ref="AW112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46340.541666666664</v>
      </c>
      <c r="AX112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27" s="437" t="str">
        <f>IF(ISERROR(PV_DATA[[#This Row],[New Ark PO status]]),"",_xlfn.XLOOKUP(PV_DATA[[#This Row],[SPTN-PVHK New Ark PO'#]],New_Ark_Data[Purchase order Number],New_Ark_Data[Estimated time of arrival],"",0))</f>
        <v/>
      </c>
      <c r="AZ1127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27" s="437">
        <f>IFERROR(PV_DATA[[#This Row],[ODP ETA Port]]+PV_DATA[[#This Row],[Customs/Leg3 Assumption]],"n/a")</f>
        <v>46347.541666666664</v>
      </c>
      <c r="BB1127" s="433" t="s">
        <v>6545</v>
      </c>
      <c r="BC1127" s="433" t="s">
        <v>6545</v>
      </c>
      <c r="BD1127" s="430">
        <f>IFERROR(_xlfn.ISOWEEKNUM(PV_DATA[[#This Row],[ETA for New Ark update]]),0)</f>
        <v>47</v>
      </c>
      <c r="BE1127" s="430">
        <f>_xlfn.XLOOKUP(PV_DATA[[#This Row],[New Ark SKU]],Table9[New Ark SKU],Table9[Total PCS per Pallet],,0)</f>
        <v>36</v>
      </c>
      <c r="BF1127" s="430">
        <f>_xlfn.XLOOKUP(PV_DATA[[#This Row],[New Ark SKU]],Table9[New Ark SKU],Table9[Total PCS per 40HQ Container],,0)</f>
        <v>792</v>
      </c>
      <c r="BG1127" s="430" t="str">
        <f>_xlfn.XLOOKUP(PV_DATA[[#This Row],[New Ark SKU]],Table9[New Ark SKU],Table9[Back Glass],,0)</f>
        <v>Black glazing</v>
      </c>
      <c r="BH1127" s="610" t="str">
        <f>_xlfn.XLOOKUP(PV_DATA[[#This Row],[PORT DESTINATION]],Table12[PORT DESTINATION],Table12[Cosco Line],,0)</f>
        <v>AEU</v>
      </c>
      <c r="BJ1127" s="430"/>
    </row>
    <row r="1128" spans="1:62" ht="13.5" hidden="1" customHeight="1">
      <c r="A1128" s="729" t="s">
        <v>7113</v>
      </c>
      <c r="B1128" s="462" t="s">
        <v>61</v>
      </c>
      <c r="C1128" s="462" t="str">
        <f>IFERROR(LEFT(PV_DATA[[#This Row],[TCL REFERENCE]],FIND(".",PV_DATA[[#This Row],[TCL REFERENCE]],1)-1),"Main Line")</f>
        <v>26Aug022</v>
      </c>
      <c r="D1128" s="462" t="s">
        <v>63</v>
      </c>
      <c r="E1128" s="462" t="s">
        <v>64</v>
      </c>
      <c r="F1128" s="462" t="str" cm="1">
        <f t="array" ref="F112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28" s="462" t="s">
        <v>402</v>
      </c>
      <c r="H1128" s="462" t="s">
        <v>67</v>
      </c>
      <c r="I1128" s="462" t="s">
        <v>689</v>
      </c>
      <c r="J1128" s="430" t="s">
        <v>96</v>
      </c>
      <c r="K1128" s="430"/>
      <c r="L1128" s="430"/>
      <c r="M1128" s="430" t="s">
        <v>68</v>
      </c>
      <c r="N1128" s="432">
        <v>46272</v>
      </c>
      <c r="O1128" s="430" t="s">
        <v>4540</v>
      </c>
      <c r="P1128" s="430" t="s">
        <v>1151</v>
      </c>
      <c r="Q1128" s="430" t="s">
        <v>421</v>
      </c>
      <c r="R1128" s="430" t="str">
        <f>_xlfn.XLOOKUP(PV_DATA[[#This Row],[New Ark SKU]],Table9[New Ark SKU],Table9[Connector],,0)</f>
        <v>EVO2A</v>
      </c>
      <c r="S1128" s="433" t="str">
        <f>_xlfn.XLOOKUP(PV_DATA[[#This Row],[New Ark SKU]],Table9[New Ark SKU],Table9[Cable],,0)</f>
        <v>±1200mm</v>
      </c>
      <c r="T1128" s="433">
        <v>505</v>
      </c>
      <c r="U1128" s="1062">
        <v>4320</v>
      </c>
      <c r="V1128" s="434">
        <f>PV_DATA[[#This Row],[QUANTITY]]*PV_DATA[[#This Row],[WATT]]/1000000</f>
        <v>2.1816</v>
      </c>
      <c r="W1128" s="435">
        <f>PV_DATA[[#This Row],[QUANTITY]]/PV_DATA[[#This Row],[Qty/Pallet]]</f>
        <v>120</v>
      </c>
      <c r="X1128" s="1015">
        <f>PV_DATA[[#This Row],[QUANTITY]]/PV_DATA[[#This Row],[Qty/CT]]</f>
        <v>5</v>
      </c>
      <c r="Y1128" s="430" t="s">
        <v>4383</v>
      </c>
      <c r="Z1128" s="430" t="str">
        <f t="shared" si="21"/>
        <v>IN-TRANSIT</v>
      </c>
      <c r="AA1128" s="430" t="s">
        <v>5862</v>
      </c>
      <c r="AB1128" s="437">
        <v>46295</v>
      </c>
      <c r="AC1128" s="485">
        <f>IF(PV_DATA[[#This Row],[Pick-Up Date]]&lt;&gt;"",_xlfn.ISOWEEKNUM(PV_DATA[[#This Row],[Pick-Up Date]]),"")</f>
        <v>40</v>
      </c>
      <c r="AD1128" s="430" t="s">
        <v>7114</v>
      </c>
      <c r="AE1128" s="430"/>
      <c r="AF1128" s="459" t="s">
        <v>61</v>
      </c>
      <c r="AG1128" s="459" t="s">
        <v>61</v>
      </c>
      <c r="AH1128" s="430" t="s">
        <v>78</v>
      </c>
      <c r="AI1128" s="588">
        <v>46300</v>
      </c>
      <c r="AJ1128" s="437">
        <f>IFERROR(VLOOKUP(AT1128, Vessel!A:D, 4, FALSE), "")</f>
        <v>46301.3125</v>
      </c>
      <c r="AK1128" s="437">
        <v>46301</v>
      </c>
      <c r="AL1128" s="588">
        <v>46363</v>
      </c>
      <c r="AM1128" s="939">
        <f>IFERROR(VLOOKUP(AT1128, Vessel!A:H, 8, FALSE), "")</f>
        <v>46363.791666666664</v>
      </c>
      <c r="AN1128" s="939" t="str">
        <f>IFERROR(IF(VLOOKUP(AT1128,Vessel!A:I,9,FALSE)=0,"",VLOOKUP(AT1128,Vessel!A:I,9,FALSE)),"")</f>
        <v/>
      </c>
      <c r="AO1128" s="623"/>
      <c r="AP1128" s="430" t="s">
        <v>7115</v>
      </c>
      <c r="AQ1128" s="438" t="s">
        <v>80</v>
      </c>
      <c r="AR1128" s="430" t="s">
        <v>7116</v>
      </c>
      <c r="AS1128" s="430" t="s">
        <v>7117</v>
      </c>
      <c r="AT1128" s="430" t="s">
        <v>7117</v>
      </c>
      <c r="AU112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62.791666666664241</v>
      </c>
      <c r="AW1128" s="437" cm="1">
        <f t="array" ref="AW112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46363.791666666664</v>
      </c>
      <c r="AX112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28" s="437" t="str">
        <f>IF(ISERROR(PV_DATA[[#This Row],[New Ark PO status]]),"",_xlfn.XLOOKUP(PV_DATA[[#This Row],[SPTN-PVHK New Ark PO'#]],New_Ark_Data[Purchase order Number],New_Ark_Data[Estimated time of arrival],"",0))</f>
        <v/>
      </c>
      <c r="AZ1128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28" s="437">
        <f>IFERROR(PV_DATA[[#This Row],[ODP ETA Port]]+PV_DATA[[#This Row],[Customs/Leg3 Assumption]],"n/a")</f>
        <v>46371.791666666664</v>
      </c>
      <c r="BB1128" s="433" t="s">
        <v>6545</v>
      </c>
      <c r="BC1128" s="433" t="s">
        <v>6545</v>
      </c>
      <c r="BD1128" s="430">
        <f>IFERROR(_xlfn.ISOWEEKNUM(PV_DATA[[#This Row],[ETA for New Ark update]]),0)</f>
        <v>51</v>
      </c>
      <c r="BE1128" s="430">
        <f>_xlfn.XLOOKUP(PV_DATA[[#This Row],[New Ark SKU]],Table9[New Ark SKU],Table9[Total PCS per Pallet],,0)</f>
        <v>36</v>
      </c>
      <c r="BF1128" s="430">
        <f>_xlfn.XLOOKUP(PV_DATA[[#This Row],[New Ark SKU]],Table9[New Ark SKU],Table9[Total PCS per 40HQ Container],,0)</f>
        <v>864</v>
      </c>
      <c r="BG1128" s="430" t="str">
        <f>_xlfn.XLOOKUP(PV_DATA[[#This Row],[New Ark SKU]],Table9[New Ark SKU],Table9[Back Glass],,0)</f>
        <v>Black glazing</v>
      </c>
      <c r="BH1128" s="610" t="str">
        <f>_xlfn.XLOOKUP(PV_DATA[[#This Row],[PORT DESTINATION]],Table12[PORT DESTINATION],Table12[Cosco Line],,0)</f>
        <v>AEM</v>
      </c>
      <c r="BJ1128" s="430"/>
    </row>
    <row r="1129" spans="1:62" ht="13.5" hidden="1" customHeight="1">
      <c r="A1129" s="729" t="s">
        <v>7118</v>
      </c>
      <c r="B1129" s="462" t="s">
        <v>61</v>
      </c>
      <c r="C1129" s="462" t="str">
        <f>IFERROR(LEFT(PV_DATA[[#This Row],[TCL REFERENCE]],FIND(".",PV_DATA[[#This Row],[TCL REFERENCE]],1)-1),"Main Line")</f>
        <v>26Aug024</v>
      </c>
      <c r="D1129" s="462" t="s">
        <v>63</v>
      </c>
      <c r="E1129" s="462" t="s">
        <v>64</v>
      </c>
      <c r="F1129" s="462" t="str" cm="1">
        <f t="array" ref="F112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1129" s="462" t="s">
        <v>402</v>
      </c>
      <c r="H1129" s="462" t="s">
        <v>451</v>
      </c>
      <c r="I1129" s="462" t="s">
        <v>882</v>
      </c>
      <c r="J1129" s="430" t="s">
        <v>7048</v>
      </c>
      <c r="K1129" s="430"/>
      <c r="L1129" s="430"/>
      <c r="M1129" s="430" t="s">
        <v>68</v>
      </c>
      <c r="N1129" s="432">
        <v>46279</v>
      </c>
      <c r="O1129" s="430" t="s">
        <v>4540</v>
      </c>
      <c r="P1129" s="430" t="s">
        <v>7049</v>
      </c>
      <c r="Q1129" s="430" t="s">
        <v>7050</v>
      </c>
      <c r="R1129" s="430" t="str">
        <f>_xlfn.XLOOKUP(PV_DATA[[#This Row],[New Ark SKU]],Table9[New Ark SKU],Table9[Connector],,0)</f>
        <v>EVO2A</v>
      </c>
      <c r="S1129" s="433" t="str">
        <f>_xlfn.XLOOKUP(PV_DATA[[#This Row],[New Ark SKU]],Table9[New Ark SKU],Table9[Cable],,0)</f>
        <v>±1200mm</v>
      </c>
      <c r="T1129" s="433">
        <v>505</v>
      </c>
      <c r="U1129" s="1062">
        <v>864</v>
      </c>
      <c r="V1129" s="434">
        <f>PV_DATA[[#This Row],[QUANTITY]]*PV_DATA[[#This Row],[WATT]]/1000000</f>
        <v>0.43631999999999999</v>
      </c>
      <c r="W1129" s="435">
        <f>PV_DATA[[#This Row],[QUANTITY]]/PV_DATA[[#This Row],[Qty/Pallet]]</f>
        <v>24</v>
      </c>
      <c r="X1129" s="1015">
        <f>PV_DATA[[#This Row],[QUANTITY]]/PV_DATA[[#This Row],[Qty/CT]]</f>
        <v>1</v>
      </c>
      <c r="Y1129" s="430" t="s">
        <v>4381</v>
      </c>
      <c r="Z1129" s="430" t="str">
        <f t="shared" si="21"/>
        <v>IN-TRANSIT</v>
      </c>
      <c r="AA1129" s="430" t="s">
        <v>7051</v>
      </c>
      <c r="AB1129" s="437">
        <v>46295</v>
      </c>
      <c r="AC1129" s="485">
        <f>IF(PV_DATA[[#This Row],[Pick-Up Date]]&lt;&gt;"",_xlfn.ISOWEEKNUM(PV_DATA[[#This Row],[Pick-Up Date]]),"")</f>
        <v>40</v>
      </c>
      <c r="AD1129" s="430" t="s">
        <v>7119</v>
      </c>
      <c r="AE1129" s="430"/>
      <c r="AF1129" s="430" t="s">
        <v>61</v>
      </c>
      <c r="AG1129" s="430" t="s">
        <v>61</v>
      </c>
      <c r="AH1129" s="430" t="s">
        <v>456</v>
      </c>
      <c r="AI1129" s="966">
        <v>46300</v>
      </c>
      <c r="AJ1129" s="437">
        <f>IFERROR(VLOOKUP(AT1129, Vessel!A:D, 4, FALSE), "")</f>
        <v>46301.3125</v>
      </c>
      <c r="AK1129" s="437">
        <v>46301</v>
      </c>
      <c r="AL1129" s="966">
        <v>46355</v>
      </c>
      <c r="AM1129" s="939">
        <f>IFERROR(VLOOKUP(AT1129, Vessel!A:H, 8, FALSE), "")</f>
        <v>46356.833333333336</v>
      </c>
      <c r="AN1129" s="939" t="str">
        <f>IFERROR(IF(VLOOKUP(AT1129,Vessel!A:I,9,FALSE)=0,"",VLOOKUP(AT1129,Vessel!A:I,9,FALSE)),"")</f>
        <v/>
      </c>
      <c r="AP1129" s="430" t="s">
        <v>7115</v>
      </c>
      <c r="AQ1129" s="438" t="s">
        <v>80</v>
      </c>
      <c r="AR1129" s="430" t="s">
        <v>7120</v>
      </c>
      <c r="AS1129" s="430" t="s">
        <v>7121</v>
      </c>
      <c r="AT1129" s="430" t="s">
        <v>7121</v>
      </c>
      <c r="AU112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55.833333333335759</v>
      </c>
      <c r="AW1129" s="437" cm="1">
        <f t="array" ref="AW112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46356.833333333336</v>
      </c>
      <c r="AX112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29" s="437" t="str">
        <f>IF(ISERROR(PV_DATA[[#This Row],[New Ark PO status]]),"",_xlfn.XLOOKUP(PV_DATA[[#This Row],[SPTN-PVHK New Ark PO'#]],New_Ark_Data[Purchase order Number],New_Ark_Data[Estimated time of arrival],"",0))</f>
        <v/>
      </c>
      <c r="AZ1129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29" s="437">
        <f>IFERROR(PV_DATA[[#This Row],[ODP ETA Port]]+PV_DATA[[#This Row],[Customs/Leg3 Assumption]],"n/a")</f>
        <v>46363.833333333336</v>
      </c>
      <c r="BB1129" s="433" t="s">
        <v>6545</v>
      </c>
      <c r="BC1129" s="430" t="s">
        <v>6545</v>
      </c>
      <c r="BD1129" s="430">
        <f>IFERROR(_xlfn.ISOWEEKNUM(PV_DATA[[#This Row],[ETA for New Ark update]]),0)</f>
        <v>50</v>
      </c>
      <c r="BE1129" s="430">
        <v>36</v>
      </c>
      <c r="BF1129" s="430">
        <v>864</v>
      </c>
      <c r="BG1129" s="430" t="str">
        <f>_xlfn.XLOOKUP(PV_DATA[[#This Row],[New Ark SKU]],Table9[New Ark SKU],Table9[Back Glass],,0)</f>
        <v>Black glazing</v>
      </c>
      <c r="BH1129" s="610" t="str">
        <f>_xlfn.XLOOKUP(PV_DATA[[#This Row],[PORT DESTINATION]],Table12[PORT DESTINATION],Table12[Cosco Line],,0)</f>
        <v>AEU</v>
      </c>
      <c r="BJ1129" s="430"/>
    </row>
    <row r="1130" spans="1:62" ht="10.5" hidden="1">
      <c r="A1130" s="729" t="s">
        <v>7122</v>
      </c>
      <c r="B1130" s="462" t="s">
        <v>61</v>
      </c>
      <c r="C1130" s="462" t="str">
        <f>IFERROR(LEFT(PV_DATA[[#This Row],[TCL REFERENCE]],FIND(".",PV_DATA[[#This Row],[TCL REFERENCE]],1)-1),"Main Line")</f>
        <v>26Aug004</v>
      </c>
      <c r="D1130" s="462" t="s">
        <v>63</v>
      </c>
      <c r="E1130" s="462" t="s">
        <v>64</v>
      </c>
      <c r="F1130" s="462" t="str" cm="1">
        <f t="array" ref="F113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30" s="462" t="s">
        <v>402</v>
      </c>
      <c r="H1130" s="462" t="s">
        <v>67</v>
      </c>
      <c r="I1130" s="462" t="s">
        <v>689</v>
      </c>
      <c r="J1130" s="430" t="s">
        <v>96</v>
      </c>
      <c r="K1130" s="430"/>
      <c r="L1130" s="430"/>
      <c r="M1130" s="430" t="s">
        <v>6325</v>
      </c>
      <c r="N1130" s="432">
        <v>46237</v>
      </c>
      <c r="O1130" s="430" t="s">
        <v>4540</v>
      </c>
      <c r="P1130" s="430" t="s">
        <v>1151</v>
      </c>
      <c r="Q1130" s="430" t="s">
        <v>421</v>
      </c>
      <c r="R1130" s="430" t="str">
        <f>_xlfn.XLOOKUP(PV_DATA[[#This Row],[New Ark SKU]],Table9[New Ark SKU],Table9[Connector],,0)</f>
        <v>EVO2A</v>
      </c>
      <c r="S1130" s="433" t="str">
        <f>_xlfn.XLOOKUP(PV_DATA[[#This Row],[New Ark SKU]],Table9[New Ark SKU],Table9[Cable],,0)</f>
        <v>±1200mm</v>
      </c>
      <c r="T1130" s="433">
        <v>505</v>
      </c>
      <c r="U1130" s="1062">
        <v>1728</v>
      </c>
      <c r="V1130" s="434">
        <f>PV_DATA[[#This Row],[QUANTITY]]*PV_DATA[[#This Row],[WATT]]/1000000</f>
        <v>0.87263999999999997</v>
      </c>
      <c r="W1130" s="435">
        <f>PV_DATA[[#This Row],[QUANTITY]]/PV_DATA[[#This Row],[Qty/Pallet]]</f>
        <v>48</v>
      </c>
      <c r="X1130" s="1015">
        <f>PV_DATA[[#This Row],[QUANTITY]]/PV_DATA[[#This Row],[Qty/CT]]</f>
        <v>2</v>
      </c>
      <c r="Y1130" s="430" t="s">
        <v>4379</v>
      </c>
      <c r="Z1130" s="430" t="str">
        <f t="shared" si="21"/>
        <v>IN-TRANSIT</v>
      </c>
      <c r="AA1130" s="430" t="s">
        <v>6425</v>
      </c>
      <c r="AB1130" s="966">
        <v>46295</v>
      </c>
      <c r="AC1130" s="485">
        <f>IF(PV_DATA[[#This Row],[Pick-Up Date]]&lt;&gt;"",_xlfn.ISOWEEKNUM(PV_DATA[[#This Row],[Pick-Up Date]]),"")</f>
        <v>40</v>
      </c>
      <c r="AD1130" s="430" t="s">
        <v>7123</v>
      </c>
      <c r="AE1130" s="430"/>
      <c r="AF1130" s="459" t="s">
        <v>61</v>
      </c>
      <c r="AG1130" s="459" t="s">
        <v>61</v>
      </c>
      <c r="AH1130" s="430" t="s">
        <v>78</v>
      </c>
      <c r="AI1130" s="588">
        <v>46300</v>
      </c>
      <c r="AJ1130" s="437">
        <f>IFERROR(VLOOKUP(AT1130, Vessel!A:D, 4, FALSE), "")</f>
        <v>46301.3125</v>
      </c>
      <c r="AK1130" s="437">
        <v>46301</v>
      </c>
      <c r="AL1130" s="588">
        <v>46358</v>
      </c>
      <c r="AM1130" s="939">
        <f>IFERROR(VLOOKUP(AT1130, Vessel!A:H, 8, FALSE), "")</f>
        <v>46358.25</v>
      </c>
      <c r="AN1130" s="939" t="str">
        <f>IFERROR(IF(VLOOKUP(AT1130,Vessel!A:I,9,FALSE)=0,"",VLOOKUP(AT1130,Vessel!A:I,9,FALSE)),"")</f>
        <v/>
      </c>
      <c r="AO1130" s="1437"/>
      <c r="AP1130" s="1203" t="s">
        <v>7115</v>
      </c>
      <c r="AQ1130" s="438" t="s">
        <v>80</v>
      </c>
      <c r="AR1130" s="430" t="s">
        <v>7124</v>
      </c>
      <c r="AS1130" s="430" t="s">
        <v>7125</v>
      </c>
      <c r="AT1130" s="430" t="s">
        <v>7125</v>
      </c>
      <c r="AU113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57.25</v>
      </c>
      <c r="AW1130" s="437" cm="1">
        <f t="array" ref="AW113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46358.25</v>
      </c>
      <c r="AX113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30" s="437" t="str">
        <f>IF(ISERROR(PV_DATA[[#This Row],[New Ark PO status]]),"",_xlfn.XLOOKUP(PV_DATA[[#This Row],[SPTN-PVHK New Ark PO'#]],New_Ark_Data[Purchase order Number],New_Ark_Data[Estimated time of arrival],"",0))</f>
        <v/>
      </c>
      <c r="AZ1130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30" s="437">
        <f>IFERROR(PV_DATA[[#This Row],[ODP ETA Port]]+PV_DATA[[#This Row],[Customs/Leg3 Assumption]],"n/a")</f>
        <v>46366.25</v>
      </c>
      <c r="BB1130" s="433" t="s">
        <v>6325</v>
      </c>
      <c r="BC1130" s="433" t="s">
        <v>6325</v>
      </c>
      <c r="BD1130" s="430">
        <f>IFERROR(_xlfn.ISOWEEKNUM(PV_DATA[[#This Row],[ETA for New Ark update]]),0)</f>
        <v>50</v>
      </c>
      <c r="BE1130" s="430">
        <f>_xlfn.XLOOKUP(PV_DATA[[#This Row],[New Ark SKU]],Table9[New Ark SKU],Table9[Total PCS per Pallet],,0)</f>
        <v>36</v>
      </c>
      <c r="BF1130" s="430">
        <f>_xlfn.XLOOKUP(PV_DATA[[#This Row],[New Ark SKU]],Table9[New Ark SKU],Table9[Total PCS per 40HQ Container],,0)</f>
        <v>864</v>
      </c>
      <c r="BG1130" s="430" t="str">
        <f>_xlfn.XLOOKUP(PV_DATA[[#This Row],[New Ark SKU]],Table9[New Ark SKU],Table9[Back Glass],,0)</f>
        <v>Black glazing</v>
      </c>
      <c r="BH1130" s="610" t="str">
        <f>_xlfn.XLOOKUP(PV_DATA[[#This Row],[PORT DESTINATION]],Table12[PORT DESTINATION],Table12[Cosco Line],,0)</f>
        <v>AEM</v>
      </c>
      <c r="BJ1130" s="430"/>
    </row>
    <row r="1131" spans="1:62" ht="13.5" hidden="1" customHeight="1">
      <c r="A1131" s="1435" t="s">
        <v>7126</v>
      </c>
      <c r="B1131" s="462" t="s">
        <v>111</v>
      </c>
      <c r="C1131" s="462" t="str">
        <f>IFERROR(LEFT(PV_DATA[[#This Row],[TCL REFERENCE]],FIND(".",PV_DATA[[#This Row],[TCL REFERENCE]],1)-1),"Main Line")</f>
        <v>26Aug015</v>
      </c>
      <c r="D1131" s="462" t="s">
        <v>63</v>
      </c>
      <c r="E1131" s="462" t="s">
        <v>64</v>
      </c>
      <c r="F1131" s="462" t="str" cm="1">
        <f t="array" ref="F113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31" s="462" t="s">
        <v>402</v>
      </c>
      <c r="H1131" s="462" t="s">
        <v>67</v>
      </c>
      <c r="I1131" s="462" t="s">
        <v>689</v>
      </c>
      <c r="J1131" s="430" t="s">
        <v>96</v>
      </c>
      <c r="K1131" s="430"/>
      <c r="L1131" s="430"/>
      <c r="M1131" s="430" t="s">
        <v>68</v>
      </c>
      <c r="N1131" s="432">
        <v>46285</v>
      </c>
      <c r="O1131" s="430" t="s">
        <v>550</v>
      </c>
      <c r="P1131" s="430" t="s">
        <v>551</v>
      </c>
      <c r="Q1131" s="430" t="s">
        <v>2151</v>
      </c>
      <c r="R1131" s="430" t="str">
        <f>_xlfn.XLOOKUP(PV_DATA[[#This Row],[New Ark SKU]],Table9[New Ark SKU],Table9[Connector],,0)</f>
        <v>EVO2A</v>
      </c>
      <c r="S1131" s="433" t="str">
        <f>_xlfn.XLOOKUP(PV_DATA[[#This Row],[New Ark SKU]],Table9[New Ark SKU],Table9[Cable],,0)</f>
        <v>±1350mm</v>
      </c>
      <c r="T1131" s="433">
        <v>510</v>
      </c>
      <c r="U1131" s="1062">
        <v>792</v>
      </c>
      <c r="V1131" s="434">
        <f>PV_DATA[[#This Row],[QUANTITY]]*PV_DATA[[#This Row],[WATT]]/1000000</f>
        <v>0.40392</v>
      </c>
      <c r="W1131" s="435">
        <f>PV_DATA[[#This Row],[QUANTITY]]/PV_DATA[[#This Row],[Qty/Pallet]]</f>
        <v>22</v>
      </c>
      <c r="X1131" s="1015">
        <f>PV_DATA[[#This Row],[QUANTITY]]/PV_DATA[[#This Row],[Qty/CT]]</f>
        <v>1</v>
      </c>
      <c r="Y1131" s="430" t="s">
        <v>4381</v>
      </c>
      <c r="Z1131" s="430" t="str">
        <f t="shared" si="21"/>
        <v>IN-TRANSIT</v>
      </c>
      <c r="AA1131" s="545">
        <v>46291</v>
      </c>
      <c r="AB1131" s="437">
        <v>46305</v>
      </c>
      <c r="AC1131" s="485">
        <f>IF(PV_DATA[[#This Row],[Pick-Up Date]]&lt;&gt;"",_xlfn.ISOWEEKNUM(PV_DATA[[#This Row],[Pick-Up Date]]),"")</f>
        <v>41</v>
      </c>
      <c r="AD1131" s="430" t="s">
        <v>7127</v>
      </c>
      <c r="AE1131" s="430"/>
      <c r="AF1131" s="430" t="s">
        <v>6003</v>
      </c>
      <c r="AG1131" s="430" t="s">
        <v>6003</v>
      </c>
      <c r="AH1131" s="430" t="s">
        <v>78</v>
      </c>
      <c r="AI1131" s="437">
        <v>46298</v>
      </c>
      <c r="AJ1131" s="437">
        <f>IFERROR(VLOOKUP(AT1131, Vessel!A:D, 4, FALSE), "")</f>
        <v>46309.75</v>
      </c>
      <c r="AK1131" s="437">
        <f>IFERROR(IF(VLOOKUP(AT1131,Vessel!A:F,5,FALSE)=0,"",VLOOKUP(AT1131,Vessel!A:F,5,FALSE)),"")</f>
        <v>46309.780462962961</v>
      </c>
      <c r="AL1131" s="437">
        <v>46349</v>
      </c>
      <c r="AM1131" s="939">
        <f>IFERROR(VLOOKUP(AT1131, Vessel!A:H, 8, FALSE), "")</f>
        <v>46359.791666666664</v>
      </c>
      <c r="AN1131" s="939" t="str">
        <f>IFERROR(IF(VLOOKUP(AT1131,Vessel!A:I,9,FALSE)=0,"",VLOOKUP(AT1131,Vessel!A:I,9,FALSE)),"")</f>
        <v/>
      </c>
      <c r="AP1131" s="430" t="s">
        <v>7099</v>
      </c>
      <c r="AQ1131" s="438" t="s">
        <v>80</v>
      </c>
      <c r="AR1131" s="430" t="s">
        <v>7128</v>
      </c>
      <c r="AS1131" s="430" t="s">
        <v>7129</v>
      </c>
      <c r="AT1131" s="430" t="s">
        <v>7129</v>
      </c>
      <c r="AU113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50.011203703703359</v>
      </c>
      <c r="AW1131" s="437" cm="1">
        <f t="array" ref="AW113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46359.791666666664</v>
      </c>
      <c r="AX113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31" s="437" t="str">
        <f>IF(ISERROR(PV_DATA[[#This Row],[New Ark PO status]]),"",_xlfn.XLOOKUP(PV_DATA[[#This Row],[SPTN-PVHK New Ark PO'#]],New_Ark_Data[Purchase order Number],New_Ark_Data[Estimated time of arrival],"",0))</f>
        <v/>
      </c>
      <c r="AZ1131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31" s="437">
        <f>IFERROR(PV_DATA[[#This Row],[ODP ETA Port]]+PV_DATA[[#This Row],[Customs/Leg3 Assumption]],"n/a")</f>
        <v>46367.791666666664</v>
      </c>
      <c r="BB1131" s="433" t="s">
        <v>6545</v>
      </c>
      <c r="BC1131" s="433" t="s">
        <v>6545</v>
      </c>
      <c r="BD1131" s="430">
        <f>IFERROR(_xlfn.ISOWEEKNUM(PV_DATA[[#This Row],[ETA for New Ark update]]),0)</f>
        <v>50</v>
      </c>
      <c r="BE1131" s="430">
        <f>_xlfn.XLOOKUP(PV_DATA[[#This Row],[New Ark SKU]],Table9[New Ark SKU],Table9[Total PCS per Pallet],,0)</f>
        <v>36</v>
      </c>
      <c r="BF1131" s="430">
        <f>_xlfn.XLOOKUP(PV_DATA[[#This Row],[New Ark SKU]],Table9[New Ark SKU],Table9[Total PCS per 40HQ Container],,0)</f>
        <v>792</v>
      </c>
      <c r="BG1131" s="430" t="str">
        <f>_xlfn.XLOOKUP(PV_DATA[[#This Row],[New Ark SKU]],Table9[New Ark SKU],Table9[Back Glass],,0)</f>
        <v>Black glazing</v>
      </c>
      <c r="BH1131" s="610" t="str">
        <f>_xlfn.XLOOKUP(PV_DATA[[#This Row],[PORT DESTINATION]],Table12[PORT DESTINATION],Table12[Cosco Line],,0)</f>
        <v>AEM</v>
      </c>
      <c r="BJ1131" s="430"/>
    </row>
    <row r="1132" spans="1:62" ht="13.5" hidden="1" customHeight="1">
      <c r="A1132" s="729" t="s">
        <v>7130</v>
      </c>
      <c r="B1132" s="462" t="s">
        <v>111</v>
      </c>
      <c r="C1132" s="462" t="str">
        <f>IFERROR(LEFT(PV_DATA[[#This Row],[TCL REFERENCE]],FIND(".",PV_DATA[[#This Row],[TCL REFERENCE]],1)-1),"Main Line")</f>
        <v>26Aug015</v>
      </c>
      <c r="D1132" s="462" t="s">
        <v>63</v>
      </c>
      <c r="E1132" s="462" t="s">
        <v>64</v>
      </c>
      <c r="F1132" s="462" t="str" cm="1">
        <f t="array" ref="F113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32" s="462" t="s">
        <v>402</v>
      </c>
      <c r="H1132" s="462" t="s">
        <v>67</v>
      </c>
      <c r="I1132" s="462" t="s">
        <v>689</v>
      </c>
      <c r="J1132" s="430" t="s">
        <v>96</v>
      </c>
      <c r="K1132" s="430"/>
      <c r="L1132" s="430"/>
      <c r="M1132" s="430" t="s">
        <v>68</v>
      </c>
      <c r="N1132" s="432">
        <v>46285</v>
      </c>
      <c r="O1132" s="430" t="s">
        <v>550</v>
      </c>
      <c r="P1132" s="430" t="s">
        <v>551</v>
      </c>
      <c r="Q1132" s="430" t="s">
        <v>2151</v>
      </c>
      <c r="R1132" s="430" t="str">
        <f>_xlfn.XLOOKUP(PV_DATA[[#This Row],[New Ark SKU]],Table9[New Ark SKU],Table9[Connector],,0)</f>
        <v>EVO2A</v>
      </c>
      <c r="S1132" s="433" t="str">
        <f>_xlfn.XLOOKUP(PV_DATA[[#This Row],[New Ark SKU]],Table9[New Ark SKU],Table9[Cable],,0)</f>
        <v>±1350mm</v>
      </c>
      <c r="T1132" s="433">
        <v>510</v>
      </c>
      <c r="U1132" s="1062">
        <v>792</v>
      </c>
      <c r="V1132" s="434">
        <f>PV_DATA[[#This Row],[QUANTITY]]*PV_DATA[[#This Row],[WATT]]/1000000</f>
        <v>0.40392</v>
      </c>
      <c r="W1132" s="435">
        <f>PV_DATA[[#This Row],[QUANTITY]]/PV_DATA[[#This Row],[Qty/Pallet]]</f>
        <v>22</v>
      </c>
      <c r="X1132" s="1015">
        <f>PV_DATA[[#This Row],[QUANTITY]]/PV_DATA[[#This Row],[Qty/CT]]</f>
        <v>1</v>
      </c>
      <c r="Y1132" s="430" t="s">
        <v>4381</v>
      </c>
      <c r="Z1132" s="430" t="str">
        <f t="shared" ref="Z1132:Z1139" si="22">IF(AN1132&lt;&gt;"","COMPLETED",IF(AK1132&lt;&gt;"","IN-TRANSIT",""))</f>
        <v>IN-TRANSIT</v>
      </c>
      <c r="AA1132" s="545">
        <v>46291</v>
      </c>
      <c r="AB1132" s="437">
        <v>46293</v>
      </c>
      <c r="AC1132" s="485">
        <f>IF(PV_DATA[[#This Row],[Pick-Up Date]]&lt;&gt;"",_xlfn.ISOWEEKNUM(PV_DATA[[#This Row],[Pick-Up Date]]),"")</f>
        <v>40</v>
      </c>
      <c r="AD1132" s="430" t="s">
        <v>7131</v>
      </c>
      <c r="AE1132" s="430"/>
      <c r="AF1132" s="430" t="s">
        <v>6003</v>
      </c>
      <c r="AG1132" s="430" t="s">
        <v>6003</v>
      </c>
      <c r="AH1132" s="430" t="s">
        <v>78</v>
      </c>
      <c r="AI1132" s="437">
        <v>46296</v>
      </c>
      <c r="AJ1132" s="437">
        <f>IFERROR(VLOOKUP(AT1132, Vessel!A:D, 4, FALSE), "")</f>
        <v>46297.583333333336</v>
      </c>
      <c r="AK1132" s="437">
        <v>46297</v>
      </c>
      <c r="AL1132" s="437">
        <v>46337</v>
      </c>
      <c r="AM1132" s="939">
        <f>IFERROR(VLOOKUP(AT1132, Vessel!A:H, 8, FALSE), "")</f>
        <v>46337.25</v>
      </c>
      <c r="AN1132" s="939" t="str">
        <f>IFERROR(IF(VLOOKUP(AT1132,Vessel!A:I,9,FALSE)=0,"",VLOOKUP(AT1132,Vessel!A:I,9,FALSE)),"")</f>
        <v/>
      </c>
      <c r="AP1132" s="430" t="s">
        <v>7132</v>
      </c>
      <c r="AQ1132" s="438" t="s">
        <v>80</v>
      </c>
      <c r="AR1132" s="430" t="s">
        <v>7133</v>
      </c>
      <c r="AS1132" s="430" t="s">
        <v>7134</v>
      </c>
      <c r="AT1132" s="430" t="s">
        <v>7134</v>
      </c>
      <c r="AU113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40.25</v>
      </c>
      <c r="AW1132" s="437" cm="1">
        <f t="array" ref="AW113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46337.25</v>
      </c>
      <c r="AX113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32" s="437" t="str">
        <f>IF(ISERROR(PV_DATA[[#This Row],[New Ark PO status]]),"",_xlfn.XLOOKUP(PV_DATA[[#This Row],[SPTN-PVHK New Ark PO'#]],New_Ark_Data[Purchase order Number],New_Ark_Data[Estimated time of arrival],"",0))</f>
        <v/>
      </c>
      <c r="AZ1132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32" s="437">
        <f>IFERROR(PV_DATA[[#This Row],[ODP ETA Port]]+PV_DATA[[#This Row],[Customs/Leg3 Assumption]],"n/a")</f>
        <v>46345.25</v>
      </c>
      <c r="BB1132" s="433" t="s">
        <v>6545</v>
      </c>
      <c r="BC1132" s="433" t="s">
        <v>6545</v>
      </c>
      <c r="BD1132" s="430">
        <f>IFERROR(_xlfn.ISOWEEKNUM(PV_DATA[[#This Row],[ETA for New Ark update]]),0)</f>
        <v>47</v>
      </c>
      <c r="BE1132" s="430">
        <f>_xlfn.XLOOKUP(PV_DATA[[#This Row],[New Ark SKU]],Table9[New Ark SKU],Table9[Total PCS per Pallet],,0)</f>
        <v>36</v>
      </c>
      <c r="BF1132" s="430">
        <f>_xlfn.XLOOKUP(PV_DATA[[#This Row],[New Ark SKU]],Table9[New Ark SKU],Table9[Total PCS per 40HQ Container],,0)</f>
        <v>792</v>
      </c>
      <c r="BG1132" s="430" t="str">
        <f>_xlfn.XLOOKUP(PV_DATA[[#This Row],[New Ark SKU]],Table9[New Ark SKU],Table9[Back Glass],,0)</f>
        <v>Black glazing</v>
      </c>
      <c r="BH1132" s="610" t="str">
        <f>_xlfn.XLOOKUP(PV_DATA[[#This Row],[PORT DESTINATION]],Table12[PORT DESTINATION],Table12[Cosco Line],,0)</f>
        <v>AEM</v>
      </c>
      <c r="BJ1132" s="430"/>
    </row>
    <row r="1133" spans="1:62" ht="10.5" hidden="1">
      <c r="A1133" s="729" t="s">
        <v>7135</v>
      </c>
      <c r="B1133" s="462" t="s">
        <v>61</v>
      </c>
      <c r="C1133" s="462" t="str">
        <f>IFERROR(LEFT(PV_DATA[[#This Row],[TCL REFERENCE]],FIND(".",PV_DATA[[#This Row],[TCL REFERENCE]],1)-1),"Main Line")</f>
        <v>26Aug003</v>
      </c>
      <c r="D1133" s="462" t="s">
        <v>63</v>
      </c>
      <c r="E1133" s="462" t="s">
        <v>64</v>
      </c>
      <c r="F1133" s="462" t="str" cm="1">
        <f t="array" ref="F113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33" s="462" t="s">
        <v>402</v>
      </c>
      <c r="H1133" s="462" t="s">
        <v>67</v>
      </c>
      <c r="I1133" s="462" t="s">
        <v>6424</v>
      </c>
      <c r="J1133" s="430" t="s">
        <v>96</v>
      </c>
      <c r="K1133" s="462"/>
      <c r="L1133" s="430"/>
      <c r="M1133" s="430" t="s">
        <v>6325</v>
      </c>
      <c r="N1133" s="432">
        <v>46237</v>
      </c>
      <c r="O1133" s="430" t="s">
        <v>4540</v>
      </c>
      <c r="P1133" s="430" t="s">
        <v>71</v>
      </c>
      <c r="Q1133" s="430" t="s">
        <v>72</v>
      </c>
      <c r="R1133" s="430" t="str">
        <f>_xlfn.XLOOKUP(PV_DATA[[#This Row],[New Ark SKU]],Table9[New Ark SKU],Table9[Connector],,0)</f>
        <v>EVO2A</v>
      </c>
      <c r="S1133" s="433" t="str">
        <f>_xlfn.XLOOKUP(PV_DATA[[#This Row],[New Ark SKU]],Table9[New Ark SKU],Table9[Cable],,0)</f>
        <v>±1200mm</v>
      </c>
      <c r="T1133" s="433">
        <v>500</v>
      </c>
      <c r="U1133" s="1062">
        <v>4320</v>
      </c>
      <c r="V1133" s="434">
        <f>PV_DATA[[#This Row],[QUANTITY]]*PV_DATA[[#This Row],[WATT]]/1000000</f>
        <v>2.16</v>
      </c>
      <c r="W1133" s="435">
        <f>PV_DATA[[#This Row],[QUANTITY]]/PV_DATA[[#This Row],[Qty/Pallet]]</f>
        <v>120</v>
      </c>
      <c r="X1133" s="1015">
        <f>PV_DATA[[#This Row],[QUANTITY]]/PV_DATA[[#This Row],[Qty/CT]]</f>
        <v>5</v>
      </c>
      <c r="Y1133" s="430" t="s">
        <v>4380</v>
      </c>
      <c r="Z1133" s="430" t="str">
        <f t="shared" si="22"/>
        <v>IN-TRANSIT</v>
      </c>
      <c r="AA1133" s="430"/>
      <c r="AB1133" s="966">
        <v>46294</v>
      </c>
      <c r="AC1133" s="485">
        <f>IF(PV_DATA[[#This Row],[Pick-Up Date]]&lt;&gt;"",_xlfn.ISOWEEKNUM(PV_DATA[[#This Row],[Pick-Up Date]]),"")</f>
        <v>40</v>
      </c>
      <c r="AD1133" s="430" t="s">
        <v>7136</v>
      </c>
      <c r="AE1133" s="430"/>
      <c r="AF1133" s="459" t="s">
        <v>61</v>
      </c>
      <c r="AG1133" s="459" t="s">
        <v>61</v>
      </c>
      <c r="AH1133" s="430" t="s">
        <v>105</v>
      </c>
      <c r="AI1133" s="588">
        <v>46300</v>
      </c>
      <c r="AJ1133" s="588">
        <f>IFERROR(VLOOKUP(AT1133, Vessel!A:D, 4, FALSE), "")</f>
        <v>46301.3125</v>
      </c>
      <c r="AK1133" s="588">
        <v>46301</v>
      </c>
      <c r="AL1133" s="588">
        <v>46346</v>
      </c>
      <c r="AM1133" s="939">
        <f>IFERROR(VLOOKUP(AT1133, Vessel!A:H, 8, FALSE), "")</f>
        <v>46346.125</v>
      </c>
      <c r="AN1133" s="939" t="str">
        <f>IFERROR(IF(VLOOKUP(AT1133,Vessel!A:I,9,FALSE)=0,"",VLOOKUP(AT1133,Vessel!A:I,9,FALSE)),"")</f>
        <v/>
      </c>
      <c r="AO1133" s="623"/>
      <c r="AP1133" s="430" t="s">
        <v>7115</v>
      </c>
      <c r="AQ1133" s="438" t="s">
        <v>80</v>
      </c>
      <c r="AR1133" s="430" t="s">
        <v>7137</v>
      </c>
      <c r="AS1133" s="430" t="s">
        <v>7138</v>
      </c>
      <c r="AT1133" s="430" t="s">
        <v>7138</v>
      </c>
      <c r="AU113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45.125</v>
      </c>
      <c r="AW1133" s="437" cm="1">
        <f t="array" ref="AW113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46346.125</v>
      </c>
      <c r="AX113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33" s="437" t="str">
        <f>IF(ISERROR(PV_DATA[[#This Row],[New Ark PO status]]),"",_xlfn.XLOOKUP(PV_DATA[[#This Row],[SPTN-PVHK New Ark PO'#]],New_Ark_Data[Purchase order Number],New_Ark_Data[Estimated time of arrival],"",0))</f>
        <v/>
      </c>
      <c r="AZ1133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33" s="437">
        <f>IFERROR(PV_DATA[[#This Row],[ODP ETA Port]]+PV_DATA[[#This Row],[Customs/Leg3 Assumption]],"n/a")</f>
        <v>46353.125</v>
      </c>
      <c r="BB1133" s="433">
        <f>YEAR(PV_DATA[[#This Row],[ETA for New Ark update]])</f>
        <v>2026</v>
      </c>
      <c r="BC1133" s="430">
        <f>MONTH(PV_DATA[[#This Row],[ETA for New Ark update]])</f>
        <v>11</v>
      </c>
      <c r="BD1133" s="430">
        <f>IFERROR(_xlfn.ISOWEEKNUM(PV_DATA[[#This Row],[ETA for New Ark update]]),0)</f>
        <v>48</v>
      </c>
      <c r="BE1133" s="430">
        <f>_xlfn.XLOOKUP(PV_DATA[[#This Row],[New Ark SKU]],Table9[New Ark SKU],Table9[Total PCS per Pallet],,0)</f>
        <v>36</v>
      </c>
      <c r="BF1133" s="430">
        <f>_xlfn.XLOOKUP(PV_DATA[[#This Row],[New Ark SKU]],Table9[New Ark SKU],Table9[Total PCS per 40HQ Container],,0)</f>
        <v>864</v>
      </c>
      <c r="BG1133" s="430" t="str">
        <f>_xlfn.XLOOKUP(PV_DATA[[#This Row],[New Ark SKU]],Table9[New Ark SKU],Table9[Back Glass],,0)</f>
        <v>Black glazing</v>
      </c>
      <c r="BH1133" s="610" t="str">
        <f>_xlfn.XLOOKUP(PV_DATA[[#This Row],[PORT DESTINATION]],Table12[PORT DESTINATION],Table12[Cosco Line],,0)</f>
        <v>AEU</v>
      </c>
      <c r="BJ1133" s="430"/>
    </row>
    <row r="1134" spans="1:62" ht="10.5" hidden="1">
      <c r="A1134" s="729" t="s">
        <v>7139</v>
      </c>
      <c r="B1134" s="462" t="s">
        <v>61</v>
      </c>
      <c r="C1134" s="462" t="str">
        <f>IFERROR(LEFT(PV_DATA[[#This Row],[TCL REFERENCE]],FIND(".",PV_DATA[[#This Row],[TCL REFERENCE]],1)-1),"Main Line")</f>
        <v>26Aug003</v>
      </c>
      <c r="D1134" s="462" t="s">
        <v>63</v>
      </c>
      <c r="E1134" s="462" t="s">
        <v>64</v>
      </c>
      <c r="F1134" s="462" t="str" cm="1">
        <f t="array" ref="F113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34" s="462" t="s">
        <v>402</v>
      </c>
      <c r="H1134" s="462" t="s">
        <v>67</v>
      </c>
      <c r="I1134" s="462" t="s">
        <v>689</v>
      </c>
      <c r="J1134" s="462" t="s">
        <v>7140</v>
      </c>
      <c r="K1134" s="462"/>
      <c r="L1134" s="430"/>
      <c r="M1134" s="430" t="s">
        <v>6325</v>
      </c>
      <c r="N1134" s="432">
        <v>46237</v>
      </c>
      <c r="O1134" s="430" t="s">
        <v>4540</v>
      </c>
      <c r="P1134" s="430" t="s">
        <v>71</v>
      </c>
      <c r="Q1134" s="430" t="s">
        <v>72</v>
      </c>
      <c r="R1134" s="430" t="str">
        <f>_xlfn.XLOOKUP(PV_DATA[[#This Row],[New Ark SKU]],Table9[New Ark SKU],Table9[Connector],,0)</f>
        <v>EVO2A</v>
      </c>
      <c r="S1134" s="433" t="str">
        <f>_xlfn.XLOOKUP(PV_DATA[[#This Row],[New Ark SKU]],Table9[New Ark SKU],Table9[Cable],,0)</f>
        <v>±1200mm</v>
      </c>
      <c r="T1134" s="433">
        <v>500</v>
      </c>
      <c r="U1134" s="1062">
        <v>1728</v>
      </c>
      <c r="V1134" s="434">
        <f>PV_DATA[[#This Row],[QUANTITY]]*PV_DATA[[#This Row],[WATT]]/1000000</f>
        <v>0.86399999999999999</v>
      </c>
      <c r="W1134" s="435">
        <f>PV_DATA[[#This Row],[QUANTITY]]/PV_DATA[[#This Row],[Qty/Pallet]]</f>
        <v>48</v>
      </c>
      <c r="X1134" s="1015">
        <f>PV_DATA[[#This Row],[QUANTITY]]/PV_DATA[[#This Row],[Qty/CT]]</f>
        <v>2</v>
      </c>
      <c r="Y1134" s="430" t="s">
        <v>4379</v>
      </c>
      <c r="Z1134" s="430" t="str">
        <f t="shared" si="22"/>
        <v>IN-TRANSIT</v>
      </c>
      <c r="AA1134" s="430"/>
      <c r="AB1134" s="966">
        <v>46294</v>
      </c>
      <c r="AC1134" s="485">
        <f>IF(PV_DATA[[#This Row],[Pick-Up Date]]&lt;&gt;"",_xlfn.ISOWEEKNUM(PV_DATA[[#This Row],[Pick-Up Date]]),"")</f>
        <v>40</v>
      </c>
      <c r="AD1134" s="430" t="s">
        <v>7141</v>
      </c>
      <c r="AE1134" s="430"/>
      <c r="AF1134" s="459" t="s">
        <v>61</v>
      </c>
      <c r="AG1134" s="459" t="s">
        <v>61</v>
      </c>
      <c r="AH1134" s="430" t="s">
        <v>105</v>
      </c>
      <c r="AI1134" s="588">
        <v>46300</v>
      </c>
      <c r="AJ1134" s="588">
        <f>IFERROR(VLOOKUP(AT1134, Vessel!A:D, 4, FALSE), "")</f>
        <v>46301.3125</v>
      </c>
      <c r="AK1134" s="588">
        <v>46301</v>
      </c>
      <c r="AL1134" s="588">
        <v>46346</v>
      </c>
      <c r="AM1134" s="939">
        <f>IFERROR(VLOOKUP(AT1134, Vessel!A:H, 8, FALSE), "")</f>
        <v>46346.125</v>
      </c>
      <c r="AN1134" s="939" t="str">
        <f>IFERROR(IF(VLOOKUP(AT1134,Vessel!A:I,9,FALSE)=0,"",VLOOKUP(AT1134,Vessel!A:I,9,FALSE)),"")</f>
        <v/>
      </c>
      <c r="AO1134" s="1436"/>
      <c r="AP1134" s="430" t="s">
        <v>7115</v>
      </c>
      <c r="AQ1134" s="438" t="s">
        <v>80</v>
      </c>
      <c r="AR1134" s="430" t="s">
        <v>7137</v>
      </c>
      <c r="AS1134" s="430" t="s">
        <v>7138</v>
      </c>
      <c r="AT1134" s="430" t="s">
        <v>7138</v>
      </c>
      <c r="AU113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45.125</v>
      </c>
      <c r="AW1134" s="437" cm="1">
        <f t="array" ref="AW113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46346.125</v>
      </c>
      <c r="AX113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34" s="437" t="str">
        <f>IF(ISERROR(PV_DATA[[#This Row],[New Ark PO status]]),"",_xlfn.XLOOKUP(PV_DATA[[#This Row],[SPTN-PVHK New Ark PO'#]],New_Ark_Data[Purchase order Number],New_Ark_Data[Estimated time of arrival],"",0))</f>
        <v/>
      </c>
      <c r="AZ1134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34" s="437">
        <f>IFERROR(PV_DATA[[#This Row],[ODP ETA Port]]+PV_DATA[[#This Row],[Customs/Leg3 Assumption]],"n/a")</f>
        <v>46353.125</v>
      </c>
      <c r="BB1134" s="433">
        <f>YEAR(PV_DATA[[#This Row],[ETA for New Ark update]])</f>
        <v>2026</v>
      </c>
      <c r="BC1134" s="430">
        <f>MONTH(PV_DATA[[#This Row],[ETA for New Ark update]])</f>
        <v>11</v>
      </c>
      <c r="BD1134" s="430">
        <f>IFERROR(_xlfn.ISOWEEKNUM(PV_DATA[[#This Row],[ETA for New Ark update]]),0)</f>
        <v>48</v>
      </c>
      <c r="BE1134" s="430">
        <f>_xlfn.XLOOKUP(PV_DATA[[#This Row],[New Ark SKU]],Table9[New Ark SKU],Table9[Total PCS per Pallet],,0)</f>
        <v>36</v>
      </c>
      <c r="BF1134" s="430">
        <f>_xlfn.XLOOKUP(PV_DATA[[#This Row],[New Ark SKU]],Table9[New Ark SKU],Table9[Total PCS per 40HQ Container],,0)</f>
        <v>864</v>
      </c>
      <c r="BG1134" s="430" t="str">
        <f>_xlfn.XLOOKUP(PV_DATA[[#This Row],[New Ark SKU]],Table9[New Ark SKU],Table9[Back Glass],,0)</f>
        <v>Black glazing</v>
      </c>
      <c r="BH1134" s="610" t="str">
        <f>_xlfn.XLOOKUP(PV_DATA[[#This Row],[PORT DESTINATION]],Table12[PORT DESTINATION],Table12[Cosco Line],,0)</f>
        <v>AEU</v>
      </c>
      <c r="BJ1134" s="430"/>
    </row>
    <row r="1135" spans="1:62" ht="13.5" hidden="1" customHeight="1">
      <c r="A1135" s="462" t="s">
        <v>7142</v>
      </c>
      <c r="B1135" s="462" t="s">
        <v>61</v>
      </c>
      <c r="C1135" s="462" t="str">
        <f>IFERROR(LEFT(PV_DATA[[#This Row],[TCL REFERENCE]],FIND(".",PV_DATA[[#This Row],[TCL REFERENCE]],1)-1),"Main Line")</f>
        <v>26Aug022</v>
      </c>
      <c r="D1135" s="462" t="s">
        <v>63</v>
      </c>
      <c r="E1135" s="462" t="s">
        <v>64</v>
      </c>
      <c r="F1135" s="462" t="str" cm="1">
        <f t="array" ref="F113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35" s="462" t="s">
        <v>402</v>
      </c>
      <c r="H1135" s="462" t="s">
        <v>67</v>
      </c>
      <c r="I1135" s="462" t="s">
        <v>689</v>
      </c>
      <c r="J1135" s="462" t="s">
        <v>96</v>
      </c>
      <c r="K1135" s="430"/>
      <c r="L1135" s="430"/>
      <c r="M1135" s="430" t="s">
        <v>68</v>
      </c>
      <c r="N1135" s="432">
        <v>46279</v>
      </c>
      <c r="O1135" s="430" t="s">
        <v>4540</v>
      </c>
      <c r="P1135" s="430" t="s">
        <v>1151</v>
      </c>
      <c r="Q1135" s="430" t="s">
        <v>421</v>
      </c>
      <c r="R1135" s="430" t="str">
        <f>_xlfn.XLOOKUP(PV_DATA[[#This Row],[New Ark SKU]],Table9[New Ark SKU],Table9[Connector],,0)</f>
        <v>EVO2A</v>
      </c>
      <c r="S1135" s="433" t="str">
        <f>_xlfn.XLOOKUP(PV_DATA[[#This Row],[New Ark SKU]],Table9[New Ark SKU],Table9[Cable],,0)</f>
        <v>±1200mm</v>
      </c>
      <c r="T1135" s="433">
        <v>505</v>
      </c>
      <c r="U1135" s="1062">
        <v>864</v>
      </c>
      <c r="V1135" s="434">
        <f>PV_DATA[[#This Row],[QUANTITY]]*PV_DATA[[#This Row],[WATT]]/1000000</f>
        <v>0.43631999999999999</v>
      </c>
      <c r="W1135" s="435">
        <f>PV_DATA[[#This Row],[QUANTITY]]/PV_DATA[[#This Row],[Qty/Pallet]]</f>
        <v>24</v>
      </c>
      <c r="X1135" s="1015">
        <f>PV_DATA[[#This Row],[QUANTITY]]/PV_DATA[[#This Row],[Qty/CT]]</f>
        <v>1</v>
      </c>
      <c r="Y1135" s="430" t="s">
        <v>4382</v>
      </c>
      <c r="Z1135" s="430" t="str">
        <f t="shared" si="22"/>
        <v>IN-TRANSIT</v>
      </c>
      <c r="AA1135" s="430" t="s">
        <v>5862</v>
      </c>
      <c r="AB1135" s="966">
        <v>46294</v>
      </c>
      <c r="AC1135" s="485">
        <f>IF(PV_DATA[[#This Row],[Pick-Up Date]]&lt;&gt;"",_xlfn.ISOWEEKNUM(PV_DATA[[#This Row],[Pick-Up Date]]),"")</f>
        <v>40</v>
      </c>
      <c r="AD1135" s="430" t="s">
        <v>7143</v>
      </c>
      <c r="AE1135" s="430"/>
      <c r="AF1135" s="430" t="s">
        <v>77</v>
      </c>
      <c r="AG1135" s="430" t="s">
        <v>77</v>
      </c>
      <c r="AH1135" s="430" t="s">
        <v>105</v>
      </c>
      <c r="AI1135" s="588">
        <v>46300</v>
      </c>
      <c r="AJ1135" s="588">
        <f>IFERROR(VLOOKUP(AT1135, Vessel!A:D, 4, FALSE), "")</f>
        <v>46301.3125</v>
      </c>
      <c r="AK1135" s="588">
        <v>46301</v>
      </c>
      <c r="AL1135" s="588">
        <v>46346</v>
      </c>
      <c r="AM1135" s="939">
        <f>IFERROR(VLOOKUP(AT1135, Vessel!A:H, 8, FALSE), "")</f>
        <v>46346.125</v>
      </c>
      <c r="AN1135" s="939" t="str">
        <f>IFERROR(IF(VLOOKUP(AT1135,Vessel!A:I,9,FALSE)=0,"",VLOOKUP(AT1135,Vessel!A:I,9,FALSE)),"")</f>
        <v/>
      </c>
      <c r="AO1135" s="1436"/>
      <c r="AP1135" s="430" t="s">
        <v>7115</v>
      </c>
      <c r="AQ1135" s="438" t="s">
        <v>80</v>
      </c>
      <c r="AR1135" s="430" t="s">
        <v>7137</v>
      </c>
      <c r="AS1135" s="430" t="s">
        <v>7138</v>
      </c>
      <c r="AT1135" s="430" t="s">
        <v>7138</v>
      </c>
      <c r="AU113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45.125</v>
      </c>
      <c r="AW1135" s="437" cm="1">
        <f t="array" ref="AW113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46346.125</v>
      </c>
      <c r="AX1135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35" s="437" t="str">
        <f>IF(ISERROR(PV_DATA[[#This Row],[New Ark PO status]]),"",_xlfn.XLOOKUP(PV_DATA[[#This Row],[SPTN-PVHK New Ark PO'#]],New_Ark_Data[Purchase order Number],New_Ark_Data[Estimated time of arrival],"",0))</f>
        <v/>
      </c>
      <c r="AZ1135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35" s="437">
        <f>IFERROR(PV_DATA[[#This Row],[ODP ETA Port]]+PV_DATA[[#This Row],[Customs/Leg3 Assumption]],"n/a")</f>
        <v>46353.125</v>
      </c>
      <c r="BB1135" s="433">
        <f>YEAR(PV_DATA[[#This Row],[ETA for New Ark update]])</f>
        <v>2026</v>
      </c>
      <c r="BC1135" s="430">
        <f>MONTH(PV_DATA[[#This Row],[ETA for New Ark update]])</f>
        <v>11</v>
      </c>
      <c r="BD1135" s="430">
        <f>IFERROR(_xlfn.ISOWEEKNUM(PV_DATA[[#This Row],[ETA for New Ark update]]),0)</f>
        <v>48</v>
      </c>
      <c r="BE1135" s="430">
        <f>_xlfn.XLOOKUP(PV_DATA[[#This Row],[New Ark SKU]],Table9[New Ark SKU],Table9[Total PCS per Pallet],,0)</f>
        <v>36</v>
      </c>
      <c r="BF1135" s="430">
        <f>_xlfn.XLOOKUP(PV_DATA[[#This Row],[New Ark SKU]],Table9[New Ark SKU],Table9[Total PCS per 40HQ Container],,0)</f>
        <v>864</v>
      </c>
      <c r="BG1135" s="430" t="str">
        <f>_xlfn.XLOOKUP(PV_DATA[[#This Row],[New Ark SKU]],Table9[New Ark SKU],Table9[Back Glass],,0)</f>
        <v>Black glazing</v>
      </c>
      <c r="BH1135" s="430" t="str">
        <f>_xlfn.XLOOKUP(PV_DATA[[#This Row],[PORT DESTINATION]],Table12[PORT DESTINATION],Table12[Cosco Line],,0)</f>
        <v>AEU</v>
      </c>
      <c r="BJ1135" s="430"/>
    </row>
    <row r="1136" spans="1:62" hidden="1">
      <c r="A1136" s="1438" t="s">
        <v>7144</v>
      </c>
      <c r="B1136" s="935" t="s">
        <v>1757</v>
      </c>
      <c r="C1136" s="935" t="str">
        <f>IFERROR(LEFT(PV_DATA[[#This Row],[TCL REFERENCE]],FIND(".",PV_DATA[[#This Row],[TCL REFERENCE]],1)-1),"Main Line")</f>
        <v>26Oct010</v>
      </c>
      <c r="D1136" s="935" t="s">
        <v>63</v>
      </c>
      <c r="E1136" s="462" t="s">
        <v>64</v>
      </c>
      <c r="F1136" s="462" t="str" cm="1">
        <f t="array" ref="F113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1136" s="935" t="s">
        <v>402</v>
      </c>
      <c r="H1136" s="935" t="s">
        <v>451</v>
      </c>
      <c r="I1136" s="935" t="s">
        <v>1395</v>
      </c>
      <c r="J1136" s="430" t="s">
        <v>96</v>
      </c>
      <c r="K1136" s="623"/>
      <c r="L1136" s="623"/>
      <c r="M1136" s="623" t="s">
        <v>68</v>
      </c>
      <c r="N1136" s="1053"/>
      <c r="O1136" s="623" t="s">
        <v>284</v>
      </c>
      <c r="P1136" s="623" t="s">
        <v>6219</v>
      </c>
      <c r="Q1136" s="623" t="s">
        <v>6220</v>
      </c>
      <c r="R1136" s="430" t="str">
        <f>_xlfn.XLOOKUP(PV_DATA[[#This Row],[New Ark SKU]],Table9[New Ark SKU],Table9[Connector],,0)</f>
        <v>EVO2A</v>
      </c>
      <c r="S1136" s="433" t="str">
        <f>_xlfn.XLOOKUP(PV_DATA[[#This Row],[New Ark SKU]],Table9[New Ark SKU],Table9[Cable],,0)</f>
        <v>±1200mm</v>
      </c>
      <c r="T1136" s="964">
        <v>490</v>
      </c>
      <c r="U1136" s="1074">
        <f>936*4</f>
        <v>3744</v>
      </c>
      <c r="V1136" s="965">
        <f>PV_DATA[[#This Row],[QUANTITY]]*PV_DATA[[#This Row],[WATT]]/1000000</f>
        <v>1.83456</v>
      </c>
      <c r="W1136" s="969">
        <f>PV_DATA[[#This Row],[QUANTITY]]/PV_DATA[[#This Row],[Qty/Pallet]]</f>
        <v>104</v>
      </c>
      <c r="X1136" s="1153">
        <f>PV_DATA[[#This Row],[QUANTITY]]/PV_DATA[[#This Row],[Qty/CT]]</f>
        <v>4</v>
      </c>
      <c r="Y1136" s="430" t="s">
        <v>4383</v>
      </c>
      <c r="Z1136" s="1439" t="str">
        <f t="shared" si="22"/>
        <v>IN-TRANSIT</v>
      </c>
      <c r="AA1136" s="623" t="s">
        <v>7145</v>
      </c>
      <c r="AB1136" s="966">
        <v>46304</v>
      </c>
      <c r="AC1136" s="1154">
        <f>IF(PV_DATA[[#This Row],[Pick-Up Date]]&lt;&gt;"",_xlfn.ISOWEEKNUM(PV_DATA[[#This Row],[Pick-Up Date]]),"")</f>
        <v>41</v>
      </c>
      <c r="AD1136" s="623" t="s">
        <v>7146</v>
      </c>
      <c r="AE1136" s="964"/>
      <c r="AF1136" s="430" t="s">
        <v>122</v>
      </c>
      <c r="AG1136" s="430" t="s">
        <v>123</v>
      </c>
      <c r="AH1136" s="430" t="s">
        <v>456</v>
      </c>
      <c r="AI1136" s="966">
        <v>46308</v>
      </c>
      <c r="AJ1136" s="966">
        <f>IFERROR(VLOOKUP(AT1136, Vessel!A:D, 4, FALSE), "")</f>
        <v>46309.729166666664</v>
      </c>
      <c r="AK1136" s="966">
        <f>IFERROR(IF(VLOOKUP(AT1136,Vessel!A:F,5,FALSE)=0,"",VLOOKUP(AT1136,Vessel!A:F,5,FALSE)),"")</f>
        <v>46309.772083333337</v>
      </c>
      <c r="AL1136" s="966">
        <v>46349</v>
      </c>
      <c r="AM1136" s="939">
        <f>IFERROR(VLOOKUP(AT1136, Vessel!A:H, 8, FALSE), "")</f>
        <v>46350.145833333336</v>
      </c>
      <c r="AN1136" s="939" t="str">
        <f>IFERROR(IF(VLOOKUP(AT1136,Vessel!A:I,9,FALSE)=0,"",VLOOKUP(AT1136,Vessel!A:I,9,FALSE)),"")</f>
        <v/>
      </c>
      <c r="AO1136" s="623"/>
      <c r="AP1136" s="623" t="s">
        <v>7147</v>
      </c>
      <c r="AQ1136" s="1044" t="s">
        <v>80</v>
      </c>
      <c r="AR1136" s="623" t="s">
        <v>7148</v>
      </c>
      <c r="AS1136" s="623" t="s">
        <v>7149</v>
      </c>
      <c r="AT1136" s="623" t="s">
        <v>7149</v>
      </c>
      <c r="AU1136" s="623"/>
      <c r="AV1136" s="623"/>
      <c r="AW1136" s="966" cm="1">
        <f t="array" ref="AW113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46350.145833333336</v>
      </c>
      <c r="AX1136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36" s="966" t="str">
        <f>IF(ISERROR(PV_DATA[[#This Row],[New Ark PO status]]),"",_xlfn.XLOOKUP(PV_DATA[[#This Row],[SPTN-PVHK New Ark PO'#]],New_Ark_Data[Purchase order Number],New_Ark_Data[Estimated time of arrival],"",0))</f>
        <v/>
      </c>
      <c r="AZ1136" s="964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36" s="966">
        <f>IFERROR(PV_DATA[[#This Row],[ODP ETA Port]]+PV_DATA[[#This Row],[Customs/Leg3 Assumption]],"n/a")</f>
        <v>46357.145833333336</v>
      </c>
      <c r="BB1136" s="964">
        <f>YEAR(PV_DATA[[#This Row],[ETA for New Ark update]])</f>
        <v>2026</v>
      </c>
      <c r="BC1136" s="623">
        <f>MONTH(PV_DATA[[#This Row],[ETA for New Ark update]])</f>
        <v>12</v>
      </c>
      <c r="BD1136" s="623">
        <f>IFERROR(_xlfn.ISOWEEKNUM(PV_DATA[[#This Row],[ETA for New Ark update]]),0)</f>
        <v>49</v>
      </c>
      <c r="BE1136" s="623">
        <f>_xlfn.XLOOKUP(PV_DATA[[#This Row],[New Ark SKU]],Table9[New Ark SKU],Table9[Total PCS per Pallet],,0)</f>
        <v>36</v>
      </c>
      <c r="BF1136" s="623">
        <f>_xlfn.XLOOKUP(PV_DATA[[#This Row],[New Ark SKU]],Table9[New Ark SKU],Table9[Total PCS per 40HQ Container],,0)</f>
        <v>936</v>
      </c>
      <c r="BG1136" s="623" t="str">
        <f>_xlfn.XLOOKUP(PV_DATA[[#This Row],[New Ark SKU]],Table9[New Ark SKU],Table9[Back Glass],,0)</f>
        <v>Black glazing</v>
      </c>
      <c r="BH1136" s="967" t="str">
        <f>_xlfn.XLOOKUP(PV_DATA[[#This Row],[PORT DESTINATION]],Table12[PORT DESTINATION],Table12[Cosco Line],,0)</f>
        <v>AEU</v>
      </c>
    </row>
    <row r="1137" spans="1:62" hidden="1">
      <c r="A1137" s="1438" t="s">
        <v>7150</v>
      </c>
      <c r="B1137" s="935" t="s">
        <v>1757</v>
      </c>
      <c r="C1137" s="935" t="str">
        <f>IFERROR(LEFT(PV_DATA[[#This Row],[TCL REFERENCE]],FIND(".",PV_DATA[[#This Row],[TCL REFERENCE]],1)-1),"Main Line")</f>
        <v>26Oct009</v>
      </c>
      <c r="D1137" s="935" t="s">
        <v>63</v>
      </c>
      <c r="E1137" s="462" t="s">
        <v>64</v>
      </c>
      <c r="F1137" s="935" t="str" cm="1">
        <f t="array" ref="F113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1137" s="462" t="s">
        <v>402</v>
      </c>
      <c r="H1137" s="462" t="s">
        <v>451</v>
      </c>
      <c r="I1137" s="462" t="s">
        <v>689</v>
      </c>
      <c r="J1137" s="462" t="s">
        <v>96</v>
      </c>
      <c r="K1137" s="623"/>
      <c r="L1137" s="623"/>
      <c r="M1137" s="430" t="s">
        <v>6325</v>
      </c>
      <c r="N1137" s="1053"/>
      <c r="O1137" s="623" t="s">
        <v>284</v>
      </c>
      <c r="P1137" s="623" t="s">
        <v>5860</v>
      </c>
      <c r="Q1137" s="623" t="s">
        <v>5861</v>
      </c>
      <c r="R1137" s="430" t="str">
        <f>_xlfn.XLOOKUP(PV_DATA[[#This Row],[New Ark SKU]],Table9[New Ark SKU],Table9[Connector],,0)</f>
        <v>EVO2A</v>
      </c>
      <c r="S1137" s="433" t="str">
        <f>_xlfn.XLOOKUP(PV_DATA[[#This Row],[New Ark SKU]],Table9[New Ark SKU],Table9[Cable],,0)</f>
        <v>±1200mm</v>
      </c>
      <c r="T1137" s="964">
        <v>485</v>
      </c>
      <c r="U1137" s="1074">
        <f>936</f>
        <v>936</v>
      </c>
      <c r="V1137" s="965">
        <f>PV_DATA[[#This Row],[QUANTITY]]*PV_DATA[[#This Row],[WATT]]/1000000</f>
        <v>0.45395999999999997</v>
      </c>
      <c r="W1137" s="969">
        <f>PV_DATA[[#This Row],[QUANTITY]]/PV_DATA[[#This Row],[Qty/Pallet]]</f>
        <v>26</v>
      </c>
      <c r="X1137" s="1153">
        <f>PV_DATA[[#This Row],[QUANTITY]]/PV_DATA[[#This Row],[Qty/CT]]</f>
        <v>1</v>
      </c>
      <c r="Y1137" s="430" t="s">
        <v>4383</v>
      </c>
      <c r="Z1137" s="1439" t="str">
        <f t="shared" si="22"/>
        <v>IN-TRANSIT</v>
      </c>
      <c r="AA1137" s="623" t="s">
        <v>7145</v>
      </c>
      <c r="AB1137" s="966">
        <v>46304</v>
      </c>
      <c r="AC1137" s="1154">
        <f>IF(PV_DATA[[#This Row],[Pick-Up Date]]&lt;&gt;"",_xlfn.ISOWEEKNUM(PV_DATA[[#This Row],[Pick-Up Date]]),"")</f>
        <v>41</v>
      </c>
      <c r="AD1137" s="623" t="s">
        <v>7151</v>
      </c>
      <c r="AE1137" s="964"/>
      <c r="AF1137" s="430" t="s">
        <v>122</v>
      </c>
      <c r="AG1137" s="430" t="s">
        <v>123</v>
      </c>
      <c r="AH1137" s="430" t="s">
        <v>456</v>
      </c>
      <c r="AI1137" s="966">
        <v>46308</v>
      </c>
      <c r="AJ1137" s="966">
        <f>IFERROR(VLOOKUP(AT1137, Vessel!A:D, 4, FALSE), "")</f>
        <v>46309.729166666664</v>
      </c>
      <c r="AK1137" s="966">
        <f>IFERROR(IF(VLOOKUP(AT1137,Vessel!A:F,5,FALSE)=0,"",VLOOKUP(AT1137,Vessel!A:F,5,FALSE)),"")</f>
        <v>46309.772083333337</v>
      </c>
      <c r="AL1137" s="966">
        <v>46349</v>
      </c>
      <c r="AM1137" s="939">
        <f>IFERROR(VLOOKUP(AT1137, Vessel!A:H, 8, FALSE), "")</f>
        <v>46350.145833333336</v>
      </c>
      <c r="AN1137" s="939" t="str">
        <f>IFERROR(IF(VLOOKUP(AT1137,Vessel!A:I,9,FALSE)=0,"",VLOOKUP(AT1137,Vessel!A:I,9,FALSE)),"")</f>
        <v/>
      </c>
      <c r="AO1137" s="623"/>
      <c r="AP1137" s="623" t="s">
        <v>7147</v>
      </c>
      <c r="AQ1137" s="1044" t="s">
        <v>80</v>
      </c>
      <c r="AR1137" s="623" t="s">
        <v>7148</v>
      </c>
      <c r="AS1137" s="623" t="s">
        <v>7149</v>
      </c>
      <c r="AT1137" s="623" t="s">
        <v>7149</v>
      </c>
      <c r="AU1137" s="623"/>
      <c r="AV1137" s="623"/>
      <c r="AW1137" s="966" cm="1">
        <f t="array" ref="AW113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46350.145833333336</v>
      </c>
      <c r="AX1137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37" s="966" t="str">
        <f>IF(ISERROR(PV_DATA[[#This Row],[New Ark PO status]]),"",_xlfn.XLOOKUP(PV_DATA[[#This Row],[SPTN-PVHK New Ark PO'#]],New_Ark_Data[Purchase order Number],New_Ark_Data[Estimated time of arrival],"",0))</f>
        <v/>
      </c>
      <c r="AZ1137" s="964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37" s="966">
        <f>IFERROR(PV_DATA[[#This Row],[ODP ETA Port]]+PV_DATA[[#This Row],[Customs/Leg3 Assumption]],"n/a")</f>
        <v>46357.145833333336</v>
      </c>
      <c r="BB1137" s="964">
        <f>YEAR(PV_DATA[[#This Row],[ETA for New Ark update]])</f>
        <v>2026</v>
      </c>
      <c r="BC1137" s="623">
        <f>MONTH(PV_DATA[[#This Row],[ETA for New Ark update]])</f>
        <v>12</v>
      </c>
      <c r="BD1137" s="623">
        <f>IFERROR(_xlfn.ISOWEEKNUM(PV_DATA[[#This Row],[ETA for New Ark update]]),0)</f>
        <v>49</v>
      </c>
      <c r="BE1137" s="623">
        <f>_xlfn.XLOOKUP(PV_DATA[[#This Row],[New Ark SKU]],Table9[New Ark SKU],Table9[Total PCS per Pallet],,0)</f>
        <v>36</v>
      </c>
      <c r="BF1137" s="623">
        <f>_xlfn.XLOOKUP(PV_DATA[[#This Row],[New Ark SKU]],Table9[New Ark SKU],Table9[Total PCS per 40HQ Container],,0)</f>
        <v>936</v>
      </c>
      <c r="BG1137" s="623" t="str">
        <f>_xlfn.XLOOKUP(PV_DATA[[#This Row],[New Ark SKU]],Table9[New Ark SKU],Table9[Back Glass],,0)</f>
        <v>Black glazing</v>
      </c>
      <c r="BH1137" s="967" t="str">
        <f>_xlfn.XLOOKUP(PV_DATA[[#This Row],[PORT DESTINATION]],Table12[PORT DESTINATION],Table12[Cosco Line],,0)</f>
        <v>AEU</v>
      </c>
    </row>
    <row r="1138" spans="1:62" hidden="1">
      <c r="A1138" s="1438" t="s">
        <v>7152</v>
      </c>
      <c r="B1138" s="935" t="s">
        <v>1757</v>
      </c>
      <c r="C1138" s="935" t="str">
        <f>IFERROR(LEFT(PV_DATA[[#This Row],[TCL REFERENCE]],FIND(".",PV_DATA[[#This Row],[TCL REFERENCE]],1)-1),"Main Line")</f>
        <v>26Oct010</v>
      </c>
      <c r="D1138" s="935" t="s">
        <v>63</v>
      </c>
      <c r="E1138" s="462" t="s">
        <v>64</v>
      </c>
      <c r="F1138" s="462" t="str" cm="1">
        <f t="array" ref="F113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38" s="935" t="s">
        <v>402</v>
      </c>
      <c r="H1138" s="935" t="s">
        <v>67</v>
      </c>
      <c r="I1138" s="935" t="s">
        <v>1395</v>
      </c>
      <c r="J1138" s="430" t="s">
        <v>96</v>
      </c>
      <c r="K1138" s="623"/>
      <c r="L1138" s="623"/>
      <c r="M1138" s="623" t="s">
        <v>68</v>
      </c>
      <c r="N1138" s="1053"/>
      <c r="O1138" s="623" t="s">
        <v>284</v>
      </c>
      <c r="P1138" s="623" t="s">
        <v>6219</v>
      </c>
      <c r="Q1138" s="623" t="s">
        <v>6220</v>
      </c>
      <c r="R1138" s="430" t="str">
        <f>_xlfn.XLOOKUP(PV_DATA[[#This Row],[New Ark SKU]],Table9[New Ark SKU],Table9[Connector],,0)</f>
        <v>EVO2A</v>
      </c>
      <c r="S1138" s="433" t="str">
        <f>_xlfn.XLOOKUP(PV_DATA[[#This Row],[New Ark SKU]],Table9[New Ark SKU],Table9[Cable],,0)</f>
        <v>±1200mm</v>
      </c>
      <c r="T1138" s="964">
        <v>490</v>
      </c>
      <c r="U1138" s="1074">
        <f>936*2</f>
        <v>1872</v>
      </c>
      <c r="V1138" s="965">
        <f>PV_DATA[[#This Row],[QUANTITY]]*PV_DATA[[#This Row],[WATT]]/1000000</f>
        <v>0.91727999999999998</v>
      </c>
      <c r="W1138" s="969">
        <f>PV_DATA[[#This Row],[QUANTITY]]/PV_DATA[[#This Row],[Qty/Pallet]]</f>
        <v>52</v>
      </c>
      <c r="X1138" s="1153">
        <f>PV_DATA[[#This Row],[QUANTITY]]/PV_DATA[[#This Row],[Qty/CT]]</f>
        <v>2</v>
      </c>
      <c r="Y1138" s="430" t="s">
        <v>4383</v>
      </c>
      <c r="Z1138" s="1439" t="str">
        <f t="shared" si="22"/>
        <v>IN-TRANSIT</v>
      </c>
      <c r="AA1138" s="623" t="s">
        <v>7145</v>
      </c>
      <c r="AB1138" s="966">
        <v>46304</v>
      </c>
      <c r="AC1138" s="1154">
        <f>IF(PV_DATA[[#This Row],[Pick-Up Date]]&lt;&gt;"",_xlfn.ISOWEEKNUM(PV_DATA[[#This Row],[Pick-Up Date]]),"")</f>
        <v>41</v>
      </c>
      <c r="AD1138" s="623" t="s">
        <v>7153</v>
      </c>
      <c r="AE1138" s="964"/>
      <c r="AF1138" s="430" t="s">
        <v>122</v>
      </c>
      <c r="AG1138" s="430" t="s">
        <v>123</v>
      </c>
      <c r="AH1138" s="430" t="s">
        <v>105</v>
      </c>
      <c r="AI1138" s="966">
        <v>46310</v>
      </c>
      <c r="AJ1138" s="966">
        <f>IFERROR(VLOOKUP(AT1138, Vessel!A:D, 4, FALSE), "")</f>
        <v>46309.208333333336</v>
      </c>
      <c r="AK1138" s="966">
        <f>IFERROR(IF(VLOOKUP(AT1138,Vessel!A:F,5,FALSE)=0,"",VLOOKUP(AT1138,Vessel!A:F,5,FALSE)),"")</f>
        <v>46309.260312500002</v>
      </c>
      <c r="AL1138" s="966">
        <v>46346</v>
      </c>
      <c r="AM1138" s="939">
        <f>IFERROR(VLOOKUP(AT1138, Vessel!A:H, 8, FALSE), "")</f>
        <v>46346.125</v>
      </c>
      <c r="AN1138" s="939" t="str">
        <f>IFERROR(IF(VLOOKUP(AT1138,Vessel!A:I,9,FALSE)=0,"",VLOOKUP(AT1138,Vessel!A:I,9,FALSE)),"")</f>
        <v/>
      </c>
      <c r="AO1138" s="623"/>
      <c r="AP1138" s="623" t="s">
        <v>7115</v>
      </c>
      <c r="AQ1138" s="1044" t="s">
        <v>80</v>
      </c>
      <c r="AR1138" s="623" t="s">
        <v>7154</v>
      </c>
      <c r="AS1138" s="623" t="s">
        <v>7155</v>
      </c>
      <c r="AT1138" s="623" t="s">
        <v>7155</v>
      </c>
      <c r="AU1138" s="623"/>
      <c r="AV1138" s="623"/>
      <c r="AW1138" s="966" cm="1">
        <f t="array" ref="AW113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46346.125</v>
      </c>
      <c r="AX113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38" s="966" t="str">
        <f>IF(ISERROR(PV_DATA[[#This Row],[New Ark PO status]]),"",_xlfn.XLOOKUP(PV_DATA[[#This Row],[SPTN-PVHK New Ark PO'#]],New_Ark_Data[Purchase order Number],New_Ark_Data[Estimated time of arrival],"",0))</f>
        <v/>
      </c>
      <c r="AZ1138" s="964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38" s="966">
        <f>IFERROR(PV_DATA[[#This Row],[ODP ETA Port]]+PV_DATA[[#This Row],[Customs/Leg3 Assumption]],"n/a")</f>
        <v>46353.125</v>
      </c>
      <c r="BB1138" s="964">
        <f>YEAR(PV_DATA[[#This Row],[ETA for New Ark update]])</f>
        <v>2026</v>
      </c>
      <c r="BC1138" s="623">
        <f>MONTH(PV_DATA[[#This Row],[ETA for New Ark update]])</f>
        <v>11</v>
      </c>
      <c r="BD1138" s="623">
        <f>IFERROR(_xlfn.ISOWEEKNUM(PV_DATA[[#This Row],[ETA for New Ark update]]),0)</f>
        <v>48</v>
      </c>
      <c r="BE1138" s="623">
        <f>_xlfn.XLOOKUP(PV_DATA[[#This Row],[New Ark SKU]],Table9[New Ark SKU],Table9[Total PCS per Pallet],,0)</f>
        <v>36</v>
      </c>
      <c r="BF1138" s="623">
        <f>_xlfn.XLOOKUP(PV_DATA[[#This Row],[New Ark SKU]],Table9[New Ark SKU],Table9[Total PCS per 40HQ Container],,0)</f>
        <v>936</v>
      </c>
      <c r="BG1138" s="623" t="str">
        <f>_xlfn.XLOOKUP(PV_DATA[[#This Row],[New Ark SKU]],Table9[New Ark SKU],Table9[Back Glass],,0)</f>
        <v>Black glazing</v>
      </c>
      <c r="BH1138" s="967" t="str">
        <f>_xlfn.XLOOKUP(PV_DATA[[#This Row],[PORT DESTINATION]],Table12[PORT DESTINATION],Table12[Cosco Line],,0)</f>
        <v>AEU</v>
      </c>
    </row>
    <row r="1139" spans="1:62" hidden="1">
      <c r="A1139" s="1438" t="s">
        <v>7156</v>
      </c>
      <c r="B1139" s="935" t="s">
        <v>1757</v>
      </c>
      <c r="C1139" s="935" t="str">
        <f>IFERROR(LEFT(PV_DATA[[#This Row],[TCL REFERENCE]],FIND(".",PV_DATA[[#This Row],[TCL REFERENCE]],1)-1),"Main Line")</f>
        <v>26Oct009</v>
      </c>
      <c r="D1139" s="935" t="s">
        <v>63</v>
      </c>
      <c r="E1139" s="462" t="s">
        <v>64</v>
      </c>
      <c r="F1139" s="935" t="str" cm="1">
        <f t="array" ref="F113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39" s="462" t="s">
        <v>402</v>
      </c>
      <c r="H1139" s="462" t="s">
        <v>67</v>
      </c>
      <c r="I1139" s="462" t="s">
        <v>689</v>
      </c>
      <c r="J1139" s="462" t="s">
        <v>96</v>
      </c>
      <c r="K1139" s="623"/>
      <c r="L1139" s="623"/>
      <c r="M1139" s="430" t="s">
        <v>6325</v>
      </c>
      <c r="N1139" s="1053"/>
      <c r="O1139" s="623" t="s">
        <v>284</v>
      </c>
      <c r="P1139" s="623" t="s">
        <v>5860</v>
      </c>
      <c r="Q1139" s="623" t="s">
        <v>5861</v>
      </c>
      <c r="R1139" s="430" t="str">
        <f>_xlfn.XLOOKUP(PV_DATA[[#This Row],[New Ark SKU]],Table9[New Ark SKU],Table9[Connector],,0)</f>
        <v>EVO2A</v>
      </c>
      <c r="S1139" s="433" t="str">
        <f>_xlfn.XLOOKUP(PV_DATA[[#This Row],[New Ark SKU]],Table9[New Ark SKU],Table9[Cable],,0)</f>
        <v>±1200mm</v>
      </c>
      <c r="T1139" s="964">
        <v>485</v>
      </c>
      <c r="U1139" s="1074">
        <f>936*4</f>
        <v>3744</v>
      </c>
      <c r="V1139" s="965">
        <f>PV_DATA[[#This Row],[QUANTITY]]*PV_DATA[[#This Row],[WATT]]/1000000</f>
        <v>1.8158399999999999</v>
      </c>
      <c r="W1139" s="969">
        <f>PV_DATA[[#This Row],[QUANTITY]]/PV_DATA[[#This Row],[Qty/Pallet]]</f>
        <v>104</v>
      </c>
      <c r="X1139" s="1153">
        <f>PV_DATA[[#This Row],[QUANTITY]]/PV_DATA[[#This Row],[Qty/CT]]</f>
        <v>4</v>
      </c>
      <c r="Y1139" s="430" t="s">
        <v>4383</v>
      </c>
      <c r="Z1139" s="1439" t="str">
        <f t="shared" si="22"/>
        <v>IN-TRANSIT</v>
      </c>
      <c r="AA1139" s="623" t="s">
        <v>7145</v>
      </c>
      <c r="AB1139" s="966">
        <v>46304</v>
      </c>
      <c r="AC1139" s="1154">
        <f>IF(PV_DATA[[#This Row],[Pick-Up Date]]&lt;&gt;"",_xlfn.ISOWEEKNUM(PV_DATA[[#This Row],[Pick-Up Date]]),"")</f>
        <v>41</v>
      </c>
      <c r="AD1139" s="623" t="s">
        <v>7157</v>
      </c>
      <c r="AE1139" s="964"/>
      <c r="AF1139" s="430" t="s">
        <v>122</v>
      </c>
      <c r="AG1139" s="430" t="s">
        <v>123</v>
      </c>
      <c r="AH1139" s="430" t="s">
        <v>105</v>
      </c>
      <c r="AI1139" s="966">
        <v>46310</v>
      </c>
      <c r="AJ1139" s="966">
        <f>IFERROR(VLOOKUP(AT1139, Vessel!A:D, 4, FALSE), "")</f>
        <v>46309.208333333336</v>
      </c>
      <c r="AK1139" s="966">
        <f>IFERROR(IF(VLOOKUP(AT1139,Vessel!A:F,5,FALSE)=0,"",VLOOKUP(AT1139,Vessel!A:F,5,FALSE)),"")</f>
        <v>46309.260312500002</v>
      </c>
      <c r="AL1139" s="966">
        <v>46346</v>
      </c>
      <c r="AM1139" s="939">
        <f>IFERROR(VLOOKUP(AT1139, Vessel!A:H, 8, FALSE), "")</f>
        <v>46346.125</v>
      </c>
      <c r="AN1139" s="939" t="str">
        <f>IFERROR(IF(VLOOKUP(AT1139,Vessel!A:I,9,FALSE)=0,"",VLOOKUP(AT1139,Vessel!A:I,9,FALSE)),"")</f>
        <v/>
      </c>
      <c r="AO1139" s="623"/>
      <c r="AP1139" s="623" t="s">
        <v>7115</v>
      </c>
      <c r="AQ1139" s="1044" t="s">
        <v>80</v>
      </c>
      <c r="AR1139" s="623" t="s">
        <v>7154</v>
      </c>
      <c r="AS1139" s="623" t="s">
        <v>7155</v>
      </c>
      <c r="AT1139" s="623" t="s">
        <v>7155</v>
      </c>
      <c r="AU1139" s="623"/>
      <c r="AV1139" s="623"/>
      <c r="AW1139" s="966" cm="1">
        <f t="array" ref="AW113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46346.125</v>
      </c>
      <c r="AX113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39" s="966" t="str">
        <f>IF(ISERROR(PV_DATA[[#This Row],[New Ark PO status]]),"",_xlfn.XLOOKUP(PV_DATA[[#This Row],[SPTN-PVHK New Ark PO'#]],New_Ark_Data[Purchase order Number],New_Ark_Data[Estimated time of arrival],"",0))</f>
        <v/>
      </c>
      <c r="AZ1139" s="964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39" s="966">
        <f>IFERROR(PV_DATA[[#This Row],[ODP ETA Port]]+PV_DATA[[#This Row],[Customs/Leg3 Assumption]],"n/a")</f>
        <v>46353.125</v>
      </c>
      <c r="BB1139" s="964">
        <f>YEAR(PV_DATA[[#This Row],[ETA for New Ark update]])</f>
        <v>2026</v>
      </c>
      <c r="BC1139" s="623">
        <f>MONTH(PV_DATA[[#This Row],[ETA for New Ark update]])</f>
        <v>11</v>
      </c>
      <c r="BD1139" s="623">
        <f>IFERROR(_xlfn.ISOWEEKNUM(PV_DATA[[#This Row],[ETA for New Ark update]]),0)</f>
        <v>48</v>
      </c>
      <c r="BE1139" s="623">
        <f>_xlfn.XLOOKUP(PV_DATA[[#This Row],[New Ark SKU]],Table9[New Ark SKU],Table9[Total PCS per Pallet],,0)</f>
        <v>36</v>
      </c>
      <c r="BF1139" s="623">
        <f>_xlfn.XLOOKUP(PV_DATA[[#This Row],[New Ark SKU]],Table9[New Ark SKU],Table9[Total PCS per 40HQ Container],,0)</f>
        <v>936</v>
      </c>
      <c r="BG1139" s="623" t="str">
        <f>_xlfn.XLOOKUP(PV_DATA[[#This Row],[New Ark SKU]],Table9[New Ark SKU],Table9[Back Glass],,0)</f>
        <v>Black glazing</v>
      </c>
      <c r="BH1139" s="967" t="str">
        <f>_xlfn.XLOOKUP(PV_DATA[[#This Row],[PORT DESTINATION]],Table12[PORT DESTINATION],Table12[Cosco Line],,0)</f>
        <v>AEU</v>
      </c>
    </row>
    <row r="1140" spans="1:62" ht="10.5" hidden="1">
      <c r="A1140" s="1435" t="s">
        <v>7158</v>
      </c>
      <c r="B1140" s="462" t="s">
        <v>111</v>
      </c>
      <c r="C1140" s="462" t="str">
        <f>IFERROR(LEFT(PV_DATA[[#This Row],[TCL REFERENCE]],FIND(".",PV_DATA[[#This Row],[TCL REFERENCE]],1)-1),"Main Line")</f>
        <v>26Aug018</v>
      </c>
      <c r="D1140" s="462" t="s">
        <v>63</v>
      </c>
      <c r="E1140" s="462" t="s">
        <v>64</v>
      </c>
      <c r="F1140" s="462" t="str" cm="1">
        <f t="array" ref="F114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40" s="462" t="s">
        <v>402</v>
      </c>
      <c r="H1140" s="462" t="s">
        <v>311</v>
      </c>
      <c r="I1140" s="462" t="s">
        <v>689</v>
      </c>
      <c r="J1140" s="430" t="s">
        <v>96</v>
      </c>
      <c r="K1140" s="430"/>
      <c r="L1140" s="430"/>
      <c r="M1140" s="430" t="s">
        <v>68</v>
      </c>
      <c r="N1140" s="432">
        <v>46305</v>
      </c>
      <c r="O1140" s="430" t="s">
        <v>170</v>
      </c>
      <c r="P1140" s="430" t="s">
        <v>1977</v>
      </c>
      <c r="Q1140" s="430" t="s">
        <v>1978</v>
      </c>
      <c r="R1140" s="430" t="str">
        <f>_xlfn.XLOOKUP(PV_DATA[[#This Row],[New Ark SKU]],Table9[New Ark SKU],Table9[Connector],,0)</f>
        <v>EVO2A</v>
      </c>
      <c r="S1140" s="433" t="str">
        <f>_xlfn.XLOOKUP(PV_DATA[[#This Row],[New Ark SKU]],Table9[New Ark SKU],Table9[Cable],,0)</f>
        <v>±1400mm</v>
      </c>
      <c r="T1140" s="433">
        <v>560</v>
      </c>
      <c r="U1140" s="1062">
        <v>3300</v>
      </c>
      <c r="V1140" s="434">
        <f>PV_DATA[[#This Row],[QUANTITY]]*PV_DATA[[#This Row],[WATT]]/1000000</f>
        <v>1.8480000000000001</v>
      </c>
      <c r="W1140" s="435">
        <f>PV_DATA[[#This Row],[QUANTITY]]/PV_DATA[[#This Row],[Qty/Pallet]]</f>
        <v>100</v>
      </c>
      <c r="X1140" s="1015">
        <f>PV_DATA[[#This Row],[QUANTITY]]/PV_DATA[[#This Row],[Qty/CT]]</f>
        <v>5</v>
      </c>
      <c r="Y1140" s="430" t="s">
        <v>4385</v>
      </c>
      <c r="Z1140" s="430"/>
      <c r="AA1140" s="430" t="s">
        <v>7159</v>
      </c>
      <c r="AB1140" s="437">
        <v>46304</v>
      </c>
      <c r="AC1140" s="485"/>
      <c r="AD1140" s="430" t="s">
        <v>7160</v>
      </c>
      <c r="AE1140" s="430"/>
      <c r="AF1140" s="430" t="s">
        <v>122</v>
      </c>
      <c r="AG1140" s="430" t="s">
        <v>123</v>
      </c>
      <c r="AH1140" s="430" t="s">
        <v>105</v>
      </c>
      <c r="AI1140" s="437">
        <v>46310</v>
      </c>
      <c r="AJ1140" s="966">
        <f>IFERROR(VLOOKUP(AT1140, Vessel!A:D, 4, FALSE), "")</f>
        <v>46309.208333333336</v>
      </c>
      <c r="AK1140" s="966">
        <f>IFERROR(IF(VLOOKUP(AT1140,Vessel!A:F,5,FALSE)=0,"",VLOOKUP(AT1140,Vessel!A:F,5,FALSE)),"")</f>
        <v>46309.260312500002</v>
      </c>
      <c r="AL1140" s="437">
        <v>46346</v>
      </c>
      <c r="AM1140" s="939">
        <f>IFERROR(VLOOKUP(AT1140, Vessel!A:H, 8, FALSE), "")</f>
        <v>46346.125</v>
      </c>
      <c r="AN1140" s="939" t="str">
        <f>IFERROR(IF(VLOOKUP(AT1140,Vessel!A:I,9,FALSE)=0,"",VLOOKUP(AT1140,Vessel!A:I,9,FALSE)),"")</f>
        <v/>
      </c>
      <c r="AP1140" s="430" t="s">
        <v>7115</v>
      </c>
      <c r="AQ1140" s="430" t="s">
        <v>80</v>
      </c>
      <c r="AR1140" s="430" t="s">
        <v>7161</v>
      </c>
      <c r="AS1140" s="430" t="s">
        <v>7162</v>
      </c>
      <c r="AT1140" s="430" t="s">
        <v>7162</v>
      </c>
      <c r="AU114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36.864687499997672</v>
      </c>
      <c r="AV1140" s="437"/>
      <c r="AW1140" s="437" cm="1">
        <f t="array" ref="AW114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46346.125</v>
      </c>
      <c r="AX114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40" s="437" t="str">
        <f>IF(ISERROR(PV_DATA[[#This Row],[New Ark PO status]]),"",_xlfn.XLOOKUP(PV_DATA[[#This Row],[SPTN-PVHK New Ark PO'#]],New_Ark_Data[Purchase order Number],New_Ark_Data[Estimated time of arrival],"",0))</f>
        <v/>
      </c>
      <c r="AZ1140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40" s="437">
        <f>IFERROR(PV_DATA[[#This Row],[ODP ETA Port]]+PV_DATA[[#This Row],[Customs/Leg3 Assumption]],"n/a")</f>
        <v>46353.125</v>
      </c>
      <c r="BB1140" s="433">
        <f>YEAR(PV_DATA[[#This Row],[ETA for New Ark update]])</f>
        <v>2026</v>
      </c>
      <c r="BC1140" s="430">
        <f>MONTH(PV_DATA[[#This Row],[ETA for New Ark update]])</f>
        <v>11</v>
      </c>
      <c r="BD1140" s="430">
        <f>IFERROR(_xlfn.ISOWEEKNUM(PV_DATA[[#This Row],[ETA for New Ark update]]),0)</f>
        <v>48</v>
      </c>
      <c r="BE1140" s="430">
        <f>_xlfn.XLOOKUP(PV_DATA[[#This Row],[New Ark SKU]],Table9[New Ark SKU],Table9[Total PCS per Pallet],,0)</f>
        <v>33</v>
      </c>
      <c r="BF1140" s="430">
        <f>_xlfn.XLOOKUP(PV_DATA[[#This Row],[New Ark SKU]],Table9[New Ark SKU],Table9[Total PCS per 40HQ Container],,0)</f>
        <v>660</v>
      </c>
      <c r="BG1140" s="430" t="str">
        <f>_xlfn.XLOOKUP(PV_DATA[[#This Row],[New Ark SKU]],Table9[New Ark SKU],Table9[Back Glass],,0)</f>
        <v>White glazing</v>
      </c>
      <c r="BH1140" s="430" t="str">
        <f>_xlfn.XLOOKUP(PV_DATA[[#This Row],[PORT DESTINATION]],Table12[PORT DESTINATION],Table12[Cosco Line],,0)</f>
        <v>AEU</v>
      </c>
      <c r="BJ1140" s="430"/>
    </row>
    <row r="1141" spans="1:62" ht="13.5" hidden="1" customHeight="1">
      <c r="A1141" s="729" t="s">
        <v>7163</v>
      </c>
      <c r="B1141" s="462" t="s">
        <v>111</v>
      </c>
      <c r="C1141" s="462" t="str">
        <f>IFERROR(LEFT(PV_DATA[[#This Row],[TCL REFERENCE]],FIND(".",PV_DATA[[#This Row],[TCL REFERENCE]],1)-1),"Main Line")</f>
        <v>26Aug016</v>
      </c>
      <c r="D1141" s="462" t="s">
        <v>63</v>
      </c>
      <c r="E1141" s="462" t="s">
        <v>64</v>
      </c>
      <c r="F1141" s="462" t="str" cm="1">
        <f t="array" ref="F114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141" s="462" t="s">
        <v>402</v>
      </c>
      <c r="H1141" s="462" t="s">
        <v>115</v>
      </c>
      <c r="I1141" s="462" t="s">
        <v>689</v>
      </c>
      <c r="J1141" s="430" t="s">
        <v>96</v>
      </c>
      <c r="K1141" s="430"/>
      <c r="L1141" s="430"/>
      <c r="M1141" s="430" t="s">
        <v>68</v>
      </c>
      <c r="N1141" s="432">
        <v>46282</v>
      </c>
      <c r="O1141" s="430" t="s">
        <v>550</v>
      </c>
      <c r="P1141" s="430" t="s">
        <v>2134</v>
      </c>
      <c r="Q1141" s="430" t="s">
        <v>2135</v>
      </c>
      <c r="R1141" s="430" t="str">
        <f>_xlfn.XLOOKUP(PV_DATA[[#This Row],[New Ark SKU]],Table9[New Ark SKU],Table9[Connector],,0)</f>
        <v>EVO2A</v>
      </c>
      <c r="S1141" s="433" t="str">
        <f>_xlfn.XLOOKUP(PV_DATA[[#This Row],[New Ark SKU]],Table9[New Ark SKU],Table9[Cable],,0)</f>
        <v>±1350mm</v>
      </c>
      <c r="T1141" s="433">
        <v>515</v>
      </c>
      <c r="U1141" s="1062">
        <v>3960</v>
      </c>
      <c r="V1141" s="434">
        <f>PV_DATA[[#This Row],[QUANTITY]]*PV_DATA[[#This Row],[WATT]]/1000000</f>
        <v>2.0394000000000001</v>
      </c>
      <c r="W1141" s="435">
        <f>PV_DATA[[#This Row],[QUANTITY]]/PV_DATA[[#This Row],[Qty/Pallet]]</f>
        <v>110</v>
      </c>
      <c r="X1141" s="1015">
        <f>PV_DATA[[#This Row],[QUANTITY]]/PV_DATA[[#This Row],[Qty/CT]]</f>
        <v>5</v>
      </c>
      <c r="Y1141" s="430" t="s">
        <v>4383</v>
      </c>
      <c r="Z1141" s="430" t="str">
        <f>IF(AN1141&lt;&gt;"","COMPLETED",IF(AK1141&lt;&gt;"","IN-TRANSIT",""))</f>
        <v>IN-TRANSIT</v>
      </c>
      <c r="AA1141" s="430" t="s">
        <v>7164</v>
      </c>
      <c r="AB1141" s="437">
        <v>46303</v>
      </c>
      <c r="AC1141" s="485">
        <f>IF(PV_DATA[[#This Row],[Pick-Up Date]]&lt;&gt;"",_xlfn.ISOWEEKNUM(PV_DATA[[#This Row],[Pick-Up Date]]),"")</f>
        <v>41</v>
      </c>
      <c r="AD1141" s="430" t="s">
        <v>7165</v>
      </c>
      <c r="AE1141" s="430"/>
      <c r="AF1141" s="430" t="s">
        <v>122</v>
      </c>
      <c r="AG1141" s="430" t="s">
        <v>122</v>
      </c>
      <c r="AH1141" s="430" t="s">
        <v>314</v>
      </c>
      <c r="AI1141" s="437">
        <v>46311</v>
      </c>
      <c r="AJ1141" s="437">
        <f>IFERROR(VLOOKUP(AT1141, Vessel!A:D, 4, FALSE), "")</f>
        <v>46312.9375</v>
      </c>
      <c r="AK1141" s="966">
        <f>IFERROR(IF(VLOOKUP(AT1141,Vessel!A:F,5,FALSE)=0,"",VLOOKUP(AT1141,Vessel!A:F,5,FALSE)),"")</f>
        <v>46312.952164351853</v>
      </c>
      <c r="AL1141" s="437">
        <v>46358</v>
      </c>
      <c r="AM1141" s="939">
        <f>IFERROR(VLOOKUP(AT1141, Vessel!A:H, 8, FALSE), "")</f>
        <v>46358.25</v>
      </c>
      <c r="AN1141" s="939" t="str">
        <f>IFERROR(IF(VLOOKUP(AT1141,Vessel!A:I,9,FALSE)=0,"",VLOOKUP(AT1141,Vessel!A:I,9,FALSE)),"")</f>
        <v/>
      </c>
      <c r="AP1141" s="430" t="s">
        <v>7166</v>
      </c>
      <c r="AQ1141" s="438" t="s">
        <v>80</v>
      </c>
      <c r="AR1141" s="623" t="s">
        <v>7167</v>
      </c>
      <c r="AS1141" s="430" t="s">
        <v>7168</v>
      </c>
      <c r="AT1141" s="430" t="s">
        <v>7168</v>
      </c>
      <c r="AU114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45.297835648147156</v>
      </c>
      <c r="AW1141" s="437" cm="1">
        <f t="array" ref="AW114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46358.25</v>
      </c>
      <c r="AX114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41" s="437" t="str">
        <f>IF(ISERROR(PV_DATA[[#This Row],[New Ark PO status]]),"",_xlfn.XLOOKUP(PV_DATA[[#This Row],[SPTN-PVHK New Ark PO'#]],New_Ark_Data[Purchase order Number],New_Ark_Data[Estimated time of arrival],"",0))</f>
        <v/>
      </c>
      <c r="AZ1141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141" s="437">
        <f>IFERROR(PV_DATA[[#This Row],[ODP ETA Port]]+PV_DATA[[#This Row],[Customs/Leg3 Assumption]],"n/a")</f>
        <v>46368.25</v>
      </c>
      <c r="BB1141" s="433" t="s">
        <v>6545</v>
      </c>
      <c r="BC1141" s="433" t="s">
        <v>6545</v>
      </c>
      <c r="BD1141" s="430">
        <f>IFERROR(_xlfn.ISOWEEKNUM(PV_DATA[[#This Row],[ETA for New Ark update]]),0)</f>
        <v>50</v>
      </c>
      <c r="BE1141" s="430">
        <f>_xlfn.XLOOKUP(PV_DATA[[#This Row],[New Ark SKU]],Table9[New Ark SKU],Table9[Total PCS per Pallet],,0)</f>
        <v>36</v>
      </c>
      <c r="BF1141" s="430">
        <f>_xlfn.XLOOKUP(PV_DATA[[#This Row],[New Ark SKU]],Table9[New Ark SKU],Table9[Total PCS per 40HQ Container],,0)</f>
        <v>792</v>
      </c>
      <c r="BG1141" s="430" t="str">
        <f>_xlfn.XLOOKUP(PV_DATA[[#This Row],[New Ark SKU]],Table9[New Ark SKU],Table9[Back Glass],,0)</f>
        <v>Black glazing</v>
      </c>
      <c r="BH1141" s="610" t="str">
        <f>_xlfn.XLOOKUP(PV_DATA[[#This Row],[PORT DESTINATION]],Table12[PORT DESTINATION],Table12[Cosco Line],,0)</f>
        <v>AEM</v>
      </c>
      <c r="BJ1141" s="430"/>
    </row>
    <row r="1142" spans="1:62" ht="10.5" hidden="1">
      <c r="A1142" s="729" t="s">
        <v>7169</v>
      </c>
      <c r="B1142" s="462" t="s">
        <v>111</v>
      </c>
      <c r="C1142" s="462" t="str">
        <f>IFERROR(LEFT(PV_DATA[[#This Row],[TCL REFERENCE]],FIND(".",PV_DATA[[#This Row],[TCL REFERENCE]],1)-1),"Main Line")</f>
        <v>26Aug017</v>
      </c>
      <c r="D1142" s="462" t="s">
        <v>63</v>
      </c>
      <c r="E1142" s="462" t="s">
        <v>64</v>
      </c>
      <c r="F1142" s="462" t="str" cm="1">
        <f t="array" ref="F114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142" s="462" t="s">
        <v>402</v>
      </c>
      <c r="H1142" s="462" t="s">
        <v>311</v>
      </c>
      <c r="I1142" s="462" t="s">
        <v>689</v>
      </c>
      <c r="J1142" s="430" t="s">
        <v>96</v>
      </c>
      <c r="K1142" s="430"/>
      <c r="L1142" s="430"/>
      <c r="M1142" s="430"/>
      <c r="N1142" s="432">
        <v>46305</v>
      </c>
      <c r="O1142" s="430" t="s">
        <v>170</v>
      </c>
      <c r="P1142" s="430" t="s">
        <v>171</v>
      </c>
      <c r="Q1142" s="430" t="s">
        <v>1731</v>
      </c>
      <c r="R1142" s="430" t="str">
        <f>_xlfn.XLOOKUP(PV_DATA[[#This Row],[New Ark SKU]],Table9[New Ark SKU],Table9[Connector],,0)</f>
        <v>EVO2A</v>
      </c>
      <c r="S1142" s="433" t="str">
        <f>_xlfn.XLOOKUP(PV_DATA[[#This Row],[New Ark SKU]],Table9[New Ark SKU],Table9[Cable],,0)</f>
        <v>±1400mm</v>
      </c>
      <c r="T1142" s="433">
        <v>555</v>
      </c>
      <c r="U1142" s="1062">
        <f>660*2</f>
        <v>1320</v>
      </c>
      <c r="V1142" s="434">
        <f>PV_DATA[[#This Row],[QUANTITY]]*PV_DATA[[#This Row],[WATT]]/1000000</f>
        <v>0.73260000000000003</v>
      </c>
      <c r="W1142" s="435">
        <f>PV_DATA[[#This Row],[QUANTITY]]/PV_DATA[[#This Row],[Qty/Pallet]]</f>
        <v>40</v>
      </c>
      <c r="X1142" s="1015">
        <f>PV_DATA[[#This Row],[QUANTITY]]/PV_DATA[[#This Row],[Qty/CT]]</f>
        <v>2</v>
      </c>
      <c r="Y1142" s="430" t="s">
        <v>4383</v>
      </c>
      <c r="Z1142" s="430"/>
      <c r="AA1142" s="430" t="s">
        <v>7170</v>
      </c>
      <c r="AB1142" s="437">
        <v>46303</v>
      </c>
      <c r="AC1142" s="485"/>
      <c r="AD1142" s="430" t="s">
        <v>7171</v>
      </c>
      <c r="AE1142" s="430"/>
      <c r="AF1142" s="430" t="s">
        <v>122</v>
      </c>
      <c r="AG1142" s="430" t="s">
        <v>123</v>
      </c>
      <c r="AH1142" s="430" t="s">
        <v>124</v>
      </c>
      <c r="AI1142" s="437">
        <v>46311</v>
      </c>
      <c r="AJ1142" s="437">
        <f>IFERROR(VLOOKUP(AT1142, Vessel!A:D, 4, FALSE), "")</f>
        <v>46312.9375</v>
      </c>
      <c r="AK1142" s="966">
        <f>IFERROR(IF(VLOOKUP(AT1142,Vessel!A:F,5,FALSE)=0,"",VLOOKUP(AT1142,Vessel!A:F,5,FALSE)),"")</f>
        <v>46312.952164351853</v>
      </c>
      <c r="AL1142" s="437">
        <v>46366</v>
      </c>
      <c r="AM1142" s="939">
        <f>IFERROR(VLOOKUP(AT1142, Vessel!A:H, 8, FALSE), "")</f>
        <v>46366.625</v>
      </c>
      <c r="AN1142" s="939" t="str">
        <f>IFERROR(IF(VLOOKUP(AT1142,Vessel!A:I,9,FALSE)=0,"",VLOOKUP(AT1142,Vessel!A:I,9,FALSE)),"")</f>
        <v/>
      </c>
      <c r="AP1142" s="430" t="s">
        <v>7166</v>
      </c>
      <c r="AQ1142" s="430" t="s">
        <v>80</v>
      </c>
      <c r="AR1142" s="623" t="s">
        <v>7172</v>
      </c>
      <c r="AS1142" s="430" t="s">
        <v>7173</v>
      </c>
      <c r="AT1142" s="430" t="s">
        <v>7173</v>
      </c>
      <c r="AU114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53.672835648147156</v>
      </c>
      <c r="AV1142" s="437"/>
      <c r="AW1142" s="437" cm="1">
        <f t="array" ref="AW114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46366.625</v>
      </c>
      <c r="AX114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42" s="437" t="str">
        <f>IF(ISERROR(PV_DATA[[#This Row],[New Ark PO status]]),"",_xlfn.XLOOKUP(PV_DATA[[#This Row],[SPTN-PVHK New Ark PO'#]],New_Ark_Data[Purchase order Number],New_Ark_Data[Estimated time of arrival],"",0))</f>
        <v/>
      </c>
      <c r="AZ1142" s="433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142" s="437">
        <f>IFERROR(PV_DATA[[#This Row],[ODP ETA Port]]+PV_DATA[[#This Row],[Customs/Leg3 Assumption]],"n/a")</f>
        <v>46375.625</v>
      </c>
      <c r="BB1142" s="433">
        <f>YEAR(PV_DATA[[#This Row],[ETA for New Ark update]])</f>
        <v>2026</v>
      </c>
      <c r="BC1142" s="430">
        <f>MONTH(PV_DATA[[#This Row],[ETA for New Ark update]])</f>
        <v>12</v>
      </c>
      <c r="BD1142" s="430">
        <f>IFERROR(_xlfn.ISOWEEKNUM(PV_DATA[[#This Row],[ETA for New Ark update]]),0)</f>
        <v>51</v>
      </c>
      <c r="BE1142" s="430">
        <f>_xlfn.XLOOKUP(PV_DATA[[#This Row],[New Ark SKU]],Table9[New Ark SKU],Table9[Total PCS per Pallet],,0)</f>
        <v>33</v>
      </c>
      <c r="BF1142" s="430">
        <f>_xlfn.XLOOKUP(PV_DATA[[#This Row],[New Ark SKU]],Table9[New Ark SKU],Table9[Total PCS per 40HQ Container],,0)</f>
        <v>660</v>
      </c>
      <c r="BG1142" s="430" t="str">
        <f>_xlfn.XLOOKUP(PV_DATA[[#This Row],[New Ark SKU]],Table9[New Ark SKU],Table9[Back Glass],,0)</f>
        <v>White glazing</v>
      </c>
      <c r="BH1142" s="430" t="str">
        <f>_xlfn.XLOOKUP(PV_DATA[[#This Row],[PORT DESTINATION]],Table12[PORT DESTINATION],Table12[Cosco Line],,0)</f>
        <v>AEM</v>
      </c>
      <c r="BJ1142" s="430"/>
    </row>
    <row r="1143" spans="1:62" ht="10.5" hidden="1">
      <c r="A1143" s="729" t="s">
        <v>7174</v>
      </c>
      <c r="B1143" s="462" t="s">
        <v>111</v>
      </c>
      <c r="C1143" s="462" t="str">
        <f>IFERROR(LEFT(PV_DATA[[#This Row],[TCL REFERENCE]],FIND(".",PV_DATA[[#This Row],[TCL REFERENCE]],1)-1),"Main Line")</f>
        <v>26Aug017</v>
      </c>
      <c r="D1143" s="462" t="s">
        <v>63</v>
      </c>
      <c r="E1143" s="462" t="s">
        <v>64</v>
      </c>
      <c r="F1143" s="462" t="str" cm="1">
        <f t="array" ref="F114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143" s="462" t="s">
        <v>402</v>
      </c>
      <c r="H1143" s="462" t="s">
        <v>311</v>
      </c>
      <c r="I1143" s="462" t="s">
        <v>689</v>
      </c>
      <c r="J1143" s="430" t="s">
        <v>96</v>
      </c>
      <c r="K1143" s="430"/>
      <c r="L1143" s="430"/>
      <c r="M1143" s="430"/>
      <c r="N1143" s="432">
        <v>46305</v>
      </c>
      <c r="O1143" s="430" t="s">
        <v>170</v>
      </c>
      <c r="P1143" s="430" t="s">
        <v>171</v>
      </c>
      <c r="Q1143" s="430" t="s">
        <v>1731</v>
      </c>
      <c r="R1143" s="430" t="str">
        <f>_xlfn.XLOOKUP(PV_DATA[[#This Row],[New Ark SKU]],Table9[New Ark SKU],Table9[Connector],,0)</f>
        <v>EVO2A</v>
      </c>
      <c r="S1143" s="433" t="str">
        <f>_xlfn.XLOOKUP(PV_DATA[[#This Row],[New Ark SKU]],Table9[New Ark SKU],Table9[Cable],,0)</f>
        <v>±1400mm</v>
      </c>
      <c r="T1143" s="433">
        <v>555</v>
      </c>
      <c r="U1143" s="1062">
        <f>660*3</f>
        <v>1980</v>
      </c>
      <c r="V1143" s="434">
        <f>PV_DATA[[#This Row],[QUANTITY]]*PV_DATA[[#This Row],[WATT]]/1000000</f>
        <v>1.0989</v>
      </c>
      <c r="W1143" s="435">
        <f>PV_DATA[[#This Row],[QUANTITY]]/PV_DATA[[#This Row],[Qty/Pallet]]</f>
        <v>60</v>
      </c>
      <c r="X1143" s="1015">
        <f>PV_DATA[[#This Row],[QUANTITY]]/PV_DATA[[#This Row],[Qty/CT]]</f>
        <v>3</v>
      </c>
      <c r="Y1143" s="430" t="s">
        <v>4383</v>
      </c>
      <c r="Z1143" s="430"/>
      <c r="AA1143" s="430" t="s">
        <v>7170</v>
      </c>
      <c r="AB1143" s="437">
        <v>46303</v>
      </c>
      <c r="AC1143" s="485"/>
      <c r="AD1143" s="430" t="s">
        <v>7175</v>
      </c>
      <c r="AE1143" s="430"/>
      <c r="AF1143" s="430" t="s">
        <v>122</v>
      </c>
      <c r="AG1143" s="430" t="s">
        <v>123</v>
      </c>
      <c r="AH1143" s="430" t="s">
        <v>1561</v>
      </c>
      <c r="AI1143" s="437">
        <v>46311</v>
      </c>
      <c r="AJ1143" s="437">
        <f>IFERROR(VLOOKUP(AT1143, Vessel!A:D, 4, FALSE), "")</f>
        <v>46312.9375</v>
      </c>
      <c r="AK1143" s="966">
        <f>IFERROR(IF(VLOOKUP(AT1143,Vessel!A:F,5,FALSE)=0,"",VLOOKUP(AT1143,Vessel!A:F,5,FALSE)),"")</f>
        <v>46312.952164351853</v>
      </c>
      <c r="AL1143" s="437">
        <v>46360</v>
      </c>
      <c r="AM1143" s="939">
        <f>IFERROR(VLOOKUP(AT1143, Vessel!A:H, 8, FALSE), "")</f>
        <v>0</v>
      </c>
      <c r="AN1143" s="939" t="str">
        <f>IFERROR(IF(VLOOKUP(AT1143,Vessel!A:I,9,FALSE)=0,"",VLOOKUP(AT1143,Vessel!A:I,9,FALSE)),"")</f>
        <v/>
      </c>
      <c r="AP1143" s="430" t="s">
        <v>7166</v>
      </c>
      <c r="AQ1143" s="430" t="s">
        <v>80</v>
      </c>
      <c r="AR1143" s="623" t="s">
        <v>7176</v>
      </c>
      <c r="AS1143" s="430" t="s">
        <v>7177</v>
      </c>
      <c r="AT1143" s="430" t="s">
        <v>7177</v>
      </c>
      <c r="AU114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-46312.952164351853</v>
      </c>
      <c r="AV1143" s="437"/>
      <c r="AW1143" s="437" cm="1">
        <f t="array" ref="AW114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46360</v>
      </c>
      <c r="AX1143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43" s="437" t="str">
        <f>IF(ISERROR(PV_DATA[[#This Row],[New Ark PO status]]),"",_xlfn.XLOOKUP(PV_DATA[[#This Row],[SPTN-PVHK New Ark PO'#]],New_Ark_Data[Purchase order Number],New_Ark_Data[Estimated time of arrival],"",0))</f>
        <v/>
      </c>
      <c r="AZ1143" s="433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143" s="437">
        <f>IFERROR(PV_DATA[[#This Row],[ODP ETA Port]]+PV_DATA[[#This Row],[Customs/Leg3 Assumption]],"n/a")</f>
        <v>46370</v>
      </c>
      <c r="BB1143" s="433">
        <f>YEAR(PV_DATA[[#This Row],[ETA for New Ark update]])</f>
        <v>2026</v>
      </c>
      <c r="BC1143" s="430">
        <f>MONTH(PV_DATA[[#This Row],[ETA for New Ark update]])</f>
        <v>12</v>
      </c>
      <c r="BD1143" s="430">
        <f>IFERROR(_xlfn.ISOWEEKNUM(PV_DATA[[#This Row],[ETA for New Ark update]]),0)</f>
        <v>51</v>
      </c>
      <c r="BE1143" s="430">
        <f>_xlfn.XLOOKUP(PV_DATA[[#This Row],[New Ark SKU]],Table9[New Ark SKU],Table9[Total PCS per Pallet],,0)</f>
        <v>33</v>
      </c>
      <c r="BF1143" s="430">
        <f>_xlfn.XLOOKUP(PV_DATA[[#This Row],[New Ark SKU]],Table9[New Ark SKU],Table9[Total PCS per 40HQ Container],,0)</f>
        <v>660</v>
      </c>
      <c r="BG1143" s="430" t="str">
        <f>_xlfn.XLOOKUP(PV_DATA[[#This Row],[New Ark SKU]],Table9[New Ark SKU],Table9[Back Glass],,0)</f>
        <v>White glazing</v>
      </c>
      <c r="BH1143" s="430" t="str">
        <f>_xlfn.XLOOKUP(PV_DATA[[#This Row],[PORT DESTINATION]],Table12[PORT DESTINATION],Table12[Cosco Line],,0)</f>
        <v>AEM</v>
      </c>
      <c r="BJ1143" s="430"/>
    </row>
    <row r="1144" spans="1:62" ht="13.5" hidden="1" customHeight="1">
      <c r="A1144" s="729" t="s">
        <v>7178</v>
      </c>
      <c r="B1144" s="462" t="s">
        <v>111</v>
      </c>
      <c r="C1144" s="462" t="str">
        <f>IFERROR(LEFT(PV_DATA[[#This Row],[TCL REFERENCE]],FIND(".",PV_DATA[[#This Row],[TCL REFERENCE]],1)-1),"Main Line")</f>
        <v>26Aug015</v>
      </c>
      <c r="D1144" s="462" t="s">
        <v>63</v>
      </c>
      <c r="E1144" s="462" t="s">
        <v>64</v>
      </c>
      <c r="F1144" s="462" t="str" cm="1">
        <f t="array" ref="F114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44" s="462" t="s">
        <v>402</v>
      </c>
      <c r="H1144" s="462" t="s">
        <v>67</v>
      </c>
      <c r="I1144" s="462" t="s">
        <v>689</v>
      </c>
      <c r="J1144" s="430" t="s">
        <v>96</v>
      </c>
      <c r="K1144" s="430"/>
      <c r="L1144" s="430"/>
      <c r="M1144" s="430" t="s">
        <v>68</v>
      </c>
      <c r="N1144" s="432">
        <v>46285</v>
      </c>
      <c r="O1144" s="430" t="s">
        <v>550</v>
      </c>
      <c r="P1144" s="430" t="s">
        <v>551</v>
      </c>
      <c r="Q1144" s="430" t="s">
        <v>2151</v>
      </c>
      <c r="R1144" s="430" t="str">
        <f>_xlfn.XLOOKUP(PV_DATA[[#This Row],[New Ark SKU]],Table9[New Ark SKU],Table9[Connector],,0)</f>
        <v>EVO2A</v>
      </c>
      <c r="S1144" s="433" t="str">
        <f>_xlfn.XLOOKUP(PV_DATA[[#This Row],[New Ark SKU]],Table9[New Ark SKU],Table9[Cable],,0)</f>
        <v>±1350mm</v>
      </c>
      <c r="T1144" s="433">
        <v>510</v>
      </c>
      <c r="U1144" s="1062">
        <v>1584</v>
      </c>
      <c r="V1144" s="434">
        <f>PV_DATA[[#This Row],[QUANTITY]]*PV_DATA[[#This Row],[WATT]]/1000000</f>
        <v>0.80784</v>
      </c>
      <c r="W1144" s="435">
        <f>PV_DATA[[#This Row],[QUANTITY]]/PV_DATA[[#This Row],[Qty/Pallet]]</f>
        <v>44</v>
      </c>
      <c r="X1144" s="1015">
        <f>PV_DATA[[#This Row],[QUANTITY]]/PV_DATA[[#This Row],[Qty/CT]]</f>
        <v>2</v>
      </c>
      <c r="Y1144" s="430" t="s">
        <v>4385</v>
      </c>
      <c r="Z1144" s="430" t="str">
        <f t="shared" ref="Z1144:Z1152" si="23">IF(AN1144&lt;&gt;"","COMPLETED",IF(AK1144&lt;&gt;"","IN-TRANSIT",""))</f>
        <v>IN-TRANSIT</v>
      </c>
      <c r="AA1144" s="430" t="s">
        <v>7179</v>
      </c>
      <c r="AB1144" s="437">
        <v>46303</v>
      </c>
      <c r="AC1144" s="485">
        <f>IF(PV_DATA[[#This Row],[Pick-Up Date]]&lt;&gt;"",_xlfn.ISOWEEKNUM(PV_DATA[[#This Row],[Pick-Up Date]]),"")</f>
        <v>41</v>
      </c>
      <c r="AD1144" s="430" t="s">
        <v>7180</v>
      </c>
      <c r="AE1144" s="430"/>
      <c r="AF1144" s="430" t="s">
        <v>122</v>
      </c>
      <c r="AG1144" s="430" t="s">
        <v>122</v>
      </c>
      <c r="AH1144" s="430" t="s">
        <v>78</v>
      </c>
      <c r="AI1144" s="437">
        <v>46311</v>
      </c>
      <c r="AJ1144" s="437">
        <v>46311</v>
      </c>
      <c r="AK1144" s="966">
        <f>IFERROR(IF(VLOOKUP(AT1144,Vessel!A:F,5,FALSE)=0,"",VLOOKUP(AT1144,Vessel!A:F,5,FALSE)),"")</f>
        <v>46312.952164351853</v>
      </c>
      <c r="AL1144" s="437">
        <v>46363</v>
      </c>
      <c r="AM1144" s="939">
        <f>IFERROR(VLOOKUP(AT1144, Vessel!A:H, 8, FALSE), "")</f>
        <v>46363.791666666664</v>
      </c>
      <c r="AN1144" s="939" t="str">
        <f>IFERROR(IF(VLOOKUP(AT1144,Vessel!A:I,9,FALSE)=0,"",VLOOKUP(AT1144,Vessel!A:I,9,FALSE)),"")</f>
        <v/>
      </c>
      <c r="AP1144" s="430" t="s">
        <v>7166</v>
      </c>
      <c r="AQ1144" s="438" t="s">
        <v>80</v>
      </c>
      <c r="AR1144" s="623" t="s">
        <v>7181</v>
      </c>
      <c r="AS1144" s="430" t="s">
        <v>7182</v>
      </c>
      <c r="AT1144" s="430" t="s">
        <v>7182</v>
      </c>
      <c r="AW1144" s="437" cm="1">
        <f t="array" ref="AW114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46363.791666666664</v>
      </c>
      <c r="AX1144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44" s="437" t="str">
        <f>IF(ISERROR(PV_DATA[[#This Row],[New Ark PO status]]),"",_xlfn.XLOOKUP(PV_DATA[[#This Row],[SPTN-PVHK New Ark PO'#]],New_Ark_Data[Purchase order Number],New_Ark_Data[Estimated time of arrival],"",0))</f>
        <v/>
      </c>
      <c r="AZ1144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44" s="437">
        <f>IFERROR(PV_DATA[[#This Row],[ODP ETA Port]]+PV_DATA[[#This Row],[Customs/Leg3 Assumption]],"n/a")</f>
        <v>46371.791666666664</v>
      </c>
      <c r="BB1144" s="433">
        <f>YEAR(PV_DATA[[#This Row],[ETA for New Ark update]])</f>
        <v>2026</v>
      </c>
      <c r="BC1144" s="430">
        <f>MONTH(PV_DATA[[#This Row],[ETA for New Ark update]])</f>
        <v>12</v>
      </c>
      <c r="BD1144" s="430">
        <f>IFERROR(_xlfn.ISOWEEKNUM(PV_DATA[[#This Row],[ETA for New Ark update]]),0)</f>
        <v>51</v>
      </c>
      <c r="BE1144" s="430">
        <f>_xlfn.XLOOKUP(PV_DATA[[#This Row],[New Ark SKU]],Table9[New Ark SKU],Table9[Total PCS per Pallet],,0)</f>
        <v>36</v>
      </c>
      <c r="BF1144" s="430">
        <f>_xlfn.XLOOKUP(PV_DATA[[#This Row],[New Ark SKU]],Table9[New Ark SKU],Table9[Total PCS per 40HQ Container],,0)</f>
        <v>792</v>
      </c>
      <c r="BG1144" s="430" t="str">
        <f>_xlfn.XLOOKUP(PV_DATA[[#This Row],[New Ark SKU]],Table9[New Ark SKU],Table9[Back Glass],,0)</f>
        <v>Black glazing</v>
      </c>
      <c r="BH1144" s="610" t="str">
        <f>_xlfn.XLOOKUP(PV_DATA[[#This Row],[PORT DESTINATION]],Table12[PORT DESTINATION],Table12[Cosco Line],,0)</f>
        <v>AEM</v>
      </c>
      <c r="BJ1144" s="430"/>
    </row>
    <row r="1145" spans="1:62" hidden="1">
      <c r="A1145" s="1274" t="s">
        <v>7183</v>
      </c>
      <c r="B1145" s="726" t="s">
        <v>1757</v>
      </c>
      <c r="C1145" s="726" t="str">
        <f>IFERROR(LEFT(PV_DATA[[#This Row],[TCL REFERENCE]],FIND(".",PV_DATA[[#This Row],[TCL REFERENCE]],1)-1),"Main Line")</f>
        <v>26Oct009</v>
      </c>
      <c r="D1145" s="726" t="s">
        <v>63</v>
      </c>
      <c r="E1145" s="1273" t="s">
        <v>64</v>
      </c>
      <c r="F1145" s="1273" t="str" cm="1">
        <f t="array" ref="F114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45" s="726" t="s">
        <v>402</v>
      </c>
      <c r="H1145" s="726" t="s">
        <v>67</v>
      </c>
      <c r="I1145" s="431" t="s">
        <v>689</v>
      </c>
      <c r="J1145" s="1278" t="s">
        <v>96</v>
      </c>
      <c r="K1145" s="619"/>
      <c r="L1145" s="619"/>
      <c r="M1145" s="430" t="s">
        <v>6325</v>
      </c>
      <c r="N1145" s="630"/>
      <c r="O1145" s="619" t="s">
        <v>284</v>
      </c>
      <c r="P1145" s="1277" t="s">
        <v>5860</v>
      </c>
      <c r="Q1145" s="619" t="s">
        <v>5861</v>
      </c>
      <c r="R1145" s="430" t="str">
        <f>_xlfn.XLOOKUP(PV_DATA[[#This Row],[New Ark SKU]],Table9[New Ark SKU],Table9[Connector],,0)</f>
        <v>EVO2A</v>
      </c>
      <c r="S1145" s="433" t="str">
        <f>_xlfn.XLOOKUP(PV_DATA[[#This Row],[New Ark SKU]],Table9[New Ark SKU],Table9[Cable],,0)</f>
        <v>±1200mm</v>
      </c>
      <c r="T1145" s="620">
        <v>485</v>
      </c>
      <c r="U1145" s="1276">
        <v>4680</v>
      </c>
      <c r="V1145" s="624">
        <f>PV_DATA[[#This Row],[QUANTITY]]*PV_DATA[[#This Row],[WATT]]/1000000</f>
        <v>2.2698</v>
      </c>
      <c r="W1145" s="625">
        <f>PV_DATA[[#This Row],[QUANTITY]]/PV_DATA[[#This Row],[Qty/Pallet]]</f>
        <v>130</v>
      </c>
      <c r="X1145" s="1022">
        <f>PV_DATA[[#This Row],[QUANTITY]]/PV_DATA[[#This Row],[Qty/CT]]</f>
        <v>5</v>
      </c>
      <c r="Y1145" s="431" t="s">
        <v>4384</v>
      </c>
      <c r="Z1145" s="1178" t="str">
        <f>IF(AN1145&lt;&gt;"","COMPLETED",IF(AK1145&lt;&gt;"","IN-TRANSIT",""))</f>
        <v>IN-TRANSIT</v>
      </c>
      <c r="AA1145" s="661">
        <v>46309</v>
      </c>
      <c r="AB1145" s="626">
        <v>46309</v>
      </c>
      <c r="AC1145" s="627">
        <f>IF(PV_DATA[[#This Row],[Pick-Up Date]]&lt;&gt;"",_xlfn.ISOWEEKNUM(PV_DATA[[#This Row],[Pick-Up Date]]),"")</f>
        <v>42</v>
      </c>
      <c r="AD1145" s="619" t="s">
        <v>7184</v>
      </c>
      <c r="AE1145" s="620"/>
      <c r="AF1145" s="430" t="s">
        <v>122</v>
      </c>
      <c r="AG1145" s="430" t="s">
        <v>6003</v>
      </c>
      <c r="AH1145" s="431" t="s">
        <v>105</v>
      </c>
      <c r="AI1145" s="626">
        <v>46312</v>
      </c>
      <c r="AJ1145" s="437">
        <f>IFERROR(VLOOKUP(AT1145, Vessel!A:D, 4, FALSE), "")</f>
        <v>46312.333333333336</v>
      </c>
      <c r="AK1145" s="437">
        <f>IFERROR(IF(VLOOKUP(AT1145,Vessel!A:F,5,FALSE)=0,"",VLOOKUP(AT1145,Vessel!A:F,5,FALSE)),"")</f>
        <v>46312.377152777779</v>
      </c>
      <c r="AL1145" s="626">
        <v>46346</v>
      </c>
      <c r="AM1145" s="939">
        <f>IFERROR(VLOOKUP(AT1145, Vessel!A:H, 8, FALSE), "")</f>
        <v>46346.125</v>
      </c>
      <c r="AN1145" s="939" t="str">
        <f>IFERROR(IF(VLOOKUP(AT1145,Vessel!A:I,9,FALSE)=0,"",VLOOKUP(AT1145,Vessel!A:I,9,FALSE)),"")</f>
        <v/>
      </c>
      <c r="AO1145" s="619"/>
      <c r="AP1145" s="619" t="s">
        <v>7115</v>
      </c>
      <c r="AQ1145" s="1028" t="s">
        <v>80</v>
      </c>
      <c r="AR1145" s="619" t="s">
        <v>7185</v>
      </c>
      <c r="AS1145" s="619" t="s">
        <v>7186</v>
      </c>
      <c r="AT1145" s="619" t="s">
        <v>7186</v>
      </c>
      <c r="AU114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33.747847222221026</v>
      </c>
      <c r="AV1145" s="619"/>
      <c r="AW1145" s="626" cm="1">
        <f t="array" ref="AW114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46346.125</v>
      </c>
      <c r="AX114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45" s="626" t="str">
        <f>IF(ISERROR(PV_DATA[[#This Row],[New Ark PO status]]),"",_xlfn.XLOOKUP(PV_DATA[[#This Row],[SPTN-PVHK New Ark PO'#]],New_Ark_Data[Purchase order Number],New_Ark_Data[Estimated time of arrival],"",0))</f>
        <v/>
      </c>
      <c r="AZ1145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45" s="1275">
        <f>IFERROR(PV_DATA[[#This Row],[ODP ETA Port]]+PV_DATA[[#This Row],[Customs/Leg3 Assumption]],"n/a")</f>
        <v>46353.125</v>
      </c>
      <c r="BB1145" s="620">
        <f>YEAR(PV_DATA[[#This Row],[ETA for New Ark update]])</f>
        <v>2026</v>
      </c>
      <c r="BC1145" s="619">
        <f>MONTH(PV_DATA[[#This Row],[ETA for New Ark update]])</f>
        <v>11</v>
      </c>
      <c r="BD1145" s="619">
        <f>IFERROR(_xlfn.ISOWEEKNUM(PV_DATA[[#This Row],[ETA for New Ark update]]),0)</f>
        <v>48</v>
      </c>
      <c r="BE1145" s="431">
        <f>_xlfn.XLOOKUP(PV_DATA[[#This Row],[New Ark SKU]],Table9[New Ark SKU],Table9[Total PCS per Pallet],,0)</f>
        <v>36</v>
      </c>
      <c r="BF1145" s="431">
        <f>_xlfn.XLOOKUP(PV_DATA[[#This Row],[New Ark SKU]],Table9[New Ark SKU],Table9[Total PCS per 40HQ Container],,0)</f>
        <v>936</v>
      </c>
      <c r="BG1145" s="431" t="str">
        <f>_xlfn.XLOOKUP(PV_DATA[[#This Row],[New Ark SKU]],Table9[New Ark SKU],Table9[Back Glass],,0)</f>
        <v>Black glazing</v>
      </c>
      <c r="BH1145" s="629" t="str">
        <f>_xlfn.XLOOKUP(PV_DATA[[#This Row],[PORT DESTINATION]],Table12[PORT DESTINATION],Table12[Cosco Line],,0)</f>
        <v>AEU</v>
      </c>
    </row>
    <row r="1146" spans="1:62" s="431" customFormat="1" ht="10.5" hidden="1">
      <c r="A1146" s="1385" t="s">
        <v>7187</v>
      </c>
      <c r="B1146" s="439" t="s">
        <v>111</v>
      </c>
      <c r="C1146" s="439" t="str">
        <f>IFERROR(LEFT(PV_DATA[[#This Row],[TCL REFERENCE]],FIND(".",PV_DATA[[#This Row],[TCL REFERENCE]],1)-1),"Main Line")</f>
        <v>26Aug001</v>
      </c>
      <c r="D1146" s="439" t="s">
        <v>63</v>
      </c>
      <c r="E1146" s="439" t="s">
        <v>64</v>
      </c>
      <c r="F1146" s="439" t="str" cm="1">
        <f t="array" ref="F114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146" s="439" t="s">
        <v>402</v>
      </c>
      <c r="H1146" s="439" t="s">
        <v>67</v>
      </c>
      <c r="I1146" s="439" t="s">
        <v>689</v>
      </c>
      <c r="J1146" s="431" t="s">
        <v>96</v>
      </c>
      <c r="M1146" s="431" t="s">
        <v>68</v>
      </c>
      <c r="N1146" s="461">
        <v>46215</v>
      </c>
      <c r="O1146" s="431" t="s">
        <v>550</v>
      </c>
      <c r="P1146" s="431" t="s">
        <v>551</v>
      </c>
      <c r="Q1146" s="431" t="s">
        <v>2151</v>
      </c>
      <c r="R1146" s="430" t="str">
        <f>_xlfn.XLOOKUP(PV_DATA[[#This Row],[New Ark SKU]],Table9[New Ark SKU],Table9[Connector],,0)</f>
        <v>EVO2A</v>
      </c>
      <c r="S1146" s="433" t="str">
        <f>_xlfn.XLOOKUP(PV_DATA[[#This Row],[New Ark SKU]],Table9[New Ark SKU],Table9[Cable],,0)</f>
        <v>±1350mm</v>
      </c>
      <c r="T1146" s="442">
        <v>510</v>
      </c>
      <c r="U1146" s="1067">
        <v>792</v>
      </c>
      <c r="V1146" s="444">
        <f>PV_DATA[[#This Row],[QUANTITY]]*PV_DATA[[#This Row],[WATT]]/1000000</f>
        <v>0.40392</v>
      </c>
      <c r="W1146" s="466">
        <f>PV_DATA[[#This Row],[QUANTITY]]/PV_DATA[[#This Row],[Qty/Pallet]]</f>
        <v>22</v>
      </c>
      <c r="X1146" s="1019">
        <f>PV_DATA[[#This Row],[QUANTITY]]/PV_DATA[[#This Row],[Qty/CT]]</f>
        <v>1</v>
      </c>
      <c r="Y1146" s="431" t="s">
        <v>4376</v>
      </c>
      <c r="Z1146" s="431" t="str">
        <f>IF(AN1146&lt;&gt;"","COMPLETED",IF(AK1146&lt;&gt;"","IN-TRANSIT",""))</f>
        <v>IN-TRANSIT</v>
      </c>
      <c r="AA1146" s="661">
        <v>46288</v>
      </c>
      <c r="AB1146" s="441">
        <v>46312</v>
      </c>
      <c r="AC1146" s="467">
        <f>IF(PV_DATA[[#This Row],[Pick-Up Date]]&lt;&gt;"",_xlfn.ISOWEEKNUM(PV_DATA[[#This Row],[Pick-Up Date]]),"")</f>
        <v>42</v>
      </c>
      <c r="AD1146" s="431" t="s">
        <v>7188</v>
      </c>
      <c r="AF1146" s="431" t="s">
        <v>6003</v>
      </c>
      <c r="AG1146" s="431" t="s">
        <v>6003</v>
      </c>
      <c r="AH1146" s="431" t="s">
        <v>314</v>
      </c>
      <c r="AI1146" s="441">
        <v>46312</v>
      </c>
      <c r="AJ1146" s="437">
        <v>46313</v>
      </c>
      <c r="AK1146" s="437">
        <f>IFERROR(IF(VLOOKUP(AT1146,Vessel!A:F,5,FALSE)=0,"",VLOOKUP(AT1146,Vessel!A:F,5,FALSE)),"")</f>
        <v>46317.360601851855</v>
      </c>
      <c r="AL1146" s="441">
        <v>46358</v>
      </c>
      <c r="AM1146" s="939">
        <f>IFERROR(VLOOKUP(AT1146, Vessel!A:H, 8, FALSE), "")</f>
        <v>46365.25</v>
      </c>
      <c r="AN1146" s="939" t="str">
        <f>IFERROR(IF(VLOOKUP(AT1146,Vessel!A:I,9,FALSE)=0,"",VLOOKUP(AT1146,Vessel!A:I,9,FALSE)),"")</f>
        <v/>
      </c>
      <c r="AP1146" s="431" t="s">
        <v>7166</v>
      </c>
      <c r="AQ1146" s="430" t="s">
        <v>80</v>
      </c>
      <c r="AR1146" s="619" t="s">
        <v>7189</v>
      </c>
      <c r="AS1146" s="431" t="s">
        <v>7190</v>
      </c>
      <c r="AT1146" s="431" t="s">
        <v>7190</v>
      </c>
      <c r="AU1146" s="619"/>
      <c r="AV1146" s="441"/>
      <c r="AW1146" s="441" cm="1">
        <f t="array" ref="AW114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46365.25</v>
      </c>
      <c r="AX114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46" s="441" t="str">
        <f>IF(ISERROR(PV_DATA[[#This Row],[New Ark PO status]]),"",_xlfn.XLOOKUP(PV_DATA[[#This Row],[SPTN-PVHK New Ark PO'#]],New_Ark_Data[Purchase order Number],New_Ark_Data[Estimated time of arrival],"",0))</f>
        <v/>
      </c>
      <c r="AZ1146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146" s="441">
        <f>IFERROR(PV_DATA[[#This Row],[ODP ETA Port]]+PV_DATA[[#This Row],[Customs/Leg3 Assumption]],"n/a")</f>
        <v>46375.25</v>
      </c>
      <c r="BB1146" s="442">
        <f>YEAR(PV_DATA[[#This Row],[ETA for New Ark update]])</f>
        <v>2026</v>
      </c>
      <c r="BC1146" s="431">
        <f>MONTH(PV_DATA[[#This Row],[ETA for New Ark update]])</f>
        <v>12</v>
      </c>
      <c r="BD1146" s="431">
        <f>IFERROR(_xlfn.ISOWEEKNUM(PV_DATA[[#This Row],[ETA for New Ark update]]),0)</f>
        <v>51</v>
      </c>
      <c r="BE1146" s="431">
        <f>_xlfn.XLOOKUP(PV_DATA[[#This Row],[New Ark SKU]],Table9[New Ark SKU],Table9[Total PCS per Pallet],,0)</f>
        <v>36</v>
      </c>
      <c r="BF1146" s="431">
        <f>_xlfn.XLOOKUP(PV_DATA[[#This Row],[New Ark SKU]],Table9[New Ark SKU],Table9[Total PCS per 40HQ Container],,0)</f>
        <v>792</v>
      </c>
      <c r="BG1146" s="431" t="str">
        <f>_xlfn.XLOOKUP(PV_DATA[[#This Row],[New Ark SKU]],Table9[New Ark SKU],Table9[Back Glass],,0)</f>
        <v>Black glazing</v>
      </c>
      <c r="BH1146" s="431" t="str">
        <f>_xlfn.XLOOKUP(PV_DATA[[#This Row],[PORT DESTINATION]],Table12[PORT DESTINATION],Table12[Cosco Line],,0)</f>
        <v>AEM</v>
      </c>
    </row>
    <row r="1147" spans="1:62" ht="13.5" hidden="1" customHeight="1">
      <c r="A1147" s="728" t="s">
        <v>7191</v>
      </c>
      <c r="B1147" s="439" t="s">
        <v>111</v>
      </c>
      <c r="C1147" s="439" t="str">
        <f>IFERROR(LEFT(PV_DATA[[#This Row],[TCL REFERENCE]],FIND(".",PV_DATA[[#This Row],[TCL REFERENCE]],1)-1),"Main Line")</f>
        <v>26Aug015</v>
      </c>
      <c r="D1147" s="439" t="s">
        <v>63</v>
      </c>
      <c r="E1147" s="439" t="s">
        <v>64</v>
      </c>
      <c r="F1147" s="439" t="str" cm="1">
        <f t="array" ref="F114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47" s="439" t="s">
        <v>402</v>
      </c>
      <c r="H1147" s="439" t="s">
        <v>67</v>
      </c>
      <c r="I1147" s="439" t="s">
        <v>689</v>
      </c>
      <c r="J1147" s="430" t="s">
        <v>96</v>
      </c>
      <c r="K1147" s="431"/>
      <c r="L1147" s="431"/>
      <c r="M1147" s="431" t="s">
        <v>68</v>
      </c>
      <c r="N1147" s="461">
        <v>46285</v>
      </c>
      <c r="O1147" s="431" t="s">
        <v>550</v>
      </c>
      <c r="P1147" s="430" t="s">
        <v>551</v>
      </c>
      <c r="Q1147" s="431" t="s">
        <v>2151</v>
      </c>
      <c r="R1147" s="430" t="str">
        <f>_xlfn.XLOOKUP(PV_DATA[[#This Row],[New Ark SKU]],Table9[New Ark SKU],Table9[Connector],,0)</f>
        <v>EVO2A</v>
      </c>
      <c r="S1147" s="433" t="str">
        <f>_xlfn.XLOOKUP(PV_DATA[[#This Row],[New Ark SKU]],Table9[New Ark SKU],Table9[Cable],,0)</f>
        <v>±1350mm</v>
      </c>
      <c r="T1147" s="442">
        <v>510</v>
      </c>
      <c r="U1147" s="1067">
        <v>792</v>
      </c>
      <c r="V1147" s="448">
        <f>PV_DATA[[#This Row],[QUANTITY]]*PV_DATA[[#This Row],[WATT]]/1000000</f>
        <v>0.40392</v>
      </c>
      <c r="W1147" s="466">
        <f>PV_DATA[[#This Row],[QUANTITY]]/PV_DATA[[#This Row],[Qty/Pallet]]</f>
        <v>22</v>
      </c>
      <c r="X1147" s="1019">
        <f>PV_DATA[[#This Row],[QUANTITY]]/PV_DATA[[#This Row],[Qty/CT]]</f>
        <v>1</v>
      </c>
      <c r="Y1147" s="431" t="s">
        <v>4383</v>
      </c>
      <c r="Z1147" s="430" t="str">
        <f>IF(AN1147&lt;&gt;"","COMPLETED",IF(AK1147&lt;&gt;"","IN-TRANSIT",""))</f>
        <v>IN-TRANSIT</v>
      </c>
      <c r="AA1147" s="661">
        <v>46295</v>
      </c>
      <c r="AB1147" s="441">
        <v>46312</v>
      </c>
      <c r="AC1147" s="467">
        <f>IF(PV_DATA[[#This Row],[Pick-Up Date]]&lt;&gt;"",_xlfn.ISOWEEKNUM(PV_DATA[[#This Row],[Pick-Up Date]]),"")</f>
        <v>42</v>
      </c>
      <c r="AD1147" s="431" t="s">
        <v>7192</v>
      </c>
      <c r="AE1147" s="431"/>
      <c r="AF1147" s="431" t="s">
        <v>6003</v>
      </c>
      <c r="AG1147" s="431" t="s">
        <v>6003</v>
      </c>
      <c r="AH1147" s="431" t="s">
        <v>78</v>
      </c>
      <c r="AI1147" s="441">
        <v>46312</v>
      </c>
      <c r="AJ1147" s="437">
        <f>IFERROR(VLOOKUP(AT1147, Vessel!A:D, 4, FALSE), "")</f>
        <v>46316.083333333336</v>
      </c>
      <c r="AK1147" s="437">
        <f>IFERROR(IF(VLOOKUP(AT1147,Vessel!A:F,5,FALSE)=0,"",VLOOKUP(AT1147,Vessel!A:F,5,FALSE)),"")</f>
        <v>46316.096759259257</v>
      </c>
      <c r="AL1147" s="441">
        <v>46363</v>
      </c>
      <c r="AM1147" s="939">
        <f>IFERROR(VLOOKUP(AT1147, Vessel!A:H, 8, FALSE), "")</f>
        <v>46363.791666666664</v>
      </c>
      <c r="AN1147" s="939" t="str">
        <f>IFERROR(IF(VLOOKUP(AT1147,Vessel!A:I,9,FALSE)=0,"",VLOOKUP(AT1147,Vessel!A:I,9,FALSE)),"")</f>
        <v/>
      </c>
      <c r="AO1147" s="431"/>
      <c r="AP1147" s="431" t="s">
        <v>7166</v>
      </c>
      <c r="AQ1147" s="430" t="s">
        <v>80</v>
      </c>
      <c r="AR1147" s="619" t="s">
        <v>7193</v>
      </c>
      <c r="AS1147" s="431" t="s">
        <v>7194</v>
      </c>
      <c r="AT1147" s="431" t="s">
        <v>7194</v>
      </c>
      <c r="AU1147" s="619"/>
      <c r="AV1147" s="431"/>
      <c r="AW1147" s="441" cm="1">
        <f t="array" ref="AW114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46363.791666666664</v>
      </c>
      <c r="AX114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47" s="441" t="str">
        <f>IF(ISERROR(PV_DATA[[#This Row],[New Ark PO status]]),"",_xlfn.XLOOKUP(PV_DATA[[#This Row],[SPTN-PVHK New Ark PO'#]],New_Ark_Data[Purchase order Number],New_Ark_Data[Estimated time of arrival],"",0))</f>
        <v/>
      </c>
      <c r="AZ1147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47" s="441">
        <f>IFERROR(PV_DATA[[#This Row],[ODP ETA Port]]+PV_DATA[[#This Row],[Customs/Leg3 Assumption]],"n/a")</f>
        <v>46371.791666666664</v>
      </c>
      <c r="BB1147" s="442" t="s">
        <v>6545</v>
      </c>
      <c r="BC1147" s="442" t="s">
        <v>6545</v>
      </c>
      <c r="BD1147" s="431">
        <f>IFERROR(_xlfn.ISOWEEKNUM(PV_DATA[[#This Row],[ETA for New Ark update]]),0)</f>
        <v>51</v>
      </c>
      <c r="BE1147" s="431">
        <f>_xlfn.XLOOKUP(PV_DATA[[#This Row],[New Ark SKU]],Table9[New Ark SKU],Table9[Total PCS per Pallet],,0)</f>
        <v>36</v>
      </c>
      <c r="BF1147" s="431">
        <f>_xlfn.XLOOKUP(PV_DATA[[#This Row],[New Ark SKU]],Table9[New Ark SKU],Table9[Total PCS per 40HQ Container],,0)</f>
        <v>792</v>
      </c>
      <c r="BG1147" s="431" t="str">
        <f>_xlfn.XLOOKUP(PV_DATA[[#This Row],[New Ark SKU]],Table9[New Ark SKU],Table9[Back Glass],,0)</f>
        <v>Black glazing</v>
      </c>
      <c r="BH1147" s="622" t="str">
        <f>_xlfn.XLOOKUP(PV_DATA[[#This Row],[PORT DESTINATION]],Table12[PORT DESTINATION],Table12[Cosco Line],,0)</f>
        <v>AEM</v>
      </c>
      <c r="BJ1147" s="430"/>
    </row>
    <row r="1148" spans="1:62" ht="10.5" hidden="1">
      <c r="A1148" s="462" t="s">
        <v>7195</v>
      </c>
      <c r="B1148" s="462" t="s">
        <v>61</v>
      </c>
      <c r="C1148" s="462" t="str">
        <f>IFERROR(LEFT(PV_DATA[[#This Row],[TCL REFERENCE]],FIND(".",PV_DATA[[#This Row],[TCL REFERENCE]],1)-1),"Main Line")</f>
        <v>26Aug022</v>
      </c>
      <c r="D1148" s="462" t="s">
        <v>63</v>
      </c>
      <c r="E1148" s="462" t="s">
        <v>64</v>
      </c>
      <c r="F1148" s="462" t="str" cm="1">
        <f t="array" ref="F114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48" s="462" t="s">
        <v>402</v>
      </c>
      <c r="H1148" s="462" t="s">
        <v>67</v>
      </c>
      <c r="I1148" s="462" t="s">
        <v>689</v>
      </c>
      <c r="J1148" s="462" t="s">
        <v>96</v>
      </c>
      <c r="K1148" s="430"/>
      <c r="L1148" s="430"/>
      <c r="M1148" s="430" t="s">
        <v>68</v>
      </c>
      <c r="N1148" s="432">
        <v>46279</v>
      </c>
      <c r="O1148" s="430" t="s">
        <v>4540</v>
      </c>
      <c r="P1148" s="430" t="s">
        <v>1151</v>
      </c>
      <c r="Q1148" s="430" t="s">
        <v>421</v>
      </c>
      <c r="R1148" s="430" t="str">
        <f>_xlfn.XLOOKUP(PV_DATA[[#This Row],[New Ark SKU]],Table9[New Ark SKU],Table9[Connector],,0)</f>
        <v>EVO2A</v>
      </c>
      <c r="S1148" s="433" t="str">
        <f>_xlfn.XLOOKUP(PV_DATA[[#This Row],[New Ark SKU]],Table9[New Ark SKU],Table9[Cable],,0)</f>
        <v>±1200mm</v>
      </c>
      <c r="T1148" s="433">
        <v>505</v>
      </c>
      <c r="U1148" s="1062">
        <v>864</v>
      </c>
      <c r="V1148" s="434">
        <f>PV_DATA[[#This Row],[QUANTITY]]*PV_DATA[[#This Row],[WATT]]/1000000</f>
        <v>0.43631999999999999</v>
      </c>
      <c r="W1148" s="435">
        <f>PV_DATA[[#This Row],[QUANTITY]]/PV_DATA[[#This Row],[Qty/Pallet]]</f>
        <v>24</v>
      </c>
      <c r="X1148" s="1015">
        <f>PV_DATA[[#This Row],[QUANTITY]]/PV_DATA[[#This Row],[Qty/CT]]</f>
        <v>1</v>
      </c>
      <c r="Y1148" s="430" t="s">
        <v>4382</v>
      </c>
      <c r="Z1148" s="430" t="str">
        <f t="shared" si="23"/>
        <v>IN-TRANSIT</v>
      </c>
      <c r="AA1148" s="430" t="s">
        <v>5862</v>
      </c>
      <c r="AB1148" s="437">
        <v>46300</v>
      </c>
      <c r="AC1148" s="485">
        <f>IF(PV_DATA[[#This Row],[Pick-Up Date]]&lt;&gt;"",_xlfn.ISOWEEKNUM(PV_DATA[[#This Row],[Pick-Up Date]]),"")</f>
        <v>41</v>
      </c>
      <c r="AD1148" s="430" t="s">
        <v>7196</v>
      </c>
      <c r="AE1148" s="430"/>
      <c r="AF1148" s="430" t="s">
        <v>77</v>
      </c>
      <c r="AG1148" s="430" t="s">
        <v>77</v>
      </c>
      <c r="AH1148" s="430" t="s">
        <v>105</v>
      </c>
      <c r="AI1148" s="437">
        <v>46306</v>
      </c>
      <c r="AJ1148" s="437">
        <f>IFERROR(VLOOKUP(AT1148, Vessel!A:D, 4, FALSE), "")</f>
        <v>46305.8125</v>
      </c>
      <c r="AK1148" s="966">
        <f>IFERROR(IF(VLOOKUP(AT1148,Vessel!A:F,5,FALSE)=0,"",VLOOKUP(AT1148,Vessel!A:F,5,FALSE)),"")</f>
        <v>46305.841215277775</v>
      </c>
      <c r="AL1148" s="437">
        <v>46351</v>
      </c>
      <c r="AM1148" s="939">
        <f>IFERROR(VLOOKUP(AT1148, Vessel!A:H, 8, FALSE), "")</f>
        <v>46350.333333333336</v>
      </c>
      <c r="AN1148" s="939" t="str">
        <f>IFERROR(IF(VLOOKUP(AT1148,Vessel!A:I,9,FALSE)=0,"",VLOOKUP(AT1148,Vessel!A:I,9,FALSE)),"")</f>
        <v/>
      </c>
      <c r="AO1148" s="430" t="s">
        <v>402</v>
      </c>
      <c r="AP1148" s="430" t="s">
        <v>7197</v>
      </c>
      <c r="AQ1148" s="438" t="s">
        <v>80</v>
      </c>
      <c r="AR1148" s="430" t="s">
        <v>7198</v>
      </c>
      <c r="AS1148" s="430" t="s">
        <v>7199</v>
      </c>
      <c r="AT1148" s="430" t="s">
        <v>7199</v>
      </c>
      <c r="AW1148" s="437" cm="1">
        <f t="array" ref="AW114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46350.333333333336</v>
      </c>
      <c r="AX1148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48" s="437" t="str">
        <f>IF(ISERROR(PV_DATA[[#This Row],[New Ark PO status]]),"",_xlfn.XLOOKUP(PV_DATA[[#This Row],[SPTN-PVHK New Ark PO'#]],New_Ark_Data[Purchase order Number],New_Ark_Data[Estimated time of arrival],"",0))</f>
        <v/>
      </c>
      <c r="AZ1148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48" s="437">
        <f>IFERROR(PV_DATA[[#This Row],[ODP ETA Port]]+PV_DATA[[#This Row],[Customs/Leg3 Assumption]],"n/a")</f>
        <v>46357.333333333336</v>
      </c>
      <c r="BB1148" s="433">
        <f>YEAR(PV_DATA[[#This Row],[ETA for New Ark update]])</f>
        <v>2026</v>
      </c>
      <c r="BC1148" s="430">
        <f>MONTH(PV_DATA[[#This Row],[ETA for New Ark update]])</f>
        <v>12</v>
      </c>
      <c r="BD1148" s="430">
        <f>IFERROR(_xlfn.ISOWEEKNUM(PV_DATA[[#This Row],[ETA for New Ark update]]),0)</f>
        <v>49</v>
      </c>
      <c r="BE1148" s="430">
        <f>_xlfn.XLOOKUP(PV_DATA[[#This Row],[New Ark SKU]],Table9[New Ark SKU],Table9[Total PCS per Pallet],,0)</f>
        <v>36</v>
      </c>
      <c r="BF1148" s="430">
        <f>_xlfn.XLOOKUP(PV_DATA[[#This Row],[New Ark SKU]],Table9[New Ark SKU],Table9[Total PCS per 40HQ Container],,0)</f>
        <v>864</v>
      </c>
      <c r="BG1148" s="430" t="str">
        <f>_xlfn.XLOOKUP(PV_DATA[[#This Row],[New Ark SKU]],Table9[New Ark SKU],Table9[Back Glass],,0)</f>
        <v>Black glazing</v>
      </c>
      <c r="BH1148" s="610" t="str">
        <f>_xlfn.XLOOKUP(PV_DATA[[#This Row],[PORT DESTINATION]],Table12[PORT DESTINATION],Table12[Cosco Line],,0)</f>
        <v>AEU</v>
      </c>
      <c r="BJ1148" s="430"/>
    </row>
    <row r="1149" spans="1:62" ht="10.5" hidden="1">
      <c r="A1149" s="729" t="s">
        <v>7200</v>
      </c>
      <c r="B1149" s="462" t="s">
        <v>61</v>
      </c>
      <c r="C1149" s="462" t="str">
        <f>IFERROR(LEFT(PV_DATA[[#This Row],[TCL REFERENCE]],FIND(".",PV_DATA[[#This Row],[TCL REFERENCE]],1)-1),"Main Line")</f>
        <v>26Aug003</v>
      </c>
      <c r="D1149" s="462" t="s">
        <v>63</v>
      </c>
      <c r="E1149" s="462" t="s">
        <v>64</v>
      </c>
      <c r="F1149" s="462" t="str" cm="1">
        <f t="array" ref="F114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49" s="462" t="s">
        <v>402</v>
      </c>
      <c r="H1149" s="462" t="s">
        <v>67</v>
      </c>
      <c r="I1149" s="462" t="s">
        <v>689</v>
      </c>
      <c r="J1149" s="430" t="s">
        <v>96</v>
      </c>
      <c r="K1149" s="430"/>
      <c r="L1149" s="430"/>
      <c r="M1149" s="430" t="s">
        <v>6325</v>
      </c>
      <c r="N1149" s="432">
        <v>46237</v>
      </c>
      <c r="O1149" s="430" t="s">
        <v>4540</v>
      </c>
      <c r="P1149" s="430" t="s">
        <v>71</v>
      </c>
      <c r="Q1149" s="430" t="s">
        <v>72</v>
      </c>
      <c r="R1149" s="430" t="str">
        <f>_xlfn.XLOOKUP(PV_DATA[[#This Row],[New Ark SKU]],Table9[New Ark SKU],Table9[Connector],,0)</f>
        <v>EVO2A</v>
      </c>
      <c r="S1149" s="433" t="str">
        <f>_xlfn.XLOOKUP(PV_DATA[[#This Row],[New Ark SKU]],Table9[New Ark SKU],Table9[Cable],,0)</f>
        <v>±1200mm</v>
      </c>
      <c r="T1149" s="433">
        <v>500</v>
      </c>
      <c r="U1149" s="1062">
        <f>864*6</f>
        <v>5184</v>
      </c>
      <c r="V1149" s="434">
        <f>PV_DATA[[#This Row],[QUANTITY]]*PV_DATA[[#This Row],[WATT]]/1000000</f>
        <v>2.5920000000000001</v>
      </c>
      <c r="W1149" s="435">
        <f>PV_DATA[[#This Row],[QUANTITY]]/PV_DATA[[#This Row],[Qty/Pallet]]</f>
        <v>144</v>
      </c>
      <c r="X1149" s="1015">
        <f>PV_DATA[[#This Row],[QUANTITY]]/PV_DATA[[#This Row],[Qty/CT]]</f>
        <v>6</v>
      </c>
      <c r="Y1149" s="430" t="s">
        <v>4383</v>
      </c>
      <c r="Z1149" s="430" t="str">
        <f t="shared" si="23"/>
        <v>IN-TRANSIT</v>
      </c>
      <c r="AA1149" s="430"/>
      <c r="AB1149" s="437">
        <v>46300</v>
      </c>
      <c r="AC1149" s="485">
        <f>IF(PV_DATA[[#This Row],[Pick-Up Date]]&lt;&gt;"",_xlfn.ISOWEEKNUM(PV_DATA[[#This Row],[Pick-Up Date]]),"")</f>
        <v>41</v>
      </c>
      <c r="AD1149" s="430" t="s">
        <v>7201</v>
      </c>
      <c r="AE1149" s="430"/>
      <c r="AF1149" s="459" t="s">
        <v>61</v>
      </c>
      <c r="AG1149" s="459" t="s">
        <v>61</v>
      </c>
      <c r="AH1149" s="430" t="s">
        <v>105</v>
      </c>
      <c r="AI1149" s="437">
        <v>46306</v>
      </c>
      <c r="AJ1149" s="437">
        <f>IFERROR(VLOOKUP(AT1149, Vessel!A:D, 4, FALSE), "")</f>
        <v>46305.8125</v>
      </c>
      <c r="AK1149" s="437">
        <f>IFERROR(IF(VLOOKUP(AT1149,Vessel!A:F,5,FALSE)=0,"",VLOOKUP(AT1149,Vessel!A:F,5,FALSE)),"")</f>
        <v>46305.841215277775</v>
      </c>
      <c r="AL1149" s="437">
        <v>46351</v>
      </c>
      <c r="AM1149" s="939">
        <f>IFERROR(VLOOKUP(AT1149, Vessel!A:H, 8, FALSE), "")</f>
        <v>46350.333333333336</v>
      </c>
      <c r="AN1149" s="939" t="str">
        <f>IFERROR(IF(VLOOKUP(AT1149,Vessel!A:I,9,FALSE)=0,"",VLOOKUP(AT1149,Vessel!A:I,9,FALSE)),"")</f>
        <v/>
      </c>
      <c r="AO1149" s="430" t="s">
        <v>402</v>
      </c>
      <c r="AP1149" s="430" t="s">
        <v>7197</v>
      </c>
      <c r="AQ1149" s="438" t="s">
        <v>80</v>
      </c>
      <c r="AR1149" s="430" t="s">
        <v>7198</v>
      </c>
      <c r="AS1149" s="430" t="s">
        <v>7199</v>
      </c>
      <c r="AT1149" s="430" t="s">
        <v>7199</v>
      </c>
      <c r="AU114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44.49211805556115</v>
      </c>
      <c r="AW1149" s="437" cm="1">
        <f t="array" ref="AW114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46350.333333333336</v>
      </c>
      <c r="AX1149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49" s="437" t="str">
        <f>IF(ISERROR(PV_DATA[[#This Row],[New Ark PO status]]),"",_xlfn.XLOOKUP(PV_DATA[[#This Row],[SPTN-PVHK New Ark PO'#]],New_Ark_Data[Purchase order Number],New_Ark_Data[Estimated time of arrival],"",0))</f>
        <v/>
      </c>
      <c r="AZ1149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49" s="437">
        <f>IFERROR(PV_DATA[[#This Row],[ODP ETA Port]]+PV_DATA[[#This Row],[Customs/Leg3 Assumption]],"n/a")</f>
        <v>46357.333333333336</v>
      </c>
      <c r="BB1149" s="433" t="s">
        <v>6325</v>
      </c>
      <c r="BC1149" s="433" t="s">
        <v>6325</v>
      </c>
      <c r="BD1149" s="430">
        <f>IFERROR(_xlfn.ISOWEEKNUM(PV_DATA[[#This Row],[ETA for New Ark update]]),0)</f>
        <v>49</v>
      </c>
      <c r="BE1149" s="430">
        <f>_xlfn.XLOOKUP(PV_DATA[[#This Row],[New Ark SKU]],Table9[New Ark SKU],Table9[Total PCS per Pallet],,0)</f>
        <v>36</v>
      </c>
      <c r="BF1149" s="430">
        <f>_xlfn.XLOOKUP(PV_DATA[[#This Row],[New Ark SKU]],Table9[New Ark SKU],Table9[Total PCS per 40HQ Container],,0)</f>
        <v>864</v>
      </c>
      <c r="BG1149" s="430" t="str">
        <f>_xlfn.XLOOKUP(PV_DATA[[#This Row],[New Ark SKU]],Table9[New Ark SKU],Table9[Back Glass],,0)</f>
        <v>Black glazing</v>
      </c>
      <c r="BH1149" s="610" t="str">
        <f>_xlfn.XLOOKUP(PV_DATA[[#This Row],[PORT DESTINATION]],Table12[PORT DESTINATION],Table12[Cosco Line],,0)</f>
        <v>AEU</v>
      </c>
      <c r="BJ1149" s="430"/>
    </row>
    <row r="1150" spans="1:62" ht="13.5" hidden="1" customHeight="1">
      <c r="A1150" s="729" t="s">
        <v>7202</v>
      </c>
      <c r="B1150" s="462" t="s">
        <v>61</v>
      </c>
      <c r="C1150" s="462" t="str">
        <f>IFERROR(LEFT(PV_DATA[[#This Row],[TCL REFERENCE]],FIND(".",PV_DATA[[#This Row],[TCL REFERENCE]],1)-1),"Main Line")</f>
        <v>26Aug021</v>
      </c>
      <c r="D1150" s="462" t="s">
        <v>63</v>
      </c>
      <c r="E1150" s="462" t="s">
        <v>64</v>
      </c>
      <c r="F1150" s="462" t="str" cm="1">
        <f t="array" ref="F115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50" s="462" t="s">
        <v>402</v>
      </c>
      <c r="H1150" s="462" t="s">
        <v>67</v>
      </c>
      <c r="I1150" s="462" t="s">
        <v>689</v>
      </c>
      <c r="J1150" s="430" t="s">
        <v>96</v>
      </c>
      <c r="K1150" s="430"/>
      <c r="L1150" s="430"/>
      <c r="M1150" s="430" t="s">
        <v>68</v>
      </c>
      <c r="N1150" s="432">
        <v>46272</v>
      </c>
      <c r="O1150" s="430" t="s">
        <v>4540</v>
      </c>
      <c r="P1150" s="430" t="s">
        <v>71</v>
      </c>
      <c r="Q1150" s="430" t="s">
        <v>72</v>
      </c>
      <c r="R1150" s="430" t="str">
        <f>_xlfn.XLOOKUP(PV_DATA[[#This Row],[New Ark SKU]],Table9[New Ark SKU],Table9[Connector],,0)</f>
        <v>EVO2A</v>
      </c>
      <c r="S1150" s="433" t="str">
        <f>_xlfn.XLOOKUP(PV_DATA[[#This Row],[New Ark SKU]],Table9[New Ark SKU],Table9[Cable],,0)</f>
        <v>±1200mm</v>
      </c>
      <c r="T1150" s="433">
        <v>500</v>
      </c>
      <c r="U1150" s="1062">
        <f>864</f>
        <v>864</v>
      </c>
      <c r="V1150" s="434">
        <f>PV_DATA[[#This Row],[QUANTITY]]*PV_DATA[[#This Row],[WATT]]/1000000</f>
        <v>0.432</v>
      </c>
      <c r="W1150" s="435">
        <f>PV_DATA[[#This Row],[QUANTITY]]/PV_DATA[[#This Row],[Qty/Pallet]]</f>
        <v>24</v>
      </c>
      <c r="X1150" s="1015">
        <f>PV_DATA[[#This Row],[QUANTITY]]/PV_DATA[[#This Row],[Qty/CT]]</f>
        <v>1</v>
      </c>
      <c r="Y1150" s="430" t="s">
        <v>4383</v>
      </c>
      <c r="Z1150" s="430" t="str">
        <f t="shared" si="23"/>
        <v>IN-TRANSIT</v>
      </c>
      <c r="AA1150" s="545" t="s">
        <v>5862</v>
      </c>
      <c r="AB1150" s="437">
        <v>46300</v>
      </c>
      <c r="AC1150" s="485">
        <f>IF(PV_DATA[[#This Row],[Pick-Up Date]]&lt;&gt;"",_xlfn.ISOWEEKNUM(PV_DATA[[#This Row],[Pick-Up Date]]),"")</f>
        <v>41</v>
      </c>
      <c r="AD1150" s="430" t="s">
        <v>7203</v>
      </c>
      <c r="AE1150" s="430"/>
      <c r="AF1150" s="459" t="s">
        <v>61</v>
      </c>
      <c r="AG1150" s="459" t="s">
        <v>61</v>
      </c>
      <c r="AH1150" s="430" t="s">
        <v>105</v>
      </c>
      <c r="AI1150" s="437">
        <v>46306</v>
      </c>
      <c r="AJ1150" s="437">
        <f>IFERROR(VLOOKUP(AT1150, Vessel!A:D, 4, FALSE), "")</f>
        <v>46305.8125</v>
      </c>
      <c r="AK1150" s="437">
        <f>IFERROR(IF(VLOOKUP(AT1150,Vessel!A:F,5,FALSE)=0,"",VLOOKUP(AT1150,Vessel!A:F,5,FALSE)),"")</f>
        <v>46305.841215277775</v>
      </c>
      <c r="AL1150" s="437">
        <v>46351</v>
      </c>
      <c r="AM1150" s="939">
        <f>IFERROR(VLOOKUP(AT1150, Vessel!A:H, 8, FALSE), "")</f>
        <v>46350.333333333336</v>
      </c>
      <c r="AN1150" s="939" t="str">
        <f>IFERROR(IF(VLOOKUP(AT1150,Vessel!A:I,9,FALSE)=0,"",VLOOKUP(AT1150,Vessel!A:I,9,FALSE)),"")</f>
        <v/>
      </c>
      <c r="AO1150" s="430" t="s">
        <v>402</v>
      </c>
      <c r="AP1150" s="430" t="s">
        <v>7197</v>
      </c>
      <c r="AQ1150" s="438" t="s">
        <v>80</v>
      </c>
      <c r="AR1150" s="430" t="s">
        <v>7198</v>
      </c>
      <c r="AS1150" s="430" t="s">
        <v>7199</v>
      </c>
      <c r="AT1150" s="430" t="s">
        <v>7199</v>
      </c>
      <c r="AU115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44.49211805556115</v>
      </c>
      <c r="AW1150" s="437" cm="1">
        <f t="array" ref="AW115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46350.333333333336</v>
      </c>
      <c r="AX1150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50" s="437" t="str">
        <f>IF(ISERROR(PV_DATA[[#This Row],[New Ark PO status]]),"",_xlfn.XLOOKUP(PV_DATA[[#This Row],[SPTN-PVHK New Ark PO'#]],New_Ark_Data[Purchase order Number],New_Ark_Data[Estimated time of arrival],"",0))</f>
        <v/>
      </c>
      <c r="AZ1150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50" s="437">
        <f>IFERROR(PV_DATA[[#This Row],[ODP ETA Port]]+PV_DATA[[#This Row],[Customs/Leg3 Assumption]],"n/a")</f>
        <v>46357.333333333336</v>
      </c>
      <c r="BB1150" s="433" t="s">
        <v>6325</v>
      </c>
      <c r="BC1150" s="433" t="s">
        <v>6325</v>
      </c>
      <c r="BD1150" s="430">
        <f>IFERROR(_xlfn.ISOWEEKNUM(PV_DATA[[#This Row],[ETA for New Ark update]]),0)</f>
        <v>49</v>
      </c>
      <c r="BE1150" s="430">
        <f>_xlfn.XLOOKUP(PV_DATA[[#This Row],[New Ark SKU]],Table9[New Ark SKU],Table9[Total PCS per Pallet],,0)</f>
        <v>36</v>
      </c>
      <c r="BF1150" s="430">
        <f>_xlfn.XLOOKUP(PV_DATA[[#This Row],[New Ark SKU]],Table9[New Ark SKU],Table9[Total PCS per 40HQ Container],,0)</f>
        <v>864</v>
      </c>
      <c r="BG1150" s="430" t="str">
        <f>_xlfn.XLOOKUP(PV_DATA[[#This Row],[New Ark SKU]],Table9[New Ark SKU],Table9[Back Glass],,0)</f>
        <v>Black glazing</v>
      </c>
      <c r="BH1150" s="610" t="str">
        <f>_xlfn.XLOOKUP(PV_DATA[[#This Row],[PORT DESTINATION]],Table12[PORT DESTINATION],Table12[Cosco Line],,0)</f>
        <v>AEU</v>
      </c>
      <c r="BJ1150" s="430"/>
    </row>
    <row r="1151" spans="1:62" ht="10.5" hidden="1">
      <c r="A1151" s="729" t="s">
        <v>7204</v>
      </c>
      <c r="B1151" s="462" t="s">
        <v>61</v>
      </c>
      <c r="C1151" s="462" t="str">
        <f>IFERROR(LEFT(PV_DATA[[#This Row],[TCL REFERENCE]],FIND(".",PV_DATA[[#This Row],[TCL REFERENCE]],1)-1),"Main Line")</f>
        <v>26Aug005</v>
      </c>
      <c r="D1151" s="462" t="s">
        <v>63</v>
      </c>
      <c r="E1151" s="462" t="s">
        <v>64</v>
      </c>
      <c r="F1151" s="462" t="str" cm="1">
        <f t="array" ref="F115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51" s="462" t="s">
        <v>402</v>
      </c>
      <c r="H1151" s="462" t="s">
        <v>67</v>
      </c>
      <c r="I1151" s="462" t="s">
        <v>689</v>
      </c>
      <c r="J1151" s="430" t="s">
        <v>96</v>
      </c>
      <c r="K1151" s="430"/>
      <c r="L1151" s="430"/>
      <c r="M1151" s="430" t="s">
        <v>6325</v>
      </c>
      <c r="N1151" s="432">
        <v>46258</v>
      </c>
      <c r="O1151" s="430" t="s">
        <v>4540</v>
      </c>
      <c r="P1151" s="430" t="s">
        <v>706</v>
      </c>
      <c r="Q1151" s="430" t="s">
        <v>707</v>
      </c>
      <c r="R1151" s="430" t="str">
        <f>_xlfn.XLOOKUP(PV_DATA[[#This Row],[New Ark SKU]],Table9[New Ark SKU],Table9[Connector],,0)</f>
        <v>EVO2A</v>
      </c>
      <c r="S1151" s="433" t="str">
        <f>_xlfn.XLOOKUP(PV_DATA[[#This Row],[New Ark SKU]],Table9[New Ark SKU],Table9[Cable],,0)</f>
        <v>±1200mm</v>
      </c>
      <c r="T1151" s="433">
        <v>500</v>
      </c>
      <c r="U1151" s="1062">
        <f>864*5</f>
        <v>4320</v>
      </c>
      <c r="V1151" s="434">
        <f>PV_DATA[[#This Row],[QUANTITY]]*PV_DATA[[#This Row],[WATT]]/1000000</f>
        <v>2.16</v>
      </c>
      <c r="W1151" s="435">
        <f>PV_DATA[[#This Row],[QUANTITY]]/PV_DATA[[#This Row],[Qty/Pallet]]</f>
        <v>120</v>
      </c>
      <c r="X1151" s="1015">
        <f>PV_DATA[[#This Row],[QUANTITY]]/PV_DATA[[#This Row],[Qty/CT]]</f>
        <v>5</v>
      </c>
      <c r="Y1151" s="430" t="s">
        <v>4378</v>
      </c>
      <c r="Z1151" s="430" t="str">
        <f t="shared" si="23"/>
        <v>IN-TRANSIT</v>
      </c>
      <c r="AA1151" s="430"/>
      <c r="AB1151" s="437">
        <v>46300</v>
      </c>
      <c r="AC1151" s="485">
        <f>IF(PV_DATA[[#This Row],[Pick-Up Date]]&lt;&gt;"",_xlfn.ISOWEEKNUM(PV_DATA[[#This Row],[Pick-Up Date]]),"")</f>
        <v>41</v>
      </c>
      <c r="AD1151" s="430" t="s">
        <v>7205</v>
      </c>
      <c r="AE1151" s="430"/>
      <c r="AF1151" s="430" t="s">
        <v>77</v>
      </c>
      <c r="AG1151" s="430" t="s">
        <v>61</v>
      </c>
      <c r="AH1151" s="430" t="s">
        <v>78</v>
      </c>
      <c r="AI1151" s="437">
        <v>46306</v>
      </c>
      <c r="AJ1151" s="437">
        <f>IFERROR(VLOOKUP(AT1151, Vessel!A:D, 4, FALSE), "")</f>
        <v>46305.8125</v>
      </c>
      <c r="AK1151" s="437">
        <f>IFERROR(IF(VLOOKUP(AT1151,Vessel!A:F,5,FALSE)=0,"",VLOOKUP(AT1151,Vessel!A:F,5,FALSE)),"")</f>
        <v>46305.841215277775</v>
      </c>
      <c r="AL1151" s="437">
        <v>46370</v>
      </c>
      <c r="AM1151" s="939">
        <f>IFERROR(VLOOKUP(AT1151, Vessel!A:H, 8, FALSE), "")</f>
        <v>46370.791666666664</v>
      </c>
      <c r="AN1151" s="939" t="str">
        <f>IFERROR(IF(VLOOKUP(AT1151,Vessel!A:I,9,FALSE)=0,"",VLOOKUP(AT1151,Vessel!A:I,9,FALSE)),"")</f>
        <v/>
      </c>
      <c r="AP1151" s="430" t="s">
        <v>7197</v>
      </c>
      <c r="AQ1151" s="438" t="s">
        <v>80</v>
      </c>
      <c r="AR1151" s="430" t="s">
        <v>7206</v>
      </c>
      <c r="AS1151" s="430" t="s">
        <v>7207</v>
      </c>
      <c r="AT1151" s="430" t="s">
        <v>7207</v>
      </c>
      <c r="AU115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64.950451388889633</v>
      </c>
      <c r="AW1151" s="437" cm="1">
        <f t="array" ref="AW115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46370.791666666664</v>
      </c>
      <c r="AX1151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51" s="437" t="str">
        <f>IF(ISERROR(PV_DATA[[#This Row],[New Ark PO status]]),"",_xlfn.XLOOKUP(PV_DATA[[#This Row],[SPTN-PVHK New Ark PO'#]],New_Ark_Data[Purchase order Number],New_Ark_Data[Estimated time of arrival],"",0))</f>
        <v/>
      </c>
      <c r="AZ1151" s="433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51" s="437">
        <f>IFERROR(PV_DATA[[#This Row],[ODP ETA Port]]+PV_DATA[[#This Row],[Customs/Leg3 Assumption]],"n/a")</f>
        <v>46378.791666666664</v>
      </c>
      <c r="BB1151" s="433">
        <f>YEAR(PV_DATA[[#This Row],[ETA for New Ark update]])</f>
        <v>2026</v>
      </c>
      <c r="BC1151" s="430">
        <f>MONTH(PV_DATA[[#This Row],[ETA for New Ark update]])</f>
        <v>12</v>
      </c>
      <c r="BD1151" s="430">
        <f>IFERROR(_xlfn.ISOWEEKNUM(PV_DATA[[#This Row],[ETA for New Ark update]]),0)</f>
        <v>52</v>
      </c>
      <c r="BE1151" s="430">
        <f>_xlfn.XLOOKUP(PV_DATA[[#This Row],[New Ark SKU]],Table9[New Ark SKU],Table9[Total PCS per Pallet],,0)</f>
        <v>36</v>
      </c>
      <c r="BF1151" s="430">
        <f>_xlfn.XLOOKUP(PV_DATA[[#This Row],[New Ark SKU]],Table9[New Ark SKU],Table9[Total PCS per 40HQ Container],,0)</f>
        <v>864</v>
      </c>
      <c r="BG1151" s="430" t="str">
        <f>_xlfn.XLOOKUP(PV_DATA[[#This Row],[New Ark SKU]],Table9[New Ark SKU],Table9[Back Glass],,0)</f>
        <v>Black glazing</v>
      </c>
      <c r="BH1151" s="610" t="str">
        <f>_xlfn.XLOOKUP(PV_DATA[[#This Row],[PORT DESTINATION]],Table12[PORT DESTINATION],Table12[Cosco Line],,0)</f>
        <v>AEM</v>
      </c>
      <c r="BJ1151" s="430"/>
    </row>
    <row r="1152" spans="1:62" ht="13.5" hidden="1" customHeight="1">
      <c r="A1152" s="729" t="s">
        <v>7208</v>
      </c>
      <c r="B1152" s="462" t="s">
        <v>61</v>
      </c>
      <c r="C1152" s="462" t="str">
        <f>IFERROR(LEFT(PV_DATA[[#This Row],[TCL REFERENCE]],FIND(".",PV_DATA[[#This Row],[TCL REFERENCE]],1)-1),"Main Line")</f>
        <v>26Aug024</v>
      </c>
      <c r="D1152" s="462" t="s">
        <v>63</v>
      </c>
      <c r="E1152" s="462" t="s">
        <v>64</v>
      </c>
      <c r="F1152" s="462" t="str" cm="1">
        <f t="array" ref="F115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1152" s="462" t="s">
        <v>402</v>
      </c>
      <c r="H1152" s="462" t="s">
        <v>451</v>
      </c>
      <c r="I1152" s="462" t="s">
        <v>882</v>
      </c>
      <c r="J1152" s="430" t="s">
        <v>7048</v>
      </c>
      <c r="K1152" s="430"/>
      <c r="L1152" s="430"/>
      <c r="M1152" s="430" t="s">
        <v>68</v>
      </c>
      <c r="N1152" s="432">
        <v>46279</v>
      </c>
      <c r="O1152" s="430" t="s">
        <v>4540</v>
      </c>
      <c r="P1152" s="430" t="s">
        <v>7049</v>
      </c>
      <c r="Q1152" s="430" t="s">
        <v>7050</v>
      </c>
      <c r="R1152" s="430" t="str">
        <f>_xlfn.XLOOKUP(PV_DATA[[#This Row],[New Ark SKU]],Table9[New Ark SKU],Table9[Connector],,0)</f>
        <v>EVO2A</v>
      </c>
      <c r="S1152" s="433" t="str">
        <f>_xlfn.XLOOKUP(PV_DATA[[#This Row],[New Ark SKU]],Table9[New Ark SKU],Table9[Cable],,0)</f>
        <v>±1200mm</v>
      </c>
      <c r="T1152" s="433">
        <v>505</v>
      </c>
      <c r="U1152" s="1062">
        <v>864</v>
      </c>
      <c r="V1152" s="434">
        <f>PV_DATA[[#This Row],[QUANTITY]]*PV_DATA[[#This Row],[WATT]]/1000000</f>
        <v>0.43631999999999999</v>
      </c>
      <c r="W1152" s="435">
        <f>PV_DATA[[#This Row],[QUANTITY]]/PV_DATA[[#This Row],[Qty/Pallet]]</f>
        <v>24</v>
      </c>
      <c r="X1152" s="1015">
        <f>PV_DATA[[#This Row],[QUANTITY]]/PV_DATA[[#This Row],[Qty/CT]]</f>
        <v>1</v>
      </c>
      <c r="Y1152" s="430" t="s">
        <v>4380</v>
      </c>
      <c r="Z1152" s="430" t="str">
        <f t="shared" si="23"/>
        <v>IN-TRANSIT</v>
      </c>
      <c r="AA1152" s="430" t="s">
        <v>7051</v>
      </c>
      <c r="AB1152" s="437">
        <v>46300</v>
      </c>
      <c r="AC1152" s="485">
        <f>IF(PV_DATA[[#This Row],[Pick-Up Date]]&lt;&gt;"",_xlfn.ISOWEEKNUM(PV_DATA[[#This Row],[Pick-Up Date]]),"")</f>
        <v>41</v>
      </c>
      <c r="AD1152" s="430" t="s">
        <v>7209</v>
      </c>
      <c r="AE1152" s="430"/>
      <c r="AF1152" s="430" t="s">
        <v>61</v>
      </c>
      <c r="AG1152" s="430" t="s">
        <v>61</v>
      </c>
      <c r="AH1152" s="430" t="s">
        <v>456</v>
      </c>
      <c r="AI1152" s="966">
        <v>46306</v>
      </c>
      <c r="AJ1152" s="437">
        <f>IFERROR(VLOOKUP(AT1152, Vessel!A:D, 4, FALSE), "")</f>
        <v>46305.8125</v>
      </c>
      <c r="AK1152" s="437">
        <f>IFERROR(IF(VLOOKUP(AT1152,Vessel!A:F,5,FALSE)=0,"",VLOOKUP(AT1152,Vessel!A:F,5,FALSE)),"")</f>
        <v>46305.841215277775</v>
      </c>
      <c r="AL1152" s="588">
        <v>46362</v>
      </c>
      <c r="AM1152" s="939">
        <f>IFERROR(VLOOKUP(AT1152, Vessel!A:H, 8, FALSE), "")</f>
        <v>46376.041666666664</v>
      </c>
      <c r="AN1152" s="939" t="str">
        <f>IFERROR(IF(VLOOKUP(AT1152,Vessel!A:I,9,FALSE)=0,"",VLOOKUP(AT1152,Vessel!A:I,9,FALSE)),"")</f>
        <v/>
      </c>
      <c r="AP1152" s="430" t="s">
        <v>7197</v>
      </c>
      <c r="AQ1152" s="438" t="s">
        <v>80</v>
      </c>
      <c r="AR1152" s="430" t="s">
        <v>7210</v>
      </c>
      <c r="AS1152" s="430" t="s">
        <v>7211</v>
      </c>
      <c r="AT1152" s="430" t="s">
        <v>7211</v>
      </c>
      <c r="AU115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70.200451388889633</v>
      </c>
      <c r="AW1152" s="437" cm="1">
        <f t="array" ref="AW115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46376.041666666664</v>
      </c>
      <c r="AX1152" s="936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52" s="437" t="str">
        <f>IF(ISERROR(PV_DATA[[#This Row],[New Ark PO status]]),"",_xlfn.XLOOKUP(PV_DATA[[#This Row],[SPTN-PVHK New Ark PO'#]],New_Ark_Data[Purchase order Number],New_Ark_Data[Estimated time of arrival],"",0))</f>
        <v/>
      </c>
      <c r="AZ1152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52" s="437">
        <f>IFERROR(PV_DATA[[#This Row],[ODP ETA Port]]+PV_DATA[[#This Row],[Customs/Leg3 Assumption]],"n/a")</f>
        <v>46383.041666666664</v>
      </c>
      <c r="BB1152" s="433" t="s">
        <v>6545</v>
      </c>
      <c r="BC1152" s="430" t="s">
        <v>6545</v>
      </c>
      <c r="BD1152" s="430">
        <f>IFERROR(_xlfn.ISOWEEKNUM(PV_DATA[[#This Row],[ETA for New Ark update]]),0)</f>
        <v>52</v>
      </c>
      <c r="BE1152" s="430">
        <v>36</v>
      </c>
      <c r="BF1152" s="430">
        <v>864</v>
      </c>
      <c r="BG1152" s="430" t="str">
        <f>_xlfn.XLOOKUP(PV_DATA[[#This Row],[New Ark SKU]],Table9[New Ark SKU],Table9[Back Glass],,0)</f>
        <v>Black glazing</v>
      </c>
      <c r="BH1152" s="610" t="str">
        <f>_xlfn.XLOOKUP(PV_DATA[[#This Row],[PORT DESTINATION]],Table12[PORT DESTINATION],Table12[Cosco Line],,0)</f>
        <v>AEU</v>
      </c>
      <c r="BJ1152" s="430"/>
    </row>
    <row r="1153" spans="1:62" s="475" customFormat="1" ht="13.5" hidden="1" customHeight="1">
      <c r="A1153" s="1398" t="s">
        <v>7212</v>
      </c>
      <c r="B1153" s="721" t="s">
        <v>61</v>
      </c>
      <c r="C1153" s="721" t="str">
        <f>IFERROR(LEFT(PV_DATA[[#This Row],[TCL REFERENCE]],FIND(".",PV_DATA[[#This Row],[TCL REFERENCE]],1)-1),"Main Line")</f>
        <v>26Aug021</v>
      </c>
      <c r="D1153" s="721" t="s">
        <v>63</v>
      </c>
      <c r="E1153" s="721" t="s">
        <v>64</v>
      </c>
      <c r="F1153" s="721" t="str" cm="1">
        <f t="array" ref="F115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53" s="721" t="s">
        <v>402</v>
      </c>
      <c r="H1153" s="721" t="s">
        <v>67</v>
      </c>
      <c r="I1153" s="721" t="s">
        <v>689</v>
      </c>
      <c r="J1153" s="475" t="s">
        <v>96</v>
      </c>
      <c r="M1153" s="475" t="s">
        <v>68</v>
      </c>
      <c r="N1153" s="476">
        <v>46272</v>
      </c>
      <c r="O1153" s="475" t="s">
        <v>4540</v>
      </c>
      <c r="P1153" s="475" t="s">
        <v>71</v>
      </c>
      <c r="Q1153" s="475" t="s">
        <v>72</v>
      </c>
      <c r="R1153" s="475" t="str">
        <f>_xlfn.XLOOKUP(PV_DATA[[#This Row],[New Ark SKU]],Table9[New Ark SKU],Table9[Connector],,0)</f>
        <v>EVO2A</v>
      </c>
      <c r="S1153" s="1399" t="str">
        <f>_xlfn.XLOOKUP(PV_DATA[[#This Row],[New Ark SKU]],Table9[New Ark SKU],Table9[Cable],,0)</f>
        <v>±1200mm</v>
      </c>
      <c r="T1153" s="1399">
        <v>500</v>
      </c>
      <c r="U1153" s="1068">
        <f>864*8</f>
        <v>6912</v>
      </c>
      <c r="V1153" s="1400">
        <f>PV_DATA[[#This Row],[QUANTITY]]*PV_DATA[[#This Row],[WATT]]/1000000</f>
        <v>3.456</v>
      </c>
      <c r="W1153" s="1401">
        <f>PV_DATA[[#This Row],[QUANTITY]]/PV_DATA[[#This Row],[Qty/Pallet]]</f>
        <v>192</v>
      </c>
      <c r="X1153" s="1402">
        <f>PV_DATA[[#This Row],[QUANTITY]]/PV_DATA[[#This Row],[Qty/CT]]</f>
        <v>8</v>
      </c>
      <c r="Y1153" s="475" t="s">
        <v>4384</v>
      </c>
      <c r="Z1153" s="475" t="str">
        <f t="shared" ref="Z1153" si="24">IF(AN1153&lt;&gt;"","COMPLETED",IF(AK1153&lt;&gt;"","IN-TRANSIT",""))</f>
        <v>IN-TRANSIT</v>
      </c>
      <c r="AA1153" s="1403" t="s">
        <v>5862</v>
      </c>
      <c r="AB1153" s="1404">
        <v>46308</v>
      </c>
      <c r="AC1153" s="1405">
        <f>IF(PV_DATA[[#This Row],[Pick-Up Date]]&lt;&gt;"",_xlfn.ISOWEEKNUM(PV_DATA[[#This Row],[Pick-Up Date]]),"")</f>
        <v>42</v>
      </c>
      <c r="AD1153" s="475" t="s">
        <v>7213</v>
      </c>
      <c r="AF1153" s="1406" t="s">
        <v>61</v>
      </c>
      <c r="AG1153" s="1406" t="s">
        <v>61</v>
      </c>
      <c r="AH1153" s="475" t="s">
        <v>105</v>
      </c>
      <c r="AI1153" s="1404">
        <v>46313</v>
      </c>
      <c r="AJ1153" s="1404">
        <f>IFERROR(VLOOKUP(AT1153, Vessel!A:D, 4, FALSE), "")</f>
        <v>46313.854166666664</v>
      </c>
      <c r="AK1153" s="1404">
        <f>IFERROR(IF(VLOOKUP(AT1153,Vessel!A:F,5,FALSE)=0,"",VLOOKUP(AT1153,Vessel!A:F,5,FALSE)),"")</f>
        <v>46313.785555555558</v>
      </c>
      <c r="AL1153" s="1404">
        <v>46358</v>
      </c>
      <c r="AM1153" s="1418">
        <f>IFERROR(VLOOKUP(AT1153, Vessel!A:H, 8, FALSE), "")</f>
        <v>46361.208333333336</v>
      </c>
      <c r="AN1153" s="1418" t="str">
        <f>IFERROR(IF(VLOOKUP(AT1153,Vessel!A:I,9,FALSE)=0,"",VLOOKUP(AT1153,Vessel!A:I,9,FALSE)),"")</f>
        <v/>
      </c>
      <c r="AO1153" s="475" t="s">
        <v>402</v>
      </c>
      <c r="AP1153" s="475" t="s">
        <v>7214</v>
      </c>
      <c r="AQ1153" s="1407" t="s">
        <v>80</v>
      </c>
      <c r="AR1153" s="1408" t="s">
        <v>7215</v>
      </c>
      <c r="AS1153" s="475" t="s">
        <v>7216</v>
      </c>
      <c r="AT1153" s="475" t="s">
        <v>7216</v>
      </c>
      <c r="AU1153" s="475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47.42277777777781</v>
      </c>
      <c r="AW1153" s="1404" cm="1">
        <f t="array" ref="AW115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46361.208333333336</v>
      </c>
      <c r="AX1153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53" s="1404" t="str">
        <f>IF(ISERROR(PV_DATA[[#This Row],[New Ark PO status]]),"",_xlfn.XLOOKUP(PV_DATA[[#This Row],[SPTN-PVHK New Ark PO'#]],New_Ark_Data[Purchase order Number],New_Ark_Data[Estimated time of arrival],"",0))</f>
        <v/>
      </c>
      <c r="AZ1153" s="1399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53" s="1404">
        <f>IFERROR(PV_DATA[[#This Row],[ODP ETA Port]]+PV_DATA[[#This Row],[Customs/Leg3 Assumption]],"n/a")</f>
        <v>46368.208333333336</v>
      </c>
      <c r="BB1153" s="1399" t="s">
        <v>6325</v>
      </c>
      <c r="BC1153" s="1399" t="s">
        <v>6325</v>
      </c>
      <c r="BD1153" s="475">
        <f>IFERROR(_xlfn.ISOWEEKNUM(PV_DATA[[#This Row],[ETA for New Ark update]]),0)</f>
        <v>50</v>
      </c>
      <c r="BE1153" s="475">
        <f>_xlfn.XLOOKUP(PV_DATA[[#This Row],[New Ark SKU]],Table9[New Ark SKU],Table9[Total PCS per Pallet],,0)</f>
        <v>36</v>
      </c>
      <c r="BF1153" s="475">
        <f>_xlfn.XLOOKUP(PV_DATA[[#This Row],[New Ark SKU]],Table9[New Ark SKU],Table9[Total PCS per 40HQ Container],,0)</f>
        <v>864</v>
      </c>
      <c r="BG1153" s="475" t="str">
        <f>_xlfn.XLOOKUP(PV_DATA[[#This Row],[New Ark SKU]],Table9[New Ark SKU],Table9[Back Glass],,0)</f>
        <v>Black glazing</v>
      </c>
      <c r="BH1153" s="1410" t="str">
        <f>_xlfn.XLOOKUP(PV_DATA[[#This Row],[PORT DESTINATION]],Table12[PORT DESTINATION],Table12[Cosco Line],,0)</f>
        <v>AEU</v>
      </c>
    </row>
    <row r="1154" spans="1:62" s="475" customFormat="1" ht="10.5" hidden="1">
      <c r="A1154" s="1411" t="s">
        <v>7217</v>
      </c>
      <c r="B1154" s="1412" t="s">
        <v>111</v>
      </c>
      <c r="C1154" s="721" t="str">
        <f>IFERROR(LEFT(PV_DATA[[#This Row],[TCL REFERENCE]],FIND(".",PV_DATA[[#This Row],[TCL REFERENCE]],1)-1),"Main Line")</f>
        <v>26Aug025</v>
      </c>
      <c r="D1154" s="1412" t="s">
        <v>113</v>
      </c>
      <c r="E1154" s="721" t="s">
        <v>144</v>
      </c>
      <c r="F1154" s="1412" t="str" cm="1">
        <f t="array" ref="F115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154" s="721" t="s">
        <v>156</v>
      </c>
      <c r="H1154" s="721" t="s">
        <v>941</v>
      </c>
      <c r="I1154" s="721" t="s">
        <v>689</v>
      </c>
      <c r="J1154" s="1413" t="s">
        <v>7218</v>
      </c>
      <c r="K1154" s="1408"/>
      <c r="L1154" s="1408"/>
      <c r="M1154" s="721" t="s">
        <v>6665</v>
      </c>
      <c r="N1154" s="1414"/>
      <c r="O1154" s="1408" t="s">
        <v>4540</v>
      </c>
      <c r="P1154" s="1408" t="s">
        <v>6470</v>
      </c>
      <c r="Q1154" s="1408" t="s">
        <v>4607</v>
      </c>
      <c r="R1154" s="475" t="str">
        <f>_xlfn.XLOOKUP(PV_DATA[[#This Row],[New Ark SKU]],Table9[New Ark SKU],Table9[Connector],,0)</f>
        <v>H4(Com)</v>
      </c>
      <c r="S1154" s="1399" t="str">
        <f>_xlfn.XLOOKUP(PV_DATA[[#This Row],[New Ark SKU]],Table9[New Ark SKU],Table9[Cable],,0)</f>
        <v>+400mm/-200mm</v>
      </c>
      <c r="T1154" s="1415">
        <v>630</v>
      </c>
      <c r="U1154" s="1068">
        <f>720</f>
        <v>720</v>
      </c>
      <c r="V1154" s="1416">
        <f>PV_DATA[[#This Row],[QUANTITY]]*PV_DATA[[#This Row],[WATT]]/1000000</f>
        <v>0.4536</v>
      </c>
      <c r="W1154" s="1401">
        <f>PV_DATA[[#This Row],[QUANTITY]]/36</f>
        <v>20</v>
      </c>
      <c r="X1154" s="1417">
        <f>PV_DATA[[#This Row],[QUANTITY]]/PV_DATA[[#This Row],[Qty/CT]]</f>
        <v>1</v>
      </c>
      <c r="Y1154" s="475" t="s">
        <v>4379</v>
      </c>
      <c r="Z1154" s="475" t="str">
        <f>IF(AN1154&lt;&gt;"","COMPLETED",IF(AK1154&lt;&gt;"","IN-TRANSIT",""))</f>
        <v>COMPLETED</v>
      </c>
      <c r="AA1154" s="1408"/>
      <c r="AB1154" s="1418">
        <v>46269</v>
      </c>
      <c r="AC1154" s="1419">
        <f>IF(PV_DATA[[#This Row],[Pick-Up Date]]&lt;&gt;"",_xlfn.ISOWEEKNUM(PV_DATA[[#This Row],[Pick-Up Date]]),"")</f>
        <v>36</v>
      </c>
      <c r="AD1154" s="1408"/>
      <c r="AE1154" s="1408"/>
      <c r="AF1154" s="1408" t="s">
        <v>122</v>
      </c>
      <c r="AG1154" s="1408" t="s">
        <v>122</v>
      </c>
      <c r="AH1154" s="475" t="s">
        <v>7219</v>
      </c>
      <c r="AI1154" s="1418">
        <v>46273</v>
      </c>
      <c r="AJ1154" s="1404">
        <v>46274</v>
      </c>
      <c r="AK1154" s="1404">
        <v>46275</v>
      </c>
      <c r="AL1154" s="1418">
        <v>46285</v>
      </c>
      <c r="AM1154" s="1418">
        <v>46297</v>
      </c>
      <c r="AN1154" s="1418">
        <v>46297</v>
      </c>
      <c r="AO1154" s="1408" t="s">
        <v>156</v>
      </c>
      <c r="AP1154" s="1408" t="s">
        <v>7220</v>
      </c>
      <c r="AQ1154" s="1420" t="s">
        <v>161</v>
      </c>
      <c r="AR1154" s="1408" t="s">
        <v>7221</v>
      </c>
      <c r="AS1154" s="1408">
        <v>802581991</v>
      </c>
      <c r="AT1154" s="475">
        <v>802581991</v>
      </c>
      <c r="AU1154" s="475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22</v>
      </c>
      <c r="AV1154" s="1408"/>
      <c r="AW1154" s="1418" cm="1">
        <f t="array" ref="AW115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46297</v>
      </c>
      <c r="AX1154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54" s="1418" t="str">
        <f>IF(ISERROR(PV_DATA[[#This Row],[New Ark PO status]]),"",_xlfn.XLOOKUP(PV_DATA[[#This Row],[SPTN-PVHK New Ark PO'#]],New_Ark_Data[Purchase order Number],New_Ark_Data[Estimated time of arrival],"",0))</f>
        <v/>
      </c>
      <c r="AZ1154" s="1415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154" s="1418">
        <f>IFERROR(PV_DATA[[#This Row],[ODP ETA Port]]+PV_DATA[[#This Row],[Customs/Leg3 Assumption]],"n/a")</f>
        <v>46297</v>
      </c>
      <c r="BB1154" s="1415">
        <f>YEAR(PV_DATA[[#This Row],[ETA for New Ark update]])</f>
        <v>2026</v>
      </c>
      <c r="BC1154" s="1408">
        <f>MONTH(PV_DATA[[#This Row],[ETA for New Ark update]])</f>
        <v>10</v>
      </c>
      <c r="BD1154" s="1408">
        <f>IFERROR(_xlfn.ISOWEEKNUM(PV_DATA[[#This Row],[ETA for New Ark update]]),0)</f>
        <v>40</v>
      </c>
      <c r="BE1154" s="475">
        <f>_xlfn.XLOOKUP(PV_DATA[[#This Row],[New Ark SKU]],Table9[New Ark SKU],Table9[Total PCS per Pallet],,0)</f>
        <v>36</v>
      </c>
      <c r="BF1154" s="475">
        <f>_xlfn.XLOOKUP(PV_DATA[[#This Row],[New Ark SKU]],Table9[New Ark SKU],Table9[Total PCS per 40HQ Container],,0)</f>
        <v>720</v>
      </c>
      <c r="BG1154" s="475" t="str">
        <f>_xlfn.XLOOKUP(PV_DATA[[#This Row],[New Ark SKU]],Table9[New Ark SKU],Table9[Back Glass],,0)</f>
        <v>Redirection Film</v>
      </c>
      <c r="BH1154" s="1421" t="str">
        <f>_xlfn.XLOOKUP(PV_DATA[[#This Row],[PORT DESTINATION]],Table12[PORT DESTINATION],Table12[Cosco Line],,0)</f>
        <v>n/a</v>
      </c>
    </row>
    <row r="1155" spans="1:62" s="475" customFormat="1" hidden="1">
      <c r="A1155" s="1422" t="s">
        <v>7222</v>
      </c>
      <c r="B1155" s="1412" t="s">
        <v>1757</v>
      </c>
      <c r="C1155" s="1412" t="str">
        <f>IFERROR(LEFT(PV_DATA[[#This Row],[TCL REFERENCE]],FIND(".",PV_DATA[[#This Row],[TCL REFERENCE]],1)-1),"Main Line")</f>
        <v>26Oct007</v>
      </c>
      <c r="D1155" s="1412" t="s">
        <v>63</v>
      </c>
      <c r="E1155" s="721" t="s">
        <v>64</v>
      </c>
      <c r="F1155" s="721" t="str" cm="1">
        <f t="array" ref="F115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1155" s="1412" t="s">
        <v>402</v>
      </c>
      <c r="H1155" s="721" t="s">
        <v>451</v>
      </c>
      <c r="I1155" s="721" t="s">
        <v>882</v>
      </c>
      <c r="J1155" s="475" t="s">
        <v>96</v>
      </c>
      <c r="K1155" s="1408"/>
      <c r="L1155" s="1408"/>
      <c r="M1155" s="475" t="s">
        <v>68</v>
      </c>
      <c r="N1155" s="1414"/>
      <c r="O1155" s="1408" t="s">
        <v>284</v>
      </c>
      <c r="P1155" s="1408" t="s">
        <v>7223</v>
      </c>
      <c r="Q1155" s="1408" t="s">
        <v>7224</v>
      </c>
      <c r="R1155" s="475" t="str">
        <f>_xlfn.XLOOKUP(PV_DATA[[#This Row],[New Ark SKU]],Table9[New Ark SKU],Table9[Connector],,0)</f>
        <v>EVO2A</v>
      </c>
      <c r="S1155" s="1399" t="str">
        <f>_xlfn.XLOOKUP(PV_DATA[[#This Row],[New Ark SKU]],Table9[New Ark SKU],Table9[Cable],,0)</f>
        <v>±1200mm</v>
      </c>
      <c r="T1155" s="1415">
        <v>490</v>
      </c>
      <c r="U1155" s="1423">
        <f>936*3</f>
        <v>2808</v>
      </c>
      <c r="V1155" s="1416">
        <f>PV_DATA[[#This Row],[QUANTITY]]*PV_DATA[[#This Row],[WATT]]/1000000</f>
        <v>1.37592</v>
      </c>
      <c r="W1155" s="1424">
        <f>PV_DATA[[#This Row],[QUANTITY]]/PV_DATA[[#This Row],[Qty/Pallet]]</f>
        <v>78</v>
      </c>
      <c r="X1155" s="1417">
        <f>PV_DATA[[#This Row],[QUANTITY]]/PV_DATA[[#This Row],[Qty/CT]]</f>
        <v>3</v>
      </c>
      <c r="Y1155" s="475" t="s">
        <v>4384</v>
      </c>
      <c r="Z1155" s="1425" t="str">
        <f t="shared" ref="Z1155" si="25">IF(AN1155&lt;&gt;"","COMPLETED",IF(AK1155&lt;&gt;"","IN-TRANSIT",""))</f>
        <v>IN-TRANSIT</v>
      </c>
      <c r="AA1155" s="1426">
        <v>46311</v>
      </c>
      <c r="AB1155" s="1418">
        <v>46311</v>
      </c>
      <c r="AC1155" s="1419">
        <f>IF(PV_DATA[[#This Row],[Pick-Up Date]]&lt;&gt;"",_xlfn.ISOWEEKNUM(PV_DATA[[#This Row],[Pick-Up Date]]),"")</f>
        <v>42</v>
      </c>
      <c r="AD1155" s="1408" t="s">
        <v>7225</v>
      </c>
      <c r="AE1155" s="1415"/>
      <c r="AF1155" s="475" t="s">
        <v>122</v>
      </c>
      <c r="AG1155" s="475" t="s">
        <v>123</v>
      </c>
      <c r="AH1155" s="475" t="s">
        <v>456</v>
      </c>
      <c r="AI1155" s="1418">
        <v>46314</v>
      </c>
      <c r="AJ1155" s="1404">
        <f>IFERROR(VLOOKUP(AT1155, Vessel!A:D, 4, FALSE), "")</f>
        <v>46315.520833333336</v>
      </c>
      <c r="AK1155" s="1404">
        <f>IFERROR(IF(VLOOKUP(AT1155,Vessel!A:F,5,FALSE)=0,"",VLOOKUP(AT1155,Vessel!A:F,5,FALSE)),"")</f>
        <v>46315.561724537038</v>
      </c>
      <c r="AL1155" s="1418">
        <v>46355</v>
      </c>
      <c r="AM1155" s="1418">
        <f>IFERROR(VLOOKUP(AT1155, Vessel!A:H, 8, FALSE), "")</f>
        <v>46356.833333333336</v>
      </c>
      <c r="AN1155" s="1418" t="str">
        <f>IFERROR(IF(VLOOKUP(AT1155,Vessel!A:I,9,FALSE)=0,"",VLOOKUP(AT1155,Vessel!A:I,9,FALSE)),"")</f>
        <v/>
      </c>
      <c r="AO1155" s="1408"/>
      <c r="AP1155" s="1408" t="s">
        <v>7226</v>
      </c>
      <c r="AQ1155" s="1420" t="s">
        <v>80</v>
      </c>
      <c r="AR1155" s="1408" t="s">
        <v>7227</v>
      </c>
      <c r="AS1155" s="1408" t="s">
        <v>7228</v>
      </c>
      <c r="AT1155" s="1408" t="s">
        <v>7228</v>
      </c>
      <c r="AU1155" s="475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41.271608796298096</v>
      </c>
      <c r="AV1155" s="1408"/>
      <c r="AW1155" s="1418" cm="1">
        <f t="array" ref="AW115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46356.833333333336</v>
      </c>
      <c r="AX1155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55" s="1418" t="str">
        <f>IF(ISERROR(PV_DATA[[#This Row],[New Ark PO status]]),"",_xlfn.XLOOKUP(PV_DATA[[#This Row],[SPTN-PVHK New Ark PO'#]],New_Ark_Data[Purchase order Number],New_Ark_Data[Estimated time of arrival],"",0))</f>
        <v/>
      </c>
      <c r="AZ1155" s="1415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55" s="1418">
        <f>IFERROR(PV_DATA[[#This Row],[ODP ETA Port]]+PV_DATA[[#This Row],[Customs/Leg3 Assumption]],"n/a")</f>
        <v>46363.833333333336</v>
      </c>
      <c r="BB1155" s="1415">
        <f>YEAR(PV_DATA[[#This Row],[ETA for New Ark update]])</f>
        <v>2026</v>
      </c>
      <c r="BC1155" s="1408">
        <f>MONTH(PV_DATA[[#This Row],[ETA for New Ark update]])</f>
        <v>12</v>
      </c>
      <c r="BD1155" s="1408">
        <f>IFERROR(_xlfn.ISOWEEKNUM(PV_DATA[[#This Row],[ETA for New Ark update]]),0)</f>
        <v>50</v>
      </c>
      <c r="BE1155" s="475">
        <f>_xlfn.XLOOKUP(PV_DATA[[#This Row],[New Ark SKU]],Table9[New Ark SKU],Table9[Total PCS per Pallet],,0)</f>
        <v>36</v>
      </c>
      <c r="BF1155" s="475">
        <f>_xlfn.XLOOKUP(PV_DATA[[#This Row],[New Ark SKU]],Table9[New Ark SKU],Table9[Total PCS per 40HQ Container],,0)</f>
        <v>936</v>
      </c>
      <c r="BG1155" s="475" t="str">
        <f>_xlfn.XLOOKUP(PV_DATA[[#This Row],[New Ark SKU]],Table9[New Ark SKU],Table9[Back Glass],,0)</f>
        <v>Black glazing</v>
      </c>
      <c r="BH1155" s="1421" t="str">
        <f>_xlfn.XLOOKUP(PV_DATA[[#This Row],[PORT DESTINATION]],Table12[PORT DESTINATION],Table12[Cosco Line],,0)</f>
        <v>AEU</v>
      </c>
      <c r="BJ1155" s="1427"/>
    </row>
    <row r="1156" spans="1:62" s="475" customFormat="1" hidden="1">
      <c r="A1156" s="1428" t="s">
        <v>7229</v>
      </c>
      <c r="B1156" s="1412" t="s">
        <v>1757</v>
      </c>
      <c r="C1156" s="1412" t="str">
        <f>IFERROR(LEFT(PV_DATA[[#This Row],[TCL REFERENCE]],FIND(".",PV_DATA[[#This Row],[TCL REFERENCE]],1)-1),"Main Line")</f>
        <v>26Oct009</v>
      </c>
      <c r="D1156" s="1412" t="s">
        <v>63</v>
      </c>
      <c r="E1156" s="721" t="s">
        <v>64</v>
      </c>
      <c r="F1156" s="721" t="str" cm="1">
        <f t="array" ref="F115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56" s="1412" t="s">
        <v>402</v>
      </c>
      <c r="H1156" s="1412" t="s">
        <v>67</v>
      </c>
      <c r="I1156" s="475" t="s">
        <v>689</v>
      </c>
      <c r="J1156" s="475" t="s">
        <v>96</v>
      </c>
      <c r="K1156" s="1408"/>
      <c r="L1156" s="1408"/>
      <c r="M1156" s="475" t="s">
        <v>6325</v>
      </c>
      <c r="N1156" s="1414"/>
      <c r="O1156" s="1408" t="s">
        <v>284</v>
      </c>
      <c r="P1156" s="1408" t="s">
        <v>5860</v>
      </c>
      <c r="Q1156" s="1408" t="s">
        <v>5861</v>
      </c>
      <c r="R1156" s="475" t="str">
        <f>_xlfn.XLOOKUP(PV_DATA[[#This Row],[New Ark SKU]],Table9[New Ark SKU],Table9[Connector],,0)</f>
        <v>EVO2A</v>
      </c>
      <c r="S1156" s="1399" t="str">
        <f>_xlfn.XLOOKUP(PV_DATA[[#This Row],[New Ark SKU]],Table9[New Ark SKU],Table9[Cable],,0)</f>
        <v>±1200mm</v>
      </c>
      <c r="T1156" s="1415">
        <v>485</v>
      </c>
      <c r="U1156" s="1423">
        <v>10296</v>
      </c>
      <c r="V1156" s="1416">
        <f>PV_DATA[[#This Row],[QUANTITY]]*PV_DATA[[#This Row],[WATT]]/1000000</f>
        <v>4.9935600000000004</v>
      </c>
      <c r="W1156" s="1424">
        <f>PV_DATA[[#This Row],[QUANTITY]]/PV_DATA[[#This Row],[Qty/Pallet]]</f>
        <v>286</v>
      </c>
      <c r="X1156" s="1417">
        <f>PV_DATA[[#This Row],[QUANTITY]]/PV_DATA[[#This Row],[Qty/CT]]</f>
        <v>11</v>
      </c>
      <c r="Y1156" s="475" t="s">
        <v>4384</v>
      </c>
      <c r="Z1156" s="1425" t="str">
        <f>IF(AN1156&lt;&gt;"","COMPLETED",IF(AK1156&lt;&gt;"","IN-TRANSIT",""))</f>
        <v>IN-TRANSIT</v>
      </c>
      <c r="AA1156" s="1426">
        <v>46311</v>
      </c>
      <c r="AB1156" s="1418">
        <v>46309</v>
      </c>
      <c r="AC1156" s="1419">
        <f>IF(PV_DATA[[#This Row],[Pick-Up Date]]&lt;&gt;"",_xlfn.ISOWEEKNUM(PV_DATA[[#This Row],[Pick-Up Date]]),"")</f>
        <v>42</v>
      </c>
      <c r="AD1156" s="1408" t="s">
        <v>7230</v>
      </c>
      <c r="AE1156" s="1415"/>
      <c r="AF1156" s="475" t="s">
        <v>122</v>
      </c>
      <c r="AG1156" s="475" t="s">
        <v>123</v>
      </c>
      <c r="AH1156" s="475" t="s">
        <v>105</v>
      </c>
      <c r="AI1156" s="1418">
        <v>46315</v>
      </c>
      <c r="AJ1156" s="1404">
        <f>IFERROR(VLOOKUP(AT1156, Vessel!A:D, 4, FALSE), "")</f>
        <v>46314.635416666664</v>
      </c>
      <c r="AK1156" s="1404">
        <f>IFERROR(IF(VLOOKUP(AT1156,Vessel!A:F,5,FALSE)=0,"",VLOOKUP(AT1156,Vessel!A:F,5,FALSE)),"")</f>
        <v>46314.646874999999</v>
      </c>
      <c r="AL1156" s="1418">
        <v>46351</v>
      </c>
      <c r="AM1156" s="1418">
        <f>IFERROR(VLOOKUP(AT1156, Vessel!A:H, 8, FALSE), "")</f>
        <v>46350.333333333336</v>
      </c>
      <c r="AN1156" s="1418" t="str">
        <f>IFERROR(IF(VLOOKUP(AT1156,Vessel!A:I,9,FALSE)=0,"",VLOOKUP(AT1156,Vessel!A:I,9,FALSE)),"")</f>
        <v/>
      </c>
      <c r="AO1156" s="1408"/>
      <c r="AP1156" s="1408" t="s">
        <v>7197</v>
      </c>
      <c r="AQ1156" s="1420" t="s">
        <v>80</v>
      </c>
      <c r="AR1156" s="1408" t="s">
        <v>7231</v>
      </c>
      <c r="AS1156" s="1408" t="s">
        <v>7232</v>
      </c>
      <c r="AT1156" s="1408" t="s">
        <v>7232</v>
      </c>
      <c r="AU1156" s="475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35.686458333337214</v>
      </c>
      <c r="AV1156" s="1408"/>
      <c r="AW1156" s="1418" cm="1">
        <f t="array" ref="AW115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46350.333333333336</v>
      </c>
      <c r="AX1156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56" s="1418" t="str">
        <f>IF(ISERROR(PV_DATA[[#This Row],[New Ark PO status]]),"",_xlfn.XLOOKUP(PV_DATA[[#This Row],[SPTN-PVHK New Ark PO'#]],New_Ark_Data[Purchase order Number],New_Ark_Data[Estimated time of arrival],"",0))</f>
        <v/>
      </c>
      <c r="AZ1156" s="1415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56" s="1418">
        <f>IFERROR(PV_DATA[[#This Row],[ODP ETA Port]]+PV_DATA[[#This Row],[Customs/Leg3 Assumption]],"n/a")</f>
        <v>46357.333333333336</v>
      </c>
      <c r="BB1156" s="1415">
        <f>YEAR(PV_DATA[[#This Row],[ETA for New Ark update]])</f>
        <v>2026</v>
      </c>
      <c r="BC1156" s="1408">
        <f>MONTH(PV_DATA[[#This Row],[ETA for New Ark update]])</f>
        <v>12</v>
      </c>
      <c r="BD1156" s="1408">
        <f>IFERROR(_xlfn.ISOWEEKNUM(PV_DATA[[#This Row],[ETA for New Ark update]]),0)</f>
        <v>49</v>
      </c>
      <c r="BE1156" s="475">
        <f>_xlfn.XLOOKUP(PV_DATA[[#This Row],[New Ark SKU]],Table9[New Ark SKU],Table9[Total PCS per Pallet],,0)</f>
        <v>36</v>
      </c>
      <c r="BF1156" s="475">
        <f>_xlfn.XLOOKUP(PV_DATA[[#This Row],[New Ark SKU]],Table9[New Ark SKU],Table9[Total PCS per 40HQ Container],,0)</f>
        <v>936</v>
      </c>
      <c r="BG1156" s="475" t="str">
        <f>_xlfn.XLOOKUP(PV_DATA[[#This Row],[New Ark SKU]],Table9[New Ark SKU],Table9[Back Glass],,0)</f>
        <v>Black glazing</v>
      </c>
      <c r="BH1156" s="1421" t="str">
        <f>_xlfn.XLOOKUP(PV_DATA[[#This Row],[PORT DESTINATION]],Table12[PORT DESTINATION],Table12[Cosco Line],,0)</f>
        <v>AEU</v>
      </c>
      <c r="BJ1156" s="1427"/>
    </row>
    <row r="1157" spans="1:62" s="475" customFormat="1" hidden="1">
      <c r="A1157" s="1428" t="s">
        <v>7233</v>
      </c>
      <c r="B1157" s="1412" t="s">
        <v>1757</v>
      </c>
      <c r="C1157" s="1412" t="str">
        <f>IFERROR(LEFT(PV_DATA[[#This Row],[TCL REFERENCE]],FIND(".",PV_DATA[[#This Row],[TCL REFERENCE]],1)-1),"Main Line")</f>
        <v>26Oct007</v>
      </c>
      <c r="D1157" s="1412" t="s">
        <v>63</v>
      </c>
      <c r="E1157" s="721" t="s">
        <v>64</v>
      </c>
      <c r="F1157" s="721" t="str" cm="1">
        <f t="array" ref="F115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57" s="1412" t="s">
        <v>402</v>
      </c>
      <c r="H1157" s="721" t="s">
        <v>67</v>
      </c>
      <c r="I1157" s="721" t="s">
        <v>882</v>
      </c>
      <c r="J1157" s="475" t="s">
        <v>96</v>
      </c>
      <c r="K1157" s="1408"/>
      <c r="L1157" s="1408"/>
      <c r="M1157" s="475" t="s">
        <v>68</v>
      </c>
      <c r="N1157" s="1414"/>
      <c r="O1157" s="1408" t="s">
        <v>284</v>
      </c>
      <c r="P1157" s="1408" t="s">
        <v>7223</v>
      </c>
      <c r="Q1157" s="1408" t="s">
        <v>7224</v>
      </c>
      <c r="R1157" s="475" t="str">
        <f>_xlfn.XLOOKUP(PV_DATA[[#This Row],[New Ark SKU]],Table9[New Ark SKU],Table9[Connector],,0)</f>
        <v>EVO2A</v>
      </c>
      <c r="S1157" s="1399" t="str">
        <f>_xlfn.XLOOKUP(PV_DATA[[#This Row],[New Ark SKU]],Table9[New Ark SKU],Table9[Cable],,0)</f>
        <v>±1200mm</v>
      </c>
      <c r="T1157" s="1415">
        <v>490</v>
      </c>
      <c r="U1157" s="1423">
        <f>936*5</f>
        <v>4680</v>
      </c>
      <c r="V1157" s="1416">
        <f>PV_DATA[[#This Row],[QUANTITY]]*PV_DATA[[#This Row],[WATT]]/1000000</f>
        <v>2.2932000000000001</v>
      </c>
      <c r="W1157" s="1424">
        <f>PV_DATA[[#This Row],[QUANTITY]]/PV_DATA[[#This Row],[Qty/Pallet]]</f>
        <v>130</v>
      </c>
      <c r="X1157" s="1417">
        <f>PV_DATA[[#This Row],[QUANTITY]]/PV_DATA[[#This Row],[Qty/CT]]</f>
        <v>5</v>
      </c>
      <c r="Y1157" s="475" t="s">
        <v>4384</v>
      </c>
      <c r="Z1157" s="1425" t="str">
        <f>IF(AN1157&lt;&gt;"","COMPLETED",IF(AK1157&lt;&gt;"","IN-TRANSIT",""))</f>
        <v>IN-TRANSIT</v>
      </c>
      <c r="AA1157" s="1426">
        <v>46311</v>
      </c>
      <c r="AB1157" s="1418">
        <v>46309</v>
      </c>
      <c r="AC1157" s="1419">
        <f>IF(PV_DATA[[#This Row],[Pick-Up Date]]&lt;&gt;"",_xlfn.ISOWEEKNUM(PV_DATA[[#This Row],[Pick-Up Date]]),"")</f>
        <v>42</v>
      </c>
      <c r="AD1157" s="1408" t="s">
        <v>7234</v>
      </c>
      <c r="AE1157" s="1415"/>
      <c r="AF1157" s="475" t="s">
        <v>122</v>
      </c>
      <c r="AG1157" s="475" t="s">
        <v>123</v>
      </c>
      <c r="AH1157" s="475" t="s">
        <v>105</v>
      </c>
      <c r="AI1157" s="1418">
        <v>46314</v>
      </c>
      <c r="AJ1157" s="1404">
        <f>IFERROR(VLOOKUP(AT1157, Vessel!A:D, 4, FALSE), "")</f>
        <v>46315.291666666664</v>
      </c>
      <c r="AK1157" s="1404">
        <f>IFERROR(IF(VLOOKUP(AT1157,Vessel!A:F,5,FALSE)=0,"",VLOOKUP(AT1157,Vessel!A:F,5,FALSE)),"")</f>
        <v>46315.322685185187</v>
      </c>
      <c r="AL1157" s="1418">
        <v>46351</v>
      </c>
      <c r="AM1157" s="1418">
        <f>IFERROR(VLOOKUP(AT1157, Vessel!A:H, 8, FALSE), "")</f>
        <v>46355.875</v>
      </c>
      <c r="AN1157" s="1418" t="str">
        <f>IFERROR(IF(VLOOKUP(AT1157,Vessel!A:I,9,FALSE)=0,"",VLOOKUP(AT1157,Vessel!A:I,9,FALSE)),"")</f>
        <v/>
      </c>
      <c r="AO1157" s="1408"/>
      <c r="AP1157" s="1408" t="s">
        <v>7235</v>
      </c>
      <c r="AQ1157" s="1420" t="s">
        <v>80</v>
      </c>
      <c r="AR1157" s="1408" t="s">
        <v>7236</v>
      </c>
      <c r="AS1157" s="1408" t="s">
        <v>7237</v>
      </c>
      <c r="AT1157" s="1408" t="s">
        <v>7237</v>
      </c>
      <c r="AU1157" s="475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40.552314814813144</v>
      </c>
      <c r="AV1157" s="1408"/>
      <c r="AW1157" s="1418" cm="1">
        <f t="array" ref="AW115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46355.875</v>
      </c>
      <c r="AX1157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57" s="1418" t="str">
        <f>IF(ISERROR(PV_DATA[[#This Row],[New Ark PO status]]),"",_xlfn.XLOOKUP(PV_DATA[[#This Row],[SPTN-PVHK New Ark PO'#]],New_Ark_Data[Purchase order Number],New_Ark_Data[Estimated time of arrival],"",0))</f>
        <v/>
      </c>
      <c r="AZ1157" s="1415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57" s="1418">
        <f>IFERROR(PV_DATA[[#This Row],[ODP ETA Port]]+PV_DATA[[#This Row],[Customs/Leg3 Assumption]],"n/a")</f>
        <v>46362.875</v>
      </c>
      <c r="BB1157" s="1415">
        <f>YEAR(PV_DATA[[#This Row],[ETA for New Ark update]])</f>
        <v>2026</v>
      </c>
      <c r="BC1157" s="1408">
        <f>MONTH(PV_DATA[[#This Row],[ETA for New Ark update]])</f>
        <v>12</v>
      </c>
      <c r="BD1157" s="1408">
        <f>IFERROR(_xlfn.ISOWEEKNUM(PV_DATA[[#This Row],[ETA for New Ark update]]),0)</f>
        <v>49</v>
      </c>
      <c r="BE1157" s="475">
        <f>_xlfn.XLOOKUP(PV_DATA[[#This Row],[New Ark SKU]],Table9[New Ark SKU],Table9[Total PCS per Pallet],,0)</f>
        <v>36</v>
      </c>
      <c r="BF1157" s="475">
        <f>_xlfn.XLOOKUP(PV_DATA[[#This Row],[New Ark SKU]],Table9[New Ark SKU],Table9[Total PCS per 40HQ Container],,0)</f>
        <v>936</v>
      </c>
      <c r="BG1157" s="475" t="str">
        <f>_xlfn.XLOOKUP(PV_DATA[[#This Row],[New Ark SKU]],Table9[New Ark SKU],Table9[Back Glass],,0)</f>
        <v>Black glazing</v>
      </c>
      <c r="BH1157" s="1421" t="str">
        <f>_xlfn.XLOOKUP(PV_DATA[[#This Row],[PORT DESTINATION]],Table12[PORT DESTINATION],Table12[Cosco Line],,0)</f>
        <v>AEU</v>
      </c>
      <c r="BJ1157" s="1427"/>
    </row>
    <row r="1158" spans="1:62" s="475" customFormat="1" hidden="1">
      <c r="A1158" s="1428" t="s">
        <v>7238</v>
      </c>
      <c r="B1158" s="1412" t="s">
        <v>1757</v>
      </c>
      <c r="C1158" s="1412" t="str">
        <f>IFERROR(LEFT(PV_DATA[[#This Row],[TCL REFERENCE]],FIND(".",PV_DATA[[#This Row],[TCL REFERENCE]],1)-1),"Main Line")</f>
        <v>26Oct009</v>
      </c>
      <c r="D1158" s="1412" t="s">
        <v>63</v>
      </c>
      <c r="E1158" s="721" t="s">
        <v>64</v>
      </c>
      <c r="F1158" s="721" t="str" cm="1">
        <f t="array" ref="F115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58" s="1412" t="s">
        <v>402</v>
      </c>
      <c r="H1158" s="1412" t="s">
        <v>67</v>
      </c>
      <c r="I1158" s="475" t="s">
        <v>689</v>
      </c>
      <c r="J1158" s="475" t="s">
        <v>96</v>
      </c>
      <c r="K1158" s="1408"/>
      <c r="L1158" s="1408"/>
      <c r="M1158" s="475" t="s">
        <v>6325</v>
      </c>
      <c r="N1158" s="1414"/>
      <c r="O1158" s="1408" t="s">
        <v>284</v>
      </c>
      <c r="P1158" s="1408" t="s">
        <v>5860</v>
      </c>
      <c r="Q1158" s="1408" t="s">
        <v>5861</v>
      </c>
      <c r="R1158" s="475" t="str">
        <f>_xlfn.XLOOKUP(PV_DATA[[#This Row],[New Ark SKU]],Table9[New Ark SKU],Table9[Connector],,0)</f>
        <v>EVO2A</v>
      </c>
      <c r="S1158" s="1399" t="str">
        <f>_xlfn.XLOOKUP(PV_DATA[[#This Row],[New Ark SKU]],Table9[New Ark SKU],Table9[Cable],,0)</f>
        <v>±1200mm</v>
      </c>
      <c r="T1158" s="1415">
        <v>485</v>
      </c>
      <c r="U1158" s="1423">
        <f>936*8</f>
        <v>7488</v>
      </c>
      <c r="V1158" s="1416">
        <f>PV_DATA[[#This Row],[QUANTITY]]*PV_DATA[[#This Row],[WATT]]/1000000</f>
        <v>3.6316799999999998</v>
      </c>
      <c r="W1158" s="1424">
        <f>PV_DATA[[#This Row],[QUANTITY]]/PV_DATA[[#This Row],[Qty/Pallet]]</f>
        <v>208</v>
      </c>
      <c r="X1158" s="1417">
        <f>PV_DATA[[#This Row],[QUANTITY]]/PV_DATA[[#This Row],[Qty/CT]]</f>
        <v>8</v>
      </c>
      <c r="Y1158" s="475" t="s">
        <v>4384</v>
      </c>
      <c r="Z1158" s="1425" t="str">
        <f>IF(AN1158&lt;&gt;"","COMPLETED",IF(AK1158&lt;&gt;"","IN-TRANSIT",""))</f>
        <v>IN-TRANSIT</v>
      </c>
      <c r="AA1158" s="1426">
        <v>46307</v>
      </c>
      <c r="AB1158" s="1418">
        <v>46308</v>
      </c>
      <c r="AC1158" s="1419">
        <f>IF(PV_DATA[[#This Row],[Pick-Up Date]]&lt;&gt;"",_xlfn.ISOWEEKNUM(PV_DATA[[#This Row],[Pick-Up Date]]),"")</f>
        <v>42</v>
      </c>
      <c r="AD1158" s="1408" t="s">
        <v>7239</v>
      </c>
      <c r="AE1158" s="1415"/>
      <c r="AF1158" s="475" t="s">
        <v>122</v>
      </c>
      <c r="AG1158" s="475" t="s">
        <v>123</v>
      </c>
      <c r="AH1158" s="475" t="s">
        <v>105</v>
      </c>
      <c r="AI1158" s="1418">
        <v>46313</v>
      </c>
      <c r="AJ1158" s="1404">
        <f>IFERROR(VLOOKUP(AT1158, Vessel!A:D, 4, FALSE), "")</f>
        <v>46314.635416666664</v>
      </c>
      <c r="AK1158" s="1404">
        <f>IFERROR(IF(VLOOKUP(AT1158,Vessel!A:F,5,FALSE)=0,"",VLOOKUP(AT1158,Vessel!A:F,5,FALSE)),"")</f>
        <v>46314.646874999999</v>
      </c>
      <c r="AL1158" s="1418">
        <v>46361</v>
      </c>
      <c r="AM1158" s="1418">
        <f>IFERROR(VLOOKUP(AT1158, Vessel!A:H, 8, FALSE), "")</f>
        <v>46350.333333333336</v>
      </c>
      <c r="AN1158" s="1418" t="str">
        <f>IFERROR(IF(VLOOKUP(AT1158,Vessel!A:I,9,FALSE)=0,"",VLOOKUP(AT1158,Vessel!A:I,9,FALSE)),"")</f>
        <v/>
      </c>
      <c r="AO1158" s="1408"/>
      <c r="AP1158" s="1408" t="s">
        <v>7240</v>
      </c>
      <c r="AQ1158" s="1420" t="s">
        <v>80</v>
      </c>
      <c r="AR1158" s="1408" t="s">
        <v>7241</v>
      </c>
      <c r="AS1158" s="1408" t="s">
        <v>7242</v>
      </c>
      <c r="AT1158" s="1408" t="s">
        <v>7242</v>
      </c>
      <c r="AU1158" s="475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35.686458333337214</v>
      </c>
      <c r="AV1158" s="1408"/>
      <c r="AW1158" s="1418" cm="1">
        <f t="array" ref="AW115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46350.333333333336</v>
      </c>
      <c r="AX1158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58" s="1418" t="str">
        <f>IF(ISERROR(PV_DATA[[#This Row],[New Ark PO status]]),"",_xlfn.XLOOKUP(PV_DATA[[#This Row],[SPTN-PVHK New Ark PO'#]],New_Ark_Data[Purchase order Number],New_Ark_Data[Estimated time of arrival],"",0))</f>
        <v/>
      </c>
      <c r="AZ1158" s="1415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58" s="1418">
        <f>IFERROR(PV_DATA[[#This Row],[ODP ETA Port]]+PV_DATA[[#This Row],[Customs/Leg3 Assumption]],"n/a")</f>
        <v>46357.333333333336</v>
      </c>
      <c r="BB1158" s="1415">
        <f>YEAR(PV_DATA[[#This Row],[ETA for New Ark update]])</f>
        <v>2026</v>
      </c>
      <c r="BC1158" s="1408">
        <f>MONTH(PV_DATA[[#This Row],[ETA for New Ark update]])</f>
        <v>12</v>
      </c>
      <c r="BD1158" s="1408">
        <f>IFERROR(_xlfn.ISOWEEKNUM(PV_DATA[[#This Row],[ETA for New Ark update]]),0)</f>
        <v>49</v>
      </c>
      <c r="BE1158" s="475">
        <f>_xlfn.XLOOKUP(PV_DATA[[#This Row],[New Ark SKU]],Table9[New Ark SKU],Table9[Total PCS per Pallet],,0)</f>
        <v>36</v>
      </c>
      <c r="BF1158" s="475">
        <f>_xlfn.XLOOKUP(PV_DATA[[#This Row],[New Ark SKU]],Table9[New Ark SKU],Table9[Total PCS per 40HQ Container],,0)</f>
        <v>936</v>
      </c>
      <c r="BG1158" s="475" t="str">
        <f>_xlfn.XLOOKUP(PV_DATA[[#This Row],[New Ark SKU]],Table9[New Ark SKU],Table9[Back Glass],,0)</f>
        <v>Black glazing</v>
      </c>
      <c r="BH1158" s="1421" t="str">
        <f>_xlfn.XLOOKUP(PV_DATA[[#This Row],[PORT DESTINATION]],Table12[PORT DESTINATION],Table12[Cosco Line],,0)</f>
        <v>AEU</v>
      </c>
      <c r="BJ1158" s="1427"/>
    </row>
    <row r="1159" spans="1:62" s="475" customFormat="1" hidden="1">
      <c r="A1159" s="1411" t="s">
        <v>7243</v>
      </c>
      <c r="B1159" s="1412" t="s">
        <v>111</v>
      </c>
      <c r="C1159" s="1412" t="str">
        <f>IFERROR(LEFT(PV_DATA[[#This Row],[TCL REFERENCE]],FIND(".",PV_DATA[[#This Row],[TCL REFERENCE]],1)-1),"Main Line")</f>
        <v>26Oct016</v>
      </c>
      <c r="D1159" s="1412" t="s">
        <v>113</v>
      </c>
      <c r="E1159" s="1412" t="s">
        <v>64</v>
      </c>
      <c r="F1159" s="1412" t="str" cm="1">
        <f t="array" ref="F115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59" s="1412" t="s">
        <v>402</v>
      </c>
      <c r="H1159" s="1412" t="s">
        <v>67</v>
      </c>
      <c r="I1159" s="1412" t="s">
        <v>689</v>
      </c>
      <c r="J1159" s="475" t="s">
        <v>96</v>
      </c>
      <c r="K1159" s="1408"/>
      <c r="L1159" s="1408"/>
      <c r="M1159" s="1408" t="s">
        <v>68</v>
      </c>
      <c r="N1159" s="1414"/>
      <c r="O1159" s="1408" t="s">
        <v>4495</v>
      </c>
      <c r="P1159" s="1408" t="s">
        <v>7244</v>
      </c>
      <c r="Q1159" s="1408" t="s">
        <v>7245</v>
      </c>
      <c r="R1159" s="475" t="str">
        <f>_xlfn.XLOOKUP(PV_DATA[[#This Row],[New Ark SKU]],Table9[New Ark SKU],Table9[Connector],,0)</f>
        <v>EVO2A</v>
      </c>
      <c r="S1159" s="1399" t="str">
        <f>_xlfn.XLOOKUP(PV_DATA[[#This Row],[New Ark SKU]],Table9[New Ark SKU],Table9[Cable],,0)</f>
        <v>±1600mm</v>
      </c>
      <c r="T1159" s="1415">
        <v>650</v>
      </c>
      <c r="U1159" s="1423">
        <f>720*8</f>
        <v>5760</v>
      </c>
      <c r="V1159" s="1416">
        <f>PV_DATA[[#This Row],[QUANTITY]]*PV_DATA[[#This Row],[WATT]]/1000000</f>
        <v>3.7440000000000002</v>
      </c>
      <c r="W1159" s="1424">
        <f>PV_DATA[[#This Row],[QUANTITY]]/PV_DATA[[#This Row],[Qty/Pallet]]</f>
        <v>160</v>
      </c>
      <c r="X1159" s="1417">
        <f>PV_DATA[[#This Row],[QUANTITY]]/PV_DATA[[#This Row],[Qty/CT]]</f>
        <v>8</v>
      </c>
      <c r="Y1159" s="475" t="s">
        <v>4385</v>
      </c>
      <c r="Z1159" s="1425" t="str">
        <f>IF(AN1159&lt;&gt;"","COMPLETED",IF(AK1159&lt;&gt;"","IN-TRANSIT",""))</f>
        <v>IN-TRANSIT</v>
      </c>
      <c r="AA1159" s="1426" t="s">
        <v>5862</v>
      </c>
      <c r="AB1159" s="1418">
        <v>46308</v>
      </c>
      <c r="AC1159" s="1419">
        <f>IF(PV_DATA[[#This Row],[Pick-Up Date]]&lt;&gt;"",_xlfn.ISOWEEKNUM(PV_DATA[[#This Row],[Pick-Up Date]]),"")</f>
        <v>42</v>
      </c>
      <c r="AD1159" s="1408" t="s">
        <v>7246</v>
      </c>
      <c r="AE1159" s="1415"/>
      <c r="AF1159" s="475" t="s">
        <v>122</v>
      </c>
      <c r="AG1159" s="1408" t="s">
        <v>123</v>
      </c>
      <c r="AH1159" s="1424" t="s">
        <v>105</v>
      </c>
      <c r="AI1159" s="1404">
        <v>46314</v>
      </c>
      <c r="AJ1159" s="1404">
        <f>IFERROR(VLOOKUP(AT1159, Vessel!A:D, 4, FALSE), "")</f>
        <v>46314.635416666664</v>
      </c>
      <c r="AK1159" s="1404">
        <f>IFERROR(IF(VLOOKUP(AT1159,Vessel!A:F,5,FALSE)=0,"",VLOOKUP(AT1159,Vessel!A:F,5,FALSE)),"")</f>
        <v>46314.646874999999</v>
      </c>
      <c r="AL1159" s="1404">
        <v>46351</v>
      </c>
      <c r="AM1159" s="1418">
        <f>IFERROR(VLOOKUP(AT1159, Vessel!A:H, 8, FALSE), "")</f>
        <v>46350.333333333336</v>
      </c>
      <c r="AN1159" s="1418" t="str">
        <f>IFERROR(IF(VLOOKUP(AT1159,Vessel!A:I,9,FALSE)=0,"",VLOOKUP(AT1159,Vessel!A:I,9,FALSE)),"")</f>
        <v/>
      </c>
      <c r="AO1159" s="1408"/>
      <c r="AP1159" s="1408" t="s">
        <v>7197</v>
      </c>
      <c r="AQ1159" s="1420" t="s">
        <v>80</v>
      </c>
      <c r="AR1159" s="1408" t="s">
        <v>7247</v>
      </c>
      <c r="AS1159" s="1408" t="s">
        <v>7248</v>
      </c>
      <c r="AT1159" s="1408" t="s">
        <v>7248</v>
      </c>
      <c r="AU1159" s="1408"/>
      <c r="AV1159" s="1408"/>
      <c r="AW1159" s="1418" cm="1">
        <f t="array" ref="AW115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46350.333333333336</v>
      </c>
      <c r="AX1159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59" s="1418" t="str">
        <f>IF(ISERROR(PV_DATA[[#This Row],[New Ark PO status]]),"",_xlfn.XLOOKUP(PV_DATA[[#This Row],[SPTN-PVHK New Ark PO'#]],New_Ark_Data[Purchase order Number],New_Ark_Data[Estimated time of arrival],"",0))</f>
        <v/>
      </c>
      <c r="AZ1159" s="1415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59" s="1418">
        <f>IFERROR(PV_DATA[[#This Row],[ODP ETA Port]]+PV_DATA[[#This Row],[Customs/Leg3 Assumption]],"n/a")</f>
        <v>46357.333333333336</v>
      </c>
      <c r="BB1159" s="1415">
        <f>YEAR(PV_DATA[[#This Row],[ETA for New Ark update]])</f>
        <v>2026</v>
      </c>
      <c r="BC1159" s="1408">
        <f>MONTH(PV_DATA[[#This Row],[ETA for New Ark update]])</f>
        <v>12</v>
      </c>
      <c r="BD1159" s="1408">
        <f>IFERROR(_xlfn.ISOWEEKNUM(PV_DATA[[#This Row],[ETA for New Ark update]]),0)</f>
        <v>49</v>
      </c>
      <c r="BE1159" s="475">
        <f>_xlfn.XLOOKUP(PV_DATA[[#This Row],[New Ark SKU]],Table9[New Ark SKU],Table9[Total PCS per Pallet],,0)</f>
        <v>36</v>
      </c>
      <c r="BF1159" s="475">
        <f>_xlfn.XLOOKUP(PV_DATA[[#This Row],[New Ark SKU]],Table9[New Ark SKU],Table9[Total PCS per 40HQ Container],,0)</f>
        <v>720</v>
      </c>
      <c r="BG1159" s="475" t="str">
        <f>_xlfn.XLOOKUP(PV_DATA[[#This Row],[New Ark SKU]],Table9[New Ark SKU],Table9[Back Glass],,0)</f>
        <v>Redirection Film</v>
      </c>
      <c r="BH1159" s="1421" t="str">
        <f>_xlfn.XLOOKUP(PV_DATA[[#This Row],[PORT DESTINATION]],Table12[PORT DESTINATION],Table12[Cosco Line],,0)</f>
        <v>AEU</v>
      </c>
      <c r="BJ1159" s="1427"/>
    </row>
    <row r="1160" spans="1:62" s="475" customFormat="1" hidden="1">
      <c r="A1160" s="1422" t="s">
        <v>7249</v>
      </c>
      <c r="B1160" s="1412" t="s">
        <v>1757</v>
      </c>
      <c r="C1160" s="1412" t="str">
        <f>IFERROR(LEFT(PV_DATA[[#This Row],[TCL REFERENCE]],FIND(".",PV_DATA[[#This Row],[TCL REFERENCE]],1)-1),"Main Line")</f>
        <v>26Oct009</v>
      </c>
      <c r="D1160" s="1412" t="s">
        <v>63</v>
      </c>
      <c r="E1160" s="721" t="s">
        <v>64</v>
      </c>
      <c r="F1160" s="721" t="str" cm="1">
        <f t="array" ref="F116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60" s="1412" t="s">
        <v>402</v>
      </c>
      <c r="H1160" s="721" t="s">
        <v>67</v>
      </c>
      <c r="I1160" s="1412" t="s">
        <v>882</v>
      </c>
      <c r="J1160" s="475" t="s">
        <v>96</v>
      </c>
      <c r="K1160" s="1408"/>
      <c r="L1160" s="1408"/>
      <c r="M1160" s="475" t="s">
        <v>68</v>
      </c>
      <c r="N1160" s="1414"/>
      <c r="O1160" s="1408" t="s">
        <v>284</v>
      </c>
      <c r="P1160" s="1408" t="s">
        <v>5860</v>
      </c>
      <c r="Q1160" s="1408" t="s">
        <v>5861</v>
      </c>
      <c r="R1160" s="475" t="str">
        <f>_xlfn.XLOOKUP(PV_DATA[[#This Row],[New Ark SKU]],Table9[New Ark SKU],Table9[Connector],,0)</f>
        <v>EVO2A</v>
      </c>
      <c r="S1160" s="1399" t="str">
        <f>_xlfn.XLOOKUP(PV_DATA[[#This Row],[New Ark SKU]],Table9[New Ark SKU],Table9[Cable],,0)</f>
        <v>±1200mm</v>
      </c>
      <c r="T1160" s="1415">
        <v>485</v>
      </c>
      <c r="U1160" s="1423">
        <f>936*5</f>
        <v>4680</v>
      </c>
      <c r="V1160" s="1416">
        <f>PV_DATA[[#This Row],[QUANTITY]]*PV_DATA[[#This Row],[WATT]]/1000000</f>
        <v>2.2698</v>
      </c>
      <c r="W1160" s="1424">
        <f>PV_DATA[[#This Row],[QUANTITY]]/PV_DATA[[#This Row],[Qty/Pallet]]</f>
        <v>130</v>
      </c>
      <c r="X1160" s="1417">
        <f>PV_DATA[[#This Row],[QUANTITY]]/PV_DATA[[#This Row],[Qty/CT]]</f>
        <v>5</v>
      </c>
      <c r="Y1160" s="475" t="s">
        <v>4385</v>
      </c>
      <c r="Z1160" s="1425" t="str">
        <f>IF(AN1160&lt;&gt;"","COMPLETED",IF(AK1160&lt;&gt;"","IN-TRANSIT",""))</f>
        <v>IN-TRANSIT</v>
      </c>
      <c r="AA1160" s="1426">
        <v>46314</v>
      </c>
      <c r="AB1160" s="1418">
        <v>46313</v>
      </c>
      <c r="AC1160" s="1419">
        <f>IF(PV_DATA[[#This Row],[Pick-Up Date]]&lt;&gt;"",_xlfn.ISOWEEKNUM(PV_DATA[[#This Row],[Pick-Up Date]]),"")</f>
        <v>42</v>
      </c>
      <c r="AD1160" s="1408" t="s">
        <v>7250</v>
      </c>
      <c r="AE1160" s="1415"/>
      <c r="AF1160" s="475" t="s">
        <v>122</v>
      </c>
      <c r="AG1160" s="475" t="s">
        <v>123</v>
      </c>
      <c r="AH1160" s="475" t="s">
        <v>105</v>
      </c>
      <c r="AI1160" s="1418">
        <v>46318</v>
      </c>
      <c r="AJ1160" s="1404">
        <f>IFERROR(VLOOKUP(AT1160, Vessel!A:D, 4, FALSE), "")</f>
        <v>46316.875</v>
      </c>
      <c r="AK1160" s="1404">
        <f>IFERROR(IF(VLOOKUP(AT1160,Vessel!A:F,5,FALSE)=0,"",VLOOKUP(AT1160,Vessel!A:F,5,FALSE)),"")</f>
        <v>46316.812083333331</v>
      </c>
      <c r="AL1160" s="1418">
        <v>46354</v>
      </c>
      <c r="AM1160" s="1418">
        <f>IFERROR(VLOOKUP(AT1160, Vessel!A:H, 8, FALSE), "")</f>
        <v>46359.875</v>
      </c>
      <c r="AN1160" s="1418" t="str">
        <f>IFERROR(IF(VLOOKUP(AT1160,Vessel!A:I,9,FALSE)=0,"",VLOOKUP(AT1160,Vessel!A:I,9,FALSE)),"")</f>
        <v/>
      </c>
      <c r="AO1160" s="1408"/>
      <c r="AP1160" s="1408" t="s">
        <v>7251</v>
      </c>
      <c r="AQ1160" s="1420" t="s">
        <v>80</v>
      </c>
      <c r="AR1160" s="1408" t="s">
        <v>7252</v>
      </c>
      <c r="AS1160" s="1408" t="s">
        <v>7253</v>
      </c>
      <c r="AT1160" s="1408" t="s">
        <v>7253</v>
      </c>
      <c r="AU1160" s="475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43.06291666666948</v>
      </c>
      <c r="AV1160" s="1408"/>
      <c r="AW1160" s="1418" cm="1">
        <f t="array" ref="AW116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46359.875</v>
      </c>
      <c r="AX1160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60" s="1418" t="str">
        <f>IF(ISERROR(PV_DATA[[#This Row],[New Ark PO status]]),"",_xlfn.XLOOKUP(PV_DATA[[#This Row],[SPTN-PVHK New Ark PO'#]],New_Ark_Data[Purchase order Number],New_Ark_Data[Estimated time of arrival],"",0))</f>
        <v/>
      </c>
      <c r="AZ1160" s="1415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60" s="1418">
        <f>IFERROR(PV_DATA[[#This Row],[ODP ETA Port]]+PV_DATA[[#This Row],[Customs/Leg3 Assumption]],"n/a")</f>
        <v>46366.875</v>
      </c>
      <c r="BB1160" s="1415">
        <f>YEAR(PV_DATA[[#This Row],[ETA for New Ark update]])</f>
        <v>2026</v>
      </c>
      <c r="BC1160" s="1408">
        <f>MONTH(PV_DATA[[#This Row],[ETA for New Ark update]])</f>
        <v>12</v>
      </c>
      <c r="BD1160" s="1408">
        <f>IFERROR(_xlfn.ISOWEEKNUM(PV_DATA[[#This Row],[ETA for New Ark update]]),0)</f>
        <v>50</v>
      </c>
      <c r="BE1160" s="475">
        <f>_xlfn.XLOOKUP(PV_DATA[[#This Row],[New Ark SKU]],Table9[New Ark SKU],Table9[Total PCS per Pallet],,0)</f>
        <v>36</v>
      </c>
      <c r="BF1160" s="475">
        <f>_xlfn.XLOOKUP(PV_DATA[[#This Row],[New Ark SKU]],Table9[New Ark SKU],Table9[Total PCS per 40HQ Container],,0)</f>
        <v>936</v>
      </c>
      <c r="BG1160" s="475" t="str">
        <f>_xlfn.XLOOKUP(PV_DATA[[#This Row],[New Ark SKU]],Table9[New Ark SKU],Table9[Back Glass],,0)</f>
        <v>Black glazing</v>
      </c>
      <c r="BH1160" s="1421" t="str">
        <f>_xlfn.XLOOKUP(PV_DATA[[#This Row],[PORT DESTINATION]],Table12[PORT DESTINATION],Table12[Cosco Line],,0)</f>
        <v>AEU</v>
      </c>
      <c r="BJ1160" s="1427"/>
    </row>
    <row r="1161" spans="1:62" s="475" customFormat="1" ht="10.5" hidden="1">
      <c r="A1161" s="1429" t="s">
        <v>7254</v>
      </c>
      <c r="B1161" s="721" t="s">
        <v>111</v>
      </c>
      <c r="C1161" s="721" t="str">
        <f>IFERROR(LEFT(PV_DATA[[#This Row],[TCL REFERENCE]],FIND(".",PV_DATA[[#This Row],[TCL REFERENCE]],1)-1),"Main Line")</f>
        <v>26Aug018</v>
      </c>
      <c r="D1161" s="721" t="s">
        <v>63</v>
      </c>
      <c r="E1161" s="721" t="s">
        <v>64</v>
      </c>
      <c r="F1161" s="721" t="str" cm="1">
        <f t="array" ref="F116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161" s="721" t="s">
        <v>402</v>
      </c>
      <c r="H1161" s="721" t="s">
        <v>311</v>
      </c>
      <c r="I1161" s="721" t="s">
        <v>689</v>
      </c>
      <c r="J1161" s="475" t="s">
        <v>96</v>
      </c>
      <c r="N1161" s="476">
        <v>46305</v>
      </c>
      <c r="O1161" s="475" t="s">
        <v>170</v>
      </c>
      <c r="P1161" s="475" t="s">
        <v>1977</v>
      </c>
      <c r="Q1161" s="475" t="s">
        <v>1978</v>
      </c>
      <c r="R1161" s="475" t="str">
        <f>_xlfn.XLOOKUP(PV_DATA[[#This Row],[New Ark SKU]],Table9[New Ark SKU],Table9[Connector],,0)</f>
        <v>EVO2A</v>
      </c>
      <c r="S1161" s="1399" t="str">
        <f>_xlfn.XLOOKUP(PV_DATA[[#This Row],[New Ark SKU]],Table9[New Ark SKU],Table9[Cable],,0)</f>
        <v>±1400mm</v>
      </c>
      <c r="T1161" s="1399">
        <v>560</v>
      </c>
      <c r="U1161" s="1068">
        <f>660*10</f>
        <v>6600</v>
      </c>
      <c r="V1161" s="1400">
        <f>PV_DATA[[#This Row],[QUANTITY]]*PV_DATA[[#This Row],[WATT]]/1000000</f>
        <v>3.6960000000000002</v>
      </c>
      <c r="W1161" s="1401">
        <f>PV_DATA[[#This Row],[QUANTITY]]/PV_DATA[[#This Row],[Qty/Pallet]]</f>
        <v>200</v>
      </c>
      <c r="X1161" s="1402">
        <f>PV_DATA[[#This Row],[QUANTITY]]/PV_DATA[[#This Row],[Qty/CT]]</f>
        <v>10</v>
      </c>
      <c r="Y1161" s="475" t="s">
        <v>4386</v>
      </c>
      <c r="AA1161" s="1403">
        <v>46310</v>
      </c>
      <c r="AB1161" s="1404">
        <v>46312</v>
      </c>
      <c r="AC1161" s="1405"/>
      <c r="AD1161" s="475" t="s">
        <v>7255</v>
      </c>
      <c r="AF1161" s="475" t="s">
        <v>122</v>
      </c>
      <c r="AG1161" s="475" t="s">
        <v>123</v>
      </c>
      <c r="AH1161" s="475" t="s">
        <v>314</v>
      </c>
      <c r="AI1161" s="1404">
        <v>46318</v>
      </c>
      <c r="AJ1161" s="1404">
        <f>IFERROR(VLOOKUP(AT1161, Vessel!A:D, 4, FALSE), "")</f>
        <v>46323.1875</v>
      </c>
      <c r="AK1161" s="1404">
        <f>IFERROR(IF(VLOOKUP(AT1161,Vessel!A:F,5,FALSE)=0,"",VLOOKUP(AT1161,Vessel!A:F,5,FALSE)),"")</f>
        <v>46323.220289351855</v>
      </c>
      <c r="AL1161" s="1404">
        <v>46365</v>
      </c>
      <c r="AM1161" s="1418">
        <f>IFERROR(VLOOKUP(AT1161, Vessel!A:H, 8, FALSE), "")</f>
        <v>46365.25</v>
      </c>
      <c r="AN1161" s="1418" t="str">
        <f>IFERROR(IF(VLOOKUP(AT1161,Vessel!A:I,9,FALSE)=0,"",VLOOKUP(AT1161,Vessel!A:I,9,FALSE)),"")</f>
        <v/>
      </c>
      <c r="AP1161" s="475" t="s">
        <v>7256</v>
      </c>
      <c r="AQ1161" s="475" t="s">
        <v>80</v>
      </c>
      <c r="AR1161" s="1408" t="s">
        <v>7257</v>
      </c>
      <c r="AS1161" s="475" t="s">
        <v>7258</v>
      </c>
      <c r="AT1161" s="475" t="s">
        <v>7258</v>
      </c>
      <c r="AU1161" s="1408"/>
      <c r="AV1161" s="1404"/>
      <c r="AW1161" s="1404" cm="1">
        <f t="array" ref="AW116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46365.25</v>
      </c>
      <c r="AX1161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61" s="1404" t="str">
        <f>IF(ISERROR(PV_DATA[[#This Row],[New Ark PO status]]),"",_xlfn.XLOOKUP(PV_DATA[[#This Row],[SPTN-PVHK New Ark PO'#]],New_Ark_Data[Purchase order Number],New_Ark_Data[Estimated time of arrival],"",0))</f>
        <v/>
      </c>
      <c r="AZ1161" s="1399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161" s="1404">
        <f>IFERROR(PV_DATA[[#This Row],[ODP ETA Port]]+PV_DATA[[#This Row],[Customs/Leg3 Assumption]],"n/a")</f>
        <v>46375.25</v>
      </c>
      <c r="BB1161" s="1399">
        <f>YEAR(PV_DATA[[#This Row],[ETA for New Ark update]])</f>
        <v>2026</v>
      </c>
      <c r="BC1161" s="475">
        <f>MONTH(PV_DATA[[#This Row],[ETA for New Ark update]])</f>
        <v>12</v>
      </c>
      <c r="BD1161" s="475">
        <f>IFERROR(_xlfn.ISOWEEKNUM(PV_DATA[[#This Row],[ETA for New Ark update]]),0)</f>
        <v>51</v>
      </c>
      <c r="BE1161" s="475">
        <f>_xlfn.XLOOKUP(PV_DATA[[#This Row],[New Ark SKU]],Table9[New Ark SKU],Table9[Total PCS per Pallet],,0)</f>
        <v>33</v>
      </c>
      <c r="BF1161" s="475">
        <f>_xlfn.XLOOKUP(PV_DATA[[#This Row],[New Ark SKU]],Table9[New Ark SKU],Table9[Total PCS per 40HQ Container],,0)</f>
        <v>660</v>
      </c>
      <c r="BG1161" s="475" t="str">
        <f>_xlfn.XLOOKUP(PV_DATA[[#This Row],[New Ark SKU]],Table9[New Ark SKU],Table9[Back Glass],,0)</f>
        <v>White glazing</v>
      </c>
      <c r="BH1161" s="475" t="str">
        <f>_xlfn.XLOOKUP(PV_DATA[[#This Row],[PORT DESTINATION]],Table12[PORT DESTINATION],Table12[Cosco Line],,0)</f>
        <v>AEM</v>
      </c>
    </row>
    <row r="1162" spans="1:62" s="475" customFormat="1" hidden="1">
      <c r="A1162" s="1422" t="s">
        <v>7259</v>
      </c>
      <c r="B1162" s="1412" t="s">
        <v>1757</v>
      </c>
      <c r="C1162" s="1412" t="str">
        <f>IFERROR(LEFT(PV_DATA[[#This Row],[TCL REFERENCE]],FIND(".",PV_DATA[[#This Row],[TCL REFERENCE]],1)-1),"Main Line")</f>
        <v>26Oct007</v>
      </c>
      <c r="D1162" s="1412" t="s">
        <v>63</v>
      </c>
      <c r="E1162" s="721" t="s">
        <v>64</v>
      </c>
      <c r="F1162" s="721" t="str" cm="1">
        <f t="array" ref="F116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162" s="1412" t="s">
        <v>402</v>
      </c>
      <c r="H1162" s="721" t="s">
        <v>115</v>
      </c>
      <c r="I1162" s="721" t="s">
        <v>1395</v>
      </c>
      <c r="J1162" s="475" t="s">
        <v>96</v>
      </c>
      <c r="K1162" s="1408"/>
      <c r="L1162" s="1408"/>
      <c r="M1162" s="475" t="s">
        <v>68</v>
      </c>
      <c r="N1162" s="1414"/>
      <c r="O1162" s="1408" t="s">
        <v>284</v>
      </c>
      <c r="P1162" s="1408" t="s">
        <v>7223</v>
      </c>
      <c r="Q1162" s="1408" t="s">
        <v>7224</v>
      </c>
      <c r="R1162" s="475" t="str">
        <f>_xlfn.XLOOKUP(PV_DATA[[#This Row],[New Ark SKU]],Table9[New Ark SKU],Table9[Connector],,0)</f>
        <v>EVO2A</v>
      </c>
      <c r="S1162" s="1399" t="str">
        <f>_xlfn.XLOOKUP(PV_DATA[[#This Row],[New Ark SKU]],Table9[New Ark SKU],Table9[Cable],,0)</f>
        <v>±1200mm</v>
      </c>
      <c r="T1162" s="1415">
        <v>490</v>
      </c>
      <c r="U1162" s="1423">
        <f>936*1</f>
        <v>936</v>
      </c>
      <c r="V1162" s="1416">
        <f>PV_DATA[[#This Row],[QUANTITY]]*PV_DATA[[#This Row],[WATT]]/1000000</f>
        <v>0.45863999999999999</v>
      </c>
      <c r="W1162" s="1424">
        <f>PV_DATA[[#This Row],[QUANTITY]]/PV_DATA[[#This Row],[Qty/Pallet]]</f>
        <v>26</v>
      </c>
      <c r="X1162" s="1417">
        <f>PV_DATA[[#This Row],[QUANTITY]]/PV_DATA[[#This Row],[Qty/CT]]</f>
        <v>1</v>
      </c>
      <c r="Y1162" s="475" t="s">
        <v>4384</v>
      </c>
      <c r="Z1162" s="1425" t="str">
        <f t="shared" ref="Z1162" si="26">IF(AN1162&lt;&gt;"","COMPLETED",IF(AK1162&lt;&gt;"","IN-TRANSIT",""))</f>
        <v>IN-TRANSIT</v>
      </c>
      <c r="AA1162" s="1408" t="s">
        <v>7260</v>
      </c>
      <c r="AB1162" s="1418">
        <v>46312</v>
      </c>
      <c r="AC1162" s="1419">
        <f>IF(PV_DATA[[#This Row],[Pick-Up Date]]&lt;&gt;"",_xlfn.ISOWEEKNUM(PV_DATA[[#This Row],[Pick-Up Date]]),"")</f>
        <v>42</v>
      </c>
      <c r="AD1162" s="1408" t="s">
        <v>7261</v>
      </c>
      <c r="AE1162" s="1415"/>
      <c r="AF1162" s="475" t="s">
        <v>122</v>
      </c>
      <c r="AG1162" s="475" t="s">
        <v>123</v>
      </c>
      <c r="AH1162" s="475" t="s">
        <v>124</v>
      </c>
      <c r="AI1162" s="1418">
        <v>46315</v>
      </c>
      <c r="AJ1162" s="1404">
        <f>IFERROR(VLOOKUP(AT1162, Vessel!A:D, 4, FALSE), "")</f>
        <v>46318.25</v>
      </c>
      <c r="AK1162" s="1404">
        <f>IFERROR(IF(VLOOKUP(AT1162,Vessel!A:F,5,FALSE)=0,"",VLOOKUP(AT1162,Vessel!A:F,5,FALSE)),"")</f>
        <v>46318.098379629628</v>
      </c>
      <c r="AL1162" s="1418">
        <v>46352</v>
      </c>
      <c r="AM1162" s="1418">
        <f>IFERROR(VLOOKUP(AT1162, Vessel!A:H, 8, FALSE), "")</f>
        <v>46352.833333333336</v>
      </c>
      <c r="AN1162" s="1418" t="str">
        <f>IFERROR(IF(VLOOKUP(AT1162,Vessel!A:I,9,FALSE)=0,"",VLOOKUP(AT1162,Vessel!A:I,9,FALSE)),"")</f>
        <v/>
      </c>
      <c r="AO1162" s="1408"/>
      <c r="AP1162" s="1408" t="s">
        <v>7262</v>
      </c>
      <c r="AQ1162" s="1420" t="s">
        <v>80</v>
      </c>
      <c r="AR1162" s="475" t="s">
        <v>7263</v>
      </c>
      <c r="AS1162" s="1408" t="s">
        <v>7264</v>
      </c>
      <c r="AT1162" s="1408" t="s">
        <v>7264</v>
      </c>
      <c r="AU1162" s="475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34.734953703708015</v>
      </c>
      <c r="AV1162" s="1408"/>
      <c r="AW1162" s="1418" cm="1">
        <f t="array" ref="AW116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46352.833333333336</v>
      </c>
      <c r="AX1162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62" s="1418" t="str">
        <f>IF(ISERROR(PV_DATA[[#This Row],[New Ark PO status]]),"",_xlfn.XLOOKUP(PV_DATA[[#This Row],[SPTN-PVHK New Ark PO'#]],New_Ark_Data[Purchase order Number],New_Ark_Data[Estimated time of arrival],"",0))</f>
        <v/>
      </c>
      <c r="AZ1162" s="1415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162" s="1418">
        <f>IFERROR(PV_DATA[[#This Row],[ODP ETA Port]]+PV_DATA[[#This Row],[Customs/Leg3 Assumption]],"n/a")</f>
        <v>46361.833333333336</v>
      </c>
      <c r="BB1162" s="1415">
        <f>YEAR(PV_DATA[[#This Row],[ETA for New Ark update]])</f>
        <v>2026</v>
      </c>
      <c r="BC1162" s="1408">
        <f>MONTH(PV_DATA[[#This Row],[ETA for New Ark update]])</f>
        <v>12</v>
      </c>
      <c r="BD1162" s="1408">
        <f>IFERROR(_xlfn.ISOWEEKNUM(PV_DATA[[#This Row],[ETA for New Ark update]]),0)</f>
        <v>49</v>
      </c>
      <c r="BE1162" s="475">
        <f>_xlfn.XLOOKUP(PV_DATA[[#This Row],[New Ark SKU]],Table9[New Ark SKU],Table9[Total PCS per Pallet],,0)</f>
        <v>36</v>
      </c>
      <c r="BF1162" s="475">
        <f>_xlfn.XLOOKUP(PV_DATA[[#This Row],[New Ark SKU]],Table9[New Ark SKU],Table9[Total PCS per 40HQ Container],,0)</f>
        <v>936</v>
      </c>
      <c r="BG1162" s="475" t="str">
        <f>_xlfn.XLOOKUP(PV_DATA[[#This Row],[New Ark SKU]],Table9[New Ark SKU],Table9[Back Glass],,0)</f>
        <v>Black glazing</v>
      </c>
      <c r="BH1162" s="1421" t="str">
        <f>_xlfn.XLOOKUP(PV_DATA[[#This Row],[PORT DESTINATION]],Table12[PORT DESTINATION],Table12[Cosco Line],,0)</f>
        <v>AEM</v>
      </c>
      <c r="BJ1162" s="1427"/>
    </row>
    <row r="1163" spans="1:62" s="475" customFormat="1" hidden="1">
      <c r="A1163" s="1422" t="s">
        <v>7265</v>
      </c>
      <c r="B1163" s="721" t="s">
        <v>111</v>
      </c>
      <c r="C1163" s="721" t="str">
        <f>IFERROR(LEFT(PV_DATA[[#This Row],[TCL REFERENCE]],FIND(".",PV_DATA[[#This Row],[TCL REFERENCE]],1)-1),"Main Line")</f>
        <v>26Oct014</v>
      </c>
      <c r="D1163" s="1412" t="s">
        <v>63</v>
      </c>
      <c r="E1163" s="721" t="s">
        <v>64</v>
      </c>
      <c r="F1163" s="721" t="str" cm="1">
        <f t="array" ref="F116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63" s="1412" t="s">
        <v>402</v>
      </c>
      <c r="H1163" s="1412" t="s">
        <v>67</v>
      </c>
      <c r="I1163" s="475" t="s">
        <v>689</v>
      </c>
      <c r="J1163" s="475" t="s">
        <v>96</v>
      </c>
      <c r="M1163" s="1408" t="s">
        <v>68</v>
      </c>
      <c r="N1163" s="1414">
        <v>46292</v>
      </c>
      <c r="O1163" s="475" t="s">
        <v>5388</v>
      </c>
      <c r="P1163" s="475" t="s">
        <v>7266</v>
      </c>
      <c r="Q1163" s="475" t="s">
        <v>7267</v>
      </c>
      <c r="R1163" s="475" t="str">
        <f>_xlfn.XLOOKUP(PV_DATA[[#This Row],[New Ark SKU]],Table9[New Ark SKU],Table9[Connector],,0)</f>
        <v>EVO2A</v>
      </c>
      <c r="S1163" s="1399" t="str">
        <f>_xlfn.XLOOKUP(PV_DATA[[#This Row],[New Ark SKU]],Table9[New Ark SKU],Table9[Cable],,0)</f>
        <v>±1200mm</v>
      </c>
      <c r="T1163" s="1399">
        <v>480</v>
      </c>
      <c r="U1163" s="1068">
        <f>936*4</f>
        <v>3744</v>
      </c>
      <c r="V1163" s="1400">
        <f>PV_DATA[[#This Row],[QUANTITY]]*PV_DATA[[#This Row],[WATT]]/1000000</f>
        <v>1.7971200000000001</v>
      </c>
      <c r="W1163" s="1401">
        <f>PV_DATA[[#This Row],[QUANTITY]]/PV_DATA[[#This Row],[Qty/Pallet]]</f>
        <v>104</v>
      </c>
      <c r="X1163" s="1417">
        <f>PV_DATA[[#This Row],[QUANTITY]]/PV_DATA[[#This Row],[Qty/CT]]</f>
        <v>4</v>
      </c>
      <c r="Y1163" s="475" t="s">
        <v>4384</v>
      </c>
      <c r="Z1163" s="1430" t="str">
        <f t="shared" ref="Z1163:Z1170" si="27">IF(AN1163&lt;&gt;"","COMPLETED",IF(AK1163&lt;&gt;"","IN-TRANSIT",""))</f>
        <v>IN-TRANSIT</v>
      </c>
      <c r="AA1163" s="475" t="s">
        <v>5862</v>
      </c>
      <c r="AB1163" s="1404">
        <v>46311</v>
      </c>
      <c r="AC1163" s="1405">
        <f>IF(PV_DATA[[#This Row],[Pick-Up Date]]&lt;&gt;"",_xlfn.ISOWEEKNUM(PV_DATA[[#This Row],[Pick-Up Date]]),"")</f>
        <v>42</v>
      </c>
      <c r="AD1163" s="475" t="s">
        <v>7268</v>
      </c>
      <c r="AE1163" s="1399"/>
      <c r="AF1163" s="475" t="s">
        <v>122</v>
      </c>
      <c r="AG1163" s="475" t="s">
        <v>123</v>
      </c>
      <c r="AH1163" s="475" t="s">
        <v>78</v>
      </c>
      <c r="AI1163" s="1404">
        <v>46315</v>
      </c>
      <c r="AJ1163" s="1404">
        <f>IFERROR(VLOOKUP(AT1163, Vessel!A:D, 4, FALSE), "")</f>
        <v>46318.25</v>
      </c>
      <c r="AK1163" s="1404">
        <f>IFERROR(IF(VLOOKUP(AT1163,Vessel!A:F,5,FALSE)=0,"",VLOOKUP(AT1163,Vessel!A:F,5,FALSE)),"")</f>
        <v>46318.098379629628</v>
      </c>
      <c r="AL1163" s="1404">
        <v>46358</v>
      </c>
      <c r="AM1163" s="1418">
        <f>IFERROR(VLOOKUP(AT1163, Vessel!A:H, 8, FALSE), "")</f>
        <v>46358.25</v>
      </c>
      <c r="AN1163" s="1418" t="str">
        <f>IFERROR(IF(VLOOKUP(AT1163,Vessel!A:I,9,FALSE)=0,"",VLOOKUP(AT1163,Vessel!A:I,9,FALSE)),"")</f>
        <v/>
      </c>
      <c r="AP1163" s="475" t="s">
        <v>7262</v>
      </c>
      <c r="AQ1163" s="1407" t="s">
        <v>80</v>
      </c>
      <c r="AR1163" s="475" t="s">
        <v>7269</v>
      </c>
      <c r="AS1163" s="475" t="s">
        <v>7270</v>
      </c>
      <c r="AT1163" s="475" t="s">
        <v>7270</v>
      </c>
      <c r="AU1163" s="1408"/>
      <c r="AW1163" s="1404" cm="1">
        <f t="array" ref="AW116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46358.25</v>
      </c>
      <c r="AX1163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63" s="1404" t="str">
        <f>IF(ISERROR(PV_DATA[[#This Row],[New Ark PO status]]),"",_xlfn.XLOOKUP(PV_DATA[[#This Row],[SPTN-PVHK New Ark PO'#]],New_Ark_Data[Purchase order Number],New_Ark_Data[Estimated time of arrival],"",0))</f>
        <v/>
      </c>
      <c r="AZ1163" s="1399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63" s="1404">
        <f>IFERROR(PV_DATA[[#This Row],[ODP ETA Port]]+PV_DATA[[#This Row],[Customs/Leg3 Assumption]],"n/a")</f>
        <v>46366.25</v>
      </c>
      <c r="BB1163" s="1399">
        <f>YEAR(PV_DATA[[#This Row],[ETA for New Ark update]])</f>
        <v>2026</v>
      </c>
      <c r="BC1163" s="475">
        <f>MONTH(PV_DATA[[#This Row],[ETA for New Ark update]])</f>
        <v>12</v>
      </c>
      <c r="BD1163" s="475">
        <f>IFERROR(_xlfn.ISOWEEKNUM(PV_DATA[[#This Row],[ETA for New Ark update]]),0)</f>
        <v>50</v>
      </c>
      <c r="BE1163" s="475">
        <f>_xlfn.XLOOKUP(PV_DATA[[#This Row],[New Ark SKU]],Table9[New Ark SKU],Table9[Total PCS per Pallet],,0)</f>
        <v>36</v>
      </c>
      <c r="BF1163" s="475">
        <f>_xlfn.XLOOKUP(PV_DATA[[#This Row],[New Ark SKU]],Table9[New Ark SKU],Table9[Total PCS per 40HQ Container],,0)</f>
        <v>936</v>
      </c>
      <c r="BG1163" s="475" t="str">
        <f>_xlfn.XLOOKUP(PV_DATA[[#This Row],[New Ark SKU]],Table9[New Ark SKU],Table9[Back Glass],,0)</f>
        <v>White glazing</v>
      </c>
      <c r="BH1163" s="1410" t="str">
        <f>_xlfn.XLOOKUP(PV_DATA[[#This Row],[PORT DESTINATION]],Table12[PORT DESTINATION],Table12[Cosco Line],,0)</f>
        <v>AEM</v>
      </c>
      <c r="BJ1163" s="1427"/>
    </row>
    <row r="1164" spans="1:62" s="475" customFormat="1" hidden="1">
      <c r="A1164" s="1428" t="s">
        <v>7271</v>
      </c>
      <c r="B1164" s="1412" t="s">
        <v>1757</v>
      </c>
      <c r="C1164" s="1412" t="str">
        <f>IFERROR(LEFT(PV_DATA[[#This Row],[TCL REFERENCE]],FIND(".",PV_DATA[[#This Row],[TCL REFERENCE]],1)-1),"Main Line")</f>
        <v>26Oct009</v>
      </c>
      <c r="D1164" s="1412" t="s">
        <v>63</v>
      </c>
      <c r="E1164" s="721" t="s">
        <v>144</v>
      </c>
      <c r="F1164" s="721" t="str" cm="1">
        <f t="array" ref="F116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164" s="1412" t="s">
        <v>402</v>
      </c>
      <c r="H1164" s="1412" t="s">
        <v>538</v>
      </c>
      <c r="I1164" s="475" t="s">
        <v>1395</v>
      </c>
      <c r="J1164" s="475" t="s">
        <v>538</v>
      </c>
      <c r="K1164" s="475" t="s">
        <v>6234</v>
      </c>
      <c r="L1164" s="1408">
        <v>9</v>
      </c>
      <c r="M1164" s="475" t="s">
        <v>7272</v>
      </c>
      <c r="N1164" s="1414"/>
      <c r="O1164" s="1408" t="s">
        <v>284</v>
      </c>
      <c r="P1164" s="1408" t="s">
        <v>5860</v>
      </c>
      <c r="Q1164" s="1408" t="s">
        <v>5861</v>
      </c>
      <c r="R1164" s="475" t="str">
        <f>_xlfn.XLOOKUP(PV_DATA[[#This Row],[New Ark SKU]],Table9[New Ark SKU],Table9[Connector],,0)</f>
        <v>EVO2A</v>
      </c>
      <c r="S1164" s="1399" t="str">
        <f>_xlfn.XLOOKUP(PV_DATA[[#This Row],[New Ark SKU]],Table9[New Ark SKU],Table9[Cable],,0)</f>
        <v>±1200mm</v>
      </c>
      <c r="T1164" s="1415">
        <v>485</v>
      </c>
      <c r="U1164" s="1423">
        <f>936*6</f>
        <v>5616</v>
      </c>
      <c r="V1164" s="1416">
        <f>PV_DATA[[#This Row],[QUANTITY]]*PV_DATA[[#This Row],[WATT]]/1000000</f>
        <v>2.72376</v>
      </c>
      <c r="W1164" s="1424">
        <f>PV_DATA[[#This Row],[QUANTITY]]/PV_DATA[[#This Row],[Qty/Pallet]]</f>
        <v>156</v>
      </c>
      <c r="X1164" s="1417">
        <f>PV_DATA[[#This Row],[QUANTITY]]/PV_DATA[[#This Row],[Qty/CT]]</f>
        <v>6</v>
      </c>
      <c r="Y1164" s="475" t="s">
        <v>4385</v>
      </c>
      <c r="Z1164" s="1425" t="str">
        <f t="shared" si="27"/>
        <v/>
      </c>
      <c r="AA1164" s="1426">
        <v>46313</v>
      </c>
      <c r="AB1164" s="1418">
        <v>46314</v>
      </c>
      <c r="AC1164" s="1419"/>
      <c r="AD1164" s="1408" t="s">
        <v>7273</v>
      </c>
      <c r="AE1164" s="1415"/>
      <c r="AF1164" s="475" t="s">
        <v>122</v>
      </c>
      <c r="AG1164" s="475" t="s">
        <v>123</v>
      </c>
      <c r="AH1164" s="475" t="s">
        <v>456</v>
      </c>
      <c r="AI1164" s="1418">
        <v>46321</v>
      </c>
      <c r="AJ1164" s="1404">
        <f>IFERROR(VLOOKUP(AT1164, Vessel!A:D, 4, FALSE), "")</f>
        <v>46326.583333333336</v>
      </c>
      <c r="AK1164" s="1404" t="str">
        <f>IFERROR(IF(VLOOKUP(AT1164,Vessel!A:F,5,FALSE)=0,"",VLOOKUP(AT1164,Vessel!A:F,5,FALSE)),"")</f>
        <v/>
      </c>
      <c r="AL1164" s="1418">
        <v>46362</v>
      </c>
      <c r="AM1164" s="1418">
        <f>IFERROR(VLOOKUP(AT1164, Vessel!A:H, 8, FALSE), "")</f>
        <v>46370.791666666664</v>
      </c>
      <c r="AN1164" s="1418" t="str">
        <f>IFERROR(IF(VLOOKUP(AT1164,Vessel!A:I,9,FALSE)=0,"",VLOOKUP(AT1164,Vessel!A:I,9,FALSE)),"")</f>
        <v/>
      </c>
      <c r="AO1164" s="1408"/>
      <c r="AP1164" s="1408" t="s">
        <v>7274</v>
      </c>
      <c r="AQ1164" s="1420" t="s">
        <v>80</v>
      </c>
      <c r="AR1164" s="1408" t="s">
        <v>7269</v>
      </c>
      <c r="AS1164" s="1408" t="s">
        <v>7275</v>
      </c>
      <c r="AT1164" s="1408" t="s">
        <v>7275</v>
      </c>
      <c r="AU1164" s="475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44.208333333328483</v>
      </c>
      <c r="AV1164" s="1408"/>
      <c r="AW1164" s="1418" cm="1">
        <f t="array" ref="AW116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46370.791666666664</v>
      </c>
      <c r="AX1164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64" s="1418" t="str">
        <f>IF(ISERROR(PV_DATA[[#This Row],[New Ark PO status]]),"",_xlfn.XLOOKUP(PV_DATA[[#This Row],[SPTN-PVHK New Ark PO'#]],New_Ark_Data[Purchase order Number],New_Ark_Data[Estimated time of arrival],"",0))</f>
        <v/>
      </c>
      <c r="AZ1164" s="1415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164" s="1418">
        <f>IFERROR(PV_DATA[[#This Row],[ODP ETA Port]]+PV_DATA[[#This Row],[Customs/Leg3 Assumption]],"n/a")</f>
        <v>46370.791666666664</v>
      </c>
      <c r="BB1164" s="1415">
        <f>YEAR(PV_DATA[[#This Row],[ETA for New Ark update]])</f>
        <v>2026</v>
      </c>
      <c r="BC1164" s="1408">
        <f>MONTH(PV_DATA[[#This Row],[ETA for New Ark update]])</f>
        <v>12</v>
      </c>
      <c r="BD1164" s="1408">
        <f>IFERROR(_xlfn.ISOWEEKNUM(PV_DATA[[#This Row],[ETA for New Ark update]]),0)</f>
        <v>51</v>
      </c>
      <c r="BE1164" s="475">
        <f>_xlfn.XLOOKUP(PV_DATA[[#This Row],[New Ark SKU]],Table9[New Ark SKU],Table9[Total PCS per Pallet],,0)</f>
        <v>36</v>
      </c>
      <c r="BF1164" s="475">
        <f>_xlfn.XLOOKUP(PV_DATA[[#This Row],[New Ark SKU]],Table9[New Ark SKU],Table9[Total PCS per 40HQ Container],,0)</f>
        <v>936</v>
      </c>
      <c r="BG1164" s="475" t="str">
        <f>_xlfn.XLOOKUP(PV_DATA[[#This Row],[New Ark SKU]],Table9[New Ark SKU],Table9[Back Glass],,0)</f>
        <v>Black glazing</v>
      </c>
      <c r="BH1164" s="1421" t="str">
        <f>_xlfn.XLOOKUP(PV_DATA[[#This Row],[PORT DESTINATION]],Table12[PORT DESTINATION],Table12[Cosco Line],,0)</f>
        <v>AEU</v>
      </c>
      <c r="BJ1164" s="1427"/>
    </row>
    <row r="1165" spans="1:62" hidden="1">
      <c r="A1165" s="1179" t="s">
        <v>7276</v>
      </c>
      <c r="B1165" s="726" t="s">
        <v>1757</v>
      </c>
      <c r="C1165" s="726" t="str">
        <f>IFERROR(LEFT(PV_DATA[[#This Row],[TCL REFERENCE]],FIND(".",PV_DATA[[#This Row],[TCL REFERENCE]],1)-1),"Main Line")</f>
        <v>26Oct009</v>
      </c>
      <c r="D1165" s="726" t="s">
        <v>63</v>
      </c>
      <c r="E1165" s="439" t="s">
        <v>64</v>
      </c>
      <c r="F1165" s="439" t="str" cm="1">
        <f t="array" ref="F116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165" s="726" t="s">
        <v>402</v>
      </c>
      <c r="H1165" s="726" t="s">
        <v>311</v>
      </c>
      <c r="I1165" s="431" t="s">
        <v>689</v>
      </c>
      <c r="J1165" s="431" t="s">
        <v>96</v>
      </c>
      <c r="K1165" s="619"/>
      <c r="L1165" s="619"/>
      <c r="M1165" s="619" t="s">
        <v>68</v>
      </c>
      <c r="N1165" s="630"/>
      <c r="O1165" s="619" t="s">
        <v>284</v>
      </c>
      <c r="P1165" s="623" t="s">
        <v>5860</v>
      </c>
      <c r="Q1165" s="619" t="s">
        <v>5861</v>
      </c>
      <c r="R1165" s="430" t="str">
        <f>_xlfn.XLOOKUP(PV_DATA[[#This Row],[New Ark SKU]],Table9[New Ark SKU],Table9[Connector],,0)</f>
        <v>EVO2A</v>
      </c>
      <c r="S1165" s="433" t="str">
        <f>_xlfn.XLOOKUP(PV_DATA[[#This Row],[New Ark SKU]],Table9[New Ark SKU],Table9[Cable],,0)</f>
        <v>±1200mm</v>
      </c>
      <c r="T1165" s="620">
        <v>485</v>
      </c>
      <c r="U1165" s="1038">
        <f>936*2</f>
        <v>1872</v>
      </c>
      <c r="V1165" s="624">
        <f>PV_DATA[[#This Row],[QUANTITY]]*PV_DATA[[#This Row],[WATT]]/1000000</f>
        <v>0.90791999999999995</v>
      </c>
      <c r="W1165" s="625">
        <f>PV_DATA[[#This Row],[QUANTITY]]/PV_DATA[[#This Row],[Qty/Pallet]]</f>
        <v>52</v>
      </c>
      <c r="X1165" s="1022">
        <f>PV_DATA[[#This Row],[QUANTITY]]/PV_DATA[[#This Row],[Qty/CT]]</f>
        <v>2</v>
      </c>
      <c r="Y1165" s="431" t="s">
        <v>4384</v>
      </c>
      <c r="Z1165" s="1178" t="str">
        <f t="shared" si="27"/>
        <v/>
      </c>
      <c r="AA1165" s="619" t="s">
        <v>7277</v>
      </c>
      <c r="AB1165" s="626">
        <v>46317</v>
      </c>
      <c r="AC1165" s="627">
        <f>IF(PV_DATA[[#This Row],[Pick-Up Date]]&lt;&gt;"",_xlfn.ISOWEEKNUM(PV_DATA[[#This Row],[Pick-Up Date]]),"")</f>
        <v>43</v>
      </c>
      <c r="AD1165" s="619" t="s">
        <v>7278</v>
      </c>
      <c r="AE1165" s="620"/>
      <c r="AF1165" s="430" t="s">
        <v>6003</v>
      </c>
      <c r="AG1165" s="430" t="s">
        <v>6003</v>
      </c>
      <c r="AH1165" s="431" t="s">
        <v>314</v>
      </c>
      <c r="AI1165" s="626">
        <v>46319</v>
      </c>
      <c r="AJ1165" s="437">
        <f>IFERROR(VLOOKUP(AT1165, Vessel!A:D, 4, FALSE), "")</f>
        <v>46327.333333333336</v>
      </c>
      <c r="AK1165" s="437" t="str">
        <f>IFERROR(IF(VLOOKUP(AT1165,Vessel!A:F,5,FALSE)=0,"",VLOOKUP(AT1165,Vessel!A:F,5,FALSE)),"")</f>
        <v/>
      </c>
      <c r="AL1165" s="626">
        <v>46365</v>
      </c>
      <c r="AM1165" s="939">
        <f>IFERROR(VLOOKUP(AT1165, Vessel!A:H, 8, FALSE), "")</f>
        <v>46365.25</v>
      </c>
      <c r="AN1165" s="939" t="str">
        <f>IFERROR(IF(VLOOKUP(AT1165,Vessel!A:I,9,FALSE)=0,"",VLOOKUP(AT1165,Vessel!A:I,9,FALSE)),"")</f>
        <v/>
      </c>
      <c r="AO1165" s="619"/>
      <c r="AP1165" s="619" t="s">
        <v>7256</v>
      </c>
      <c r="AQ1165" s="1028" t="s">
        <v>80</v>
      </c>
      <c r="AR1165" s="619" t="s">
        <v>7279</v>
      </c>
      <c r="AS1165" s="619" t="s">
        <v>7280</v>
      </c>
      <c r="AT1165" s="619" t="s">
        <v>7280</v>
      </c>
      <c r="AU116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37.916666666664241</v>
      </c>
      <c r="AV1165" s="619"/>
      <c r="AW1165" s="626" cm="1">
        <f t="array" ref="AW116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46365.25</v>
      </c>
      <c r="AX116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65" s="626" t="str">
        <f>IF(ISERROR(PV_DATA[[#This Row],[New Ark PO status]]),"",_xlfn.XLOOKUP(PV_DATA[[#This Row],[SPTN-PVHK New Ark PO'#]],New_Ark_Data[Purchase order Number],New_Ark_Data[Estimated time of arrival],"",0))</f>
        <v/>
      </c>
      <c r="AZ1165" s="620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165" s="626">
        <f>IFERROR(PV_DATA[[#This Row],[ODP ETA Port]]+PV_DATA[[#This Row],[Customs/Leg3 Assumption]],"n/a")</f>
        <v>46375.25</v>
      </c>
      <c r="BB1165" s="620">
        <f>YEAR(PV_DATA[[#This Row],[ETA for New Ark update]])</f>
        <v>2026</v>
      </c>
      <c r="BC1165" s="619">
        <f>MONTH(PV_DATA[[#This Row],[ETA for New Ark update]])</f>
        <v>12</v>
      </c>
      <c r="BD1165" s="619">
        <f>IFERROR(_xlfn.ISOWEEKNUM(PV_DATA[[#This Row],[ETA for New Ark update]]),0)</f>
        <v>51</v>
      </c>
      <c r="BE1165" s="431">
        <f>_xlfn.XLOOKUP(PV_DATA[[#This Row],[New Ark SKU]],Table9[New Ark SKU],Table9[Total PCS per Pallet],,0)</f>
        <v>36</v>
      </c>
      <c r="BF1165" s="431">
        <f>_xlfn.XLOOKUP(PV_DATA[[#This Row],[New Ark SKU]],Table9[New Ark SKU],Table9[Total PCS per 40HQ Container],,0)</f>
        <v>936</v>
      </c>
      <c r="BG1165" s="431" t="str">
        <f>_xlfn.XLOOKUP(PV_DATA[[#This Row],[New Ark SKU]],Table9[New Ark SKU],Table9[Back Glass],,0)</f>
        <v>Black glazing</v>
      </c>
      <c r="BH1165" s="629" t="str">
        <f>_xlfn.XLOOKUP(PV_DATA[[#This Row],[PORT DESTINATION]],Table12[PORT DESTINATION],Table12[Cosco Line],,0)</f>
        <v>AEM</v>
      </c>
    </row>
    <row r="1166" spans="1:62" hidden="1">
      <c r="A1166" s="1179" t="s">
        <v>7281</v>
      </c>
      <c r="B1166" s="439" t="s">
        <v>1757</v>
      </c>
      <c r="C1166" s="439" t="s">
        <v>7282</v>
      </c>
      <c r="D1166" s="439" t="s">
        <v>63</v>
      </c>
      <c r="E1166" s="439" t="s">
        <v>64</v>
      </c>
      <c r="F1166" s="439" t="str" cm="1">
        <f t="array" ref="F116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1166" s="439" t="s">
        <v>402</v>
      </c>
      <c r="H1166" s="439" t="s">
        <v>451</v>
      </c>
      <c r="I1166" s="439" t="s">
        <v>882</v>
      </c>
      <c r="J1166" s="431" t="s">
        <v>96</v>
      </c>
      <c r="K1166" s="431"/>
      <c r="L1166" s="431"/>
      <c r="M1166" s="430" t="s">
        <v>6325</v>
      </c>
      <c r="N1166" s="630"/>
      <c r="O1166" s="619" t="s">
        <v>284</v>
      </c>
      <c r="P1166" s="623" t="s">
        <v>5860</v>
      </c>
      <c r="Q1166" s="619" t="s">
        <v>5861</v>
      </c>
      <c r="R1166" s="430" t="str">
        <f>_xlfn.XLOOKUP(PV_DATA[[#This Row],[New Ark SKU]],Table9[New Ark SKU],Table9[Connector],,0)</f>
        <v>EVO2A</v>
      </c>
      <c r="S1166" s="433" t="str">
        <f>_xlfn.XLOOKUP(PV_DATA[[#This Row],[New Ark SKU]],Table9[New Ark SKU],Table9[Cable],,0)</f>
        <v>±1200mm</v>
      </c>
      <c r="T1166" s="620">
        <v>485</v>
      </c>
      <c r="U1166" s="1038">
        <v>1872</v>
      </c>
      <c r="V1166" s="624">
        <f>PV_DATA[[#This Row],[QUANTITY]]*PV_DATA[[#This Row],[WATT]]/1000000</f>
        <v>0.90791999999999995</v>
      </c>
      <c r="W1166" s="625">
        <f>PV_DATA[[#This Row],[QUANTITY]]/PV_DATA[[#This Row],[Qty/Pallet]]</f>
        <v>52</v>
      </c>
      <c r="X1166" s="1022">
        <f>PV_DATA[[#This Row],[QUANTITY]]/PV_DATA[[#This Row],[Qty/CT]]</f>
        <v>2</v>
      </c>
      <c r="Y1166" s="431" t="s">
        <v>4384</v>
      </c>
      <c r="Z1166" s="1180" t="str">
        <f t="shared" si="27"/>
        <v>IN-TRANSIT</v>
      </c>
      <c r="AA1166" s="661">
        <v>46309</v>
      </c>
      <c r="AB1166" s="441">
        <v>46315</v>
      </c>
      <c r="AC1166" s="467">
        <f>IF(PV_DATA[[#This Row],[Pick-Up Date]]&lt;&gt;"",_xlfn.ISOWEEKNUM(PV_DATA[[#This Row],[Pick-Up Date]]),"")</f>
        <v>43</v>
      </c>
      <c r="AD1166" s="431" t="s">
        <v>7283</v>
      </c>
      <c r="AE1166" s="442"/>
      <c r="AF1166" s="430" t="s">
        <v>6003</v>
      </c>
      <c r="AG1166" s="430" t="s">
        <v>6003</v>
      </c>
      <c r="AH1166" s="431" t="s">
        <v>456</v>
      </c>
      <c r="AI1166" s="441">
        <v>46317</v>
      </c>
      <c r="AJ1166" s="437">
        <f>IFERROR(VLOOKUP(AT1166, Vessel!A:D, 4, FALSE), "")</f>
        <v>46318.541666666664</v>
      </c>
      <c r="AK1166" s="437">
        <f>IFERROR(IF(VLOOKUP(AT1166,Vessel!A:F,5,FALSE)=0,"",VLOOKUP(AT1166,Vessel!A:F,5,FALSE)),"")</f>
        <v>46318.575509259259</v>
      </c>
      <c r="AL1166" s="441">
        <v>46355</v>
      </c>
      <c r="AM1166" s="939">
        <f>IFERROR(VLOOKUP(AT1166, Vessel!A:H, 8, FALSE), "")</f>
        <v>46356.645833333336</v>
      </c>
      <c r="AN1166" s="939" t="str">
        <f>IFERROR(IF(VLOOKUP(AT1166,Vessel!A:I,9,FALSE)=0,"",VLOOKUP(AT1166,Vessel!A:I,9,FALSE)),"")</f>
        <v/>
      </c>
      <c r="AO1166" s="431"/>
      <c r="AP1166" s="619" t="s">
        <v>7226</v>
      </c>
      <c r="AQ1166" s="1028" t="s">
        <v>80</v>
      </c>
      <c r="AR1166" s="619" t="s">
        <v>7284</v>
      </c>
      <c r="AS1166" s="431" t="s">
        <v>7285</v>
      </c>
      <c r="AT1166" s="431" t="s">
        <v>7285</v>
      </c>
      <c r="AU116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38.07032407407678</v>
      </c>
      <c r="AV1166" s="431"/>
      <c r="AW1166" s="441" cm="1">
        <f t="array" ref="AW116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46356.645833333336</v>
      </c>
      <c r="AX116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66" s="441" t="str">
        <f>IF(ISERROR(PV_DATA[[#This Row],[New Ark PO status]]),"",_xlfn.XLOOKUP(PV_DATA[[#This Row],[SPTN-PVHK New Ark PO'#]],New_Ark_Data[Purchase order Number],New_Ark_Data[Estimated time of arrival],"",0))</f>
        <v/>
      </c>
      <c r="AZ116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66" s="441">
        <f>IFERROR(PV_DATA[[#This Row],[ODP ETA Port]]+PV_DATA[[#This Row],[Customs/Leg3 Assumption]],"n/a")</f>
        <v>46363.645833333336</v>
      </c>
      <c r="BB1166" s="442">
        <f>YEAR(PV_DATA[[#This Row],[ETA for New Ark update]])</f>
        <v>2026</v>
      </c>
      <c r="BC1166" s="431">
        <f>MONTH(PV_DATA[[#This Row],[ETA for New Ark update]])</f>
        <v>12</v>
      </c>
      <c r="BD1166" s="431">
        <f>IFERROR(_xlfn.ISOWEEKNUM(PV_DATA[[#This Row],[ETA for New Ark update]]),0)</f>
        <v>50</v>
      </c>
      <c r="BE1166" s="431">
        <f>_xlfn.XLOOKUP(PV_DATA[[#This Row],[New Ark SKU]],Table9[New Ark SKU],Table9[Total PCS per Pallet],,0)</f>
        <v>36</v>
      </c>
      <c r="BF1166" s="431">
        <f>_xlfn.XLOOKUP(PV_DATA[[#This Row],[New Ark SKU]],Table9[New Ark SKU],Table9[Total PCS per 40HQ Container],,0)</f>
        <v>936</v>
      </c>
      <c r="BG1166" s="431" t="str">
        <f>_xlfn.XLOOKUP(PV_DATA[[#This Row],[New Ark SKU]],Table9[New Ark SKU],Table9[Back Glass],,0)</f>
        <v>Black glazing</v>
      </c>
      <c r="BH1166" s="622" t="str">
        <f>_xlfn.XLOOKUP(PV_DATA[[#This Row],[PORT DESTINATION]],Table12[PORT DESTINATION],Table12[Cosco Line],,0)</f>
        <v>AEU</v>
      </c>
    </row>
    <row r="1167" spans="1:62" hidden="1">
      <c r="A1167" s="1179" t="s">
        <v>7286</v>
      </c>
      <c r="B1167" s="726" t="s">
        <v>1757</v>
      </c>
      <c r="C1167" s="726" t="str">
        <f>IFERROR(LEFT(PV_DATA[[#This Row],[TCL REFERENCE]],FIND(".",PV_DATA[[#This Row],[TCL REFERENCE]],1)-1),"Main Line")</f>
        <v>26Oct009</v>
      </c>
      <c r="D1167" s="726" t="s">
        <v>63</v>
      </c>
      <c r="E1167" s="439" t="s">
        <v>64</v>
      </c>
      <c r="F1167" s="439" t="str" cm="1">
        <f t="array" ref="F116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67" s="726" t="s">
        <v>402</v>
      </c>
      <c r="H1167" s="726" t="s">
        <v>67</v>
      </c>
      <c r="I1167" s="431" t="s">
        <v>689</v>
      </c>
      <c r="J1167" s="431" t="s">
        <v>96</v>
      </c>
      <c r="K1167" s="619"/>
      <c r="L1167" s="619"/>
      <c r="M1167" s="430" t="s">
        <v>6325</v>
      </c>
      <c r="N1167" s="630"/>
      <c r="O1167" s="619" t="s">
        <v>284</v>
      </c>
      <c r="P1167" s="623" t="s">
        <v>5860</v>
      </c>
      <c r="Q1167" s="619" t="s">
        <v>5861</v>
      </c>
      <c r="R1167" s="430" t="str">
        <f>_xlfn.XLOOKUP(PV_DATA[[#This Row],[New Ark SKU]],Table9[New Ark SKU],Table9[Connector],,0)</f>
        <v>EVO2A</v>
      </c>
      <c r="S1167" s="433" t="str">
        <f>_xlfn.XLOOKUP(PV_DATA[[#This Row],[New Ark SKU]],Table9[New Ark SKU],Table9[Cable],,0)</f>
        <v>±1200mm</v>
      </c>
      <c r="T1167" s="620">
        <v>485</v>
      </c>
      <c r="U1167" s="1038">
        <f>936*5</f>
        <v>4680</v>
      </c>
      <c r="V1167" s="624">
        <f>PV_DATA[[#This Row],[QUANTITY]]*PV_DATA[[#This Row],[WATT]]/1000000</f>
        <v>2.2698</v>
      </c>
      <c r="W1167" s="625">
        <f>PV_DATA[[#This Row],[QUANTITY]]/PV_DATA[[#This Row],[Qty/Pallet]]</f>
        <v>130</v>
      </c>
      <c r="X1167" s="1022">
        <f>PV_DATA[[#This Row],[QUANTITY]]/PV_DATA[[#This Row],[Qty/CT]]</f>
        <v>5</v>
      </c>
      <c r="Y1167" s="431" t="s">
        <v>4385</v>
      </c>
      <c r="Z1167" s="1178" t="str">
        <f t="shared" si="27"/>
        <v>IN-TRANSIT</v>
      </c>
      <c r="AA1167" s="855">
        <v>46313</v>
      </c>
      <c r="AB1167" s="626">
        <v>46313</v>
      </c>
      <c r="AC1167" s="627">
        <f>IF(PV_DATA[[#This Row],[Pick-Up Date]]&lt;&gt;"",_xlfn.ISOWEEKNUM(PV_DATA[[#This Row],[Pick-Up Date]]),"")</f>
        <v>42</v>
      </c>
      <c r="AD1167" s="619" t="s">
        <v>7287</v>
      </c>
      <c r="AE1167" s="620"/>
      <c r="AF1167" s="430" t="s">
        <v>6003</v>
      </c>
      <c r="AG1167" s="430" t="s">
        <v>6003</v>
      </c>
      <c r="AH1167" s="431" t="s">
        <v>105</v>
      </c>
      <c r="AI1167" s="626">
        <v>46319</v>
      </c>
      <c r="AJ1167" s="441">
        <f>IFERROR(VLOOKUP(AT1167, Vessel!A:D, 4, FALSE), "")</f>
        <v>46317.333333333336</v>
      </c>
      <c r="AK1167" s="441">
        <f>IFERROR(IF(VLOOKUP(AT1167,Vessel!A:F,5,FALSE)=0,"",VLOOKUP(AT1167,Vessel!A:F,5,FALSE)),"")</f>
        <v>46317.360601851855</v>
      </c>
      <c r="AL1167" s="626">
        <v>46351</v>
      </c>
      <c r="AM1167" s="939">
        <f>IFERROR(VLOOKUP(AT1167, Vessel!A:H, 8, FALSE), "")</f>
        <v>46350.333333333336</v>
      </c>
      <c r="AN1167" s="939" t="str">
        <f>IFERROR(IF(VLOOKUP(AT1167,Vessel!A:I,9,FALSE)=0,"",VLOOKUP(AT1167,Vessel!A:I,9,FALSE)),"")</f>
        <v/>
      </c>
      <c r="AO1167" s="619"/>
      <c r="AP1167" s="999" t="s">
        <v>7197</v>
      </c>
      <c r="AQ1167" s="1028" t="s">
        <v>80</v>
      </c>
      <c r="AR1167" s="999" t="s">
        <v>7288</v>
      </c>
      <c r="AS1167" s="619" t="s">
        <v>7289</v>
      </c>
      <c r="AT1167" s="619" t="s">
        <v>7289</v>
      </c>
      <c r="AU116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32.972731481480878</v>
      </c>
      <c r="AV1167" s="619"/>
      <c r="AW1167" s="626" cm="1">
        <f t="array" ref="AW116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46350.333333333336</v>
      </c>
      <c r="AX116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67" s="626" t="str">
        <f>IF(ISERROR(PV_DATA[[#This Row],[New Ark PO status]]),"",_xlfn.XLOOKUP(PV_DATA[[#This Row],[SPTN-PVHK New Ark PO'#]],New_Ark_Data[Purchase order Number],New_Ark_Data[Estimated time of arrival],"",0))</f>
        <v/>
      </c>
      <c r="AZ1167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67" s="626">
        <f>IFERROR(PV_DATA[[#This Row],[ODP ETA Port]]+PV_DATA[[#This Row],[Customs/Leg3 Assumption]],"n/a")</f>
        <v>46357.333333333336</v>
      </c>
      <c r="BB1167" s="620">
        <f>YEAR(PV_DATA[[#This Row],[ETA for New Ark update]])</f>
        <v>2026</v>
      </c>
      <c r="BC1167" s="619">
        <f>MONTH(PV_DATA[[#This Row],[ETA for New Ark update]])</f>
        <v>12</v>
      </c>
      <c r="BD1167" s="619">
        <f>IFERROR(_xlfn.ISOWEEKNUM(PV_DATA[[#This Row],[ETA for New Ark update]]),0)</f>
        <v>49</v>
      </c>
      <c r="BE1167" s="431">
        <f>_xlfn.XLOOKUP(PV_DATA[[#This Row],[New Ark SKU]],Table9[New Ark SKU],Table9[Total PCS per Pallet],,0)</f>
        <v>36</v>
      </c>
      <c r="BF1167" s="431">
        <f>_xlfn.XLOOKUP(PV_DATA[[#This Row],[New Ark SKU]],Table9[New Ark SKU],Table9[Total PCS per 40HQ Container],,0)</f>
        <v>936</v>
      </c>
      <c r="BG1167" s="431" t="str">
        <f>_xlfn.XLOOKUP(PV_DATA[[#This Row],[New Ark SKU]],Table9[New Ark SKU],Table9[Back Glass],,0)</f>
        <v>Black glazing</v>
      </c>
      <c r="BH1167" s="629" t="str">
        <f>_xlfn.XLOOKUP(PV_DATA[[#This Row],[PORT DESTINATION]],Table12[PORT DESTINATION],Table12[Cosco Line],,0)</f>
        <v>AEU</v>
      </c>
    </row>
    <row r="1168" spans="1:62" hidden="1">
      <c r="A1168" s="1179" t="s">
        <v>7290</v>
      </c>
      <c r="B1168" s="726" t="s">
        <v>1757</v>
      </c>
      <c r="C1168" s="726" t="str">
        <f>IFERROR(LEFT(PV_DATA[[#This Row],[TCL REFERENCE]],FIND(".",PV_DATA[[#This Row],[TCL REFERENCE]],1)-1),"Main Line")</f>
        <v>26Oct009</v>
      </c>
      <c r="D1168" s="726" t="s">
        <v>63</v>
      </c>
      <c r="E1168" s="439" t="s">
        <v>64</v>
      </c>
      <c r="F1168" s="439" t="str" cm="1">
        <f t="array" ref="F116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68" s="726" t="s">
        <v>402</v>
      </c>
      <c r="H1168" s="726" t="s">
        <v>67</v>
      </c>
      <c r="I1168" s="431" t="s">
        <v>689</v>
      </c>
      <c r="J1168" s="431" t="s">
        <v>96</v>
      </c>
      <c r="K1168" s="619"/>
      <c r="L1168" s="619"/>
      <c r="M1168" s="430" t="s">
        <v>6325</v>
      </c>
      <c r="N1168" s="630"/>
      <c r="O1168" s="619" t="s">
        <v>284</v>
      </c>
      <c r="P1168" s="623" t="s">
        <v>5860</v>
      </c>
      <c r="Q1168" s="619" t="s">
        <v>5861</v>
      </c>
      <c r="R1168" s="430" t="str">
        <f>_xlfn.XLOOKUP(PV_DATA[[#This Row],[New Ark SKU]],Table9[New Ark SKU],Table9[Connector],,0)</f>
        <v>EVO2A</v>
      </c>
      <c r="S1168" s="433" t="str">
        <f>_xlfn.XLOOKUP(PV_DATA[[#This Row],[New Ark SKU]],Table9[New Ark SKU],Table9[Cable],,0)</f>
        <v>±1200mm</v>
      </c>
      <c r="T1168" s="620">
        <v>485</v>
      </c>
      <c r="U1168" s="1038">
        <f>936*3</f>
        <v>2808</v>
      </c>
      <c r="V1168" s="624">
        <f>PV_DATA[[#This Row],[QUANTITY]]*PV_DATA[[#This Row],[WATT]]/1000000</f>
        <v>1.36188</v>
      </c>
      <c r="W1168" s="625">
        <f>PV_DATA[[#This Row],[QUANTITY]]/PV_DATA[[#This Row],[Qty/Pallet]]</f>
        <v>78</v>
      </c>
      <c r="X1168" s="1022">
        <f>PV_DATA[[#This Row],[QUANTITY]]/PV_DATA[[#This Row],[Qty/CT]]</f>
        <v>3</v>
      </c>
      <c r="Y1168" s="431" t="s">
        <v>4385</v>
      </c>
      <c r="Z1168" s="1178" t="str">
        <f t="shared" si="27"/>
        <v>IN-TRANSIT</v>
      </c>
      <c r="AA1168" s="855">
        <v>46313</v>
      </c>
      <c r="AB1168" s="626">
        <v>46314</v>
      </c>
      <c r="AC1168" s="627">
        <f>IF(PV_DATA[[#This Row],[Pick-Up Date]]&lt;&gt;"",_xlfn.ISOWEEKNUM(PV_DATA[[#This Row],[Pick-Up Date]]),"")</f>
        <v>43</v>
      </c>
      <c r="AD1168" s="619" t="s">
        <v>7291</v>
      </c>
      <c r="AE1168" s="620"/>
      <c r="AF1168" s="430" t="s">
        <v>122</v>
      </c>
      <c r="AG1168" s="430" t="s">
        <v>6003</v>
      </c>
      <c r="AH1168" s="431" t="s">
        <v>105</v>
      </c>
      <c r="AI1168" s="1271">
        <v>46316</v>
      </c>
      <c r="AJ1168" s="441">
        <f>IFERROR(VLOOKUP(AT1168, Vessel!A:D, 4, FALSE), "")</f>
        <v>46319.125</v>
      </c>
      <c r="AK1168" s="441">
        <f>IFERROR(IF(VLOOKUP(AT1168,Vessel!A:F,5,FALSE)=0,"",VLOOKUP(AT1168,Vessel!A:F,5,FALSE)),"")</f>
        <v>46319.166446759256</v>
      </c>
      <c r="AL1168" s="1271">
        <v>46351</v>
      </c>
      <c r="AM1168" s="939">
        <f>IFERROR(VLOOKUP(AT1168, Vessel!A:H, 8, FALSE), "")</f>
        <v>46355.875</v>
      </c>
      <c r="AN1168" s="939" t="str">
        <f>IFERROR(IF(VLOOKUP(AT1168,Vessel!A:I,9,FALSE)=0,"",VLOOKUP(AT1168,Vessel!A:I,9,FALSE)),"")</f>
        <v/>
      </c>
      <c r="AO1168" s="619"/>
      <c r="AP1168" s="619" t="s">
        <v>7292</v>
      </c>
      <c r="AQ1168" s="1028" t="s">
        <v>80</v>
      </c>
      <c r="AR1168" s="619" t="s">
        <v>7293</v>
      </c>
      <c r="AS1168" s="619" t="s">
        <v>7294</v>
      </c>
      <c r="AT1168" s="619" t="s">
        <v>7294</v>
      </c>
      <c r="AU116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36.70855324074364</v>
      </c>
      <c r="AV1168" s="619"/>
      <c r="AW1168" s="626" cm="1">
        <f t="array" ref="AW116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46355.875</v>
      </c>
      <c r="AX116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68" s="626" t="str">
        <f>IF(ISERROR(PV_DATA[[#This Row],[New Ark PO status]]),"",_xlfn.XLOOKUP(PV_DATA[[#This Row],[SPTN-PVHK New Ark PO'#]],New_Ark_Data[Purchase order Number],New_Ark_Data[Estimated time of arrival],"",0))</f>
        <v/>
      </c>
      <c r="AZ1168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68" s="626">
        <f>IFERROR(PV_DATA[[#This Row],[ODP ETA Port]]+PV_DATA[[#This Row],[Customs/Leg3 Assumption]],"n/a")</f>
        <v>46362.875</v>
      </c>
      <c r="BB1168" s="620">
        <f>YEAR(PV_DATA[[#This Row],[ETA for New Ark update]])</f>
        <v>2026</v>
      </c>
      <c r="BC1168" s="619">
        <f>MONTH(PV_DATA[[#This Row],[ETA for New Ark update]])</f>
        <v>12</v>
      </c>
      <c r="BD1168" s="619">
        <f>IFERROR(_xlfn.ISOWEEKNUM(PV_DATA[[#This Row],[ETA for New Ark update]]),0)</f>
        <v>49</v>
      </c>
      <c r="BE1168" s="431">
        <f>_xlfn.XLOOKUP(PV_DATA[[#This Row],[New Ark SKU]],Table9[New Ark SKU],Table9[Total PCS per Pallet],,0)</f>
        <v>36</v>
      </c>
      <c r="BF1168" s="431">
        <f>_xlfn.XLOOKUP(PV_DATA[[#This Row],[New Ark SKU]],Table9[New Ark SKU],Table9[Total PCS per 40HQ Container],,0)</f>
        <v>936</v>
      </c>
      <c r="BG1168" s="431" t="str">
        <f>_xlfn.XLOOKUP(PV_DATA[[#This Row],[New Ark SKU]],Table9[New Ark SKU],Table9[Back Glass],,0)</f>
        <v>Black glazing</v>
      </c>
      <c r="BH1168" s="629" t="str">
        <f>_xlfn.XLOOKUP(PV_DATA[[#This Row],[PORT DESTINATION]],Table12[PORT DESTINATION],Table12[Cosco Line],,0)</f>
        <v>AEU</v>
      </c>
    </row>
    <row r="1169" spans="1:62" hidden="1">
      <c r="A1169" s="1179" t="s">
        <v>7295</v>
      </c>
      <c r="B1169" s="439" t="s">
        <v>111</v>
      </c>
      <c r="C1169" s="439" t="str">
        <f>IFERROR(LEFT(PV_DATA[[#This Row],[TCL REFERENCE]],FIND(".",PV_DATA[[#This Row],[TCL REFERENCE]],1)-1),"Main Line")</f>
        <v>26Oct014</v>
      </c>
      <c r="D1169" s="726" t="s">
        <v>63</v>
      </c>
      <c r="E1169" s="439" t="s">
        <v>64</v>
      </c>
      <c r="F1169" s="439" t="str" cm="1">
        <f t="array" ref="F116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69" s="726" t="s">
        <v>402</v>
      </c>
      <c r="H1169" s="726" t="s">
        <v>67</v>
      </c>
      <c r="I1169" s="431" t="s">
        <v>689</v>
      </c>
      <c r="J1169" s="431" t="s">
        <v>96</v>
      </c>
      <c r="K1169" s="431"/>
      <c r="L1169" s="431"/>
      <c r="M1169" s="619" t="s">
        <v>68</v>
      </c>
      <c r="N1169" s="630">
        <v>46292</v>
      </c>
      <c r="O1169" s="431" t="s">
        <v>5388</v>
      </c>
      <c r="P1169" s="430" t="s">
        <v>7266</v>
      </c>
      <c r="Q1169" s="431" t="s">
        <v>7267</v>
      </c>
      <c r="R1169" s="430" t="str">
        <f>_xlfn.XLOOKUP(PV_DATA[[#This Row],[New Ark SKU]],Table9[New Ark SKU],Table9[Connector],,0)</f>
        <v>EVO2A</v>
      </c>
      <c r="S1169" s="433" t="str">
        <f>_xlfn.XLOOKUP(PV_DATA[[#This Row],[New Ark SKU]],Table9[New Ark SKU],Table9[Cable],,0)</f>
        <v>±1200mm</v>
      </c>
      <c r="T1169" s="442">
        <v>480</v>
      </c>
      <c r="U1169" s="1067">
        <f>936</f>
        <v>936</v>
      </c>
      <c r="V1169" s="448">
        <f>PV_DATA[[#This Row],[QUANTITY]]*PV_DATA[[#This Row],[WATT]]/1000000</f>
        <v>0.44928000000000001</v>
      </c>
      <c r="W1169" s="466">
        <f>PV_DATA[[#This Row],[QUANTITY]]/PV_DATA[[#This Row],[Qty/Pallet]]</f>
        <v>26</v>
      </c>
      <c r="X1169" s="1022">
        <f>PV_DATA[[#This Row],[QUANTITY]]/PV_DATA[[#This Row],[Qty/CT]]</f>
        <v>1</v>
      </c>
      <c r="Y1169" s="431" t="s">
        <v>4386</v>
      </c>
      <c r="Z1169" s="1180" t="str">
        <f t="shared" si="27"/>
        <v>IN-TRANSIT</v>
      </c>
      <c r="AA1169" s="431" t="s">
        <v>5862</v>
      </c>
      <c r="AB1169" s="441">
        <v>46311</v>
      </c>
      <c r="AC1169" s="467">
        <f>IF(PV_DATA[[#This Row],[Pick-Up Date]]&lt;&gt;"",_xlfn.ISOWEEKNUM(PV_DATA[[#This Row],[Pick-Up Date]]),"")</f>
        <v>42</v>
      </c>
      <c r="AD1169" s="431" t="s">
        <v>7296</v>
      </c>
      <c r="AE1169" s="442"/>
      <c r="AF1169" s="430" t="s">
        <v>6003</v>
      </c>
      <c r="AG1169" s="430" t="s">
        <v>6003</v>
      </c>
      <c r="AH1169" s="431" t="s">
        <v>78</v>
      </c>
      <c r="AI1169" s="441">
        <v>46314</v>
      </c>
      <c r="AJ1169" s="441">
        <f>IFERROR(VLOOKUP(AT1169, Vessel!A:D, 4, FALSE), "")</f>
        <v>46315.125</v>
      </c>
      <c r="AK1169" s="441">
        <f>IFERROR(IF(VLOOKUP(AT1169,Vessel!A:F,5,FALSE)=0,"",VLOOKUP(AT1169,Vessel!A:F,5,FALSE)),"")</f>
        <v>46315.213912037034</v>
      </c>
      <c r="AL1169" s="441">
        <v>46358</v>
      </c>
      <c r="AM1169" s="939">
        <f>IFERROR(VLOOKUP(AT1169, Vessel!A:H, 8, FALSE), "")</f>
        <v>46358.25</v>
      </c>
      <c r="AN1169" s="939" t="str">
        <f>IFERROR(IF(VLOOKUP(AT1169,Vessel!A:I,9,FALSE)=0,"",VLOOKUP(AT1169,Vessel!A:I,9,FALSE)),"")</f>
        <v/>
      </c>
      <c r="AO1169" s="431"/>
      <c r="AP1169" s="431" t="s">
        <v>7297</v>
      </c>
      <c r="AQ1169" s="1028" t="s">
        <v>80</v>
      </c>
      <c r="AR1169" s="619" t="s">
        <v>7298</v>
      </c>
      <c r="AS1169" s="431" t="s">
        <v>7299</v>
      </c>
      <c r="AT1169" s="431" t="s">
        <v>7299</v>
      </c>
      <c r="AU1169" s="619"/>
      <c r="AV1169" s="431"/>
      <c r="AW1169" s="441" cm="1">
        <f t="array" ref="AW116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46358.25</v>
      </c>
      <c r="AX116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69" s="441" t="str">
        <f>IF(ISERROR(PV_DATA[[#This Row],[New Ark PO status]]),"",_xlfn.XLOOKUP(PV_DATA[[#This Row],[SPTN-PVHK New Ark PO'#]],New_Ark_Data[Purchase order Number],New_Ark_Data[Estimated time of arrival],"",0))</f>
        <v/>
      </c>
      <c r="AZ1169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69" s="441">
        <f>IFERROR(PV_DATA[[#This Row],[ODP ETA Port]]+PV_DATA[[#This Row],[Customs/Leg3 Assumption]],"n/a")</f>
        <v>46366.25</v>
      </c>
      <c r="BB1169" s="442">
        <f>YEAR(PV_DATA[[#This Row],[ETA for New Ark update]])</f>
        <v>2026</v>
      </c>
      <c r="BC1169" s="431">
        <f>MONTH(PV_DATA[[#This Row],[ETA for New Ark update]])</f>
        <v>12</v>
      </c>
      <c r="BD1169" s="431">
        <f>IFERROR(_xlfn.ISOWEEKNUM(PV_DATA[[#This Row],[ETA for New Ark update]]),0)</f>
        <v>50</v>
      </c>
      <c r="BE1169" s="431">
        <f>_xlfn.XLOOKUP(PV_DATA[[#This Row],[New Ark SKU]],Table9[New Ark SKU],Table9[Total PCS per Pallet],,0)</f>
        <v>36</v>
      </c>
      <c r="BF1169" s="431">
        <f>_xlfn.XLOOKUP(PV_DATA[[#This Row],[New Ark SKU]],Table9[New Ark SKU],Table9[Total PCS per 40HQ Container],,0)</f>
        <v>936</v>
      </c>
      <c r="BG1169" s="431" t="str">
        <f>_xlfn.XLOOKUP(PV_DATA[[#This Row],[New Ark SKU]],Table9[New Ark SKU],Table9[Back Glass],,0)</f>
        <v>White glazing</v>
      </c>
      <c r="BH1169" s="622" t="str">
        <f>_xlfn.XLOOKUP(PV_DATA[[#This Row],[PORT DESTINATION]],Table12[PORT DESTINATION],Table12[Cosco Line],,0)</f>
        <v>AEM</v>
      </c>
    </row>
    <row r="1170" spans="1:62" s="475" customFormat="1" hidden="1">
      <c r="A1170" s="1422" t="s">
        <v>7300</v>
      </c>
      <c r="B1170" s="1412" t="s">
        <v>1757</v>
      </c>
      <c r="C1170" s="1412" t="str">
        <f>IFERROR(LEFT(PV_DATA[[#This Row],[TCL REFERENCE]],FIND(".",PV_DATA[[#This Row],[TCL REFERENCE]],1)-1),"Main Line")</f>
        <v>26Oct007</v>
      </c>
      <c r="D1170" s="1412" t="s">
        <v>63</v>
      </c>
      <c r="E1170" s="721" t="s">
        <v>144</v>
      </c>
      <c r="F1170" s="721" t="str" cm="1">
        <f t="array" ref="F1170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170" s="1412" t="s">
        <v>402</v>
      </c>
      <c r="H1170" s="721" t="s">
        <v>538</v>
      </c>
      <c r="I1170" s="721" t="s">
        <v>822</v>
      </c>
      <c r="J1170" s="721" t="s">
        <v>538</v>
      </c>
      <c r="K1170" s="1408" t="s">
        <v>7301</v>
      </c>
      <c r="L1170" s="1408">
        <v>9</v>
      </c>
      <c r="M1170" s="475" t="s">
        <v>7272</v>
      </c>
      <c r="N1170" s="1414"/>
      <c r="O1170" s="1408" t="s">
        <v>284</v>
      </c>
      <c r="P1170" s="1408" t="s">
        <v>7223</v>
      </c>
      <c r="Q1170" s="1408" t="s">
        <v>7224</v>
      </c>
      <c r="R1170" s="475" t="str">
        <f>_xlfn.XLOOKUP(PV_DATA[[#This Row],[New Ark SKU]],Table9[New Ark SKU],Table9[Connector],,0)</f>
        <v>EVO2A</v>
      </c>
      <c r="S1170" s="1399" t="str">
        <f>_xlfn.XLOOKUP(PV_DATA[[#This Row],[New Ark SKU]],Table9[New Ark SKU],Table9[Cable],,0)</f>
        <v>±1200mm</v>
      </c>
      <c r="T1170" s="1415">
        <v>490</v>
      </c>
      <c r="U1170" s="1423">
        <f>936*10</f>
        <v>9360</v>
      </c>
      <c r="V1170" s="1416">
        <f>PV_DATA[[#This Row],[QUANTITY]]*PV_DATA[[#This Row],[WATT]]/1000000</f>
        <v>4.5864000000000003</v>
      </c>
      <c r="W1170" s="1424">
        <f>PV_DATA[[#This Row],[QUANTITY]]/PV_DATA[[#This Row],[Qty/Pallet]]</f>
        <v>260</v>
      </c>
      <c r="X1170" s="1417">
        <f>PV_DATA[[#This Row],[QUANTITY]]/PV_DATA[[#This Row],[Qty/CT]]</f>
        <v>10</v>
      </c>
      <c r="Y1170" s="475" t="s">
        <v>4385</v>
      </c>
      <c r="Z1170" s="1425" t="str">
        <f t="shared" si="27"/>
        <v>IN-TRANSIT</v>
      </c>
      <c r="AA1170" s="1426">
        <v>46313</v>
      </c>
      <c r="AB1170" s="1418">
        <v>46313</v>
      </c>
      <c r="AC1170" s="1419">
        <f>IF(PV_DATA[[#This Row],[Pick-Up Date]]&lt;&gt;"",_xlfn.ISOWEEKNUM(PV_DATA[[#This Row],[Pick-Up Date]]),"")</f>
        <v>42</v>
      </c>
      <c r="AD1170" s="1408" t="s">
        <v>7302</v>
      </c>
      <c r="AE1170" s="1415"/>
      <c r="AF1170" s="475" t="s">
        <v>122</v>
      </c>
      <c r="AG1170" s="475" t="s">
        <v>123</v>
      </c>
      <c r="AH1170" s="475" t="s">
        <v>541</v>
      </c>
      <c r="AI1170" s="1418">
        <v>46322</v>
      </c>
      <c r="AJ1170" s="1404">
        <f>IFERROR(VLOOKUP(AT1170, Vessel!A:D, 4, FALSE), "")</f>
        <v>46323.5625</v>
      </c>
      <c r="AK1170" s="1404">
        <f>IFERROR(IF(VLOOKUP(AT1170,Vessel!A:F,5,FALSE)=0,"",VLOOKUP(AT1170,Vessel!A:F,5,FALSE)),"")</f>
        <v>46323.104062500002</v>
      </c>
      <c r="AL1170" s="1418">
        <v>46365</v>
      </c>
      <c r="AM1170" s="1418"/>
      <c r="AN1170" s="1418" t="str">
        <f>IFERROR(IF(VLOOKUP(AT1170,Vessel!A:I,9,FALSE)=0,"",VLOOKUP(AT1170,Vessel!A:I,9,FALSE)),"")</f>
        <v/>
      </c>
      <c r="AO1170" s="1408"/>
      <c r="AP1170" s="1408" t="s">
        <v>7214</v>
      </c>
      <c r="AQ1170" s="1420" t="s">
        <v>80</v>
      </c>
      <c r="AR1170" s="1408" t="s">
        <v>7303</v>
      </c>
      <c r="AS1170" s="1408" t="s">
        <v>7304</v>
      </c>
      <c r="AT1170" s="1408" t="s">
        <v>7304</v>
      </c>
      <c r="AU1170" s="475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41.895937499997672</v>
      </c>
      <c r="AV1170" s="1408"/>
      <c r="AW1170" s="1418" cm="1">
        <f t="array" ref="AW117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46365</v>
      </c>
      <c r="AX1170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70" s="1418" t="str">
        <f>IF(ISERROR(PV_DATA[[#This Row],[New Ark PO status]]),"",_xlfn.XLOOKUP(PV_DATA[[#This Row],[SPTN-PVHK New Ark PO'#]],New_Ark_Data[Purchase order Number],New_Ark_Data[Estimated time of arrival],"",0))</f>
        <v/>
      </c>
      <c r="AZ1170" s="1415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170" s="1418">
        <f>IFERROR(PV_DATA[[#This Row],[ODP ETA Port]]+PV_DATA[[#This Row],[Customs/Leg3 Assumption]],"n/a")</f>
        <v>46365</v>
      </c>
      <c r="BB1170" s="1415">
        <f>YEAR(PV_DATA[[#This Row],[ETA for New Ark update]])</f>
        <v>2026</v>
      </c>
      <c r="BC1170" s="1408">
        <f>MONTH(PV_DATA[[#This Row],[ETA for New Ark update]])</f>
        <v>12</v>
      </c>
      <c r="BD1170" s="1408">
        <f>IFERROR(_xlfn.ISOWEEKNUM(PV_DATA[[#This Row],[ETA for New Ark update]]),0)</f>
        <v>50</v>
      </c>
      <c r="BE1170" s="475">
        <f>_xlfn.XLOOKUP(PV_DATA[[#This Row],[New Ark SKU]],Table9[New Ark SKU],Table9[Total PCS per Pallet],,0)</f>
        <v>36</v>
      </c>
      <c r="BF1170" s="475">
        <f>_xlfn.XLOOKUP(PV_DATA[[#This Row],[New Ark SKU]],Table9[New Ark SKU],Table9[Total PCS per 40HQ Container],,0)</f>
        <v>936</v>
      </c>
      <c r="BG1170" s="475" t="str">
        <f>_xlfn.XLOOKUP(PV_DATA[[#This Row],[New Ark SKU]],Table9[New Ark SKU],Table9[Back Glass],,0)</f>
        <v>Black glazing</v>
      </c>
      <c r="BH1170" s="1421" t="str">
        <f>_xlfn.XLOOKUP(PV_DATA[[#This Row],[PORT DESTINATION]],Table12[PORT DESTINATION],Table12[Cosco Line],,0)</f>
        <v>AEU</v>
      </c>
      <c r="BJ1170" s="1427"/>
    </row>
    <row r="1171" spans="1:62" s="475" customFormat="1" ht="10.5" hidden="1">
      <c r="A1171" s="1429" t="s">
        <v>7305</v>
      </c>
      <c r="B1171" s="721" t="s">
        <v>111</v>
      </c>
      <c r="C1171" s="721" t="str">
        <f>IFERROR(LEFT(PV_DATA[[#This Row],[TCL REFERENCE]],FIND(".",PV_DATA[[#This Row],[TCL REFERENCE]],1)-1),"Main Line")</f>
        <v>26Aug017</v>
      </c>
      <c r="D1171" s="721" t="s">
        <v>63</v>
      </c>
      <c r="E1171" s="721" t="s">
        <v>64</v>
      </c>
      <c r="F1171" s="721" t="str" cm="1">
        <f t="array" ref="F117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71" s="721" t="s">
        <v>402</v>
      </c>
      <c r="H1171" s="721" t="s">
        <v>311</v>
      </c>
      <c r="I1171" s="721" t="s">
        <v>1395</v>
      </c>
      <c r="J1171" s="475" t="s">
        <v>96</v>
      </c>
      <c r="N1171" s="476">
        <v>46305</v>
      </c>
      <c r="O1171" s="475" t="s">
        <v>170</v>
      </c>
      <c r="P1171" s="475" t="s">
        <v>171</v>
      </c>
      <c r="Q1171" s="475" t="s">
        <v>1731</v>
      </c>
      <c r="R1171" s="475" t="str">
        <f>_xlfn.XLOOKUP(PV_DATA[[#This Row],[New Ark SKU]],Table9[New Ark SKU],Table9[Connector],,0)</f>
        <v>EVO2A</v>
      </c>
      <c r="S1171" s="1399" t="str">
        <f>_xlfn.XLOOKUP(PV_DATA[[#This Row],[New Ark SKU]],Table9[New Ark SKU],Table9[Cable],,0)</f>
        <v>±1400mm</v>
      </c>
      <c r="T1171" s="1399">
        <v>555</v>
      </c>
      <c r="U1171" s="1068">
        <f>660*3</f>
        <v>1980</v>
      </c>
      <c r="V1171" s="1400">
        <f>PV_DATA[[#This Row],[QUANTITY]]*PV_DATA[[#This Row],[WATT]]/1000000</f>
        <v>1.0989</v>
      </c>
      <c r="W1171" s="1401">
        <f>PV_DATA[[#This Row],[QUANTITY]]/PV_DATA[[#This Row],[Qty/Pallet]]</f>
        <v>60</v>
      </c>
      <c r="X1171" s="1402">
        <f>PV_DATA[[#This Row],[QUANTITY]]/PV_DATA[[#This Row],[Qty/CT]]</f>
        <v>3</v>
      </c>
      <c r="Y1171" s="475" t="s">
        <v>4384</v>
      </c>
      <c r="AA1171" s="1403">
        <v>46314</v>
      </c>
      <c r="AB1171" s="1404">
        <v>46313</v>
      </c>
      <c r="AC1171" s="1405"/>
      <c r="AD1171" s="475" t="s">
        <v>7306</v>
      </c>
      <c r="AF1171" s="475" t="s">
        <v>122</v>
      </c>
      <c r="AG1171" s="475" t="s">
        <v>123</v>
      </c>
      <c r="AH1171" s="475" t="s">
        <v>105</v>
      </c>
      <c r="AI1171" s="1404">
        <v>46318</v>
      </c>
      <c r="AJ1171" s="1404">
        <f>IFERROR(VLOOKUP(AT1171, Vessel!A:D, 4, FALSE), "")</f>
        <v>46316.875</v>
      </c>
      <c r="AK1171" s="1404">
        <f>IFERROR(IF(VLOOKUP(AT1171,Vessel!A:F,5,FALSE)=0,"",VLOOKUP(AT1171,Vessel!A:F,5,FALSE)),"")</f>
        <v>46316.812083333331</v>
      </c>
      <c r="AL1171" s="1404">
        <v>46354</v>
      </c>
      <c r="AM1171" s="1418">
        <f>IFERROR(VLOOKUP(AT1171, Vessel!A:H, 8, FALSE), "")</f>
        <v>46359.875</v>
      </c>
      <c r="AN1171" s="1418" t="str">
        <f>IFERROR(IF(VLOOKUP(AT1171,Vessel!A:I,9,FALSE)=0,"",VLOOKUP(AT1171,Vessel!A:I,9,FALSE)),"")</f>
        <v/>
      </c>
      <c r="AP1171" s="475" t="s">
        <v>7251</v>
      </c>
      <c r="AQ1171" s="475" t="s">
        <v>80</v>
      </c>
      <c r="AR1171" s="1408" t="s">
        <v>7307</v>
      </c>
      <c r="AS1171" s="475" t="s">
        <v>7308</v>
      </c>
      <c r="AT1171" s="475" t="s">
        <v>7308</v>
      </c>
      <c r="AU1171" s="1408"/>
      <c r="AV1171" s="1404"/>
      <c r="AW1171" s="1404" cm="1">
        <f t="array" ref="AW117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46359.875</v>
      </c>
      <c r="AX1171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71" s="1404" t="str">
        <f>IF(ISERROR(PV_DATA[[#This Row],[New Ark PO status]]),"",_xlfn.XLOOKUP(PV_DATA[[#This Row],[SPTN-PVHK New Ark PO'#]],New_Ark_Data[Purchase order Number],New_Ark_Data[Estimated time of arrival],"",0))</f>
        <v/>
      </c>
      <c r="AZ1171" s="1399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71" s="1404">
        <f>IFERROR(PV_DATA[[#This Row],[ODP ETA Port]]+PV_DATA[[#This Row],[Customs/Leg3 Assumption]],"n/a")</f>
        <v>46366.875</v>
      </c>
      <c r="BB1171" s="1399">
        <f>YEAR(PV_DATA[[#This Row],[ETA for New Ark update]])</f>
        <v>2026</v>
      </c>
      <c r="BC1171" s="475">
        <f>MONTH(PV_DATA[[#This Row],[ETA for New Ark update]])</f>
        <v>12</v>
      </c>
      <c r="BD1171" s="475">
        <f>IFERROR(_xlfn.ISOWEEKNUM(PV_DATA[[#This Row],[ETA for New Ark update]]),0)</f>
        <v>50</v>
      </c>
      <c r="BE1171" s="475">
        <f>_xlfn.XLOOKUP(PV_DATA[[#This Row],[New Ark SKU]],Table9[New Ark SKU],Table9[Total PCS per Pallet],,0)</f>
        <v>33</v>
      </c>
      <c r="BF1171" s="475">
        <f>_xlfn.XLOOKUP(PV_DATA[[#This Row],[New Ark SKU]],Table9[New Ark SKU],Table9[Total PCS per 40HQ Container],,0)</f>
        <v>660</v>
      </c>
      <c r="BG1171" s="475" t="str">
        <f>_xlfn.XLOOKUP(PV_DATA[[#This Row],[New Ark SKU]],Table9[New Ark SKU],Table9[Back Glass],,0)</f>
        <v>White glazing</v>
      </c>
      <c r="BH1171" s="475" t="str">
        <f>_xlfn.XLOOKUP(PV_DATA[[#This Row],[PORT DESTINATION]],Table12[PORT DESTINATION],Table12[Cosco Line],,0)</f>
        <v>AEU</v>
      </c>
    </row>
    <row r="1172" spans="1:62" s="475" customFormat="1" ht="10.5" hidden="1">
      <c r="A1172" s="1429" t="s">
        <v>7309</v>
      </c>
      <c r="B1172" s="721" t="s">
        <v>111</v>
      </c>
      <c r="C1172" s="721" t="str">
        <f>IFERROR(LEFT(PV_DATA[[#This Row],[TCL REFERENCE]],FIND(".",PV_DATA[[#This Row],[TCL REFERENCE]],1)-1),"Main Line")</f>
        <v>26Aug017</v>
      </c>
      <c r="D1172" s="721" t="s">
        <v>63</v>
      </c>
      <c r="E1172" s="721" t="s">
        <v>64</v>
      </c>
      <c r="F1172" s="721" t="str" cm="1">
        <f t="array" ref="F117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72" s="721" t="s">
        <v>402</v>
      </c>
      <c r="H1172" s="721" t="s">
        <v>311</v>
      </c>
      <c r="I1172" s="721" t="s">
        <v>1395</v>
      </c>
      <c r="J1172" s="475" t="s">
        <v>96</v>
      </c>
      <c r="N1172" s="476">
        <v>46305</v>
      </c>
      <c r="O1172" s="475" t="s">
        <v>170</v>
      </c>
      <c r="P1172" s="475" t="s">
        <v>171</v>
      </c>
      <c r="Q1172" s="475" t="s">
        <v>1731</v>
      </c>
      <c r="R1172" s="475" t="str">
        <f>_xlfn.XLOOKUP(PV_DATA[[#This Row],[New Ark SKU]],Table9[New Ark SKU],Table9[Connector],,0)</f>
        <v>EVO2A</v>
      </c>
      <c r="S1172" s="1399" t="str">
        <f>_xlfn.XLOOKUP(PV_DATA[[#This Row],[New Ark SKU]],Table9[New Ark SKU],Table9[Cable],,0)</f>
        <v>±1400mm</v>
      </c>
      <c r="T1172" s="1399">
        <v>555</v>
      </c>
      <c r="U1172" s="1068">
        <f>660</f>
        <v>660</v>
      </c>
      <c r="V1172" s="1400">
        <f>PV_DATA[[#This Row],[QUANTITY]]*PV_DATA[[#This Row],[WATT]]/1000000</f>
        <v>0.36630000000000001</v>
      </c>
      <c r="W1172" s="1401">
        <f>PV_DATA[[#This Row],[QUANTITY]]/PV_DATA[[#This Row],[Qty/Pallet]]</f>
        <v>20</v>
      </c>
      <c r="X1172" s="1402">
        <f>PV_DATA[[#This Row],[QUANTITY]]/PV_DATA[[#This Row],[Qty/CT]]</f>
        <v>1</v>
      </c>
      <c r="Y1172" s="475" t="s">
        <v>4384</v>
      </c>
      <c r="AA1172" s="1403" t="s">
        <v>5862</v>
      </c>
      <c r="AB1172" s="1404">
        <v>46315</v>
      </c>
      <c r="AC1172" s="1405"/>
      <c r="AD1172" s="475" t="s">
        <v>7310</v>
      </c>
      <c r="AF1172" s="475" t="s">
        <v>122</v>
      </c>
      <c r="AG1172" s="475" t="s">
        <v>123</v>
      </c>
      <c r="AH1172" s="475" t="s">
        <v>105</v>
      </c>
      <c r="AI1172" s="1404">
        <v>46322</v>
      </c>
      <c r="AJ1172" s="1404">
        <f>IFERROR(VLOOKUP(AT1172, Vessel!A:D, 4, FALSE), "")</f>
        <v>46323.5625</v>
      </c>
      <c r="AK1172" s="1404">
        <f>IFERROR(IF(VLOOKUP(AT1172,Vessel!A:F,5,FALSE)=0,"",VLOOKUP(AT1172,Vessel!A:F,5,FALSE)),"")</f>
        <v>46323.104062500002</v>
      </c>
      <c r="AL1172" s="1404">
        <v>46358</v>
      </c>
      <c r="AM1172" s="1418">
        <f>IFERROR(VLOOKUP(AT1172, Vessel!A:H, 8, FALSE), "")</f>
        <v>46361.208333333336</v>
      </c>
      <c r="AN1172" s="1418" t="str">
        <f>IFERROR(IF(VLOOKUP(AT1172,Vessel!A:I,9,FALSE)=0,"",VLOOKUP(AT1172,Vessel!A:I,9,FALSE)),"")</f>
        <v/>
      </c>
      <c r="AP1172" s="475" t="s">
        <v>7214</v>
      </c>
      <c r="AQ1172" s="475" t="s">
        <v>80</v>
      </c>
      <c r="AR1172" s="1408" t="s">
        <v>7311</v>
      </c>
      <c r="AS1172" s="475" t="s">
        <v>7312</v>
      </c>
      <c r="AT1172" s="475" t="s">
        <v>7312</v>
      </c>
      <c r="AU1172" s="1408"/>
      <c r="AV1172" s="1404"/>
      <c r="AW1172" s="1404" cm="1">
        <f t="array" ref="AW117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46361.208333333336</v>
      </c>
      <c r="AX1172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72" s="1404" t="str">
        <f>IF(ISERROR(PV_DATA[[#This Row],[New Ark PO status]]),"",_xlfn.XLOOKUP(PV_DATA[[#This Row],[SPTN-PVHK New Ark PO'#]],New_Ark_Data[Purchase order Number],New_Ark_Data[Estimated time of arrival],"",0))</f>
        <v/>
      </c>
      <c r="AZ1172" s="1399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72" s="1404">
        <f>IFERROR(PV_DATA[[#This Row],[ODP ETA Port]]+PV_DATA[[#This Row],[Customs/Leg3 Assumption]],"n/a")</f>
        <v>46368.208333333336</v>
      </c>
      <c r="BB1172" s="1399">
        <f>YEAR(PV_DATA[[#This Row],[ETA for New Ark update]])</f>
        <v>2026</v>
      </c>
      <c r="BC1172" s="475">
        <f>MONTH(PV_DATA[[#This Row],[ETA for New Ark update]])</f>
        <v>12</v>
      </c>
      <c r="BD1172" s="475">
        <f>IFERROR(_xlfn.ISOWEEKNUM(PV_DATA[[#This Row],[ETA for New Ark update]]),0)</f>
        <v>50</v>
      </c>
      <c r="BE1172" s="475">
        <f>_xlfn.XLOOKUP(PV_DATA[[#This Row],[New Ark SKU]],Table9[New Ark SKU],Table9[Total PCS per Pallet],,0)</f>
        <v>33</v>
      </c>
      <c r="BF1172" s="475">
        <f>_xlfn.XLOOKUP(PV_DATA[[#This Row],[New Ark SKU]],Table9[New Ark SKU],Table9[Total PCS per 40HQ Container],,0)</f>
        <v>660</v>
      </c>
      <c r="BG1172" s="475" t="str">
        <f>_xlfn.XLOOKUP(PV_DATA[[#This Row],[New Ark SKU]],Table9[New Ark SKU],Table9[Back Glass],,0)</f>
        <v>White glazing</v>
      </c>
      <c r="BH1172" s="475" t="str">
        <f>_xlfn.XLOOKUP(PV_DATA[[#This Row],[PORT DESTINATION]],Table12[PORT DESTINATION],Table12[Cosco Line],,0)</f>
        <v>AEU</v>
      </c>
    </row>
    <row r="1173" spans="1:62" s="475" customFormat="1" ht="10.5" hidden="1">
      <c r="A1173" s="1429" t="s">
        <v>7313</v>
      </c>
      <c r="B1173" s="721" t="s">
        <v>111</v>
      </c>
      <c r="C1173" s="721" t="str">
        <f>IFERROR(LEFT(PV_DATA[[#This Row],[TCL REFERENCE]],FIND(".",PV_DATA[[#This Row],[TCL REFERENCE]],1)-1),"Main Line")</f>
        <v>26Aug017</v>
      </c>
      <c r="D1173" s="721" t="s">
        <v>63</v>
      </c>
      <c r="E1173" s="721" t="s">
        <v>64</v>
      </c>
      <c r="F1173" s="721" t="str" cm="1">
        <f t="array" ref="F117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73" s="721" t="s">
        <v>402</v>
      </c>
      <c r="H1173" s="721" t="s">
        <v>311</v>
      </c>
      <c r="I1173" s="721" t="s">
        <v>1395</v>
      </c>
      <c r="J1173" s="475" t="s">
        <v>96</v>
      </c>
      <c r="N1173" s="476">
        <v>46305</v>
      </c>
      <c r="O1173" s="475" t="s">
        <v>170</v>
      </c>
      <c r="P1173" s="475" t="s">
        <v>171</v>
      </c>
      <c r="Q1173" s="475" t="s">
        <v>1731</v>
      </c>
      <c r="R1173" s="475" t="str">
        <f>_xlfn.XLOOKUP(PV_DATA[[#This Row],[New Ark SKU]],Table9[New Ark SKU],Table9[Connector],,0)</f>
        <v>EVO2A</v>
      </c>
      <c r="S1173" s="1399" t="str">
        <f>_xlfn.XLOOKUP(PV_DATA[[#This Row],[New Ark SKU]],Table9[New Ark SKU],Table9[Cable],,0)</f>
        <v>±1400mm</v>
      </c>
      <c r="T1173" s="1399">
        <v>555</v>
      </c>
      <c r="U1173" s="1068">
        <f>660*5</f>
        <v>3300</v>
      </c>
      <c r="V1173" s="1400">
        <f>PV_DATA[[#This Row],[QUANTITY]]*PV_DATA[[#This Row],[WATT]]/1000000</f>
        <v>1.8314999999999999</v>
      </c>
      <c r="W1173" s="1401">
        <f>PV_DATA[[#This Row],[QUANTITY]]/PV_DATA[[#This Row],[Qty/Pallet]]</f>
        <v>100</v>
      </c>
      <c r="X1173" s="1402">
        <f>PV_DATA[[#This Row],[QUANTITY]]/PV_DATA[[#This Row],[Qty/CT]]</f>
        <v>5</v>
      </c>
      <c r="Y1173" s="475" t="s">
        <v>4383</v>
      </c>
      <c r="AA1173" s="1403">
        <v>46315</v>
      </c>
      <c r="AB1173" s="1404">
        <v>46315</v>
      </c>
      <c r="AC1173" s="1405"/>
      <c r="AD1173" s="475" t="s">
        <v>7314</v>
      </c>
      <c r="AF1173" s="475" t="s">
        <v>122</v>
      </c>
      <c r="AG1173" s="475" t="s">
        <v>123</v>
      </c>
      <c r="AH1173" s="475" t="s">
        <v>105</v>
      </c>
      <c r="AI1173" s="1404">
        <v>46321</v>
      </c>
      <c r="AJ1173" s="1404">
        <f>IFERROR(VLOOKUP(AT1173, Vessel!A:D, 4, FALSE), "")</f>
        <v>46324.083333333336</v>
      </c>
      <c r="AK1173" s="1404">
        <f>IFERROR(IF(VLOOKUP(AT1173,Vessel!A:F,5,FALSE)=0,"",VLOOKUP(AT1173,Vessel!A:F,5,FALSE)),"")</f>
        <v>46324.089849537035</v>
      </c>
      <c r="AL1173" s="1404">
        <v>46358</v>
      </c>
      <c r="AM1173" s="1418">
        <f>IFERROR(VLOOKUP(AT1173, Vessel!A:H, 8, FALSE), "")</f>
        <v>46358.875</v>
      </c>
      <c r="AN1173" s="1418" t="str">
        <f>IFERROR(IF(VLOOKUP(AT1173,Vessel!A:I,9,FALSE)=0,"",VLOOKUP(AT1173,Vessel!A:I,9,FALSE)),"")</f>
        <v/>
      </c>
      <c r="AP1173" s="475" t="s">
        <v>7315</v>
      </c>
      <c r="AQ1173" s="475" t="s">
        <v>80</v>
      </c>
      <c r="AR1173" s="1408" t="s">
        <v>7316</v>
      </c>
      <c r="AS1173" s="475" t="s">
        <v>7317</v>
      </c>
      <c r="AT1173" s="475" t="s">
        <v>7317</v>
      </c>
      <c r="AU1173" s="1408"/>
      <c r="AV1173" s="1404"/>
      <c r="AW1173" s="1404" cm="1">
        <f t="array" ref="AW117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46358.875</v>
      </c>
      <c r="AX1173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73" s="1404" t="str">
        <f>IF(ISERROR(PV_DATA[[#This Row],[New Ark PO status]]),"",_xlfn.XLOOKUP(PV_DATA[[#This Row],[SPTN-PVHK New Ark PO'#]],New_Ark_Data[Purchase order Number],New_Ark_Data[Estimated time of arrival],"",0))</f>
        <v/>
      </c>
      <c r="AZ1173" s="1399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73" s="1404">
        <f>IFERROR(PV_DATA[[#This Row],[ODP ETA Port]]+PV_DATA[[#This Row],[Customs/Leg3 Assumption]],"n/a")</f>
        <v>46365.875</v>
      </c>
      <c r="BB1173" s="1399">
        <f>YEAR(PV_DATA[[#This Row],[ETA for New Ark update]])</f>
        <v>2026</v>
      </c>
      <c r="BC1173" s="475">
        <f>MONTH(PV_DATA[[#This Row],[ETA for New Ark update]])</f>
        <v>12</v>
      </c>
      <c r="BD1173" s="475">
        <f>IFERROR(_xlfn.ISOWEEKNUM(PV_DATA[[#This Row],[ETA for New Ark update]]),0)</f>
        <v>50</v>
      </c>
      <c r="BE1173" s="475">
        <f>_xlfn.XLOOKUP(PV_DATA[[#This Row],[New Ark SKU]],Table9[New Ark SKU],Table9[Total PCS per Pallet],,0)</f>
        <v>33</v>
      </c>
      <c r="BF1173" s="475">
        <f>_xlfn.XLOOKUP(PV_DATA[[#This Row],[New Ark SKU]],Table9[New Ark SKU],Table9[Total PCS per 40HQ Container],,0)</f>
        <v>660</v>
      </c>
      <c r="BG1173" s="475" t="str">
        <f>_xlfn.XLOOKUP(PV_DATA[[#This Row],[New Ark SKU]],Table9[New Ark SKU],Table9[Back Glass],,0)</f>
        <v>White glazing</v>
      </c>
      <c r="BH1173" s="475" t="str">
        <f>_xlfn.XLOOKUP(PV_DATA[[#This Row],[PORT DESTINATION]],Table12[PORT DESTINATION],Table12[Cosco Line],,0)</f>
        <v>AEU</v>
      </c>
    </row>
    <row r="1174" spans="1:62" s="475" customFormat="1" hidden="1">
      <c r="A1174" s="1431" t="s">
        <v>7318</v>
      </c>
      <c r="B1174" s="1412" t="s">
        <v>111</v>
      </c>
      <c r="C1174" s="1412" t="str">
        <f>IFERROR(LEFT(PV_DATA[[#This Row],[TCL REFERENCE]],FIND(".",PV_DATA[[#This Row],[TCL REFERENCE]],1)-1),"Main Line")</f>
        <v>26Oct015</v>
      </c>
      <c r="D1174" s="1412" t="s">
        <v>63</v>
      </c>
      <c r="E1174" s="721" t="s">
        <v>64</v>
      </c>
      <c r="F1174" s="721" t="str" cm="1">
        <f t="array" ref="F117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74" s="1412" t="s">
        <v>402</v>
      </c>
      <c r="H1174" s="1412" t="s">
        <v>67</v>
      </c>
      <c r="I1174" s="475" t="s">
        <v>689</v>
      </c>
      <c r="J1174" s="475" t="s">
        <v>96</v>
      </c>
      <c r="M1174" s="1408" t="s">
        <v>68</v>
      </c>
      <c r="N1174" s="1414">
        <v>46292</v>
      </c>
      <c r="O1174" s="1408" t="s">
        <v>5388</v>
      </c>
      <c r="P1174" s="1408" t="s">
        <v>7319</v>
      </c>
      <c r="Q1174" s="1408" t="s">
        <v>7320</v>
      </c>
      <c r="R1174" s="475" t="str">
        <f>_xlfn.XLOOKUP(PV_DATA[[#This Row],[New Ark SKU]],Table9[New Ark SKU],Table9[Connector],,0)</f>
        <v>EVO2A</v>
      </c>
      <c r="S1174" s="1399" t="str">
        <f>_xlfn.XLOOKUP(PV_DATA[[#This Row],[New Ark SKU]],Table9[New Ark SKU],Table9[Cable],,0)</f>
        <v>±1200mm</v>
      </c>
      <c r="T1174" s="1415">
        <v>485</v>
      </c>
      <c r="U1174" s="1423">
        <f>936*3</f>
        <v>2808</v>
      </c>
      <c r="V1174" s="1416">
        <f>PV_DATA[[#This Row],[QUANTITY]]*PV_DATA[[#This Row],[WATT]]/1000000</f>
        <v>1.36188</v>
      </c>
      <c r="W1174" s="1424">
        <f>PV_DATA[[#This Row],[QUANTITY]]/PV_DATA[[#This Row],[Qty/Pallet]]</f>
        <v>78</v>
      </c>
      <c r="X1174" s="1417">
        <f>PV_DATA[[#This Row],[QUANTITY]]/PV_DATA[[#This Row],[Qty/CT]]</f>
        <v>3</v>
      </c>
      <c r="Y1174" s="475" t="s">
        <v>4385</v>
      </c>
      <c r="Z1174" s="1425" t="str">
        <f>IF(AN1174&lt;&gt;"","COMPLETED",IF(AK1174&lt;&gt;"","IN-TRANSIT",""))</f>
        <v/>
      </c>
      <c r="AA1174" s="475" t="s">
        <v>5862</v>
      </c>
      <c r="AB1174" s="1418">
        <v>46319</v>
      </c>
      <c r="AC1174" s="1419">
        <f>IF(PV_DATA[[#This Row],[Pick-Up Date]]&lt;&gt;"",_xlfn.ISOWEEKNUM(PV_DATA[[#This Row],[Pick-Up Date]]),"")</f>
        <v>43</v>
      </c>
      <c r="AD1174" s="1408"/>
      <c r="AE1174" s="1415"/>
      <c r="AF1174" s="1408" t="s">
        <v>122</v>
      </c>
      <c r="AG1174" s="1408" t="s">
        <v>123</v>
      </c>
      <c r="AH1174" s="1408" t="s">
        <v>78</v>
      </c>
      <c r="AI1174" s="1418">
        <v>46329</v>
      </c>
      <c r="AJ1174" s="1404">
        <f>IFERROR(VLOOKUP(AT1174, Vessel!A:D, 4, FALSE), "")</f>
        <v>46331.125</v>
      </c>
      <c r="AK1174" s="1404" t="str">
        <f>IFERROR(IF(VLOOKUP(AT1174,Vessel!A:F,5,FALSE)=0,"",VLOOKUP(AT1174,Vessel!A:F,5,FALSE)),"")</f>
        <v/>
      </c>
      <c r="AL1174" s="1418">
        <v>46377</v>
      </c>
      <c r="AM1174" s="1418">
        <f>IFERROR(VLOOKUP(AT1174, Vessel!A:H, 8, FALSE), "")</f>
        <v>46377.791666666664</v>
      </c>
      <c r="AN1174" s="1418" t="str">
        <f>IFERROR(IF(VLOOKUP(AT1174,Vessel!A:I,9,FALSE)=0,"",VLOOKUP(AT1174,Vessel!A:I,9,FALSE)),"")</f>
        <v/>
      </c>
      <c r="AO1174" s="1408"/>
      <c r="AP1174" s="1408" t="s">
        <v>7321</v>
      </c>
      <c r="AQ1174" s="1420" t="s">
        <v>80</v>
      </c>
      <c r="AR1174" s="1408" t="s">
        <v>7322</v>
      </c>
      <c r="AS1174" s="1408" t="s">
        <v>7323</v>
      </c>
      <c r="AT1174" s="1408" t="s">
        <v>7323</v>
      </c>
      <c r="AU1174" s="1408"/>
      <c r="AV1174" s="1408"/>
      <c r="AW1174" s="1418" cm="1">
        <f t="array" ref="AW117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46377.791666666664</v>
      </c>
      <c r="AX1174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74" s="1418">
        <f>IF(ISERROR(PV_DATA[[#This Row],[New Ark PO status]]),"",_xlfn.XLOOKUP(PV_DATA[[#This Row],[SPTN-PVHK New Ark PO'#]],New_Ark_Data[Purchase order Number],New_Ark_Data[Estimated time of arrival],"",0))</f>
        <v>0</v>
      </c>
      <c r="AZ1174" s="1415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74" s="1418">
        <f>IFERROR(PV_DATA[[#This Row],[ODP ETA Port]]+PV_DATA[[#This Row],[Customs/Leg3 Assumption]],"n/a")</f>
        <v>46385.791666666664</v>
      </c>
      <c r="BB1174" s="1415">
        <f>YEAR(PV_DATA[[#This Row],[ETA for New Ark update]])</f>
        <v>2026</v>
      </c>
      <c r="BC1174" s="1408">
        <f>MONTH(PV_DATA[[#This Row],[ETA for New Ark update]])</f>
        <v>12</v>
      </c>
      <c r="BD1174" s="1408">
        <f>IFERROR(_xlfn.ISOWEEKNUM(PV_DATA[[#This Row],[ETA for New Ark update]]),0)</f>
        <v>53</v>
      </c>
      <c r="BE1174" s="475">
        <f>_xlfn.XLOOKUP(PV_DATA[[#This Row],[New Ark SKU]],Table9[New Ark SKU],Table9[Total PCS per Pallet],,0)</f>
        <v>36</v>
      </c>
      <c r="BF1174" s="475">
        <f>_xlfn.XLOOKUP(PV_DATA[[#This Row],[New Ark SKU]],Table9[New Ark SKU],Table9[Total PCS per 40HQ Container],,0)</f>
        <v>936</v>
      </c>
      <c r="BG1174" s="475" t="str">
        <f>_xlfn.XLOOKUP(PV_DATA[[#This Row],[New Ark SKU]],Table9[New Ark SKU],Table9[Back Glass],,0)</f>
        <v>White glazing</v>
      </c>
      <c r="BH1174" s="1421" t="str">
        <f>_xlfn.XLOOKUP(PV_DATA[[#This Row],[PORT DESTINATION]],Table12[PORT DESTINATION],Table12[Cosco Line],,0)</f>
        <v>AEM</v>
      </c>
      <c r="BJ1174" s="1427"/>
    </row>
    <row r="1175" spans="1:62" s="475" customFormat="1" ht="13.5" hidden="1" customHeight="1">
      <c r="A1175" s="1398" t="s">
        <v>7324</v>
      </c>
      <c r="B1175" s="721" t="s">
        <v>111</v>
      </c>
      <c r="C1175" s="721" t="str">
        <f>IFERROR(LEFT(PV_DATA[[#This Row],[TCL REFERENCE]],FIND(".",PV_DATA[[#This Row],[TCL REFERENCE]],1)-1),"Main Line")</f>
        <v>26Aug015</v>
      </c>
      <c r="D1175" s="721" t="s">
        <v>63</v>
      </c>
      <c r="E1175" s="721" t="s">
        <v>64</v>
      </c>
      <c r="F1175" s="721" t="str" cm="1">
        <f t="array" ref="F117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75" s="721" t="s">
        <v>402</v>
      </c>
      <c r="H1175" s="721" t="s">
        <v>67</v>
      </c>
      <c r="I1175" s="721" t="s">
        <v>689</v>
      </c>
      <c r="J1175" s="475" t="s">
        <v>96</v>
      </c>
      <c r="M1175" s="475" t="s">
        <v>68</v>
      </c>
      <c r="N1175" s="476">
        <v>46285</v>
      </c>
      <c r="O1175" s="475" t="s">
        <v>550</v>
      </c>
      <c r="P1175" s="475" t="s">
        <v>551</v>
      </c>
      <c r="Q1175" s="475" t="s">
        <v>2151</v>
      </c>
      <c r="R1175" s="475" t="str">
        <f>_xlfn.XLOOKUP(PV_DATA[[#This Row],[New Ark SKU]],Table9[New Ark SKU],Table9[Connector],,0)</f>
        <v>EVO2A</v>
      </c>
      <c r="S1175" s="1399" t="str">
        <f>_xlfn.XLOOKUP(PV_DATA[[#This Row],[New Ark SKU]],Table9[New Ark SKU],Table9[Cable],,0)</f>
        <v>±1350mm</v>
      </c>
      <c r="T1175" s="1399">
        <v>510</v>
      </c>
      <c r="U1175" s="1068">
        <v>792</v>
      </c>
      <c r="V1175" s="1400">
        <f>PV_DATA[[#This Row],[QUANTITY]]*PV_DATA[[#This Row],[WATT]]/1000000</f>
        <v>0.40392</v>
      </c>
      <c r="W1175" s="1401">
        <f>PV_DATA[[#This Row],[QUANTITY]]/PV_DATA[[#This Row],[Qty/Pallet]]</f>
        <v>22</v>
      </c>
      <c r="X1175" s="1402">
        <f>PV_DATA[[#This Row],[QUANTITY]]/PV_DATA[[#This Row],[Qty/CT]]</f>
        <v>1</v>
      </c>
      <c r="Y1175" s="475" t="s">
        <v>4385</v>
      </c>
      <c r="Z1175" s="475" t="str">
        <f>IF(AN1175&lt;&gt;"","COMPLETED",IF(AK1175&lt;&gt;"","IN-TRANSIT",""))</f>
        <v/>
      </c>
      <c r="AA1175" s="475" t="s">
        <v>5862</v>
      </c>
      <c r="AB1175" s="1404">
        <v>46319</v>
      </c>
      <c r="AC1175" s="1405">
        <f>IF(PV_DATA[[#This Row],[Pick-Up Date]]&lt;&gt;"",_xlfn.ISOWEEKNUM(PV_DATA[[#This Row],[Pick-Up Date]]),"")</f>
        <v>43</v>
      </c>
      <c r="AF1175" s="475" t="s">
        <v>122</v>
      </c>
      <c r="AG1175" s="475" t="s">
        <v>122</v>
      </c>
      <c r="AH1175" s="475" t="s">
        <v>78</v>
      </c>
      <c r="AI1175" s="1404">
        <v>46329</v>
      </c>
      <c r="AJ1175" s="1404">
        <f>IFERROR(VLOOKUP(AT1175, Vessel!A:D, 4, FALSE), "")</f>
        <v>46331.125</v>
      </c>
      <c r="AK1175" s="1404" t="str">
        <f>IFERROR(IF(VLOOKUP(AT1175,Vessel!A:F,5,FALSE)=0,"",VLOOKUP(AT1175,Vessel!A:F,5,FALSE)),"")</f>
        <v/>
      </c>
      <c r="AL1175" s="1404">
        <v>46377</v>
      </c>
      <c r="AM1175" s="1418">
        <f>IFERROR(VLOOKUP(AT1175, Vessel!A:H, 8, FALSE), "")</f>
        <v>46377.791666666664</v>
      </c>
      <c r="AN1175" s="1418" t="str">
        <f>IFERROR(IF(VLOOKUP(AT1175,Vessel!A:I,9,FALSE)=0,"",VLOOKUP(AT1175,Vessel!A:I,9,FALSE)),"")</f>
        <v/>
      </c>
      <c r="AP1175" s="475" t="s">
        <v>7321</v>
      </c>
      <c r="AQ1175" s="1407" t="s">
        <v>80</v>
      </c>
      <c r="AR1175" s="1408" t="s">
        <v>7322</v>
      </c>
      <c r="AS1175" s="475" t="s">
        <v>7323</v>
      </c>
      <c r="AT1175" s="475" t="s">
        <v>7323</v>
      </c>
      <c r="AU1175" s="1408"/>
      <c r="AW1175" s="1404" cm="1">
        <f t="array" ref="AW117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46377.791666666664</v>
      </c>
      <c r="AX1175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75" s="1404" t="str">
        <f>IF(ISERROR(PV_DATA[[#This Row],[New Ark PO status]]),"",_xlfn.XLOOKUP(PV_DATA[[#This Row],[SPTN-PVHK New Ark PO'#]],New_Ark_Data[Purchase order Number],New_Ark_Data[Estimated time of arrival],"",0))</f>
        <v/>
      </c>
      <c r="AZ1175" s="1399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75" s="1404">
        <f>IFERROR(PV_DATA[[#This Row],[ODP ETA Port]]+PV_DATA[[#This Row],[Customs/Leg3 Assumption]],"n/a")</f>
        <v>46385.791666666664</v>
      </c>
      <c r="BB1175" s="1399" t="s">
        <v>6545</v>
      </c>
      <c r="BC1175" s="1399" t="s">
        <v>6545</v>
      </c>
      <c r="BD1175" s="475">
        <f>IFERROR(_xlfn.ISOWEEKNUM(PV_DATA[[#This Row],[ETA for New Ark update]]),0)</f>
        <v>53</v>
      </c>
      <c r="BE1175" s="475">
        <f>_xlfn.XLOOKUP(PV_DATA[[#This Row],[New Ark SKU]],Table9[New Ark SKU],Table9[Total PCS per Pallet],,0)</f>
        <v>36</v>
      </c>
      <c r="BF1175" s="475">
        <f>_xlfn.XLOOKUP(PV_DATA[[#This Row],[New Ark SKU]],Table9[New Ark SKU],Table9[Total PCS per 40HQ Container],,0)</f>
        <v>792</v>
      </c>
      <c r="BG1175" s="475" t="str">
        <f>_xlfn.XLOOKUP(PV_DATA[[#This Row],[New Ark SKU]],Table9[New Ark SKU],Table9[Back Glass],,0)</f>
        <v>Black glazing</v>
      </c>
      <c r="BH1175" s="1410" t="str">
        <f>_xlfn.XLOOKUP(PV_DATA[[#This Row],[PORT DESTINATION]],Table12[PORT DESTINATION],Table12[Cosco Line],,0)</f>
        <v>AEM</v>
      </c>
    </row>
    <row r="1176" spans="1:62" s="475" customFormat="1" ht="13.5" hidden="1" customHeight="1">
      <c r="A1176" s="1398" t="s">
        <v>7325</v>
      </c>
      <c r="B1176" s="721" t="s">
        <v>111</v>
      </c>
      <c r="C1176" s="721" t="str">
        <f>IFERROR(LEFT(PV_DATA[[#This Row],[TCL REFERENCE]],FIND(".",PV_DATA[[#This Row],[TCL REFERENCE]],1)-1),"Main Line")</f>
        <v>26Aug015</v>
      </c>
      <c r="D1176" s="721" t="s">
        <v>63</v>
      </c>
      <c r="E1176" s="721" t="s">
        <v>64</v>
      </c>
      <c r="F1176" s="721" t="str" cm="1">
        <f t="array" ref="F117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76" s="721" t="s">
        <v>402</v>
      </c>
      <c r="H1176" s="721" t="s">
        <v>67</v>
      </c>
      <c r="I1176" s="721" t="s">
        <v>689</v>
      </c>
      <c r="J1176" s="475" t="s">
        <v>96</v>
      </c>
      <c r="M1176" s="475" t="s">
        <v>68</v>
      </c>
      <c r="N1176" s="476">
        <v>46285</v>
      </c>
      <c r="O1176" s="475" t="s">
        <v>550</v>
      </c>
      <c r="P1176" s="475" t="s">
        <v>551</v>
      </c>
      <c r="Q1176" s="475" t="s">
        <v>2151</v>
      </c>
      <c r="R1176" s="475" t="str">
        <f>_xlfn.XLOOKUP(PV_DATA[[#This Row],[New Ark SKU]],Table9[New Ark SKU],Table9[Connector],,0)</f>
        <v>EVO2A</v>
      </c>
      <c r="S1176" s="1399" t="str">
        <f>_xlfn.XLOOKUP(PV_DATA[[#This Row],[New Ark SKU]],Table9[New Ark SKU],Table9[Cable],,0)</f>
        <v>±1350mm</v>
      </c>
      <c r="T1176" s="1399">
        <v>510</v>
      </c>
      <c r="U1176" s="1068">
        <v>792</v>
      </c>
      <c r="V1176" s="1400">
        <f>PV_DATA[[#This Row],[QUANTITY]]*PV_DATA[[#This Row],[WATT]]/1000000</f>
        <v>0.40392</v>
      </c>
      <c r="W1176" s="1401">
        <f>PV_DATA[[#This Row],[QUANTITY]]/PV_DATA[[#This Row],[Qty/Pallet]]</f>
        <v>22</v>
      </c>
      <c r="X1176" s="1402">
        <f>PV_DATA[[#This Row],[QUANTITY]]/PV_DATA[[#This Row],[Qty/CT]]</f>
        <v>1</v>
      </c>
      <c r="Y1176" s="475" t="s">
        <v>4385</v>
      </c>
      <c r="Z1176" s="475" t="str">
        <f t="shared" ref="Z1176" si="28">IF(AN1176&lt;&gt;"","COMPLETED",IF(AK1176&lt;&gt;"","IN-TRANSIT",""))</f>
        <v/>
      </c>
      <c r="AA1176" s="475" t="s">
        <v>5862</v>
      </c>
      <c r="AB1176" s="1404">
        <v>46319</v>
      </c>
      <c r="AC1176" s="1405">
        <f>IF(PV_DATA[[#This Row],[Pick-Up Date]]&lt;&gt;"",_xlfn.ISOWEEKNUM(PV_DATA[[#This Row],[Pick-Up Date]]),"")</f>
        <v>43</v>
      </c>
      <c r="AF1176" s="475" t="s">
        <v>122</v>
      </c>
      <c r="AG1176" s="475" t="s">
        <v>122</v>
      </c>
      <c r="AH1176" s="475" t="s">
        <v>78</v>
      </c>
      <c r="AI1176" s="1404">
        <v>46329</v>
      </c>
      <c r="AJ1176" s="1404">
        <f>IFERROR(VLOOKUP(AT1176, Vessel!A:D, 4, FALSE), "")</f>
        <v>46331.125</v>
      </c>
      <c r="AK1176" s="1404" t="str">
        <f>IFERROR(IF(VLOOKUP(AT1176,Vessel!A:F,5,FALSE)=0,"",VLOOKUP(AT1176,Vessel!A:F,5,FALSE)),"")</f>
        <v/>
      </c>
      <c r="AL1176" s="1404">
        <v>46377</v>
      </c>
      <c r="AM1176" s="1418">
        <f>IFERROR(VLOOKUP(AT1176, Vessel!A:H, 8, FALSE), "")</f>
        <v>46377.791666666664</v>
      </c>
      <c r="AN1176" s="1418" t="str">
        <f>IFERROR(IF(VLOOKUP(AT1176,Vessel!A:I,9,FALSE)=0,"",VLOOKUP(AT1176,Vessel!A:I,9,FALSE)),"")</f>
        <v/>
      </c>
      <c r="AP1176" s="475" t="s">
        <v>7321</v>
      </c>
      <c r="AQ1176" s="1407" t="s">
        <v>80</v>
      </c>
      <c r="AR1176" s="1408" t="s">
        <v>7322</v>
      </c>
      <c r="AS1176" s="475" t="s">
        <v>7323</v>
      </c>
      <c r="AT1176" s="475" t="s">
        <v>7323</v>
      </c>
      <c r="AU1176" s="1408"/>
      <c r="AW1176" s="1404" cm="1">
        <f t="array" ref="AW117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46377.791666666664</v>
      </c>
      <c r="AX1176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76" s="1404">
        <f>IF(ISERROR(PV_DATA[[#This Row],[New Ark PO status]]),"",_xlfn.XLOOKUP(PV_DATA[[#This Row],[SPTN-PVHK New Ark PO'#]],New_Ark_Data[Purchase order Number],New_Ark_Data[Estimated time of arrival],"",0))</f>
        <v>0</v>
      </c>
      <c r="AZ1176" s="1399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76" s="1404">
        <f>IFERROR(PV_DATA[[#This Row],[ODP ETA Port]]+PV_DATA[[#This Row],[Customs/Leg3 Assumption]],"n/a")</f>
        <v>46385.791666666664</v>
      </c>
      <c r="BB1176" s="1399" t="s">
        <v>6545</v>
      </c>
      <c r="BC1176" s="1399" t="s">
        <v>6545</v>
      </c>
      <c r="BD1176" s="475">
        <f>IFERROR(_xlfn.ISOWEEKNUM(PV_DATA[[#This Row],[ETA for New Ark update]]),0)</f>
        <v>53</v>
      </c>
      <c r="BE1176" s="475">
        <f>_xlfn.XLOOKUP(PV_DATA[[#This Row],[New Ark SKU]],Table9[New Ark SKU],Table9[Total PCS per Pallet],,0)</f>
        <v>36</v>
      </c>
      <c r="BF1176" s="475">
        <f>_xlfn.XLOOKUP(PV_DATA[[#This Row],[New Ark SKU]],Table9[New Ark SKU],Table9[Total PCS per 40HQ Container],,0)</f>
        <v>792</v>
      </c>
      <c r="BG1176" s="475" t="str">
        <f>_xlfn.XLOOKUP(PV_DATA[[#This Row],[New Ark SKU]],Table9[New Ark SKU],Table9[Back Glass],,0)</f>
        <v>Black glazing</v>
      </c>
      <c r="BH1176" s="1410" t="str">
        <f>_xlfn.XLOOKUP(PV_DATA[[#This Row],[PORT DESTINATION]],Table12[PORT DESTINATION],Table12[Cosco Line],,0)</f>
        <v>AEM</v>
      </c>
    </row>
    <row r="1177" spans="1:62" s="475" customFormat="1" ht="10.5" hidden="1">
      <c r="A1177" s="1398" t="s">
        <v>7326</v>
      </c>
      <c r="B1177" s="721" t="s">
        <v>111</v>
      </c>
      <c r="C1177" s="721" t="str">
        <f>IFERROR(LEFT(PV_DATA[[#This Row],[TCL REFERENCE]],FIND(".",PV_DATA[[#This Row],[TCL REFERENCE]],1)-1),"Main Line")</f>
        <v>26Aug017</v>
      </c>
      <c r="D1177" s="721" t="s">
        <v>63</v>
      </c>
      <c r="E1177" s="721" t="s">
        <v>64</v>
      </c>
      <c r="F1177" s="721" t="str" cm="1">
        <f t="array" ref="F117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177" s="721" t="s">
        <v>402</v>
      </c>
      <c r="H1177" s="721" t="s">
        <v>311</v>
      </c>
      <c r="I1177" s="721" t="s">
        <v>689</v>
      </c>
      <c r="J1177" s="475" t="s">
        <v>96</v>
      </c>
      <c r="N1177" s="476">
        <v>46305</v>
      </c>
      <c r="O1177" s="475" t="s">
        <v>170</v>
      </c>
      <c r="P1177" s="475" t="s">
        <v>171</v>
      </c>
      <c r="Q1177" s="475" t="s">
        <v>1731</v>
      </c>
      <c r="R1177" s="475" t="str">
        <f>_xlfn.XLOOKUP(PV_DATA[[#This Row],[New Ark SKU]],Table9[New Ark SKU],Table9[Connector],,0)</f>
        <v>EVO2A</v>
      </c>
      <c r="S1177" s="1399" t="str">
        <f>_xlfn.XLOOKUP(PV_DATA[[#This Row],[New Ark SKU]],Table9[New Ark SKU],Table9[Cable],,0)</f>
        <v>±1400mm</v>
      </c>
      <c r="T1177" s="1399">
        <v>555</v>
      </c>
      <c r="U1177" s="1068">
        <f>660*6</f>
        <v>3960</v>
      </c>
      <c r="V1177" s="1400">
        <f>PV_DATA[[#This Row],[QUANTITY]]*PV_DATA[[#This Row],[WATT]]/1000000</f>
        <v>2.1978</v>
      </c>
      <c r="W1177" s="1401">
        <f>PV_DATA[[#This Row],[QUANTITY]]/PV_DATA[[#This Row],[Qty/Pallet]]</f>
        <v>120</v>
      </c>
      <c r="X1177" s="1402">
        <f>PV_DATA[[#This Row],[QUANTITY]]/PV_DATA[[#This Row],[Qty/CT]]</f>
        <v>6</v>
      </c>
      <c r="Y1177" s="475" t="s">
        <v>4385</v>
      </c>
      <c r="AA1177" s="1403">
        <v>46318</v>
      </c>
      <c r="AB1177" s="1404">
        <v>46320</v>
      </c>
      <c r="AC1177" s="1405"/>
      <c r="AF1177" s="475" t="s">
        <v>122</v>
      </c>
      <c r="AG1177" s="475" t="s">
        <v>123</v>
      </c>
      <c r="AH1177" s="475" t="s">
        <v>314</v>
      </c>
      <c r="AI1177" s="1404">
        <v>46329</v>
      </c>
      <c r="AJ1177" s="1404">
        <f>IFERROR(VLOOKUP(AT1177, Vessel!A:D, 4, FALSE), "")</f>
        <v>46331.125</v>
      </c>
      <c r="AK1177" s="1404" t="str">
        <f>IFERROR(IF(VLOOKUP(AT1177,Vessel!A:F,5,FALSE)=0,"",VLOOKUP(AT1177,Vessel!A:F,5,FALSE)),"")</f>
        <v/>
      </c>
      <c r="AL1177" s="1404">
        <v>46372</v>
      </c>
      <c r="AM1177" s="1418">
        <f>IFERROR(VLOOKUP(AT1177, Vessel!A:H, 8, FALSE), "")</f>
        <v>46372.25</v>
      </c>
      <c r="AN1177" s="1418" t="str">
        <f>IFERROR(IF(VLOOKUP(AT1177,Vessel!A:I,9,FALSE)=0,"",VLOOKUP(AT1177,Vessel!A:I,9,FALSE)),"")</f>
        <v/>
      </c>
      <c r="AP1177" s="475" t="s">
        <v>7321</v>
      </c>
      <c r="AQ1177" s="475" t="s">
        <v>80</v>
      </c>
      <c r="AR1177" s="1408" t="s">
        <v>7327</v>
      </c>
      <c r="AS1177" s="475" t="s">
        <v>7328</v>
      </c>
      <c r="AT1177" s="475" t="s">
        <v>7328</v>
      </c>
      <c r="AU1177" s="1408"/>
      <c r="AV1177" s="1404"/>
      <c r="AW1177" s="1404" cm="1">
        <f t="array" ref="AW117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46372.25</v>
      </c>
      <c r="AX1177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77" s="1404" t="str">
        <f>IF(ISERROR(PV_DATA[[#This Row],[New Ark PO status]]),"",_xlfn.XLOOKUP(PV_DATA[[#This Row],[SPTN-PVHK New Ark PO'#]],New_Ark_Data[Purchase order Number],New_Ark_Data[Estimated time of arrival],"",0))</f>
        <v/>
      </c>
      <c r="AZ1177" s="1399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177" s="1404">
        <f>IFERROR(PV_DATA[[#This Row],[ODP ETA Port]]+PV_DATA[[#This Row],[Customs/Leg3 Assumption]],"n/a")</f>
        <v>46382.25</v>
      </c>
      <c r="BB1177" s="1399">
        <f>YEAR(PV_DATA[[#This Row],[ETA for New Ark update]])</f>
        <v>2026</v>
      </c>
      <c r="BC1177" s="475">
        <f>MONTH(PV_DATA[[#This Row],[ETA for New Ark update]])</f>
        <v>12</v>
      </c>
      <c r="BD1177" s="475">
        <f>IFERROR(_xlfn.ISOWEEKNUM(PV_DATA[[#This Row],[ETA for New Ark update]]),0)</f>
        <v>52</v>
      </c>
      <c r="BE1177" s="475">
        <f>_xlfn.XLOOKUP(PV_DATA[[#This Row],[New Ark SKU]],Table9[New Ark SKU],Table9[Total PCS per Pallet],,0)</f>
        <v>33</v>
      </c>
      <c r="BF1177" s="475">
        <f>_xlfn.XLOOKUP(PV_DATA[[#This Row],[New Ark SKU]],Table9[New Ark SKU],Table9[Total PCS per 40HQ Container],,0)</f>
        <v>660</v>
      </c>
      <c r="BG1177" s="475" t="str">
        <f>_xlfn.XLOOKUP(PV_DATA[[#This Row],[New Ark SKU]],Table9[New Ark SKU],Table9[Back Glass],,0)</f>
        <v>White glazing</v>
      </c>
      <c r="BH1177" s="475" t="str">
        <f>_xlfn.XLOOKUP(PV_DATA[[#This Row],[PORT DESTINATION]],Table12[PORT DESTINATION],Table12[Cosco Line],,0)</f>
        <v>AEM</v>
      </c>
    </row>
    <row r="1178" spans="1:62" s="475" customFormat="1" hidden="1">
      <c r="A1178" s="1422" t="s">
        <v>7329</v>
      </c>
      <c r="B1178" s="1412" t="s">
        <v>111</v>
      </c>
      <c r="C1178" s="721" t="str">
        <f>IFERROR(LEFT(PV_DATA[[#This Row],[TCL REFERENCE]],FIND(".",PV_DATA[[#This Row],[TCL REFERENCE]],1)-1),"Main Line")</f>
        <v>26Oct003</v>
      </c>
      <c r="D1178" s="1412" t="s">
        <v>63</v>
      </c>
      <c r="E1178" s="721" t="s">
        <v>64</v>
      </c>
      <c r="F1178" s="721" t="str" cm="1">
        <f t="array" ref="F117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178" s="1412" t="s">
        <v>402</v>
      </c>
      <c r="H1178" s="721" t="s">
        <v>115</v>
      </c>
      <c r="I1178" s="1412" t="s">
        <v>1395</v>
      </c>
      <c r="J1178" s="475" t="s">
        <v>96</v>
      </c>
      <c r="M1178" s="1408" t="s">
        <v>68</v>
      </c>
      <c r="N1178" s="476">
        <v>46321</v>
      </c>
      <c r="O1178" s="1408" t="s">
        <v>4540</v>
      </c>
      <c r="P1178" s="475" t="s">
        <v>7330</v>
      </c>
      <c r="Q1178" s="475" t="s">
        <v>1484</v>
      </c>
      <c r="R1178" s="475" t="str">
        <f>_xlfn.XLOOKUP(PV_DATA[[#This Row],[New Ark SKU]],Table9[New Ark SKU],Table9[Connector],,0)</f>
        <v>H4(Com)</v>
      </c>
      <c r="S1178" s="1399" t="str">
        <f>_xlfn.XLOOKUP(PV_DATA[[#This Row],[New Ark SKU]],Table9[New Ark SKU],Table9[Cable],,0)</f>
        <v>±1400mm</v>
      </c>
      <c r="T1178" s="1399">
        <v>725</v>
      </c>
      <c r="U1178" s="1068">
        <f>594*2</f>
        <v>1188</v>
      </c>
      <c r="V1178" s="1400">
        <f>PV_DATA[[#This Row],[QUANTITY]]*PV_DATA[[#This Row],[WATT]]/1000000</f>
        <v>0.86129999999999995</v>
      </c>
      <c r="W1178" s="1401">
        <f>PV_DATA[[#This Row],[QUANTITY]]/PV_DATA[[#This Row],[Qty/Pallet]]</f>
        <v>36</v>
      </c>
      <c r="X1178" s="1417">
        <f>PV_DATA[[#This Row],[QUANTITY]]/PV_DATA[[#This Row],[Qty/CT]]</f>
        <v>2</v>
      </c>
      <c r="Y1178" s="475" t="s">
        <v>4385</v>
      </c>
      <c r="Z1178" s="1430" t="str">
        <f t="shared" ref="Z1178" si="29">IF(AN1178&lt;&gt;"","COMPLETED",IF(AK1178&lt;&gt;"","IN-TRANSIT",""))</f>
        <v>IN-TRANSIT</v>
      </c>
      <c r="AA1178" s="475" t="s">
        <v>7331</v>
      </c>
      <c r="AB1178" s="1404">
        <v>46316</v>
      </c>
      <c r="AC1178" s="1405">
        <f>IF(PV_DATA[[#This Row],[Pick-Up Date]]&lt;&gt;"",_xlfn.ISOWEEKNUM(PV_DATA[[#This Row],[Pick-Up Date]]),"")</f>
        <v>43</v>
      </c>
      <c r="AD1178" s="475" t="s">
        <v>7332</v>
      </c>
      <c r="AE1178" s="1399"/>
      <c r="AF1178" s="475" t="s">
        <v>122</v>
      </c>
      <c r="AG1178" s="475" t="s">
        <v>123</v>
      </c>
      <c r="AH1178" s="1408" t="s">
        <v>124</v>
      </c>
      <c r="AI1178" s="1404">
        <v>46321</v>
      </c>
      <c r="AJ1178" s="1404">
        <f>IFERROR(VLOOKUP(AT1178, Vessel!A:D, 4, FALSE), "")</f>
        <v>46324.583333333336</v>
      </c>
      <c r="AK1178" s="1404">
        <f>IFERROR(IF(VLOOKUP(AT1178,Vessel!A:F,5,FALSE)=0,"",VLOOKUP(AT1178,Vessel!A:F,5,FALSE)),"")</f>
        <v>46324.605127314811</v>
      </c>
      <c r="AL1178" s="1404">
        <v>46359</v>
      </c>
      <c r="AM1178" s="1418">
        <f>IFERROR(VLOOKUP(AT1178, Vessel!A:H, 8, FALSE), "")</f>
        <v>46359.833333333336</v>
      </c>
      <c r="AN1178" s="1418" t="str">
        <f>IFERROR(IF(VLOOKUP(AT1178,Vessel!A:I,9,FALSE)=0,"",VLOOKUP(AT1178,Vessel!A:I,9,FALSE)),"")</f>
        <v/>
      </c>
      <c r="AP1178" s="475" t="s">
        <v>7274</v>
      </c>
      <c r="AQ1178" s="1407" t="s">
        <v>80</v>
      </c>
      <c r="AR1178" s="1408" t="s">
        <v>7333</v>
      </c>
      <c r="AS1178" s="475" t="s">
        <v>7334</v>
      </c>
      <c r="AT1178" s="475" t="s">
        <v>7334</v>
      </c>
      <c r="AU1178" s="1408"/>
      <c r="AW1178" s="1404" cm="1">
        <f t="array" ref="AW117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46359.833333333336</v>
      </c>
      <c r="AX1178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78" s="1404" t="str">
        <f>IF(ISERROR(PV_DATA[[#This Row],[New Ark PO status]]),"",_xlfn.XLOOKUP(PV_DATA[[#This Row],[SPTN-PVHK New Ark PO'#]],New_Ark_Data[Purchase order Number],New_Ark_Data[Estimated time of arrival],"",0))</f>
        <v/>
      </c>
      <c r="AZ1178" s="1399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178" s="1404">
        <f>IFERROR(PV_DATA[[#This Row],[ODP ETA Port]]+PV_DATA[[#This Row],[Customs/Leg3 Assumption]],"n/a")</f>
        <v>46368.833333333336</v>
      </c>
      <c r="BB1178" s="1399">
        <f>YEAR(PV_DATA[[#This Row],[ETA for New Ark update]])</f>
        <v>2026</v>
      </c>
      <c r="BC1178" s="475">
        <f>MONTH(PV_DATA[[#This Row],[ETA for New Ark update]])</f>
        <v>12</v>
      </c>
      <c r="BD1178" s="475">
        <f>IFERROR(_xlfn.ISOWEEKNUM(PV_DATA[[#This Row],[ETA for New Ark update]]),0)</f>
        <v>50</v>
      </c>
      <c r="BE1178" s="475">
        <f>_xlfn.XLOOKUP(PV_DATA[[#This Row],[New Ark SKU]],Table9[New Ark SKU],Table9[Total PCS per Pallet],,0)</f>
        <v>33</v>
      </c>
      <c r="BF1178" s="475">
        <v>594</v>
      </c>
      <c r="BG1178" s="475" t="str">
        <f>_xlfn.XLOOKUP(PV_DATA[[#This Row],[New Ark SKU]],Table9[New Ark SKU],Table9[Back Glass],,0)</f>
        <v>Redirection Film</v>
      </c>
      <c r="BH1178" s="1410" t="str">
        <f>_xlfn.XLOOKUP(PV_DATA[[#This Row],[PORT DESTINATION]],Table12[PORT DESTINATION],Table12[Cosco Line],,0)</f>
        <v>AEM</v>
      </c>
      <c r="BJ1178" s="1427"/>
    </row>
    <row r="1179" spans="1:62" s="475" customFormat="1" hidden="1">
      <c r="A1179" s="1422" t="s">
        <v>7335</v>
      </c>
      <c r="B1179" s="1412" t="s">
        <v>111</v>
      </c>
      <c r="C1179" s="721" t="str">
        <f>IFERROR(LEFT(PV_DATA[[#This Row],[TCL REFERENCE]],FIND(".",PV_DATA[[#This Row],[TCL REFERENCE]],1)-1),"Main Line")</f>
        <v>26Oct004</v>
      </c>
      <c r="D1179" s="1412" t="s">
        <v>63</v>
      </c>
      <c r="E1179" s="721" t="s">
        <v>64</v>
      </c>
      <c r="F1179" s="721" t="str" cm="1">
        <f t="array" ref="F117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179" s="1412" t="s">
        <v>402</v>
      </c>
      <c r="H1179" s="721" t="s">
        <v>115</v>
      </c>
      <c r="I1179" s="1412" t="s">
        <v>1395</v>
      </c>
      <c r="J1179" s="475" t="s">
        <v>96</v>
      </c>
      <c r="M1179" s="1408" t="s">
        <v>68</v>
      </c>
      <c r="N1179" s="476">
        <v>46321</v>
      </c>
      <c r="O1179" s="1408" t="s">
        <v>4540</v>
      </c>
      <c r="P1179" s="475" t="s">
        <v>7336</v>
      </c>
      <c r="Q1179" s="475" t="s">
        <v>1682</v>
      </c>
      <c r="R1179" s="475" t="str">
        <f>_xlfn.XLOOKUP(PV_DATA[[#This Row],[New Ark SKU]],Table9[New Ark SKU],Table9[Connector],,0)</f>
        <v>H4(Com)</v>
      </c>
      <c r="S1179" s="1399" t="str">
        <f>_xlfn.XLOOKUP(PV_DATA[[#This Row],[New Ark SKU]],Table9[New Ark SKU],Table9[Cable],,0)</f>
        <v>±1400mm</v>
      </c>
      <c r="T1179" s="1399">
        <v>730</v>
      </c>
      <c r="U1179" s="1068">
        <f>594*3</f>
        <v>1782</v>
      </c>
      <c r="V1179" s="1400">
        <f>PV_DATA[[#This Row],[QUANTITY]]*PV_DATA[[#This Row],[WATT]]/1000000</f>
        <v>1.3008599999999999</v>
      </c>
      <c r="W1179" s="1401">
        <f>PV_DATA[[#This Row],[QUANTITY]]/PV_DATA[[#This Row],[Qty/Pallet]]</f>
        <v>54</v>
      </c>
      <c r="X1179" s="1417">
        <f>PV_DATA[[#This Row],[QUANTITY]]/PV_DATA[[#This Row],[Qty/CT]]</f>
        <v>3</v>
      </c>
      <c r="Y1179" s="475" t="s">
        <v>4386</v>
      </c>
      <c r="Z1179" s="1430" t="str">
        <f>IF(AN1179&lt;&gt;"","COMPLETED",IF(AK1179&lt;&gt;"","IN-TRANSIT",""))</f>
        <v>IN-TRANSIT</v>
      </c>
      <c r="AA1179" s="475" t="s">
        <v>7331</v>
      </c>
      <c r="AB1179" s="1404">
        <v>46316</v>
      </c>
      <c r="AC1179" s="1405">
        <f>IF(PV_DATA[[#This Row],[Pick-Up Date]]&lt;&gt;"",_xlfn.ISOWEEKNUM(PV_DATA[[#This Row],[Pick-Up Date]]),"")</f>
        <v>43</v>
      </c>
      <c r="AD1179" s="475" t="s">
        <v>7337</v>
      </c>
      <c r="AE1179" s="1399"/>
      <c r="AF1179" s="475" t="s">
        <v>122</v>
      </c>
      <c r="AG1179" s="475" t="s">
        <v>123</v>
      </c>
      <c r="AH1179" s="1408" t="s">
        <v>124</v>
      </c>
      <c r="AI1179" s="1404">
        <v>46321</v>
      </c>
      <c r="AJ1179" s="1404">
        <f>IFERROR(VLOOKUP(AT1179, Vessel!A:D, 4, FALSE), "")</f>
        <v>46324.583333333336</v>
      </c>
      <c r="AK1179" s="1404">
        <f>IFERROR(IF(VLOOKUP(AT1179,Vessel!A:F,5,FALSE)=0,"",VLOOKUP(AT1179,Vessel!A:F,5,FALSE)),"")</f>
        <v>46324.605127314811</v>
      </c>
      <c r="AL1179" s="1404">
        <v>46359</v>
      </c>
      <c r="AM1179" s="1418">
        <f>IFERROR(VLOOKUP(AT1179, Vessel!A:H, 8, FALSE), "")</f>
        <v>46359.833333333336</v>
      </c>
      <c r="AN1179" s="1418" t="str">
        <f>IFERROR(IF(VLOOKUP(AT1179,Vessel!A:I,9,FALSE)=0,"",VLOOKUP(AT1179,Vessel!A:I,9,FALSE)),"")</f>
        <v/>
      </c>
      <c r="AP1179" s="475" t="s">
        <v>7274</v>
      </c>
      <c r="AQ1179" s="1407" t="s">
        <v>80</v>
      </c>
      <c r="AR1179" s="1408" t="s">
        <v>7333</v>
      </c>
      <c r="AS1179" s="475" t="s">
        <v>7334</v>
      </c>
      <c r="AT1179" s="475" t="s">
        <v>7334</v>
      </c>
      <c r="AU1179" s="1408"/>
      <c r="AW1179" s="1404" cm="1">
        <f t="array" ref="AW117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46359.833333333336</v>
      </c>
      <c r="AX1179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79" s="1404" t="str">
        <f>IF(ISERROR(PV_DATA[[#This Row],[New Ark PO status]]),"",_xlfn.XLOOKUP(PV_DATA[[#This Row],[SPTN-PVHK New Ark PO'#]],New_Ark_Data[Purchase order Number],New_Ark_Data[Estimated time of arrival],"",0))</f>
        <v/>
      </c>
      <c r="AZ1179" s="1399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179" s="1404">
        <f>IFERROR(PV_DATA[[#This Row],[ODP ETA Port]]+PV_DATA[[#This Row],[Customs/Leg3 Assumption]],"n/a")</f>
        <v>46368.833333333336</v>
      </c>
      <c r="BB1179" s="1399">
        <f>YEAR(PV_DATA[[#This Row],[ETA for New Ark update]])</f>
        <v>2026</v>
      </c>
      <c r="BC1179" s="475">
        <f>MONTH(PV_DATA[[#This Row],[ETA for New Ark update]])</f>
        <v>12</v>
      </c>
      <c r="BD1179" s="475">
        <f>IFERROR(_xlfn.ISOWEEKNUM(PV_DATA[[#This Row],[ETA for New Ark update]]),0)</f>
        <v>50</v>
      </c>
      <c r="BE1179" s="475">
        <v>33</v>
      </c>
      <c r="BF1179" s="475">
        <v>594</v>
      </c>
      <c r="BG1179" s="475" t="str">
        <f>_xlfn.XLOOKUP(PV_DATA[[#This Row],[New Ark SKU]],Table9[New Ark SKU],Table9[Back Glass],,0)</f>
        <v>Redirection Film</v>
      </c>
      <c r="BH1179" s="1410" t="str">
        <f>_xlfn.XLOOKUP(PV_DATA[[#This Row],[PORT DESTINATION]],Table12[PORT DESTINATION],Table12[Cosco Line],,0)</f>
        <v>AEM</v>
      </c>
      <c r="BJ1179" s="1427"/>
    </row>
    <row r="1180" spans="1:62" s="475" customFormat="1" hidden="1">
      <c r="A1180" s="1422" t="s">
        <v>7338</v>
      </c>
      <c r="B1180" s="1412" t="s">
        <v>1757</v>
      </c>
      <c r="C1180" s="1412" t="str">
        <f>IFERROR(LEFT(PV_DATA[[#This Row],[TCL REFERENCE]],FIND(".",PV_DATA[[#This Row],[TCL REFERENCE]],1)-1),"Main Line")</f>
        <v>26Oct007</v>
      </c>
      <c r="D1180" s="1412" t="s">
        <v>63</v>
      </c>
      <c r="E1180" s="721" t="s">
        <v>64</v>
      </c>
      <c r="F1180" s="721" t="str" cm="1">
        <f t="array" ref="F118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80" s="1412" t="s">
        <v>402</v>
      </c>
      <c r="H1180" s="721" t="s">
        <v>67</v>
      </c>
      <c r="I1180" s="721" t="s">
        <v>882</v>
      </c>
      <c r="J1180" s="475" t="s">
        <v>96</v>
      </c>
      <c r="K1180" s="1408"/>
      <c r="L1180" s="1408"/>
      <c r="M1180" s="475" t="s">
        <v>68</v>
      </c>
      <c r="N1180" s="1414"/>
      <c r="O1180" s="1408" t="s">
        <v>284</v>
      </c>
      <c r="P1180" s="1408" t="s">
        <v>7223</v>
      </c>
      <c r="Q1180" s="1408" t="s">
        <v>7224</v>
      </c>
      <c r="R1180" s="475" t="str">
        <f>_xlfn.XLOOKUP(PV_DATA[[#This Row],[New Ark SKU]],Table9[New Ark SKU],Table9[Connector],,0)</f>
        <v>EVO2A</v>
      </c>
      <c r="S1180" s="1399" t="str">
        <f>_xlfn.XLOOKUP(PV_DATA[[#This Row],[New Ark SKU]],Table9[New Ark SKU],Table9[Cable],,0)</f>
        <v>±1200mm</v>
      </c>
      <c r="T1180" s="1415">
        <v>490</v>
      </c>
      <c r="U1180" s="1423">
        <f>936*3</f>
        <v>2808</v>
      </c>
      <c r="V1180" s="1416">
        <f>PV_DATA[[#This Row],[QUANTITY]]*PV_DATA[[#This Row],[WATT]]/1000000</f>
        <v>1.37592</v>
      </c>
      <c r="W1180" s="1424">
        <f>PV_DATA[[#This Row],[QUANTITY]]/PV_DATA[[#This Row],[Qty/Pallet]]</f>
        <v>78</v>
      </c>
      <c r="X1180" s="1417">
        <f>PV_DATA[[#This Row],[QUANTITY]]/PV_DATA[[#This Row],[Qty/CT]]</f>
        <v>3</v>
      </c>
      <c r="Y1180" s="475" t="s">
        <v>4384</v>
      </c>
      <c r="Z1180" s="1425" t="str">
        <f>IF(AN1180&lt;&gt;"","COMPLETED",IF(AK1180&lt;&gt;"","IN-TRANSIT",""))</f>
        <v/>
      </c>
      <c r="AA1180" s="1426">
        <v>46314</v>
      </c>
      <c r="AB1180" s="1418">
        <v>46323</v>
      </c>
      <c r="AC1180" s="1419">
        <f>IF(PV_DATA[[#This Row],[Pick-Up Date]]&lt;&gt;"",_xlfn.ISOWEEKNUM(PV_DATA[[#This Row],[Pick-Up Date]]),"")</f>
        <v>44</v>
      </c>
      <c r="AD1180" s="1408"/>
      <c r="AE1180" s="1415"/>
      <c r="AF1180" s="475" t="s">
        <v>6003</v>
      </c>
      <c r="AG1180" s="475" t="s">
        <v>6003</v>
      </c>
      <c r="AH1180" s="475" t="s">
        <v>105</v>
      </c>
      <c r="AI1180" s="1418">
        <v>46330</v>
      </c>
      <c r="AJ1180" s="1404">
        <f>IFERROR(VLOOKUP(AT1180, Vessel!A:D, 4, FALSE), "")</f>
        <v>46330.333333333336</v>
      </c>
      <c r="AK1180" s="1404" t="str">
        <f>IFERROR(IF(VLOOKUP(AT1180,Vessel!A:F,5,FALSE)=0,"",VLOOKUP(AT1180,Vessel!A:F,5,FALSE)),"")</f>
        <v/>
      </c>
      <c r="AL1180" s="1418">
        <v>46365</v>
      </c>
      <c r="AM1180" s="1418">
        <f>IFERROR(VLOOKUP(AT1180, Vessel!A:H, 8, FALSE), "")</f>
        <v>46365.875</v>
      </c>
      <c r="AN1180" s="1418" t="str">
        <f>IFERROR(IF(VLOOKUP(AT1180,Vessel!A:I,9,FALSE)=0,"",VLOOKUP(AT1180,Vessel!A:I,9,FALSE)),"")</f>
        <v/>
      </c>
      <c r="AO1180" s="1408"/>
      <c r="AP1180" s="1408" t="s">
        <v>7339</v>
      </c>
      <c r="AQ1180" s="1407" t="s">
        <v>80</v>
      </c>
      <c r="AR1180" s="1408" t="s">
        <v>7340</v>
      </c>
      <c r="AS1180" s="1408" t="s">
        <v>7341</v>
      </c>
      <c r="AT1180" s="1408" t="s">
        <v>7341</v>
      </c>
      <c r="AU1180" s="475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35.541666666664241</v>
      </c>
      <c r="AV1180" s="1408"/>
      <c r="AW1180" s="1418" cm="1">
        <f t="array" ref="AW118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46365.875</v>
      </c>
      <c r="AX1180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80" s="1418">
        <f>IF(ISERROR(PV_DATA[[#This Row],[New Ark PO status]]),"",_xlfn.XLOOKUP(PV_DATA[[#This Row],[SPTN-PVHK New Ark PO'#]],New_Ark_Data[Purchase order Number],New_Ark_Data[Estimated time of arrival],"",0))</f>
        <v>0</v>
      </c>
      <c r="AZ1180" s="1415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80" s="1418">
        <f>IFERROR(PV_DATA[[#This Row],[ODP ETA Port]]+PV_DATA[[#This Row],[Customs/Leg3 Assumption]],"n/a")</f>
        <v>46372.875</v>
      </c>
      <c r="BB1180" s="1415">
        <f>YEAR(PV_DATA[[#This Row],[ETA for New Ark update]])</f>
        <v>2026</v>
      </c>
      <c r="BC1180" s="1408">
        <f>MONTH(PV_DATA[[#This Row],[ETA for New Ark update]])</f>
        <v>12</v>
      </c>
      <c r="BD1180" s="1408">
        <f>IFERROR(_xlfn.ISOWEEKNUM(PV_DATA[[#This Row],[ETA for New Ark update]]),0)</f>
        <v>51</v>
      </c>
      <c r="BE1180" s="475">
        <f>_xlfn.XLOOKUP(PV_DATA[[#This Row],[New Ark SKU]],Table9[New Ark SKU],Table9[Total PCS per Pallet],,0)</f>
        <v>36</v>
      </c>
      <c r="BF1180" s="475">
        <f>_xlfn.XLOOKUP(PV_DATA[[#This Row],[New Ark SKU]],Table9[New Ark SKU],Table9[Total PCS per 40HQ Container],,0)</f>
        <v>936</v>
      </c>
      <c r="BG1180" s="475" t="str">
        <f>_xlfn.XLOOKUP(PV_DATA[[#This Row],[New Ark SKU]],Table9[New Ark SKU],Table9[Back Glass],,0)</f>
        <v>Black glazing</v>
      </c>
      <c r="BH1180" s="1421" t="str">
        <f>_xlfn.XLOOKUP(PV_DATA[[#This Row],[PORT DESTINATION]],Table12[PORT DESTINATION],Table12[Cosco Line],,0)</f>
        <v>AEU</v>
      </c>
      <c r="BJ1180" s="1427"/>
    </row>
    <row r="1181" spans="1:62" s="475" customFormat="1" hidden="1">
      <c r="A1181" s="1428" t="s">
        <v>7342</v>
      </c>
      <c r="B1181" s="1412" t="s">
        <v>1757</v>
      </c>
      <c r="C1181" s="1412" t="str">
        <f>IFERROR(LEFT(PV_DATA[[#This Row],[TCL REFERENCE]],FIND(".",PV_DATA[[#This Row],[TCL REFERENCE]],1)-1),"Main Line")</f>
        <v>26Oct007</v>
      </c>
      <c r="D1181" s="1412" t="s">
        <v>63</v>
      </c>
      <c r="E1181" s="721" t="s">
        <v>64</v>
      </c>
      <c r="F1181" s="721" t="str" cm="1">
        <f t="array" ref="F118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81" s="1412" t="s">
        <v>402</v>
      </c>
      <c r="H1181" s="721" t="s">
        <v>67</v>
      </c>
      <c r="I1181" s="721" t="s">
        <v>882</v>
      </c>
      <c r="J1181" s="475" t="s">
        <v>96</v>
      </c>
      <c r="K1181" s="1408"/>
      <c r="L1181" s="1408"/>
      <c r="M1181" s="475" t="s">
        <v>68</v>
      </c>
      <c r="N1181" s="1414"/>
      <c r="O1181" s="1408" t="s">
        <v>284</v>
      </c>
      <c r="P1181" s="1408" t="s">
        <v>7223</v>
      </c>
      <c r="Q1181" s="1408" t="s">
        <v>7224</v>
      </c>
      <c r="R1181" s="475" t="str">
        <f>_xlfn.XLOOKUP(PV_DATA[[#This Row],[New Ark SKU]],Table9[New Ark SKU],Table9[Connector],,0)</f>
        <v>EVO2A</v>
      </c>
      <c r="S1181" s="1399" t="str">
        <f>_xlfn.XLOOKUP(PV_DATA[[#This Row],[New Ark SKU]],Table9[New Ark SKU],Table9[Cable],,0)</f>
        <v>±1200mm</v>
      </c>
      <c r="T1181" s="1415">
        <v>490</v>
      </c>
      <c r="U1181" s="1423">
        <f>936*4</f>
        <v>3744</v>
      </c>
      <c r="V1181" s="1416">
        <f>PV_DATA[[#This Row],[QUANTITY]]*PV_DATA[[#This Row],[WATT]]/1000000</f>
        <v>1.83456</v>
      </c>
      <c r="W1181" s="1424">
        <f>PV_DATA[[#This Row],[QUANTITY]]/PV_DATA[[#This Row],[Qty/Pallet]]</f>
        <v>104</v>
      </c>
      <c r="X1181" s="1417">
        <f>PV_DATA[[#This Row],[QUANTITY]]/PV_DATA[[#This Row],[Qty/CT]]</f>
        <v>4</v>
      </c>
      <c r="Y1181" s="475" t="s">
        <v>4385</v>
      </c>
      <c r="Z1181" s="1425" t="str">
        <f>IF(AN1181&lt;&gt;"","COMPLETED",IF(AK1181&lt;&gt;"","IN-TRANSIT",""))</f>
        <v/>
      </c>
      <c r="AA1181" s="1426">
        <v>46315</v>
      </c>
      <c r="AB1181" s="1418">
        <v>46318</v>
      </c>
      <c r="AC1181" s="1419">
        <f>IF(PV_DATA[[#This Row],[Pick-Up Date]]&lt;&gt;"",_xlfn.ISOWEEKNUM(PV_DATA[[#This Row],[Pick-Up Date]]),"")</f>
        <v>43</v>
      </c>
      <c r="AD1181" s="1408" t="s">
        <v>7343</v>
      </c>
      <c r="AE1181" s="1415"/>
      <c r="AF1181" s="475" t="s">
        <v>6003</v>
      </c>
      <c r="AG1181" s="475" t="s">
        <v>6003</v>
      </c>
      <c r="AH1181" s="475" t="s">
        <v>105</v>
      </c>
      <c r="AI1181" s="1418">
        <v>46326</v>
      </c>
      <c r="AJ1181" s="1404">
        <f>IFERROR(VLOOKUP(AT1181, Vessel!A:D, 4, FALSE), "")</f>
        <v>46329.416666666664</v>
      </c>
      <c r="AK1181" s="1404" t="str">
        <f>IFERROR(IF(VLOOKUP(AT1181,Vessel!A:F,5,FALSE)=0,"",VLOOKUP(AT1181,Vessel!A:F,5,FALSE)),"")</f>
        <v/>
      </c>
      <c r="AL1181" s="1418">
        <v>46358</v>
      </c>
      <c r="AM1181" s="1418">
        <f>IFERROR(VLOOKUP(AT1181, Vessel!A:H, 8, FALSE), "")</f>
        <v>46361.208333333336</v>
      </c>
      <c r="AN1181" s="1418" t="str">
        <f>IFERROR(IF(VLOOKUP(AT1181,Vessel!A:I,9,FALSE)=0,"",VLOOKUP(AT1181,Vessel!A:I,9,FALSE)),"")</f>
        <v/>
      </c>
      <c r="AO1181" s="1408"/>
      <c r="AP1181" s="1408" t="s">
        <v>7214</v>
      </c>
      <c r="AQ1181" s="1433" t="s">
        <v>80</v>
      </c>
      <c r="AR1181" s="1408" t="s">
        <v>7344</v>
      </c>
      <c r="AS1181" s="1408" t="s">
        <v>7345</v>
      </c>
      <c r="AT1181" s="1434" t="s">
        <v>7345</v>
      </c>
      <c r="AU1181" s="475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31.791666666671517</v>
      </c>
      <c r="AV1181" s="1408"/>
      <c r="AW1181" s="1418" cm="1">
        <f t="array" ref="AW118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46361.208333333336</v>
      </c>
      <c r="AX1181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81" s="1418" t="str">
        <f>IF(ISERROR(PV_DATA[[#This Row],[New Ark PO status]]),"",_xlfn.XLOOKUP(PV_DATA[[#This Row],[SPTN-PVHK New Ark PO'#]],New_Ark_Data[Purchase order Number],New_Ark_Data[Estimated time of arrival],"",0))</f>
        <v/>
      </c>
      <c r="AZ1181" s="1415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81" s="1418">
        <f>IFERROR(PV_DATA[[#This Row],[ODP ETA Port]]+PV_DATA[[#This Row],[Customs/Leg3 Assumption]],"n/a")</f>
        <v>46368.208333333336</v>
      </c>
      <c r="BB1181" s="1415">
        <f>YEAR(PV_DATA[[#This Row],[ETA for New Ark update]])</f>
        <v>2026</v>
      </c>
      <c r="BC1181" s="1408">
        <f>MONTH(PV_DATA[[#This Row],[ETA for New Ark update]])</f>
        <v>12</v>
      </c>
      <c r="BD1181" s="1408">
        <f>IFERROR(_xlfn.ISOWEEKNUM(PV_DATA[[#This Row],[ETA for New Ark update]]),0)</f>
        <v>50</v>
      </c>
      <c r="BE1181" s="475">
        <f>_xlfn.XLOOKUP(PV_DATA[[#This Row],[New Ark SKU]],Table9[New Ark SKU],Table9[Total PCS per Pallet],,0)</f>
        <v>36</v>
      </c>
      <c r="BF1181" s="475">
        <f>_xlfn.XLOOKUP(PV_DATA[[#This Row],[New Ark SKU]],Table9[New Ark SKU],Table9[Total PCS per 40HQ Container],,0)</f>
        <v>936</v>
      </c>
      <c r="BG1181" s="475" t="str">
        <f>_xlfn.XLOOKUP(PV_DATA[[#This Row],[New Ark SKU]],Table9[New Ark SKU],Table9[Back Glass],,0)</f>
        <v>Black glazing</v>
      </c>
      <c r="BH1181" s="1421" t="str">
        <f>_xlfn.XLOOKUP(PV_DATA[[#This Row],[PORT DESTINATION]],Table12[PORT DESTINATION],Table12[Cosco Line],,0)</f>
        <v>AEU</v>
      </c>
      <c r="BJ1181" s="1427"/>
    </row>
    <row r="1182" spans="1:62" hidden="1">
      <c r="A1182" s="1386" t="s">
        <v>7346</v>
      </c>
      <c r="B1182" s="726" t="s">
        <v>61</v>
      </c>
      <c r="C1182" s="439" t="str">
        <f>IFERROR(LEFT(PV_DATA[[#This Row],[TCL REFERENCE]],FIND(".",PV_DATA[[#This Row],[TCL REFERENCE]],1)-1),"Main Line")</f>
        <v>26Oct006</v>
      </c>
      <c r="D1182" s="726" t="s">
        <v>63</v>
      </c>
      <c r="E1182" s="439" t="s">
        <v>64</v>
      </c>
      <c r="F1182" s="439" t="str" cm="1">
        <f t="array" ref="F118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182" s="726" t="s">
        <v>402</v>
      </c>
      <c r="H1182" s="726" t="s">
        <v>67</v>
      </c>
      <c r="I1182" s="431" t="s">
        <v>689</v>
      </c>
      <c r="J1182" s="619" t="s">
        <v>7347</v>
      </c>
      <c r="K1182" s="619"/>
      <c r="L1182" s="619"/>
      <c r="M1182" s="619" t="s">
        <v>68</v>
      </c>
      <c r="N1182" s="461">
        <v>46317</v>
      </c>
      <c r="O1182" s="619" t="s">
        <v>4540</v>
      </c>
      <c r="P1182" s="430" t="s">
        <v>1151</v>
      </c>
      <c r="Q1182" s="431" t="s">
        <v>421</v>
      </c>
      <c r="R1182" s="430" t="str">
        <f>_xlfn.XLOOKUP(PV_DATA[[#This Row],[New Ark SKU]],Table9[New Ark SKU],Table9[Connector],,0)</f>
        <v>EVO2A</v>
      </c>
      <c r="S1182" s="433" t="str">
        <f>_xlfn.XLOOKUP(PV_DATA[[#This Row],[New Ark SKU]],Table9[New Ark SKU],Table9[Cable],,0)</f>
        <v>±1200mm</v>
      </c>
      <c r="T1182" s="442">
        <v>505</v>
      </c>
      <c r="U1182" s="1067">
        <f>864</f>
        <v>864</v>
      </c>
      <c r="V1182" s="448">
        <f>PV_DATA[[#This Row],[QUANTITY]]*PV_DATA[[#This Row],[WATT]]/1000000</f>
        <v>0.43631999999999999</v>
      </c>
      <c r="W1182" s="466">
        <f>PV_DATA[[#This Row],[QUANTITY]]/PV_DATA[[#This Row],[Qty/Pallet]]</f>
        <v>24</v>
      </c>
      <c r="X1182" s="1022">
        <f>PV_DATA[[#This Row],[QUANTITY]]/PV_DATA[[#This Row],[Qty/CT]]</f>
        <v>1</v>
      </c>
      <c r="Y1182" s="431" t="s">
        <v>4386</v>
      </c>
      <c r="Z1182" s="1180" t="str">
        <f>IF(AN1182&lt;&gt;"","COMPLETED",IF(AK1182&lt;&gt;"","IN-TRANSIT",""))</f>
        <v/>
      </c>
      <c r="AA1182" s="450" t="s">
        <v>7348</v>
      </c>
      <c r="AB1182" s="441">
        <v>46319</v>
      </c>
      <c r="AC1182" s="467">
        <f>IF(PV_DATA[[#This Row],[Pick-Up Date]]&lt;&gt;"",_xlfn.ISOWEEKNUM(PV_DATA[[#This Row],[Pick-Up Date]]),"")</f>
        <v>43</v>
      </c>
      <c r="AD1182" s="431" t="s">
        <v>7349</v>
      </c>
      <c r="AE1182" s="442"/>
      <c r="AF1182" s="619" t="s">
        <v>61</v>
      </c>
      <c r="AG1182" s="619" t="s">
        <v>61</v>
      </c>
      <c r="AH1182" s="466" t="s">
        <v>314</v>
      </c>
      <c r="AI1182" s="441">
        <v>46323</v>
      </c>
      <c r="AJ1182" s="437">
        <f>IFERROR(VLOOKUP(AT1182, Vessel!A:D, 4, FALSE), "")</f>
        <v>46324.979166666664</v>
      </c>
      <c r="AK1182" s="437" t="str">
        <f>IFERROR(IF(VLOOKUP(AT1182,Vessel!A:F,5,FALSE)=0,"",VLOOKUP(AT1182,Vessel!A:F,5,FALSE)),"")</f>
        <v/>
      </c>
      <c r="AL1182" s="441">
        <v>46386</v>
      </c>
      <c r="AM1182" s="939">
        <f>IFERROR(VLOOKUP(AT1182, Vessel!A:H, 8, FALSE), "")</f>
        <v>46386.25</v>
      </c>
      <c r="AN1182" s="939" t="str">
        <f>IFERROR(IF(VLOOKUP(AT1182,Vessel!A:I,9,FALSE)=0,"",VLOOKUP(AT1182,Vessel!A:I,9,FALSE)),"")</f>
        <v/>
      </c>
      <c r="AO1182" s="431"/>
      <c r="AP1182" s="431" t="s">
        <v>7350</v>
      </c>
      <c r="AQ1182" s="431" t="s">
        <v>80</v>
      </c>
      <c r="AR1182" s="619" t="s">
        <v>7351</v>
      </c>
      <c r="AS1182" s="431" t="s">
        <v>7352</v>
      </c>
      <c r="AT1182" s="431" t="s">
        <v>7352</v>
      </c>
      <c r="AU1182" s="619"/>
      <c r="AV1182" s="431"/>
      <c r="AW1182" s="441" cm="1">
        <f t="array" ref="AW118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46386.25</v>
      </c>
      <c r="AX118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82" s="441" t="str">
        <f>IF(ISERROR(PV_DATA[[#This Row],[New Ark PO status]]),"",_xlfn.XLOOKUP(PV_DATA[[#This Row],[SPTN-PVHK New Ark PO'#]],New_Ark_Data[Purchase order Number],New_Ark_Data[Estimated time of arrival],"",0))</f>
        <v/>
      </c>
      <c r="AZ1182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182" s="441">
        <f>IFERROR(PV_DATA[[#This Row],[ODP ETA Port]]+PV_DATA[[#This Row],[Customs/Leg3 Assumption]],"n/a")</f>
        <v>46396.25</v>
      </c>
      <c r="BB1182" s="442">
        <f>YEAR(PV_DATA[[#This Row],[ETA for New Ark update]])</f>
        <v>2027</v>
      </c>
      <c r="BC1182" s="431">
        <f>MONTH(PV_DATA[[#This Row],[ETA for New Ark update]])</f>
        <v>1</v>
      </c>
      <c r="BD1182" s="431">
        <f>IFERROR(_xlfn.ISOWEEKNUM(PV_DATA[[#This Row],[ETA for New Ark update]]),0)</f>
        <v>1</v>
      </c>
      <c r="BE1182" s="431">
        <f>_xlfn.XLOOKUP(PV_DATA[[#This Row],[New Ark SKU]],Table9[New Ark SKU],Table9[Total PCS per Pallet],,0)</f>
        <v>36</v>
      </c>
      <c r="BF1182" s="431">
        <f>_xlfn.XLOOKUP(PV_DATA[[#This Row],[New Ark SKU]],Table9[New Ark SKU],Table9[Total PCS per 40HQ Container],,0)</f>
        <v>864</v>
      </c>
      <c r="BG1182" s="431" t="str">
        <f>_xlfn.XLOOKUP(PV_DATA[[#This Row],[New Ark SKU]],Table9[New Ark SKU],Table9[Back Glass],,0)</f>
        <v>Black glazing</v>
      </c>
      <c r="BH1182" s="622" t="str">
        <f>_xlfn.XLOOKUP(PV_DATA[[#This Row],[PORT DESTINATION]],Table12[PORT DESTINATION],Table12[Cosco Line],,0)</f>
        <v>AEM</v>
      </c>
    </row>
    <row r="1183" spans="1:62" hidden="1">
      <c r="A1183" s="1179" t="s">
        <v>7353</v>
      </c>
      <c r="B1183" s="726" t="s">
        <v>61</v>
      </c>
      <c r="C1183" s="439" t="str">
        <f>IFERROR(LEFT(PV_DATA[[#This Row],[TCL REFERENCE]],FIND(".",PV_DATA[[#This Row],[TCL REFERENCE]],1)-1),"Main Line")</f>
        <v>26Oct006</v>
      </c>
      <c r="D1183" s="726" t="s">
        <v>63</v>
      </c>
      <c r="E1183" s="439" t="s">
        <v>64</v>
      </c>
      <c r="F1183" s="439" t="str" cm="1">
        <f t="array" ref="F118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183" s="726" t="s">
        <v>402</v>
      </c>
      <c r="H1183" s="726" t="s">
        <v>67</v>
      </c>
      <c r="I1183" s="431" t="s">
        <v>689</v>
      </c>
      <c r="J1183" s="619" t="s">
        <v>7347</v>
      </c>
      <c r="K1183" s="619"/>
      <c r="L1183" s="619"/>
      <c r="M1183" s="619" t="s">
        <v>68</v>
      </c>
      <c r="N1183" s="461">
        <v>46317</v>
      </c>
      <c r="O1183" s="619" t="s">
        <v>4540</v>
      </c>
      <c r="P1183" s="430" t="s">
        <v>1151</v>
      </c>
      <c r="Q1183" s="431" t="s">
        <v>421</v>
      </c>
      <c r="R1183" s="430" t="str">
        <f>_xlfn.XLOOKUP(PV_DATA[[#This Row],[New Ark SKU]],Table9[New Ark SKU],Table9[Connector],,0)</f>
        <v>EVO2A</v>
      </c>
      <c r="S1183" s="433" t="str">
        <f>_xlfn.XLOOKUP(PV_DATA[[#This Row],[New Ark SKU]],Table9[New Ark SKU],Table9[Cable],,0)</f>
        <v>±1200mm</v>
      </c>
      <c r="T1183" s="442">
        <v>505</v>
      </c>
      <c r="U1183" s="1067">
        <f>864*4</f>
        <v>3456</v>
      </c>
      <c r="V1183" s="448">
        <f>PV_DATA[[#This Row],[QUANTITY]]*PV_DATA[[#This Row],[WATT]]/1000000</f>
        <v>1.7452799999999999</v>
      </c>
      <c r="W1183" s="466">
        <f>PV_DATA[[#This Row],[QUANTITY]]/PV_DATA[[#This Row],[Qty/Pallet]]</f>
        <v>96</v>
      </c>
      <c r="X1183" s="1022">
        <f>PV_DATA[[#This Row],[QUANTITY]]/PV_DATA[[#This Row],[Qty/CT]]</f>
        <v>4</v>
      </c>
      <c r="Y1183" s="431" t="s">
        <v>4387</v>
      </c>
      <c r="Z1183" s="1180" t="str">
        <f>IF(AN1183&lt;&gt;"","COMPLETED",IF(AK1183&lt;&gt;"","IN-TRANSIT",""))</f>
        <v>IN-TRANSIT</v>
      </c>
      <c r="AA1183" s="661">
        <v>46316</v>
      </c>
      <c r="AB1183" s="441">
        <v>46316</v>
      </c>
      <c r="AC1183" s="467">
        <f>IF(PV_DATA[[#This Row],[Pick-Up Date]]&lt;&gt;"",_xlfn.ISOWEEKNUM(PV_DATA[[#This Row],[Pick-Up Date]]),"")</f>
        <v>43</v>
      </c>
      <c r="AD1183" s="431" t="s">
        <v>7354</v>
      </c>
      <c r="AE1183" s="442"/>
      <c r="AF1183" s="619" t="s">
        <v>61</v>
      </c>
      <c r="AG1183" s="619" t="s">
        <v>61</v>
      </c>
      <c r="AH1183" s="466" t="s">
        <v>78</v>
      </c>
      <c r="AI1183" s="441">
        <v>46319</v>
      </c>
      <c r="AJ1183" s="441">
        <f>IFERROR(VLOOKUP(AT1183, Vessel!A:D, 4, FALSE), "")</f>
        <v>46319.833333333336</v>
      </c>
      <c r="AK1183" s="441">
        <f>IFERROR(IF(VLOOKUP(AT1183,Vessel!A:F,5,FALSE)=0,"",VLOOKUP(AT1183,Vessel!A:F,5,FALSE)),"")</f>
        <v>46319.84847222222</v>
      </c>
      <c r="AL1183" s="441">
        <v>46391</v>
      </c>
      <c r="AM1183" s="939">
        <f>IFERROR(VLOOKUP(AT1183, Vessel!A:H, 8, FALSE), "")</f>
        <v>46391.791666666664</v>
      </c>
      <c r="AN1183" s="939" t="str">
        <f>IFERROR(IF(VLOOKUP(AT1183,Vessel!A:I,9,FALSE)=0,"",VLOOKUP(AT1183,Vessel!A:I,9,FALSE)),"")</f>
        <v/>
      </c>
      <c r="AO1183" s="431"/>
      <c r="AP1183" s="431" t="s">
        <v>7355</v>
      </c>
      <c r="AQ1183" s="445" t="s">
        <v>80</v>
      </c>
      <c r="AR1183" s="619" t="s">
        <v>7356</v>
      </c>
      <c r="AS1183" s="431" t="s">
        <v>7357</v>
      </c>
      <c r="AT1183" s="431" t="s">
        <v>7357</v>
      </c>
      <c r="AU1183" s="619"/>
      <c r="AV1183" s="431"/>
      <c r="AW1183" s="441" cm="1">
        <f t="array" ref="AW118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46391.791666666664</v>
      </c>
      <c r="AX118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83" s="441" t="str">
        <f>IF(ISERROR(PV_DATA[[#This Row],[New Ark PO status]]),"",_xlfn.XLOOKUP(PV_DATA[[#This Row],[SPTN-PVHK New Ark PO'#]],New_Ark_Data[Purchase order Number],New_Ark_Data[Estimated time of arrival],"",0))</f>
        <v/>
      </c>
      <c r="AZ1183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183" s="441">
        <f>IFERROR(PV_DATA[[#This Row],[ODP ETA Port]]+PV_DATA[[#This Row],[Customs/Leg3 Assumption]],"n/a")</f>
        <v>46399.791666666664</v>
      </c>
      <c r="BB1183" s="442">
        <f>YEAR(PV_DATA[[#This Row],[ETA for New Ark update]])</f>
        <v>2027</v>
      </c>
      <c r="BC1183" s="431">
        <f>MONTH(PV_DATA[[#This Row],[ETA for New Ark update]])</f>
        <v>1</v>
      </c>
      <c r="BD1183" s="431">
        <f>IFERROR(_xlfn.ISOWEEKNUM(PV_DATA[[#This Row],[ETA for New Ark update]]),0)</f>
        <v>2</v>
      </c>
      <c r="BE1183" s="431">
        <f>_xlfn.XLOOKUP(PV_DATA[[#This Row],[New Ark SKU]],Table9[New Ark SKU],Table9[Total PCS per Pallet],,0)</f>
        <v>36</v>
      </c>
      <c r="BF1183" s="431">
        <f>_xlfn.XLOOKUP(PV_DATA[[#This Row],[New Ark SKU]],Table9[New Ark SKU],Table9[Total PCS per 40HQ Container],,0)</f>
        <v>864</v>
      </c>
      <c r="BG1183" s="431" t="str">
        <f>_xlfn.XLOOKUP(PV_DATA[[#This Row],[New Ark SKU]],Table9[New Ark SKU],Table9[Back Glass],,0)</f>
        <v>Black glazing</v>
      </c>
      <c r="BH1183" s="622" t="str">
        <f>_xlfn.XLOOKUP(PV_DATA[[#This Row],[PORT DESTINATION]],Table12[PORT DESTINATION],Table12[Cosco Line],,0)</f>
        <v>AEM</v>
      </c>
    </row>
    <row r="1184" spans="1:62" hidden="1">
      <c r="A1184" s="1179" t="s">
        <v>7358</v>
      </c>
      <c r="B1184" s="726" t="s">
        <v>1757</v>
      </c>
      <c r="C1184" s="726" t="str">
        <f>IFERROR(LEFT(PV_DATA[[#This Row],[TCL REFERENCE]],FIND(".",PV_DATA[[#This Row],[TCL REFERENCE]],1)-1),"Main Line")</f>
        <v>26Oct009</v>
      </c>
      <c r="D1184" s="726" t="s">
        <v>63</v>
      </c>
      <c r="E1184" s="439" t="s">
        <v>64</v>
      </c>
      <c r="F1184" s="439" t="str" cm="1">
        <f t="array" ref="F118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184" s="726" t="s">
        <v>402</v>
      </c>
      <c r="H1184" s="726" t="s">
        <v>311</v>
      </c>
      <c r="I1184" s="431" t="s">
        <v>689</v>
      </c>
      <c r="J1184" s="431" t="s">
        <v>96</v>
      </c>
      <c r="K1184" s="619"/>
      <c r="L1184" s="619"/>
      <c r="M1184" s="619" t="s">
        <v>68</v>
      </c>
      <c r="N1184" s="630"/>
      <c r="O1184" s="619" t="s">
        <v>284</v>
      </c>
      <c r="P1184" s="623" t="s">
        <v>5860</v>
      </c>
      <c r="Q1184" s="619" t="s">
        <v>5861</v>
      </c>
      <c r="R1184" s="430" t="str">
        <f>_xlfn.XLOOKUP(PV_DATA[[#This Row],[New Ark SKU]],Table9[New Ark SKU],Table9[Connector],,0)</f>
        <v>EVO2A</v>
      </c>
      <c r="S1184" s="433" t="str">
        <f>_xlfn.XLOOKUP(PV_DATA[[#This Row],[New Ark SKU]],Table9[New Ark SKU],Table9[Cable],,0)</f>
        <v>±1200mm</v>
      </c>
      <c r="T1184" s="620">
        <v>485</v>
      </c>
      <c r="U1184" s="1038">
        <f>936*2</f>
        <v>1872</v>
      </c>
      <c r="V1184" s="624">
        <f>PV_DATA[[#This Row],[QUANTITY]]*PV_DATA[[#This Row],[WATT]]/1000000</f>
        <v>0.90791999999999995</v>
      </c>
      <c r="W1184" s="625">
        <f>PV_DATA[[#This Row],[QUANTITY]]/PV_DATA[[#This Row],[Qty/Pallet]]</f>
        <v>52</v>
      </c>
      <c r="X1184" s="1022">
        <f>PV_DATA[[#This Row],[QUANTITY]]/PV_DATA[[#This Row],[Qty/CT]]</f>
        <v>2</v>
      </c>
      <c r="Y1184" s="431" t="s">
        <v>4384</v>
      </c>
      <c r="Z1184" s="1178" t="str">
        <f t="shared" ref="Z1184" si="30">IF(AN1184&lt;&gt;"","COMPLETED",IF(AK1184&lt;&gt;"","IN-TRANSIT",""))</f>
        <v/>
      </c>
      <c r="AA1184" s="619" t="s">
        <v>7359</v>
      </c>
      <c r="AB1184" s="626">
        <v>46323</v>
      </c>
      <c r="AC1184" s="627">
        <f>IF(PV_DATA[[#This Row],[Pick-Up Date]]&lt;&gt;"",_xlfn.ISOWEEKNUM(PV_DATA[[#This Row],[Pick-Up Date]]),"")</f>
        <v>44</v>
      </c>
      <c r="AD1184" s="619"/>
      <c r="AE1184" s="620"/>
      <c r="AF1184" s="430" t="s">
        <v>6003</v>
      </c>
      <c r="AG1184" s="430" t="s">
        <v>6003</v>
      </c>
      <c r="AH1184" s="431" t="s">
        <v>314</v>
      </c>
      <c r="AI1184" s="626">
        <v>46330</v>
      </c>
      <c r="AJ1184" s="437">
        <f>IFERROR(VLOOKUP(AT1184, Vessel!A:D, 4, FALSE), "")</f>
        <v>46333</v>
      </c>
      <c r="AK1184" s="437" t="str">
        <f>IFERROR(IF(VLOOKUP(AT1184,Vessel!A:F,5,FALSE)=0,"",VLOOKUP(AT1184,Vessel!A:F,5,FALSE)),"")</f>
        <v/>
      </c>
      <c r="AL1184" s="626">
        <v>46372</v>
      </c>
      <c r="AM1184" s="939">
        <f>IFERROR(VLOOKUP(AT1184, Vessel!A:H, 8, FALSE), "")</f>
        <v>46372.25</v>
      </c>
      <c r="AN1184" s="939" t="str">
        <f>IFERROR(IF(VLOOKUP(AT1184,Vessel!A:I,9,FALSE)=0,"",VLOOKUP(AT1184,Vessel!A:I,9,FALSE)),"")</f>
        <v/>
      </c>
      <c r="AO1184" s="619"/>
      <c r="AP1184" s="619" t="s">
        <v>7360</v>
      </c>
      <c r="AQ1184" s="1028" t="s">
        <v>80</v>
      </c>
      <c r="AR1184" s="619" t="s">
        <v>7361</v>
      </c>
      <c r="AS1184" s="619" t="s">
        <v>7362</v>
      </c>
      <c r="AT1184" s="619" t="s">
        <v>7362</v>
      </c>
      <c r="AU118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39.25</v>
      </c>
      <c r="AV1184" s="619"/>
      <c r="AW1184" s="626" cm="1">
        <f t="array" ref="AW118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46372.25</v>
      </c>
      <c r="AX118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84" s="626">
        <f>IF(ISERROR(PV_DATA[[#This Row],[New Ark PO status]]),"",_xlfn.XLOOKUP(PV_DATA[[#This Row],[SPTN-PVHK New Ark PO'#]],New_Ark_Data[Purchase order Number],New_Ark_Data[Estimated time of arrival],"",0))</f>
        <v>0</v>
      </c>
      <c r="AZ1184" s="620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184" s="626">
        <f>IFERROR(PV_DATA[[#This Row],[ODP ETA Port]]+PV_DATA[[#This Row],[Customs/Leg3 Assumption]],"n/a")</f>
        <v>46382.25</v>
      </c>
      <c r="BB1184" s="620">
        <f>YEAR(PV_DATA[[#This Row],[ETA for New Ark update]])</f>
        <v>2026</v>
      </c>
      <c r="BC1184" s="619">
        <f>MONTH(PV_DATA[[#This Row],[ETA for New Ark update]])</f>
        <v>12</v>
      </c>
      <c r="BD1184" s="619">
        <f>IFERROR(_xlfn.ISOWEEKNUM(PV_DATA[[#This Row],[ETA for New Ark update]]),0)</f>
        <v>52</v>
      </c>
      <c r="BE1184" s="431">
        <f>_xlfn.XLOOKUP(PV_DATA[[#This Row],[New Ark SKU]],Table9[New Ark SKU],Table9[Total PCS per Pallet],,0)</f>
        <v>36</v>
      </c>
      <c r="BF1184" s="431">
        <f>_xlfn.XLOOKUP(PV_DATA[[#This Row],[New Ark SKU]],Table9[New Ark SKU],Table9[Total PCS per 40HQ Container],,0)</f>
        <v>936</v>
      </c>
      <c r="BG1184" s="431" t="str">
        <f>_xlfn.XLOOKUP(PV_DATA[[#This Row],[New Ark SKU]],Table9[New Ark SKU],Table9[Back Glass],,0)</f>
        <v>Black glazing</v>
      </c>
      <c r="BH1184" s="629" t="str">
        <f>_xlfn.XLOOKUP(PV_DATA[[#This Row],[PORT DESTINATION]],Table12[PORT DESTINATION],Table12[Cosco Line],,0)</f>
        <v>AEM</v>
      </c>
    </row>
    <row r="1185" spans="1:91" s="450" customFormat="1" hidden="1">
      <c r="A1185" s="1384" t="s">
        <v>7363</v>
      </c>
      <c r="B1185" s="1184" t="s">
        <v>111</v>
      </c>
      <c r="C1185" s="446" t="str">
        <f>IFERROR(LEFT(PV_DATA[[#This Row],[TCL REFERENCE]],FIND(".",PV_DATA[[#This Row],[TCL REFERENCE]],1)-1),"Main Line")</f>
        <v>26Oct003</v>
      </c>
      <c r="D1185" s="1184" t="s">
        <v>63</v>
      </c>
      <c r="E1185" s="446" t="s">
        <v>64</v>
      </c>
      <c r="F1185" s="446" t="str" cm="1">
        <f t="array" ref="F118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185" s="1184" t="s">
        <v>402</v>
      </c>
      <c r="H1185" s="446" t="s">
        <v>115</v>
      </c>
      <c r="I1185" s="1184" t="s">
        <v>882</v>
      </c>
      <c r="J1185" s="450" t="s">
        <v>96</v>
      </c>
      <c r="M1185" s="999" t="s">
        <v>68</v>
      </c>
      <c r="N1185" s="451">
        <v>46321</v>
      </c>
      <c r="O1185" s="999" t="s">
        <v>4540</v>
      </c>
      <c r="P1185" s="450" t="s">
        <v>7330</v>
      </c>
      <c r="Q1185" s="450" t="s">
        <v>1484</v>
      </c>
      <c r="R1185" s="430" t="str">
        <f>_xlfn.XLOOKUP(PV_DATA[[#This Row],[New Ark SKU]],Table9[New Ark SKU],Table9[Connector],,0)</f>
        <v>H4(Com)</v>
      </c>
      <c r="S1185" s="433" t="str">
        <f>_xlfn.XLOOKUP(PV_DATA[[#This Row],[New Ark SKU]],Table9[New Ark SKU],Table9[Cable],,0)</f>
        <v>±1400mm</v>
      </c>
      <c r="T1185" s="452">
        <v>725</v>
      </c>
      <c r="U1185" s="1063">
        <f>594</f>
        <v>594</v>
      </c>
      <c r="V1185" s="453">
        <f>PV_DATA[[#This Row],[QUANTITY]]*PV_DATA[[#This Row],[WATT]]/1000000</f>
        <v>0.43064999999999998</v>
      </c>
      <c r="W1185" s="454">
        <f>PV_DATA[[#This Row],[QUANTITY]]/PV_DATA[[#This Row],[Qty/Pallet]]</f>
        <v>18</v>
      </c>
      <c r="X1185" s="1185">
        <f>PV_DATA[[#This Row],[QUANTITY]]/PV_DATA[[#This Row],[Qty/CT]]</f>
        <v>1</v>
      </c>
      <c r="Y1185" s="450" t="s">
        <v>4386</v>
      </c>
      <c r="Z1185" s="1186" t="str">
        <f t="shared" ref="Z1185:Z1195" si="31">IF(AN1185&lt;&gt;"","COMPLETED",IF(AK1185&lt;&gt;"","IN-TRANSIT",""))</f>
        <v/>
      </c>
      <c r="AA1185" s="450" t="s">
        <v>7364</v>
      </c>
      <c r="AB1185" s="455">
        <v>46321</v>
      </c>
      <c r="AC1185" s="471">
        <f>IF(PV_DATA[[#This Row],[Pick-Up Date]]&lt;&gt;"",_xlfn.ISOWEEKNUM(PV_DATA[[#This Row],[Pick-Up Date]]),"")</f>
        <v>44</v>
      </c>
      <c r="AD1185" s="450" t="s">
        <v>7365</v>
      </c>
      <c r="AE1185" s="452"/>
      <c r="AF1185" s="450" t="s">
        <v>6003</v>
      </c>
      <c r="AG1185" s="450" t="s">
        <v>6003</v>
      </c>
      <c r="AH1185" s="999" t="s">
        <v>124</v>
      </c>
      <c r="AI1185" s="455">
        <v>46321</v>
      </c>
      <c r="AJ1185" s="455">
        <f>IFERROR(VLOOKUP(AT1185, Vessel!A:D, 4, FALSE), "")</f>
        <v>46325.708333333336</v>
      </c>
      <c r="AK1185" s="455" t="str">
        <f>IFERROR(IF(VLOOKUP(AT1185,Vessel!A:F,5,FALSE)=0,"",VLOOKUP(AT1185,Vessel!A:F,5,FALSE)),"")</f>
        <v/>
      </c>
      <c r="AL1185" s="455">
        <v>46359</v>
      </c>
      <c r="AM1185" s="1135">
        <f>IFERROR(VLOOKUP(AT1185, Vessel!A:H, 8, FALSE), "")</f>
        <v>46359.833333333336</v>
      </c>
      <c r="AN1185" s="1135" t="str">
        <f>IFERROR(IF(VLOOKUP(AT1185,Vessel!A:I,9,FALSE)=0,"",VLOOKUP(AT1185,Vessel!A:I,9,FALSE)),"")</f>
        <v/>
      </c>
      <c r="AP1185" s="450" t="s">
        <v>7366</v>
      </c>
      <c r="AQ1185" s="1028" t="s">
        <v>80</v>
      </c>
      <c r="AR1185" s="619" t="s">
        <v>7367</v>
      </c>
      <c r="AS1185" s="450" t="s">
        <v>7368</v>
      </c>
      <c r="AT1185" s="450" t="s">
        <v>7368</v>
      </c>
      <c r="AU1185" s="619"/>
      <c r="AW1185" s="455" cm="1">
        <f t="array" ref="AW118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46359.833333333336</v>
      </c>
      <c r="AX118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85" s="455" t="str">
        <f>IF(ISERROR(PV_DATA[[#This Row],[New Ark PO status]]),"",_xlfn.XLOOKUP(PV_DATA[[#This Row],[SPTN-PVHK New Ark PO'#]],New_Ark_Data[Purchase order Number],New_Ark_Data[Estimated time of arrival],"",0))</f>
        <v/>
      </c>
      <c r="AZ1185" s="45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185" s="455">
        <f>IFERROR(PV_DATA[[#This Row],[ODP ETA Port]]+PV_DATA[[#This Row],[Customs/Leg3 Assumption]],"n/a")</f>
        <v>46368.833333333336</v>
      </c>
      <c r="BB1185" s="452">
        <f>YEAR(PV_DATA[[#This Row],[ETA for New Ark update]])</f>
        <v>2026</v>
      </c>
      <c r="BC1185" s="450">
        <f>MONTH(PV_DATA[[#This Row],[ETA for New Ark update]])</f>
        <v>12</v>
      </c>
      <c r="BD1185" s="450">
        <f>IFERROR(_xlfn.ISOWEEKNUM(PV_DATA[[#This Row],[ETA for New Ark update]]),0)</f>
        <v>50</v>
      </c>
      <c r="BE1185" s="431">
        <f>_xlfn.XLOOKUP(PV_DATA[[#This Row],[New Ark SKU]],Table9[New Ark SKU],Table9[Total PCS per Pallet],,0)</f>
        <v>33</v>
      </c>
      <c r="BF1185" s="431">
        <v>594</v>
      </c>
      <c r="BG1185" s="431" t="str">
        <f>_xlfn.XLOOKUP(PV_DATA[[#This Row],[New Ark SKU]],Table9[New Ark SKU],Table9[Back Glass],,0)</f>
        <v>Redirection Film</v>
      </c>
      <c r="BH1185" s="731" t="str">
        <f>_xlfn.XLOOKUP(PV_DATA[[#This Row],[PORT DESTINATION]],Table12[PORT DESTINATION],Table12[Cosco Line],,0)</f>
        <v>AEM</v>
      </c>
      <c r="BJ1185" s="1187"/>
    </row>
    <row r="1186" spans="1:91" hidden="1">
      <c r="A1186" s="1179" t="s">
        <v>7369</v>
      </c>
      <c r="B1186" s="726" t="s">
        <v>1757</v>
      </c>
      <c r="C1186" s="726" t="str">
        <f>IFERROR(LEFT(PV_DATA[[#This Row],[TCL REFERENCE]],FIND(".",PV_DATA[[#This Row],[TCL REFERENCE]],1)-1),"Main Line")</f>
        <v>26Oct009</v>
      </c>
      <c r="D1186" s="726" t="s">
        <v>63</v>
      </c>
      <c r="E1186" s="439" t="s">
        <v>144</v>
      </c>
      <c r="F1186" s="439" t="str" cm="1">
        <f t="array" ref="F1186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186" s="726" t="s">
        <v>402</v>
      </c>
      <c r="H1186" s="726" t="s">
        <v>538</v>
      </c>
      <c r="I1186" s="431" t="s">
        <v>1395</v>
      </c>
      <c r="J1186" s="431" t="s">
        <v>538</v>
      </c>
      <c r="K1186" s="430" t="s">
        <v>6234</v>
      </c>
      <c r="L1186" s="619">
        <v>10</v>
      </c>
      <c r="M1186" s="430" t="s">
        <v>7272</v>
      </c>
      <c r="N1186" s="630"/>
      <c r="O1186" s="619" t="s">
        <v>284</v>
      </c>
      <c r="P1186" s="623" t="s">
        <v>5860</v>
      </c>
      <c r="Q1186" s="619" t="s">
        <v>5861</v>
      </c>
      <c r="R1186" s="430" t="str">
        <f>_xlfn.XLOOKUP(PV_DATA[[#This Row],[New Ark SKU]],Table9[New Ark SKU],Table9[Connector],,0)</f>
        <v>EVO2A</v>
      </c>
      <c r="S1186" s="433" t="str">
        <f>_xlfn.XLOOKUP(PV_DATA[[#This Row],[New Ark SKU]],Table9[New Ark SKU],Table9[Cable],,0)</f>
        <v>±1200mm</v>
      </c>
      <c r="T1186" s="620">
        <v>485</v>
      </c>
      <c r="U1186" s="1038">
        <f>936*2</f>
        <v>1872</v>
      </c>
      <c r="V1186" s="624">
        <f>PV_DATA[[#This Row],[QUANTITY]]*PV_DATA[[#This Row],[WATT]]/1000000</f>
        <v>0.90791999999999995</v>
      </c>
      <c r="W1186" s="625">
        <f>PV_DATA[[#This Row],[QUANTITY]]/PV_DATA[[#This Row],[Qty/Pallet]]</f>
        <v>52</v>
      </c>
      <c r="X1186" s="1185">
        <f>PV_DATA[[#This Row],[QUANTITY]]/PV_DATA[[#This Row],[Qty/CT]]</f>
        <v>2</v>
      </c>
      <c r="Y1186" s="431" t="s">
        <v>4385</v>
      </c>
      <c r="Z1186" s="1178" t="str">
        <f t="shared" si="31"/>
        <v/>
      </c>
      <c r="AA1186" s="855">
        <v>46315</v>
      </c>
      <c r="AB1186" s="626">
        <v>46317</v>
      </c>
      <c r="AC1186" s="627"/>
      <c r="AD1186" s="619" t="s">
        <v>7370</v>
      </c>
      <c r="AE1186" s="620"/>
      <c r="AF1186" s="430" t="s">
        <v>6003</v>
      </c>
      <c r="AG1186" s="430" t="s">
        <v>6003</v>
      </c>
      <c r="AH1186" s="431" t="s">
        <v>456</v>
      </c>
      <c r="AI1186" s="626">
        <v>46324</v>
      </c>
      <c r="AJ1186" s="437">
        <f>IFERROR(VLOOKUP(AT1186, Vessel!A:D, 4, FALSE), "")</f>
        <v>46328.395833333336</v>
      </c>
      <c r="AK1186" s="437" t="str">
        <f>IFERROR(IF(VLOOKUP(AT1186,Vessel!A:F,5,FALSE)=0,"",VLOOKUP(AT1186,Vessel!A:F,5,FALSE)),"")</f>
        <v/>
      </c>
      <c r="AL1186" s="626">
        <v>46362</v>
      </c>
      <c r="AM1186" s="939">
        <f>IFERROR(VLOOKUP(AT1186, Vessel!A:H, 8, FALSE), "")</f>
        <v>46364.25</v>
      </c>
      <c r="AN1186" s="939" t="str">
        <f>IFERROR(IF(VLOOKUP(AT1186,Vessel!A:I,9,FALSE)=0,"",VLOOKUP(AT1186,Vessel!A:I,9,FALSE)),"")</f>
        <v/>
      </c>
      <c r="AO1186" s="619"/>
      <c r="AP1186" s="619" t="s">
        <v>7274</v>
      </c>
      <c r="AQ1186" s="1028" t="s">
        <v>80</v>
      </c>
      <c r="AR1186" s="619" t="s">
        <v>7371</v>
      </c>
      <c r="AS1186" s="619" t="s">
        <v>7372</v>
      </c>
      <c r="AT1186" s="619" t="s">
        <v>7372</v>
      </c>
      <c r="AU118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35.854166666664241</v>
      </c>
      <c r="AV1186" s="619"/>
      <c r="AW1186" s="626" cm="1">
        <f t="array" ref="AW118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46364.25</v>
      </c>
      <c r="AX118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86" s="626" t="str">
        <f>IF(ISERROR(PV_DATA[[#This Row],[New Ark PO status]]),"",_xlfn.XLOOKUP(PV_DATA[[#This Row],[SPTN-PVHK New Ark PO'#]],New_Ark_Data[Purchase order Number],New_Ark_Data[Estimated time of arrival],"",0))</f>
        <v/>
      </c>
      <c r="AZ1186" s="620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186" s="626">
        <f>IFERROR(PV_DATA[[#This Row],[ODP ETA Port]]+PV_DATA[[#This Row],[Customs/Leg3 Assumption]],"n/a")</f>
        <v>46364.25</v>
      </c>
      <c r="BB1186" s="620">
        <f>YEAR(PV_DATA[[#This Row],[ETA for New Ark update]])</f>
        <v>2026</v>
      </c>
      <c r="BC1186" s="619">
        <f>MONTH(PV_DATA[[#This Row],[ETA for New Ark update]])</f>
        <v>12</v>
      </c>
      <c r="BD1186" s="619">
        <f>IFERROR(_xlfn.ISOWEEKNUM(PV_DATA[[#This Row],[ETA for New Ark update]]),0)</f>
        <v>50</v>
      </c>
      <c r="BE1186" s="431">
        <f>_xlfn.XLOOKUP(PV_DATA[[#This Row],[New Ark SKU]],Table9[New Ark SKU],Table9[Total PCS per Pallet],,0)</f>
        <v>36</v>
      </c>
      <c r="BF1186" s="431">
        <f>_xlfn.XLOOKUP(PV_DATA[[#This Row],[New Ark SKU]],Table9[New Ark SKU],Table9[Total PCS per 40HQ Container],,0)</f>
        <v>936</v>
      </c>
      <c r="BG1186" s="431" t="str">
        <f>_xlfn.XLOOKUP(PV_DATA[[#This Row],[New Ark SKU]],Table9[New Ark SKU],Table9[Back Glass],,0)</f>
        <v>Black glazing</v>
      </c>
      <c r="BH1186" s="629" t="str">
        <f>_xlfn.XLOOKUP(PV_DATA[[#This Row],[PORT DESTINATION]],Table12[PORT DESTINATION],Table12[Cosco Line],,0)</f>
        <v>AEU</v>
      </c>
    </row>
    <row r="1187" spans="1:91" hidden="1">
      <c r="A1187" s="1386" t="s">
        <v>7373</v>
      </c>
      <c r="B1187" s="726" t="s">
        <v>1757</v>
      </c>
      <c r="C1187" s="726" t="str">
        <f>IFERROR(LEFT(PV_DATA[[#This Row],[TCL REFERENCE]],FIND(".",PV_DATA[[#This Row],[TCL REFERENCE]],1)-1),"Main Line")</f>
        <v>26Oct010</v>
      </c>
      <c r="D1187" s="726" t="s">
        <v>63</v>
      </c>
      <c r="E1187" s="439" t="s">
        <v>64</v>
      </c>
      <c r="F1187" s="439" t="str" cm="1">
        <f t="array" ref="F118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87" s="726" t="s">
        <v>402</v>
      </c>
      <c r="H1187" s="726" t="s">
        <v>67</v>
      </c>
      <c r="I1187" s="431" t="s">
        <v>1395</v>
      </c>
      <c r="J1187" s="431" t="s">
        <v>96</v>
      </c>
      <c r="K1187" s="431"/>
      <c r="L1187" s="431"/>
      <c r="M1187" s="619" t="s">
        <v>68</v>
      </c>
      <c r="N1187" s="630"/>
      <c r="O1187" s="619" t="s">
        <v>284</v>
      </c>
      <c r="P1187" s="623" t="s">
        <v>6219</v>
      </c>
      <c r="Q1187" s="619" t="s">
        <v>6220</v>
      </c>
      <c r="R1187" s="430" t="str">
        <f>_xlfn.XLOOKUP(PV_DATA[[#This Row],[New Ark SKU]],Table9[New Ark SKU],Table9[Connector],,0)</f>
        <v>EVO2A</v>
      </c>
      <c r="S1187" s="433" t="str">
        <f>_xlfn.XLOOKUP(PV_DATA[[#This Row],[New Ark SKU]],Table9[New Ark SKU],Table9[Cable],,0)</f>
        <v>±1200mm</v>
      </c>
      <c r="T1187" s="620">
        <v>490</v>
      </c>
      <c r="U1187" s="1038">
        <f>936*1</f>
        <v>936</v>
      </c>
      <c r="V1187" s="624">
        <f>PV_DATA[[#This Row],[QUANTITY]]*PV_DATA[[#This Row],[WATT]]/1000000</f>
        <v>0.45863999999999999</v>
      </c>
      <c r="W1187" s="625">
        <f>PV_DATA[[#This Row],[QUANTITY]]/PV_DATA[[#This Row],[Qty/Pallet]]</f>
        <v>26</v>
      </c>
      <c r="X1187" s="1185">
        <f>PV_DATA[[#This Row],[QUANTITY]]/PV_DATA[[#This Row],[Qty/CT]]</f>
        <v>1</v>
      </c>
      <c r="Y1187" s="431" t="s">
        <v>4385</v>
      </c>
      <c r="Z1187" s="1178" t="str">
        <f t="shared" si="31"/>
        <v/>
      </c>
      <c r="AA1187" s="855" t="s">
        <v>5862</v>
      </c>
      <c r="AB1187" s="626">
        <v>46318</v>
      </c>
      <c r="AC1187" s="627">
        <f>IF(PV_DATA[[#This Row],[Pick-Up Date]]&lt;&gt;"",_xlfn.ISOWEEKNUM(PV_DATA[[#This Row],[Pick-Up Date]]),"")</f>
        <v>43</v>
      </c>
      <c r="AD1187" s="619" t="s">
        <v>7374</v>
      </c>
      <c r="AE1187" s="620"/>
      <c r="AF1187" s="430" t="s">
        <v>6003</v>
      </c>
      <c r="AG1187" s="430" t="s">
        <v>6003</v>
      </c>
      <c r="AH1187" s="431" t="s">
        <v>105</v>
      </c>
      <c r="AI1187" s="626">
        <v>46326</v>
      </c>
      <c r="AJ1187" s="437">
        <f>IFERROR(VLOOKUP(AT1187, Vessel!A:D, 4, FALSE), "")</f>
        <v>46329.416666666664</v>
      </c>
      <c r="AK1187" s="437" t="str">
        <f>IFERROR(IF(VLOOKUP(AT1187,Vessel!A:F,5,FALSE)=0,"",VLOOKUP(AT1187,Vessel!A:F,5,FALSE)),"")</f>
        <v/>
      </c>
      <c r="AL1187" s="626">
        <v>46358</v>
      </c>
      <c r="AM1187" s="939">
        <f>IFERROR(VLOOKUP(AT1187, Vessel!A:H, 8, FALSE), "")</f>
        <v>46361.208333333336</v>
      </c>
      <c r="AN1187" s="939" t="str">
        <f>IFERROR(IF(VLOOKUP(AT1187,Vessel!A:I,9,FALSE)=0,"",VLOOKUP(AT1187,Vessel!A:I,9,FALSE)),"")</f>
        <v/>
      </c>
      <c r="AO1187" s="619"/>
      <c r="AP1187" s="619" t="s">
        <v>7214</v>
      </c>
      <c r="AQ1187" s="1028" t="s">
        <v>80</v>
      </c>
      <c r="AR1187" s="619" t="s">
        <v>7344</v>
      </c>
      <c r="AS1187" s="619" t="s">
        <v>7345</v>
      </c>
      <c r="AT1187" s="619" t="s">
        <v>7345</v>
      </c>
      <c r="AU118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31.791666666671517</v>
      </c>
      <c r="AV1187" s="619"/>
      <c r="AW1187" s="626" cm="1">
        <f t="array" ref="AW118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46361.208333333336</v>
      </c>
      <c r="AX118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87" s="626" t="str">
        <f>IF(ISERROR(PV_DATA[[#This Row],[New Ark PO status]]),"",_xlfn.XLOOKUP(PV_DATA[[#This Row],[SPTN-PVHK New Ark PO'#]],New_Ark_Data[Purchase order Number],New_Ark_Data[Estimated time of arrival],"",0))</f>
        <v/>
      </c>
      <c r="AZ1187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87" s="626">
        <f>IFERROR(PV_DATA[[#This Row],[ODP ETA Port]]+PV_DATA[[#This Row],[Customs/Leg3 Assumption]],"n/a")</f>
        <v>46368.208333333336</v>
      </c>
      <c r="BB1187" s="620">
        <f>YEAR(PV_DATA[[#This Row],[ETA for New Ark update]])</f>
        <v>2026</v>
      </c>
      <c r="BC1187" s="619">
        <f>MONTH(PV_DATA[[#This Row],[ETA for New Ark update]])</f>
        <v>12</v>
      </c>
      <c r="BD1187" s="619">
        <f>IFERROR(_xlfn.ISOWEEKNUM(PV_DATA[[#This Row],[ETA for New Ark update]]),0)</f>
        <v>50</v>
      </c>
      <c r="BE1187" s="431">
        <f>_xlfn.XLOOKUP(PV_DATA[[#This Row],[New Ark SKU]],Table9[New Ark SKU],Table9[Total PCS per Pallet],,0)</f>
        <v>36</v>
      </c>
      <c r="BF1187" s="431">
        <f>_xlfn.XLOOKUP(PV_DATA[[#This Row],[New Ark SKU]],Table9[New Ark SKU],Table9[Total PCS per 40HQ Container],,0)</f>
        <v>936</v>
      </c>
      <c r="BG1187" s="431" t="str">
        <f>_xlfn.XLOOKUP(PV_DATA[[#This Row],[New Ark SKU]],Table9[New Ark SKU],Table9[Back Glass],,0)</f>
        <v>Black glazing</v>
      </c>
      <c r="BH1187" s="629" t="str">
        <f>_xlfn.XLOOKUP(PV_DATA[[#This Row],[PORT DESTINATION]],Table12[PORT DESTINATION],Table12[Cosco Line],,0)</f>
        <v>AEU</v>
      </c>
    </row>
    <row r="1188" spans="1:91" s="431" customFormat="1" ht="10.5" hidden="1">
      <c r="A1188" s="728" t="s">
        <v>7375</v>
      </c>
      <c r="B1188" s="439" t="s">
        <v>61</v>
      </c>
      <c r="C1188" s="439" t="str">
        <f>IFERROR(LEFT(PV_DATA[[#This Row],[TCL REFERENCE]],FIND(".",PV_DATA[[#This Row],[TCL REFERENCE]],1)-1),"Main Line")</f>
        <v>26Aug004</v>
      </c>
      <c r="D1188" s="439" t="s">
        <v>63</v>
      </c>
      <c r="E1188" s="439" t="s">
        <v>64</v>
      </c>
      <c r="F1188" s="439" t="str" cm="1">
        <f t="array" ref="F118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88" s="439" t="s">
        <v>402</v>
      </c>
      <c r="H1188" s="439" t="s">
        <v>67</v>
      </c>
      <c r="I1188" s="439" t="s">
        <v>689</v>
      </c>
      <c r="J1188" s="431" t="s">
        <v>96</v>
      </c>
      <c r="M1188" s="430" t="s">
        <v>6545</v>
      </c>
      <c r="N1188" s="461">
        <v>46237</v>
      </c>
      <c r="O1188" s="431" t="s">
        <v>4540</v>
      </c>
      <c r="P1188" s="431" t="s">
        <v>1151</v>
      </c>
      <c r="Q1188" s="431" t="s">
        <v>421</v>
      </c>
      <c r="R1188" s="430" t="str">
        <f>_xlfn.XLOOKUP(PV_DATA[[#This Row],[New Ark SKU]],Table9[New Ark SKU],Table9[Connector],,0)</f>
        <v>EVO2A</v>
      </c>
      <c r="S1188" s="433" t="str">
        <f>_xlfn.XLOOKUP(PV_DATA[[#This Row],[New Ark SKU]],Table9[New Ark SKU],Table9[Cable],,0)</f>
        <v>±1200mm</v>
      </c>
      <c r="T1188" s="442">
        <v>505</v>
      </c>
      <c r="U1188" s="1067">
        <f>864</f>
        <v>864</v>
      </c>
      <c r="V1188" s="448">
        <f>PV_DATA[[#This Row],[QUANTITY]]*PV_DATA[[#This Row],[WATT]]/1000000</f>
        <v>0.43631999999999999</v>
      </c>
      <c r="W1188" s="466">
        <f>PV_DATA[[#This Row],[QUANTITY]]/PV_DATA[[#This Row],[Qty/Pallet]]</f>
        <v>24</v>
      </c>
      <c r="X1188" s="1019">
        <f>PV_DATA[[#This Row],[QUANTITY]]/PV_DATA[[#This Row],[Qty/CT]]</f>
        <v>1</v>
      </c>
      <c r="Y1188" s="431" t="s">
        <v>4383</v>
      </c>
      <c r="Z1188" s="431" t="str">
        <f t="shared" si="31"/>
        <v>IN-TRANSIT</v>
      </c>
      <c r="AA1188" s="431" t="s">
        <v>6425</v>
      </c>
      <c r="AB1188" s="441">
        <v>46314</v>
      </c>
      <c r="AC1188" s="467">
        <f>IF(PV_DATA[[#This Row],[Pick-Up Date]]&lt;&gt;"",_xlfn.ISOWEEKNUM(PV_DATA[[#This Row],[Pick-Up Date]]),"")</f>
        <v>43</v>
      </c>
      <c r="AD1188" s="431" t="s">
        <v>7376</v>
      </c>
      <c r="AF1188" s="447" t="s">
        <v>61</v>
      </c>
      <c r="AG1188" s="447" t="s">
        <v>61</v>
      </c>
      <c r="AH1188" s="431" t="s">
        <v>105</v>
      </c>
      <c r="AI1188" s="441">
        <v>46319</v>
      </c>
      <c r="AJ1188" s="437">
        <f>IFERROR(VLOOKUP(AT1188, Vessel!A:D, 4, FALSE), "")</f>
        <v>46319.833333333336</v>
      </c>
      <c r="AK1188" s="437">
        <f>IFERROR(IF(VLOOKUP(AT1188,Vessel!A:F,5,FALSE)=0,"",VLOOKUP(AT1188,Vessel!A:F,5,FALSE)),"")</f>
        <v>46319.84847222222</v>
      </c>
      <c r="AL1188" s="441">
        <v>46364</v>
      </c>
      <c r="AM1188" s="939">
        <f>IFERROR(VLOOKUP(AT1188, Vessel!A:H, 8, FALSE), "")</f>
        <v>46364.333333333336</v>
      </c>
      <c r="AN1188" s="939" t="str">
        <f>IFERROR(IF(VLOOKUP(AT1188,Vessel!A:I,9,FALSE)=0,"",VLOOKUP(AT1188,Vessel!A:I,9,FALSE)),"")</f>
        <v/>
      </c>
      <c r="AP1188" s="431" t="s">
        <v>7355</v>
      </c>
      <c r="AQ1188" s="430" t="s">
        <v>80</v>
      </c>
      <c r="AR1188" s="619" t="s">
        <v>7377</v>
      </c>
      <c r="AS1188" s="431" t="s">
        <v>7378</v>
      </c>
      <c r="AT1188" s="431" t="s">
        <v>7378</v>
      </c>
      <c r="AU1188" s="619"/>
      <c r="AW1188" s="441" cm="1">
        <f t="array" ref="AW118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46364.333333333336</v>
      </c>
      <c r="AX118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88" s="441" t="str">
        <f>IF(ISERROR(PV_DATA[[#This Row],[New Ark PO status]]),"",_xlfn.XLOOKUP(PV_DATA[[#This Row],[SPTN-PVHK New Ark PO'#]],New_Ark_Data[Purchase order Number],New_Ark_Data[Estimated time of arrival],"",0))</f>
        <v/>
      </c>
      <c r="AZ1188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88" s="441">
        <f>IFERROR(PV_DATA[[#This Row],[ODP ETA Port]]+PV_DATA[[#This Row],[Customs/Leg3 Assumption]],"n/a")</f>
        <v>46371.333333333336</v>
      </c>
      <c r="BB1188" s="442" t="s">
        <v>6545</v>
      </c>
      <c r="BC1188" s="442" t="s">
        <v>6545</v>
      </c>
      <c r="BD1188" s="431">
        <f>IFERROR(_xlfn.ISOWEEKNUM(PV_DATA[[#This Row],[ETA for New Ark update]]),0)</f>
        <v>51</v>
      </c>
      <c r="BE1188" s="431">
        <f>_xlfn.XLOOKUP(PV_DATA[[#This Row],[New Ark SKU]],Table9[New Ark SKU],Table9[Total PCS per Pallet],,0)</f>
        <v>36</v>
      </c>
      <c r="BF1188" s="431">
        <f>_xlfn.XLOOKUP(PV_DATA[[#This Row],[New Ark SKU]],Table9[New Ark SKU],Table9[Total PCS per 40HQ Container],,0)</f>
        <v>864</v>
      </c>
      <c r="BG1188" s="431" t="str">
        <f>_xlfn.XLOOKUP(PV_DATA[[#This Row],[New Ark SKU]],Table9[New Ark SKU],Table9[Back Glass],,0)</f>
        <v>Black glazing</v>
      </c>
      <c r="BH1188" s="622" t="str">
        <f>_xlfn.XLOOKUP(PV_DATA[[#This Row],[PORT DESTINATION]],Table12[PORT DESTINATION],Table12[Cosco Line],,0)</f>
        <v>AEU</v>
      </c>
    </row>
    <row r="1189" spans="1:91" s="475" customFormat="1" ht="10.5" hidden="1">
      <c r="A1189" s="728" t="s">
        <v>7379</v>
      </c>
      <c r="B1189" s="439" t="s">
        <v>61</v>
      </c>
      <c r="C1189" s="439" t="str">
        <f>IFERROR(LEFT(PV_DATA[[#This Row],[TCL REFERENCE]],FIND(".",PV_DATA[[#This Row],[TCL REFERENCE]],1)-1),"Main Line")</f>
        <v>26Aug021</v>
      </c>
      <c r="D1189" s="439" t="s">
        <v>63</v>
      </c>
      <c r="E1189" s="439" t="s">
        <v>64</v>
      </c>
      <c r="F1189" s="439" t="str" cm="1">
        <f t="array" ref="F118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89" s="439" t="s">
        <v>402</v>
      </c>
      <c r="H1189" s="439" t="s">
        <v>67</v>
      </c>
      <c r="I1189" s="439" t="s">
        <v>689</v>
      </c>
      <c r="J1189" s="431" t="s">
        <v>96</v>
      </c>
      <c r="K1189" s="431"/>
      <c r="L1189" s="431"/>
      <c r="M1189" s="431" t="s">
        <v>68</v>
      </c>
      <c r="N1189" s="461">
        <v>46272</v>
      </c>
      <c r="O1189" s="431" t="s">
        <v>4540</v>
      </c>
      <c r="P1189" s="430" t="s">
        <v>71</v>
      </c>
      <c r="Q1189" s="431" t="s">
        <v>72</v>
      </c>
      <c r="R1189" s="430" t="str">
        <f>_xlfn.XLOOKUP(PV_DATA[[#This Row],[New Ark SKU]],Table9[New Ark SKU],Table9[Connector],,0)</f>
        <v>EVO2A</v>
      </c>
      <c r="S1189" s="433" t="str">
        <f>_xlfn.XLOOKUP(PV_DATA[[#This Row],[New Ark SKU]],Table9[New Ark SKU],Table9[Cable],,0)</f>
        <v>±1200mm</v>
      </c>
      <c r="T1189" s="442">
        <v>500</v>
      </c>
      <c r="U1189" s="1067">
        <f>864</f>
        <v>864</v>
      </c>
      <c r="V1189" s="448">
        <f>PV_DATA[[#This Row],[QUANTITY]]*PV_DATA[[#This Row],[WATT]]/1000000</f>
        <v>0.432</v>
      </c>
      <c r="W1189" s="466">
        <f>PV_DATA[[#This Row],[QUANTITY]]/PV_DATA[[#This Row],[Qty/Pallet]]</f>
        <v>24</v>
      </c>
      <c r="X1189" s="1019">
        <f>PV_DATA[[#This Row],[QUANTITY]]/PV_DATA[[#This Row],[Qty/CT]]</f>
        <v>1</v>
      </c>
      <c r="Y1189" s="431" t="s">
        <v>4385</v>
      </c>
      <c r="Z1189" s="430" t="str">
        <f t="shared" si="31"/>
        <v>IN-TRANSIT</v>
      </c>
      <c r="AA1189" s="545" t="s">
        <v>5862</v>
      </c>
      <c r="AB1189" s="441">
        <v>46314</v>
      </c>
      <c r="AC1189" s="467">
        <f>IF(PV_DATA[[#This Row],[Pick-Up Date]]&lt;&gt;"",_xlfn.ISOWEEKNUM(PV_DATA[[#This Row],[Pick-Up Date]]),"")</f>
        <v>43</v>
      </c>
      <c r="AD1189" s="431" t="s">
        <v>7380</v>
      </c>
      <c r="AE1189" s="431"/>
      <c r="AF1189" s="447" t="s">
        <v>61</v>
      </c>
      <c r="AG1189" s="447" t="s">
        <v>61</v>
      </c>
      <c r="AH1189" s="431" t="s">
        <v>105</v>
      </c>
      <c r="AI1189" s="441">
        <v>46319</v>
      </c>
      <c r="AJ1189" s="437">
        <f>IFERROR(VLOOKUP(AT1189, Vessel!A:D, 4, FALSE), "")</f>
        <v>46319.833333333336</v>
      </c>
      <c r="AK1189" s="437">
        <f>IFERROR(IF(VLOOKUP(AT1189,Vessel!A:F,5,FALSE)=0,"",VLOOKUP(AT1189,Vessel!A:F,5,FALSE)),"")</f>
        <v>46319.84847222222</v>
      </c>
      <c r="AL1189" s="441">
        <v>46364</v>
      </c>
      <c r="AM1189" s="939">
        <f>IFERROR(VLOOKUP(AT1189, Vessel!A:H, 8, FALSE), "")</f>
        <v>46364.333333333336</v>
      </c>
      <c r="AN1189" s="939" t="str">
        <f>IFERROR(IF(VLOOKUP(AT1189,Vessel!A:I,9,FALSE)=0,"",VLOOKUP(AT1189,Vessel!A:I,9,FALSE)),"")</f>
        <v/>
      </c>
      <c r="AO1189" s="431"/>
      <c r="AP1189" s="431" t="s">
        <v>7355</v>
      </c>
      <c r="AQ1189" s="430" t="s">
        <v>80</v>
      </c>
      <c r="AR1189" s="619" t="s">
        <v>7377</v>
      </c>
      <c r="AS1189" s="431" t="s">
        <v>7378</v>
      </c>
      <c r="AT1189" s="431" t="s">
        <v>7378</v>
      </c>
      <c r="AU1189" s="619"/>
      <c r="AV1189" s="431"/>
      <c r="AW1189" s="441" cm="1">
        <f t="array" ref="AW118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46364.333333333336</v>
      </c>
      <c r="AX118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89" s="441" t="str">
        <f>IF(ISERROR(PV_DATA[[#This Row],[New Ark PO status]]),"",_xlfn.XLOOKUP(PV_DATA[[#This Row],[SPTN-PVHK New Ark PO'#]],New_Ark_Data[Purchase order Number],New_Ark_Data[Estimated time of arrival],"",0))</f>
        <v/>
      </c>
      <c r="AZ1189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89" s="441">
        <f>IFERROR(PV_DATA[[#This Row],[ODP ETA Port]]+PV_DATA[[#This Row],[Customs/Leg3 Assumption]],"n/a")</f>
        <v>46371.333333333336</v>
      </c>
      <c r="BB1189" s="442" t="s">
        <v>7381</v>
      </c>
      <c r="BC1189" s="442" t="s">
        <v>7381</v>
      </c>
      <c r="BD1189" s="431">
        <f>IFERROR(_xlfn.ISOWEEKNUM(PV_DATA[[#This Row],[ETA for New Ark update]]),0)</f>
        <v>51</v>
      </c>
      <c r="BE1189" s="431">
        <f>_xlfn.XLOOKUP(PV_DATA[[#This Row],[New Ark SKU]],Table9[New Ark SKU],Table9[Total PCS per Pallet],,0)</f>
        <v>36</v>
      </c>
      <c r="BF1189" s="431">
        <f>_xlfn.XLOOKUP(PV_DATA[[#This Row],[New Ark SKU]],Table9[New Ark SKU],Table9[Total PCS per 40HQ Container],,0)</f>
        <v>864</v>
      </c>
      <c r="BG1189" s="431" t="str">
        <f>_xlfn.XLOOKUP(PV_DATA[[#This Row],[New Ark SKU]],Table9[New Ark SKU],Table9[Back Glass],,0)</f>
        <v>Black glazing</v>
      </c>
      <c r="BH1189" s="622" t="str">
        <f>_xlfn.XLOOKUP(PV_DATA[[#This Row],[PORT DESTINATION]],Table12[PORT DESTINATION],Table12[Cosco Line],,0)</f>
        <v>AEU</v>
      </c>
      <c r="BI1189" s="430"/>
      <c r="BJ1189" s="430"/>
      <c r="BK1189" s="430"/>
      <c r="BL1189" s="430"/>
      <c r="BM1189" s="430"/>
      <c r="BN1189" s="430"/>
      <c r="BO1189" s="430"/>
      <c r="BP1189" s="430"/>
      <c r="BQ1189" s="430"/>
      <c r="BR1189" s="430"/>
      <c r="BS1189" s="430"/>
      <c r="BT1189" s="430"/>
      <c r="BU1189" s="430"/>
      <c r="BV1189" s="430"/>
      <c r="BW1189" s="430"/>
      <c r="BX1189" s="430"/>
      <c r="BY1189" s="430"/>
      <c r="BZ1189" s="430"/>
      <c r="CA1189" s="430"/>
      <c r="CB1189" s="430"/>
      <c r="CC1189" s="430"/>
      <c r="CD1189" s="430"/>
      <c r="CE1189" s="430"/>
      <c r="CF1189" s="430"/>
      <c r="CG1189" s="430"/>
      <c r="CH1189" s="430"/>
      <c r="CI1189" s="430"/>
      <c r="CJ1189" s="430"/>
      <c r="CK1189" s="430"/>
      <c r="CL1189" s="430"/>
      <c r="CM1189" s="430"/>
    </row>
    <row r="1190" spans="1:91" ht="13.5" hidden="1" customHeight="1">
      <c r="A1190" s="728" t="s">
        <v>7382</v>
      </c>
      <c r="B1190" s="439" t="s">
        <v>61</v>
      </c>
      <c r="C1190" s="439" t="str">
        <f>IFERROR(LEFT(PV_DATA[[#This Row],[TCL REFERENCE]],FIND(".",PV_DATA[[#This Row],[TCL REFERENCE]],1)-1),"Main Line")</f>
        <v>26Aug022</v>
      </c>
      <c r="D1190" s="439" t="s">
        <v>63</v>
      </c>
      <c r="E1190" s="439" t="s">
        <v>64</v>
      </c>
      <c r="F1190" s="439" t="str" cm="1">
        <f t="array" ref="F119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190" s="726" t="s">
        <v>402</v>
      </c>
      <c r="H1190" s="726" t="s">
        <v>67</v>
      </c>
      <c r="I1190" s="431" t="s">
        <v>689</v>
      </c>
      <c r="J1190" s="431" t="s">
        <v>96</v>
      </c>
      <c r="K1190" s="619"/>
      <c r="L1190" s="619"/>
      <c r="M1190" s="619" t="s">
        <v>68</v>
      </c>
      <c r="N1190" s="461">
        <v>46272</v>
      </c>
      <c r="O1190" s="431" t="s">
        <v>4540</v>
      </c>
      <c r="P1190" s="430" t="s">
        <v>1151</v>
      </c>
      <c r="Q1190" s="431" t="s">
        <v>421</v>
      </c>
      <c r="R1190" s="430" t="str">
        <f>_xlfn.XLOOKUP(PV_DATA[[#This Row],[New Ark SKU]],Table9[New Ark SKU],Table9[Connector],,0)</f>
        <v>EVO2A</v>
      </c>
      <c r="S1190" s="433" t="str">
        <f>_xlfn.XLOOKUP(PV_DATA[[#This Row],[New Ark SKU]],Table9[New Ark SKU],Table9[Cable],,0)</f>
        <v>±1200mm</v>
      </c>
      <c r="T1190" s="442">
        <v>505</v>
      </c>
      <c r="U1190" s="1063">
        <f>864*2</f>
        <v>1728</v>
      </c>
      <c r="V1190" s="448">
        <f>PV_DATA[[#This Row],[QUANTITY]]*PV_DATA[[#This Row],[WATT]]/1000000</f>
        <v>0.87263999999999997</v>
      </c>
      <c r="W1190" s="466">
        <f>PV_DATA[[#This Row],[QUANTITY]]/PV_DATA[[#This Row],[Qty/Pallet]]</f>
        <v>48</v>
      </c>
      <c r="X1190" s="1019">
        <f>PV_DATA[[#This Row],[QUANTITY]]/PV_DATA[[#This Row],[Qty/CT]]</f>
        <v>2</v>
      </c>
      <c r="Y1190" s="431" t="s">
        <v>4385</v>
      </c>
      <c r="Z1190" s="430" t="str">
        <f t="shared" si="31"/>
        <v>IN-TRANSIT</v>
      </c>
      <c r="AA1190" s="450" t="s">
        <v>7383</v>
      </c>
      <c r="AB1190" s="441">
        <v>46314</v>
      </c>
      <c r="AC1190" s="467">
        <f>IF(PV_DATA[[#This Row],[Pick-Up Date]]&lt;&gt;"",_xlfn.ISOWEEKNUM(PV_DATA[[#This Row],[Pick-Up Date]]),"")</f>
        <v>43</v>
      </c>
      <c r="AD1190" s="431" t="s">
        <v>7384</v>
      </c>
      <c r="AE1190" s="431"/>
      <c r="AF1190" s="447" t="s">
        <v>61</v>
      </c>
      <c r="AG1190" s="447" t="s">
        <v>61</v>
      </c>
      <c r="AH1190" s="431" t="s">
        <v>314</v>
      </c>
      <c r="AI1190" s="441">
        <v>46319</v>
      </c>
      <c r="AJ1190" s="437">
        <f>IFERROR(VLOOKUP(AT1190, Vessel!A:D, 4, FALSE), "")</f>
        <v>46319.833333333336</v>
      </c>
      <c r="AK1190" s="437">
        <f>IFERROR(IF(VLOOKUP(AT1190,Vessel!A:F,5,FALSE)=0,"",VLOOKUP(AT1190,Vessel!A:F,5,FALSE)),"")</f>
        <v>46319.84847222222</v>
      </c>
      <c r="AL1190" s="441">
        <v>46372</v>
      </c>
      <c r="AM1190" s="939">
        <f>IFERROR(VLOOKUP(AT1190, Vessel!A:H, 8, FALSE), "")</f>
        <v>46372.25</v>
      </c>
      <c r="AN1190" s="939" t="str">
        <f>IFERROR(IF(VLOOKUP(AT1190,Vessel!A:I,9,FALSE)=0,"",VLOOKUP(AT1190,Vessel!A:I,9,FALSE)),"")</f>
        <v/>
      </c>
      <c r="AO1190" s="431"/>
      <c r="AP1190" s="431" t="s">
        <v>7355</v>
      </c>
      <c r="AQ1190" s="445" t="s">
        <v>80</v>
      </c>
      <c r="AR1190" s="619" t="s">
        <v>7385</v>
      </c>
      <c r="AS1190" s="431" t="s">
        <v>7386</v>
      </c>
      <c r="AT1190" s="431" t="s">
        <v>7386</v>
      </c>
      <c r="AU1190" s="619"/>
      <c r="AV1190" s="431"/>
      <c r="AW1190" s="441" cm="1">
        <f t="array" ref="AW119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46372.25</v>
      </c>
      <c r="AX1190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90" s="441" t="str">
        <f>IF(ISERROR(PV_DATA[[#This Row],[New Ark PO status]]),"",_xlfn.XLOOKUP(PV_DATA[[#This Row],[SPTN-PVHK New Ark PO'#]],New_Ark_Data[Purchase order Number],New_Ark_Data[Estimated time of arrival],"",0))</f>
        <v/>
      </c>
      <c r="AZ1190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190" s="441">
        <f>IFERROR(PV_DATA[[#This Row],[ODP ETA Port]]+PV_DATA[[#This Row],[Customs/Leg3 Assumption]],"n/a")</f>
        <v>46382.25</v>
      </c>
      <c r="BB1190" s="442" t="s">
        <v>6325</v>
      </c>
      <c r="BC1190" s="442" t="s">
        <v>6325</v>
      </c>
      <c r="BD1190" s="431">
        <f>IFERROR(_xlfn.ISOWEEKNUM(PV_DATA[[#This Row],[ETA for New Ark update]]),0)</f>
        <v>52</v>
      </c>
      <c r="BE1190" s="431">
        <f>_xlfn.XLOOKUP(PV_DATA[[#This Row],[New Ark SKU]],Table9[New Ark SKU],Table9[Total PCS per Pallet],,0)</f>
        <v>36</v>
      </c>
      <c r="BF1190" s="431">
        <f>_xlfn.XLOOKUP(PV_DATA[[#This Row],[New Ark SKU]],Table9[New Ark SKU],Table9[Total PCS per 40HQ Container],,0)</f>
        <v>864</v>
      </c>
      <c r="BG1190" s="431" t="str">
        <f>_xlfn.XLOOKUP(PV_DATA[[#This Row],[New Ark SKU]],Table9[New Ark SKU],Table9[Back Glass],,0)</f>
        <v>Black glazing</v>
      </c>
      <c r="BH1190" s="622" t="str">
        <f>_xlfn.XLOOKUP(PV_DATA[[#This Row],[PORT DESTINATION]],Table12[PORT DESTINATION],Table12[Cosco Line],,0)</f>
        <v>AEM</v>
      </c>
      <c r="BJ1190" s="430"/>
    </row>
    <row r="1191" spans="1:91" ht="13.5" hidden="1" customHeight="1">
      <c r="A1191" s="728" t="s">
        <v>7387</v>
      </c>
      <c r="B1191" s="439" t="s">
        <v>61</v>
      </c>
      <c r="C1191" s="439" t="str">
        <f>IFERROR(LEFT(PV_DATA[[#This Row],[TCL REFERENCE]],FIND(".",PV_DATA[[#This Row],[TCL REFERENCE]],1)-1),"Main Line")</f>
        <v>26Aug022</v>
      </c>
      <c r="D1191" s="439" t="s">
        <v>63</v>
      </c>
      <c r="E1191" s="439" t="s">
        <v>64</v>
      </c>
      <c r="F1191" s="439" t="str" cm="1">
        <f t="array" ref="F119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191" s="726" t="s">
        <v>402</v>
      </c>
      <c r="H1191" s="726" t="s">
        <v>67</v>
      </c>
      <c r="I1191" s="431" t="s">
        <v>689</v>
      </c>
      <c r="J1191" s="431" t="s">
        <v>96</v>
      </c>
      <c r="K1191" s="619"/>
      <c r="L1191" s="619"/>
      <c r="M1191" s="619" t="s">
        <v>68</v>
      </c>
      <c r="N1191" s="461">
        <v>46272</v>
      </c>
      <c r="O1191" s="431" t="s">
        <v>4540</v>
      </c>
      <c r="P1191" s="430" t="s">
        <v>1151</v>
      </c>
      <c r="Q1191" s="431" t="s">
        <v>421</v>
      </c>
      <c r="R1191" s="430" t="str">
        <f>_xlfn.XLOOKUP(PV_DATA[[#This Row],[New Ark SKU]],Table9[New Ark SKU],Table9[Connector],,0)</f>
        <v>EVO2A</v>
      </c>
      <c r="S1191" s="433" t="str">
        <f>_xlfn.XLOOKUP(PV_DATA[[#This Row],[New Ark SKU]],Table9[New Ark SKU],Table9[Cable],,0)</f>
        <v>±1200mm</v>
      </c>
      <c r="T1191" s="442">
        <v>505</v>
      </c>
      <c r="U1191" s="1063">
        <f>864*1</f>
        <v>864</v>
      </c>
      <c r="V1191" s="448">
        <f>PV_DATA[[#This Row],[QUANTITY]]*PV_DATA[[#This Row],[WATT]]/1000000</f>
        <v>0.43631999999999999</v>
      </c>
      <c r="W1191" s="466">
        <f>PV_DATA[[#This Row],[QUANTITY]]/PV_DATA[[#This Row],[Qty/Pallet]]</f>
        <v>24</v>
      </c>
      <c r="X1191" s="1019">
        <f>PV_DATA[[#This Row],[QUANTITY]]/PV_DATA[[#This Row],[Qty/CT]]</f>
        <v>1</v>
      </c>
      <c r="Y1191" s="431" t="s">
        <v>4385</v>
      </c>
      <c r="Z1191" s="430" t="str">
        <f t="shared" si="31"/>
        <v>IN-TRANSIT</v>
      </c>
      <c r="AA1191" s="450" t="s">
        <v>7383</v>
      </c>
      <c r="AB1191" s="441">
        <v>46314</v>
      </c>
      <c r="AC1191" s="467">
        <f>IF(PV_DATA[[#This Row],[Pick-Up Date]]&lt;&gt;"",_xlfn.ISOWEEKNUM(PV_DATA[[#This Row],[Pick-Up Date]]),"")</f>
        <v>43</v>
      </c>
      <c r="AD1191" s="431" t="s">
        <v>7388</v>
      </c>
      <c r="AE1191" s="431"/>
      <c r="AF1191" s="447" t="s">
        <v>61</v>
      </c>
      <c r="AG1191" s="447" t="s">
        <v>61</v>
      </c>
      <c r="AH1191" s="431" t="s">
        <v>314</v>
      </c>
      <c r="AI1191" s="441">
        <v>46319</v>
      </c>
      <c r="AJ1191" s="437">
        <f>IFERROR(VLOOKUP(AT1191, Vessel!A:D, 4, FALSE), "")</f>
        <v>46319.833333333336</v>
      </c>
      <c r="AK1191" s="437">
        <f>IFERROR(IF(VLOOKUP(AT1191,Vessel!A:F,5,FALSE)=0,"",VLOOKUP(AT1191,Vessel!A:F,5,FALSE)),"")</f>
        <v>46319.84847222222</v>
      </c>
      <c r="AL1191" s="441">
        <v>46372</v>
      </c>
      <c r="AM1191" s="939">
        <f>IFERROR(VLOOKUP(AT1191, Vessel!A:H, 8, FALSE), "")</f>
        <v>46372.25</v>
      </c>
      <c r="AN1191" s="939" t="str">
        <f>IFERROR(IF(VLOOKUP(AT1191,Vessel!A:I,9,FALSE)=0,"",VLOOKUP(AT1191,Vessel!A:I,9,FALSE)),"")</f>
        <v/>
      </c>
      <c r="AO1191" s="431"/>
      <c r="AP1191" s="431" t="s">
        <v>7355</v>
      </c>
      <c r="AQ1191" s="445" t="s">
        <v>80</v>
      </c>
      <c r="AR1191" s="619" t="s">
        <v>7389</v>
      </c>
      <c r="AS1191" s="431" t="s">
        <v>7390</v>
      </c>
      <c r="AT1191" s="431" t="s">
        <v>7390</v>
      </c>
      <c r="AU1191" s="619"/>
      <c r="AV1191" s="431"/>
      <c r="AW1191" s="441" cm="1">
        <f t="array" ref="AW119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46372.25</v>
      </c>
      <c r="AX119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91" s="441" t="str">
        <f>IF(ISERROR(PV_DATA[[#This Row],[New Ark PO status]]),"",_xlfn.XLOOKUP(PV_DATA[[#This Row],[SPTN-PVHK New Ark PO'#]],New_Ark_Data[Purchase order Number],New_Ark_Data[Estimated time of arrival],"",0))</f>
        <v/>
      </c>
      <c r="AZ1191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191" s="441">
        <f>IFERROR(PV_DATA[[#This Row],[ODP ETA Port]]+PV_DATA[[#This Row],[Customs/Leg3 Assumption]],"n/a")</f>
        <v>46382.25</v>
      </c>
      <c r="BB1191" s="442" t="s">
        <v>7381</v>
      </c>
      <c r="BC1191" s="442" t="s">
        <v>7381</v>
      </c>
      <c r="BD1191" s="431">
        <f>IFERROR(_xlfn.ISOWEEKNUM(PV_DATA[[#This Row],[ETA for New Ark update]]),0)</f>
        <v>52</v>
      </c>
      <c r="BE1191" s="431">
        <f>_xlfn.XLOOKUP(PV_DATA[[#This Row],[New Ark SKU]],Table9[New Ark SKU],Table9[Total PCS per Pallet],,0)</f>
        <v>36</v>
      </c>
      <c r="BF1191" s="431">
        <f>_xlfn.XLOOKUP(PV_DATA[[#This Row],[New Ark SKU]],Table9[New Ark SKU],Table9[Total PCS per 40HQ Container],,0)</f>
        <v>864</v>
      </c>
      <c r="BG1191" s="431" t="str">
        <f>_xlfn.XLOOKUP(PV_DATA[[#This Row],[New Ark SKU]],Table9[New Ark SKU],Table9[Back Glass],,0)</f>
        <v>Black glazing</v>
      </c>
      <c r="BH1191" s="622" t="str">
        <f>_xlfn.XLOOKUP(PV_DATA[[#This Row],[PORT DESTINATION]],Table12[PORT DESTINATION],Table12[Cosco Line],,0)</f>
        <v>AEM</v>
      </c>
      <c r="BJ1191" s="430"/>
    </row>
    <row r="1192" spans="1:91" s="450" customFormat="1" ht="13.5" hidden="1" customHeight="1">
      <c r="A1192" s="728" t="s">
        <v>7391</v>
      </c>
      <c r="B1192" s="439" t="s">
        <v>61</v>
      </c>
      <c r="C1192" s="439" t="str">
        <f>IFERROR(LEFT(PV_DATA[[#This Row],[TCL REFERENCE]],FIND(".",PV_DATA[[#This Row],[TCL REFERENCE]],1)-1),"Main Line")</f>
        <v>26Aug024</v>
      </c>
      <c r="D1192" s="439" t="s">
        <v>63</v>
      </c>
      <c r="E1192" s="446" t="s">
        <v>64</v>
      </c>
      <c r="F1192" s="446" t="str" cm="1">
        <f t="array" ref="F119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1192" s="446" t="s">
        <v>402</v>
      </c>
      <c r="H1192" s="446" t="s">
        <v>451</v>
      </c>
      <c r="I1192" s="446" t="s">
        <v>882</v>
      </c>
      <c r="J1192" s="450" t="s">
        <v>7048</v>
      </c>
      <c r="K1192" s="431"/>
      <c r="L1192" s="431"/>
      <c r="M1192" s="431" t="s">
        <v>68</v>
      </c>
      <c r="N1192" s="461">
        <v>46279</v>
      </c>
      <c r="O1192" s="431" t="s">
        <v>4540</v>
      </c>
      <c r="P1192" s="450" t="s">
        <v>7049</v>
      </c>
      <c r="Q1192" s="431" t="s">
        <v>7050</v>
      </c>
      <c r="R1192" s="430" t="str">
        <f>_xlfn.XLOOKUP(PV_DATA[[#This Row],[New Ark SKU]],Table9[New Ark SKU],Table9[Connector],,0)</f>
        <v>EVO2A</v>
      </c>
      <c r="S1192" s="433" t="str">
        <f>_xlfn.XLOOKUP(PV_DATA[[#This Row],[New Ark SKU]],Table9[New Ark SKU],Table9[Cable],,0)</f>
        <v>±1200mm</v>
      </c>
      <c r="T1192" s="442">
        <v>505</v>
      </c>
      <c r="U1192" s="1067">
        <v>864</v>
      </c>
      <c r="V1192" s="448">
        <f>PV_DATA[[#This Row],[QUANTITY]]*PV_DATA[[#This Row],[WATT]]/1000000</f>
        <v>0.43631999999999999</v>
      </c>
      <c r="W1192" s="466">
        <f>PV_DATA[[#This Row],[QUANTITY]]/PV_DATA[[#This Row],[Qty/Pallet]]</f>
        <v>24</v>
      </c>
      <c r="X1192" s="1019">
        <f>PV_DATA[[#This Row],[QUANTITY]]/PV_DATA[[#This Row],[Qty/CT]]</f>
        <v>1</v>
      </c>
      <c r="Y1192" s="431" t="s">
        <v>4380</v>
      </c>
      <c r="Z1192" s="431" t="str">
        <f t="shared" si="31"/>
        <v>IN-TRANSIT</v>
      </c>
      <c r="AA1192" s="431" t="s">
        <v>7051</v>
      </c>
      <c r="AB1192" s="441">
        <v>46314</v>
      </c>
      <c r="AC1192" s="467">
        <f>IF(PV_DATA[[#This Row],[Pick-Up Date]]&lt;&gt;"",_xlfn.ISOWEEKNUM(PV_DATA[[#This Row],[Pick-Up Date]]),"")</f>
        <v>43</v>
      </c>
      <c r="AD1192" s="431" t="s">
        <v>7392</v>
      </c>
      <c r="AE1192" s="431"/>
      <c r="AF1192" s="431" t="s">
        <v>61</v>
      </c>
      <c r="AG1192" s="431" t="s">
        <v>61</v>
      </c>
      <c r="AH1192" s="431" t="s">
        <v>456</v>
      </c>
      <c r="AI1192" s="441">
        <v>46319</v>
      </c>
      <c r="AJ1192" s="441">
        <f>IFERROR(VLOOKUP(AT1192, Vessel!A:D, 4, FALSE), "")</f>
        <v>46319.833333333336</v>
      </c>
      <c r="AK1192" s="441">
        <f>IFERROR(IF(VLOOKUP(AT1192,Vessel!A:F,5,FALSE)=0,"",VLOOKUP(AT1192,Vessel!A:F,5,FALSE)),"")</f>
        <v>46319.84847222222</v>
      </c>
      <c r="AL1192" s="441">
        <v>46376</v>
      </c>
      <c r="AM1192" s="626">
        <f>IFERROR(VLOOKUP(AT1192, Vessel!A:H, 8, FALSE), "")</f>
        <v>46376.041666666664</v>
      </c>
      <c r="AN1192" s="626" t="str">
        <f>IFERROR(IF(VLOOKUP(AT1192,Vessel!A:I,9,FALSE)=0,"",VLOOKUP(AT1192,Vessel!A:I,9,FALSE)),"")</f>
        <v/>
      </c>
      <c r="AO1192" s="431"/>
      <c r="AP1192" s="431" t="s">
        <v>7355</v>
      </c>
      <c r="AQ1192" s="445" t="s">
        <v>80</v>
      </c>
      <c r="AR1192" s="619" t="s">
        <v>7393</v>
      </c>
      <c r="AS1192" s="431" t="s">
        <v>7394</v>
      </c>
      <c r="AT1192" s="431" t="s">
        <v>7394</v>
      </c>
      <c r="AU1192" s="619"/>
      <c r="AV1192" s="431"/>
      <c r="AW1192" s="441" cm="1">
        <f t="array" ref="AW119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46376.041666666664</v>
      </c>
      <c r="AX119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92" s="441" t="str">
        <f>IF(ISERROR(PV_DATA[[#This Row],[New Ark PO status]]),"",_xlfn.XLOOKUP(PV_DATA[[#This Row],[SPTN-PVHK New Ark PO'#]],New_Ark_Data[Purchase order Number],New_Ark_Data[Estimated time of arrival],"",0))</f>
        <v/>
      </c>
      <c r="AZ119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92" s="441">
        <f>IFERROR(PV_DATA[[#This Row],[ODP ETA Port]]+PV_DATA[[#This Row],[Customs/Leg3 Assumption]],"n/a")</f>
        <v>46383.041666666664</v>
      </c>
      <c r="BB1192" s="442" t="s">
        <v>6545</v>
      </c>
      <c r="BC1192" s="431" t="s">
        <v>6545</v>
      </c>
      <c r="BD1192" s="431">
        <f>IFERROR(_xlfn.ISOWEEKNUM(PV_DATA[[#This Row],[ETA for New Ark update]]),0)</f>
        <v>52</v>
      </c>
      <c r="BE1192" s="431">
        <f>_xlfn.XLOOKUP(PV_DATA[[#This Row],[New Ark SKU]],Table9[New Ark SKU],Table9[Total PCS per Pallet],,0)</f>
        <v>36</v>
      </c>
      <c r="BF1192" s="431">
        <f>_xlfn.XLOOKUP(PV_DATA[[#This Row],[New Ark SKU]],Table9[New Ark SKU],Table9[Total PCS per 40HQ Container],,0)</f>
        <v>864</v>
      </c>
      <c r="BG1192" s="431" t="str">
        <f>_xlfn.XLOOKUP(PV_DATA[[#This Row],[New Ark SKU]],Table9[New Ark SKU],Table9[Back Glass],,0)</f>
        <v>Black glazing</v>
      </c>
      <c r="BH1192" s="622" t="str">
        <f>_xlfn.XLOOKUP(PV_DATA[[#This Row],[PORT DESTINATION]],Table12[PORT DESTINATION],Table12[Cosco Line],,0)</f>
        <v>AEU</v>
      </c>
    </row>
    <row r="1193" spans="1:91" s="475" customFormat="1" hidden="1">
      <c r="A1193" s="1422" t="s">
        <v>7395</v>
      </c>
      <c r="B1193" s="1412" t="s">
        <v>1757</v>
      </c>
      <c r="C1193" s="1412" t="str">
        <f>IFERROR(LEFT(PV_DATA[[#This Row],[TCL REFERENCE]],FIND(".",PV_DATA[[#This Row],[TCL REFERENCE]],1)-1),"Main Line")</f>
        <v>26Oct007</v>
      </c>
      <c r="D1193" s="1412" t="s">
        <v>63</v>
      </c>
      <c r="E1193" s="721" t="s">
        <v>64</v>
      </c>
      <c r="F1193" s="721" t="str" cm="1">
        <f t="array" ref="F119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1193" s="1412" t="s">
        <v>402</v>
      </c>
      <c r="H1193" s="721" t="s">
        <v>451</v>
      </c>
      <c r="I1193" s="721" t="s">
        <v>882</v>
      </c>
      <c r="J1193" s="475" t="s">
        <v>96</v>
      </c>
      <c r="K1193" s="1408"/>
      <c r="L1193" s="1408"/>
      <c r="M1193" s="475" t="s">
        <v>68</v>
      </c>
      <c r="N1193" s="1414"/>
      <c r="O1193" s="1408" t="s">
        <v>284</v>
      </c>
      <c r="P1193" s="1408" t="s">
        <v>7223</v>
      </c>
      <c r="Q1193" s="1408" t="s">
        <v>7224</v>
      </c>
      <c r="R1193" s="475" t="str">
        <f>_xlfn.XLOOKUP(PV_DATA[[#This Row],[New Ark SKU]],Table9[New Ark SKU],Table9[Connector],,0)</f>
        <v>EVO2A</v>
      </c>
      <c r="S1193" s="1399" t="str">
        <f>_xlfn.XLOOKUP(PV_DATA[[#This Row],[New Ark SKU]],Table9[New Ark SKU],Table9[Cable],,0)</f>
        <v>±1200mm</v>
      </c>
      <c r="T1193" s="1415">
        <v>490</v>
      </c>
      <c r="U1193" s="1423">
        <f>936*3</f>
        <v>2808</v>
      </c>
      <c r="V1193" s="1416">
        <f>PV_DATA[[#This Row],[QUANTITY]]*PV_DATA[[#This Row],[WATT]]/1000000</f>
        <v>1.37592</v>
      </c>
      <c r="W1193" s="1424">
        <f>PV_DATA[[#This Row],[QUANTITY]]/PV_DATA[[#This Row],[Qty/Pallet]]</f>
        <v>78</v>
      </c>
      <c r="X1193" s="1417">
        <f>PV_DATA[[#This Row],[QUANTITY]]/PV_DATA[[#This Row],[Qty/CT]]</f>
        <v>3</v>
      </c>
      <c r="Y1193" s="475" t="s">
        <v>4385</v>
      </c>
      <c r="Z1193" s="1425" t="str">
        <f t="shared" si="31"/>
        <v/>
      </c>
      <c r="AA1193" s="1426">
        <v>46318</v>
      </c>
      <c r="AB1193" s="1418">
        <v>46323</v>
      </c>
      <c r="AC1193" s="1419"/>
      <c r="AD1193" s="1408"/>
      <c r="AE1193" s="1415"/>
      <c r="AF1193" s="475" t="s">
        <v>122</v>
      </c>
      <c r="AG1193" s="475" t="s">
        <v>123</v>
      </c>
      <c r="AH1193" s="475" t="s">
        <v>456</v>
      </c>
      <c r="AI1193" s="1418">
        <v>46328</v>
      </c>
      <c r="AJ1193" s="1404">
        <f>IFERROR(VLOOKUP(AT1193, Vessel!A:D, 4, FALSE), "")</f>
        <v>46328.25</v>
      </c>
      <c r="AK1193" s="1404" t="str">
        <f>IFERROR(IF(VLOOKUP(AT1193,Vessel!A:F,5,FALSE)=0,"",VLOOKUP(AT1193,Vessel!A:F,5,FALSE)),"")</f>
        <v/>
      </c>
      <c r="AL1193" s="1418">
        <v>46369</v>
      </c>
      <c r="AM1193" s="1418">
        <f>IFERROR(VLOOKUP(AT1193, Vessel!A:H, 8, FALSE), "")</f>
        <v>46369.625</v>
      </c>
      <c r="AN1193" s="1418" t="str">
        <f>IFERROR(IF(VLOOKUP(AT1193,Vessel!A:I,9,FALSE)=0,"",VLOOKUP(AT1193,Vessel!A:I,9,FALSE)),"")</f>
        <v/>
      </c>
      <c r="AO1193" s="1408"/>
      <c r="AP1193" s="1408" t="s">
        <v>7396</v>
      </c>
      <c r="AQ1193" s="1420" t="s">
        <v>80</v>
      </c>
      <c r="AR1193" s="1408" t="s">
        <v>7397</v>
      </c>
      <c r="AS1193" s="1408" t="s">
        <v>7398</v>
      </c>
      <c r="AT1193" s="1408" t="s">
        <v>7398</v>
      </c>
      <c r="AU1193" s="475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41.375</v>
      </c>
      <c r="AV1193" s="1408"/>
      <c r="AW1193" s="1418" cm="1">
        <f t="array" ref="AW119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46369.625</v>
      </c>
      <c r="AX1193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93" s="1418">
        <f>IF(ISERROR(PV_DATA[[#This Row],[New Ark PO status]]),"",_xlfn.XLOOKUP(PV_DATA[[#This Row],[SPTN-PVHK New Ark PO'#]],New_Ark_Data[Purchase order Number],New_Ark_Data[Estimated time of arrival],"",0))</f>
        <v>0</v>
      </c>
      <c r="AZ1193" s="1415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93" s="1418">
        <f>IFERROR(PV_DATA[[#This Row],[ODP ETA Port]]+PV_DATA[[#This Row],[Customs/Leg3 Assumption]],"n/a")</f>
        <v>46376.625</v>
      </c>
      <c r="BB1193" s="1415">
        <f>YEAR(PV_DATA[[#This Row],[ETA for New Ark update]])</f>
        <v>2026</v>
      </c>
      <c r="BC1193" s="1408">
        <f>MONTH(PV_DATA[[#This Row],[ETA for New Ark update]])</f>
        <v>12</v>
      </c>
      <c r="BD1193" s="1408">
        <f>IFERROR(_xlfn.ISOWEEKNUM(PV_DATA[[#This Row],[ETA for New Ark update]]),0)</f>
        <v>51</v>
      </c>
      <c r="BE1193" s="475">
        <f>_xlfn.XLOOKUP(PV_DATA[[#This Row],[New Ark SKU]],Table9[New Ark SKU],Table9[Total PCS per Pallet],,0)</f>
        <v>36</v>
      </c>
      <c r="BF1193" s="475">
        <f>_xlfn.XLOOKUP(PV_DATA[[#This Row],[New Ark SKU]],Table9[New Ark SKU],Table9[Total PCS per 40HQ Container],,0)</f>
        <v>936</v>
      </c>
      <c r="BG1193" s="475" t="str">
        <f>_xlfn.XLOOKUP(PV_DATA[[#This Row],[New Ark SKU]],Table9[New Ark SKU],Table9[Back Glass],,0)</f>
        <v>Black glazing</v>
      </c>
      <c r="BH1193" s="1421" t="str">
        <f>_xlfn.XLOOKUP(PV_DATA[[#This Row],[PORT DESTINATION]],Table12[PORT DESTINATION],Table12[Cosco Line],,0)</f>
        <v>AEU</v>
      </c>
      <c r="BJ1193" s="1427"/>
    </row>
    <row r="1194" spans="1:91" s="475" customFormat="1" hidden="1">
      <c r="A1194" s="1422" t="s">
        <v>7399</v>
      </c>
      <c r="B1194" s="1412" t="s">
        <v>1757</v>
      </c>
      <c r="C1194" s="1412" t="str">
        <f>IFERROR(LEFT(PV_DATA[[#This Row],[TCL REFERENCE]],FIND(".",PV_DATA[[#This Row],[TCL REFERENCE]],1)-1),"Main Line")</f>
        <v>26Oct007</v>
      </c>
      <c r="D1194" s="1412" t="s">
        <v>63</v>
      </c>
      <c r="E1194" s="721" t="s">
        <v>64</v>
      </c>
      <c r="F1194" s="721" t="str" cm="1">
        <f t="array" ref="F119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94" s="1412" t="s">
        <v>402</v>
      </c>
      <c r="H1194" s="721" t="s">
        <v>67</v>
      </c>
      <c r="I1194" s="721" t="s">
        <v>882</v>
      </c>
      <c r="J1194" s="475" t="s">
        <v>96</v>
      </c>
      <c r="K1194" s="1408"/>
      <c r="L1194" s="1408"/>
      <c r="M1194" s="475" t="s">
        <v>68</v>
      </c>
      <c r="N1194" s="1414"/>
      <c r="O1194" s="1408" t="s">
        <v>284</v>
      </c>
      <c r="P1194" s="1408" t="s">
        <v>7223</v>
      </c>
      <c r="Q1194" s="1408" t="s">
        <v>7224</v>
      </c>
      <c r="R1194" s="475" t="str">
        <f>_xlfn.XLOOKUP(PV_DATA[[#This Row],[New Ark SKU]],Table9[New Ark SKU],Table9[Connector],,0)</f>
        <v>EVO2A</v>
      </c>
      <c r="S1194" s="1399" t="str">
        <f>_xlfn.XLOOKUP(PV_DATA[[#This Row],[New Ark SKU]],Table9[New Ark SKU],Table9[Cable],,0)</f>
        <v>±1200mm</v>
      </c>
      <c r="T1194" s="1415">
        <v>490</v>
      </c>
      <c r="U1194" s="1423">
        <f>936*8</f>
        <v>7488</v>
      </c>
      <c r="V1194" s="1416">
        <f>PV_DATA[[#This Row],[QUANTITY]]*PV_DATA[[#This Row],[WATT]]/1000000</f>
        <v>3.6691199999999999</v>
      </c>
      <c r="W1194" s="1424">
        <f>PV_DATA[[#This Row],[QUANTITY]]/PV_DATA[[#This Row],[Qty/Pallet]]</f>
        <v>208</v>
      </c>
      <c r="X1194" s="1417">
        <f>PV_DATA[[#This Row],[QUANTITY]]/PV_DATA[[#This Row],[Qty/CT]]</f>
        <v>8</v>
      </c>
      <c r="Y1194" s="475" t="s">
        <v>4385</v>
      </c>
      <c r="Z1194" s="1425" t="str">
        <f t="shared" si="31"/>
        <v/>
      </c>
      <c r="AA1194" s="1426">
        <v>46315</v>
      </c>
      <c r="AB1194" s="1418">
        <v>46322</v>
      </c>
      <c r="AC1194" s="1419">
        <f>IF(PV_DATA[[#This Row],[Pick-Up Date]]&lt;&gt;"",_xlfn.ISOWEEKNUM(PV_DATA[[#This Row],[Pick-Up Date]]),"")</f>
        <v>44</v>
      </c>
      <c r="AD1194" s="1408"/>
      <c r="AE1194" s="1415"/>
      <c r="AF1194" s="475" t="s">
        <v>122</v>
      </c>
      <c r="AG1194" s="475" t="s">
        <v>123</v>
      </c>
      <c r="AH1194" s="475" t="s">
        <v>105</v>
      </c>
      <c r="AI1194" s="1418">
        <v>46327</v>
      </c>
      <c r="AJ1194" s="1404">
        <f>IFERROR(VLOOKUP(AT1194, Vessel!A:D, 4, FALSE), "")</f>
        <v>46326.583333333336</v>
      </c>
      <c r="AK1194" s="1404" t="str">
        <f>IFERROR(IF(VLOOKUP(AT1194,Vessel!A:F,5,FALSE)=0,"",VLOOKUP(AT1194,Vessel!A:F,5,FALSE)),"")</f>
        <v/>
      </c>
      <c r="AL1194" s="1418">
        <v>46375</v>
      </c>
      <c r="AM1194" s="1418">
        <f>IFERROR(VLOOKUP(AT1194, Vessel!A:H, 8, FALSE), "")</f>
        <v>46375.791666666664</v>
      </c>
      <c r="AN1194" s="1418" t="str">
        <f>IFERROR(IF(VLOOKUP(AT1194,Vessel!A:I,9,FALSE)=0,"",VLOOKUP(AT1194,Vessel!A:I,9,FALSE)),"")</f>
        <v/>
      </c>
      <c r="AO1194" s="1408"/>
      <c r="AP1194" s="1408" t="s">
        <v>7400</v>
      </c>
      <c r="AQ1194" s="1420" t="s">
        <v>80</v>
      </c>
      <c r="AR1194" s="1408" t="s">
        <v>7401</v>
      </c>
      <c r="AS1194" s="1408" t="s">
        <v>7402</v>
      </c>
      <c r="AT1194" s="1408" t="s">
        <v>7402</v>
      </c>
      <c r="AU1194" s="475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49.208333333328483</v>
      </c>
      <c r="AV1194" s="1408"/>
      <c r="AW1194" s="1418" cm="1">
        <f t="array" ref="AW119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46375.791666666664</v>
      </c>
      <c r="AX1194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94" s="1418">
        <f>IF(ISERROR(PV_DATA[[#This Row],[New Ark PO status]]),"",_xlfn.XLOOKUP(PV_DATA[[#This Row],[SPTN-PVHK New Ark PO'#]],New_Ark_Data[Purchase order Number],New_Ark_Data[Estimated time of arrival],"",0))</f>
        <v>0</v>
      </c>
      <c r="AZ1194" s="1415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94" s="1418">
        <f>IFERROR(PV_DATA[[#This Row],[ODP ETA Port]]+PV_DATA[[#This Row],[Customs/Leg3 Assumption]],"n/a")</f>
        <v>46382.791666666664</v>
      </c>
      <c r="BB1194" s="1415">
        <f>YEAR(PV_DATA[[#This Row],[ETA for New Ark update]])</f>
        <v>2026</v>
      </c>
      <c r="BC1194" s="1408">
        <f>MONTH(PV_DATA[[#This Row],[ETA for New Ark update]])</f>
        <v>12</v>
      </c>
      <c r="BD1194" s="1408">
        <f>IFERROR(_xlfn.ISOWEEKNUM(PV_DATA[[#This Row],[ETA for New Ark update]]),0)</f>
        <v>52</v>
      </c>
      <c r="BE1194" s="475">
        <f>_xlfn.XLOOKUP(PV_DATA[[#This Row],[New Ark SKU]],Table9[New Ark SKU],Table9[Total PCS per Pallet],,0)</f>
        <v>36</v>
      </c>
      <c r="BF1194" s="475">
        <f>_xlfn.XLOOKUP(PV_DATA[[#This Row],[New Ark SKU]],Table9[New Ark SKU],Table9[Total PCS per 40HQ Container],,0)</f>
        <v>936</v>
      </c>
      <c r="BG1194" s="475" t="str">
        <f>_xlfn.XLOOKUP(PV_DATA[[#This Row],[New Ark SKU]],Table9[New Ark SKU],Table9[Back Glass],,0)</f>
        <v>Black glazing</v>
      </c>
      <c r="BH1194" s="1421" t="str">
        <f>_xlfn.XLOOKUP(PV_DATA[[#This Row],[PORT DESTINATION]],Table12[PORT DESTINATION],Table12[Cosco Line],,0)</f>
        <v>AEU</v>
      </c>
      <c r="BJ1194" s="1427"/>
    </row>
    <row r="1195" spans="1:91" s="475" customFormat="1" hidden="1">
      <c r="A1195" s="1422" t="s">
        <v>7403</v>
      </c>
      <c r="B1195" s="1412" t="s">
        <v>1757</v>
      </c>
      <c r="C1195" s="1412" t="str">
        <f>IFERROR(LEFT(PV_DATA[[#This Row],[TCL REFERENCE]],FIND(".",PV_DATA[[#This Row],[TCL REFERENCE]],1)-1),"Main Line")</f>
        <v>26Oct009</v>
      </c>
      <c r="D1195" s="1412" t="s">
        <v>63</v>
      </c>
      <c r="E1195" s="721" t="s">
        <v>64</v>
      </c>
      <c r="F1195" s="721" t="str" cm="1">
        <f t="array" ref="F119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95" s="1412" t="s">
        <v>402</v>
      </c>
      <c r="H1195" s="721" t="s">
        <v>67</v>
      </c>
      <c r="I1195" s="1412" t="s">
        <v>882</v>
      </c>
      <c r="J1195" s="475" t="s">
        <v>96</v>
      </c>
      <c r="K1195" s="1408"/>
      <c r="L1195" s="1408"/>
      <c r="M1195" s="475" t="s">
        <v>68</v>
      </c>
      <c r="N1195" s="1414"/>
      <c r="O1195" s="1408" t="s">
        <v>284</v>
      </c>
      <c r="P1195" s="1408" t="s">
        <v>5860</v>
      </c>
      <c r="Q1195" s="1408" t="s">
        <v>5861</v>
      </c>
      <c r="R1195" s="475" t="str">
        <f>_xlfn.XLOOKUP(PV_DATA[[#This Row],[New Ark SKU]],Table9[New Ark SKU],Table9[Connector],,0)</f>
        <v>EVO2A</v>
      </c>
      <c r="S1195" s="1399" t="str">
        <f>_xlfn.XLOOKUP(PV_DATA[[#This Row],[New Ark SKU]],Table9[New Ark SKU],Table9[Cable],,0)</f>
        <v>±1200mm</v>
      </c>
      <c r="T1195" s="1415">
        <v>485</v>
      </c>
      <c r="U1195" s="1423">
        <f>936*2</f>
        <v>1872</v>
      </c>
      <c r="V1195" s="1416">
        <f>PV_DATA[[#This Row],[QUANTITY]]*PV_DATA[[#This Row],[WATT]]/1000000</f>
        <v>0.90791999999999995</v>
      </c>
      <c r="W1195" s="1424">
        <f>PV_DATA[[#This Row],[QUANTITY]]/PV_DATA[[#This Row],[Qty/Pallet]]</f>
        <v>52</v>
      </c>
      <c r="X1195" s="1417">
        <f>PV_DATA[[#This Row],[QUANTITY]]/PV_DATA[[#This Row],[Qty/CT]]</f>
        <v>2</v>
      </c>
      <c r="Y1195" s="475" t="s">
        <v>4385</v>
      </c>
      <c r="Z1195" s="1425" t="str">
        <f t="shared" si="31"/>
        <v/>
      </c>
      <c r="AA1195" s="1426">
        <v>46317</v>
      </c>
      <c r="AB1195" s="1418">
        <v>46323</v>
      </c>
      <c r="AC1195" s="1419">
        <f>IF(PV_DATA[[#This Row],[Pick-Up Date]]&lt;&gt;"",_xlfn.ISOWEEKNUM(PV_DATA[[#This Row],[Pick-Up Date]]),"")</f>
        <v>44</v>
      </c>
      <c r="AD1195" s="1408"/>
      <c r="AE1195" s="1415"/>
      <c r="AF1195" s="475" t="s">
        <v>122</v>
      </c>
      <c r="AG1195" s="475" t="s">
        <v>123</v>
      </c>
      <c r="AH1195" s="475" t="s">
        <v>105</v>
      </c>
      <c r="AI1195" s="1418">
        <v>46328</v>
      </c>
      <c r="AJ1195" s="1404">
        <f>IFERROR(VLOOKUP(AT1195, Vessel!A:D, 4, FALSE), "")</f>
        <v>46328.25</v>
      </c>
      <c r="AK1195" s="1404" t="str">
        <f>IFERROR(IF(VLOOKUP(AT1195,Vessel!A:F,5,FALSE)=0,"",VLOOKUP(AT1195,Vessel!A:F,5,FALSE)),"")</f>
        <v/>
      </c>
      <c r="AL1195" s="1418">
        <v>46365</v>
      </c>
      <c r="AM1195" s="1418">
        <f>IFERROR(VLOOKUP(AT1195, Vessel!A:H, 8, FALSE), "")</f>
        <v>46365.875</v>
      </c>
      <c r="AN1195" s="1418" t="str">
        <f>IFERROR(IF(VLOOKUP(AT1195,Vessel!A:I,9,FALSE)=0,"",VLOOKUP(AT1195,Vessel!A:I,9,FALSE)),"")</f>
        <v/>
      </c>
      <c r="AO1195" s="1408"/>
      <c r="AP1195" s="1408" t="s">
        <v>7396</v>
      </c>
      <c r="AQ1195" s="1420" t="s">
        <v>80</v>
      </c>
      <c r="AR1195" s="1408" t="s">
        <v>7404</v>
      </c>
      <c r="AS1195" s="1408" t="s">
        <v>7405</v>
      </c>
      <c r="AT1195" s="1408" t="s">
        <v>7405</v>
      </c>
      <c r="AU1195" s="475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37.625</v>
      </c>
      <c r="AV1195" s="1408"/>
      <c r="AW1195" s="1418" cm="1">
        <f t="array" ref="AW119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46365.875</v>
      </c>
      <c r="AX1195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95" s="1418">
        <f>IF(ISERROR(PV_DATA[[#This Row],[New Ark PO status]]),"",_xlfn.XLOOKUP(PV_DATA[[#This Row],[SPTN-PVHK New Ark PO'#]],New_Ark_Data[Purchase order Number],New_Ark_Data[Estimated time of arrival],"",0))</f>
        <v>0</v>
      </c>
      <c r="AZ1195" s="1415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95" s="1418">
        <f>IFERROR(PV_DATA[[#This Row],[ODP ETA Port]]+PV_DATA[[#This Row],[Customs/Leg3 Assumption]],"n/a")</f>
        <v>46372.875</v>
      </c>
      <c r="BB1195" s="1415">
        <f>YEAR(PV_DATA[[#This Row],[ETA for New Ark update]])</f>
        <v>2026</v>
      </c>
      <c r="BC1195" s="1408">
        <f>MONTH(PV_DATA[[#This Row],[ETA for New Ark update]])</f>
        <v>12</v>
      </c>
      <c r="BD1195" s="1408">
        <f>IFERROR(_xlfn.ISOWEEKNUM(PV_DATA[[#This Row],[ETA for New Ark update]]),0)</f>
        <v>51</v>
      </c>
      <c r="BE1195" s="475">
        <f>_xlfn.XLOOKUP(PV_DATA[[#This Row],[New Ark SKU]],Table9[New Ark SKU],Table9[Total PCS per Pallet],,0)</f>
        <v>36</v>
      </c>
      <c r="BF1195" s="475">
        <f>_xlfn.XLOOKUP(PV_DATA[[#This Row],[New Ark SKU]],Table9[New Ark SKU],Table9[Total PCS per 40HQ Container],,0)</f>
        <v>936</v>
      </c>
      <c r="BG1195" s="475" t="str">
        <f>_xlfn.XLOOKUP(PV_DATA[[#This Row],[New Ark SKU]],Table9[New Ark SKU],Table9[Back Glass],,0)</f>
        <v>Black glazing</v>
      </c>
      <c r="BH1195" s="1421" t="str">
        <f>_xlfn.XLOOKUP(PV_DATA[[#This Row],[PORT DESTINATION]],Table12[PORT DESTINATION],Table12[Cosco Line],,0)</f>
        <v>AEU</v>
      </c>
      <c r="BJ1195" s="1427"/>
    </row>
    <row r="1196" spans="1:91" s="475" customFormat="1" ht="10.5" hidden="1">
      <c r="A1196" s="1429" t="s">
        <v>7406</v>
      </c>
      <c r="B1196" s="721" t="s">
        <v>111</v>
      </c>
      <c r="C1196" s="721" t="str">
        <f>IFERROR(LEFT(PV_DATA[[#This Row],[TCL REFERENCE]],FIND(".",PV_DATA[[#This Row],[TCL REFERENCE]],1)-1),"Main Line")</f>
        <v>26Aug017</v>
      </c>
      <c r="D1196" s="721" t="s">
        <v>63</v>
      </c>
      <c r="E1196" s="721" t="s">
        <v>64</v>
      </c>
      <c r="F1196" s="721" t="str" cm="1">
        <f t="array" ref="F119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96" s="721" t="s">
        <v>402</v>
      </c>
      <c r="H1196" s="721" t="s">
        <v>311</v>
      </c>
      <c r="I1196" s="721" t="s">
        <v>1395</v>
      </c>
      <c r="J1196" s="475" t="s">
        <v>96</v>
      </c>
      <c r="N1196" s="476">
        <v>46305</v>
      </c>
      <c r="O1196" s="475" t="s">
        <v>170</v>
      </c>
      <c r="P1196" s="475" t="s">
        <v>171</v>
      </c>
      <c r="Q1196" s="475" t="s">
        <v>1731</v>
      </c>
      <c r="R1196" s="475" t="str">
        <f>_xlfn.XLOOKUP(PV_DATA[[#This Row],[New Ark SKU]],Table9[New Ark SKU],Table9[Connector],,0)</f>
        <v>EVO2A</v>
      </c>
      <c r="S1196" s="1399" t="str">
        <f>_xlfn.XLOOKUP(PV_DATA[[#This Row],[New Ark SKU]],Table9[New Ark SKU],Table9[Cable],,0)</f>
        <v>±1400mm</v>
      </c>
      <c r="T1196" s="1399">
        <v>555</v>
      </c>
      <c r="U1196" s="1068">
        <f>660*2</f>
        <v>1320</v>
      </c>
      <c r="V1196" s="1400">
        <f>PV_DATA[[#This Row],[QUANTITY]]*PV_DATA[[#This Row],[WATT]]/1000000</f>
        <v>0.73260000000000003</v>
      </c>
      <c r="W1196" s="1401">
        <f>PV_DATA[[#This Row],[QUANTITY]]/PV_DATA[[#This Row],[Qty/Pallet]]</f>
        <v>40</v>
      </c>
      <c r="X1196" s="1402">
        <f>PV_DATA[[#This Row],[QUANTITY]]/PV_DATA[[#This Row],[Qty/CT]]</f>
        <v>2</v>
      </c>
      <c r="Y1196" s="475" t="s">
        <v>4384</v>
      </c>
      <c r="AA1196" s="1403">
        <v>46317</v>
      </c>
      <c r="AB1196" s="1404">
        <v>46322</v>
      </c>
      <c r="AC1196" s="1405"/>
      <c r="AF1196" s="475" t="s">
        <v>122</v>
      </c>
      <c r="AG1196" s="475" t="s">
        <v>123</v>
      </c>
      <c r="AH1196" s="475" t="s">
        <v>105</v>
      </c>
      <c r="AI1196" s="1404">
        <v>46329</v>
      </c>
      <c r="AJ1196" s="1404">
        <f>IFERROR(VLOOKUP(AT1196, Vessel!A:D, 4, FALSE), "")</f>
        <v>46329.208333333336</v>
      </c>
      <c r="AK1196" s="1404" t="str">
        <f>IFERROR(IF(VLOOKUP(AT1196,Vessel!A:F,5,FALSE)=0,"",VLOOKUP(AT1196,Vessel!A:F,5,FALSE)),"")</f>
        <v/>
      </c>
      <c r="AL1196" s="1404">
        <v>46364</v>
      </c>
      <c r="AM1196" s="1418">
        <f>IFERROR(VLOOKUP(AT1196, Vessel!A:H, 8, FALSE), "")</f>
        <v>46364.333333333336</v>
      </c>
      <c r="AN1196" s="1418" t="str">
        <f>IFERROR(IF(VLOOKUP(AT1196,Vessel!A:I,9,FALSE)=0,"",VLOOKUP(AT1196,Vessel!A:I,9,FALSE)),"")</f>
        <v/>
      </c>
      <c r="AP1196" s="475" t="s">
        <v>7355</v>
      </c>
      <c r="AQ1196" s="475" t="s">
        <v>80</v>
      </c>
      <c r="AR1196" s="1408" t="s">
        <v>7407</v>
      </c>
      <c r="AS1196" s="475" t="s">
        <v>7408</v>
      </c>
      <c r="AT1196" s="475" t="s">
        <v>7408</v>
      </c>
      <c r="AU1196" s="1408"/>
      <c r="AV1196" s="1404"/>
      <c r="AW1196" s="1404" cm="1">
        <f t="array" ref="AW119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46364.333333333336</v>
      </c>
      <c r="AX1196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96" s="1404">
        <f>IF(ISERROR(PV_DATA[[#This Row],[New Ark PO status]]),"",_xlfn.XLOOKUP(PV_DATA[[#This Row],[SPTN-PVHK New Ark PO'#]],New_Ark_Data[Purchase order Number],New_Ark_Data[Estimated time of arrival],"",0))</f>
        <v>0</v>
      </c>
      <c r="AZ1196" s="1399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96" s="1404">
        <f>IFERROR(PV_DATA[[#This Row],[ODP ETA Port]]+PV_DATA[[#This Row],[Customs/Leg3 Assumption]],"n/a")</f>
        <v>46371.333333333336</v>
      </c>
      <c r="BB1196" s="1399">
        <f>YEAR(PV_DATA[[#This Row],[ETA for New Ark update]])</f>
        <v>2026</v>
      </c>
      <c r="BC1196" s="475">
        <f>MONTH(PV_DATA[[#This Row],[ETA for New Ark update]])</f>
        <v>12</v>
      </c>
      <c r="BD1196" s="475">
        <f>IFERROR(_xlfn.ISOWEEKNUM(PV_DATA[[#This Row],[ETA for New Ark update]]),0)</f>
        <v>51</v>
      </c>
      <c r="BE1196" s="475">
        <f>_xlfn.XLOOKUP(PV_DATA[[#This Row],[New Ark SKU]],Table9[New Ark SKU],Table9[Total PCS per Pallet],,0)</f>
        <v>33</v>
      </c>
      <c r="BF1196" s="475">
        <f>_xlfn.XLOOKUP(PV_DATA[[#This Row],[New Ark SKU]],Table9[New Ark SKU],Table9[Total PCS per 40HQ Container],,0)</f>
        <v>660</v>
      </c>
      <c r="BG1196" s="475" t="str">
        <f>_xlfn.XLOOKUP(PV_DATA[[#This Row],[New Ark SKU]],Table9[New Ark SKU],Table9[Back Glass],,0)</f>
        <v>White glazing</v>
      </c>
      <c r="BH1196" s="475" t="str">
        <f>_xlfn.XLOOKUP(PV_DATA[[#This Row],[PORT DESTINATION]],Table12[PORT DESTINATION],Table12[Cosco Line],,0)</f>
        <v>AEU</v>
      </c>
    </row>
    <row r="1197" spans="1:91" s="475" customFormat="1" ht="10.5" hidden="1" customHeight="1">
      <c r="A1197" s="1398" t="s">
        <v>7409</v>
      </c>
      <c r="B1197" s="721" t="s">
        <v>111</v>
      </c>
      <c r="C1197" s="721" t="str">
        <f>IFERROR(LEFT(PV_DATA[[#This Row],[TCL REFERENCE]],FIND(".",PV_DATA[[#This Row],[TCL REFERENCE]],1)-1),"Main Line")</f>
        <v>26Aug018</v>
      </c>
      <c r="D1197" s="721" t="s">
        <v>63</v>
      </c>
      <c r="E1197" s="721" t="s">
        <v>64</v>
      </c>
      <c r="F1197" s="721" t="str" cm="1">
        <f t="array" ref="F119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197" s="721" t="s">
        <v>402</v>
      </c>
      <c r="H1197" s="721" t="s">
        <v>311</v>
      </c>
      <c r="I1197" s="721" t="s">
        <v>689</v>
      </c>
      <c r="J1197" s="475" t="s">
        <v>96</v>
      </c>
      <c r="N1197" s="476">
        <v>46305</v>
      </c>
      <c r="O1197" s="475" t="s">
        <v>170</v>
      </c>
      <c r="P1197" s="475" t="s">
        <v>1977</v>
      </c>
      <c r="Q1197" s="475" t="s">
        <v>1978</v>
      </c>
      <c r="R1197" s="475" t="str">
        <f>_xlfn.XLOOKUP(PV_DATA[[#This Row],[New Ark SKU]],Table9[New Ark SKU],Table9[Connector],,0)</f>
        <v>EVO2A</v>
      </c>
      <c r="S1197" s="1399" t="str">
        <f>_xlfn.XLOOKUP(PV_DATA[[#This Row],[New Ark SKU]],Table9[New Ark SKU],Table9[Cable],,0)</f>
        <v>±1400mm</v>
      </c>
      <c r="T1197" s="1399">
        <v>560</v>
      </c>
      <c r="U1197" s="1068">
        <f>660*2</f>
        <v>1320</v>
      </c>
      <c r="V1197" s="1400">
        <f>PV_DATA[[#This Row],[QUANTITY]]*PV_DATA[[#This Row],[WATT]]/1000000</f>
        <v>0.73919999999999997</v>
      </c>
      <c r="W1197" s="1401">
        <f>PV_DATA[[#This Row],[QUANTITY]]/PV_DATA[[#This Row],[Qty/Pallet]]</f>
        <v>40</v>
      </c>
      <c r="X1197" s="1402">
        <f>PV_DATA[[#This Row],[QUANTITY]]/PV_DATA[[#This Row],[Qty/CT]]</f>
        <v>2</v>
      </c>
      <c r="Y1197" s="475" t="s">
        <v>4387</v>
      </c>
      <c r="AA1197" s="1403">
        <v>46314</v>
      </c>
      <c r="AB1197" s="1404">
        <v>46321</v>
      </c>
      <c r="AC1197" s="1405"/>
      <c r="AF1197" s="475" t="s">
        <v>122</v>
      </c>
      <c r="AG1197" s="475" t="s">
        <v>123</v>
      </c>
      <c r="AH1197" s="475" t="s">
        <v>105</v>
      </c>
      <c r="AI1197" s="1404">
        <v>46329</v>
      </c>
      <c r="AJ1197" s="1404">
        <f>IFERROR(VLOOKUP(AT1197, Vessel!A:D, 4, FALSE), "")</f>
        <v>46329.208333333336</v>
      </c>
      <c r="AK1197" s="1404" t="str">
        <f>IFERROR(IF(VLOOKUP(AT1197,Vessel!A:F,5,FALSE)=0,"",VLOOKUP(AT1197,Vessel!A:F,5,FALSE)),"")</f>
        <v/>
      </c>
      <c r="AL1197" s="1404">
        <v>46364</v>
      </c>
      <c r="AM1197" s="1418">
        <f>IFERROR(VLOOKUP(AT1197, Vessel!A:H, 8, FALSE), "")</f>
        <v>46364.333333333336</v>
      </c>
      <c r="AN1197" s="1418" t="str">
        <f>IFERROR(IF(VLOOKUP(AT1197,Vessel!A:I,9,FALSE)=0,"",VLOOKUP(AT1197,Vessel!A:I,9,FALSE)),"")</f>
        <v/>
      </c>
      <c r="AP1197" s="475" t="s">
        <v>7355</v>
      </c>
      <c r="AQ1197" s="475" t="s">
        <v>80</v>
      </c>
      <c r="AR1197" s="1408" t="s">
        <v>7407</v>
      </c>
      <c r="AS1197" s="475" t="s">
        <v>7408</v>
      </c>
      <c r="AT1197" s="475" t="s">
        <v>7408</v>
      </c>
      <c r="AU1197" s="1408"/>
      <c r="AV1197" s="1404"/>
      <c r="AW1197" s="1404" cm="1">
        <f t="array" ref="AW119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46364.333333333336</v>
      </c>
      <c r="AX1197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97" s="1404">
        <f>IF(ISERROR(PV_DATA[[#This Row],[New Ark PO status]]),"",_xlfn.XLOOKUP(PV_DATA[[#This Row],[SPTN-PVHK New Ark PO'#]],New_Ark_Data[Purchase order Number],New_Ark_Data[Estimated time of arrival],"",0))</f>
        <v>0</v>
      </c>
      <c r="AZ1197" s="1399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197" s="1404">
        <f>IFERROR(PV_DATA[[#This Row],[ODP ETA Port]]+PV_DATA[[#This Row],[Customs/Leg3 Assumption]],"n/a")</f>
        <v>46371.333333333336</v>
      </c>
      <c r="BB1197" s="1399">
        <f>YEAR(PV_DATA[[#This Row],[ETA for New Ark update]])</f>
        <v>2026</v>
      </c>
      <c r="BC1197" s="475">
        <f>MONTH(PV_DATA[[#This Row],[ETA for New Ark update]])</f>
        <v>12</v>
      </c>
      <c r="BD1197" s="475">
        <f>IFERROR(_xlfn.ISOWEEKNUM(PV_DATA[[#This Row],[ETA for New Ark update]]),0)</f>
        <v>51</v>
      </c>
      <c r="BE1197" s="475">
        <f>_xlfn.XLOOKUP(PV_DATA[[#This Row],[New Ark SKU]],Table9[New Ark SKU],Table9[Total PCS per Pallet],,0)</f>
        <v>33</v>
      </c>
      <c r="BF1197" s="475">
        <f>_xlfn.XLOOKUP(PV_DATA[[#This Row],[New Ark SKU]],Table9[New Ark SKU],Table9[Total PCS per 40HQ Container],,0)</f>
        <v>660</v>
      </c>
      <c r="BG1197" s="475" t="str">
        <f>_xlfn.XLOOKUP(PV_DATA[[#This Row],[New Ark SKU]],Table9[New Ark SKU],Table9[Back Glass],,0)</f>
        <v>White glazing</v>
      </c>
      <c r="BH1197" s="475" t="str">
        <f>_xlfn.XLOOKUP(PV_DATA[[#This Row],[PORT DESTINATION]],Table12[PORT DESTINATION],Table12[Cosco Line],,0)</f>
        <v>AEU</v>
      </c>
    </row>
    <row r="1198" spans="1:91" s="475" customFormat="1" ht="13.5" hidden="1" customHeight="1">
      <c r="A1198" s="1429" t="s">
        <v>7410</v>
      </c>
      <c r="B1198" s="721" t="s">
        <v>111</v>
      </c>
      <c r="C1198" s="721" t="str">
        <f>IFERROR(LEFT(PV_DATA[[#This Row],[TCL REFERENCE]],FIND(".",PV_DATA[[#This Row],[TCL REFERENCE]],1)-1),"Main Line")</f>
        <v>26Aug016</v>
      </c>
      <c r="D1198" s="721" t="s">
        <v>63</v>
      </c>
      <c r="E1198" s="721" t="s">
        <v>64</v>
      </c>
      <c r="F1198" s="721" t="str" cm="1">
        <f t="array" ref="F119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198" s="721" t="s">
        <v>402</v>
      </c>
      <c r="H1198" s="721" t="s">
        <v>311</v>
      </c>
      <c r="I1198" s="721" t="s">
        <v>689</v>
      </c>
      <c r="J1198" s="475" t="s">
        <v>96</v>
      </c>
      <c r="M1198" s="475" t="s">
        <v>68</v>
      </c>
      <c r="N1198" s="476">
        <v>46282</v>
      </c>
      <c r="O1198" s="475" t="s">
        <v>550</v>
      </c>
      <c r="P1198" s="475" t="s">
        <v>2134</v>
      </c>
      <c r="Q1198" s="475" t="s">
        <v>2135</v>
      </c>
      <c r="R1198" s="475" t="str">
        <f>_xlfn.XLOOKUP(PV_DATA[[#This Row],[New Ark SKU]],Table9[New Ark SKU],Table9[Connector],,0)</f>
        <v>EVO2A</v>
      </c>
      <c r="S1198" s="1399" t="str">
        <f>_xlfn.XLOOKUP(PV_DATA[[#This Row],[New Ark SKU]],Table9[New Ark SKU],Table9[Cable],,0)</f>
        <v>±1350mm</v>
      </c>
      <c r="T1198" s="1399">
        <v>515</v>
      </c>
      <c r="U1198" s="1068">
        <f>792*5</f>
        <v>3960</v>
      </c>
      <c r="V1198" s="1400">
        <f>PV_DATA[[#This Row],[QUANTITY]]*PV_DATA[[#This Row],[WATT]]/1000000</f>
        <v>2.0394000000000001</v>
      </c>
      <c r="W1198" s="1401">
        <f>PV_DATA[[#This Row],[QUANTITY]]/PV_DATA[[#This Row],[Qty/Pallet]]</f>
        <v>110</v>
      </c>
      <c r="X1198" s="1402">
        <f>PV_DATA[[#This Row],[QUANTITY]]/PV_DATA[[#This Row],[Qty/CT]]</f>
        <v>5</v>
      </c>
      <c r="Y1198" s="475" t="s">
        <v>4386</v>
      </c>
      <c r="Z1198" s="475" t="str">
        <f>IF(AN1198&lt;&gt;"","COMPLETED",IF(AK1198&lt;&gt;"","IN-TRANSIT",""))</f>
        <v/>
      </c>
      <c r="AA1198" s="1403" t="s">
        <v>5862</v>
      </c>
      <c r="AB1198" s="1404">
        <v>46323</v>
      </c>
      <c r="AC1198" s="1405">
        <f>IF(PV_DATA[[#This Row],[Pick-Up Date]]&lt;&gt;"",_xlfn.ISOWEEKNUM(PV_DATA[[#This Row],[Pick-Up Date]]),"")</f>
        <v>44</v>
      </c>
      <c r="AF1198" s="475" t="s">
        <v>122</v>
      </c>
      <c r="AG1198" s="475" t="s">
        <v>122</v>
      </c>
      <c r="AH1198" s="475" t="s">
        <v>314</v>
      </c>
      <c r="AI1198" s="1404">
        <v>46332</v>
      </c>
      <c r="AJ1198" s="1404">
        <f>IFERROR(VLOOKUP(AT1198, Vessel!A:D, 4, FALSE), "")</f>
        <v>46332.395833333336</v>
      </c>
      <c r="AK1198" s="1404" t="str">
        <f>IFERROR(IF(VLOOKUP(AT1198,Vessel!A:F,5,FALSE)=0,"",VLOOKUP(AT1198,Vessel!A:F,5,FALSE)),"")</f>
        <v/>
      </c>
      <c r="AL1198" s="1404">
        <v>46379</v>
      </c>
      <c r="AM1198" s="1418">
        <f>IFERROR(VLOOKUP(AT1198, Vessel!A:H, 8, FALSE), "")</f>
        <v>46379.25</v>
      </c>
      <c r="AN1198" s="1418" t="str">
        <f>IFERROR(IF(VLOOKUP(AT1198,Vessel!A:I,9,FALSE)=0,"",VLOOKUP(AT1198,Vessel!A:I,9,FALSE)),"")</f>
        <v/>
      </c>
      <c r="AP1198" s="475" t="s">
        <v>7411</v>
      </c>
      <c r="AQ1198" s="475" t="s">
        <v>80</v>
      </c>
      <c r="AR1198" s="1408" t="s">
        <v>7412</v>
      </c>
      <c r="AS1198" s="475" t="s">
        <v>7413</v>
      </c>
      <c r="AT1198" s="475" t="s">
        <v>7413</v>
      </c>
      <c r="AU1198" s="1408"/>
      <c r="AW1198" s="1404" cm="1">
        <f t="array" ref="AW119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46379.25</v>
      </c>
      <c r="AX1198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98" s="1404">
        <f>IF(ISERROR(PV_DATA[[#This Row],[New Ark PO status]]),"",_xlfn.XLOOKUP(PV_DATA[[#This Row],[SPTN-PVHK New Ark PO'#]],New_Ark_Data[Purchase order Number],New_Ark_Data[Estimated time of arrival],"",0))</f>
        <v>0</v>
      </c>
      <c r="AZ1198" s="1399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198" s="1404">
        <f>IFERROR(PV_DATA[[#This Row],[ODP ETA Port]]+PV_DATA[[#This Row],[Customs/Leg3 Assumption]],"n/a")</f>
        <v>46389.25</v>
      </c>
      <c r="BB1198" s="1399" t="s">
        <v>6545</v>
      </c>
      <c r="BC1198" s="1399" t="s">
        <v>6545</v>
      </c>
      <c r="BD1198" s="475">
        <f>IFERROR(_xlfn.ISOWEEKNUM(PV_DATA[[#This Row],[ETA for New Ark update]]),0)</f>
        <v>53</v>
      </c>
      <c r="BE1198" s="475">
        <f>_xlfn.XLOOKUP(PV_DATA[[#This Row],[New Ark SKU]],Table9[New Ark SKU],Table9[Total PCS per Pallet],,0)</f>
        <v>36</v>
      </c>
      <c r="BF1198" s="475">
        <f>_xlfn.XLOOKUP(PV_DATA[[#This Row],[New Ark SKU]],Table9[New Ark SKU],Table9[Total PCS per 40HQ Container],,0)</f>
        <v>792</v>
      </c>
      <c r="BG1198" s="475" t="str">
        <f>_xlfn.XLOOKUP(PV_DATA[[#This Row],[New Ark SKU]],Table9[New Ark SKU],Table9[Back Glass],,0)</f>
        <v>Black glazing</v>
      </c>
      <c r="BH1198" s="1410" t="str">
        <f>_xlfn.XLOOKUP(PV_DATA[[#This Row],[PORT DESTINATION]],Table12[PORT DESTINATION],Table12[Cosco Line],,0)</f>
        <v>AEM</v>
      </c>
    </row>
    <row r="1199" spans="1:91" s="475" customFormat="1" ht="10.5" hidden="1">
      <c r="A1199" s="1429" t="s">
        <v>7414</v>
      </c>
      <c r="B1199" s="721" t="s">
        <v>111</v>
      </c>
      <c r="C1199" s="721" t="str">
        <f>IFERROR(LEFT(PV_DATA[[#This Row],[TCL REFERENCE]],FIND(".",PV_DATA[[#This Row],[TCL REFERENCE]],1)-1),"Main Line")</f>
        <v>26Aug018</v>
      </c>
      <c r="D1199" s="721" t="s">
        <v>63</v>
      </c>
      <c r="E1199" s="721" t="s">
        <v>64</v>
      </c>
      <c r="F1199" s="721" t="str" cm="1">
        <f t="array" ref="F119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199" s="721" t="s">
        <v>402</v>
      </c>
      <c r="H1199" s="721" t="s">
        <v>311</v>
      </c>
      <c r="I1199" s="721" t="s">
        <v>689</v>
      </c>
      <c r="J1199" s="475" t="s">
        <v>96</v>
      </c>
      <c r="N1199" s="476">
        <v>46305</v>
      </c>
      <c r="O1199" s="475" t="s">
        <v>170</v>
      </c>
      <c r="P1199" s="475" t="s">
        <v>1977</v>
      </c>
      <c r="Q1199" s="475" t="s">
        <v>1978</v>
      </c>
      <c r="R1199" s="475" t="str">
        <f>_xlfn.XLOOKUP(PV_DATA[[#This Row],[New Ark SKU]],Table9[New Ark SKU],Table9[Connector],,0)</f>
        <v>EVO2A</v>
      </c>
      <c r="S1199" s="1399" t="str">
        <f>_xlfn.XLOOKUP(PV_DATA[[#This Row],[New Ark SKU]],Table9[New Ark SKU],Table9[Cable],,0)</f>
        <v>±1400mm</v>
      </c>
      <c r="T1199" s="1399">
        <v>560</v>
      </c>
      <c r="U1199" s="1068">
        <f>660</f>
        <v>660</v>
      </c>
      <c r="V1199" s="1400">
        <f>PV_DATA[[#This Row],[QUANTITY]]*PV_DATA[[#This Row],[WATT]]/1000000</f>
        <v>0.36959999999999998</v>
      </c>
      <c r="W1199" s="1401">
        <f>PV_DATA[[#This Row],[QUANTITY]]/PV_DATA[[#This Row],[Qty/Pallet]]</f>
        <v>20</v>
      </c>
      <c r="X1199" s="1402">
        <f>PV_DATA[[#This Row],[QUANTITY]]/PV_DATA[[#This Row],[Qty/CT]]</f>
        <v>1</v>
      </c>
      <c r="Y1199" s="475" t="s">
        <v>4388</v>
      </c>
      <c r="AA1199" s="1403">
        <v>46316</v>
      </c>
      <c r="AB1199" s="1404">
        <v>46323</v>
      </c>
      <c r="AC1199" s="1405"/>
      <c r="AF1199" s="475" t="s">
        <v>122</v>
      </c>
      <c r="AG1199" s="475" t="s">
        <v>123</v>
      </c>
      <c r="AH1199" s="475" t="s">
        <v>314</v>
      </c>
      <c r="AI1199" s="1404">
        <v>46332</v>
      </c>
      <c r="AJ1199" s="1404">
        <f>IFERROR(VLOOKUP(AT1199, Vessel!A:D, 4, FALSE), "")</f>
        <v>46332.395833333336</v>
      </c>
      <c r="AK1199" s="1404" t="str">
        <f>IFERROR(IF(VLOOKUP(AT1199,Vessel!A:F,5,FALSE)=0,"",VLOOKUP(AT1199,Vessel!A:F,5,FALSE)),"")</f>
        <v/>
      </c>
      <c r="AL1199" s="1404">
        <v>46379</v>
      </c>
      <c r="AM1199" s="1418">
        <f>IFERROR(VLOOKUP(AT1199, Vessel!A:H, 8, FALSE), "")</f>
        <v>46379.25</v>
      </c>
      <c r="AN1199" s="1418" t="str">
        <f>IFERROR(IF(VLOOKUP(AT1199,Vessel!A:I,9,FALSE)=0,"",VLOOKUP(AT1199,Vessel!A:I,9,FALSE)),"")</f>
        <v/>
      </c>
      <c r="AP1199" s="1432" t="s">
        <v>7411</v>
      </c>
      <c r="AQ1199" s="475" t="s">
        <v>80</v>
      </c>
      <c r="AR1199" s="1408" t="s">
        <v>7412</v>
      </c>
      <c r="AS1199" s="475" t="s">
        <v>7413</v>
      </c>
      <c r="AT1199" s="475" t="s">
        <v>7413</v>
      </c>
      <c r="AU1199" s="1408"/>
      <c r="AV1199" s="1404"/>
      <c r="AW1199" s="1404" cm="1">
        <f t="array" ref="AW119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46379.25</v>
      </c>
      <c r="AX1199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199" s="1404">
        <f>IF(ISERROR(PV_DATA[[#This Row],[New Ark PO status]]),"",_xlfn.XLOOKUP(PV_DATA[[#This Row],[SPTN-PVHK New Ark PO'#]],New_Ark_Data[Purchase order Number],New_Ark_Data[Estimated time of arrival],"",0))</f>
        <v>0</v>
      </c>
      <c r="AZ1199" s="1399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199" s="1404">
        <f>IFERROR(PV_DATA[[#This Row],[ODP ETA Port]]+PV_DATA[[#This Row],[Customs/Leg3 Assumption]],"n/a")</f>
        <v>46389.25</v>
      </c>
      <c r="BB1199" s="1399">
        <f>YEAR(PV_DATA[[#This Row],[ETA for New Ark update]])</f>
        <v>2027</v>
      </c>
      <c r="BC1199" s="475">
        <f>MONTH(PV_DATA[[#This Row],[ETA for New Ark update]])</f>
        <v>1</v>
      </c>
      <c r="BD1199" s="475">
        <f>IFERROR(_xlfn.ISOWEEKNUM(PV_DATA[[#This Row],[ETA for New Ark update]]),0)</f>
        <v>53</v>
      </c>
      <c r="BE1199" s="475">
        <f>_xlfn.XLOOKUP(PV_DATA[[#This Row],[New Ark SKU]],Table9[New Ark SKU],Table9[Total PCS per Pallet],,0)</f>
        <v>33</v>
      </c>
      <c r="BF1199" s="475">
        <f>_xlfn.XLOOKUP(PV_DATA[[#This Row],[New Ark SKU]],Table9[New Ark SKU],Table9[Total PCS per 40HQ Container],,0)</f>
        <v>660</v>
      </c>
      <c r="BG1199" s="475" t="str">
        <f>_xlfn.XLOOKUP(PV_DATA[[#This Row],[New Ark SKU]],Table9[New Ark SKU],Table9[Back Glass],,0)</f>
        <v>White glazing</v>
      </c>
      <c r="BH1199" s="475" t="str">
        <f>_xlfn.XLOOKUP(PV_DATA[[#This Row],[PORT DESTINATION]],Table12[PORT DESTINATION],Table12[Cosco Line],,0)</f>
        <v>AEM</v>
      </c>
    </row>
    <row r="1200" spans="1:91" s="475" customFormat="1" hidden="1">
      <c r="A1200" s="1422" t="s">
        <v>7415</v>
      </c>
      <c r="B1200" s="1412" t="s">
        <v>1757</v>
      </c>
      <c r="C1200" s="1412" t="str">
        <f>IFERROR(LEFT(PV_DATA[[#This Row],[TCL REFERENCE]],FIND(".",PV_DATA[[#This Row],[TCL REFERENCE]],1)-1),"Main Line")</f>
        <v>26Oct009</v>
      </c>
      <c r="D1200" s="1412" t="s">
        <v>63</v>
      </c>
      <c r="E1200" s="721" t="s">
        <v>64</v>
      </c>
      <c r="F1200" s="721" t="str" cm="1">
        <f t="array" ref="F120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200" s="1412" t="s">
        <v>402</v>
      </c>
      <c r="H1200" s="1412" t="s">
        <v>311</v>
      </c>
      <c r="I1200" s="475" t="s">
        <v>689</v>
      </c>
      <c r="J1200" s="475" t="s">
        <v>96</v>
      </c>
      <c r="K1200" s="1408"/>
      <c r="L1200" s="1408"/>
      <c r="M1200" s="1408" t="s">
        <v>68</v>
      </c>
      <c r="N1200" s="1414"/>
      <c r="O1200" s="1408" t="s">
        <v>284</v>
      </c>
      <c r="P1200" s="1408" t="s">
        <v>5860</v>
      </c>
      <c r="Q1200" s="1408" t="s">
        <v>5861</v>
      </c>
      <c r="R1200" s="475" t="str">
        <f>_xlfn.XLOOKUP(PV_DATA[[#This Row],[New Ark SKU]],Table9[New Ark SKU],Table9[Connector],,0)</f>
        <v>EVO2A</v>
      </c>
      <c r="S1200" s="1399" t="str">
        <f>_xlfn.XLOOKUP(PV_DATA[[#This Row],[New Ark SKU]],Table9[New Ark SKU],Table9[Cable],,0)</f>
        <v>±1200mm</v>
      </c>
      <c r="T1200" s="1415">
        <v>485</v>
      </c>
      <c r="U1200" s="1423">
        <f>936*4</f>
        <v>3744</v>
      </c>
      <c r="V1200" s="1416">
        <f>PV_DATA[[#This Row],[QUANTITY]]*PV_DATA[[#This Row],[WATT]]/1000000</f>
        <v>1.8158399999999999</v>
      </c>
      <c r="W1200" s="1424">
        <f>PV_DATA[[#This Row],[QUANTITY]]/PV_DATA[[#This Row],[Qty/Pallet]]</f>
        <v>104</v>
      </c>
      <c r="X1200" s="1417">
        <f>PV_DATA[[#This Row],[QUANTITY]]/PV_DATA[[#This Row],[Qty/CT]]</f>
        <v>4</v>
      </c>
      <c r="Y1200" s="475" t="s">
        <v>4384</v>
      </c>
      <c r="Z1200" s="1425" t="str">
        <f t="shared" ref="Z1200:Z1210" si="32">IF(AN1200&lt;&gt;"","COMPLETED",IF(AK1200&lt;&gt;"","IN-TRANSIT",""))</f>
        <v/>
      </c>
      <c r="AA1200" s="1408" t="s">
        <v>7359</v>
      </c>
      <c r="AB1200" s="1418">
        <v>46324</v>
      </c>
      <c r="AC1200" s="1419">
        <f>IF(PV_DATA[[#This Row],[Pick-Up Date]]&lt;&gt;"",_xlfn.ISOWEEKNUM(PV_DATA[[#This Row],[Pick-Up Date]]),"")</f>
        <v>44</v>
      </c>
      <c r="AD1200" s="1408"/>
      <c r="AE1200" s="1415"/>
      <c r="AF1200" s="475" t="s">
        <v>122</v>
      </c>
      <c r="AG1200" s="475" t="s">
        <v>123</v>
      </c>
      <c r="AH1200" s="475" t="s">
        <v>1561</v>
      </c>
      <c r="AI1200" s="1418">
        <v>46332</v>
      </c>
      <c r="AJ1200" s="1404">
        <f>IFERROR(VLOOKUP(AT1200, Vessel!A:D, 4, FALSE), "")</f>
        <v>46332.395833333336</v>
      </c>
      <c r="AK1200" s="1404" t="str">
        <f>IFERROR(IF(VLOOKUP(AT1200,Vessel!A:F,5,FALSE)=0,"",VLOOKUP(AT1200,Vessel!A:F,5,FALSE)),"")</f>
        <v/>
      </c>
      <c r="AL1200" s="1418">
        <v>46381</v>
      </c>
      <c r="AM1200" s="1418"/>
      <c r="AN1200" s="1418" t="str">
        <f>IFERROR(IF(VLOOKUP(AT1200,Vessel!A:I,9,FALSE)=0,"",VLOOKUP(AT1200,Vessel!A:I,9,FALSE)),"")</f>
        <v/>
      </c>
      <c r="AO1200" s="1408"/>
      <c r="AP1200" s="1408" t="s">
        <v>7416</v>
      </c>
      <c r="AQ1200" s="1420" t="s">
        <v>80</v>
      </c>
      <c r="AR1200" s="1408" t="s">
        <v>7417</v>
      </c>
      <c r="AS1200" s="1408" t="s">
        <v>7418</v>
      </c>
      <c r="AT1200" s="1408" t="s">
        <v>7418</v>
      </c>
      <c r="AU1200" s="475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48.604166666664241</v>
      </c>
      <c r="AV1200" s="1408"/>
      <c r="AW1200" s="1418" cm="1">
        <f t="array" ref="AW120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46381</v>
      </c>
      <c r="AX1200" s="1409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00" s="1418">
        <f>IF(ISERROR(PV_DATA[[#This Row],[New Ark PO status]]),"",_xlfn.XLOOKUP(PV_DATA[[#This Row],[SPTN-PVHK New Ark PO'#]],New_Ark_Data[Purchase order Number],New_Ark_Data[Estimated time of arrival],"",0))</f>
        <v>0</v>
      </c>
      <c r="AZ1200" s="1415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200" s="1418">
        <f>IFERROR(PV_DATA[[#This Row],[ODP ETA Port]]+PV_DATA[[#This Row],[Customs/Leg3 Assumption]],"n/a")</f>
        <v>46391</v>
      </c>
      <c r="BB1200" s="1415">
        <f>YEAR(PV_DATA[[#This Row],[ETA for New Ark update]])</f>
        <v>2027</v>
      </c>
      <c r="BC1200" s="1408">
        <f>MONTH(PV_DATA[[#This Row],[ETA for New Ark update]])</f>
        <v>1</v>
      </c>
      <c r="BD1200" s="1408">
        <f>IFERROR(_xlfn.ISOWEEKNUM(PV_DATA[[#This Row],[ETA for New Ark update]]),0)</f>
        <v>1</v>
      </c>
      <c r="BE1200" s="475">
        <f>_xlfn.XLOOKUP(PV_DATA[[#This Row],[New Ark SKU]],Table9[New Ark SKU],Table9[Total PCS per Pallet],,0)</f>
        <v>36</v>
      </c>
      <c r="BF1200" s="475">
        <f>_xlfn.XLOOKUP(PV_DATA[[#This Row],[New Ark SKU]],Table9[New Ark SKU],Table9[Total PCS per 40HQ Container],,0)</f>
        <v>936</v>
      </c>
      <c r="BG1200" s="475" t="str">
        <f>_xlfn.XLOOKUP(PV_DATA[[#This Row],[New Ark SKU]],Table9[New Ark SKU],Table9[Back Glass],,0)</f>
        <v>Black glazing</v>
      </c>
      <c r="BH1200" s="1421" t="str">
        <f>_xlfn.XLOOKUP(PV_DATA[[#This Row],[PORT DESTINATION]],Table12[PORT DESTINATION],Table12[Cosco Line],,0)</f>
        <v>AEM</v>
      </c>
      <c r="BJ1200" s="1427"/>
    </row>
    <row r="1201" spans="1:62" ht="21" hidden="1">
      <c r="A1201" s="1179" t="s">
        <v>7419</v>
      </c>
      <c r="B1201" s="726" t="s">
        <v>1757</v>
      </c>
      <c r="C1201" s="726" t="str">
        <f>IFERROR(LEFT(PV_DATA[[#This Row],[TCL REFERENCE]],FIND(".",PV_DATA[[#This Row],[TCL REFERENCE]],1)-1),"Main Line")</f>
        <v>26Oct007</v>
      </c>
      <c r="D1201" s="726" t="s">
        <v>63</v>
      </c>
      <c r="E1201" s="439" t="s">
        <v>64</v>
      </c>
      <c r="F1201" s="439" t="str" cm="1">
        <f t="array" ref="F120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201" s="726" t="s">
        <v>402</v>
      </c>
      <c r="H1201" s="462" t="s">
        <v>115</v>
      </c>
      <c r="I1201" s="462" t="s">
        <v>882</v>
      </c>
      <c r="J1201" s="431" t="s">
        <v>96</v>
      </c>
      <c r="K1201" s="619"/>
      <c r="L1201" s="619"/>
      <c r="M1201" s="431" t="s">
        <v>68</v>
      </c>
      <c r="N1201" s="630"/>
      <c r="O1201" s="619" t="s">
        <v>284</v>
      </c>
      <c r="P1201" s="623" t="s">
        <v>7223</v>
      </c>
      <c r="Q1201" s="619" t="s">
        <v>7224</v>
      </c>
      <c r="R1201" s="430" t="str">
        <f>_xlfn.XLOOKUP(PV_DATA[[#This Row],[New Ark SKU]],Table9[New Ark SKU],Table9[Connector],,0)</f>
        <v>EVO2A</v>
      </c>
      <c r="S1201" s="433" t="str">
        <f>_xlfn.XLOOKUP(PV_DATA[[#This Row],[New Ark SKU]],Table9[New Ark SKU],Table9[Cable],,0)</f>
        <v>±1200mm</v>
      </c>
      <c r="T1201" s="620">
        <v>490</v>
      </c>
      <c r="U1201" s="1038">
        <f>936*1</f>
        <v>936</v>
      </c>
      <c r="V1201" s="624">
        <f>PV_DATA[[#This Row],[QUANTITY]]*PV_DATA[[#This Row],[WATT]]/1000000</f>
        <v>0.45863999999999999</v>
      </c>
      <c r="W1201" s="625">
        <f>PV_DATA[[#This Row],[QUANTITY]]/PV_DATA[[#This Row],[Qty/Pallet]]</f>
        <v>26</v>
      </c>
      <c r="X1201" s="1022">
        <f>PV_DATA[[#This Row],[QUANTITY]]/PV_DATA[[#This Row],[Qty/CT]]</f>
        <v>1</v>
      </c>
      <c r="Y1201" s="431" t="s">
        <v>4386</v>
      </c>
      <c r="Z1201" s="1178" t="str">
        <f t="shared" si="32"/>
        <v/>
      </c>
      <c r="AA1201" s="619" t="s">
        <v>7420</v>
      </c>
      <c r="AB1201" s="626">
        <v>46325</v>
      </c>
      <c r="AC1201" s="627">
        <f>IF(PV_DATA[[#This Row],[Pick-Up Date]]&lt;&gt;"",_xlfn.ISOWEEKNUM(PV_DATA[[#This Row],[Pick-Up Date]]),"")</f>
        <v>44</v>
      </c>
      <c r="AD1201" s="619"/>
      <c r="AE1201" s="620"/>
      <c r="AF1201" s="430" t="s">
        <v>6003</v>
      </c>
      <c r="AG1201" s="430" t="s">
        <v>6003</v>
      </c>
      <c r="AH1201" s="431" t="s">
        <v>124</v>
      </c>
      <c r="AI1201" s="626">
        <v>46328</v>
      </c>
      <c r="AJ1201" s="437">
        <f>IFERROR(VLOOKUP(AT1201, Vessel!A:D, 4, FALSE), "")</f>
        <v>46328.541666666664</v>
      </c>
      <c r="AK1201" s="437" t="str">
        <f>IFERROR(IF(VLOOKUP(AT1201,Vessel!A:F,5,FALSE)=0,"",VLOOKUP(AT1201,Vessel!A:F,5,FALSE)),"")</f>
        <v/>
      </c>
      <c r="AL1201" s="626">
        <v>46366</v>
      </c>
      <c r="AM1201" s="939">
        <f>IFERROR(VLOOKUP(AT1201, Vessel!A:H, 8, FALSE), "")</f>
        <v>46366.833333333336</v>
      </c>
      <c r="AN1201" s="939" t="str">
        <f>IFERROR(IF(VLOOKUP(AT1201,Vessel!A:I,9,FALSE)=0,"",VLOOKUP(AT1201,Vessel!A:I,9,FALSE)),"")</f>
        <v/>
      </c>
      <c r="AO1201" s="619"/>
      <c r="AP1201" s="1285" t="s">
        <v>7421</v>
      </c>
      <c r="AQ1201" s="1028" t="s">
        <v>80</v>
      </c>
      <c r="AR1201" s="619" t="s">
        <v>7422</v>
      </c>
      <c r="AS1201" s="619" t="s">
        <v>7423</v>
      </c>
      <c r="AT1201" s="619" t="s">
        <v>7423</v>
      </c>
      <c r="AU120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38.291666666671517</v>
      </c>
      <c r="AV1201" s="619"/>
      <c r="AW1201" s="626" cm="1">
        <f t="array" ref="AW120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46366.833333333336</v>
      </c>
      <c r="AX120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01" s="626">
        <f>IF(ISERROR(PV_DATA[[#This Row],[New Ark PO status]]),"",_xlfn.XLOOKUP(PV_DATA[[#This Row],[SPTN-PVHK New Ark PO'#]],New_Ark_Data[Purchase order Number],New_Ark_Data[Estimated time of arrival],"",0))</f>
        <v>0</v>
      </c>
      <c r="AZ1201" s="620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201" s="626">
        <f>IFERROR(PV_DATA[[#This Row],[ODP ETA Port]]+PV_DATA[[#This Row],[Customs/Leg3 Assumption]],"n/a")</f>
        <v>46375.833333333336</v>
      </c>
      <c r="BB1201" s="620">
        <f>YEAR(PV_DATA[[#This Row],[ETA for New Ark update]])</f>
        <v>2026</v>
      </c>
      <c r="BC1201" s="619">
        <f>MONTH(PV_DATA[[#This Row],[ETA for New Ark update]])</f>
        <v>12</v>
      </c>
      <c r="BD1201" s="619">
        <f>IFERROR(_xlfn.ISOWEEKNUM(PV_DATA[[#This Row],[ETA for New Ark update]]),0)</f>
        <v>51</v>
      </c>
      <c r="BE1201" s="431">
        <f>_xlfn.XLOOKUP(PV_DATA[[#This Row],[New Ark SKU]],Table9[New Ark SKU],Table9[Total PCS per Pallet],,0)</f>
        <v>36</v>
      </c>
      <c r="BF1201" s="431">
        <f>_xlfn.XLOOKUP(PV_DATA[[#This Row],[New Ark SKU]],Table9[New Ark SKU],Table9[Total PCS per 40HQ Container],,0)</f>
        <v>936</v>
      </c>
      <c r="BG1201" s="431" t="str">
        <f>_xlfn.XLOOKUP(PV_DATA[[#This Row],[New Ark SKU]],Table9[New Ark SKU],Table9[Back Glass],,0)</f>
        <v>Black glazing</v>
      </c>
      <c r="BH1201" s="629" t="str">
        <f>_xlfn.XLOOKUP(PV_DATA[[#This Row],[PORT DESTINATION]],Table12[PORT DESTINATION],Table12[Cosco Line],,0)</f>
        <v>AEM</v>
      </c>
    </row>
    <row r="1202" spans="1:62" hidden="1">
      <c r="A1202" s="1179" t="s">
        <v>7424</v>
      </c>
      <c r="B1202" s="726" t="s">
        <v>1757</v>
      </c>
      <c r="C1202" s="726" t="str">
        <f>IFERROR(LEFT(PV_DATA[[#This Row],[TCL REFERENCE]],FIND(".",PV_DATA[[#This Row],[TCL REFERENCE]],1)-1),"Main Line")</f>
        <v>26Oct009</v>
      </c>
      <c r="D1202" s="726" t="s">
        <v>63</v>
      </c>
      <c r="E1202" s="439" t="s">
        <v>64</v>
      </c>
      <c r="F1202" s="439" t="str" cm="1">
        <f t="array" ref="F120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202" s="726" t="s">
        <v>402</v>
      </c>
      <c r="H1202" s="726" t="s">
        <v>67</v>
      </c>
      <c r="I1202" s="431" t="s">
        <v>689</v>
      </c>
      <c r="J1202" s="431" t="s">
        <v>96</v>
      </c>
      <c r="K1202" s="619"/>
      <c r="L1202" s="619"/>
      <c r="M1202" s="430" t="s">
        <v>6325</v>
      </c>
      <c r="N1202" s="630"/>
      <c r="O1202" s="619" t="s">
        <v>284</v>
      </c>
      <c r="P1202" s="623" t="s">
        <v>5860</v>
      </c>
      <c r="Q1202" s="619" t="s">
        <v>5861</v>
      </c>
      <c r="R1202" s="430" t="str">
        <f>_xlfn.XLOOKUP(PV_DATA[[#This Row],[New Ark SKU]],Table9[New Ark SKU],Table9[Connector],,0)</f>
        <v>EVO2A</v>
      </c>
      <c r="S1202" s="433" t="str">
        <f>_xlfn.XLOOKUP(PV_DATA[[#This Row],[New Ark SKU]],Table9[New Ark SKU],Table9[Cable],,0)</f>
        <v>±1200mm</v>
      </c>
      <c r="T1202" s="620">
        <v>485</v>
      </c>
      <c r="U1202" s="1038">
        <f>936*2</f>
        <v>1872</v>
      </c>
      <c r="V1202" s="624">
        <f>PV_DATA[[#This Row],[QUANTITY]]*PV_DATA[[#This Row],[WATT]]/1000000</f>
        <v>0.90791999999999995</v>
      </c>
      <c r="W1202" s="625">
        <f>PV_DATA[[#This Row],[QUANTITY]]/PV_DATA[[#This Row],[Qty/Pallet]]</f>
        <v>52</v>
      </c>
      <c r="X1202" s="1185">
        <f>PV_DATA[[#This Row],[QUANTITY]]/PV_DATA[[#This Row],[Qty/CT]]</f>
        <v>2</v>
      </c>
      <c r="Y1202" s="431" t="s">
        <v>4384</v>
      </c>
      <c r="Z1202" s="1178" t="str">
        <f t="shared" si="32"/>
        <v/>
      </c>
      <c r="AA1202" s="855">
        <v>46322</v>
      </c>
      <c r="AB1202" s="626">
        <v>46325</v>
      </c>
      <c r="AC1202" s="627">
        <f>IF(PV_DATA[[#This Row],[Pick-Up Date]]&lt;&gt;"",_xlfn.ISOWEEKNUM(PV_DATA[[#This Row],[Pick-Up Date]]),"")</f>
        <v>44</v>
      </c>
      <c r="AD1202" s="619"/>
      <c r="AE1202" s="620"/>
      <c r="AF1202" s="430" t="s">
        <v>6003</v>
      </c>
      <c r="AG1202" s="430" t="s">
        <v>6003</v>
      </c>
      <c r="AH1202" s="431" t="s">
        <v>105</v>
      </c>
      <c r="AI1202" s="626">
        <v>46333</v>
      </c>
      <c r="AJ1202" s="437">
        <f>IFERROR(VLOOKUP(AT1202, Vessel!A:D, 4, FALSE), "")</f>
        <v>46333.0625</v>
      </c>
      <c r="AK1202" s="437" t="str">
        <f>IFERROR(IF(VLOOKUP(AT1202,Vessel!A:F,5,FALSE)=0,"",VLOOKUP(AT1202,Vessel!A:F,5,FALSE)),"")</f>
        <v/>
      </c>
      <c r="AL1202" s="626">
        <v>46364</v>
      </c>
      <c r="AM1202" s="939">
        <f>IFERROR(VLOOKUP(AT1202, Vessel!A:H, 8, FALSE), "")</f>
        <v>46364.333333333336</v>
      </c>
      <c r="AN1202" s="939" t="str">
        <f>IFERROR(IF(VLOOKUP(AT1202,Vessel!A:I,9,FALSE)=0,"",VLOOKUP(AT1202,Vessel!A:I,9,FALSE)),"")</f>
        <v/>
      </c>
      <c r="AO1202" s="619"/>
      <c r="AP1202" s="619" t="s">
        <v>7355</v>
      </c>
      <c r="AQ1202" s="1028" t="s">
        <v>80</v>
      </c>
      <c r="AR1202" s="619" t="s">
        <v>7425</v>
      </c>
      <c r="AS1202" s="619" t="s">
        <v>7426</v>
      </c>
      <c r="AT1202" s="619" t="s">
        <v>7426</v>
      </c>
      <c r="AU120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31.270833333335759</v>
      </c>
      <c r="AV1202" s="619"/>
      <c r="AW1202" s="626" cm="1">
        <f t="array" ref="AW120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46364.333333333336</v>
      </c>
      <c r="AX120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02" s="626">
        <f>IF(ISERROR(PV_DATA[[#This Row],[New Ark PO status]]),"",_xlfn.XLOOKUP(PV_DATA[[#This Row],[SPTN-PVHK New Ark PO'#]],New_Ark_Data[Purchase order Number],New_Ark_Data[Estimated time of arrival],"",0))</f>
        <v>0</v>
      </c>
      <c r="AZ1202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202" s="626">
        <f>IFERROR(PV_DATA[[#This Row],[ODP ETA Port]]+PV_DATA[[#This Row],[Customs/Leg3 Assumption]],"n/a")</f>
        <v>46371.333333333336</v>
      </c>
      <c r="BB1202" s="620">
        <f>YEAR(PV_DATA[[#This Row],[ETA for New Ark update]])</f>
        <v>2026</v>
      </c>
      <c r="BC1202" s="619">
        <f>MONTH(PV_DATA[[#This Row],[ETA for New Ark update]])</f>
        <v>12</v>
      </c>
      <c r="BD1202" s="619">
        <f>IFERROR(_xlfn.ISOWEEKNUM(PV_DATA[[#This Row],[ETA for New Ark update]]),0)</f>
        <v>51</v>
      </c>
      <c r="BE1202" s="431">
        <f>_xlfn.XLOOKUP(PV_DATA[[#This Row],[New Ark SKU]],Table9[New Ark SKU],Table9[Total PCS per Pallet],,0)</f>
        <v>36</v>
      </c>
      <c r="BF1202" s="431">
        <f>_xlfn.XLOOKUP(PV_DATA[[#This Row],[New Ark SKU]],Table9[New Ark SKU],Table9[Total PCS per 40HQ Container],,0)</f>
        <v>936</v>
      </c>
      <c r="BG1202" s="431" t="str">
        <f>_xlfn.XLOOKUP(PV_DATA[[#This Row],[New Ark SKU]],Table9[New Ark SKU],Table9[Back Glass],,0)</f>
        <v>Black glazing</v>
      </c>
      <c r="BH1202" s="629" t="str">
        <f>_xlfn.XLOOKUP(PV_DATA[[#This Row],[PORT DESTINATION]],Table12[PORT DESTINATION],Table12[Cosco Line],,0)</f>
        <v>AEU</v>
      </c>
    </row>
    <row r="1203" spans="1:62" hidden="1">
      <c r="A1203" s="1179" t="s">
        <v>7427</v>
      </c>
      <c r="B1203" s="726" t="s">
        <v>1757</v>
      </c>
      <c r="C1203" s="726" t="str">
        <f>IFERROR(LEFT(PV_DATA[[#This Row],[TCL REFERENCE]],FIND(".",PV_DATA[[#This Row],[TCL REFERENCE]],1)-1),"Main Line")</f>
        <v>26Oct007</v>
      </c>
      <c r="D1203" s="726" t="s">
        <v>63</v>
      </c>
      <c r="E1203" s="439" t="s">
        <v>64</v>
      </c>
      <c r="F1203" s="439" t="str" cm="1">
        <f t="array" ref="F120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203" s="726" t="s">
        <v>402</v>
      </c>
      <c r="H1203" s="726" t="s">
        <v>311</v>
      </c>
      <c r="I1203" s="431" t="s">
        <v>689</v>
      </c>
      <c r="J1203" s="431" t="s">
        <v>96</v>
      </c>
      <c r="K1203" s="619"/>
      <c r="L1203" s="619"/>
      <c r="M1203" s="619" t="s">
        <v>68</v>
      </c>
      <c r="N1203" s="630"/>
      <c r="O1203" s="619" t="s">
        <v>284</v>
      </c>
      <c r="P1203" s="623" t="s">
        <v>7223</v>
      </c>
      <c r="Q1203" s="619" t="s">
        <v>7224</v>
      </c>
      <c r="R1203" s="430" t="str">
        <f>_xlfn.XLOOKUP(PV_DATA[[#This Row],[New Ark SKU]],Table9[New Ark SKU],Table9[Connector],,0)</f>
        <v>EVO2A</v>
      </c>
      <c r="S1203" s="433" t="str">
        <f>_xlfn.XLOOKUP(PV_DATA[[#This Row],[New Ark SKU]],Table9[New Ark SKU],Table9[Cable],,0)</f>
        <v>±1200mm</v>
      </c>
      <c r="T1203" s="620">
        <v>490</v>
      </c>
      <c r="U1203" s="1038">
        <f>936*2</f>
        <v>1872</v>
      </c>
      <c r="V1203" s="624">
        <f>PV_DATA[[#This Row],[QUANTITY]]*PV_DATA[[#This Row],[WATT]]/1000000</f>
        <v>0.91727999999999998</v>
      </c>
      <c r="W1203" s="625">
        <f>PV_DATA[[#This Row],[QUANTITY]]/PV_DATA[[#This Row],[Qty/Pallet]]</f>
        <v>52</v>
      </c>
      <c r="X1203" s="1022">
        <f>PV_DATA[[#This Row],[QUANTITY]]/PV_DATA[[#This Row],[Qty/CT]]</f>
        <v>2</v>
      </c>
      <c r="Y1203" s="431" t="s">
        <v>4386</v>
      </c>
      <c r="Z1203" s="1178" t="str">
        <f t="shared" si="32"/>
        <v/>
      </c>
      <c r="AA1203" s="619" t="s">
        <v>7428</v>
      </c>
      <c r="AB1203" s="626">
        <v>46325</v>
      </c>
      <c r="AC1203" s="627">
        <f>IF(PV_DATA[[#This Row],[Pick-Up Date]]&lt;&gt;"",_xlfn.ISOWEEKNUM(PV_DATA[[#This Row],[Pick-Up Date]]),"")</f>
        <v>44</v>
      </c>
      <c r="AD1203" s="619"/>
      <c r="AE1203" s="620"/>
      <c r="AF1203" s="430" t="s">
        <v>6003</v>
      </c>
      <c r="AG1203" s="430" t="s">
        <v>6003</v>
      </c>
      <c r="AH1203" s="431" t="s">
        <v>314</v>
      </c>
      <c r="AI1203" s="626">
        <v>46333</v>
      </c>
      <c r="AJ1203" s="437">
        <f>IFERROR(VLOOKUP(AT1203, Vessel!A:D, 4, FALSE), "")</f>
        <v>46333.895833333336</v>
      </c>
      <c r="AK1203" s="437" t="str">
        <f>IFERROR(IF(VLOOKUP(AT1203,Vessel!A:F,5,FALSE)=0,"",VLOOKUP(AT1203,Vessel!A:F,5,FALSE)),"")</f>
        <v/>
      </c>
      <c r="AL1203" s="626">
        <v>46379</v>
      </c>
      <c r="AM1203" s="939">
        <f>IFERROR(VLOOKUP(AT1203, Vessel!A:H, 8, FALSE), "")</f>
        <v>46379.25</v>
      </c>
      <c r="AN1203" s="939" t="str">
        <f>IFERROR(IF(VLOOKUP(AT1203,Vessel!A:I,9,FALSE)=0,"",VLOOKUP(AT1203,Vessel!A:I,9,FALSE)),"")</f>
        <v/>
      </c>
      <c r="AO1203" s="619"/>
      <c r="AP1203" s="619" t="s">
        <v>7411</v>
      </c>
      <c r="AQ1203" s="628" t="s">
        <v>80</v>
      </c>
      <c r="AR1203" s="619" t="s">
        <v>7429</v>
      </c>
      <c r="AS1203" s="619" t="s">
        <v>7430</v>
      </c>
      <c r="AT1203" s="619" t="s">
        <v>7430</v>
      </c>
      <c r="AU1203" s="619"/>
      <c r="AV1203" s="619"/>
      <c r="AW1203" s="626" cm="1">
        <f t="array" ref="AW120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46379.25</v>
      </c>
      <c r="AX120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03" s="626">
        <f>IF(ISERROR(PV_DATA[[#This Row],[New Ark PO status]]),"",_xlfn.XLOOKUP(PV_DATA[[#This Row],[SPTN-PVHK New Ark PO'#]],New_Ark_Data[Purchase order Number],New_Ark_Data[Estimated time of arrival],"",0))</f>
        <v>0</v>
      </c>
      <c r="AZ1203" s="620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203" s="626">
        <f>IFERROR(PV_DATA[[#This Row],[ODP ETA Port]]+PV_DATA[[#This Row],[Customs/Leg3 Assumption]],"n/a")</f>
        <v>46389.25</v>
      </c>
      <c r="BB1203" s="620">
        <f>YEAR(PV_DATA[[#This Row],[ETA for New Ark update]])</f>
        <v>2027</v>
      </c>
      <c r="BC1203" s="619">
        <f>MONTH(PV_DATA[[#This Row],[ETA for New Ark update]])</f>
        <v>1</v>
      </c>
      <c r="BD1203" s="619">
        <f>IFERROR(_xlfn.ISOWEEKNUM(PV_DATA[[#This Row],[ETA for New Ark update]]),0)</f>
        <v>53</v>
      </c>
      <c r="BE1203" s="431">
        <f>_xlfn.XLOOKUP(PV_DATA[[#This Row],[New Ark SKU]],Table9[New Ark SKU],Table9[Total PCS per Pallet],,0)</f>
        <v>36</v>
      </c>
      <c r="BF1203" s="431">
        <f>_xlfn.XLOOKUP(PV_DATA[[#This Row],[New Ark SKU]],Table9[New Ark SKU],Table9[Total PCS per 40HQ Container],,0)</f>
        <v>936</v>
      </c>
      <c r="BG1203" s="431" t="str">
        <f>_xlfn.XLOOKUP(PV_DATA[[#This Row],[New Ark SKU]],Table9[New Ark SKU],Table9[Back Glass],,0)</f>
        <v>Black glazing</v>
      </c>
      <c r="BH1203" s="629" t="str">
        <f>_xlfn.XLOOKUP(PV_DATA[[#This Row],[PORT DESTINATION]],Table12[PORT DESTINATION],Table12[Cosco Line],,0)</f>
        <v>AEM</v>
      </c>
    </row>
    <row r="1204" spans="1:62" s="450" customFormat="1" ht="13.5" hidden="1" customHeight="1">
      <c r="A1204" s="728" t="s">
        <v>7431</v>
      </c>
      <c r="B1204" s="439" t="s">
        <v>61</v>
      </c>
      <c r="C1204" s="439" t="str">
        <f>IFERROR(LEFT(PV_DATA[[#This Row],[TCL REFERENCE]],FIND(".",PV_DATA[[#This Row],[TCL REFERENCE]],1)-1),"Main Line")</f>
        <v>26Aug024</v>
      </c>
      <c r="D1204" s="439" t="s">
        <v>63</v>
      </c>
      <c r="E1204" s="446" t="s">
        <v>64</v>
      </c>
      <c r="F1204" s="446" t="str" cm="1">
        <f t="array" ref="F120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1204" s="446" t="s">
        <v>402</v>
      </c>
      <c r="H1204" s="446" t="s">
        <v>451</v>
      </c>
      <c r="I1204" s="446" t="s">
        <v>882</v>
      </c>
      <c r="J1204" s="450" t="s">
        <v>7048</v>
      </c>
      <c r="K1204" s="431"/>
      <c r="L1204" s="431"/>
      <c r="M1204" s="431" t="s">
        <v>68</v>
      </c>
      <c r="N1204" s="461">
        <v>46279</v>
      </c>
      <c r="O1204" s="431" t="s">
        <v>4540</v>
      </c>
      <c r="P1204" s="450" t="s">
        <v>7049</v>
      </c>
      <c r="Q1204" s="431" t="s">
        <v>7050</v>
      </c>
      <c r="R1204" s="430" t="str">
        <f>_xlfn.XLOOKUP(PV_DATA[[#This Row],[New Ark SKU]],Table9[New Ark SKU],Table9[Connector],,0)</f>
        <v>EVO2A</v>
      </c>
      <c r="S1204" s="433" t="str">
        <f>_xlfn.XLOOKUP(PV_DATA[[#This Row],[New Ark SKU]],Table9[New Ark SKU],Table9[Cable],,0)</f>
        <v>±1200mm</v>
      </c>
      <c r="T1204" s="442">
        <v>505</v>
      </c>
      <c r="U1204" s="1067">
        <f>864*6</f>
        <v>5184</v>
      </c>
      <c r="V1204" s="448">
        <f>PV_DATA[[#This Row],[QUANTITY]]*PV_DATA[[#This Row],[WATT]]/1000000</f>
        <v>2.6179199999999998</v>
      </c>
      <c r="W1204" s="466">
        <f>PV_DATA[[#This Row],[QUANTITY]]/PV_DATA[[#This Row],[Qty/Pallet]]</f>
        <v>144</v>
      </c>
      <c r="X1204" s="1019">
        <f>PV_DATA[[#This Row],[QUANTITY]]/PV_DATA[[#This Row],[Qty/CT]]</f>
        <v>6</v>
      </c>
      <c r="Y1204" s="431" t="s">
        <v>4383</v>
      </c>
      <c r="Z1204" s="431" t="str">
        <f t="shared" si="32"/>
        <v/>
      </c>
      <c r="AA1204" s="619" t="s">
        <v>7432</v>
      </c>
      <c r="AB1204" s="441"/>
      <c r="AC1204" s="467" t="str">
        <f>IF(PV_DATA[[#This Row],[Pick-Up Date]]&lt;&gt;"",_xlfn.ISOWEEKNUM(PV_DATA[[#This Row],[Pick-Up Date]]),"")</f>
        <v/>
      </c>
      <c r="AD1204" s="431"/>
      <c r="AE1204" s="431"/>
      <c r="AF1204" s="431" t="s">
        <v>61</v>
      </c>
      <c r="AG1204" s="431" t="s">
        <v>61</v>
      </c>
      <c r="AH1204" s="431" t="s">
        <v>456</v>
      </c>
      <c r="AI1204" s="441">
        <v>46332</v>
      </c>
      <c r="AJ1204" s="441">
        <v>46337</v>
      </c>
      <c r="AK1204" s="441"/>
      <c r="AL1204" s="441">
        <v>46025</v>
      </c>
      <c r="AM1204" s="618" t="str">
        <f>IFERROR(VLOOKUP(AT1204, Vessel!A:H, 8, FALSE), "")</f>
        <v/>
      </c>
      <c r="AN1204" s="586" t="str">
        <f>IFERROR(IF(VLOOKUP(AT1204,Vessel!A:I,9,FALSE)=0,"",VLOOKUP(AT1204,Vessel!A:I,9,FALSE)),"")</f>
        <v/>
      </c>
      <c r="AO1204" s="431" t="s">
        <v>402</v>
      </c>
      <c r="AP1204" s="431" t="s">
        <v>7433</v>
      </c>
      <c r="AQ1204" s="445" t="s">
        <v>161</v>
      </c>
      <c r="AR1204" s="619" t="s">
        <v>7434</v>
      </c>
      <c r="AS1204" s="431" t="s">
        <v>7435</v>
      </c>
      <c r="AT1204" s="431" t="s">
        <v>7435</v>
      </c>
      <c r="AU1204" s="619"/>
      <c r="AV1204" s="431"/>
      <c r="AW1204" s="441" cm="1">
        <f t="array" ref="AW120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46025</v>
      </c>
      <c r="AX120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04" s="441">
        <f>IF(ISERROR(PV_DATA[[#This Row],[New Ark PO status]]),"",_xlfn.XLOOKUP(PV_DATA[[#This Row],[SPTN-PVHK New Ark PO'#]],New_Ark_Data[Purchase order Number],New_Ark_Data[Estimated time of arrival],"",0))</f>
        <v>0</v>
      </c>
      <c r="AZ120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204" s="441">
        <f>IFERROR(PV_DATA[[#This Row],[ODP ETA Port]]+PV_DATA[[#This Row],[Customs/Leg3 Assumption]],"n/a")</f>
        <v>46032</v>
      </c>
      <c r="BB1204" s="442" t="s">
        <v>6545</v>
      </c>
      <c r="BC1204" s="431" t="s">
        <v>6545</v>
      </c>
      <c r="BD1204" s="431">
        <f>IFERROR(_xlfn.ISOWEEKNUM(PV_DATA[[#This Row],[ETA for New Ark update]]),0)</f>
        <v>2</v>
      </c>
      <c r="BE1204" s="431">
        <f>_xlfn.XLOOKUP(PV_DATA[[#This Row],[New Ark SKU]],Table9[New Ark SKU],Table9[Total PCS per Pallet],,0)</f>
        <v>36</v>
      </c>
      <c r="BF1204" s="431">
        <f>_xlfn.XLOOKUP(PV_DATA[[#This Row],[New Ark SKU]],Table9[New Ark SKU],Table9[Total PCS per 40HQ Container],,0)</f>
        <v>864</v>
      </c>
      <c r="BG1204" s="431" t="str">
        <f>_xlfn.XLOOKUP(PV_DATA[[#This Row],[New Ark SKU]],Table9[New Ark SKU],Table9[Back Glass],,0)</f>
        <v>Black glazing</v>
      </c>
      <c r="BH1204" s="622" t="str">
        <f>_xlfn.XLOOKUP(PV_DATA[[#This Row],[PORT DESTINATION]],Table12[PORT DESTINATION],Table12[Cosco Line],,0)</f>
        <v>AEU</v>
      </c>
    </row>
    <row r="1205" spans="1:62" hidden="1">
      <c r="A1205" s="1179" t="s">
        <v>7436</v>
      </c>
      <c r="B1205" s="726" t="s">
        <v>61</v>
      </c>
      <c r="C1205" s="439" t="str">
        <f>IFERROR(LEFT(PV_DATA[[#This Row],[TCL REFERENCE]],FIND(".",PV_DATA[[#This Row],[TCL REFERENCE]],1)-1),"Main Line")</f>
        <v>26Oct005</v>
      </c>
      <c r="D1205" s="726" t="s">
        <v>63</v>
      </c>
      <c r="E1205" s="439" t="s">
        <v>144</v>
      </c>
      <c r="F1205" s="439" t="str" cm="1">
        <f t="array" ref="F1205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205" s="439" t="s">
        <v>402</v>
      </c>
      <c r="H1205" s="726" t="s">
        <v>2394</v>
      </c>
      <c r="I1205" s="431" t="s">
        <v>1395</v>
      </c>
      <c r="J1205" s="619" t="s">
        <v>2394</v>
      </c>
      <c r="K1205" s="619" t="s">
        <v>7056</v>
      </c>
      <c r="L1205" s="619">
        <v>2</v>
      </c>
      <c r="M1205" s="619" t="s">
        <v>7272</v>
      </c>
      <c r="N1205" s="461">
        <v>46317</v>
      </c>
      <c r="O1205" s="619" t="s">
        <v>4540</v>
      </c>
      <c r="P1205" s="430" t="s">
        <v>71</v>
      </c>
      <c r="Q1205" s="431" t="s">
        <v>72</v>
      </c>
      <c r="R1205" s="430" t="str">
        <f>_xlfn.XLOOKUP(PV_DATA[[#This Row],[New Ark SKU]],Table9[New Ark SKU],Table9[Connector],,0)</f>
        <v>EVO2A</v>
      </c>
      <c r="S1205" s="433" t="str">
        <f>_xlfn.XLOOKUP(PV_DATA[[#This Row],[New Ark SKU]],Table9[New Ark SKU],Table9[Cable],,0)</f>
        <v>±1200mm</v>
      </c>
      <c r="T1205" s="442">
        <v>500</v>
      </c>
      <c r="U1205" s="1067">
        <f>864*2</f>
        <v>1728</v>
      </c>
      <c r="V1205" s="448">
        <f>PV_DATA[[#This Row],[QUANTITY]]*PV_DATA[[#This Row],[WATT]]/1000000</f>
        <v>0.86399999999999999</v>
      </c>
      <c r="W1205" s="466">
        <f>PV_DATA[[#This Row],[QUANTITY]]/PV_DATA[[#This Row],[Qty/Pallet]]</f>
        <v>48</v>
      </c>
      <c r="X1205" s="1022">
        <f>PV_DATA[[#This Row],[QUANTITY]]/PV_DATA[[#This Row],[Qty/CT]]</f>
        <v>2</v>
      </c>
      <c r="Y1205" s="431" t="s">
        <v>4386</v>
      </c>
      <c r="Z1205" s="1180" t="str">
        <f t="shared" si="32"/>
        <v/>
      </c>
      <c r="AA1205" s="661">
        <v>46322</v>
      </c>
      <c r="AB1205" s="441"/>
      <c r="AC1205" s="467" t="str">
        <f>IF(PV_DATA[[#This Row],[Pick-Up Date]]&lt;&gt;"",_xlfn.ISOWEEKNUM(PV_DATA[[#This Row],[Pick-Up Date]]),"")</f>
        <v/>
      </c>
      <c r="AD1205" s="431"/>
      <c r="AE1205" s="442"/>
      <c r="AF1205" s="619" t="s">
        <v>61</v>
      </c>
      <c r="AG1205" s="619" t="s">
        <v>61</v>
      </c>
      <c r="AH1205" s="466" t="s">
        <v>888</v>
      </c>
      <c r="AI1205" s="441"/>
      <c r="AJ1205" s="441"/>
      <c r="AK1205" s="441"/>
      <c r="AL1205" s="441"/>
      <c r="AM1205" s="441"/>
      <c r="AO1205" s="439" t="s">
        <v>402</v>
      </c>
      <c r="AP1205" s="431"/>
      <c r="AQ1205" s="445" t="s">
        <v>161</v>
      </c>
      <c r="AR1205" s="619" t="s">
        <v>7437</v>
      </c>
      <c r="AS1205" s="431"/>
      <c r="AT1205" s="431"/>
      <c r="AU1205" s="619"/>
      <c r="AV1205" s="431"/>
      <c r="AW1205" s="441" cm="1">
        <f t="array" ref="AW120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46402</v>
      </c>
      <c r="AX120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05" s="441">
        <f>IF(ISERROR(PV_DATA[[#This Row],[New Ark PO status]]),"",_xlfn.XLOOKUP(PV_DATA[[#This Row],[SPTN-PVHK New Ark PO'#]],New_Ark_Data[Purchase order Number],New_Ark_Data[Estimated time of arrival],"",0))</f>
        <v>0</v>
      </c>
      <c r="AZ1205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205" s="441">
        <f>IFERROR(PV_DATA[[#This Row],[ODP ETA Port]]+PV_DATA[[#This Row],[Customs/Leg3 Assumption]],"n/a")</f>
        <v>46402</v>
      </c>
      <c r="BB1205" s="442">
        <f>YEAR(PV_DATA[[#This Row],[ETA for New Ark update]])</f>
        <v>2027</v>
      </c>
      <c r="BC1205" s="431">
        <f>MONTH(PV_DATA[[#This Row],[ETA for New Ark update]])</f>
        <v>1</v>
      </c>
      <c r="BD1205" s="431">
        <f>IFERROR(_xlfn.ISOWEEKNUM(PV_DATA[[#This Row],[ETA for New Ark update]]),0)</f>
        <v>2</v>
      </c>
      <c r="BE1205" s="431">
        <f>_xlfn.XLOOKUP(PV_DATA[[#This Row],[New Ark SKU]],Table9[New Ark SKU],Table9[Total PCS per Pallet],,0)</f>
        <v>36</v>
      </c>
      <c r="BF1205" s="431">
        <f>_xlfn.XLOOKUP(PV_DATA[[#This Row],[New Ark SKU]],Table9[New Ark SKU],Table9[Total PCS per 40HQ Container],,0)</f>
        <v>864</v>
      </c>
      <c r="BG1205" s="431" t="str">
        <f>_xlfn.XLOOKUP(PV_DATA[[#This Row],[New Ark SKU]],Table9[New Ark SKU],Table9[Back Glass],,0)</f>
        <v>Black glazing</v>
      </c>
      <c r="BH1205" s="622" t="str">
        <f>_xlfn.XLOOKUP(PV_DATA[[#This Row],[PORT DESTINATION]],Table12[PORT DESTINATION],Table12[Cosco Line],,0)</f>
        <v>AEU</v>
      </c>
      <c r="BI1205" s="430" t="s">
        <v>7438</v>
      </c>
    </row>
    <row r="1206" spans="1:62" hidden="1">
      <c r="A1206" s="1179" t="s">
        <v>7439</v>
      </c>
      <c r="B1206" s="726" t="s">
        <v>61</v>
      </c>
      <c r="C1206" s="439" t="str">
        <f>IFERROR(LEFT(PV_DATA[[#This Row],[TCL REFERENCE]],FIND(".",PV_DATA[[#This Row],[TCL REFERENCE]],1)-1),"Main Line")</f>
        <v>26Oct005</v>
      </c>
      <c r="D1206" s="726" t="s">
        <v>63</v>
      </c>
      <c r="E1206" s="439" t="s">
        <v>144</v>
      </c>
      <c r="F1206" s="439" t="str" cm="1">
        <f t="array" ref="F1206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206" s="439" t="s">
        <v>402</v>
      </c>
      <c r="H1206" s="726" t="s">
        <v>881</v>
      </c>
      <c r="I1206" s="431" t="s">
        <v>1395</v>
      </c>
      <c r="J1206" s="619" t="s">
        <v>2394</v>
      </c>
      <c r="K1206" s="619" t="s">
        <v>7440</v>
      </c>
      <c r="L1206" s="619">
        <v>1</v>
      </c>
      <c r="M1206" s="619" t="s">
        <v>7272</v>
      </c>
      <c r="N1206" s="461">
        <v>46317</v>
      </c>
      <c r="O1206" s="619" t="s">
        <v>4540</v>
      </c>
      <c r="P1206" s="430" t="s">
        <v>71</v>
      </c>
      <c r="Q1206" s="431" t="s">
        <v>72</v>
      </c>
      <c r="R1206" s="430" t="str">
        <f>_xlfn.XLOOKUP(PV_DATA[[#This Row],[New Ark SKU]],Table9[New Ark SKU],Table9[Connector],,0)</f>
        <v>EVO2A</v>
      </c>
      <c r="S1206" s="433" t="str">
        <f>_xlfn.XLOOKUP(PV_DATA[[#This Row],[New Ark SKU]],Table9[New Ark SKU],Table9[Cable],,0)</f>
        <v>±1200mm</v>
      </c>
      <c r="T1206" s="442">
        <v>500</v>
      </c>
      <c r="U1206" s="1067">
        <f>864*1</f>
        <v>864</v>
      </c>
      <c r="V1206" s="448">
        <f>PV_DATA[[#This Row],[QUANTITY]]*PV_DATA[[#This Row],[WATT]]/1000000</f>
        <v>0.432</v>
      </c>
      <c r="W1206" s="466">
        <f>PV_DATA[[#This Row],[QUANTITY]]/PV_DATA[[#This Row],[Qty/Pallet]]</f>
        <v>24</v>
      </c>
      <c r="X1206" s="1022">
        <f>PV_DATA[[#This Row],[QUANTITY]]/PV_DATA[[#This Row],[Qty/CT]]</f>
        <v>1</v>
      </c>
      <c r="Y1206" s="431" t="s">
        <v>4386</v>
      </c>
      <c r="Z1206" s="1180" t="str">
        <f t="shared" si="32"/>
        <v/>
      </c>
      <c r="AA1206" s="661">
        <v>46318</v>
      </c>
      <c r="AB1206" s="441"/>
      <c r="AC1206" s="467" t="str">
        <f>IF(PV_DATA[[#This Row],[Pick-Up Date]]&lt;&gt;"",_xlfn.ISOWEEKNUM(PV_DATA[[#This Row],[Pick-Up Date]]),"")</f>
        <v/>
      </c>
      <c r="AD1206" s="431"/>
      <c r="AE1206" s="442"/>
      <c r="AF1206" s="619" t="s">
        <v>61</v>
      </c>
      <c r="AG1206" s="619" t="s">
        <v>61</v>
      </c>
      <c r="AH1206" s="466" t="s">
        <v>888</v>
      </c>
      <c r="AI1206" s="441"/>
      <c r="AJ1206" s="441"/>
      <c r="AK1206" s="441"/>
      <c r="AL1206" s="441"/>
      <c r="AM1206" s="441"/>
      <c r="AO1206" s="439" t="s">
        <v>402</v>
      </c>
      <c r="AP1206" s="431"/>
      <c r="AQ1206" s="445" t="s">
        <v>161</v>
      </c>
      <c r="AR1206" s="619" t="s">
        <v>7441</v>
      </c>
      <c r="AS1206" s="431"/>
      <c r="AT1206" s="431"/>
      <c r="AU1206" s="619"/>
      <c r="AV1206" s="431"/>
      <c r="AW1206" s="441" cm="1">
        <f t="array" ref="AW120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46402</v>
      </c>
      <c r="AX120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06" s="441">
        <f>IF(ISERROR(PV_DATA[[#This Row],[New Ark PO status]]),"",_xlfn.XLOOKUP(PV_DATA[[#This Row],[SPTN-PVHK New Ark PO'#]],New_Ark_Data[Purchase order Number],New_Ark_Data[Estimated time of arrival],"",0))</f>
        <v>0</v>
      </c>
      <c r="AZ1206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206" s="441">
        <f>IFERROR(PV_DATA[[#This Row],[ODP ETA Port]]+PV_DATA[[#This Row],[Customs/Leg3 Assumption]],"n/a")</f>
        <v>46402</v>
      </c>
      <c r="BB1206" s="442">
        <f>YEAR(PV_DATA[[#This Row],[ETA for New Ark update]])</f>
        <v>2027</v>
      </c>
      <c r="BC1206" s="431">
        <f>MONTH(PV_DATA[[#This Row],[ETA for New Ark update]])</f>
        <v>1</v>
      </c>
      <c r="BD1206" s="431">
        <f>IFERROR(_xlfn.ISOWEEKNUM(PV_DATA[[#This Row],[ETA for New Ark update]]),0)</f>
        <v>2</v>
      </c>
      <c r="BE1206" s="431">
        <f>_xlfn.XLOOKUP(PV_DATA[[#This Row],[New Ark SKU]],Table9[New Ark SKU],Table9[Total PCS per Pallet],,0)</f>
        <v>36</v>
      </c>
      <c r="BF1206" s="431">
        <f>_xlfn.XLOOKUP(PV_DATA[[#This Row],[New Ark SKU]],Table9[New Ark SKU],Table9[Total PCS per 40HQ Container],,0)</f>
        <v>864</v>
      </c>
      <c r="BG1206" s="431" t="str">
        <f>_xlfn.XLOOKUP(PV_DATA[[#This Row],[New Ark SKU]],Table9[New Ark SKU],Table9[Back Glass],,0)</f>
        <v>Black glazing</v>
      </c>
      <c r="BH1206" s="622" t="str">
        <f>_xlfn.XLOOKUP(PV_DATA[[#This Row],[PORT DESTINATION]],Table12[PORT DESTINATION],Table12[Cosco Line],,0)</f>
        <v>AEU</v>
      </c>
      <c r="BI1206" s="430" t="s">
        <v>7438</v>
      </c>
    </row>
    <row r="1207" spans="1:62" hidden="1">
      <c r="A1207" s="1179" t="s">
        <v>7442</v>
      </c>
      <c r="B1207" s="726" t="s">
        <v>1757</v>
      </c>
      <c r="C1207" s="726" t="str">
        <f>IFERROR(LEFT(PV_DATA[[#This Row],[TCL REFERENCE]],FIND(".",PV_DATA[[#This Row],[TCL REFERENCE]],1)-1),"Main Line")</f>
        <v>26Oct009</v>
      </c>
      <c r="D1207" s="726" t="s">
        <v>63</v>
      </c>
      <c r="E1207" s="439" t="s">
        <v>64</v>
      </c>
      <c r="F1207" s="439" t="s">
        <v>450</v>
      </c>
      <c r="G1207" s="726" t="s">
        <v>402</v>
      </c>
      <c r="H1207" s="726" t="s">
        <v>451</v>
      </c>
      <c r="I1207" s="431" t="s">
        <v>882</v>
      </c>
      <c r="J1207" s="431" t="s">
        <v>96</v>
      </c>
      <c r="K1207" s="619"/>
      <c r="L1207" s="619"/>
      <c r="M1207" s="619" t="s">
        <v>68</v>
      </c>
      <c r="N1207" s="630"/>
      <c r="O1207" s="619" t="s">
        <v>284</v>
      </c>
      <c r="P1207" s="623" t="s">
        <v>5860</v>
      </c>
      <c r="Q1207" s="619" t="s">
        <v>5861</v>
      </c>
      <c r="R1207" s="430" t="str">
        <f>_xlfn.XLOOKUP(PV_DATA[[#This Row],[New Ark SKU]],Table9[New Ark SKU],Table9[Connector],,0)</f>
        <v>EVO2A</v>
      </c>
      <c r="S1207" s="433" t="str">
        <f>_xlfn.XLOOKUP(PV_DATA[[#This Row],[New Ark SKU]],Table9[New Ark SKU],Table9[Cable],,0)</f>
        <v>±1200mm</v>
      </c>
      <c r="T1207" s="620">
        <v>485</v>
      </c>
      <c r="U1207" s="1038">
        <f>936*5</f>
        <v>4680</v>
      </c>
      <c r="V1207" s="624">
        <f>PV_DATA[[#This Row],[QUANTITY]]*PV_DATA[[#This Row],[WATT]]/1000000</f>
        <v>2.2698</v>
      </c>
      <c r="W1207" s="625">
        <f>PV_DATA[[#This Row],[QUANTITY]]/PV_DATA[[#This Row],[Qty/Pallet]]</f>
        <v>130</v>
      </c>
      <c r="X1207" s="1022">
        <f>PV_DATA[[#This Row],[QUANTITY]]/PV_DATA[[#This Row],[Qty/CT]]</f>
        <v>5</v>
      </c>
      <c r="Y1207" s="431" t="s">
        <v>4386</v>
      </c>
      <c r="Z1207" s="1178" t="str">
        <f t="shared" si="32"/>
        <v/>
      </c>
      <c r="AA1207" s="855">
        <v>46322</v>
      </c>
      <c r="AB1207" s="626">
        <v>46326</v>
      </c>
      <c r="AC1207" s="627">
        <f>IF(PV_DATA[[#This Row],[Pick-Up Date]]&lt;&gt;"",_xlfn.ISOWEEKNUM(PV_DATA[[#This Row],[Pick-Up Date]]),"")</f>
        <v>44</v>
      </c>
      <c r="AD1207" s="619"/>
      <c r="AE1207" s="620"/>
      <c r="AF1207" s="430" t="s">
        <v>122</v>
      </c>
      <c r="AG1207" s="430" t="s">
        <v>123</v>
      </c>
      <c r="AH1207" s="431" t="s">
        <v>456</v>
      </c>
      <c r="AI1207" s="626">
        <v>46305</v>
      </c>
      <c r="AJ1207" s="437">
        <f>IFERROR(VLOOKUP(AT1207, Vessel!A:D, 4, FALSE), "")</f>
        <v>46335.083333333336</v>
      </c>
      <c r="AK1207" s="437" t="str">
        <f>IFERROR(IF(VLOOKUP(AT1207,Vessel!A:F,5,FALSE)=0,"",VLOOKUP(AT1207,Vessel!A:F,5,FALSE)),"")</f>
        <v/>
      </c>
      <c r="AL1207" s="626">
        <v>46376</v>
      </c>
      <c r="AM1207" s="939">
        <f>IFERROR(VLOOKUP(AT1207, Vessel!A:H, 8, FALSE), "")</f>
        <v>46376.041666666664</v>
      </c>
      <c r="AN1207" s="939" t="str">
        <f>IFERROR(IF(VLOOKUP(AT1207,Vessel!A:I,9,FALSE)=0,"",VLOOKUP(AT1207,Vessel!A:I,9,FALSE)),"")</f>
        <v/>
      </c>
      <c r="AO1207" s="619"/>
      <c r="AP1207" s="619" t="s">
        <v>7443</v>
      </c>
      <c r="AQ1207" s="628" t="s">
        <v>80</v>
      </c>
      <c r="AR1207" s="619" t="s">
        <v>7444</v>
      </c>
      <c r="AS1207" s="619" t="s">
        <v>7445</v>
      </c>
      <c r="AT1207" s="619" t="s">
        <v>7445</v>
      </c>
      <c r="AU120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40.958333333328483</v>
      </c>
      <c r="AV1207" s="619"/>
      <c r="AW1207" s="626" cm="1">
        <f t="array" ref="AW120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46376.041666666664</v>
      </c>
      <c r="AX120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07" s="626">
        <f>IF(ISERROR(PV_DATA[[#This Row],[New Ark PO status]]),"",_xlfn.XLOOKUP(PV_DATA[[#This Row],[SPTN-PVHK New Ark PO'#]],New_Ark_Data[Purchase order Number],New_Ark_Data[Estimated time of arrival],"",0))</f>
        <v>0</v>
      </c>
      <c r="AZ1207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207" s="626">
        <f>IFERROR(PV_DATA[[#This Row],[ODP ETA Port]]+PV_DATA[[#This Row],[Customs/Leg3 Assumption]],"n/a")</f>
        <v>46383.041666666664</v>
      </c>
      <c r="BB1207" s="620">
        <f>YEAR(PV_DATA[[#This Row],[ETA for New Ark update]])</f>
        <v>2026</v>
      </c>
      <c r="BC1207" s="619">
        <f>MONTH(PV_DATA[[#This Row],[ETA for New Ark update]])</f>
        <v>12</v>
      </c>
      <c r="BD1207" s="619">
        <f>IFERROR(_xlfn.ISOWEEKNUM(PV_DATA[[#This Row],[ETA for New Ark update]]),0)</f>
        <v>52</v>
      </c>
      <c r="BE1207" s="431">
        <f>_xlfn.XLOOKUP(PV_DATA[[#This Row],[New Ark SKU]],Table9[New Ark SKU],Table9[Total PCS per Pallet],,0)</f>
        <v>36</v>
      </c>
      <c r="BF1207" s="431">
        <f>_xlfn.XLOOKUP(PV_DATA[[#This Row],[New Ark SKU]],Table9[New Ark SKU],Table9[Total PCS per 40HQ Container],,0)</f>
        <v>936</v>
      </c>
      <c r="BG1207" s="431" t="str">
        <f>_xlfn.XLOOKUP(PV_DATA[[#This Row],[New Ark SKU]],Table9[New Ark SKU],Table9[Back Glass],,0)</f>
        <v>Black glazing</v>
      </c>
      <c r="BH1207" s="629" t="str">
        <f>_xlfn.XLOOKUP(PV_DATA[[#This Row],[PORT DESTINATION]],Table12[PORT DESTINATION],Table12[Cosco Line],,0)</f>
        <v>AEU</v>
      </c>
    </row>
    <row r="1208" spans="1:62" s="431" customFormat="1" ht="13.5" hidden="1" customHeight="1">
      <c r="A1208" s="728" t="s">
        <v>7446</v>
      </c>
      <c r="B1208" s="439" t="s">
        <v>111</v>
      </c>
      <c r="C1208" s="439" t="str">
        <f>IFERROR(LEFT(PV_DATA[[#This Row],[TCL REFERENCE]],FIND(".",PV_DATA[[#This Row],[TCL REFERENCE]],1)-1),"Main Line")</f>
        <v>26Aug009</v>
      </c>
      <c r="D1208" s="726" t="s">
        <v>113</v>
      </c>
      <c r="E1208" s="439" t="s">
        <v>64</v>
      </c>
      <c r="F1208" s="726" t="str" cm="1">
        <f t="array" ref="F120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208" s="439" t="s">
        <v>402</v>
      </c>
      <c r="H1208" s="439" t="s">
        <v>67</v>
      </c>
      <c r="I1208" s="439" t="s">
        <v>689</v>
      </c>
      <c r="J1208" s="430" t="s">
        <v>96</v>
      </c>
      <c r="K1208" s="619"/>
      <c r="L1208" s="619"/>
      <c r="M1208" s="431" t="s">
        <v>68</v>
      </c>
      <c r="N1208" s="630"/>
      <c r="O1208" s="619" t="s">
        <v>4540</v>
      </c>
      <c r="P1208" s="431" t="s">
        <v>6492</v>
      </c>
      <c r="Q1208" s="431" t="s">
        <v>103</v>
      </c>
      <c r="R1208" s="430" t="str">
        <f>_xlfn.XLOOKUP(PV_DATA[[#This Row],[New Ark SKU]],Table9[New Ark SKU],Table9[Connector],,0)</f>
        <v>H4(Com)</v>
      </c>
      <c r="S1208" s="433" t="str">
        <f>_xlfn.XLOOKUP(PV_DATA[[#This Row],[New Ark SKU]],Table9[New Ark SKU],Table9[Cable],,0)</f>
        <v>+400mm/-200mm</v>
      </c>
      <c r="T1208" s="442">
        <v>620</v>
      </c>
      <c r="U1208" s="1067">
        <f>720*5</f>
        <v>3600</v>
      </c>
      <c r="V1208" s="448">
        <f>PV_DATA[[#This Row],[QUANTITY]]*PV_DATA[[#This Row],[WATT]]/1000000</f>
        <v>2.2320000000000002</v>
      </c>
      <c r="W1208" s="466">
        <f>PV_DATA[[#This Row],[QUANTITY]]/PV_DATA[[#This Row],[Qty/Pallet]]</f>
        <v>100</v>
      </c>
      <c r="X1208" s="1022">
        <f>PV_DATA[[#This Row],[QUANTITY]]/PV_DATA[[#This Row],[Qty/CT]]</f>
        <v>5</v>
      </c>
      <c r="Y1208" s="431" t="s">
        <v>4387</v>
      </c>
      <c r="Z1208" s="431" t="str">
        <f t="shared" si="32"/>
        <v/>
      </c>
      <c r="AA1208" s="431" t="s">
        <v>5862</v>
      </c>
      <c r="AB1208" s="441">
        <v>46324</v>
      </c>
      <c r="AC1208" s="467">
        <f>IF(PV_DATA[[#This Row],[Pick-Up Date]]&lt;&gt;"",_xlfn.ISOWEEKNUM(PV_DATA[[#This Row],[Pick-Up Date]]),"")</f>
        <v>44</v>
      </c>
      <c r="AF1208" s="431" t="s">
        <v>122</v>
      </c>
      <c r="AG1208" s="431" t="s">
        <v>122</v>
      </c>
      <c r="AH1208" s="431" t="s">
        <v>105</v>
      </c>
      <c r="AI1208" s="441">
        <v>46335</v>
      </c>
      <c r="AJ1208" s="437">
        <f>IFERROR(VLOOKUP(AT1208, Vessel!A:D, 4, FALSE), "")</f>
        <v>46335.25</v>
      </c>
      <c r="AK1208" s="437" t="str">
        <f>IFERROR(IF(VLOOKUP(AT1208,Vessel!A:F,5,FALSE)=0,"",VLOOKUP(AT1208,Vessel!A:F,5,FALSE)),"")</f>
        <v/>
      </c>
      <c r="AL1208" s="441">
        <v>46372</v>
      </c>
      <c r="AM1208" s="939">
        <f>IFERROR(VLOOKUP(AT1208, Vessel!A:H, 8, FALSE), "")</f>
        <v>46372.875</v>
      </c>
      <c r="AN1208" s="939" t="str">
        <f>IFERROR(IF(VLOOKUP(AT1208,Vessel!A:I,9,FALSE)=0,"",VLOOKUP(AT1208,Vessel!A:I,9,FALSE)),"")</f>
        <v/>
      </c>
      <c r="AP1208" s="431" t="s">
        <v>7447</v>
      </c>
      <c r="AQ1208" s="445" t="s">
        <v>80</v>
      </c>
      <c r="AR1208" s="619" t="s">
        <v>7448</v>
      </c>
      <c r="AS1208" s="431" t="s">
        <v>7449</v>
      </c>
      <c r="AT1208" s="431" t="s">
        <v>7449</v>
      </c>
      <c r="AU1208" s="619"/>
      <c r="AW1208" s="441" cm="1">
        <f t="array" ref="AW120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46372.875</v>
      </c>
      <c r="AX120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08" s="441" t="str">
        <f>IF(ISERROR(PV_DATA[[#This Row],[New Ark PO status]]),"",_xlfn.XLOOKUP(PV_DATA[[#This Row],[SPTN-PVHK New Ark PO'#]],New_Ark_Data[Purchase order Number],New_Ark_Data[Estimated time of arrival],"",0))</f>
        <v/>
      </c>
      <c r="AZ1208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208" s="441">
        <f>IFERROR(PV_DATA[[#This Row],[ODP ETA Port]]+PV_DATA[[#This Row],[Customs/Leg3 Assumption]],"n/a")</f>
        <v>46379.875</v>
      </c>
      <c r="BB1208" s="442">
        <f>YEAR(PV_DATA[[#This Row],[ETA for New Ark update]])</f>
        <v>2026</v>
      </c>
      <c r="BC1208" s="431">
        <f>MONTH(PV_DATA[[#This Row],[ETA for New Ark update]])</f>
        <v>12</v>
      </c>
      <c r="BD1208" s="431">
        <f>IFERROR(_xlfn.ISOWEEKNUM(PV_DATA[[#This Row],[ETA for New Ark update]]),0)</f>
        <v>52</v>
      </c>
      <c r="BE1208" s="431">
        <f>_xlfn.XLOOKUP(PV_DATA[[#This Row],[New Ark SKU]],Table9[New Ark SKU],Table9[Total PCS per Pallet],,0)</f>
        <v>36</v>
      </c>
      <c r="BF1208" s="431">
        <f>_xlfn.XLOOKUP(PV_DATA[[#This Row],[New Ark SKU]],Table9[New Ark SKU],Table9[Total PCS per 40HQ Container],,0)</f>
        <v>720</v>
      </c>
      <c r="BG1208" s="431" t="str">
        <f>_xlfn.XLOOKUP(PV_DATA[[#This Row],[New Ark SKU]],Table9[New Ark SKU],Table9[Back Glass],,0)</f>
        <v>Redirection Film</v>
      </c>
      <c r="BH1208" s="622" t="str">
        <f>_xlfn.XLOOKUP(PV_DATA[[#This Row],[PORT DESTINATION]],Table12[PORT DESTINATION],Table12[Cosco Line],,0)</f>
        <v>AEU</v>
      </c>
    </row>
    <row r="1209" spans="1:62" hidden="1">
      <c r="A1209" s="1179" t="s">
        <v>7450</v>
      </c>
      <c r="B1209" s="439" t="s">
        <v>111</v>
      </c>
      <c r="C1209" s="439" t="str">
        <f>IFERROR(LEFT(PV_DATA[[#This Row],[TCL REFERENCE]],FIND(".",PV_DATA[[#This Row],[TCL REFERENCE]],1)-1),"Main Line")</f>
        <v>26Oct012</v>
      </c>
      <c r="D1209" s="726" t="s">
        <v>63</v>
      </c>
      <c r="E1209" s="439" t="s">
        <v>64</v>
      </c>
      <c r="F1209" s="439" t="str" cm="1">
        <f t="array" ref="F120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209" s="726" t="s">
        <v>402</v>
      </c>
      <c r="H1209" s="726" t="s">
        <v>67</v>
      </c>
      <c r="I1209" s="431" t="s">
        <v>689</v>
      </c>
      <c r="J1209" s="431" t="s">
        <v>96</v>
      </c>
      <c r="K1209" s="431"/>
      <c r="L1209" s="431"/>
      <c r="M1209" s="619" t="s">
        <v>68</v>
      </c>
      <c r="N1209" s="461">
        <v>46321</v>
      </c>
      <c r="O1209" s="431" t="s">
        <v>5388</v>
      </c>
      <c r="P1209" s="430" t="s">
        <v>6781</v>
      </c>
      <c r="Q1209" s="431" t="s">
        <v>6782</v>
      </c>
      <c r="R1209" s="430" t="str">
        <f>_xlfn.XLOOKUP(PV_DATA[[#This Row],[New Ark SKU]],Table9[New Ark SKU],Table9[Connector],,0)</f>
        <v>EVO2A</v>
      </c>
      <c r="S1209" s="433" t="str">
        <f>_xlfn.XLOOKUP(PV_DATA[[#This Row],[New Ark SKU]],Table9[New Ark SKU],Table9[Cable],,0)</f>
        <v>±1200mm</v>
      </c>
      <c r="T1209" s="442">
        <v>480</v>
      </c>
      <c r="U1209" s="1067">
        <f>936*8</f>
        <v>7488</v>
      </c>
      <c r="V1209" s="448">
        <f>PV_DATA[[#This Row],[QUANTITY]]*PV_DATA[[#This Row],[WATT]]/1000000</f>
        <v>3.5942400000000001</v>
      </c>
      <c r="W1209" s="466">
        <f>PV_DATA[[#This Row],[QUANTITY]]/PV_DATA[[#This Row],[Qty/Pallet]]</f>
        <v>208</v>
      </c>
      <c r="X1209" s="1022">
        <f>PV_DATA[[#This Row],[QUANTITY]]/PV_DATA[[#This Row],[Qty/CT]]</f>
        <v>8</v>
      </c>
      <c r="Y1209" s="431" t="s">
        <v>4386</v>
      </c>
      <c r="Z1209" s="1180" t="str">
        <f t="shared" si="32"/>
        <v/>
      </c>
      <c r="AA1209" s="661">
        <v>46323</v>
      </c>
      <c r="AB1209" s="441">
        <v>46324</v>
      </c>
      <c r="AC1209" s="467">
        <f>IF(PV_DATA[[#This Row],[Pick-Up Date]]&lt;&gt;"",_xlfn.ISOWEEKNUM(PV_DATA[[#This Row],[Pick-Up Date]]),"")</f>
        <v>44</v>
      </c>
      <c r="AD1209" s="431"/>
      <c r="AE1209" s="442"/>
      <c r="AF1209" s="430" t="s">
        <v>122</v>
      </c>
      <c r="AG1209" s="430" t="s">
        <v>123</v>
      </c>
      <c r="AH1209" s="431" t="s">
        <v>105</v>
      </c>
      <c r="AI1209" s="441">
        <v>46334</v>
      </c>
      <c r="AJ1209" s="437">
        <f>IFERROR(VLOOKUP(AT1209, Vessel!A:D, 4, FALSE), "")</f>
        <v>46334.083333333336</v>
      </c>
      <c r="AK1209" s="437" t="str">
        <f>IFERROR(IF(VLOOKUP(AT1209,Vessel!A:F,5,FALSE)=0,"",VLOOKUP(AT1209,Vessel!A:F,5,FALSE)),"")</f>
        <v/>
      </c>
      <c r="AL1209" s="441">
        <v>46382</v>
      </c>
      <c r="AM1209" s="939">
        <f>IFERROR(VLOOKUP(AT1209, Vessel!A:H, 8, FALSE), "")</f>
        <v>46382.791666666664</v>
      </c>
      <c r="AN1209" s="939" t="str">
        <f>IFERROR(IF(VLOOKUP(AT1209,Vessel!A:I,9,FALSE)=0,"",VLOOKUP(AT1209,Vessel!A:I,9,FALSE)),"")</f>
        <v/>
      </c>
      <c r="AO1209" s="431"/>
      <c r="AP1209" s="431" t="s">
        <v>7451</v>
      </c>
      <c r="AQ1209" s="445" t="s">
        <v>80</v>
      </c>
      <c r="AR1209" s="619" t="s">
        <v>7452</v>
      </c>
      <c r="AS1209" s="431" t="s">
        <v>7453</v>
      </c>
      <c r="AT1209" s="431" t="s">
        <v>7453</v>
      </c>
      <c r="AU1209" s="619"/>
      <c r="AV1209" s="431"/>
      <c r="AW1209" s="441" cm="1">
        <f t="array" ref="AW120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46382.791666666664</v>
      </c>
      <c r="AX120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09" s="441">
        <f>IF(ISERROR(PV_DATA[[#This Row],[New Ark PO status]]),"",_xlfn.XLOOKUP(PV_DATA[[#This Row],[SPTN-PVHK New Ark PO'#]],New_Ark_Data[Purchase order Number],New_Ark_Data[Estimated time of arrival],"",0))</f>
        <v>0</v>
      </c>
      <c r="AZ1209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209" s="441">
        <f>IFERROR(PV_DATA[[#This Row],[ODP ETA Port]]+PV_DATA[[#This Row],[Customs/Leg3 Assumption]],"n/a")</f>
        <v>46389.791666666664</v>
      </c>
      <c r="BB1209" s="442">
        <f>YEAR(PV_DATA[[#This Row],[ETA for New Ark update]])</f>
        <v>2027</v>
      </c>
      <c r="BC1209" s="431">
        <f>MONTH(PV_DATA[[#This Row],[ETA for New Ark update]])</f>
        <v>1</v>
      </c>
      <c r="BD1209" s="431">
        <f>IFERROR(_xlfn.ISOWEEKNUM(PV_DATA[[#This Row],[ETA for New Ark update]]),0)</f>
        <v>53</v>
      </c>
      <c r="BE1209" s="431">
        <f>_xlfn.XLOOKUP(PV_DATA[[#This Row],[New Ark SKU]],Table9[New Ark SKU],Table9[Total PCS per Pallet],,0)</f>
        <v>36</v>
      </c>
      <c r="BF1209" s="431">
        <f>_xlfn.XLOOKUP(PV_DATA[[#This Row],[New Ark SKU]],Table9[New Ark SKU],Table9[Total PCS per 40HQ Container],,0)</f>
        <v>936</v>
      </c>
      <c r="BG1209" s="431" t="str">
        <f>_xlfn.XLOOKUP(PV_DATA[[#This Row],[New Ark SKU]],Table9[New Ark SKU],Table9[Back Glass],,0)</f>
        <v>Black glazing</v>
      </c>
      <c r="BH1209" s="622" t="str">
        <f>_xlfn.XLOOKUP(PV_DATA[[#This Row],[PORT DESTINATION]],Table12[PORT DESTINATION],Table12[Cosco Line],,0)</f>
        <v>AEU</v>
      </c>
      <c r="BI1209" s="430" t="s">
        <v>7454</v>
      </c>
    </row>
    <row r="1210" spans="1:62" s="431" customFormat="1" hidden="1">
      <c r="A1210" s="1386" t="s">
        <v>7455</v>
      </c>
      <c r="B1210" s="726" t="s">
        <v>111</v>
      </c>
      <c r="C1210" s="439" t="str">
        <f>IFERROR(LEFT(PV_DATA[[#This Row],[TCL REFERENCE]],FIND(".",PV_DATA[[#This Row],[TCL REFERENCE]],1)-1),"Main Line")</f>
        <v>26Oct004</v>
      </c>
      <c r="D1210" s="726" t="s">
        <v>63</v>
      </c>
      <c r="E1210" s="439" t="s">
        <v>64</v>
      </c>
      <c r="F1210" s="439" t="str" cm="1">
        <f t="array" ref="F121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210" s="726" t="s">
        <v>402</v>
      </c>
      <c r="H1210" s="439" t="s">
        <v>115</v>
      </c>
      <c r="I1210" s="726" t="s">
        <v>689</v>
      </c>
      <c r="J1210" s="431" t="s">
        <v>96</v>
      </c>
      <c r="M1210" s="619" t="s">
        <v>68</v>
      </c>
      <c r="N1210" s="461">
        <v>46321</v>
      </c>
      <c r="O1210" s="619" t="s">
        <v>4540</v>
      </c>
      <c r="P1210" s="431" t="s">
        <v>7336</v>
      </c>
      <c r="Q1210" s="431" t="s">
        <v>1682</v>
      </c>
      <c r="R1210" s="431" t="str">
        <f>_xlfn.XLOOKUP(PV_DATA[[#This Row],[New Ark SKU]],Table9[New Ark SKU],Table9[Connector],,0)</f>
        <v>H4(Com)</v>
      </c>
      <c r="S1210" s="442" t="str">
        <f>_xlfn.XLOOKUP(PV_DATA[[#This Row],[New Ark SKU]],Table9[New Ark SKU],Table9[Cable],,0)</f>
        <v>±1400mm</v>
      </c>
      <c r="T1210" s="442">
        <v>730</v>
      </c>
      <c r="U1210" s="1067">
        <f>594*5</f>
        <v>2970</v>
      </c>
      <c r="V1210" s="448">
        <f>PV_DATA[[#This Row],[QUANTITY]]*PV_DATA[[#This Row],[WATT]]/1000000</f>
        <v>2.1680999999999999</v>
      </c>
      <c r="W1210" s="466">
        <f>PV_DATA[[#This Row],[QUANTITY]]/PV_DATA[[#This Row],[Qty/Pallet]]</f>
        <v>90</v>
      </c>
      <c r="X1210" s="1022">
        <f>PV_DATA[[#This Row],[QUANTITY]]/PV_DATA[[#This Row],[Qty/CT]]</f>
        <v>5</v>
      </c>
      <c r="Y1210" s="431" t="s">
        <v>4387</v>
      </c>
      <c r="Z1210" s="1180" t="str">
        <f t="shared" si="32"/>
        <v/>
      </c>
      <c r="AA1210" s="431" t="s">
        <v>7456</v>
      </c>
      <c r="AB1210" s="441">
        <v>46325</v>
      </c>
      <c r="AC1210" s="467">
        <f>IF(PV_DATA[[#This Row],[Pick-Up Date]]&lt;&gt;"",_xlfn.ISOWEEKNUM(PV_DATA[[#This Row],[Pick-Up Date]]),"")</f>
        <v>44</v>
      </c>
      <c r="AE1210" s="442"/>
      <c r="AF1210" s="431" t="s">
        <v>122</v>
      </c>
      <c r="AG1210" s="431" t="s">
        <v>123</v>
      </c>
      <c r="AH1210" s="619" t="s">
        <v>124</v>
      </c>
      <c r="AI1210" s="441">
        <v>46339</v>
      </c>
      <c r="AJ1210" s="441"/>
      <c r="AK1210" s="441"/>
      <c r="AL1210" s="441">
        <v>46029</v>
      </c>
      <c r="AM1210" s="939">
        <f>IFERROR(VLOOKUP(AT1210, Vessel!A:H, 8, FALSE), "")</f>
        <v>46394.625</v>
      </c>
      <c r="AN1210" s="939" t="str">
        <f>IFERROR(IF(VLOOKUP(AT1210,Vessel!A:I,9,FALSE)=0,"",VLOOKUP(AT1210,Vessel!A:I,9,FALSE)),"")</f>
        <v/>
      </c>
      <c r="AP1210" s="431" t="s">
        <v>7457</v>
      </c>
      <c r="AQ1210" s="445" t="s">
        <v>80</v>
      </c>
      <c r="AR1210" s="619" t="s">
        <v>7458</v>
      </c>
      <c r="AS1210" s="431" t="s">
        <v>7459</v>
      </c>
      <c r="AT1210" s="431" t="s">
        <v>7459</v>
      </c>
      <c r="AU1210" s="619"/>
      <c r="AW1210" s="441" cm="1">
        <f t="array" ref="AW121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46394.625</v>
      </c>
      <c r="AX1210" s="722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10" s="441">
        <f>IF(ISERROR(PV_DATA[[#This Row],[New Ark PO status]]),"",_xlfn.XLOOKUP(PV_DATA[[#This Row],[SPTN-PVHK New Ark PO'#]],New_Ark_Data[Purchase order Number],New_Ark_Data[Estimated time of arrival],"",0))</f>
        <v>0</v>
      </c>
      <c r="AZ1210" s="44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210" s="441">
        <f>IFERROR(PV_DATA[[#This Row],[ODP ETA Port]]+PV_DATA[[#This Row],[Customs/Leg3 Assumption]],"n/a")</f>
        <v>46403.625</v>
      </c>
      <c r="BB1210" s="442">
        <f>YEAR(PV_DATA[[#This Row],[ETA for New Ark update]])</f>
        <v>2027</v>
      </c>
      <c r="BC1210" s="431">
        <f>MONTH(PV_DATA[[#This Row],[ETA for New Ark update]])</f>
        <v>1</v>
      </c>
      <c r="BD1210" s="431">
        <f>IFERROR(_xlfn.ISOWEEKNUM(PV_DATA[[#This Row],[ETA for New Ark update]]),0)</f>
        <v>2</v>
      </c>
      <c r="BE1210" s="431">
        <v>33</v>
      </c>
      <c r="BF1210" s="431">
        <v>594</v>
      </c>
      <c r="BG1210" s="431" t="str">
        <f>_xlfn.XLOOKUP(PV_DATA[[#This Row],[New Ark SKU]],Table9[New Ark SKU],Table9[Back Glass],,0)</f>
        <v>Redirection Film</v>
      </c>
      <c r="BH1210" s="622" t="str">
        <f>_xlfn.XLOOKUP(PV_DATA[[#This Row],[PORT DESTINATION]],Table12[PORT DESTINATION],Table12[Cosco Line],,0)</f>
        <v>AEM</v>
      </c>
      <c r="BJ1210" s="1441"/>
    </row>
    <row r="1211" spans="1:62" s="431" customFormat="1" ht="10.5" hidden="1">
      <c r="A1211" s="728" t="s">
        <v>7460</v>
      </c>
      <c r="B1211" s="439" t="s">
        <v>111</v>
      </c>
      <c r="C1211" s="439" t="str">
        <f>IFERROR(LEFT(PV_DATA[[#This Row],[TCL REFERENCE]],FIND(".",PV_DATA[[#This Row],[TCL REFERENCE]],1)-1),"Main Line")</f>
        <v>26Aug018</v>
      </c>
      <c r="D1211" s="439" t="s">
        <v>63</v>
      </c>
      <c r="E1211" s="439" t="s">
        <v>64</v>
      </c>
      <c r="F1211" s="439" t="str" cm="1">
        <f t="array" ref="F121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211" s="439" t="s">
        <v>402</v>
      </c>
      <c r="H1211" s="439" t="s">
        <v>311</v>
      </c>
      <c r="I1211" s="439" t="s">
        <v>689</v>
      </c>
      <c r="J1211" s="431" t="s">
        <v>96</v>
      </c>
      <c r="N1211" s="461">
        <v>46305</v>
      </c>
      <c r="O1211" s="431" t="s">
        <v>170</v>
      </c>
      <c r="P1211" s="431" t="s">
        <v>1977</v>
      </c>
      <c r="Q1211" s="431" t="s">
        <v>1978</v>
      </c>
      <c r="R1211" s="431" t="str">
        <f>_xlfn.XLOOKUP(PV_DATA[[#This Row],[New Ark SKU]],Table9[New Ark SKU],Table9[Connector],,0)</f>
        <v>EVO2A</v>
      </c>
      <c r="S1211" s="442" t="str">
        <f>_xlfn.XLOOKUP(PV_DATA[[#This Row],[New Ark SKU]],Table9[New Ark SKU],Table9[Cable],,0)</f>
        <v>±1400mm</v>
      </c>
      <c r="T1211" s="442">
        <v>560</v>
      </c>
      <c r="U1211" s="1067">
        <f>660*4</f>
        <v>2640</v>
      </c>
      <c r="V1211" s="448">
        <f>PV_DATA[[#This Row],[QUANTITY]]*PV_DATA[[#This Row],[WATT]]/1000000</f>
        <v>1.4783999999999999</v>
      </c>
      <c r="W1211" s="466">
        <f>PV_DATA[[#This Row],[QUANTITY]]/PV_DATA[[#This Row],[Qty/Pallet]]</f>
        <v>80</v>
      </c>
      <c r="X1211" s="1019">
        <f>PV_DATA[[#This Row],[QUANTITY]]/PV_DATA[[#This Row],[Qty/CT]]</f>
        <v>4</v>
      </c>
      <c r="Y1211" s="431" t="s">
        <v>4387</v>
      </c>
      <c r="AA1211" s="661">
        <v>46312</v>
      </c>
      <c r="AB1211" s="441">
        <v>46326</v>
      </c>
      <c r="AC1211" s="467"/>
      <c r="AF1211" s="431" t="s">
        <v>122</v>
      </c>
      <c r="AG1211" s="431" t="s">
        <v>123</v>
      </c>
      <c r="AH1211" s="431" t="s">
        <v>1561</v>
      </c>
      <c r="AI1211" s="441">
        <v>46339</v>
      </c>
      <c r="AJ1211" s="441">
        <f>IFERROR(VLOOKUP(AT1211, Vessel!A:D, 4, FALSE), "")</f>
        <v>46339.4375</v>
      </c>
      <c r="AK1211" s="441" t="str">
        <f>IFERROR(IF(VLOOKUP(AT1211,Vessel!A:F,5,FALSE)=0,"",VLOOKUP(AT1211,Vessel!A:F,5,FALSE)),"")</f>
        <v/>
      </c>
      <c r="AL1211" s="441">
        <v>46023</v>
      </c>
      <c r="AM1211" s="939">
        <f>IFERROR(VLOOKUP(AT1211, Vessel!A:H, 8, FALSE), "")</f>
        <v>0</v>
      </c>
      <c r="AN1211" s="939" t="str">
        <f>IFERROR(IF(VLOOKUP(AT1211,Vessel!A:I,9,FALSE)=0,"",VLOOKUP(AT1211,Vessel!A:I,9,FALSE)),"")</f>
        <v/>
      </c>
      <c r="AP1211" s="431" t="s">
        <v>7457</v>
      </c>
      <c r="AQ1211" s="431" t="s">
        <v>80</v>
      </c>
      <c r="AR1211" s="619" t="s">
        <v>7461</v>
      </c>
      <c r="AS1211" s="431" t="s">
        <v>7462</v>
      </c>
      <c r="AT1211" s="431" t="s">
        <v>7462</v>
      </c>
      <c r="AU1211" s="619"/>
      <c r="AV1211" s="441"/>
      <c r="AW1211" s="441" cm="1">
        <f t="array" ref="AW121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46023</v>
      </c>
      <c r="AX1211" s="722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11" s="441" t="str">
        <f>IF(ISERROR(PV_DATA[[#This Row],[New Ark PO status]]),"",_xlfn.XLOOKUP(PV_DATA[[#This Row],[SPTN-PVHK New Ark PO'#]],New_Ark_Data[Purchase order Number],New_Ark_Data[Estimated time of arrival],"",0))</f>
        <v/>
      </c>
      <c r="AZ1211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211" s="441">
        <f>IFERROR(PV_DATA[[#This Row],[ODP ETA Port]]+PV_DATA[[#This Row],[Customs/Leg3 Assumption]],"n/a")</f>
        <v>46033</v>
      </c>
      <c r="BB1211" s="442">
        <f>YEAR(PV_DATA[[#This Row],[ETA for New Ark update]])</f>
        <v>2026</v>
      </c>
      <c r="BC1211" s="431">
        <f>MONTH(PV_DATA[[#This Row],[ETA for New Ark update]])</f>
        <v>1</v>
      </c>
      <c r="BD1211" s="431">
        <f>IFERROR(_xlfn.ISOWEEKNUM(PV_DATA[[#This Row],[ETA for New Ark update]]),0)</f>
        <v>2</v>
      </c>
      <c r="BE1211" s="431">
        <f>_xlfn.XLOOKUP(PV_DATA[[#This Row],[New Ark SKU]],Table9[New Ark SKU],Table9[Total PCS per Pallet],,0)</f>
        <v>33</v>
      </c>
      <c r="BF1211" s="431">
        <f>_xlfn.XLOOKUP(PV_DATA[[#This Row],[New Ark SKU]],Table9[New Ark SKU],Table9[Total PCS per 40HQ Container],,0)</f>
        <v>660</v>
      </c>
      <c r="BG1211" s="431" t="str">
        <f>_xlfn.XLOOKUP(PV_DATA[[#This Row],[New Ark SKU]],Table9[New Ark SKU],Table9[Back Glass],,0)</f>
        <v>White glazing</v>
      </c>
      <c r="BH1211" s="431" t="str">
        <f>_xlfn.XLOOKUP(PV_DATA[[#This Row],[PORT DESTINATION]],Table12[PORT DESTINATION],Table12[Cosco Line],,0)</f>
        <v>AEM</v>
      </c>
    </row>
    <row r="1212" spans="1:62" s="431" customFormat="1" ht="10.5" hidden="1">
      <c r="A1212" s="728" t="s">
        <v>7463</v>
      </c>
      <c r="B1212" s="439" t="s">
        <v>61</v>
      </c>
      <c r="C1212" s="439" t="str">
        <f>IFERROR(LEFT(PV_DATA[[#This Row],[TCL REFERENCE]],FIND(".",PV_DATA[[#This Row],[TCL REFERENCE]],1)-1),"Main Line")</f>
        <v>26Aug021</v>
      </c>
      <c r="D1212" s="439" t="s">
        <v>63</v>
      </c>
      <c r="E1212" s="439" t="s">
        <v>64</v>
      </c>
      <c r="F1212" s="439" t="str" cm="1">
        <f t="array" ref="F121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212" s="439" t="s">
        <v>402</v>
      </c>
      <c r="H1212" s="439" t="s">
        <v>67</v>
      </c>
      <c r="I1212" s="439" t="s">
        <v>689</v>
      </c>
      <c r="J1212" s="431" t="s">
        <v>96</v>
      </c>
      <c r="M1212" s="431" t="s">
        <v>68</v>
      </c>
      <c r="N1212" s="461">
        <v>46272</v>
      </c>
      <c r="O1212" s="431" t="s">
        <v>4540</v>
      </c>
      <c r="P1212" s="431" t="s">
        <v>71</v>
      </c>
      <c r="Q1212" s="431" t="s">
        <v>72</v>
      </c>
      <c r="R1212" s="431" t="str">
        <f>_xlfn.XLOOKUP(PV_DATA[[#This Row],[New Ark SKU]],Table9[New Ark SKU],Table9[Connector],,0)</f>
        <v>EVO2A</v>
      </c>
      <c r="S1212" s="442" t="str">
        <f>_xlfn.XLOOKUP(PV_DATA[[#This Row],[New Ark SKU]],Table9[New Ark SKU],Table9[Cable],,0)</f>
        <v>±1200mm</v>
      </c>
      <c r="T1212" s="442">
        <v>500</v>
      </c>
      <c r="U1212" s="1067">
        <f>864*8</f>
        <v>6912</v>
      </c>
      <c r="V1212" s="448">
        <f>PV_DATA[[#This Row],[QUANTITY]]*PV_DATA[[#This Row],[WATT]]/1000000</f>
        <v>3.456</v>
      </c>
      <c r="W1212" s="466">
        <f>PV_DATA[[#This Row],[QUANTITY]]/PV_DATA[[#This Row],[Qty/Pallet]]</f>
        <v>192</v>
      </c>
      <c r="X1212" s="1019">
        <f>PV_DATA[[#This Row],[QUANTITY]]/PV_DATA[[#This Row],[Qty/CT]]</f>
        <v>8</v>
      </c>
      <c r="Y1212" s="431" t="s">
        <v>4385</v>
      </c>
      <c r="Z1212" s="431" t="str">
        <f t="shared" ref="Z1212:Z1222" si="33">IF(AN1212&lt;&gt;"","COMPLETED",IF(AK1212&lt;&gt;"","IN-TRANSIT",""))</f>
        <v/>
      </c>
      <c r="AA1212" s="661" t="s">
        <v>5862</v>
      </c>
      <c r="AB1212" s="441">
        <v>46328</v>
      </c>
      <c r="AC1212" s="467">
        <f>IF(PV_DATA[[#This Row],[Pick-Up Date]]&lt;&gt;"",_xlfn.ISOWEEKNUM(PV_DATA[[#This Row],[Pick-Up Date]]),"")</f>
        <v>45</v>
      </c>
      <c r="AF1212" s="447" t="s">
        <v>61</v>
      </c>
      <c r="AG1212" s="447" t="s">
        <v>61</v>
      </c>
      <c r="AH1212" s="431" t="s">
        <v>105</v>
      </c>
      <c r="AI1212" s="441">
        <v>46333</v>
      </c>
      <c r="AJ1212" s="441">
        <f>IFERROR(VLOOKUP(AT1212, Vessel!A:D, 4, FALSE), "")</f>
        <v>46333.875</v>
      </c>
      <c r="AK1212" s="441" t="str">
        <f>IFERROR(IF(VLOOKUP(AT1212,Vessel!A:F,5,FALSE)=0,"",VLOOKUP(AT1212,Vessel!A:F,5,FALSE)),"")</f>
        <v/>
      </c>
      <c r="AL1212" s="441">
        <v>46378</v>
      </c>
      <c r="AM1212" s="939">
        <f>IFERROR(VLOOKUP(AT1212, Vessel!A:H, 8, FALSE), "")</f>
        <v>46378.333333333336</v>
      </c>
      <c r="AN1212" s="939" t="str">
        <f>IFERROR(IF(VLOOKUP(AT1212,Vessel!A:I,9,FALSE)=0,"",VLOOKUP(AT1212,Vessel!A:I,9,FALSE)),"")</f>
        <v/>
      </c>
      <c r="AP1212" s="431" t="s">
        <v>7464</v>
      </c>
      <c r="AQ1212" s="445" t="s">
        <v>80</v>
      </c>
      <c r="AR1212" s="619" t="s">
        <v>7465</v>
      </c>
      <c r="AS1212" s="431" t="s">
        <v>7466</v>
      </c>
      <c r="AT1212" s="431" t="s">
        <v>7466</v>
      </c>
      <c r="AU1212" s="619"/>
      <c r="AW1212" s="441" cm="1">
        <f t="array" ref="AW121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46378.333333333336</v>
      </c>
      <c r="AX1212" s="722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12" s="441">
        <f>IF(ISERROR(PV_DATA[[#This Row],[New Ark PO status]]),"",_xlfn.XLOOKUP(PV_DATA[[#This Row],[SPTN-PVHK New Ark PO'#]],New_Ark_Data[Purchase order Number],New_Ark_Data[Estimated time of arrival],"",0))</f>
        <v>0</v>
      </c>
      <c r="AZ1212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212" s="441">
        <f>IFERROR(PV_DATA[[#This Row],[ODP ETA Port]]+PV_DATA[[#This Row],[Customs/Leg3 Assumption]],"n/a")</f>
        <v>46385.333333333336</v>
      </c>
      <c r="BB1212" s="442" t="s">
        <v>6325</v>
      </c>
      <c r="BC1212" s="442" t="s">
        <v>6325</v>
      </c>
      <c r="BD1212" s="431">
        <f>IFERROR(_xlfn.ISOWEEKNUM(PV_DATA[[#This Row],[ETA for New Ark update]]),0)</f>
        <v>53</v>
      </c>
      <c r="BE1212" s="431">
        <f>_xlfn.XLOOKUP(PV_DATA[[#This Row],[New Ark SKU]],Table9[New Ark SKU],Table9[Total PCS per Pallet],,0)</f>
        <v>36</v>
      </c>
      <c r="BF1212" s="431">
        <f>_xlfn.XLOOKUP(PV_DATA[[#This Row],[New Ark SKU]],Table9[New Ark SKU],Table9[Total PCS per 40HQ Container],,0)</f>
        <v>864</v>
      </c>
      <c r="BG1212" s="431" t="str">
        <f>_xlfn.XLOOKUP(PV_DATA[[#This Row],[New Ark SKU]],Table9[New Ark SKU],Table9[Back Glass],,0)</f>
        <v>Black glazing</v>
      </c>
      <c r="BH1212" s="622" t="str">
        <f>_xlfn.XLOOKUP(PV_DATA[[#This Row],[PORT DESTINATION]],Table12[PORT DESTINATION],Table12[Cosco Line],,0)</f>
        <v>AEU</v>
      </c>
      <c r="BI1212" s="431" t="s">
        <v>7438</v>
      </c>
    </row>
    <row r="1213" spans="1:62" hidden="1">
      <c r="A1213" s="1179" t="s">
        <v>7467</v>
      </c>
      <c r="B1213" s="439" t="s">
        <v>111</v>
      </c>
      <c r="C1213" s="439" t="str">
        <f>IFERROR(LEFT(PV_DATA[[#This Row],[TCL REFERENCE]],FIND(".",PV_DATA[[#This Row],[TCL REFERENCE]],1)-1),"Main Line")</f>
        <v>26Oct012</v>
      </c>
      <c r="D1213" s="726" t="s">
        <v>63</v>
      </c>
      <c r="E1213" s="439" t="s">
        <v>64</v>
      </c>
      <c r="F1213" s="439" t="str" cm="1">
        <f t="array" ref="F121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1213" s="726" t="s">
        <v>402</v>
      </c>
      <c r="H1213" s="726" t="s">
        <v>451</v>
      </c>
      <c r="I1213" s="431" t="s">
        <v>689</v>
      </c>
      <c r="J1213" s="431" t="s">
        <v>96</v>
      </c>
      <c r="K1213" s="431"/>
      <c r="L1213" s="431"/>
      <c r="M1213" s="619" t="s">
        <v>68</v>
      </c>
      <c r="N1213" s="461">
        <v>46321</v>
      </c>
      <c r="O1213" s="431" t="s">
        <v>5388</v>
      </c>
      <c r="P1213" s="430" t="s">
        <v>6781</v>
      </c>
      <c r="Q1213" s="431" t="s">
        <v>6782</v>
      </c>
      <c r="R1213" s="430" t="str">
        <f>_xlfn.XLOOKUP(PV_DATA[[#This Row],[New Ark SKU]],Table9[New Ark SKU],Table9[Connector],,0)</f>
        <v>EVO2A</v>
      </c>
      <c r="S1213" s="433" t="str">
        <f>_xlfn.XLOOKUP(PV_DATA[[#This Row],[New Ark SKU]],Table9[New Ark SKU],Table9[Cable],,0)</f>
        <v>±1200mm</v>
      </c>
      <c r="T1213" s="442">
        <v>480</v>
      </c>
      <c r="U1213" s="1067">
        <f>936*2</f>
        <v>1872</v>
      </c>
      <c r="V1213" s="448">
        <f>PV_DATA[[#This Row],[QUANTITY]]*PV_DATA[[#This Row],[WATT]]/1000000</f>
        <v>0.89856000000000003</v>
      </c>
      <c r="W1213" s="466">
        <f>PV_DATA[[#This Row],[QUANTITY]]/PV_DATA[[#This Row],[Qty/Pallet]]</f>
        <v>52</v>
      </c>
      <c r="X1213" s="1022">
        <f>PV_DATA[[#This Row],[QUANTITY]]/PV_DATA[[#This Row],[Qty/CT]]</f>
        <v>2</v>
      </c>
      <c r="Y1213" s="431" t="s">
        <v>4386</v>
      </c>
      <c r="Z1213" s="1180" t="str">
        <f t="shared" si="33"/>
        <v/>
      </c>
      <c r="AA1213" s="661">
        <v>46325</v>
      </c>
      <c r="AB1213" s="441"/>
      <c r="AC1213" s="467" t="str">
        <f>IF(PV_DATA[[#This Row],[Pick-Up Date]]&lt;&gt;"",_xlfn.ISOWEEKNUM(PV_DATA[[#This Row],[Pick-Up Date]]),"")</f>
        <v/>
      </c>
      <c r="AD1213" s="431"/>
      <c r="AE1213" s="442"/>
      <c r="AF1213" s="430" t="s">
        <v>6003</v>
      </c>
      <c r="AG1213" s="430" t="s">
        <v>6003</v>
      </c>
      <c r="AH1213" s="431" t="s">
        <v>456</v>
      </c>
      <c r="AI1213" s="441">
        <v>46337</v>
      </c>
      <c r="AJ1213" s="437">
        <f>IFERROR(VLOOKUP(AT1213, Vessel!A:D, 4, FALSE), "")</f>
        <v>46337.75</v>
      </c>
      <c r="AK1213" s="437" t="str">
        <f>IFERROR(IF(VLOOKUP(AT1213,Vessel!A:F,5,FALSE)=0,"",VLOOKUP(AT1213,Vessel!A:F,5,FALSE)),"")</f>
        <v/>
      </c>
      <c r="AL1213" s="441">
        <v>46376</v>
      </c>
      <c r="AM1213" s="939">
        <f>IFERROR(VLOOKUP(AT1213, Vessel!A:H, 8, FALSE), "")</f>
        <v>46376.041666666664</v>
      </c>
      <c r="AN1213" s="939" t="str">
        <f>IFERROR(IF(VLOOKUP(AT1213,Vessel!A:I,9,FALSE)=0,"",VLOOKUP(AT1213,Vessel!A:I,9,FALSE)),"")</f>
        <v/>
      </c>
      <c r="AO1213" s="431"/>
      <c r="AP1213" s="431" t="s">
        <v>7443</v>
      </c>
      <c r="AQ1213" s="1028" t="s">
        <v>80</v>
      </c>
      <c r="AR1213" s="619" t="s">
        <v>7468</v>
      </c>
      <c r="AS1213" s="431" t="s">
        <v>7469</v>
      </c>
      <c r="AT1213" s="431" t="s">
        <v>7469</v>
      </c>
      <c r="AU1213" s="619"/>
      <c r="AV1213" s="431"/>
      <c r="AW1213" s="441" cm="1">
        <f t="array" ref="AW121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46376.041666666664</v>
      </c>
      <c r="AX121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13" s="441">
        <f>IF(ISERROR(PV_DATA[[#This Row],[New Ark PO status]]),"",_xlfn.XLOOKUP(PV_DATA[[#This Row],[SPTN-PVHK New Ark PO'#]],New_Ark_Data[Purchase order Number],New_Ark_Data[Estimated time of arrival],"",0))</f>
        <v>0</v>
      </c>
      <c r="AZ1213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213" s="441">
        <f>IFERROR(PV_DATA[[#This Row],[ODP ETA Port]]+PV_DATA[[#This Row],[Customs/Leg3 Assumption]],"n/a")</f>
        <v>46383.041666666664</v>
      </c>
      <c r="BB1213" s="442">
        <f>YEAR(PV_DATA[[#This Row],[ETA for New Ark update]])</f>
        <v>2026</v>
      </c>
      <c r="BC1213" s="431">
        <f>MONTH(PV_DATA[[#This Row],[ETA for New Ark update]])</f>
        <v>12</v>
      </c>
      <c r="BD1213" s="431">
        <f>IFERROR(_xlfn.ISOWEEKNUM(PV_DATA[[#This Row],[ETA for New Ark update]]),0)</f>
        <v>52</v>
      </c>
      <c r="BE1213" s="431">
        <f>_xlfn.XLOOKUP(PV_DATA[[#This Row],[New Ark SKU]],Table9[New Ark SKU],Table9[Total PCS per Pallet],,0)</f>
        <v>36</v>
      </c>
      <c r="BF1213" s="431">
        <f>_xlfn.XLOOKUP(PV_DATA[[#This Row],[New Ark SKU]],Table9[New Ark SKU],Table9[Total PCS per 40HQ Container],,0)</f>
        <v>936</v>
      </c>
      <c r="BG1213" s="431" t="str">
        <f>_xlfn.XLOOKUP(PV_DATA[[#This Row],[New Ark SKU]],Table9[New Ark SKU],Table9[Back Glass],,0)</f>
        <v>Black glazing</v>
      </c>
      <c r="BH1213" s="622" t="str">
        <f>_xlfn.XLOOKUP(PV_DATA[[#This Row],[PORT DESTINATION]],Table12[PORT DESTINATION],Table12[Cosco Line],,0)</f>
        <v>AEU</v>
      </c>
      <c r="BI1213" s="430" t="s">
        <v>7454</v>
      </c>
    </row>
    <row r="1214" spans="1:62" hidden="1">
      <c r="A1214" s="1179" t="s">
        <v>7470</v>
      </c>
      <c r="B1214" s="726" t="s">
        <v>1757</v>
      </c>
      <c r="C1214" s="726" t="str">
        <f>IFERROR(LEFT(PV_DATA[[#This Row],[TCL REFERENCE]],FIND(".",PV_DATA[[#This Row],[TCL REFERENCE]],1)-1),"Main Line")</f>
        <v>26Oct009</v>
      </c>
      <c r="D1214" s="726" t="s">
        <v>63</v>
      </c>
      <c r="E1214" s="439" t="s">
        <v>64</v>
      </c>
      <c r="F1214" s="439" t="str" cm="1">
        <f t="array" ref="F121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214" s="726" t="s">
        <v>402</v>
      </c>
      <c r="H1214" s="726" t="s">
        <v>67</v>
      </c>
      <c r="I1214" s="431" t="s">
        <v>689</v>
      </c>
      <c r="J1214" s="431" t="s">
        <v>96</v>
      </c>
      <c r="K1214" s="431"/>
      <c r="L1214" s="431"/>
      <c r="M1214" s="619" t="s">
        <v>68</v>
      </c>
      <c r="N1214" s="630"/>
      <c r="O1214" s="619" t="s">
        <v>284</v>
      </c>
      <c r="P1214" s="623" t="s">
        <v>5860</v>
      </c>
      <c r="Q1214" s="619" t="s">
        <v>5861</v>
      </c>
      <c r="R1214" s="430" t="str">
        <f>_xlfn.XLOOKUP(PV_DATA[[#This Row],[New Ark SKU]],Table9[New Ark SKU],Table9[Connector],,0)</f>
        <v>EVO2A</v>
      </c>
      <c r="S1214" s="433" t="str">
        <f>_xlfn.XLOOKUP(PV_DATA[[#This Row],[New Ark SKU]],Table9[New Ark SKU],Table9[Cable],,0)</f>
        <v>±1200mm</v>
      </c>
      <c r="T1214" s="620">
        <v>485</v>
      </c>
      <c r="U1214" s="1038">
        <f>936*3</f>
        <v>2808</v>
      </c>
      <c r="V1214" s="624">
        <f>PV_DATA[[#This Row],[QUANTITY]]*PV_DATA[[#This Row],[WATT]]/1000000</f>
        <v>1.36188</v>
      </c>
      <c r="W1214" s="625">
        <f>PV_DATA[[#This Row],[QUANTITY]]/PV_DATA[[#This Row],[Qty/Pallet]]</f>
        <v>78</v>
      </c>
      <c r="X1214" s="1185">
        <f>PV_DATA[[#This Row],[QUANTITY]]/PV_DATA[[#This Row],[Qty/CT]]</f>
        <v>3</v>
      </c>
      <c r="Y1214" s="431" t="s">
        <v>4386</v>
      </c>
      <c r="Z1214" s="1178" t="str">
        <f t="shared" si="33"/>
        <v/>
      </c>
      <c r="AA1214" s="855">
        <v>46316</v>
      </c>
      <c r="AB1214" s="626"/>
      <c r="AC1214" s="627" t="str">
        <f>IF(PV_DATA[[#This Row],[Pick-Up Date]]&lt;&gt;"",_xlfn.ISOWEEKNUM(PV_DATA[[#This Row],[Pick-Up Date]]),"")</f>
        <v/>
      </c>
      <c r="AD1214" s="619"/>
      <c r="AE1214" s="620"/>
      <c r="AF1214" s="430" t="s">
        <v>6003</v>
      </c>
      <c r="AG1214" s="430" t="s">
        <v>6003</v>
      </c>
      <c r="AH1214" s="431" t="s">
        <v>105</v>
      </c>
      <c r="AI1214" s="626">
        <v>46337</v>
      </c>
      <c r="AJ1214" s="437">
        <f>IFERROR(VLOOKUP(AT1214, Vessel!A:D, 4, FALSE), "")</f>
        <v>46337.333333333336</v>
      </c>
      <c r="AK1214" s="437" t="str">
        <f>IFERROR(IF(VLOOKUP(AT1214,Vessel!A:F,5,FALSE)=0,"",VLOOKUP(AT1214,Vessel!A:F,5,FALSE)),"")</f>
        <v/>
      </c>
      <c r="AL1214" s="626">
        <v>46372</v>
      </c>
      <c r="AM1214" s="939">
        <f>IFERROR(VLOOKUP(AT1214, Vessel!A:H, 8, FALSE), "")</f>
        <v>46372.875</v>
      </c>
      <c r="AN1214" s="939" t="str">
        <f>IFERROR(IF(VLOOKUP(AT1214,Vessel!A:I,9,FALSE)=0,"",VLOOKUP(AT1214,Vessel!A:I,9,FALSE)),"")</f>
        <v/>
      </c>
      <c r="AO1214" s="619"/>
      <c r="AP1214" s="619" t="s">
        <v>7471</v>
      </c>
      <c r="AQ1214" s="1028" t="s">
        <v>80</v>
      </c>
      <c r="AR1214" s="619" t="s">
        <v>7472</v>
      </c>
      <c r="AS1214" s="619" t="s">
        <v>7473</v>
      </c>
      <c r="AT1214" s="619" t="s">
        <v>7473</v>
      </c>
      <c r="AU121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35.541666666664241</v>
      </c>
      <c r="AV1214" s="619"/>
      <c r="AW1214" s="626" cm="1">
        <f t="array" ref="AW121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46372.875</v>
      </c>
      <c r="AX121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14" s="626">
        <f>IF(ISERROR(PV_DATA[[#This Row],[New Ark PO status]]),"",_xlfn.XLOOKUP(PV_DATA[[#This Row],[SPTN-PVHK New Ark PO'#]],New_Ark_Data[Purchase order Number],New_Ark_Data[Estimated time of arrival],"",0))</f>
        <v>0</v>
      </c>
      <c r="AZ1214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214" s="626">
        <f>IFERROR(PV_DATA[[#This Row],[ODP ETA Port]]+PV_DATA[[#This Row],[Customs/Leg3 Assumption]],"n/a")</f>
        <v>46379.875</v>
      </c>
      <c r="BB1214" s="620">
        <f>YEAR(PV_DATA[[#This Row],[ETA for New Ark update]])</f>
        <v>2026</v>
      </c>
      <c r="BC1214" s="619">
        <f>MONTH(PV_DATA[[#This Row],[ETA for New Ark update]])</f>
        <v>12</v>
      </c>
      <c r="BD1214" s="619">
        <f>IFERROR(_xlfn.ISOWEEKNUM(PV_DATA[[#This Row],[ETA for New Ark update]]),0)</f>
        <v>52</v>
      </c>
      <c r="BE1214" s="431">
        <f>_xlfn.XLOOKUP(PV_DATA[[#This Row],[New Ark SKU]],Table9[New Ark SKU],Table9[Total PCS per Pallet],,0)</f>
        <v>36</v>
      </c>
      <c r="BF1214" s="431">
        <f>_xlfn.XLOOKUP(PV_DATA[[#This Row],[New Ark SKU]],Table9[New Ark SKU],Table9[Total PCS per 40HQ Container],,0)</f>
        <v>936</v>
      </c>
      <c r="BG1214" s="431" t="str">
        <f>_xlfn.XLOOKUP(PV_DATA[[#This Row],[New Ark SKU]],Table9[New Ark SKU],Table9[Back Glass],,0)</f>
        <v>Black glazing</v>
      </c>
      <c r="BH1214" s="629" t="str">
        <f>_xlfn.XLOOKUP(PV_DATA[[#This Row],[PORT DESTINATION]],Table12[PORT DESTINATION],Table12[Cosco Line],,0)</f>
        <v>AEU</v>
      </c>
      <c r="BI1214" s="430" t="s">
        <v>7454</v>
      </c>
    </row>
    <row r="1215" spans="1:62" hidden="1">
      <c r="A1215" s="1179" t="s">
        <v>7474</v>
      </c>
      <c r="B1215" s="726" t="s">
        <v>1757</v>
      </c>
      <c r="C1215" s="726" t="str">
        <f>IFERROR(LEFT(PV_DATA[[#This Row],[TCL REFERENCE]],FIND(".",PV_DATA[[#This Row],[TCL REFERENCE]],1)-1),"Main Line")</f>
        <v>26Oct007</v>
      </c>
      <c r="D1215" s="726" t="s">
        <v>63</v>
      </c>
      <c r="E1215" s="439" t="s">
        <v>64</v>
      </c>
      <c r="F1215" s="439" t="str" cm="1">
        <f t="array" ref="F121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215" s="726" t="s">
        <v>402</v>
      </c>
      <c r="H1215" s="726" t="s">
        <v>311</v>
      </c>
      <c r="I1215" s="431" t="s">
        <v>689</v>
      </c>
      <c r="J1215" s="431" t="s">
        <v>96</v>
      </c>
      <c r="K1215" s="619"/>
      <c r="L1215" s="619"/>
      <c r="M1215" s="619" t="s">
        <v>68</v>
      </c>
      <c r="N1215" s="630"/>
      <c r="O1215" s="619" t="s">
        <v>284</v>
      </c>
      <c r="P1215" s="623" t="s">
        <v>7223</v>
      </c>
      <c r="Q1215" s="619" t="s">
        <v>7224</v>
      </c>
      <c r="R1215" s="430" t="str">
        <f>_xlfn.XLOOKUP(PV_DATA[[#This Row],[New Ark SKU]],Table9[New Ark SKU],Table9[Connector],,0)</f>
        <v>EVO2A</v>
      </c>
      <c r="S1215" s="433" t="str">
        <f>_xlfn.XLOOKUP(PV_DATA[[#This Row],[New Ark SKU]],Table9[New Ark SKU],Table9[Cable],,0)</f>
        <v>±1200mm</v>
      </c>
      <c r="T1215" s="620">
        <v>490</v>
      </c>
      <c r="U1215" s="1038">
        <f>936*2</f>
        <v>1872</v>
      </c>
      <c r="V1215" s="624">
        <f>PV_DATA[[#This Row],[QUANTITY]]*PV_DATA[[#This Row],[WATT]]/1000000</f>
        <v>0.91727999999999998</v>
      </c>
      <c r="W1215" s="625">
        <f>PV_DATA[[#This Row],[QUANTITY]]/PV_DATA[[#This Row],[Qty/Pallet]]</f>
        <v>52</v>
      </c>
      <c r="X1215" s="1022">
        <f>PV_DATA[[#This Row],[QUANTITY]]/PV_DATA[[#This Row],[Qty/CT]]</f>
        <v>2</v>
      </c>
      <c r="Y1215" s="431" t="s">
        <v>4386</v>
      </c>
      <c r="Z1215" s="1178" t="str">
        <f t="shared" si="33"/>
        <v/>
      </c>
      <c r="AA1215" s="619" t="s">
        <v>7428</v>
      </c>
      <c r="AB1215" s="626"/>
      <c r="AC1215" s="627" t="str">
        <f>IF(PV_DATA[[#This Row],[Pick-Up Date]]&lt;&gt;"",_xlfn.ISOWEEKNUM(PV_DATA[[#This Row],[Pick-Up Date]]),"")</f>
        <v/>
      </c>
      <c r="AD1215" s="619"/>
      <c r="AE1215" s="620"/>
      <c r="AF1215" s="430" t="s">
        <v>6003</v>
      </c>
      <c r="AG1215" s="430" t="s">
        <v>6003</v>
      </c>
      <c r="AH1215" s="431" t="s">
        <v>314</v>
      </c>
      <c r="AI1215" s="626">
        <v>46340</v>
      </c>
      <c r="AJ1215" s="437">
        <f>IFERROR(VLOOKUP(AT1215, Vessel!A:D, 4, FALSE), "")</f>
        <v>46340.770833333336</v>
      </c>
      <c r="AK1215" s="437" t="str">
        <f>IFERROR(IF(VLOOKUP(AT1215,Vessel!A:F,5,FALSE)=0,"",VLOOKUP(AT1215,Vessel!A:F,5,FALSE)),"")</f>
        <v/>
      </c>
      <c r="AL1215" s="626">
        <v>46386</v>
      </c>
      <c r="AM1215" s="939">
        <f>IFERROR(VLOOKUP(AT1215, Vessel!A:H, 8, FALSE), "")</f>
        <v>46386.25</v>
      </c>
      <c r="AN1215" s="939" t="str">
        <f>IFERROR(IF(VLOOKUP(AT1215,Vessel!A:I,9,FALSE)=0,"",VLOOKUP(AT1215,Vessel!A:I,9,FALSE)),"")</f>
        <v/>
      </c>
      <c r="AO1215" s="619"/>
      <c r="AP1215" s="619" t="s">
        <v>7457</v>
      </c>
      <c r="AQ1215" s="1028" t="s">
        <v>80</v>
      </c>
      <c r="AR1215" s="619" t="s">
        <v>7475</v>
      </c>
      <c r="AS1215" s="619" t="s">
        <v>7476</v>
      </c>
      <c r="AT1215" s="619" t="s">
        <v>7476</v>
      </c>
      <c r="AU1215" s="619"/>
      <c r="AV1215" s="619"/>
      <c r="AW1215" s="626" cm="1">
        <f t="array" ref="AW121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46386.25</v>
      </c>
      <c r="AX121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15" s="626">
        <f>IF(ISERROR(PV_DATA[[#This Row],[New Ark PO status]]),"",_xlfn.XLOOKUP(PV_DATA[[#This Row],[SPTN-PVHK New Ark PO'#]],New_Ark_Data[Purchase order Number],New_Ark_Data[Estimated time of arrival],"",0))</f>
        <v>0</v>
      </c>
      <c r="AZ1215" s="620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215" s="626">
        <f>IFERROR(PV_DATA[[#This Row],[ODP ETA Port]]+PV_DATA[[#This Row],[Customs/Leg3 Assumption]],"n/a")</f>
        <v>46396.25</v>
      </c>
      <c r="BB1215" s="620">
        <f>YEAR(PV_DATA[[#This Row],[ETA for New Ark update]])</f>
        <v>2027</v>
      </c>
      <c r="BC1215" s="619">
        <f>MONTH(PV_DATA[[#This Row],[ETA for New Ark update]])</f>
        <v>1</v>
      </c>
      <c r="BD1215" s="619">
        <f>IFERROR(_xlfn.ISOWEEKNUM(PV_DATA[[#This Row],[ETA for New Ark update]]),0)</f>
        <v>1</v>
      </c>
      <c r="BE1215" s="431">
        <f>_xlfn.XLOOKUP(PV_DATA[[#This Row],[New Ark SKU]],Table9[New Ark SKU],Table9[Total PCS per Pallet],,0)</f>
        <v>36</v>
      </c>
      <c r="BF1215" s="431">
        <f>_xlfn.XLOOKUP(PV_DATA[[#This Row],[New Ark SKU]],Table9[New Ark SKU],Table9[Total PCS per 40HQ Container],,0)</f>
        <v>936</v>
      </c>
      <c r="BG1215" s="431" t="str">
        <f>_xlfn.XLOOKUP(PV_DATA[[#This Row],[New Ark SKU]],Table9[New Ark SKU],Table9[Back Glass],,0)</f>
        <v>Black glazing</v>
      </c>
      <c r="BH1215" s="629" t="str">
        <f>_xlfn.XLOOKUP(PV_DATA[[#This Row],[PORT DESTINATION]],Table12[PORT DESTINATION],Table12[Cosco Line],,0)</f>
        <v>AEM</v>
      </c>
    </row>
    <row r="1216" spans="1:62" s="431" customFormat="1" hidden="1">
      <c r="A1216" s="1386" t="s">
        <v>7477</v>
      </c>
      <c r="B1216" s="726" t="s">
        <v>111</v>
      </c>
      <c r="C1216" s="439" t="str">
        <f>IFERROR(LEFT(PV_DATA[[#This Row],[TCL REFERENCE]],FIND(".",PV_DATA[[#This Row],[TCL REFERENCE]],1)-1),"Main Line")</f>
        <v>26Oct004</v>
      </c>
      <c r="D1216" s="726" t="s">
        <v>63</v>
      </c>
      <c r="E1216" s="439" t="s">
        <v>64</v>
      </c>
      <c r="F1216" s="439" t="str" cm="1">
        <f t="array" ref="F121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216" s="726" t="s">
        <v>402</v>
      </c>
      <c r="H1216" s="439" t="s">
        <v>115</v>
      </c>
      <c r="I1216" s="726" t="s">
        <v>1395</v>
      </c>
      <c r="J1216" s="431" t="s">
        <v>96</v>
      </c>
      <c r="M1216" s="619" t="s">
        <v>68</v>
      </c>
      <c r="N1216" s="461">
        <v>46321</v>
      </c>
      <c r="O1216" s="619" t="s">
        <v>4540</v>
      </c>
      <c r="P1216" s="431" t="s">
        <v>7336</v>
      </c>
      <c r="Q1216" s="431" t="s">
        <v>1682</v>
      </c>
      <c r="R1216" s="431" t="str">
        <f>_xlfn.XLOOKUP(PV_DATA[[#This Row],[New Ark SKU]],Table9[New Ark SKU],Table9[Connector],,0)</f>
        <v>H4(Com)</v>
      </c>
      <c r="S1216" s="442" t="str">
        <f>_xlfn.XLOOKUP(PV_DATA[[#This Row],[New Ark SKU]],Table9[New Ark SKU],Table9[Cable],,0)</f>
        <v>±1400mm</v>
      </c>
      <c r="T1216" s="442">
        <v>730</v>
      </c>
      <c r="U1216" s="1067">
        <f>594*2</f>
        <v>1188</v>
      </c>
      <c r="V1216" s="448">
        <f>PV_DATA[[#This Row],[QUANTITY]]*PV_DATA[[#This Row],[WATT]]/1000000</f>
        <v>0.86724000000000001</v>
      </c>
      <c r="W1216" s="466">
        <f>PV_DATA[[#This Row],[QUANTITY]]/PV_DATA[[#This Row],[Qty/Pallet]]</f>
        <v>36</v>
      </c>
      <c r="X1216" s="1022">
        <f>PV_DATA[[#This Row],[QUANTITY]]/PV_DATA[[#This Row],[Qty/CT]]</f>
        <v>2</v>
      </c>
      <c r="Y1216" s="431" t="s">
        <v>4386</v>
      </c>
      <c r="Z1216" s="1180" t="str">
        <f t="shared" si="33"/>
        <v/>
      </c>
      <c r="AA1216" s="431" t="s">
        <v>7478</v>
      </c>
      <c r="AB1216" s="441"/>
      <c r="AC1216" s="467" t="str">
        <f>IF(PV_DATA[[#This Row],[Pick-Up Date]]&lt;&gt;"",_xlfn.ISOWEEKNUM(PV_DATA[[#This Row],[Pick-Up Date]]),"")</f>
        <v/>
      </c>
      <c r="AE1216" s="442"/>
      <c r="AF1216" s="431" t="s">
        <v>122</v>
      </c>
      <c r="AG1216" s="431" t="s">
        <v>123</v>
      </c>
      <c r="AH1216" s="619" t="s">
        <v>124</v>
      </c>
      <c r="AI1216" s="441"/>
      <c r="AJ1216" s="441"/>
      <c r="AK1216" s="441"/>
      <c r="AL1216" s="441"/>
      <c r="AM1216" s="939"/>
      <c r="AN1216" s="939"/>
      <c r="AQ1216" s="445" t="s">
        <v>161</v>
      </c>
      <c r="AR1216" s="619"/>
      <c r="AU1216" s="619"/>
      <c r="AW1216" s="441" cm="1">
        <f t="array" ref="AW121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46381</v>
      </c>
      <c r="AX1216" s="722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16" s="441">
        <f>IF(ISERROR(PV_DATA[[#This Row],[New Ark PO status]]),"",_xlfn.XLOOKUP(PV_DATA[[#This Row],[SPTN-PVHK New Ark PO'#]],New_Ark_Data[Purchase order Number],New_Ark_Data[Estimated time of arrival],"",0))</f>
        <v>0</v>
      </c>
      <c r="AZ1216" s="44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216" s="441">
        <f>IFERROR(PV_DATA[[#This Row],[ODP ETA Port]]+PV_DATA[[#This Row],[Customs/Leg3 Assumption]],"n/a")</f>
        <v>46390</v>
      </c>
      <c r="BB1216" s="442">
        <f>YEAR(PV_DATA[[#This Row],[ETA for New Ark update]])</f>
        <v>2027</v>
      </c>
      <c r="BC1216" s="431">
        <f>MONTH(PV_DATA[[#This Row],[ETA for New Ark update]])</f>
        <v>1</v>
      </c>
      <c r="BD1216" s="431">
        <f>IFERROR(_xlfn.ISOWEEKNUM(PV_DATA[[#This Row],[ETA for New Ark update]]),0)</f>
        <v>53</v>
      </c>
      <c r="BE1216" s="431">
        <v>33</v>
      </c>
      <c r="BF1216" s="431">
        <v>594</v>
      </c>
      <c r="BG1216" s="431" t="str">
        <f>_xlfn.XLOOKUP(PV_DATA[[#This Row],[New Ark SKU]],Table9[New Ark SKU],Table9[Back Glass],,0)</f>
        <v>Redirection Film</v>
      </c>
      <c r="BH1216" s="622" t="str">
        <f>_xlfn.XLOOKUP(PV_DATA[[#This Row],[PORT DESTINATION]],Table12[PORT DESTINATION],Table12[Cosco Line],,0)</f>
        <v>AEM</v>
      </c>
      <c r="BI1216" s="431" t="s">
        <v>7479</v>
      </c>
      <c r="BJ1216" s="1441"/>
    </row>
    <row r="1217" spans="1:62" s="431" customFormat="1" hidden="1">
      <c r="A1217" s="1386" t="s">
        <v>7480</v>
      </c>
      <c r="B1217" s="726" t="s">
        <v>111</v>
      </c>
      <c r="C1217" s="439" t="str">
        <f>IFERROR(LEFT(PV_DATA[[#This Row],[TCL REFERENCE]],FIND(".",PV_DATA[[#This Row],[TCL REFERENCE]],1)-1),"Main Line")</f>
        <v>26Oct004</v>
      </c>
      <c r="D1217" s="726" t="s">
        <v>63</v>
      </c>
      <c r="E1217" s="439" t="s">
        <v>64</v>
      </c>
      <c r="F1217" s="439" t="str" cm="1">
        <f t="array" ref="F121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217" s="726" t="s">
        <v>402</v>
      </c>
      <c r="H1217" s="439" t="s">
        <v>115</v>
      </c>
      <c r="I1217" s="726" t="s">
        <v>689</v>
      </c>
      <c r="J1217" s="431" t="s">
        <v>96</v>
      </c>
      <c r="M1217" s="619" t="s">
        <v>68</v>
      </c>
      <c r="N1217" s="461">
        <v>46321</v>
      </c>
      <c r="O1217" s="619" t="s">
        <v>4540</v>
      </c>
      <c r="P1217" s="431" t="s">
        <v>7336</v>
      </c>
      <c r="Q1217" s="431" t="s">
        <v>1682</v>
      </c>
      <c r="R1217" s="431" t="str">
        <f>_xlfn.XLOOKUP(PV_DATA[[#This Row],[New Ark SKU]],Table9[New Ark SKU],Table9[Connector],,0)</f>
        <v>H4(Com)</v>
      </c>
      <c r="S1217" s="442" t="str">
        <f>_xlfn.XLOOKUP(PV_DATA[[#This Row],[New Ark SKU]],Table9[New Ark SKU],Table9[Cable],,0)</f>
        <v>±1400mm</v>
      </c>
      <c r="T1217" s="442">
        <v>730</v>
      </c>
      <c r="U1217" s="1067">
        <f>594*3</f>
        <v>1782</v>
      </c>
      <c r="V1217" s="448">
        <f>PV_DATA[[#This Row],[QUANTITY]]*PV_DATA[[#This Row],[WATT]]/1000000</f>
        <v>1.3008599999999999</v>
      </c>
      <c r="W1217" s="466">
        <f>PV_DATA[[#This Row],[QUANTITY]]/PV_DATA[[#This Row],[Qty/Pallet]]</f>
        <v>54</v>
      </c>
      <c r="X1217" s="1022">
        <f>PV_DATA[[#This Row],[QUANTITY]]/PV_DATA[[#This Row],[Qty/CT]]</f>
        <v>3</v>
      </c>
      <c r="Y1217" s="431" t="s">
        <v>4387</v>
      </c>
      <c r="Z1217" s="1180" t="str">
        <f t="shared" si="33"/>
        <v/>
      </c>
      <c r="AA1217" s="431" t="s">
        <v>7478</v>
      </c>
      <c r="AB1217" s="441"/>
      <c r="AC1217" s="467" t="str">
        <f>IF(PV_DATA[[#This Row],[Pick-Up Date]]&lt;&gt;"",_xlfn.ISOWEEKNUM(PV_DATA[[#This Row],[Pick-Up Date]]),"")</f>
        <v/>
      </c>
      <c r="AE1217" s="442"/>
      <c r="AF1217" s="431" t="s">
        <v>122</v>
      </c>
      <c r="AG1217" s="431" t="s">
        <v>123</v>
      </c>
      <c r="AH1217" s="619" t="s">
        <v>124</v>
      </c>
      <c r="AI1217" s="441"/>
      <c r="AJ1217" s="441"/>
      <c r="AK1217" s="441"/>
      <c r="AL1217" s="441"/>
      <c r="AM1217" s="939"/>
      <c r="AN1217" s="939"/>
      <c r="AQ1217" s="445"/>
      <c r="AR1217" s="619"/>
      <c r="AU1217" s="619"/>
      <c r="AW1217" s="441" cm="1">
        <f t="array" ref="AW121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46388</v>
      </c>
      <c r="AX1217" s="722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17" s="441">
        <f>IF(ISERROR(PV_DATA[[#This Row],[New Ark PO status]]),"",_xlfn.XLOOKUP(PV_DATA[[#This Row],[SPTN-PVHK New Ark PO'#]],New_Ark_Data[Purchase order Number],New_Ark_Data[Estimated time of arrival],"",0))</f>
        <v>0</v>
      </c>
      <c r="AZ1217" s="44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217" s="441">
        <f>IFERROR(PV_DATA[[#This Row],[ODP ETA Port]]+PV_DATA[[#This Row],[Customs/Leg3 Assumption]],"n/a")</f>
        <v>46397</v>
      </c>
      <c r="BB1217" s="442">
        <f>YEAR(PV_DATA[[#This Row],[ETA for New Ark update]])</f>
        <v>2027</v>
      </c>
      <c r="BC1217" s="431">
        <f>MONTH(PV_DATA[[#This Row],[ETA for New Ark update]])</f>
        <v>1</v>
      </c>
      <c r="BD1217" s="431">
        <f>IFERROR(_xlfn.ISOWEEKNUM(PV_DATA[[#This Row],[ETA for New Ark update]]),0)</f>
        <v>1</v>
      </c>
      <c r="BE1217" s="431">
        <v>33</v>
      </c>
      <c r="BF1217" s="431">
        <v>594</v>
      </c>
      <c r="BG1217" s="431" t="str">
        <f>_xlfn.XLOOKUP(PV_DATA[[#This Row],[New Ark SKU]],Table9[New Ark SKU],Table9[Back Glass],,0)</f>
        <v>Redirection Film</v>
      </c>
      <c r="BH1217" s="622" t="str">
        <f>_xlfn.XLOOKUP(PV_DATA[[#This Row],[PORT DESTINATION]],Table12[PORT DESTINATION],Table12[Cosco Line],,0)</f>
        <v>AEM</v>
      </c>
      <c r="BJ1217" s="1441"/>
    </row>
    <row r="1218" spans="1:62" hidden="1">
      <c r="A1218" s="1179" t="s">
        <v>7481</v>
      </c>
      <c r="B1218" s="726" t="s">
        <v>1757</v>
      </c>
      <c r="C1218" s="726" t="str">
        <f>IFERROR(LEFT(PV_DATA[[#This Row],[TCL REFERENCE]],FIND(".",PV_DATA[[#This Row],[TCL REFERENCE]],1)-1),"Main Line")</f>
        <v>26Oct009</v>
      </c>
      <c r="D1218" s="726" t="s">
        <v>63</v>
      </c>
      <c r="E1218" s="439" t="s">
        <v>64</v>
      </c>
      <c r="F1218" s="439" t="str" cm="1">
        <f t="array" ref="F121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218" s="726" t="s">
        <v>402</v>
      </c>
      <c r="H1218" s="462" t="s">
        <v>67</v>
      </c>
      <c r="I1218" s="726" t="s">
        <v>882</v>
      </c>
      <c r="J1218" s="431" t="s">
        <v>96</v>
      </c>
      <c r="K1218" s="619"/>
      <c r="L1218" s="619"/>
      <c r="M1218" s="431" t="s">
        <v>68</v>
      </c>
      <c r="N1218" s="630"/>
      <c r="O1218" s="619" t="s">
        <v>284</v>
      </c>
      <c r="P1218" s="623" t="s">
        <v>5860</v>
      </c>
      <c r="Q1218" s="619" t="s">
        <v>5861</v>
      </c>
      <c r="R1218" s="430" t="str">
        <f>_xlfn.XLOOKUP(PV_DATA[[#This Row],[New Ark SKU]],Table9[New Ark SKU],Table9[Connector],,0)</f>
        <v>EVO2A</v>
      </c>
      <c r="S1218" s="433" t="str">
        <f>_xlfn.XLOOKUP(PV_DATA[[#This Row],[New Ark SKU]],Table9[New Ark SKU],Table9[Cable],,0)</f>
        <v>±1200mm</v>
      </c>
      <c r="T1218" s="620">
        <v>485</v>
      </c>
      <c r="U1218" s="1038">
        <f>936*5</f>
        <v>4680</v>
      </c>
      <c r="V1218" s="624">
        <f>PV_DATA[[#This Row],[QUANTITY]]*PV_DATA[[#This Row],[WATT]]/1000000</f>
        <v>2.2698</v>
      </c>
      <c r="W1218" s="625">
        <f>PV_DATA[[#This Row],[QUANTITY]]/PV_DATA[[#This Row],[Qty/Pallet]]</f>
        <v>130</v>
      </c>
      <c r="X1218" s="1022">
        <f>PV_DATA[[#This Row],[QUANTITY]]/PV_DATA[[#This Row],[Qty/CT]]</f>
        <v>5</v>
      </c>
      <c r="Y1218" s="431" t="s">
        <v>4385</v>
      </c>
      <c r="Z1218" s="1178" t="str">
        <f t="shared" si="33"/>
        <v/>
      </c>
      <c r="AA1218" s="855">
        <v>46319</v>
      </c>
      <c r="AB1218" s="626"/>
      <c r="AC1218" s="627" t="str">
        <f>IF(PV_DATA[[#This Row],[Pick-Up Date]]&lt;&gt;"",_xlfn.ISOWEEKNUM(PV_DATA[[#This Row],[Pick-Up Date]]),"")</f>
        <v/>
      </c>
      <c r="AD1218" s="619"/>
      <c r="AE1218" s="620"/>
      <c r="AF1218" s="430" t="s">
        <v>6003</v>
      </c>
      <c r="AG1218" s="430" t="s">
        <v>6003</v>
      </c>
      <c r="AH1218" s="431" t="s">
        <v>105</v>
      </c>
      <c r="AI1218" s="437">
        <v>46343</v>
      </c>
      <c r="AJ1218" s="1246"/>
      <c r="AK1218" s="437" t="str">
        <f>IFERROR(IF(VLOOKUP(AT1218,Vessel!A:F,5,FALSE)=0,"",VLOOKUP(AT1218,Vessel!A:F,5,FALSE)),"")</f>
        <v/>
      </c>
      <c r="AL1218" s="626">
        <v>46382</v>
      </c>
      <c r="AM1218" s="939">
        <f>IFERROR(VLOOKUP(AT1218, Vessel!A:H, 8, FALSE), "")</f>
        <v>46378.333333333336</v>
      </c>
      <c r="AN1218" s="939" t="str">
        <f>IFERROR(IF(VLOOKUP(AT1218,Vessel!A:I,9,FALSE)=0,"",VLOOKUP(AT1218,Vessel!A:I,9,FALSE)),"")</f>
        <v/>
      </c>
      <c r="AO1218" s="619"/>
      <c r="AP1218" s="619" t="s">
        <v>7464</v>
      </c>
      <c r="AQ1218" s="1028" t="s">
        <v>80</v>
      </c>
      <c r="AR1218" s="619" t="s">
        <v>7482</v>
      </c>
      <c r="AS1218" s="619" t="s">
        <v>7483</v>
      </c>
      <c r="AT1218" s="619" t="s">
        <v>7483</v>
      </c>
      <c r="AU121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35.333333333335759</v>
      </c>
      <c r="AV1218" s="619"/>
      <c r="AW1218" s="626" cm="1">
        <f t="array" ref="AW121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46378.333333333336</v>
      </c>
      <c r="AX121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18" s="626">
        <f>IF(ISERROR(PV_DATA[[#This Row],[New Ark PO status]]),"",_xlfn.XLOOKUP(PV_DATA[[#This Row],[SPTN-PVHK New Ark PO'#]],New_Ark_Data[Purchase order Number],New_Ark_Data[Estimated time of arrival],"",0))</f>
        <v>0</v>
      </c>
      <c r="AZ1218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218" s="626">
        <f>IFERROR(PV_DATA[[#This Row],[ODP ETA Port]]+PV_DATA[[#This Row],[Customs/Leg3 Assumption]],"n/a")</f>
        <v>46385.333333333336</v>
      </c>
      <c r="BB1218" s="620">
        <f>YEAR(PV_DATA[[#This Row],[ETA for New Ark update]])</f>
        <v>2026</v>
      </c>
      <c r="BC1218" s="619">
        <f>MONTH(PV_DATA[[#This Row],[ETA for New Ark update]])</f>
        <v>12</v>
      </c>
      <c r="BD1218" s="619">
        <f>IFERROR(_xlfn.ISOWEEKNUM(PV_DATA[[#This Row],[ETA for New Ark update]]),0)</f>
        <v>53</v>
      </c>
      <c r="BE1218" s="431">
        <f>_xlfn.XLOOKUP(PV_DATA[[#This Row],[New Ark SKU]],Table9[New Ark SKU],Table9[Total PCS per Pallet],,0)</f>
        <v>36</v>
      </c>
      <c r="BF1218" s="431">
        <f>_xlfn.XLOOKUP(PV_DATA[[#This Row],[New Ark SKU]],Table9[New Ark SKU],Table9[Total PCS per 40HQ Container],,0)</f>
        <v>936</v>
      </c>
      <c r="BG1218" s="431" t="str">
        <f>_xlfn.XLOOKUP(PV_DATA[[#This Row],[New Ark SKU]],Table9[New Ark SKU],Table9[Back Glass],,0)</f>
        <v>Black glazing</v>
      </c>
      <c r="BH1218" s="629" t="str">
        <f>_xlfn.XLOOKUP(PV_DATA[[#This Row],[PORT DESTINATION]],Table12[PORT DESTINATION],Table12[Cosco Line],,0)</f>
        <v>AEU</v>
      </c>
      <c r="BI1218" s="430" t="s">
        <v>7438</v>
      </c>
    </row>
    <row r="1219" spans="1:62" hidden="1">
      <c r="A1219" s="1179" t="s">
        <v>7484</v>
      </c>
      <c r="B1219" s="726" t="s">
        <v>1757</v>
      </c>
      <c r="C1219" s="726" t="str">
        <f>IFERROR(LEFT(PV_DATA[[#This Row],[TCL REFERENCE]],FIND(".",PV_DATA[[#This Row],[TCL REFERENCE]],1)-1),"Main Line")</f>
        <v>26Oct009</v>
      </c>
      <c r="D1219" s="726" t="s">
        <v>63</v>
      </c>
      <c r="E1219" s="439" t="s">
        <v>64</v>
      </c>
      <c r="F1219" s="439" t="str" cm="1">
        <f t="array" ref="F121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219" s="726" t="s">
        <v>402</v>
      </c>
      <c r="H1219" s="462" t="s">
        <v>67</v>
      </c>
      <c r="I1219" s="726" t="s">
        <v>882</v>
      </c>
      <c r="J1219" s="431" t="s">
        <v>96</v>
      </c>
      <c r="K1219" s="619"/>
      <c r="L1219" s="619"/>
      <c r="M1219" s="431" t="s">
        <v>68</v>
      </c>
      <c r="N1219" s="630"/>
      <c r="O1219" s="619" t="s">
        <v>284</v>
      </c>
      <c r="P1219" s="623" t="s">
        <v>5860</v>
      </c>
      <c r="Q1219" s="619" t="s">
        <v>5861</v>
      </c>
      <c r="R1219" s="430" t="str">
        <f>_xlfn.XLOOKUP(PV_DATA[[#This Row],[New Ark SKU]],Table9[New Ark SKU],Table9[Connector],,0)</f>
        <v>EVO2A</v>
      </c>
      <c r="S1219" s="433" t="str">
        <f>_xlfn.XLOOKUP(PV_DATA[[#This Row],[New Ark SKU]],Table9[New Ark SKU],Table9[Cable],,0)</f>
        <v>±1200mm</v>
      </c>
      <c r="T1219" s="620">
        <v>485</v>
      </c>
      <c r="U1219" s="1038">
        <f>936*3</f>
        <v>2808</v>
      </c>
      <c r="V1219" s="624">
        <f>PV_DATA[[#This Row],[QUANTITY]]*PV_DATA[[#This Row],[WATT]]/1000000</f>
        <v>1.36188</v>
      </c>
      <c r="W1219" s="625">
        <f>PV_DATA[[#This Row],[QUANTITY]]/PV_DATA[[#This Row],[Qty/Pallet]]</f>
        <v>78</v>
      </c>
      <c r="X1219" s="1022">
        <f>PV_DATA[[#This Row],[QUANTITY]]/PV_DATA[[#This Row],[Qty/CT]]</f>
        <v>3</v>
      </c>
      <c r="Y1219" s="431" t="s">
        <v>4385</v>
      </c>
      <c r="Z1219" s="1178" t="str">
        <f t="shared" si="33"/>
        <v/>
      </c>
      <c r="AA1219" s="855">
        <v>46319</v>
      </c>
      <c r="AB1219" s="626"/>
      <c r="AC1219" s="627" t="str">
        <f>IF(PV_DATA[[#This Row],[Pick-Up Date]]&lt;&gt;"",_xlfn.ISOWEEKNUM(PV_DATA[[#This Row],[Pick-Up Date]]),"")</f>
        <v/>
      </c>
      <c r="AD1219" s="619"/>
      <c r="AE1219" s="620"/>
      <c r="AF1219" s="430" t="s">
        <v>6003</v>
      </c>
      <c r="AG1219" s="430" t="s">
        <v>6003</v>
      </c>
      <c r="AH1219" s="431" t="s">
        <v>105</v>
      </c>
      <c r="AI1219" s="626">
        <v>46344</v>
      </c>
      <c r="AJ1219" s="437">
        <f>IFERROR(VLOOKUP(AT1219, Vessel!A:D, 4, FALSE), "")</f>
        <v>46344.416666666664</v>
      </c>
      <c r="AK1219" s="437" t="str">
        <f>IFERROR(IF(VLOOKUP(AT1219,Vessel!A:F,5,FALSE)=0,"",VLOOKUP(AT1219,Vessel!A:F,5,FALSE)),"")</f>
        <v/>
      </c>
      <c r="AL1219" s="626">
        <v>46379</v>
      </c>
      <c r="AM1219" s="939">
        <f>IFERROR(VLOOKUP(AT1219, Vessel!A:H, 8, FALSE), "")</f>
        <v>46379.875</v>
      </c>
      <c r="AN1219" s="939" t="str">
        <f>IFERROR(IF(VLOOKUP(AT1219,Vessel!A:I,9,FALSE)=0,"",VLOOKUP(AT1219,Vessel!A:I,9,FALSE)),"")</f>
        <v/>
      </c>
      <c r="AO1219" s="619"/>
      <c r="AP1219" s="619" t="s">
        <v>7485</v>
      </c>
      <c r="AQ1219" s="1028" t="s">
        <v>80</v>
      </c>
      <c r="AR1219" s="619" t="s">
        <v>7486</v>
      </c>
      <c r="AS1219" s="619" t="s">
        <v>7487</v>
      </c>
      <c r="AT1219" s="619" t="s">
        <v>7487</v>
      </c>
      <c r="AU121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35.458333333335759</v>
      </c>
      <c r="AV1219" s="619"/>
      <c r="AW1219" s="626" cm="1">
        <f t="array" ref="AW121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46379.875</v>
      </c>
      <c r="AX121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19" s="626">
        <f>IF(ISERROR(PV_DATA[[#This Row],[New Ark PO status]]),"",_xlfn.XLOOKUP(PV_DATA[[#This Row],[SPTN-PVHK New Ark PO'#]],New_Ark_Data[Purchase order Number],New_Ark_Data[Estimated time of arrival],"",0))</f>
        <v>0</v>
      </c>
      <c r="AZ1219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219" s="626">
        <f>IFERROR(PV_DATA[[#This Row],[ODP ETA Port]]+PV_DATA[[#This Row],[Customs/Leg3 Assumption]],"n/a")</f>
        <v>46386.875</v>
      </c>
      <c r="BB1219" s="620">
        <f>YEAR(PV_DATA[[#This Row],[ETA for New Ark update]])</f>
        <v>2026</v>
      </c>
      <c r="BC1219" s="619">
        <f>MONTH(PV_DATA[[#This Row],[ETA for New Ark update]])</f>
        <v>12</v>
      </c>
      <c r="BD1219" s="619">
        <f>IFERROR(_xlfn.ISOWEEKNUM(PV_DATA[[#This Row],[ETA for New Ark update]]),0)</f>
        <v>53</v>
      </c>
      <c r="BE1219" s="431">
        <f>_xlfn.XLOOKUP(PV_DATA[[#This Row],[New Ark SKU]],Table9[New Ark SKU],Table9[Total PCS per Pallet],,0)</f>
        <v>36</v>
      </c>
      <c r="BF1219" s="431">
        <f>_xlfn.XLOOKUP(PV_DATA[[#This Row],[New Ark SKU]],Table9[New Ark SKU],Table9[Total PCS per 40HQ Container],,0)</f>
        <v>936</v>
      </c>
      <c r="BG1219" s="431" t="str">
        <f>_xlfn.XLOOKUP(PV_DATA[[#This Row],[New Ark SKU]],Table9[New Ark SKU],Table9[Back Glass],,0)</f>
        <v>Black glazing</v>
      </c>
      <c r="BH1219" s="629" t="str">
        <f>_xlfn.XLOOKUP(PV_DATA[[#This Row],[PORT DESTINATION]],Table12[PORT DESTINATION],Table12[Cosco Line],,0)</f>
        <v>AEU</v>
      </c>
      <c r="BI1219" s="430" t="s">
        <v>7438</v>
      </c>
    </row>
    <row r="1220" spans="1:62" s="450" customFormat="1" ht="21" hidden="1">
      <c r="A1220" s="1384" t="s">
        <v>7488</v>
      </c>
      <c r="B1220" s="1184" t="s">
        <v>111</v>
      </c>
      <c r="C1220" s="446" t="str">
        <f>IFERROR(LEFT(PV_DATA[[#This Row],[TCL REFERENCE]],FIND(".",PV_DATA[[#This Row],[TCL REFERENCE]],1)-1),"Main Line")</f>
        <v>26Oct004</v>
      </c>
      <c r="D1220" s="1184" t="s">
        <v>63</v>
      </c>
      <c r="E1220" s="446" t="s">
        <v>64</v>
      </c>
      <c r="F1220" s="446" t="str" cm="1">
        <f t="array" ref="F122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220" s="1184" t="s">
        <v>402</v>
      </c>
      <c r="H1220" s="446" t="s">
        <v>115</v>
      </c>
      <c r="I1220" s="1184" t="s">
        <v>1395</v>
      </c>
      <c r="J1220" s="450" t="s">
        <v>96</v>
      </c>
      <c r="M1220" s="999" t="s">
        <v>68</v>
      </c>
      <c r="N1220" s="451">
        <v>46321</v>
      </c>
      <c r="O1220" s="999" t="s">
        <v>4540</v>
      </c>
      <c r="P1220" s="450" t="s">
        <v>7336</v>
      </c>
      <c r="Q1220" s="450" t="s">
        <v>1682</v>
      </c>
      <c r="R1220" s="430" t="str">
        <f>_xlfn.XLOOKUP(PV_DATA[[#This Row],[New Ark SKU]],Table9[New Ark SKU],Table9[Connector],,0)</f>
        <v>H4(Com)</v>
      </c>
      <c r="S1220" s="433" t="str">
        <f>_xlfn.XLOOKUP(PV_DATA[[#This Row],[New Ark SKU]],Table9[New Ark SKU],Table9[Cable],,0)</f>
        <v>±1400mm</v>
      </c>
      <c r="T1220" s="452">
        <v>730</v>
      </c>
      <c r="U1220" s="1063">
        <f>594*1</f>
        <v>594</v>
      </c>
      <c r="V1220" s="453">
        <f>PV_DATA[[#This Row],[QUANTITY]]*PV_DATA[[#This Row],[WATT]]/1000000</f>
        <v>0.43362000000000001</v>
      </c>
      <c r="W1220" s="454">
        <f>PV_DATA[[#This Row],[QUANTITY]]/PV_DATA[[#This Row],[Qty/Pallet]]</f>
        <v>18</v>
      </c>
      <c r="X1220" s="1185">
        <f>PV_DATA[[#This Row],[QUANTITY]]/PV_DATA[[#This Row],[Qty/CT]]</f>
        <v>1</v>
      </c>
      <c r="Y1220" s="450" t="s">
        <v>4385</v>
      </c>
      <c r="Z1220" s="1186" t="str">
        <f t="shared" si="33"/>
        <v/>
      </c>
      <c r="AA1220" s="431" t="s">
        <v>7489</v>
      </c>
      <c r="AB1220" s="455"/>
      <c r="AC1220" s="471" t="str">
        <f>IF(PV_DATA[[#This Row],[Pick-Up Date]]&lt;&gt;"",_xlfn.ISOWEEKNUM(PV_DATA[[#This Row],[Pick-Up Date]]),"")</f>
        <v/>
      </c>
      <c r="AE1220" s="452"/>
      <c r="AF1220" s="450" t="s">
        <v>6003</v>
      </c>
      <c r="AG1220" s="450" t="s">
        <v>6003</v>
      </c>
      <c r="AH1220" s="999" t="s">
        <v>124</v>
      </c>
      <c r="AI1220" s="455">
        <v>46345</v>
      </c>
      <c r="AJ1220" s="437">
        <f>IFERROR(VLOOKUP(AT1220, Vessel!A:D, 4, FALSE), "")</f>
        <v>46345.625</v>
      </c>
      <c r="AK1220" s="437" t="str">
        <f>IFERROR(IF(VLOOKUP(AT1220,Vessel!A:F,5,FALSE)=0,"",VLOOKUP(AT1220,Vessel!A:F,5,FALSE)),"")</f>
        <v/>
      </c>
      <c r="AL1220" s="455">
        <v>46380</v>
      </c>
      <c r="AM1220" s="455">
        <f>IFERROR(VLOOKUP(AT1220, Vessel!A:H, 8, FALSE), "")</f>
        <v>46380.833333333336</v>
      </c>
      <c r="AN1220" s="455" t="str">
        <f>IFERROR(IF(VLOOKUP(AT1220,Vessel!A:I,9,FALSE)=0,"",VLOOKUP(AT1220,Vessel!A:I,9,FALSE)),"")</f>
        <v/>
      </c>
      <c r="AP1220" s="1388" t="s">
        <v>7490</v>
      </c>
      <c r="AQ1220" s="1028" t="s">
        <v>80</v>
      </c>
      <c r="AR1220" s="619" t="s">
        <v>7491</v>
      </c>
      <c r="AS1220" s="450" t="s">
        <v>7492</v>
      </c>
      <c r="AT1220" s="450" t="s">
        <v>7492</v>
      </c>
      <c r="AU1220" s="619"/>
      <c r="AW1220" s="455" cm="1">
        <f t="array" ref="AW122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46380.833333333336</v>
      </c>
      <c r="AX1220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20" s="455" t="str">
        <f>IF(ISERROR(PV_DATA[[#This Row],[New Ark PO status]]),"",_xlfn.XLOOKUP(PV_DATA[[#This Row],[SPTN-PVHK New Ark PO'#]],New_Ark_Data[Purchase order Number],New_Ark_Data[Estimated time of arrival],"",0))</f>
        <v/>
      </c>
      <c r="AZ1220" s="45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220" s="455">
        <f>IFERROR(PV_DATA[[#This Row],[ODP ETA Port]]+PV_DATA[[#This Row],[Customs/Leg3 Assumption]],"n/a")</f>
        <v>46389.833333333336</v>
      </c>
      <c r="BB1220" s="452">
        <f>YEAR(PV_DATA[[#This Row],[ETA for New Ark update]])</f>
        <v>2027</v>
      </c>
      <c r="BC1220" s="450">
        <f>MONTH(PV_DATA[[#This Row],[ETA for New Ark update]])</f>
        <v>1</v>
      </c>
      <c r="BD1220" s="450">
        <f>IFERROR(_xlfn.ISOWEEKNUM(PV_DATA[[#This Row],[ETA for New Ark update]]),0)</f>
        <v>53</v>
      </c>
      <c r="BE1220" s="431">
        <v>33</v>
      </c>
      <c r="BF1220" s="431">
        <v>594</v>
      </c>
      <c r="BG1220" s="431" t="str">
        <f>_xlfn.XLOOKUP(PV_DATA[[#This Row],[New Ark SKU]],Table9[New Ark SKU],Table9[Back Glass],,0)</f>
        <v>Redirection Film</v>
      </c>
      <c r="BH1220" s="731" t="str">
        <f>_xlfn.XLOOKUP(PV_DATA[[#This Row],[PORT DESTINATION]],Table12[PORT DESTINATION],Table12[Cosco Line],,0)</f>
        <v>AEM</v>
      </c>
      <c r="BI1220" s="450" t="s">
        <v>7438</v>
      </c>
      <c r="BJ1220" s="1187"/>
    </row>
    <row r="1221" spans="1:62" hidden="1">
      <c r="A1221" s="1179" t="s">
        <v>7493</v>
      </c>
      <c r="B1221" s="726" t="s">
        <v>61</v>
      </c>
      <c r="C1221" s="439" t="str">
        <f>IFERROR(LEFT(PV_DATA[[#This Row],[TCL REFERENCE]],FIND(".",PV_DATA[[#This Row],[TCL REFERENCE]],1)-1),"Main Line")</f>
        <v>26Oct006</v>
      </c>
      <c r="D1221" s="726" t="s">
        <v>63</v>
      </c>
      <c r="E1221" s="439" t="s">
        <v>144</v>
      </c>
      <c r="F1221" s="439" t="str" cm="1">
        <f t="array" ref="F122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221" s="726" t="s">
        <v>402</v>
      </c>
      <c r="H1221" s="726" t="s">
        <v>4973</v>
      </c>
      <c r="I1221" s="431" t="s">
        <v>689</v>
      </c>
      <c r="J1221" s="619" t="s">
        <v>4973</v>
      </c>
      <c r="K1221" s="619"/>
      <c r="L1221" s="619"/>
      <c r="M1221" s="619" t="s">
        <v>7494</v>
      </c>
      <c r="N1221" s="461">
        <v>46317</v>
      </c>
      <c r="O1221" s="619" t="s">
        <v>4540</v>
      </c>
      <c r="P1221" s="430" t="s">
        <v>1151</v>
      </c>
      <c r="Q1221" s="431" t="s">
        <v>421</v>
      </c>
      <c r="R1221" s="430" t="str">
        <f>_xlfn.XLOOKUP(PV_DATA[[#This Row],[New Ark SKU]],Table9[New Ark SKU],Table9[Connector],,0)</f>
        <v>EVO2A</v>
      </c>
      <c r="S1221" s="433" t="str">
        <f>_xlfn.XLOOKUP(PV_DATA[[#This Row],[New Ark SKU]],Table9[New Ark SKU],Table9[Cable],,0)</f>
        <v>±1200mm</v>
      </c>
      <c r="T1221" s="442">
        <v>505</v>
      </c>
      <c r="U1221" s="1067">
        <f>864*3</f>
        <v>2592</v>
      </c>
      <c r="V1221" s="448">
        <f>PV_DATA[[#This Row],[QUANTITY]]*PV_DATA[[#This Row],[WATT]]/1000000</f>
        <v>1.3089599999999999</v>
      </c>
      <c r="W1221" s="466">
        <f>PV_DATA[[#This Row],[QUANTITY]]/PV_DATA[[#This Row],[Qty/Pallet]]</f>
        <v>72</v>
      </c>
      <c r="X1221" s="1022">
        <f>PV_DATA[[#This Row],[QUANTITY]]/PV_DATA[[#This Row],[Qty/CT]]</f>
        <v>3</v>
      </c>
      <c r="Y1221" s="431" t="s">
        <v>4390</v>
      </c>
      <c r="Z1221" s="1180" t="str">
        <f t="shared" si="33"/>
        <v/>
      </c>
      <c r="AA1221" s="431" t="s">
        <v>7495</v>
      </c>
      <c r="AB1221" s="441">
        <v>46328</v>
      </c>
      <c r="AC1221" s="467"/>
      <c r="AD1221" s="431"/>
      <c r="AE1221" s="442"/>
      <c r="AF1221" s="619" t="s">
        <v>61</v>
      </c>
      <c r="AG1221" s="619" t="s">
        <v>61</v>
      </c>
      <c r="AH1221" s="466" t="s">
        <v>78</v>
      </c>
      <c r="AI1221" s="441"/>
      <c r="AJ1221" s="441"/>
      <c r="AK1221" s="441"/>
      <c r="AL1221" s="441"/>
      <c r="AM1221" s="939"/>
      <c r="AN1221" s="939"/>
      <c r="AO1221" s="726"/>
      <c r="AP1221" s="431"/>
      <c r="AQ1221" s="445"/>
      <c r="AR1221" s="619"/>
      <c r="AS1221" s="431"/>
      <c r="AT1221" s="431"/>
      <c r="AU1221" s="619"/>
      <c r="AV1221" s="431"/>
      <c r="AW1221" s="441" cm="1">
        <f t="array" ref="AW122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46427</v>
      </c>
      <c r="AX122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21" s="441">
        <f>IF(ISERROR(PV_DATA[[#This Row],[New Ark PO status]]),"",_xlfn.XLOOKUP(PV_DATA[[#This Row],[SPTN-PVHK New Ark PO'#]],New_Ark_Data[Purchase order Number],New_Ark_Data[Estimated time of arrival],"",0))</f>
        <v>0</v>
      </c>
      <c r="AZ1221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221" s="441">
        <f>IFERROR(PV_DATA[[#This Row],[ODP ETA Port]]+PV_DATA[[#This Row],[Customs/Leg3 Assumption]],"n/a")</f>
        <v>46427</v>
      </c>
      <c r="BB1221" s="442">
        <f>YEAR(PV_DATA[[#This Row],[ETA for New Ark update]])</f>
        <v>2027</v>
      </c>
      <c r="BC1221" s="431">
        <f>MONTH(PV_DATA[[#This Row],[ETA for New Ark update]])</f>
        <v>2</v>
      </c>
      <c r="BD1221" s="431">
        <f>IFERROR(_xlfn.ISOWEEKNUM(PV_DATA[[#This Row],[ETA for New Ark update]]),0)</f>
        <v>6</v>
      </c>
      <c r="BE1221" s="431">
        <f>_xlfn.XLOOKUP(PV_DATA[[#This Row],[New Ark SKU]],Table9[New Ark SKU],Table9[Total PCS per Pallet],,0)</f>
        <v>36</v>
      </c>
      <c r="BF1221" s="431">
        <f>_xlfn.XLOOKUP(PV_DATA[[#This Row],[New Ark SKU]],Table9[New Ark SKU],Table9[Total PCS per 40HQ Container],,0)</f>
        <v>864</v>
      </c>
      <c r="BG1221" s="431" t="str">
        <f>_xlfn.XLOOKUP(PV_DATA[[#This Row],[New Ark SKU]],Table9[New Ark SKU],Table9[Back Glass],,0)</f>
        <v>Black glazing</v>
      </c>
      <c r="BH1221" s="622" t="str">
        <f>_xlfn.XLOOKUP(PV_DATA[[#This Row],[PORT DESTINATION]],Table12[PORT DESTINATION],Table12[Cosco Line],,0)</f>
        <v>AEM</v>
      </c>
    </row>
    <row r="1222" spans="1:62" hidden="1">
      <c r="A1222" s="1179" t="s">
        <v>7496</v>
      </c>
      <c r="B1222" s="726" t="s">
        <v>61</v>
      </c>
      <c r="C1222" s="439" t="str">
        <f>IFERROR(LEFT(PV_DATA[[#This Row],[TCL REFERENCE]],FIND(".",PV_DATA[[#This Row],[TCL REFERENCE]],1)-1),"Main Line")</f>
        <v>26Oct006</v>
      </c>
      <c r="D1222" s="726" t="s">
        <v>63</v>
      </c>
      <c r="E1222" s="439" t="s">
        <v>64</v>
      </c>
      <c r="F1222" s="439" t="str" cm="1">
        <f t="array" ref="F122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222" s="726" t="s">
        <v>402</v>
      </c>
      <c r="H1222" s="726" t="s">
        <v>67</v>
      </c>
      <c r="I1222" s="431" t="s">
        <v>689</v>
      </c>
      <c r="J1222" s="619" t="s">
        <v>7347</v>
      </c>
      <c r="K1222" s="619"/>
      <c r="L1222" s="619"/>
      <c r="M1222" s="619" t="s">
        <v>68</v>
      </c>
      <c r="N1222" s="461">
        <v>46317</v>
      </c>
      <c r="O1222" s="619" t="s">
        <v>4540</v>
      </c>
      <c r="P1222" s="430" t="s">
        <v>1151</v>
      </c>
      <c r="Q1222" s="431" t="s">
        <v>421</v>
      </c>
      <c r="R1222" s="430" t="str">
        <f>_xlfn.XLOOKUP(PV_DATA[[#This Row],[New Ark SKU]],Table9[New Ark SKU],Table9[Connector],,0)</f>
        <v>EVO2A</v>
      </c>
      <c r="S1222" s="433" t="str">
        <f>_xlfn.XLOOKUP(PV_DATA[[#This Row],[New Ark SKU]],Table9[New Ark SKU],Table9[Cable],,0)</f>
        <v>±1200mm</v>
      </c>
      <c r="T1222" s="442">
        <v>505</v>
      </c>
      <c r="U1222" s="1067">
        <f>864*3</f>
        <v>2592</v>
      </c>
      <c r="V1222" s="448">
        <f>PV_DATA[[#This Row],[QUANTITY]]*PV_DATA[[#This Row],[WATT]]/1000000</f>
        <v>1.3089599999999999</v>
      </c>
      <c r="W1222" s="466">
        <f>PV_DATA[[#This Row],[QUANTITY]]/PV_DATA[[#This Row],[Qty/Pallet]]</f>
        <v>72</v>
      </c>
      <c r="X1222" s="1022">
        <f>PV_DATA[[#This Row],[QUANTITY]]/PV_DATA[[#This Row],[Qty/CT]]</f>
        <v>3</v>
      </c>
      <c r="Y1222" s="431" t="s">
        <v>4386</v>
      </c>
      <c r="Z1222" s="1180" t="str">
        <f t="shared" si="33"/>
        <v/>
      </c>
      <c r="AA1222" s="450" t="s">
        <v>7497</v>
      </c>
      <c r="AB1222" s="441">
        <v>46328</v>
      </c>
      <c r="AC1222" s="467">
        <f>IF(PV_DATA[[#This Row],[Pick-Up Date]]&lt;&gt;"",_xlfn.ISOWEEKNUM(PV_DATA[[#This Row],[Pick-Up Date]]),"")</f>
        <v>45</v>
      </c>
      <c r="AD1222" s="431"/>
      <c r="AE1222" s="442"/>
      <c r="AF1222" s="619" t="s">
        <v>61</v>
      </c>
      <c r="AG1222" s="619" t="s">
        <v>61</v>
      </c>
      <c r="AH1222" s="466" t="s">
        <v>314</v>
      </c>
      <c r="AI1222" s="441">
        <v>46333</v>
      </c>
      <c r="AJ1222" s="437">
        <f>IFERROR(VLOOKUP(AT1222, Vessel!A:D, 4, FALSE), "")</f>
        <v>46333.875</v>
      </c>
      <c r="AK1222" s="437" t="str">
        <f>IFERROR(IF(VLOOKUP(AT1222,Vessel!A:F,5,FALSE)=0,"",VLOOKUP(AT1222,Vessel!A:F,5,FALSE)),"")</f>
        <v/>
      </c>
      <c r="AL1222" s="441">
        <v>46407</v>
      </c>
      <c r="AM1222" s="939">
        <f>IFERROR(VLOOKUP(AT1222, Vessel!A:H, 8, FALSE), "")</f>
        <v>46400.25</v>
      </c>
      <c r="AN1222" s="939" t="str">
        <f>IFERROR(IF(VLOOKUP(AT1222,Vessel!A:I,9,FALSE)=0,"",VLOOKUP(AT1222,Vessel!A:I,9,FALSE)),"")</f>
        <v/>
      </c>
      <c r="AO1222" s="431"/>
      <c r="AP1222" s="431" t="s">
        <v>7464</v>
      </c>
      <c r="AQ1222" s="445" t="s">
        <v>80</v>
      </c>
      <c r="AR1222" s="619" t="s">
        <v>7498</v>
      </c>
      <c r="AS1222" s="431" t="s">
        <v>7499</v>
      </c>
      <c r="AT1222" s="431" t="s">
        <v>7499</v>
      </c>
      <c r="AU1222" s="619"/>
      <c r="AV1222" s="431"/>
      <c r="AW1222" s="441" cm="1">
        <f t="array" ref="AW122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46400.25</v>
      </c>
      <c r="AX122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22" s="441">
        <f>IF(ISERROR(PV_DATA[[#This Row],[New Ark PO status]]),"",_xlfn.XLOOKUP(PV_DATA[[#This Row],[SPTN-PVHK New Ark PO'#]],New_Ark_Data[Purchase order Number],New_Ark_Data[Estimated time of arrival],"",0))</f>
        <v>0</v>
      </c>
      <c r="AZ1222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222" s="441">
        <f>IFERROR(PV_DATA[[#This Row],[ODP ETA Port]]+PV_DATA[[#This Row],[Customs/Leg3 Assumption]],"n/a")</f>
        <v>46410.25</v>
      </c>
      <c r="BB1222" s="442">
        <f>YEAR(PV_DATA[[#This Row],[ETA for New Ark update]])</f>
        <v>2027</v>
      </c>
      <c r="BC1222" s="431">
        <f>MONTH(PV_DATA[[#This Row],[ETA for New Ark update]])</f>
        <v>1</v>
      </c>
      <c r="BD1222" s="431">
        <f>IFERROR(_xlfn.ISOWEEKNUM(PV_DATA[[#This Row],[ETA for New Ark update]]),0)</f>
        <v>3</v>
      </c>
      <c r="BE1222" s="431">
        <f>_xlfn.XLOOKUP(PV_DATA[[#This Row],[New Ark SKU]],Table9[New Ark SKU],Table9[Total PCS per Pallet],,0)</f>
        <v>36</v>
      </c>
      <c r="BF1222" s="431">
        <f>_xlfn.XLOOKUP(PV_DATA[[#This Row],[New Ark SKU]],Table9[New Ark SKU],Table9[Total PCS per 40HQ Container],,0)</f>
        <v>864</v>
      </c>
      <c r="BG1222" s="431" t="str">
        <f>_xlfn.XLOOKUP(PV_DATA[[#This Row],[New Ark SKU]],Table9[New Ark SKU],Table9[Back Glass],,0)</f>
        <v>Black glazing</v>
      </c>
      <c r="BH1222" s="622" t="str">
        <f>_xlfn.XLOOKUP(PV_DATA[[#This Row],[PORT DESTINATION]],Table12[PORT DESTINATION],Table12[Cosco Line],,0)</f>
        <v>AEM</v>
      </c>
      <c r="BI1222" s="430" t="s">
        <v>7438</v>
      </c>
    </row>
    <row r="1223" spans="1:62" hidden="1">
      <c r="A1223" s="1179" t="s">
        <v>7500</v>
      </c>
      <c r="B1223" s="726" t="s">
        <v>1757</v>
      </c>
      <c r="C1223" s="726" t="str">
        <f>IFERROR(LEFT(PV_DATA[[#This Row],[TCL REFERENCE]],FIND(".",PV_DATA[[#This Row],[TCL REFERENCE]],1)-1),"Main Line")</f>
        <v>26Oct009</v>
      </c>
      <c r="D1223" s="726" t="s">
        <v>63</v>
      </c>
      <c r="E1223" s="439" t="s">
        <v>64</v>
      </c>
      <c r="F1223" s="439" t="str" cm="1">
        <f t="array" ref="F122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223" s="726" t="s">
        <v>402</v>
      </c>
      <c r="H1223" s="462" t="s">
        <v>67</v>
      </c>
      <c r="I1223" s="726" t="s">
        <v>882</v>
      </c>
      <c r="J1223" s="431" t="s">
        <v>96</v>
      </c>
      <c r="K1223" s="619"/>
      <c r="L1223" s="619"/>
      <c r="M1223" s="431" t="s">
        <v>68</v>
      </c>
      <c r="N1223" s="630"/>
      <c r="O1223" s="619" t="s">
        <v>284</v>
      </c>
      <c r="P1223" s="1471" t="s">
        <v>5860</v>
      </c>
      <c r="Q1223" s="1471" t="s">
        <v>5861</v>
      </c>
      <c r="R1223" s="1472" t="str">
        <f>_xlfn.XLOOKUP(PV_DATA[[#This Row],[New Ark SKU]],Table9[New Ark SKU],Table9[Connector],,0)</f>
        <v>EVO2A</v>
      </c>
      <c r="S1223" s="1473" t="str">
        <f>_xlfn.XLOOKUP(PV_DATA[[#This Row],[New Ark SKU]],Table9[New Ark SKU],Table9[Cable],,0)</f>
        <v>±1200mm</v>
      </c>
      <c r="T1223" s="620">
        <v>485</v>
      </c>
      <c r="U1223" s="1038">
        <f>936*4</f>
        <v>3744</v>
      </c>
      <c r="V1223" s="624">
        <f>PV_DATA[[#This Row],[QUANTITY]]*PV_DATA[[#This Row],[WATT]]/1000000</f>
        <v>1.8158399999999999</v>
      </c>
      <c r="W1223" s="625">
        <f>PV_DATA[[#This Row],[QUANTITY]]/PV_DATA[[#This Row],[Qty/Pallet]]</f>
        <v>104</v>
      </c>
      <c r="X1223" s="1022">
        <f>PV_DATA[[#This Row],[QUANTITY]]/PV_DATA[[#This Row],[Qty/CT]]</f>
        <v>4</v>
      </c>
      <c r="Y1223" s="431" t="s">
        <v>4385</v>
      </c>
      <c r="Z1223" s="1178" t="str">
        <f t="shared" ref="Z1223" si="34">IF(AN1223&lt;&gt;"","COMPLETED",IF(AK1223&lt;&gt;"","IN-TRANSIT",""))</f>
        <v/>
      </c>
      <c r="AA1223" s="855">
        <v>46319</v>
      </c>
      <c r="AB1223" s="626"/>
      <c r="AC1223" s="627" t="str">
        <f>IF(PV_DATA[[#This Row],[Pick-Up Date]]&lt;&gt;"",_xlfn.ISOWEEKNUM(PV_DATA[[#This Row],[Pick-Up Date]]),"")</f>
        <v/>
      </c>
      <c r="AD1223" s="619"/>
      <c r="AE1223" s="620"/>
      <c r="AF1223" s="430" t="s">
        <v>122</v>
      </c>
      <c r="AG1223" s="430" t="s">
        <v>123</v>
      </c>
      <c r="AH1223" s="431" t="s">
        <v>105</v>
      </c>
      <c r="AI1223" s="626">
        <v>46335</v>
      </c>
      <c r="AJ1223" s="626"/>
      <c r="AK1223" s="626"/>
      <c r="AL1223" s="626">
        <v>46372</v>
      </c>
      <c r="AM1223" s="626"/>
      <c r="AN1223" s="626"/>
      <c r="AO1223" s="619"/>
      <c r="AP1223" s="619" t="s">
        <v>7447</v>
      </c>
      <c r="AQ1223" s="628" t="s">
        <v>161</v>
      </c>
      <c r="AR1223" s="619"/>
      <c r="AS1223" s="619" t="s">
        <v>7501</v>
      </c>
      <c r="AT1223" s="619" t="s">
        <v>7501</v>
      </c>
      <c r="AU122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37</v>
      </c>
      <c r="AV1223" s="619"/>
      <c r="AW1223" s="626" cm="1">
        <f t="array" ref="AW122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46372</v>
      </c>
      <c r="AX122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23" s="626">
        <f>IF(ISERROR(PV_DATA[[#This Row],[New Ark PO status]]),"",_xlfn.XLOOKUP(PV_DATA[[#This Row],[SPTN-PVHK New Ark PO'#]],New_Ark_Data[Purchase order Number],New_Ark_Data[Estimated time of arrival],"",0))</f>
        <v>0</v>
      </c>
      <c r="AZ1223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223" s="626">
        <f>IFERROR(PV_DATA[[#This Row],[ODP ETA Port]]+PV_DATA[[#This Row],[Customs/Leg3 Assumption]],"n/a")</f>
        <v>46379</v>
      </c>
      <c r="BB1223" s="620">
        <f>YEAR(PV_DATA[[#This Row],[ETA for New Ark update]])</f>
        <v>2026</v>
      </c>
      <c r="BC1223" s="619">
        <f>MONTH(PV_DATA[[#This Row],[ETA for New Ark update]])</f>
        <v>12</v>
      </c>
      <c r="BD1223" s="619">
        <f>IFERROR(_xlfn.ISOWEEKNUM(PV_DATA[[#This Row],[ETA for New Ark update]]),0)</f>
        <v>52</v>
      </c>
      <c r="BE1223" s="431">
        <f>_xlfn.XLOOKUP(PV_DATA[[#This Row],[New Ark SKU]],Table9[New Ark SKU],Table9[Total PCS per Pallet],,0)</f>
        <v>36</v>
      </c>
      <c r="BF1223" s="431">
        <f>_xlfn.XLOOKUP(PV_DATA[[#This Row],[New Ark SKU]],Table9[New Ark SKU],Table9[Total PCS per 40HQ Container],,0)</f>
        <v>936</v>
      </c>
      <c r="BG1223" s="431" t="str">
        <f>_xlfn.XLOOKUP(PV_DATA[[#This Row],[New Ark SKU]],Table9[New Ark SKU],Table9[Back Glass],,0)</f>
        <v>Black glazing</v>
      </c>
      <c r="BH1223" s="629" t="str">
        <f>_xlfn.XLOOKUP(PV_DATA[[#This Row],[PORT DESTINATION]],Table12[PORT DESTINATION],Table12[Cosco Line],,0)</f>
        <v>AEU</v>
      </c>
      <c r="BI1223" s="430" t="s">
        <v>7438</v>
      </c>
    </row>
    <row r="1224" spans="1:62" hidden="1">
      <c r="A1224" s="1179" t="s">
        <v>7502</v>
      </c>
      <c r="B1224" s="439" t="s">
        <v>111</v>
      </c>
      <c r="C1224" s="726" t="str">
        <f>IFERROR(LEFT(PV_DATA[[#This Row],[TCL REFERENCE]],FIND(".",PV_DATA[[#This Row],[TCL REFERENCE]],1)-1),"Main Line")</f>
        <v>26Oct015</v>
      </c>
      <c r="D1224" s="439" t="s">
        <v>63</v>
      </c>
      <c r="E1224" s="439" t="s">
        <v>64</v>
      </c>
      <c r="F1224" s="439" t="str" cm="1">
        <f t="array" ref="F122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224" s="726" t="s">
        <v>402</v>
      </c>
      <c r="H1224" s="726" t="s">
        <v>67</v>
      </c>
      <c r="I1224" s="431" t="s">
        <v>689</v>
      </c>
      <c r="J1224" s="431" t="s">
        <v>96</v>
      </c>
      <c r="K1224" s="431"/>
      <c r="L1224" s="431"/>
      <c r="M1224" s="619" t="s">
        <v>68</v>
      </c>
      <c r="N1224" s="461">
        <v>46292</v>
      </c>
      <c r="O1224" s="431" t="s">
        <v>5388</v>
      </c>
      <c r="P1224" s="430" t="s">
        <v>7319</v>
      </c>
      <c r="Q1224" s="431" t="s">
        <v>7320</v>
      </c>
      <c r="R1224" s="430" t="str">
        <f>_xlfn.XLOOKUP(PV_DATA[[#This Row],[New Ark SKU]],Table9[New Ark SKU],Table9[Connector],,0)</f>
        <v>EVO2A</v>
      </c>
      <c r="S1224" s="433" t="str">
        <f>_xlfn.XLOOKUP(PV_DATA[[#This Row],[New Ark SKU]],Table9[New Ark SKU],Table9[Cable],,0)</f>
        <v>±1200mm</v>
      </c>
      <c r="T1224" s="442">
        <v>485</v>
      </c>
      <c r="U1224" s="1067">
        <f>936*4</f>
        <v>3744</v>
      </c>
      <c r="V1224" s="448">
        <f>PV_DATA[[#This Row],[QUANTITY]]*PV_DATA[[#This Row],[WATT]]/1000000</f>
        <v>1.8158399999999999</v>
      </c>
      <c r="W1224" s="466">
        <f>PV_DATA[[#This Row],[QUANTITY]]/PV_DATA[[#This Row],[Qty/Pallet]]</f>
        <v>104</v>
      </c>
      <c r="X1224" s="1019">
        <f>PV_DATA[[#This Row],[QUANTITY]]/PV_DATA[[#This Row],[Qty/CT]]</f>
        <v>4</v>
      </c>
      <c r="Y1224" s="431" t="s">
        <v>4383</v>
      </c>
      <c r="Z1224" s="1180" t="str">
        <f t="shared" ref="Z1224" si="35">IF(AN1224&lt;&gt;"","COMPLETED",IF(AK1224&lt;&gt;"","IN-TRANSIT",""))</f>
        <v/>
      </c>
      <c r="AA1224" s="431" t="s">
        <v>5862</v>
      </c>
      <c r="AB1224" s="441"/>
      <c r="AC1224" s="467" t="str">
        <f>IF(PV_DATA[[#This Row],[Pick-Up Date]]&lt;&gt;"",_xlfn.ISOWEEKNUM(PV_DATA[[#This Row],[Pick-Up Date]]),"")</f>
        <v/>
      </c>
      <c r="AD1224" s="431"/>
      <c r="AE1224" s="442"/>
      <c r="AF1224" s="431" t="s">
        <v>122</v>
      </c>
      <c r="AG1224" s="431" t="s">
        <v>123</v>
      </c>
      <c r="AH1224" s="431" t="s">
        <v>78</v>
      </c>
      <c r="AI1224" s="441"/>
      <c r="AJ1224" s="441"/>
      <c r="AK1224" s="441"/>
      <c r="AL1224" s="441"/>
      <c r="AM1224" s="441"/>
      <c r="AO1224" s="431"/>
      <c r="AP1224" s="431"/>
      <c r="AQ1224" s="445"/>
      <c r="AR1224" s="619"/>
      <c r="AS1224" s="431"/>
      <c r="AT1224" s="431"/>
      <c r="AU1224" s="619"/>
      <c r="AV1224" s="431"/>
      <c r="AW1224" s="441" cm="1">
        <f t="array" ref="AW122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46364</v>
      </c>
      <c r="AX122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24" s="441">
        <f>IF(ISERROR(PV_DATA[[#This Row],[New Ark PO status]]),"",_xlfn.XLOOKUP(PV_DATA[[#This Row],[SPTN-PVHK New Ark PO'#]],New_Ark_Data[Purchase order Number],New_Ark_Data[Estimated time of arrival],"",0))</f>
        <v>0</v>
      </c>
      <c r="AZ1224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224" s="441">
        <f>IFERROR(PV_DATA[[#This Row],[ODP ETA Port]]+PV_DATA[[#This Row],[Customs/Leg3 Assumption]],"n/a")</f>
        <v>46372</v>
      </c>
      <c r="BB1224" s="442">
        <f>YEAR(PV_DATA[[#This Row],[ETA for New Ark update]])</f>
        <v>2026</v>
      </c>
      <c r="BC1224" s="431">
        <f>MONTH(PV_DATA[[#This Row],[ETA for New Ark update]])</f>
        <v>12</v>
      </c>
      <c r="BD1224" s="431">
        <f>IFERROR(_xlfn.ISOWEEKNUM(PV_DATA[[#This Row],[ETA for New Ark update]]),0)</f>
        <v>51</v>
      </c>
      <c r="BE1224" s="431">
        <f>_xlfn.XLOOKUP(PV_DATA[[#This Row],[New Ark SKU]],Table9[New Ark SKU],Table9[Total PCS per Pallet],,0)</f>
        <v>36</v>
      </c>
      <c r="BF1224" s="431">
        <f>_xlfn.XLOOKUP(PV_DATA[[#This Row],[New Ark SKU]],Table9[New Ark SKU],Table9[Total PCS per 40HQ Container],,0)</f>
        <v>936</v>
      </c>
      <c r="BG1224" s="431" t="str">
        <f>_xlfn.XLOOKUP(PV_DATA[[#This Row],[New Ark SKU]],Table9[New Ark SKU],Table9[Back Glass],,0)</f>
        <v>White glazing</v>
      </c>
      <c r="BH1224" s="622" t="str">
        <f>_xlfn.XLOOKUP(PV_DATA[[#This Row],[PORT DESTINATION]],Table12[PORT DESTINATION],Table12[Cosco Line],,0)</f>
        <v>AEM</v>
      </c>
    </row>
    <row r="1225" spans="1:62" s="431" customFormat="1" ht="13.5" hidden="1" customHeight="1">
      <c r="A1225" s="728" t="s">
        <v>7503</v>
      </c>
      <c r="B1225" s="439" t="s">
        <v>1757</v>
      </c>
      <c r="C1225" s="439" t="str">
        <f>IFERROR(LEFT(PV_DATA[[#This Row],[TCL REFERENCE]],FIND(".",PV_DATA[[#This Row],[TCL REFERENCE]],1)-1),"Main Line")</f>
        <v>Main Line</v>
      </c>
      <c r="D1225" s="726" t="s">
        <v>113</v>
      </c>
      <c r="E1225" s="439" t="s">
        <v>68</v>
      </c>
      <c r="F1225" s="439" t="str" cm="1">
        <f t="array" ref="F1225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25" s="439" t="s">
        <v>68</v>
      </c>
      <c r="H1225" s="439" t="s">
        <v>68</v>
      </c>
      <c r="I1225" s="439" t="s">
        <v>68</v>
      </c>
      <c r="J1225" s="431" t="s">
        <v>68</v>
      </c>
      <c r="M1225" s="431" t="s">
        <v>6325</v>
      </c>
      <c r="N1225" s="461"/>
      <c r="O1225" s="431" t="s">
        <v>284</v>
      </c>
      <c r="P1225" s="431" t="s">
        <v>6849</v>
      </c>
      <c r="Q1225" s="431" t="s">
        <v>6850</v>
      </c>
      <c r="R1225" s="430" t="str">
        <f>_xlfn.XLOOKUP(PV_DATA[[#This Row],[New Ark SKU]],Table9[New Ark SKU],Table9[Connector],,0)</f>
        <v>EVO2A</v>
      </c>
      <c r="S1225" s="433" t="str">
        <f>_xlfn.XLOOKUP(PV_DATA[[#This Row],[New Ark SKU]],Table9[New Ark SKU],Table9[Cable],,0)</f>
        <v>±1200mm</v>
      </c>
      <c r="T1225" s="442">
        <v>490</v>
      </c>
      <c r="U1225" s="1067" cm="1">
        <f t="array" ref="U1225">37440-fx_qty</f>
        <v>0</v>
      </c>
      <c r="V1225" s="448">
        <f>PV_DATA[[#This Row],[QUANTITY]]*PV_DATA[[#This Row],[WATT]]/1000000</f>
        <v>0</v>
      </c>
      <c r="W1225" s="625">
        <f>PV_DATA[[#This Row],[QUANTITY]]/36</f>
        <v>0</v>
      </c>
      <c r="X1225" s="1019">
        <f>PV_DATA[[#This Row],[QUANTITY]]/PV_DATA[[#This Row],[Qty/CT]]</f>
        <v>0</v>
      </c>
      <c r="Y1225" s="431" t="s">
        <v>7039</v>
      </c>
      <c r="Z1225" s="431" t="str">
        <f t="shared" ref="Z1225:Z1250" si="36">IF(AN1225&lt;&gt;"","COMPLETED",IF(AK1225&lt;&gt;"","IN-TRANSIT",""))</f>
        <v/>
      </c>
      <c r="AB1225" s="441"/>
      <c r="AC1225" s="467" t="str">
        <f>IF(PV_DATA[[#This Row],[Pick-Up Date]]&lt;&gt;"",_xlfn.ISOWEEKNUM(PV_DATA[[#This Row],[Pick-Up Date]]),"")</f>
        <v/>
      </c>
      <c r="AF1225" s="431" t="s">
        <v>122</v>
      </c>
      <c r="AG1225" s="431" t="s">
        <v>122</v>
      </c>
      <c r="AH1225" s="431" t="s">
        <v>68</v>
      </c>
      <c r="AI1225" s="441"/>
      <c r="AJ1225" s="441"/>
      <c r="AK1225" s="441" t="str">
        <f>IFERROR(IF(VLOOKUP(AT1225,Vessel!A:F,5,FALSE)=0,"",VLOOKUP(AT1225,Vessel!A:F,5,FALSE)),"")</f>
        <v/>
      </c>
      <c r="AL1225" s="441"/>
      <c r="AM1225" s="441"/>
      <c r="AN1225" s="586" t="str">
        <f>IFERROR(IF(VLOOKUP(AT1225,Vessel!A:I,9,FALSE)=0,"",VLOOKUP(AT1225,Vessel!A:I,9,FALSE)),"")</f>
        <v/>
      </c>
      <c r="AQ1225" s="445"/>
      <c r="AR1225" s="619"/>
      <c r="AU1225" s="619"/>
      <c r="AW1225" s="441" t="str" cm="1">
        <f t="array" ref="AW122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2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25" s="441" t="str">
        <f>IF(ISERROR(PV_DATA[[#This Row],[New Ark PO status]]),"",_xlfn.XLOOKUP(PV_DATA[[#This Row],[SPTN-PVHK New Ark PO'#]],New_Ark_Data[Purchase order Number],New_Ark_Data[Estimated time of arrival],"",0))</f>
        <v/>
      </c>
      <c r="AZ1225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25" s="441" t="str">
        <f>IFERROR(PV_DATA[[#This Row],[ODP ETA Port]]+PV_DATA[[#This Row],[Customs/Leg3 Assumption]],"n/a")</f>
        <v>n/a</v>
      </c>
      <c r="BB1225" s="442" t="e">
        <f>YEAR(PV_DATA[[#This Row],[ETA for New Ark update]])</f>
        <v>#VALUE!</v>
      </c>
      <c r="BC1225" s="431" t="e">
        <f>MONTH(PV_DATA[[#This Row],[ETA for New Ark update]])</f>
        <v>#VALUE!</v>
      </c>
      <c r="BD1225" s="431">
        <f>IFERROR(_xlfn.ISOWEEKNUM(PV_DATA[[#This Row],[ETA for New Ark update]]),0)</f>
        <v>0</v>
      </c>
      <c r="BE1225" s="431">
        <f>_xlfn.XLOOKUP(PV_DATA[[#This Row],[New Ark SKU]],Table9[New Ark SKU],Table9[Total PCS per Pallet],,0)</f>
        <v>36</v>
      </c>
      <c r="BF1225" s="431">
        <f>_xlfn.XLOOKUP(PV_DATA[[#This Row],[New Ark SKU]],Table9[New Ark SKU],Table9[Total PCS per 40HQ Container],,0)</f>
        <v>936</v>
      </c>
      <c r="BG1225" s="431" t="str">
        <f>_xlfn.XLOOKUP(PV_DATA[[#This Row],[New Ark SKU]],Table9[New Ark SKU],Table9[Back Glass],,0)</f>
        <v>Black glazing</v>
      </c>
      <c r="BH1225" s="622" t="str">
        <f>_xlfn.XLOOKUP(PV_DATA[[#This Row],[PORT DESTINATION]],Table12[PORT DESTINATION],Table12[Cosco Line],,0)</f>
        <v>n/a</v>
      </c>
    </row>
    <row r="1226" spans="1:62" s="431" customFormat="1" ht="13.5" hidden="1" customHeight="1">
      <c r="A1226" s="728" t="s">
        <v>7504</v>
      </c>
      <c r="B1226" s="439" t="s">
        <v>111</v>
      </c>
      <c r="C1226" s="439" t="str">
        <f>IFERROR(LEFT(PV_DATA[[#This Row],[TCL REFERENCE]],FIND(".",PV_DATA[[#This Row],[TCL REFERENCE]],1)-1),"Main Line")</f>
        <v>Main Line</v>
      </c>
      <c r="D1226" s="726" t="s">
        <v>113</v>
      </c>
      <c r="E1226" s="439" t="s">
        <v>68</v>
      </c>
      <c r="F1226" s="726" t="str" cm="1">
        <f t="array" ref="F1226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26" s="439" t="s">
        <v>68</v>
      </c>
      <c r="H1226" s="439" t="s">
        <v>68</v>
      </c>
      <c r="I1226" s="439" t="s">
        <v>68</v>
      </c>
      <c r="J1226" s="431" t="s">
        <v>68</v>
      </c>
      <c r="K1226" s="619"/>
      <c r="L1226" s="619"/>
      <c r="M1226" s="431" t="s">
        <v>68</v>
      </c>
      <c r="N1226" s="630"/>
      <c r="O1226" s="619" t="s">
        <v>4540</v>
      </c>
      <c r="P1226" s="431" t="s">
        <v>6492</v>
      </c>
      <c r="Q1226" s="431" t="s">
        <v>103</v>
      </c>
      <c r="R1226" s="430" t="str">
        <f>_xlfn.XLOOKUP(PV_DATA[[#This Row],[New Ark SKU]],Table9[New Ark SKU],Table9[Connector],,0)</f>
        <v>H4(Com)</v>
      </c>
      <c r="S1226" s="433" t="str">
        <f>_xlfn.XLOOKUP(PV_DATA[[#This Row],[New Ark SKU]],Table9[New Ark SKU],Table9[Cable],,0)</f>
        <v>+400mm/-200mm</v>
      </c>
      <c r="T1226" s="442">
        <v>620</v>
      </c>
      <c r="U1226" s="1067" cm="1">
        <f t="array" ref="U1226">36000-fx_qty</f>
        <v>0</v>
      </c>
      <c r="V1226" s="448">
        <f>PV_DATA[[#This Row],[QUANTITY]]*PV_DATA[[#This Row],[WATT]]/1000000</f>
        <v>0</v>
      </c>
      <c r="W1226" s="466">
        <f>PV_DATA[[#This Row],[QUANTITY]]/PV_DATA[[#This Row],[Qty/Pallet]]</f>
        <v>0</v>
      </c>
      <c r="X1226" s="1022">
        <f>PV_DATA[[#This Row],[QUANTITY]]/PV_DATA[[#This Row],[Qty/CT]]</f>
        <v>0</v>
      </c>
      <c r="Y1226" s="431" t="s">
        <v>7039</v>
      </c>
      <c r="Z1226" s="431" t="str">
        <f t="shared" si="36"/>
        <v/>
      </c>
      <c r="AA1226" s="431" t="s">
        <v>5862</v>
      </c>
      <c r="AB1226" s="441"/>
      <c r="AC1226" s="467" t="str">
        <f>IF(PV_DATA[[#This Row],[Pick-Up Date]]&lt;&gt;"",_xlfn.ISOWEEKNUM(PV_DATA[[#This Row],[Pick-Up Date]]),"")</f>
        <v/>
      </c>
      <c r="AF1226" s="431" t="s">
        <v>122</v>
      </c>
      <c r="AG1226" s="431" t="s">
        <v>122</v>
      </c>
      <c r="AH1226" s="431" t="s">
        <v>68</v>
      </c>
      <c r="AI1226" s="441"/>
      <c r="AJ1226" s="441"/>
      <c r="AK1226" s="441"/>
      <c r="AL1226" s="441"/>
      <c r="AM1226" s="586"/>
      <c r="AN1226" s="586"/>
      <c r="AQ1226" s="445"/>
      <c r="AR1226" s="619"/>
      <c r="AU1226" s="619"/>
      <c r="AW1226" s="441" t="str" cm="1">
        <f t="array" ref="AW122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2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26" s="441">
        <f>IF(ISERROR(PV_DATA[[#This Row],[New Ark PO status]]),"",_xlfn.XLOOKUP(PV_DATA[[#This Row],[SPTN-PVHK New Ark PO'#]],New_Ark_Data[Purchase order Number],New_Ark_Data[Estimated time of arrival],"",0))</f>
        <v>0</v>
      </c>
      <c r="AZ1226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26" s="441" t="str">
        <f>IFERROR(PV_DATA[[#This Row],[ODP ETA Port]]+PV_DATA[[#This Row],[Customs/Leg3 Assumption]],"n/a")</f>
        <v>n/a</v>
      </c>
      <c r="BB1226" s="442" t="e">
        <f>YEAR(PV_DATA[[#This Row],[ETA for New Ark update]])</f>
        <v>#VALUE!</v>
      </c>
      <c r="BC1226" s="431" t="e">
        <f>MONTH(PV_DATA[[#This Row],[ETA for New Ark update]])</f>
        <v>#VALUE!</v>
      </c>
      <c r="BD1226" s="431">
        <f>IFERROR(_xlfn.ISOWEEKNUM(PV_DATA[[#This Row],[ETA for New Ark update]]),0)</f>
        <v>0</v>
      </c>
      <c r="BE1226" s="431">
        <f>_xlfn.XLOOKUP(PV_DATA[[#This Row],[New Ark SKU]],Table9[New Ark SKU],Table9[Total PCS per Pallet],,0)</f>
        <v>36</v>
      </c>
      <c r="BF1226" s="431">
        <f>_xlfn.XLOOKUP(PV_DATA[[#This Row],[New Ark SKU]],Table9[New Ark SKU],Table9[Total PCS per 40HQ Container],,0)</f>
        <v>720</v>
      </c>
      <c r="BG1226" s="431" t="str">
        <f>_xlfn.XLOOKUP(PV_DATA[[#This Row],[New Ark SKU]],Table9[New Ark SKU],Table9[Back Glass],,0)</f>
        <v>Redirection Film</v>
      </c>
      <c r="BH1226" s="622" t="str">
        <f>_xlfn.XLOOKUP(PV_DATA[[#This Row],[PORT DESTINATION]],Table12[PORT DESTINATION],Table12[Cosco Line],,0)</f>
        <v>n/a</v>
      </c>
    </row>
    <row r="1227" spans="1:62" s="431" customFormat="1" ht="13.5" hidden="1" customHeight="1">
      <c r="A1227" s="728" t="s">
        <v>7505</v>
      </c>
      <c r="B1227" s="439" t="s">
        <v>1757</v>
      </c>
      <c r="C1227" s="439" t="str">
        <f>IFERROR(LEFT(PV_DATA[[#This Row],[TCL REFERENCE]],FIND(".",PV_DATA[[#This Row],[TCL REFERENCE]],1)-1),"Main Line")</f>
        <v>Main Line</v>
      </c>
      <c r="D1227" s="439" t="s">
        <v>113</v>
      </c>
      <c r="E1227" s="439" t="s">
        <v>68</v>
      </c>
      <c r="F1227" s="439" t="str" cm="1">
        <f t="array" ref="F1227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27" s="439" t="s">
        <v>68</v>
      </c>
      <c r="H1227" s="439" t="s">
        <v>68</v>
      </c>
      <c r="I1227" s="439" t="s">
        <v>68</v>
      </c>
      <c r="J1227" s="431" t="s">
        <v>68</v>
      </c>
      <c r="M1227" s="431" t="s">
        <v>6325</v>
      </c>
      <c r="N1227" s="461"/>
      <c r="O1227" s="431" t="s">
        <v>284</v>
      </c>
      <c r="P1227" s="431" t="s">
        <v>6856</v>
      </c>
      <c r="Q1227" s="431" t="s">
        <v>6857</v>
      </c>
      <c r="R1227" s="430" t="str">
        <f>_xlfn.XLOOKUP(PV_DATA[[#This Row],[New Ark SKU]],Table9[New Ark SKU],Table9[Connector],,0)</f>
        <v>EVO2A</v>
      </c>
      <c r="S1227" s="433" t="str">
        <f>_xlfn.XLOOKUP(PV_DATA[[#This Row],[New Ark SKU]],Table9[New Ark SKU],Table9[Cable],,0)</f>
        <v>±1200mm</v>
      </c>
      <c r="T1227" s="442">
        <v>485</v>
      </c>
      <c r="U1227" s="1067" cm="1">
        <f t="array" ref="U1227">37440-fx_qty</f>
        <v>0</v>
      </c>
      <c r="V1227" s="448">
        <f>PV_DATA[[#This Row],[QUANTITY]]*PV_DATA[[#This Row],[WATT]]/1000000</f>
        <v>0</v>
      </c>
      <c r="W1227" s="466">
        <f>PV_DATA[[#This Row],[QUANTITY]]/36</f>
        <v>0</v>
      </c>
      <c r="X1227" s="1019">
        <f>PV_DATA[[#This Row],[QUANTITY]]/PV_DATA[[#This Row],[Qty/CT]]</f>
        <v>0</v>
      </c>
      <c r="Y1227" s="431" t="s">
        <v>7039</v>
      </c>
      <c r="Z1227" s="431" t="str">
        <f t="shared" si="36"/>
        <v/>
      </c>
      <c r="AB1227" s="441"/>
      <c r="AC1227" s="467" t="str">
        <f>IF(PV_DATA[[#This Row],[Pick-Up Date]]&lt;&gt;"",_xlfn.ISOWEEKNUM(PV_DATA[[#This Row],[Pick-Up Date]]),"")</f>
        <v/>
      </c>
      <c r="AF1227" s="431" t="s">
        <v>122</v>
      </c>
      <c r="AG1227" s="431" t="s">
        <v>122</v>
      </c>
      <c r="AH1227" s="431" t="s">
        <v>68</v>
      </c>
      <c r="AI1227" s="441"/>
      <c r="AJ1227" s="441"/>
      <c r="AK1227" s="441" t="str">
        <f>IFERROR(IF(VLOOKUP(AT1227,Vessel!A:F,5,FALSE)=0,"",VLOOKUP(AT1227,Vessel!A:F,5,FALSE)),"")</f>
        <v/>
      </c>
      <c r="AL1227" s="441"/>
      <c r="AM1227" s="441"/>
      <c r="AN1227" s="586" t="str">
        <f>IFERROR(IF(VLOOKUP(AT1227,Vessel!A:I,9,FALSE)=0,"",VLOOKUP(AT1227,Vessel!A:I,9,FALSE)),"")</f>
        <v/>
      </c>
      <c r="AQ1227" s="445"/>
      <c r="AR1227" s="619"/>
      <c r="AU1227" s="619"/>
      <c r="AW1227" s="441" t="str" cm="1">
        <f t="array" ref="AW122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2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27" s="441">
        <f>IF(ISERROR(PV_DATA[[#This Row],[New Ark PO status]]),"",_xlfn.XLOOKUP(PV_DATA[[#This Row],[SPTN-PVHK New Ark PO'#]],New_Ark_Data[Purchase order Number],New_Ark_Data[Estimated time of arrival],"",0))</f>
        <v>0</v>
      </c>
      <c r="AZ1227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27" s="441" t="str">
        <f>IFERROR(PV_DATA[[#This Row],[ODP ETA Port]]+PV_DATA[[#This Row],[Customs/Leg3 Assumption]],"n/a")</f>
        <v>n/a</v>
      </c>
      <c r="BB1227" s="442" t="e">
        <f>YEAR(PV_DATA[[#This Row],[ETA for New Ark update]])</f>
        <v>#VALUE!</v>
      </c>
      <c r="BC1227" s="431" t="e">
        <f>MONTH(PV_DATA[[#This Row],[ETA for New Ark update]])</f>
        <v>#VALUE!</v>
      </c>
      <c r="BD1227" s="431">
        <f>IFERROR(_xlfn.ISOWEEKNUM(PV_DATA[[#This Row],[ETA for New Ark update]]),0)</f>
        <v>0</v>
      </c>
      <c r="BE1227" s="431">
        <f>_xlfn.XLOOKUP(PV_DATA[[#This Row],[New Ark SKU]],Table9[New Ark SKU],Table9[Total PCS per Pallet],,0)</f>
        <v>36</v>
      </c>
      <c r="BF1227" s="431">
        <f>_xlfn.XLOOKUP(PV_DATA[[#This Row],[New Ark SKU]],Table9[New Ark SKU],Table9[Total PCS per 40HQ Container],,0)</f>
        <v>936</v>
      </c>
      <c r="BG1227" s="431" t="str">
        <f>_xlfn.XLOOKUP(PV_DATA[[#This Row],[New Ark SKU]],Table9[New Ark SKU],Table9[Back Glass],,0)</f>
        <v>Black glazing</v>
      </c>
      <c r="BH1227" s="622" t="str">
        <f>_xlfn.XLOOKUP(PV_DATA[[#This Row],[PORT DESTINATION]],Table12[PORT DESTINATION],Table12[Cosco Line],,0)</f>
        <v>n/a</v>
      </c>
    </row>
    <row r="1228" spans="1:62" s="431" customFormat="1" ht="10.5" hidden="1">
      <c r="A1228" s="439" t="s">
        <v>5075</v>
      </c>
      <c r="B1228" s="439" t="s">
        <v>111</v>
      </c>
      <c r="C1228" s="439" t="str">
        <f>IFERROR(LEFT(PV_DATA[[#This Row],[TCL REFERENCE]],FIND(".",PV_DATA[[#This Row],[TCL REFERENCE]],1)-1),"Main Line")</f>
        <v>Main Line</v>
      </c>
      <c r="D1228" s="439" t="s">
        <v>63</v>
      </c>
      <c r="E1228" s="439" t="s">
        <v>68</v>
      </c>
      <c r="F1228" s="439" t="str" cm="1">
        <f t="array" ref="F1228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28" s="439" t="s">
        <v>68</v>
      </c>
      <c r="H1228" s="439" t="s">
        <v>68</v>
      </c>
      <c r="I1228" s="439" t="s">
        <v>68</v>
      </c>
      <c r="J1228" s="431" t="s">
        <v>68</v>
      </c>
      <c r="M1228" s="430" t="s">
        <v>6325</v>
      </c>
      <c r="N1228" s="461">
        <v>46167</v>
      </c>
      <c r="O1228" s="431" t="s">
        <v>4540</v>
      </c>
      <c r="P1228" s="431" t="s">
        <v>4601</v>
      </c>
      <c r="Q1228" s="431" t="s">
        <v>330</v>
      </c>
      <c r="R1228" s="430" t="str">
        <f>_xlfn.XLOOKUP(PV_DATA[[#This Row],[New Ark SKU]],Table9[New Ark SKU],Table9[Connector],,0)</f>
        <v>H4(Com)</v>
      </c>
      <c r="S1228" s="433" t="str">
        <f>_xlfn.XLOOKUP(PV_DATA[[#This Row],[New Ark SKU]],Table9[New Ark SKU],Table9[Cable],,0)</f>
        <v>+400mm/-200mm</v>
      </c>
      <c r="T1228" s="442">
        <v>625</v>
      </c>
      <c r="U1228" s="1067" cm="1">
        <f t="array" ref="U1228">56160-fx_qty</f>
        <v>0</v>
      </c>
      <c r="V1228" s="444">
        <f>PV_DATA[[#This Row],[QUANTITY]]*PV_DATA[[#This Row],[WATT]]/1000000</f>
        <v>0</v>
      </c>
      <c r="W1228" s="466">
        <f>PV_DATA[[#This Row],[QUANTITY]]/PV_DATA[[#This Row],[Qty/Pallet]]</f>
        <v>0</v>
      </c>
      <c r="X1228" s="1019">
        <f>PV_DATA[[#This Row],[QUANTITY]]/PV_DATA[[#This Row],[Qty/CT]]</f>
        <v>0</v>
      </c>
      <c r="Y1228" s="431" t="s">
        <v>7039</v>
      </c>
      <c r="Z1228" s="431" t="str">
        <f t="shared" si="36"/>
        <v/>
      </c>
      <c r="AB1228" s="441"/>
      <c r="AC1228" s="467" t="str">
        <f>IF(PV_DATA[[#This Row],[Pick-Up Date]]&lt;&gt;"",_xlfn.ISOWEEKNUM(PV_DATA[[#This Row],[Pick-Up Date]]),"")</f>
        <v/>
      </c>
      <c r="AF1228" s="431" t="s">
        <v>122</v>
      </c>
      <c r="AG1228" s="431" t="s">
        <v>123</v>
      </c>
      <c r="AH1228" s="431" t="s">
        <v>68</v>
      </c>
      <c r="AI1228" s="441"/>
      <c r="AJ1228" s="441"/>
      <c r="AK1228" s="437" t="str">
        <f>IFERROR(IF(VLOOKUP(AT1228,Vessel!A:F,5,FALSE)=0,"",VLOOKUP(AT1228,Vessel!A:F,5,FALSE)),"")</f>
        <v/>
      </c>
      <c r="AL1228" s="441"/>
      <c r="AM1228" s="441"/>
      <c r="AN1228" s="586" t="str">
        <f>IFERROR(IF(VLOOKUP(AT1228,Vessel!A:I,9,FALSE)=0,"",VLOOKUP(AT1228,Vessel!A:I,9,FALSE)),"")</f>
        <v/>
      </c>
      <c r="AR1228" s="619"/>
      <c r="AU1228" s="619"/>
      <c r="AV1228" s="441"/>
      <c r="AW1228" s="441" t="str" cm="1">
        <f t="array" ref="AW122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2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28" s="441" t="str">
        <f>IF(ISERROR(PV_DATA[[#This Row],[New Ark PO status]]),"",_xlfn.XLOOKUP(PV_DATA[[#This Row],[SPTN-PVHK New Ark PO'#]],New_Ark_Data[Purchase order Number],New_Ark_Data[Estimated time of arrival],"",0))</f>
        <v/>
      </c>
      <c r="AZ1228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28" s="441" t="str">
        <f>IFERROR(PV_DATA[[#This Row],[ODP ETA Port]]+PV_DATA[[#This Row],[Customs/Leg3 Assumption]],"n/a")</f>
        <v>n/a</v>
      </c>
      <c r="BB1228" s="442" t="e">
        <f>YEAR(PV_DATA[[#This Row],[ETA for New Ark update]])</f>
        <v>#VALUE!</v>
      </c>
      <c r="BC1228" s="431" t="e">
        <f>MONTH(PV_DATA[[#This Row],[ETA for New Ark update]])</f>
        <v>#VALUE!</v>
      </c>
      <c r="BD1228" s="431">
        <f>IFERROR(_xlfn.ISOWEEKNUM(PV_DATA[[#This Row],[ETA for New Ark update]]),0)</f>
        <v>0</v>
      </c>
      <c r="BE1228" s="431">
        <f>_xlfn.XLOOKUP(PV_DATA[[#This Row],[New Ark SKU]],Table9[New Ark SKU],Table9[Total PCS per Pallet],,0)</f>
        <v>36</v>
      </c>
      <c r="BF1228" s="431">
        <f>_xlfn.XLOOKUP(PV_DATA[[#This Row],[New Ark SKU]],Table9[New Ark SKU],Table9[Total PCS per 40HQ Container],,0)</f>
        <v>720</v>
      </c>
      <c r="BG1228" s="431" t="str">
        <f>_xlfn.XLOOKUP(PV_DATA[[#This Row],[New Ark SKU]],Table9[New Ark SKU],Table9[Back Glass],,0)</f>
        <v>Transparent</v>
      </c>
      <c r="BH1228" s="431" t="str">
        <f>_xlfn.XLOOKUP(PV_DATA[[#This Row],[PORT DESTINATION]],Table12[PORT DESTINATION],Table12[Cosco Line],,0)</f>
        <v>n/a</v>
      </c>
    </row>
    <row r="1229" spans="1:62" s="431" customFormat="1" ht="10.5" hidden="1">
      <c r="A1229" s="439" t="s">
        <v>7506</v>
      </c>
      <c r="B1229" s="439" t="s">
        <v>111</v>
      </c>
      <c r="C1229" s="439" t="str">
        <f>IFERROR(LEFT(PV_DATA[[#This Row],[TCL REFERENCE]],FIND(".",PV_DATA[[#This Row],[TCL REFERENCE]],1)-1),"Main Line")</f>
        <v>Main Line</v>
      </c>
      <c r="D1229" s="439" t="s">
        <v>63</v>
      </c>
      <c r="E1229" s="439" t="s">
        <v>68</v>
      </c>
      <c r="F1229" s="439" t="str" cm="1">
        <f t="array" ref="F1229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29" s="439" t="s">
        <v>68</v>
      </c>
      <c r="H1229" s="439" t="s">
        <v>68</v>
      </c>
      <c r="I1229" s="439" t="s">
        <v>68</v>
      </c>
      <c r="J1229" s="431" t="s">
        <v>68</v>
      </c>
      <c r="M1229" s="430" t="s">
        <v>6325</v>
      </c>
      <c r="N1229" s="461">
        <v>46167</v>
      </c>
      <c r="O1229" s="431" t="s">
        <v>4540</v>
      </c>
      <c r="P1229" s="431" t="s">
        <v>4606</v>
      </c>
      <c r="Q1229" s="431" t="s">
        <v>4607</v>
      </c>
      <c r="R1229" s="430" t="str">
        <f>_xlfn.XLOOKUP(PV_DATA[[#This Row],[New Ark SKU]],Table9[New Ark SKU],Table9[Connector],,0)</f>
        <v>H4(Com)</v>
      </c>
      <c r="S1229" s="433" t="str">
        <f>_xlfn.XLOOKUP(PV_DATA[[#This Row],[New Ark SKU]],Table9[New Ark SKU],Table9[Cable],,0)</f>
        <v>+400mm/-200mm</v>
      </c>
      <c r="T1229" s="442">
        <v>630</v>
      </c>
      <c r="U1229" s="1067" cm="1">
        <f t="array" ref="U1229">56160-fx_qty</f>
        <v>0</v>
      </c>
      <c r="V1229" s="448">
        <f>PV_DATA[[#This Row],[QUANTITY]]*PV_DATA[[#This Row],[WATT]]/1000000</f>
        <v>0</v>
      </c>
      <c r="W1229" s="466">
        <f>PV_DATA[[#This Row],[QUANTITY]]/PV_DATA[[#This Row],[Qty/Pallet]]</f>
        <v>0</v>
      </c>
      <c r="X1229" s="1019">
        <f>PV_DATA[[#This Row],[QUANTITY]]/PV_DATA[[#This Row],[Qty/CT]]</f>
        <v>0</v>
      </c>
      <c r="Y1229" s="431" t="s">
        <v>7039</v>
      </c>
      <c r="Z1229" s="431" t="str">
        <f t="shared" si="36"/>
        <v/>
      </c>
      <c r="AB1229" s="441"/>
      <c r="AC1229" s="467" t="str">
        <f>IF(PV_DATA[[#This Row],[Pick-Up Date]]&lt;&gt;"",_xlfn.ISOWEEKNUM(PV_DATA[[#This Row],[Pick-Up Date]]),"")</f>
        <v/>
      </c>
      <c r="AF1229" s="431" t="s">
        <v>122</v>
      </c>
      <c r="AG1229" s="431" t="s">
        <v>123</v>
      </c>
      <c r="AH1229" s="431" t="s">
        <v>68</v>
      </c>
      <c r="AI1229" s="441"/>
      <c r="AJ1229" s="441"/>
      <c r="AK1229" s="437" t="str">
        <f>IFERROR(IF(VLOOKUP(AT1229,Vessel!A:F,5,FALSE)=0,"",VLOOKUP(AT1229,Vessel!A:F,5,FALSE)),"")</f>
        <v/>
      </c>
      <c r="AL1229" s="441"/>
      <c r="AM1229" s="441"/>
      <c r="AN1229" s="586" t="str">
        <f>IFERROR(IF(VLOOKUP(AT1229,Vessel!A:I,9,FALSE)=0,"",VLOOKUP(AT1229,Vessel!A:I,9,FALSE)),"")</f>
        <v/>
      </c>
      <c r="AR1229" s="619"/>
      <c r="AU1229" s="619"/>
      <c r="AV1229" s="441"/>
      <c r="AW1229" s="441" t="str" cm="1">
        <f t="array" ref="AW122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2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29" s="441" t="str">
        <f>IF(ISERROR(PV_DATA[[#This Row],[New Ark PO status]]),"",_xlfn.XLOOKUP(PV_DATA[[#This Row],[SPTN-PVHK New Ark PO'#]],New_Ark_Data[Purchase order Number],New_Ark_Data[Estimated time of arrival],"",0))</f>
        <v/>
      </c>
      <c r="AZ1229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29" s="441" t="str">
        <f>IFERROR(PV_DATA[[#This Row],[ODP ETA Port]]+PV_DATA[[#This Row],[Customs/Leg3 Assumption]],"n/a")</f>
        <v>n/a</v>
      </c>
      <c r="BB1229" s="442" t="e">
        <f>YEAR(PV_DATA[[#This Row],[ETA for New Ark update]])</f>
        <v>#VALUE!</v>
      </c>
      <c r="BC1229" s="431" t="e">
        <f>MONTH(PV_DATA[[#This Row],[ETA for New Ark update]])</f>
        <v>#VALUE!</v>
      </c>
      <c r="BD1229" s="431">
        <f>IFERROR(_xlfn.ISOWEEKNUM(PV_DATA[[#This Row],[ETA for New Ark update]]),0)</f>
        <v>0</v>
      </c>
      <c r="BE1229" s="431">
        <f>_xlfn.XLOOKUP(PV_DATA[[#This Row],[New Ark SKU]],Table9[New Ark SKU],Table9[Total PCS per Pallet],,0)</f>
        <v>36</v>
      </c>
      <c r="BF1229" s="431">
        <f>_xlfn.XLOOKUP(PV_DATA[[#This Row],[New Ark SKU]],Table9[New Ark SKU],Table9[Total PCS per 40HQ Container],,0)</f>
        <v>720</v>
      </c>
      <c r="BG1229" s="431" t="str">
        <f>_xlfn.XLOOKUP(PV_DATA[[#This Row],[New Ark SKU]],Table9[New Ark SKU],Table9[Back Glass],,0)</f>
        <v>Transparent</v>
      </c>
      <c r="BH1229" s="431" t="str">
        <f>_xlfn.XLOOKUP(PV_DATA[[#This Row],[PORT DESTINATION]],Table12[PORT DESTINATION],Table12[Cosco Line],,0)</f>
        <v>n/a</v>
      </c>
    </row>
    <row r="1230" spans="1:62" s="431" customFormat="1" ht="12.5" hidden="1">
      <c r="A1230" s="439" t="s">
        <v>5182</v>
      </c>
      <c r="B1230" s="439" t="s">
        <v>111</v>
      </c>
      <c r="C1230" s="439" t="str">
        <f>IFERROR(LEFT(PV_DATA[[#This Row],[TCL REFERENCE]],FIND(".",PV_DATA[[#This Row],[TCL REFERENCE]],1)-1),"Main Line")</f>
        <v>Main Line</v>
      </c>
      <c r="D1230" s="439" t="s">
        <v>63</v>
      </c>
      <c r="E1230" s="439" t="s">
        <v>68</v>
      </c>
      <c r="F1230" s="439" t="str" cm="1">
        <f t="array" ref="F1230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30" s="439" t="s">
        <v>68</v>
      </c>
      <c r="H1230" s="719" t="s">
        <v>68</v>
      </c>
      <c r="I1230" s="439" t="s">
        <v>68</v>
      </c>
      <c r="J1230" s="431" t="s">
        <v>68</v>
      </c>
      <c r="M1230" s="430" t="s">
        <v>6325</v>
      </c>
      <c r="N1230" s="461" t="s">
        <v>68</v>
      </c>
      <c r="O1230" s="431" t="s">
        <v>4540</v>
      </c>
      <c r="P1230" s="431" t="s">
        <v>5050</v>
      </c>
      <c r="Q1230" s="431" t="s">
        <v>1807</v>
      </c>
      <c r="R1230" s="430" t="str">
        <f>_xlfn.XLOOKUP(PV_DATA[[#This Row],[New Ark SKU]],Table9[New Ark SKU],Table9[Connector],,0)</f>
        <v>H4(Com)</v>
      </c>
      <c r="S1230" s="433" t="str">
        <f>_xlfn.XLOOKUP(PV_DATA[[#This Row],[New Ark SKU]],Table9[New Ark SKU],Table9[Cable],,0)</f>
        <v>+400mm/-200mm</v>
      </c>
      <c r="T1230" s="442">
        <v>720</v>
      </c>
      <c r="U1230" s="1067" cm="1">
        <f t="array" ref="U1230">35046-fx_qty</f>
        <v>0</v>
      </c>
      <c r="V1230" s="444">
        <f>PV_DATA[[#This Row],[QUANTITY]]*PV_DATA[[#This Row],[WATT]]/1000000</f>
        <v>0</v>
      </c>
      <c r="W1230" s="466">
        <f>PV_DATA[[#This Row],[QUANTITY]]/PV_DATA[[#This Row],[Qty/Pallet]]</f>
        <v>0</v>
      </c>
      <c r="X1230" s="1019">
        <f>PV_DATA[[#This Row],[QUANTITY]]/PV_DATA[[#This Row],[Qty/CT]]</f>
        <v>0</v>
      </c>
      <c r="Y1230" s="431" t="s">
        <v>7039</v>
      </c>
      <c r="Z1230" s="431" t="str">
        <f t="shared" si="36"/>
        <v/>
      </c>
      <c r="AA1230" s="1487"/>
      <c r="AB1230" s="441"/>
      <c r="AC1230" s="467" t="str">
        <f>IF(PV_DATA[[#This Row],[Pick-Up Date]]&lt;&gt;"",_xlfn.ISOWEEKNUM(PV_DATA[[#This Row],[Pick-Up Date]]),"")</f>
        <v/>
      </c>
      <c r="AD1230" s="466"/>
      <c r="AE1230" s="466"/>
      <c r="AF1230" s="431" t="s">
        <v>122</v>
      </c>
      <c r="AG1230" s="431" t="s">
        <v>123</v>
      </c>
      <c r="AH1230" s="431" t="s">
        <v>68</v>
      </c>
      <c r="AI1230" s="441"/>
      <c r="AJ1230" s="441"/>
      <c r="AK1230" s="437" t="str">
        <f>IFERROR(IF(VLOOKUP(AT1230,Vessel!A:F,5,FALSE)=0,"",VLOOKUP(AT1230,Vessel!A:F,5,FALSE)),"")</f>
        <v/>
      </c>
      <c r="AL1230" s="441"/>
      <c r="AM1230" s="441"/>
      <c r="AN1230" s="586" t="str">
        <f>IFERROR(IF(VLOOKUP(AT1230,Vessel!A:I,9,FALSE)=0,"",VLOOKUP(AT1230,Vessel!A:I,9,FALSE)),"")</f>
        <v/>
      </c>
      <c r="AR1230" s="619"/>
      <c r="AU1230" s="619"/>
      <c r="AV1230" s="441"/>
      <c r="AW1230" s="441" t="str" cm="1">
        <f t="array" ref="AW123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30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30" s="441" t="str">
        <f>IF(ISERROR(PV_DATA[[#This Row],[New Ark PO status]]),"",_xlfn.XLOOKUP(PV_DATA[[#This Row],[SPTN-PVHK New Ark PO'#]],New_Ark_Data[Purchase order Number],New_Ark_Data[Estimated time of arrival],"",0))</f>
        <v/>
      </c>
      <c r="AZ1230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30" s="441" t="str">
        <f>IFERROR(PV_DATA[[#This Row],[ODP ETA Port]]+PV_DATA[[#This Row],[Customs/Leg3 Assumption]],"n/a")</f>
        <v>n/a</v>
      </c>
      <c r="BB1230" s="442" t="e">
        <f>YEAR(PV_DATA[[#This Row],[ETA for New Ark update]])</f>
        <v>#VALUE!</v>
      </c>
      <c r="BC1230" s="431" t="e">
        <f>MONTH(PV_DATA[[#This Row],[ETA for New Ark update]])</f>
        <v>#VALUE!</v>
      </c>
      <c r="BD1230" s="431">
        <f>IFERROR(_xlfn.ISOWEEKNUM(PV_DATA[[#This Row],[ETA for New Ark update]]),0)</f>
        <v>0</v>
      </c>
      <c r="BE1230" s="431">
        <f>_xlfn.XLOOKUP(PV_DATA[[#This Row],[New Ark SKU]],Table9[New Ark SKU],Table9[Total PCS per Pallet],,0)</f>
        <v>33</v>
      </c>
      <c r="BF1230" s="431">
        <f>_xlfn.XLOOKUP(PV_DATA[[#This Row],[New Ark SKU]],Table9[New Ark SKU],Table9[Total PCS per 40HQ Container],,0)</f>
        <v>594</v>
      </c>
      <c r="BG1230" s="431" t="str">
        <f>_xlfn.XLOOKUP(PV_DATA[[#This Row],[New Ark SKU]],Table9[New Ark SKU],Table9[Back Glass],,0)</f>
        <v>Transparent</v>
      </c>
      <c r="BH1230" s="431" t="str">
        <f>_xlfn.XLOOKUP(PV_DATA[[#This Row],[PORT DESTINATION]],Table12[PORT DESTINATION],Table12[Cosco Line],,0)</f>
        <v>n/a</v>
      </c>
    </row>
    <row r="1231" spans="1:62" ht="10.5" hidden="1">
      <c r="A1231" s="439" t="s">
        <v>1976</v>
      </c>
      <c r="B1231" s="439" t="s">
        <v>111</v>
      </c>
      <c r="C1231" s="439" t="str">
        <f>IFERROR(LEFT(PV_DATA[[#This Row],[TCL REFERENCE]],FIND(".",PV_DATA[[#This Row],[TCL REFERENCE]],1)-1),"Main Line")</f>
        <v>Main Line</v>
      </c>
      <c r="D1231" s="439" t="s">
        <v>63</v>
      </c>
      <c r="E1231" s="439" t="s">
        <v>68</v>
      </c>
      <c r="F1231" s="439" t="str" cm="1">
        <f t="array" ref="F1231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31" s="439" t="s">
        <v>68</v>
      </c>
      <c r="H1231" s="439" t="s">
        <v>68</v>
      </c>
      <c r="I1231" s="439" t="s">
        <v>68</v>
      </c>
      <c r="J1231" s="431" t="s">
        <v>68</v>
      </c>
      <c r="K1231" s="431"/>
      <c r="L1231" s="431"/>
      <c r="M1231" s="430" t="s">
        <v>6325</v>
      </c>
      <c r="N1231" s="461">
        <v>46111</v>
      </c>
      <c r="O1231" s="431" t="s">
        <v>170</v>
      </c>
      <c r="P1231" s="431" t="s">
        <v>1977</v>
      </c>
      <c r="Q1231" s="431" t="s">
        <v>1978</v>
      </c>
      <c r="R1231" s="430" t="str">
        <f>_xlfn.XLOOKUP(PV_DATA[[#This Row],[New Ark SKU]],Table9[New Ark SKU],Table9[Connector],,0)</f>
        <v>EVO2A</v>
      </c>
      <c r="S1231" s="433" t="str">
        <f>_xlfn.XLOOKUP(PV_DATA[[#This Row],[New Ark SKU]],Table9[New Ark SKU],Table9[Cable],,0)</f>
        <v>±1400mm</v>
      </c>
      <c r="T1231" s="442">
        <v>560</v>
      </c>
      <c r="U1231" s="1067" cm="1">
        <f t="array" ref="U1231">13827-fx_qty</f>
        <v>0</v>
      </c>
      <c r="V1231" s="434">
        <f>PV_DATA[[#This Row],[QUANTITY]]*PV_DATA[[#This Row],[WATT]]/1000000</f>
        <v>0</v>
      </c>
      <c r="W1231" s="435">
        <f>PV_DATA[[#This Row],[QUANTITY]]/PV_DATA[[#This Row],[Qty/Pallet]]</f>
        <v>0</v>
      </c>
      <c r="X1231" s="1015">
        <f>PV_DATA[[#This Row],[QUANTITY]]/PV_DATA[[#This Row],[Qty/CT]]</f>
        <v>0</v>
      </c>
      <c r="Y1231" s="431" t="s">
        <v>7039</v>
      </c>
      <c r="Z1231" s="430" t="str">
        <f t="shared" si="36"/>
        <v/>
      </c>
      <c r="AA1231" s="431"/>
      <c r="AB1231" s="441"/>
      <c r="AC1231" s="445" t="str">
        <f>IF(PV_DATA[[#This Row],[Pick-Up Date]]&lt;&gt;"",_xlfn.ISOWEEKNUM(PV_DATA[[#This Row],[Pick-Up Date]]),"")</f>
        <v/>
      </c>
      <c r="AD1231" s="431"/>
      <c r="AE1231" s="431"/>
      <c r="AF1231" s="431" t="s">
        <v>122</v>
      </c>
      <c r="AG1231" s="431" t="s">
        <v>123</v>
      </c>
      <c r="AH1231" s="431" t="s">
        <v>68</v>
      </c>
      <c r="AI1231" s="441"/>
      <c r="AJ1231" s="441"/>
      <c r="AK1231" s="437" t="str">
        <f>IFERROR(IF(VLOOKUP(AT1231,Vessel!A:F,5,FALSE)=0,"",VLOOKUP(AT1231,Vessel!A:F,5,FALSE)),"")</f>
        <v/>
      </c>
      <c r="AL1231" s="441"/>
      <c r="AM1231" s="441"/>
      <c r="AN1231" s="586" t="str">
        <f>IFERROR(IF(VLOOKUP(AT1231,Vessel!A:I,9,FALSE)=0,"",VLOOKUP(AT1231,Vessel!A:I,9,FALSE)),"")</f>
        <v/>
      </c>
      <c r="AO1231" s="431"/>
      <c r="AP1231" s="431"/>
      <c r="AQ1231" s="431"/>
      <c r="AR1231" s="619"/>
      <c r="AS1231" s="431"/>
      <c r="AT1231" s="431"/>
      <c r="AU1231" s="619"/>
      <c r="AV1231" s="431"/>
      <c r="AW1231" s="441" t="str" cm="1">
        <f t="array" ref="AW123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3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31" s="441" t="str">
        <f>IF(ISERROR(PV_DATA[[#This Row],[New Ark PO status]]),"",_xlfn.XLOOKUP(PV_DATA[[#This Row],[SPTN-PVHK New Ark PO'#]],New_Ark_Data[Purchase order Number],New_Ark_Data[Estimated time of arrival],"",0))</f>
        <v/>
      </c>
      <c r="AZ1231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31" s="437" t="str">
        <f>IFERROR(PV_DATA[[#This Row],[ODP ETA Port]]+PV_DATA[[#This Row],[Customs/Leg3 Assumption]],"n/a")</f>
        <v>n/a</v>
      </c>
      <c r="BB1231" s="442" t="e">
        <f>YEAR(PV_DATA[[#This Row],[ETA for New Ark update]])</f>
        <v>#VALUE!</v>
      </c>
      <c r="BC1231" s="431" t="e">
        <f>MONTH(PV_DATA[[#This Row],[ETA for New Ark update]])</f>
        <v>#VALUE!</v>
      </c>
      <c r="BD1231" s="431">
        <f>IFERROR(_xlfn.ISOWEEKNUM(PV_DATA[[#This Row],[ETA for New Ark update]]),0)</f>
        <v>0</v>
      </c>
      <c r="BE1231" s="431">
        <f>_xlfn.XLOOKUP(PV_DATA[[#This Row],[New Ark SKU]],Table9[New Ark SKU],Table9[Total PCS per Pallet],,0)</f>
        <v>33</v>
      </c>
      <c r="BF1231" s="431">
        <f>_xlfn.XLOOKUP(PV_DATA[[#This Row],[New Ark SKU]],Table9[New Ark SKU],Table9[Total PCS per 40HQ Container],,0)</f>
        <v>660</v>
      </c>
      <c r="BG1231" s="431" t="str">
        <f>_xlfn.XLOOKUP(PV_DATA[[#This Row],[New Ark SKU]],Table9[New Ark SKU],Table9[Back Glass],,0)</f>
        <v>White glazing</v>
      </c>
      <c r="BH1231" s="431" t="str">
        <f>_xlfn.XLOOKUP(PV_DATA[[#This Row],[PORT DESTINATION]],Table12[PORT DESTINATION],Table12[Cosco Line],,0)</f>
        <v>n/a</v>
      </c>
      <c r="BJ1231" s="430"/>
    </row>
    <row r="1232" spans="1:62" ht="10.5" hidden="1">
      <c r="A1232" s="439" t="s">
        <v>7507</v>
      </c>
      <c r="B1232" s="439" t="s">
        <v>2132</v>
      </c>
      <c r="C1232" s="439" t="str">
        <f>IFERROR(LEFT(PV_DATA[[#This Row],[TCL REFERENCE]],FIND(".",PV_DATA[[#This Row],[TCL REFERENCE]],1)-1),"Main Line")</f>
        <v>Main Line</v>
      </c>
      <c r="D1232" s="439" t="s">
        <v>63</v>
      </c>
      <c r="E1232" s="439" t="s">
        <v>68</v>
      </c>
      <c r="F1232" s="439" t="str" cm="1">
        <f t="array" ref="F1232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32" s="439" t="s">
        <v>68</v>
      </c>
      <c r="H1232" s="439" t="s">
        <v>68</v>
      </c>
      <c r="I1232" s="439" t="s">
        <v>68</v>
      </c>
      <c r="J1232" s="431" t="s">
        <v>68</v>
      </c>
      <c r="K1232" s="431"/>
      <c r="L1232" s="431"/>
      <c r="M1232" s="430" t="s">
        <v>6325</v>
      </c>
      <c r="N1232" s="461">
        <v>46146</v>
      </c>
      <c r="O1232" s="431" t="s">
        <v>170</v>
      </c>
      <c r="P1232" s="430" t="s">
        <v>171</v>
      </c>
      <c r="Q1232" s="431" t="s">
        <v>1731</v>
      </c>
      <c r="R1232" s="430" t="str">
        <f>_xlfn.XLOOKUP(PV_DATA[[#This Row],[New Ark SKU]],Table9[New Ark SKU],Table9[Connector],,0)</f>
        <v>EVO2A</v>
      </c>
      <c r="S1232" s="433" t="str">
        <f>_xlfn.XLOOKUP(PV_DATA[[#This Row],[New Ark SKU]],Table9[New Ark SKU],Table9[Cable],,0)</f>
        <v>±1400mm</v>
      </c>
      <c r="T1232" s="442">
        <v>555</v>
      </c>
      <c r="U1232" s="1067" cm="1">
        <f t="array" ref="U1232">9900-fx_qty</f>
        <v>0</v>
      </c>
      <c r="V1232" s="434">
        <f>PV_DATA[[#This Row],[QUANTITY]]*PV_DATA[[#This Row],[WATT]]/1000000</f>
        <v>0</v>
      </c>
      <c r="W1232" s="435">
        <f>PV_DATA[[#This Row],[QUANTITY]]/PV_DATA[[#This Row],[Qty/Pallet]]</f>
        <v>0</v>
      </c>
      <c r="X1232" s="1015">
        <f>PV_DATA[[#This Row],[QUANTITY]]/PV_DATA[[#This Row],[Qty/CT]]</f>
        <v>0</v>
      </c>
      <c r="Y1232" s="431" t="s">
        <v>7039</v>
      </c>
      <c r="Z1232" s="430" t="str">
        <f t="shared" si="36"/>
        <v/>
      </c>
      <c r="AA1232" s="431"/>
      <c r="AB1232" s="441"/>
      <c r="AC1232" s="467" t="str">
        <f>IF(PV_DATA[[#This Row],[Pick-Up Date]]&lt;&gt;"",_xlfn.ISOWEEKNUM(PV_DATA[[#This Row],[Pick-Up Date]]),"")</f>
        <v/>
      </c>
      <c r="AD1232" s="431"/>
      <c r="AE1232" s="431"/>
      <c r="AF1232" s="431" t="s">
        <v>123</v>
      </c>
      <c r="AG1232" s="431" t="s">
        <v>123</v>
      </c>
      <c r="AH1232" s="431" t="s">
        <v>68</v>
      </c>
      <c r="AI1232" s="441"/>
      <c r="AJ1232" s="441"/>
      <c r="AK1232" s="437" t="str">
        <f>IFERROR(IF(VLOOKUP(AT1232,Vessel!A:F,5,FALSE)=0,"",VLOOKUP(AT1232,Vessel!A:F,5,FALSE)),"")</f>
        <v/>
      </c>
      <c r="AL1232" s="441"/>
      <c r="AM1232" s="441"/>
      <c r="AN1232" s="586" t="str">
        <f>IFERROR(IF(VLOOKUP(AT1232,Vessel!A:I,9,FALSE)=0,"",VLOOKUP(AT1232,Vessel!A:I,9,FALSE)),"")</f>
        <v/>
      </c>
      <c r="AO1232" s="431"/>
      <c r="AP1232" s="431"/>
      <c r="AQ1232" s="431"/>
      <c r="AR1232" s="619"/>
      <c r="AS1232" s="431"/>
      <c r="AT1232" s="431"/>
      <c r="AU1232" s="619"/>
      <c r="AV1232" s="441"/>
      <c r="AW1232" s="441" t="str" cm="1">
        <f t="array" ref="AW123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3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32" s="441" t="str">
        <f>IF(ISERROR(PV_DATA[[#This Row],[New Ark PO status]]),"",_xlfn.XLOOKUP(PV_DATA[[#This Row],[SPTN-PVHK New Ark PO'#]],New_Ark_Data[Purchase order Number],New_Ark_Data[Estimated time of arrival],"",0))</f>
        <v/>
      </c>
      <c r="AZ1232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32" s="437" t="str">
        <f>IFERROR(PV_DATA[[#This Row],[ODP ETA Port]]+PV_DATA[[#This Row],[Customs/Leg3 Assumption]],"n/a")</f>
        <v>n/a</v>
      </c>
      <c r="BB1232" s="442" t="e">
        <f>YEAR(PV_DATA[[#This Row],[ETA for New Ark update]])</f>
        <v>#VALUE!</v>
      </c>
      <c r="BC1232" s="431" t="e">
        <f>MONTH(PV_DATA[[#This Row],[ETA for New Ark update]])</f>
        <v>#VALUE!</v>
      </c>
      <c r="BD1232" s="431">
        <f>IFERROR(_xlfn.ISOWEEKNUM(PV_DATA[[#This Row],[ETA for New Ark update]]),0)</f>
        <v>0</v>
      </c>
      <c r="BE1232" s="431">
        <f>_xlfn.XLOOKUP(PV_DATA[[#This Row],[New Ark SKU]],Table9[New Ark SKU],Table9[Total PCS per Pallet],,0)</f>
        <v>33</v>
      </c>
      <c r="BF1232" s="431">
        <f>_xlfn.XLOOKUP(PV_DATA[[#This Row],[New Ark SKU]],Table9[New Ark SKU],Table9[Total PCS per 40HQ Container],,0)</f>
        <v>660</v>
      </c>
      <c r="BG1232" s="431" t="str">
        <f>_xlfn.XLOOKUP(PV_DATA[[#This Row],[New Ark SKU]],Table9[New Ark SKU],Table9[Back Glass],,0)</f>
        <v>White glazing</v>
      </c>
      <c r="BH1232" s="431" t="str">
        <f>_xlfn.XLOOKUP(PV_DATA[[#This Row],[PORT DESTINATION]],Table12[PORT DESTINATION],Table12[Cosco Line],,0)</f>
        <v>n/a</v>
      </c>
      <c r="BJ1232" s="430"/>
    </row>
    <row r="1233" spans="1:62" ht="10.5" hidden="1">
      <c r="A1233" s="439" t="s">
        <v>2438</v>
      </c>
      <c r="B1233" s="439" t="s">
        <v>2132</v>
      </c>
      <c r="C1233" s="439" t="str">
        <f>IFERROR(LEFT(PV_DATA[[#This Row],[TCL REFERENCE]],FIND(".",PV_DATA[[#This Row],[TCL REFERENCE]],1)-1),"Main Line")</f>
        <v>Main Line</v>
      </c>
      <c r="D1233" s="439" t="s">
        <v>63</v>
      </c>
      <c r="E1233" s="439" t="s">
        <v>68</v>
      </c>
      <c r="F1233" s="439" t="str" cm="1">
        <f t="array" ref="F1233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33" s="439" t="s">
        <v>68</v>
      </c>
      <c r="H1233" s="439" t="s">
        <v>68</v>
      </c>
      <c r="I1233" s="439" t="s">
        <v>68</v>
      </c>
      <c r="J1233" s="431" t="s">
        <v>68</v>
      </c>
      <c r="K1233" s="431"/>
      <c r="L1233" s="431"/>
      <c r="M1233" s="430" t="s">
        <v>6325</v>
      </c>
      <c r="N1233" s="461">
        <v>46146</v>
      </c>
      <c r="O1233" s="431" t="s">
        <v>170</v>
      </c>
      <c r="P1233" s="430" t="s">
        <v>1977</v>
      </c>
      <c r="Q1233" s="431" t="s">
        <v>1978</v>
      </c>
      <c r="R1233" s="430" t="str">
        <f>_xlfn.XLOOKUP(PV_DATA[[#This Row],[New Ark SKU]],Table9[New Ark SKU],Table9[Connector],,0)</f>
        <v>EVO2A</v>
      </c>
      <c r="S1233" s="433" t="str">
        <f>_xlfn.XLOOKUP(PV_DATA[[#This Row],[New Ark SKU]],Table9[New Ark SKU],Table9[Cable],,0)</f>
        <v>±1400mm</v>
      </c>
      <c r="T1233" s="442">
        <v>560</v>
      </c>
      <c r="U1233" s="1067" cm="1">
        <f t="array" ref="U1233">26400-fx_qty</f>
        <v>0</v>
      </c>
      <c r="V1233" s="434">
        <f>PV_DATA[[#This Row],[QUANTITY]]*PV_DATA[[#This Row],[WATT]]/1000000</f>
        <v>0</v>
      </c>
      <c r="W1233" s="435">
        <f>PV_DATA[[#This Row],[QUANTITY]]/PV_DATA[[#This Row],[Qty/Pallet]]</f>
        <v>0</v>
      </c>
      <c r="X1233" s="1015">
        <f>PV_DATA[[#This Row],[QUANTITY]]/PV_DATA[[#This Row],[Qty/CT]]</f>
        <v>0</v>
      </c>
      <c r="Y1233" s="431" t="s">
        <v>7039</v>
      </c>
      <c r="Z1233" s="430" t="str">
        <f t="shared" si="36"/>
        <v/>
      </c>
      <c r="AA1233" s="431"/>
      <c r="AB1233" s="441"/>
      <c r="AC1233" s="467" t="str">
        <f>IF(PV_DATA[[#This Row],[Pick-Up Date]]&lt;&gt;"",_xlfn.ISOWEEKNUM(PV_DATA[[#This Row],[Pick-Up Date]]),"")</f>
        <v/>
      </c>
      <c r="AD1233" s="431"/>
      <c r="AE1233" s="431"/>
      <c r="AF1233" s="431" t="s">
        <v>123</v>
      </c>
      <c r="AG1233" s="431" t="s">
        <v>123</v>
      </c>
      <c r="AH1233" s="431" t="s">
        <v>68</v>
      </c>
      <c r="AI1233" s="441"/>
      <c r="AJ1233" s="441"/>
      <c r="AK1233" s="437" t="str">
        <f>IFERROR(IF(VLOOKUP(AT1233,Vessel!A:F,5,FALSE)=0,"",VLOOKUP(AT1233,Vessel!A:F,5,FALSE)),"")</f>
        <v/>
      </c>
      <c r="AL1233" s="441"/>
      <c r="AM1233" s="441"/>
      <c r="AN1233" s="586" t="str">
        <f>IFERROR(IF(VLOOKUP(AT1233,Vessel!A:I,9,FALSE)=0,"",VLOOKUP(AT1233,Vessel!A:I,9,FALSE)),"")</f>
        <v/>
      </c>
      <c r="AO1233" s="431"/>
      <c r="AP1233" s="431"/>
      <c r="AQ1233" s="431"/>
      <c r="AR1233" s="619"/>
      <c r="AS1233" s="431"/>
      <c r="AT1233" s="431"/>
      <c r="AU1233" s="619"/>
      <c r="AV1233" s="441"/>
      <c r="AW1233" s="441" t="str" cm="1">
        <f t="array" ref="AW123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3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33" s="441" t="str">
        <f>IF(ISERROR(PV_DATA[[#This Row],[New Ark PO status]]),"",_xlfn.XLOOKUP(PV_DATA[[#This Row],[SPTN-PVHK New Ark PO'#]],New_Ark_Data[Purchase order Number],New_Ark_Data[Estimated time of arrival],"",0))</f>
        <v/>
      </c>
      <c r="AZ1233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33" s="437" t="str">
        <f>IFERROR(PV_DATA[[#This Row],[ODP ETA Port]]+PV_DATA[[#This Row],[Customs/Leg3 Assumption]],"n/a")</f>
        <v>n/a</v>
      </c>
      <c r="BB1233" s="442" t="e">
        <f>YEAR(PV_DATA[[#This Row],[ETA for New Ark update]])</f>
        <v>#VALUE!</v>
      </c>
      <c r="BC1233" s="431" t="e">
        <f>MONTH(PV_DATA[[#This Row],[ETA for New Ark update]])</f>
        <v>#VALUE!</v>
      </c>
      <c r="BD1233" s="431">
        <f>IFERROR(_xlfn.ISOWEEKNUM(PV_DATA[[#This Row],[ETA for New Ark update]]),0)</f>
        <v>0</v>
      </c>
      <c r="BE1233" s="431">
        <f>_xlfn.XLOOKUP(PV_DATA[[#This Row],[New Ark SKU]],Table9[New Ark SKU],Table9[Total PCS per Pallet],,0)</f>
        <v>33</v>
      </c>
      <c r="BF1233" s="431">
        <f>_xlfn.XLOOKUP(PV_DATA[[#This Row],[New Ark SKU]],Table9[New Ark SKU],Table9[Total PCS per 40HQ Container],,0)</f>
        <v>660</v>
      </c>
      <c r="BG1233" s="431" t="str">
        <f>_xlfn.XLOOKUP(PV_DATA[[#This Row],[New Ark SKU]],Table9[New Ark SKU],Table9[Back Glass],,0)</f>
        <v>White glazing</v>
      </c>
      <c r="BH1233" s="431" t="str">
        <f>_xlfn.XLOOKUP(PV_DATA[[#This Row],[PORT DESTINATION]],Table12[PORT DESTINATION],Table12[Cosco Line],,0)</f>
        <v>n/a</v>
      </c>
      <c r="BJ1233" s="430"/>
    </row>
    <row r="1234" spans="1:62" ht="10.5" hidden="1">
      <c r="A1234" s="439" t="s">
        <v>7508</v>
      </c>
      <c r="B1234" s="439" t="s">
        <v>111</v>
      </c>
      <c r="C1234" s="439" t="str">
        <f>IFERROR(LEFT(PV_DATA[[#This Row],[TCL REFERENCE]],FIND(".",PV_DATA[[#This Row],[TCL REFERENCE]],1)-1),"Main Line")</f>
        <v>Main Line</v>
      </c>
      <c r="D1234" s="439" t="s">
        <v>63</v>
      </c>
      <c r="E1234" s="439" t="s">
        <v>68</v>
      </c>
      <c r="F1234" s="439" t="str" cm="1">
        <f t="array" ref="F1234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34" s="439" t="s">
        <v>68</v>
      </c>
      <c r="H1234" s="439" t="s">
        <v>68</v>
      </c>
      <c r="I1234" s="439" t="s">
        <v>68</v>
      </c>
      <c r="J1234" s="431" t="s">
        <v>68</v>
      </c>
      <c r="K1234" s="431"/>
      <c r="L1234" s="431"/>
      <c r="M1234" s="430" t="s">
        <v>6325</v>
      </c>
      <c r="N1234" s="461">
        <v>46146</v>
      </c>
      <c r="O1234" s="431" t="s">
        <v>132</v>
      </c>
      <c r="P1234" s="430" t="s">
        <v>189</v>
      </c>
      <c r="Q1234" s="431" t="s">
        <v>190</v>
      </c>
      <c r="R1234" s="430" t="str">
        <f>_xlfn.XLOOKUP(PV_DATA[[#This Row],[New Ark SKU]],Table9[New Ark SKU],Table9[Connector],,0)</f>
        <v>EVO2A</v>
      </c>
      <c r="S1234" s="433" t="str">
        <f>_xlfn.XLOOKUP(PV_DATA[[#This Row],[New Ark SKU]],Table9[New Ark SKU],Table9[Cable],,0)</f>
        <v>±1200mm</v>
      </c>
      <c r="T1234" s="442">
        <v>465</v>
      </c>
      <c r="U1234" s="1067" cm="1">
        <f t="array" ref="U1234">8640-fx_qty</f>
        <v>0</v>
      </c>
      <c r="V1234" s="434">
        <f>PV_DATA[[#This Row],[QUANTITY]]*PV_DATA[[#This Row],[WATT]]/1000000</f>
        <v>0</v>
      </c>
      <c r="W1234" s="435">
        <f>PV_DATA[[#This Row],[QUANTITY]]/PV_DATA[[#This Row],[Qty/Pallet]]</f>
        <v>0</v>
      </c>
      <c r="X1234" s="1015">
        <f>PV_DATA[[#This Row],[QUANTITY]]/PV_DATA[[#This Row],[Qty/CT]]</f>
        <v>0</v>
      </c>
      <c r="Y1234" s="431" t="s">
        <v>7039</v>
      </c>
      <c r="Z1234" s="430" t="str">
        <f t="shared" si="36"/>
        <v/>
      </c>
      <c r="AA1234" s="431"/>
      <c r="AB1234" s="441"/>
      <c r="AC1234" s="467" t="str">
        <f>IF(PV_DATA[[#This Row],[Pick-Up Date]]&lt;&gt;"",_xlfn.ISOWEEKNUM(PV_DATA[[#This Row],[Pick-Up Date]]),"")</f>
        <v/>
      </c>
      <c r="AD1234" s="431"/>
      <c r="AE1234" s="431"/>
      <c r="AF1234" s="431" t="s">
        <v>123</v>
      </c>
      <c r="AG1234" s="431" t="s">
        <v>123</v>
      </c>
      <c r="AH1234" s="431" t="s">
        <v>68</v>
      </c>
      <c r="AI1234" s="441"/>
      <c r="AJ1234" s="441"/>
      <c r="AK1234" s="437" t="str">
        <f>IFERROR(IF(VLOOKUP(AT1234,Vessel!A:F,5,FALSE)=0,"",VLOOKUP(AT1234,Vessel!A:F,5,FALSE)),"")</f>
        <v/>
      </c>
      <c r="AL1234" s="441"/>
      <c r="AM1234" s="441"/>
      <c r="AN1234" s="586" t="str">
        <f>IFERROR(IF(VLOOKUP(AT1234,Vessel!A:I,9,FALSE)=0,"",VLOOKUP(AT1234,Vessel!A:I,9,FALSE)),"")</f>
        <v/>
      </c>
      <c r="AO1234" s="431"/>
      <c r="AP1234" s="431"/>
      <c r="AQ1234" s="431"/>
      <c r="AR1234" s="619"/>
      <c r="AS1234" s="431"/>
      <c r="AT1234" s="431"/>
      <c r="AU1234" s="619"/>
      <c r="AV1234" s="441"/>
      <c r="AW1234" s="441" t="str" cm="1">
        <f t="array" ref="AW123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3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34" s="441" t="str">
        <f>IF(ISERROR(PV_DATA[[#This Row],[New Ark PO status]]),"",_xlfn.XLOOKUP(PV_DATA[[#This Row],[SPTN-PVHK New Ark PO'#]],New_Ark_Data[Purchase order Number],New_Ark_Data[Estimated time of arrival],"",0))</f>
        <v/>
      </c>
      <c r="AZ1234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34" s="437" t="str">
        <f>IFERROR(PV_DATA[[#This Row],[ODP ETA Port]]+PV_DATA[[#This Row],[Customs/Leg3 Assumption]],"n/a")</f>
        <v>n/a</v>
      </c>
      <c r="BB1234" s="442" t="e">
        <f>YEAR(PV_DATA[[#This Row],[ETA for New Ark update]])</f>
        <v>#VALUE!</v>
      </c>
      <c r="BC1234" s="431" t="e">
        <f>MONTH(PV_DATA[[#This Row],[ETA for New Ark update]])</f>
        <v>#VALUE!</v>
      </c>
      <c r="BD1234" s="431">
        <f>IFERROR(_xlfn.ISOWEEKNUM(PV_DATA[[#This Row],[ETA for New Ark update]]),0)</f>
        <v>0</v>
      </c>
      <c r="BE1234" s="431">
        <f>_xlfn.XLOOKUP(PV_DATA[[#This Row],[New Ark SKU]],Table9[New Ark SKU],Table9[Total PCS per Pallet],,0)</f>
        <v>36</v>
      </c>
      <c r="BF1234" s="431">
        <f>_xlfn.XLOOKUP(PV_DATA[[#This Row],[New Ark SKU]],Table9[New Ark SKU],Table9[Total PCS per 40HQ Container],,0)</f>
        <v>864</v>
      </c>
      <c r="BG1234" s="431" t="str">
        <f>_xlfn.XLOOKUP(PV_DATA[[#This Row],[New Ark SKU]],Table9[New Ark SKU],Table9[Back Glass],,0)</f>
        <v>White glazing</v>
      </c>
      <c r="BH1234" s="431" t="str">
        <f>_xlfn.XLOOKUP(PV_DATA[[#This Row],[PORT DESTINATION]],Table12[PORT DESTINATION],Table12[Cosco Line],,0)</f>
        <v>n/a</v>
      </c>
      <c r="BJ1234" s="430"/>
    </row>
    <row r="1235" spans="1:62" ht="10.5" hidden="1">
      <c r="A1235" s="439" t="s">
        <v>2422</v>
      </c>
      <c r="B1235" s="439" t="s">
        <v>111</v>
      </c>
      <c r="C1235" s="439" t="str">
        <f>IFERROR(LEFT(PV_DATA[[#This Row],[TCL REFERENCE]],FIND(".",PV_DATA[[#This Row],[TCL REFERENCE]],1)-1),"Main Line")</f>
        <v>Main Line</v>
      </c>
      <c r="D1235" s="439" t="s">
        <v>63</v>
      </c>
      <c r="E1235" s="439" t="s">
        <v>68</v>
      </c>
      <c r="F1235" s="439" t="str" cm="1">
        <f t="array" ref="F1235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35" s="439" t="s">
        <v>68</v>
      </c>
      <c r="H1235" s="439" t="s">
        <v>68</v>
      </c>
      <c r="I1235" s="439" t="s">
        <v>68</v>
      </c>
      <c r="J1235" s="431" t="s">
        <v>68</v>
      </c>
      <c r="K1235" s="431"/>
      <c r="L1235" s="431"/>
      <c r="M1235" s="430" t="s">
        <v>6325</v>
      </c>
      <c r="N1235" s="461">
        <v>46146</v>
      </c>
      <c r="O1235" s="431" t="s">
        <v>132</v>
      </c>
      <c r="P1235" s="430" t="s">
        <v>1062</v>
      </c>
      <c r="Q1235" s="431" t="s">
        <v>1063</v>
      </c>
      <c r="R1235" s="430" t="str">
        <f>_xlfn.XLOOKUP(PV_DATA[[#This Row],[New Ark SKU]],Table9[New Ark SKU],Table9[Connector],,0)</f>
        <v>EVO2A</v>
      </c>
      <c r="S1235" s="433" t="str">
        <f>_xlfn.XLOOKUP(PV_DATA[[#This Row],[New Ark SKU]],Table9[New Ark SKU],Table9[Cable],,0)</f>
        <v>±1200mm</v>
      </c>
      <c r="T1235" s="442">
        <v>470</v>
      </c>
      <c r="U1235" s="1067" cm="1">
        <f t="array" ref="U1235">23328-fx_qty</f>
        <v>0</v>
      </c>
      <c r="V1235" s="434">
        <f>PV_DATA[[#This Row],[QUANTITY]]*PV_DATA[[#This Row],[WATT]]/1000000</f>
        <v>0</v>
      </c>
      <c r="W1235" s="435">
        <f>PV_DATA[[#This Row],[QUANTITY]]/PV_DATA[[#This Row],[Qty/Pallet]]</f>
        <v>0</v>
      </c>
      <c r="X1235" s="1015">
        <f>PV_DATA[[#This Row],[QUANTITY]]/PV_DATA[[#This Row],[Qty/CT]]</f>
        <v>0</v>
      </c>
      <c r="Y1235" s="431" t="s">
        <v>7039</v>
      </c>
      <c r="Z1235" s="430" t="str">
        <f t="shared" si="36"/>
        <v/>
      </c>
      <c r="AA1235" s="431"/>
      <c r="AB1235" s="441"/>
      <c r="AC1235" s="467" t="str">
        <f>IF(PV_DATA[[#This Row],[Pick-Up Date]]&lt;&gt;"",_xlfn.ISOWEEKNUM(PV_DATA[[#This Row],[Pick-Up Date]]),"")</f>
        <v/>
      </c>
      <c r="AD1235" s="431"/>
      <c r="AE1235" s="431"/>
      <c r="AF1235" s="431" t="s">
        <v>123</v>
      </c>
      <c r="AG1235" s="431" t="s">
        <v>123</v>
      </c>
      <c r="AH1235" s="431" t="s">
        <v>68</v>
      </c>
      <c r="AI1235" s="441"/>
      <c r="AJ1235" s="441"/>
      <c r="AK1235" s="437" t="str">
        <f>IFERROR(IF(VLOOKUP(AT1235,Vessel!A:F,5,FALSE)=0,"",VLOOKUP(AT1235,Vessel!A:F,5,FALSE)),"")</f>
        <v/>
      </c>
      <c r="AL1235" s="441"/>
      <c r="AM1235" s="441"/>
      <c r="AN1235" s="586" t="str">
        <f>IFERROR(IF(VLOOKUP(AT1235,Vessel!A:I,9,FALSE)=0,"",VLOOKUP(AT1235,Vessel!A:I,9,FALSE)),"")</f>
        <v/>
      </c>
      <c r="AO1235" s="431"/>
      <c r="AP1235" s="431"/>
      <c r="AQ1235" s="431"/>
      <c r="AR1235" s="619"/>
      <c r="AS1235" s="431"/>
      <c r="AT1235" s="431"/>
      <c r="AU1235" s="619"/>
      <c r="AV1235" s="441"/>
      <c r="AW1235" s="441" t="str" cm="1">
        <f t="array" ref="AW123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3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35" s="441" t="str">
        <f>IF(ISERROR(PV_DATA[[#This Row],[New Ark PO status]]),"",_xlfn.XLOOKUP(PV_DATA[[#This Row],[SPTN-PVHK New Ark PO'#]],New_Ark_Data[Purchase order Number],New_Ark_Data[Estimated time of arrival],"",0))</f>
        <v/>
      </c>
      <c r="AZ1235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35" s="437" t="str">
        <f>IFERROR(PV_DATA[[#This Row],[ODP ETA Port]]+PV_DATA[[#This Row],[Customs/Leg3 Assumption]],"n/a")</f>
        <v>n/a</v>
      </c>
      <c r="BB1235" s="442" t="e">
        <f>YEAR(PV_DATA[[#This Row],[ETA for New Ark update]])</f>
        <v>#VALUE!</v>
      </c>
      <c r="BC1235" s="431" t="e">
        <f>MONTH(PV_DATA[[#This Row],[ETA for New Ark update]])</f>
        <v>#VALUE!</v>
      </c>
      <c r="BD1235" s="431">
        <f>IFERROR(_xlfn.ISOWEEKNUM(PV_DATA[[#This Row],[ETA for New Ark update]]),0)</f>
        <v>0</v>
      </c>
      <c r="BE1235" s="431">
        <f>_xlfn.XLOOKUP(PV_DATA[[#This Row],[New Ark SKU]],Table9[New Ark SKU],Table9[Total PCS per Pallet],,0)</f>
        <v>36</v>
      </c>
      <c r="BF1235" s="431">
        <f>_xlfn.XLOOKUP(PV_DATA[[#This Row],[New Ark SKU]],Table9[New Ark SKU],Table9[Total PCS per 40HQ Container],,0)</f>
        <v>864</v>
      </c>
      <c r="BG1235" s="431" t="str">
        <f>_xlfn.XLOOKUP(PV_DATA[[#This Row],[New Ark SKU]],Table9[New Ark SKU],Table9[Back Glass],,0)</f>
        <v>White glazing</v>
      </c>
      <c r="BH1235" s="431" t="str">
        <f>_xlfn.XLOOKUP(PV_DATA[[#This Row],[PORT DESTINATION]],Table12[PORT DESTINATION],Table12[Cosco Line],,0)</f>
        <v>n/a</v>
      </c>
      <c r="BJ1235" s="430"/>
    </row>
    <row r="1236" spans="1:62" ht="10.5" hidden="1">
      <c r="A1236" s="439" t="s">
        <v>2286</v>
      </c>
      <c r="B1236" s="439" t="s">
        <v>61</v>
      </c>
      <c r="C1236" s="439" t="str">
        <f>IFERROR(LEFT(PV_DATA[[#This Row],[TCL REFERENCE]],FIND(".",PV_DATA[[#This Row],[TCL REFERENCE]],1)-1),"Main Line")</f>
        <v>Main Line</v>
      </c>
      <c r="D1236" s="439" t="s">
        <v>63</v>
      </c>
      <c r="E1236" s="439" t="s">
        <v>68</v>
      </c>
      <c r="F1236" s="439" t="str" cm="1">
        <f t="array" ref="F1236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36" s="439" t="s">
        <v>68</v>
      </c>
      <c r="H1236" s="439" t="s">
        <v>68</v>
      </c>
      <c r="I1236" s="439" t="s">
        <v>68</v>
      </c>
      <c r="J1236" s="431" t="s">
        <v>68</v>
      </c>
      <c r="K1236" s="431"/>
      <c r="L1236" s="431"/>
      <c r="M1236" s="430" t="s">
        <v>6325</v>
      </c>
      <c r="N1236" s="461">
        <v>46125</v>
      </c>
      <c r="O1236" s="431" t="s">
        <v>70</v>
      </c>
      <c r="P1236" s="430" t="s">
        <v>195</v>
      </c>
      <c r="Q1236" s="431" t="s">
        <v>196</v>
      </c>
      <c r="R1236" s="430" t="str">
        <f>_xlfn.XLOOKUP(PV_DATA[[#This Row],[New Ark SKU]],Table9[New Ark SKU],Table9[Connector],,0)</f>
        <v>EVO2A</v>
      </c>
      <c r="S1236" s="433" t="str">
        <f>_xlfn.XLOOKUP(PV_DATA[[#This Row],[New Ark SKU]],Table9[New Ark SKU],Table9[Cable],,0)</f>
        <v>±1200mm</v>
      </c>
      <c r="T1236" s="442">
        <v>450</v>
      </c>
      <c r="U1236" s="1067" cm="1">
        <f t="array" ref="U1236">17784-fx_qty</f>
        <v>0</v>
      </c>
      <c r="V1236" s="434">
        <f>PV_DATA[[#This Row],[QUANTITY]]*PV_DATA[[#This Row],[WATT]]/1000000</f>
        <v>0</v>
      </c>
      <c r="W1236" s="435">
        <f>PV_DATA[[#This Row],[QUANTITY]]/PV_DATA[[#This Row],[Qty/Pallet]]</f>
        <v>0</v>
      </c>
      <c r="X1236" s="1015">
        <f>PV_DATA[[#This Row],[QUANTITY]]/PV_DATA[[#This Row],[Qty/CT]]</f>
        <v>0</v>
      </c>
      <c r="Y1236" s="431" t="s">
        <v>7039</v>
      </c>
      <c r="Z1236" s="430" t="str">
        <f t="shared" si="36"/>
        <v/>
      </c>
      <c r="AA1236" s="431"/>
      <c r="AB1236" s="441"/>
      <c r="AC1236" s="467"/>
      <c r="AD1236" s="431"/>
      <c r="AE1236" s="431"/>
      <c r="AF1236" s="431" t="s">
        <v>77</v>
      </c>
      <c r="AG1236" s="431" t="s">
        <v>61</v>
      </c>
      <c r="AH1236" s="431" t="s">
        <v>68</v>
      </c>
      <c r="AI1236" s="441"/>
      <c r="AJ1236" s="441"/>
      <c r="AK1236" s="437" t="str">
        <f>IFERROR(IF(VLOOKUP(AT1236,Vessel!A:F,5,FALSE)=0,"",VLOOKUP(AT1236,Vessel!A:F,5,FALSE)),"")</f>
        <v/>
      </c>
      <c r="AL1236" s="441"/>
      <c r="AM1236" s="441"/>
      <c r="AN1236" s="586" t="str">
        <f>IFERROR(IF(VLOOKUP(AT1236,Vessel!A:I,9,FALSE)=0,"",VLOOKUP(AT1236,Vessel!A:I,9,FALSE)),"")</f>
        <v/>
      </c>
      <c r="AO1236" s="431"/>
      <c r="AP1236" s="431"/>
      <c r="AQ1236" s="431"/>
      <c r="AR1236" s="619"/>
      <c r="AS1236" s="431"/>
      <c r="AT1236" s="431"/>
      <c r="AU1236" s="619"/>
      <c r="AV1236" s="441"/>
      <c r="AW1236" s="441" t="str" cm="1">
        <f t="array" ref="AW123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3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36" s="441" t="str">
        <f>IF(ISERROR(PV_DATA[[#This Row],[New Ark PO status]]),"",_xlfn.XLOOKUP(PV_DATA[[#This Row],[SPTN-PVHK New Ark PO'#]],New_Ark_Data[Purchase order Number],New_Ark_Data[Estimated time of arrival],"",0))</f>
        <v/>
      </c>
      <c r="AZ1236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36" s="437" t="str">
        <f>IFERROR(PV_DATA[[#This Row],[ODP ETA Port]]+PV_DATA[[#This Row],[Customs/Leg3 Assumption]],"n/a")</f>
        <v>n/a</v>
      </c>
      <c r="BB1236" s="442" t="e">
        <f>YEAR(PV_DATA[[#This Row],[ETA for New Ark update]])</f>
        <v>#VALUE!</v>
      </c>
      <c r="BC1236" s="431" t="e">
        <f>MONTH(PV_DATA[[#This Row],[ETA for New Ark update]])</f>
        <v>#VALUE!</v>
      </c>
      <c r="BD1236" s="431">
        <f>IFERROR(_xlfn.ISOWEEKNUM(PV_DATA[[#This Row],[ETA for New Ark update]]),0)</f>
        <v>0</v>
      </c>
      <c r="BE1236" s="431">
        <f>_xlfn.XLOOKUP(PV_DATA[[#This Row],[New Ark SKU]],Table9[New Ark SKU],Table9[Total PCS per Pallet],,0)</f>
        <v>36</v>
      </c>
      <c r="BF1236" s="431">
        <f>_xlfn.XLOOKUP(PV_DATA[[#This Row],[New Ark SKU]],Table9[New Ark SKU],Table9[Total PCS per 40HQ Container],,0)</f>
        <v>936</v>
      </c>
      <c r="BG1236" s="431" t="str">
        <f>_xlfn.XLOOKUP(PV_DATA[[#This Row],[New Ark SKU]],Table9[New Ark SKU],Table9[Back Glass],,0)</f>
        <v>Black glazing</v>
      </c>
      <c r="BH1236" s="431" t="str">
        <f>_xlfn.XLOOKUP(PV_DATA[[#This Row],[PORT DESTINATION]],Table12[PORT DESTINATION],Table12[Cosco Line],,0)</f>
        <v>n/a</v>
      </c>
      <c r="BJ1236" s="430"/>
    </row>
    <row r="1237" spans="1:62" ht="10.5" hidden="1">
      <c r="A1237" s="439" t="s">
        <v>2268</v>
      </c>
      <c r="B1237" s="439" t="s">
        <v>61</v>
      </c>
      <c r="C1237" s="439" t="str">
        <f>IFERROR(LEFT(PV_DATA[[#This Row],[TCL REFERENCE]],FIND(".",PV_DATA[[#This Row],[TCL REFERENCE]],1)-1),"Main Line")</f>
        <v>Main Line</v>
      </c>
      <c r="D1237" s="439" t="s">
        <v>63</v>
      </c>
      <c r="E1237" s="439" t="s">
        <v>68</v>
      </c>
      <c r="F1237" s="439" t="str" cm="1">
        <f t="array" ref="F1237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37" s="439" t="s">
        <v>68</v>
      </c>
      <c r="H1237" s="439" t="s">
        <v>68</v>
      </c>
      <c r="I1237" s="439" t="s">
        <v>68</v>
      </c>
      <c r="J1237" s="431" t="s">
        <v>68</v>
      </c>
      <c r="K1237" s="431"/>
      <c r="L1237" s="431"/>
      <c r="M1237" s="430" t="s">
        <v>6325</v>
      </c>
      <c r="N1237" s="461" t="s">
        <v>68</v>
      </c>
      <c r="O1237" s="431" t="s">
        <v>70</v>
      </c>
      <c r="P1237" s="430" t="s">
        <v>71</v>
      </c>
      <c r="Q1237" s="431" t="s">
        <v>72</v>
      </c>
      <c r="R1237" s="430" t="str">
        <f>_xlfn.XLOOKUP(PV_DATA[[#This Row],[New Ark SKU]],Table9[New Ark SKU],Table9[Connector],,0)</f>
        <v>EVO2A</v>
      </c>
      <c r="S1237" s="433" t="str">
        <f>_xlfn.XLOOKUP(PV_DATA[[#This Row],[New Ark SKU]],Table9[New Ark SKU],Table9[Cable],,0)</f>
        <v>±1200mm</v>
      </c>
      <c r="T1237" s="442">
        <v>500</v>
      </c>
      <c r="U1237" s="1067" cm="1">
        <f t="array" ref="U1237">15552-fx_qty</f>
        <v>0</v>
      </c>
      <c r="V1237" s="434">
        <f>PV_DATA[[#This Row],[QUANTITY]]*PV_DATA[[#This Row],[WATT]]/1000000</f>
        <v>0</v>
      </c>
      <c r="W1237" s="435">
        <f>PV_DATA[[#This Row],[QUANTITY]]/PV_DATA[[#This Row],[Qty/Pallet]]</f>
        <v>0</v>
      </c>
      <c r="X1237" s="1015">
        <f>PV_DATA[[#This Row],[QUANTITY]]/PV_DATA[[#This Row],[Qty/CT]]</f>
        <v>0</v>
      </c>
      <c r="Y1237" s="431" t="s">
        <v>7039</v>
      </c>
      <c r="Z1237" s="430" t="str">
        <f t="shared" si="36"/>
        <v/>
      </c>
      <c r="AA1237" s="431"/>
      <c r="AB1237" s="441"/>
      <c r="AC1237" s="467" t="str">
        <f>IF(PV_DATA[[#This Row],[Pick-Up Date]]&lt;&gt;"",_xlfn.ISOWEEKNUM(PV_DATA[[#This Row],[Pick-Up Date]]),"")</f>
        <v/>
      </c>
      <c r="AD1237" s="431"/>
      <c r="AE1237" s="431"/>
      <c r="AF1237" s="431" t="s">
        <v>77</v>
      </c>
      <c r="AG1237" s="431" t="s">
        <v>61</v>
      </c>
      <c r="AH1237" s="431" t="s">
        <v>68</v>
      </c>
      <c r="AI1237" s="441"/>
      <c r="AJ1237" s="441"/>
      <c r="AK1237" s="437" t="str">
        <f>IFERROR(IF(VLOOKUP(AT1237,Vessel!A:F,5,FALSE)=0,"",VLOOKUP(AT1237,Vessel!A:F,5,FALSE)),"")</f>
        <v/>
      </c>
      <c r="AL1237" s="441"/>
      <c r="AM1237" s="441"/>
      <c r="AN1237" s="586" t="str">
        <f>IFERROR(IF(VLOOKUP(AT1237,Vessel!A:I,9,FALSE)=0,"",VLOOKUP(AT1237,Vessel!A:I,9,FALSE)),"")</f>
        <v/>
      </c>
      <c r="AO1237" s="431"/>
      <c r="AP1237" s="431"/>
      <c r="AQ1237" s="431"/>
      <c r="AR1237" s="619"/>
      <c r="AS1237" s="431"/>
      <c r="AT1237" s="431"/>
      <c r="AU1237" s="619"/>
      <c r="AV1237" s="441"/>
      <c r="AW1237" s="441" t="str" cm="1">
        <f t="array" ref="AW123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3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37" s="441" t="str">
        <f>IF(ISERROR(PV_DATA[[#This Row],[New Ark PO status]]),"",_xlfn.XLOOKUP(PV_DATA[[#This Row],[SPTN-PVHK New Ark PO'#]],New_Ark_Data[Purchase order Number],New_Ark_Data[Estimated time of arrival],"",0))</f>
        <v/>
      </c>
      <c r="AZ1237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37" s="437" t="str">
        <f>IFERROR(PV_DATA[[#This Row],[ODP ETA Port]]+PV_DATA[[#This Row],[Customs/Leg3 Assumption]],"n/a")</f>
        <v>n/a</v>
      </c>
      <c r="BB1237" s="442" t="e">
        <f>YEAR(PV_DATA[[#This Row],[ETA for New Ark update]])</f>
        <v>#VALUE!</v>
      </c>
      <c r="BC1237" s="431" t="e">
        <f>MONTH(PV_DATA[[#This Row],[ETA for New Ark update]])</f>
        <v>#VALUE!</v>
      </c>
      <c r="BD1237" s="431">
        <f>IFERROR(_xlfn.ISOWEEKNUM(PV_DATA[[#This Row],[ETA for New Ark update]]),0)</f>
        <v>0</v>
      </c>
      <c r="BE1237" s="431">
        <f>_xlfn.XLOOKUP(PV_DATA[[#This Row],[New Ark SKU]],Table9[New Ark SKU],Table9[Total PCS per Pallet],,0)</f>
        <v>36</v>
      </c>
      <c r="BF1237" s="431">
        <f>_xlfn.XLOOKUP(PV_DATA[[#This Row],[New Ark SKU]],Table9[New Ark SKU],Table9[Total PCS per 40HQ Container],,0)</f>
        <v>864</v>
      </c>
      <c r="BG1237" s="431" t="str">
        <f>_xlfn.XLOOKUP(PV_DATA[[#This Row],[New Ark SKU]],Table9[New Ark SKU],Table9[Back Glass],,0)</f>
        <v>Black glazing</v>
      </c>
      <c r="BH1237" s="431" t="str">
        <f>_xlfn.XLOOKUP(PV_DATA[[#This Row],[PORT DESTINATION]],Table12[PORT DESTINATION],Table12[Cosco Line],,0)</f>
        <v>n/a</v>
      </c>
      <c r="BJ1237" s="430"/>
    </row>
    <row r="1238" spans="1:62" ht="10.5" hidden="1">
      <c r="A1238" s="439" t="s">
        <v>2260</v>
      </c>
      <c r="B1238" s="439" t="s">
        <v>61</v>
      </c>
      <c r="C1238" s="439" t="str">
        <f>IFERROR(LEFT(PV_DATA[[#This Row],[TCL REFERENCE]],FIND(".",PV_DATA[[#This Row],[TCL REFERENCE]],1)-1),"Main Line")</f>
        <v>Main Line</v>
      </c>
      <c r="D1238" s="439" t="s">
        <v>63</v>
      </c>
      <c r="E1238" s="439" t="s">
        <v>68</v>
      </c>
      <c r="F1238" s="439" t="str" cm="1">
        <f t="array" ref="F1238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38" s="439" t="s">
        <v>68</v>
      </c>
      <c r="H1238" s="439" t="s">
        <v>68</v>
      </c>
      <c r="I1238" s="439" t="s">
        <v>68</v>
      </c>
      <c r="J1238" s="431" t="s">
        <v>68</v>
      </c>
      <c r="K1238" s="431"/>
      <c r="L1238" s="431"/>
      <c r="M1238" s="430" t="s">
        <v>6325</v>
      </c>
      <c r="N1238" s="461" t="s">
        <v>68</v>
      </c>
      <c r="O1238" s="431" t="s">
        <v>70</v>
      </c>
      <c r="P1238" s="430" t="s">
        <v>1151</v>
      </c>
      <c r="Q1238" s="431" t="s">
        <v>421</v>
      </c>
      <c r="R1238" s="430" t="str">
        <f>_xlfn.XLOOKUP(PV_DATA[[#This Row],[New Ark SKU]],Table9[New Ark SKU],Table9[Connector],,0)</f>
        <v>EVO2A</v>
      </c>
      <c r="S1238" s="433" t="str">
        <f>_xlfn.XLOOKUP(PV_DATA[[#This Row],[New Ark SKU]],Table9[New Ark SKU],Table9[Cable],,0)</f>
        <v>±1200mm</v>
      </c>
      <c r="T1238" s="442">
        <v>505</v>
      </c>
      <c r="U1238" s="1067" cm="1">
        <f t="array" ref="U1238">24192-fx_qty</f>
        <v>0</v>
      </c>
      <c r="V1238" s="434">
        <f>PV_DATA[[#This Row],[QUANTITY]]*PV_DATA[[#This Row],[WATT]]/1000000</f>
        <v>0</v>
      </c>
      <c r="W1238" s="435">
        <f>PV_DATA[[#This Row],[QUANTITY]]/PV_DATA[[#This Row],[Qty/Pallet]]</f>
        <v>0</v>
      </c>
      <c r="X1238" s="1015">
        <f>PV_DATA[[#This Row],[QUANTITY]]/PV_DATA[[#This Row],[Qty/CT]]</f>
        <v>0</v>
      </c>
      <c r="Y1238" s="431" t="s">
        <v>7039</v>
      </c>
      <c r="Z1238" s="430" t="str">
        <f t="shared" si="36"/>
        <v/>
      </c>
      <c r="AA1238" s="431"/>
      <c r="AB1238" s="441"/>
      <c r="AC1238" s="467" t="str">
        <f>IF(PV_DATA[[#This Row],[Pick-Up Date]]&lt;&gt;"",_xlfn.ISOWEEKNUM(PV_DATA[[#This Row],[Pick-Up Date]]),"")</f>
        <v/>
      </c>
      <c r="AD1238" s="431"/>
      <c r="AE1238" s="431"/>
      <c r="AF1238" s="431" t="s">
        <v>61</v>
      </c>
      <c r="AG1238" s="431" t="s">
        <v>61</v>
      </c>
      <c r="AH1238" s="431" t="s">
        <v>68</v>
      </c>
      <c r="AI1238" s="441"/>
      <c r="AJ1238" s="441"/>
      <c r="AK1238" s="437" t="str">
        <f>IFERROR(IF(VLOOKUP(AT1238,Vessel!A:F,5,FALSE)=0,"",VLOOKUP(AT1238,Vessel!A:F,5,FALSE)),"")</f>
        <v/>
      </c>
      <c r="AL1238" s="441"/>
      <c r="AM1238" s="441"/>
      <c r="AN1238" s="586" t="str">
        <f>IFERROR(IF(VLOOKUP(AT1238,Vessel!A:I,9,FALSE)=0,"",VLOOKUP(AT1238,Vessel!A:I,9,FALSE)),"")</f>
        <v/>
      </c>
      <c r="AO1238" s="431"/>
      <c r="AP1238" s="431"/>
      <c r="AQ1238" s="431"/>
      <c r="AR1238" s="619"/>
      <c r="AS1238" s="431"/>
      <c r="AT1238" s="431"/>
      <c r="AU1238" s="619"/>
      <c r="AV1238" s="441"/>
      <c r="AW1238" s="441" t="str" cm="1">
        <f t="array" ref="AW123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3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38" s="441" t="str">
        <f>IF(ISERROR(PV_DATA[[#This Row],[New Ark PO status]]),"",_xlfn.XLOOKUP(PV_DATA[[#This Row],[SPTN-PVHK New Ark PO'#]],New_Ark_Data[Purchase order Number],New_Ark_Data[Estimated time of arrival],"",0))</f>
        <v/>
      </c>
      <c r="AZ1238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38" s="437" t="str">
        <f>IFERROR(PV_DATA[[#This Row],[ODP ETA Port]]+PV_DATA[[#This Row],[Customs/Leg3 Assumption]],"n/a")</f>
        <v>n/a</v>
      </c>
      <c r="BB1238" s="442" t="e">
        <f>YEAR(PV_DATA[[#This Row],[ETA for New Ark update]])</f>
        <v>#VALUE!</v>
      </c>
      <c r="BC1238" s="431" t="e">
        <f>MONTH(PV_DATA[[#This Row],[ETA for New Ark update]])</f>
        <v>#VALUE!</v>
      </c>
      <c r="BD1238" s="431">
        <f>IFERROR(_xlfn.ISOWEEKNUM(PV_DATA[[#This Row],[ETA for New Ark update]]),0)</f>
        <v>0</v>
      </c>
      <c r="BE1238" s="431">
        <f>_xlfn.XLOOKUP(PV_DATA[[#This Row],[New Ark SKU]],Table9[New Ark SKU],Table9[Total PCS per Pallet],,0)</f>
        <v>36</v>
      </c>
      <c r="BF1238" s="431">
        <f>_xlfn.XLOOKUP(PV_DATA[[#This Row],[New Ark SKU]],Table9[New Ark SKU],Table9[Total PCS per 40HQ Container],,0)</f>
        <v>864</v>
      </c>
      <c r="BG1238" s="431" t="str">
        <f>_xlfn.XLOOKUP(PV_DATA[[#This Row],[New Ark SKU]],Table9[New Ark SKU],Table9[Back Glass],,0)</f>
        <v>Black glazing</v>
      </c>
      <c r="BH1238" s="431" t="str">
        <f>_xlfn.XLOOKUP(PV_DATA[[#This Row],[PORT DESTINATION]],Table12[PORT DESTINATION],Table12[Cosco Line],,0)</f>
        <v>n/a</v>
      </c>
      <c r="BJ1238" s="430"/>
    </row>
    <row r="1239" spans="1:62" ht="10.5" hidden="1">
      <c r="A1239" s="439" t="s">
        <v>4743</v>
      </c>
      <c r="B1239" s="439" t="s">
        <v>2132</v>
      </c>
      <c r="C1239" s="439" t="str">
        <f>IFERROR(LEFT(PV_DATA[[#This Row],[TCL REFERENCE]],FIND(".",PV_DATA[[#This Row],[TCL REFERENCE]],1)-1),"Main Line")</f>
        <v>Main Line</v>
      </c>
      <c r="D1239" s="439" t="s">
        <v>63</v>
      </c>
      <c r="E1239" s="439" t="s">
        <v>68</v>
      </c>
      <c r="F1239" s="439" t="str" cm="1">
        <f t="array" ref="F1239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39" s="439" t="s">
        <v>68</v>
      </c>
      <c r="H1239" s="439" t="s">
        <v>68</v>
      </c>
      <c r="I1239" s="439" t="s">
        <v>68</v>
      </c>
      <c r="J1239" s="431" t="s">
        <v>68</v>
      </c>
      <c r="K1239" s="431"/>
      <c r="L1239" s="431"/>
      <c r="M1239" s="430" t="s">
        <v>6325</v>
      </c>
      <c r="N1239" s="461">
        <v>46160</v>
      </c>
      <c r="O1239" s="431" t="s">
        <v>170</v>
      </c>
      <c r="P1239" s="431" t="s">
        <v>171</v>
      </c>
      <c r="Q1239" s="431" t="s">
        <v>1731</v>
      </c>
      <c r="R1239" s="430" t="str">
        <f>_xlfn.XLOOKUP(PV_DATA[[#This Row],[New Ark SKU]],Table9[New Ark SKU],Table9[Connector],,0)</f>
        <v>EVO2A</v>
      </c>
      <c r="S1239" s="433" t="str">
        <f>_xlfn.XLOOKUP(PV_DATA[[#This Row],[New Ark SKU]],Table9[New Ark SKU],Table9[Cable],,0)</f>
        <v>±1400mm</v>
      </c>
      <c r="T1239" s="442">
        <v>555</v>
      </c>
      <c r="U1239" s="1067" cm="1">
        <f t="array" ref="U1239">7920-fx_qty</f>
        <v>0</v>
      </c>
      <c r="V1239" s="434">
        <f>PV_DATA[[#This Row],[QUANTITY]]*PV_DATA[[#This Row],[WATT]]/1000000</f>
        <v>0</v>
      </c>
      <c r="W1239" s="435">
        <f>PV_DATA[[#This Row],[QUANTITY]]/PV_DATA[[#This Row],[Qty/Pallet]]</f>
        <v>0</v>
      </c>
      <c r="X1239" s="1015">
        <f>PV_DATA[[#This Row],[QUANTITY]]/PV_DATA[[#This Row],[Qty/CT]]</f>
        <v>0</v>
      </c>
      <c r="Y1239" s="431" t="s">
        <v>7039</v>
      </c>
      <c r="Z1239" s="430" t="str">
        <f t="shared" si="36"/>
        <v/>
      </c>
      <c r="AA1239" s="431"/>
      <c r="AB1239" s="441"/>
      <c r="AC1239" s="467" t="str">
        <f>IF(PV_DATA[[#This Row],[Pick-Up Date]]&lt;&gt;"",_xlfn.ISOWEEKNUM(PV_DATA[[#This Row],[Pick-Up Date]]),"")</f>
        <v/>
      </c>
      <c r="AD1239" s="431"/>
      <c r="AE1239" s="431"/>
      <c r="AF1239" s="431" t="s">
        <v>123</v>
      </c>
      <c r="AG1239" s="431" t="s">
        <v>123</v>
      </c>
      <c r="AH1239" s="431" t="s">
        <v>68</v>
      </c>
      <c r="AI1239" s="441"/>
      <c r="AJ1239" s="441"/>
      <c r="AK1239" s="437" t="str">
        <f>IFERROR(IF(VLOOKUP(AT1239,Vessel!A:F,5,FALSE)=0,"",VLOOKUP(AT1239,Vessel!A:F,5,FALSE)),"")</f>
        <v/>
      </c>
      <c r="AL1239" s="441"/>
      <c r="AM1239" s="441"/>
      <c r="AN1239" s="586" t="str">
        <f>IFERROR(IF(VLOOKUP(AT1239,Vessel!A:I,9,FALSE)=0,"",VLOOKUP(AT1239,Vessel!A:I,9,FALSE)),"")</f>
        <v/>
      </c>
      <c r="AO1239" s="431"/>
      <c r="AP1239" s="431"/>
      <c r="AQ1239" s="431"/>
      <c r="AR1239" s="619"/>
      <c r="AS1239" s="431"/>
      <c r="AT1239" s="431"/>
      <c r="AU1239" s="619"/>
      <c r="AV1239" s="441"/>
      <c r="AW1239" s="441" t="str" cm="1">
        <f t="array" ref="AW123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3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39" s="441" t="str">
        <f>IF(ISERROR(PV_DATA[[#This Row],[New Ark PO status]]),"",_xlfn.XLOOKUP(PV_DATA[[#This Row],[SPTN-PVHK New Ark PO'#]],New_Ark_Data[Purchase order Number],New_Ark_Data[Estimated time of arrival],"",0))</f>
        <v/>
      </c>
      <c r="AZ1239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39" s="437" t="str">
        <f>IFERROR(PV_DATA[[#This Row],[ODP ETA Port]]+PV_DATA[[#This Row],[Customs/Leg3 Assumption]],"n/a")</f>
        <v>n/a</v>
      </c>
      <c r="BB1239" s="442" t="e">
        <f>YEAR(PV_DATA[[#This Row],[ETA for New Ark update]])</f>
        <v>#VALUE!</v>
      </c>
      <c r="BC1239" s="431" t="e">
        <f>MONTH(PV_DATA[[#This Row],[ETA for New Ark update]])</f>
        <v>#VALUE!</v>
      </c>
      <c r="BD1239" s="431">
        <f>IFERROR(_xlfn.ISOWEEKNUM(PV_DATA[[#This Row],[ETA for New Ark update]]),0)</f>
        <v>0</v>
      </c>
      <c r="BE1239" s="431">
        <f>_xlfn.XLOOKUP(PV_DATA[[#This Row],[New Ark SKU]],Table9[New Ark SKU],Table9[Total PCS per Pallet],,0)</f>
        <v>33</v>
      </c>
      <c r="BF1239" s="431">
        <f>_xlfn.XLOOKUP(PV_DATA[[#This Row],[New Ark SKU]],Table9[New Ark SKU],Table9[Total PCS per 40HQ Container],,0)</f>
        <v>660</v>
      </c>
      <c r="BG1239" s="431" t="str">
        <f>_xlfn.XLOOKUP(PV_DATA[[#This Row],[New Ark SKU]],Table9[New Ark SKU],Table9[Back Glass],,0)</f>
        <v>White glazing</v>
      </c>
      <c r="BH1239" s="431" t="str">
        <f>_xlfn.XLOOKUP(PV_DATA[[#This Row],[PORT DESTINATION]],Table12[PORT DESTINATION],Table12[Cosco Line],,0)</f>
        <v>n/a</v>
      </c>
      <c r="BJ1239" s="430"/>
    </row>
    <row r="1240" spans="1:62" ht="10.5" hidden="1">
      <c r="A1240" s="439" t="s">
        <v>7509</v>
      </c>
      <c r="B1240" s="439" t="s">
        <v>2132</v>
      </c>
      <c r="C1240" s="439" t="str">
        <f>IFERROR(LEFT(PV_DATA[[#This Row],[TCL REFERENCE]],FIND(".",PV_DATA[[#This Row],[TCL REFERENCE]],1)-1),"Main Line")</f>
        <v>Main Line</v>
      </c>
      <c r="D1240" s="439" t="s">
        <v>63</v>
      </c>
      <c r="E1240" s="439" t="s">
        <v>68</v>
      </c>
      <c r="F1240" s="439" t="str" cm="1">
        <f t="array" ref="F1240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40" s="439" t="s">
        <v>68</v>
      </c>
      <c r="H1240" s="439" t="s">
        <v>68</v>
      </c>
      <c r="I1240" s="439" t="s">
        <v>68</v>
      </c>
      <c r="J1240" s="431" t="s">
        <v>68</v>
      </c>
      <c r="K1240" s="431"/>
      <c r="L1240" s="431"/>
      <c r="M1240" s="430" t="s">
        <v>6325</v>
      </c>
      <c r="N1240" s="461">
        <v>46160</v>
      </c>
      <c r="O1240" s="431" t="s">
        <v>170</v>
      </c>
      <c r="P1240" s="431" t="s">
        <v>1977</v>
      </c>
      <c r="Q1240" s="431" t="s">
        <v>1978</v>
      </c>
      <c r="R1240" s="430" t="str">
        <f>_xlfn.XLOOKUP(PV_DATA[[#This Row],[New Ark SKU]],Table9[New Ark SKU],Table9[Connector],,0)</f>
        <v>EVO2A</v>
      </c>
      <c r="S1240" s="433" t="str">
        <f>_xlfn.XLOOKUP(PV_DATA[[#This Row],[New Ark SKU]],Table9[New Ark SKU],Table9[Cable],,0)</f>
        <v>±1400mm</v>
      </c>
      <c r="T1240" s="442">
        <v>560</v>
      </c>
      <c r="U1240" s="1067" cm="1">
        <f t="array" ref="U1240">9900-fx_qty</f>
        <v>0</v>
      </c>
      <c r="V1240" s="434">
        <f>PV_DATA[[#This Row],[QUANTITY]]*PV_DATA[[#This Row],[WATT]]/1000000</f>
        <v>0</v>
      </c>
      <c r="W1240" s="435">
        <f>PV_DATA[[#This Row],[QUANTITY]]/PV_DATA[[#This Row],[Qty/Pallet]]</f>
        <v>0</v>
      </c>
      <c r="X1240" s="1015">
        <f>PV_DATA[[#This Row],[QUANTITY]]/PV_DATA[[#This Row],[Qty/CT]]</f>
        <v>0</v>
      </c>
      <c r="Y1240" s="431" t="s">
        <v>7039</v>
      </c>
      <c r="Z1240" s="430" t="str">
        <f t="shared" si="36"/>
        <v/>
      </c>
      <c r="AA1240" s="431"/>
      <c r="AB1240" s="441"/>
      <c r="AC1240" s="467" t="str">
        <f>IF(PV_DATA[[#This Row],[Pick-Up Date]]&lt;&gt;"",_xlfn.ISOWEEKNUM(PV_DATA[[#This Row],[Pick-Up Date]]),"")</f>
        <v/>
      </c>
      <c r="AD1240" s="431"/>
      <c r="AE1240" s="431"/>
      <c r="AF1240" s="431" t="s">
        <v>123</v>
      </c>
      <c r="AG1240" s="431" t="s">
        <v>123</v>
      </c>
      <c r="AH1240" s="431" t="s">
        <v>68</v>
      </c>
      <c r="AI1240" s="441"/>
      <c r="AJ1240" s="441"/>
      <c r="AK1240" s="437" t="str">
        <f>IFERROR(IF(VLOOKUP(AT1240,Vessel!A:F,5,FALSE)=0,"",VLOOKUP(AT1240,Vessel!A:F,5,FALSE)),"")</f>
        <v/>
      </c>
      <c r="AL1240" s="441"/>
      <c r="AM1240" s="441"/>
      <c r="AN1240" s="586" t="str">
        <f>IFERROR(IF(VLOOKUP(AT1240,Vessel!A:I,9,FALSE)=0,"",VLOOKUP(AT1240,Vessel!A:I,9,FALSE)),"")</f>
        <v/>
      </c>
      <c r="AO1240" s="431"/>
      <c r="AP1240" s="431"/>
      <c r="AQ1240" s="431"/>
      <c r="AR1240" s="619"/>
      <c r="AS1240" s="431"/>
      <c r="AT1240" s="431"/>
      <c r="AU1240" s="619"/>
      <c r="AV1240" s="441"/>
      <c r="AW1240" s="441" t="str" cm="1">
        <f t="array" ref="AW124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40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40" s="441" t="str">
        <f>IF(ISERROR(PV_DATA[[#This Row],[New Ark PO status]]),"",_xlfn.XLOOKUP(PV_DATA[[#This Row],[SPTN-PVHK New Ark PO'#]],New_Ark_Data[Purchase order Number],New_Ark_Data[Estimated time of arrival],"",0))</f>
        <v/>
      </c>
      <c r="AZ1240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40" s="437" t="str">
        <f>IFERROR(PV_DATA[[#This Row],[ODP ETA Port]]+PV_DATA[[#This Row],[Customs/Leg3 Assumption]],"n/a")</f>
        <v>n/a</v>
      </c>
      <c r="BB1240" s="442" t="e">
        <f>YEAR(PV_DATA[[#This Row],[ETA for New Ark update]])</f>
        <v>#VALUE!</v>
      </c>
      <c r="BC1240" s="431" t="e">
        <f>MONTH(PV_DATA[[#This Row],[ETA for New Ark update]])</f>
        <v>#VALUE!</v>
      </c>
      <c r="BD1240" s="431">
        <f>IFERROR(_xlfn.ISOWEEKNUM(PV_DATA[[#This Row],[ETA for New Ark update]]),0)</f>
        <v>0</v>
      </c>
      <c r="BE1240" s="431">
        <f>_xlfn.XLOOKUP(PV_DATA[[#This Row],[New Ark SKU]],Table9[New Ark SKU],Table9[Total PCS per Pallet],,0)</f>
        <v>33</v>
      </c>
      <c r="BF1240" s="431">
        <f>_xlfn.XLOOKUP(PV_DATA[[#This Row],[New Ark SKU]],Table9[New Ark SKU],Table9[Total PCS per 40HQ Container],,0)</f>
        <v>660</v>
      </c>
      <c r="BG1240" s="431" t="str">
        <f>_xlfn.XLOOKUP(PV_DATA[[#This Row],[New Ark SKU]],Table9[New Ark SKU],Table9[Back Glass],,0)</f>
        <v>White glazing</v>
      </c>
      <c r="BH1240" s="431" t="str">
        <f>_xlfn.XLOOKUP(PV_DATA[[#This Row],[PORT DESTINATION]],Table12[PORT DESTINATION],Table12[Cosco Line],,0)</f>
        <v>n/a</v>
      </c>
      <c r="BJ1240" s="430"/>
    </row>
    <row r="1241" spans="1:62" ht="10.5" hidden="1">
      <c r="A1241" s="439" t="s">
        <v>7510</v>
      </c>
      <c r="B1241" s="439" t="s">
        <v>111</v>
      </c>
      <c r="C1241" s="439" t="str">
        <f>IFERROR(LEFT(PV_DATA[[#This Row],[TCL REFERENCE]],FIND(".",PV_DATA[[#This Row],[TCL REFERENCE]],1)-1),"Main Line")</f>
        <v>Main Line</v>
      </c>
      <c r="D1241" s="439" t="s">
        <v>63</v>
      </c>
      <c r="E1241" s="439" t="s">
        <v>68</v>
      </c>
      <c r="F1241" s="439" t="str" cm="1">
        <f t="array" ref="F1241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41" s="439" t="s">
        <v>68</v>
      </c>
      <c r="H1241" s="439" t="s">
        <v>68</v>
      </c>
      <c r="I1241" s="439" t="s">
        <v>68</v>
      </c>
      <c r="J1241" s="431" t="s">
        <v>68</v>
      </c>
      <c r="K1241" s="431"/>
      <c r="L1241" s="431"/>
      <c r="M1241" s="430" t="s">
        <v>6325</v>
      </c>
      <c r="N1241" s="461">
        <v>46160</v>
      </c>
      <c r="O1241" s="431" t="s">
        <v>132</v>
      </c>
      <c r="P1241" s="431" t="s">
        <v>189</v>
      </c>
      <c r="Q1241" s="431" t="s">
        <v>190</v>
      </c>
      <c r="R1241" s="430" t="str">
        <f>_xlfn.XLOOKUP(PV_DATA[[#This Row],[New Ark SKU]],Table9[New Ark SKU],Table9[Connector],,0)</f>
        <v>EVO2A</v>
      </c>
      <c r="S1241" s="433" t="str">
        <f>_xlfn.XLOOKUP(PV_DATA[[#This Row],[New Ark SKU]],Table9[New Ark SKU],Table9[Cable],,0)</f>
        <v>±1200mm</v>
      </c>
      <c r="T1241" s="442">
        <v>465</v>
      </c>
      <c r="U1241" s="1067" cm="1">
        <f t="array" ref="U1241">13824-fx_qty</f>
        <v>0</v>
      </c>
      <c r="V1241" s="434">
        <f>PV_DATA[[#This Row],[QUANTITY]]*PV_DATA[[#This Row],[WATT]]/1000000</f>
        <v>0</v>
      </c>
      <c r="W1241" s="435">
        <f>PV_DATA[[#This Row],[QUANTITY]]/PV_DATA[[#This Row],[Qty/Pallet]]</f>
        <v>0</v>
      </c>
      <c r="X1241" s="1015">
        <f>PV_DATA[[#This Row],[QUANTITY]]/PV_DATA[[#This Row],[Qty/CT]]</f>
        <v>0</v>
      </c>
      <c r="Y1241" s="431" t="s">
        <v>7039</v>
      </c>
      <c r="Z1241" s="430" t="str">
        <f t="shared" si="36"/>
        <v/>
      </c>
      <c r="AA1241" s="431"/>
      <c r="AB1241" s="441"/>
      <c r="AC1241" s="467" t="str">
        <f>IF(PV_DATA[[#This Row],[Pick-Up Date]]&lt;&gt;"",_xlfn.ISOWEEKNUM(PV_DATA[[#This Row],[Pick-Up Date]]),"")</f>
        <v/>
      </c>
      <c r="AD1241" s="431"/>
      <c r="AE1241" s="431"/>
      <c r="AF1241" s="431" t="s">
        <v>123</v>
      </c>
      <c r="AG1241" s="431" t="s">
        <v>123</v>
      </c>
      <c r="AH1241" s="431" t="s">
        <v>68</v>
      </c>
      <c r="AI1241" s="441"/>
      <c r="AJ1241" s="441"/>
      <c r="AK1241" s="437" t="str">
        <f>IFERROR(IF(VLOOKUP(AT1241,Vessel!A:F,5,FALSE)=0,"",VLOOKUP(AT1241,Vessel!A:F,5,FALSE)),"")</f>
        <v/>
      </c>
      <c r="AL1241" s="441"/>
      <c r="AM1241" s="441"/>
      <c r="AN1241" s="586" t="str">
        <f>IFERROR(IF(VLOOKUP(AT1241,Vessel!A:I,9,FALSE)=0,"",VLOOKUP(AT1241,Vessel!A:I,9,FALSE)),"")</f>
        <v/>
      </c>
      <c r="AO1241" s="431"/>
      <c r="AP1241" s="431"/>
      <c r="AQ1241" s="431"/>
      <c r="AR1241" s="619"/>
      <c r="AS1241" s="431"/>
      <c r="AT1241" s="431"/>
      <c r="AU1241" s="619"/>
      <c r="AV1241" s="441"/>
      <c r="AW1241" s="441" t="str" cm="1">
        <f t="array" ref="AW124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4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41" s="441" t="str">
        <f>IF(ISERROR(PV_DATA[[#This Row],[New Ark PO status]]),"",_xlfn.XLOOKUP(PV_DATA[[#This Row],[SPTN-PVHK New Ark PO'#]],New_Ark_Data[Purchase order Number],New_Ark_Data[Estimated time of arrival],"",0))</f>
        <v/>
      </c>
      <c r="AZ1241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41" s="437" t="str">
        <f>IFERROR(PV_DATA[[#This Row],[ODP ETA Port]]+PV_DATA[[#This Row],[Customs/Leg3 Assumption]],"n/a")</f>
        <v>n/a</v>
      </c>
      <c r="BB1241" s="442" t="e">
        <f>YEAR(PV_DATA[[#This Row],[ETA for New Ark update]])</f>
        <v>#VALUE!</v>
      </c>
      <c r="BC1241" s="431" t="e">
        <f>MONTH(PV_DATA[[#This Row],[ETA for New Ark update]])</f>
        <v>#VALUE!</v>
      </c>
      <c r="BD1241" s="431">
        <f>IFERROR(_xlfn.ISOWEEKNUM(PV_DATA[[#This Row],[ETA for New Ark update]]),0)</f>
        <v>0</v>
      </c>
      <c r="BE1241" s="431">
        <f>_xlfn.XLOOKUP(PV_DATA[[#This Row],[New Ark SKU]],Table9[New Ark SKU],Table9[Total PCS per Pallet],,0)</f>
        <v>36</v>
      </c>
      <c r="BF1241" s="431">
        <f>_xlfn.XLOOKUP(PV_DATA[[#This Row],[New Ark SKU]],Table9[New Ark SKU],Table9[Total PCS per 40HQ Container],,0)</f>
        <v>864</v>
      </c>
      <c r="BG1241" s="431" t="str">
        <f>_xlfn.XLOOKUP(PV_DATA[[#This Row],[New Ark SKU]],Table9[New Ark SKU],Table9[Back Glass],,0)</f>
        <v>White glazing</v>
      </c>
      <c r="BH1241" s="431" t="str">
        <f>_xlfn.XLOOKUP(PV_DATA[[#This Row],[PORT DESTINATION]],Table12[PORT DESTINATION],Table12[Cosco Line],,0)</f>
        <v>n/a</v>
      </c>
      <c r="BJ1241" s="430"/>
    </row>
    <row r="1242" spans="1:62" ht="10.5" hidden="1">
      <c r="A1242" s="439" t="s">
        <v>7511</v>
      </c>
      <c r="B1242" s="439" t="s">
        <v>111</v>
      </c>
      <c r="C1242" s="439" t="str">
        <f>IFERROR(LEFT(PV_DATA[[#This Row],[TCL REFERENCE]],FIND(".",PV_DATA[[#This Row],[TCL REFERENCE]],1)-1),"Main Line")</f>
        <v>Main Line</v>
      </c>
      <c r="D1242" s="439" t="s">
        <v>63</v>
      </c>
      <c r="E1242" s="439" t="s">
        <v>68</v>
      </c>
      <c r="F1242" s="439" t="str" cm="1">
        <f t="array" ref="F1242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42" s="439" t="s">
        <v>68</v>
      </c>
      <c r="H1242" s="439" t="s">
        <v>68</v>
      </c>
      <c r="I1242" s="439" t="s">
        <v>68</v>
      </c>
      <c r="J1242" s="431" t="s">
        <v>68</v>
      </c>
      <c r="K1242" s="431"/>
      <c r="L1242" s="431"/>
      <c r="M1242" s="430" t="s">
        <v>6325</v>
      </c>
      <c r="N1242" s="461">
        <v>46160</v>
      </c>
      <c r="O1242" s="431" t="s">
        <v>132</v>
      </c>
      <c r="P1242" s="431" t="s">
        <v>1062</v>
      </c>
      <c r="Q1242" s="431" t="s">
        <v>1063</v>
      </c>
      <c r="R1242" s="430" t="str">
        <f>_xlfn.XLOOKUP(PV_DATA[[#This Row],[New Ark SKU]],Table9[New Ark SKU],Table9[Connector],,0)</f>
        <v>EVO2A</v>
      </c>
      <c r="S1242" s="433" t="str">
        <f>_xlfn.XLOOKUP(PV_DATA[[#This Row],[New Ark SKU]],Table9[New Ark SKU],Table9[Cable],,0)</f>
        <v>±1200mm</v>
      </c>
      <c r="T1242" s="442">
        <v>470</v>
      </c>
      <c r="U1242" s="1067" cm="1">
        <f t="array" ref="U1242">39744-fx_qty</f>
        <v>0</v>
      </c>
      <c r="V1242" s="434">
        <f>PV_DATA[[#This Row],[QUANTITY]]*PV_DATA[[#This Row],[WATT]]/1000000</f>
        <v>0</v>
      </c>
      <c r="W1242" s="435">
        <f>PV_DATA[[#This Row],[QUANTITY]]/PV_DATA[[#This Row],[Qty/Pallet]]</f>
        <v>0</v>
      </c>
      <c r="X1242" s="1015">
        <f>PV_DATA[[#This Row],[QUANTITY]]/PV_DATA[[#This Row],[Qty/CT]]</f>
        <v>0</v>
      </c>
      <c r="Y1242" s="431" t="s">
        <v>7039</v>
      </c>
      <c r="Z1242" s="430" t="str">
        <f t="shared" si="36"/>
        <v/>
      </c>
      <c r="AA1242" s="431"/>
      <c r="AB1242" s="441"/>
      <c r="AC1242" s="467" t="str">
        <f>IF(PV_DATA[[#This Row],[Pick-Up Date]]&lt;&gt;"",_xlfn.ISOWEEKNUM(PV_DATA[[#This Row],[Pick-Up Date]]),"")</f>
        <v/>
      </c>
      <c r="AD1242" s="431"/>
      <c r="AE1242" s="431"/>
      <c r="AF1242" s="431" t="s">
        <v>123</v>
      </c>
      <c r="AG1242" s="431" t="s">
        <v>123</v>
      </c>
      <c r="AH1242" s="431" t="s">
        <v>68</v>
      </c>
      <c r="AI1242" s="441"/>
      <c r="AJ1242" s="441"/>
      <c r="AK1242" s="437" t="str">
        <f>IFERROR(IF(VLOOKUP(AT1242,Vessel!A:F,5,FALSE)=0,"",VLOOKUP(AT1242,Vessel!A:F,5,FALSE)),"")</f>
        <v/>
      </c>
      <c r="AL1242" s="441"/>
      <c r="AM1242" s="441"/>
      <c r="AN1242" s="586" t="str">
        <f>IFERROR(IF(VLOOKUP(AT1242,Vessel!A:I,9,FALSE)=0,"",VLOOKUP(AT1242,Vessel!A:I,9,FALSE)),"")</f>
        <v/>
      </c>
      <c r="AO1242" s="431"/>
      <c r="AP1242" s="431"/>
      <c r="AQ1242" s="431"/>
      <c r="AR1242" s="619"/>
      <c r="AS1242" s="431"/>
      <c r="AT1242" s="431"/>
      <c r="AU1242" s="619"/>
      <c r="AV1242" s="441"/>
      <c r="AW1242" s="441" t="str" cm="1">
        <f t="array" ref="AW124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4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42" s="441" t="str">
        <f>IF(ISERROR(PV_DATA[[#This Row],[New Ark PO status]]),"",_xlfn.XLOOKUP(PV_DATA[[#This Row],[SPTN-PVHK New Ark PO'#]],New_Ark_Data[Purchase order Number],New_Ark_Data[Estimated time of arrival],"",0))</f>
        <v/>
      </c>
      <c r="AZ1242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42" s="437" t="str">
        <f>IFERROR(PV_DATA[[#This Row],[ODP ETA Port]]+PV_DATA[[#This Row],[Customs/Leg3 Assumption]],"n/a")</f>
        <v>n/a</v>
      </c>
      <c r="BB1242" s="442" t="e">
        <f>YEAR(PV_DATA[[#This Row],[ETA for New Ark update]])</f>
        <v>#VALUE!</v>
      </c>
      <c r="BC1242" s="431" t="e">
        <f>MONTH(PV_DATA[[#This Row],[ETA for New Ark update]])</f>
        <v>#VALUE!</v>
      </c>
      <c r="BD1242" s="431">
        <f>IFERROR(_xlfn.ISOWEEKNUM(PV_DATA[[#This Row],[ETA for New Ark update]]),0)</f>
        <v>0</v>
      </c>
      <c r="BE1242" s="431">
        <f>_xlfn.XLOOKUP(PV_DATA[[#This Row],[New Ark SKU]],Table9[New Ark SKU],Table9[Total PCS per Pallet],,0)</f>
        <v>36</v>
      </c>
      <c r="BF1242" s="431">
        <f>_xlfn.XLOOKUP(PV_DATA[[#This Row],[New Ark SKU]],Table9[New Ark SKU],Table9[Total PCS per 40HQ Container],,0)</f>
        <v>864</v>
      </c>
      <c r="BG1242" s="431" t="str">
        <f>_xlfn.XLOOKUP(PV_DATA[[#This Row],[New Ark SKU]],Table9[New Ark SKU],Table9[Back Glass],,0)</f>
        <v>White glazing</v>
      </c>
      <c r="BH1242" s="431" t="str">
        <f>_xlfn.XLOOKUP(PV_DATA[[#This Row],[PORT DESTINATION]],Table12[PORT DESTINATION],Table12[Cosco Line],,0)</f>
        <v>n/a</v>
      </c>
      <c r="BJ1242" s="430"/>
    </row>
    <row r="1243" spans="1:62" ht="10.5" hidden="1">
      <c r="A1243" s="439" t="s">
        <v>4897</v>
      </c>
      <c r="B1243" s="439" t="s">
        <v>61</v>
      </c>
      <c r="C1243" s="439" t="str">
        <f>IFERROR(LEFT(PV_DATA[[#This Row],[TCL REFERENCE]],FIND(".",PV_DATA[[#This Row],[TCL REFERENCE]],1)-1),"Main Line")</f>
        <v>Main Line</v>
      </c>
      <c r="D1243" s="439" t="s">
        <v>63</v>
      </c>
      <c r="E1243" s="439" t="s">
        <v>68</v>
      </c>
      <c r="F1243" s="439" t="str" cm="1">
        <f t="array" ref="F1243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43" s="439" t="s">
        <v>68</v>
      </c>
      <c r="H1243" s="439" t="s">
        <v>68</v>
      </c>
      <c r="I1243" s="439" t="s">
        <v>68</v>
      </c>
      <c r="J1243" s="431" t="s">
        <v>7512</v>
      </c>
      <c r="K1243" s="431"/>
      <c r="L1243" s="431"/>
      <c r="M1243" s="430" t="s">
        <v>6325</v>
      </c>
      <c r="N1243" s="461">
        <v>45809</v>
      </c>
      <c r="O1243" s="431" t="s">
        <v>4540</v>
      </c>
      <c r="P1243" s="431" t="s">
        <v>195</v>
      </c>
      <c r="Q1243" s="431" t="s">
        <v>196</v>
      </c>
      <c r="R1243" s="430" t="str">
        <f>_xlfn.XLOOKUP(PV_DATA[[#This Row],[New Ark SKU]],Table9[New Ark SKU],Table9[Connector],,0)</f>
        <v>EVO2A</v>
      </c>
      <c r="S1243" s="433" t="str">
        <f>_xlfn.XLOOKUP(PV_DATA[[#This Row],[New Ark SKU]],Table9[New Ark SKU],Table9[Cable],,0)</f>
        <v>±1200mm</v>
      </c>
      <c r="T1243" s="442">
        <v>450</v>
      </c>
      <c r="U1243" s="1067" cm="1">
        <f t="array" ref="U1243">53352-fx_qty</f>
        <v>0</v>
      </c>
      <c r="V1243" s="434">
        <f>PV_DATA[[#This Row],[QUANTITY]]*PV_DATA[[#This Row],[WATT]]/1000000</f>
        <v>0</v>
      </c>
      <c r="W1243" s="435">
        <f>PV_DATA[[#This Row],[QUANTITY]]/PV_DATA[[#This Row],[Qty/Pallet]]</f>
        <v>0</v>
      </c>
      <c r="X1243" s="1015">
        <f>PV_DATA[[#This Row],[QUANTITY]]/PV_DATA[[#This Row],[Qty/CT]]</f>
        <v>0</v>
      </c>
      <c r="Y1243" s="431" t="s">
        <v>7039</v>
      </c>
      <c r="Z1243" s="430" t="str">
        <f t="shared" si="36"/>
        <v/>
      </c>
      <c r="AA1243" s="431"/>
      <c r="AB1243" s="441"/>
      <c r="AC1243" s="467" t="str">
        <f>IF(PV_DATA[[#This Row],[Pick-Up Date]]&lt;&gt;"",_xlfn.ISOWEEKNUM(PV_DATA[[#This Row],[Pick-Up Date]]),"")</f>
        <v/>
      </c>
      <c r="AD1243" s="431"/>
      <c r="AE1243" s="431"/>
      <c r="AF1243" s="431" t="s">
        <v>61</v>
      </c>
      <c r="AG1243" s="431" t="s">
        <v>61</v>
      </c>
      <c r="AH1243" s="431" t="s">
        <v>68</v>
      </c>
      <c r="AI1243" s="441"/>
      <c r="AJ1243" s="441"/>
      <c r="AK1243" s="437" t="str">
        <f>IFERROR(IF(VLOOKUP(AT1243,Vessel!A:F,5,FALSE)=0,"",VLOOKUP(AT1243,Vessel!A:F,5,FALSE)),"")</f>
        <v/>
      </c>
      <c r="AL1243" s="441"/>
      <c r="AM1243" s="441"/>
      <c r="AN1243" s="586" t="str">
        <f>IFERROR(IF(VLOOKUP(AT1243,Vessel!A:I,9,FALSE)=0,"",VLOOKUP(AT1243,Vessel!A:I,9,FALSE)),"")</f>
        <v/>
      </c>
      <c r="AO1243" s="431"/>
      <c r="AP1243" s="431"/>
      <c r="AQ1243" s="431"/>
      <c r="AR1243" s="619"/>
      <c r="AS1243" s="431"/>
      <c r="AT1243" s="431"/>
      <c r="AU1243" s="619"/>
      <c r="AV1243" s="441"/>
      <c r="AW1243" s="441" t="str" cm="1">
        <f t="array" ref="AW124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4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43" s="441" t="str">
        <f>IF(ISERROR(PV_DATA[[#This Row],[New Ark PO status]]),"",_xlfn.XLOOKUP(PV_DATA[[#This Row],[SPTN-PVHK New Ark PO'#]],New_Ark_Data[Purchase order Number],New_Ark_Data[Estimated time of arrival],"",0))</f>
        <v/>
      </c>
      <c r="AZ1243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43" s="437" t="str">
        <f>IFERROR(PV_DATA[[#This Row],[ODP ETA Port]]+PV_DATA[[#This Row],[Customs/Leg3 Assumption]],"n/a")</f>
        <v>n/a</v>
      </c>
      <c r="BB1243" s="442" t="e">
        <f>YEAR(PV_DATA[[#This Row],[ETA for New Ark update]])</f>
        <v>#VALUE!</v>
      </c>
      <c r="BC1243" s="431" t="e">
        <f>MONTH(PV_DATA[[#This Row],[ETA for New Ark update]])</f>
        <v>#VALUE!</v>
      </c>
      <c r="BD1243" s="431">
        <f>IFERROR(_xlfn.ISOWEEKNUM(PV_DATA[[#This Row],[ETA for New Ark update]]),0)</f>
        <v>0</v>
      </c>
      <c r="BE1243" s="431">
        <f>_xlfn.XLOOKUP(PV_DATA[[#This Row],[New Ark SKU]],Table9[New Ark SKU],Table9[Total PCS per Pallet],,0)</f>
        <v>36</v>
      </c>
      <c r="BF1243" s="431">
        <f>_xlfn.XLOOKUP(PV_DATA[[#This Row],[New Ark SKU]],Table9[New Ark SKU],Table9[Total PCS per 40HQ Container],,0)</f>
        <v>936</v>
      </c>
      <c r="BG1243" s="431" t="str">
        <f>_xlfn.XLOOKUP(PV_DATA[[#This Row],[New Ark SKU]],Table9[New Ark SKU],Table9[Back Glass],,0)</f>
        <v>Black glazing</v>
      </c>
      <c r="BH1243" s="431" t="str">
        <f>_xlfn.XLOOKUP(PV_DATA[[#This Row],[PORT DESTINATION]],Table12[PORT DESTINATION],Table12[Cosco Line],,0)</f>
        <v>n/a</v>
      </c>
      <c r="BJ1243" s="430"/>
    </row>
    <row r="1244" spans="1:62" ht="10.5" hidden="1">
      <c r="A1244" s="439" t="s">
        <v>7513</v>
      </c>
      <c r="B1244" s="439" t="s">
        <v>61</v>
      </c>
      <c r="C1244" s="439" t="str">
        <f>IFERROR(LEFT(PV_DATA[[#This Row],[TCL REFERENCE]],FIND(".",PV_DATA[[#This Row],[TCL REFERENCE]],1)-1),"Main Line")</f>
        <v>Main Line</v>
      </c>
      <c r="D1244" s="439" t="s">
        <v>63</v>
      </c>
      <c r="E1244" s="439" t="s">
        <v>68</v>
      </c>
      <c r="F1244" s="439" t="str" cm="1">
        <f t="array" ref="F1244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44" s="439" t="s">
        <v>68</v>
      </c>
      <c r="H1244" s="439" t="s">
        <v>68</v>
      </c>
      <c r="I1244" s="439" t="s">
        <v>68</v>
      </c>
      <c r="J1244" s="431" t="s">
        <v>68</v>
      </c>
      <c r="K1244" s="431"/>
      <c r="L1244" s="431"/>
      <c r="M1244" s="430" t="s">
        <v>6325</v>
      </c>
      <c r="N1244" s="461">
        <v>45809</v>
      </c>
      <c r="O1244" s="431" t="s">
        <v>4540</v>
      </c>
      <c r="P1244" s="431" t="s">
        <v>965</v>
      </c>
      <c r="Q1244" s="431" t="s">
        <v>966</v>
      </c>
      <c r="R1244" s="430" t="str">
        <f>_xlfn.XLOOKUP(PV_DATA[[#This Row],[New Ark SKU]],Table9[New Ark SKU],Table9[Connector],,0)</f>
        <v>EVO2A</v>
      </c>
      <c r="S1244" s="433" t="str">
        <f>_xlfn.XLOOKUP(PV_DATA[[#This Row],[New Ark SKU]],Table9[New Ark SKU],Table9[Cable],,0)</f>
        <v>±1200mm</v>
      </c>
      <c r="T1244" s="442">
        <v>455</v>
      </c>
      <c r="U1244" s="1067" cm="1">
        <f t="array" ref="U1244">13104-fx_qty</f>
        <v>0</v>
      </c>
      <c r="V1244" s="434">
        <f>PV_DATA[[#This Row],[QUANTITY]]*PV_DATA[[#This Row],[WATT]]/1000000</f>
        <v>0</v>
      </c>
      <c r="W1244" s="435">
        <f>PV_DATA[[#This Row],[QUANTITY]]/PV_DATA[[#This Row],[Qty/Pallet]]</f>
        <v>0</v>
      </c>
      <c r="X1244" s="1015">
        <f>PV_DATA[[#This Row],[QUANTITY]]/PV_DATA[[#This Row],[Qty/CT]]</f>
        <v>0</v>
      </c>
      <c r="Y1244" s="431" t="s">
        <v>7039</v>
      </c>
      <c r="Z1244" s="430" t="str">
        <f t="shared" si="36"/>
        <v/>
      </c>
      <c r="AA1244" s="431"/>
      <c r="AB1244" s="441"/>
      <c r="AC1244" s="467" t="str">
        <f>IF(PV_DATA[[#This Row],[Pick-Up Date]]&lt;&gt;"",_xlfn.ISOWEEKNUM(PV_DATA[[#This Row],[Pick-Up Date]]),"")</f>
        <v/>
      </c>
      <c r="AD1244" s="431"/>
      <c r="AE1244" s="431"/>
      <c r="AF1244" s="431" t="s">
        <v>61</v>
      </c>
      <c r="AG1244" s="431" t="s">
        <v>61</v>
      </c>
      <c r="AH1244" s="431" t="s">
        <v>68</v>
      </c>
      <c r="AI1244" s="441"/>
      <c r="AJ1244" s="441"/>
      <c r="AK1244" s="437" t="str">
        <f>IFERROR(IF(VLOOKUP(AT1244,Vessel!A:F,5,FALSE)=0,"",VLOOKUP(AT1244,Vessel!A:F,5,FALSE)),"")</f>
        <v/>
      </c>
      <c r="AL1244" s="441"/>
      <c r="AM1244" s="441"/>
      <c r="AN1244" s="586" t="str">
        <f>IFERROR(IF(VLOOKUP(AT1244,Vessel!A:I,9,FALSE)=0,"",VLOOKUP(AT1244,Vessel!A:I,9,FALSE)),"")</f>
        <v/>
      </c>
      <c r="AO1244" s="431"/>
      <c r="AP1244" s="431"/>
      <c r="AQ1244" s="431"/>
      <c r="AR1244" s="619"/>
      <c r="AS1244" s="431"/>
      <c r="AT1244" s="431"/>
      <c r="AU1244" s="619"/>
      <c r="AV1244" s="441"/>
      <c r="AW1244" s="441" t="str" cm="1">
        <f t="array" ref="AW124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4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44" s="441" t="str">
        <f>IF(ISERROR(PV_DATA[[#This Row],[New Ark PO status]]),"",_xlfn.XLOOKUP(PV_DATA[[#This Row],[SPTN-PVHK New Ark PO'#]],New_Ark_Data[Purchase order Number],New_Ark_Data[Estimated time of arrival],"",0))</f>
        <v/>
      </c>
      <c r="AZ1244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44" s="437" t="str">
        <f>IFERROR(PV_DATA[[#This Row],[ODP ETA Port]]+PV_DATA[[#This Row],[Customs/Leg3 Assumption]],"n/a")</f>
        <v>n/a</v>
      </c>
      <c r="BB1244" s="442" t="e">
        <f>YEAR(PV_DATA[[#This Row],[ETA for New Ark update]])</f>
        <v>#VALUE!</v>
      </c>
      <c r="BC1244" s="431" t="e">
        <f>MONTH(PV_DATA[[#This Row],[ETA for New Ark update]])</f>
        <v>#VALUE!</v>
      </c>
      <c r="BD1244" s="431">
        <f>IFERROR(_xlfn.ISOWEEKNUM(PV_DATA[[#This Row],[ETA for New Ark update]]),0)</f>
        <v>0</v>
      </c>
      <c r="BE1244" s="431">
        <f>_xlfn.XLOOKUP(PV_DATA[[#This Row],[New Ark SKU]],Table9[New Ark SKU],Table9[Total PCS per Pallet],,0)</f>
        <v>36</v>
      </c>
      <c r="BF1244" s="431">
        <f>_xlfn.XLOOKUP(PV_DATA[[#This Row],[New Ark SKU]],Table9[New Ark SKU],Table9[Total PCS per 40HQ Container],,0)</f>
        <v>936</v>
      </c>
      <c r="BG1244" s="431" t="str">
        <f>_xlfn.XLOOKUP(PV_DATA[[#This Row],[New Ark SKU]],Table9[New Ark SKU],Table9[Back Glass],,0)</f>
        <v>Black glazing</v>
      </c>
      <c r="BH1244" s="431" t="str">
        <f>_xlfn.XLOOKUP(PV_DATA[[#This Row],[PORT DESTINATION]],Table12[PORT DESTINATION],Table12[Cosco Line],,0)</f>
        <v>n/a</v>
      </c>
      <c r="BJ1244" s="430"/>
    </row>
    <row r="1245" spans="1:62" ht="10.5" hidden="1">
      <c r="A1245" s="439" t="s">
        <v>5147</v>
      </c>
      <c r="B1245" s="439" t="s">
        <v>61</v>
      </c>
      <c r="C1245" s="439" t="str">
        <f>IFERROR(LEFT(PV_DATA[[#This Row],[TCL REFERENCE]],FIND(".",PV_DATA[[#This Row],[TCL REFERENCE]],1)-1),"Main Line")</f>
        <v>Main Line</v>
      </c>
      <c r="D1245" s="439" t="s">
        <v>63</v>
      </c>
      <c r="E1245" s="439" t="s">
        <v>68</v>
      </c>
      <c r="F1245" s="439" t="str" cm="1">
        <f t="array" ref="F1245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45" s="439" t="s">
        <v>68</v>
      </c>
      <c r="H1245" s="439" t="s">
        <v>68</v>
      </c>
      <c r="I1245" s="439" t="s">
        <v>68</v>
      </c>
      <c r="J1245" s="431" t="s">
        <v>68</v>
      </c>
      <c r="K1245" s="431"/>
      <c r="L1245" s="431"/>
      <c r="M1245" s="430" t="s">
        <v>6325</v>
      </c>
      <c r="N1245" s="461">
        <v>46153</v>
      </c>
      <c r="O1245" s="431" t="s">
        <v>4540</v>
      </c>
      <c r="P1245" s="431" t="s">
        <v>1151</v>
      </c>
      <c r="Q1245" s="431" t="s">
        <v>421</v>
      </c>
      <c r="R1245" s="430" t="str">
        <f>_xlfn.XLOOKUP(PV_DATA[[#This Row],[New Ark SKU]],Table9[New Ark SKU],Table9[Connector],,0)</f>
        <v>EVO2A</v>
      </c>
      <c r="S1245" s="433" t="str">
        <f>_xlfn.XLOOKUP(PV_DATA[[#This Row],[New Ark SKU]],Table9[New Ark SKU],Table9[Cable],,0)</f>
        <v>±1200mm</v>
      </c>
      <c r="T1245" s="442">
        <v>505</v>
      </c>
      <c r="U1245" s="1067" cm="1">
        <f t="array" ref="U1245">24192-fx_qty</f>
        <v>0</v>
      </c>
      <c r="V1245" s="434">
        <f>PV_DATA[[#This Row],[QUANTITY]]*PV_DATA[[#This Row],[WATT]]/1000000</f>
        <v>0</v>
      </c>
      <c r="W1245" s="435">
        <f>PV_DATA[[#This Row],[QUANTITY]]/PV_DATA[[#This Row],[Qty/Pallet]]</f>
        <v>0</v>
      </c>
      <c r="X1245" s="1015">
        <f>PV_DATA[[#This Row],[QUANTITY]]/PV_DATA[[#This Row],[Qty/CT]]</f>
        <v>0</v>
      </c>
      <c r="Y1245" s="431" t="s">
        <v>7039</v>
      </c>
      <c r="Z1245" s="430" t="str">
        <f t="shared" si="36"/>
        <v/>
      </c>
      <c r="AA1245" s="431"/>
      <c r="AB1245" s="441"/>
      <c r="AC1245" s="467" t="str">
        <f>IF(PV_DATA[[#This Row],[Pick-Up Date]]&lt;&gt;"",_xlfn.ISOWEEKNUM(PV_DATA[[#This Row],[Pick-Up Date]]),"")</f>
        <v/>
      </c>
      <c r="AD1245" s="431"/>
      <c r="AE1245" s="431"/>
      <c r="AF1245" s="431" t="s">
        <v>61</v>
      </c>
      <c r="AG1245" s="431" t="s">
        <v>61</v>
      </c>
      <c r="AH1245" s="431" t="s">
        <v>68</v>
      </c>
      <c r="AI1245" s="441"/>
      <c r="AJ1245" s="441"/>
      <c r="AK1245" s="437" t="str">
        <f>IFERROR(IF(VLOOKUP(AT1245,Vessel!A:F,5,FALSE)=0,"",VLOOKUP(AT1245,Vessel!A:F,5,FALSE)),"")</f>
        <v/>
      </c>
      <c r="AL1245" s="441"/>
      <c r="AM1245" s="441"/>
      <c r="AN1245" s="586" t="str">
        <f>IFERROR(IF(VLOOKUP(AT1245,Vessel!A:I,9,FALSE)=0,"",VLOOKUP(AT1245,Vessel!A:I,9,FALSE)),"")</f>
        <v/>
      </c>
      <c r="AO1245" s="431"/>
      <c r="AP1245" s="431"/>
      <c r="AQ1245" s="431"/>
      <c r="AR1245" s="619"/>
      <c r="AS1245" s="431"/>
      <c r="AT1245" s="431"/>
      <c r="AU1245" s="619"/>
      <c r="AV1245" s="441"/>
      <c r="AW1245" s="441" t="str" cm="1">
        <f t="array" ref="AW124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4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45" s="441" t="str">
        <f>IF(ISERROR(PV_DATA[[#This Row],[New Ark PO status]]),"",_xlfn.XLOOKUP(PV_DATA[[#This Row],[SPTN-PVHK New Ark PO'#]],New_Ark_Data[Purchase order Number],New_Ark_Data[Estimated time of arrival],"",0))</f>
        <v/>
      </c>
      <c r="AZ1245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45" s="437" t="str">
        <f>IFERROR(PV_DATA[[#This Row],[ODP ETA Port]]+PV_DATA[[#This Row],[Customs/Leg3 Assumption]],"n/a")</f>
        <v>n/a</v>
      </c>
      <c r="BB1245" s="442" t="e">
        <f>YEAR(PV_DATA[[#This Row],[ETA for New Ark update]])</f>
        <v>#VALUE!</v>
      </c>
      <c r="BC1245" s="431" t="e">
        <f>MONTH(PV_DATA[[#This Row],[ETA for New Ark update]])</f>
        <v>#VALUE!</v>
      </c>
      <c r="BD1245" s="431">
        <f>IFERROR(_xlfn.ISOWEEKNUM(PV_DATA[[#This Row],[ETA for New Ark update]]),0)</f>
        <v>0</v>
      </c>
      <c r="BE1245" s="431">
        <f>_xlfn.XLOOKUP(PV_DATA[[#This Row],[New Ark SKU]],Table9[New Ark SKU],Table9[Total PCS per Pallet],,0)</f>
        <v>36</v>
      </c>
      <c r="BF1245" s="431">
        <f>_xlfn.XLOOKUP(PV_DATA[[#This Row],[New Ark SKU]],Table9[New Ark SKU],Table9[Total PCS per 40HQ Container],,0)</f>
        <v>864</v>
      </c>
      <c r="BG1245" s="431" t="str">
        <f>_xlfn.XLOOKUP(PV_DATA[[#This Row],[New Ark SKU]],Table9[New Ark SKU],Table9[Back Glass],,0)</f>
        <v>Black glazing</v>
      </c>
      <c r="BH1245" s="431" t="str">
        <f>_xlfn.XLOOKUP(PV_DATA[[#This Row],[PORT DESTINATION]],Table12[PORT DESTINATION],Table12[Cosco Line],,0)</f>
        <v>n/a</v>
      </c>
      <c r="BJ1245" s="430"/>
    </row>
    <row r="1246" spans="1:62" ht="10.5" hidden="1">
      <c r="A1246" s="439" t="s">
        <v>5065</v>
      </c>
      <c r="B1246" s="439" t="s">
        <v>111</v>
      </c>
      <c r="C1246" s="439" t="str">
        <f>IFERROR(LEFT(PV_DATA[[#This Row],[TCL REFERENCE]],FIND(".",PV_DATA[[#This Row],[TCL REFERENCE]],1)-1),"Main Line")</f>
        <v>Main Line</v>
      </c>
      <c r="D1246" s="439" t="s">
        <v>63</v>
      </c>
      <c r="E1246" s="439" t="s">
        <v>68</v>
      </c>
      <c r="F1246" s="439" t="str" cm="1">
        <f t="array" ref="F1246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46" s="439" t="s">
        <v>68</v>
      </c>
      <c r="H1246" s="713" t="s">
        <v>68</v>
      </c>
      <c r="I1246" s="439" t="s">
        <v>68</v>
      </c>
      <c r="J1246" s="431" t="s">
        <v>68</v>
      </c>
      <c r="K1246" s="431"/>
      <c r="L1246" s="431"/>
      <c r="M1246" s="430" t="s">
        <v>6325</v>
      </c>
      <c r="N1246" s="461" t="s">
        <v>68</v>
      </c>
      <c r="O1246" s="431" t="s">
        <v>4540</v>
      </c>
      <c r="P1246" s="430" t="s">
        <v>5066</v>
      </c>
      <c r="Q1246" s="431" t="s">
        <v>1484</v>
      </c>
      <c r="R1246" s="430" t="str">
        <f>_xlfn.XLOOKUP(PV_DATA[[#This Row],[New Ark SKU]],Table9[New Ark SKU],Table9[Connector],,0)</f>
        <v>H4(Com)</v>
      </c>
      <c r="S1246" s="433" t="str">
        <f>_xlfn.XLOOKUP(PV_DATA[[#This Row],[New Ark SKU]],Table9[New Ark SKU],Table9[Cable],,0)</f>
        <v>+400mm/-200mm</v>
      </c>
      <c r="T1246" s="442">
        <v>725</v>
      </c>
      <c r="U1246" s="1067" cm="1">
        <f t="array" ref="U1246">35046-fx_qty</f>
        <v>0</v>
      </c>
      <c r="V1246" s="444">
        <f>PV_DATA[[#This Row],[QUANTITY]]*PV_DATA[[#This Row],[WATT]]/1000000</f>
        <v>0</v>
      </c>
      <c r="W1246" s="435">
        <f>PV_DATA[[#This Row],[QUANTITY]]/PV_DATA[[#This Row],[Qty/Pallet]]</f>
        <v>0</v>
      </c>
      <c r="X1246" s="1015">
        <f>PV_DATA[[#This Row],[QUANTITY]]/PV_DATA[[#This Row],[Qty/CT]]</f>
        <v>0</v>
      </c>
      <c r="Y1246" s="431" t="s">
        <v>7039</v>
      </c>
      <c r="Z1246" s="430" t="str">
        <f t="shared" si="36"/>
        <v/>
      </c>
      <c r="AA1246" s="431"/>
      <c r="AB1246" s="441"/>
      <c r="AC1246" s="467" t="str">
        <f>IF(PV_DATA[[#This Row],[Pick-Up Date]]&lt;&gt;"",_xlfn.ISOWEEKNUM(PV_DATA[[#This Row],[Pick-Up Date]]),"")</f>
        <v/>
      </c>
      <c r="AD1246" s="466"/>
      <c r="AE1246" s="466"/>
      <c r="AF1246" s="431" t="s">
        <v>122</v>
      </c>
      <c r="AG1246" s="431" t="s">
        <v>123</v>
      </c>
      <c r="AH1246" s="431" t="s">
        <v>68</v>
      </c>
      <c r="AI1246" s="441"/>
      <c r="AJ1246" s="441"/>
      <c r="AK1246" s="437" t="str">
        <f>IFERROR(IF(VLOOKUP(AT1246,Vessel!A:F,5,FALSE)=0,"",VLOOKUP(AT1246,Vessel!A:F,5,FALSE)),"")</f>
        <v/>
      </c>
      <c r="AL1246" s="441"/>
      <c r="AM1246" s="441"/>
      <c r="AN1246" s="586" t="str">
        <f>IFERROR(IF(VLOOKUP(AT1246,Vessel!A:I,9,FALSE)=0,"",VLOOKUP(AT1246,Vessel!A:I,9,FALSE)),"")</f>
        <v/>
      </c>
      <c r="AO1246" s="431"/>
      <c r="AP1246" s="431"/>
      <c r="AQ1246" s="431"/>
      <c r="AR1246" s="619"/>
      <c r="AS1246" s="431"/>
      <c r="AT1246" s="431"/>
      <c r="AU1246" s="619"/>
      <c r="AV1246" s="441"/>
      <c r="AW1246" s="441" t="str" cm="1">
        <f t="array" ref="AW124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4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46" s="441" t="str">
        <f>IF(ISERROR(PV_DATA[[#This Row],[New Ark PO status]]),"",_xlfn.XLOOKUP(PV_DATA[[#This Row],[SPTN-PVHK New Ark PO'#]],New_Ark_Data[Purchase order Number],New_Ark_Data[Estimated time of arrival],"",0))</f>
        <v/>
      </c>
      <c r="AZ1246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46" s="437" t="str">
        <f>IFERROR(PV_DATA[[#This Row],[ODP ETA Port]]+PV_DATA[[#This Row],[Customs/Leg3 Assumption]],"n/a")</f>
        <v>n/a</v>
      </c>
      <c r="BB1246" s="442" t="e">
        <f>YEAR(PV_DATA[[#This Row],[ETA for New Ark update]])</f>
        <v>#VALUE!</v>
      </c>
      <c r="BC1246" s="431" t="e">
        <f>MONTH(PV_DATA[[#This Row],[ETA for New Ark update]])</f>
        <v>#VALUE!</v>
      </c>
      <c r="BD1246" s="431">
        <f>IFERROR(_xlfn.ISOWEEKNUM(PV_DATA[[#This Row],[ETA for New Ark update]]),0)</f>
        <v>0</v>
      </c>
      <c r="BE1246" s="431">
        <f>_xlfn.XLOOKUP(PV_DATA[[#This Row],[New Ark SKU]],Table9[New Ark SKU],Table9[Total PCS per Pallet],,0)</f>
        <v>33</v>
      </c>
      <c r="BF1246" s="431">
        <f>_xlfn.XLOOKUP(PV_DATA[[#This Row],[New Ark SKU]],Table9[New Ark SKU],Table9[Total PCS per 40HQ Container],,0)</f>
        <v>594</v>
      </c>
      <c r="BG1246" s="431" t="str">
        <f>_xlfn.XLOOKUP(PV_DATA[[#This Row],[New Ark SKU]],Table9[New Ark SKU],Table9[Back Glass],,0)</f>
        <v>Transparent</v>
      </c>
      <c r="BH1246" s="431" t="str">
        <f>_xlfn.XLOOKUP(PV_DATA[[#This Row],[PORT DESTINATION]],Table12[PORT DESTINATION],Table12[Cosco Line],,0)</f>
        <v>n/a</v>
      </c>
      <c r="BJ1246" s="430"/>
    </row>
    <row r="1247" spans="1:62" s="431" customFormat="1" hidden="1">
      <c r="A1247" s="439" t="s">
        <v>4843</v>
      </c>
      <c r="B1247" s="439" t="s">
        <v>111</v>
      </c>
      <c r="C1247" s="439" t="str">
        <f>IFERROR(LEFT(PV_DATA[[#This Row],[TCL REFERENCE]],FIND(".",PV_DATA[[#This Row],[TCL REFERENCE]],1)-1),"Main Line")</f>
        <v>Main Line</v>
      </c>
      <c r="D1247" s="439" t="s">
        <v>63</v>
      </c>
      <c r="E1247" s="439" t="s">
        <v>68</v>
      </c>
      <c r="F1247" s="439" t="str" cm="1">
        <f t="array" ref="F1247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47" s="439" t="s">
        <v>68</v>
      </c>
      <c r="H1247" s="439" t="s">
        <v>68</v>
      </c>
      <c r="I1247" s="439" t="s">
        <v>68</v>
      </c>
      <c r="J1247" s="431" t="s">
        <v>68</v>
      </c>
      <c r="M1247" s="430" t="s">
        <v>6325</v>
      </c>
      <c r="N1247" s="461" t="s">
        <v>68</v>
      </c>
      <c r="O1247" s="431" t="s">
        <v>4495</v>
      </c>
      <c r="P1247" s="431" t="s">
        <v>4496</v>
      </c>
      <c r="Q1247" s="431" t="s">
        <v>4497</v>
      </c>
      <c r="R1247" s="430" t="str">
        <f>_xlfn.XLOOKUP(PV_DATA[[#This Row],[New Ark SKU]],Table9[New Ark SKU],Table9[Connector],,0)</f>
        <v>EVO2A</v>
      </c>
      <c r="S1247" s="433" t="str">
        <f>_xlfn.XLOOKUP(PV_DATA[[#This Row],[New Ark SKU]],Table9[New Ark SKU],Table9[Cable],,0)</f>
        <v>±1400mm</v>
      </c>
      <c r="T1247" s="442">
        <v>640</v>
      </c>
      <c r="U1247" s="1067" cm="1">
        <f t="array" ref="U1247">6480-fx_qty</f>
        <v>0</v>
      </c>
      <c r="V1247" s="434">
        <f>PV_DATA[[#This Row],[QUANTITY]]*PV_DATA[[#This Row],[WATT]]/1000000</f>
        <v>0</v>
      </c>
      <c r="W1247" s="435">
        <f>PV_DATA[[#This Row],[QUANTITY]]/PV_DATA[[#This Row],[Qty/Pallet]]</f>
        <v>0</v>
      </c>
      <c r="X1247" s="1015">
        <f>PV_DATA[[#This Row],[QUANTITY]]/PV_DATA[[#This Row],[Qty/CT]]</f>
        <v>0</v>
      </c>
      <c r="Y1247" s="430" t="s">
        <v>7039</v>
      </c>
      <c r="Z1247" s="430" t="str">
        <f t="shared" si="36"/>
        <v/>
      </c>
      <c r="AB1247" s="441"/>
      <c r="AC1247" s="467" t="str">
        <f>IF(PV_DATA[[#This Row],[Pick-Up Date]]&lt;&gt;"",_xlfn.ISOWEEKNUM(PV_DATA[[#This Row],[Pick-Up Date]]),"")</f>
        <v/>
      </c>
      <c r="AF1247" s="431" t="s">
        <v>4432</v>
      </c>
      <c r="AG1247" s="431" t="s">
        <v>123</v>
      </c>
      <c r="AH1247" s="431" t="s">
        <v>105</v>
      </c>
      <c r="AI1247" s="441"/>
      <c r="AJ1247" s="441"/>
      <c r="AK1247" s="437" t="str">
        <f>IFERROR(IF(VLOOKUP(AT1247,Vessel!A:F,5,FALSE)=0,"",VLOOKUP(AT1247,Vessel!A:F,5,FALSE)),"")</f>
        <v/>
      </c>
      <c r="AL1247" s="441"/>
      <c r="AM1247" s="441"/>
      <c r="AN1247" s="586" t="str">
        <f>IFERROR(IF(VLOOKUP(AT1247,Vessel!A:I,9,FALSE)=0,"",VLOOKUP(AT1247,Vessel!A:I,9,FALSE)),"")</f>
        <v/>
      </c>
      <c r="AR1247" s="619"/>
      <c r="AU1247" s="619"/>
      <c r="AW1247" s="441" t="str" cm="1">
        <f t="array" ref="AW124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4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47" s="441" t="str">
        <f>IF(ISERROR(PV_DATA[[#This Row],[New Ark PO status]]),"",_xlfn.XLOOKUP(PV_DATA[[#This Row],[SPTN-PVHK New Ark PO'#]],New_Ark_Data[Purchase order Number],New_Ark_Data[Estimated time of arrival],"",0))</f>
        <v/>
      </c>
      <c r="AZ1247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247" s="437" t="str">
        <f>IFERROR(PV_DATA[[#This Row],[ODP ETA Port]]+PV_DATA[[#This Row],[Customs/Leg3 Assumption]],"n/a")</f>
        <v>n/a</v>
      </c>
      <c r="BB1247" s="442" t="e">
        <f>YEAR(PV_DATA[[#This Row],[ETA for New Ark update]])</f>
        <v>#VALUE!</v>
      </c>
      <c r="BC1247" s="431" t="e">
        <f>MONTH(PV_DATA[[#This Row],[ETA for New Ark update]])</f>
        <v>#VALUE!</v>
      </c>
      <c r="BD1247" s="431">
        <f>IFERROR(_xlfn.ISOWEEKNUM(PV_DATA[[#This Row],[ETA for New Ark update]]),0)</f>
        <v>0</v>
      </c>
      <c r="BE1247" s="431">
        <f>_xlfn.XLOOKUP(PV_DATA[[#This Row],[New Ark SKU]],Table9[New Ark SKU],Table9[Total PCS per Pallet],,0)</f>
        <v>36</v>
      </c>
      <c r="BF1247" s="431">
        <f>_xlfn.XLOOKUP(PV_DATA[[#This Row],[New Ark SKU]],Table9[New Ark SKU],Table9[Total PCS per 40HQ Container],,0)</f>
        <v>720</v>
      </c>
      <c r="BG1247" s="431" t="str">
        <f>_xlfn.XLOOKUP(PV_DATA[[#This Row],[New Ark SKU]],Table9[New Ark SKU],Table9[Back Glass],,0)</f>
        <v>Transparent</v>
      </c>
      <c r="BH1247" s="431" t="str">
        <f>_xlfn.XLOOKUP(PV_DATA[[#This Row],[PORT DESTINATION]],Table12[PORT DESTINATION],Table12[Cosco Line],,0)</f>
        <v>AEU</v>
      </c>
    </row>
    <row r="1248" spans="1:62" s="431" customFormat="1" hidden="1">
      <c r="A1248" s="439" t="s">
        <v>7514</v>
      </c>
      <c r="B1248" s="439" t="s">
        <v>111</v>
      </c>
      <c r="C1248" s="439" t="str">
        <f>IFERROR(LEFT(PV_DATA[[#This Row],[TCL REFERENCE]],FIND(".",PV_DATA[[#This Row],[TCL REFERENCE]],1)-1),"Main Line")</f>
        <v>Main Line</v>
      </c>
      <c r="D1248" s="439" t="s">
        <v>63</v>
      </c>
      <c r="E1248" s="439" t="s">
        <v>68</v>
      </c>
      <c r="F1248" s="439" t="str" cm="1">
        <f t="array" ref="F1248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48" s="439" t="s">
        <v>68</v>
      </c>
      <c r="H1248" s="439" t="s">
        <v>68</v>
      </c>
      <c r="I1248" s="439" t="s">
        <v>68</v>
      </c>
      <c r="J1248" s="431" t="s">
        <v>68</v>
      </c>
      <c r="M1248" s="430" t="s">
        <v>6325</v>
      </c>
      <c r="N1248" s="461" t="s">
        <v>68</v>
      </c>
      <c r="O1248" s="431" t="s">
        <v>4495</v>
      </c>
      <c r="P1248" s="431" t="s">
        <v>4529</v>
      </c>
      <c r="Q1248" s="431" t="s">
        <v>4530</v>
      </c>
      <c r="R1248" s="430" t="str">
        <f>_xlfn.XLOOKUP(PV_DATA[[#This Row],[New Ark SKU]],Table9[New Ark SKU],Table9[Connector],,0)</f>
        <v>EVO2A</v>
      </c>
      <c r="S1248" s="433" t="str">
        <f>_xlfn.XLOOKUP(PV_DATA[[#This Row],[New Ark SKU]],Table9[New Ark SKU],Table9[Cable],,0)</f>
        <v>±1400mm</v>
      </c>
      <c r="T1248" s="442">
        <v>645</v>
      </c>
      <c r="U1248" s="1067" cm="1">
        <f t="array" ref="U1248">9360-fx_qty</f>
        <v>0</v>
      </c>
      <c r="V1248" s="434">
        <f>PV_DATA[[#This Row],[QUANTITY]]*PV_DATA[[#This Row],[WATT]]/1000000</f>
        <v>0</v>
      </c>
      <c r="W1248" s="435">
        <f>PV_DATA[[#This Row],[QUANTITY]]/PV_DATA[[#This Row],[Qty/Pallet]]</f>
        <v>0</v>
      </c>
      <c r="X1248" s="1015">
        <f>PV_DATA[[#This Row],[QUANTITY]]/PV_DATA[[#This Row],[Qty/CT]]</f>
        <v>0</v>
      </c>
      <c r="Y1248" s="430" t="s">
        <v>7039</v>
      </c>
      <c r="Z1248" s="430" t="str">
        <f t="shared" si="36"/>
        <v/>
      </c>
      <c r="AB1248" s="441"/>
      <c r="AC1248" s="467" t="str">
        <f>IF(PV_DATA[[#This Row],[Pick-Up Date]]&lt;&gt;"",_xlfn.ISOWEEKNUM(PV_DATA[[#This Row],[Pick-Up Date]]),"")</f>
        <v/>
      </c>
      <c r="AF1248" s="431" t="s">
        <v>4432</v>
      </c>
      <c r="AG1248" s="431" t="s">
        <v>123</v>
      </c>
      <c r="AH1248" s="431" t="s">
        <v>105</v>
      </c>
      <c r="AI1248" s="441"/>
      <c r="AJ1248" s="441"/>
      <c r="AK1248" s="437" t="str">
        <f>IFERROR(IF(VLOOKUP(AT1248,Vessel!A:F,5,FALSE)=0,"",VLOOKUP(AT1248,Vessel!A:F,5,FALSE)),"")</f>
        <v/>
      </c>
      <c r="AL1248" s="441"/>
      <c r="AM1248" s="441"/>
      <c r="AN1248" s="586" t="str">
        <f>IFERROR(IF(VLOOKUP(AT1248,Vessel!A:I,9,FALSE)=0,"",VLOOKUP(AT1248,Vessel!A:I,9,FALSE)),"")</f>
        <v/>
      </c>
      <c r="AR1248" s="619"/>
      <c r="AU1248" s="619"/>
      <c r="AW1248" s="441" t="str" cm="1">
        <f t="array" ref="AW124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4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48" s="441" t="str">
        <f>IF(ISERROR(PV_DATA[[#This Row],[New Ark PO status]]),"",_xlfn.XLOOKUP(PV_DATA[[#This Row],[SPTN-PVHK New Ark PO'#]],New_Ark_Data[Purchase order Number],New_Ark_Data[Estimated time of arrival],"",0))</f>
        <v/>
      </c>
      <c r="AZ1248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248" s="437" t="str">
        <f>IFERROR(PV_DATA[[#This Row],[ODP ETA Port]]+PV_DATA[[#This Row],[Customs/Leg3 Assumption]],"n/a")</f>
        <v>n/a</v>
      </c>
      <c r="BB1248" s="442" t="e">
        <f>YEAR(PV_DATA[[#This Row],[ETA for New Ark update]])</f>
        <v>#VALUE!</v>
      </c>
      <c r="BC1248" s="431" t="e">
        <f>MONTH(PV_DATA[[#This Row],[ETA for New Ark update]])</f>
        <v>#VALUE!</v>
      </c>
      <c r="BD1248" s="431">
        <f>IFERROR(_xlfn.ISOWEEKNUM(PV_DATA[[#This Row],[ETA for New Ark update]]),0)</f>
        <v>0</v>
      </c>
      <c r="BE1248" s="431">
        <f>_xlfn.XLOOKUP(PV_DATA[[#This Row],[New Ark SKU]],Table9[New Ark SKU],Table9[Total PCS per Pallet],,0)</f>
        <v>36</v>
      </c>
      <c r="BF1248" s="431">
        <f>_xlfn.XLOOKUP(PV_DATA[[#This Row],[New Ark SKU]],Table9[New Ark SKU],Table9[Total PCS per 40HQ Container],,0)</f>
        <v>720</v>
      </c>
      <c r="BG1248" s="431" t="str">
        <f>_xlfn.XLOOKUP(PV_DATA[[#This Row],[New Ark SKU]],Table9[New Ark SKU],Table9[Back Glass],,0)</f>
        <v>Transparent</v>
      </c>
      <c r="BH1248" s="431" t="str">
        <f>_xlfn.XLOOKUP(PV_DATA[[#This Row],[PORT DESTINATION]],Table12[PORT DESTINATION],Table12[Cosco Line],,0)</f>
        <v>AEU</v>
      </c>
    </row>
    <row r="1249" spans="1:62" ht="10.5" hidden="1">
      <c r="A1249" s="439" t="s">
        <v>7515</v>
      </c>
      <c r="B1249" s="439" t="s">
        <v>111</v>
      </c>
      <c r="C1249" s="439" t="str">
        <f>IFERROR(LEFT(PV_DATA[[#This Row],[TCL REFERENCE]],FIND(".",PV_DATA[[#This Row],[TCL REFERENCE]],1)-1),"Main Line")</f>
        <v>Main Line</v>
      </c>
      <c r="D1249" s="439" t="s">
        <v>63</v>
      </c>
      <c r="E1249" s="439" t="s">
        <v>68</v>
      </c>
      <c r="F1249" s="439" t="str" cm="1">
        <f t="array" ref="F1249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49" s="439" t="s">
        <v>68</v>
      </c>
      <c r="H1249" s="439" t="s">
        <v>68</v>
      </c>
      <c r="I1249" s="439" t="s">
        <v>68</v>
      </c>
      <c r="J1249" s="431" t="s">
        <v>68</v>
      </c>
      <c r="K1249" s="431"/>
      <c r="L1249" s="431"/>
      <c r="M1249" s="430" t="s">
        <v>6325</v>
      </c>
      <c r="N1249" s="461">
        <v>46191</v>
      </c>
      <c r="O1249" s="431" t="s">
        <v>550</v>
      </c>
      <c r="P1249" s="431" t="s">
        <v>551</v>
      </c>
      <c r="Q1249" s="431" t="s">
        <v>2151</v>
      </c>
      <c r="R1249" s="430" t="str">
        <f>_xlfn.XLOOKUP(PV_DATA[[#This Row],[New Ark SKU]],Table9[New Ark SKU],Table9[Connector],,0)</f>
        <v>EVO2A</v>
      </c>
      <c r="S1249" s="433" t="str">
        <f>_xlfn.XLOOKUP(PV_DATA[[#This Row],[New Ark SKU]],Table9[New Ark SKU],Table9[Cable],,0)</f>
        <v>±1350mm</v>
      </c>
      <c r="T1249" s="442">
        <v>510</v>
      </c>
      <c r="U1249" s="1067" cm="1">
        <f t="array" ref="U1249">7920-fx_qty</f>
        <v>0</v>
      </c>
      <c r="V1249" s="434">
        <f>PV_DATA[[#This Row],[QUANTITY]]*PV_DATA[[#This Row],[WATT]]/1000000</f>
        <v>0</v>
      </c>
      <c r="W1249" s="435">
        <f>PV_DATA[[#This Row],[QUANTITY]]/PV_DATA[[#This Row],[Qty/Pallet]]</f>
        <v>0</v>
      </c>
      <c r="X1249" s="1015">
        <f>PV_DATA[[#This Row],[QUANTITY]]/PV_DATA[[#This Row],[Qty/CT]]</f>
        <v>0</v>
      </c>
      <c r="Y1249" s="431" t="s">
        <v>7039</v>
      </c>
      <c r="Z1249" s="430" t="str">
        <f t="shared" si="36"/>
        <v/>
      </c>
      <c r="AA1249" s="431"/>
      <c r="AB1249" s="441"/>
      <c r="AC1249" s="467" t="str">
        <f>IF(PV_DATA[[#This Row],[Pick-Up Date]]&lt;&gt;"",_xlfn.ISOWEEKNUM(PV_DATA[[#This Row],[Pick-Up Date]]),"")</f>
        <v/>
      </c>
      <c r="AD1249" s="991"/>
      <c r="AE1249" s="431"/>
      <c r="AF1249" s="431" t="s">
        <v>122</v>
      </c>
      <c r="AG1249" s="431" t="s">
        <v>123</v>
      </c>
      <c r="AH1249" s="431" t="s">
        <v>68</v>
      </c>
      <c r="AI1249" s="441"/>
      <c r="AJ1249" s="441"/>
      <c r="AK1249" s="437" t="str">
        <f>IFERROR(IF(VLOOKUP(AT1249,Vessel!A:F,5,FALSE)=0,"",VLOOKUP(AT1249,Vessel!A:F,5,FALSE)),"")</f>
        <v/>
      </c>
      <c r="AL1249" s="441"/>
      <c r="AM1249" s="441"/>
      <c r="AN1249" s="586" t="str">
        <f>IFERROR(IF(VLOOKUP(AT1249,Vessel!A:I,9,FALSE)=0,"",VLOOKUP(AT1249,Vessel!A:I,9,FALSE)),"")</f>
        <v/>
      </c>
      <c r="AO1249" s="431"/>
      <c r="AP1249" s="431"/>
      <c r="AQ1249" s="431"/>
      <c r="AR1249" s="619"/>
      <c r="AS1249" s="431"/>
      <c r="AT1249" s="431"/>
      <c r="AU1249" s="619"/>
      <c r="AV1249" s="441"/>
      <c r="AW1249" s="441" t="str" cm="1">
        <f t="array" ref="AW124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4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49" s="441" t="str">
        <f>IF(ISERROR(PV_DATA[[#This Row],[New Ark PO status]]),"",_xlfn.XLOOKUP(PV_DATA[[#This Row],[SPTN-PVHK New Ark PO'#]],New_Ark_Data[Purchase order Number],New_Ark_Data[Estimated time of arrival],"",0))</f>
        <v/>
      </c>
      <c r="AZ1249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49" s="437" t="str">
        <f>IFERROR(PV_DATA[[#This Row],[ODP ETA Port]]+PV_DATA[[#This Row],[Customs/Leg3 Assumption]],"n/a")</f>
        <v>n/a</v>
      </c>
      <c r="BB1249" s="442" t="e">
        <f>YEAR(PV_DATA[[#This Row],[ETA for New Ark update]])</f>
        <v>#VALUE!</v>
      </c>
      <c r="BC1249" s="431" t="e">
        <f>MONTH(PV_DATA[[#This Row],[ETA for New Ark update]])</f>
        <v>#VALUE!</v>
      </c>
      <c r="BD1249" s="431">
        <f>IFERROR(_xlfn.ISOWEEKNUM(PV_DATA[[#This Row],[ETA for New Ark update]]),0)</f>
        <v>0</v>
      </c>
      <c r="BE1249" s="431">
        <f>_xlfn.XLOOKUP(PV_DATA[[#This Row],[New Ark SKU]],Table9[New Ark SKU],Table9[Total PCS per Pallet],,0)</f>
        <v>36</v>
      </c>
      <c r="BF1249" s="431">
        <f>_xlfn.XLOOKUP(PV_DATA[[#This Row],[New Ark SKU]],Table9[New Ark SKU],Table9[Total PCS per 40HQ Container],,0)</f>
        <v>792</v>
      </c>
      <c r="BG1249" s="431" t="str">
        <f>_xlfn.XLOOKUP(PV_DATA[[#This Row],[New Ark SKU]],Table9[New Ark SKU],Table9[Back Glass],,0)</f>
        <v>Black glazing</v>
      </c>
      <c r="BH1249" s="431" t="str">
        <f>_xlfn.XLOOKUP(PV_DATA[[#This Row],[PORT DESTINATION]],Table12[PORT DESTINATION],Table12[Cosco Line],,0)</f>
        <v>n/a</v>
      </c>
      <c r="BJ1249" s="430"/>
    </row>
    <row r="1250" spans="1:62" ht="10.5" hidden="1">
      <c r="A1250" s="439" t="s">
        <v>7516</v>
      </c>
      <c r="B1250" s="439" t="s">
        <v>111</v>
      </c>
      <c r="C1250" s="439" t="str">
        <f>IFERROR(LEFT(PV_DATA[[#This Row],[TCL REFERENCE]],FIND(".",PV_DATA[[#This Row],[TCL REFERENCE]],1)-1),"Main Line")</f>
        <v>Main Line</v>
      </c>
      <c r="D1250" s="439" t="s">
        <v>63</v>
      </c>
      <c r="E1250" s="439" t="s">
        <v>68</v>
      </c>
      <c r="F1250" s="439" t="str" cm="1">
        <f t="array" ref="F1250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50" s="439" t="s">
        <v>68</v>
      </c>
      <c r="H1250" s="439" t="s">
        <v>68</v>
      </c>
      <c r="I1250" s="439" t="s">
        <v>68</v>
      </c>
      <c r="J1250" s="431" t="s">
        <v>68</v>
      </c>
      <c r="K1250" s="431"/>
      <c r="L1250" s="431"/>
      <c r="M1250" s="430" t="s">
        <v>6325</v>
      </c>
      <c r="N1250" s="461">
        <v>46199</v>
      </c>
      <c r="O1250" s="431" t="s">
        <v>550</v>
      </c>
      <c r="P1250" s="431" t="s">
        <v>2134</v>
      </c>
      <c r="Q1250" s="431" t="s">
        <v>2135</v>
      </c>
      <c r="R1250" s="430" t="str">
        <f>_xlfn.XLOOKUP(PV_DATA[[#This Row],[New Ark SKU]],Table9[New Ark SKU],Table9[Connector],,0)</f>
        <v>EVO2A</v>
      </c>
      <c r="S1250" s="433" t="str">
        <f>_xlfn.XLOOKUP(PV_DATA[[#This Row],[New Ark SKU]],Table9[New Ark SKU],Table9[Cable],,0)</f>
        <v>±1350mm</v>
      </c>
      <c r="T1250" s="442">
        <v>515</v>
      </c>
      <c r="U1250" s="1067" cm="1">
        <f t="array" ref="U1250">11880-fx_qty</f>
        <v>0</v>
      </c>
      <c r="V1250" s="434">
        <f>PV_DATA[[#This Row],[QUANTITY]]*PV_DATA[[#This Row],[WATT]]/1000000</f>
        <v>0</v>
      </c>
      <c r="W1250" s="435">
        <f>PV_DATA[[#This Row],[QUANTITY]]/PV_DATA[[#This Row],[Qty/Pallet]]</f>
        <v>0</v>
      </c>
      <c r="X1250" s="1015">
        <f>PV_DATA[[#This Row],[QUANTITY]]/PV_DATA[[#This Row],[Qty/CT]]</f>
        <v>0</v>
      </c>
      <c r="Y1250" s="431" t="s">
        <v>7039</v>
      </c>
      <c r="Z1250" s="430" t="str">
        <f t="shared" si="36"/>
        <v/>
      </c>
      <c r="AA1250" s="431"/>
      <c r="AB1250" s="441"/>
      <c r="AC1250" s="467" t="str">
        <f>IF(PV_DATA[[#This Row],[Pick-Up Date]]&lt;&gt;"",_xlfn.ISOWEEKNUM(PV_DATA[[#This Row],[Pick-Up Date]]),"")</f>
        <v/>
      </c>
      <c r="AD1250" s="431"/>
      <c r="AE1250" s="431"/>
      <c r="AF1250" s="431" t="s">
        <v>122</v>
      </c>
      <c r="AG1250" s="431" t="s">
        <v>123</v>
      </c>
      <c r="AH1250" s="431" t="s">
        <v>68</v>
      </c>
      <c r="AI1250" s="441"/>
      <c r="AJ1250" s="441"/>
      <c r="AK1250" s="437" t="str">
        <f>IFERROR(IF(VLOOKUP(AT1250,Vessel!A:F,5,FALSE)=0,"",VLOOKUP(AT1250,Vessel!A:F,5,FALSE)),"")</f>
        <v/>
      </c>
      <c r="AL1250" s="441">
        <v>46195</v>
      </c>
      <c r="AM1250" s="441"/>
      <c r="AN1250" s="586" t="str">
        <f>IFERROR(IF(VLOOKUP(AT1250,Vessel!A:I,9,FALSE)=0,"",VLOOKUP(AT1250,Vessel!A:I,9,FALSE)),"")</f>
        <v/>
      </c>
      <c r="AO1250" s="431"/>
      <c r="AP1250" s="431"/>
      <c r="AQ1250" s="431"/>
      <c r="AR1250" s="619"/>
      <c r="AS1250" s="431"/>
      <c r="AT1250" s="431"/>
      <c r="AU1250" s="619"/>
      <c r="AV1250" s="441"/>
      <c r="AW1250" s="441" cm="1">
        <f t="array" ref="AW125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46195</v>
      </c>
      <c r="AX1250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50" s="441" t="str">
        <f>IF(ISERROR(PV_DATA[[#This Row],[New Ark PO status]]),"",_xlfn.XLOOKUP(PV_DATA[[#This Row],[SPTN-PVHK New Ark PO'#]],New_Ark_Data[Purchase order Number],New_Ark_Data[Estimated time of arrival],"",0))</f>
        <v/>
      </c>
      <c r="AZ1250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50" s="437">
        <f>IFERROR(PV_DATA[[#This Row],[ODP ETA Port]]+PV_DATA[[#This Row],[Customs/Leg3 Assumption]],"n/a")</f>
        <v>46209</v>
      </c>
      <c r="BB1250" s="442">
        <f>YEAR(PV_DATA[[#This Row],[ETA for New Ark update]])</f>
        <v>2026</v>
      </c>
      <c r="BC1250" s="431">
        <f>MONTH(PV_DATA[[#This Row],[ETA for New Ark update]])</f>
        <v>7</v>
      </c>
      <c r="BD1250" s="431">
        <f>IFERROR(_xlfn.ISOWEEKNUM(PV_DATA[[#This Row],[ETA for New Ark update]]),0)</f>
        <v>28</v>
      </c>
      <c r="BE1250" s="431">
        <f>_xlfn.XLOOKUP(PV_DATA[[#This Row],[New Ark SKU]],Table9[New Ark SKU],Table9[Total PCS per Pallet],,0)</f>
        <v>36</v>
      </c>
      <c r="BF1250" s="431">
        <f>_xlfn.XLOOKUP(PV_DATA[[#This Row],[New Ark SKU]],Table9[New Ark SKU],Table9[Total PCS per 40HQ Container],,0)</f>
        <v>792</v>
      </c>
      <c r="BG1250" s="431" t="str">
        <f>_xlfn.XLOOKUP(PV_DATA[[#This Row],[New Ark SKU]],Table9[New Ark SKU],Table9[Back Glass],,0)</f>
        <v>Black glazing</v>
      </c>
      <c r="BH1250" s="431" t="str">
        <f>_xlfn.XLOOKUP(PV_DATA[[#This Row],[PORT DESTINATION]],Table12[PORT DESTINATION],Table12[Cosco Line],,0)</f>
        <v>n/a</v>
      </c>
      <c r="BJ1250" s="430"/>
    </row>
    <row r="1251" spans="1:62" ht="10.5" hidden="1">
      <c r="A1251" s="439" t="s">
        <v>7517</v>
      </c>
      <c r="B1251" s="439" t="s">
        <v>111</v>
      </c>
      <c r="C1251" s="439" t="str">
        <f>IFERROR(LEFT(PV_DATA[[#This Row],[TCL REFERENCE]],FIND(".",PV_DATA[[#This Row],[TCL REFERENCE]],1)-1),"Main Line")</f>
        <v>Main Line</v>
      </c>
      <c r="D1251" s="439" t="s">
        <v>63</v>
      </c>
      <c r="E1251" s="439" t="s">
        <v>68</v>
      </c>
      <c r="F1251" s="439" t="str" cm="1">
        <f t="array" ref="F1251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51" s="439" t="s">
        <v>68</v>
      </c>
      <c r="H1251" s="439" t="s">
        <v>68</v>
      </c>
      <c r="I1251" s="439" t="s">
        <v>68</v>
      </c>
      <c r="J1251" s="431" t="s">
        <v>68</v>
      </c>
      <c r="K1251" s="431"/>
      <c r="L1251" s="431"/>
      <c r="M1251" s="430" t="s">
        <v>6325</v>
      </c>
      <c r="N1251" s="461">
        <v>46188</v>
      </c>
      <c r="O1251" s="431" t="s">
        <v>132</v>
      </c>
      <c r="P1251" s="431" t="s">
        <v>189</v>
      </c>
      <c r="Q1251" s="431" t="s">
        <v>190</v>
      </c>
      <c r="R1251" s="430" t="str">
        <f>_xlfn.XLOOKUP(PV_DATA[[#This Row],[New Ark SKU]],Table9[New Ark SKU],Table9[Connector],,0)</f>
        <v>EVO2A</v>
      </c>
      <c r="S1251" s="433" t="str">
        <f>_xlfn.XLOOKUP(PV_DATA[[#This Row],[New Ark SKU]],Table9[New Ark SKU],Table9[Cable],,0)</f>
        <v>±1200mm</v>
      </c>
      <c r="T1251" s="442">
        <v>465</v>
      </c>
      <c r="U1251" s="1067" cm="1">
        <f t="array" ref="U1251">7776-fx_qty</f>
        <v>0</v>
      </c>
      <c r="V1251" s="434">
        <f>PV_DATA[[#This Row],[QUANTITY]]*PV_DATA[[#This Row],[WATT]]/1000000</f>
        <v>0</v>
      </c>
      <c r="W1251" s="435">
        <f>PV_DATA[[#This Row],[QUANTITY]]/PV_DATA[[#This Row],[Qty/Pallet]]</f>
        <v>0</v>
      </c>
      <c r="X1251" s="1015">
        <f>PV_DATA[[#This Row],[QUANTITY]]/PV_DATA[[#This Row],[Qty/CT]]</f>
        <v>0</v>
      </c>
      <c r="Y1251" s="431" t="s">
        <v>7039</v>
      </c>
      <c r="Z1251" s="430" t="str">
        <f t="shared" ref="Z1251:Z1282" si="37">IF(AN1251&lt;&gt;"","COMPLETED",IF(AK1251&lt;&gt;"","IN-TRANSIT",""))</f>
        <v/>
      </c>
      <c r="AA1251" s="431"/>
      <c r="AB1251" s="441"/>
      <c r="AC1251" s="467" t="str">
        <f>IF(PV_DATA[[#This Row],[Pick-Up Date]]&lt;&gt;"",_xlfn.ISOWEEKNUM(PV_DATA[[#This Row],[Pick-Up Date]]),"")</f>
        <v/>
      </c>
      <c r="AD1251" s="431"/>
      <c r="AE1251" s="431"/>
      <c r="AF1251" s="431" t="s">
        <v>122</v>
      </c>
      <c r="AG1251" s="431" t="s">
        <v>123</v>
      </c>
      <c r="AH1251" s="431" t="s">
        <v>68</v>
      </c>
      <c r="AI1251" s="441"/>
      <c r="AJ1251" s="441"/>
      <c r="AK1251" s="437" t="str">
        <f>IFERROR(IF(VLOOKUP(AT1251,Vessel!A:F,5,FALSE)=0,"",VLOOKUP(AT1251,Vessel!A:F,5,FALSE)),"")</f>
        <v/>
      </c>
      <c r="AL1251" s="441"/>
      <c r="AM1251" s="441"/>
      <c r="AN1251" s="586" t="str">
        <f>IFERROR(IF(VLOOKUP(AT1251,Vessel!A:I,9,FALSE)=0,"",VLOOKUP(AT1251,Vessel!A:I,9,FALSE)),"")</f>
        <v/>
      </c>
      <c r="AO1251" s="431"/>
      <c r="AP1251" s="431"/>
      <c r="AQ1251" s="431"/>
      <c r="AR1251" s="619"/>
      <c r="AS1251" s="431"/>
      <c r="AT1251" s="431"/>
      <c r="AU1251" s="619"/>
      <c r="AV1251" s="441"/>
      <c r="AW1251" s="441" t="str" cm="1">
        <f t="array" ref="AW125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5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51" s="441" t="str">
        <f>IF(ISERROR(PV_DATA[[#This Row],[New Ark PO status]]),"",_xlfn.XLOOKUP(PV_DATA[[#This Row],[SPTN-PVHK New Ark PO'#]],New_Ark_Data[Purchase order Number],New_Ark_Data[Estimated time of arrival],"",0))</f>
        <v/>
      </c>
      <c r="AZ1251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51" s="437" t="str">
        <f>IFERROR(PV_DATA[[#This Row],[ODP ETA Port]]+PV_DATA[[#This Row],[Customs/Leg3 Assumption]],"n/a")</f>
        <v>n/a</v>
      </c>
      <c r="BB1251" s="442" t="e">
        <f>YEAR(PV_DATA[[#This Row],[ETA for New Ark update]])</f>
        <v>#VALUE!</v>
      </c>
      <c r="BC1251" s="431" t="e">
        <f>MONTH(PV_DATA[[#This Row],[ETA for New Ark update]])</f>
        <v>#VALUE!</v>
      </c>
      <c r="BD1251" s="431">
        <f>IFERROR(_xlfn.ISOWEEKNUM(PV_DATA[[#This Row],[ETA for New Ark update]]),0)</f>
        <v>0</v>
      </c>
      <c r="BE1251" s="431">
        <f>_xlfn.XLOOKUP(PV_DATA[[#This Row],[New Ark SKU]],Table9[New Ark SKU],Table9[Total PCS per Pallet],,0)</f>
        <v>36</v>
      </c>
      <c r="BF1251" s="431">
        <f>_xlfn.XLOOKUP(PV_DATA[[#This Row],[New Ark SKU]],Table9[New Ark SKU],Table9[Total PCS per 40HQ Container],,0)</f>
        <v>864</v>
      </c>
      <c r="BG1251" s="431" t="str">
        <f>_xlfn.XLOOKUP(PV_DATA[[#This Row],[New Ark SKU]],Table9[New Ark SKU],Table9[Back Glass],,0)</f>
        <v>White glazing</v>
      </c>
      <c r="BH1251" s="431" t="str">
        <f>_xlfn.XLOOKUP(PV_DATA[[#This Row],[PORT DESTINATION]],Table12[PORT DESTINATION],Table12[Cosco Line],,0)</f>
        <v>n/a</v>
      </c>
      <c r="BJ1251" s="430"/>
    </row>
    <row r="1252" spans="1:62" ht="10.5" hidden="1">
      <c r="A1252" s="439" t="s">
        <v>7518</v>
      </c>
      <c r="B1252" s="439" t="s">
        <v>111</v>
      </c>
      <c r="C1252" s="439" t="str">
        <f>IFERROR(LEFT(PV_DATA[[#This Row],[TCL REFERENCE]],FIND(".",PV_DATA[[#This Row],[TCL REFERENCE]],1)-1),"Main Line")</f>
        <v>Main Line</v>
      </c>
      <c r="D1252" s="439" t="s">
        <v>63</v>
      </c>
      <c r="E1252" s="439" t="s">
        <v>68</v>
      </c>
      <c r="F1252" s="439" t="str" cm="1">
        <f t="array" ref="F1252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52" s="439" t="s">
        <v>68</v>
      </c>
      <c r="H1252" s="439" t="s">
        <v>68</v>
      </c>
      <c r="I1252" s="439" t="s">
        <v>68</v>
      </c>
      <c r="J1252" s="431" t="s">
        <v>68</v>
      </c>
      <c r="K1252" s="431"/>
      <c r="L1252" s="431"/>
      <c r="M1252" s="430" t="s">
        <v>6325</v>
      </c>
      <c r="N1252" s="461">
        <v>46188</v>
      </c>
      <c r="O1252" s="431" t="s">
        <v>132</v>
      </c>
      <c r="P1252" s="431" t="s">
        <v>1062</v>
      </c>
      <c r="Q1252" s="431" t="s">
        <v>1063</v>
      </c>
      <c r="R1252" s="430" t="str">
        <f>_xlfn.XLOOKUP(PV_DATA[[#This Row],[New Ark SKU]],Table9[New Ark SKU],Table9[Connector],,0)</f>
        <v>EVO2A</v>
      </c>
      <c r="S1252" s="433" t="str">
        <f>_xlfn.XLOOKUP(PV_DATA[[#This Row],[New Ark SKU]],Table9[New Ark SKU],Table9[Cable],,0)</f>
        <v>±1200mm</v>
      </c>
      <c r="T1252" s="442">
        <v>470</v>
      </c>
      <c r="U1252" s="1067" cm="1">
        <f t="array" ref="U1252">24192-fx_qty</f>
        <v>0</v>
      </c>
      <c r="V1252" s="434">
        <f>PV_DATA[[#This Row],[QUANTITY]]*PV_DATA[[#This Row],[WATT]]/1000000</f>
        <v>0</v>
      </c>
      <c r="W1252" s="435">
        <f>PV_DATA[[#This Row],[QUANTITY]]/PV_DATA[[#This Row],[Qty/Pallet]]</f>
        <v>0</v>
      </c>
      <c r="X1252" s="1015">
        <f>PV_DATA[[#This Row],[QUANTITY]]/PV_DATA[[#This Row],[Qty/CT]]</f>
        <v>0</v>
      </c>
      <c r="Y1252" s="431" t="s">
        <v>7039</v>
      </c>
      <c r="Z1252" s="430" t="str">
        <f t="shared" si="37"/>
        <v/>
      </c>
      <c r="AA1252" s="431"/>
      <c r="AB1252" s="441"/>
      <c r="AC1252" s="467" t="str">
        <f>IF(PV_DATA[[#This Row],[Pick-Up Date]]&lt;&gt;"",_xlfn.ISOWEEKNUM(PV_DATA[[#This Row],[Pick-Up Date]]),"")</f>
        <v/>
      </c>
      <c r="AD1252" s="431"/>
      <c r="AE1252" s="431"/>
      <c r="AF1252" s="431" t="s">
        <v>122</v>
      </c>
      <c r="AG1252" s="431" t="s">
        <v>123</v>
      </c>
      <c r="AH1252" s="431" t="s">
        <v>68</v>
      </c>
      <c r="AI1252" s="441"/>
      <c r="AJ1252" s="441"/>
      <c r="AK1252" s="437" t="str">
        <f>IFERROR(IF(VLOOKUP(AT1252,Vessel!A:F,5,FALSE)=0,"",VLOOKUP(AT1252,Vessel!A:F,5,FALSE)),"")</f>
        <v/>
      </c>
      <c r="AL1252" s="441"/>
      <c r="AM1252" s="441"/>
      <c r="AN1252" s="586" t="str">
        <f>IFERROR(IF(VLOOKUP(AT1252,Vessel!A:I,9,FALSE)=0,"",VLOOKUP(AT1252,Vessel!A:I,9,FALSE)),"")</f>
        <v/>
      </c>
      <c r="AO1252" s="431"/>
      <c r="AP1252" s="431"/>
      <c r="AQ1252" s="431"/>
      <c r="AR1252" s="619"/>
      <c r="AS1252" s="431"/>
      <c r="AT1252" s="431"/>
      <c r="AU1252" s="619"/>
      <c r="AV1252" s="441"/>
      <c r="AW1252" s="441" t="str" cm="1">
        <f t="array" ref="AW125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5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52" s="441" t="str">
        <f>IF(ISERROR(PV_DATA[[#This Row],[New Ark PO status]]),"",_xlfn.XLOOKUP(PV_DATA[[#This Row],[SPTN-PVHK New Ark PO'#]],New_Ark_Data[Purchase order Number],New_Ark_Data[Estimated time of arrival],"",0))</f>
        <v/>
      </c>
      <c r="AZ1252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52" s="437" t="str">
        <f>IFERROR(PV_DATA[[#This Row],[ODP ETA Port]]+PV_DATA[[#This Row],[Customs/Leg3 Assumption]],"n/a")</f>
        <v>n/a</v>
      </c>
      <c r="BB1252" s="442" t="e">
        <f>YEAR(PV_DATA[[#This Row],[ETA for New Ark update]])</f>
        <v>#VALUE!</v>
      </c>
      <c r="BC1252" s="431" t="e">
        <f>MONTH(PV_DATA[[#This Row],[ETA for New Ark update]])</f>
        <v>#VALUE!</v>
      </c>
      <c r="BD1252" s="431">
        <f>IFERROR(_xlfn.ISOWEEKNUM(PV_DATA[[#This Row],[ETA for New Ark update]]),0)</f>
        <v>0</v>
      </c>
      <c r="BE1252" s="431">
        <f>_xlfn.XLOOKUP(PV_DATA[[#This Row],[New Ark SKU]],Table9[New Ark SKU],Table9[Total PCS per Pallet],,0)</f>
        <v>36</v>
      </c>
      <c r="BF1252" s="431">
        <f>_xlfn.XLOOKUP(PV_DATA[[#This Row],[New Ark SKU]],Table9[New Ark SKU],Table9[Total PCS per 40HQ Container],,0)</f>
        <v>864</v>
      </c>
      <c r="BG1252" s="431" t="str">
        <f>_xlfn.XLOOKUP(PV_DATA[[#This Row],[New Ark SKU]],Table9[New Ark SKU],Table9[Back Glass],,0)</f>
        <v>White glazing</v>
      </c>
      <c r="BH1252" s="431" t="str">
        <f>_xlfn.XLOOKUP(PV_DATA[[#This Row],[PORT DESTINATION]],Table12[PORT DESTINATION],Table12[Cosco Line],,0)</f>
        <v>n/a</v>
      </c>
      <c r="BJ1252" s="430"/>
    </row>
    <row r="1253" spans="1:62" ht="10.5" hidden="1">
      <c r="A1253" s="439" t="s">
        <v>7519</v>
      </c>
      <c r="B1253" s="439" t="s">
        <v>5327</v>
      </c>
      <c r="C1253" s="439" t="str">
        <f>IFERROR(LEFT(PV_DATA[[#This Row],[TCL REFERENCE]],FIND(".",PV_DATA[[#This Row],[TCL REFERENCE]],1)-1),"Main Line")</f>
        <v>Main Line</v>
      </c>
      <c r="D1253" s="439" t="s">
        <v>63</v>
      </c>
      <c r="E1253" s="439" t="s">
        <v>68</v>
      </c>
      <c r="F1253" s="439" t="str" cm="1">
        <f t="array" ref="F1253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53" s="439" t="s">
        <v>68</v>
      </c>
      <c r="H1253" s="439" t="s">
        <v>68</v>
      </c>
      <c r="I1253" s="439" t="s">
        <v>68</v>
      </c>
      <c r="J1253" s="431" t="s">
        <v>68</v>
      </c>
      <c r="K1253" s="431"/>
      <c r="L1253" s="431"/>
      <c r="M1253" s="430" t="s">
        <v>6325</v>
      </c>
      <c r="N1253" s="461" t="s">
        <v>68</v>
      </c>
      <c r="O1253" s="431" t="s">
        <v>4540</v>
      </c>
      <c r="P1253" s="431" t="s">
        <v>1461</v>
      </c>
      <c r="Q1253" s="431" t="s">
        <v>103</v>
      </c>
      <c r="R1253" s="430" t="str">
        <f>_xlfn.XLOOKUP(PV_DATA[[#This Row],[New Ark SKU]],Table9[New Ark SKU],Table9[Connector],,0)</f>
        <v>EVO2A</v>
      </c>
      <c r="S1253" s="433" t="str">
        <f>_xlfn.XLOOKUP(PV_DATA[[#This Row],[New Ark SKU]],Table9[New Ark SKU],Table9[Cable],,0)</f>
        <v>±1400mm</v>
      </c>
      <c r="T1253" s="442">
        <v>620</v>
      </c>
      <c r="U1253" s="1067" cm="1">
        <f t="array" ref="U1253">6480-fx_qty</f>
        <v>0</v>
      </c>
      <c r="V1253" s="434">
        <f>PV_DATA[[#This Row],[QUANTITY]]*PV_DATA[[#This Row],[WATT]]/1000000</f>
        <v>0</v>
      </c>
      <c r="W1253" s="435">
        <f>PV_DATA[[#This Row],[QUANTITY]]/PV_DATA[[#This Row],[Qty/Pallet]]</f>
        <v>0</v>
      </c>
      <c r="X1253" s="1015">
        <f>PV_DATA[[#This Row],[QUANTITY]]/PV_DATA[[#This Row],[Qty/CT]]</f>
        <v>0</v>
      </c>
      <c r="Y1253" s="431" t="s">
        <v>7039</v>
      </c>
      <c r="Z1253" s="430" t="str">
        <f t="shared" si="37"/>
        <v/>
      </c>
      <c r="AA1253" s="431"/>
      <c r="AB1253" s="441"/>
      <c r="AC1253" s="467" t="str">
        <f>IF(PV_DATA[[#This Row],[Pick-Up Date]]&lt;&gt;"",_xlfn.ISOWEEKNUM(PV_DATA[[#This Row],[Pick-Up Date]]),"")</f>
        <v/>
      </c>
      <c r="AD1253" s="431"/>
      <c r="AE1253" s="431"/>
      <c r="AF1253" s="431" t="s">
        <v>122</v>
      </c>
      <c r="AG1253" s="431" t="s">
        <v>123</v>
      </c>
      <c r="AH1253" s="431" t="s">
        <v>68</v>
      </c>
      <c r="AI1253" s="441"/>
      <c r="AJ1253" s="441"/>
      <c r="AK1253" s="437" t="str">
        <f>IFERROR(IF(VLOOKUP(AT1253,Vessel!A:F,5,FALSE)=0,"",VLOOKUP(AT1253,Vessel!A:F,5,FALSE)),"")</f>
        <v/>
      </c>
      <c r="AL1253" s="441"/>
      <c r="AM1253" s="441"/>
      <c r="AN1253" s="586" t="str">
        <f>IFERROR(IF(VLOOKUP(AT1253,Vessel!A:I,9,FALSE)=0,"",VLOOKUP(AT1253,Vessel!A:I,9,FALSE)),"")</f>
        <v/>
      </c>
      <c r="AO1253" s="431"/>
      <c r="AP1253" s="431"/>
      <c r="AQ1253" s="431"/>
      <c r="AR1253" s="619"/>
      <c r="AS1253" s="431"/>
      <c r="AT1253" s="431"/>
      <c r="AU1253" s="619"/>
      <c r="AV1253" s="441"/>
      <c r="AW1253" s="441" t="str" cm="1">
        <f t="array" ref="AW125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5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53" s="441" t="str">
        <f>IF(ISERROR(PV_DATA[[#This Row],[New Ark PO status]]),"",_xlfn.XLOOKUP(PV_DATA[[#This Row],[SPTN-PVHK New Ark PO'#]],New_Ark_Data[Purchase order Number],New_Ark_Data[Estimated time of arrival],"",0))</f>
        <v/>
      </c>
      <c r="AZ1253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53" s="437" t="str">
        <f>IFERROR(PV_DATA[[#This Row],[ODP ETA Port]]+PV_DATA[[#This Row],[Customs/Leg3 Assumption]],"n/a")</f>
        <v>n/a</v>
      </c>
      <c r="BB1253" s="442" t="e">
        <f>YEAR(PV_DATA[[#This Row],[ETA for New Ark update]])</f>
        <v>#VALUE!</v>
      </c>
      <c r="BC1253" s="431" t="e">
        <f>MONTH(PV_DATA[[#This Row],[ETA for New Ark update]])</f>
        <v>#VALUE!</v>
      </c>
      <c r="BD1253" s="431">
        <f>IFERROR(_xlfn.ISOWEEKNUM(PV_DATA[[#This Row],[ETA for New Ark update]]),0)</f>
        <v>0</v>
      </c>
      <c r="BE1253" s="431">
        <f>_xlfn.XLOOKUP(PV_DATA[[#This Row],[New Ark SKU]],Table9[New Ark SKU],Table9[Total PCS per Pallet],,0)</f>
        <v>36</v>
      </c>
      <c r="BF1253" s="431">
        <f>_xlfn.XLOOKUP(PV_DATA[[#This Row],[New Ark SKU]],Table9[New Ark SKU],Table9[Total PCS per 40HQ Container],,0)</f>
        <v>720</v>
      </c>
      <c r="BG1253" s="431" t="str">
        <f>_xlfn.XLOOKUP(PV_DATA[[#This Row],[New Ark SKU]],Table9[New Ark SKU],Table9[Back Glass],,0)</f>
        <v>Redirection Film</v>
      </c>
      <c r="BH1253" s="431" t="str">
        <f>_xlfn.XLOOKUP(PV_DATA[[#This Row],[PORT DESTINATION]],Table12[PORT DESTINATION],Table12[Cosco Line],,0)</f>
        <v>n/a</v>
      </c>
      <c r="BJ1253" s="430"/>
    </row>
    <row r="1254" spans="1:62" ht="10.5" hidden="1">
      <c r="A1254" s="439" t="s">
        <v>7520</v>
      </c>
      <c r="B1254" s="439" t="s">
        <v>5327</v>
      </c>
      <c r="C1254" s="439" t="str">
        <f>IFERROR(LEFT(PV_DATA[[#This Row],[TCL REFERENCE]],FIND(".",PV_DATA[[#This Row],[TCL REFERENCE]],1)-1),"Main Line")</f>
        <v>Main Line</v>
      </c>
      <c r="D1254" s="439" t="s">
        <v>63</v>
      </c>
      <c r="E1254" s="439" t="s">
        <v>68</v>
      </c>
      <c r="F1254" s="439" t="str" cm="1">
        <f t="array" ref="F1254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54" s="439" t="s">
        <v>68</v>
      </c>
      <c r="H1254" s="439" t="s">
        <v>68</v>
      </c>
      <c r="I1254" s="439" t="s">
        <v>68</v>
      </c>
      <c r="J1254" s="431" t="s">
        <v>68</v>
      </c>
      <c r="K1254" s="431"/>
      <c r="L1254" s="431"/>
      <c r="M1254" s="430" t="s">
        <v>6325</v>
      </c>
      <c r="N1254" s="461" t="s">
        <v>68</v>
      </c>
      <c r="O1254" s="431" t="s">
        <v>4540</v>
      </c>
      <c r="P1254" s="431" t="s">
        <v>5111</v>
      </c>
      <c r="Q1254" s="431" t="s">
        <v>103</v>
      </c>
      <c r="R1254" s="430" t="str">
        <f>_xlfn.XLOOKUP(PV_DATA[[#This Row],[New Ark SKU]],Table9[New Ark SKU],Table9[Connector],,0)</f>
        <v>H4(Com)</v>
      </c>
      <c r="S1254" s="433" t="str">
        <f>_xlfn.XLOOKUP(PV_DATA[[#This Row],[New Ark SKU]],Table9[New Ark SKU],Table9[Cable],,0)</f>
        <v>±1400mm</v>
      </c>
      <c r="T1254" s="442">
        <v>620</v>
      </c>
      <c r="U1254" s="1067" cm="1">
        <f t="array" ref="U1254">12960-fx_qty</f>
        <v>0</v>
      </c>
      <c r="V1254" s="434">
        <f>PV_DATA[[#This Row],[QUANTITY]]*PV_DATA[[#This Row],[WATT]]/1000000</f>
        <v>0</v>
      </c>
      <c r="W1254" s="435">
        <f>PV_DATA[[#This Row],[QUANTITY]]/PV_DATA[[#This Row],[Qty/Pallet]]</f>
        <v>0</v>
      </c>
      <c r="X1254" s="1015">
        <f>PV_DATA[[#This Row],[QUANTITY]]/PV_DATA[[#This Row],[Qty/CT]]</f>
        <v>0</v>
      </c>
      <c r="Y1254" s="431" t="s">
        <v>7039</v>
      </c>
      <c r="Z1254" s="430" t="str">
        <f t="shared" si="37"/>
        <v/>
      </c>
      <c r="AA1254" s="431"/>
      <c r="AB1254" s="441"/>
      <c r="AC1254" s="467" t="str">
        <f>IF(PV_DATA[[#This Row],[Pick-Up Date]]&lt;&gt;"",_xlfn.ISOWEEKNUM(PV_DATA[[#This Row],[Pick-Up Date]]),"")</f>
        <v/>
      </c>
      <c r="AD1254" s="431"/>
      <c r="AE1254" s="431"/>
      <c r="AF1254" s="431" t="s">
        <v>122</v>
      </c>
      <c r="AG1254" s="431" t="s">
        <v>123</v>
      </c>
      <c r="AH1254" s="431" t="s">
        <v>68</v>
      </c>
      <c r="AI1254" s="441"/>
      <c r="AJ1254" s="441"/>
      <c r="AK1254" s="437" t="str">
        <f>IFERROR(IF(VLOOKUP(AT1254,Vessel!A:F,5,FALSE)=0,"",VLOOKUP(AT1254,Vessel!A:F,5,FALSE)),"")</f>
        <v/>
      </c>
      <c r="AL1254" s="441"/>
      <c r="AM1254" s="441"/>
      <c r="AN1254" s="586" t="str">
        <f>IFERROR(IF(VLOOKUP(AT1254,Vessel!A:I,9,FALSE)=0,"",VLOOKUP(AT1254,Vessel!A:I,9,FALSE)),"")</f>
        <v/>
      </c>
      <c r="AO1254" s="431"/>
      <c r="AP1254" s="431"/>
      <c r="AQ1254" s="431"/>
      <c r="AR1254" s="619"/>
      <c r="AS1254" s="431"/>
      <c r="AT1254" s="431"/>
      <c r="AU1254" s="619"/>
      <c r="AV1254" s="441"/>
      <c r="AW1254" s="441" t="str" cm="1">
        <f t="array" ref="AW125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5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54" s="441" t="str">
        <f>IF(ISERROR(PV_DATA[[#This Row],[New Ark PO status]]),"",_xlfn.XLOOKUP(PV_DATA[[#This Row],[SPTN-PVHK New Ark PO'#]],New_Ark_Data[Purchase order Number],New_Ark_Data[Estimated time of arrival],"",0))</f>
        <v/>
      </c>
      <c r="AZ1254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54" s="437" t="str">
        <f>IFERROR(PV_DATA[[#This Row],[ODP ETA Port]]+PV_DATA[[#This Row],[Customs/Leg3 Assumption]],"n/a")</f>
        <v>n/a</v>
      </c>
      <c r="BB1254" s="442" t="e">
        <f>YEAR(PV_DATA[[#This Row],[ETA for New Ark update]])</f>
        <v>#VALUE!</v>
      </c>
      <c r="BC1254" s="431" t="e">
        <f>MONTH(PV_DATA[[#This Row],[ETA for New Ark update]])</f>
        <v>#VALUE!</v>
      </c>
      <c r="BD1254" s="431">
        <f>IFERROR(_xlfn.ISOWEEKNUM(PV_DATA[[#This Row],[ETA for New Ark update]]),0)</f>
        <v>0</v>
      </c>
      <c r="BE1254" s="431">
        <f>_xlfn.XLOOKUP(PV_DATA[[#This Row],[New Ark SKU]],Table9[New Ark SKU],Table9[Total PCS per Pallet],,0)</f>
        <v>36</v>
      </c>
      <c r="BF1254" s="431">
        <f>_xlfn.XLOOKUP(PV_DATA[[#This Row],[New Ark SKU]],Table9[New Ark SKU],Table9[Total PCS per 40HQ Container],,0)</f>
        <v>720</v>
      </c>
      <c r="BG1254" s="431" t="str">
        <f>_xlfn.XLOOKUP(PV_DATA[[#This Row],[New Ark SKU]],Table9[New Ark SKU],Table9[Back Glass],,0)</f>
        <v>Transparent</v>
      </c>
      <c r="BH1254" s="431" t="str">
        <f>_xlfn.XLOOKUP(PV_DATA[[#This Row],[PORT DESTINATION]],Table12[PORT DESTINATION],Table12[Cosco Line],,0)</f>
        <v>n/a</v>
      </c>
      <c r="BJ1254" s="430"/>
    </row>
    <row r="1255" spans="1:62" ht="10.5" hidden="1">
      <c r="A1255" s="439" t="s">
        <v>7521</v>
      </c>
      <c r="B1255" s="439" t="s">
        <v>5327</v>
      </c>
      <c r="C1255" s="439" t="str">
        <f>IFERROR(LEFT(PV_DATA[[#This Row],[TCL REFERENCE]],FIND(".",PV_DATA[[#This Row],[TCL REFERENCE]],1)-1),"Main Line")</f>
        <v>Main Line</v>
      </c>
      <c r="D1255" s="439" t="s">
        <v>63</v>
      </c>
      <c r="E1255" s="439" t="s">
        <v>68</v>
      </c>
      <c r="F1255" s="439" t="str" cm="1">
        <f t="array" ref="F1255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55" s="439" t="s">
        <v>68</v>
      </c>
      <c r="H1255" s="439" t="s">
        <v>68</v>
      </c>
      <c r="I1255" s="439" t="s">
        <v>68</v>
      </c>
      <c r="J1255" s="431" t="s">
        <v>7512</v>
      </c>
      <c r="K1255" s="431"/>
      <c r="L1255" s="431"/>
      <c r="M1255" s="430" t="s">
        <v>6325</v>
      </c>
      <c r="N1255" s="461"/>
      <c r="O1255" s="431" t="s">
        <v>4540</v>
      </c>
      <c r="P1255" s="431" t="s">
        <v>5099</v>
      </c>
      <c r="Q1255" s="431" t="s">
        <v>330</v>
      </c>
      <c r="R1255" s="430" t="str">
        <f>_xlfn.XLOOKUP(PV_DATA[[#This Row],[New Ark SKU]],Table9[New Ark SKU],Table9[Connector],,0)</f>
        <v>H4(Com)</v>
      </c>
      <c r="S1255" s="433" t="str">
        <f>_xlfn.XLOOKUP(PV_DATA[[#This Row],[New Ark SKU]],Table9[New Ark SKU],Table9[Cable],,0)</f>
        <v>±1400mm</v>
      </c>
      <c r="T1255" s="442">
        <v>625</v>
      </c>
      <c r="U1255" s="1067" cm="1">
        <f t="array" ref="U1255">19440-fx_qty</f>
        <v>0</v>
      </c>
      <c r="V1255" s="434">
        <f>PV_DATA[[#This Row],[QUANTITY]]*PV_DATA[[#This Row],[WATT]]/1000000</f>
        <v>0</v>
      </c>
      <c r="W1255" s="435">
        <f>PV_DATA[[#This Row],[QUANTITY]]/PV_DATA[[#This Row],[Qty/Pallet]]</f>
        <v>0</v>
      </c>
      <c r="X1255" s="1015">
        <f>PV_DATA[[#This Row],[QUANTITY]]/PV_DATA[[#This Row],[Qty/CT]]</f>
        <v>0</v>
      </c>
      <c r="Y1255" s="431" t="s">
        <v>7039</v>
      </c>
      <c r="Z1255" s="430" t="str">
        <f t="shared" si="37"/>
        <v/>
      </c>
      <c r="AA1255" s="431"/>
      <c r="AB1255" s="441"/>
      <c r="AC1255" s="467" t="str">
        <f>IF(PV_DATA[[#This Row],[Pick-Up Date]]&lt;&gt;"",_xlfn.ISOWEEKNUM(PV_DATA[[#This Row],[Pick-Up Date]]),"")</f>
        <v/>
      </c>
      <c r="AD1255" s="431"/>
      <c r="AE1255" s="431"/>
      <c r="AF1255" s="431" t="s">
        <v>122</v>
      </c>
      <c r="AG1255" s="431" t="s">
        <v>123</v>
      </c>
      <c r="AH1255" s="431" t="s">
        <v>68</v>
      </c>
      <c r="AI1255" s="441"/>
      <c r="AJ1255" s="441"/>
      <c r="AK1255" s="437" t="str">
        <f>IFERROR(IF(VLOOKUP(AT1255,Vessel!A:F,5,FALSE)=0,"",VLOOKUP(AT1255,Vessel!A:F,5,FALSE)),"")</f>
        <v/>
      </c>
      <c r="AL1255" s="441"/>
      <c r="AM1255" s="441"/>
      <c r="AN1255" s="586" t="str">
        <f>IFERROR(IF(VLOOKUP(AT1255,Vessel!A:I,9,FALSE)=0,"",VLOOKUP(AT1255,Vessel!A:I,9,FALSE)),"")</f>
        <v/>
      </c>
      <c r="AO1255" s="431"/>
      <c r="AP1255" s="431"/>
      <c r="AQ1255" s="431"/>
      <c r="AR1255" s="619"/>
      <c r="AS1255" s="431"/>
      <c r="AT1255" s="431"/>
      <c r="AU1255" s="619"/>
      <c r="AV1255" s="441"/>
      <c r="AW1255" s="441" t="str" cm="1">
        <f t="array" ref="AW125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5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55" s="441" t="str">
        <f>IF(ISERROR(PV_DATA[[#This Row],[New Ark PO status]]),"",_xlfn.XLOOKUP(PV_DATA[[#This Row],[SPTN-PVHK New Ark PO'#]],New_Ark_Data[Purchase order Number],New_Ark_Data[Estimated time of arrival],"",0))</f>
        <v/>
      </c>
      <c r="AZ1255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55" s="437" t="str">
        <f>IFERROR(PV_DATA[[#This Row],[ODP ETA Port]]+PV_DATA[[#This Row],[Customs/Leg3 Assumption]],"n/a")</f>
        <v>n/a</v>
      </c>
      <c r="BB1255" s="442" t="e">
        <f>YEAR(PV_DATA[[#This Row],[ETA for New Ark update]])</f>
        <v>#VALUE!</v>
      </c>
      <c r="BC1255" s="431" t="e">
        <f>MONTH(PV_DATA[[#This Row],[ETA for New Ark update]])</f>
        <v>#VALUE!</v>
      </c>
      <c r="BD1255" s="431">
        <f>IFERROR(_xlfn.ISOWEEKNUM(PV_DATA[[#This Row],[ETA for New Ark update]]),0)</f>
        <v>0</v>
      </c>
      <c r="BE1255" s="431">
        <f>_xlfn.XLOOKUP(PV_DATA[[#This Row],[New Ark SKU]],Table9[New Ark SKU],Table9[Total PCS per Pallet],,0)</f>
        <v>36</v>
      </c>
      <c r="BF1255" s="431">
        <f>_xlfn.XLOOKUP(PV_DATA[[#This Row],[New Ark SKU]],Table9[New Ark SKU],Table9[Total PCS per 40HQ Container],,0)</f>
        <v>720</v>
      </c>
      <c r="BG1255" s="431" t="str">
        <f>_xlfn.XLOOKUP(PV_DATA[[#This Row],[New Ark SKU]],Table9[New Ark SKU],Table9[Back Glass],,0)</f>
        <v>Transparent</v>
      </c>
      <c r="BH1255" s="431" t="str">
        <f>_xlfn.XLOOKUP(PV_DATA[[#This Row],[PORT DESTINATION]],Table12[PORT DESTINATION],Table12[Cosco Line],,0)</f>
        <v>n/a</v>
      </c>
      <c r="BJ1255" s="430"/>
    </row>
    <row r="1256" spans="1:62" ht="10.5" hidden="1">
      <c r="A1256" s="439" t="s">
        <v>7522</v>
      </c>
      <c r="B1256" s="439" t="s">
        <v>61</v>
      </c>
      <c r="C1256" s="439" t="str">
        <f>IFERROR(LEFT(PV_DATA[[#This Row],[TCL REFERENCE]],FIND(".",PV_DATA[[#This Row],[TCL REFERENCE]],1)-1),"Main Line")</f>
        <v>Main Line</v>
      </c>
      <c r="D1256" s="439" t="s">
        <v>63</v>
      </c>
      <c r="E1256" s="439" t="s">
        <v>68</v>
      </c>
      <c r="F1256" s="439" t="str" cm="1">
        <f t="array" ref="F1256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56" s="439" t="s">
        <v>68</v>
      </c>
      <c r="H1256" s="439" t="s">
        <v>68</v>
      </c>
      <c r="I1256" s="439" t="s">
        <v>68</v>
      </c>
      <c r="J1256" s="431" t="s">
        <v>68</v>
      </c>
      <c r="K1256" s="431"/>
      <c r="L1256" s="431"/>
      <c r="M1256" s="430" t="s">
        <v>6325</v>
      </c>
      <c r="N1256" s="461">
        <v>46188</v>
      </c>
      <c r="O1256" s="431" t="s">
        <v>4540</v>
      </c>
      <c r="P1256" s="431" t="s">
        <v>195</v>
      </c>
      <c r="Q1256" s="431" t="s">
        <v>196</v>
      </c>
      <c r="R1256" s="430" t="str">
        <f>_xlfn.XLOOKUP(PV_DATA[[#This Row],[New Ark SKU]],Table9[New Ark SKU],Table9[Connector],,0)</f>
        <v>EVO2A</v>
      </c>
      <c r="S1256" s="433" t="str">
        <f>_xlfn.XLOOKUP(PV_DATA[[#This Row],[New Ark SKU]],Table9[New Ark SKU],Table9[Cable],,0)</f>
        <v>±1200mm</v>
      </c>
      <c r="T1256" s="442">
        <v>450</v>
      </c>
      <c r="U1256" s="1067" cm="1">
        <f t="array" ref="U1256">17784-fx_qty</f>
        <v>0</v>
      </c>
      <c r="V1256" s="448">
        <f>PV_DATA[[#This Row],[QUANTITY]]*PV_DATA[[#This Row],[WATT]]/1000000</f>
        <v>0</v>
      </c>
      <c r="W1256" s="466">
        <f>PV_DATA[[#This Row],[QUANTITY]]/PV_DATA[[#This Row],[Qty/Pallet]]</f>
        <v>0</v>
      </c>
      <c r="X1256" s="1019">
        <f>PV_DATA[[#This Row],[QUANTITY]]/PV_DATA[[#This Row],[Qty/CT]]</f>
        <v>0</v>
      </c>
      <c r="Y1256" s="431" t="s">
        <v>7039</v>
      </c>
      <c r="Z1256" s="430" t="str">
        <f t="shared" si="37"/>
        <v/>
      </c>
      <c r="AA1256" s="431"/>
      <c r="AB1256" s="441"/>
      <c r="AC1256" s="467" t="str">
        <f>IF(PV_DATA[[#This Row],[Pick-Up Date]]&lt;&gt;"",_xlfn.ISOWEEKNUM(PV_DATA[[#This Row],[Pick-Up Date]]),"")</f>
        <v/>
      </c>
      <c r="AD1256" s="431"/>
      <c r="AE1256" s="431"/>
      <c r="AF1256" s="431" t="s">
        <v>61</v>
      </c>
      <c r="AG1256" s="431" t="s">
        <v>61</v>
      </c>
      <c r="AH1256" s="431" t="s">
        <v>68</v>
      </c>
      <c r="AI1256" s="441"/>
      <c r="AJ1256" s="441"/>
      <c r="AK1256" s="437" t="str">
        <f>IFERROR(IF(VLOOKUP(AT1256,Vessel!A:F,5,FALSE)=0,"",VLOOKUP(AT1256,Vessel!A:F,5,FALSE)),"")</f>
        <v/>
      </c>
      <c r="AL1256" s="441"/>
      <c r="AM1256" s="441"/>
      <c r="AN1256" s="586" t="str">
        <f>IFERROR(IF(VLOOKUP(AT1256,Vessel!A:I,9,FALSE)=0,"",VLOOKUP(AT1256,Vessel!A:I,9,FALSE)),"")</f>
        <v/>
      </c>
      <c r="AO1256" s="431"/>
      <c r="AP1256" s="431"/>
      <c r="AQ1256" s="431"/>
      <c r="AR1256" s="619"/>
      <c r="AS1256" s="431"/>
      <c r="AT1256" s="431"/>
      <c r="AU1256" s="619"/>
      <c r="AV1256" s="441"/>
      <c r="AW1256" s="441" t="str" cm="1">
        <f t="array" ref="AW125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5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56" s="441" t="str">
        <f>IF(ISERROR(PV_DATA[[#This Row],[New Ark PO status]]),"",_xlfn.XLOOKUP(PV_DATA[[#This Row],[SPTN-PVHK New Ark PO'#]],New_Ark_Data[Purchase order Number],New_Ark_Data[Estimated time of arrival],"",0))</f>
        <v/>
      </c>
      <c r="AZ1256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56" s="441" t="str">
        <f>IFERROR(PV_DATA[[#This Row],[ODP ETA Port]]+PV_DATA[[#This Row],[Customs/Leg3 Assumption]],"n/a")</f>
        <v>n/a</v>
      </c>
      <c r="BB1256" s="442" t="e">
        <f>YEAR(PV_DATA[[#This Row],[ETA for New Ark update]])</f>
        <v>#VALUE!</v>
      </c>
      <c r="BC1256" s="431" t="e">
        <f>MONTH(PV_DATA[[#This Row],[ETA for New Ark update]])</f>
        <v>#VALUE!</v>
      </c>
      <c r="BD1256" s="431">
        <f>IFERROR(_xlfn.ISOWEEKNUM(PV_DATA[[#This Row],[ETA for New Ark update]]),0)</f>
        <v>0</v>
      </c>
      <c r="BE1256" s="431">
        <f>_xlfn.XLOOKUP(PV_DATA[[#This Row],[New Ark SKU]],Table9[New Ark SKU],Table9[Total PCS per Pallet],,0)</f>
        <v>36</v>
      </c>
      <c r="BF1256" s="431">
        <f>_xlfn.XLOOKUP(PV_DATA[[#This Row],[New Ark SKU]],Table9[New Ark SKU],Table9[Total PCS per 40HQ Container],,0)</f>
        <v>936</v>
      </c>
      <c r="BG1256" s="431" t="str">
        <f>_xlfn.XLOOKUP(PV_DATA[[#This Row],[New Ark SKU]],Table9[New Ark SKU],Table9[Back Glass],,0)</f>
        <v>Black glazing</v>
      </c>
      <c r="BH1256" s="431" t="str">
        <f>_xlfn.XLOOKUP(PV_DATA[[#This Row],[PORT DESTINATION]],Table12[PORT DESTINATION],Table12[Cosco Line],,0)</f>
        <v>n/a</v>
      </c>
      <c r="BJ1256" s="430"/>
    </row>
    <row r="1257" spans="1:62" ht="10.5" hidden="1">
      <c r="A1257" s="439" t="s">
        <v>7523</v>
      </c>
      <c r="B1257" s="439" t="s">
        <v>61</v>
      </c>
      <c r="C1257" s="439" t="str">
        <f>IFERROR(LEFT(PV_DATA[[#This Row],[TCL REFERENCE]],FIND(".",PV_DATA[[#This Row],[TCL REFERENCE]],1)-1),"Main Line")</f>
        <v>Main Line</v>
      </c>
      <c r="D1257" s="439" t="s">
        <v>63</v>
      </c>
      <c r="E1257" s="439" t="s">
        <v>68</v>
      </c>
      <c r="F1257" s="439" t="str" cm="1">
        <f t="array" ref="F1257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57" s="439" t="s">
        <v>68</v>
      </c>
      <c r="H1257" s="439" t="s">
        <v>68</v>
      </c>
      <c r="I1257" s="439" t="s">
        <v>68</v>
      </c>
      <c r="J1257" s="431" t="s">
        <v>68</v>
      </c>
      <c r="K1257" s="431"/>
      <c r="L1257" s="431"/>
      <c r="M1257" s="430" t="s">
        <v>6325</v>
      </c>
      <c r="N1257" s="461">
        <v>46188</v>
      </c>
      <c r="O1257" s="431" t="s">
        <v>4540</v>
      </c>
      <c r="P1257" s="431" t="s">
        <v>965</v>
      </c>
      <c r="Q1257" s="431" t="s">
        <v>966</v>
      </c>
      <c r="R1257" s="430" t="str">
        <f>_xlfn.XLOOKUP(PV_DATA[[#This Row],[New Ark SKU]],Table9[New Ark SKU],Table9[Connector],,0)</f>
        <v>EVO2A</v>
      </c>
      <c r="S1257" s="433" t="str">
        <f>_xlfn.XLOOKUP(PV_DATA[[#This Row],[New Ark SKU]],Table9[New Ark SKU],Table9[Cable],,0)</f>
        <v>±1200mm</v>
      </c>
      <c r="T1257" s="442">
        <v>455</v>
      </c>
      <c r="U1257" s="1067" cm="1">
        <f t="array" ref="U1257">4680-fx_qty</f>
        <v>0</v>
      </c>
      <c r="V1257" s="448">
        <f>PV_DATA[[#This Row],[QUANTITY]]*PV_DATA[[#This Row],[WATT]]/1000000</f>
        <v>0</v>
      </c>
      <c r="W1257" s="466">
        <f>PV_DATA[[#This Row],[QUANTITY]]/PV_DATA[[#This Row],[Qty/Pallet]]</f>
        <v>0</v>
      </c>
      <c r="X1257" s="1019">
        <f>PV_DATA[[#This Row],[QUANTITY]]/PV_DATA[[#This Row],[Qty/CT]]</f>
        <v>0</v>
      </c>
      <c r="Y1257" s="431" t="s">
        <v>7039</v>
      </c>
      <c r="Z1257" s="430" t="str">
        <f t="shared" si="37"/>
        <v/>
      </c>
      <c r="AA1257" s="431"/>
      <c r="AB1257" s="441"/>
      <c r="AC1257" s="467" t="str">
        <f>IF(PV_DATA[[#This Row],[Pick-Up Date]]&lt;&gt;"",_xlfn.ISOWEEKNUM(PV_DATA[[#This Row],[Pick-Up Date]]),"")</f>
        <v/>
      </c>
      <c r="AD1257" s="431"/>
      <c r="AE1257" s="431"/>
      <c r="AF1257" s="431" t="s">
        <v>61</v>
      </c>
      <c r="AG1257" s="431" t="s">
        <v>61</v>
      </c>
      <c r="AH1257" s="431" t="s">
        <v>68</v>
      </c>
      <c r="AI1257" s="441"/>
      <c r="AJ1257" s="441"/>
      <c r="AK1257" s="437" t="str">
        <f>IFERROR(IF(VLOOKUP(AT1257,Vessel!A:F,5,FALSE)=0,"",VLOOKUP(AT1257,Vessel!A:F,5,FALSE)),"")</f>
        <v/>
      </c>
      <c r="AL1257" s="441"/>
      <c r="AM1257" s="441"/>
      <c r="AN1257" s="586" t="str">
        <f>IFERROR(IF(VLOOKUP(AT1257,Vessel!A:I,9,FALSE)=0,"",VLOOKUP(AT1257,Vessel!A:I,9,FALSE)),"")</f>
        <v/>
      </c>
      <c r="AO1257" s="431"/>
      <c r="AP1257" s="431"/>
      <c r="AQ1257" s="431"/>
      <c r="AR1257" s="619"/>
      <c r="AS1257" s="431"/>
      <c r="AT1257" s="431"/>
      <c r="AU1257" s="619"/>
      <c r="AV1257" s="441"/>
      <c r="AW1257" s="441" t="str" cm="1">
        <f t="array" ref="AW125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5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57" s="441" t="str">
        <f>IF(ISERROR(PV_DATA[[#This Row],[New Ark PO status]]),"",_xlfn.XLOOKUP(PV_DATA[[#This Row],[SPTN-PVHK New Ark PO'#]],New_Ark_Data[Purchase order Number],New_Ark_Data[Estimated time of arrival],"",0))</f>
        <v/>
      </c>
      <c r="AZ1257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57" s="441" t="str">
        <f>IFERROR(PV_DATA[[#This Row],[ODP ETA Port]]+PV_DATA[[#This Row],[Customs/Leg3 Assumption]],"n/a")</f>
        <v>n/a</v>
      </c>
      <c r="BB1257" s="442" t="e">
        <f>YEAR(PV_DATA[[#This Row],[ETA for New Ark update]])</f>
        <v>#VALUE!</v>
      </c>
      <c r="BC1257" s="431" t="e">
        <f>MONTH(PV_DATA[[#This Row],[ETA for New Ark update]])</f>
        <v>#VALUE!</v>
      </c>
      <c r="BD1257" s="431">
        <f>IFERROR(_xlfn.ISOWEEKNUM(PV_DATA[[#This Row],[ETA for New Ark update]]),0)</f>
        <v>0</v>
      </c>
      <c r="BE1257" s="431">
        <f>_xlfn.XLOOKUP(PV_DATA[[#This Row],[New Ark SKU]],Table9[New Ark SKU],Table9[Total PCS per Pallet],,0)</f>
        <v>36</v>
      </c>
      <c r="BF1257" s="431">
        <f>_xlfn.XLOOKUP(PV_DATA[[#This Row],[New Ark SKU]],Table9[New Ark SKU],Table9[Total PCS per 40HQ Container],,0)</f>
        <v>936</v>
      </c>
      <c r="BG1257" s="431" t="str">
        <f>_xlfn.XLOOKUP(PV_DATA[[#This Row],[New Ark SKU]],Table9[New Ark SKU],Table9[Back Glass],,0)</f>
        <v>Black glazing</v>
      </c>
      <c r="BH1257" s="431" t="str">
        <f>_xlfn.XLOOKUP(PV_DATA[[#This Row],[PORT DESTINATION]],Table12[PORT DESTINATION],Table12[Cosco Line],,0)</f>
        <v>n/a</v>
      </c>
      <c r="BJ1257" s="430"/>
    </row>
    <row r="1258" spans="1:62" ht="10.5" hidden="1">
      <c r="A1258" s="439" t="s">
        <v>7524</v>
      </c>
      <c r="B1258" s="439" t="s">
        <v>1757</v>
      </c>
      <c r="C1258" s="439" t="str">
        <f>IFERROR(LEFT(PV_DATA[[#This Row],[TCL REFERENCE]],FIND(".",PV_DATA[[#This Row],[TCL REFERENCE]],1)-1),"Main Line")</f>
        <v>Main Line</v>
      </c>
      <c r="D1258" s="439" t="s">
        <v>63</v>
      </c>
      <c r="E1258" s="439" t="s">
        <v>68</v>
      </c>
      <c r="F1258" s="439" t="str" cm="1">
        <f t="array" ref="F1258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58" s="439" t="s">
        <v>68</v>
      </c>
      <c r="H1258" s="439" t="s">
        <v>68</v>
      </c>
      <c r="I1258" s="439" t="s">
        <v>68</v>
      </c>
      <c r="J1258" s="431" t="s">
        <v>68</v>
      </c>
      <c r="K1258" s="431"/>
      <c r="L1258" s="431"/>
      <c r="M1258" s="430" t="s">
        <v>6325</v>
      </c>
      <c r="N1258" s="461">
        <v>46195</v>
      </c>
      <c r="O1258" s="431" t="s">
        <v>4540</v>
      </c>
      <c r="P1258" s="431" t="s">
        <v>71</v>
      </c>
      <c r="Q1258" s="431" t="s">
        <v>72</v>
      </c>
      <c r="R1258" s="430" t="str">
        <f>_xlfn.XLOOKUP(PV_DATA[[#This Row],[New Ark SKU]],Table9[New Ark SKU],Table9[Connector],,0)</f>
        <v>EVO2A</v>
      </c>
      <c r="S1258" s="433" t="str">
        <f>_xlfn.XLOOKUP(PV_DATA[[#This Row],[New Ark SKU]],Table9[New Ark SKU],Table9[Cable],,0)</f>
        <v>±1200mm</v>
      </c>
      <c r="T1258" s="442">
        <v>500</v>
      </c>
      <c r="U1258" s="1067" cm="1">
        <f t="array" ref="U1258">31968-fx_qty</f>
        <v>0</v>
      </c>
      <c r="V1258" s="448">
        <f>PV_DATA[[#This Row],[QUANTITY]]*PV_DATA[[#This Row],[WATT]]/1000000</f>
        <v>0</v>
      </c>
      <c r="W1258" s="466">
        <f>PV_DATA[[#This Row],[QUANTITY]]/PV_DATA[[#This Row],[Qty/Pallet]]</f>
        <v>0</v>
      </c>
      <c r="X1258" s="1019">
        <f>PV_DATA[[#This Row],[QUANTITY]]/PV_DATA[[#This Row],[Qty/CT]]</f>
        <v>0</v>
      </c>
      <c r="Y1258" s="431" t="s">
        <v>7039</v>
      </c>
      <c r="Z1258" s="430" t="str">
        <f t="shared" si="37"/>
        <v/>
      </c>
      <c r="AA1258" s="431"/>
      <c r="AB1258" s="441"/>
      <c r="AC1258" s="467" t="str">
        <f>IF(PV_DATA[[#This Row],[Pick-Up Date]]&lt;&gt;"",_xlfn.ISOWEEKNUM(PV_DATA[[#This Row],[Pick-Up Date]]),"")</f>
        <v/>
      </c>
      <c r="AD1258" s="431"/>
      <c r="AE1258" s="431"/>
      <c r="AF1258" s="447" t="s">
        <v>1525</v>
      </c>
      <c r="AG1258" s="447" t="s">
        <v>1525</v>
      </c>
      <c r="AH1258" s="431" t="s">
        <v>68</v>
      </c>
      <c r="AI1258" s="441"/>
      <c r="AJ1258" s="441"/>
      <c r="AK1258" s="437" t="str">
        <f>IFERROR(IF(VLOOKUP(AT1258,Vessel!A:F,5,FALSE)=0,"",VLOOKUP(AT1258,Vessel!A:F,5,FALSE)),"")</f>
        <v/>
      </c>
      <c r="AL1258" s="441"/>
      <c r="AM1258" s="441"/>
      <c r="AN1258" s="586" t="str">
        <f>IFERROR(IF(VLOOKUP(AT1258,Vessel!A:I,9,FALSE)=0,"",VLOOKUP(AT1258,Vessel!A:I,9,FALSE)),"")</f>
        <v/>
      </c>
      <c r="AO1258" s="431"/>
      <c r="AP1258" s="431"/>
      <c r="AQ1258" s="431"/>
      <c r="AR1258" s="619"/>
      <c r="AS1258" s="431"/>
      <c r="AT1258" s="431"/>
      <c r="AU1258" s="619"/>
      <c r="AV1258" s="441"/>
      <c r="AW1258" s="441" t="str" cm="1">
        <f t="array" ref="AW125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5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58" s="441" t="str">
        <f>IF(ISERROR(PV_DATA[[#This Row],[New Ark PO status]]),"",_xlfn.XLOOKUP(PV_DATA[[#This Row],[SPTN-PVHK New Ark PO'#]],New_Ark_Data[Purchase order Number],New_Ark_Data[Estimated time of arrival],"",0))</f>
        <v/>
      </c>
      <c r="AZ1258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58" s="441" t="str">
        <f>IFERROR(PV_DATA[[#This Row],[ODP ETA Port]]+PV_DATA[[#This Row],[Customs/Leg3 Assumption]],"n/a")</f>
        <v>n/a</v>
      </c>
      <c r="BB1258" s="442" t="e">
        <f>YEAR(PV_DATA[[#This Row],[ETA for New Ark update]])</f>
        <v>#VALUE!</v>
      </c>
      <c r="BC1258" s="431" t="e">
        <f>MONTH(PV_DATA[[#This Row],[ETA for New Ark update]])</f>
        <v>#VALUE!</v>
      </c>
      <c r="BD1258" s="431">
        <f>IFERROR(_xlfn.ISOWEEKNUM(PV_DATA[[#This Row],[ETA for New Ark update]]),0)</f>
        <v>0</v>
      </c>
      <c r="BE1258" s="431">
        <f>_xlfn.XLOOKUP(PV_DATA[[#This Row],[New Ark SKU]],Table9[New Ark SKU],Table9[Total PCS per Pallet],,0)</f>
        <v>36</v>
      </c>
      <c r="BF1258" s="431">
        <f>_xlfn.XLOOKUP(PV_DATA[[#This Row],[New Ark SKU]],Table9[New Ark SKU],Table9[Total PCS per 40HQ Container],,0)</f>
        <v>864</v>
      </c>
      <c r="BG1258" s="431" t="str">
        <f>_xlfn.XLOOKUP(PV_DATA[[#This Row],[New Ark SKU]],Table9[New Ark SKU],Table9[Back Glass],,0)</f>
        <v>Black glazing</v>
      </c>
      <c r="BH1258" s="431" t="str">
        <f>_xlfn.XLOOKUP(PV_DATA[[#This Row],[PORT DESTINATION]],Table12[PORT DESTINATION],Table12[Cosco Line],,0)</f>
        <v>n/a</v>
      </c>
      <c r="BJ1258" s="430"/>
    </row>
    <row r="1259" spans="1:62" ht="12" hidden="1" customHeight="1">
      <c r="A1259" s="439" t="s">
        <v>7525</v>
      </c>
      <c r="B1259" s="439" t="s">
        <v>1757</v>
      </c>
      <c r="C1259" s="439" t="str">
        <f>IFERROR(LEFT(PV_DATA[[#This Row],[TCL REFERENCE]],FIND(".",PV_DATA[[#This Row],[TCL REFERENCE]],1)-1),"Main Line")</f>
        <v>Main Line</v>
      </c>
      <c r="D1259" s="439" t="s">
        <v>63</v>
      </c>
      <c r="E1259" s="439" t="s">
        <v>68</v>
      </c>
      <c r="F1259" s="439" t="str" cm="1">
        <f t="array" ref="F1259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59" s="439" t="s">
        <v>68</v>
      </c>
      <c r="H1259" s="439" t="s">
        <v>68</v>
      </c>
      <c r="I1259" s="439" t="s">
        <v>68</v>
      </c>
      <c r="J1259" s="431" t="s">
        <v>68</v>
      </c>
      <c r="K1259" s="431"/>
      <c r="L1259" s="431"/>
      <c r="M1259" s="430" t="s">
        <v>6325</v>
      </c>
      <c r="N1259" s="461">
        <v>46195</v>
      </c>
      <c r="O1259" s="431" t="s">
        <v>4540</v>
      </c>
      <c r="P1259" s="431" t="s">
        <v>1151</v>
      </c>
      <c r="Q1259" s="431" t="s">
        <v>421</v>
      </c>
      <c r="R1259" s="430" t="str">
        <f>_xlfn.XLOOKUP(PV_DATA[[#This Row],[New Ark SKU]],Table9[New Ark SKU],Table9[Connector],,0)</f>
        <v>EVO2A</v>
      </c>
      <c r="S1259" s="433" t="str">
        <f>_xlfn.XLOOKUP(PV_DATA[[#This Row],[New Ark SKU]],Table9[New Ark SKU],Table9[Cable],,0)</f>
        <v>±1200mm</v>
      </c>
      <c r="T1259" s="442">
        <v>505</v>
      </c>
      <c r="U1259" s="1067" cm="1">
        <f t="array" ref="U1259">47520-fx_qty</f>
        <v>0</v>
      </c>
      <c r="V1259" s="448">
        <f>PV_DATA[[#This Row],[QUANTITY]]*PV_DATA[[#This Row],[WATT]]/1000000</f>
        <v>0</v>
      </c>
      <c r="W1259" s="466">
        <f>PV_DATA[[#This Row],[QUANTITY]]/PV_DATA[[#This Row],[Qty/Pallet]]</f>
        <v>0</v>
      </c>
      <c r="X1259" s="1019">
        <f>PV_DATA[[#This Row],[QUANTITY]]/PV_DATA[[#This Row],[Qty/CT]]</f>
        <v>0</v>
      </c>
      <c r="Y1259" s="431" t="s">
        <v>7039</v>
      </c>
      <c r="Z1259" s="430" t="str">
        <f t="shared" si="37"/>
        <v/>
      </c>
      <c r="AA1259" s="431"/>
      <c r="AB1259" s="441"/>
      <c r="AC1259" s="467" t="str">
        <f>IF(PV_DATA[[#This Row],[Pick-Up Date]]&lt;&gt;"",_xlfn.ISOWEEKNUM(PV_DATA[[#This Row],[Pick-Up Date]]),"")</f>
        <v/>
      </c>
      <c r="AD1259" s="431"/>
      <c r="AE1259" s="431"/>
      <c r="AF1259" s="447" t="s">
        <v>1525</v>
      </c>
      <c r="AG1259" s="447" t="s">
        <v>1525</v>
      </c>
      <c r="AH1259" s="431" t="s">
        <v>68</v>
      </c>
      <c r="AI1259" s="441"/>
      <c r="AJ1259" s="441"/>
      <c r="AK1259" s="437"/>
      <c r="AL1259" s="441"/>
      <c r="AM1259" s="441"/>
      <c r="AN1259" s="586" t="str">
        <f>IFERROR(IF(VLOOKUP(AT1259,Vessel!A:I,9,FALSE)=0,"",VLOOKUP(AT1259,Vessel!A:I,9,FALSE)),"")</f>
        <v/>
      </c>
      <c r="AO1259" s="431"/>
      <c r="AP1259" s="431"/>
      <c r="AQ1259" s="431"/>
      <c r="AR1259" s="619"/>
      <c r="AS1259" s="431"/>
      <c r="AT1259" s="431"/>
      <c r="AU1259" s="619"/>
      <c r="AV1259" s="441"/>
      <c r="AW1259" s="441" t="str" cm="1">
        <f t="array" ref="AW125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5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59" s="441" t="str">
        <f>IF(ISERROR(PV_DATA[[#This Row],[New Ark PO status]]),"",_xlfn.XLOOKUP(PV_DATA[[#This Row],[SPTN-PVHK New Ark PO'#]],New_Ark_Data[Purchase order Number],New_Ark_Data[Estimated time of arrival],"",0))</f>
        <v/>
      </c>
      <c r="AZ1259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59" s="441" t="str">
        <f>IFERROR(PV_DATA[[#This Row],[ODP ETA Port]]+PV_DATA[[#This Row],[Customs/Leg3 Assumption]],"n/a")</f>
        <v>n/a</v>
      </c>
      <c r="BB1259" s="442" t="e">
        <f>YEAR(PV_DATA[[#This Row],[ETA for New Ark update]])</f>
        <v>#VALUE!</v>
      </c>
      <c r="BC1259" s="431" t="e">
        <f>MONTH(PV_DATA[[#This Row],[ETA for New Ark update]])</f>
        <v>#VALUE!</v>
      </c>
      <c r="BD1259" s="431">
        <f>IFERROR(_xlfn.ISOWEEKNUM(PV_DATA[[#This Row],[ETA for New Ark update]]),0)</f>
        <v>0</v>
      </c>
      <c r="BE1259" s="431">
        <f>_xlfn.XLOOKUP(PV_DATA[[#This Row],[New Ark SKU]],Table9[New Ark SKU],Table9[Total PCS per Pallet],,0)</f>
        <v>36</v>
      </c>
      <c r="BF1259" s="431">
        <f>_xlfn.XLOOKUP(PV_DATA[[#This Row],[New Ark SKU]],Table9[New Ark SKU],Table9[Total PCS per 40HQ Container],,0)</f>
        <v>864</v>
      </c>
      <c r="BG1259" s="431" t="str">
        <f>_xlfn.XLOOKUP(PV_DATA[[#This Row],[New Ark SKU]],Table9[New Ark SKU],Table9[Back Glass],,0)</f>
        <v>Black glazing</v>
      </c>
      <c r="BH1259" s="431" t="str">
        <f>_xlfn.XLOOKUP(PV_DATA[[#This Row],[PORT DESTINATION]],Table12[PORT DESTINATION],Table12[Cosco Line],,0)</f>
        <v>n/a</v>
      </c>
      <c r="BJ1259" s="430"/>
    </row>
    <row r="1260" spans="1:62" ht="10.5" hidden="1">
      <c r="A1260" s="439" t="s">
        <v>7526</v>
      </c>
      <c r="B1260" s="439" t="s">
        <v>61</v>
      </c>
      <c r="C1260" s="439" t="str">
        <f>IFERROR(LEFT(PV_DATA[[#This Row],[TCL REFERENCE]],FIND(".",PV_DATA[[#This Row],[TCL REFERENCE]],1)-1),"Main Line")</f>
        <v>Main Line</v>
      </c>
      <c r="D1260" s="439" t="s">
        <v>63</v>
      </c>
      <c r="E1260" s="439" t="s">
        <v>64</v>
      </c>
      <c r="F1260" s="462" t="str" cm="1">
        <f t="array" ref="F126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260" s="439" t="s">
        <v>402</v>
      </c>
      <c r="H1260" s="439" t="s">
        <v>67</v>
      </c>
      <c r="I1260" s="439" t="s">
        <v>689</v>
      </c>
      <c r="J1260" s="431" t="s">
        <v>96</v>
      </c>
      <c r="K1260" s="431"/>
      <c r="L1260" s="431"/>
      <c r="M1260" s="430" t="s">
        <v>6325</v>
      </c>
      <c r="N1260" s="461">
        <v>46209</v>
      </c>
      <c r="O1260" s="431" t="s">
        <v>4540</v>
      </c>
      <c r="P1260" s="431" t="s">
        <v>706</v>
      </c>
      <c r="Q1260" s="431" t="s">
        <v>707</v>
      </c>
      <c r="R1260" s="430" t="str">
        <f>_xlfn.XLOOKUP(PV_DATA[[#This Row],[New Ark SKU]],Table9[New Ark SKU],Table9[Connector],,0)</f>
        <v>EVO2A</v>
      </c>
      <c r="S1260" s="433" t="str">
        <f>_xlfn.XLOOKUP(PV_DATA[[#This Row],[New Ark SKU]],Table9[New Ark SKU],Table9[Cable],,0)</f>
        <v>±1200mm</v>
      </c>
      <c r="T1260" s="442">
        <v>500</v>
      </c>
      <c r="U1260" s="1067" cm="1">
        <f t="array" ref="U1260">15552-fx_qty</f>
        <v>0</v>
      </c>
      <c r="V1260" s="448">
        <f>PV_DATA[[#This Row],[QUANTITY]]*PV_DATA[[#This Row],[WATT]]/1000000</f>
        <v>0</v>
      </c>
      <c r="W1260" s="466">
        <f>PV_DATA[[#This Row],[QUANTITY]]/PV_DATA[[#This Row],[Qty/Pallet]]</f>
        <v>0</v>
      </c>
      <c r="X1260" s="1019">
        <f>PV_DATA[[#This Row],[QUANTITY]]/PV_DATA[[#This Row],[Qty/CT]]</f>
        <v>0</v>
      </c>
      <c r="Y1260" s="431" t="s">
        <v>7039</v>
      </c>
      <c r="Z1260" s="430" t="str">
        <f t="shared" si="37"/>
        <v/>
      </c>
      <c r="AA1260" s="431"/>
      <c r="AB1260" s="441"/>
      <c r="AC1260" s="467" t="str">
        <f>IF(PV_DATA[[#This Row],[Pick-Up Date]]&lt;&gt;"",_xlfn.ISOWEEKNUM(PV_DATA[[#This Row],[Pick-Up Date]]),"")</f>
        <v/>
      </c>
      <c r="AD1260" s="431"/>
      <c r="AE1260" s="431"/>
      <c r="AF1260" s="431" t="s">
        <v>61</v>
      </c>
      <c r="AG1260" s="431" t="s">
        <v>61</v>
      </c>
      <c r="AH1260" s="431" t="s">
        <v>78</v>
      </c>
      <c r="AI1260" s="441"/>
      <c r="AJ1260" s="441"/>
      <c r="AK1260" s="437" t="str">
        <f>IFERROR(IF(VLOOKUP(AT1260,Vessel!A:F,5,FALSE)=0,"",VLOOKUP(AT1260,Vessel!A:F,5,FALSE)),"")</f>
        <v/>
      </c>
      <c r="AL1260" s="441"/>
      <c r="AM1260" s="441"/>
      <c r="AN1260" s="586" t="str">
        <f>IFERROR(IF(VLOOKUP(AT1260,Vessel!A:I,9,FALSE)=0,"",VLOOKUP(AT1260,Vessel!A:I,9,FALSE)),"")</f>
        <v/>
      </c>
      <c r="AO1260" s="431"/>
      <c r="AP1260" s="431"/>
      <c r="AQ1260" s="431"/>
      <c r="AR1260" s="619"/>
      <c r="AS1260" s="431"/>
      <c r="AT1260" s="431"/>
      <c r="AU1260" s="619"/>
      <c r="AV1260" s="441"/>
      <c r="AW1260" s="441" cm="1">
        <f t="array" ref="AW126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46341</v>
      </c>
      <c r="AX1260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60" s="441" t="str">
        <f>IF(ISERROR(PV_DATA[[#This Row],[New Ark PO status]]),"",_xlfn.XLOOKUP(PV_DATA[[#This Row],[SPTN-PVHK New Ark PO'#]],New_Ark_Data[Purchase order Number],New_Ark_Data[Estimated time of arrival],"",0))</f>
        <v/>
      </c>
      <c r="AZ1260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260" s="441">
        <f>IFERROR(PV_DATA[[#This Row],[ODP ETA Port]]+PV_DATA[[#This Row],[Customs/Leg3 Assumption]],"n/a")</f>
        <v>46349</v>
      </c>
      <c r="BB1260" s="442">
        <f>YEAR(PV_DATA[[#This Row],[ETA for New Ark update]])</f>
        <v>2026</v>
      </c>
      <c r="BC1260" s="431">
        <f>MONTH(PV_DATA[[#This Row],[ETA for New Ark update]])</f>
        <v>11</v>
      </c>
      <c r="BD1260" s="431">
        <f>IFERROR(_xlfn.ISOWEEKNUM(PV_DATA[[#This Row],[ETA for New Ark update]]),0)</f>
        <v>48</v>
      </c>
      <c r="BE1260" s="431">
        <f>_xlfn.XLOOKUP(PV_DATA[[#This Row],[New Ark SKU]],Table9[New Ark SKU],Table9[Total PCS per Pallet],,0)</f>
        <v>36</v>
      </c>
      <c r="BF1260" s="431">
        <f>_xlfn.XLOOKUP(PV_DATA[[#This Row],[New Ark SKU]],Table9[New Ark SKU],Table9[Total PCS per 40HQ Container],,0)</f>
        <v>864</v>
      </c>
      <c r="BG1260" s="431" t="str">
        <f>_xlfn.XLOOKUP(PV_DATA[[#This Row],[New Ark SKU]],Table9[New Ark SKU],Table9[Back Glass],,0)</f>
        <v>Black glazing</v>
      </c>
      <c r="BH1260" s="431" t="str">
        <f>_xlfn.XLOOKUP(PV_DATA[[#This Row],[PORT DESTINATION]],Table12[PORT DESTINATION],Table12[Cosco Line],,0)</f>
        <v>AEM</v>
      </c>
      <c r="BJ1260" s="430"/>
    </row>
    <row r="1261" spans="1:62" ht="10.5" hidden="1">
      <c r="A1261" s="439" t="s">
        <v>7527</v>
      </c>
      <c r="B1261" s="439" t="s">
        <v>61</v>
      </c>
      <c r="C1261" s="439" t="str">
        <f>IFERROR(LEFT(PV_DATA[[#This Row],[TCL REFERENCE]],FIND(".",PV_DATA[[#This Row],[TCL REFERENCE]],1)-1),"Main Line")</f>
        <v>Main Line</v>
      </c>
      <c r="D1261" s="439" t="s">
        <v>63</v>
      </c>
      <c r="E1261" s="439" t="s">
        <v>64</v>
      </c>
      <c r="F1261" s="462" t="str" cm="1">
        <f t="array" ref="F126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261" s="439" t="s">
        <v>402</v>
      </c>
      <c r="H1261" s="439" t="s">
        <v>67</v>
      </c>
      <c r="I1261" s="439" t="s">
        <v>689</v>
      </c>
      <c r="J1261" s="431" t="s">
        <v>96</v>
      </c>
      <c r="K1261" s="431"/>
      <c r="L1261" s="431"/>
      <c r="M1261" s="430" t="s">
        <v>6325</v>
      </c>
      <c r="N1261" s="461">
        <v>46209</v>
      </c>
      <c r="O1261" s="431" t="s">
        <v>4540</v>
      </c>
      <c r="P1261" s="431" t="s">
        <v>691</v>
      </c>
      <c r="Q1261" s="431" t="s">
        <v>692</v>
      </c>
      <c r="R1261" s="430" t="str">
        <f>_xlfn.XLOOKUP(PV_DATA[[#This Row],[New Ark SKU]],Table9[New Ark SKU],Table9[Connector],,0)</f>
        <v>EVO2A</v>
      </c>
      <c r="S1261" s="433" t="str">
        <f>_xlfn.XLOOKUP(PV_DATA[[#This Row],[New Ark SKU]],Table9[New Ark SKU],Table9[Cable],,0)</f>
        <v>±1200mm</v>
      </c>
      <c r="T1261" s="442">
        <v>505</v>
      </c>
      <c r="U1261" s="1067" cm="1">
        <f t="array" ref="U1261">24192-fx_qty</f>
        <v>0</v>
      </c>
      <c r="V1261" s="434">
        <f>PV_DATA[[#This Row],[QUANTITY]]*PV_DATA[[#This Row],[WATT]]/1000000</f>
        <v>0</v>
      </c>
      <c r="W1261" s="466">
        <f>PV_DATA[[#This Row],[QUANTITY]]/PV_DATA[[#This Row],[Qty/Pallet]]</f>
        <v>0</v>
      </c>
      <c r="X1261" s="1019">
        <f>PV_DATA[[#This Row],[QUANTITY]]/PV_DATA[[#This Row],[Qty/CT]]</f>
        <v>0</v>
      </c>
      <c r="Y1261" s="431" t="s">
        <v>7039</v>
      </c>
      <c r="Z1261" s="430" t="str">
        <f t="shared" si="37"/>
        <v/>
      </c>
      <c r="AA1261" s="431"/>
      <c r="AB1261" s="441"/>
      <c r="AC1261" s="467" t="str">
        <f>IF(PV_DATA[[#This Row],[Pick-Up Date]]&lt;&gt;"",_xlfn.ISOWEEKNUM(PV_DATA[[#This Row],[Pick-Up Date]]),"")</f>
        <v/>
      </c>
      <c r="AD1261" s="431"/>
      <c r="AE1261" s="431"/>
      <c r="AF1261" s="431" t="s">
        <v>61</v>
      </c>
      <c r="AG1261" s="431" t="s">
        <v>61</v>
      </c>
      <c r="AH1261" s="431" t="s">
        <v>78</v>
      </c>
      <c r="AI1261" s="441"/>
      <c r="AJ1261" s="441"/>
      <c r="AK1261" s="437" t="str">
        <f>IFERROR(IF(VLOOKUP(AT1261,Vessel!A:F,5,FALSE)=0,"",VLOOKUP(AT1261,Vessel!A:F,5,FALSE)),"")</f>
        <v/>
      </c>
      <c r="AL1261" s="441"/>
      <c r="AM1261" s="441"/>
      <c r="AN1261" s="586" t="str">
        <f>IFERROR(IF(VLOOKUP(AT1261,Vessel!A:I,9,FALSE)=0,"",VLOOKUP(AT1261,Vessel!A:I,9,FALSE)),"")</f>
        <v/>
      </c>
      <c r="AO1261" s="431"/>
      <c r="AP1261" s="431"/>
      <c r="AQ1261" s="431"/>
      <c r="AR1261" s="619"/>
      <c r="AS1261" s="431"/>
      <c r="AT1261" s="431"/>
      <c r="AU1261" s="619"/>
      <c r="AV1261" s="441"/>
      <c r="AW1261" s="441" cm="1">
        <f t="array" ref="AW126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46341</v>
      </c>
      <c r="AX126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61" s="441" t="str">
        <f>IF(ISERROR(PV_DATA[[#This Row],[New Ark PO status]]),"",_xlfn.XLOOKUP(PV_DATA[[#This Row],[SPTN-PVHK New Ark PO'#]],New_Ark_Data[Purchase order Number],New_Ark_Data[Estimated time of arrival],"",0))</f>
        <v/>
      </c>
      <c r="AZ1261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261" s="437">
        <f>IFERROR(PV_DATA[[#This Row],[ODP ETA Port]]+PV_DATA[[#This Row],[Customs/Leg3 Assumption]],"n/a")</f>
        <v>46349</v>
      </c>
      <c r="BB1261" s="442">
        <f>YEAR(PV_DATA[[#This Row],[ETA for New Ark update]])</f>
        <v>2026</v>
      </c>
      <c r="BC1261" s="431">
        <f>MONTH(PV_DATA[[#This Row],[ETA for New Ark update]])</f>
        <v>11</v>
      </c>
      <c r="BD1261" s="431">
        <f>IFERROR(_xlfn.ISOWEEKNUM(PV_DATA[[#This Row],[ETA for New Ark update]]),0)</f>
        <v>48</v>
      </c>
      <c r="BE1261" s="431">
        <f>_xlfn.XLOOKUP(PV_DATA[[#This Row],[New Ark SKU]],Table9[New Ark SKU],Table9[Total PCS per Pallet],,0)</f>
        <v>36</v>
      </c>
      <c r="BF1261" s="431">
        <f>_xlfn.XLOOKUP(PV_DATA[[#This Row],[New Ark SKU]],Table9[New Ark SKU],Table9[Total PCS per 40HQ Container],,0)</f>
        <v>864</v>
      </c>
      <c r="BG1261" s="431" t="str">
        <f>_xlfn.XLOOKUP(PV_DATA[[#This Row],[New Ark SKU]],Table9[New Ark SKU],Table9[Back Glass],,0)</f>
        <v>Black glazing</v>
      </c>
      <c r="BH1261" s="431" t="str">
        <f>_xlfn.XLOOKUP(PV_DATA[[#This Row],[PORT DESTINATION]],Table12[PORT DESTINATION],Table12[Cosco Line],,0)</f>
        <v>AEM</v>
      </c>
      <c r="BJ1261" s="430"/>
    </row>
    <row r="1262" spans="1:62" ht="10.5" hidden="1">
      <c r="A1262" s="439" t="s">
        <v>7528</v>
      </c>
      <c r="B1262" s="439" t="s">
        <v>111</v>
      </c>
      <c r="C1262" s="439" t="str">
        <f>IFERROR(LEFT(PV_DATA[[#This Row],[TCL REFERENCE]],FIND(".",PV_DATA[[#This Row],[TCL REFERENCE]],1)-1),"Main Line")</f>
        <v>Main Line</v>
      </c>
      <c r="D1262" s="439" t="s">
        <v>63</v>
      </c>
      <c r="E1262" s="439" t="s">
        <v>68</v>
      </c>
      <c r="F1262" s="439" t="str" cm="1">
        <f t="array" ref="F1262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62" s="439" t="s">
        <v>68</v>
      </c>
      <c r="H1262" s="439" t="s">
        <v>68</v>
      </c>
      <c r="I1262" s="439" t="s">
        <v>689</v>
      </c>
      <c r="J1262" s="431" t="s">
        <v>68</v>
      </c>
      <c r="K1262" s="431"/>
      <c r="L1262" s="431"/>
      <c r="M1262" s="430" t="s">
        <v>6325</v>
      </c>
      <c r="N1262" s="461">
        <v>46202</v>
      </c>
      <c r="O1262" s="431" t="s">
        <v>5388</v>
      </c>
      <c r="P1262" s="430" t="s">
        <v>5409</v>
      </c>
      <c r="Q1262" s="431" t="s">
        <v>5410</v>
      </c>
      <c r="R1262" s="430" t="str">
        <f>_xlfn.XLOOKUP(PV_DATA[[#This Row],[New Ark SKU]],Table9[New Ark SKU],Table9[Connector],,0)</f>
        <v>EVO2A</v>
      </c>
      <c r="S1262" s="433" t="str">
        <f>_xlfn.XLOOKUP(PV_DATA[[#This Row],[New Ark SKU]],Table9[New Ark SKU],Table9[Cable],,0)</f>
        <v>±1200mm</v>
      </c>
      <c r="T1262" s="442">
        <v>465</v>
      </c>
      <c r="U1262" s="1067" cm="1">
        <f t="array" ref="U1262">34632-fx_qty</f>
        <v>0</v>
      </c>
      <c r="V1262" s="448">
        <f>PV_DATA[[#This Row],[QUANTITY]]*PV_DATA[[#This Row],[WATT]]/1000000</f>
        <v>0</v>
      </c>
      <c r="W1262" s="466">
        <f>PV_DATA[[#This Row],[QUANTITY]]/PV_DATA[[#This Row],[Qty/Pallet]]</f>
        <v>0</v>
      </c>
      <c r="X1262" s="1019">
        <f>PV_DATA[[#This Row],[QUANTITY]]/PV_DATA[[#This Row],[Qty/CT]]</f>
        <v>0</v>
      </c>
      <c r="Y1262" s="431" t="s">
        <v>7039</v>
      </c>
      <c r="Z1262" s="430" t="str">
        <f t="shared" si="37"/>
        <v/>
      </c>
      <c r="AA1262" s="431" t="s">
        <v>7529</v>
      </c>
      <c r="AB1262" s="441"/>
      <c r="AC1262" s="467" t="str">
        <f>IF(PV_DATA[[#This Row],[Pick-Up Date]]&lt;&gt;"",_xlfn.ISOWEEKNUM(PV_DATA[[#This Row],[Pick-Up Date]]),"")</f>
        <v/>
      </c>
      <c r="AD1262" s="431"/>
      <c r="AE1262" s="431"/>
      <c r="AF1262" s="431" t="s">
        <v>122</v>
      </c>
      <c r="AG1262" s="431" t="s">
        <v>123</v>
      </c>
      <c r="AH1262" s="431" t="s">
        <v>68</v>
      </c>
      <c r="AI1262" s="441"/>
      <c r="AJ1262" s="441"/>
      <c r="AK1262" s="437" t="str">
        <f>IFERROR(IF(VLOOKUP(AT1262,Vessel!A:F,5,FALSE)=0,"",VLOOKUP(AT1262,Vessel!A:F,5,FALSE)),"")</f>
        <v/>
      </c>
      <c r="AL1262" s="441"/>
      <c r="AM1262" s="441"/>
      <c r="AN1262" s="586" t="str">
        <f>IFERROR(IF(VLOOKUP(AT1262,Vessel!A:I,9,FALSE)=0,"",VLOOKUP(AT1262,Vessel!A:I,9,FALSE)),"")</f>
        <v/>
      </c>
      <c r="AO1262" s="431"/>
      <c r="AP1262" s="431"/>
      <c r="AQ1262" s="445"/>
      <c r="AR1262" s="619"/>
      <c r="AS1262" s="431"/>
      <c r="AT1262" s="431"/>
      <c r="AU1262" s="619"/>
      <c r="AV1262" s="431"/>
      <c r="AW1262" s="441" t="str" cm="1">
        <f t="array" ref="AW126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6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62" s="441" t="str">
        <f>IF(ISERROR(PV_DATA[[#This Row],[New Ark PO status]]),"",_xlfn.XLOOKUP(PV_DATA[[#This Row],[SPTN-PVHK New Ark PO'#]],New_Ark_Data[Purchase order Number],New_Ark_Data[Estimated time of arrival],"",0))</f>
        <v/>
      </c>
      <c r="AZ1262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62" s="441" t="str">
        <f>IFERROR(PV_DATA[[#This Row],[ODP ETA Port]]+PV_DATA[[#This Row],[Customs/Leg3 Assumption]],"n/a")</f>
        <v>n/a</v>
      </c>
      <c r="BB1262" s="442" t="e">
        <f>YEAR(PV_DATA[[#This Row],[ETA for New Ark update]])</f>
        <v>#VALUE!</v>
      </c>
      <c r="BC1262" s="431" t="e">
        <f>MONTH(PV_DATA[[#This Row],[ETA for New Ark update]])</f>
        <v>#VALUE!</v>
      </c>
      <c r="BD1262" s="431">
        <f>IFERROR(_xlfn.ISOWEEKNUM(PV_DATA[[#This Row],[ETA for New Ark update]]),0)</f>
        <v>0</v>
      </c>
      <c r="BE1262" s="431">
        <f>_xlfn.XLOOKUP(PV_DATA[[#This Row],[New Ark SKU]],Table9[New Ark SKU],Table9[Total PCS per Pallet],,0)</f>
        <v>36</v>
      </c>
      <c r="BF1262" s="431">
        <f>_xlfn.XLOOKUP(PV_DATA[[#This Row],[New Ark SKU]],Table9[New Ark SKU],Table9[Total PCS per 40HQ Container],,0)</f>
        <v>936</v>
      </c>
      <c r="BG1262" s="431" t="str">
        <f>_xlfn.XLOOKUP(PV_DATA[[#This Row],[New Ark SKU]],Table9[New Ark SKU],Table9[Back Glass],,0)</f>
        <v>Black glazing</v>
      </c>
      <c r="BH1262" s="431" t="str">
        <f>_xlfn.XLOOKUP(PV_DATA[[#This Row],[PORT DESTINATION]],Table12[PORT DESTINATION],Table12[Cosco Line],,0)</f>
        <v>n/a</v>
      </c>
      <c r="BJ1262" s="430"/>
    </row>
    <row r="1263" spans="1:62" ht="10.5" hidden="1">
      <c r="A1263" s="439" t="s">
        <v>7530</v>
      </c>
      <c r="B1263" s="439" t="s">
        <v>111</v>
      </c>
      <c r="C1263" s="439" t="str">
        <f>IFERROR(LEFT(PV_DATA[[#This Row],[TCL REFERENCE]],FIND(".",PV_DATA[[#This Row],[TCL REFERENCE]],1)-1),"Main Line")</f>
        <v>Main Line</v>
      </c>
      <c r="D1263" s="439" t="s">
        <v>63</v>
      </c>
      <c r="E1263" s="439" t="s">
        <v>68</v>
      </c>
      <c r="F1263" s="439" t="str" cm="1">
        <f t="array" ref="F1263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63" s="439" t="s">
        <v>68</v>
      </c>
      <c r="H1263" s="439" t="s">
        <v>68</v>
      </c>
      <c r="I1263" s="439" t="s">
        <v>68</v>
      </c>
      <c r="J1263" s="431" t="s">
        <v>68</v>
      </c>
      <c r="K1263" s="431"/>
      <c r="L1263" s="431"/>
      <c r="M1263" s="430" t="s">
        <v>6325</v>
      </c>
      <c r="N1263" s="461">
        <v>46202</v>
      </c>
      <c r="O1263" s="431" t="s">
        <v>5388</v>
      </c>
      <c r="P1263" s="430" t="s">
        <v>5389</v>
      </c>
      <c r="Q1263" s="431" t="s">
        <v>5390</v>
      </c>
      <c r="R1263" s="430" t="str">
        <f>_xlfn.XLOOKUP(PV_DATA[[#This Row],[New Ark SKU]],Table9[New Ark SKU],Table9[Connector],,0)</f>
        <v>EVO2A</v>
      </c>
      <c r="S1263" s="433" t="str">
        <f>_xlfn.XLOOKUP(PV_DATA[[#This Row],[New Ark SKU]],Table9[New Ark SKU],Table9[Cable],,0)</f>
        <v>±1200mm</v>
      </c>
      <c r="T1263" s="442">
        <v>470</v>
      </c>
      <c r="U1263" s="1067" cm="1">
        <f t="array" ref="U1263">8424-fx_qty</f>
        <v>0</v>
      </c>
      <c r="V1263" s="448">
        <f>PV_DATA[[#This Row],[QUANTITY]]*PV_DATA[[#This Row],[WATT]]/1000000</f>
        <v>0</v>
      </c>
      <c r="W1263" s="466">
        <f>PV_DATA[[#This Row],[QUANTITY]]/PV_DATA[[#This Row],[Qty/Pallet]]</f>
        <v>0</v>
      </c>
      <c r="X1263" s="1019">
        <f>PV_DATA[[#This Row],[QUANTITY]]/PV_DATA[[#This Row],[Qty/CT]]</f>
        <v>0</v>
      </c>
      <c r="Y1263" s="431" t="s">
        <v>7039</v>
      </c>
      <c r="Z1263" s="430" t="str">
        <f t="shared" si="37"/>
        <v/>
      </c>
      <c r="AA1263" s="431"/>
      <c r="AB1263" s="441"/>
      <c r="AC1263" s="467" t="str">
        <f>IF(PV_DATA[[#This Row],[Pick-Up Date]]&lt;&gt;"",_xlfn.ISOWEEKNUM(PV_DATA[[#This Row],[Pick-Up Date]]),"")</f>
        <v/>
      </c>
      <c r="AD1263" s="431"/>
      <c r="AE1263" s="431"/>
      <c r="AF1263" s="431" t="s">
        <v>122</v>
      </c>
      <c r="AG1263" s="431" t="s">
        <v>123</v>
      </c>
      <c r="AH1263" s="431" t="s">
        <v>68</v>
      </c>
      <c r="AI1263" s="441"/>
      <c r="AJ1263" s="441"/>
      <c r="AK1263" s="437" t="str">
        <f>IFERROR(IF(VLOOKUP(AT1263,Vessel!A:F,5,FALSE)=0,"",VLOOKUP(AT1263,Vessel!A:F,5,FALSE)),"")</f>
        <v/>
      </c>
      <c r="AL1263" s="441"/>
      <c r="AM1263" s="441"/>
      <c r="AN1263" s="586" t="str">
        <f>IFERROR(IF(VLOOKUP(AT1263,Vessel!A:I,9,FALSE)=0,"",VLOOKUP(AT1263,Vessel!A:I,9,FALSE)),"")</f>
        <v/>
      </c>
      <c r="AO1263" s="431"/>
      <c r="AP1263" s="431"/>
      <c r="AQ1263" s="445"/>
      <c r="AR1263" s="619"/>
      <c r="AS1263" s="431"/>
      <c r="AT1263" s="431"/>
      <c r="AU1263" s="619"/>
      <c r="AV1263" s="431"/>
      <c r="AW1263" s="441" t="str" cm="1">
        <f t="array" ref="AW126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6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63" s="441" t="str">
        <f>IF(ISERROR(PV_DATA[[#This Row],[New Ark PO status]]),"",_xlfn.XLOOKUP(PV_DATA[[#This Row],[SPTN-PVHK New Ark PO'#]],New_Ark_Data[Purchase order Number],New_Ark_Data[Estimated time of arrival],"",0))</f>
        <v/>
      </c>
      <c r="AZ1263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63" s="441" t="str">
        <f>IFERROR(PV_DATA[[#This Row],[ODP ETA Port]]+PV_DATA[[#This Row],[Customs/Leg3 Assumption]],"n/a")</f>
        <v>n/a</v>
      </c>
      <c r="BB1263" s="442" t="e">
        <f>YEAR(PV_DATA[[#This Row],[ETA for New Ark update]])</f>
        <v>#VALUE!</v>
      </c>
      <c r="BC1263" s="431" t="e">
        <f>MONTH(PV_DATA[[#This Row],[ETA for New Ark update]])</f>
        <v>#VALUE!</v>
      </c>
      <c r="BD1263" s="431">
        <f>IFERROR(_xlfn.ISOWEEKNUM(PV_DATA[[#This Row],[ETA for New Ark update]]),0)</f>
        <v>0</v>
      </c>
      <c r="BE1263" s="431">
        <f>_xlfn.XLOOKUP(PV_DATA[[#This Row],[New Ark SKU]],Table9[New Ark SKU],Table9[Total PCS per Pallet],,0)</f>
        <v>36</v>
      </c>
      <c r="BF1263" s="431">
        <f>_xlfn.XLOOKUP(PV_DATA[[#This Row],[New Ark SKU]],Table9[New Ark SKU],Table9[Total PCS per 40HQ Container],,0)</f>
        <v>936</v>
      </c>
      <c r="BG1263" s="431" t="str">
        <f>_xlfn.XLOOKUP(PV_DATA[[#This Row],[New Ark SKU]],Table9[New Ark SKU],Table9[Back Glass],,0)</f>
        <v>Black glazing</v>
      </c>
      <c r="BH1263" s="431" t="str">
        <f>_xlfn.XLOOKUP(PV_DATA[[#This Row],[PORT DESTINATION]],Table12[PORT DESTINATION],Table12[Cosco Line],,0)</f>
        <v>n/a</v>
      </c>
      <c r="BJ1263" s="430"/>
    </row>
    <row r="1264" spans="1:62" ht="10.5" hidden="1">
      <c r="A1264" s="439" t="s">
        <v>7531</v>
      </c>
      <c r="B1264" s="439" t="s">
        <v>111</v>
      </c>
      <c r="C1264" s="439" t="str">
        <f>IFERROR(LEFT(PV_DATA[[#This Row],[TCL REFERENCE]],FIND(".",PV_DATA[[#This Row],[TCL REFERENCE]],1)-1),"Main Line")</f>
        <v>Main Line</v>
      </c>
      <c r="D1264" s="439" t="s">
        <v>63</v>
      </c>
      <c r="E1264" s="439" t="s">
        <v>68</v>
      </c>
      <c r="F1264" s="439" t="str" cm="1">
        <f t="array" ref="F1264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64" s="439" t="s">
        <v>68</v>
      </c>
      <c r="H1264" s="439" t="s">
        <v>68</v>
      </c>
      <c r="I1264" s="439" t="s">
        <v>68</v>
      </c>
      <c r="J1264" s="431" t="s">
        <v>68</v>
      </c>
      <c r="K1264" s="431"/>
      <c r="L1264" s="431"/>
      <c r="M1264" s="430" t="s">
        <v>6325</v>
      </c>
      <c r="N1264" s="461">
        <v>46202</v>
      </c>
      <c r="O1264" s="431" t="s">
        <v>5345</v>
      </c>
      <c r="P1264" s="430" t="s">
        <v>5346</v>
      </c>
      <c r="Q1264" s="431" t="s">
        <v>5347</v>
      </c>
      <c r="R1264" s="430" t="str">
        <f>_xlfn.XLOOKUP(PV_DATA[[#This Row],[New Ark SKU]],Table9[New Ark SKU],Table9[Connector],,0)</f>
        <v>EVO2A</v>
      </c>
      <c r="S1264" s="433" t="str">
        <f>_xlfn.XLOOKUP(PV_DATA[[#This Row],[New Ark SKU]],Table9[New Ark SKU],Table9[Cable],,0)</f>
        <v>±1400mm</v>
      </c>
      <c r="T1264" s="442">
        <v>580</v>
      </c>
      <c r="U1264" s="1075" cm="1">
        <f t="array" ref="U1264">11520-fx_qty</f>
        <v>0</v>
      </c>
      <c r="V1264" s="448">
        <f>PV_DATA[[#This Row],[QUANTITY]]*PV_DATA[[#This Row],[WATT]]/1000000</f>
        <v>0</v>
      </c>
      <c r="W1264" s="466">
        <f>PV_DATA[[#This Row],[QUANTITY]]/PV_DATA[[#This Row],[Qty/Pallet]]</f>
        <v>0</v>
      </c>
      <c r="X1264" s="1019">
        <f>PV_DATA[[#This Row],[QUANTITY]]/PV_DATA[[#This Row],[Qty/CT]]</f>
        <v>0</v>
      </c>
      <c r="Y1264" s="431" t="s">
        <v>7039</v>
      </c>
      <c r="Z1264" s="430" t="str">
        <f t="shared" si="37"/>
        <v/>
      </c>
      <c r="AA1264" s="431" t="s">
        <v>5659</v>
      </c>
      <c r="AB1264" s="441"/>
      <c r="AC1264" s="467" t="str">
        <f>IF(PV_DATA[[#This Row],[Pick-Up Date]]&lt;&gt;"",_xlfn.ISOWEEKNUM(PV_DATA[[#This Row],[Pick-Up Date]]),"")</f>
        <v/>
      </c>
      <c r="AD1264" s="431"/>
      <c r="AE1264" s="431"/>
      <c r="AF1264" s="431" t="s">
        <v>122</v>
      </c>
      <c r="AG1264" s="431" t="s">
        <v>123</v>
      </c>
      <c r="AH1264" s="431" t="s">
        <v>68</v>
      </c>
      <c r="AI1264" s="441"/>
      <c r="AJ1264" s="441"/>
      <c r="AK1264" s="437" t="str">
        <f>IFERROR(IF(VLOOKUP(AT1264,Vessel!A:F,5,FALSE)=0,"",VLOOKUP(AT1264,Vessel!A:F,5,FALSE)),"")</f>
        <v/>
      </c>
      <c r="AL1264" s="441"/>
      <c r="AM1264" s="441"/>
      <c r="AN1264" s="586" t="str">
        <f>IFERROR(IF(VLOOKUP(AT1264,Vessel!A:I,9,FALSE)=0,"",VLOOKUP(AT1264,Vessel!A:I,9,FALSE)),"")</f>
        <v/>
      </c>
      <c r="AO1264" s="431"/>
      <c r="AP1264" s="431"/>
      <c r="AQ1264" s="445"/>
      <c r="AR1264" s="619"/>
      <c r="AS1264" s="431"/>
      <c r="AT1264" s="431"/>
      <c r="AU1264" s="619"/>
      <c r="AV1264" s="431"/>
      <c r="AW1264" s="441" t="str" cm="1">
        <f t="array" ref="AW126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6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64" s="441" t="str">
        <f>IF(ISERROR(PV_DATA[[#This Row],[New Ark PO status]]),"",_xlfn.XLOOKUP(PV_DATA[[#This Row],[SPTN-PVHK New Ark PO'#]],New_Ark_Data[Purchase order Number],New_Ark_Data[Estimated time of arrival],"",0))</f>
        <v/>
      </c>
      <c r="AZ1264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64" s="441" t="str">
        <f>IFERROR(PV_DATA[[#This Row],[ODP ETA Port]]+PV_DATA[[#This Row],[Customs/Leg3 Assumption]],"n/a")</f>
        <v>n/a</v>
      </c>
      <c r="BB1264" s="442" t="e">
        <f>YEAR(PV_DATA[[#This Row],[ETA for New Ark update]])</f>
        <v>#VALUE!</v>
      </c>
      <c r="BC1264" s="431" t="e">
        <f>MONTH(PV_DATA[[#This Row],[ETA for New Ark update]])</f>
        <v>#VALUE!</v>
      </c>
      <c r="BD1264" s="431">
        <f>IFERROR(_xlfn.ISOWEEKNUM(PV_DATA[[#This Row],[ETA for New Ark update]]),0)</f>
        <v>0</v>
      </c>
      <c r="BE1264" s="431">
        <f>_xlfn.XLOOKUP(PV_DATA[[#This Row],[New Ark SKU]],Table9[New Ark SKU],Table9[Total PCS per Pallet],,0)</f>
        <v>36</v>
      </c>
      <c r="BF1264" s="431">
        <f>_xlfn.XLOOKUP(PV_DATA[[#This Row],[New Ark SKU]],Table9[New Ark SKU],Table9[Total PCS per 40HQ Container],,0)</f>
        <v>720</v>
      </c>
      <c r="BG1264" s="431" t="str">
        <f>_xlfn.XLOOKUP(PV_DATA[[#This Row],[New Ark SKU]],Table9[New Ark SKU],Table9[Back Glass],,0)</f>
        <v>Transparent</v>
      </c>
      <c r="BH1264" s="431" t="str">
        <f>_xlfn.XLOOKUP(PV_DATA[[#This Row],[PORT DESTINATION]],Table12[PORT DESTINATION],Table12[Cosco Line],,0)</f>
        <v>n/a</v>
      </c>
      <c r="BJ1264" s="430"/>
    </row>
    <row r="1265" spans="1:62" ht="10.5" hidden="1">
      <c r="A1265" s="439" t="s">
        <v>7532</v>
      </c>
      <c r="B1265" s="439" t="s">
        <v>111</v>
      </c>
      <c r="C1265" s="439" t="str">
        <f>IFERROR(LEFT(PV_DATA[[#This Row],[TCL REFERENCE]],FIND(".",PV_DATA[[#This Row],[TCL REFERENCE]],1)-1),"Main Line")</f>
        <v>Main Line</v>
      </c>
      <c r="D1265" s="439" t="s">
        <v>63</v>
      </c>
      <c r="E1265" s="439" t="s">
        <v>68</v>
      </c>
      <c r="F1265" s="439" t="str" cm="1">
        <f t="array" ref="F1265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65" s="439" t="s">
        <v>68</v>
      </c>
      <c r="H1265" s="439" t="s">
        <v>68</v>
      </c>
      <c r="I1265" s="439" t="s">
        <v>68</v>
      </c>
      <c r="J1265" s="431" t="s">
        <v>68</v>
      </c>
      <c r="K1265" s="431"/>
      <c r="L1265" s="431"/>
      <c r="M1265" s="430" t="s">
        <v>6325</v>
      </c>
      <c r="N1265" s="461">
        <v>46202</v>
      </c>
      <c r="O1265" s="431" t="s">
        <v>5345</v>
      </c>
      <c r="P1265" s="430" t="s">
        <v>5564</v>
      </c>
      <c r="Q1265" s="431" t="s">
        <v>5565</v>
      </c>
      <c r="R1265" s="430" t="str">
        <f>_xlfn.XLOOKUP(PV_DATA[[#This Row],[New Ark SKU]],Table9[New Ark SKU],Table9[Connector],,0)</f>
        <v>EVO2A</v>
      </c>
      <c r="S1265" s="433" t="str">
        <f>_xlfn.XLOOKUP(PV_DATA[[#This Row],[New Ark SKU]],Table9[New Ark SKU],Table9[Cable],,0)</f>
        <v>±1400mm</v>
      </c>
      <c r="T1265" s="442">
        <v>585</v>
      </c>
      <c r="U1265" s="1075" cm="1">
        <f t="array" ref="U1265">5760-fx_qty</f>
        <v>0</v>
      </c>
      <c r="V1265" s="448">
        <f>PV_DATA[[#This Row],[QUANTITY]]*PV_DATA[[#This Row],[WATT]]/1000000</f>
        <v>0</v>
      </c>
      <c r="W1265" s="466">
        <f>PV_DATA[[#This Row],[QUANTITY]]/PV_DATA[[#This Row],[Qty/Pallet]]</f>
        <v>0</v>
      </c>
      <c r="X1265" s="1019">
        <f>PV_DATA[[#This Row],[QUANTITY]]/720</f>
        <v>0</v>
      </c>
      <c r="Y1265" s="431" t="s">
        <v>7039</v>
      </c>
      <c r="Z1265" s="430" t="str">
        <f t="shared" si="37"/>
        <v/>
      </c>
      <c r="AA1265" s="431" t="s">
        <v>5659</v>
      </c>
      <c r="AB1265" s="441"/>
      <c r="AC1265" s="467" t="str">
        <f>IF(PV_DATA[[#This Row],[Pick-Up Date]]&lt;&gt;"",_xlfn.ISOWEEKNUM(PV_DATA[[#This Row],[Pick-Up Date]]),"")</f>
        <v/>
      </c>
      <c r="AD1265" s="431"/>
      <c r="AE1265" s="431"/>
      <c r="AF1265" s="431" t="s">
        <v>122</v>
      </c>
      <c r="AG1265" s="431" t="s">
        <v>123</v>
      </c>
      <c r="AH1265" s="431" t="s">
        <v>68</v>
      </c>
      <c r="AI1265" s="441"/>
      <c r="AJ1265" s="441"/>
      <c r="AK1265" s="437" t="str">
        <f>IFERROR(IF(VLOOKUP(AT1265,Vessel!A:F,5,FALSE)=0,"",VLOOKUP(AT1265,Vessel!A:F,5,FALSE)),"")</f>
        <v/>
      </c>
      <c r="AL1265" s="441"/>
      <c r="AM1265" s="441"/>
      <c r="AN1265" s="586" t="str">
        <f>IFERROR(IF(VLOOKUP(AT1265,Vessel!A:I,9,FALSE)=0,"",VLOOKUP(AT1265,Vessel!A:I,9,FALSE)),"")</f>
        <v/>
      </c>
      <c r="AO1265" s="431"/>
      <c r="AP1265" s="431"/>
      <c r="AQ1265" s="445"/>
      <c r="AR1265" s="619"/>
      <c r="AS1265" s="431"/>
      <c r="AT1265" s="431"/>
      <c r="AU1265" s="619"/>
      <c r="AV1265" s="431"/>
      <c r="AW1265" s="441" t="str" cm="1">
        <f t="array" ref="AW126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6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65" s="441" t="str">
        <f>IF(ISERROR(PV_DATA[[#This Row],[New Ark PO status]]),"",_xlfn.XLOOKUP(PV_DATA[[#This Row],[SPTN-PVHK New Ark PO'#]],New_Ark_Data[Purchase order Number],New_Ark_Data[Estimated time of arrival],"",0))</f>
        <v/>
      </c>
      <c r="AZ1265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65" s="441" t="str">
        <f>IFERROR(PV_DATA[[#This Row],[ODP ETA Port]]+PV_DATA[[#This Row],[Customs/Leg3 Assumption]],"n/a")</f>
        <v>n/a</v>
      </c>
      <c r="BB1265" s="442" t="e">
        <f>YEAR(PV_DATA[[#This Row],[ETA for New Ark update]])</f>
        <v>#VALUE!</v>
      </c>
      <c r="BC1265" s="431" t="e">
        <f>MONTH(PV_DATA[[#This Row],[ETA for New Ark update]])</f>
        <v>#VALUE!</v>
      </c>
      <c r="BD1265" s="431">
        <f>IFERROR(_xlfn.ISOWEEKNUM(PV_DATA[[#This Row],[ETA for New Ark update]]),0)</f>
        <v>0</v>
      </c>
      <c r="BE1265" s="431">
        <f>_xlfn.XLOOKUP(PV_DATA[[#This Row],[New Ark SKU]],Table9[New Ark SKU],Table9[Total PCS per Pallet],,0)</f>
        <v>36</v>
      </c>
      <c r="BF1265" s="431">
        <f>_xlfn.XLOOKUP(PV_DATA[[#This Row],[New Ark SKU]],Table9[New Ark SKU],Table9[Total PCS per 40HQ Container],,0)</f>
        <v>720</v>
      </c>
      <c r="BG1265" s="431" t="str">
        <f>_xlfn.XLOOKUP(PV_DATA[[#This Row],[New Ark SKU]],Table9[New Ark SKU],Table9[Back Glass],,0)</f>
        <v>Transparent</v>
      </c>
      <c r="BH1265" s="431" t="str">
        <f>_xlfn.XLOOKUP(PV_DATA[[#This Row],[PORT DESTINATION]],Table12[PORT DESTINATION],Table12[Cosco Line],,0)</f>
        <v>n/a</v>
      </c>
      <c r="BJ1265" s="430"/>
    </row>
    <row r="1266" spans="1:62" ht="10.5" hidden="1">
      <c r="A1266" s="439" t="s">
        <v>7533</v>
      </c>
      <c r="B1266" s="439" t="s">
        <v>61</v>
      </c>
      <c r="C1266" s="439" t="str">
        <f>IFERROR(LEFT(PV_DATA[[#This Row],[TCL REFERENCE]],FIND(".",PV_DATA[[#This Row],[TCL REFERENCE]],1)-1),"Main Line")</f>
        <v>Main Line</v>
      </c>
      <c r="D1266" s="439" t="s">
        <v>63</v>
      </c>
      <c r="E1266" s="439" t="s">
        <v>68</v>
      </c>
      <c r="F1266" s="439" t="str" cm="1">
        <f t="array" ref="F1266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66" s="439" t="s">
        <v>68</v>
      </c>
      <c r="H1266" s="439" t="s">
        <v>68</v>
      </c>
      <c r="I1266" s="439" t="s">
        <v>68</v>
      </c>
      <c r="J1266" s="431" t="s">
        <v>68</v>
      </c>
      <c r="K1266" s="431"/>
      <c r="L1266" s="431"/>
      <c r="M1266" s="430" t="s">
        <v>6325</v>
      </c>
      <c r="N1266" s="461">
        <v>46202</v>
      </c>
      <c r="O1266" s="431" t="s">
        <v>284</v>
      </c>
      <c r="P1266" s="484" t="s">
        <v>6169</v>
      </c>
      <c r="Q1266" s="431" t="s">
        <v>1570</v>
      </c>
      <c r="R1266" s="430" t="str">
        <f>_xlfn.XLOOKUP(PV_DATA[[#This Row],[New Ark SKU]],Table9[New Ark SKU],Table9[Connector],,0)</f>
        <v>EVO2A</v>
      </c>
      <c r="S1266" s="433" t="str">
        <f>_xlfn.XLOOKUP(PV_DATA[[#This Row],[New Ark SKU]],Table9[New Ark SKU],Table9[Cable],,0)</f>
        <v>±1400mm</v>
      </c>
      <c r="T1266" s="442">
        <v>650</v>
      </c>
      <c r="U1266" s="1067" cm="1">
        <f t="array" ref="U1266">28800-fx_qty</f>
        <v>0</v>
      </c>
      <c r="V1266" s="448">
        <f>PV_DATA[[#This Row],[QUANTITY]]*PV_DATA[[#This Row],[WATT]]/1000000</f>
        <v>0</v>
      </c>
      <c r="W1266" s="466">
        <f>PV_DATA[[#This Row],[QUANTITY]]/PV_DATA[[#This Row],[Qty/Pallet]]</f>
        <v>0</v>
      </c>
      <c r="X1266" s="1019">
        <f>PV_DATA[[#This Row],[QUANTITY]]/PV_DATA[[#This Row],[Qty/CT]]</f>
        <v>0</v>
      </c>
      <c r="Y1266" s="431" t="s">
        <v>7039</v>
      </c>
      <c r="Z1266" s="430" t="str">
        <f t="shared" si="37"/>
        <v/>
      </c>
      <c r="AA1266" s="431"/>
      <c r="AB1266" s="441"/>
      <c r="AC1266" s="467" t="str">
        <f>IF(PV_DATA[[#This Row],[Pick-Up Date]]&lt;&gt;"",_xlfn.ISOWEEKNUM(PV_DATA[[#This Row],[Pick-Up Date]]),"")</f>
        <v/>
      </c>
      <c r="AD1266" s="431"/>
      <c r="AE1266" s="431"/>
      <c r="AF1266" s="431" t="s">
        <v>61</v>
      </c>
      <c r="AG1266" s="431" t="s">
        <v>61</v>
      </c>
      <c r="AH1266" s="431" t="s">
        <v>68</v>
      </c>
      <c r="AI1266" s="441"/>
      <c r="AJ1266" s="441"/>
      <c r="AK1266" s="437" t="str">
        <f>IFERROR(IF(VLOOKUP(AT1266,Vessel!A:F,5,FALSE)=0,"",VLOOKUP(AT1266,Vessel!A:F,5,FALSE)),"")</f>
        <v/>
      </c>
      <c r="AL1266" s="441"/>
      <c r="AM1266" s="441"/>
      <c r="AN1266" s="586" t="str">
        <f>IFERROR(IF(VLOOKUP(AT1266,Vessel!A:I,9,FALSE)=0,"",VLOOKUP(AT1266,Vessel!A:I,9,FALSE)),"")</f>
        <v/>
      </c>
      <c r="AO1266" s="431"/>
      <c r="AP1266" s="431"/>
      <c r="AQ1266" s="445"/>
      <c r="AR1266" s="619"/>
      <c r="AS1266" s="431"/>
      <c r="AT1266" s="431"/>
      <c r="AU1266" s="619"/>
      <c r="AV1266" s="431"/>
      <c r="AW1266" s="441" t="str" cm="1">
        <f t="array" ref="AW126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6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66" s="441" t="str">
        <f>IF(ISERROR(PV_DATA[[#This Row],[New Ark PO status]]),"",_xlfn.XLOOKUP(PV_DATA[[#This Row],[SPTN-PVHK New Ark PO'#]],New_Ark_Data[Purchase order Number],New_Ark_Data[Estimated time of arrival],"",0))</f>
        <v/>
      </c>
      <c r="AZ1266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66" s="441" t="str">
        <f>IFERROR(PV_DATA[[#This Row],[ODP ETA Port]]+PV_DATA[[#This Row],[Customs/Leg3 Assumption]],"n/a")</f>
        <v>n/a</v>
      </c>
      <c r="BB1266" s="442" t="e">
        <f>YEAR(PV_DATA[[#This Row],[ETA for New Ark update]])</f>
        <v>#VALUE!</v>
      </c>
      <c r="BC1266" s="431" t="e">
        <f>MONTH(PV_DATA[[#This Row],[ETA for New Ark update]])</f>
        <v>#VALUE!</v>
      </c>
      <c r="BD1266" s="431">
        <f>IFERROR(_xlfn.ISOWEEKNUM(PV_DATA[[#This Row],[ETA for New Ark update]]),0)</f>
        <v>0</v>
      </c>
      <c r="BE1266" s="431">
        <f>_xlfn.XLOOKUP(PV_DATA[[#This Row],[New Ark SKU]],Table9[New Ark SKU],Table9[Total PCS per Pallet],,0)</f>
        <v>36</v>
      </c>
      <c r="BF1266" s="431">
        <f>_xlfn.XLOOKUP(PV_DATA[[#This Row],[New Ark SKU]],Table9[New Ark SKU],Table9[Total PCS per 40HQ Container],,0)</f>
        <v>720</v>
      </c>
      <c r="BG1266" s="431" t="str">
        <f>_xlfn.XLOOKUP(PV_DATA[[#This Row],[New Ark SKU]],Table9[New Ark SKU],Table9[Back Glass],,0)</f>
        <v>White glazing</v>
      </c>
      <c r="BH1266" s="431" t="str">
        <f>_xlfn.XLOOKUP(PV_DATA[[#This Row],[PORT DESTINATION]],Table12[PORT DESTINATION],Table12[Cosco Line],,0)</f>
        <v>n/a</v>
      </c>
      <c r="BJ1266" s="430"/>
    </row>
    <row r="1267" spans="1:62" ht="10.5" hidden="1">
      <c r="A1267" s="439" t="s">
        <v>7534</v>
      </c>
      <c r="B1267" s="439" t="s">
        <v>61</v>
      </c>
      <c r="C1267" s="439" t="str">
        <f>IFERROR(LEFT(PV_DATA[[#This Row],[TCL REFERENCE]],FIND(".",PV_DATA[[#This Row],[TCL REFERENCE]],1)-1),"Main Line")</f>
        <v>Main Line</v>
      </c>
      <c r="D1267" s="439" t="s">
        <v>63</v>
      </c>
      <c r="E1267" s="439" t="s">
        <v>68</v>
      </c>
      <c r="F1267" s="439" t="str" cm="1">
        <f t="array" ref="F1267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67" s="439" t="s">
        <v>68</v>
      </c>
      <c r="H1267" s="439" t="s">
        <v>68</v>
      </c>
      <c r="I1267" s="439" t="s">
        <v>68</v>
      </c>
      <c r="J1267" s="431" t="s">
        <v>68</v>
      </c>
      <c r="K1267" s="431"/>
      <c r="L1267" s="431"/>
      <c r="M1267" s="430" t="s">
        <v>6325</v>
      </c>
      <c r="N1267" s="461">
        <v>46202</v>
      </c>
      <c r="O1267" s="431" t="s">
        <v>284</v>
      </c>
      <c r="P1267" s="462" t="s">
        <v>5354</v>
      </c>
      <c r="Q1267" s="431" t="s">
        <v>5355</v>
      </c>
      <c r="R1267" s="430" t="str">
        <f>_xlfn.XLOOKUP(PV_DATA[[#This Row],[New Ark SKU]],Table9[New Ark SKU],Table9[Connector],,0)</f>
        <v>EVO2A</v>
      </c>
      <c r="S1267" s="433" t="str">
        <f>_xlfn.XLOOKUP(PV_DATA[[#This Row],[New Ark SKU]],Table9[New Ark SKU],Table9[Cable],,0)</f>
        <v>±1400mm</v>
      </c>
      <c r="T1267" s="442">
        <v>655</v>
      </c>
      <c r="U1267" s="1067" cm="1">
        <f t="array" ref="U1267">3600-fx_qty</f>
        <v>0</v>
      </c>
      <c r="V1267" s="448">
        <f>PV_DATA[[#This Row],[QUANTITY]]*PV_DATA[[#This Row],[WATT]]/1000000</f>
        <v>0</v>
      </c>
      <c r="W1267" s="466">
        <f>PV_DATA[[#This Row],[QUANTITY]]/PV_DATA[[#This Row],[Qty/Pallet]]</f>
        <v>0</v>
      </c>
      <c r="X1267" s="1019">
        <f>PV_DATA[[#This Row],[QUANTITY]]/PV_DATA[[#This Row],[Qty/CT]]</f>
        <v>0</v>
      </c>
      <c r="Y1267" s="431" t="s">
        <v>7039</v>
      </c>
      <c r="Z1267" s="430" t="str">
        <f t="shared" si="37"/>
        <v/>
      </c>
      <c r="AA1267" s="431"/>
      <c r="AB1267" s="441"/>
      <c r="AC1267" s="467" t="str">
        <f>IF(PV_DATA[[#This Row],[Pick-Up Date]]&lt;&gt;"",_xlfn.ISOWEEKNUM(PV_DATA[[#This Row],[Pick-Up Date]]),"")</f>
        <v/>
      </c>
      <c r="AD1267" s="431"/>
      <c r="AE1267" s="431"/>
      <c r="AF1267" s="431" t="s">
        <v>61</v>
      </c>
      <c r="AG1267" s="431" t="s">
        <v>61</v>
      </c>
      <c r="AH1267" s="431" t="s">
        <v>68</v>
      </c>
      <c r="AI1267" s="441"/>
      <c r="AJ1267" s="441"/>
      <c r="AK1267" s="437" t="str">
        <f>IFERROR(IF(VLOOKUP(AT1267,Vessel!A:F,5,FALSE)=0,"",VLOOKUP(AT1267,Vessel!A:F,5,FALSE)),"")</f>
        <v/>
      </c>
      <c r="AL1267" s="441"/>
      <c r="AM1267" s="441"/>
      <c r="AN1267" s="586" t="str">
        <f>IFERROR(IF(VLOOKUP(AT1267,Vessel!A:I,9,FALSE)=0,"",VLOOKUP(AT1267,Vessel!A:I,9,FALSE)),"")</f>
        <v/>
      </c>
      <c r="AO1267" s="431"/>
      <c r="AP1267" s="431"/>
      <c r="AQ1267" s="445"/>
      <c r="AR1267" s="619"/>
      <c r="AS1267" s="431"/>
      <c r="AT1267" s="431"/>
      <c r="AU1267" s="619"/>
      <c r="AV1267" s="431"/>
      <c r="AW1267" s="441" t="str" cm="1">
        <f t="array" ref="AW126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6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67" s="441" t="str">
        <f>IF(ISERROR(PV_DATA[[#This Row],[New Ark PO status]]),"",_xlfn.XLOOKUP(PV_DATA[[#This Row],[SPTN-PVHK New Ark PO'#]],New_Ark_Data[Purchase order Number],New_Ark_Data[Estimated time of arrival],"",0))</f>
        <v/>
      </c>
      <c r="AZ1267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67" s="441" t="str">
        <f>IFERROR(PV_DATA[[#This Row],[ODP ETA Port]]+PV_DATA[[#This Row],[Customs/Leg3 Assumption]],"n/a")</f>
        <v>n/a</v>
      </c>
      <c r="BB1267" s="442" t="e">
        <f>YEAR(PV_DATA[[#This Row],[ETA for New Ark update]])</f>
        <v>#VALUE!</v>
      </c>
      <c r="BC1267" s="431" t="e">
        <f>MONTH(PV_DATA[[#This Row],[ETA for New Ark update]])</f>
        <v>#VALUE!</v>
      </c>
      <c r="BD1267" s="431">
        <f>IFERROR(_xlfn.ISOWEEKNUM(PV_DATA[[#This Row],[ETA for New Ark update]]),0)</f>
        <v>0</v>
      </c>
      <c r="BE1267" s="431">
        <f>_xlfn.XLOOKUP(PV_DATA[[#This Row],[New Ark SKU]],Table9[New Ark SKU],Table9[Total PCS per Pallet],,0)</f>
        <v>36</v>
      </c>
      <c r="BF1267" s="431">
        <f>_xlfn.XLOOKUP(PV_DATA[[#This Row],[New Ark SKU]],Table9[New Ark SKU],Table9[Total PCS per 40HQ Container],,0)</f>
        <v>720</v>
      </c>
      <c r="BG1267" s="431" t="str">
        <f>_xlfn.XLOOKUP(PV_DATA[[#This Row],[New Ark SKU]],Table9[New Ark SKU],Table9[Back Glass],,0)</f>
        <v>White glazing</v>
      </c>
      <c r="BH1267" s="431" t="str">
        <f>_xlfn.XLOOKUP(PV_DATA[[#This Row],[PORT DESTINATION]],Table12[PORT DESTINATION],Table12[Cosco Line],,0)</f>
        <v>n/a</v>
      </c>
      <c r="BJ1267" s="430"/>
    </row>
    <row r="1268" spans="1:62" ht="10.5" hidden="1">
      <c r="A1268" s="439" t="s">
        <v>7535</v>
      </c>
      <c r="B1268" s="439" t="s">
        <v>111</v>
      </c>
      <c r="C1268" s="439" t="str">
        <f>IFERROR(LEFT(PV_DATA[[#This Row],[TCL REFERENCE]],FIND(".",PV_DATA[[#This Row],[TCL REFERENCE]],1)-1),"Main Line")</f>
        <v>Main Line</v>
      </c>
      <c r="D1268" s="439" t="s">
        <v>63</v>
      </c>
      <c r="E1268" s="439" t="s">
        <v>68</v>
      </c>
      <c r="F1268" s="439" t="str" cm="1">
        <f t="array" ref="F1268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68" s="439" t="s">
        <v>68</v>
      </c>
      <c r="H1268" s="439" t="s">
        <v>68</v>
      </c>
      <c r="I1268" s="439" t="s">
        <v>68</v>
      </c>
      <c r="J1268" s="431" t="s">
        <v>68</v>
      </c>
      <c r="K1268" s="431"/>
      <c r="L1268" s="431"/>
      <c r="M1268" s="430" t="s">
        <v>6325</v>
      </c>
      <c r="N1268" s="461">
        <v>46209</v>
      </c>
      <c r="O1268" s="430" t="s">
        <v>70</v>
      </c>
      <c r="P1268" s="430" t="s">
        <v>5758</v>
      </c>
      <c r="Q1268" s="431" t="s">
        <v>1484</v>
      </c>
      <c r="R1268" s="430" t="str">
        <f>_xlfn.XLOOKUP(PV_DATA[[#This Row],[New Ark SKU]],Table9[New Ark SKU],Table9[Connector],,0)</f>
        <v>EVO2A</v>
      </c>
      <c r="S1268" s="433" t="str">
        <f>_xlfn.XLOOKUP(PV_DATA[[#This Row],[New Ark SKU]],Table9[New Ark SKU],Table9[Cable],,0)</f>
        <v>±1400mm</v>
      </c>
      <c r="T1268" s="442">
        <v>725</v>
      </c>
      <c r="U1268" s="1067" cm="1">
        <f t="array" ref="U1268">11880-fx_qty</f>
        <v>0</v>
      </c>
      <c r="V1268" s="448">
        <f>PV_DATA[[#This Row],[QUANTITY]]*PV_DATA[[#This Row],[WATT]]/1000000</f>
        <v>0</v>
      </c>
      <c r="W1268" s="466">
        <f>PV_DATA[[#This Row],[QUANTITY]]/PV_DATA[[#This Row],[Qty/Pallet]]</f>
        <v>0</v>
      </c>
      <c r="X1268" s="1015">
        <f>PV_DATA[[#This Row],[QUANTITY]]/PV_DATA[[#This Row],[Qty/CT]]</f>
        <v>0</v>
      </c>
      <c r="Y1268" s="431" t="s">
        <v>7039</v>
      </c>
      <c r="Z1268" s="430" t="str">
        <f t="shared" si="37"/>
        <v/>
      </c>
      <c r="AA1268" s="431"/>
      <c r="AB1268" s="441"/>
      <c r="AC1268" s="467" t="str">
        <f>IF(PV_DATA[[#This Row],[Pick-Up Date]]&lt;&gt;"",_xlfn.ISOWEEKNUM(PV_DATA[[#This Row],[Pick-Up Date]]),"")</f>
        <v/>
      </c>
      <c r="AD1268" s="431"/>
      <c r="AE1268" s="431"/>
      <c r="AF1268" s="431" t="s">
        <v>122</v>
      </c>
      <c r="AG1268" s="431" t="s">
        <v>123</v>
      </c>
      <c r="AH1268" s="431" t="s">
        <v>68</v>
      </c>
      <c r="AI1268" s="441"/>
      <c r="AJ1268" s="441"/>
      <c r="AK1268" s="437" t="str">
        <f>IFERROR(IF(VLOOKUP(AT1268,Vessel!A:F,5,FALSE)=0,"",VLOOKUP(AT1268,Vessel!A:F,5,FALSE)),"")</f>
        <v/>
      </c>
      <c r="AL1268" s="441"/>
      <c r="AM1268" s="441"/>
      <c r="AN1268" s="586" t="str">
        <f>IFERROR(IF(VLOOKUP(AT1268,Vessel!A:I,9,FALSE)=0,"",VLOOKUP(AT1268,Vessel!A:I,9,FALSE)),"")</f>
        <v/>
      </c>
      <c r="AO1268" s="431"/>
      <c r="AP1268" s="431"/>
      <c r="AQ1268" s="445"/>
      <c r="AR1268" s="619"/>
      <c r="AS1268" s="431"/>
      <c r="AT1268" s="431"/>
      <c r="AU1268" s="619"/>
      <c r="AV1268" s="431"/>
      <c r="AW1268" s="441" t="str" cm="1">
        <f t="array" ref="AW126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6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68" s="441" t="str">
        <f>IF(ISERROR(PV_DATA[[#This Row],[New Ark PO status]]),"",_xlfn.XLOOKUP(PV_DATA[[#This Row],[SPTN-PVHK New Ark PO'#]],New_Ark_Data[Purchase order Number],New_Ark_Data[Estimated time of arrival],"",0))</f>
        <v/>
      </c>
      <c r="AZ1268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68" s="441" t="str">
        <f>IFERROR(PV_DATA[[#This Row],[ODP ETA Port]]+PV_DATA[[#This Row],[Customs/Leg3 Assumption]],"n/a")</f>
        <v>n/a</v>
      </c>
      <c r="BB1268" s="442" t="e">
        <f>YEAR(PV_DATA[[#This Row],[ETA for New Ark update]])</f>
        <v>#VALUE!</v>
      </c>
      <c r="BC1268" s="431" t="e">
        <f>MONTH(PV_DATA[[#This Row],[ETA for New Ark update]])</f>
        <v>#VALUE!</v>
      </c>
      <c r="BD1268" s="431">
        <f>IFERROR(_xlfn.ISOWEEKNUM(PV_DATA[[#This Row],[ETA for New Ark update]]),0)</f>
        <v>0</v>
      </c>
      <c r="BE1268" s="431">
        <f>_xlfn.XLOOKUP(PV_DATA[[#This Row],[New Ark SKU]],Table9[New Ark SKU],Table9[Total PCS per Pallet],,0)</f>
        <v>33</v>
      </c>
      <c r="BF1268" s="431">
        <f>_xlfn.XLOOKUP(PV_DATA[[#This Row],[New Ark SKU]],Table9[New Ark SKU],Table9[Total PCS per 40HQ Container],,0)</f>
        <v>594</v>
      </c>
      <c r="BG1268" s="431" t="str">
        <f>_xlfn.XLOOKUP(PV_DATA[[#This Row],[New Ark SKU]],Table9[New Ark SKU],Table9[Back Glass],,0)</f>
        <v>Transparent</v>
      </c>
      <c r="BH1268" s="431" t="str">
        <f>_xlfn.XLOOKUP(PV_DATA[[#This Row],[PORT DESTINATION]],Table12[PORT DESTINATION],Table12[Cosco Line],,0)</f>
        <v>n/a</v>
      </c>
      <c r="BJ1268" s="430"/>
    </row>
    <row r="1269" spans="1:62" ht="10.5" hidden="1">
      <c r="A1269" s="439" t="s">
        <v>7536</v>
      </c>
      <c r="B1269" s="439" t="s">
        <v>111</v>
      </c>
      <c r="C1269" s="439" t="str">
        <f>IFERROR(LEFT(PV_DATA[[#This Row],[TCL REFERENCE]],FIND(".",PV_DATA[[#This Row],[TCL REFERENCE]],1)-1),"Main Line")</f>
        <v>Main Line</v>
      </c>
      <c r="D1269" s="439" t="s">
        <v>63</v>
      </c>
      <c r="E1269" s="439" t="s">
        <v>68</v>
      </c>
      <c r="F1269" s="439" t="str" cm="1">
        <f t="array" ref="F1269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69" s="439" t="s">
        <v>68</v>
      </c>
      <c r="H1269" s="439" t="s">
        <v>68</v>
      </c>
      <c r="I1269" s="439" t="s">
        <v>68</v>
      </c>
      <c r="J1269" s="431" t="s">
        <v>68</v>
      </c>
      <c r="K1269" s="431"/>
      <c r="L1269" s="431"/>
      <c r="M1269" s="430" t="s">
        <v>6325</v>
      </c>
      <c r="N1269" s="461">
        <v>46209</v>
      </c>
      <c r="O1269" s="430" t="s">
        <v>70</v>
      </c>
      <c r="P1269" s="430" t="s">
        <v>1681</v>
      </c>
      <c r="Q1269" s="431" t="s">
        <v>1682</v>
      </c>
      <c r="R1269" s="430" t="str">
        <f>_xlfn.XLOOKUP(PV_DATA[[#This Row],[New Ark SKU]],Table9[New Ark SKU],Table9[Connector],,0)</f>
        <v>EVO2A</v>
      </c>
      <c r="S1269" s="433" t="str">
        <f>_xlfn.XLOOKUP(PV_DATA[[#This Row],[New Ark SKU]],Table9[New Ark SKU],Table9[Cable],,0)</f>
        <v>±1400mm</v>
      </c>
      <c r="T1269" s="442">
        <v>730</v>
      </c>
      <c r="U1269" s="1067" cm="1">
        <f t="array" ref="U1269">1782-fx_qty</f>
        <v>0</v>
      </c>
      <c r="V1269" s="448">
        <f>PV_DATA[[#This Row],[QUANTITY]]*PV_DATA[[#This Row],[WATT]]/1000000</f>
        <v>0</v>
      </c>
      <c r="W1269" s="466">
        <f>PV_DATA[[#This Row],[QUANTITY]]/PV_DATA[[#This Row],[Qty/Pallet]]</f>
        <v>0</v>
      </c>
      <c r="X1269" s="1015">
        <f>PV_DATA[[#This Row],[QUANTITY]]/PV_DATA[[#This Row],[Qty/CT]]</f>
        <v>0</v>
      </c>
      <c r="Y1269" s="431" t="s">
        <v>7039</v>
      </c>
      <c r="Z1269" s="430" t="str">
        <f t="shared" si="37"/>
        <v/>
      </c>
      <c r="AA1269" s="431"/>
      <c r="AB1269" s="441"/>
      <c r="AC1269" s="467" t="str">
        <f>IF(PV_DATA[[#This Row],[Pick-Up Date]]&lt;&gt;"",_xlfn.ISOWEEKNUM(PV_DATA[[#This Row],[Pick-Up Date]]),"")</f>
        <v/>
      </c>
      <c r="AD1269" s="431"/>
      <c r="AE1269" s="431"/>
      <c r="AF1269" s="431" t="s">
        <v>122</v>
      </c>
      <c r="AG1269" s="431" t="s">
        <v>123</v>
      </c>
      <c r="AH1269" s="431" t="s">
        <v>68</v>
      </c>
      <c r="AI1269" s="441"/>
      <c r="AJ1269" s="441"/>
      <c r="AK1269" s="437" t="str">
        <f>IFERROR(IF(VLOOKUP(AT1269,Vessel!A:F,5,FALSE)=0,"",VLOOKUP(AT1269,Vessel!A:F,5,FALSE)),"")</f>
        <v/>
      </c>
      <c r="AL1269" s="441"/>
      <c r="AM1269" s="441"/>
      <c r="AN1269" s="586" t="str">
        <f>IFERROR(IF(VLOOKUP(AT1269,Vessel!A:I,9,FALSE)=0,"",VLOOKUP(AT1269,Vessel!A:I,9,FALSE)),"")</f>
        <v/>
      </c>
      <c r="AO1269" s="431"/>
      <c r="AP1269" s="431"/>
      <c r="AQ1269" s="445"/>
      <c r="AR1269" s="619"/>
      <c r="AS1269" s="431"/>
      <c r="AT1269" s="431"/>
      <c r="AU1269" s="619"/>
      <c r="AV1269" s="431"/>
      <c r="AW1269" s="441" t="str" cm="1">
        <f t="array" ref="AW126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6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69" s="441" t="str">
        <f>IF(ISERROR(PV_DATA[[#This Row],[New Ark PO status]]),"",_xlfn.XLOOKUP(PV_DATA[[#This Row],[SPTN-PVHK New Ark PO'#]],New_Ark_Data[Purchase order Number],New_Ark_Data[Estimated time of arrival],"",0))</f>
        <v/>
      </c>
      <c r="AZ1269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69" s="441" t="str">
        <f>IFERROR(PV_DATA[[#This Row],[ODP ETA Port]]+PV_DATA[[#This Row],[Customs/Leg3 Assumption]],"n/a")</f>
        <v>n/a</v>
      </c>
      <c r="BB1269" s="442" t="e">
        <f>YEAR(PV_DATA[[#This Row],[ETA for New Ark update]])</f>
        <v>#VALUE!</v>
      </c>
      <c r="BC1269" s="431" t="e">
        <f>MONTH(PV_DATA[[#This Row],[ETA for New Ark update]])</f>
        <v>#VALUE!</v>
      </c>
      <c r="BD1269" s="431">
        <f>IFERROR(_xlfn.ISOWEEKNUM(PV_DATA[[#This Row],[ETA for New Ark update]]),0)</f>
        <v>0</v>
      </c>
      <c r="BE1269" s="431">
        <f>_xlfn.XLOOKUP(PV_DATA[[#This Row],[New Ark SKU]],Table9[New Ark SKU],Table9[Total PCS per Pallet],,0)</f>
        <v>33</v>
      </c>
      <c r="BF1269" s="431">
        <f>_xlfn.XLOOKUP(PV_DATA[[#This Row],[New Ark SKU]],Table9[New Ark SKU],Table9[Total PCS per 40HQ Container],,0)</f>
        <v>594</v>
      </c>
      <c r="BG1269" s="431" t="str">
        <f>_xlfn.XLOOKUP(PV_DATA[[#This Row],[New Ark SKU]],Table9[New Ark SKU],Table9[Back Glass],,0)</f>
        <v>Transparent</v>
      </c>
      <c r="BH1269" s="431" t="str">
        <f>_xlfn.XLOOKUP(PV_DATA[[#This Row],[PORT DESTINATION]],Table12[PORT DESTINATION],Table12[Cosco Line],,0)</f>
        <v>n/a</v>
      </c>
      <c r="BJ1269" s="430"/>
    </row>
    <row r="1270" spans="1:62" s="431" customFormat="1" ht="10.5">
      <c r="A1270" s="439" t="s">
        <v>7537</v>
      </c>
      <c r="B1270" s="439" t="s">
        <v>111</v>
      </c>
      <c r="C1270" s="439" t="str">
        <f>IFERROR(LEFT(PV_DATA[[#This Row],[TCL REFERENCE]],FIND(".",PV_DATA[[#This Row],[TCL REFERENCE]],1)-1),"Main Line")</f>
        <v>Main Line</v>
      </c>
      <c r="D1270" s="439" t="s">
        <v>63</v>
      </c>
      <c r="E1270" s="439" t="s">
        <v>68</v>
      </c>
      <c r="F1270" s="439" t="str" cm="1">
        <f t="array" ref="F1270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70" s="439" t="s">
        <v>402</v>
      </c>
      <c r="H1270" s="439" t="s">
        <v>67</v>
      </c>
      <c r="I1270" s="439" t="s">
        <v>689</v>
      </c>
      <c r="J1270" s="431" t="s">
        <v>7347</v>
      </c>
      <c r="M1270" s="430" t="s">
        <v>6325</v>
      </c>
      <c r="N1270" s="461">
        <v>46174</v>
      </c>
      <c r="O1270" s="431" t="s">
        <v>713</v>
      </c>
      <c r="P1270" s="431" t="s">
        <v>7538</v>
      </c>
      <c r="Q1270" s="431" t="s">
        <v>1300</v>
      </c>
      <c r="R1270" s="430" t="str">
        <f>_xlfn.XLOOKUP(PV_DATA[[#This Row],[New Ark SKU]],Table9[New Ark SKU],Table9[Connector],,0)</f>
        <v>EVO2A</v>
      </c>
      <c r="S1270" s="433" t="str">
        <f>_xlfn.XLOOKUP(PV_DATA[[#This Row],[New Ark SKU]],Table9[New Ark SKU],Table9[Cable],,0)</f>
        <v>+350mm/-280mm</v>
      </c>
      <c r="T1270" s="1473">
        <v>720</v>
      </c>
      <c r="U1270" s="1474" cm="1">
        <f t="array" ref="U1270">594-fx_qty</f>
        <v>594</v>
      </c>
      <c r="V1270" s="1475">
        <f>PV_DATA[[#This Row],[QUANTITY]]*PV_DATA[[#This Row],[WATT]]/1000000</f>
        <v>0.42768</v>
      </c>
      <c r="W1270" s="1476">
        <f>PV_DATA[[#This Row],[QUANTITY]]/PV_DATA[[#This Row],[Qty/Pallet]]</f>
        <v>18</v>
      </c>
      <c r="X1270" s="1477">
        <f>PV_DATA[[#This Row],[QUANTITY]]/PV_DATA[[#This Row],[Qty/CT]]</f>
        <v>1</v>
      </c>
      <c r="Y1270" s="431" t="s">
        <v>7039</v>
      </c>
      <c r="Z1270" s="430" t="str">
        <f t="shared" si="37"/>
        <v/>
      </c>
      <c r="AA1270" s="431" t="s">
        <v>7539</v>
      </c>
      <c r="AB1270" s="441"/>
      <c r="AC1270" s="467" t="str">
        <f>IF(PV_DATA[[#This Row],[Pick-Up Date]]&lt;&gt;"",_xlfn.ISOWEEKNUM(PV_DATA[[#This Row],[Pick-Up Date]]),"")</f>
        <v/>
      </c>
      <c r="AF1270" s="431" t="s">
        <v>122</v>
      </c>
      <c r="AG1270" s="431" t="s">
        <v>123</v>
      </c>
      <c r="AH1270" s="431" t="s">
        <v>68</v>
      </c>
      <c r="AI1270" s="441"/>
      <c r="AJ1270" s="441"/>
      <c r="AK1270" s="437"/>
      <c r="AL1270" s="441"/>
      <c r="AM1270" s="441"/>
      <c r="AN1270" s="586"/>
      <c r="AQ1270" s="445"/>
      <c r="AR1270" s="619"/>
      <c r="AU1270" s="619"/>
      <c r="AW1270" s="441" cm="1">
        <f t="array" ref="AW127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46341</v>
      </c>
      <c r="AX1270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70" s="441" t="str">
        <f>IF(ISERROR(PV_DATA[[#This Row],[New Ark PO status]]),"",_xlfn.XLOOKUP(PV_DATA[[#This Row],[SPTN-PVHK New Ark PO'#]],New_Ark_Data[Purchase order Number],New_Ark_Data[Estimated time of arrival],"",0))</f>
        <v/>
      </c>
      <c r="AZ1270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70" s="441">
        <f>IFERROR(PV_DATA[[#This Row],[ODP ETA Port]]+PV_DATA[[#This Row],[Customs/Leg3 Assumption]],"n/a")</f>
        <v>46355</v>
      </c>
      <c r="BB1270" s="442" t="s">
        <v>6325</v>
      </c>
      <c r="BC1270" s="442" t="s">
        <v>6325</v>
      </c>
      <c r="BD1270" s="431">
        <f>IFERROR(_xlfn.ISOWEEKNUM(PV_DATA[[#This Row],[ETA for New Ark update]]),0)</f>
        <v>48</v>
      </c>
      <c r="BE1270" s="431">
        <f>_xlfn.XLOOKUP(PV_DATA[[#This Row],[New Ark SKU]],Table9[New Ark SKU],Table9[Total PCS per Pallet],,0)</f>
        <v>33</v>
      </c>
      <c r="BF1270" s="431">
        <f>_xlfn.XLOOKUP(PV_DATA[[#This Row],[New Ark SKU]],Table9[New Ark SKU],Table9[Total PCS per 40HQ Container],,0)</f>
        <v>594</v>
      </c>
      <c r="BG1270" s="431" t="str">
        <f>_xlfn.XLOOKUP(PV_DATA[[#This Row],[New Ark SKU]],Table9[New Ark SKU],Table9[Back Glass],,0)</f>
        <v>White glazing</v>
      </c>
      <c r="BH1270" s="431" t="str">
        <f>_xlfn.XLOOKUP(PV_DATA[[#This Row],[PORT DESTINATION]],Table12[PORT DESTINATION],Table12[Cosco Line],,0)</f>
        <v>n/a</v>
      </c>
    </row>
    <row r="1271" spans="1:62" s="431" customFormat="1" ht="10.5" hidden="1">
      <c r="A1271" s="439" t="s">
        <v>7540</v>
      </c>
      <c r="B1271" s="439" t="s">
        <v>111</v>
      </c>
      <c r="C1271" s="439" t="str">
        <f>IFERROR(LEFT(PV_DATA[[#This Row],[TCL REFERENCE]],FIND(".",PV_DATA[[#This Row],[TCL REFERENCE]],1)-1),"Main Line")</f>
        <v>26Jun028</v>
      </c>
      <c r="D1271" s="439" t="s">
        <v>63</v>
      </c>
      <c r="E1271" s="439" t="s">
        <v>144</v>
      </c>
      <c r="F1271" s="439" t="str" cm="1">
        <f t="array" ref="F1271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271" s="439" t="s">
        <v>156</v>
      </c>
      <c r="H1271" s="439" t="s">
        <v>941</v>
      </c>
      <c r="I1271" s="439" t="s">
        <v>689</v>
      </c>
      <c r="J1271" s="431" t="s">
        <v>7541</v>
      </c>
      <c r="M1271" s="430" t="s">
        <v>6285</v>
      </c>
      <c r="N1271" s="461">
        <v>46174</v>
      </c>
      <c r="O1271" s="431" t="s">
        <v>132</v>
      </c>
      <c r="P1271" s="431" t="s">
        <v>133</v>
      </c>
      <c r="Q1271" s="431" t="s">
        <v>134</v>
      </c>
      <c r="R1271" s="430" t="str">
        <f>_xlfn.XLOOKUP(PV_DATA[[#This Row],[New Ark SKU]],Table9[New Ark SKU],Table9[Connector],,0)</f>
        <v>EVO2A</v>
      </c>
      <c r="S1271" s="433" t="str">
        <f>_xlfn.XLOOKUP(PV_DATA[[#This Row],[New Ark SKU]],Table9[New Ark SKU],Table9[Cable],,0)</f>
        <v>±1400mm</v>
      </c>
      <c r="T1271" s="442">
        <v>720</v>
      </c>
      <c r="U1271" s="1067">
        <f>594</f>
        <v>594</v>
      </c>
      <c r="V1271" s="448">
        <f>PV_DATA[[#This Row],[QUANTITY]]*PV_DATA[[#This Row],[WATT]]/1000000</f>
        <v>0.42768</v>
      </c>
      <c r="W1271" s="466">
        <f>PV_DATA[[#This Row],[QUANTITY]]/PV_DATA[[#This Row],[Qty/Pallet]]</f>
        <v>18</v>
      </c>
      <c r="X1271" s="1019">
        <f>PV_DATA[[#This Row],[QUANTITY]]/PV_DATA[[#This Row],[Qty/CT]]</f>
        <v>1</v>
      </c>
      <c r="Y1271" s="431" t="s">
        <v>4369</v>
      </c>
      <c r="Z1271" s="430" t="str">
        <f t="shared" si="37"/>
        <v>COMPLETED</v>
      </c>
      <c r="AA1271" s="431" t="s">
        <v>4999</v>
      </c>
      <c r="AB1271" s="441">
        <v>46206</v>
      </c>
      <c r="AC1271" s="467">
        <f>IF(PV_DATA[[#This Row],[Pick-Up Date]]&lt;&gt;"",_xlfn.ISOWEEKNUM(PV_DATA[[#This Row],[Pick-Up Date]]),"")</f>
        <v>27</v>
      </c>
      <c r="AF1271" s="431" t="s">
        <v>122</v>
      </c>
      <c r="AG1271" s="431" t="s">
        <v>123</v>
      </c>
      <c r="AH1271" s="431" t="s">
        <v>68</v>
      </c>
      <c r="AI1271" s="441">
        <v>46211</v>
      </c>
      <c r="AJ1271" s="441">
        <v>46211</v>
      </c>
      <c r="AK1271" s="441">
        <v>46211</v>
      </c>
      <c r="AL1271" s="441">
        <v>46264</v>
      </c>
      <c r="AM1271" s="441"/>
      <c r="AN1271" s="441">
        <v>46265</v>
      </c>
      <c r="AO1271" s="431" t="s">
        <v>156</v>
      </c>
      <c r="AP1271" s="431" t="s">
        <v>7542</v>
      </c>
      <c r="AQ1271" s="445" t="s">
        <v>161</v>
      </c>
      <c r="AR1271" s="619" t="s">
        <v>7543</v>
      </c>
      <c r="AS1271" s="431" t="s">
        <v>7544</v>
      </c>
      <c r="AT1271" s="431" t="s">
        <v>7544</v>
      </c>
      <c r="AU1271" s="619"/>
      <c r="AW1271" s="441" cm="1">
        <f t="array" ref="AW127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46265</v>
      </c>
      <c r="AX127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71" s="441" t="str">
        <f>IF(ISERROR(PV_DATA[[#This Row],[New Ark PO status]]),"",_xlfn.XLOOKUP(PV_DATA[[#This Row],[SPTN-PVHK New Ark PO'#]],New_Ark_Data[Purchase order Number],New_Ark_Data[Estimated time of arrival],"",0))</f>
        <v/>
      </c>
      <c r="AZ1271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271" s="441">
        <f>IFERROR(PV_DATA[[#This Row],[ODP ETA Port]]+PV_DATA[[#This Row],[Customs/Leg3 Assumption]],"n/a")</f>
        <v>46265</v>
      </c>
      <c r="BB1271" s="442">
        <f>YEAR(PV_DATA[[#This Row],[ETA for New Ark update]])</f>
        <v>2026</v>
      </c>
      <c r="BC1271" s="431">
        <f>MONTH(PV_DATA[[#This Row],[ETA for New Ark update]])</f>
        <v>8</v>
      </c>
      <c r="BD1271" s="431">
        <f>IFERROR(_xlfn.ISOWEEKNUM(PV_DATA[[#This Row],[ETA for New Ark update]]),0)</f>
        <v>36</v>
      </c>
      <c r="BE1271" s="431">
        <f>_xlfn.XLOOKUP(PV_DATA[[#This Row],[New Ark SKU]],Table9[New Ark SKU],Table9[Total PCS per Pallet],,0)</f>
        <v>33</v>
      </c>
      <c r="BF1271" s="431">
        <f>_xlfn.XLOOKUP(PV_DATA[[#This Row],[New Ark SKU]],Table9[New Ark SKU],Table9[Total PCS per 40HQ Container],,0)</f>
        <v>594</v>
      </c>
      <c r="BG1271" s="431" t="str">
        <f>_xlfn.XLOOKUP(PV_DATA[[#This Row],[New Ark SKU]],Table9[New Ark SKU],Table9[Back Glass],,0)</f>
        <v>White glazing</v>
      </c>
      <c r="BH1271" s="431" t="str">
        <f>_xlfn.XLOOKUP(PV_DATA[[#This Row],[PORT DESTINATION]],Table12[PORT DESTINATION],Table12[Cosco Line],,0)</f>
        <v>n/a</v>
      </c>
    </row>
    <row r="1272" spans="1:62" s="431" customFormat="1" ht="10.5" hidden="1">
      <c r="A1272" s="439" t="s">
        <v>7545</v>
      </c>
      <c r="B1272" s="439" t="s">
        <v>111</v>
      </c>
      <c r="C1272" s="439" t="str">
        <f>IFERROR(LEFT(PV_DATA[[#This Row],[TCL REFERENCE]],FIND(".",PV_DATA[[#This Row],[TCL REFERENCE]],1)-1),"Main Line")</f>
        <v>26Jun028</v>
      </c>
      <c r="D1272" s="439" t="s">
        <v>63</v>
      </c>
      <c r="E1272" s="439" t="s">
        <v>144</v>
      </c>
      <c r="F1272" s="439" t="str" cm="1">
        <f t="array" ref="F1272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272" s="439" t="s">
        <v>156</v>
      </c>
      <c r="H1272" s="439" t="s">
        <v>941</v>
      </c>
      <c r="I1272" s="439" t="s">
        <v>689</v>
      </c>
      <c r="J1272" s="431" t="s">
        <v>7541</v>
      </c>
      <c r="M1272" s="430" t="s">
        <v>6285</v>
      </c>
      <c r="N1272" s="461">
        <v>46174</v>
      </c>
      <c r="O1272" s="431" t="s">
        <v>132</v>
      </c>
      <c r="P1272" s="431" t="s">
        <v>133</v>
      </c>
      <c r="Q1272" s="431" t="s">
        <v>134</v>
      </c>
      <c r="R1272" s="430" t="str">
        <f>_xlfn.XLOOKUP(PV_DATA[[#This Row],[New Ark SKU]],Table9[New Ark SKU],Table9[Connector],,0)</f>
        <v>EVO2A</v>
      </c>
      <c r="S1272" s="433" t="str">
        <f>_xlfn.XLOOKUP(PV_DATA[[#This Row],[New Ark SKU]],Table9[New Ark SKU],Table9[Cable],,0)</f>
        <v>±1400mm</v>
      </c>
      <c r="T1272" s="442">
        <v>720</v>
      </c>
      <c r="U1272" s="1067">
        <f>594</f>
        <v>594</v>
      </c>
      <c r="V1272" s="448">
        <f>PV_DATA[[#This Row],[QUANTITY]]*PV_DATA[[#This Row],[WATT]]/1000000</f>
        <v>0.42768</v>
      </c>
      <c r="W1272" s="466">
        <f>PV_DATA[[#This Row],[QUANTITY]]/PV_DATA[[#This Row],[Qty/Pallet]]</f>
        <v>18</v>
      </c>
      <c r="X1272" s="1019">
        <f>PV_DATA[[#This Row],[QUANTITY]]/PV_DATA[[#This Row],[Qty/CT]]</f>
        <v>1</v>
      </c>
      <c r="Y1272" s="431" t="s">
        <v>4369</v>
      </c>
      <c r="Z1272" s="430" t="str">
        <f t="shared" si="37"/>
        <v>COMPLETED</v>
      </c>
      <c r="AA1272" s="431" t="s">
        <v>4999</v>
      </c>
      <c r="AB1272" s="441">
        <v>46206</v>
      </c>
      <c r="AC1272" s="467">
        <f>IF(PV_DATA[[#This Row],[Pick-Up Date]]&lt;&gt;"",_xlfn.ISOWEEKNUM(PV_DATA[[#This Row],[Pick-Up Date]]),"")</f>
        <v>27</v>
      </c>
      <c r="AF1272" s="431" t="s">
        <v>122</v>
      </c>
      <c r="AG1272" s="431" t="s">
        <v>123</v>
      </c>
      <c r="AH1272" s="431" t="s">
        <v>68</v>
      </c>
      <c r="AI1272" s="441">
        <v>46211</v>
      </c>
      <c r="AJ1272" s="441">
        <v>46211</v>
      </c>
      <c r="AK1272" s="441">
        <v>46211</v>
      </c>
      <c r="AL1272" s="441">
        <v>46264</v>
      </c>
      <c r="AM1272" s="441"/>
      <c r="AN1272" s="441">
        <v>46265</v>
      </c>
      <c r="AO1272" s="431" t="s">
        <v>156</v>
      </c>
      <c r="AP1272" s="431" t="s">
        <v>7542</v>
      </c>
      <c r="AQ1272" s="445" t="s">
        <v>161</v>
      </c>
      <c r="AR1272" s="619" t="s">
        <v>7546</v>
      </c>
      <c r="AS1272" s="431" t="s">
        <v>7547</v>
      </c>
      <c r="AT1272" s="431" t="s">
        <v>7547</v>
      </c>
      <c r="AU1272" s="619"/>
      <c r="AW1272" s="441" cm="1">
        <f t="array" ref="AW127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46265</v>
      </c>
      <c r="AX127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72" s="441" t="str">
        <f>IF(ISERROR(PV_DATA[[#This Row],[New Ark PO status]]),"",_xlfn.XLOOKUP(PV_DATA[[#This Row],[SPTN-PVHK New Ark PO'#]],New_Ark_Data[Purchase order Number],New_Ark_Data[Estimated time of arrival],"",0))</f>
        <v/>
      </c>
      <c r="AZ1272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272" s="441">
        <f>IFERROR(PV_DATA[[#This Row],[ODP ETA Port]]+PV_DATA[[#This Row],[Customs/Leg3 Assumption]],"n/a")</f>
        <v>46265</v>
      </c>
      <c r="BB1272" s="442">
        <f>YEAR(PV_DATA[[#This Row],[ETA for New Ark update]])</f>
        <v>2026</v>
      </c>
      <c r="BC1272" s="431">
        <f>MONTH(PV_DATA[[#This Row],[ETA for New Ark update]])</f>
        <v>8</v>
      </c>
      <c r="BD1272" s="431">
        <f>IFERROR(_xlfn.ISOWEEKNUM(PV_DATA[[#This Row],[ETA for New Ark update]]),0)</f>
        <v>36</v>
      </c>
      <c r="BE1272" s="431">
        <f>_xlfn.XLOOKUP(PV_DATA[[#This Row],[New Ark SKU]],Table9[New Ark SKU],Table9[Total PCS per Pallet],,0)</f>
        <v>33</v>
      </c>
      <c r="BF1272" s="431">
        <f>_xlfn.XLOOKUP(PV_DATA[[#This Row],[New Ark SKU]],Table9[New Ark SKU],Table9[Total PCS per 40HQ Container],,0)</f>
        <v>594</v>
      </c>
      <c r="BG1272" s="431" t="str">
        <f>_xlfn.XLOOKUP(PV_DATA[[#This Row],[New Ark SKU]],Table9[New Ark SKU],Table9[Back Glass],,0)</f>
        <v>White glazing</v>
      </c>
      <c r="BH1272" s="431" t="str">
        <f>_xlfn.XLOOKUP(PV_DATA[[#This Row],[PORT DESTINATION]],Table12[PORT DESTINATION],Table12[Cosco Line],,0)</f>
        <v>n/a</v>
      </c>
    </row>
    <row r="1273" spans="1:62" s="431" customFormat="1" ht="10.5" hidden="1">
      <c r="A1273" s="439" t="s">
        <v>7548</v>
      </c>
      <c r="B1273" s="439" t="s">
        <v>111</v>
      </c>
      <c r="C1273" s="439" t="str">
        <f>IFERROR(LEFT(PV_DATA[[#This Row],[TCL REFERENCE]],FIND(".",PV_DATA[[#This Row],[TCL REFERENCE]],1)-1),"Main Line")</f>
        <v>Main Line</v>
      </c>
      <c r="D1273" s="439" t="s">
        <v>63</v>
      </c>
      <c r="E1273" s="439" t="s">
        <v>144</v>
      </c>
      <c r="F1273" s="439" t="str" cm="1">
        <f t="array" ref="F127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273" s="439" t="s">
        <v>156</v>
      </c>
      <c r="H1273" s="439" t="s">
        <v>941</v>
      </c>
      <c r="I1273" s="439" t="s">
        <v>689</v>
      </c>
      <c r="J1273" s="431" t="s">
        <v>7541</v>
      </c>
      <c r="M1273" s="430" t="s">
        <v>6285</v>
      </c>
      <c r="N1273" s="461">
        <v>46174</v>
      </c>
      <c r="O1273" s="431" t="s">
        <v>70</v>
      </c>
      <c r="P1273" s="431" t="s">
        <v>7549</v>
      </c>
      <c r="Q1273" s="431" t="s">
        <v>103</v>
      </c>
      <c r="R1273" s="430" t="str">
        <f>_xlfn.XLOOKUP(PV_DATA[[#This Row],[New Ark SKU]],Table9[New Ark SKU],Table9[Connector],,0)</f>
        <v>H4(Com)</v>
      </c>
      <c r="S1273" s="433" t="str">
        <f>_xlfn.XLOOKUP(PV_DATA[[#This Row],[New Ark SKU]],Table9[New Ark SKU],Table9[Cable],,0)</f>
        <v>±1400mm</v>
      </c>
      <c r="T1273" s="442">
        <v>620</v>
      </c>
      <c r="U1273" s="1067" cm="1">
        <f t="array" ref="U1273">720-fx_qty</f>
        <v>720</v>
      </c>
      <c r="V1273" s="448">
        <f>PV_DATA[[#This Row],[QUANTITY]]*PV_DATA[[#This Row],[WATT]]/1000000</f>
        <v>0.44640000000000002</v>
      </c>
      <c r="W1273" s="466">
        <f>PV_DATA[[#This Row],[QUANTITY]]/PV_DATA[[#This Row],[Qty/Pallet]]</f>
        <v>20</v>
      </c>
      <c r="X1273" s="1019">
        <f>PV_DATA[[#This Row],[QUANTITY]]/PV_DATA[[#This Row],[Qty/CT]]</f>
        <v>1</v>
      </c>
      <c r="Y1273" s="431" t="s">
        <v>4369</v>
      </c>
      <c r="Z1273" s="430" t="str">
        <f t="shared" si="37"/>
        <v>COMPLETED</v>
      </c>
      <c r="AA1273" s="431" t="s">
        <v>4999</v>
      </c>
      <c r="AB1273" s="441">
        <v>46206</v>
      </c>
      <c r="AC1273" s="467">
        <f>IF(PV_DATA[[#This Row],[Pick-Up Date]]&lt;&gt;"",_xlfn.ISOWEEKNUM(PV_DATA[[#This Row],[Pick-Up Date]]),"")</f>
        <v>27</v>
      </c>
      <c r="AF1273" s="431" t="s">
        <v>122</v>
      </c>
      <c r="AG1273" s="431" t="s">
        <v>123</v>
      </c>
      <c r="AH1273" s="431" t="s">
        <v>68</v>
      </c>
      <c r="AI1273" s="441">
        <v>46211</v>
      </c>
      <c r="AJ1273" s="441">
        <v>46211</v>
      </c>
      <c r="AK1273" s="441">
        <v>46211</v>
      </c>
      <c r="AL1273" s="441">
        <v>46264</v>
      </c>
      <c r="AM1273" s="441"/>
      <c r="AN1273" s="441">
        <v>46265</v>
      </c>
      <c r="AO1273" s="431" t="s">
        <v>156</v>
      </c>
      <c r="AP1273" s="431" t="s">
        <v>7542</v>
      </c>
      <c r="AQ1273" s="445" t="s">
        <v>161</v>
      </c>
      <c r="AR1273" s="619" t="s">
        <v>7546</v>
      </c>
      <c r="AS1273" s="431" t="s">
        <v>7547</v>
      </c>
      <c r="AT1273" s="431" t="s">
        <v>7547</v>
      </c>
      <c r="AU1273" s="619"/>
      <c r="AW1273" s="441" cm="1">
        <f t="array" ref="AW127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46265</v>
      </c>
      <c r="AX127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73" s="441" t="str">
        <f>IF(ISERROR(PV_DATA[[#This Row],[New Ark PO status]]),"",_xlfn.XLOOKUP(PV_DATA[[#This Row],[SPTN-PVHK New Ark PO'#]],New_Ark_Data[Purchase order Number],New_Ark_Data[Estimated time of arrival],"",0))</f>
        <v/>
      </c>
      <c r="AZ1273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273" s="441">
        <f>IFERROR(PV_DATA[[#This Row],[ODP ETA Port]]+PV_DATA[[#This Row],[Customs/Leg3 Assumption]],"n/a")</f>
        <v>46265</v>
      </c>
      <c r="BB1273" s="442">
        <f>YEAR(PV_DATA[[#This Row],[ETA for New Ark update]])</f>
        <v>2026</v>
      </c>
      <c r="BC1273" s="431">
        <f>MONTH(PV_DATA[[#This Row],[ETA for New Ark update]])</f>
        <v>8</v>
      </c>
      <c r="BD1273" s="431">
        <f>IFERROR(_xlfn.ISOWEEKNUM(PV_DATA[[#This Row],[ETA for New Ark update]]),0)</f>
        <v>36</v>
      </c>
      <c r="BE1273" s="431">
        <f>_xlfn.XLOOKUP(PV_DATA[[#This Row],[New Ark SKU]],Table9[New Ark SKU],Table9[Total PCS per Pallet],,0)</f>
        <v>36</v>
      </c>
      <c r="BF1273" s="431">
        <f>_xlfn.XLOOKUP(PV_DATA[[#This Row],[New Ark SKU]],Table9[New Ark SKU],Table9[Total PCS per 40HQ Container],,0)</f>
        <v>720</v>
      </c>
      <c r="BG1273" s="431" t="str">
        <f>_xlfn.XLOOKUP(PV_DATA[[#This Row],[New Ark SKU]],Table9[New Ark SKU],Table9[Back Glass],,0)</f>
        <v>White glazing</v>
      </c>
      <c r="BH1273" s="431" t="str">
        <f>_xlfn.XLOOKUP(PV_DATA[[#This Row],[PORT DESTINATION]],Table12[PORT DESTINATION],Table12[Cosco Line],,0)</f>
        <v>n/a</v>
      </c>
    </row>
    <row r="1274" spans="1:62" s="439" customFormat="1" ht="10.5" hidden="1">
      <c r="A1274" s="727" t="s">
        <v>7550</v>
      </c>
      <c r="B1274" s="726" t="s">
        <v>111</v>
      </c>
      <c r="C1274" s="439" t="str">
        <f>IFERROR(LEFT(PV_DATA[[#This Row],[TCL REFERENCE]],FIND(".",PV_DATA[[#This Row],[TCL REFERENCE]],1)-1),"Main Line")</f>
        <v>26Aug010</v>
      </c>
      <c r="D1274" s="726" t="s">
        <v>113</v>
      </c>
      <c r="E1274" s="439" t="s">
        <v>144</v>
      </c>
      <c r="F1274" s="439" t="str" cm="1">
        <f t="array" ref="F127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274" s="439" t="s">
        <v>402</v>
      </c>
      <c r="H1274" s="719" t="s">
        <v>941</v>
      </c>
      <c r="I1274" s="439" t="s">
        <v>689</v>
      </c>
      <c r="J1274" s="439" t="s">
        <v>7551</v>
      </c>
      <c r="K1274" s="726"/>
      <c r="L1274" s="726"/>
      <c r="M1274" s="439" t="s">
        <v>7552</v>
      </c>
      <c r="N1274" s="1106"/>
      <c r="O1274" s="726" t="s">
        <v>4540</v>
      </c>
      <c r="P1274" s="726" t="s">
        <v>6245</v>
      </c>
      <c r="Q1274" s="726" t="s">
        <v>330</v>
      </c>
      <c r="R1274" s="430" t="str">
        <f>_xlfn.XLOOKUP(PV_DATA[[#This Row],[New Ark SKU]],Table9[New Ark SKU],Table9[Connector],,0)</f>
        <v>H4(Com)</v>
      </c>
      <c r="S1274" s="433" t="str">
        <f>_xlfn.XLOOKUP(PV_DATA[[#This Row],[New Ark SKU]],Table9[New Ark SKU],Table9[Cable],,0)</f>
        <v>+400mm/-200mm</v>
      </c>
      <c r="T1274" s="1107">
        <v>625</v>
      </c>
      <c r="U1274" s="1108">
        <f>720*2</f>
        <v>1440</v>
      </c>
      <c r="V1274" s="1109">
        <f>PV_DATA[[#This Row],[QUANTITY]]*PV_DATA[[#This Row],[WATT]]/1000000</f>
        <v>0.9</v>
      </c>
      <c r="W1274" s="1110">
        <f>PV_DATA[[#This Row],[QUANTITY]]/36</f>
        <v>40</v>
      </c>
      <c r="X1274" s="1116">
        <f>PV_DATA[[#This Row],[QUANTITY]]/PV_DATA[[#This Row],[Qty/CT]]</f>
        <v>2</v>
      </c>
      <c r="Y1274" s="439" t="s">
        <v>4377</v>
      </c>
      <c r="Z1274" s="439" t="str">
        <f t="shared" si="37"/>
        <v>COMPLETED</v>
      </c>
      <c r="AA1274" s="1111">
        <v>46251</v>
      </c>
      <c r="AB1274" s="962">
        <v>46252</v>
      </c>
      <c r="AC1274" s="1112">
        <f>IF(PV_DATA[[#This Row],[Pick-Up Date]]&lt;&gt;"",_xlfn.ISOWEEKNUM(PV_DATA[[#This Row],[Pick-Up Date]]),"")</f>
        <v>34</v>
      </c>
      <c r="AD1274" s="726" t="s">
        <v>7553</v>
      </c>
      <c r="AE1274" s="726"/>
      <c r="AF1274" s="726" t="s">
        <v>1525</v>
      </c>
      <c r="AG1274" s="726" t="s">
        <v>1525</v>
      </c>
      <c r="AH1274" s="439" t="s">
        <v>946</v>
      </c>
      <c r="AI1274" s="962">
        <v>46258</v>
      </c>
      <c r="AJ1274" s="962">
        <v>46263</v>
      </c>
      <c r="AK1274" s="719">
        <v>46263</v>
      </c>
      <c r="AL1274" s="962">
        <v>46261</v>
      </c>
      <c r="AM1274" s="962">
        <v>46268</v>
      </c>
      <c r="AN1274" s="1113">
        <v>46273</v>
      </c>
      <c r="AO1274" s="726" t="s">
        <v>402</v>
      </c>
      <c r="AP1274" s="726" t="s">
        <v>7554</v>
      </c>
      <c r="AQ1274" s="439" t="s">
        <v>161</v>
      </c>
      <c r="AR1274" s="619" t="s">
        <v>7555</v>
      </c>
      <c r="AS1274" s="726">
        <v>275734828</v>
      </c>
      <c r="AT1274" s="439">
        <v>275734828</v>
      </c>
      <c r="AU1274" s="619"/>
      <c r="AV1274" s="726"/>
      <c r="AW1274" s="962" cm="1">
        <f t="array" ref="AW127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46273</v>
      </c>
      <c r="AX127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74" s="962" t="str">
        <f>IF(ISERROR(PV_DATA[[#This Row],[New Ark PO status]]),"",_xlfn.XLOOKUP(PV_DATA[[#This Row],[SPTN-PVHK New Ark PO'#]],New_Ark_Data[Purchase order Number],New_Ark_Data[Estimated time of arrival],"",0))</f>
        <v/>
      </c>
      <c r="AZ1274" s="1107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274" s="962">
        <f>IFERROR(PV_DATA[[#This Row],[ODP ETA Port]]+PV_DATA[[#This Row],[Customs/Leg3 Assumption]],"n/a")</f>
        <v>46273</v>
      </c>
      <c r="BB1274" s="1107">
        <f>YEAR(PV_DATA[[#This Row],[ETA for New Ark update]])</f>
        <v>2026</v>
      </c>
      <c r="BC1274" s="726">
        <f>MONTH(PV_DATA[[#This Row],[ETA for New Ark update]])</f>
        <v>9</v>
      </c>
      <c r="BD1274" s="726">
        <f>IFERROR(_xlfn.ISOWEEKNUM(PV_DATA[[#This Row],[ETA for New Ark update]]),0)</f>
        <v>37</v>
      </c>
      <c r="BE1274" s="431">
        <f>_xlfn.XLOOKUP(PV_DATA[[#This Row],[New Ark SKU]],Table9[New Ark SKU],Table9[Total PCS per Pallet],,0)</f>
        <v>36</v>
      </c>
      <c r="BF1274" s="431">
        <f>_xlfn.XLOOKUP(PV_DATA[[#This Row],[New Ark SKU]],Table9[New Ark SKU],Table9[Total PCS per 40HQ Container],,0)</f>
        <v>720</v>
      </c>
      <c r="BG1274" s="431" t="str">
        <f>_xlfn.XLOOKUP(PV_DATA[[#This Row],[New Ark SKU]],Table9[New Ark SKU],Table9[Back Glass],,0)</f>
        <v>Redirection Film</v>
      </c>
      <c r="BH1274" s="1114" t="str">
        <f>_xlfn.XLOOKUP(PV_DATA[[#This Row],[PORT DESTINATION]],Table12[PORT DESTINATION],Table12[Cosco Line],,0)</f>
        <v>n/a</v>
      </c>
    </row>
    <row r="1275" spans="1:62" ht="10.5" hidden="1">
      <c r="A1275" s="725" t="s">
        <v>7556</v>
      </c>
      <c r="B1275" s="439" t="s">
        <v>111</v>
      </c>
      <c r="C1275" s="439" t="str">
        <f>IFERROR(LEFT(PV_DATA[[#This Row],[TCL REFERENCE]],FIND(".",PV_DATA[[#This Row],[TCL REFERENCE]],1)-1),"Main Line")</f>
        <v>Main Line</v>
      </c>
      <c r="D1275" s="439" t="s">
        <v>63</v>
      </c>
      <c r="E1275" s="439" t="s">
        <v>68</v>
      </c>
      <c r="F1275" s="439" t="str" cm="1">
        <f t="array" ref="F1275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75" s="726" t="s">
        <v>68</v>
      </c>
      <c r="H1275" s="726" t="s">
        <v>68</v>
      </c>
      <c r="I1275" s="431" t="s">
        <v>68</v>
      </c>
      <c r="J1275" s="619" t="s">
        <v>68</v>
      </c>
      <c r="K1275" s="619"/>
      <c r="L1275" s="619"/>
      <c r="M1275" s="619" t="s">
        <v>68</v>
      </c>
      <c r="N1275" s="461">
        <v>46237</v>
      </c>
      <c r="O1275" s="431" t="s">
        <v>5388</v>
      </c>
      <c r="P1275" s="430" t="s">
        <v>5952</v>
      </c>
      <c r="Q1275" s="431" t="s">
        <v>5953</v>
      </c>
      <c r="R1275" s="430" t="str">
        <f>_xlfn.XLOOKUP(PV_DATA[[#This Row],[New Ark SKU]],Table9[New Ark SKU],Table9[Connector],,0)</f>
        <v>EVO2A</v>
      </c>
      <c r="S1275" s="433" t="str">
        <f>_xlfn.XLOOKUP(PV_DATA[[#This Row],[New Ark SKU]],Table9[New Ark SKU],Table9[Cable],,0)</f>
        <v>±1200mm</v>
      </c>
      <c r="T1275" s="442">
        <v>470</v>
      </c>
      <c r="U1275" s="1070" cm="1">
        <f t="array" ref="U1275">5616-fx_qty</f>
        <v>0</v>
      </c>
      <c r="V1275" s="736">
        <f>PV_DATA[[#This Row],[QUANTITY]]*PV_DATA[[#This Row],[WATT]]/1000000</f>
        <v>0</v>
      </c>
      <c r="W1275" s="737">
        <f>PV_DATA[[#This Row],[QUANTITY]]/PV_DATA[[#This Row],[Qty/Pallet]]</f>
        <v>0</v>
      </c>
      <c r="X1275" s="1060">
        <f>PV_DATA[[#This Row],[QUANTITY]]/PV_DATA[[#This Row],[Qty/CT]]</f>
        <v>0</v>
      </c>
      <c r="Y1275" s="447" t="s">
        <v>7039</v>
      </c>
      <c r="Z1275" s="430" t="str">
        <f t="shared" si="37"/>
        <v/>
      </c>
      <c r="AA1275" s="431"/>
      <c r="AB1275" s="441"/>
      <c r="AC1275" s="467" t="str">
        <f>IF(PV_DATA[[#This Row],[Pick-Up Date]]&lt;&gt;"",_xlfn.ISOWEEKNUM(PV_DATA[[#This Row],[Pick-Up Date]]),"")</f>
        <v/>
      </c>
      <c r="AD1275" s="431"/>
      <c r="AE1275" s="431"/>
      <c r="AF1275" s="431" t="s">
        <v>122</v>
      </c>
      <c r="AG1275" s="431" t="s">
        <v>123</v>
      </c>
      <c r="AH1275" s="431" t="s">
        <v>68</v>
      </c>
      <c r="AI1275" s="441"/>
      <c r="AJ1275" s="441"/>
      <c r="AK1275" s="437" t="str">
        <f>IFERROR(IF(VLOOKUP(AT1275,Vessel!A:F,5,FALSE)=0,"",VLOOKUP(AT1275,Vessel!A:F,5,FALSE)),"")</f>
        <v/>
      </c>
      <c r="AL1275" s="441"/>
      <c r="AM1275" s="441"/>
      <c r="AN1275" s="586" t="str">
        <f>IFERROR(IF(VLOOKUP(AT1275,Vessel!A:I,9,FALSE)=0,"",VLOOKUP(AT1275,Vessel!A:I,9,FALSE)),"")</f>
        <v/>
      </c>
      <c r="AO1275" s="431"/>
      <c r="AP1275" s="431"/>
      <c r="AQ1275" s="445"/>
      <c r="AR1275" s="619"/>
      <c r="AS1275" s="431"/>
      <c r="AT1275" s="431"/>
      <c r="AU1275" s="619"/>
      <c r="AV1275" s="431"/>
      <c r="AW1275" s="441" t="str" cm="1">
        <f t="array" ref="AW127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7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75" s="441" t="str">
        <f>IF(ISERROR(PV_DATA[[#This Row],[New Ark PO status]]),"",_xlfn.XLOOKUP(PV_DATA[[#This Row],[SPTN-PVHK New Ark PO'#]],New_Ark_Data[Purchase order Number],New_Ark_Data[Estimated time of arrival],"",0))</f>
        <v/>
      </c>
      <c r="AZ1275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75" s="441" t="str">
        <f>IFERROR(PV_DATA[[#This Row],[ODP ETA Port]]+PV_DATA[[#This Row],[Customs/Leg3 Assumption]],"n/a")</f>
        <v>n/a</v>
      </c>
      <c r="BB1275" s="442" t="e">
        <f>YEAR(PV_DATA[[#This Row],[ETA for New Ark update]])</f>
        <v>#VALUE!</v>
      </c>
      <c r="BC1275" s="431" t="e">
        <f>MONTH(PV_DATA[[#This Row],[ETA for New Ark update]])</f>
        <v>#VALUE!</v>
      </c>
      <c r="BD1275" s="431">
        <f>IFERROR(_xlfn.ISOWEEKNUM(PV_DATA[[#This Row],[ETA for New Ark update]]),0)</f>
        <v>0</v>
      </c>
      <c r="BE1275" s="431">
        <f>_xlfn.XLOOKUP(PV_DATA[[#This Row],[New Ark SKU]],Table9[New Ark SKU],Table9[Total PCS per Pallet],,0)</f>
        <v>36</v>
      </c>
      <c r="BF1275" s="431">
        <f>_xlfn.XLOOKUP(PV_DATA[[#This Row],[New Ark SKU]],Table9[New Ark SKU],Table9[Total PCS per 40HQ Container],,0)</f>
        <v>936</v>
      </c>
      <c r="BG1275" s="431" t="str">
        <f>_xlfn.XLOOKUP(PV_DATA[[#This Row],[New Ark SKU]],Table9[New Ark SKU],Table9[Back Glass],,0)</f>
        <v>White glazing</v>
      </c>
      <c r="BH1275" s="431" t="str">
        <f>_xlfn.XLOOKUP(PV_DATA[[#This Row],[PORT DESTINATION]],Table12[PORT DESTINATION],Table12[Cosco Line],,0)</f>
        <v>n/a</v>
      </c>
      <c r="BJ1275" s="430"/>
    </row>
    <row r="1276" spans="1:62" ht="10.5" hidden="1">
      <c r="A1276" s="725" t="s">
        <v>7557</v>
      </c>
      <c r="B1276" s="439" t="s">
        <v>111</v>
      </c>
      <c r="C1276" s="439" t="str">
        <f>IFERROR(LEFT(PV_DATA[[#This Row],[TCL REFERENCE]],FIND(".",PV_DATA[[#This Row],[TCL REFERENCE]],1)-1),"Main Line")</f>
        <v>Main Line</v>
      </c>
      <c r="D1276" s="439" t="s">
        <v>63</v>
      </c>
      <c r="E1276" s="439" t="s">
        <v>68</v>
      </c>
      <c r="F1276" s="439" t="str" cm="1">
        <f t="array" ref="F1276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76" s="726" t="s">
        <v>68</v>
      </c>
      <c r="H1276" s="726" t="s">
        <v>68</v>
      </c>
      <c r="I1276" s="431" t="s">
        <v>68</v>
      </c>
      <c r="J1276" s="619" t="s">
        <v>68</v>
      </c>
      <c r="K1276" s="619"/>
      <c r="L1276" s="619"/>
      <c r="M1276" s="619" t="s">
        <v>68</v>
      </c>
      <c r="N1276" s="461">
        <v>46234</v>
      </c>
      <c r="O1276" s="431" t="s">
        <v>5388</v>
      </c>
      <c r="P1276" s="430" t="s">
        <v>5744</v>
      </c>
      <c r="Q1276" s="431" t="s">
        <v>5745</v>
      </c>
      <c r="R1276" s="430" t="str">
        <f>_xlfn.XLOOKUP(PV_DATA[[#This Row],[New Ark SKU]],Table9[New Ark SKU],Table9[Connector],,0)</f>
        <v>EVO2A</v>
      </c>
      <c r="S1276" s="433" t="str">
        <f>_xlfn.XLOOKUP(PV_DATA[[#This Row],[New Ark SKU]],Table9[New Ark SKU],Table9[Cable],,0)</f>
        <v>±1200mm</v>
      </c>
      <c r="T1276" s="442">
        <v>475</v>
      </c>
      <c r="U1276" s="1070" cm="1">
        <f t="array" ref="U1276">29016-fx_qty</f>
        <v>0</v>
      </c>
      <c r="V1276" s="736">
        <f>PV_DATA[[#This Row],[QUANTITY]]*PV_DATA[[#This Row],[WATT]]/1000000</f>
        <v>0</v>
      </c>
      <c r="W1276" s="737">
        <f>PV_DATA[[#This Row],[QUANTITY]]/PV_DATA[[#This Row],[Qty/Pallet]]</f>
        <v>0</v>
      </c>
      <c r="X1276" s="1060">
        <f>PV_DATA[[#This Row],[QUANTITY]]/PV_DATA[[#This Row],[Qty/CT]]</f>
        <v>0</v>
      </c>
      <c r="Y1276" s="447" t="s">
        <v>7039</v>
      </c>
      <c r="Z1276" s="430" t="str">
        <f t="shared" si="37"/>
        <v/>
      </c>
      <c r="AA1276" s="431" t="s">
        <v>6317</v>
      </c>
      <c r="AB1276" s="441"/>
      <c r="AC1276" s="467" t="str">
        <f>IF(PV_DATA[[#This Row],[Pick-Up Date]]&lt;&gt;"",_xlfn.ISOWEEKNUM(PV_DATA[[#This Row],[Pick-Up Date]]),"")</f>
        <v/>
      </c>
      <c r="AD1276" s="431"/>
      <c r="AE1276" s="431"/>
      <c r="AF1276" s="431" t="s">
        <v>122</v>
      </c>
      <c r="AG1276" s="431" t="s">
        <v>123</v>
      </c>
      <c r="AH1276" s="431" t="s">
        <v>68</v>
      </c>
      <c r="AI1276" s="441"/>
      <c r="AJ1276" s="441"/>
      <c r="AK1276" s="437" t="str">
        <f>IFERROR(IF(VLOOKUP(AT1276,Vessel!A:F,5,FALSE)=0,"",VLOOKUP(AT1276,Vessel!A:F,5,FALSE)),"")</f>
        <v/>
      </c>
      <c r="AL1276" s="441"/>
      <c r="AM1276" s="441"/>
      <c r="AN1276" s="586" t="str">
        <f>IFERROR(IF(VLOOKUP(AT1276,Vessel!A:I,9,FALSE)=0,"",VLOOKUP(AT1276,Vessel!A:I,9,FALSE)),"")</f>
        <v/>
      </c>
      <c r="AO1276" s="431"/>
      <c r="AP1276" s="431"/>
      <c r="AQ1276" s="445"/>
      <c r="AR1276" s="619"/>
      <c r="AS1276" s="431"/>
      <c r="AT1276" s="431"/>
      <c r="AU1276" s="619"/>
      <c r="AV1276" s="431"/>
      <c r="AW1276" s="441" t="str" cm="1">
        <f t="array" ref="AW127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7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76" s="441" t="str">
        <f>IF(ISERROR(PV_DATA[[#This Row],[New Ark PO status]]),"",_xlfn.XLOOKUP(PV_DATA[[#This Row],[SPTN-PVHK New Ark PO'#]],New_Ark_Data[Purchase order Number],New_Ark_Data[Estimated time of arrival],"",0))</f>
        <v/>
      </c>
      <c r="AZ1276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76" s="441" t="str">
        <f>IFERROR(PV_DATA[[#This Row],[ODP ETA Port]]+PV_DATA[[#This Row],[Customs/Leg3 Assumption]],"n/a")</f>
        <v>n/a</v>
      </c>
      <c r="BB1276" s="442" t="e">
        <f>YEAR(PV_DATA[[#This Row],[ETA for New Ark update]])</f>
        <v>#VALUE!</v>
      </c>
      <c r="BC1276" s="431" t="e">
        <f>MONTH(PV_DATA[[#This Row],[ETA for New Ark update]])</f>
        <v>#VALUE!</v>
      </c>
      <c r="BD1276" s="431">
        <f>IFERROR(_xlfn.ISOWEEKNUM(PV_DATA[[#This Row],[ETA for New Ark update]]),0)</f>
        <v>0</v>
      </c>
      <c r="BE1276" s="431">
        <f>_xlfn.XLOOKUP(PV_DATA[[#This Row],[New Ark SKU]],Table9[New Ark SKU],Table9[Total PCS per Pallet],,0)</f>
        <v>36</v>
      </c>
      <c r="BF1276" s="431">
        <f>_xlfn.XLOOKUP(PV_DATA[[#This Row],[New Ark SKU]],Table9[New Ark SKU],Table9[Total PCS per 40HQ Container],,0)</f>
        <v>936</v>
      </c>
      <c r="BG1276" s="431" t="str">
        <f>_xlfn.XLOOKUP(PV_DATA[[#This Row],[New Ark SKU]],Table9[New Ark SKU],Table9[Back Glass],,0)</f>
        <v>White glazing</v>
      </c>
      <c r="BH1276" s="431" t="str">
        <f>_xlfn.XLOOKUP(PV_DATA[[#This Row],[PORT DESTINATION]],Table12[PORT DESTINATION],Table12[Cosco Line],,0)</f>
        <v>n/a</v>
      </c>
      <c r="BJ1276" s="430"/>
    </row>
    <row r="1277" spans="1:62" ht="10.5" hidden="1">
      <c r="A1277" s="439" t="s">
        <v>7558</v>
      </c>
      <c r="B1277" s="439" t="s">
        <v>111</v>
      </c>
      <c r="C1277" s="439" t="str">
        <f>IFERROR(LEFT(PV_DATA[[#This Row],[TCL REFERENCE]],FIND(".",PV_DATA[[#This Row],[TCL REFERENCE]],1)-1),"Main Line")</f>
        <v>Main Line</v>
      </c>
      <c r="D1277" s="439" t="s">
        <v>63</v>
      </c>
      <c r="E1277" s="439" t="s">
        <v>68</v>
      </c>
      <c r="F1277" s="439" t="str" cm="1">
        <f t="array" ref="F1277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77" s="726" t="s">
        <v>68</v>
      </c>
      <c r="H1277" s="726" t="s">
        <v>68</v>
      </c>
      <c r="I1277" s="431" t="s">
        <v>68</v>
      </c>
      <c r="J1277" s="619" t="s">
        <v>68</v>
      </c>
      <c r="K1277" s="619"/>
      <c r="L1277" s="619"/>
      <c r="M1277" s="619" t="s">
        <v>68</v>
      </c>
      <c r="N1277" s="461">
        <v>46209</v>
      </c>
      <c r="O1277" s="431" t="s">
        <v>550</v>
      </c>
      <c r="P1277" s="430" t="s">
        <v>551</v>
      </c>
      <c r="Q1277" s="431" t="s">
        <v>2151</v>
      </c>
      <c r="R1277" s="430" t="str">
        <f>_xlfn.XLOOKUP(PV_DATA[[#This Row],[New Ark SKU]],Table9[New Ark SKU],Table9[Connector],,0)</f>
        <v>EVO2A</v>
      </c>
      <c r="S1277" s="433" t="str">
        <f>_xlfn.XLOOKUP(PV_DATA[[#This Row],[New Ark SKU]],Table9[New Ark SKU],Table9[Cable],,0)</f>
        <v>±1350mm</v>
      </c>
      <c r="T1277" s="442">
        <v>510</v>
      </c>
      <c r="U1277" s="1067" cm="1">
        <f t="array" ref="U1277">11880-fx_qty</f>
        <v>0</v>
      </c>
      <c r="V1277" s="448">
        <f>PV_DATA[[#This Row],[QUANTITY]]*PV_DATA[[#This Row],[WATT]]/1000000</f>
        <v>0</v>
      </c>
      <c r="W1277" s="466">
        <f>PV_DATA[[#This Row],[QUANTITY]]/PV_DATA[[#This Row],[Qty/Pallet]]</f>
        <v>0</v>
      </c>
      <c r="X1277" s="1019">
        <f>PV_DATA[[#This Row],[QUANTITY]]/PV_DATA[[#This Row],[Qty/CT]]</f>
        <v>0</v>
      </c>
      <c r="Y1277" s="431" t="s">
        <v>7039</v>
      </c>
      <c r="Z1277" s="430" t="str">
        <f t="shared" si="37"/>
        <v/>
      </c>
      <c r="AA1277" s="431"/>
      <c r="AB1277" s="441"/>
      <c r="AC1277" s="467" t="str">
        <f>IF(PV_DATA[[#This Row],[Pick-Up Date]]&lt;&gt;"",_xlfn.ISOWEEKNUM(PV_DATA[[#This Row],[Pick-Up Date]]),"")</f>
        <v/>
      </c>
      <c r="AD1277" s="431"/>
      <c r="AE1277" s="431"/>
      <c r="AF1277" s="431" t="s">
        <v>122</v>
      </c>
      <c r="AG1277" s="431" t="s">
        <v>123</v>
      </c>
      <c r="AH1277" s="431" t="s">
        <v>68</v>
      </c>
      <c r="AI1277" s="441"/>
      <c r="AJ1277" s="441"/>
      <c r="AK1277" s="437" t="str">
        <f>IFERROR(IF(VLOOKUP(AT1277,Vessel!A:F,5,FALSE)=0,"",VLOOKUP(AT1277,Vessel!A:F,5,FALSE)),"")</f>
        <v/>
      </c>
      <c r="AL1277" s="441"/>
      <c r="AM1277" s="441"/>
      <c r="AN1277" s="586" t="str">
        <f>IFERROR(IF(VLOOKUP(AT1277,Vessel!A:I,9,FALSE)=0,"",VLOOKUP(AT1277,Vessel!A:I,9,FALSE)),"")</f>
        <v/>
      </c>
      <c r="AO1277" s="431"/>
      <c r="AP1277" s="431"/>
      <c r="AQ1277" s="445"/>
      <c r="AR1277" s="619"/>
      <c r="AS1277" s="431"/>
      <c r="AT1277" s="431"/>
      <c r="AU1277" s="619"/>
      <c r="AV1277" s="431"/>
      <c r="AW1277" s="441" t="str" cm="1">
        <f t="array" ref="AW127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7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77" s="441" t="str">
        <f>IF(ISERROR(PV_DATA[[#This Row],[New Ark PO status]]),"",_xlfn.XLOOKUP(PV_DATA[[#This Row],[SPTN-PVHK New Ark PO'#]],New_Ark_Data[Purchase order Number],New_Ark_Data[Estimated time of arrival],"",0))</f>
        <v/>
      </c>
      <c r="AZ1277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77" s="441" t="str">
        <f>IFERROR(PV_DATA[[#This Row],[ODP ETA Port]]+PV_DATA[[#This Row],[Customs/Leg3 Assumption]],"n/a")</f>
        <v>n/a</v>
      </c>
      <c r="BB1277" s="442" t="e">
        <f>YEAR(PV_DATA[[#This Row],[ETA for New Ark update]])</f>
        <v>#VALUE!</v>
      </c>
      <c r="BC1277" s="431" t="e">
        <f>MONTH(PV_DATA[[#This Row],[ETA for New Ark update]])</f>
        <v>#VALUE!</v>
      </c>
      <c r="BD1277" s="431">
        <f>IFERROR(_xlfn.ISOWEEKNUM(PV_DATA[[#This Row],[ETA for New Ark update]]),0)</f>
        <v>0</v>
      </c>
      <c r="BE1277" s="431">
        <f>_xlfn.XLOOKUP(PV_DATA[[#This Row],[New Ark SKU]],Table9[New Ark SKU],Table9[Total PCS per Pallet],,0)</f>
        <v>36</v>
      </c>
      <c r="BF1277" s="431">
        <f>_xlfn.XLOOKUP(PV_DATA[[#This Row],[New Ark SKU]],Table9[New Ark SKU],Table9[Total PCS per 40HQ Container],,0)</f>
        <v>792</v>
      </c>
      <c r="BG1277" s="431" t="str">
        <f>_xlfn.XLOOKUP(PV_DATA[[#This Row],[New Ark SKU]],Table9[New Ark SKU],Table9[Back Glass],,0)</f>
        <v>Black glazing</v>
      </c>
      <c r="BH1277" s="431" t="str">
        <f>_xlfn.XLOOKUP(PV_DATA[[#This Row],[PORT DESTINATION]],Table12[PORT DESTINATION],Table12[Cosco Line],,0)</f>
        <v>n/a</v>
      </c>
      <c r="BJ1277" s="430"/>
    </row>
    <row r="1278" spans="1:62" ht="10.5" hidden="1">
      <c r="A1278" s="439" t="s">
        <v>7559</v>
      </c>
      <c r="B1278" s="439" t="s">
        <v>111</v>
      </c>
      <c r="C1278" s="439" t="str">
        <f>IFERROR(LEFT(PV_DATA[[#This Row],[TCL REFERENCE]],FIND(".",PV_DATA[[#This Row],[TCL REFERENCE]],1)-1),"Main Line")</f>
        <v>Main Line</v>
      </c>
      <c r="D1278" s="439" t="s">
        <v>63</v>
      </c>
      <c r="E1278" s="439" t="s">
        <v>68</v>
      </c>
      <c r="F1278" s="439" t="str" cm="1">
        <f t="array" ref="F1278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78" s="726" t="s">
        <v>68</v>
      </c>
      <c r="H1278" s="726" t="s">
        <v>68</v>
      </c>
      <c r="I1278" s="431" t="s">
        <v>68</v>
      </c>
      <c r="J1278" s="619" t="s">
        <v>68</v>
      </c>
      <c r="K1278" s="619"/>
      <c r="L1278" s="619"/>
      <c r="M1278" s="619" t="s">
        <v>68</v>
      </c>
      <c r="N1278" s="461">
        <v>46209</v>
      </c>
      <c r="O1278" s="431" t="s">
        <v>550</v>
      </c>
      <c r="P1278" s="430" t="s">
        <v>2134</v>
      </c>
      <c r="Q1278" s="431" t="s">
        <v>2135</v>
      </c>
      <c r="R1278" s="430" t="str">
        <f>_xlfn.XLOOKUP(PV_DATA[[#This Row],[New Ark SKU]],Table9[New Ark SKU],Table9[Connector],,0)</f>
        <v>EVO2A</v>
      </c>
      <c r="S1278" s="433" t="str">
        <f>_xlfn.XLOOKUP(PV_DATA[[#This Row],[New Ark SKU]],Table9[New Ark SKU],Table9[Cable],,0)</f>
        <v>±1350mm</v>
      </c>
      <c r="T1278" s="442">
        <v>515</v>
      </c>
      <c r="U1278" s="1067" cm="1">
        <f t="array" ref="U1278">27576-fx_qty</f>
        <v>0</v>
      </c>
      <c r="V1278" s="448">
        <f>PV_DATA[[#This Row],[QUANTITY]]*PV_DATA[[#This Row],[WATT]]/1000000</f>
        <v>0</v>
      </c>
      <c r="W1278" s="466">
        <f>PV_DATA[[#This Row],[QUANTITY]]/PV_DATA[[#This Row],[Qty/Pallet]]</f>
        <v>0</v>
      </c>
      <c r="X1278" s="1019">
        <f>PV_DATA[[#This Row],[QUANTITY]]/PV_DATA[[#This Row],[Qty/CT]]</f>
        <v>0</v>
      </c>
      <c r="Y1278" s="431" t="s">
        <v>7039</v>
      </c>
      <c r="Z1278" s="430" t="str">
        <f t="shared" si="37"/>
        <v/>
      </c>
      <c r="AA1278" s="431"/>
      <c r="AB1278" s="441"/>
      <c r="AC1278" s="467" t="str">
        <f>IF(PV_DATA[[#This Row],[Pick-Up Date]]&lt;&gt;"",_xlfn.ISOWEEKNUM(PV_DATA[[#This Row],[Pick-Up Date]]),"")</f>
        <v/>
      </c>
      <c r="AD1278" s="431"/>
      <c r="AE1278" s="431"/>
      <c r="AF1278" s="431" t="s">
        <v>122</v>
      </c>
      <c r="AG1278" s="431" t="s">
        <v>123</v>
      </c>
      <c r="AH1278" s="431" t="s">
        <v>68</v>
      </c>
      <c r="AI1278" s="441"/>
      <c r="AJ1278" s="441"/>
      <c r="AK1278" s="437" t="str">
        <f>IFERROR(IF(VLOOKUP(AT1278,Vessel!A:F,5,FALSE)=0,"",VLOOKUP(AT1278,Vessel!A:F,5,FALSE)),"")</f>
        <v/>
      </c>
      <c r="AL1278" s="441"/>
      <c r="AM1278" s="441"/>
      <c r="AN1278" s="586" t="str">
        <f>IFERROR(IF(VLOOKUP(AT1278,Vessel!A:I,9,FALSE)=0,"",VLOOKUP(AT1278,Vessel!A:I,9,FALSE)),"")</f>
        <v/>
      </c>
      <c r="AO1278" s="431"/>
      <c r="AP1278" s="431"/>
      <c r="AQ1278" s="445"/>
      <c r="AR1278" s="619"/>
      <c r="AS1278" s="431"/>
      <c r="AT1278" s="431"/>
      <c r="AU1278" s="619"/>
      <c r="AV1278" s="431"/>
      <c r="AW1278" s="441" t="str" cm="1">
        <f t="array" ref="AW127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7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78" s="441" t="str">
        <f>IF(ISERROR(PV_DATA[[#This Row],[New Ark PO status]]),"",_xlfn.XLOOKUP(PV_DATA[[#This Row],[SPTN-PVHK New Ark PO'#]],New_Ark_Data[Purchase order Number],New_Ark_Data[Estimated time of arrival],"",0))</f>
        <v/>
      </c>
      <c r="AZ1278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78" s="441" t="str">
        <f>IFERROR(PV_DATA[[#This Row],[ODP ETA Port]]+PV_DATA[[#This Row],[Customs/Leg3 Assumption]],"n/a")</f>
        <v>n/a</v>
      </c>
      <c r="BB1278" s="442" t="e">
        <f>YEAR(PV_DATA[[#This Row],[ETA for New Ark update]])</f>
        <v>#VALUE!</v>
      </c>
      <c r="BC1278" s="431" t="e">
        <f>MONTH(PV_DATA[[#This Row],[ETA for New Ark update]])</f>
        <v>#VALUE!</v>
      </c>
      <c r="BD1278" s="431">
        <f>IFERROR(_xlfn.ISOWEEKNUM(PV_DATA[[#This Row],[ETA for New Ark update]]),0)</f>
        <v>0</v>
      </c>
      <c r="BE1278" s="431">
        <f>_xlfn.XLOOKUP(PV_DATA[[#This Row],[New Ark SKU]],Table9[New Ark SKU],Table9[Total PCS per Pallet],,0)</f>
        <v>36</v>
      </c>
      <c r="BF1278" s="431">
        <f>_xlfn.XLOOKUP(PV_DATA[[#This Row],[New Ark SKU]],Table9[New Ark SKU],Table9[Total PCS per 40HQ Container],,0)</f>
        <v>792</v>
      </c>
      <c r="BG1278" s="431" t="str">
        <f>_xlfn.XLOOKUP(PV_DATA[[#This Row],[New Ark SKU]],Table9[New Ark SKU],Table9[Back Glass],,0)</f>
        <v>Black glazing</v>
      </c>
      <c r="BH1278" s="431" t="str">
        <f>_xlfn.XLOOKUP(PV_DATA[[#This Row],[PORT DESTINATION]],Table12[PORT DESTINATION],Table12[Cosco Line],,0)</f>
        <v>n/a</v>
      </c>
      <c r="BJ1278" s="430"/>
    </row>
    <row r="1279" spans="1:62" ht="10.5" hidden="1">
      <c r="A1279" s="439" t="s">
        <v>7560</v>
      </c>
      <c r="B1279" s="439" t="s">
        <v>111</v>
      </c>
      <c r="C1279" s="439" t="str">
        <f>IFERROR(LEFT(PV_DATA[[#This Row],[TCL REFERENCE]],FIND(".",PV_DATA[[#This Row],[TCL REFERENCE]],1)-1),"Main Line")</f>
        <v>Main Line</v>
      </c>
      <c r="D1279" s="439" t="s">
        <v>63</v>
      </c>
      <c r="E1279" s="439" t="s">
        <v>68</v>
      </c>
      <c r="F1279" s="439" t="str" cm="1">
        <f t="array" ref="F1279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79" s="726" t="s">
        <v>68</v>
      </c>
      <c r="H1279" s="726" t="s">
        <v>68</v>
      </c>
      <c r="I1279" s="431" t="s">
        <v>68</v>
      </c>
      <c r="J1279" s="619" t="s">
        <v>68</v>
      </c>
      <c r="K1279" s="619"/>
      <c r="L1279" s="619"/>
      <c r="M1279" s="619" t="s">
        <v>68</v>
      </c>
      <c r="N1279" s="461">
        <v>46223</v>
      </c>
      <c r="O1279" s="431" t="s">
        <v>132</v>
      </c>
      <c r="P1279" s="430" t="s">
        <v>189</v>
      </c>
      <c r="Q1279" s="431" t="s">
        <v>190</v>
      </c>
      <c r="R1279" s="430" t="str">
        <f>_xlfn.XLOOKUP(PV_DATA[[#This Row],[New Ark SKU]],Table9[New Ark SKU],Table9[Connector],,0)</f>
        <v>EVO2A</v>
      </c>
      <c r="S1279" s="433" t="str">
        <f>_xlfn.XLOOKUP(PV_DATA[[#This Row],[New Ark SKU]],Table9[New Ark SKU],Table9[Cable],,0)</f>
        <v>±1200mm</v>
      </c>
      <c r="T1279" s="442">
        <v>465</v>
      </c>
      <c r="U1279" s="1067" cm="1">
        <f t="array" ref="U1279">5184-fx_qty</f>
        <v>0</v>
      </c>
      <c r="V1279" s="448">
        <f>PV_DATA[[#This Row],[QUANTITY]]*PV_DATA[[#This Row],[WATT]]/1000000</f>
        <v>0</v>
      </c>
      <c r="W1279" s="466">
        <f>PV_DATA[[#This Row],[QUANTITY]]/PV_DATA[[#This Row],[Qty/Pallet]]</f>
        <v>0</v>
      </c>
      <c r="X1279" s="1019">
        <f>PV_DATA[[#This Row],[QUANTITY]]/PV_DATA[[#This Row],[Qty/CT]]</f>
        <v>0</v>
      </c>
      <c r="Y1279" s="431" t="s">
        <v>7039</v>
      </c>
      <c r="Z1279" s="430" t="str">
        <f t="shared" si="37"/>
        <v/>
      </c>
      <c r="AA1279" s="431"/>
      <c r="AB1279" s="441"/>
      <c r="AC1279" s="467" t="str">
        <f>IF(PV_DATA[[#This Row],[Pick-Up Date]]&lt;&gt;"",_xlfn.ISOWEEKNUM(PV_DATA[[#This Row],[Pick-Up Date]]),"")</f>
        <v/>
      </c>
      <c r="AD1279" s="431"/>
      <c r="AE1279" s="431"/>
      <c r="AF1279" s="431" t="s">
        <v>122</v>
      </c>
      <c r="AG1279" s="431" t="s">
        <v>123</v>
      </c>
      <c r="AH1279" s="431" t="s">
        <v>68</v>
      </c>
      <c r="AI1279" s="441"/>
      <c r="AJ1279" s="441"/>
      <c r="AK1279" s="437" t="str">
        <f>IFERROR(IF(VLOOKUP(AT1279,Vessel!A:F,5,FALSE)=0,"",VLOOKUP(AT1279,Vessel!A:F,5,FALSE)),"")</f>
        <v/>
      </c>
      <c r="AL1279" s="441"/>
      <c r="AM1279" s="441"/>
      <c r="AN1279" s="586" t="str">
        <f>IFERROR(IF(VLOOKUP(AT1279,Vessel!A:I,9,FALSE)=0,"",VLOOKUP(AT1279,Vessel!A:I,9,FALSE)),"")</f>
        <v/>
      </c>
      <c r="AO1279" s="431"/>
      <c r="AP1279" s="431"/>
      <c r="AQ1279" s="445"/>
      <c r="AR1279" s="619"/>
      <c r="AS1279" s="431"/>
      <c r="AT1279" s="431"/>
      <c r="AU1279" s="619"/>
      <c r="AV1279" s="431"/>
      <c r="AW1279" s="441" t="str" cm="1">
        <f t="array" ref="AW127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7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79" s="441" t="str">
        <f>IF(ISERROR(PV_DATA[[#This Row],[New Ark PO status]]),"",_xlfn.XLOOKUP(PV_DATA[[#This Row],[SPTN-PVHK New Ark PO'#]],New_Ark_Data[Purchase order Number],New_Ark_Data[Estimated time of arrival],"",0))</f>
        <v/>
      </c>
      <c r="AZ1279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79" s="441" t="str">
        <f>IFERROR(PV_DATA[[#This Row],[ODP ETA Port]]+PV_DATA[[#This Row],[Customs/Leg3 Assumption]],"n/a")</f>
        <v>n/a</v>
      </c>
      <c r="BB1279" s="442" t="e">
        <f>YEAR(PV_DATA[[#This Row],[ETA for New Ark update]])</f>
        <v>#VALUE!</v>
      </c>
      <c r="BC1279" s="431" t="e">
        <f>MONTH(PV_DATA[[#This Row],[ETA for New Ark update]])</f>
        <v>#VALUE!</v>
      </c>
      <c r="BD1279" s="431">
        <f>IFERROR(_xlfn.ISOWEEKNUM(PV_DATA[[#This Row],[ETA for New Ark update]]),0)</f>
        <v>0</v>
      </c>
      <c r="BE1279" s="431">
        <f>_xlfn.XLOOKUP(PV_DATA[[#This Row],[New Ark SKU]],Table9[New Ark SKU],Table9[Total PCS per Pallet],,0)</f>
        <v>36</v>
      </c>
      <c r="BF1279" s="431">
        <f>_xlfn.XLOOKUP(PV_DATA[[#This Row],[New Ark SKU]],Table9[New Ark SKU],Table9[Total PCS per 40HQ Container],,0)</f>
        <v>864</v>
      </c>
      <c r="BG1279" s="431" t="str">
        <f>_xlfn.XLOOKUP(PV_DATA[[#This Row],[New Ark SKU]],Table9[New Ark SKU],Table9[Back Glass],,0)</f>
        <v>White glazing</v>
      </c>
      <c r="BH1279" s="431" t="str">
        <f>_xlfn.XLOOKUP(PV_DATA[[#This Row],[PORT DESTINATION]],Table12[PORT DESTINATION],Table12[Cosco Line],,0)</f>
        <v>n/a</v>
      </c>
      <c r="BJ1279" s="430"/>
    </row>
    <row r="1280" spans="1:62" s="431" customFormat="1" ht="10.5" hidden="1">
      <c r="A1280" s="439" t="s">
        <v>7561</v>
      </c>
      <c r="B1280" s="439" t="s">
        <v>111</v>
      </c>
      <c r="C1280" s="439" t="str">
        <f>IFERROR(LEFT(PV_DATA[[#This Row],[TCL REFERENCE]],FIND(".",PV_DATA[[#This Row],[TCL REFERENCE]],1)-1),"Main Line")</f>
        <v>Main Line</v>
      </c>
      <c r="D1280" s="439" t="s">
        <v>63</v>
      </c>
      <c r="E1280" s="439" t="s">
        <v>68</v>
      </c>
      <c r="F1280" s="439" t="str" cm="1">
        <f t="array" ref="F1280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80" s="726" t="s">
        <v>68</v>
      </c>
      <c r="H1280" s="726" t="s">
        <v>68</v>
      </c>
      <c r="I1280" s="431" t="s">
        <v>68</v>
      </c>
      <c r="J1280" s="619" t="s">
        <v>68</v>
      </c>
      <c r="K1280" s="619"/>
      <c r="L1280" s="619"/>
      <c r="M1280" s="619" t="s">
        <v>68</v>
      </c>
      <c r="N1280" s="461">
        <v>46223</v>
      </c>
      <c r="O1280" s="431" t="s">
        <v>132</v>
      </c>
      <c r="P1280" s="431" t="s">
        <v>1062</v>
      </c>
      <c r="Q1280" s="431" t="s">
        <v>1063</v>
      </c>
      <c r="R1280" s="430" t="str">
        <f>_xlfn.XLOOKUP(PV_DATA[[#This Row],[New Ark SKU]],Table9[New Ark SKU],Table9[Connector],,0)</f>
        <v>EVO2A</v>
      </c>
      <c r="S1280" s="433" t="str">
        <f>_xlfn.XLOOKUP(PV_DATA[[#This Row],[New Ark SKU]],Table9[New Ark SKU],Table9[Cable],,0)</f>
        <v>±1200mm</v>
      </c>
      <c r="T1280" s="442">
        <v>470</v>
      </c>
      <c r="U1280" s="1067" cm="1">
        <f t="array" ref="U1280">16416-fx_qty</f>
        <v>0</v>
      </c>
      <c r="V1280" s="448">
        <f>PV_DATA[[#This Row],[QUANTITY]]*PV_DATA[[#This Row],[WATT]]/1000000</f>
        <v>0</v>
      </c>
      <c r="W1280" s="466">
        <f>PV_DATA[[#This Row],[QUANTITY]]/PV_DATA[[#This Row],[Qty/Pallet]]</f>
        <v>0</v>
      </c>
      <c r="X1280" s="1019">
        <f>PV_DATA[[#This Row],[QUANTITY]]/PV_DATA[[#This Row],[Qty/CT]]</f>
        <v>0</v>
      </c>
      <c r="Y1280" s="431" t="s">
        <v>7039</v>
      </c>
      <c r="Z1280" s="430" t="str">
        <f t="shared" si="37"/>
        <v/>
      </c>
      <c r="AB1280" s="441"/>
      <c r="AC1280" s="467" t="str">
        <f>IF(PV_DATA[[#This Row],[Pick-Up Date]]&lt;&gt;"",_xlfn.ISOWEEKNUM(PV_DATA[[#This Row],[Pick-Up Date]]),"")</f>
        <v/>
      </c>
      <c r="AF1280" s="431" t="s">
        <v>122</v>
      </c>
      <c r="AG1280" s="431" t="s">
        <v>123</v>
      </c>
      <c r="AH1280" s="431" t="s">
        <v>68</v>
      </c>
      <c r="AI1280" s="441"/>
      <c r="AJ1280" s="441"/>
      <c r="AK1280" s="437" t="str">
        <f>IFERROR(IF(VLOOKUP(AT1280,Vessel!A:F,5,FALSE)=0,"",VLOOKUP(AT1280,Vessel!A:F,5,FALSE)),"")</f>
        <v/>
      </c>
      <c r="AL1280" s="441"/>
      <c r="AM1280" s="441"/>
      <c r="AN1280" s="586" t="str">
        <f>IFERROR(IF(VLOOKUP(AT1280,Vessel!A:I,9,FALSE)=0,"",VLOOKUP(AT1280,Vessel!A:I,9,FALSE)),"")</f>
        <v/>
      </c>
      <c r="AQ1280" s="445"/>
      <c r="AR1280" s="619"/>
      <c r="AU1280" s="619"/>
      <c r="AW1280" s="441" t="str" cm="1">
        <f t="array" ref="AW128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80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80" s="441" t="str">
        <f>IF(ISERROR(PV_DATA[[#This Row],[New Ark PO status]]),"",_xlfn.XLOOKUP(PV_DATA[[#This Row],[SPTN-PVHK New Ark PO'#]],New_Ark_Data[Purchase order Number],New_Ark_Data[Estimated time of arrival],"",0))</f>
        <v/>
      </c>
      <c r="AZ1280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80" s="441" t="str">
        <f>IFERROR(PV_DATA[[#This Row],[ODP ETA Port]]+PV_DATA[[#This Row],[Customs/Leg3 Assumption]],"n/a")</f>
        <v>n/a</v>
      </c>
      <c r="BB1280" s="442" t="e">
        <f>YEAR(PV_DATA[[#This Row],[ETA for New Ark update]])</f>
        <v>#VALUE!</v>
      </c>
      <c r="BC1280" s="431" t="e">
        <f>MONTH(PV_DATA[[#This Row],[ETA for New Ark update]])</f>
        <v>#VALUE!</v>
      </c>
      <c r="BD1280" s="431">
        <f>IFERROR(_xlfn.ISOWEEKNUM(PV_DATA[[#This Row],[ETA for New Ark update]]),0)</f>
        <v>0</v>
      </c>
      <c r="BE1280" s="431">
        <f>_xlfn.XLOOKUP(PV_DATA[[#This Row],[New Ark SKU]],Table9[New Ark SKU],Table9[Total PCS per Pallet],,0)</f>
        <v>36</v>
      </c>
      <c r="BF1280" s="431">
        <f>_xlfn.XLOOKUP(PV_DATA[[#This Row],[New Ark SKU]],Table9[New Ark SKU],Table9[Total PCS per 40HQ Container],,0)</f>
        <v>864</v>
      </c>
      <c r="BG1280" s="431" t="str">
        <f>_xlfn.XLOOKUP(PV_DATA[[#This Row],[New Ark SKU]],Table9[New Ark SKU],Table9[Back Glass],,0)</f>
        <v>White glazing</v>
      </c>
      <c r="BH1280" s="431" t="str">
        <f>_xlfn.XLOOKUP(PV_DATA[[#This Row],[PORT DESTINATION]],Table12[PORT DESTINATION],Table12[Cosco Line],,0)</f>
        <v>n/a</v>
      </c>
    </row>
    <row r="1281" spans="1:62" ht="10.5" hidden="1">
      <c r="A1281" s="439" t="s">
        <v>7562</v>
      </c>
      <c r="B1281" s="439" t="s">
        <v>5783</v>
      </c>
      <c r="C1281" s="439" t="str">
        <f>IFERROR(LEFT(PV_DATA[[#This Row],[TCL REFERENCE]],FIND(".",PV_DATA[[#This Row],[TCL REFERENCE]],1)-1),"Main Line")</f>
        <v>Main Line</v>
      </c>
      <c r="D1281" s="439" t="s">
        <v>63</v>
      </c>
      <c r="E1281" s="439" t="s">
        <v>68</v>
      </c>
      <c r="F1281" s="439" t="str" cm="1">
        <f t="array" ref="F1281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81" s="726" t="s">
        <v>68</v>
      </c>
      <c r="H1281" s="726" t="s">
        <v>68</v>
      </c>
      <c r="I1281" s="431" t="s">
        <v>68</v>
      </c>
      <c r="J1281" s="619" t="s">
        <v>68</v>
      </c>
      <c r="K1281" s="619"/>
      <c r="L1281" s="619"/>
      <c r="M1281" s="619" t="s">
        <v>68</v>
      </c>
      <c r="N1281" s="461">
        <v>46223</v>
      </c>
      <c r="O1281" s="431" t="s">
        <v>4540</v>
      </c>
      <c r="P1281" s="430" t="s">
        <v>195</v>
      </c>
      <c r="Q1281" s="431" t="s">
        <v>196</v>
      </c>
      <c r="R1281" s="430" t="str">
        <f>_xlfn.XLOOKUP(PV_DATA[[#This Row],[New Ark SKU]],Table9[New Ark SKU],Table9[Connector],,0)</f>
        <v>EVO2A</v>
      </c>
      <c r="S1281" s="433" t="str">
        <f>_xlfn.XLOOKUP(PV_DATA[[#This Row],[New Ark SKU]],Table9[New Ark SKU],Table9[Cable],,0)</f>
        <v>±1200mm</v>
      </c>
      <c r="T1281" s="442">
        <v>450</v>
      </c>
      <c r="U1281" s="1067" cm="1">
        <f t="array" ref="U1281">17784-fx_qty</f>
        <v>0</v>
      </c>
      <c r="V1281" s="448">
        <f>PV_DATA[[#This Row],[QUANTITY]]*PV_DATA[[#This Row],[WATT]]/1000000</f>
        <v>0</v>
      </c>
      <c r="W1281" s="466">
        <f>PV_DATA[[#This Row],[QUANTITY]]/PV_DATA[[#This Row],[Qty/Pallet]]</f>
        <v>0</v>
      </c>
      <c r="X1281" s="1019">
        <f>PV_DATA[[#This Row],[QUANTITY]]/PV_DATA[[#This Row],[Qty/CT]]</f>
        <v>0</v>
      </c>
      <c r="Y1281" s="431" t="s">
        <v>7039</v>
      </c>
      <c r="Z1281" s="430" t="str">
        <f t="shared" si="37"/>
        <v/>
      </c>
      <c r="AA1281" s="431" t="s">
        <v>6115</v>
      </c>
      <c r="AB1281" s="441"/>
      <c r="AC1281" s="467" t="str">
        <f>IF(PV_DATA[[#This Row],[Pick-Up Date]]&lt;&gt;"",_xlfn.ISOWEEKNUM(PV_DATA[[#This Row],[Pick-Up Date]]),"")</f>
        <v/>
      </c>
      <c r="AD1281" s="431"/>
      <c r="AE1281" s="431"/>
      <c r="AF1281" s="447" t="s">
        <v>6117</v>
      </c>
      <c r="AG1281" s="447" t="s">
        <v>123</v>
      </c>
      <c r="AH1281" s="431" t="s">
        <v>68</v>
      </c>
      <c r="AI1281" s="441"/>
      <c r="AJ1281" s="441"/>
      <c r="AK1281" s="437" t="str">
        <f>IFERROR(IF(VLOOKUP(AT1281,Vessel!A:F,5,FALSE)=0,"",VLOOKUP(AT1281,Vessel!A:F,5,FALSE)),"")</f>
        <v/>
      </c>
      <c r="AL1281" s="441"/>
      <c r="AM1281" s="441"/>
      <c r="AN1281" s="586" t="str">
        <f>IFERROR(IF(VLOOKUP(AT1281,Vessel!A:I,9,FALSE)=0,"",VLOOKUP(AT1281,Vessel!A:I,9,FALSE)),"")</f>
        <v/>
      </c>
      <c r="AO1281" s="431"/>
      <c r="AP1281" s="431"/>
      <c r="AQ1281" s="445"/>
      <c r="AR1281" s="619"/>
      <c r="AS1281" s="431"/>
      <c r="AT1281" s="431"/>
      <c r="AU1281" s="619"/>
      <c r="AV1281" s="431"/>
      <c r="AW1281" s="441" t="str" cm="1">
        <f t="array" ref="AW128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8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81" s="441" t="str">
        <f>IF(ISERROR(PV_DATA[[#This Row],[New Ark PO status]]),"",_xlfn.XLOOKUP(PV_DATA[[#This Row],[SPTN-PVHK New Ark PO'#]],New_Ark_Data[Purchase order Number],New_Ark_Data[Estimated time of arrival],"",0))</f>
        <v/>
      </c>
      <c r="AZ1281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81" s="441" t="str">
        <f>IFERROR(PV_DATA[[#This Row],[ODP ETA Port]]+PV_DATA[[#This Row],[Customs/Leg3 Assumption]],"n/a")</f>
        <v>n/a</v>
      </c>
      <c r="BB1281" s="442" t="e">
        <f>YEAR(PV_DATA[[#This Row],[ETA for New Ark update]])</f>
        <v>#VALUE!</v>
      </c>
      <c r="BC1281" s="431" t="e">
        <f>MONTH(PV_DATA[[#This Row],[ETA for New Ark update]])</f>
        <v>#VALUE!</v>
      </c>
      <c r="BD1281" s="431">
        <f>IFERROR(_xlfn.ISOWEEKNUM(PV_DATA[[#This Row],[ETA for New Ark update]]),0)</f>
        <v>0</v>
      </c>
      <c r="BE1281" s="431">
        <f>_xlfn.XLOOKUP(PV_DATA[[#This Row],[New Ark SKU]],Table9[New Ark SKU],Table9[Total PCS per Pallet],,0)</f>
        <v>36</v>
      </c>
      <c r="BF1281" s="431">
        <f>_xlfn.XLOOKUP(PV_DATA[[#This Row],[New Ark SKU]],Table9[New Ark SKU],Table9[Total PCS per 40HQ Container],,0)</f>
        <v>936</v>
      </c>
      <c r="BG1281" s="431" t="str">
        <f>_xlfn.XLOOKUP(PV_DATA[[#This Row],[New Ark SKU]],Table9[New Ark SKU],Table9[Back Glass],,0)</f>
        <v>Black glazing</v>
      </c>
      <c r="BH1281" s="431" t="str">
        <f>_xlfn.XLOOKUP(PV_DATA[[#This Row],[PORT DESTINATION]],Table12[PORT DESTINATION],Table12[Cosco Line],,0)</f>
        <v>n/a</v>
      </c>
      <c r="BJ1281" s="430"/>
    </row>
    <row r="1282" spans="1:62" ht="10.5" hidden="1">
      <c r="A1282" s="439" t="s">
        <v>7563</v>
      </c>
      <c r="B1282" s="439" t="s">
        <v>5783</v>
      </c>
      <c r="C1282" s="439" t="str">
        <f>IFERROR(LEFT(PV_DATA[[#This Row],[TCL REFERENCE]],FIND(".",PV_DATA[[#This Row],[TCL REFERENCE]],1)-1),"Main Line")</f>
        <v>Main Line</v>
      </c>
      <c r="D1282" s="439" t="s">
        <v>63</v>
      </c>
      <c r="E1282" s="439" t="s">
        <v>68</v>
      </c>
      <c r="F1282" s="439" t="str" cm="1">
        <f t="array" ref="F1282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82" s="726" t="s">
        <v>68</v>
      </c>
      <c r="H1282" s="726" t="s">
        <v>68</v>
      </c>
      <c r="I1282" s="431" t="s">
        <v>68</v>
      </c>
      <c r="J1282" s="619" t="s">
        <v>68</v>
      </c>
      <c r="K1282" s="619"/>
      <c r="L1282" s="619"/>
      <c r="M1282" s="619" t="s">
        <v>68</v>
      </c>
      <c r="N1282" s="461">
        <v>46223</v>
      </c>
      <c r="O1282" s="431" t="s">
        <v>4540</v>
      </c>
      <c r="P1282" s="430" t="s">
        <v>965</v>
      </c>
      <c r="Q1282" s="431" t="s">
        <v>966</v>
      </c>
      <c r="R1282" s="430" t="str">
        <f>_xlfn.XLOOKUP(PV_DATA[[#This Row],[New Ark SKU]],Table9[New Ark SKU],Table9[Connector],,0)</f>
        <v>EVO2A</v>
      </c>
      <c r="S1282" s="433" t="str">
        <f>_xlfn.XLOOKUP(PV_DATA[[#This Row],[New Ark SKU]],Table9[New Ark SKU],Table9[Cable],,0)</f>
        <v>±1200mm</v>
      </c>
      <c r="T1282" s="442">
        <v>455</v>
      </c>
      <c r="U1282" s="1067" cm="1">
        <f t="array" ref="U1282">4680-fx_qty</f>
        <v>0</v>
      </c>
      <c r="V1282" s="448">
        <f>PV_DATA[[#This Row],[QUANTITY]]*PV_DATA[[#This Row],[WATT]]/1000000</f>
        <v>0</v>
      </c>
      <c r="W1282" s="466">
        <f>PV_DATA[[#This Row],[QUANTITY]]/PV_DATA[[#This Row],[Qty/Pallet]]</f>
        <v>0</v>
      </c>
      <c r="X1282" s="1019">
        <f>PV_DATA[[#This Row],[QUANTITY]]/PV_DATA[[#This Row],[Qty/CT]]</f>
        <v>0</v>
      </c>
      <c r="Y1282" s="431" t="s">
        <v>7039</v>
      </c>
      <c r="Z1282" s="430" t="str">
        <f t="shared" si="37"/>
        <v/>
      </c>
      <c r="AA1282" s="431"/>
      <c r="AB1282" s="441"/>
      <c r="AC1282" s="467" t="str">
        <f>IF(PV_DATA[[#This Row],[Pick-Up Date]]&lt;&gt;"",_xlfn.ISOWEEKNUM(PV_DATA[[#This Row],[Pick-Up Date]]),"")</f>
        <v/>
      </c>
      <c r="AD1282" s="431"/>
      <c r="AE1282" s="431"/>
      <c r="AF1282" s="447" t="s">
        <v>6117</v>
      </c>
      <c r="AG1282" s="447" t="s">
        <v>123</v>
      </c>
      <c r="AH1282" s="431" t="s">
        <v>68</v>
      </c>
      <c r="AI1282" s="441"/>
      <c r="AJ1282" s="441"/>
      <c r="AK1282" s="437" t="str">
        <f>IFERROR(IF(VLOOKUP(AT1282,Vessel!A:F,5,FALSE)=0,"",VLOOKUP(AT1282,Vessel!A:F,5,FALSE)),"")</f>
        <v/>
      </c>
      <c r="AL1282" s="441"/>
      <c r="AM1282" s="441"/>
      <c r="AN1282" s="586" t="str">
        <f>IFERROR(IF(VLOOKUP(AT1282,Vessel!A:I,9,FALSE)=0,"",VLOOKUP(AT1282,Vessel!A:I,9,FALSE)),"")</f>
        <v/>
      </c>
      <c r="AO1282" s="431"/>
      <c r="AP1282" s="431"/>
      <c r="AQ1282" s="445"/>
      <c r="AR1282" s="619"/>
      <c r="AS1282" s="431"/>
      <c r="AT1282" s="431"/>
      <c r="AU1282" s="619"/>
      <c r="AV1282" s="431"/>
      <c r="AW1282" s="441" t="str" cm="1">
        <f t="array" ref="AW128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8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82" s="441" t="str">
        <f>IF(ISERROR(PV_DATA[[#This Row],[New Ark PO status]]),"",_xlfn.XLOOKUP(PV_DATA[[#This Row],[SPTN-PVHK New Ark PO'#]],New_Ark_Data[Purchase order Number],New_Ark_Data[Estimated time of arrival],"",0))</f>
        <v/>
      </c>
      <c r="AZ1282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82" s="441" t="str">
        <f>IFERROR(PV_DATA[[#This Row],[ODP ETA Port]]+PV_DATA[[#This Row],[Customs/Leg3 Assumption]],"n/a")</f>
        <v>n/a</v>
      </c>
      <c r="BB1282" s="442" t="e">
        <f>YEAR(PV_DATA[[#This Row],[ETA for New Ark update]])</f>
        <v>#VALUE!</v>
      </c>
      <c r="BC1282" s="431" t="e">
        <f>MONTH(PV_DATA[[#This Row],[ETA for New Ark update]])</f>
        <v>#VALUE!</v>
      </c>
      <c r="BD1282" s="431">
        <f>IFERROR(_xlfn.ISOWEEKNUM(PV_DATA[[#This Row],[ETA for New Ark update]]),0)</f>
        <v>0</v>
      </c>
      <c r="BE1282" s="431">
        <f>_xlfn.XLOOKUP(PV_DATA[[#This Row],[New Ark SKU]],Table9[New Ark SKU],Table9[Total PCS per Pallet],,0)</f>
        <v>36</v>
      </c>
      <c r="BF1282" s="431">
        <f>_xlfn.XLOOKUP(PV_DATA[[#This Row],[New Ark SKU]],Table9[New Ark SKU],Table9[Total PCS per 40HQ Container],,0)</f>
        <v>936</v>
      </c>
      <c r="BG1282" s="431" t="str">
        <f>_xlfn.XLOOKUP(PV_DATA[[#This Row],[New Ark SKU]],Table9[New Ark SKU],Table9[Back Glass],,0)</f>
        <v>Black glazing</v>
      </c>
      <c r="BH1282" s="431" t="str">
        <f>_xlfn.XLOOKUP(PV_DATA[[#This Row],[PORT DESTINATION]],Table12[PORT DESTINATION],Table12[Cosco Line],,0)</f>
        <v>n/a</v>
      </c>
      <c r="BJ1282" s="430"/>
    </row>
    <row r="1283" spans="1:62" ht="10.5" hidden="1">
      <c r="A1283" s="439" t="s">
        <v>7564</v>
      </c>
      <c r="B1283" s="439" t="s">
        <v>1757</v>
      </c>
      <c r="C1283" s="439" t="str">
        <f>IFERROR(LEFT(PV_DATA[[#This Row],[TCL REFERENCE]],FIND(".",PV_DATA[[#This Row],[TCL REFERENCE]],1)-1),"Main Line")</f>
        <v>Main Line</v>
      </c>
      <c r="D1283" s="439" t="s">
        <v>63</v>
      </c>
      <c r="E1283" s="439" t="s">
        <v>68</v>
      </c>
      <c r="F1283" s="439" t="str" cm="1">
        <f t="array" ref="F1283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83" s="726" t="s">
        <v>68</v>
      </c>
      <c r="H1283" s="726" t="s">
        <v>68</v>
      </c>
      <c r="I1283" s="431" t="s">
        <v>68</v>
      </c>
      <c r="J1283" s="619" t="s">
        <v>68</v>
      </c>
      <c r="K1283" s="619"/>
      <c r="L1283" s="619"/>
      <c r="M1283" s="619" t="s">
        <v>68</v>
      </c>
      <c r="N1283" s="461">
        <v>46209</v>
      </c>
      <c r="O1283" s="431" t="s">
        <v>4540</v>
      </c>
      <c r="P1283" s="430" t="s">
        <v>71</v>
      </c>
      <c r="Q1283" s="431" t="s">
        <v>72</v>
      </c>
      <c r="R1283" s="430" t="str">
        <f>_xlfn.XLOOKUP(PV_DATA[[#This Row],[New Ark SKU]],Table9[New Ark SKU],Table9[Connector],,0)</f>
        <v>EVO2A</v>
      </c>
      <c r="S1283" s="433" t="str">
        <f>_xlfn.XLOOKUP(PV_DATA[[#This Row],[New Ark SKU]],Table9[New Ark SKU],Table9[Cable],,0)</f>
        <v>±1200mm</v>
      </c>
      <c r="T1283" s="442">
        <v>500</v>
      </c>
      <c r="U1283" s="1067" cm="1">
        <f t="array" ref="U1283">27648-fx_qty</f>
        <v>0</v>
      </c>
      <c r="V1283" s="448">
        <f>PV_DATA[[#This Row],[QUANTITY]]*PV_DATA[[#This Row],[WATT]]/1000000</f>
        <v>0</v>
      </c>
      <c r="W1283" s="466">
        <f>PV_DATA[[#This Row],[QUANTITY]]/PV_DATA[[#This Row],[Qty/Pallet]]</f>
        <v>0</v>
      </c>
      <c r="X1283" s="1019">
        <f>PV_DATA[[#This Row],[QUANTITY]]/PV_DATA[[#This Row],[Qty/CT]]</f>
        <v>0</v>
      </c>
      <c r="Y1283" s="431" t="s">
        <v>7039</v>
      </c>
      <c r="Z1283" s="430" t="str">
        <f t="shared" ref="Z1283:Z1306" si="38">IF(AN1283&lt;&gt;"","COMPLETED",IF(AK1283&lt;&gt;"","IN-TRANSIT",""))</f>
        <v/>
      </c>
      <c r="AA1283" s="431"/>
      <c r="AB1283" s="441"/>
      <c r="AC1283" s="467" t="str">
        <f>IF(PV_DATA[[#This Row],[Pick-Up Date]]&lt;&gt;"",_xlfn.ISOWEEKNUM(PV_DATA[[#This Row],[Pick-Up Date]]),"")</f>
        <v/>
      </c>
      <c r="AD1283" s="431"/>
      <c r="AE1283" s="431"/>
      <c r="AF1283" s="447" t="s">
        <v>1525</v>
      </c>
      <c r="AG1283" s="447" t="s">
        <v>1525</v>
      </c>
      <c r="AH1283" s="431" t="s">
        <v>68</v>
      </c>
      <c r="AI1283" s="441"/>
      <c r="AJ1283" s="441"/>
      <c r="AK1283" s="437" t="str">
        <f>IFERROR(IF(VLOOKUP(AT1283,Vessel!A:F,5,FALSE)=0,"",VLOOKUP(AT1283,Vessel!A:F,5,FALSE)),"")</f>
        <v/>
      </c>
      <c r="AL1283" s="441"/>
      <c r="AM1283" s="441"/>
      <c r="AN1283" s="586" t="str">
        <f>IFERROR(IF(VLOOKUP(AT1283,Vessel!A:I,9,FALSE)=0,"",VLOOKUP(AT1283,Vessel!A:I,9,FALSE)),"")</f>
        <v/>
      </c>
      <c r="AO1283" s="431"/>
      <c r="AP1283" s="431"/>
      <c r="AQ1283" s="445"/>
      <c r="AR1283" s="619"/>
      <c r="AS1283" s="431"/>
      <c r="AT1283" s="431"/>
      <c r="AU1283" s="619"/>
      <c r="AV1283" s="431"/>
      <c r="AW1283" s="441" t="str" cm="1">
        <f t="array" ref="AW128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8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83" s="441" t="str">
        <f>IF(ISERROR(PV_DATA[[#This Row],[New Ark PO status]]),"",_xlfn.XLOOKUP(PV_DATA[[#This Row],[SPTN-PVHK New Ark PO'#]],New_Ark_Data[Purchase order Number],New_Ark_Data[Estimated time of arrival],"",0))</f>
        <v/>
      </c>
      <c r="AZ1283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83" s="441" t="str">
        <f>IFERROR(PV_DATA[[#This Row],[ODP ETA Port]]+PV_DATA[[#This Row],[Customs/Leg3 Assumption]],"n/a")</f>
        <v>n/a</v>
      </c>
      <c r="BB1283" s="442" t="e">
        <f>YEAR(PV_DATA[[#This Row],[ETA for New Ark update]])</f>
        <v>#VALUE!</v>
      </c>
      <c r="BC1283" s="431" t="e">
        <f>MONTH(PV_DATA[[#This Row],[ETA for New Ark update]])</f>
        <v>#VALUE!</v>
      </c>
      <c r="BD1283" s="431">
        <f>IFERROR(_xlfn.ISOWEEKNUM(PV_DATA[[#This Row],[ETA for New Ark update]]),0)</f>
        <v>0</v>
      </c>
      <c r="BE1283" s="431">
        <f>_xlfn.XLOOKUP(PV_DATA[[#This Row],[New Ark SKU]],Table9[New Ark SKU],Table9[Total PCS per Pallet],,0)</f>
        <v>36</v>
      </c>
      <c r="BF1283" s="431">
        <f>_xlfn.XLOOKUP(PV_DATA[[#This Row],[New Ark SKU]],Table9[New Ark SKU],Table9[Total PCS per 40HQ Container],,0)</f>
        <v>864</v>
      </c>
      <c r="BG1283" s="431" t="str">
        <f>_xlfn.XLOOKUP(PV_DATA[[#This Row],[New Ark SKU]],Table9[New Ark SKU],Table9[Back Glass],,0)</f>
        <v>Black glazing</v>
      </c>
      <c r="BH1283" s="431" t="str">
        <f>_xlfn.XLOOKUP(PV_DATA[[#This Row],[PORT DESTINATION]],Table12[PORT DESTINATION],Table12[Cosco Line],,0)</f>
        <v>n/a</v>
      </c>
      <c r="BJ1283" s="430"/>
    </row>
    <row r="1284" spans="1:62" ht="10.5" hidden="1">
      <c r="A1284" s="439" t="s">
        <v>7565</v>
      </c>
      <c r="B1284" s="439" t="s">
        <v>1757</v>
      </c>
      <c r="C1284" s="439" t="str">
        <f>IFERROR(LEFT(PV_DATA[[#This Row],[TCL REFERENCE]],FIND(".",PV_DATA[[#This Row],[TCL REFERENCE]],1)-1),"Main Line")</f>
        <v>Main Line</v>
      </c>
      <c r="D1284" s="439" t="s">
        <v>63</v>
      </c>
      <c r="E1284" s="439" t="s">
        <v>68</v>
      </c>
      <c r="F1284" s="439" t="str" cm="1">
        <f t="array" ref="F1284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84" s="726" t="s">
        <v>68</v>
      </c>
      <c r="H1284" s="726" t="s">
        <v>68</v>
      </c>
      <c r="I1284" s="431" t="s">
        <v>68</v>
      </c>
      <c r="J1284" s="619" t="s">
        <v>68</v>
      </c>
      <c r="K1284" s="619"/>
      <c r="L1284" s="619"/>
      <c r="M1284" s="619" t="s">
        <v>68</v>
      </c>
      <c r="N1284" s="461">
        <v>46209</v>
      </c>
      <c r="O1284" s="431" t="s">
        <v>4540</v>
      </c>
      <c r="P1284" s="430" t="s">
        <v>1151</v>
      </c>
      <c r="Q1284" s="431" t="s">
        <v>421</v>
      </c>
      <c r="R1284" s="430" t="str">
        <f>_xlfn.XLOOKUP(PV_DATA[[#This Row],[New Ark SKU]],Table9[New Ark SKU],Table9[Connector],,0)</f>
        <v>EVO2A</v>
      </c>
      <c r="S1284" s="433" t="str">
        <f>_xlfn.XLOOKUP(PV_DATA[[#This Row],[New Ark SKU]],Table9[New Ark SKU],Table9[Cable],,0)</f>
        <v>±1200mm</v>
      </c>
      <c r="T1284" s="442">
        <v>505</v>
      </c>
      <c r="U1284" s="1067" cm="1">
        <f t="array" ref="U1284">12096-fx_qty</f>
        <v>0</v>
      </c>
      <c r="V1284" s="448">
        <f>PV_DATA[[#This Row],[QUANTITY]]*PV_DATA[[#This Row],[WATT]]/1000000</f>
        <v>0</v>
      </c>
      <c r="W1284" s="466">
        <f>PV_DATA[[#This Row],[QUANTITY]]/PV_DATA[[#This Row],[Qty/Pallet]]</f>
        <v>0</v>
      </c>
      <c r="X1284" s="1019">
        <f>PV_DATA[[#This Row],[QUANTITY]]/PV_DATA[[#This Row],[Qty/CT]]</f>
        <v>0</v>
      </c>
      <c r="Y1284" s="431" t="s">
        <v>7039</v>
      </c>
      <c r="Z1284" s="430" t="str">
        <f t="shared" si="38"/>
        <v/>
      </c>
      <c r="AA1284" s="431"/>
      <c r="AB1284" s="441"/>
      <c r="AC1284" s="467" t="str">
        <f>IF(PV_DATA[[#This Row],[Pick-Up Date]]&lt;&gt;"",_xlfn.ISOWEEKNUM(PV_DATA[[#This Row],[Pick-Up Date]]),"")</f>
        <v/>
      </c>
      <c r="AD1284" s="431"/>
      <c r="AE1284" s="431"/>
      <c r="AF1284" s="447" t="s">
        <v>1525</v>
      </c>
      <c r="AG1284" s="447" t="s">
        <v>1525</v>
      </c>
      <c r="AH1284" s="431" t="s">
        <v>68</v>
      </c>
      <c r="AI1284" s="441"/>
      <c r="AJ1284" s="441"/>
      <c r="AK1284" s="437" t="str">
        <f>IFERROR(IF(VLOOKUP(AT1284,Vessel!A:F,5,FALSE)=0,"",VLOOKUP(AT1284,Vessel!A:F,5,FALSE)),"")</f>
        <v/>
      </c>
      <c r="AL1284" s="441"/>
      <c r="AM1284" s="441"/>
      <c r="AN1284" s="586" t="str">
        <f>IFERROR(IF(VLOOKUP(AT1284,Vessel!A:I,9,FALSE)=0,"",VLOOKUP(AT1284,Vessel!A:I,9,FALSE)),"")</f>
        <v/>
      </c>
      <c r="AO1284" s="431"/>
      <c r="AP1284" s="431"/>
      <c r="AQ1284" s="445"/>
      <c r="AR1284" s="619"/>
      <c r="AS1284" s="431"/>
      <c r="AT1284" s="431"/>
      <c r="AU1284" s="619"/>
      <c r="AV1284" s="431"/>
      <c r="AW1284" s="441" t="str" cm="1">
        <f t="array" ref="AW128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8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84" s="441" t="str">
        <f>IF(ISERROR(PV_DATA[[#This Row],[New Ark PO status]]),"",_xlfn.XLOOKUP(PV_DATA[[#This Row],[SPTN-PVHK New Ark PO'#]],New_Ark_Data[Purchase order Number],New_Ark_Data[Estimated time of arrival],"",0))</f>
        <v/>
      </c>
      <c r="AZ1284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84" s="441" t="str">
        <f>IFERROR(PV_DATA[[#This Row],[ODP ETA Port]]+PV_DATA[[#This Row],[Customs/Leg3 Assumption]],"n/a")</f>
        <v>n/a</v>
      </c>
      <c r="BB1284" s="442" t="e">
        <f>YEAR(PV_DATA[[#This Row],[ETA for New Ark update]])</f>
        <v>#VALUE!</v>
      </c>
      <c r="BC1284" s="431" t="e">
        <f>MONTH(PV_DATA[[#This Row],[ETA for New Ark update]])</f>
        <v>#VALUE!</v>
      </c>
      <c r="BD1284" s="431">
        <f>IFERROR(_xlfn.ISOWEEKNUM(PV_DATA[[#This Row],[ETA for New Ark update]]),0)</f>
        <v>0</v>
      </c>
      <c r="BE1284" s="431">
        <f>_xlfn.XLOOKUP(PV_DATA[[#This Row],[New Ark SKU]],Table9[New Ark SKU],Table9[Total PCS per Pallet],,0)</f>
        <v>36</v>
      </c>
      <c r="BF1284" s="431">
        <f>_xlfn.XLOOKUP(PV_DATA[[#This Row],[New Ark SKU]],Table9[New Ark SKU],Table9[Total PCS per 40HQ Container],,0)</f>
        <v>864</v>
      </c>
      <c r="BG1284" s="431" t="str">
        <f>_xlfn.XLOOKUP(PV_DATA[[#This Row],[New Ark SKU]],Table9[New Ark SKU],Table9[Back Glass],,0)</f>
        <v>Black glazing</v>
      </c>
      <c r="BH1284" s="431" t="str">
        <f>_xlfn.XLOOKUP(PV_DATA[[#This Row],[PORT DESTINATION]],Table12[PORT DESTINATION],Table12[Cosco Line],,0)</f>
        <v>n/a</v>
      </c>
      <c r="BJ1284" s="430"/>
    </row>
    <row r="1285" spans="1:62" ht="10.5" hidden="1">
      <c r="A1285" s="439" t="s">
        <v>7566</v>
      </c>
      <c r="B1285" s="439" t="s">
        <v>111</v>
      </c>
      <c r="C1285" s="439" t="str">
        <f>IFERROR(LEFT(PV_DATA[[#This Row],[TCL REFERENCE]],FIND(".",PV_DATA[[#This Row],[TCL REFERENCE]],1)-1),"Main Line")</f>
        <v>Main Line</v>
      </c>
      <c r="D1285" s="439" t="s">
        <v>63</v>
      </c>
      <c r="E1285" s="439" t="s">
        <v>64</v>
      </c>
      <c r="F1285" s="439" t="str" cm="1">
        <f t="array" ref="F128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285" s="439" t="s">
        <v>402</v>
      </c>
      <c r="H1285" s="439" t="s">
        <v>67</v>
      </c>
      <c r="I1285" s="439" t="s">
        <v>689</v>
      </c>
      <c r="J1285" s="431" t="s">
        <v>7347</v>
      </c>
      <c r="K1285" s="619"/>
      <c r="L1285" s="619"/>
      <c r="M1285" s="619" t="s">
        <v>68</v>
      </c>
      <c r="N1285" s="461">
        <v>46251</v>
      </c>
      <c r="O1285" s="431" t="s">
        <v>5388</v>
      </c>
      <c r="P1285" s="430" t="s">
        <v>6687</v>
      </c>
      <c r="Q1285" s="431" t="s">
        <v>6688</v>
      </c>
      <c r="R1285" s="430" t="str">
        <f>_xlfn.XLOOKUP(PV_DATA[[#This Row],[New Ark SKU]],Table9[New Ark SKU],Table9[Connector],,0)</f>
        <v>EVO2A</v>
      </c>
      <c r="S1285" s="433" t="str">
        <f>_xlfn.XLOOKUP(PV_DATA[[#This Row],[New Ark SKU]],Table9[New Ark SKU],Table9[Cable],,0)</f>
        <v>±1200mm</v>
      </c>
      <c r="T1285" s="1473">
        <v>475</v>
      </c>
      <c r="U1285" s="1474" cm="1">
        <f t="array" ref="U1285">11520-fx_qty</f>
        <v>288</v>
      </c>
      <c r="V1285" s="1475">
        <f>PV_DATA[[#This Row],[QUANTITY]]*PV_DATA[[#This Row],[WATT]]/1000000</f>
        <v>0.1368</v>
      </c>
      <c r="W1285" s="1476">
        <f>PV_DATA[[#This Row],[QUANTITY]]/PV_DATA[[#This Row],[Qty/Pallet]]</f>
        <v>8</v>
      </c>
      <c r="X1285" s="1477">
        <f>PV_DATA[[#This Row],[QUANTITY]]/PV_DATA[[#This Row],[Qty/CT]]</f>
        <v>0.30769230769230771</v>
      </c>
      <c r="Y1285" s="431" t="s">
        <v>4387</v>
      </c>
      <c r="Z1285" s="430" t="str">
        <f t="shared" si="38"/>
        <v/>
      </c>
      <c r="AA1285" s="431" t="s">
        <v>7567</v>
      </c>
      <c r="AB1285" s="441"/>
      <c r="AC1285" s="467" t="str">
        <f>IF(PV_DATA[[#This Row],[Pick-Up Date]]&lt;&gt;"",_xlfn.ISOWEEKNUM(PV_DATA[[#This Row],[Pick-Up Date]]),"")</f>
        <v/>
      </c>
      <c r="AD1285" s="431"/>
      <c r="AE1285" s="431"/>
      <c r="AF1285" s="431" t="s">
        <v>122</v>
      </c>
      <c r="AG1285" s="431" t="s">
        <v>123</v>
      </c>
      <c r="AH1285" s="431" t="s">
        <v>105</v>
      </c>
      <c r="AI1285" s="441">
        <v>46335</v>
      </c>
      <c r="AJ1285" s="441"/>
      <c r="AK1285" s="437" t="str">
        <f>IFERROR(IF(VLOOKUP(AT1285,Vessel!A:F,5,FALSE)=0,"",VLOOKUP(AT1285,Vessel!A:F,5,FALSE)),"")</f>
        <v/>
      </c>
      <c r="AL1285" s="441">
        <v>46372</v>
      </c>
      <c r="AM1285" s="441"/>
      <c r="AN1285" s="586" t="str">
        <f>IFERROR(IF(VLOOKUP(AT1285,Vessel!A:I,9,FALSE)=0,"",VLOOKUP(AT1285,Vessel!A:I,9,FALSE)),"")</f>
        <v/>
      </c>
      <c r="AO1285" s="431"/>
      <c r="AP1285" s="431" t="s">
        <v>7447</v>
      </c>
      <c r="AQ1285" s="445" t="s">
        <v>161</v>
      </c>
      <c r="AR1285" s="619"/>
      <c r="AS1285" s="431" t="s">
        <v>7568</v>
      </c>
      <c r="AT1285" s="430" t="s">
        <v>7568</v>
      </c>
      <c r="AU1285" s="619"/>
      <c r="AV1285" s="431"/>
      <c r="AW1285" s="441" cm="1">
        <f t="array" ref="AW128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46372</v>
      </c>
      <c r="AX128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85" s="441" t="str">
        <f>IF(ISERROR(PV_DATA[[#This Row],[New Ark PO status]]),"",_xlfn.XLOOKUP(PV_DATA[[#This Row],[SPTN-PVHK New Ark PO'#]],New_Ark_Data[Purchase order Number],New_Ark_Data[Estimated time of arrival],"",0))</f>
        <v/>
      </c>
      <c r="AZ128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285" s="441">
        <f>IFERROR(PV_DATA[[#This Row],[ODP ETA Port]]+PV_DATA[[#This Row],[Customs/Leg3 Assumption]],"n/a")</f>
        <v>46379</v>
      </c>
      <c r="BB1285" s="442">
        <f>YEAR(PV_DATA[[#This Row],[ETA for New Ark update]])</f>
        <v>2026</v>
      </c>
      <c r="BC1285" s="431">
        <f>MONTH(PV_DATA[[#This Row],[ETA for New Ark update]])</f>
        <v>12</v>
      </c>
      <c r="BD1285" s="431">
        <f>IFERROR(_xlfn.ISOWEEKNUM(PV_DATA[[#This Row],[ETA for New Ark update]]),0)</f>
        <v>52</v>
      </c>
      <c r="BE1285" s="431">
        <f>_xlfn.XLOOKUP(PV_DATA[[#This Row],[New Ark SKU]],Table9[New Ark SKU],Table9[Total PCS per Pallet],,0)</f>
        <v>36</v>
      </c>
      <c r="BF1285" s="431">
        <f>_xlfn.XLOOKUP(PV_DATA[[#This Row],[New Ark SKU]],Table9[New Ark SKU],Table9[Total PCS per 40HQ Container],,0)</f>
        <v>936</v>
      </c>
      <c r="BG1285" s="431" t="str">
        <f>_xlfn.XLOOKUP(PV_DATA[[#This Row],[New Ark SKU]],Table9[New Ark SKU],Table9[Back Glass],,0)</f>
        <v>Black glazing</v>
      </c>
      <c r="BH1285" s="431" t="str">
        <f>_xlfn.XLOOKUP(PV_DATA[[#This Row],[PORT DESTINATION]],Table12[PORT DESTINATION],Table12[Cosco Line],,0)</f>
        <v>AEU</v>
      </c>
      <c r="BJ1285" s="430"/>
    </row>
    <row r="1286" spans="1:62" ht="10.5" hidden="1">
      <c r="A1286" s="462" t="s">
        <v>7569</v>
      </c>
      <c r="B1286" s="462" t="s">
        <v>111</v>
      </c>
      <c r="C1286" s="439" t="str">
        <f>IFERROR(LEFT(PV_DATA[[#This Row],[TCL REFERENCE]],FIND(".",PV_DATA[[#This Row],[TCL REFERENCE]],1)-1),"Main Line")</f>
        <v>Main Line</v>
      </c>
      <c r="D1286" s="462" t="s">
        <v>63</v>
      </c>
      <c r="E1286" s="439" t="s">
        <v>64</v>
      </c>
      <c r="F1286" s="439" t="str" cm="1">
        <f t="array" ref="F128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286" s="439" t="s">
        <v>402</v>
      </c>
      <c r="H1286" s="439" t="s">
        <v>67</v>
      </c>
      <c r="I1286" s="439" t="s">
        <v>689</v>
      </c>
      <c r="J1286" s="431" t="s">
        <v>7347</v>
      </c>
      <c r="K1286" s="619"/>
      <c r="L1286" s="619"/>
      <c r="M1286" s="619" t="s">
        <v>68</v>
      </c>
      <c r="N1286" s="461">
        <v>46251</v>
      </c>
      <c r="O1286" s="430" t="s">
        <v>5388</v>
      </c>
      <c r="P1286" s="430" t="s">
        <v>5389</v>
      </c>
      <c r="Q1286" s="430" t="s">
        <v>5390</v>
      </c>
      <c r="R1286" s="430" t="str">
        <f>_xlfn.XLOOKUP(PV_DATA[[#This Row],[New Ark SKU]],Table9[New Ark SKU],Table9[Connector],,0)</f>
        <v>EVO2A</v>
      </c>
      <c r="S1286" s="433" t="str">
        <f>_xlfn.XLOOKUP(PV_DATA[[#This Row],[New Ark SKU]],Table9[New Ark SKU],Table9[Cable],,0)</f>
        <v>±1200mm</v>
      </c>
      <c r="T1286" s="1473">
        <v>470</v>
      </c>
      <c r="U1286" s="1474" cm="1">
        <f t="array" ref="U1286">4320-fx_qty</f>
        <v>576</v>
      </c>
      <c r="V1286" s="1475">
        <f>PV_DATA[[#This Row],[QUANTITY]]*PV_DATA[[#This Row],[WATT]]/1000000</f>
        <v>0.27072000000000002</v>
      </c>
      <c r="W1286" s="1476">
        <f>PV_DATA[[#This Row],[QUANTITY]]/PV_DATA[[#This Row],[Qty/Pallet]]</f>
        <v>16</v>
      </c>
      <c r="X1286" s="1477">
        <f>PV_DATA[[#This Row],[QUANTITY]]/PV_DATA[[#This Row],[Qty/CT]]</f>
        <v>0.61538461538461542</v>
      </c>
      <c r="Y1286" s="431" t="s">
        <v>4387</v>
      </c>
      <c r="Z1286" s="430" t="str">
        <f t="shared" si="38"/>
        <v/>
      </c>
      <c r="AA1286" s="431" t="s">
        <v>7567</v>
      </c>
      <c r="AB1286" s="437"/>
      <c r="AC1286" s="485" t="str">
        <f>IF(PV_DATA[[#This Row],[Pick-Up Date]]&lt;&gt;"",_xlfn.ISOWEEKNUM(PV_DATA[[#This Row],[Pick-Up Date]]),"")</f>
        <v/>
      </c>
      <c r="AE1286" s="430"/>
      <c r="AF1286" s="430" t="s">
        <v>122</v>
      </c>
      <c r="AG1286" s="430" t="s">
        <v>123</v>
      </c>
      <c r="AH1286" s="431" t="s">
        <v>105</v>
      </c>
      <c r="AI1286" s="437">
        <v>46335</v>
      </c>
      <c r="AK1286" s="437" t="str">
        <f>IFERROR(IF(VLOOKUP(AT1286,Vessel!A:F,5,FALSE)=0,"",VLOOKUP(AT1286,Vessel!A:F,5,FALSE)),"")</f>
        <v/>
      </c>
      <c r="AL1286" s="437">
        <v>46372</v>
      </c>
      <c r="AN1286" s="586" t="str">
        <f>IFERROR(IF(VLOOKUP(AT1286,Vessel!A:I,9,FALSE)=0,"",VLOOKUP(AT1286,Vessel!A:I,9,FALSE)),"")</f>
        <v/>
      </c>
      <c r="AP1286" s="430" t="s">
        <v>7447</v>
      </c>
      <c r="AQ1286" s="438" t="s">
        <v>161</v>
      </c>
      <c r="AR1286" s="619"/>
      <c r="AS1286" s="430" t="s">
        <v>7568</v>
      </c>
      <c r="AT1286" s="431" t="s">
        <v>7568</v>
      </c>
      <c r="AU1286" s="619"/>
      <c r="AW1286" s="437" cm="1">
        <f t="array" ref="AW128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46372</v>
      </c>
      <c r="AX128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86" s="437" t="str">
        <f>IF(ISERROR(PV_DATA[[#This Row],[New Ark PO status]]),"",_xlfn.XLOOKUP(PV_DATA[[#This Row],[SPTN-PVHK New Ark PO'#]],New_Ark_Data[Purchase order Number],New_Ark_Data[Estimated time of arrival],"",0))</f>
        <v/>
      </c>
      <c r="AZ1286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286" s="437">
        <f>IFERROR(PV_DATA[[#This Row],[ODP ETA Port]]+PV_DATA[[#This Row],[Customs/Leg3 Assumption]],"n/a")</f>
        <v>46379</v>
      </c>
      <c r="BB1286" s="433">
        <f>YEAR(PV_DATA[[#This Row],[ETA for New Ark update]])</f>
        <v>2026</v>
      </c>
      <c r="BC1286" s="430">
        <f>MONTH(PV_DATA[[#This Row],[ETA for New Ark update]])</f>
        <v>12</v>
      </c>
      <c r="BD1286" s="430">
        <f>IFERROR(_xlfn.ISOWEEKNUM(PV_DATA[[#This Row],[ETA for New Ark update]]),0)</f>
        <v>52</v>
      </c>
      <c r="BE1286" s="431">
        <f>_xlfn.XLOOKUP(PV_DATA[[#This Row],[New Ark SKU]],Table9[New Ark SKU],Table9[Total PCS per Pallet],,0)</f>
        <v>36</v>
      </c>
      <c r="BF1286" s="431">
        <f>_xlfn.XLOOKUP(PV_DATA[[#This Row],[New Ark SKU]],Table9[New Ark SKU],Table9[Total PCS per 40HQ Container],,0)</f>
        <v>936</v>
      </c>
      <c r="BG1286" s="431" t="str">
        <f>_xlfn.XLOOKUP(PV_DATA[[#This Row],[New Ark SKU]],Table9[New Ark SKU],Table9[Back Glass],,0)</f>
        <v>Black glazing</v>
      </c>
      <c r="BH1286" s="430" t="str">
        <f>_xlfn.XLOOKUP(PV_DATA[[#This Row],[PORT DESTINATION]],Table12[PORT DESTINATION],Table12[Cosco Line],,0)</f>
        <v>AEU</v>
      </c>
      <c r="BJ1286" s="430"/>
    </row>
    <row r="1287" spans="1:62" ht="10.5" hidden="1">
      <c r="A1287" s="462" t="s">
        <v>7570</v>
      </c>
      <c r="B1287" s="462" t="s">
        <v>111</v>
      </c>
      <c r="C1287" s="439" t="str">
        <f>IFERROR(LEFT(PV_DATA[[#This Row],[TCL REFERENCE]],FIND(".",PV_DATA[[#This Row],[TCL REFERENCE]],1)-1),"Main Line")</f>
        <v>Main Line</v>
      </c>
      <c r="D1287" s="462" t="s">
        <v>63</v>
      </c>
      <c r="E1287" s="439" t="s">
        <v>64</v>
      </c>
      <c r="F1287" s="439" t="str" cm="1">
        <f t="array" ref="F128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287" s="439" t="s">
        <v>402</v>
      </c>
      <c r="H1287" s="439" t="s">
        <v>67</v>
      </c>
      <c r="I1287" s="439" t="s">
        <v>689</v>
      </c>
      <c r="J1287" s="431" t="s">
        <v>7347</v>
      </c>
      <c r="K1287" s="619"/>
      <c r="L1287" s="619"/>
      <c r="M1287" s="619" t="s">
        <v>68</v>
      </c>
      <c r="N1287" s="461">
        <v>46251</v>
      </c>
      <c r="O1287" s="430" t="s">
        <v>5388</v>
      </c>
      <c r="P1287" s="430" t="s">
        <v>6781</v>
      </c>
      <c r="Q1287" s="430" t="s">
        <v>6782</v>
      </c>
      <c r="R1287" s="430" t="str">
        <f>_xlfn.XLOOKUP(PV_DATA[[#This Row],[New Ark SKU]],Table9[New Ark SKU],Table9[Connector],,0)</f>
        <v>EVO2A</v>
      </c>
      <c r="S1287" s="433" t="str">
        <f>_xlfn.XLOOKUP(PV_DATA[[#This Row],[New Ark SKU]],Table9[New Ark SKU],Table9[Cable],,0)</f>
        <v>±1200mm</v>
      </c>
      <c r="T1287" s="1473">
        <v>480</v>
      </c>
      <c r="U1287" s="1474" cm="1">
        <f t="array" ref="U1287">5688-fx_qty</f>
        <v>72</v>
      </c>
      <c r="V1287" s="1475">
        <f>PV_DATA[[#This Row],[QUANTITY]]*PV_DATA[[#This Row],[WATT]]/1000000</f>
        <v>3.456E-2</v>
      </c>
      <c r="W1287" s="1476">
        <f>PV_DATA[[#This Row],[QUANTITY]]/PV_DATA[[#This Row],[Qty/Pallet]]</f>
        <v>2</v>
      </c>
      <c r="X1287" s="1477">
        <f>PV_DATA[[#This Row],[QUANTITY]]/PV_DATA[[#This Row],[Qty/CT]]</f>
        <v>7.6923076923076927E-2</v>
      </c>
      <c r="Y1287" s="431" t="s">
        <v>4387</v>
      </c>
      <c r="Z1287" s="430" t="str">
        <f t="shared" si="38"/>
        <v/>
      </c>
      <c r="AA1287" s="431" t="s">
        <v>7567</v>
      </c>
      <c r="AB1287" s="437"/>
      <c r="AC1287" s="485" t="str">
        <f>IF(PV_DATA[[#This Row],[Pick-Up Date]]&lt;&gt;"",_xlfn.ISOWEEKNUM(PV_DATA[[#This Row],[Pick-Up Date]]),"")</f>
        <v/>
      </c>
      <c r="AE1287" s="430"/>
      <c r="AF1287" s="430" t="s">
        <v>122</v>
      </c>
      <c r="AG1287" s="430" t="s">
        <v>123</v>
      </c>
      <c r="AH1287" s="431" t="s">
        <v>105</v>
      </c>
      <c r="AI1287" s="437">
        <v>46335</v>
      </c>
      <c r="AK1287" s="437" t="str">
        <f>IFERROR(IF(VLOOKUP(AT1287,Vessel!A:F,5,FALSE)=0,"",VLOOKUP(AT1287,Vessel!A:F,5,FALSE)),"")</f>
        <v/>
      </c>
      <c r="AL1287" s="437">
        <v>46372</v>
      </c>
      <c r="AN1287" s="586" t="str">
        <f>IFERROR(IF(VLOOKUP(AT1287,Vessel!A:I,9,FALSE)=0,"",VLOOKUP(AT1287,Vessel!A:I,9,FALSE)),"")</f>
        <v/>
      </c>
      <c r="AP1287" s="430" t="s">
        <v>7447</v>
      </c>
      <c r="AQ1287" s="617" t="s">
        <v>161</v>
      </c>
      <c r="AR1287" s="619"/>
      <c r="AS1287" s="430" t="s">
        <v>7568</v>
      </c>
      <c r="AT1287" s="431" t="s">
        <v>7568</v>
      </c>
      <c r="AU1287" s="619"/>
      <c r="AW1287" s="437" cm="1">
        <f t="array" ref="AW128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46372</v>
      </c>
      <c r="AX128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87" s="437" t="str">
        <f>IF(ISERROR(PV_DATA[[#This Row],[New Ark PO status]]),"",_xlfn.XLOOKUP(PV_DATA[[#This Row],[SPTN-PVHK New Ark PO'#]],New_Ark_Data[Purchase order Number],New_Ark_Data[Estimated time of arrival],"",0))</f>
        <v/>
      </c>
      <c r="AZ1287" s="433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287" s="437">
        <f>IFERROR(PV_DATA[[#This Row],[ODP ETA Port]]+PV_DATA[[#This Row],[Customs/Leg3 Assumption]],"n/a")</f>
        <v>46379</v>
      </c>
      <c r="BB1287" s="433">
        <f>YEAR(PV_DATA[[#This Row],[ETA for New Ark update]])</f>
        <v>2026</v>
      </c>
      <c r="BC1287" s="430">
        <f>MONTH(PV_DATA[[#This Row],[ETA for New Ark update]])</f>
        <v>12</v>
      </c>
      <c r="BD1287" s="430">
        <f>IFERROR(_xlfn.ISOWEEKNUM(PV_DATA[[#This Row],[ETA for New Ark update]]),0)</f>
        <v>52</v>
      </c>
      <c r="BE1287" s="431">
        <f>_xlfn.XLOOKUP(PV_DATA[[#This Row],[New Ark SKU]],Table9[New Ark SKU],Table9[Total PCS per Pallet],,0)</f>
        <v>36</v>
      </c>
      <c r="BF1287" s="431">
        <f>_xlfn.XLOOKUP(PV_DATA[[#This Row],[New Ark SKU]],Table9[New Ark SKU],Table9[Total PCS per 40HQ Container],,0)</f>
        <v>936</v>
      </c>
      <c r="BG1287" s="431" t="str">
        <f>_xlfn.XLOOKUP(PV_DATA[[#This Row],[New Ark SKU]],Table9[New Ark SKU],Table9[Back Glass],,0)</f>
        <v>Black glazing</v>
      </c>
      <c r="BH1287" s="430" t="str">
        <f>_xlfn.XLOOKUP(PV_DATA[[#This Row],[PORT DESTINATION]],Table12[PORT DESTINATION],Table12[Cosco Line],,0)</f>
        <v>AEU</v>
      </c>
      <c r="BJ1287" s="430"/>
    </row>
    <row r="1288" spans="1:62" ht="10.5" hidden="1">
      <c r="A1288" s="439" t="s">
        <v>7571</v>
      </c>
      <c r="B1288" s="439" t="s">
        <v>61</v>
      </c>
      <c r="C1288" s="439" t="str">
        <f>IFERROR(LEFT(PV_DATA[[#This Row],[TCL REFERENCE]],FIND(".",PV_DATA[[#This Row],[TCL REFERENCE]],1)-1),"Main Line")</f>
        <v>Main Line</v>
      </c>
      <c r="D1288" s="439" t="s">
        <v>63</v>
      </c>
      <c r="E1288" s="439" t="s">
        <v>68</v>
      </c>
      <c r="F1288" s="439" t="str" cm="1">
        <f t="array" ref="F1288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88" s="726" t="s">
        <v>68</v>
      </c>
      <c r="H1288" s="726" t="s">
        <v>68</v>
      </c>
      <c r="I1288" s="431" t="s">
        <v>68</v>
      </c>
      <c r="J1288" s="619" t="s">
        <v>68</v>
      </c>
      <c r="K1288" s="619"/>
      <c r="L1288" s="619"/>
      <c r="M1288" s="619" t="s">
        <v>68</v>
      </c>
      <c r="N1288" s="461">
        <v>46209</v>
      </c>
      <c r="O1288" s="431" t="s">
        <v>284</v>
      </c>
      <c r="P1288" s="430" t="s">
        <v>5592</v>
      </c>
      <c r="Q1288" s="431" t="s">
        <v>1570</v>
      </c>
      <c r="R1288" s="430" t="str">
        <f>_xlfn.XLOOKUP(PV_DATA[[#This Row],[New Ark SKU]],Table9[New Ark SKU],Table9[Connector],,0)</f>
        <v>H4(Com)</v>
      </c>
      <c r="S1288" s="433" t="str">
        <f>_xlfn.XLOOKUP(PV_DATA[[#This Row],[New Ark SKU]],Table9[New Ark SKU],Table9[Cable],,0)</f>
        <v>±1400mm</v>
      </c>
      <c r="T1288" s="442">
        <v>650</v>
      </c>
      <c r="U1288" s="1067" cm="1">
        <f t="array" ref="U1288">28080-fx_qty</f>
        <v>0</v>
      </c>
      <c r="V1288" s="448">
        <f>PV_DATA[[#This Row],[QUANTITY]]*PV_DATA[[#This Row],[WATT]]/1000000</f>
        <v>0</v>
      </c>
      <c r="W1288" s="466">
        <f>PV_DATA[[#This Row],[QUANTITY]]/PV_DATA[[#This Row],[Qty/Pallet]]</f>
        <v>0</v>
      </c>
      <c r="X1288" s="1019">
        <f>PV_DATA[[#This Row],[QUANTITY]]/PV_DATA[[#This Row],[Qty/CT]]</f>
        <v>0</v>
      </c>
      <c r="Y1288" s="431" t="s">
        <v>7039</v>
      </c>
      <c r="Z1288" s="430" t="str">
        <f t="shared" si="38"/>
        <v/>
      </c>
      <c r="AA1288" s="431"/>
      <c r="AB1288" s="441"/>
      <c r="AC1288" s="467" t="str">
        <f>IF(PV_DATA[[#This Row],[Pick-Up Date]]&lt;&gt;"",_xlfn.ISOWEEKNUM(PV_DATA[[#This Row],[Pick-Up Date]]),"")</f>
        <v/>
      </c>
      <c r="AD1288" s="484"/>
      <c r="AE1288" s="431"/>
      <c r="AF1288" s="431" t="s">
        <v>61</v>
      </c>
      <c r="AG1288" s="431" t="s">
        <v>61</v>
      </c>
      <c r="AH1288" s="431" t="s">
        <v>68</v>
      </c>
      <c r="AI1288" s="441"/>
      <c r="AJ1288" s="441"/>
      <c r="AK1288" s="437" t="str">
        <f>IFERROR(IF(VLOOKUP(AT1288,Vessel!A:F,5,FALSE)=0,"",VLOOKUP(AT1288,Vessel!A:F,5,FALSE)),"")</f>
        <v/>
      </c>
      <c r="AL1288" s="441"/>
      <c r="AM1288" s="441"/>
      <c r="AN1288" s="586" t="str">
        <f>IFERROR(IF(VLOOKUP(AT1288,Vessel!A:I,9,FALSE)=0,"",VLOOKUP(AT1288,Vessel!A:I,9,FALSE)),"")</f>
        <v/>
      </c>
      <c r="AO1288" s="431"/>
      <c r="AP1288" s="431"/>
      <c r="AQ1288" s="445"/>
      <c r="AR1288" s="619"/>
      <c r="AS1288" s="431"/>
      <c r="AT1288" s="431"/>
      <c r="AU1288" s="619"/>
      <c r="AV1288" s="431"/>
      <c r="AW1288" s="441" t="str" cm="1">
        <f t="array" ref="AW128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8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88" s="441" t="str">
        <f>IF(ISERROR(PV_DATA[[#This Row],[New Ark PO status]]),"",_xlfn.XLOOKUP(PV_DATA[[#This Row],[SPTN-PVHK New Ark PO'#]],New_Ark_Data[Purchase order Number],New_Ark_Data[Estimated time of arrival],"",0))</f>
        <v/>
      </c>
      <c r="AZ1288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88" s="441" t="str">
        <f>IFERROR(PV_DATA[[#This Row],[ODP ETA Port]]+PV_DATA[[#This Row],[Customs/Leg3 Assumption]],"n/a")</f>
        <v>n/a</v>
      </c>
      <c r="BB1288" s="442" t="e">
        <f>YEAR(PV_DATA[[#This Row],[ETA for New Ark update]])</f>
        <v>#VALUE!</v>
      </c>
      <c r="BC1288" s="431" t="e">
        <f>MONTH(PV_DATA[[#This Row],[ETA for New Ark update]])</f>
        <v>#VALUE!</v>
      </c>
      <c r="BD1288" s="431">
        <f>IFERROR(_xlfn.ISOWEEKNUM(PV_DATA[[#This Row],[ETA for New Ark update]]),0)</f>
        <v>0</v>
      </c>
      <c r="BE1288" s="431">
        <f>_xlfn.XLOOKUP(PV_DATA[[#This Row],[New Ark SKU]],Table9[New Ark SKU],Table9[Total PCS per Pallet],,0)</f>
        <v>36</v>
      </c>
      <c r="BF1288" s="431">
        <f>_xlfn.XLOOKUP(PV_DATA[[#This Row],[New Ark SKU]],Table9[New Ark SKU],Table9[Total PCS per 40HQ Container],,0)</f>
        <v>720</v>
      </c>
      <c r="BG1288" s="431" t="str">
        <f>_xlfn.XLOOKUP(PV_DATA[[#This Row],[New Ark SKU]],Table9[New Ark SKU],Table9[Back Glass],,0)</f>
        <v>White glazing</v>
      </c>
      <c r="BH1288" s="431" t="str">
        <f>_xlfn.XLOOKUP(PV_DATA[[#This Row],[PORT DESTINATION]],Table12[PORT DESTINATION],Table12[Cosco Line],,0)</f>
        <v>n/a</v>
      </c>
      <c r="BJ1288" s="430"/>
    </row>
    <row r="1289" spans="1:62" s="431" customFormat="1" ht="10.5" hidden="1">
      <c r="A1289" s="439" t="s">
        <v>7572</v>
      </c>
      <c r="B1289" s="439" t="s">
        <v>61</v>
      </c>
      <c r="C1289" s="439" t="str">
        <f>IFERROR(LEFT(PV_DATA[[#This Row],[TCL REFERENCE]],FIND(".",PV_DATA[[#This Row],[TCL REFERENCE]],1)-1),"Main Line")</f>
        <v>Main Line</v>
      </c>
      <c r="D1289" s="439" t="s">
        <v>63</v>
      </c>
      <c r="E1289" s="439" t="s">
        <v>68</v>
      </c>
      <c r="F1289" s="439" t="str" cm="1">
        <f t="array" ref="F1289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89" s="726" t="s">
        <v>68</v>
      </c>
      <c r="H1289" s="726" t="s">
        <v>68</v>
      </c>
      <c r="I1289" s="431" t="s">
        <v>68</v>
      </c>
      <c r="J1289" s="619" t="s">
        <v>68</v>
      </c>
      <c r="K1289" s="619"/>
      <c r="L1289" s="619"/>
      <c r="M1289" s="619" t="s">
        <v>68</v>
      </c>
      <c r="N1289" s="461">
        <v>46209</v>
      </c>
      <c r="O1289" s="431" t="s">
        <v>284</v>
      </c>
      <c r="P1289" s="439" t="s">
        <v>5505</v>
      </c>
      <c r="Q1289" s="431" t="s">
        <v>5355</v>
      </c>
      <c r="R1289" s="430" t="str">
        <f>_xlfn.XLOOKUP(PV_DATA[[#This Row],[New Ark SKU]],Table9[New Ark SKU],Table9[Connector],,0)</f>
        <v>H4(Com)</v>
      </c>
      <c r="S1289" s="433" t="str">
        <f>_xlfn.XLOOKUP(PV_DATA[[#This Row],[New Ark SKU]],Table9[New Ark SKU],Table9[Cable],,0)</f>
        <v>±1400mm</v>
      </c>
      <c r="T1289" s="442">
        <v>655</v>
      </c>
      <c r="U1289" s="1067" cm="1">
        <f t="array" ref="U1289">2880-fx_qty</f>
        <v>0</v>
      </c>
      <c r="V1289" s="448">
        <f>PV_DATA[[#This Row],[QUANTITY]]*PV_DATA[[#This Row],[WATT]]/1000000</f>
        <v>0</v>
      </c>
      <c r="W1289" s="466">
        <f>PV_DATA[[#This Row],[QUANTITY]]/PV_DATA[[#This Row],[Qty/Pallet]]</f>
        <v>0</v>
      </c>
      <c r="X1289" s="1019">
        <f>PV_DATA[[#This Row],[QUANTITY]]/PV_DATA[[#This Row],[Qty/CT]]</f>
        <v>0</v>
      </c>
      <c r="Y1289" s="431" t="s">
        <v>7039</v>
      </c>
      <c r="Z1289" s="431" t="str">
        <f t="shared" si="38"/>
        <v/>
      </c>
      <c r="AB1289" s="441"/>
      <c r="AC1289" s="467" t="str">
        <f>IF(PV_DATA[[#This Row],[Pick-Up Date]]&lt;&gt;"",_xlfn.ISOWEEKNUM(PV_DATA[[#This Row],[Pick-Up Date]]),"")</f>
        <v/>
      </c>
      <c r="AF1289" s="431" t="s">
        <v>61</v>
      </c>
      <c r="AG1289" s="431" t="s">
        <v>61</v>
      </c>
      <c r="AH1289" s="431" t="s">
        <v>68</v>
      </c>
      <c r="AI1289" s="441"/>
      <c r="AJ1289" s="441"/>
      <c r="AK1289" s="437" t="str">
        <f>IFERROR(IF(VLOOKUP(AT1289,Vessel!A:F,5,FALSE)=0,"",VLOOKUP(AT1289,Vessel!A:F,5,FALSE)),"")</f>
        <v/>
      </c>
      <c r="AL1289" s="441"/>
      <c r="AM1289" s="441"/>
      <c r="AN1289" s="586" t="str">
        <f>IFERROR(IF(VLOOKUP(AT1289,Vessel!A:I,9,FALSE)=0,"",VLOOKUP(AT1289,Vessel!A:I,9,FALSE)),"")</f>
        <v/>
      </c>
      <c r="AQ1289" s="445"/>
      <c r="AR1289" s="619"/>
      <c r="AU1289" s="619"/>
      <c r="AW1289" s="441" t="str" cm="1">
        <f t="array" ref="AW128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8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89" s="441" t="str">
        <f>IF(ISERROR(PV_DATA[[#This Row],[New Ark PO status]]),"",_xlfn.XLOOKUP(PV_DATA[[#This Row],[SPTN-PVHK New Ark PO'#]],New_Ark_Data[Purchase order Number],New_Ark_Data[Estimated time of arrival],"",0))</f>
        <v/>
      </c>
      <c r="AZ1289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89" s="441" t="str">
        <f>IFERROR(PV_DATA[[#This Row],[ODP ETA Port]]+PV_DATA[[#This Row],[Customs/Leg3 Assumption]],"n/a")</f>
        <v>n/a</v>
      </c>
      <c r="BB1289" s="442" t="e">
        <f>YEAR(PV_DATA[[#This Row],[ETA for New Ark update]])</f>
        <v>#VALUE!</v>
      </c>
      <c r="BC1289" s="431" t="e">
        <f>MONTH(PV_DATA[[#This Row],[ETA for New Ark update]])</f>
        <v>#VALUE!</v>
      </c>
      <c r="BD1289" s="431">
        <f>IFERROR(_xlfn.ISOWEEKNUM(PV_DATA[[#This Row],[ETA for New Ark update]]),0)</f>
        <v>0</v>
      </c>
      <c r="BE1289" s="431">
        <f>_xlfn.XLOOKUP(PV_DATA[[#This Row],[New Ark SKU]],Table9[New Ark SKU],Table9[Total PCS per Pallet],,0)</f>
        <v>36</v>
      </c>
      <c r="BF1289" s="431">
        <f>_xlfn.XLOOKUP(PV_DATA[[#This Row],[New Ark SKU]],Table9[New Ark SKU],Table9[Total PCS per 40HQ Container],,0)</f>
        <v>720</v>
      </c>
      <c r="BG1289" s="431" t="str">
        <f>_xlfn.XLOOKUP(PV_DATA[[#This Row],[New Ark SKU]],Table9[New Ark SKU],Table9[Back Glass],,0)</f>
        <v>White glazing</v>
      </c>
      <c r="BH1289" s="431" t="str">
        <f>_xlfn.XLOOKUP(PV_DATA[[#This Row],[PORT DESTINATION]],Table12[PORT DESTINATION],Table12[Cosco Line],,0)</f>
        <v>n/a</v>
      </c>
    </row>
    <row r="1290" spans="1:62" ht="10.5" hidden="1">
      <c r="A1290" s="439" t="s">
        <v>7573</v>
      </c>
      <c r="B1290" s="439" t="s">
        <v>111</v>
      </c>
      <c r="C1290" s="726" t="str">
        <f>IFERROR(LEFT(PV_DATA[[#This Row],[TCL REFERENCE]],FIND(".",PV_DATA[[#This Row],[TCL REFERENCE]],1)-1),"Main Line")</f>
        <v>Main Line</v>
      </c>
      <c r="D1290" s="439" t="s">
        <v>63</v>
      </c>
      <c r="E1290" s="439" t="s">
        <v>68</v>
      </c>
      <c r="F1290" s="439" t="str" cm="1">
        <f t="array" ref="F1290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90" s="726" t="s">
        <v>68</v>
      </c>
      <c r="H1290" s="726" t="s">
        <v>68</v>
      </c>
      <c r="I1290" s="431" t="s">
        <v>68</v>
      </c>
      <c r="J1290" s="619" t="s">
        <v>68</v>
      </c>
      <c r="K1290" s="619"/>
      <c r="L1290" s="619"/>
      <c r="M1290" s="619" t="s">
        <v>68</v>
      </c>
      <c r="N1290" s="461">
        <v>46234</v>
      </c>
      <c r="O1290" s="431" t="s">
        <v>5388</v>
      </c>
      <c r="P1290" s="430" t="s">
        <v>6291</v>
      </c>
      <c r="Q1290" s="431" t="s">
        <v>6292</v>
      </c>
      <c r="R1290" s="430" t="str">
        <f>_xlfn.XLOOKUP(PV_DATA[[#This Row],[New Ark SKU]],Table9[New Ark SKU],Table9[Connector],,0)</f>
        <v>EVO2A</v>
      </c>
      <c r="S1290" s="433" t="str">
        <f>_xlfn.XLOOKUP(PV_DATA[[#This Row],[New Ark SKU]],Table9[New Ark SKU],Table9[Cable],,0)</f>
        <v>±1200mm</v>
      </c>
      <c r="T1290" s="442">
        <v>480</v>
      </c>
      <c r="U1290" s="1070" cm="1">
        <f t="array" ref="U1290">7488-fx_qty</f>
        <v>0</v>
      </c>
      <c r="V1290" s="736">
        <f>PV_DATA[[#This Row],[QUANTITY]]*PV_DATA[[#This Row],[WATT]]/1000000</f>
        <v>0</v>
      </c>
      <c r="W1290" s="737">
        <f>PV_DATA[[#This Row],[QUANTITY]]/36</f>
        <v>0</v>
      </c>
      <c r="X1290" s="1060">
        <f>PV_DATA[[#This Row],[QUANTITY]]/PV_DATA[[#This Row],[Qty/CT]]</f>
        <v>0</v>
      </c>
      <c r="Y1290" s="447" t="s">
        <v>7039</v>
      </c>
      <c r="Z1290" s="619" t="str">
        <f t="shared" si="38"/>
        <v/>
      </c>
      <c r="AA1290" s="619"/>
      <c r="AB1290" s="626"/>
      <c r="AC1290" s="627" t="str">
        <f>IF(PV_DATA[[#This Row],[Pick-Up Date]]&lt;&gt;"",_xlfn.ISOWEEKNUM(PV_DATA[[#This Row],[Pick-Up Date]]),"")</f>
        <v/>
      </c>
      <c r="AD1290" s="619"/>
      <c r="AE1290" s="619"/>
      <c r="AF1290" s="431" t="s">
        <v>122</v>
      </c>
      <c r="AG1290" s="431" t="s">
        <v>123</v>
      </c>
      <c r="AH1290" s="431" t="s">
        <v>68</v>
      </c>
      <c r="AI1290" s="626"/>
      <c r="AJ1290" s="626"/>
      <c r="AK1290" s="437" t="str">
        <f>IFERROR(IF(VLOOKUP(AT1290,Vessel!A:F,5,FALSE)=0,"",VLOOKUP(AT1290,Vessel!A:F,5,FALSE)),"")</f>
        <v/>
      </c>
      <c r="AL1290" s="626"/>
      <c r="AM1290" s="626"/>
      <c r="AN1290" s="586" t="str">
        <f>IFERROR(IF(VLOOKUP(AT1290,Vessel!A:I,9,FALSE)=0,"",VLOOKUP(AT1290,Vessel!A:I,9,FALSE)),"")</f>
        <v/>
      </c>
      <c r="AO1290" s="619"/>
      <c r="AP1290" s="619"/>
      <c r="AQ1290" s="628"/>
      <c r="AR1290" s="619"/>
      <c r="AS1290" s="619"/>
      <c r="AT1290" s="619"/>
      <c r="AU1290" s="619"/>
      <c r="AV1290" s="619"/>
      <c r="AW1290" s="626" t="str" cm="1">
        <f t="array" ref="AW129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90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90" s="626" t="str">
        <f>IF(ISERROR(PV_DATA[[#This Row],[New Ark PO status]]),"",_xlfn.XLOOKUP(PV_DATA[[#This Row],[SPTN-PVHK New Ark PO'#]],New_Ark_Data[Purchase order Number],New_Ark_Data[Estimated time of arrival],"",0))</f>
        <v/>
      </c>
      <c r="AZ1290" s="620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90" s="626" t="str">
        <f>IFERROR(PV_DATA[[#This Row],[ODP ETA Port]]+PV_DATA[[#This Row],[Customs/Leg3 Assumption]],"n/a")</f>
        <v>n/a</v>
      </c>
      <c r="BB1290" s="620" t="e">
        <f>YEAR(PV_DATA[[#This Row],[ETA for New Ark update]])</f>
        <v>#VALUE!</v>
      </c>
      <c r="BC1290" s="619" t="e">
        <f>MONTH(PV_DATA[[#This Row],[ETA for New Ark update]])</f>
        <v>#VALUE!</v>
      </c>
      <c r="BD1290" s="619">
        <f>IFERROR(_xlfn.ISOWEEKNUM(PV_DATA[[#This Row],[ETA for New Ark update]]),0)</f>
        <v>0</v>
      </c>
      <c r="BE1290" s="431">
        <f>_xlfn.XLOOKUP(PV_DATA[[#This Row],[New Ark SKU]],Table9[New Ark SKU],Table9[Total PCS per Pallet],,0)</f>
        <v>36</v>
      </c>
      <c r="BF1290" s="431">
        <f>_xlfn.XLOOKUP(PV_DATA[[#This Row],[New Ark SKU]],Table9[New Ark SKU],Table9[Total PCS per 40HQ Container],,0)</f>
        <v>936</v>
      </c>
      <c r="BG1290" s="431" t="str">
        <f>_xlfn.XLOOKUP(PV_DATA[[#This Row],[New Ark SKU]],Table9[New Ark SKU],Table9[Back Glass],,0)</f>
        <v>White glazing</v>
      </c>
      <c r="BH1290" s="629" t="str">
        <f>_xlfn.XLOOKUP(PV_DATA[[#This Row],[PORT DESTINATION]],Table12[PORT DESTINATION],Table12[Cosco Line],,0)</f>
        <v>n/a</v>
      </c>
      <c r="BJ1290" s="430"/>
    </row>
    <row r="1291" spans="1:62" ht="10.5" hidden="1">
      <c r="A1291" s="727" t="s">
        <v>7574</v>
      </c>
      <c r="B1291" s="726" t="s">
        <v>1757</v>
      </c>
      <c r="C1291" s="726" t="str">
        <f>IFERROR(LEFT(PV_DATA[[#This Row],[TCL REFERENCE]],FIND(".",PV_DATA[[#This Row],[TCL REFERENCE]],1)-1),"Main Line")</f>
        <v>Main Line</v>
      </c>
      <c r="D1291" s="439" t="s">
        <v>63</v>
      </c>
      <c r="E1291" s="439" t="s">
        <v>68</v>
      </c>
      <c r="F1291" s="439" t="str" cm="1">
        <f t="array" ref="F1291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91" s="726" t="s">
        <v>68</v>
      </c>
      <c r="H1291" s="726" t="s">
        <v>68</v>
      </c>
      <c r="I1291" s="431" t="s">
        <v>68</v>
      </c>
      <c r="J1291" s="619" t="s">
        <v>68</v>
      </c>
      <c r="K1291" s="619"/>
      <c r="L1291" s="619"/>
      <c r="M1291" s="619" t="s">
        <v>68</v>
      </c>
      <c r="N1291" s="461">
        <v>46230</v>
      </c>
      <c r="O1291" s="431" t="s">
        <v>284</v>
      </c>
      <c r="P1291" s="623" t="s">
        <v>5860</v>
      </c>
      <c r="Q1291" s="619" t="s">
        <v>5861</v>
      </c>
      <c r="R1291" s="430" t="str">
        <f>_xlfn.XLOOKUP(PV_DATA[[#This Row],[New Ark SKU]],Table9[New Ark SKU],Table9[Connector],,0)</f>
        <v>EVO2A</v>
      </c>
      <c r="S1291" s="433" t="str">
        <f>_xlfn.XLOOKUP(PV_DATA[[#This Row],[New Ark SKU]],Table9[New Ark SKU],Table9[Cable],,0)</f>
        <v>±1200mm</v>
      </c>
      <c r="T1291" s="620">
        <v>485</v>
      </c>
      <c r="U1291" s="1038" cm="1">
        <f t="array" ref="U1291">14976-fx_qty</f>
        <v>0</v>
      </c>
      <c r="V1291" s="624">
        <f>PV_DATA[[#This Row],[QUANTITY]]*PV_DATA[[#This Row],[WATT]]/1000000</f>
        <v>0</v>
      </c>
      <c r="W1291" s="625">
        <f>PV_DATA[[#This Row],[QUANTITY]]/36</f>
        <v>0</v>
      </c>
      <c r="X1291" s="1019">
        <f>PV_DATA[[#This Row],[QUANTITY]]/PV_DATA[[#This Row],[Qty/CT]]</f>
        <v>0</v>
      </c>
      <c r="Y1291" s="431" t="s">
        <v>7039</v>
      </c>
      <c r="Z1291" s="430" t="str">
        <f t="shared" si="38"/>
        <v/>
      </c>
      <c r="AA1291" s="619"/>
      <c r="AB1291" s="626"/>
      <c r="AC1291" s="627" t="str">
        <f>IF(PV_DATA[[#This Row],[Pick-Up Date]]&lt;&gt;"",_xlfn.ISOWEEKNUM(PV_DATA[[#This Row],[Pick-Up Date]]),"")</f>
        <v/>
      </c>
      <c r="AD1291" s="619"/>
      <c r="AE1291" s="619"/>
      <c r="AF1291" s="619" t="s">
        <v>1525</v>
      </c>
      <c r="AG1291" s="619" t="s">
        <v>6003</v>
      </c>
      <c r="AH1291" s="431" t="s">
        <v>68</v>
      </c>
      <c r="AI1291" s="626"/>
      <c r="AJ1291" s="626"/>
      <c r="AK1291" s="437" t="str">
        <f>IFERROR(IF(VLOOKUP(AT1291,Vessel!A:F,5,FALSE)=0,"",VLOOKUP(AT1291,Vessel!A:F,5,FALSE)),"")</f>
        <v/>
      </c>
      <c r="AL1291" s="626"/>
      <c r="AM1291" s="626"/>
      <c r="AN1291" s="586" t="str">
        <f>IFERROR(IF(VLOOKUP(AT1291,Vessel!A:I,9,FALSE)=0,"",VLOOKUP(AT1291,Vessel!A:I,9,FALSE)),"")</f>
        <v/>
      </c>
      <c r="AO1291" s="619"/>
      <c r="AP1291" s="619"/>
      <c r="AQ1291" s="628"/>
      <c r="AR1291" s="619"/>
      <c r="AS1291" s="619"/>
      <c r="AT1291" s="431"/>
      <c r="AU1291" s="619"/>
      <c r="AV1291" s="619"/>
      <c r="AW1291" s="626" t="str" cm="1">
        <f t="array" ref="AW129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9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91" s="626" t="str">
        <f>IF(ISERROR(PV_DATA[[#This Row],[New Ark PO status]]),"",_xlfn.XLOOKUP(PV_DATA[[#This Row],[SPTN-PVHK New Ark PO'#]],New_Ark_Data[Purchase order Number],New_Ark_Data[Estimated time of arrival],"",0))</f>
        <v/>
      </c>
      <c r="AZ1291" s="620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91" s="626" t="str">
        <f>IFERROR(PV_DATA[[#This Row],[ODP ETA Port]]+PV_DATA[[#This Row],[Customs/Leg3 Assumption]],"n/a")</f>
        <v>n/a</v>
      </c>
      <c r="BB1291" s="620" t="e">
        <f>YEAR(PV_DATA[[#This Row],[ETA for New Ark update]])</f>
        <v>#VALUE!</v>
      </c>
      <c r="BC1291" s="619" t="e">
        <f>MONTH(PV_DATA[[#This Row],[ETA for New Ark update]])</f>
        <v>#VALUE!</v>
      </c>
      <c r="BD1291" s="619">
        <f>IFERROR(_xlfn.ISOWEEKNUM(PV_DATA[[#This Row],[ETA for New Ark update]]),0)</f>
        <v>0</v>
      </c>
      <c r="BE1291" s="431">
        <f>_xlfn.XLOOKUP(PV_DATA[[#This Row],[New Ark SKU]],Table9[New Ark SKU],Table9[Total PCS per Pallet],,0)</f>
        <v>36</v>
      </c>
      <c r="BF1291" s="431">
        <f>_xlfn.XLOOKUP(PV_DATA[[#This Row],[New Ark SKU]],Table9[New Ark SKU],Table9[Total PCS per 40HQ Container],,0)</f>
        <v>936</v>
      </c>
      <c r="BG1291" s="431" t="str">
        <f>_xlfn.XLOOKUP(PV_DATA[[#This Row],[New Ark SKU]],Table9[New Ark SKU],Table9[Back Glass],,0)</f>
        <v>Black glazing</v>
      </c>
      <c r="BH1291" s="629" t="str">
        <f>_xlfn.XLOOKUP(PV_DATA[[#This Row],[PORT DESTINATION]],Table12[PORT DESTINATION],Table12[Cosco Line],,0)</f>
        <v>n/a</v>
      </c>
      <c r="BJ1291" s="430"/>
    </row>
    <row r="1292" spans="1:62" ht="10.5" hidden="1">
      <c r="A1292" s="727" t="s">
        <v>7575</v>
      </c>
      <c r="B1292" s="726" t="s">
        <v>1757</v>
      </c>
      <c r="C1292" s="726" t="str">
        <f>IFERROR(LEFT(PV_DATA[[#This Row],[TCL REFERENCE]],FIND(".",PV_DATA[[#This Row],[TCL REFERENCE]],1)-1),"Main Line")</f>
        <v>Main Line</v>
      </c>
      <c r="D1292" s="439" t="s">
        <v>63</v>
      </c>
      <c r="E1292" s="439" t="s">
        <v>68</v>
      </c>
      <c r="F1292" s="439" t="str" cm="1">
        <f t="array" ref="F1292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92" s="726" t="s">
        <v>68</v>
      </c>
      <c r="H1292" s="726" t="s">
        <v>68</v>
      </c>
      <c r="I1292" s="431" t="s">
        <v>68</v>
      </c>
      <c r="J1292" s="619" t="s">
        <v>68</v>
      </c>
      <c r="K1292" s="619"/>
      <c r="L1292" s="619"/>
      <c r="M1292" s="619" t="s">
        <v>68</v>
      </c>
      <c r="N1292" s="461">
        <v>46230</v>
      </c>
      <c r="O1292" s="431" t="s">
        <v>284</v>
      </c>
      <c r="P1292" s="623" t="s">
        <v>6219</v>
      </c>
      <c r="Q1292" s="619" t="s">
        <v>6220</v>
      </c>
      <c r="R1292" s="430" t="str">
        <f>_xlfn.XLOOKUP(PV_DATA[[#This Row],[New Ark SKU]],Table9[New Ark SKU],Table9[Connector],,0)</f>
        <v>EVO2A</v>
      </c>
      <c r="S1292" s="433" t="str">
        <f>_xlfn.XLOOKUP(PV_DATA[[#This Row],[New Ark SKU]],Table9[New Ark SKU],Table9[Cable],,0)</f>
        <v>±1200mm</v>
      </c>
      <c r="T1292" s="620">
        <v>490</v>
      </c>
      <c r="U1292" s="1038" cm="1">
        <f t="array" ref="U1292">1872-fx_qty</f>
        <v>0</v>
      </c>
      <c r="V1292" s="624">
        <f>PV_DATA[[#This Row],[QUANTITY]]*PV_DATA[[#This Row],[WATT]]/1000000</f>
        <v>0</v>
      </c>
      <c r="W1292" s="625">
        <f>PV_DATA[[#This Row],[QUANTITY]]/36</f>
        <v>0</v>
      </c>
      <c r="X1292" s="1019">
        <f>PV_DATA[[#This Row],[QUANTITY]]/PV_DATA[[#This Row],[Qty/CT]]</f>
        <v>0</v>
      </c>
      <c r="Y1292" s="431" t="s">
        <v>7039</v>
      </c>
      <c r="Z1292" s="430" t="str">
        <f t="shared" si="38"/>
        <v/>
      </c>
      <c r="AA1292" s="619"/>
      <c r="AB1292" s="626"/>
      <c r="AC1292" s="627" t="str">
        <f>IF(PV_DATA[[#This Row],[Pick-Up Date]]&lt;&gt;"",_xlfn.ISOWEEKNUM(PV_DATA[[#This Row],[Pick-Up Date]]),"")</f>
        <v/>
      </c>
      <c r="AD1292" s="619"/>
      <c r="AE1292" s="619"/>
      <c r="AF1292" s="619" t="s">
        <v>1525</v>
      </c>
      <c r="AG1292" s="619" t="s">
        <v>6003</v>
      </c>
      <c r="AH1292" s="431" t="s">
        <v>68</v>
      </c>
      <c r="AI1292" s="626"/>
      <c r="AJ1292" s="437" t="str">
        <f>IFERROR(VLOOKUP(AT1292, Vessel!A:D, 4, FALSE), "")</f>
        <v/>
      </c>
      <c r="AK1292" s="437" t="str">
        <f>IFERROR(IF(VLOOKUP(AT1292,Vessel!A:F,5,FALSE)=0,"",VLOOKUP(AT1292,Vessel!A:F,5,FALSE)),"")</f>
        <v/>
      </c>
      <c r="AL1292" s="626"/>
      <c r="AM1292" s="618" t="str">
        <f>IFERROR(VLOOKUP(AT1292, Vessel!A:H, 8, FALSE), "")</f>
        <v/>
      </c>
      <c r="AN1292" s="586" t="str">
        <f>IFERROR(IF(VLOOKUP(AT1292,Vessel!A:I,9,FALSE)=0,"",VLOOKUP(AT1292,Vessel!A:I,9,FALSE)),"")</f>
        <v/>
      </c>
      <c r="AO1292" s="619"/>
      <c r="AP1292" s="619"/>
      <c r="AQ1292" s="628"/>
      <c r="AR1292" s="619"/>
      <c r="AS1292" s="619"/>
      <c r="AT1292" s="619"/>
      <c r="AU1292" s="619"/>
      <c r="AV1292" s="619"/>
      <c r="AW1292" s="626" t="str" cm="1">
        <f t="array" ref="AW129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9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92" s="626" t="str">
        <f>IF(ISERROR(PV_DATA[[#This Row],[New Ark PO status]]),"",_xlfn.XLOOKUP(PV_DATA[[#This Row],[SPTN-PVHK New Ark PO'#]],New_Ark_Data[Purchase order Number],New_Ark_Data[Estimated time of arrival],"",0))</f>
        <v/>
      </c>
      <c r="AZ1292" s="620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92" s="626" t="str">
        <f>IFERROR(PV_DATA[[#This Row],[ODP ETA Port]]+PV_DATA[[#This Row],[Customs/Leg3 Assumption]],"n/a")</f>
        <v>n/a</v>
      </c>
      <c r="BB1292" s="620" t="e">
        <f>YEAR(PV_DATA[[#This Row],[ETA for New Ark update]])</f>
        <v>#VALUE!</v>
      </c>
      <c r="BC1292" s="619" t="e">
        <f>MONTH(PV_DATA[[#This Row],[ETA for New Ark update]])</f>
        <v>#VALUE!</v>
      </c>
      <c r="BD1292" s="619">
        <f>IFERROR(_xlfn.ISOWEEKNUM(PV_DATA[[#This Row],[ETA for New Ark update]]),0)</f>
        <v>0</v>
      </c>
      <c r="BE1292" s="431">
        <f>_xlfn.XLOOKUP(PV_DATA[[#This Row],[New Ark SKU]],Table9[New Ark SKU],Table9[Total PCS per Pallet],,0)</f>
        <v>36</v>
      </c>
      <c r="BF1292" s="431">
        <f>_xlfn.XLOOKUP(PV_DATA[[#This Row],[New Ark SKU]],Table9[New Ark SKU],Table9[Total PCS per 40HQ Container],,0)</f>
        <v>936</v>
      </c>
      <c r="BG1292" s="431" t="str">
        <f>_xlfn.XLOOKUP(PV_DATA[[#This Row],[New Ark SKU]],Table9[New Ark SKU],Table9[Back Glass],,0)</f>
        <v>Black glazing</v>
      </c>
      <c r="BH1292" s="629" t="str">
        <f>_xlfn.XLOOKUP(PV_DATA[[#This Row],[PORT DESTINATION]],Table12[PORT DESTINATION],Table12[Cosco Line],,0)</f>
        <v>n/a</v>
      </c>
      <c r="BJ1292" s="430"/>
    </row>
    <row r="1293" spans="1:62" ht="10.5" hidden="1">
      <c r="A1293" s="728" t="s">
        <v>7576</v>
      </c>
      <c r="B1293" s="439" t="s">
        <v>111</v>
      </c>
      <c r="C1293" s="439" t="str">
        <f>IFERROR(LEFT(PV_DATA[[#This Row],[TCL REFERENCE]],FIND(".",PV_DATA[[#This Row],[TCL REFERENCE]],1)-1),"Main Line")</f>
        <v>Main Line</v>
      </c>
      <c r="D1293" s="439" t="s">
        <v>63</v>
      </c>
      <c r="E1293" s="439" t="s">
        <v>68</v>
      </c>
      <c r="F1293" s="439" t="str" cm="1">
        <f t="array" ref="F1293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93" s="726" t="s">
        <v>68</v>
      </c>
      <c r="H1293" s="726" t="s">
        <v>68</v>
      </c>
      <c r="I1293" s="431" t="s">
        <v>68</v>
      </c>
      <c r="J1293" s="619" t="s">
        <v>68</v>
      </c>
      <c r="K1293" s="619"/>
      <c r="L1293" s="619"/>
      <c r="M1293" s="619" t="s">
        <v>68</v>
      </c>
      <c r="N1293" s="461">
        <v>46215</v>
      </c>
      <c r="O1293" s="431" t="s">
        <v>550</v>
      </c>
      <c r="P1293" s="430" t="s">
        <v>551</v>
      </c>
      <c r="Q1293" s="431" t="s">
        <v>2151</v>
      </c>
      <c r="R1293" s="430" t="str">
        <f>_xlfn.XLOOKUP(PV_DATA[[#This Row],[New Ark SKU]],Table9[New Ark SKU],Table9[Connector],,0)</f>
        <v>EVO2A</v>
      </c>
      <c r="S1293" s="433" t="str">
        <f>_xlfn.XLOOKUP(PV_DATA[[#This Row],[New Ark SKU]],Table9[New Ark SKU],Table9[Cable],,0)</f>
        <v>±1350mm</v>
      </c>
      <c r="T1293" s="442">
        <v>510</v>
      </c>
      <c r="U1293" s="1067" cm="1">
        <f t="array" ref="U1293">5544-fx_qty</f>
        <v>0</v>
      </c>
      <c r="V1293" s="448">
        <f>PV_DATA[[#This Row],[QUANTITY]]*PV_DATA[[#This Row],[WATT]]/1000000</f>
        <v>0</v>
      </c>
      <c r="W1293" s="466">
        <f>PV_DATA[[#This Row],[QUANTITY]]/PV_DATA[[#This Row],[Qty/Pallet]]</f>
        <v>0</v>
      </c>
      <c r="X1293" s="1019">
        <f>PV_DATA[[#This Row],[QUANTITY]]/PV_DATA[[#This Row],[Qty/CT]]</f>
        <v>0</v>
      </c>
      <c r="Y1293" s="431" t="s">
        <v>7039</v>
      </c>
      <c r="Z1293" s="430" t="str">
        <f t="shared" si="38"/>
        <v/>
      </c>
      <c r="AA1293" s="431"/>
      <c r="AB1293" s="441"/>
      <c r="AC1293" s="467" t="str">
        <f>IF(PV_DATA[[#This Row],[Pick-Up Date]]&lt;&gt;"",_xlfn.ISOWEEKNUM(PV_DATA[[#This Row],[Pick-Up Date]]),"")</f>
        <v/>
      </c>
      <c r="AD1293" s="431"/>
      <c r="AE1293" s="431"/>
      <c r="AF1293" s="431" t="s">
        <v>122</v>
      </c>
      <c r="AG1293" s="431" t="s">
        <v>123</v>
      </c>
      <c r="AH1293" s="431" t="s">
        <v>68</v>
      </c>
      <c r="AI1293" s="441"/>
      <c r="AJ1293" s="437" t="str">
        <f>IFERROR(VLOOKUP(AT1293, Vessel!A:D, 4, FALSE), "")</f>
        <v/>
      </c>
      <c r="AK1293" s="437" t="str">
        <f>IFERROR(IF(VLOOKUP(AT1293,Vessel!A:F,5,FALSE)=0,"",VLOOKUP(AT1293,Vessel!A:F,5,FALSE)),"")</f>
        <v/>
      </c>
      <c r="AL1293" s="441"/>
      <c r="AM1293" s="618" t="str">
        <f>IFERROR(VLOOKUP(AT1293, Vessel!A:H, 8, FALSE), "")</f>
        <v/>
      </c>
      <c r="AN1293" s="586" t="str">
        <f>IFERROR(IF(VLOOKUP(AT1293,Vessel!A:I,9,FALSE)=0,"",VLOOKUP(AT1293,Vessel!A:I,9,FALSE)),"")</f>
        <v/>
      </c>
      <c r="AO1293" s="431"/>
      <c r="AP1293" s="431"/>
      <c r="AQ1293" s="445"/>
      <c r="AR1293" s="619"/>
      <c r="AS1293" s="431"/>
      <c r="AT1293" s="431"/>
      <c r="AU1293" s="619"/>
      <c r="AV1293" s="431"/>
      <c r="AW1293" s="441" t="str" cm="1">
        <f t="array" ref="AW129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9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93" s="441" t="str">
        <f>IF(ISERROR(PV_DATA[[#This Row],[New Ark PO status]]),"",_xlfn.XLOOKUP(PV_DATA[[#This Row],[SPTN-PVHK New Ark PO'#]],New_Ark_Data[Purchase order Number],New_Ark_Data[Estimated time of arrival],"",0))</f>
        <v/>
      </c>
      <c r="AZ1293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93" s="441" t="str">
        <f>IFERROR(PV_DATA[[#This Row],[ODP ETA Port]]+PV_DATA[[#This Row],[Customs/Leg3 Assumption]],"n/a")</f>
        <v>n/a</v>
      </c>
      <c r="BB1293" s="442" t="e">
        <f>YEAR(PV_DATA[[#This Row],[ETA for New Ark update]])</f>
        <v>#VALUE!</v>
      </c>
      <c r="BC1293" s="431" t="e">
        <f>MONTH(PV_DATA[[#This Row],[ETA for New Ark update]])</f>
        <v>#VALUE!</v>
      </c>
      <c r="BD1293" s="431">
        <f>IFERROR(_xlfn.ISOWEEKNUM(PV_DATA[[#This Row],[ETA for New Ark update]]),0)</f>
        <v>0</v>
      </c>
      <c r="BE1293" s="431">
        <f>_xlfn.XLOOKUP(PV_DATA[[#This Row],[New Ark SKU]],Table9[New Ark SKU],Table9[Total PCS per Pallet],,0)</f>
        <v>36</v>
      </c>
      <c r="BF1293" s="431">
        <f>_xlfn.XLOOKUP(PV_DATA[[#This Row],[New Ark SKU]],Table9[New Ark SKU],Table9[Total PCS per 40HQ Container],,0)</f>
        <v>792</v>
      </c>
      <c r="BG1293" s="431" t="str">
        <f>_xlfn.XLOOKUP(PV_DATA[[#This Row],[New Ark SKU]],Table9[New Ark SKU],Table9[Back Glass],,0)</f>
        <v>Black glazing</v>
      </c>
      <c r="BH1293" s="622" t="str">
        <f>_xlfn.XLOOKUP(PV_DATA[[#This Row],[PORT DESTINATION]],Table12[PORT DESTINATION],Table12[Cosco Line],,0)</f>
        <v>n/a</v>
      </c>
      <c r="BJ1293" s="430"/>
    </row>
    <row r="1294" spans="1:62" ht="10.5" hidden="1">
      <c r="A1294" s="728" t="s">
        <v>7577</v>
      </c>
      <c r="B1294" s="726" t="s">
        <v>111</v>
      </c>
      <c r="C1294" s="439" t="str">
        <f>IFERROR(LEFT(PV_DATA[[#This Row],[TCL REFERENCE]],FIND(".",PV_DATA[[#This Row],[TCL REFERENCE]],1)-1),"Main Line")</f>
        <v>Main Line</v>
      </c>
      <c r="D1294" s="439" t="s">
        <v>63</v>
      </c>
      <c r="E1294" s="439" t="s">
        <v>68</v>
      </c>
      <c r="F1294" s="439" t="str" cm="1">
        <f t="array" ref="F1294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94" s="726" t="s">
        <v>68</v>
      </c>
      <c r="H1294" s="726" t="s">
        <v>68</v>
      </c>
      <c r="I1294" s="431" t="s">
        <v>68</v>
      </c>
      <c r="J1294" s="619" t="s">
        <v>68</v>
      </c>
      <c r="K1294" s="619"/>
      <c r="L1294" s="619"/>
      <c r="M1294" s="619" t="s">
        <v>68</v>
      </c>
      <c r="N1294" s="461">
        <v>46215</v>
      </c>
      <c r="O1294" s="619" t="s">
        <v>550</v>
      </c>
      <c r="P1294" s="623" t="s">
        <v>2134</v>
      </c>
      <c r="Q1294" s="619" t="s">
        <v>2135</v>
      </c>
      <c r="R1294" s="430" t="str">
        <f>_xlfn.XLOOKUP(PV_DATA[[#This Row],[New Ark SKU]],Table9[New Ark SKU],Table9[Connector],,0)</f>
        <v>EVO2A</v>
      </c>
      <c r="S1294" s="433" t="str">
        <f>_xlfn.XLOOKUP(PV_DATA[[#This Row],[New Ark SKU]],Table9[New Ark SKU],Table9[Cable],,0)</f>
        <v>±1350mm</v>
      </c>
      <c r="T1294" s="620">
        <v>515</v>
      </c>
      <c r="U1294" s="1038" cm="1">
        <f t="array" ref="U1294">14256-fx_qty</f>
        <v>0</v>
      </c>
      <c r="V1294" s="624">
        <f>PV_DATA[[#This Row],[QUANTITY]]*PV_DATA[[#This Row],[WATT]]/1000000</f>
        <v>0</v>
      </c>
      <c r="W1294" s="625">
        <f>PV_DATA[[#This Row],[QUANTITY]]/PV_DATA[[#This Row],[Qty/Pallet]]</f>
        <v>0</v>
      </c>
      <c r="X1294" s="1019">
        <f>PV_DATA[[#This Row],[QUANTITY]]/PV_DATA[[#This Row],[Qty/CT]]</f>
        <v>0</v>
      </c>
      <c r="Y1294" s="431" t="s">
        <v>7039</v>
      </c>
      <c r="Z1294" s="430" t="str">
        <f t="shared" si="38"/>
        <v/>
      </c>
      <c r="AA1294" s="619"/>
      <c r="AB1294" s="626"/>
      <c r="AC1294" s="627" t="str">
        <f>IF(PV_DATA[[#This Row],[Pick-Up Date]]&lt;&gt;"",_xlfn.ISOWEEKNUM(PV_DATA[[#This Row],[Pick-Up Date]]),"")</f>
        <v/>
      </c>
      <c r="AD1294" s="619"/>
      <c r="AE1294" s="619"/>
      <c r="AF1294" s="619" t="s">
        <v>122</v>
      </c>
      <c r="AG1294" s="619" t="s">
        <v>123</v>
      </c>
      <c r="AH1294" s="431" t="s">
        <v>68</v>
      </c>
      <c r="AI1294" s="626"/>
      <c r="AJ1294" s="437" t="str">
        <f>IFERROR(VLOOKUP(AT1294, Vessel!A:D, 4, FALSE), "")</f>
        <v/>
      </c>
      <c r="AK1294" s="437" t="str">
        <f>IFERROR(IF(VLOOKUP(AT1294,Vessel!A:F,5,FALSE)=0,"",VLOOKUP(AT1294,Vessel!A:F,5,FALSE)),"")</f>
        <v/>
      </c>
      <c r="AL1294" s="626"/>
      <c r="AM1294" s="618" t="str">
        <f>IFERROR(VLOOKUP(AT1294, Vessel!A:H, 8, FALSE), "")</f>
        <v/>
      </c>
      <c r="AN1294" s="586" t="str">
        <f>IFERROR(IF(VLOOKUP(AT1294,Vessel!A:I,9,FALSE)=0,"",VLOOKUP(AT1294,Vessel!A:I,9,FALSE)),"")</f>
        <v/>
      </c>
      <c r="AO1294" s="619"/>
      <c r="AP1294" s="619"/>
      <c r="AQ1294" s="628"/>
      <c r="AR1294" s="619"/>
      <c r="AS1294" s="619"/>
      <c r="AT1294" s="431"/>
      <c r="AU1294" s="619"/>
      <c r="AV1294" s="619"/>
      <c r="AW1294" s="626" t="str" cm="1">
        <f t="array" ref="AW129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9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94" s="626" t="str">
        <f>IF(ISERROR(PV_DATA[[#This Row],[New Ark PO status]]),"",_xlfn.XLOOKUP(PV_DATA[[#This Row],[SPTN-PVHK New Ark PO'#]],New_Ark_Data[Purchase order Number],New_Ark_Data[Estimated time of arrival],"",0))</f>
        <v/>
      </c>
      <c r="AZ1294" s="620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94" s="626" t="str">
        <f>IFERROR(PV_DATA[[#This Row],[ODP ETA Port]]+PV_DATA[[#This Row],[Customs/Leg3 Assumption]],"n/a")</f>
        <v>n/a</v>
      </c>
      <c r="BB1294" s="442" t="s">
        <v>6325</v>
      </c>
      <c r="BC1294" s="442" t="s">
        <v>6325</v>
      </c>
      <c r="BD1294" s="619">
        <f>IFERROR(_xlfn.ISOWEEKNUM(PV_DATA[[#This Row],[ETA for New Ark update]]),0)</f>
        <v>0</v>
      </c>
      <c r="BE1294" s="431">
        <f>_xlfn.XLOOKUP(PV_DATA[[#This Row],[New Ark SKU]],Table9[New Ark SKU],Table9[Total PCS per Pallet],,0)</f>
        <v>36</v>
      </c>
      <c r="BF1294" s="431">
        <f>_xlfn.XLOOKUP(PV_DATA[[#This Row],[New Ark SKU]],Table9[New Ark SKU],Table9[Total PCS per 40HQ Container],,0)</f>
        <v>792</v>
      </c>
      <c r="BG1294" s="431" t="str">
        <f>_xlfn.XLOOKUP(PV_DATA[[#This Row],[New Ark SKU]],Table9[New Ark SKU],Table9[Back Glass],,0)</f>
        <v>Black glazing</v>
      </c>
      <c r="BH1294" s="629" t="str">
        <f>_xlfn.XLOOKUP(PV_DATA[[#This Row],[PORT DESTINATION]],Table12[PORT DESTINATION],Table12[Cosco Line],,0)</f>
        <v>n/a</v>
      </c>
      <c r="BJ1294" s="430"/>
    </row>
    <row r="1295" spans="1:62" ht="10.5" hidden="1">
      <c r="A1295" s="728" t="s">
        <v>7578</v>
      </c>
      <c r="B1295" s="439" t="s">
        <v>61</v>
      </c>
      <c r="C1295" s="439" t="str">
        <f>IFERROR(LEFT(PV_DATA[[#This Row],[TCL REFERENCE]],FIND(".",PV_DATA[[#This Row],[TCL REFERENCE]],1)-1),"Main Line")</f>
        <v>Main Line</v>
      </c>
      <c r="D1295" s="439" t="s">
        <v>63</v>
      </c>
      <c r="E1295" s="439" t="s">
        <v>68</v>
      </c>
      <c r="F1295" s="439" t="str" cm="1">
        <f t="array" ref="F1295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95" s="726" t="s">
        <v>68</v>
      </c>
      <c r="H1295" s="726" t="s">
        <v>68</v>
      </c>
      <c r="I1295" s="431" t="s">
        <v>68</v>
      </c>
      <c r="J1295" s="619" t="s">
        <v>68</v>
      </c>
      <c r="K1295" s="619"/>
      <c r="L1295" s="619"/>
      <c r="M1295" s="619" t="s">
        <v>68</v>
      </c>
      <c r="N1295" s="461">
        <v>46237</v>
      </c>
      <c r="O1295" s="431" t="s">
        <v>4540</v>
      </c>
      <c r="P1295" s="430" t="s">
        <v>71</v>
      </c>
      <c r="Q1295" s="431" t="s">
        <v>72</v>
      </c>
      <c r="R1295" s="430" t="str">
        <f>_xlfn.XLOOKUP(PV_DATA[[#This Row],[New Ark SKU]],Table9[New Ark SKU],Table9[Connector],,0)</f>
        <v>EVO2A</v>
      </c>
      <c r="S1295" s="433" t="str">
        <f>_xlfn.XLOOKUP(PV_DATA[[#This Row],[New Ark SKU]],Table9[New Ark SKU],Table9[Cable],,0)</f>
        <v>±1200mm</v>
      </c>
      <c r="T1295" s="442">
        <v>500</v>
      </c>
      <c r="U1295" s="1067" cm="1">
        <f t="array" ref="U1295">36288-fx_qty</f>
        <v>0</v>
      </c>
      <c r="V1295" s="448">
        <f>PV_DATA[[#This Row],[QUANTITY]]*PV_DATA[[#This Row],[WATT]]/1000000</f>
        <v>0</v>
      </c>
      <c r="W1295" s="466">
        <f>PV_DATA[[#This Row],[QUANTITY]]/PV_DATA[[#This Row],[Qty/Pallet]]</f>
        <v>0</v>
      </c>
      <c r="X1295" s="1019">
        <f>PV_DATA[[#This Row],[QUANTITY]]/PV_DATA[[#This Row],[Qty/CT]]</f>
        <v>0</v>
      </c>
      <c r="Y1295" s="431" t="s">
        <v>7039</v>
      </c>
      <c r="Z1295" s="431" t="str">
        <f t="shared" si="38"/>
        <v/>
      </c>
      <c r="AA1295" s="431"/>
      <c r="AB1295" s="441"/>
      <c r="AC1295" s="467" t="str">
        <f>IF(PV_DATA[[#This Row],[Pick-Up Date]]&lt;&gt;"",_xlfn.ISOWEEKNUM(PV_DATA[[#This Row],[Pick-Up Date]]),"")</f>
        <v/>
      </c>
      <c r="AD1295" s="431"/>
      <c r="AE1295" s="431"/>
      <c r="AF1295" s="447" t="s">
        <v>61</v>
      </c>
      <c r="AG1295" s="447" t="s">
        <v>61</v>
      </c>
      <c r="AH1295" s="431" t="s">
        <v>68</v>
      </c>
      <c r="AI1295" s="441"/>
      <c r="AJ1295" s="437" t="str">
        <f>IFERROR(VLOOKUP(AT1295, Vessel!A:D, 4, FALSE), "")</f>
        <v/>
      </c>
      <c r="AK1295" s="437" t="str">
        <f>IFERROR(IF(VLOOKUP(AT1295,Vessel!A:F,5,FALSE)=0,"",VLOOKUP(AT1295,Vessel!A:F,5,FALSE)),"")</f>
        <v/>
      </c>
      <c r="AL1295" s="441"/>
      <c r="AM1295" s="618" t="str">
        <f>IFERROR(VLOOKUP(AT1295, Vessel!A:H, 8, FALSE), "")</f>
        <v/>
      </c>
      <c r="AN1295" s="586" t="str">
        <f>IFERROR(IF(VLOOKUP(AT1295,Vessel!A:I,9,FALSE)=0,"",VLOOKUP(AT1295,Vessel!A:I,9,FALSE)),"")</f>
        <v/>
      </c>
      <c r="AO1295" s="431"/>
      <c r="AP1295" s="431"/>
      <c r="AQ1295" s="445"/>
      <c r="AR1295" s="619"/>
      <c r="AS1295" s="431"/>
      <c r="AT1295" s="431"/>
      <c r="AU1295" s="619"/>
      <c r="AV1295" s="431"/>
      <c r="AW1295" s="441" t="str" cm="1">
        <f t="array" ref="AW129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9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95" s="441" t="str">
        <f>IF(ISERROR(PV_DATA[[#This Row],[New Ark PO status]]),"",_xlfn.XLOOKUP(PV_DATA[[#This Row],[SPTN-PVHK New Ark PO'#]],New_Ark_Data[Purchase order Number],New_Ark_Data[Estimated time of arrival],"",0))</f>
        <v/>
      </c>
      <c r="AZ1295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95" s="441" t="str">
        <f>IFERROR(PV_DATA[[#This Row],[ODP ETA Port]]+PV_DATA[[#This Row],[Customs/Leg3 Assumption]],"n/a")</f>
        <v>n/a</v>
      </c>
      <c r="BB1295" s="442" t="s">
        <v>6325</v>
      </c>
      <c r="BC1295" s="442" t="s">
        <v>6325</v>
      </c>
      <c r="BD1295" s="431">
        <f>IFERROR(_xlfn.ISOWEEKNUM(PV_DATA[[#This Row],[ETA for New Ark update]]),0)</f>
        <v>0</v>
      </c>
      <c r="BE1295" s="431">
        <f>_xlfn.XLOOKUP(PV_DATA[[#This Row],[New Ark SKU]],Table9[New Ark SKU],Table9[Total PCS per Pallet],,0)</f>
        <v>36</v>
      </c>
      <c r="BF1295" s="431">
        <f>_xlfn.XLOOKUP(PV_DATA[[#This Row],[New Ark SKU]],Table9[New Ark SKU],Table9[Total PCS per 40HQ Container],,0)</f>
        <v>864</v>
      </c>
      <c r="BG1295" s="431" t="str">
        <f>_xlfn.XLOOKUP(PV_DATA[[#This Row],[New Ark SKU]],Table9[New Ark SKU],Table9[Back Glass],,0)</f>
        <v>Black glazing</v>
      </c>
      <c r="BH1295" s="622" t="str">
        <f>_xlfn.XLOOKUP(PV_DATA[[#This Row],[PORT DESTINATION]],Table12[PORT DESTINATION],Table12[Cosco Line],,0)</f>
        <v>n/a</v>
      </c>
      <c r="BJ1295" s="430"/>
    </row>
    <row r="1296" spans="1:62" s="431" customFormat="1" ht="10.5" hidden="1">
      <c r="A1296" s="728" t="s">
        <v>7579</v>
      </c>
      <c r="B1296" s="439" t="s">
        <v>61</v>
      </c>
      <c r="C1296" s="439" t="str">
        <f>IFERROR(LEFT(PV_DATA[[#This Row],[TCL REFERENCE]],FIND(".",PV_DATA[[#This Row],[TCL REFERENCE]],1)-1),"Main Line")</f>
        <v>Main Line</v>
      </c>
      <c r="D1296" s="439" t="s">
        <v>63</v>
      </c>
      <c r="E1296" s="439" t="s">
        <v>68</v>
      </c>
      <c r="F1296" s="439" t="str" cm="1">
        <f t="array" ref="F1296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96" s="726" t="s">
        <v>68</v>
      </c>
      <c r="H1296" s="726" t="s">
        <v>68</v>
      </c>
      <c r="I1296" s="431" t="s">
        <v>68</v>
      </c>
      <c r="J1296" s="619" t="s">
        <v>68</v>
      </c>
      <c r="K1296" s="619"/>
      <c r="L1296" s="619"/>
      <c r="M1296" s="619" t="s">
        <v>68</v>
      </c>
      <c r="N1296" s="461">
        <v>46237</v>
      </c>
      <c r="O1296" s="431" t="s">
        <v>4540</v>
      </c>
      <c r="P1296" s="431" t="s">
        <v>1151</v>
      </c>
      <c r="Q1296" s="431" t="s">
        <v>421</v>
      </c>
      <c r="R1296" s="430" t="str">
        <f>_xlfn.XLOOKUP(PV_DATA[[#This Row],[New Ark SKU]],Table9[New Ark SKU],Table9[Connector],,0)</f>
        <v>EVO2A</v>
      </c>
      <c r="S1296" s="433" t="str">
        <f>_xlfn.XLOOKUP(PV_DATA[[#This Row],[New Ark SKU]],Table9[New Ark SKU],Table9[Cable],,0)</f>
        <v>±1200mm</v>
      </c>
      <c r="T1296" s="442">
        <v>505</v>
      </c>
      <c r="U1296" s="1067" cm="1">
        <f t="array" ref="U1296">23328-fx_qty</f>
        <v>0</v>
      </c>
      <c r="V1296" s="448">
        <f>PV_DATA[[#This Row],[QUANTITY]]*PV_DATA[[#This Row],[WATT]]/1000000</f>
        <v>0</v>
      </c>
      <c r="W1296" s="466">
        <f>PV_DATA[[#This Row],[QUANTITY]]/PV_DATA[[#This Row],[Qty/Pallet]]</f>
        <v>0</v>
      </c>
      <c r="X1296" s="1019">
        <f>PV_DATA[[#This Row],[QUANTITY]]/PV_DATA[[#This Row],[Qty/CT]]</f>
        <v>0</v>
      </c>
      <c r="Y1296" s="431" t="s">
        <v>7039</v>
      </c>
      <c r="Z1296" s="431" t="str">
        <f t="shared" si="38"/>
        <v/>
      </c>
      <c r="AA1296" s="431" t="s">
        <v>6425</v>
      </c>
      <c r="AB1296" s="441"/>
      <c r="AC1296" s="467" t="str">
        <f>IF(PV_DATA[[#This Row],[Pick-Up Date]]&lt;&gt;"",_xlfn.ISOWEEKNUM(PV_DATA[[#This Row],[Pick-Up Date]]),"")</f>
        <v/>
      </c>
      <c r="AF1296" s="447" t="s">
        <v>61</v>
      </c>
      <c r="AG1296" s="447" t="s">
        <v>61</v>
      </c>
      <c r="AH1296" s="431" t="s">
        <v>68</v>
      </c>
      <c r="AI1296" s="441"/>
      <c r="AJ1296" s="437" t="str">
        <f>IFERROR(VLOOKUP(AT1296, Vessel!A:D, 4, FALSE), "")</f>
        <v/>
      </c>
      <c r="AK1296" s="437" t="str">
        <f>IFERROR(IF(VLOOKUP(AT1296,Vessel!A:F,5,FALSE)=0,"",VLOOKUP(AT1296,Vessel!A:F,5,FALSE)),"")</f>
        <v/>
      </c>
      <c r="AL1296" s="441"/>
      <c r="AM1296" s="618" t="str">
        <f>IFERROR(VLOOKUP(AT1296, Vessel!A:H, 8, FALSE), "")</f>
        <v/>
      </c>
      <c r="AN1296" s="586" t="str">
        <f>IFERROR(IF(VLOOKUP(AT1296,Vessel!A:I,9,FALSE)=0,"",VLOOKUP(AT1296,Vessel!A:I,9,FALSE)),"")</f>
        <v/>
      </c>
      <c r="AQ1296" s="445"/>
      <c r="AR1296" s="619"/>
      <c r="AU1296" s="619"/>
      <c r="AW1296" s="441" t="str" cm="1">
        <f t="array" ref="AW129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9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96" s="441" t="str">
        <f>IF(ISERROR(PV_DATA[[#This Row],[New Ark PO status]]),"",_xlfn.XLOOKUP(PV_DATA[[#This Row],[SPTN-PVHK New Ark PO'#]],New_Ark_Data[Purchase order Number],New_Ark_Data[Estimated time of arrival],"",0))</f>
        <v/>
      </c>
      <c r="AZ1296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96" s="441" t="str">
        <f>IFERROR(PV_DATA[[#This Row],[ODP ETA Port]]+PV_DATA[[#This Row],[Customs/Leg3 Assumption]],"n/a")</f>
        <v>n/a</v>
      </c>
      <c r="BB1296" s="442" t="s">
        <v>6325</v>
      </c>
      <c r="BC1296" s="442" t="s">
        <v>6325</v>
      </c>
      <c r="BD1296" s="431">
        <f>IFERROR(_xlfn.ISOWEEKNUM(PV_DATA[[#This Row],[ETA for New Ark update]]),0)</f>
        <v>0</v>
      </c>
      <c r="BE1296" s="431">
        <f>_xlfn.XLOOKUP(PV_DATA[[#This Row],[New Ark SKU]],Table9[New Ark SKU],Table9[Total PCS per Pallet],,0)</f>
        <v>36</v>
      </c>
      <c r="BF1296" s="431">
        <f>_xlfn.XLOOKUP(PV_DATA[[#This Row],[New Ark SKU]],Table9[New Ark SKU],Table9[Total PCS per 40HQ Container],,0)</f>
        <v>864</v>
      </c>
      <c r="BG1296" s="431" t="str">
        <f>_xlfn.XLOOKUP(PV_DATA[[#This Row],[New Ark SKU]],Table9[New Ark SKU],Table9[Back Glass],,0)</f>
        <v>Black glazing</v>
      </c>
      <c r="BH1296" s="622" t="str">
        <f>_xlfn.XLOOKUP(PV_DATA[[#This Row],[PORT DESTINATION]],Table12[PORT DESTINATION],Table12[Cosco Line],,0)</f>
        <v>n/a</v>
      </c>
    </row>
    <row r="1297" spans="1:62" ht="10.5" hidden="1">
      <c r="A1297" s="729" t="s">
        <v>7580</v>
      </c>
      <c r="B1297" s="462" t="s">
        <v>61</v>
      </c>
      <c r="C1297" s="439" t="str">
        <f>IFERROR(LEFT(PV_DATA[[#This Row],[TCL REFERENCE]],FIND(".",PV_DATA[[#This Row],[TCL REFERENCE]],1)-1),"Main Line")</f>
        <v>Main Line</v>
      </c>
      <c r="D1297" s="462" t="s">
        <v>63</v>
      </c>
      <c r="E1297" s="439" t="s">
        <v>68</v>
      </c>
      <c r="F1297" s="439" t="str" cm="1">
        <f t="array" ref="F1297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97" s="726" t="s">
        <v>68</v>
      </c>
      <c r="H1297" s="726" t="s">
        <v>68</v>
      </c>
      <c r="I1297" s="431" t="s">
        <v>68</v>
      </c>
      <c r="J1297" s="619" t="s">
        <v>68</v>
      </c>
      <c r="K1297" s="619"/>
      <c r="L1297" s="619"/>
      <c r="M1297" s="619" t="s">
        <v>68</v>
      </c>
      <c r="N1297" s="432">
        <v>46258</v>
      </c>
      <c r="O1297" s="430" t="s">
        <v>4540</v>
      </c>
      <c r="P1297" s="430" t="s">
        <v>691</v>
      </c>
      <c r="Q1297" s="430" t="s">
        <v>692</v>
      </c>
      <c r="R1297" s="430" t="str">
        <f>_xlfn.XLOOKUP(PV_DATA[[#This Row],[New Ark SKU]],Table9[New Ark SKU],Table9[Connector],,0)</f>
        <v>EVO2A</v>
      </c>
      <c r="S1297" s="433" t="str">
        <f>_xlfn.XLOOKUP(PV_DATA[[#This Row],[New Ark SKU]],Table9[New Ark SKU],Table9[Cable],,0)</f>
        <v>±1200mm</v>
      </c>
      <c r="T1297" s="433">
        <v>505</v>
      </c>
      <c r="U1297" s="1062" cm="1">
        <f t="array" ref="U1297">15552-fx_qty</f>
        <v>0</v>
      </c>
      <c r="V1297" s="434">
        <f>PV_DATA[[#This Row],[QUANTITY]]*PV_DATA[[#This Row],[WATT]]/1000000</f>
        <v>0</v>
      </c>
      <c r="W1297" s="435">
        <f>PV_DATA[[#This Row],[QUANTITY]]/PV_DATA[[#This Row],[Qty/Pallet]]</f>
        <v>0</v>
      </c>
      <c r="X1297" s="1015">
        <f>PV_DATA[[#This Row],[QUANTITY]]/PV_DATA[[#This Row],[Qty/CT]]</f>
        <v>0</v>
      </c>
      <c r="Y1297" s="430" t="s">
        <v>7039</v>
      </c>
      <c r="Z1297" s="430" t="str">
        <f t="shared" si="38"/>
        <v/>
      </c>
      <c r="AA1297" s="430"/>
      <c r="AB1297" s="437"/>
      <c r="AC1297" s="485" t="str">
        <f>IF(PV_DATA[[#This Row],[Pick-Up Date]]&lt;&gt;"",_xlfn.ISOWEEKNUM(PV_DATA[[#This Row],[Pick-Up Date]]),"")</f>
        <v/>
      </c>
      <c r="AE1297" s="430"/>
      <c r="AF1297" s="430" t="s">
        <v>77</v>
      </c>
      <c r="AG1297" s="430" t="s">
        <v>61</v>
      </c>
      <c r="AH1297" s="430" t="s">
        <v>68</v>
      </c>
      <c r="AI1297" s="437"/>
      <c r="AJ1297" s="437" t="str">
        <f>IFERROR(VLOOKUP(AT1297, Vessel!A:D, 4, FALSE), "")</f>
        <v/>
      </c>
      <c r="AK1297" s="437" t="str">
        <f>IFERROR(IF(VLOOKUP(AT1297,Vessel!A:F,5,FALSE)=0,"",VLOOKUP(AT1297,Vessel!A:F,5,FALSE)),"")</f>
        <v/>
      </c>
      <c r="AM1297" s="618" t="str">
        <f>IFERROR(VLOOKUP(AT1297, Vessel!A:H, 8, FALSE), "")</f>
        <v/>
      </c>
      <c r="AN1297" s="586" t="str">
        <f>IFERROR(IF(VLOOKUP(AT1297,Vessel!A:I,9,FALSE)=0,"",VLOOKUP(AT1297,Vessel!A:I,9,FALSE)),"")</f>
        <v/>
      </c>
      <c r="AR1297" s="619"/>
      <c r="AS1297" s="430"/>
      <c r="AU1297" s="619"/>
      <c r="AW1297" s="437" t="str" cm="1">
        <f t="array" ref="AW129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9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97" s="437" t="str">
        <f>IF(ISERROR(PV_DATA[[#This Row],[New Ark PO status]]),"",_xlfn.XLOOKUP(PV_DATA[[#This Row],[SPTN-PVHK New Ark PO'#]],New_Ark_Data[Purchase order Number],New_Ark_Data[Estimated time of arrival],"",0))</f>
        <v/>
      </c>
      <c r="AZ1297" s="433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97" s="437" t="str">
        <f>IFERROR(PV_DATA[[#This Row],[ODP ETA Port]]+PV_DATA[[#This Row],[Customs/Leg3 Assumption]],"n/a")</f>
        <v>n/a</v>
      </c>
      <c r="BB1297" s="433" t="e">
        <f>YEAR(PV_DATA[[#This Row],[ETA for New Ark update]])</f>
        <v>#VALUE!</v>
      </c>
      <c r="BC1297" s="430" t="e">
        <f>MONTH(PV_DATA[[#This Row],[ETA for New Ark update]])</f>
        <v>#VALUE!</v>
      </c>
      <c r="BD1297" s="430">
        <f>IFERROR(_xlfn.ISOWEEKNUM(PV_DATA[[#This Row],[ETA for New Ark update]]),0)</f>
        <v>0</v>
      </c>
      <c r="BE1297" s="431">
        <f>_xlfn.XLOOKUP(PV_DATA[[#This Row],[New Ark SKU]],Table9[New Ark SKU],Table9[Total PCS per Pallet],,0)</f>
        <v>36</v>
      </c>
      <c r="BF1297" s="431">
        <f>_xlfn.XLOOKUP(PV_DATA[[#This Row],[New Ark SKU]],Table9[New Ark SKU],Table9[Total PCS per 40HQ Container],,0)</f>
        <v>864</v>
      </c>
      <c r="BG1297" s="431" t="str">
        <f>_xlfn.XLOOKUP(PV_DATA[[#This Row],[New Ark SKU]],Table9[New Ark SKU],Table9[Back Glass],,0)</f>
        <v>Black glazing</v>
      </c>
      <c r="BH1297" s="610" t="str">
        <f>_xlfn.XLOOKUP(PV_DATA[[#This Row],[PORT DESTINATION]],Table12[PORT DESTINATION],Table12[Cosco Line],,0)</f>
        <v>n/a</v>
      </c>
      <c r="BJ1297" s="430"/>
    </row>
    <row r="1298" spans="1:62" ht="10.5" hidden="1">
      <c r="A1298" s="728" t="s">
        <v>7581</v>
      </c>
      <c r="B1298" s="439" t="s">
        <v>1757</v>
      </c>
      <c r="C1298" s="439" t="str">
        <f>IFERROR(LEFT(PV_DATA[[#This Row],[TCL REFERENCE]],FIND(".",PV_DATA[[#This Row],[TCL REFERENCE]],1)-1),"Main Line")</f>
        <v>Main Line</v>
      </c>
      <c r="D1298" s="439" t="s">
        <v>63</v>
      </c>
      <c r="E1298" s="439" t="s">
        <v>68</v>
      </c>
      <c r="F1298" s="439" t="str" cm="1">
        <f t="array" ref="F1298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98" s="726" t="s">
        <v>68</v>
      </c>
      <c r="H1298" s="726" t="s">
        <v>68</v>
      </c>
      <c r="I1298" s="431" t="s">
        <v>68</v>
      </c>
      <c r="J1298" s="619" t="s">
        <v>68</v>
      </c>
      <c r="K1298" s="619"/>
      <c r="L1298" s="619"/>
      <c r="M1298" s="619" t="s">
        <v>68</v>
      </c>
      <c r="N1298" s="432">
        <v>46258</v>
      </c>
      <c r="O1298" s="431" t="s">
        <v>284</v>
      </c>
      <c r="P1298" s="430" t="s">
        <v>5860</v>
      </c>
      <c r="Q1298" s="431" t="s">
        <v>5861</v>
      </c>
      <c r="R1298" s="430" t="str">
        <f>_xlfn.XLOOKUP(PV_DATA[[#This Row],[New Ark SKU]],Table9[New Ark SKU],Table9[Connector],,0)</f>
        <v>EVO2A</v>
      </c>
      <c r="S1298" s="433" t="str">
        <f>_xlfn.XLOOKUP(PV_DATA[[#This Row],[New Ark SKU]],Table9[New Ark SKU],Table9[Cable],,0)</f>
        <v>±1200mm</v>
      </c>
      <c r="T1298" s="442">
        <v>485</v>
      </c>
      <c r="U1298" s="1067" cm="1">
        <f t="array" ref="U1298">44928-fx_qty</f>
        <v>0</v>
      </c>
      <c r="V1298" s="448">
        <f>PV_DATA[[#This Row],[QUANTITY]]*PV_DATA[[#This Row],[WATT]]/1000000</f>
        <v>0</v>
      </c>
      <c r="W1298" s="625">
        <f>PV_DATA[[#This Row],[QUANTITY]]/36</f>
        <v>0</v>
      </c>
      <c r="X1298" s="1019">
        <f>PV_DATA[[#This Row],[QUANTITY]]/PV_DATA[[#This Row],[Qty/CT]]</f>
        <v>0</v>
      </c>
      <c r="Y1298" s="431" t="s">
        <v>7039</v>
      </c>
      <c r="Z1298" s="430" t="str">
        <f t="shared" si="38"/>
        <v/>
      </c>
      <c r="AA1298" s="431"/>
      <c r="AB1298" s="441"/>
      <c r="AC1298" s="467" t="str">
        <f>IF(PV_DATA[[#This Row],[Pick-Up Date]]&lt;&gt;"",_xlfn.ISOWEEKNUM(PV_DATA[[#This Row],[Pick-Up Date]]),"")</f>
        <v/>
      </c>
      <c r="AD1298" s="431"/>
      <c r="AE1298" s="431"/>
      <c r="AF1298" s="431" t="s">
        <v>1525</v>
      </c>
      <c r="AG1298" s="431" t="s">
        <v>6003</v>
      </c>
      <c r="AH1298" s="431" t="s">
        <v>68</v>
      </c>
      <c r="AI1298" s="441"/>
      <c r="AJ1298" s="437" t="str">
        <f>IFERROR(VLOOKUP(AT1298, Vessel!A:D, 4, FALSE), "")</f>
        <v/>
      </c>
      <c r="AK1298" s="437" t="str">
        <f>IFERROR(IF(VLOOKUP(AT1298,Vessel!A:F,5,FALSE)=0,"",VLOOKUP(AT1298,Vessel!A:F,5,FALSE)),"")</f>
        <v/>
      </c>
      <c r="AL1298" s="441"/>
      <c r="AM1298" s="618" t="str">
        <f>IFERROR(VLOOKUP(AT1298, Vessel!A:H, 8, FALSE), "")</f>
        <v/>
      </c>
      <c r="AN1298" s="586" t="str">
        <f>IFERROR(IF(VLOOKUP(AT1298,Vessel!A:I,9,FALSE)=0,"",VLOOKUP(AT1298,Vessel!A:I,9,FALSE)),"")</f>
        <v/>
      </c>
      <c r="AO1298" s="431"/>
      <c r="AP1298" s="431"/>
      <c r="AQ1298" s="445"/>
      <c r="AR1298" s="619"/>
      <c r="AS1298" s="431"/>
      <c r="AT1298" s="431"/>
      <c r="AU1298" s="619"/>
      <c r="AV1298" s="431"/>
      <c r="AW1298" s="441" t="str" cm="1">
        <f t="array" ref="AW129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9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98" s="441" t="str">
        <f>IF(ISERROR(PV_DATA[[#This Row],[New Ark PO status]]),"",_xlfn.XLOOKUP(PV_DATA[[#This Row],[SPTN-PVHK New Ark PO'#]],New_Ark_Data[Purchase order Number],New_Ark_Data[Estimated time of arrival],"",0))</f>
        <v/>
      </c>
      <c r="AZ1298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98" s="441" t="str">
        <f>IFERROR(PV_DATA[[#This Row],[ODP ETA Port]]+PV_DATA[[#This Row],[Customs/Leg3 Assumption]],"n/a")</f>
        <v>n/a</v>
      </c>
      <c r="BB1298" s="442" t="e">
        <f>YEAR(PV_DATA[[#This Row],[ETA for New Ark update]])</f>
        <v>#VALUE!</v>
      </c>
      <c r="BC1298" s="431" t="e">
        <f>MONTH(PV_DATA[[#This Row],[ETA for New Ark update]])</f>
        <v>#VALUE!</v>
      </c>
      <c r="BD1298" s="431">
        <f>IFERROR(_xlfn.ISOWEEKNUM(PV_DATA[[#This Row],[ETA for New Ark update]]),0)</f>
        <v>0</v>
      </c>
      <c r="BE1298" s="431">
        <f>_xlfn.XLOOKUP(PV_DATA[[#This Row],[New Ark SKU]],Table9[New Ark SKU],Table9[Total PCS per Pallet],,0)</f>
        <v>36</v>
      </c>
      <c r="BF1298" s="431">
        <f>_xlfn.XLOOKUP(PV_DATA[[#This Row],[New Ark SKU]],Table9[New Ark SKU],Table9[Total PCS per 40HQ Container],,0)</f>
        <v>936</v>
      </c>
      <c r="BG1298" s="431" t="str">
        <f>_xlfn.XLOOKUP(PV_DATA[[#This Row],[New Ark SKU]],Table9[New Ark SKU],Table9[Back Glass],,0)</f>
        <v>Black glazing</v>
      </c>
      <c r="BH1298" s="622" t="str">
        <f>_xlfn.XLOOKUP(PV_DATA[[#This Row],[PORT DESTINATION]],Table12[PORT DESTINATION],Table12[Cosco Line],,0)</f>
        <v>n/a</v>
      </c>
      <c r="BJ1298" s="430"/>
    </row>
    <row r="1299" spans="1:62" ht="10.5" hidden="1">
      <c r="A1299" s="728" t="s">
        <v>7582</v>
      </c>
      <c r="B1299" s="439" t="s">
        <v>1757</v>
      </c>
      <c r="C1299" s="439" t="str">
        <f>IFERROR(LEFT(PV_DATA[[#This Row],[TCL REFERENCE]],FIND(".",PV_DATA[[#This Row],[TCL REFERENCE]],1)-1),"Main Line")</f>
        <v>Main Line</v>
      </c>
      <c r="D1299" s="439" t="s">
        <v>63</v>
      </c>
      <c r="E1299" s="439" t="s">
        <v>68</v>
      </c>
      <c r="F1299" s="439" t="str" cm="1">
        <f t="array" ref="F1299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299" s="726" t="s">
        <v>68</v>
      </c>
      <c r="H1299" s="726" t="s">
        <v>68</v>
      </c>
      <c r="I1299" s="431" t="s">
        <v>68</v>
      </c>
      <c r="J1299" s="619" t="s">
        <v>68</v>
      </c>
      <c r="K1299" s="619"/>
      <c r="L1299" s="619"/>
      <c r="M1299" s="619" t="s">
        <v>68</v>
      </c>
      <c r="N1299" s="432" t="s">
        <v>6212</v>
      </c>
      <c r="O1299" s="431" t="s">
        <v>284</v>
      </c>
      <c r="P1299" s="430" t="s">
        <v>6219</v>
      </c>
      <c r="Q1299" s="431" t="s">
        <v>6220</v>
      </c>
      <c r="R1299" s="430" t="str">
        <f>_xlfn.XLOOKUP(PV_DATA[[#This Row],[New Ark SKU]],Table9[New Ark SKU],Table9[Connector],,0)</f>
        <v>EVO2A</v>
      </c>
      <c r="S1299" s="433" t="str">
        <f>_xlfn.XLOOKUP(PV_DATA[[#This Row],[New Ark SKU]],Table9[New Ark SKU],Table9[Cable],,0)</f>
        <v>±1200mm</v>
      </c>
      <c r="T1299" s="442">
        <v>490</v>
      </c>
      <c r="U1299" s="1067" cm="1">
        <f t="array" ref="U1299">6552-fx_qty</f>
        <v>0</v>
      </c>
      <c r="V1299" s="448">
        <f>PV_DATA[[#This Row],[QUANTITY]]*PV_DATA[[#This Row],[WATT]]/1000000</f>
        <v>0</v>
      </c>
      <c r="W1299" s="625">
        <f>PV_DATA[[#This Row],[QUANTITY]]/36</f>
        <v>0</v>
      </c>
      <c r="X1299" s="1019">
        <f>PV_DATA[[#This Row],[QUANTITY]]/PV_DATA[[#This Row],[Qty/CT]]</f>
        <v>0</v>
      </c>
      <c r="Y1299" s="431" t="s">
        <v>7039</v>
      </c>
      <c r="Z1299" s="430" t="str">
        <f t="shared" si="38"/>
        <v/>
      </c>
      <c r="AA1299" s="431"/>
      <c r="AB1299" s="441"/>
      <c r="AC1299" s="467" t="str">
        <f>IF(PV_DATA[[#This Row],[Pick-Up Date]]&lt;&gt;"",_xlfn.ISOWEEKNUM(PV_DATA[[#This Row],[Pick-Up Date]]),"")</f>
        <v/>
      </c>
      <c r="AD1299" s="431"/>
      <c r="AE1299" s="431"/>
      <c r="AF1299" s="431" t="s">
        <v>1525</v>
      </c>
      <c r="AG1299" s="431" t="s">
        <v>6003</v>
      </c>
      <c r="AH1299" s="431" t="s">
        <v>68</v>
      </c>
      <c r="AI1299" s="441"/>
      <c r="AJ1299" s="437" t="str">
        <f>IFERROR(VLOOKUP(AT1299, Vessel!A:D, 4, FALSE), "")</f>
        <v/>
      </c>
      <c r="AK1299" s="437" t="str">
        <f>IFERROR(IF(VLOOKUP(AT1299,Vessel!A:F,5,FALSE)=0,"",VLOOKUP(AT1299,Vessel!A:F,5,FALSE)),"")</f>
        <v/>
      </c>
      <c r="AL1299" s="441"/>
      <c r="AM1299" s="441"/>
      <c r="AN1299" s="586" t="str">
        <f>IFERROR(IF(VLOOKUP(AT1299,Vessel!A:I,9,FALSE)=0,"",VLOOKUP(AT1299,Vessel!A:I,9,FALSE)),"")</f>
        <v/>
      </c>
      <c r="AO1299" s="431"/>
      <c r="AP1299" s="431"/>
      <c r="AQ1299" s="445"/>
      <c r="AR1299" s="619"/>
      <c r="AS1299" s="431"/>
      <c r="AT1299" s="431"/>
      <c r="AU1299" s="619"/>
      <c r="AV1299" s="431"/>
      <c r="AW1299" s="441" t="str" cm="1">
        <f t="array" ref="AW129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29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299" s="441" t="str">
        <f>IF(ISERROR(PV_DATA[[#This Row],[New Ark PO status]]),"",_xlfn.XLOOKUP(PV_DATA[[#This Row],[SPTN-PVHK New Ark PO'#]],New_Ark_Data[Purchase order Number],New_Ark_Data[Estimated time of arrival],"",0))</f>
        <v/>
      </c>
      <c r="AZ1299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299" s="441" t="str">
        <f>IFERROR(PV_DATA[[#This Row],[ODP ETA Port]]+PV_DATA[[#This Row],[Customs/Leg3 Assumption]],"n/a")</f>
        <v>n/a</v>
      </c>
      <c r="BB1299" s="442" t="e">
        <f>YEAR(PV_DATA[[#This Row],[ETA for New Ark update]])</f>
        <v>#VALUE!</v>
      </c>
      <c r="BC1299" s="431" t="e">
        <f>MONTH(PV_DATA[[#This Row],[ETA for New Ark update]])</f>
        <v>#VALUE!</v>
      </c>
      <c r="BD1299" s="431">
        <f>IFERROR(_xlfn.ISOWEEKNUM(PV_DATA[[#This Row],[ETA for New Ark update]]),0)</f>
        <v>0</v>
      </c>
      <c r="BE1299" s="431">
        <f>_xlfn.XLOOKUP(PV_DATA[[#This Row],[New Ark SKU]],Table9[New Ark SKU],Table9[Total PCS per Pallet],,0)</f>
        <v>36</v>
      </c>
      <c r="BF1299" s="431">
        <f>_xlfn.XLOOKUP(PV_DATA[[#This Row],[New Ark SKU]],Table9[New Ark SKU],Table9[Total PCS per 40HQ Container],,0)</f>
        <v>936</v>
      </c>
      <c r="BG1299" s="431" t="str">
        <f>_xlfn.XLOOKUP(PV_DATA[[#This Row],[New Ark SKU]],Table9[New Ark SKU],Table9[Back Glass],,0)</f>
        <v>Black glazing</v>
      </c>
      <c r="BH1299" s="622" t="str">
        <f>_xlfn.XLOOKUP(PV_DATA[[#This Row],[PORT DESTINATION]],Table12[PORT DESTINATION],Table12[Cosco Line],,0)</f>
        <v>n/a</v>
      </c>
      <c r="BJ1299" s="430"/>
    </row>
    <row r="1300" spans="1:62" ht="10.5" hidden="1">
      <c r="A1300" s="727" t="s">
        <v>7583</v>
      </c>
      <c r="B1300" s="726" t="s">
        <v>111</v>
      </c>
      <c r="C1300" s="439" t="str">
        <f>IFERROR(LEFT(PV_DATA[[#This Row],[TCL REFERENCE]],FIND(".",PV_DATA[[#This Row],[TCL REFERENCE]],1)-1),"Main Line")</f>
        <v>Main Line</v>
      </c>
      <c r="D1300" s="726" t="s">
        <v>113</v>
      </c>
      <c r="E1300" s="439" t="s">
        <v>68</v>
      </c>
      <c r="F1300" s="439" t="str" cm="1">
        <f t="array" ref="F1300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00" s="726" t="s">
        <v>68</v>
      </c>
      <c r="H1300" s="726" t="s">
        <v>68</v>
      </c>
      <c r="I1300" s="431" t="s">
        <v>68</v>
      </c>
      <c r="J1300" s="619" t="s">
        <v>68</v>
      </c>
      <c r="K1300" s="619"/>
      <c r="L1300" s="619"/>
      <c r="M1300" s="619" t="s">
        <v>68</v>
      </c>
      <c r="N1300" s="630"/>
      <c r="O1300" s="619" t="s">
        <v>4540</v>
      </c>
      <c r="P1300" s="623" t="s">
        <v>6245</v>
      </c>
      <c r="Q1300" s="619" t="s">
        <v>330</v>
      </c>
      <c r="R1300" s="430" t="str">
        <f>_xlfn.XLOOKUP(PV_DATA[[#This Row],[New Ark SKU]],Table9[New Ark SKU],Table9[Connector],,0)</f>
        <v>H4(Com)</v>
      </c>
      <c r="S1300" s="433" t="str">
        <f>_xlfn.XLOOKUP(PV_DATA[[#This Row],[New Ark SKU]],Table9[New Ark SKU],Table9[Cable],,0)</f>
        <v>+400mm/-200mm</v>
      </c>
      <c r="T1300" s="620">
        <v>625</v>
      </c>
      <c r="U1300" s="1067" cm="1">
        <f t="array" ref="U1300">84240-fx_qty</f>
        <v>0</v>
      </c>
      <c r="V1300" s="624">
        <f>PV_DATA[[#This Row],[QUANTITY]]*PV_DATA[[#This Row],[WATT]]/1000000</f>
        <v>0</v>
      </c>
      <c r="W1300" s="466">
        <f>PV_DATA[[#This Row],[QUANTITY]]/36</f>
        <v>0</v>
      </c>
      <c r="X1300" s="1022">
        <f>PV_DATA[[#This Row],[QUANTITY]]/PV_DATA[[#This Row],[Qty/CT]]</f>
        <v>0</v>
      </c>
      <c r="Y1300" s="431" t="s">
        <v>7039</v>
      </c>
      <c r="Z1300" s="430" t="str">
        <f t="shared" si="38"/>
        <v/>
      </c>
      <c r="AA1300" s="619"/>
      <c r="AB1300" s="626"/>
      <c r="AC1300" s="627" t="str">
        <f>IF(PV_DATA[[#This Row],[Pick-Up Date]]&lt;&gt;"",_xlfn.ISOWEEKNUM(PV_DATA[[#This Row],[Pick-Up Date]]),"")</f>
        <v/>
      </c>
      <c r="AD1300" s="619"/>
      <c r="AE1300" s="619"/>
      <c r="AF1300" s="619" t="s">
        <v>122</v>
      </c>
      <c r="AG1300" s="619" t="s">
        <v>122</v>
      </c>
      <c r="AH1300" s="430" t="s">
        <v>68</v>
      </c>
      <c r="AI1300" s="626"/>
      <c r="AJ1300" s="437" t="str">
        <f>IFERROR(VLOOKUP(AT1300, Vessel!A:D, 4, FALSE), "")</f>
        <v/>
      </c>
      <c r="AK1300" s="437" t="str">
        <f>IFERROR(IF(VLOOKUP(AT1300,Vessel!A:F,5,FALSE)=0,"",VLOOKUP(AT1300,Vessel!A:F,5,FALSE)),"")</f>
        <v/>
      </c>
      <c r="AL1300" s="626"/>
      <c r="AM1300" s="626"/>
      <c r="AN1300" s="586" t="str">
        <f>IFERROR(IF(VLOOKUP(AT1300,Vessel!A:I,9,FALSE)=0,"",VLOOKUP(AT1300,Vessel!A:I,9,FALSE)),"")</f>
        <v/>
      </c>
      <c r="AO1300" s="619"/>
      <c r="AP1300" s="619"/>
      <c r="AQ1300" s="628"/>
      <c r="AR1300" s="619"/>
      <c r="AS1300" s="619"/>
      <c r="AT1300" s="431"/>
      <c r="AU1300" s="619"/>
      <c r="AV1300" s="619"/>
      <c r="AW1300" s="626" t="str" cm="1">
        <f t="array" ref="AW130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00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00" s="626" t="str">
        <f>IF(ISERROR(PV_DATA[[#This Row],[New Ark PO status]]),"",_xlfn.XLOOKUP(PV_DATA[[#This Row],[SPTN-PVHK New Ark PO'#]],New_Ark_Data[Purchase order Number],New_Ark_Data[Estimated time of arrival],"",0))</f>
        <v/>
      </c>
      <c r="AZ1300" s="620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00" s="626" t="str">
        <f>IFERROR(PV_DATA[[#This Row],[ODP ETA Port]]+PV_DATA[[#This Row],[Customs/Leg3 Assumption]],"n/a")</f>
        <v>n/a</v>
      </c>
      <c r="BB1300" s="442" t="s">
        <v>6325</v>
      </c>
      <c r="BC1300" s="442" t="s">
        <v>6325</v>
      </c>
      <c r="BD1300" s="619">
        <f>IFERROR(_xlfn.ISOWEEKNUM(PV_DATA[[#This Row],[ETA for New Ark update]]),0)</f>
        <v>0</v>
      </c>
      <c r="BE1300" s="431">
        <f>_xlfn.XLOOKUP(PV_DATA[[#This Row],[New Ark SKU]],Table9[New Ark SKU],Table9[Total PCS per Pallet],,0)</f>
        <v>36</v>
      </c>
      <c r="BF1300" s="431">
        <f>_xlfn.XLOOKUP(PV_DATA[[#This Row],[New Ark SKU]],Table9[New Ark SKU],Table9[Total PCS per 40HQ Container],,0)</f>
        <v>720</v>
      </c>
      <c r="BG1300" s="431" t="str">
        <f>_xlfn.XLOOKUP(PV_DATA[[#This Row],[New Ark SKU]],Table9[New Ark SKU],Table9[Back Glass],,0)</f>
        <v>Redirection Film</v>
      </c>
      <c r="BH1300" s="629" t="str">
        <f>_xlfn.XLOOKUP(PV_DATA[[#This Row],[PORT DESTINATION]],Table12[PORT DESTINATION],Table12[Cosco Line],,0)</f>
        <v>n/a</v>
      </c>
      <c r="BJ1300" s="430"/>
    </row>
    <row r="1301" spans="1:62" ht="10.5" hidden="1">
      <c r="A1301" s="727" t="s">
        <v>7584</v>
      </c>
      <c r="B1301" s="726" t="s">
        <v>111</v>
      </c>
      <c r="C1301" s="439" t="str">
        <f>IFERROR(LEFT(PV_DATA[[#This Row],[TCL REFERENCE]],FIND(".",PV_DATA[[#This Row],[TCL REFERENCE]],1)-1),"Main Line")</f>
        <v>26Aug010</v>
      </c>
      <c r="D1301" s="726" t="s">
        <v>113</v>
      </c>
      <c r="E1301" s="439" t="s">
        <v>68</v>
      </c>
      <c r="F1301" s="726" t="str" cm="1">
        <f t="array" ref="F1301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01" s="439" t="s">
        <v>68</v>
      </c>
      <c r="H1301" s="439" t="s">
        <v>68</v>
      </c>
      <c r="I1301" s="439" t="s">
        <v>68</v>
      </c>
      <c r="J1301" s="431" t="s">
        <v>68</v>
      </c>
      <c r="K1301" s="619"/>
      <c r="L1301" s="619"/>
      <c r="M1301" s="431" t="s">
        <v>68</v>
      </c>
      <c r="N1301" s="630"/>
      <c r="O1301" s="619" t="s">
        <v>4540</v>
      </c>
      <c r="P1301" s="623" t="s">
        <v>6245</v>
      </c>
      <c r="Q1301" s="619" t="s">
        <v>330</v>
      </c>
      <c r="R1301" s="430" t="str">
        <f>_xlfn.XLOOKUP(PV_DATA[[#This Row],[New Ark SKU]],Table9[New Ark SKU],Table9[Connector],,0)</f>
        <v>H4(Com)</v>
      </c>
      <c r="S1301" s="433" t="str">
        <f>_xlfn.XLOOKUP(PV_DATA[[#This Row],[New Ark SKU]],Table9[New Ark SKU],Table9[Cable],,0)</f>
        <v>+400mm/-200mm</v>
      </c>
      <c r="T1301" s="620">
        <v>625</v>
      </c>
      <c r="U1301" s="1067">
        <f>720*4</f>
        <v>2880</v>
      </c>
      <c r="V1301" s="624">
        <f>PV_DATA[[#This Row],[QUANTITY]]*PV_DATA[[#This Row],[WATT]]/1000000</f>
        <v>1.8</v>
      </c>
      <c r="W1301" s="466">
        <f>PV_DATA[[#This Row],[QUANTITY]]/36</f>
        <v>80</v>
      </c>
      <c r="X1301" s="1022">
        <f>PV_DATA[[#This Row],[QUANTITY]]/PV_DATA[[#This Row],[Qty/CT]]</f>
        <v>4</v>
      </c>
      <c r="Y1301" s="431" t="s">
        <v>7039</v>
      </c>
      <c r="Z1301" s="430" t="str">
        <f t="shared" si="38"/>
        <v/>
      </c>
      <c r="AA1301" s="619" t="s">
        <v>5862</v>
      </c>
      <c r="AB1301" s="626"/>
      <c r="AC1301" s="627" t="str">
        <f>IF(PV_DATA[[#This Row],[Pick-Up Date]]&lt;&gt;"",_xlfn.ISOWEEKNUM(PV_DATA[[#This Row],[Pick-Up Date]]),"")</f>
        <v/>
      </c>
      <c r="AD1301" s="619"/>
      <c r="AE1301" s="619"/>
      <c r="AF1301" s="619" t="s">
        <v>122</v>
      </c>
      <c r="AG1301" s="619" t="s">
        <v>122</v>
      </c>
      <c r="AH1301" s="431" t="s">
        <v>68</v>
      </c>
      <c r="AI1301" s="626"/>
      <c r="AJ1301" s="437" t="str">
        <f>IFERROR(VLOOKUP(AT1301, Vessel!A:D, 4, FALSE), "")</f>
        <v/>
      </c>
      <c r="AK1301" s="437" t="str">
        <f>IFERROR(IF(VLOOKUP(AT1301,Vessel!A:F,5,FALSE)=0,"",VLOOKUP(AT1301,Vessel!A:F,5,FALSE)),"")</f>
        <v/>
      </c>
      <c r="AL1301" s="626"/>
      <c r="AM1301" s="626"/>
      <c r="AN1301" s="586" t="str">
        <f>IFERROR(IF(VLOOKUP(AT1301,Vessel!A:I,9,FALSE)=0,"",VLOOKUP(AT1301,Vessel!A:I,9,FALSE)),"")</f>
        <v/>
      </c>
      <c r="AO1301" s="619"/>
      <c r="AP1301" s="619"/>
      <c r="AQ1301" s="628"/>
      <c r="AR1301" s="619"/>
      <c r="AS1301" s="619"/>
      <c r="AT1301" s="431"/>
      <c r="AU1301" s="619"/>
      <c r="AV1301" s="619"/>
      <c r="AW1301" s="626" t="str" cm="1">
        <f t="array" ref="AW130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0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01" s="626">
        <f>IF(ISERROR(PV_DATA[[#This Row],[New Ark PO status]]),"",_xlfn.XLOOKUP(PV_DATA[[#This Row],[SPTN-PVHK New Ark PO'#]],New_Ark_Data[Purchase order Number],New_Ark_Data[Estimated time of arrival],"",0))</f>
        <v>0</v>
      </c>
      <c r="AZ1301" s="620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01" s="626" t="str">
        <f>IFERROR(PV_DATA[[#This Row],[ODP ETA Port]]+PV_DATA[[#This Row],[Customs/Leg3 Assumption]],"n/a")</f>
        <v>n/a</v>
      </c>
      <c r="BB1301" s="442" t="s">
        <v>6545</v>
      </c>
      <c r="BC1301" s="442" t="s">
        <v>6545</v>
      </c>
      <c r="BD1301" s="619">
        <f>IFERROR(_xlfn.ISOWEEKNUM(PV_DATA[[#This Row],[ETA for New Ark update]]),0)</f>
        <v>0</v>
      </c>
      <c r="BE1301" s="431">
        <f>_xlfn.XLOOKUP(PV_DATA[[#This Row],[New Ark SKU]],Table9[New Ark SKU],Table9[Total PCS per Pallet],,0)</f>
        <v>36</v>
      </c>
      <c r="BF1301" s="431">
        <f>_xlfn.XLOOKUP(PV_DATA[[#This Row],[New Ark SKU]],Table9[New Ark SKU],Table9[Total PCS per 40HQ Container],,0)</f>
        <v>720</v>
      </c>
      <c r="BG1301" s="431" t="str">
        <f>_xlfn.XLOOKUP(PV_DATA[[#This Row],[New Ark SKU]],Table9[New Ark SKU],Table9[Back Glass],,0)</f>
        <v>Redirection Film</v>
      </c>
      <c r="BH1301" s="629" t="str">
        <f>_xlfn.XLOOKUP(PV_DATA[[#This Row],[PORT DESTINATION]],Table12[PORT DESTINATION],Table12[Cosco Line],,0)</f>
        <v>n/a</v>
      </c>
      <c r="BJ1301" s="430"/>
    </row>
    <row r="1302" spans="1:62" ht="10.5" hidden="1">
      <c r="A1302" s="727" t="s">
        <v>7585</v>
      </c>
      <c r="B1302" s="726" t="s">
        <v>111</v>
      </c>
      <c r="C1302" s="439" t="str">
        <f>IFERROR(LEFT(PV_DATA[[#This Row],[TCL REFERENCE]],FIND(".",PV_DATA[[#This Row],[TCL REFERENCE]],1)-1),"Main Line")</f>
        <v>Main Line</v>
      </c>
      <c r="D1302" s="726" t="s">
        <v>113</v>
      </c>
      <c r="E1302" s="439" t="s">
        <v>68</v>
      </c>
      <c r="F1302" s="439" t="str" cm="1">
        <f t="array" ref="F1302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02" s="726" t="s">
        <v>68</v>
      </c>
      <c r="H1302" s="726" t="s">
        <v>68</v>
      </c>
      <c r="I1302" s="431" t="s">
        <v>68</v>
      </c>
      <c r="J1302" s="619" t="s">
        <v>68</v>
      </c>
      <c r="K1302" s="619"/>
      <c r="L1302" s="619"/>
      <c r="M1302" s="619" t="s">
        <v>68</v>
      </c>
      <c r="N1302" s="630"/>
      <c r="O1302" s="619" t="s">
        <v>4540</v>
      </c>
      <c r="P1302" s="623" t="s">
        <v>6470</v>
      </c>
      <c r="Q1302" s="619" t="s">
        <v>4607</v>
      </c>
      <c r="R1302" s="430" t="str">
        <f>_xlfn.XLOOKUP(PV_DATA[[#This Row],[New Ark SKU]],Table9[New Ark SKU],Table9[Connector],,0)</f>
        <v>H4(Com)</v>
      </c>
      <c r="S1302" s="433" t="str">
        <f>_xlfn.XLOOKUP(PV_DATA[[#This Row],[New Ark SKU]],Table9[New Ark SKU],Table9[Cable],,0)</f>
        <v>+400mm/-200mm</v>
      </c>
      <c r="T1302" s="620">
        <v>630</v>
      </c>
      <c r="U1302" s="1067" cm="1">
        <f t="array" ref="U1302">29520-fx_qty</f>
        <v>0</v>
      </c>
      <c r="V1302" s="624">
        <f>PV_DATA[[#This Row],[QUANTITY]]*PV_DATA[[#This Row],[WATT]]/1000000</f>
        <v>0</v>
      </c>
      <c r="W1302" s="466">
        <f>PV_DATA[[#This Row],[QUANTITY]]/36</f>
        <v>0</v>
      </c>
      <c r="X1302" s="1022">
        <f>PV_DATA[[#This Row],[QUANTITY]]/PV_DATA[[#This Row],[Qty/CT]]</f>
        <v>0</v>
      </c>
      <c r="Y1302" s="431" t="s">
        <v>7039</v>
      </c>
      <c r="Z1302" s="430" t="str">
        <f t="shared" si="38"/>
        <v/>
      </c>
      <c r="AA1302" s="619"/>
      <c r="AB1302" s="626"/>
      <c r="AC1302" s="627" t="str">
        <f>IF(PV_DATA[[#This Row],[Pick-Up Date]]&lt;&gt;"",_xlfn.ISOWEEKNUM(PV_DATA[[#This Row],[Pick-Up Date]]),"")</f>
        <v/>
      </c>
      <c r="AD1302" s="619"/>
      <c r="AE1302" s="619"/>
      <c r="AF1302" s="619" t="s">
        <v>122</v>
      </c>
      <c r="AG1302" s="619" t="s">
        <v>122</v>
      </c>
      <c r="AH1302" s="430" t="s">
        <v>68</v>
      </c>
      <c r="AI1302" s="626"/>
      <c r="AJ1302" s="437" t="str">
        <f>IFERROR(VLOOKUP(AT1302, Vessel!A:D, 4, FALSE), "")</f>
        <v/>
      </c>
      <c r="AK1302" s="437" t="str">
        <f>IFERROR(IF(VLOOKUP(AT1302,Vessel!A:F,5,FALSE)=0,"",VLOOKUP(AT1302,Vessel!A:F,5,FALSE)),"")</f>
        <v/>
      </c>
      <c r="AL1302" s="626"/>
      <c r="AM1302" s="626"/>
      <c r="AN1302" s="586" t="str">
        <f>IFERROR(IF(VLOOKUP(AT1302,Vessel!A:I,9,FALSE)=0,"",VLOOKUP(AT1302,Vessel!A:I,9,FALSE)),"")</f>
        <v/>
      </c>
      <c r="AO1302" s="619"/>
      <c r="AP1302" s="619"/>
      <c r="AQ1302" s="628"/>
      <c r="AR1302" s="619"/>
      <c r="AS1302" s="619"/>
      <c r="AT1302" s="431"/>
      <c r="AU1302" s="619"/>
      <c r="AV1302" s="619"/>
      <c r="AW1302" s="626" t="str" cm="1">
        <f t="array" ref="AW130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0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02" s="626" t="str">
        <f>IF(ISERROR(PV_DATA[[#This Row],[New Ark PO status]]),"",_xlfn.XLOOKUP(PV_DATA[[#This Row],[SPTN-PVHK New Ark PO'#]],New_Ark_Data[Purchase order Number],New_Ark_Data[Estimated time of arrival],"",0))</f>
        <v/>
      </c>
      <c r="AZ1302" s="620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02" s="626" t="str">
        <f>IFERROR(PV_DATA[[#This Row],[ODP ETA Port]]+PV_DATA[[#This Row],[Customs/Leg3 Assumption]],"n/a")</f>
        <v>n/a</v>
      </c>
      <c r="BB1302" s="620" t="e">
        <f>YEAR(PV_DATA[[#This Row],[ETA for New Ark update]])</f>
        <v>#VALUE!</v>
      </c>
      <c r="BC1302" s="619" t="e">
        <f>MONTH(PV_DATA[[#This Row],[ETA for New Ark update]])</f>
        <v>#VALUE!</v>
      </c>
      <c r="BD1302" s="619">
        <f>IFERROR(_xlfn.ISOWEEKNUM(PV_DATA[[#This Row],[ETA for New Ark update]]),0)</f>
        <v>0</v>
      </c>
      <c r="BE1302" s="431">
        <f>_xlfn.XLOOKUP(PV_DATA[[#This Row],[New Ark SKU]],Table9[New Ark SKU],Table9[Total PCS per Pallet],,0)</f>
        <v>36</v>
      </c>
      <c r="BF1302" s="431">
        <f>_xlfn.XLOOKUP(PV_DATA[[#This Row],[New Ark SKU]],Table9[New Ark SKU],Table9[Total PCS per 40HQ Container],,0)</f>
        <v>720</v>
      </c>
      <c r="BG1302" s="431" t="str">
        <f>_xlfn.XLOOKUP(PV_DATA[[#This Row],[New Ark SKU]],Table9[New Ark SKU],Table9[Back Glass],,0)</f>
        <v>Redirection Film</v>
      </c>
      <c r="BH1302" s="629" t="str">
        <f>_xlfn.XLOOKUP(PV_DATA[[#This Row],[PORT DESTINATION]],Table12[PORT DESTINATION],Table12[Cosco Line],,0)</f>
        <v>n/a</v>
      </c>
      <c r="BJ1302" s="430"/>
    </row>
    <row r="1303" spans="1:62" ht="10.5" hidden="1">
      <c r="A1303" s="727" t="s">
        <v>7586</v>
      </c>
      <c r="B1303" s="726" t="s">
        <v>111</v>
      </c>
      <c r="C1303" s="439" t="str">
        <f>IFERROR(LEFT(PV_DATA[[#This Row],[TCL REFERENCE]],FIND(".",PV_DATA[[#This Row],[TCL REFERENCE]],1)-1),"Main Line")</f>
        <v>26Aug025</v>
      </c>
      <c r="D1303" s="726" t="s">
        <v>113</v>
      </c>
      <c r="E1303" s="439" t="s">
        <v>68</v>
      </c>
      <c r="F1303" s="439" t="str" cm="1">
        <f t="array" ref="F1303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03" s="439" t="s">
        <v>68</v>
      </c>
      <c r="H1303" s="439" t="s">
        <v>68</v>
      </c>
      <c r="I1303" s="439" t="s">
        <v>68</v>
      </c>
      <c r="J1303" s="431" t="s">
        <v>68</v>
      </c>
      <c r="K1303" s="619"/>
      <c r="L1303" s="619"/>
      <c r="M1303" s="431" t="s">
        <v>68</v>
      </c>
      <c r="N1303" s="630"/>
      <c r="O1303" s="619" t="s">
        <v>4540</v>
      </c>
      <c r="P1303" s="623" t="s">
        <v>6470</v>
      </c>
      <c r="Q1303" s="619" t="s">
        <v>4607</v>
      </c>
      <c r="R1303" s="430" t="str">
        <f>_xlfn.XLOOKUP(PV_DATA[[#This Row],[New Ark SKU]],Table9[New Ark SKU],Table9[Connector],,0)</f>
        <v>H4(Com)</v>
      </c>
      <c r="S1303" s="433" t="str">
        <f>_xlfn.XLOOKUP(PV_DATA[[#This Row],[New Ark SKU]],Table9[New Ark SKU],Table9[Cable],,0)</f>
        <v>+400mm/-200mm</v>
      </c>
      <c r="T1303" s="620">
        <v>630</v>
      </c>
      <c r="U1303" s="1067">
        <f>720*9</f>
        <v>6480</v>
      </c>
      <c r="V1303" s="624">
        <f>PV_DATA[[#This Row],[QUANTITY]]*PV_DATA[[#This Row],[WATT]]/1000000</f>
        <v>4.0823999999999998</v>
      </c>
      <c r="W1303" s="466">
        <f>PV_DATA[[#This Row],[QUANTITY]]/36</f>
        <v>180</v>
      </c>
      <c r="X1303" s="1022">
        <f>PV_DATA[[#This Row],[QUANTITY]]/PV_DATA[[#This Row],[Qty/CT]]</f>
        <v>9</v>
      </c>
      <c r="Y1303" s="431" t="s">
        <v>4384</v>
      </c>
      <c r="Z1303" s="430" t="str">
        <f t="shared" si="38"/>
        <v/>
      </c>
      <c r="AA1303" s="619" t="s">
        <v>7587</v>
      </c>
      <c r="AB1303" s="626"/>
      <c r="AC1303" s="627" t="str">
        <f>IF(PV_DATA[[#This Row],[Pick-Up Date]]&lt;&gt;"",_xlfn.ISOWEEKNUM(PV_DATA[[#This Row],[Pick-Up Date]]),"")</f>
        <v/>
      </c>
      <c r="AD1303" s="619"/>
      <c r="AE1303" s="619"/>
      <c r="AF1303" s="619" t="s">
        <v>122</v>
      </c>
      <c r="AG1303" s="619" t="s">
        <v>122</v>
      </c>
      <c r="AH1303" s="430" t="s">
        <v>68</v>
      </c>
      <c r="AI1303" s="626"/>
      <c r="AJ1303" s="437" t="str">
        <f>IFERROR(VLOOKUP(AT1303, Vessel!A:D, 4, FALSE), "")</f>
        <v/>
      </c>
      <c r="AK1303" s="437" t="str">
        <f>IFERROR(IF(VLOOKUP(AT1303,Vessel!A:F,5,FALSE)=0,"",VLOOKUP(AT1303,Vessel!A:F,5,FALSE)),"")</f>
        <v/>
      </c>
      <c r="AL1303" s="626"/>
      <c r="AM1303" s="626"/>
      <c r="AN1303" s="586" t="str">
        <f>IFERROR(IF(VLOOKUP(AT1303,Vessel!A:I,9,FALSE)=0,"",VLOOKUP(AT1303,Vessel!A:I,9,FALSE)),"")</f>
        <v/>
      </c>
      <c r="AO1303" s="619"/>
      <c r="AP1303" s="619"/>
      <c r="AQ1303" s="628"/>
      <c r="AR1303" s="619"/>
      <c r="AS1303" s="619"/>
      <c r="AT1303" s="431"/>
      <c r="AU1303" s="619"/>
      <c r="AV1303" s="619"/>
      <c r="AW1303" s="626" t="str" cm="1">
        <f t="array" ref="AW130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0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03" s="626" t="str">
        <f>IF(ISERROR(PV_DATA[[#This Row],[New Ark PO status]]),"",_xlfn.XLOOKUP(PV_DATA[[#This Row],[SPTN-PVHK New Ark PO'#]],New_Ark_Data[Purchase order Number],New_Ark_Data[Estimated time of arrival],"",0))</f>
        <v/>
      </c>
      <c r="AZ1303" s="620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03" s="626" t="str">
        <f>IFERROR(PV_DATA[[#This Row],[ODP ETA Port]]+PV_DATA[[#This Row],[Customs/Leg3 Assumption]],"n/a")</f>
        <v>n/a</v>
      </c>
      <c r="BB1303" s="620" t="e">
        <f>YEAR(PV_DATA[[#This Row],[ETA for New Ark update]])</f>
        <v>#VALUE!</v>
      </c>
      <c r="BC1303" s="619" t="e">
        <f>MONTH(PV_DATA[[#This Row],[ETA for New Ark update]])</f>
        <v>#VALUE!</v>
      </c>
      <c r="BD1303" s="619">
        <f>IFERROR(_xlfn.ISOWEEKNUM(PV_DATA[[#This Row],[ETA for New Ark update]]),0)</f>
        <v>0</v>
      </c>
      <c r="BE1303" s="431">
        <f>_xlfn.XLOOKUP(PV_DATA[[#This Row],[New Ark SKU]],Table9[New Ark SKU],Table9[Total PCS per Pallet],,0)</f>
        <v>36</v>
      </c>
      <c r="BF1303" s="431">
        <f>_xlfn.XLOOKUP(PV_DATA[[#This Row],[New Ark SKU]],Table9[New Ark SKU],Table9[Total PCS per 40HQ Container],,0)</f>
        <v>720</v>
      </c>
      <c r="BG1303" s="431" t="str">
        <f>_xlfn.XLOOKUP(PV_DATA[[#This Row],[New Ark SKU]],Table9[New Ark SKU],Table9[Back Glass],,0)</f>
        <v>Redirection Film</v>
      </c>
      <c r="BH1303" s="629" t="str">
        <f>_xlfn.XLOOKUP(PV_DATA[[#This Row],[PORT DESTINATION]],Table12[PORT DESTINATION],Table12[Cosco Line],,0)</f>
        <v>n/a</v>
      </c>
      <c r="BI1303" s="430" t="s">
        <v>7588</v>
      </c>
      <c r="BJ1303" s="430"/>
    </row>
    <row r="1304" spans="1:62" ht="10.5" hidden="1">
      <c r="A1304" s="727" t="s">
        <v>7589</v>
      </c>
      <c r="B1304" s="439" t="s">
        <v>61</v>
      </c>
      <c r="C1304" s="439" t="str">
        <f>IFERROR(LEFT(PV_DATA[[#This Row],[TCL REFERENCE]],FIND(".",PV_DATA[[#This Row],[TCL REFERENCE]],1)-1),"Main Line")</f>
        <v>Main Line</v>
      </c>
      <c r="D1304" s="726" t="s">
        <v>113</v>
      </c>
      <c r="E1304" s="439" t="s">
        <v>144</v>
      </c>
      <c r="F1304" s="439" t="str" cm="1">
        <f t="array" ref="F130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304" s="439" t="s">
        <v>156</v>
      </c>
      <c r="H1304" s="439" t="s">
        <v>670</v>
      </c>
      <c r="I1304" s="439" t="s">
        <v>1395</v>
      </c>
      <c r="J1304" s="439" t="s">
        <v>670</v>
      </c>
      <c r="K1304" s="431" t="s">
        <v>6729</v>
      </c>
      <c r="L1304" s="431"/>
      <c r="M1304" s="450" t="s">
        <v>840</v>
      </c>
      <c r="N1304" s="461"/>
      <c r="O1304" s="431" t="s">
        <v>284</v>
      </c>
      <c r="P1304" s="430" t="s">
        <v>6730</v>
      </c>
      <c r="Q1304" s="431" t="s">
        <v>1570</v>
      </c>
      <c r="R1304" s="430" t="str">
        <f>_xlfn.XLOOKUP(PV_DATA[[#This Row],[New Ark SKU]],Table9[New Ark SKU],Table9[Connector],,0)</f>
        <v>H4(Com)</v>
      </c>
      <c r="S1304" s="433" t="str">
        <f>_xlfn.XLOOKUP(PV_DATA[[#This Row],[New Ark SKU]],Table9[New Ark SKU],Table9[Cable],,0)</f>
        <v>+400mm/-200mm</v>
      </c>
      <c r="T1304" s="442">
        <v>650</v>
      </c>
      <c r="U1304" s="1067" cm="1">
        <f t="array" ref="U1304">36000-fx_qty</f>
        <v>0</v>
      </c>
      <c r="V1304" s="448">
        <f>PV_DATA[[#This Row],[QUANTITY]]*PV_DATA[[#This Row],[WATT]]/1000000</f>
        <v>0</v>
      </c>
      <c r="W1304" s="466">
        <f>PV_DATA[[#This Row],[QUANTITY]]/PV_DATA[[#This Row],[Qty/Pallet]]</f>
        <v>0</v>
      </c>
      <c r="X1304" s="1019">
        <f>PV_DATA[[#This Row],[QUANTITY]]/PV_DATA[[#This Row],[Qty/CT]]</f>
        <v>0</v>
      </c>
      <c r="Y1304" s="431" t="s">
        <v>7039</v>
      </c>
      <c r="Z1304" s="431" t="str">
        <f t="shared" si="38"/>
        <v/>
      </c>
      <c r="AA1304" s="661"/>
      <c r="AB1304" s="441"/>
      <c r="AC1304" s="467" t="str">
        <f>IF(PV_DATA[[#This Row],[Pick-Up Date]]&lt;&gt;"",_xlfn.ISOWEEKNUM(PV_DATA[[#This Row],[Pick-Up Date]]),"")</f>
        <v/>
      </c>
      <c r="AD1304" s="431"/>
      <c r="AE1304" s="431"/>
      <c r="AF1304" s="431" t="s">
        <v>77</v>
      </c>
      <c r="AG1304" s="431" t="s">
        <v>77</v>
      </c>
      <c r="AH1304" s="430" t="s">
        <v>105</v>
      </c>
      <c r="AI1304" s="441"/>
      <c r="AJ1304" s="437" t="str">
        <f>IFERROR(VLOOKUP(AT1304, Vessel!A:D, 4, FALSE), "")</f>
        <v/>
      </c>
      <c r="AK1304" s="437" t="str">
        <f>IFERROR(IF(VLOOKUP(AT1304,Vessel!A:F,5,FALSE)=0,"",VLOOKUP(AT1304,Vessel!A:F,5,FALSE)),"")</f>
        <v/>
      </c>
      <c r="AL1304" s="441"/>
      <c r="AM1304" s="441"/>
      <c r="AN1304" s="586" t="str">
        <f>IFERROR(IF(VLOOKUP(AT1304,Vessel!A:I,9,FALSE)=0,"",VLOOKUP(AT1304,Vessel!A:I,9,FALSE)),"")</f>
        <v/>
      </c>
      <c r="AO1304" s="431"/>
      <c r="AP1304" s="431"/>
      <c r="AQ1304" s="445"/>
      <c r="AR1304" s="619"/>
      <c r="AS1304" s="431"/>
      <c r="AT1304" s="431"/>
      <c r="AU1304" s="619"/>
      <c r="AV1304" s="431"/>
      <c r="AW1304" s="441" t="str" cm="1">
        <f t="array" ref="AW130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0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04" s="441" t="str">
        <f>IF(ISERROR(PV_DATA[[#This Row],[New Ark PO status]]),"",_xlfn.XLOOKUP(PV_DATA[[#This Row],[SPTN-PVHK New Ark PO'#]],New_Ark_Data[Purchase order Number],New_Ark_Data[Estimated time of arrival],"",0))</f>
        <v/>
      </c>
      <c r="AZ1304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304" s="441" t="str">
        <f>IFERROR(PV_DATA[[#This Row],[ODP ETA Port]]+PV_DATA[[#This Row],[Customs/Leg3 Assumption]],"n/a")</f>
        <v>n/a</v>
      </c>
      <c r="BB1304" s="442" t="s">
        <v>6325</v>
      </c>
      <c r="BC1304" s="442" t="s">
        <v>6325</v>
      </c>
      <c r="BD1304" s="431">
        <f>IFERROR(_xlfn.ISOWEEKNUM(PV_DATA[[#This Row],[ETA for New Ark update]]),0)</f>
        <v>0</v>
      </c>
      <c r="BE1304" s="431">
        <f>_xlfn.XLOOKUP(PV_DATA[[#This Row],[New Ark SKU]],Table9[New Ark SKU],Table9[Total PCS per Pallet],,0)</f>
        <v>36</v>
      </c>
      <c r="BF1304" s="431">
        <f>_xlfn.XLOOKUP(PV_DATA[[#This Row],[New Ark SKU]],Table9[New Ark SKU],Table9[Total PCS per 40HQ Container],,0)</f>
        <v>720</v>
      </c>
      <c r="BG1304" s="431" t="str">
        <f>_xlfn.XLOOKUP(PV_DATA[[#This Row],[New Ark SKU]],Table9[New Ark SKU],Table9[Back Glass],,0)</f>
        <v>White glazing</v>
      </c>
      <c r="BH1304" s="622" t="str">
        <f>_xlfn.XLOOKUP(PV_DATA[[#This Row],[PORT DESTINATION]],Table12[PORT DESTINATION],Table12[Cosco Line],,0)</f>
        <v>AEU</v>
      </c>
      <c r="BJ1304" s="430"/>
    </row>
    <row r="1305" spans="1:62" ht="13.5" hidden="1" customHeight="1">
      <c r="A1305" s="728" t="s">
        <v>7590</v>
      </c>
      <c r="B1305" s="439" t="s">
        <v>111</v>
      </c>
      <c r="C1305" s="439" t="str">
        <f>IFERROR(LEFT(PV_DATA[[#This Row],[TCL REFERENCE]],FIND(".",PV_DATA[[#This Row],[TCL REFERENCE]],1)-1),"Main Line")</f>
        <v>Main Line</v>
      </c>
      <c r="D1305" s="439" t="s">
        <v>63</v>
      </c>
      <c r="E1305" s="439" t="s">
        <v>68</v>
      </c>
      <c r="F1305" s="439" t="str" cm="1">
        <f t="array" ref="F1305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05" s="439" t="s">
        <v>68</v>
      </c>
      <c r="H1305" s="439" t="s">
        <v>68</v>
      </c>
      <c r="I1305" s="439" t="s">
        <v>68</v>
      </c>
      <c r="J1305" s="430" t="s">
        <v>68</v>
      </c>
      <c r="K1305" s="431"/>
      <c r="L1305" s="431"/>
      <c r="M1305" s="431" t="s">
        <v>68</v>
      </c>
      <c r="N1305" s="461">
        <v>46285</v>
      </c>
      <c r="O1305" s="431" t="s">
        <v>550</v>
      </c>
      <c r="P1305" s="430" t="s">
        <v>551</v>
      </c>
      <c r="Q1305" s="431" t="s">
        <v>2151</v>
      </c>
      <c r="R1305" s="430" t="str">
        <f>_xlfn.XLOOKUP(PV_DATA[[#This Row],[New Ark SKU]],Table9[New Ark SKU],Table9[Connector],,0)</f>
        <v>EVO2A</v>
      </c>
      <c r="S1305" s="433" t="str">
        <f>_xlfn.XLOOKUP(PV_DATA[[#This Row],[New Ark SKU]],Table9[New Ark SKU],Table9[Cable],,0)</f>
        <v>±1350mm</v>
      </c>
      <c r="T1305" s="442">
        <v>510</v>
      </c>
      <c r="U1305" s="1067" cm="1">
        <f t="array" ref="U1305">23760-fx_qty</f>
        <v>0</v>
      </c>
      <c r="V1305" s="448">
        <f>PV_DATA[[#This Row],[QUANTITY]]*PV_DATA[[#This Row],[WATT]]/1000000</f>
        <v>0</v>
      </c>
      <c r="W1305" s="466">
        <f>PV_DATA[[#This Row],[QUANTITY]]/PV_DATA[[#This Row],[Qty/Pallet]]</f>
        <v>0</v>
      </c>
      <c r="X1305" s="1019">
        <f>PV_DATA[[#This Row],[QUANTITY]]/PV_DATA[[#This Row],[Qty/CT]]</f>
        <v>0</v>
      </c>
      <c r="Y1305" s="431" t="s">
        <v>7039</v>
      </c>
      <c r="Z1305" s="430" t="str">
        <f t="shared" si="38"/>
        <v/>
      </c>
      <c r="AA1305" s="431"/>
      <c r="AB1305" s="441"/>
      <c r="AC1305" s="467" t="str">
        <f>IF(PV_DATA[[#This Row],[Pick-Up Date]]&lt;&gt;"",_xlfn.ISOWEEKNUM(PV_DATA[[#This Row],[Pick-Up Date]]),"")</f>
        <v/>
      </c>
      <c r="AD1305" s="431"/>
      <c r="AE1305" s="431"/>
      <c r="AF1305" s="431" t="s">
        <v>122</v>
      </c>
      <c r="AG1305" s="431" t="s">
        <v>122</v>
      </c>
      <c r="AH1305" s="431" t="s">
        <v>68</v>
      </c>
      <c r="AI1305" s="441"/>
      <c r="AJ1305" s="437" t="str">
        <f>IFERROR(VLOOKUP(AT1305, Vessel!A:D, 4, FALSE), "")</f>
        <v/>
      </c>
      <c r="AK1305" s="437" t="str">
        <f>IFERROR(IF(VLOOKUP(AT1305,Vessel!A:F,5,FALSE)=0,"",VLOOKUP(AT1305,Vessel!A:F,5,FALSE)),"")</f>
        <v/>
      </c>
      <c r="AL1305" s="441"/>
      <c r="AM1305" s="441"/>
      <c r="AN1305" s="586" t="str">
        <f>IFERROR(IF(VLOOKUP(AT1305,Vessel!A:I,9,FALSE)=0,"",VLOOKUP(AT1305,Vessel!A:I,9,FALSE)),"")</f>
        <v/>
      </c>
      <c r="AO1305" s="431"/>
      <c r="AP1305" s="431"/>
      <c r="AQ1305" s="445"/>
      <c r="AR1305" s="619"/>
      <c r="AS1305" s="431"/>
      <c r="AT1305" s="431"/>
      <c r="AU1305" s="619"/>
      <c r="AV1305" s="431"/>
      <c r="AW1305" s="441" t="str" cm="1">
        <f t="array" ref="AW130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0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05" s="441" t="str">
        <f>IF(ISERROR(PV_DATA[[#This Row],[New Ark PO status]]),"",_xlfn.XLOOKUP(PV_DATA[[#This Row],[SPTN-PVHK New Ark PO'#]],New_Ark_Data[Purchase order Number],New_Ark_Data[Estimated time of arrival],"",0))</f>
        <v/>
      </c>
      <c r="AZ1305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05" s="441" t="str">
        <f>IFERROR(PV_DATA[[#This Row],[ODP ETA Port]]+PV_DATA[[#This Row],[Customs/Leg3 Assumption]],"n/a")</f>
        <v>n/a</v>
      </c>
      <c r="BB1305" s="442" t="s">
        <v>6325</v>
      </c>
      <c r="BC1305" s="442" t="s">
        <v>6325</v>
      </c>
      <c r="BD1305" s="431">
        <f>IFERROR(_xlfn.ISOWEEKNUM(PV_DATA[[#This Row],[ETA for New Ark update]]),0)</f>
        <v>0</v>
      </c>
      <c r="BE1305" s="431">
        <f>_xlfn.XLOOKUP(PV_DATA[[#This Row],[New Ark SKU]],Table9[New Ark SKU],Table9[Total PCS per Pallet],,0)</f>
        <v>36</v>
      </c>
      <c r="BF1305" s="431">
        <f>_xlfn.XLOOKUP(PV_DATA[[#This Row],[New Ark SKU]],Table9[New Ark SKU],Table9[Total PCS per 40HQ Container],,0)</f>
        <v>792</v>
      </c>
      <c r="BG1305" s="431" t="str">
        <f>_xlfn.XLOOKUP(PV_DATA[[#This Row],[New Ark SKU]],Table9[New Ark SKU],Table9[Back Glass],,0)</f>
        <v>Black glazing</v>
      </c>
      <c r="BH1305" s="622" t="str">
        <f>_xlfn.XLOOKUP(PV_DATA[[#This Row],[PORT DESTINATION]],Table12[PORT DESTINATION],Table12[Cosco Line],,0)</f>
        <v>n/a</v>
      </c>
      <c r="BJ1305" s="430"/>
    </row>
    <row r="1306" spans="1:62" ht="13.5" hidden="1" customHeight="1">
      <c r="A1306" s="728" t="s">
        <v>7591</v>
      </c>
      <c r="B1306" s="439" t="s">
        <v>111</v>
      </c>
      <c r="C1306" s="439" t="str">
        <f>IFERROR(LEFT(PV_DATA[[#This Row],[TCL REFERENCE]],FIND(".",PV_DATA[[#This Row],[TCL REFERENCE]],1)-1),"Main Line")</f>
        <v>Main Line</v>
      </c>
      <c r="D1306" s="439" t="s">
        <v>63</v>
      </c>
      <c r="E1306" s="439" t="s">
        <v>68</v>
      </c>
      <c r="F1306" s="439" t="str" cm="1">
        <f t="array" ref="F1306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06" s="439" t="s">
        <v>68</v>
      </c>
      <c r="H1306" s="439" t="s">
        <v>68</v>
      </c>
      <c r="I1306" s="439" t="s">
        <v>68</v>
      </c>
      <c r="J1306" s="430" t="s">
        <v>68</v>
      </c>
      <c r="K1306" s="431"/>
      <c r="L1306" s="431"/>
      <c r="M1306" s="431" t="s">
        <v>68</v>
      </c>
      <c r="N1306" s="461">
        <v>46282</v>
      </c>
      <c r="O1306" s="431" t="s">
        <v>550</v>
      </c>
      <c r="P1306" s="430" t="s">
        <v>2134</v>
      </c>
      <c r="Q1306" s="431" t="s">
        <v>2135</v>
      </c>
      <c r="R1306" s="430" t="str">
        <f>_xlfn.XLOOKUP(PV_DATA[[#This Row],[New Ark SKU]],Table9[New Ark SKU],Table9[Connector],,0)</f>
        <v>EVO2A</v>
      </c>
      <c r="S1306" s="433" t="str">
        <f>_xlfn.XLOOKUP(PV_DATA[[#This Row],[New Ark SKU]],Table9[New Ark SKU],Table9[Cable],,0)</f>
        <v>±1350mm</v>
      </c>
      <c r="T1306" s="442">
        <v>515</v>
      </c>
      <c r="U1306" s="1067" cm="1">
        <f t="array" ref="U1306">34848-fx_qty</f>
        <v>0</v>
      </c>
      <c r="V1306" s="448">
        <f>PV_DATA[[#This Row],[QUANTITY]]*PV_DATA[[#This Row],[WATT]]/1000000</f>
        <v>0</v>
      </c>
      <c r="W1306" s="466">
        <f>PV_DATA[[#This Row],[QUANTITY]]/PV_DATA[[#This Row],[Qty/Pallet]]</f>
        <v>0</v>
      </c>
      <c r="X1306" s="1019">
        <f>PV_DATA[[#This Row],[QUANTITY]]/PV_DATA[[#This Row],[Qty/CT]]</f>
        <v>0</v>
      </c>
      <c r="Y1306" s="431" t="s">
        <v>7039</v>
      </c>
      <c r="Z1306" s="430" t="str">
        <f t="shared" si="38"/>
        <v/>
      </c>
      <c r="AA1306" s="431"/>
      <c r="AB1306" s="441"/>
      <c r="AC1306" s="467" t="str">
        <f>IF(PV_DATA[[#This Row],[Pick-Up Date]]&lt;&gt;"",_xlfn.ISOWEEKNUM(PV_DATA[[#This Row],[Pick-Up Date]]),"")</f>
        <v/>
      </c>
      <c r="AD1306" s="431"/>
      <c r="AE1306" s="431"/>
      <c r="AF1306" s="431" t="s">
        <v>122</v>
      </c>
      <c r="AG1306" s="431" t="s">
        <v>122</v>
      </c>
      <c r="AH1306" s="431" t="s">
        <v>68</v>
      </c>
      <c r="AI1306" s="441"/>
      <c r="AJ1306" s="437" t="str">
        <f>IFERROR(VLOOKUP(AT1306, Vessel!A:D, 4, FALSE), "")</f>
        <v/>
      </c>
      <c r="AK1306" s="437" t="str">
        <f>IFERROR(IF(VLOOKUP(AT1306,Vessel!A:F,5,FALSE)=0,"",VLOOKUP(AT1306,Vessel!A:F,5,FALSE)),"")</f>
        <v/>
      </c>
      <c r="AL1306" s="441"/>
      <c r="AM1306" s="441"/>
      <c r="AN1306" s="586" t="str">
        <f>IFERROR(IF(VLOOKUP(AT1306,Vessel!A:I,9,FALSE)=0,"",VLOOKUP(AT1306,Vessel!A:I,9,FALSE)),"")</f>
        <v/>
      </c>
      <c r="AO1306" s="431"/>
      <c r="AP1306" s="431"/>
      <c r="AQ1306" s="445"/>
      <c r="AR1306" s="619"/>
      <c r="AS1306" s="431"/>
      <c r="AT1306" s="431"/>
      <c r="AU1306" s="619"/>
      <c r="AV1306" s="431"/>
      <c r="AW1306" s="441" t="str" cm="1">
        <f t="array" ref="AW130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0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06" s="441" t="str">
        <f>IF(ISERROR(PV_DATA[[#This Row],[New Ark PO status]]),"",_xlfn.XLOOKUP(PV_DATA[[#This Row],[SPTN-PVHK New Ark PO'#]],New_Ark_Data[Purchase order Number],New_Ark_Data[Estimated time of arrival],"",0))</f>
        <v/>
      </c>
      <c r="AZ1306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06" s="441" t="str">
        <f>IFERROR(PV_DATA[[#This Row],[ODP ETA Port]]+PV_DATA[[#This Row],[Customs/Leg3 Assumption]],"n/a")</f>
        <v>n/a</v>
      </c>
      <c r="BB1306" s="442" t="s">
        <v>6325</v>
      </c>
      <c r="BC1306" s="442" t="s">
        <v>6325</v>
      </c>
      <c r="BD1306" s="431">
        <f>IFERROR(_xlfn.ISOWEEKNUM(PV_DATA[[#This Row],[ETA for New Ark update]]),0)</f>
        <v>0</v>
      </c>
      <c r="BE1306" s="431">
        <f>_xlfn.XLOOKUP(PV_DATA[[#This Row],[New Ark SKU]],Table9[New Ark SKU],Table9[Total PCS per Pallet],,0)</f>
        <v>36</v>
      </c>
      <c r="BF1306" s="431">
        <f>_xlfn.XLOOKUP(PV_DATA[[#This Row],[New Ark SKU]],Table9[New Ark SKU],Table9[Total PCS per 40HQ Container],,0)</f>
        <v>792</v>
      </c>
      <c r="BG1306" s="431" t="str">
        <f>_xlfn.XLOOKUP(PV_DATA[[#This Row],[New Ark SKU]],Table9[New Ark SKU],Table9[Back Glass],,0)</f>
        <v>Black glazing</v>
      </c>
      <c r="BH1306" s="622" t="str">
        <f>_xlfn.XLOOKUP(PV_DATA[[#This Row],[PORT DESTINATION]],Table12[PORT DESTINATION],Table12[Cosco Line],,0)</f>
        <v>n/a</v>
      </c>
      <c r="BJ1306" s="430"/>
    </row>
    <row r="1307" spans="1:62" ht="10.5" hidden="1">
      <c r="A1307" s="728" t="s">
        <v>7592</v>
      </c>
      <c r="B1307" s="439" t="s">
        <v>111</v>
      </c>
      <c r="C1307" s="439" t="str">
        <f>IFERROR(LEFT(PV_DATA[[#This Row],[TCL REFERENCE]],FIND(".",PV_DATA[[#This Row],[TCL REFERENCE]],1)-1),"Main Line")</f>
        <v>Main Line</v>
      </c>
      <c r="D1307" s="439" t="s">
        <v>63</v>
      </c>
      <c r="E1307" s="439" t="s">
        <v>68</v>
      </c>
      <c r="F1307" s="439" t="str" cm="1">
        <f t="array" ref="F1307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07" s="439" t="s">
        <v>68</v>
      </c>
      <c r="H1307" s="439" t="s">
        <v>68</v>
      </c>
      <c r="I1307" s="439" t="s">
        <v>68</v>
      </c>
      <c r="J1307" s="430" t="s">
        <v>68</v>
      </c>
      <c r="K1307" s="431"/>
      <c r="L1307" s="431"/>
      <c r="M1307" s="431" t="s">
        <v>68</v>
      </c>
      <c r="N1307" s="461">
        <v>46305</v>
      </c>
      <c r="O1307" s="431" t="s">
        <v>170</v>
      </c>
      <c r="P1307" s="431" t="s">
        <v>171</v>
      </c>
      <c r="Q1307" s="431" t="s">
        <v>1731</v>
      </c>
      <c r="R1307" s="430" t="str">
        <f>_xlfn.XLOOKUP(PV_DATA[[#This Row],[New Ark SKU]],Table9[New Ark SKU],Table9[Connector],,0)</f>
        <v>EVO2A</v>
      </c>
      <c r="S1307" s="433" t="str">
        <f>_xlfn.XLOOKUP(PV_DATA[[#This Row],[New Ark SKU]],Table9[New Ark SKU],Table9[Cable],,0)</f>
        <v>±1400mm</v>
      </c>
      <c r="T1307" s="442">
        <v>555</v>
      </c>
      <c r="U1307" s="1067" cm="1">
        <f t="array" ref="U1307">14520-fx_qty</f>
        <v>0</v>
      </c>
      <c r="V1307" s="448">
        <f>PV_DATA[[#This Row],[QUANTITY]]*PV_DATA[[#This Row],[WATT]]/1000000</f>
        <v>0</v>
      </c>
      <c r="W1307" s="466">
        <f>PV_DATA[[#This Row],[QUANTITY]]/PV_DATA[[#This Row],[Qty/Pallet]]</f>
        <v>0</v>
      </c>
      <c r="X1307" s="1019">
        <f>PV_DATA[[#This Row],[QUANTITY]]/PV_DATA[[#This Row],[Qty/CT]]</f>
        <v>0</v>
      </c>
      <c r="Y1307" s="431" t="s">
        <v>7039</v>
      </c>
      <c r="Z1307" s="430"/>
      <c r="AA1307" s="431"/>
      <c r="AB1307" s="441"/>
      <c r="AC1307" s="467"/>
      <c r="AD1307" s="431"/>
      <c r="AE1307" s="431"/>
      <c r="AF1307" s="431" t="s">
        <v>122</v>
      </c>
      <c r="AG1307" s="431" t="s">
        <v>123</v>
      </c>
      <c r="AH1307" s="431" t="s">
        <v>68</v>
      </c>
      <c r="AI1307" s="441"/>
      <c r="AJ1307" s="437" t="str">
        <f>IFERROR(VLOOKUP(AT1307, Vessel!A:D, 4, FALSE), "")</f>
        <v/>
      </c>
      <c r="AK1307" s="437" t="str">
        <f>IFERROR(IF(VLOOKUP(AT1307,Vessel!A:F,5,FALSE)=0,"",VLOOKUP(AT1307,Vessel!A:F,5,FALSE)),"")</f>
        <v/>
      </c>
      <c r="AL1307" s="441"/>
      <c r="AM1307" s="441"/>
      <c r="AO1307" s="431"/>
      <c r="AP1307" s="431"/>
      <c r="AQ1307" s="431"/>
      <c r="AR1307" s="619"/>
      <c r="AS1307" s="431"/>
      <c r="AT1307" s="431"/>
      <c r="AU1307" s="619"/>
      <c r="AV1307" s="441"/>
      <c r="AW1307" s="441" t="str" cm="1">
        <f t="array" ref="AW130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0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07" s="441" t="str">
        <f>IF(ISERROR(PV_DATA[[#This Row],[New Ark PO status]]),"",_xlfn.XLOOKUP(PV_DATA[[#This Row],[SPTN-PVHK New Ark PO'#]],New_Ark_Data[Purchase order Number],New_Ark_Data[Estimated time of arrival],"",0))</f>
        <v/>
      </c>
      <c r="AZ1307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07" s="441" t="str">
        <f>IFERROR(PV_DATA[[#This Row],[ODP ETA Port]]+PV_DATA[[#This Row],[Customs/Leg3 Assumption]],"n/a")</f>
        <v>n/a</v>
      </c>
      <c r="BB1307" s="442" t="e">
        <f>YEAR(PV_DATA[[#This Row],[ETA for New Ark update]])</f>
        <v>#VALUE!</v>
      </c>
      <c r="BC1307" s="431" t="e">
        <f>MONTH(PV_DATA[[#This Row],[ETA for New Ark update]])</f>
        <v>#VALUE!</v>
      </c>
      <c r="BD1307" s="431">
        <f>IFERROR(_xlfn.ISOWEEKNUM(PV_DATA[[#This Row],[ETA for New Ark update]]),0)</f>
        <v>0</v>
      </c>
      <c r="BE1307" s="431">
        <f>_xlfn.XLOOKUP(PV_DATA[[#This Row],[New Ark SKU]],Table9[New Ark SKU],Table9[Total PCS per Pallet],,0)</f>
        <v>33</v>
      </c>
      <c r="BF1307" s="431">
        <f>_xlfn.XLOOKUP(PV_DATA[[#This Row],[New Ark SKU]],Table9[New Ark SKU],Table9[Total PCS per 40HQ Container],,0)</f>
        <v>660</v>
      </c>
      <c r="BG1307" s="431" t="str">
        <f>_xlfn.XLOOKUP(PV_DATA[[#This Row],[New Ark SKU]],Table9[New Ark SKU],Table9[Back Glass],,0)</f>
        <v>White glazing</v>
      </c>
      <c r="BH1307" s="431" t="str">
        <f>_xlfn.XLOOKUP(PV_DATA[[#This Row],[PORT DESTINATION]],Table12[PORT DESTINATION],Table12[Cosco Line],,0)</f>
        <v>n/a</v>
      </c>
      <c r="BJ1307" s="430"/>
    </row>
    <row r="1308" spans="1:62" ht="10.5" hidden="1">
      <c r="A1308" s="728" t="s">
        <v>7593</v>
      </c>
      <c r="B1308" s="439" t="s">
        <v>111</v>
      </c>
      <c r="C1308" s="439" t="str">
        <f>IFERROR(LEFT(PV_DATA[[#This Row],[TCL REFERENCE]],FIND(".",PV_DATA[[#This Row],[TCL REFERENCE]],1)-1),"Main Line")</f>
        <v>Main Line</v>
      </c>
      <c r="D1308" s="439" t="s">
        <v>63</v>
      </c>
      <c r="E1308" s="439" t="s">
        <v>68</v>
      </c>
      <c r="F1308" s="439" t="str" cm="1">
        <f t="array" ref="F1308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08" s="439" t="s">
        <v>68</v>
      </c>
      <c r="H1308" s="439" t="s">
        <v>68</v>
      </c>
      <c r="I1308" s="439" t="s">
        <v>68</v>
      </c>
      <c r="J1308" s="430" t="s">
        <v>68</v>
      </c>
      <c r="K1308" s="431"/>
      <c r="L1308" s="431"/>
      <c r="M1308" s="431" t="s">
        <v>68</v>
      </c>
      <c r="N1308" s="461">
        <v>46298</v>
      </c>
      <c r="O1308" s="431" t="s">
        <v>170</v>
      </c>
      <c r="P1308" s="431" t="s">
        <v>1977</v>
      </c>
      <c r="Q1308" s="431" t="s">
        <v>1978</v>
      </c>
      <c r="R1308" s="430" t="str">
        <f>_xlfn.XLOOKUP(PV_DATA[[#This Row],[New Ark SKU]],Table9[New Ark SKU],Table9[Connector],,0)</f>
        <v>EVO2A</v>
      </c>
      <c r="S1308" s="433" t="str">
        <f>_xlfn.XLOOKUP(PV_DATA[[#This Row],[New Ark SKU]],Table9[New Ark SKU],Table9[Cable],,0)</f>
        <v>±1400mm</v>
      </c>
      <c r="T1308" s="442">
        <v>560</v>
      </c>
      <c r="U1308" s="1067" cm="1">
        <f t="array" ref="U1308">21780-fx_qty</f>
        <v>0</v>
      </c>
      <c r="V1308" s="448">
        <f>PV_DATA[[#This Row],[QUANTITY]]*PV_DATA[[#This Row],[WATT]]/1000000</f>
        <v>0</v>
      </c>
      <c r="W1308" s="466">
        <f>PV_DATA[[#This Row],[QUANTITY]]/PV_DATA[[#This Row],[Qty/Pallet]]</f>
        <v>0</v>
      </c>
      <c r="X1308" s="1019">
        <f>PV_DATA[[#This Row],[QUANTITY]]/PV_DATA[[#This Row],[Qty/CT]]</f>
        <v>0</v>
      </c>
      <c r="Y1308" s="431" t="s">
        <v>7039</v>
      </c>
      <c r="Z1308" s="430"/>
      <c r="AA1308" s="431"/>
      <c r="AB1308" s="441"/>
      <c r="AC1308" s="445"/>
      <c r="AD1308" s="431"/>
      <c r="AE1308" s="431"/>
      <c r="AF1308" s="431" t="s">
        <v>122</v>
      </c>
      <c r="AG1308" s="431" t="s">
        <v>123</v>
      </c>
      <c r="AH1308" s="431" t="s">
        <v>68</v>
      </c>
      <c r="AI1308" s="441"/>
      <c r="AJ1308" s="437" t="str">
        <f>IFERROR(VLOOKUP(AT1308, Vessel!A:D, 4, FALSE), "")</f>
        <v/>
      </c>
      <c r="AK1308" s="437" t="str">
        <f>IFERROR(IF(VLOOKUP(AT1308,Vessel!A:F,5,FALSE)=0,"",VLOOKUP(AT1308,Vessel!A:F,5,FALSE)),"")</f>
        <v/>
      </c>
      <c r="AL1308" s="441"/>
      <c r="AM1308" s="441"/>
      <c r="AO1308" s="441"/>
      <c r="AP1308" s="431"/>
      <c r="AQ1308" s="431"/>
      <c r="AR1308" s="619"/>
      <c r="AS1308" s="431"/>
      <c r="AT1308" s="431"/>
      <c r="AU1308" s="619"/>
      <c r="AV1308" s="431"/>
      <c r="AW1308" s="441" t="str" cm="1">
        <f t="array" ref="AW130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0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08" s="441" t="str">
        <f>IF(ISERROR(PV_DATA[[#This Row],[New Ark PO status]]),"",_xlfn.XLOOKUP(PV_DATA[[#This Row],[SPTN-PVHK New Ark PO'#]],New_Ark_Data[Purchase order Number],New_Ark_Data[Estimated time of arrival],"",0))</f>
        <v/>
      </c>
      <c r="AZ1308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08" s="437" t="str">
        <f>IFERROR(PV_DATA[[#This Row],[ODP ETA Port]]+PV_DATA[[#This Row],[Customs/Leg3 Assumption]],"n/a")</f>
        <v>n/a</v>
      </c>
      <c r="BB1308" s="442" t="e">
        <f>YEAR(PV_DATA[[#This Row],[ETA for New Ark update]])</f>
        <v>#VALUE!</v>
      </c>
      <c r="BC1308" s="431" t="e">
        <f>MONTH(PV_DATA[[#This Row],[ETA for New Ark update]])</f>
        <v>#VALUE!</v>
      </c>
      <c r="BD1308" s="431">
        <f>IFERROR(_xlfn.ISOWEEKNUM(PV_DATA[[#This Row],[ETA for New Ark update]]),0)</f>
        <v>0</v>
      </c>
      <c r="BE1308" s="431">
        <f>_xlfn.XLOOKUP(PV_DATA[[#This Row],[New Ark SKU]],Table9[New Ark SKU],Table9[Total PCS per Pallet],,0)</f>
        <v>33</v>
      </c>
      <c r="BF1308" s="431">
        <f>_xlfn.XLOOKUP(PV_DATA[[#This Row],[New Ark SKU]],Table9[New Ark SKU],Table9[Total PCS per 40HQ Container],,0)</f>
        <v>660</v>
      </c>
      <c r="BG1308" s="431" t="str">
        <f>_xlfn.XLOOKUP(PV_DATA[[#This Row],[New Ark SKU]],Table9[New Ark SKU],Table9[Back Glass],,0)</f>
        <v>White glazing</v>
      </c>
      <c r="BH1308" s="431" t="str">
        <f>_xlfn.XLOOKUP(PV_DATA[[#This Row],[PORT DESTINATION]],Table12[PORT DESTINATION],Table12[Cosco Line],,0)</f>
        <v>n/a</v>
      </c>
      <c r="BJ1308" s="430"/>
    </row>
    <row r="1309" spans="1:62" ht="10.5" hidden="1" customHeight="1">
      <c r="A1309" s="728" t="s">
        <v>7594</v>
      </c>
      <c r="B1309" s="439" t="s">
        <v>111</v>
      </c>
      <c r="C1309" s="439" t="str">
        <f>IFERROR(LEFT(PV_DATA[[#This Row],[TCL REFERENCE]],FIND(".",PV_DATA[[#This Row],[TCL REFERENCE]],1)-1),"Main Line")</f>
        <v>26Aug018</v>
      </c>
      <c r="D1309" s="439" t="s">
        <v>63</v>
      </c>
      <c r="E1309" s="439" t="s">
        <v>64</v>
      </c>
      <c r="F1309" s="439" t="str" cm="1">
        <f t="array" ref="F130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09" s="439" t="s">
        <v>402</v>
      </c>
      <c r="H1309" s="439" t="s">
        <v>311</v>
      </c>
      <c r="I1309" s="439" t="s">
        <v>689</v>
      </c>
      <c r="J1309" s="430" t="s">
        <v>96</v>
      </c>
      <c r="K1309" s="431"/>
      <c r="L1309" s="431"/>
      <c r="M1309" s="431"/>
      <c r="N1309" s="461">
        <v>46305</v>
      </c>
      <c r="O1309" s="431" t="s">
        <v>170</v>
      </c>
      <c r="P1309" s="431" t="s">
        <v>1977</v>
      </c>
      <c r="Q1309" s="431" t="s">
        <v>1978</v>
      </c>
      <c r="R1309" s="430" t="str">
        <f>_xlfn.XLOOKUP(PV_DATA[[#This Row],[New Ark SKU]],Table9[New Ark SKU],Table9[Connector],,0)</f>
        <v>EVO2A</v>
      </c>
      <c r="S1309" s="433" t="str">
        <f>_xlfn.XLOOKUP(PV_DATA[[#This Row],[New Ark SKU]],Table9[New Ark SKU],Table9[Cable],,0)</f>
        <v>±1400mm</v>
      </c>
      <c r="T1309" s="1473">
        <v>560</v>
      </c>
      <c r="U1309" s="1474">
        <f>660*6</f>
        <v>3960</v>
      </c>
      <c r="V1309" s="1475">
        <f>PV_DATA[[#This Row],[QUANTITY]]*PV_DATA[[#This Row],[WATT]]/1000000</f>
        <v>2.2176</v>
      </c>
      <c r="W1309" s="1476">
        <f>PV_DATA[[#This Row],[QUANTITY]]/PV_DATA[[#This Row],[Qty/Pallet]]</f>
        <v>120</v>
      </c>
      <c r="X1309" s="1477">
        <f>PV_DATA[[#This Row],[QUANTITY]]/PV_DATA[[#This Row],[Qty/CT]]</f>
        <v>6</v>
      </c>
      <c r="Y1309" s="431" t="s">
        <v>4387</v>
      </c>
      <c r="Z1309" s="430"/>
      <c r="AA1309" s="661">
        <v>46314</v>
      </c>
      <c r="AB1309" s="441"/>
      <c r="AC1309" s="467"/>
      <c r="AD1309" s="431"/>
      <c r="AE1309" s="431"/>
      <c r="AF1309" s="431" t="s">
        <v>122</v>
      </c>
      <c r="AG1309" s="431" t="s">
        <v>123</v>
      </c>
      <c r="AH1309" s="431" t="s">
        <v>105</v>
      </c>
      <c r="AI1309" s="441">
        <v>46335</v>
      </c>
      <c r="AJ1309" s="437" t="str">
        <f>IFERROR(VLOOKUP(AT1309, Vessel!A:D, 4, FALSE), "")</f>
        <v/>
      </c>
      <c r="AK1309" s="437" t="str">
        <f>IFERROR(IF(VLOOKUP(AT1309,Vessel!A:F,5,FALSE)=0,"",VLOOKUP(AT1309,Vessel!A:F,5,FALSE)),"")</f>
        <v/>
      </c>
      <c r="AL1309" s="441">
        <v>46372</v>
      </c>
      <c r="AM1309" s="441"/>
      <c r="AO1309" s="431"/>
      <c r="AP1309" s="431" t="s">
        <v>7447</v>
      </c>
      <c r="AQ1309" s="431" t="s">
        <v>161</v>
      </c>
      <c r="AR1309" s="619"/>
      <c r="AS1309" s="431" t="s">
        <v>7568</v>
      </c>
      <c r="AT1309" s="431" t="s">
        <v>7568</v>
      </c>
      <c r="AU1309" s="619"/>
      <c r="AV1309" s="441"/>
      <c r="AW1309" s="441" cm="1">
        <f t="array" ref="AW130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46372</v>
      </c>
      <c r="AX130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09" s="441">
        <f>IF(ISERROR(PV_DATA[[#This Row],[New Ark PO status]]),"",_xlfn.XLOOKUP(PV_DATA[[#This Row],[SPTN-PVHK New Ark PO'#]],New_Ark_Data[Purchase order Number],New_Ark_Data[Estimated time of arrival],"",0))</f>
        <v>0</v>
      </c>
      <c r="AZ1309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09" s="441">
        <f>IFERROR(PV_DATA[[#This Row],[ODP ETA Port]]+PV_DATA[[#This Row],[Customs/Leg3 Assumption]],"n/a")</f>
        <v>46379</v>
      </c>
      <c r="BB1309" s="442">
        <f>YEAR(PV_DATA[[#This Row],[ETA for New Ark update]])</f>
        <v>2026</v>
      </c>
      <c r="BC1309" s="431">
        <f>MONTH(PV_DATA[[#This Row],[ETA for New Ark update]])</f>
        <v>12</v>
      </c>
      <c r="BD1309" s="431">
        <f>IFERROR(_xlfn.ISOWEEKNUM(PV_DATA[[#This Row],[ETA for New Ark update]]),0)</f>
        <v>52</v>
      </c>
      <c r="BE1309" s="431">
        <f>_xlfn.XLOOKUP(PV_DATA[[#This Row],[New Ark SKU]],Table9[New Ark SKU],Table9[Total PCS per Pallet],,0)</f>
        <v>33</v>
      </c>
      <c r="BF1309" s="431">
        <f>_xlfn.XLOOKUP(PV_DATA[[#This Row],[New Ark SKU]],Table9[New Ark SKU],Table9[Total PCS per 40HQ Container],,0)</f>
        <v>660</v>
      </c>
      <c r="BG1309" s="431" t="str">
        <f>_xlfn.XLOOKUP(PV_DATA[[#This Row],[New Ark SKU]],Table9[New Ark SKU],Table9[Back Glass],,0)</f>
        <v>White glazing</v>
      </c>
      <c r="BH1309" s="431" t="str">
        <f>_xlfn.XLOOKUP(PV_DATA[[#This Row],[PORT DESTINATION]],Table12[PORT DESTINATION],Table12[Cosco Line],,0)</f>
        <v>AEU</v>
      </c>
      <c r="BJ1309" s="430"/>
    </row>
    <row r="1310" spans="1:62" ht="10.5" hidden="1">
      <c r="A1310" s="728" t="s">
        <v>7595</v>
      </c>
      <c r="B1310" s="439" t="s">
        <v>111</v>
      </c>
      <c r="C1310" s="439" t="str">
        <f>IFERROR(LEFT(PV_DATA[[#This Row],[TCL REFERENCE]],FIND(".",PV_DATA[[#This Row],[TCL REFERENCE]],1)-1),"Main Line")</f>
        <v>26Aug018</v>
      </c>
      <c r="D1310" s="439" t="s">
        <v>63</v>
      </c>
      <c r="E1310" s="439" t="s">
        <v>64</v>
      </c>
      <c r="F1310" s="439" t="str" cm="1">
        <f t="array" ref="F131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310" s="439" t="s">
        <v>402</v>
      </c>
      <c r="H1310" s="439" t="s">
        <v>311</v>
      </c>
      <c r="I1310" s="439" t="s">
        <v>689</v>
      </c>
      <c r="J1310" s="430" t="s">
        <v>96</v>
      </c>
      <c r="K1310" s="431"/>
      <c r="L1310" s="431"/>
      <c r="M1310" s="431"/>
      <c r="N1310" s="461">
        <v>46305</v>
      </c>
      <c r="O1310" s="431" t="s">
        <v>170</v>
      </c>
      <c r="P1310" s="431" t="s">
        <v>1977</v>
      </c>
      <c r="Q1310" s="431" t="s">
        <v>1978</v>
      </c>
      <c r="R1310" s="430" t="str">
        <f>_xlfn.XLOOKUP(PV_DATA[[#This Row],[New Ark SKU]],Table9[New Ark SKU],Table9[Connector],,0)</f>
        <v>EVO2A</v>
      </c>
      <c r="S1310" s="433" t="str">
        <f>_xlfn.XLOOKUP(PV_DATA[[#This Row],[New Ark SKU]],Table9[New Ark SKU],Table9[Cable],,0)</f>
        <v>±1400mm</v>
      </c>
      <c r="T1310" s="442">
        <v>560</v>
      </c>
      <c r="U1310" s="1067">
        <f>660*5</f>
        <v>3300</v>
      </c>
      <c r="V1310" s="448">
        <f>PV_DATA[[#This Row],[QUANTITY]]*PV_DATA[[#This Row],[WATT]]/1000000</f>
        <v>1.8480000000000001</v>
      </c>
      <c r="W1310" s="466">
        <f>PV_DATA[[#This Row],[QUANTITY]]/PV_DATA[[#This Row],[Qty/Pallet]]</f>
        <v>100</v>
      </c>
      <c r="X1310" s="1019">
        <f>PV_DATA[[#This Row],[QUANTITY]]/PV_DATA[[#This Row],[Qty/CT]]</f>
        <v>5</v>
      </c>
      <c r="Y1310" s="431" t="s">
        <v>4388</v>
      </c>
      <c r="Z1310" s="430"/>
      <c r="AA1310" s="661">
        <v>46316</v>
      </c>
      <c r="AB1310" s="441"/>
      <c r="AC1310" s="467"/>
      <c r="AD1310" s="431"/>
      <c r="AE1310" s="431"/>
      <c r="AF1310" s="431" t="s">
        <v>122</v>
      </c>
      <c r="AG1310" s="431" t="s">
        <v>123</v>
      </c>
      <c r="AH1310" s="431" t="s">
        <v>314</v>
      </c>
      <c r="AI1310" s="441"/>
      <c r="AK1310" s="437"/>
      <c r="AL1310" s="441"/>
      <c r="AM1310" s="441"/>
      <c r="AO1310" s="431"/>
      <c r="AP1310" s="1291"/>
      <c r="AQ1310" s="431"/>
      <c r="AR1310" s="619"/>
      <c r="AS1310" s="431"/>
      <c r="AT1310" s="431"/>
      <c r="AU1310" s="619"/>
      <c r="AV1310" s="441"/>
      <c r="AW1310" s="441" cm="1">
        <f t="array" ref="AW131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46399</v>
      </c>
      <c r="AX1310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10" s="441">
        <f>IF(ISERROR(PV_DATA[[#This Row],[New Ark PO status]]),"",_xlfn.XLOOKUP(PV_DATA[[#This Row],[SPTN-PVHK New Ark PO'#]],New_Ark_Data[Purchase order Number],New_Ark_Data[Estimated time of arrival],"",0))</f>
        <v>0</v>
      </c>
      <c r="AZ1310" s="442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310" s="441">
        <f>IFERROR(PV_DATA[[#This Row],[ODP ETA Port]]+PV_DATA[[#This Row],[Customs/Leg3 Assumption]],"n/a")</f>
        <v>46409</v>
      </c>
      <c r="BB1310" s="442">
        <f>YEAR(PV_DATA[[#This Row],[ETA for New Ark update]])</f>
        <v>2027</v>
      </c>
      <c r="BC1310" s="431">
        <f>MONTH(PV_DATA[[#This Row],[ETA for New Ark update]])</f>
        <v>1</v>
      </c>
      <c r="BD1310" s="431">
        <f>IFERROR(_xlfn.ISOWEEKNUM(PV_DATA[[#This Row],[ETA for New Ark update]]),0)</f>
        <v>3</v>
      </c>
      <c r="BE1310" s="431">
        <f>_xlfn.XLOOKUP(PV_DATA[[#This Row],[New Ark SKU]],Table9[New Ark SKU],Table9[Total PCS per Pallet],,0)</f>
        <v>33</v>
      </c>
      <c r="BF1310" s="431">
        <f>_xlfn.XLOOKUP(PV_DATA[[#This Row],[New Ark SKU]],Table9[New Ark SKU],Table9[Total PCS per 40HQ Container],,0)</f>
        <v>660</v>
      </c>
      <c r="BG1310" s="431" t="str">
        <f>_xlfn.XLOOKUP(PV_DATA[[#This Row],[New Ark SKU]],Table9[New Ark SKU],Table9[Back Glass],,0)</f>
        <v>White glazing</v>
      </c>
      <c r="BH1310" s="431" t="str">
        <f>_xlfn.XLOOKUP(PV_DATA[[#This Row],[PORT DESTINATION]],Table12[PORT DESTINATION],Table12[Cosco Line],,0)</f>
        <v>AEM</v>
      </c>
      <c r="BJ1310" s="430"/>
    </row>
    <row r="1311" spans="1:62" ht="10.5" hidden="1">
      <c r="A1311" s="728" t="s">
        <v>7596</v>
      </c>
      <c r="B1311" s="439" t="s">
        <v>111</v>
      </c>
      <c r="C1311" s="439" t="str">
        <f>IFERROR(LEFT(PV_DATA[[#This Row],[TCL REFERENCE]],FIND(".",PV_DATA[[#This Row],[TCL REFERENCE]],1)-1),"Main Line")</f>
        <v>Main Line</v>
      </c>
      <c r="D1311" s="439" t="s">
        <v>63</v>
      </c>
      <c r="E1311" s="439" t="s">
        <v>68</v>
      </c>
      <c r="F1311" s="439" t="str" cm="1">
        <f t="array" ref="F1311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11" s="726" t="s">
        <v>68</v>
      </c>
      <c r="H1311" s="726" t="s">
        <v>68</v>
      </c>
      <c r="I1311" s="431" t="s">
        <v>68</v>
      </c>
      <c r="J1311" s="619" t="s">
        <v>68</v>
      </c>
      <c r="K1311" s="619"/>
      <c r="L1311" s="619"/>
      <c r="M1311" s="619" t="s">
        <v>68</v>
      </c>
      <c r="N1311" s="461">
        <v>46238</v>
      </c>
      <c r="O1311" s="431" t="s">
        <v>132</v>
      </c>
      <c r="P1311" s="431" t="s">
        <v>189</v>
      </c>
      <c r="Q1311" s="431" t="s">
        <v>190</v>
      </c>
      <c r="R1311" s="430" t="str">
        <f>_xlfn.XLOOKUP(PV_DATA[[#This Row],[New Ark SKU]],Table9[New Ark SKU],Table9[Connector],,0)</f>
        <v>EVO2A</v>
      </c>
      <c r="S1311" s="433" t="str">
        <f>_xlfn.XLOOKUP(PV_DATA[[#This Row],[New Ark SKU]],Table9[New Ark SKU],Table9[Cable],,0)</f>
        <v>±1200mm</v>
      </c>
      <c r="T1311" s="442">
        <v>465</v>
      </c>
      <c r="U1311" s="1067" cm="1">
        <f t="array" ref="U1311">5184-fx_qty</f>
        <v>0</v>
      </c>
      <c r="V1311" s="444">
        <f>PV_DATA[[#This Row],[QUANTITY]]*PV_DATA[[#This Row],[WATT]]/1000000</f>
        <v>0</v>
      </c>
      <c r="W1311" s="466">
        <f>PV_DATA[[#This Row],[QUANTITY]]/PV_DATA[[#This Row],[Qty/Pallet]]</f>
        <v>0</v>
      </c>
      <c r="X1311" s="1019">
        <f>PV_DATA[[#This Row],[QUANTITY]]/PV_DATA[[#This Row],[Qty/CT]]</f>
        <v>0</v>
      </c>
      <c r="Y1311" s="431" t="s">
        <v>7039</v>
      </c>
      <c r="Z1311" s="430"/>
      <c r="AA1311" s="430" t="s">
        <v>5862</v>
      </c>
      <c r="AB1311" s="441"/>
      <c r="AC1311" s="467"/>
      <c r="AD1311" s="431"/>
      <c r="AE1311" s="431"/>
      <c r="AF1311" s="431" t="s">
        <v>122</v>
      </c>
      <c r="AG1311" s="431" t="s">
        <v>123</v>
      </c>
      <c r="AH1311" s="431" t="s">
        <v>68</v>
      </c>
      <c r="AI1311" s="441"/>
      <c r="AJ1311" s="437" t="str">
        <f>IFERROR(VLOOKUP(AT1311, Vessel!A:D, 4, FALSE), "")</f>
        <v/>
      </c>
      <c r="AK1311" s="437" t="str">
        <f>IFERROR(IF(VLOOKUP(AT1311,Vessel!A:F,5,FALSE)=0,"",VLOOKUP(AT1311,Vessel!A:F,5,FALSE)),"")</f>
        <v/>
      </c>
      <c r="AL1311" s="441"/>
      <c r="AM1311" s="441"/>
      <c r="AO1311" s="431"/>
      <c r="AP1311" s="431"/>
      <c r="AQ1311" s="431"/>
      <c r="AR1311" s="619"/>
      <c r="AS1311" s="431"/>
      <c r="AT1311" s="431"/>
      <c r="AU1311" s="619"/>
      <c r="AV1311" s="441"/>
      <c r="AW1311" s="441" t="str" cm="1">
        <f t="array" ref="AW131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1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11" s="441" t="str">
        <f>IF(ISERROR(PV_DATA[[#This Row],[New Ark PO status]]),"",_xlfn.XLOOKUP(PV_DATA[[#This Row],[SPTN-PVHK New Ark PO'#]],New_Ark_Data[Purchase order Number],New_Ark_Data[Estimated time of arrival],"",0))</f>
        <v/>
      </c>
      <c r="AZ1311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11" s="441" t="str">
        <f>IFERROR(PV_DATA[[#This Row],[ODP ETA Port]]+PV_DATA[[#This Row],[Customs/Leg3 Assumption]],"n/a")</f>
        <v>n/a</v>
      </c>
      <c r="BB1311" s="442" t="e">
        <f>YEAR(PV_DATA[[#This Row],[ETA for New Ark update]])</f>
        <v>#VALUE!</v>
      </c>
      <c r="BC1311" s="431" t="e">
        <f>MONTH(PV_DATA[[#This Row],[ETA for New Ark update]])</f>
        <v>#VALUE!</v>
      </c>
      <c r="BD1311" s="431">
        <f>IFERROR(_xlfn.ISOWEEKNUM(PV_DATA[[#This Row],[ETA for New Ark update]]),0)</f>
        <v>0</v>
      </c>
      <c r="BE1311" s="431">
        <f>_xlfn.XLOOKUP(PV_DATA[[#This Row],[New Ark SKU]],Table9[New Ark SKU],Table9[Total PCS per Pallet],,0)</f>
        <v>36</v>
      </c>
      <c r="BF1311" s="431">
        <f>_xlfn.XLOOKUP(PV_DATA[[#This Row],[New Ark SKU]],Table9[New Ark SKU],Table9[Total PCS per 40HQ Container],,0)</f>
        <v>864</v>
      </c>
      <c r="BG1311" s="431" t="str">
        <f>_xlfn.XLOOKUP(PV_DATA[[#This Row],[New Ark SKU]],Table9[New Ark SKU],Table9[Back Glass],,0)</f>
        <v>White glazing</v>
      </c>
      <c r="BH1311" s="431" t="str">
        <f>_xlfn.XLOOKUP(PV_DATA[[#This Row],[PORT DESTINATION]],Table12[PORT DESTINATION],Table12[Cosco Line],,0)</f>
        <v>n/a</v>
      </c>
      <c r="BJ1311" s="430"/>
    </row>
    <row r="1312" spans="1:62" ht="10.5" hidden="1">
      <c r="A1312" s="728" t="s">
        <v>7597</v>
      </c>
      <c r="B1312" s="462" t="s">
        <v>111</v>
      </c>
      <c r="C1312" s="462" t="str">
        <f>IFERROR(LEFT(PV_DATA[[#This Row],[TCL REFERENCE]],FIND(".",PV_DATA[[#This Row],[TCL REFERENCE]],1)-1),"Main Line")</f>
        <v>Main Line</v>
      </c>
      <c r="D1312" s="462" t="s">
        <v>63</v>
      </c>
      <c r="E1312" s="439" t="s">
        <v>68</v>
      </c>
      <c r="F1312" s="439" t="str" cm="1">
        <f t="array" ref="F1312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12" s="726" t="s">
        <v>68</v>
      </c>
      <c r="H1312" s="726" t="s">
        <v>68</v>
      </c>
      <c r="I1312" s="431" t="s">
        <v>68</v>
      </c>
      <c r="J1312" s="619" t="s">
        <v>68</v>
      </c>
      <c r="K1312" s="619"/>
      <c r="L1312" s="619"/>
      <c r="M1312" s="619" t="s">
        <v>68</v>
      </c>
      <c r="N1312" s="461">
        <v>46238</v>
      </c>
      <c r="O1312" s="430" t="s">
        <v>132</v>
      </c>
      <c r="P1312" s="430" t="s">
        <v>1062</v>
      </c>
      <c r="Q1312" s="430" t="s">
        <v>1063</v>
      </c>
      <c r="R1312" s="430" t="str">
        <f>_xlfn.XLOOKUP(PV_DATA[[#This Row],[New Ark SKU]],Table9[New Ark SKU],Table9[Connector],,0)</f>
        <v>EVO2A</v>
      </c>
      <c r="S1312" s="433" t="str">
        <f>_xlfn.XLOOKUP(PV_DATA[[#This Row],[New Ark SKU]],Table9[New Ark SKU],Table9[Cable],,0)</f>
        <v>±1200mm</v>
      </c>
      <c r="T1312" s="433">
        <v>470</v>
      </c>
      <c r="U1312" s="1062" cm="1">
        <f t="array" ref="U1312">16416-fx_qty</f>
        <v>0</v>
      </c>
      <c r="V1312" s="434">
        <f>PV_DATA[[#This Row],[QUANTITY]]*PV_DATA[[#This Row],[WATT]]/1000000</f>
        <v>0</v>
      </c>
      <c r="W1312" s="435">
        <f>PV_DATA[[#This Row],[QUANTITY]]/PV_DATA[[#This Row],[Qty/Pallet]]</f>
        <v>0</v>
      </c>
      <c r="X1312" s="1015">
        <f>PV_DATA[[#This Row],[QUANTITY]]/PV_DATA[[#This Row],[Qty/CT]]</f>
        <v>0</v>
      </c>
      <c r="Y1312" s="431" t="s">
        <v>7039</v>
      </c>
      <c r="Z1312" s="430"/>
      <c r="AA1312" s="430" t="s">
        <v>5862</v>
      </c>
      <c r="AB1312" s="437"/>
      <c r="AC1312" s="617"/>
      <c r="AD1312" s="439"/>
      <c r="AE1312" s="430"/>
      <c r="AF1312" s="430" t="s">
        <v>122</v>
      </c>
      <c r="AG1312" s="430" t="s">
        <v>123</v>
      </c>
      <c r="AH1312" s="431" t="s">
        <v>68</v>
      </c>
      <c r="AI1312" s="437"/>
      <c r="AJ1312" s="437" t="str">
        <f>IFERROR(VLOOKUP(AT1312, Vessel!A:D, 4, FALSE), "")</f>
        <v/>
      </c>
      <c r="AK1312" s="437" t="str">
        <f>IFERROR(IF(VLOOKUP(AT1312,Vessel!A:F,5,FALSE)=0,"",VLOOKUP(AT1312,Vessel!A:F,5,FALSE)),"")</f>
        <v/>
      </c>
      <c r="AN1312" s="437"/>
      <c r="AQ1312" s="430"/>
      <c r="AR1312" s="619"/>
      <c r="AS1312" s="430"/>
      <c r="AU1312" s="619"/>
      <c r="AW1312" s="437" t="str" cm="1">
        <f t="array" ref="AW131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1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12" s="437">
        <f>IF(ISERROR(PV_DATA[[#This Row],[New Ark PO status]]),"",_xlfn.XLOOKUP(PV_DATA[[#This Row],[SPTN-PVHK New Ark PO'#]],New_Ark_Data[Purchase order Number],New_Ark_Data[Estimated time of arrival],"",0))</f>
        <v>0</v>
      </c>
      <c r="AZ1312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12" s="437" t="str">
        <f>IFERROR(PV_DATA[[#This Row],[ODP ETA Port]]+PV_DATA[[#This Row],[Customs/Leg3 Assumption]],"n/a")</f>
        <v>n/a</v>
      </c>
      <c r="BB1312" s="433" t="e">
        <f>YEAR(PV_DATA[[#This Row],[ETA for New Ark update]])</f>
        <v>#VALUE!</v>
      </c>
      <c r="BC1312" s="430" t="e">
        <f>MONTH(PV_DATA[[#This Row],[ETA for New Ark update]])</f>
        <v>#VALUE!</v>
      </c>
      <c r="BD1312" s="430">
        <f>IFERROR(_xlfn.ISOWEEKNUM(PV_DATA[[#This Row],[ETA for New Ark update]]),0)</f>
        <v>0</v>
      </c>
      <c r="BE1312" s="431">
        <f>_xlfn.XLOOKUP(PV_DATA[[#This Row],[New Ark SKU]],Table9[New Ark SKU],Table9[Total PCS per Pallet],,0)</f>
        <v>36</v>
      </c>
      <c r="BF1312" s="431">
        <f>_xlfn.XLOOKUP(PV_DATA[[#This Row],[New Ark SKU]],Table9[New Ark SKU],Table9[Total PCS per 40HQ Container],,0)</f>
        <v>864</v>
      </c>
      <c r="BG1312" s="431" t="str">
        <f>_xlfn.XLOOKUP(PV_DATA[[#This Row],[New Ark SKU]],Table9[New Ark SKU],Table9[Back Glass],,0)</f>
        <v>White glazing</v>
      </c>
      <c r="BH1312" s="431" t="str">
        <f>_xlfn.XLOOKUP(PV_DATA[[#This Row],[PORT DESTINATION]],Table12[PORT DESTINATION],Table12[Cosco Line],,0)</f>
        <v>n/a</v>
      </c>
      <c r="BJ1312" s="430"/>
    </row>
    <row r="1313" spans="1:62" ht="13.5" hidden="1" customHeight="1">
      <c r="A1313" s="728" t="s">
        <v>7598</v>
      </c>
      <c r="B1313" s="439" t="s">
        <v>61</v>
      </c>
      <c r="C1313" s="439" t="str">
        <f>IFERROR(LEFT(PV_DATA[[#This Row],[TCL REFERENCE]],FIND(".",PV_DATA[[#This Row],[TCL REFERENCE]],1)-1),"Main Line")</f>
        <v>Main Line</v>
      </c>
      <c r="D1313" s="439" t="s">
        <v>63</v>
      </c>
      <c r="E1313" s="439" t="s">
        <v>68</v>
      </c>
      <c r="F1313" s="439" t="str" cm="1">
        <f t="array" ref="F1313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13" s="726" t="s">
        <v>68</v>
      </c>
      <c r="H1313" s="726" t="s">
        <v>68</v>
      </c>
      <c r="I1313" s="431" t="s">
        <v>68</v>
      </c>
      <c r="J1313" s="619" t="s">
        <v>68</v>
      </c>
      <c r="K1313" s="619"/>
      <c r="L1313" s="619"/>
      <c r="M1313" s="619" t="s">
        <v>68</v>
      </c>
      <c r="N1313" s="461">
        <v>46272</v>
      </c>
      <c r="O1313" s="431" t="s">
        <v>4540</v>
      </c>
      <c r="P1313" s="430" t="s">
        <v>71</v>
      </c>
      <c r="Q1313" s="431" t="s">
        <v>72</v>
      </c>
      <c r="R1313" s="430" t="str">
        <f>_xlfn.XLOOKUP(PV_DATA[[#This Row],[New Ark SKU]],Table9[New Ark SKU],Table9[Connector],,0)</f>
        <v>EVO2A</v>
      </c>
      <c r="S1313" s="433" t="str">
        <f>_xlfn.XLOOKUP(PV_DATA[[#This Row],[New Ark SKU]],Table9[New Ark SKU],Table9[Cable],,0)</f>
        <v>±1200mm</v>
      </c>
      <c r="T1313" s="442">
        <v>500</v>
      </c>
      <c r="U1313" s="1067" cm="1">
        <f t="array" ref="U1313">19872-fx_qty</f>
        <v>0</v>
      </c>
      <c r="V1313" s="448">
        <f>PV_DATA[[#This Row],[QUANTITY]]*PV_DATA[[#This Row],[WATT]]/1000000</f>
        <v>0</v>
      </c>
      <c r="W1313" s="466">
        <f>PV_DATA[[#This Row],[QUANTITY]]/PV_DATA[[#This Row],[Qty/Pallet]]</f>
        <v>0</v>
      </c>
      <c r="X1313" s="1019">
        <f>PV_DATA[[#This Row],[QUANTITY]]/PV_DATA[[#This Row],[Qty/CT]]</f>
        <v>0</v>
      </c>
      <c r="Y1313" s="431" t="s">
        <v>7039</v>
      </c>
      <c r="Z1313" s="430" t="str">
        <f t="shared" ref="Z1313:Z1344" si="39">IF(AN1313&lt;&gt;"","COMPLETED",IF(AK1313&lt;&gt;"","IN-TRANSIT",""))</f>
        <v/>
      </c>
      <c r="AA1313" s="431"/>
      <c r="AB1313" s="441"/>
      <c r="AC1313" s="467" t="str">
        <f>IF(PV_DATA[[#This Row],[Pick-Up Date]]&lt;&gt;"",_xlfn.ISOWEEKNUM(PV_DATA[[#This Row],[Pick-Up Date]]),"")</f>
        <v/>
      </c>
      <c r="AD1313" s="431"/>
      <c r="AE1313" s="431"/>
      <c r="AF1313" s="447" t="s">
        <v>61</v>
      </c>
      <c r="AG1313" s="447" t="s">
        <v>61</v>
      </c>
      <c r="AH1313" s="431" t="s">
        <v>68</v>
      </c>
      <c r="AI1313" s="441"/>
      <c r="AJ1313" s="437" t="str">
        <f>IFERROR(VLOOKUP(AT1313, Vessel!A:D, 4, FALSE), "")</f>
        <v/>
      </c>
      <c r="AK1313" s="437" t="str">
        <f>IFERROR(IF(VLOOKUP(AT1313,Vessel!A:F,5,FALSE)=0,"",VLOOKUP(AT1313,Vessel!A:F,5,FALSE)),"")</f>
        <v/>
      </c>
      <c r="AL1313" s="441"/>
      <c r="AM1313" s="441"/>
      <c r="AN1313" s="586" t="str">
        <f>IFERROR(IF(VLOOKUP(AT1313,Vessel!A:I,9,FALSE)=0,"",VLOOKUP(AT1313,Vessel!A:I,9,FALSE)),"")</f>
        <v/>
      </c>
      <c r="AO1313" s="431"/>
      <c r="AP1313" s="431"/>
      <c r="AQ1313" s="445"/>
      <c r="AR1313" s="619"/>
      <c r="AS1313" s="431"/>
      <c r="AT1313" s="431"/>
      <c r="AU1313" s="619"/>
      <c r="AV1313" s="431"/>
      <c r="AW1313" s="441" t="str" cm="1">
        <f t="array" ref="AW131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1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13" s="441" t="str">
        <f>IF(ISERROR(PV_DATA[[#This Row],[New Ark PO status]]),"",_xlfn.XLOOKUP(PV_DATA[[#This Row],[SPTN-PVHK New Ark PO'#]],New_Ark_Data[Purchase order Number],New_Ark_Data[Estimated time of arrival],"",0))</f>
        <v/>
      </c>
      <c r="AZ1313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13" s="441" t="str">
        <f>IFERROR(PV_DATA[[#This Row],[ODP ETA Port]]+PV_DATA[[#This Row],[Customs/Leg3 Assumption]],"n/a")</f>
        <v>n/a</v>
      </c>
      <c r="BB1313" s="442" t="s">
        <v>6325</v>
      </c>
      <c r="BC1313" s="442" t="s">
        <v>6325</v>
      </c>
      <c r="BD1313" s="431">
        <f>IFERROR(_xlfn.ISOWEEKNUM(PV_DATA[[#This Row],[ETA for New Ark update]]),0)</f>
        <v>0</v>
      </c>
      <c r="BE1313" s="431">
        <f>_xlfn.XLOOKUP(PV_DATA[[#This Row],[New Ark SKU]],Table9[New Ark SKU],Table9[Total PCS per Pallet],,0)</f>
        <v>36</v>
      </c>
      <c r="BF1313" s="431">
        <f>_xlfn.XLOOKUP(PV_DATA[[#This Row],[New Ark SKU]],Table9[New Ark SKU],Table9[Total PCS per 40HQ Container],,0)</f>
        <v>864</v>
      </c>
      <c r="BG1313" s="431" t="str">
        <f>_xlfn.XLOOKUP(PV_DATA[[#This Row],[New Ark SKU]],Table9[New Ark SKU],Table9[Back Glass],,0)</f>
        <v>Black glazing</v>
      </c>
      <c r="BH1313" s="622" t="str">
        <f>_xlfn.XLOOKUP(PV_DATA[[#This Row],[PORT DESTINATION]],Table12[PORT DESTINATION],Table12[Cosco Line],,0)</f>
        <v>n/a</v>
      </c>
      <c r="BJ1313" s="430"/>
    </row>
    <row r="1314" spans="1:62" ht="13.5" hidden="1" customHeight="1">
      <c r="A1314" s="728" t="s">
        <v>7599</v>
      </c>
      <c r="B1314" s="439" t="s">
        <v>61</v>
      </c>
      <c r="C1314" s="439" t="str">
        <f>IFERROR(LEFT(PV_DATA[[#This Row],[TCL REFERENCE]],FIND(".",PV_DATA[[#This Row],[TCL REFERENCE]],1)-1),"Main Line")</f>
        <v>26Aug021</v>
      </c>
      <c r="D1314" s="439" t="s">
        <v>63</v>
      </c>
      <c r="E1314" s="439" t="s">
        <v>64</v>
      </c>
      <c r="F1314" s="439" t="str" cm="1">
        <f t="array" ref="F131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14" s="439" t="s">
        <v>402</v>
      </c>
      <c r="H1314" s="439" t="s">
        <v>67</v>
      </c>
      <c r="I1314" s="439" t="s">
        <v>689</v>
      </c>
      <c r="J1314" s="431" t="s">
        <v>96</v>
      </c>
      <c r="K1314" s="431"/>
      <c r="L1314" s="431"/>
      <c r="M1314" s="431" t="s">
        <v>68</v>
      </c>
      <c r="N1314" s="461">
        <v>46272</v>
      </c>
      <c r="O1314" s="431" t="s">
        <v>4540</v>
      </c>
      <c r="P1314" s="430" t="s">
        <v>71</v>
      </c>
      <c r="Q1314" s="431" t="s">
        <v>72</v>
      </c>
      <c r="R1314" s="430" t="str">
        <f>_xlfn.XLOOKUP(PV_DATA[[#This Row],[New Ark SKU]],Table9[New Ark SKU],Table9[Connector],,0)</f>
        <v>EVO2A</v>
      </c>
      <c r="S1314" s="433" t="str">
        <f>_xlfn.XLOOKUP(PV_DATA[[#This Row],[New Ark SKU]],Table9[New Ark SKU],Table9[Cable],,0)</f>
        <v>±1200mm</v>
      </c>
      <c r="T1314" s="442">
        <v>500</v>
      </c>
      <c r="U1314" s="1067">
        <f>864*5</f>
        <v>4320</v>
      </c>
      <c r="V1314" s="448">
        <f>PV_DATA[[#This Row],[QUANTITY]]*PV_DATA[[#This Row],[WATT]]/1000000</f>
        <v>2.16</v>
      </c>
      <c r="W1314" s="466">
        <f>PV_DATA[[#This Row],[QUANTITY]]/PV_DATA[[#This Row],[Qty/Pallet]]</f>
        <v>120</v>
      </c>
      <c r="X1314" s="1019">
        <f>PV_DATA[[#This Row],[QUANTITY]]/PV_DATA[[#This Row],[Qty/CT]]</f>
        <v>5</v>
      </c>
      <c r="Y1314" s="431" t="s">
        <v>4386</v>
      </c>
      <c r="Z1314" s="430" t="str">
        <f t="shared" si="39"/>
        <v/>
      </c>
      <c r="AA1314" s="545" t="s">
        <v>5862</v>
      </c>
      <c r="AB1314" s="441"/>
      <c r="AC1314" s="467" t="str">
        <f>IF(PV_DATA[[#This Row],[Pick-Up Date]]&lt;&gt;"",_xlfn.ISOWEEKNUM(PV_DATA[[#This Row],[Pick-Up Date]]),"")</f>
        <v/>
      </c>
      <c r="AD1314" s="431"/>
      <c r="AE1314" s="431"/>
      <c r="AF1314" s="447" t="s">
        <v>61</v>
      </c>
      <c r="AG1314" s="447" t="s">
        <v>61</v>
      </c>
      <c r="AH1314" s="431" t="s">
        <v>105</v>
      </c>
      <c r="AI1314" s="441"/>
      <c r="AK1314" s="437"/>
      <c r="AL1314" s="441"/>
      <c r="AM1314" s="441"/>
      <c r="AN1314" s="586"/>
      <c r="AO1314" s="431"/>
      <c r="AP1314" s="431"/>
      <c r="AQ1314" s="445"/>
      <c r="AR1314" s="619"/>
      <c r="AS1314" s="431"/>
      <c r="AT1314" s="431"/>
      <c r="AU1314" s="619"/>
      <c r="AV1314" s="431"/>
      <c r="AW1314" s="441" cm="1">
        <f t="array" ref="AW131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46402</v>
      </c>
      <c r="AX131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14" s="441">
        <f>IF(ISERROR(PV_DATA[[#This Row],[New Ark PO status]]),"",_xlfn.XLOOKUP(PV_DATA[[#This Row],[SPTN-PVHK New Ark PO'#]],New_Ark_Data[Purchase order Number],New_Ark_Data[Estimated time of arrival],"",0))</f>
        <v>0</v>
      </c>
      <c r="AZ1314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14" s="441">
        <f>IFERROR(PV_DATA[[#This Row],[ODP ETA Port]]+PV_DATA[[#This Row],[Customs/Leg3 Assumption]],"n/a")</f>
        <v>46409</v>
      </c>
      <c r="BB1314" s="442" t="s">
        <v>7381</v>
      </c>
      <c r="BC1314" s="442" t="s">
        <v>7381</v>
      </c>
      <c r="BD1314" s="431">
        <f>IFERROR(_xlfn.ISOWEEKNUM(PV_DATA[[#This Row],[ETA for New Ark update]]),0)</f>
        <v>3</v>
      </c>
      <c r="BE1314" s="431">
        <f>_xlfn.XLOOKUP(PV_DATA[[#This Row],[New Ark SKU]],Table9[New Ark SKU],Table9[Total PCS per Pallet],,0)</f>
        <v>36</v>
      </c>
      <c r="BF1314" s="431">
        <f>_xlfn.XLOOKUP(PV_DATA[[#This Row],[New Ark SKU]],Table9[New Ark SKU],Table9[Total PCS per 40HQ Container],,0)</f>
        <v>864</v>
      </c>
      <c r="BG1314" s="431" t="str">
        <f>_xlfn.XLOOKUP(PV_DATA[[#This Row],[New Ark SKU]],Table9[New Ark SKU],Table9[Back Glass],,0)</f>
        <v>Black glazing</v>
      </c>
      <c r="BH1314" s="622" t="str">
        <f>_xlfn.XLOOKUP(PV_DATA[[#This Row],[PORT DESTINATION]],Table12[PORT DESTINATION],Table12[Cosco Line],,0)</f>
        <v>AEU</v>
      </c>
      <c r="BI1314" s="430" t="s">
        <v>7438</v>
      </c>
      <c r="BJ1314" s="430"/>
    </row>
    <row r="1315" spans="1:62" ht="13.5" hidden="1" customHeight="1">
      <c r="A1315" s="728" t="s">
        <v>7600</v>
      </c>
      <c r="B1315" s="439" t="s">
        <v>61</v>
      </c>
      <c r="C1315" s="439" t="str">
        <f>IFERROR(LEFT(PV_DATA[[#This Row],[TCL REFERENCE]],FIND(".",PV_DATA[[#This Row],[TCL REFERENCE]],1)-1),"Main Line")</f>
        <v>Main Line</v>
      </c>
      <c r="D1315" s="439" t="s">
        <v>63</v>
      </c>
      <c r="E1315" s="439" t="s">
        <v>68</v>
      </c>
      <c r="F1315" s="439" t="str" cm="1">
        <f t="array" ref="F1315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15" s="726" t="s">
        <v>68</v>
      </c>
      <c r="H1315" s="726" t="s">
        <v>68</v>
      </c>
      <c r="I1315" s="431" t="s">
        <v>68</v>
      </c>
      <c r="J1315" s="619" t="s">
        <v>68</v>
      </c>
      <c r="K1315" s="619"/>
      <c r="L1315" s="619"/>
      <c r="M1315" s="619" t="s">
        <v>68</v>
      </c>
      <c r="N1315" s="461">
        <v>46272</v>
      </c>
      <c r="O1315" s="431" t="s">
        <v>4540</v>
      </c>
      <c r="P1315" s="430" t="s">
        <v>1151</v>
      </c>
      <c r="Q1315" s="431" t="s">
        <v>421</v>
      </c>
      <c r="R1315" s="430" t="str">
        <f>_xlfn.XLOOKUP(PV_DATA[[#This Row],[New Ark SKU]],Table9[New Ark SKU],Table9[Connector],,0)</f>
        <v>EVO2A</v>
      </c>
      <c r="S1315" s="433" t="str">
        <f>_xlfn.XLOOKUP(PV_DATA[[#This Row],[New Ark SKU]],Table9[New Ark SKU],Table9[Cable],,0)</f>
        <v>±1200mm</v>
      </c>
      <c r="T1315" s="442">
        <v>505</v>
      </c>
      <c r="U1315" s="1063" cm="1">
        <f t="array" ref="U1315">13824-fx_qty</f>
        <v>0</v>
      </c>
      <c r="V1315" s="448">
        <f>PV_DATA[[#This Row],[QUANTITY]]*PV_DATA[[#This Row],[WATT]]/1000000</f>
        <v>0</v>
      </c>
      <c r="W1315" s="466">
        <f>PV_DATA[[#This Row],[QUANTITY]]/PV_DATA[[#This Row],[Qty/Pallet]]</f>
        <v>0</v>
      </c>
      <c r="X1315" s="1019">
        <f>PV_DATA[[#This Row],[QUANTITY]]/PV_DATA[[#This Row],[Qty/CT]]</f>
        <v>0</v>
      </c>
      <c r="Y1315" s="431" t="s">
        <v>7039</v>
      </c>
      <c r="Z1315" s="430" t="str">
        <f t="shared" si="39"/>
        <v/>
      </c>
      <c r="AA1315" s="431" t="s">
        <v>5862</v>
      </c>
      <c r="AB1315" s="441"/>
      <c r="AC1315" s="467" t="str">
        <f>IF(PV_DATA[[#This Row],[Pick-Up Date]]&lt;&gt;"",_xlfn.ISOWEEKNUM(PV_DATA[[#This Row],[Pick-Up Date]]),"")</f>
        <v/>
      </c>
      <c r="AD1315" s="431"/>
      <c r="AE1315" s="431"/>
      <c r="AF1315" s="447" t="s">
        <v>61</v>
      </c>
      <c r="AG1315" s="447" t="s">
        <v>61</v>
      </c>
      <c r="AH1315" s="431" t="s">
        <v>68</v>
      </c>
      <c r="AI1315" s="441"/>
      <c r="AJ1315" s="437" t="str">
        <f>IFERROR(VLOOKUP(AT1315, Vessel!A:D, 4, FALSE), "")</f>
        <v/>
      </c>
      <c r="AK1315" s="437" t="str">
        <f>IFERROR(IF(VLOOKUP(AT1315,Vessel!A:F,5,FALSE)=0,"",VLOOKUP(AT1315,Vessel!A:F,5,FALSE)),"")</f>
        <v/>
      </c>
      <c r="AL1315" s="441"/>
      <c r="AM1315" s="441"/>
      <c r="AN1315" s="586" t="str">
        <f>IFERROR(IF(VLOOKUP(AT1315,Vessel!A:I,9,FALSE)=0,"",VLOOKUP(AT1315,Vessel!A:I,9,FALSE)),"")</f>
        <v/>
      </c>
      <c r="AO1315" s="431"/>
      <c r="AP1315" s="431"/>
      <c r="AQ1315" s="445"/>
      <c r="AR1315" s="619"/>
      <c r="AS1315" s="431"/>
      <c r="AT1315" s="431"/>
      <c r="AU1315" s="619"/>
      <c r="AV1315" s="431"/>
      <c r="AW1315" s="441" t="str" cm="1">
        <f t="array" ref="AW131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1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15" s="441" t="str">
        <f>IF(ISERROR(PV_DATA[[#This Row],[New Ark PO status]]),"",_xlfn.XLOOKUP(PV_DATA[[#This Row],[SPTN-PVHK New Ark PO'#]],New_Ark_Data[Purchase order Number],New_Ark_Data[Estimated time of arrival],"",0))</f>
        <v/>
      </c>
      <c r="AZ1315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15" s="441" t="str">
        <f>IFERROR(PV_DATA[[#This Row],[ODP ETA Port]]+PV_DATA[[#This Row],[Customs/Leg3 Assumption]],"n/a")</f>
        <v>n/a</v>
      </c>
      <c r="BB1315" s="442" t="s">
        <v>6325</v>
      </c>
      <c r="BC1315" s="442" t="s">
        <v>6325</v>
      </c>
      <c r="BD1315" s="431">
        <f>IFERROR(_xlfn.ISOWEEKNUM(PV_DATA[[#This Row],[ETA for New Ark update]]),0)</f>
        <v>0</v>
      </c>
      <c r="BE1315" s="431">
        <f>_xlfn.XLOOKUP(PV_DATA[[#This Row],[New Ark SKU]],Table9[New Ark SKU],Table9[Total PCS per Pallet],,0)</f>
        <v>36</v>
      </c>
      <c r="BF1315" s="431">
        <f>_xlfn.XLOOKUP(PV_DATA[[#This Row],[New Ark SKU]],Table9[New Ark SKU],Table9[Total PCS per 40HQ Container],,0)</f>
        <v>864</v>
      </c>
      <c r="BG1315" s="431" t="str">
        <f>_xlfn.XLOOKUP(PV_DATA[[#This Row],[New Ark SKU]],Table9[New Ark SKU],Table9[Back Glass],,0)</f>
        <v>Black glazing</v>
      </c>
      <c r="BH1315" s="622" t="str">
        <f>_xlfn.XLOOKUP(PV_DATA[[#This Row],[PORT DESTINATION]],Table12[PORT DESTINATION],Table12[Cosco Line],,0)</f>
        <v>n/a</v>
      </c>
      <c r="BJ1315" s="430"/>
    </row>
    <row r="1316" spans="1:62" s="450" customFormat="1" ht="13.5" hidden="1" customHeight="1">
      <c r="A1316" s="724" t="s">
        <v>7601</v>
      </c>
      <c r="B1316" s="446" t="s">
        <v>61</v>
      </c>
      <c r="C1316" s="446" t="str">
        <f>IFERROR(LEFT(PV_DATA[[#This Row],[TCL REFERENCE]],FIND(".",PV_DATA[[#This Row],[TCL REFERENCE]],1)-1),"Main Line")</f>
        <v>Main Line</v>
      </c>
      <c r="D1316" s="446" t="s">
        <v>63</v>
      </c>
      <c r="E1316" s="446" t="s">
        <v>68</v>
      </c>
      <c r="F1316" s="446" t="str" cm="1">
        <f t="array" ref="F1316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16" s="446" t="s">
        <v>68</v>
      </c>
      <c r="H1316" s="446" t="s">
        <v>68</v>
      </c>
      <c r="I1316" s="446" t="s">
        <v>68</v>
      </c>
      <c r="J1316" s="450" t="s">
        <v>68</v>
      </c>
      <c r="M1316" s="450" t="s">
        <v>68</v>
      </c>
      <c r="N1316" s="451">
        <v>46279</v>
      </c>
      <c r="O1316" s="450" t="s">
        <v>4540</v>
      </c>
      <c r="P1316" s="450" t="s">
        <v>7049</v>
      </c>
      <c r="Q1316" s="450" t="s">
        <v>7050</v>
      </c>
      <c r="R1316" s="430" t="str">
        <f>_xlfn.XLOOKUP(PV_DATA[[#This Row],[New Ark SKU]],Table9[New Ark SKU],Table9[Connector],,0)</f>
        <v>EVO2A</v>
      </c>
      <c r="S1316" s="433" t="str">
        <f>_xlfn.XLOOKUP(PV_DATA[[#This Row],[New Ark SKU]],Table9[New Ark SKU],Table9[Cable],,0)</f>
        <v>±1200mm</v>
      </c>
      <c r="T1316" s="452">
        <v>505</v>
      </c>
      <c r="U1316" s="1063" cm="1">
        <f t="array" ref="U1316">864*30-fx_qty</f>
        <v>1728</v>
      </c>
      <c r="V1316" s="453">
        <f>PV_DATA[[#This Row],[QUANTITY]]*PV_DATA[[#This Row],[WATT]]/1000000</f>
        <v>0.87263999999999997</v>
      </c>
      <c r="W1316" s="454">
        <f>PV_DATA[[#This Row],[QUANTITY]]/PV_DATA[[#This Row],[Qty/Pallet]]</f>
        <v>48</v>
      </c>
      <c r="X1316" s="1020">
        <f>PV_DATA[[#This Row],[QUANTITY]]/PV_DATA[[#This Row],[Qty/CT]]</f>
        <v>2</v>
      </c>
      <c r="Y1316" s="450" t="s">
        <v>7039</v>
      </c>
      <c r="Z1316" s="450" t="str">
        <f t="shared" si="39"/>
        <v/>
      </c>
      <c r="AA1316" s="450" t="s">
        <v>5862</v>
      </c>
      <c r="AB1316" s="455"/>
      <c r="AC1316" s="471" t="str">
        <f>IF(PV_DATA[[#This Row],[Pick-Up Date]]&lt;&gt;"",_xlfn.ISOWEEKNUM(PV_DATA[[#This Row],[Pick-Up Date]]),"")</f>
        <v/>
      </c>
      <c r="AF1316" s="447" t="s">
        <v>61</v>
      </c>
      <c r="AG1316" s="447" t="s">
        <v>61</v>
      </c>
      <c r="AH1316" s="450" t="s">
        <v>68</v>
      </c>
      <c r="AI1316" s="455"/>
      <c r="AJ1316" s="455" t="str">
        <f>IFERROR(VLOOKUP(AT1316, Vessel!A:D, 4, FALSE), "")</f>
        <v/>
      </c>
      <c r="AK1316" s="455" t="str">
        <f>IFERROR(IF(VLOOKUP(AT1316,Vessel!A:F,5,FALSE)=0,"",VLOOKUP(AT1316,Vessel!A:F,5,FALSE)),"")</f>
        <v/>
      </c>
      <c r="AL1316" s="455"/>
      <c r="AM1316" s="455"/>
      <c r="AN1316" s="587" t="str">
        <f>IFERROR(IF(VLOOKUP(AT1316,Vessel!A:I,9,FALSE)=0,"",VLOOKUP(AT1316,Vessel!A:I,9,FALSE)),"")</f>
        <v/>
      </c>
      <c r="AQ1316" s="456"/>
      <c r="AR1316" s="619"/>
      <c r="AU1316" s="619"/>
      <c r="AW1316" s="455" t="str" cm="1">
        <f t="array" ref="AW131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1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16" s="455" t="str">
        <f>IF(ISERROR(PV_DATA[[#This Row],[New Ark PO status]]),"",_xlfn.XLOOKUP(PV_DATA[[#This Row],[SPTN-PVHK New Ark PO'#]],New_Ark_Data[Purchase order Number],New_Ark_Data[Estimated time of arrival],"",0))</f>
        <v/>
      </c>
      <c r="AZ1316" s="45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16" s="455" t="str">
        <f>IFERROR(PV_DATA[[#This Row],[ODP ETA Port]]+PV_DATA[[#This Row],[Customs/Leg3 Assumption]],"n/a")</f>
        <v>n/a</v>
      </c>
      <c r="BB1316" s="442" t="s">
        <v>6325</v>
      </c>
      <c r="BC1316" s="442" t="s">
        <v>6325</v>
      </c>
      <c r="BD1316" s="450">
        <f>IFERROR(_xlfn.ISOWEEKNUM(PV_DATA[[#This Row],[ETA for New Ark update]]),0)</f>
        <v>0</v>
      </c>
      <c r="BE1316" s="431">
        <f>_xlfn.XLOOKUP(PV_DATA[[#This Row],[New Ark SKU]],Table9[New Ark SKU],Table9[Total PCS per Pallet],,0)</f>
        <v>36</v>
      </c>
      <c r="BF1316" s="431">
        <f>_xlfn.XLOOKUP(PV_DATA[[#This Row],[New Ark SKU]],Table9[New Ark SKU],Table9[Total PCS per 40HQ Container],,0)</f>
        <v>864</v>
      </c>
      <c r="BG1316" s="431" t="str">
        <f>_xlfn.XLOOKUP(PV_DATA[[#This Row],[New Ark SKU]],Table9[New Ark SKU],Table9[Back Glass],,0)</f>
        <v>Black glazing</v>
      </c>
      <c r="BH1316" s="731" t="str">
        <f>_xlfn.XLOOKUP(PV_DATA[[#This Row],[PORT DESTINATION]],Table12[PORT DESTINATION],Table12[Cosco Line],,0)</f>
        <v>n/a</v>
      </c>
    </row>
    <row r="1317" spans="1:62" s="450" customFormat="1" ht="13.5" hidden="1" customHeight="1">
      <c r="A1317" s="727" t="s">
        <v>7602</v>
      </c>
      <c r="B1317" s="726" t="s">
        <v>61</v>
      </c>
      <c r="C1317" s="726" t="str">
        <f>IFERROR(LEFT(PV_DATA[[#This Row],[TCL REFERENCE]],FIND(".",PV_DATA[[#This Row],[TCL REFERENCE]],1)-1),"Main Line")</f>
        <v>26Aug024</v>
      </c>
      <c r="D1317" s="726" t="s">
        <v>63</v>
      </c>
      <c r="E1317" s="446" t="s">
        <v>64</v>
      </c>
      <c r="F1317" s="446" t="str" cm="1">
        <f t="array" ref="F131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1317" s="446" t="s">
        <v>402</v>
      </c>
      <c r="H1317" s="446" t="s">
        <v>451</v>
      </c>
      <c r="I1317" s="446" t="s">
        <v>882</v>
      </c>
      <c r="J1317" s="450" t="s">
        <v>7048</v>
      </c>
      <c r="K1317" s="619"/>
      <c r="L1317" s="619"/>
      <c r="M1317" s="619" t="s">
        <v>68</v>
      </c>
      <c r="N1317" s="630">
        <v>46279</v>
      </c>
      <c r="O1317" s="619" t="s">
        <v>4540</v>
      </c>
      <c r="P1317" s="999" t="s">
        <v>7049</v>
      </c>
      <c r="Q1317" s="619" t="s">
        <v>7050</v>
      </c>
      <c r="R1317" s="430" t="str">
        <f>_xlfn.XLOOKUP(PV_DATA[[#This Row],[New Ark SKU]],Table9[New Ark SKU],Table9[Connector],,0)</f>
        <v>EVO2A</v>
      </c>
      <c r="S1317" s="433" t="str">
        <f>_xlfn.XLOOKUP(PV_DATA[[#This Row],[New Ark SKU]],Table9[New Ark SKU],Table9[Cable],,0)</f>
        <v>±1200mm</v>
      </c>
      <c r="T1317" s="620">
        <v>505</v>
      </c>
      <c r="U1317" s="1067">
        <f>864*6</f>
        <v>5184</v>
      </c>
      <c r="V1317" s="624">
        <f>PV_DATA[[#This Row],[QUANTITY]]*PV_DATA[[#This Row],[WATT]]/1000000</f>
        <v>2.6179199999999998</v>
      </c>
      <c r="W1317" s="625">
        <f>PV_DATA[[#This Row],[QUANTITY]]/PV_DATA[[#This Row],[Qty/Pallet]]</f>
        <v>144</v>
      </c>
      <c r="X1317" s="1022">
        <f>PV_DATA[[#This Row],[QUANTITY]]/PV_DATA[[#This Row],[Qty/CT]]</f>
        <v>6</v>
      </c>
      <c r="Y1317" s="431" t="s">
        <v>4386</v>
      </c>
      <c r="Z1317" s="619" t="str">
        <f t="shared" si="39"/>
        <v/>
      </c>
      <c r="AA1317" s="619" t="s">
        <v>7603</v>
      </c>
      <c r="AB1317" s="626"/>
      <c r="AC1317" s="627" t="str">
        <f>IF(PV_DATA[[#This Row],[Pick-Up Date]]&lt;&gt;"",_xlfn.ISOWEEKNUM(PV_DATA[[#This Row],[Pick-Up Date]]),"")</f>
        <v/>
      </c>
      <c r="AD1317" s="619"/>
      <c r="AE1317" s="619"/>
      <c r="AF1317" s="619" t="s">
        <v>61</v>
      </c>
      <c r="AG1317" s="619" t="s">
        <v>61</v>
      </c>
      <c r="AH1317" s="431" t="s">
        <v>456</v>
      </c>
      <c r="AI1317" s="626"/>
      <c r="AJ1317" s="626" t="str">
        <f>IFERROR(VLOOKUP(AT1317, Vessel!A:D, 4, FALSE), "")</f>
        <v/>
      </c>
      <c r="AK1317" s="626" t="str">
        <f>IFERROR(IF(VLOOKUP(AT1317,Vessel!A:F,5,FALSE)=0,"",VLOOKUP(AT1317,Vessel!A:F,5,FALSE)),"")</f>
        <v/>
      </c>
      <c r="AL1317" s="626"/>
      <c r="AM1317" s="626"/>
      <c r="AN1317" s="972" t="str">
        <f>IFERROR(IF(VLOOKUP(AT1317,Vessel!A:I,9,FALSE)=0,"",VLOOKUP(AT1317,Vessel!A:I,9,FALSE)),"")</f>
        <v/>
      </c>
      <c r="AO1317" s="619"/>
      <c r="AP1317" s="619"/>
      <c r="AQ1317" s="628"/>
      <c r="AR1317" s="619"/>
      <c r="AS1317" s="619"/>
      <c r="AT1317" s="619"/>
      <c r="AU1317" s="619"/>
      <c r="AV1317" s="619"/>
      <c r="AW1317" s="626" cm="1">
        <f t="array" ref="AW131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46395</v>
      </c>
      <c r="AX131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17" s="626">
        <f>IF(ISERROR(PV_DATA[[#This Row],[New Ark PO status]]),"",_xlfn.XLOOKUP(PV_DATA[[#This Row],[SPTN-PVHK New Ark PO'#]],New_Ark_Data[Purchase order Number],New_Ark_Data[Estimated time of arrival],"",0))</f>
        <v>0</v>
      </c>
      <c r="AZ1317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17" s="626">
        <f>IFERROR(PV_DATA[[#This Row],[ODP ETA Port]]+PV_DATA[[#This Row],[Customs/Leg3 Assumption]],"n/a")</f>
        <v>46402</v>
      </c>
      <c r="BB1317" s="620" t="s">
        <v>6545</v>
      </c>
      <c r="BC1317" s="619" t="s">
        <v>6545</v>
      </c>
      <c r="BD1317" s="619">
        <f>IFERROR(_xlfn.ISOWEEKNUM(PV_DATA[[#This Row],[ETA for New Ark update]]),0)</f>
        <v>2</v>
      </c>
      <c r="BE1317" s="431">
        <f>_xlfn.XLOOKUP(PV_DATA[[#This Row],[New Ark SKU]],Table9[New Ark SKU],Table9[Total PCS per Pallet],,0)</f>
        <v>36</v>
      </c>
      <c r="BF1317" s="431">
        <f>_xlfn.XLOOKUP(PV_DATA[[#This Row],[New Ark SKU]],Table9[New Ark SKU],Table9[Total PCS per 40HQ Container],,0)</f>
        <v>864</v>
      </c>
      <c r="BG1317" s="431" t="str">
        <f>_xlfn.XLOOKUP(PV_DATA[[#This Row],[New Ark SKU]],Table9[New Ark SKU],Table9[Back Glass],,0)</f>
        <v>Black glazing</v>
      </c>
      <c r="BH1317" s="629" t="str">
        <f>_xlfn.XLOOKUP(PV_DATA[[#This Row],[PORT DESTINATION]],Table12[PORT DESTINATION],Table12[Cosco Line],,0)</f>
        <v>AEU</v>
      </c>
      <c r="BI1317" s="450" t="s">
        <v>7604</v>
      </c>
    </row>
    <row r="1318" spans="1:62" s="450" customFormat="1" ht="13.5" hidden="1" customHeight="1">
      <c r="A1318" s="727" t="s">
        <v>7605</v>
      </c>
      <c r="B1318" s="726" t="s">
        <v>61</v>
      </c>
      <c r="C1318" s="726" t="str">
        <f>IFERROR(LEFT(PV_DATA[[#This Row],[TCL REFERENCE]],FIND(".",PV_DATA[[#This Row],[TCL REFERENCE]],1)-1),"Main Line")</f>
        <v>26Aug024</v>
      </c>
      <c r="D1318" s="726" t="s">
        <v>63</v>
      </c>
      <c r="E1318" s="726" t="s">
        <v>64</v>
      </c>
      <c r="F1318" s="726" t="str" cm="1">
        <f t="array" ref="F131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1318" s="726" t="s">
        <v>402</v>
      </c>
      <c r="H1318" s="726" t="s">
        <v>451</v>
      </c>
      <c r="I1318" s="726" t="s">
        <v>882</v>
      </c>
      <c r="J1318" s="619" t="s">
        <v>7048</v>
      </c>
      <c r="K1318" s="619"/>
      <c r="L1318" s="619"/>
      <c r="M1318" s="619" t="s">
        <v>68</v>
      </c>
      <c r="N1318" s="630">
        <v>46279</v>
      </c>
      <c r="O1318" s="619" t="s">
        <v>4540</v>
      </c>
      <c r="P1318" s="999" t="s">
        <v>7049</v>
      </c>
      <c r="Q1318" s="619" t="s">
        <v>7050</v>
      </c>
      <c r="R1318" s="430" t="str">
        <f>_xlfn.XLOOKUP(PV_DATA[[#This Row],[New Ark SKU]],Table9[New Ark SKU],Table9[Connector],,0)</f>
        <v>EVO2A</v>
      </c>
      <c r="S1318" s="433" t="str">
        <f>_xlfn.XLOOKUP(PV_DATA[[#This Row],[New Ark SKU]],Table9[New Ark SKU],Table9[Cable],,0)</f>
        <v>±1200mm</v>
      </c>
      <c r="T1318" s="620">
        <v>505</v>
      </c>
      <c r="U1318" s="1038">
        <f>864*6</f>
        <v>5184</v>
      </c>
      <c r="V1318" s="624">
        <f>PV_DATA[[#This Row],[QUANTITY]]*PV_DATA[[#This Row],[WATT]]/1000000</f>
        <v>2.6179199999999998</v>
      </c>
      <c r="W1318" s="625">
        <f>PV_DATA[[#This Row],[QUANTITY]]/PV_DATA[[#This Row],[Qty/Pallet]]</f>
        <v>144</v>
      </c>
      <c r="X1318" s="1022">
        <f>PV_DATA[[#This Row],[QUANTITY]]/PV_DATA[[#This Row],[Qty/CT]]</f>
        <v>6</v>
      </c>
      <c r="Y1318" s="619" t="s">
        <v>4389</v>
      </c>
      <c r="Z1318" s="619" t="str">
        <f t="shared" si="39"/>
        <v/>
      </c>
      <c r="AA1318" s="619" t="s">
        <v>7606</v>
      </c>
      <c r="AB1318" s="626"/>
      <c r="AC1318" s="627" t="str">
        <f>IF(PV_DATA[[#This Row],[Pick-Up Date]]&lt;&gt;"",_xlfn.ISOWEEKNUM(PV_DATA[[#This Row],[Pick-Up Date]]),"")</f>
        <v/>
      </c>
      <c r="AD1318" s="619"/>
      <c r="AE1318" s="619"/>
      <c r="AF1318" s="619" t="s">
        <v>61</v>
      </c>
      <c r="AG1318" s="619" t="s">
        <v>61</v>
      </c>
      <c r="AH1318" s="619" t="s">
        <v>456</v>
      </c>
      <c r="AI1318" s="626"/>
      <c r="AJ1318" s="626" t="str">
        <f>IFERROR(VLOOKUP(AT1318, Vessel!A:D, 4, FALSE), "")</f>
        <v/>
      </c>
      <c r="AK1318" s="626" t="str">
        <f>IFERROR(IF(VLOOKUP(AT1318,Vessel!A:F,5,FALSE)=0,"",VLOOKUP(AT1318,Vessel!A:F,5,FALSE)),"")</f>
        <v/>
      </c>
      <c r="AL1318" s="626"/>
      <c r="AM1318" s="626"/>
      <c r="AN1318" s="972" t="str">
        <f>IFERROR(IF(VLOOKUP(AT1318,Vessel!A:I,9,FALSE)=0,"",VLOOKUP(AT1318,Vessel!A:I,9,FALSE)),"")</f>
        <v/>
      </c>
      <c r="AO1318" s="619"/>
      <c r="AP1318" s="619"/>
      <c r="AQ1318" s="628"/>
      <c r="AR1318" s="619"/>
      <c r="AS1318" s="619"/>
      <c r="AT1318" s="619"/>
      <c r="AU1318" s="619"/>
      <c r="AV1318" s="619"/>
      <c r="AW1318" s="626" cm="1">
        <f t="array" ref="AW131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46416</v>
      </c>
      <c r="AX131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18" s="626">
        <f>IF(ISERROR(PV_DATA[[#This Row],[New Ark PO status]]),"",_xlfn.XLOOKUP(PV_DATA[[#This Row],[SPTN-PVHK New Ark PO'#]],New_Ark_Data[Purchase order Number],New_Ark_Data[Estimated time of arrival],"",0))</f>
        <v>0</v>
      </c>
      <c r="AZ1318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18" s="626">
        <f>IFERROR(PV_DATA[[#This Row],[ODP ETA Port]]+PV_DATA[[#This Row],[Customs/Leg3 Assumption]],"n/a")</f>
        <v>46423</v>
      </c>
      <c r="BB1318" s="620" t="s">
        <v>6545</v>
      </c>
      <c r="BC1318" s="619" t="s">
        <v>6545</v>
      </c>
      <c r="BD1318" s="619">
        <f>IFERROR(_xlfn.ISOWEEKNUM(PV_DATA[[#This Row],[ETA for New Ark update]]),0)</f>
        <v>5</v>
      </c>
      <c r="BE1318" s="431">
        <f>_xlfn.XLOOKUP(PV_DATA[[#This Row],[New Ark SKU]],Table9[New Ark SKU],Table9[Total PCS per Pallet],,0)</f>
        <v>36</v>
      </c>
      <c r="BF1318" s="431">
        <f>_xlfn.XLOOKUP(PV_DATA[[#This Row],[New Ark SKU]],Table9[New Ark SKU],Table9[Total PCS per 40HQ Container],,0)</f>
        <v>864</v>
      </c>
      <c r="BG1318" s="431" t="str">
        <f>_xlfn.XLOOKUP(PV_DATA[[#This Row],[New Ark SKU]],Table9[New Ark SKU],Table9[Back Glass],,0)</f>
        <v>Black glazing</v>
      </c>
      <c r="BH1318" s="629" t="str">
        <f>_xlfn.XLOOKUP(PV_DATA[[#This Row],[PORT DESTINATION]],Table12[PORT DESTINATION],Table12[Cosco Line],,0)</f>
        <v>AEU</v>
      </c>
    </row>
    <row r="1319" spans="1:62" s="450" customFormat="1" ht="13.5" hidden="1" customHeight="1">
      <c r="A1319" s="727" t="s">
        <v>7607</v>
      </c>
      <c r="B1319" s="726" t="s">
        <v>61</v>
      </c>
      <c r="C1319" s="726" t="str">
        <f>IFERROR(LEFT(PV_DATA[[#This Row],[TCL REFERENCE]],FIND(".",PV_DATA[[#This Row],[TCL REFERENCE]],1)-1),"Main Line")</f>
        <v>26Aug024</v>
      </c>
      <c r="D1319" s="726" t="s">
        <v>63</v>
      </c>
      <c r="E1319" s="726" t="s">
        <v>64</v>
      </c>
      <c r="F1319" s="726" t="str" cm="1">
        <f t="array" ref="F131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1319" s="726" t="s">
        <v>402</v>
      </c>
      <c r="H1319" s="726" t="s">
        <v>451</v>
      </c>
      <c r="I1319" s="726" t="s">
        <v>882</v>
      </c>
      <c r="J1319" s="619" t="s">
        <v>7048</v>
      </c>
      <c r="K1319" s="619"/>
      <c r="L1319" s="619"/>
      <c r="M1319" s="619" t="s">
        <v>68</v>
      </c>
      <c r="N1319" s="630">
        <v>46279</v>
      </c>
      <c r="O1319" s="619" t="s">
        <v>4540</v>
      </c>
      <c r="P1319" s="999" t="s">
        <v>7049</v>
      </c>
      <c r="Q1319" s="619" t="s">
        <v>7050</v>
      </c>
      <c r="R1319" s="430" t="str">
        <f>_xlfn.XLOOKUP(PV_DATA[[#This Row],[New Ark SKU]],Table9[New Ark SKU],Table9[Connector],,0)</f>
        <v>EVO2A</v>
      </c>
      <c r="S1319" s="433" t="str">
        <f>_xlfn.XLOOKUP(PV_DATA[[#This Row],[New Ark SKU]],Table9[New Ark SKU],Table9[Cable],,0)</f>
        <v>±1200mm</v>
      </c>
      <c r="T1319" s="620">
        <v>505</v>
      </c>
      <c r="U1319" s="1038">
        <f>864*6</f>
        <v>5184</v>
      </c>
      <c r="V1319" s="624">
        <f>PV_DATA[[#This Row],[QUANTITY]]*PV_DATA[[#This Row],[WATT]]/1000000</f>
        <v>2.6179199999999998</v>
      </c>
      <c r="W1319" s="625">
        <f>PV_DATA[[#This Row],[QUANTITY]]/PV_DATA[[#This Row],[Qty/Pallet]]</f>
        <v>144</v>
      </c>
      <c r="X1319" s="1022">
        <f>PV_DATA[[#This Row],[QUANTITY]]/PV_DATA[[#This Row],[Qty/CT]]</f>
        <v>6</v>
      </c>
      <c r="Y1319" s="619" t="s">
        <v>4393</v>
      </c>
      <c r="Z1319" s="619" t="str">
        <f t="shared" ref="Z1319" si="40">IF(AN1319&lt;&gt;"","COMPLETED",IF(AK1319&lt;&gt;"","IN-TRANSIT",""))</f>
        <v/>
      </c>
      <c r="AA1319" s="619" t="s">
        <v>7608</v>
      </c>
      <c r="AB1319" s="626"/>
      <c r="AC1319" s="627" t="str">
        <f>IF(PV_DATA[[#This Row],[Pick-Up Date]]&lt;&gt;"",_xlfn.ISOWEEKNUM(PV_DATA[[#This Row],[Pick-Up Date]]),"")</f>
        <v/>
      </c>
      <c r="AD1319" s="619"/>
      <c r="AE1319" s="619"/>
      <c r="AF1319" s="619" t="s">
        <v>61</v>
      </c>
      <c r="AG1319" s="619" t="s">
        <v>61</v>
      </c>
      <c r="AH1319" s="619" t="s">
        <v>456</v>
      </c>
      <c r="AI1319" s="626"/>
      <c r="AJ1319" s="626" t="str">
        <f>IFERROR(VLOOKUP(AT1319, Vessel!A:D, 4, FALSE), "")</f>
        <v/>
      </c>
      <c r="AK1319" s="626" t="str">
        <f>IFERROR(IF(VLOOKUP(AT1319,Vessel!A:F,5,FALSE)=0,"",VLOOKUP(AT1319,Vessel!A:F,5,FALSE)),"")</f>
        <v/>
      </c>
      <c r="AL1319" s="626"/>
      <c r="AM1319" s="626"/>
      <c r="AN1319" s="972" t="str">
        <f>IFERROR(IF(VLOOKUP(AT1319,Vessel!A:I,9,FALSE)=0,"",VLOOKUP(AT1319,Vessel!A:I,9,FALSE)),"")</f>
        <v/>
      </c>
      <c r="AO1319" s="619"/>
      <c r="AP1319" s="619"/>
      <c r="AQ1319" s="628"/>
      <c r="AR1319" s="619"/>
      <c r="AS1319" s="619"/>
      <c r="AT1319" s="619"/>
      <c r="AU1319" s="619"/>
      <c r="AV1319" s="619"/>
      <c r="AW1319" s="626" cm="1">
        <f t="array" ref="AW131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46444</v>
      </c>
      <c r="AX131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19" s="626">
        <f>IF(ISERROR(PV_DATA[[#This Row],[New Ark PO status]]),"",_xlfn.XLOOKUP(PV_DATA[[#This Row],[SPTN-PVHK New Ark PO'#]],New_Ark_Data[Purchase order Number],New_Ark_Data[Estimated time of arrival],"",0))</f>
        <v>0</v>
      </c>
      <c r="AZ1319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19" s="626">
        <f>IFERROR(PV_DATA[[#This Row],[ODP ETA Port]]+PV_DATA[[#This Row],[Customs/Leg3 Assumption]],"n/a")</f>
        <v>46451</v>
      </c>
      <c r="BB1319" s="620" t="s">
        <v>6545</v>
      </c>
      <c r="BC1319" s="619" t="s">
        <v>6545</v>
      </c>
      <c r="BD1319" s="619">
        <f>IFERROR(_xlfn.ISOWEEKNUM(PV_DATA[[#This Row],[ETA for New Ark update]]),0)</f>
        <v>9</v>
      </c>
      <c r="BE1319" s="431">
        <f>_xlfn.XLOOKUP(PV_DATA[[#This Row],[New Ark SKU]],Table9[New Ark SKU],Table9[Total PCS per Pallet],,0)</f>
        <v>36</v>
      </c>
      <c r="BF1319" s="431">
        <f>_xlfn.XLOOKUP(PV_DATA[[#This Row],[New Ark SKU]],Table9[New Ark SKU],Table9[Total PCS per 40HQ Container],,0)</f>
        <v>864</v>
      </c>
      <c r="BG1319" s="431" t="str">
        <f>_xlfn.XLOOKUP(PV_DATA[[#This Row],[New Ark SKU]],Table9[New Ark SKU],Table9[Back Glass],,0)</f>
        <v>Black glazing</v>
      </c>
      <c r="BH1319" s="629" t="str">
        <f>_xlfn.XLOOKUP(PV_DATA[[#This Row],[PORT DESTINATION]],Table12[PORT DESTINATION],Table12[Cosco Line],,0)</f>
        <v>AEU</v>
      </c>
    </row>
    <row r="1320" spans="1:62" hidden="1">
      <c r="A1320" s="1177" t="s">
        <v>7609</v>
      </c>
      <c r="B1320" s="726" t="s">
        <v>111</v>
      </c>
      <c r="C1320" s="726" t="str">
        <f>IFERROR(LEFT(PV_DATA[[#This Row],[TCL REFERENCE]],FIND(".",PV_DATA[[#This Row],[TCL REFERENCE]],1)-1),"Main Line")</f>
        <v>Main Line</v>
      </c>
      <c r="D1320" s="726" t="s">
        <v>63</v>
      </c>
      <c r="E1320" s="439" t="s">
        <v>68</v>
      </c>
      <c r="F1320" s="439" t="str" cm="1">
        <f t="array" ref="F1320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20" s="726" t="s">
        <v>68</v>
      </c>
      <c r="H1320" s="726" t="s">
        <v>68</v>
      </c>
      <c r="I1320" s="431" t="s">
        <v>68</v>
      </c>
      <c r="J1320" s="619" t="s">
        <v>68</v>
      </c>
      <c r="K1320" s="619"/>
      <c r="L1320" s="619"/>
      <c r="M1320" s="619" t="s">
        <v>68</v>
      </c>
      <c r="N1320" s="630">
        <v>46328</v>
      </c>
      <c r="O1320" s="619" t="s">
        <v>4540</v>
      </c>
      <c r="P1320" s="623" t="s">
        <v>7610</v>
      </c>
      <c r="Q1320" s="619" t="s">
        <v>4607</v>
      </c>
      <c r="R1320" s="430" t="str">
        <f>_xlfn.XLOOKUP(PV_DATA[[#This Row],[New Ark SKU]],Table9[New Ark SKU],Table9[Connector],,0)</f>
        <v>H4(Com)</v>
      </c>
      <c r="S1320" s="433" t="str">
        <f>_xlfn.XLOOKUP(PV_DATA[[#This Row],[New Ark SKU]],Table9[New Ark SKU],Table9[Cable],,0)</f>
        <v>±1400mm</v>
      </c>
      <c r="T1320" s="620">
        <v>630</v>
      </c>
      <c r="U1320" s="1038" cm="1">
        <f t="array" ref="U1320">720*18-fx_qty</f>
        <v>0</v>
      </c>
      <c r="V1320" s="624">
        <f>PV_DATA[[#This Row],[QUANTITY]]*PV_DATA[[#This Row],[WATT]]/1000000</f>
        <v>0</v>
      </c>
      <c r="W1320" s="625">
        <f>PV_DATA[[#This Row],[QUANTITY]]/PV_DATA[[#This Row],[Qty/Pallet]]</f>
        <v>0</v>
      </c>
      <c r="X1320" s="1022">
        <f>PV_DATA[[#This Row],[QUANTITY]]/PV_DATA[[#This Row],[Qty/CT]]</f>
        <v>0</v>
      </c>
      <c r="Y1320" s="431" t="s">
        <v>7039</v>
      </c>
      <c r="Z1320" s="1178" t="str">
        <f t="shared" si="39"/>
        <v/>
      </c>
      <c r="AA1320" s="619"/>
      <c r="AB1320" s="626"/>
      <c r="AC1320" s="627" t="str">
        <f>IF(PV_DATA[[#This Row],[Pick-Up Date]]&lt;&gt;"",_xlfn.ISOWEEKNUM(PV_DATA[[#This Row],[Pick-Up Date]]),"")</f>
        <v/>
      </c>
      <c r="AD1320" s="619"/>
      <c r="AE1320" s="620"/>
      <c r="AF1320" s="430" t="s">
        <v>122</v>
      </c>
      <c r="AG1320" s="430" t="s">
        <v>123</v>
      </c>
      <c r="AH1320" s="625" t="s">
        <v>68</v>
      </c>
      <c r="AI1320" s="626"/>
      <c r="AJ1320" s="626"/>
      <c r="AK1320" s="626"/>
      <c r="AL1320" s="626"/>
      <c r="AM1320" s="626"/>
      <c r="AN1320" s="626"/>
      <c r="AO1320" s="619"/>
      <c r="AP1320" s="619"/>
      <c r="AQ1320" s="628"/>
      <c r="AR1320" s="619"/>
      <c r="AS1320" s="619"/>
      <c r="AT1320" s="619"/>
      <c r="AU1320" s="619"/>
      <c r="AV1320" s="619"/>
      <c r="AW1320" s="626" t="str" cm="1">
        <f t="array" ref="AW132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20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20" s="626">
        <f>IF(ISERROR(PV_DATA[[#This Row],[New Ark PO status]]),"",_xlfn.XLOOKUP(PV_DATA[[#This Row],[SPTN-PVHK New Ark PO'#]],New_Ark_Data[Purchase order Number],New_Ark_Data[Estimated time of arrival],"",0))</f>
        <v>0</v>
      </c>
      <c r="AZ1320" s="620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20" s="626" t="str">
        <f>IFERROR(PV_DATA[[#This Row],[ODP ETA Port]]+PV_DATA[[#This Row],[Customs/Leg3 Assumption]],"n/a")</f>
        <v>n/a</v>
      </c>
      <c r="BB1320" s="620" t="e">
        <f>YEAR(PV_DATA[[#This Row],[ETA for New Ark update]])</f>
        <v>#VALUE!</v>
      </c>
      <c r="BC1320" s="619" t="e">
        <f>MONTH(PV_DATA[[#This Row],[ETA for New Ark update]])</f>
        <v>#VALUE!</v>
      </c>
      <c r="BD1320" s="619">
        <f>IFERROR(_xlfn.ISOWEEKNUM(PV_DATA[[#This Row],[ETA for New Ark update]]),0)</f>
        <v>0</v>
      </c>
      <c r="BE1320" s="431">
        <f>_xlfn.XLOOKUP(PV_DATA[[#This Row],[New Ark SKU]],Table9[New Ark SKU],Table9[Total PCS per Pallet],,0)</f>
        <v>36</v>
      </c>
      <c r="BF1320" s="431">
        <f>_xlfn.XLOOKUP(PV_DATA[[#This Row],[New Ark SKU]],Table9[New Ark SKU],Table9[Total PCS per 40HQ Container],,0)</f>
        <v>720</v>
      </c>
      <c r="BG1320" s="431" t="str">
        <f>_xlfn.XLOOKUP(PV_DATA[[#This Row],[New Ark SKU]],Table9[New Ark SKU],Table9[Back Glass],,0)</f>
        <v>White glazing</v>
      </c>
      <c r="BH1320" s="629" t="str">
        <f>_xlfn.XLOOKUP(PV_DATA[[#This Row],[PORT DESTINATION]],Table12[PORT DESTINATION],Table12[Cosco Line],,0)</f>
        <v>n/a</v>
      </c>
    </row>
    <row r="1321" spans="1:62" hidden="1">
      <c r="A1321" s="1177" t="s">
        <v>7611</v>
      </c>
      <c r="B1321" s="726" t="s">
        <v>111</v>
      </c>
      <c r="C1321" s="726" t="str">
        <f>IFERROR(LEFT(PV_DATA[[#This Row],[TCL REFERENCE]],FIND(".",PV_DATA[[#This Row],[TCL REFERENCE]],1)-1),"Main Line")</f>
        <v>26Oct001</v>
      </c>
      <c r="D1321" s="726" t="s">
        <v>63</v>
      </c>
      <c r="E1321" s="439" t="s">
        <v>64</v>
      </c>
      <c r="F1321" s="439" t="str" cm="1">
        <f t="array" ref="F132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21" s="726" t="s">
        <v>402</v>
      </c>
      <c r="H1321" s="726" t="s">
        <v>67</v>
      </c>
      <c r="I1321" s="431" t="s">
        <v>689</v>
      </c>
      <c r="J1321" s="430" t="s">
        <v>96</v>
      </c>
      <c r="K1321" s="619"/>
      <c r="L1321" s="619"/>
      <c r="M1321" s="619" t="s">
        <v>68</v>
      </c>
      <c r="N1321" s="630">
        <v>46328</v>
      </c>
      <c r="O1321" s="619" t="s">
        <v>4540</v>
      </c>
      <c r="P1321" s="623" t="s">
        <v>7610</v>
      </c>
      <c r="Q1321" s="619" t="s">
        <v>4607</v>
      </c>
      <c r="R1321" s="430" t="str">
        <f>_xlfn.XLOOKUP(PV_DATA[[#This Row],[New Ark SKU]],Table9[New Ark SKU],Table9[Connector],,0)</f>
        <v>H4(Com)</v>
      </c>
      <c r="S1321" s="433" t="str">
        <f>_xlfn.XLOOKUP(PV_DATA[[#This Row],[New Ark SKU]],Table9[New Ark SKU],Table9[Cable],,0)</f>
        <v>±1400mm</v>
      </c>
      <c r="T1321" s="620">
        <v>630</v>
      </c>
      <c r="U1321" s="1038">
        <f>720*5</f>
        <v>3600</v>
      </c>
      <c r="V1321" s="624">
        <f>PV_DATA[[#This Row],[QUANTITY]]*PV_DATA[[#This Row],[WATT]]/1000000</f>
        <v>2.2679999999999998</v>
      </c>
      <c r="W1321" s="625">
        <f>PV_DATA[[#This Row],[QUANTITY]]/PV_DATA[[#This Row],[Qty/Pallet]]</f>
        <v>100</v>
      </c>
      <c r="X1321" s="1478">
        <f>PV_DATA[[#This Row],[QUANTITY]]/PV_DATA[[#This Row],[Qty/CT]]</f>
        <v>5</v>
      </c>
      <c r="Y1321" s="439" t="s">
        <v>4388</v>
      </c>
      <c r="Z1321" s="1178" t="str">
        <f t="shared" si="39"/>
        <v/>
      </c>
      <c r="AA1321" s="855">
        <v>46321</v>
      </c>
      <c r="AB1321" s="626"/>
      <c r="AC1321" s="627" t="str">
        <f>IF(PV_DATA[[#This Row],[Pick-Up Date]]&lt;&gt;"",_xlfn.ISOWEEKNUM(PV_DATA[[#This Row],[Pick-Up Date]]),"")</f>
        <v/>
      </c>
      <c r="AD1321" s="619"/>
      <c r="AE1321" s="620"/>
      <c r="AF1321" s="430" t="s">
        <v>122</v>
      </c>
      <c r="AG1321" s="430" t="s">
        <v>123</v>
      </c>
      <c r="AH1321" s="625" t="s">
        <v>105</v>
      </c>
      <c r="AI1321" s="626"/>
      <c r="AJ1321" s="626"/>
      <c r="AK1321" s="626"/>
      <c r="AL1321" s="626"/>
      <c r="AM1321" s="626"/>
      <c r="AN1321" s="626"/>
      <c r="AO1321" s="619"/>
      <c r="AP1321" s="619"/>
      <c r="AQ1321" s="628"/>
      <c r="AR1321" s="619"/>
      <c r="AS1321" s="619"/>
      <c r="AT1321" s="619"/>
      <c r="AU1321" s="619"/>
      <c r="AV1321" s="619"/>
      <c r="AW1321" s="626" cm="1">
        <f t="array" ref="AW132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46395</v>
      </c>
      <c r="AX132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21" s="626">
        <f>IF(ISERROR(PV_DATA[[#This Row],[New Ark PO status]]),"",_xlfn.XLOOKUP(PV_DATA[[#This Row],[SPTN-PVHK New Ark PO'#]],New_Ark_Data[Purchase order Number],New_Ark_Data[Estimated time of arrival],"",0))</f>
        <v>0</v>
      </c>
      <c r="AZ1321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21" s="626">
        <f>IFERROR(PV_DATA[[#This Row],[ODP ETA Port]]+PV_DATA[[#This Row],[Customs/Leg3 Assumption]],"n/a")</f>
        <v>46402</v>
      </c>
      <c r="BB1321" s="620">
        <f>YEAR(PV_DATA[[#This Row],[ETA for New Ark update]])</f>
        <v>2027</v>
      </c>
      <c r="BC1321" s="619">
        <f>MONTH(PV_DATA[[#This Row],[ETA for New Ark update]])</f>
        <v>1</v>
      </c>
      <c r="BD1321" s="619">
        <f>IFERROR(_xlfn.ISOWEEKNUM(PV_DATA[[#This Row],[ETA for New Ark update]]),0)</f>
        <v>2</v>
      </c>
      <c r="BE1321" s="431">
        <f>_xlfn.XLOOKUP(PV_DATA[[#This Row],[New Ark SKU]],Table9[New Ark SKU],Table9[Total PCS per Pallet],,0)</f>
        <v>36</v>
      </c>
      <c r="BF1321" s="431">
        <f>_xlfn.XLOOKUP(PV_DATA[[#This Row],[New Ark SKU]],Table9[New Ark SKU],Table9[Total PCS per 40HQ Container],,0)</f>
        <v>720</v>
      </c>
      <c r="BG1321" s="431" t="str">
        <f>_xlfn.XLOOKUP(PV_DATA[[#This Row],[New Ark SKU]],Table9[New Ark SKU],Table9[Back Glass],,0)</f>
        <v>White glazing</v>
      </c>
      <c r="BH1321" s="629" t="str">
        <f>_xlfn.XLOOKUP(PV_DATA[[#This Row],[PORT DESTINATION]],Table12[PORT DESTINATION],Table12[Cosco Line],,0)</f>
        <v>AEU</v>
      </c>
    </row>
    <row r="1322" spans="1:62" hidden="1">
      <c r="A1322" s="1177" t="s">
        <v>7612</v>
      </c>
      <c r="B1322" s="726" t="s">
        <v>111</v>
      </c>
      <c r="C1322" s="726" t="str">
        <f>IFERROR(LEFT(PV_DATA[[#This Row],[TCL REFERENCE]],FIND(".",PV_DATA[[#This Row],[TCL REFERENCE]],1)-1),"Main Line")</f>
        <v>26Oct001</v>
      </c>
      <c r="D1322" s="726" t="s">
        <v>63</v>
      </c>
      <c r="E1322" s="439" t="s">
        <v>64</v>
      </c>
      <c r="F1322" s="439" t="str" cm="1">
        <f t="array" ref="F132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22" s="726" t="s">
        <v>402</v>
      </c>
      <c r="H1322" s="726" t="s">
        <v>67</v>
      </c>
      <c r="I1322" s="431" t="s">
        <v>689</v>
      </c>
      <c r="J1322" s="430" t="s">
        <v>96</v>
      </c>
      <c r="K1322" s="619"/>
      <c r="L1322" s="619"/>
      <c r="M1322" s="619" t="s">
        <v>68</v>
      </c>
      <c r="N1322" s="630">
        <v>46328</v>
      </c>
      <c r="O1322" s="619" t="s">
        <v>4540</v>
      </c>
      <c r="P1322" s="623" t="s">
        <v>7610</v>
      </c>
      <c r="Q1322" s="619" t="s">
        <v>4607</v>
      </c>
      <c r="R1322" s="430" t="str">
        <f>_xlfn.XLOOKUP(PV_DATA[[#This Row],[New Ark SKU]],Table9[New Ark SKU],Table9[Connector],,0)</f>
        <v>H4(Com)</v>
      </c>
      <c r="S1322" s="433" t="str">
        <f>_xlfn.XLOOKUP(PV_DATA[[#This Row],[New Ark SKU]],Table9[New Ark SKU],Table9[Cable],,0)</f>
        <v>±1400mm</v>
      </c>
      <c r="T1322" s="620">
        <v>630</v>
      </c>
      <c r="U1322" s="1038">
        <f>720*1</f>
        <v>720</v>
      </c>
      <c r="V1322" s="624">
        <f>PV_DATA[[#This Row],[QUANTITY]]*PV_DATA[[#This Row],[WATT]]/1000000</f>
        <v>0.4536</v>
      </c>
      <c r="W1322" s="625">
        <f>PV_DATA[[#This Row],[QUANTITY]]/PV_DATA[[#This Row],[Qty/Pallet]]</f>
        <v>20</v>
      </c>
      <c r="X1322" s="1022">
        <f>PV_DATA[[#This Row],[QUANTITY]]/PV_DATA[[#This Row],[Qty/CT]]</f>
        <v>1</v>
      </c>
      <c r="Y1322" s="439" t="s">
        <v>4388</v>
      </c>
      <c r="Z1322" s="1178" t="str">
        <f>IF(AN1322&lt;&gt;"","COMPLETED",IF(AK1322&lt;&gt;"","IN-TRANSIT",""))</f>
        <v/>
      </c>
      <c r="AA1322" s="855">
        <v>46321</v>
      </c>
      <c r="AB1322" s="626"/>
      <c r="AC1322" s="627" t="str">
        <f>IF(PV_DATA[[#This Row],[Pick-Up Date]]&lt;&gt;"",_xlfn.ISOWEEKNUM(PV_DATA[[#This Row],[Pick-Up Date]]),"")</f>
        <v/>
      </c>
      <c r="AD1322" s="619"/>
      <c r="AE1322" s="620"/>
      <c r="AF1322" s="430" t="s">
        <v>122</v>
      </c>
      <c r="AG1322" s="430" t="s">
        <v>123</v>
      </c>
      <c r="AH1322" s="625" t="s">
        <v>105</v>
      </c>
      <c r="AI1322" s="626">
        <v>46335</v>
      </c>
      <c r="AJ1322" s="626"/>
      <c r="AK1322" s="626"/>
      <c r="AL1322" s="626">
        <v>46372</v>
      </c>
      <c r="AM1322" s="626"/>
      <c r="AN1322" s="626"/>
      <c r="AO1322" s="619"/>
      <c r="AP1322" s="619" t="s">
        <v>7447</v>
      </c>
      <c r="AQ1322" s="628" t="s">
        <v>161</v>
      </c>
      <c r="AR1322" s="619"/>
      <c r="AS1322" s="619" t="s">
        <v>7568</v>
      </c>
      <c r="AT1322" s="619" t="s">
        <v>7568</v>
      </c>
      <c r="AU1322" s="619"/>
      <c r="AV1322" s="619"/>
      <c r="AW1322" s="626" cm="1">
        <f t="array" ref="AW132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46372</v>
      </c>
      <c r="AX132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22" s="626">
        <f>IF(ISERROR(PV_DATA[[#This Row],[New Ark PO status]]),"",_xlfn.XLOOKUP(PV_DATA[[#This Row],[SPTN-PVHK New Ark PO'#]],New_Ark_Data[Purchase order Number],New_Ark_Data[Estimated time of arrival],"",0))</f>
        <v>0</v>
      </c>
      <c r="AZ1322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22" s="626">
        <f>IFERROR(PV_DATA[[#This Row],[ODP ETA Port]]+PV_DATA[[#This Row],[Customs/Leg3 Assumption]],"n/a")</f>
        <v>46379</v>
      </c>
      <c r="BB1322" s="620">
        <f>YEAR(PV_DATA[[#This Row],[ETA for New Ark update]])</f>
        <v>2026</v>
      </c>
      <c r="BC1322" s="619">
        <f>MONTH(PV_DATA[[#This Row],[ETA for New Ark update]])</f>
        <v>12</v>
      </c>
      <c r="BD1322" s="619">
        <f>IFERROR(_xlfn.ISOWEEKNUM(PV_DATA[[#This Row],[ETA for New Ark update]]),0)</f>
        <v>52</v>
      </c>
      <c r="BE1322" s="431">
        <f>_xlfn.XLOOKUP(PV_DATA[[#This Row],[New Ark SKU]],Table9[New Ark SKU],Table9[Total PCS per Pallet],,0)</f>
        <v>36</v>
      </c>
      <c r="BF1322" s="431">
        <f>_xlfn.XLOOKUP(PV_DATA[[#This Row],[New Ark SKU]],Table9[New Ark SKU],Table9[Total PCS per 40HQ Container],,0)</f>
        <v>720</v>
      </c>
      <c r="BG1322" s="431" t="str">
        <f>_xlfn.XLOOKUP(PV_DATA[[#This Row],[New Ark SKU]],Table9[New Ark SKU],Table9[Back Glass],,0)</f>
        <v>White glazing</v>
      </c>
      <c r="BH1322" s="629" t="str">
        <f>_xlfn.XLOOKUP(PV_DATA[[#This Row],[PORT DESTINATION]],Table12[PORT DESTINATION],Table12[Cosco Line],,0)</f>
        <v>AEU</v>
      </c>
    </row>
    <row r="1323" spans="1:62" hidden="1">
      <c r="A1323" s="1177" t="s">
        <v>7613</v>
      </c>
      <c r="B1323" s="726" t="s">
        <v>111</v>
      </c>
      <c r="C1323" s="726" t="str">
        <f>IFERROR(LEFT(PV_DATA[[#This Row],[TCL REFERENCE]],FIND(".",PV_DATA[[#This Row],[TCL REFERENCE]],1)-1),"Main Line")</f>
        <v>26Oct001</v>
      </c>
      <c r="D1323" s="726" t="s">
        <v>63</v>
      </c>
      <c r="E1323" s="439" t="s">
        <v>64</v>
      </c>
      <c r="F1323" s="439" t="str" cm="1">
        <f t="array" ref="F132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23" s="726" t="s">
        <v>402</v>
      </c>
      <c r="H1323" s="726" t="s">
        <v>67</v>
      </c>
      <c r="I1323" s="431" t="s">
        <v>689</v>
      </c>
      <c r="J1323" s="430" t="s">
        <v>96</v>
      </c>
      <c r="K1323" s="619"/>
      <c r="L1323" s="619"/>
      <c r="M1323" s="619" t="s">
        <v>68</v>
      </c>
      <c r="N1323" s="630">
        <v>46328</v>
      </c>
      <c r="O1323" s="619" t="s">
        <v>4540</v>
      </c>
      <c r="P1323" s="623" t="s">
        <v>7610</v>
      </c>
      <c r="Q1323" s="619" t="s">
        <v>4607</v>
      </c>
      <c r="R1323" s="430" t="str">
        <f>_xlfn.XLOOKUP(PV_DATA[[#This Row],[New Ark SKU]],Table9[New Ark SKU],Table9[Connector],,0)</f>
        <v>H4(Com)</v>
      </c>
      <c r="S1323" s="433" t="str">
        <f>_xlfn.XLOOKUP(PV_DATA[[#This Row],[New Ark SKU]],Table9[New Ark SKU],Table9[Cable],,0)</f>
        <v>±1400mm</v>
      </c>
      <c r="T1323" s="620">
        <v>630</v>
      </c>
      <c r="U1323" s="1038">
        <f>720*6</f>
        <v>4320</v>
      </c>
      <c r="V1323" s="624">
        <f>PV_DATA[[#This Row],[QUANTITY]]*PV_DATA[[#This Row],[WATT]]/1000000</f>
        <v>2.7216</v>
      </c>
      <c r="W1323" s="625">
        <f>PV_DATA[[#This Row],[QUANTITY]]/PV_DATA[[#This Row],[Qty/Pallet]]</f>
        <v>120</v>
      </c>
      <c r="X1323" s="1478">
        <f>PV_DATA[[#This Row],[QUANTITY]]/PV_DATA[[#This Row],[Qty/CT]]</f>
        <v>6</v>
      </c>
      <c r="Y1323" s="439" t="s">
        <v>4388</v>
      </c>
      <c r="Z1323" s="1178" t="str">
        <f t="shared" si="39"/>
        <v/>
      </c>
      <c r="AA1323" s="855">
        <v>46321</v>
      </c>
      <c r="AB1323" s="626"/>
      <c r="AC1323" s="627" t="str">
        <f>IF(PV_DATA[[#This Row],[Pick-Up Date]]&lt;&gt;"",_xlfn.ISOWEEKNUM(PV_DATA[[#This Row],[Pick-Up Date]]),"")</f>
        <v/>
      </c>
      <c r="AD1323" s="619"/>
      <c r="AE1323" s="620"/>
      <c r="AF1323" s="430" t="s">
        <v>122</v>
      </c>
      <c r="AG1323" s="430" t="s">
        <v>123</v>
      </c>
      <c r="AH1323" s="625" t="s">
        <v>105</v>
      </c>
      <c r="AI1323" s="626"/>
      <c r="AJ1323" s="626"/>
      <c r="AK1323" s="626"/>
      <c r="AL1323" s="626"/>
      <c r="AM1323" s="626"/>
      <c r="AN1323" s="626"/>
      <c r="AO1323" s="619"/>
      <c r="AP1323" s="619"/>
      <c r="AQ1323" s="628"/>
      <c r="AR1323" s="619"/>
      <c r="AS1323" s="619"/>
      <c r="AT1323" s="619"/>
      <c r="AU1323" s="619"/>
      <c r="AV1323" s="619"/>
      <c r="AW1323" s="626" cm="1">
        <f t="array" ref="AW132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46395</v>
      </c>
      <c r="AX132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23" s="626">
        <f>IF(ISERROR(PV_DATA[[#This Row],[New Ark PO status]]),"",_xlfn.XLOOKUP(PV_DATA[[#This Row],[SPTN-PVHK New Ark PO'#]],New_Ark_Data[Purchase order Number],New_Ark_Data[Estimated time of arrival],"",0))</f>
        <v>0</v>
      </c>
      <c r="AZ1323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23" s="626">
        <f>IFERROR(PV_DATA[[#This Row],[ODP ETA Port]]+PV_DATA[[#This Row],[Customs/Leg3 Assumption]],"n/a")</f>
        <v>46402</v>
      </c>
      <c r="BB1323" s="620">
        <f>YEAR(PV_DATA[[#This Row],[ETA for New Ark update]])</f>
        <v>2027</v>
      </c>
      <c r="BC1323" s="619">
        <f>MONTH(PV_DATA[[#This Row],[ETA for New Ark update]])</f>
        <v>1</v>
      </c>
      <c r="BD1323" s="619">
        <f>IFERROR(_xlfn.ISOWEEKNUM(PV_DATA[[#This Row],[ETA for New Ark update]]),0)</f>
        <v>2</v>
      </c>
      <c r="BE1323" s="431">
        <f>_xlfn.XLOOKUP(PV_DATA[[#This Row],[New Ark SKU]],Table9[New Ark SKU],Table9[Total PCS per Pallet],,0)</f>
        <v>36</v>
      </c>
      <c r="BF1323" s="431">
        <f>_xlfn.XLOOKUP(PV_DATA[[#This Row],[New Ark SKU]],Table9[New Ark SKU],Table9[Total PCS per 40HQ Container],,0)</f>
        <v>720</v>
      </c>
      <c r="BG1323" s="431" t="str">
        <f>_xlfn.XLOOKUP(PV_DATA[[#This Row],[New Ark SKU]],Table9[New Ark SKU],Table9[Back Glass],,0)</f>
        <v>White glazing</v>
      </c>
      <c r="BH1323" s="629" t="str">
        <f>_xlfn.XLOOKUP(PV_DATA[[#This Row],[PORT DESTINATION]],Table12[PORT DESTINATION],Table12[Cosco Line],,0)</f>
        <v>AEU</v>
      </c>
    </row>
    <row r="1324" spans="1:62" hidden="1">
      <c r="A1324" s="1177" t="s">
        <v>7614</v>
      </c>
      <c r="B1324" s="726" t="s">
        <v>111</v>
      </c>
      <c r="C1324" s="726" t="str">
        <f>IFERROR(LEFT(PV_DATA[[#This Row],[TCL REFERENCE]],FIND(".",PV_DATA[[#This Row],[TCL REFERENCE]],1)-1),"Main Line")</f>
        <v>26Oct001</v>
      </c>
      <c r="D1324" s="726" t="s">
        <v>63</v>
      </c>
      <c r="E1324" s="439" t="s">
        <v>64</v>
      </c>
      <c r="F1324" s="439" t="str" cm="1">
        <f t="array" ref="F132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24" s="726" t="s">
        <v>402</v>
      </c>
      <c r="H1324" s="726" t="s">
        <v>67</v>
      </c>
      <c r="I1324" s="431" t="s">
        <v>689</v>
      </c>
      <c r="J1324" s="430" t="s">
        <v>96</v>
      </c>
      <c r="K1324" s="619"/>
      <c r="L1324" s="619"/>
      <c r="M1324" s="619" t="s">
        <v>68</v>
      </c>
      <c r="N1324" s="630">
        <v>46328</v>
      </c>
      <c r="O1324" s="619" t="s">
        <v>4540</v>
      </c>
      <c r="P1324" s="623" t="s">
        <v>7610</v>
      </c>
      <c r="Q1324" s="619" t="s">
        <v>4607</v>
      </c>
      <c r="R1324" s="430" t="str">
        <f>_xlfn.XLOOKUP(PV_DATA[[#This Row],[New Ark SKU]],Table9[New Ark SKU],Table9[Connector],,0)</f>
        <v>H4(Com)</v>
      </c>
      <c r="S1324" s="433" t="str">
        <f>_xlfn.XLOOKUP(PV_DATA[[#This Row],[New Ark SKU]],Table9[New Ark SKU],Table9[Cable],,0)</f>
        <v>±1400mm</v>
      </c>
      <c r="T1324" s="620">
        <v>630</v>
      </c>
      <c r="U1324" s="1038">
        <f>720*6</f>
        <v>4320</v>
      </c>
      <c r="V1324" s="624">
        <f>PV_DATA[[#This Row],[QUANTITY]]*PV_DATA[[#This Row],[WATT]]/1000000</f>
        <v>2.7216</v>
      </c>
      <c r="W1324" s="625">
        <f>PV_DATA[[#This Row],[QUANTITY]]/PV_DATA[[#This Row],[Qty/Pallet]]</f>
        <v>120</v>
      </c>
      <c r="X1324" s="1478">
        <f>PV_DATA[[#This Row],[QUANTITY]]/PV_DATA[[#This Row],[Qty/CT]]</f>
        <v>6</v>
      </c>
      <c r="Y1324" s="439" t="s">
        <v>4388</v>
      </c>
      <c r="Z1324" s="1178" t="str">
        <f t="shared" si="39"/>
        <v/>
      </c>
      <c r="AA1324" s="855">
        <v>46323</v>
      </c>
      <c r="AB1324" s="626"/>
      <c r="AC1324" s="627" t="str">
        <f>IF(PV_DATA[[#This Row],[Pick-Up Date]]&lt;&gt;"",_xlfn.ISOWEEKNUM(PV_DATA[[#This Row],[Pick-Up Date]]),"")</f>
        <v/>
      </c>
      <c r="AD1324" s="619"/>
      <c r="AE1324" s="620"/>
      <c r="AF1324" s="430" t="s">
        <v>122</v>
      </c>
      <c r="AG1324" s="430" t="s">
        <v>123</v>
      </c>
      <c r="AH1324" s="625" t="s">
        <v>105</v>
      </c>
      <c r="AI1324" s="626"/>
      <c r="AJ1324" s="626"/>
      <c r="AK1324" s="626"/>
      <c r="AL1324" s="626"/>
      <c r="AM1324" s="626"/>
      <c r="AN1324" s="626"/>
      <c r="AO1324" s="619"/>
      <c r="AP1324" s="619"/>
      <c r="AQ1324" s="628"/>
      <c r="AR1324" s="619"/>
      <c r="AS1324" s="619"/>
      <c r="AT1324" s="619"/>
      <c r="AU1324" s="619"/>
      <c r="AV1324" s="619"/>
      <c r="AW1324" s="626" cm="1">
        <f t="array" ref="AW132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46395</v>
      </c>
      <c r="AX132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24" s="626">
        <f>IF(ISERROR(PV_DATA[[#This Row],[New Ark PO status]]),"",_xlfn.XLOOKUP(PV_DATA[[#This Row],[SPTN-PVHK New Ark PO'#]],New_Ark_Data[Purchase order Number],New_Ark_Data[Estimated time of arrival],"",0))</f>
        <v>0</v>
      </c>
      <c r="AZ1324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24" s="626">
        <f>IFERROR(PV_DATA[[#This Row],[ODP ETA Port]]+PV_DATA[[#This Row],[Customs/Leg3 Assumption]],"n/a")</f>
        <v>46402</v>
      </c>
      <c r="BB1324" s="620">
        <f>YEAR(PV_DATA[[#This Row],[ETA for New Ark update]])</f>
        <v>2027</v>
      </c>
      <c r="BC1324" s="619">
        <f>MONTH(PV_DATA[[#This Row],[ETA for New Ark update]])</f>
        <v>1</v>
      </c>
      <c r="BD1324" s="619">
        <f>IFERROR(_xlfn.ISOWEEKNUM(PV_DATA[[#This Row],[ETA for New Ark update]]),0)</f>
        <v>2</v>
      </c>
      <c r="BE1324" s="431">
        <f>_xlfn.XLOOKUP(PV_DATA[[#This Row],[New Ark SKU]],Table9[New Ark SKU],Table9[Total PCS per Pallet],,0)</f>
        <v>36</v>
      </c>
      <c r="BF1324" s="431">
        <f>_xlfn.XLOOKUP(PV_DATA[[#This Row],[New Ark SKU]],Table9[New Ark SKU],Table9[Total PCS per 40HQ Container],,0)</f>
        <v>720</v>
      </c>
      <c r="BG1324" s="431" t="str">
        <f>_xlfn.XLOOKUP(PV_DATA[[#This Row],[New Ark SKU]],Table9[New Ark SKU],Table9[Back Glass],,0)</f>
        <v>White glazing</v>
      </c>
      <c r="BH1324" s="629" t="str">
        <f>_xlfn.XLOOKUP(PV_DATA[[#This Row],[PORT DESTINATION]],Table12[PORT DESTINATION],Table12[Cosco Line],,0)</f>
        <v>AEU</v>
      </c>
    </row>
    <row r="1325" spans="1:62" hidden="1">
      <c r="A1325" s="1177" t="s">
        <v>7615</v>
      </c>
      <c r="B1325" s="726" t="s">
        <v>111</v>
      </c>
      <c r="C1325" s="726" t="str">
        <f>IFERROR(LEFT(PV_DATA[[#This Row],[TCL REFERENCE]],FIND(".",PV_DATA[[#This Row],[TCL REFERENCE]],1)-1),"Main Line")</f>
        <v>Main Line</v>
      </c>
      <c r="D1325" s="726" t="s">
        <v>63</v>
      </c>
      <c r="E1325" s="439" t="s">
        <v>68</v>
      </c>
      <c r="F1325" s="439" t="str" cm="1">
        <f t="array" ref="F1325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25" s="726" t="s">
        <v>68</v>
      </c>
      <c r="H1325" s="726" t="s">
        <v>68</v>
      </c>
      <c r="I1325" s="431" t="s">
        <v>68</v>
      </c>
      <c r="J1325" s="619" t="s">
        <v>68</v>
      </c>
      <c r="K1325" s="619"/>
      <c r="L1325" s="619"/>
      <c r="M1325" s="619" t="s">
        <v>68</v>
      </c>
      <c r="N1325" s="630">
        <v>46328</v>
      </c>
      <c r="O1325" s="619" t="s">
        <v>4540</v>
      </c>
      <c r="P1325" s="623" t="s">
        <v>7616</v>
      </c>
      <c r="Q1325" s="619" t="s">
        <v>7617</v>
      </c>
      <c r="R1325" s="430" t="str">
        <f>_xlfn.XLOOKUP(PV_DATA[[#This Row],[New Ark SKU]],Table9[New Ark SKU],Table9[Connector],,0)</f>
        <v>H4(Com)</v>
      </c>
      <c r="S1325" s="433" t="str">
        <f>_xlfn.XLOOKUP(PV_DATA[[#This Row],[New Ark SKU]],Table9[New Ark SKU],Table9[Cable],,0)</f>
        <v>±1400mm</v>
      </c>
      <c r="T1325" s="620">
        <v>635</v>
      </c>
      <c r="U1325" s="1038" cm="1">
        <f t="array" ref="U1325">2880-fx_qty</f>
        <v>0</v>
      </c>
      <c r="V1325" s="624">
        <f>PV_DATA[[#This Row],[QUANTITY]]*PV_DATA[[#This Row],[WATT]]/1000000</f>
        <v>0</v>
      </c>
      <c r="W1325" s="625">
        <f>PV_DATA[[#This Row],[QUANTITY]]/PV_DATA[[#This Row],[Qty/Pallet]]</f>
        <v>0</v>
      </c>
      <c r="X1325" s="1022">
        <f>PV_DATA[[#This Row],[QUANTITY]]/PV_DATA[[#This Row],[Qty/CT]]</f>
        <v>0</v>
      </c>
      <c r="Y1325" s="431" t="s">
        <v>7039</v>
      </c>
      <c r="Z1325" s="1178" t="str">
        <f t="shared" si="39"/>
        <v/>
      </c>
      <c r="AA1325" s="619"/>
      <c r="AB1325" s="626"/>
      <c r="AC1325" s="627" t="str">
        <f>IF(PV_DATA[[#This Row],[Pick-Up Date]]&lt;&gt;"",_xlfn.ISOWEEKNUM(PV_DATA[[#This Row],[Pick-Up Date]]),"")</f>
        <v/>
      </c>
      <c r="AD1325" s="619"/>
      <c r="AE1325" s="620"/>
      <c r="AF1325" s="430" t="s">
        <v>122</v>
      </c>
      <c r="AG1325" s="430" t="s">
        <v>123</v>
      </c>
      <c r="AH1325" s="625" t="s">
        <v>68</v>
      </c>
      <c r="AI1325" s="626"/>
      <c r="AJ1325" s="626"/>
      <c r="AK1325" s="626"/>
      <c r="AL1325" s="626"/>
      <c r="AM1325" s="626"/>
      <c r="AN1325" s="626"/>
      <c r="AO1325" s="619"/>
      <c r="AP1325" s="619"/>
      <c r="AQ1325" s="628"/>
      <c r="AR1325" s="619"/>
      <c r="AS1325" s="619"/>
      <c r="AT1325" s="619"/>
      <c r="AU1325" s="619"/>
      <c r="AV1325" s="619"/>
      <c r="AW1325" s="626" t="str" cm="1">
        <f t="array" ref="AW132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2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25" s="626">
        <f>IF(ISERROR(PV_DATA[[#This Row],[New Ark PO status]]),"",_xlfn.XLOOKUP(PV_DATA[[#This Row],[SPTN-PVHK New Ark PO'#]],New_Ark_Data[Purchase order Number],New_Ark_Data[Estimated time of arrival],"",0))</f>
        <v>0</v>
      </c>
      <c r="AZ1325" s="620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25" s="626" t="str">
        <f>IFERROR(PV_DATA[[#This Row],[ODP ETA Port]]+PV_DATA[[#This Row],[Customs/Leg3 Assumption]],"n/a")</f>
        <v>n/a</v>
      </c>
      <c r="BB1325" s="620" t="e">
        <f>YEAR(PV_DATA[[#This Row],[ETA for New Ark update]])</f>
        <v>#VALUE!</v>
      </c>
      <c r="BC1325" s="619" t="e">
        <f>MONTH(PV_DATA[[#This Row],[ETA for New Ark update]])</f>
        <v>#VALUE!</v>
      </c>
      <c r="BD1325" s="619">
        <f>IFERROR(_xlfn.ISOWEEKNUM(PV_DATA[[#This Row],[ETA for New Ark update]]),0)</f>
        <v>0</v>
      </c>
      <c r="BE1325" s="431">
        <f>_xlfn.XLOOKUP(PV_DATA[[#This Row],[New Ark SKU]],Table9[New Ark SKU],Table9[Total PCS per Pallet],,0)</f>
        <v>36</v>
      </c>
      <c r="BF1325" s="431">
        <f>_xlfn.XLOOKUP(PV_DATA[[#This Row],[New Ark SKU]],Table9[New Ark SKU],Table9[Total PCS per 40HQ Container],,0)</f>
        <v>720</v>
      </c>
      <c r="BG1325" s="431" t="str">
        <f>_xlfn.XLOOKUP(PV_DATA[[#This Row],[New Ark SKU]],Table9[New Ark SKU],Table9[Back Glass],,0)</f>
        <v>White glazing</v>
      </c>
      <c r="BH1325" s="629" t="str">
        <f>_xlfn.XLOOKUP(PV_DATA[[#This Row],[PORT DESTINATION]],Table12[PORT DESTINATION],Table12[Cosco Line],,0)</f>
        <v>n/a</v>
      </c>
    </row>
    <row r="1326" spans="1:62" hidden="1">
      <c r="A1326" s="1177" t="s">
        <v>7618</v>
      </c>
      <c r="B1326" s="726" t="s">
        <v>111</v>
      </c>
      <c r="C1326" s="726" t="str">
        <f>IFERROR(LEFT(PV_DATA[[#This Row],[TCL REFERENCE]],FIND(".",PV_DATA[[#This Row],[TCL REFERENCE]],1)-1),"Main Line")</f>
        <v>26Oct002</v>
      </c>
      <c r="D1326" s="726" t="s">
        <v>63</v>
      </c>
      <c r="E1326" s="439" t="s">
        <v>64</v>
      </c>
      <c r="F1326" s="439" t="str" cm="1">
        <f t="array" ref="F132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26" s="726" t="s">
        <v>402</v>
      </c>
      <c r="H1326" s="726" t="s">
        <v>67</v>
      </c>
      <c r="I1326" s="431" t="s">
        <v>689</v>
      </c>
      <c r="J1326" s="430" t="s">
        <v>96</v>
      </c>
      <c r="K1326" s="619"/>
      <c r="L1326" s="619"/>
      <c r="M1326" s="619" t="s">
        <v>68</v>
      </c>
      <c r="N1326" s="630">
        <v>46328</v>
      </c>
      <c r="O1326" s="619" t="s">
        <v>4540</v>
      </c>
      <c r="P1326" s="623" t="s">
        <v>7616</v>
      </c>
      <c r="Q1326" s="619" t="s">
        <v>7617</v>
      </c>
      <c r="R1326" s="430" t="str">
        <f>_xlfn.XLOOKUP(PV_DATA[[#This Row],[New Ark SKU]],Table9[New Ark SKU],Table9[Connector],,0)</f>
        <v>H4(Com)</v>
      </c>
      <c r="S1326" s="433" t="str">
        <f>_xlfn.XLOOKUP(PV_DATA[[#This Row],[New Ark SKU]],Table9[New Ark SKU],Table9[Cable],,0)</f>
        <v>±1400mm</v>
      </c>
      <c r="T1326" s="620">
        <v>635</v>
      </c>
      <c r="U1326" s="1038" cm="1">
        <f t="array" ref="U1326">2880-fx_qty</f>
        <v>2880</v>
      </c>
      <c r="V1326" s="624">
        <f>PV_DATA[[#This Row],[QUANTITY]]*PV_DATA[[#This Row],[WATT]]/1000000</f>
        <v>1.8288</v>
      </c>
      <c r="W1326" s="625">
        <f>PV_DATA[[#This Row],[QUANTITY]]/PV_DATA[[#This Row],[Qty/Pallet]]</f>
        <v>80</v>
      </c>
      <c r="X1326" s="1478">
        <f>PV_DATA[[#This Row],[QUANTITY]]/PV_DATA[[#This Row],[Qty/CT]]</f>
        <v>4</v>
      </c>
      <c r="Y1326" s="439" t="s">
        <v>4388</v>
      </c>
      <c r="Z1326" s="1178" t="str">
        <f t="shared" si="39"/>
        <v/>
      </c>
      <c r="AA1326" s="855">
        <v>46324</v>
      </c>
      <c r="AB1326" s="626"/>
      <c r="AC1326" s="627" t="str">
        <f>IF(PV_DATA[[#This Row],[Pick-Up Date]]&lt;&gt;"",_xlfn.ISOWEEKNUM(PV_DATA[[#This Row],[Pick-Up Date]]),"")</f>
        <v/>
      </c>
      <c r="AD1326" s="619"/>
      <c r="AE1326" s="620"/>
      <c r="AF1326" s="430" t="s">
        <v>122</v>
      </c>
      <c r="AG1326" s="430" t="s">
        <v>123</v>
      </c>
      <c r="AH1326" s="625" t="s">
        <v>105</v>
      </c>
      <c r="AI1326" s="626"/>
      <c r="AJ1326" s="626"/>
      <c r="AK1326" s="626"/>
      <c r="AL1326" s="626"/>
      <c r="AM1326" s="626"/>
      <c r="AN1326" s="626"/>
      <c r="AO1326" s="619"/>
      <c r="AP1326" s="619"/>
      <c r="AQ1326" s="628"/>
      <c r="AR1326" s="619"/>
      <c r="AS1326" s="619"/>
      <c r="AT1326" s="619"/>
      <c r="AU1326" s="619"/>
      <c r="AV1326" s="619"/>
      <c r="AW1326" s="626" cm="1">
        <f t="array" ref="AW132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46395</v>
      </c>
      <c r="AX132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26" s="626">
        <f>IF(ISERROR(PV_DATA[[#This Row],[New Ark PO status]]),"",_xlfn.XLOOKUP(PV_DATA[[#This Row],[SPTN-PVHK New Ark PO'#]],New_Ark_Data[Purchase order Number],New_Ark_Data[Estimated time of arrival],"",0))</f>
        <v>0</v>
      </c>
      <c r="AZ1326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26" s="626">
        <f>IFERROR(PV_DATA[[#This Row],[ODP ETA Port]]+PV_DATA[[#This Row],[Customs/Leg3 Assumption]],"n/a")</f>
        <v>46402</v>
      </c>
      <c r="BB1326" s="620">
        <f>YEAR(PV_DATA[[#This Row],[ETA for New Ark update]])</f>
        <v>2027</v>
      </c>
      <c r="BC1326" s="619">
        <f>MONTH(PV_DATA[[#This Row],[ETA for New Ark update]])</f>
        <v>1</v>
      </c>
      <c r="BD1326" s="619">
        <f>IFERROR(_xlfn.ISOWEEKNUM(PV_DATA[[#This Row],[ETA for New Ark update]]),0)</f>
        <v>2</v>
      </c>
      <c r="BE1326" s="431">
        <f>_xlfn.XLOOKUP(PV_DATA[[#This Row],[New Ark SKU]],Table9[New Ark SKU],Table9[Total PCS per Pallet],,0)</f>
        <v>36</v>
      </c>
      <c r="BF1326" s="431">
        <f>_xlfn.XLOOKUP(PV_DATA[[#This Row],[New Ark SKU]],Table9[New Ark SKU],Table9[Total PCS per 40HQ Container],,0)</f>
        <v>720</v>
      </c>
      <c r="BG1326" s="431" t="str">
        <f>_xlfn.XLOOKUP(PV_DATA[[#This Row],[New Ark SKU]],Table9[New Ark SKU],Table9[Back Glass],,0)</f>
        <v>White glazing</v>
      </c>
      <c r="BH1326" s="629" t="str">
        <f>_xlfn.XLOOKUP(PV_DATA[[#This Row],[PORT DESTINATION]],Table12[PORT DESTINATION],Table12[Cosco Line],,0)</f>
        <v>AEU</v>
      </c>
    </row>
    <row r="1327" spans="1:62" s="450" customFormat="1" hidden="1">
      <c r="A1327" s="1183" t="s">
        <v>7619</v>
      </c>
      <c r="B1327" s="1184" t="s">
        <v>111</v>
      </c>
      <c r="C1327" s="446" t="str">
        <f>IFERROR(LEFT(PV_DATA[[#This Row],[TCL REFERENCE]],FIND(".",PV_DATA[[#This Row],[TCL REFERENCE]],1)-1),"Main Line")</f>
        <v>Main Line</v>
      </c>
      <c r="D1327" s="1184" t="s">
        <v>63</v>
      </c>
      <c r="E1327" s="439" t="s">
        <v>68</v>
      </c>
      <c r="F1327" s="439" t="str" cm="1">
        <f t="array" ref="F1327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27" s="726" t="s">
        <v>68</v>
      </c>
      <c r="H1327" s="726" t="s">
        <v>68</v>
      </c>
      <c r="I1327" s="431" t="s">
        <v>68</v>
      </c>
      <c r="J1327" s="619" t="s">
        <v>68</v>
      </c>
      <c r="K1327" s="619"/>
      <c r="L1327" s="619"/>
      <c r="M1327" s="619" t="s">
        <v>68</v>
      </c>
      <c r="N1327" s="451">
        <v>46321</v>
      </c>
      <c r="O1327" s="999" t="s">
        <v>4540</v>
      </c>
      <c r="P1327" s="450" t="s">
        <v>7330</v>
      </c>
      <c r="Q1327" s="450" t="s">
        <v>1484</v>
      </c>
      <c r="R1327" s="430" t="str">
        <f>_xlfn.XLOOKUP(PV_DATA[[#This Row],[New Ark SKU]],Table9[New Ark SKU],Table9[Connector],,0)</f>
        <v>H4(Com)</v>
      </c>
      <c r="S1327" s="433" t="str">
        <f>_xlfn.XLOOKUP(PV_DATA[[#This Row],[New Ark SKU]],Table9[New Ark SKU],Table9[Cable],,0)</f>
        <v>±1400mm</v>
      </c>
      <c r="T1327" s="452">
        <v>725</v>
      </c>
      <c r="U1327" s="1063" cm="1">
        <f t="array" ref="U1327">48114-fx_qty</f>
        <v>4752</v>
      </c>
      <c r="V1327" s="453">
        <f>PV_DATA[[#This Row],[QUANTITY]]*PV_DATA[[#This Row],[WATT]]/1000000</f>
        <v>3.4451999999999998</v>
      </c>
      <c r="W1327" s="454">
        <f>PV_DATA[[#This Row],[QUANTITY]]/PV_DATA[[#This Row],[Qty/Pallet]]</f>
        <v>144</v>
      </c>
      <c r="X1327" s="1185">
        <f>PV_DATA[[#This Row],[QUANTITY]]/PV_DATA[[#This Row],[Qty/CT]]</f>
        <v>8</v>
      </c>
      <c r="Y1327" s="450" t="s">
        <v>7039</v>
      </c>
      <c r="Z1327" s="1186" t="str">
        <f t="shared" si="39"/>
        <v/>
      </c>
      <c r="AA1327" s="1382">
        <v>46334</v>
      </c>
      <c r="AB1327" s="455"/>
      <c r="AC1327" s="471" t="str">
        <f>IF(PV_DATA[[#This Row],[Pick-Up Date]]&lt;&gt;"",_xlfn.ISOWEEKNUM(PV_DATA[[#This Row],[Pick-Up Date]]),"")</f>
        <v/>
      </c>
      <c r="AE1327" s="452"/>
      <c r="AF1327" s="450" t="s">
        <v>122</v>
      </c>
      <c r="AG1327" s="450" t="s">
        <v>123</v>
      </c>
      <c r="AH1327" s="454"/>
      <c r="AI1327" s="455"/>
      <c r="AJ1327" s="455"/>
      <c r="AK1327" s="455"/>
      <c r="AL1327" s="455"/>
      <c r="AM1327" s="455"/>
      <c r="AN1327" s="455"/>
      <c r="AQ1327" s="456"/>
      <c r="AR1327" s="619"/>
      <c r="AU1327" s="619"/>
      <c r="AW1327" s="455" t="str" cm="1">
        <f t="array" ref="AW132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2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27" s="455">
        <f>IF(ISERROR(PV_DATA[[#This Row],[New Ark PO status]]),"",_xlfn.XLOOKUP(PV_DATA[[#This Row],[SPTN-PVHK New Ark PO'#]],New_Ark_Data[Purchase order Number],New_Ark_Data[Estimated time of arrival],"",0))</f>
        <v>0</v>
      </c>
      <c r="AZ1327" s="45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27" s="455" t="str">
        <f>IFERROR(PV_DATA[[#This Row],[ODP ETA Port]]+PV_DATA[[#This Row],[Customs/Leg3 Assumption]],"n/a")</f>
        <v>n/a</v>
      </c>
      <c r="BB1327" s="452" t="e">
        <f>YEAR(PV_DATA[[#This Row],[ETA for New Ark update]])</f>
        <v>#VALUE!</v>
      </c>
      <c r="BC1327" s="450" t="e">
        <f>MONTH(PV_DATA[[#This Row],[ETA for New Ark update]])</f>
        <v>#VALUE!</v>
      </c>
      <c r="BD1327" s="450">
        <f>IFERROR(_xlfn.ISOWEEKNUM(PV_DATA[[#This Row],[ETA for New Ark update]]),0)</f>
        <v>0</v>
      </c>
      <c r="BE1327" s="431">
        <f>_xlfn.XLOOKUP(PV_DATA[[#This Row],[New Ark SKU]],Table9[New Ark SKU],Table9[Total PCS per Pallet],,0)</f>
        <v>33</v>
      </c>
      <c r="BF1327" s="431">
        <v>594</v>
      </c>
      <c r="BG1327" s="431" t="str">
        <f>_xlfn.XLOOKUP(PV_DATA[[#This Row],[New Ark SKU]],Table9[New Ark SKU],Table9[Back Glass],,0)</f>
        <v>Redirection Film</v>
      </c>
      <c r="BH1327" s="731">
        <f>_xlfn.XLOOKUP(PV_DATA[[#This Row],[PORT DESTINATION]],Table12[PORT DESTINATION],Table12[Cosco Line],,0)</f>
        <v>0</v>
      </c>
      <c r="BJ1327" s="1187"/>
    </row>
    <row r="1328" spans="1:62" s="450" customFormat="1" hidden="1">
      <c r="A1328" s="1183" t="s">
        <v>7620</v>
      </c>
      <c r="B1328" s="1184" t="s">
        <v>111</v>
      </c>
      <c r="C1328" s="446" t="str">
        <f>IFERROR(LEFT(PV_DATA[[#This Row],[TCL REFERENCE]],FIND(".",PV_DATA[[#This Row],[TCL REFERENCE]],1)-1),"Main Line")</f>
        <v>26Oct003</v>
      </c>
      <c r="D1328" s="1184" t="s">
        <v>63</v>
      </c>
      <c r="E1328" s="439" t="s">
        <v>64</v>
      </c>
      <c r="F1328" s="439" t="str" cm="1">
        <f t="array" ref="F132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28" s="726" t="s">
        <v>402</v>
      </c>
      <c r="H1328" s="726" t="s">
        <v>67</v>
      </c>
      <c r="I1328" s="431" t="s">
        <v>689</v>
      </c>
      <c r="J1328" s="431" t="s">
        <v>96</v>
      </c>
      <c r="K1328" s="619"/>
      <c r="L1328" s="619"/>
      <c r="M1328" s="619" t="s">
        <v>68</v>
      </c>
      <c r="N1328" s="451">
        <v>46321</v>
      </c>
      <c r="O1328" s="999" t="s">
        <v>4540</v>
      </c>
      <c r="P1328" s="450" t="s">
        <v>7330</v>
      </c>
      <c r="Q1328" s="450" t="s">
        <v>1484</v>
      </c>
      <c r="R1328" s="430" t="str">
        <f>_xlfn.XLOOKUP(PV_DATA[[#This Row],[New Ark SKU]],Table9[New Ark SKU],Table9[Connector],,0)</f>
        <v>H4(Com)</v>
      </c>
      <c r="S1328" s="433" t="str">
        <f>_xlfn.XLOOKUP(PV_DATA[[#This Row],[New Ark SKU]],Table9[New Ark SKU],Table9[Cable],,0)</f>
        <v>±1400mm</v>
      </c>
      <c r="T1328" s="452">
        <v>725</v>
      </c>
      <c r="U1328" s="1063">
        <f>594*10</f>
        <v>5940</v>
      </c>
      <c r="V1328" s="453">
        <f>PV_DATA[[#This Row],[QUANTITY]]*PV_DATA[[#This Row],[WATT]]/1000000</f>
        <v>4.3064999999999998</v>
      </c>
      <c r="W1328" s="454">
        <f>PV_DATA[[#This Row],[QUANTITY]]/PV_DATA[[#This Row],[Qty/Pallet]]</f>
        <v>180</v>
      </c>
      <c r="X1328" s="1478">
        <f>PV_DATA[[#This Row],[QUANTITY]]/PV_DATA[[#This Row],[Qty/CT]]</f>
        <v>10</v>
      </c>
      <c r="Y1328" s="450" t="s">
        <v>4388</v>
      </c>
      <c r="Z1328" s="1186" t="str">
        <f t="shared" si="39"/>
        <v/>
      </c>
      <c r="AA1328" s="1382">
        <v>46318</v>
      </c>
      <c r="AB1328" s="455"/>
      <c r="AC1328" s="471" t="str">
        <f>IF(PV_DATA[[#This Row],[Pick-Up Date]]&lt;&gt;"",_xlfn.ISOWEEKNUM(PV_DATA[[#This Row],[Pick-Up Date]]),"")</f>
        <v/>
      </c>
      <c r="AE1328" s="452"/>
      <c r="AF1328" s="450" t="s">
        <v>122</v>
      </c>
      <c r="AG1328" s="450" t="s">
        <v>123</v>
      </c>
      <c r="AH1328" s="454" t="s">
        <v>105</v>
      </c>
      <c r="AI1328" s="455"/>
      <c r="AJ1328" s="455"/>
      <c r="AK1328" s="455"/>
      <c r="AL1328" s="455"/>
      <c r="AM1328" s="455"/>
      <c r="AN1328" s="455"/>
      <c r="AQ1328" s="456"/>
      <c r="AR1328" s="619"/>
      <c r="AU1328" s="619"/>
      <c r="AW1328" s="455" cm="1">
        <f t="array" ref="AW132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46395</v>
      </c>
      <c r="AX132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28" s="455">
        <f>IF(ISERROR(PV_DATA[[#This Row],[New Ark PO status]]),"",_xlfn.XLOOKUP(PV_DATA[[#This Row],[SPTN-PVHK New Ark PO'#]],New_Ark_Data[Purchase order Number],New_Ark_Data[Estimated time of arrival],"",0))</f>
        <v>0</v>
      </c>
      <c r="AZ1328" s="45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28" s="455">
        <f>IFERROR(PV_DATA[[#This Row],[ODP ETA Port]]+PV_DATA[[#This Row],[Customs/Leg3 Assumption]],"n/a")</f>
        <v>46402</v>
      </c>
      <c r="BB1328" s="452">
        <f>YEAR(PV_DATA[[#This Row],[ETA for New Ark update]])</f>
        <v>2027</v>
      </c>
      <c r="BC1328" s="450">
        <f>MONTH(PV_DATA[[#This Row],[ETA for New Ark update]])</f>
        <v>1</v>
      </c>
      <c r="BD1328" s="450">
        <f>IFERROR(_xlfn.ISOWEEKNUM(PV_DATA[[#This Row],[ETA for New Ark update]]),0)</f>
        <v>2</v>
      </c>
      <c r="BE1328" s="431">
        <f>_xlfn.XLOOKUP(PV_DATA[[#This Row],[New Ark SKU]],Table9[New Ark SKU],Table9[Total PCS per Pallet],,0)</f>
        <v>33</v>
      </c>
      <c r="BF1328" s="431">
        <v>594</v>
      </c>
      <c r="BG1328" s="431" t="str">
        <f>_xlfn.XLOOKUP(PV_DATA[[#This Row],[New Ark SKU]],Table9[New Ark SKU],Table9[Back Glass],,0)</f>
        <v>Redirection Film</v>
      </c>
      <c r="BH1328" s="731" t="str">
        <f>_xlfn.XLOOKUP(PV_DATA[[#This Row],[PORT DESTINATION]],Table12[PORT DESTINATION],Table12[Cosco Line],,0)</f>
        <v>AEU</v>
      </c>
      <c r="BJ1328" s="1187"/>
    </row>
    <row r="1329" spans="1:62" s="450" customFormat="1" hidden="1">
      <c r="A1329" s="1183" t="s">
        <v>7621</v>
      </c>
      <c r="B1329" s="1184" t="s">
        <v>111</v>
      </c>
      <c r="C1329" s="446" t="str">
        <f>IFERROR(LEFT(PV_DATA[[#This Row],[TCL REFERENCE]],FIND(".",PV_DATA[[#This Row],[TCL REFERENCE]],1)-1),"Main Line")</f>
        <v>26Oct003</v>
      </c>
      <c r="D1329" s="1184" t="s">
        <v>63</v>
      </c>
      <c r="E1329" s="439" t="s">
        <v>64</v>
      </c>
      <c r="F1329" s="439" t="str" cm="1">
        <f t="array" ref="F132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29" s="726" t="s">
        <v>402</v>
      </c>
      <c r="H1329" s="726" t="s">
        <v>67</v>
      </c>
      <c r="I1329" s="431" t="s">
        <v>689</v>
      </c>
      <c r="J1329" s="431" t="s">
        <v>96</v>
      </c>
      <c r="K1329" s="619"/>
      <c r="L1329" s="619"/>
      <c r="M1329" s="619" t="s">
        <v>68</v>
      </c>
      <c r="N1329" s="451">
        <v>46321</v>
      </c>
      <c r="O1329" s="999" t="s">
        <v>4540</v>
      </c>
      <c r="P1329" s="450" t="s">
        <v>7330</v>
      </c>
      <c r="Q1329" s="450" t="s">
        <v>1484</v>
      </c>
      <c r="R1329" s="430" t="str">
        <f>_xlfn.XLOOKUP(PV_DATA[[#This Row],[New Ark SKU]],Table9[New Ark SKU],Table9[Connector],,0)</f>
        <v>H4(Com)</v>
      </c>
      <c r="S1329" s="433" t="str">
        <f>_xlfn.XLOOKUP(PV_DATA[[#This Row],[New Ark SKU]],Table9[New Ark SKU],Table9[Cable],,0)</f>
        <v>±1400mm</v>
      </c>
      <c r="T1329" s="452">
        <v>725</v>
      </c>
      <c r="U1329" s="1063">
        <f>594*10</f>
        <v>5940</v>
      </c>
      <c r="V1329" s="453">
        <f>PV_DATA[[#This Row],[QUANTITY]]*PV_DATA[[#This Row],[WATT]]/1000000</f>
        <v>4.3064999999999998</v>
      </c>
      <c r="W1329" s="454">
        <f>PV_DATA[[#This Row],[QUANTITY]]/PV_DATA[[#This Row],[Qty/Pallet]]</f>
        <v>180</v>
      </c>
      <c r="X1329" s="1185">
        <f>PV_DATA[[#This Row],[QUANTITY]]/PV_DATA[[#This Row],[Qty/CT]]</f>
        <v>10</v>
      </c>
      <c r="Y1329" s="450" t="s">
        <v>4390</v>
      </c>
      <c r="Z1329" s="1186" t="str">
        <f t="shared" ref="Z1329" si="41">IF(AN1329&lt;&gt;"","COMPLETED",IF(AK1329&lt;&gt;"","IN-TRANSIT",""))</f>
        <v/>
      </c>
      <c r="AA1329" s="1382">
        <v>46319</v>
      </c>
      <c r="AB1329" s="455"/>
      <c r="AC1329" s="471" t="str">
        <f>IF(PV_DATA[[#This Row],[Pick-Up Date]]&lt;&gt;"",_xlfn.ISOWEEKNUM(PV_DATA[[#This Row],[Pick-Up Date]]),"")</f>
        <v/>
      </c>
      <c r="AE1329" s="452"/>
      <c r="AF1329" s="450" t="s">
        <v>122</v>
      </c>
      <c r="AG1329" s="450" t="s">
        <v>123</v>
      </c>
      <c r="AH1329" s="454" t="s">
        <v>105</v>
      </c>
      <c r="AI1329" s="455"/>
      <c r="AJ1329" s="455"/>
      <c r="AK1329" s="455"/>
      <c r="AL1329" s="455"/>
      <c r="AM1329" s="455"/>
      <c r="AN1329" s="455"/>
      <c r="AQ1329" s="456"/>
      <c r="AR1329" s="619"/>
      <c r="AU1329" s="619"/>
      <c r="AW1329" s="455" cm="1">
        <f t="array" ref="AW132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46409</v>
      </c>
      <c r="AX132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29" s="455">
        <f>IF(ISERROR(PV_DATA[[#This Row],[New Ark PO status]]),"",_xlfn.XLOOKUP(PV_DATA[[#This Row],[SPTN-PVHK New Ark PO'#]],New_Ark_Data[Purchase order Number],New_Ark_Data[Estimated time of arrival],"",0))</f>
        <v>0</v>
      </c>
      <c r="AZ1329" s="45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29" s="455">
        <f>IFERROR(PV_DATA[[#This Row],[ODP ETA Port]]+PV_DATA[[#This Row],[Customs/Leg3 Assumption]],"n/a")</f>
        <v>46416</v>
      </c>
      <c r="BB1329" s="452">
        <f>YEAR(PV_DATA[[#This Row],[ETA for New Ark update]])</f>
        <v>2027</v>
      </c>
      <c r="BC1329" s="450">
        <f>MONTH(PV_DATA[[#This Row],[ETA for New Ark update]])</f>
        <v>1</v>
      </c>
      <c r="BD1329" s="450">
        <f>IFERROR(_xlfn.ISOWEEKNUM(PV_DATA[[#This Row],[ETA for New Ark update]]),0)</f>
        <v>4</v>
      </c>
      <c r="BE1329" s="431">
        <f>_xlfn.XLOOKUP(PV_DATA[[#This Row],[New Ark SKU]],Table9[New Ark SKU],Table9[Total PCS per Pallet],,0)</f>
        <v>33</v>
      </c>
      <c r="BF1329" s="431">
        <v>594</v>
      </c>
      <c r="BG1329" s="431" t="str">
        <f>_xlfn.XLOOKUP(PV_DATA[[#This Row],[New Ark SKU]],Table9[New Ark SKU],Table9[Back Glass],,0)</f>
        <v>Redirection Film</v>
      </c>
      <c r="BH1329" s="731" t="str">
        <f>_xlfn.XLOOKUP(PV_DATA[[#This Row],[PORT DESTINATION]],Table12[PORT DESTINATION],Table12[Cosco Line],,0)</f>
        <v>AEU</v>
      </c>
      <c r="BJ1329" s="1187"/>
    </row>
    <row r="1330" spans="1:62" s="450" customFormat="1" hidden="1">
      <c r="A1330" s="1183" t="s">
        <v>7622</v>
      </c>
      <c r="B1330" s="1184" t="s">
        <v>111</v>
      </c>
      <c r="C1330" s="446" t="str">
        <f>IFERROR(LEFT(PV_DATA[[#This Row],[TCL REFERENCE]],FIND(".",PV_DATA[[#This Row],[TCL REFERENCE]],1)-1),"Main Line")</f>
        <v>26Oct003</v>
      </c>
      <c r="D1330" s="1184" t="s">
        <v>63</v>
      </c>
      <c r="E1330" s="439" t="s">
        <v>64</v>
      </c>
      <c r="F1330" s="439" t="str" cm="1">
        <f t="array" ref="F133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30" s="726" t="s">
        <v>402</v>
      </c>
      <c r="H1330" s="726" t="s">
        <v>67</v>
      </c>
      <c r="I1330" s="431" t="s">
        <v>689</v>
      </c>
      <c r="J1330" s="431" t="s">
        <v>96</v>
      </c>
      <c r="K1330" s="619"/>
      <c r="L1330" s="619"/>
      <c r="M1330" s="619" t="s">
        <v>68</v>
      </c>
      <c r="N1330" s="451">
        <v>46321</v>
      </c>
      <c r="O1330" s="999" t="s">
        <v>4540</v>
      </c>
      <c r="P1330" s="450" t="s">
        <v>7330</v>
      </c>
      <c r="Q1330" s="450" t="s">
        <v>1484</v>
      </c>
      <c r="R1330" s="430" t="str">
        <f>_xlfn.XLOOKUP(PV_DATA[[#This Row],[New Ark SKU]],Table9[New Ark SKU],Table9[Connector],,0)</f>
        <v>H4(Com)</v>
      </c>
      <c r="S1330" s="433" t="str">
        <f>_xlfn.XLOOKUP(PV_DATA[[#This Row],[New Ark SKU]],Table9[New Ark SKU],Table9[Cable],,0)</f>
        <v>±1400mm</v>
      </c>
      <c r="T1330" s="452">
        <v>725</v>
      </c>
      <c r="U1330" s="1063">
        <f>594*10</f>
        <v>5940</v>
      </c>
      <c r="V1330" s="453">
        <f>PV_DATA[[#This Row],[QUANTITY]]*PV_DATA[[#This Row],[WATT]]/1000000</f>
        <v>4.3064999999999998</v>
      </c>
      <c r="W1330" s="454">
        <f>PV_DATA[[#This Row],[QUANTITY]]/PV_DATA[[#This Row],[Qty/Pallet]]</f>
        <v>180</v>
      </c>
      <c r="X1330" s="1185">
        <f>PV_DATA[[#This Row],[QUANTITY]]/PV_DATA[[#This Row],[Qty/CT]]</f>
        <v>10</v>
      </c>
      <c r="Y1330" s="450" t="s">
        <v>4392</v>
      </c>
      <c r="Z1330" s="1186" t="str">
        <f t="shared" ref="Z1330" si="42">IF(AN1330&lt;&gt;"","COMPLETED",IF(AK1330&lt;&gt;"","IN-TRANSIT",""))</f>
        <v/>
      </c>
      <c r="AA1330" s="1382">
        <v>46321</v>
      </c>
      <c r="AB1330" s="455"/>
      <c r="AC1330" s="471" t="str">
        <f>IF(PV_DATA[[#This Row],[Pick-Up Date]]&lt;&gt;"",_xlfn.ISOWEEKNUM(PV_DATA[[#This Row],[Pick-Up Date]]),"")</f>
        <v/>
      </c>
      <c r="AE1330" s="452"/>
      <c r="AF1330" s="450" t="s">
        <v>122</v>
      </c>
      <c r="AG1330" s="450" t="s">
        <v>123</v>
      </c>
      <c r="AH1330" s="454" t="s">
        <v>105</v>
      </c>
      <c r="AI1330" s="455"/>
      <c r="AJ1330" s="455"/>
      <c r="AK1330" s="455"/>
      <c r="AL1330" s="455"/>
      <c r="AM1330" s="455"/>
      <c r="AN1330" s="455"/>
      <c r="AQ1330" s="456"/>
      <c r="AR1330" s="619"/>
      <c r="AU1330" s="619"/>
      <c r="AW1330" s="455" cm="1">
        <f t="array" ref="AW133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46423</v>
      </c>
      <c r="AX1330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30" s="455">
        <f>IF(ISERROR(PV_DATA[[#This Row],[New Ark PO status]]),"",_xlfn.XLOOKUP(PV_DATA[[#This Row],[SPTN-PVHK New Ark PO'#]],New_Ark_Data[Purchase order Number],New_Ark_Data[Estimated time of arrival],"",0))</f>
        <v>0</v>
      </c>
      <c r="AZ1330" s="45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30" s="455">
        <f>IFERROR(PV_DATA[[#This Row],[ODP ETA Port]]+PV_DATA[[#This Row],[Customs/Leg3 Assumption]],"n/a")</f>
        <v>46430</v>
      </c>
      <c r="BB1330" s="452">
        <f>YEAR(PV_DATA[[#This Row],[ETA for New Ark update]])</f>
        <v>2027</v>
      </c>
      <c r="BC1330" s="450">
        <f>MONTH(PV_DATA[[#This Row],[ETA for New Ark update]])</f>
        <v>2</v>
      </c>
      <c r="BD1330" s="450">
        <f>IFERROR(_xlfn.ISOWEEKNUM(PV_DATA[[#This Row],[ETA for New Ark update]]),0)</f>
        <v>6</v>
      </c>
      <c r="BE1330" s="431">
        <f>_xlfn.XLOOKUP(PV_DATA[[#This Row],[New Ark SKU]],Table9[New Ark SKU],Table9[Total PCS per Pallet],,0)</f>
        <v>33</v>
      </c>
      <c r="BF1330" s="431">
        <v>594</v>
      </c>
      <c r="BG1330" s="431" t="str">
        <f>_xlfn.XLOOKUP(PV_DATA[[#This Row],[New Ark SKU]],Table9[New Ark SKU],Table9[Back Glass],,0)</f>
        <v>Redirection Film</v>
      </c>
      <c r="BH1330" s="731" t="str">
        <f>_xlfn.XLOOKUP(PV_DATA[[#This Row],[PORT DESTINATION]],Table12[PORT DESTINATION],Table12[Cosco Line],,0)</f>
        <v>AEU</v>
      </c>
      <c r="BJ1330" s="1187"/>
    </row>
    <row r="1331" spans="1:62" s="450" customFormat="1" hidden="1">
      <c r="A1331" s="1183" t="s">
        <v>7623</v>
      </c>
      <c r="B1331" s="1184" t="s">
        <v>111</v>
      </c>
      <c r="C1331" s="446" t="str">
        <f>IFERROR(LEFT(PV_DATA[[#This Row],[TCL REFERENCE]],FIND(".",PV_DATA[[#This Row],[TCL REFERENCE]],1)-1),"Main Line")</f>
        <v>26Oct003</v>
      </c>
      <c r="D1331" s="1184" t="s">
        <v>63</v>
      </c>
      <c r="E1331" s="446" t="s">
        <v>64</v>
      </c>
      <c r="F1331" s="446" t="str" cm="1">
        <f t="array" ref="F133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331" s="1184" t="s">
        <v>402</v>
      </c>
      <c r="H1331" s="446" t="s">
        <v>115</v>
      </c>
      <c r="I1331" s="1184" t="s">
        <v>1395</v>
      </c>
      <c r="J1331" s="450" t="s">
        <v>96</v>
      </c>
      <c r="M1331" s="999" t="s">
        <v>68</v>
      </c>
      <c r="N1331" s="451">
        <v>46321</v>
      </c>
      <c r="O1331" s="999" t="s">
        <v>4540</v>
      </c>
      <c r="P1331" s="450" t="s">
        <v>7330</v>
      </c>
      <c r="Q1331" s="450" t="s">
        <v>1484</v>
      </c>
      <c r="R1331" s="430" t="str">
        <f>_xlfn.XLOOKUP(PV_DATA[[#This Row],[New Ark SKU]],Table9[New Ark SKU],Table9[Connector],,0)</f>
        <v>H4(Com)</v>
      </c>
      <c r="S1331" s="433" t="str">
        <f>_xlfn.XLOOKUP(PV_DATA[[#This Row],[New Ark SKU]],Table9[New Ark SKU],Table9[Cable],,0)</f>
        <v>±1400mm</v>
      </c>
      <c r="T1331" s="452">
        <v>725</v>
      </c>
      <c r="U1331" s="1063">
        <f>594*9</f>
        <v>5346</v>
      </c>
      <c r="V1331" s="453">
        <f>PV_DATA[[#This Row],[QUANTITY]]*PV_DATA[[#This Row],[WATT]]/1000000</f>
        <v>3.8758499999999998</v>
      </c>
      <c r="W1331" s="454">
        <f>PV_DATA[[#This Row],[QUANTITY]]/PV_DATA[[#This Row],[Qty/Pallet]]</f>
        <v>162</v>
      </c>
      <c r="X1331" s="1185">
        <f>PV_DATA[[#This Row],[QUANTITY]]/PV_DATA[[#This Row],[Qty/CT]]</f>
        <v>9</v>
      </c>
      <c r="Y1331" s="450" t="s">
        <v>4388</v>
      </c>
      <c r="Z1331" s="1186" t="str">
        <f t="shared" si="39"/>
        <v/>
      </c>
      <c r="AA1331" s="450" t="s">
        <v>7624</v>
      </c>
      <c r="AB1331" s="455"/>
      <c r="AC1331" s="471" t="str">
        <f>IF(PV_DATA[[#This Row],[Pick-Up Date]]&lt;&gt;"",_xlfn.ISOWEEKNUM(PV_DATA[[#This Row],[Pick-Up Date]]),"")</f>
        <v/>
      </c>
      <c r="AE1331" s="452"/>
      <c r="AF1331" s="450" t="s">
        <v>122</v>
      </c>
      <c r="AG1331" s="450" t="s">
        <v>123</v>
      </c>
      <c r="AH1331" s="999" t="s">
        <v>124</v>
      </c>
      <c r="AI1331" s="455"/>
      <c r="AJ1331" s="455"/>
      <c r="AK1331" s="455"/>
      <c r="AL1331" s="455"/>
      <c r="AM1331" s="455"/>
      <c r="AN1331" s="455"/>
      <c r="AQ1331" s="456" t="s">
        <v>161</v>
      </c>
      <c r="AR1331" s="619"/>
      <c r="AU1331" s="619"/>
      <c r="AW1331" s="455" cm="1">
        <f t="array" ref="AW133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46395</v>
      </c>
      <c r="AX133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31" s="455">
        <f>IF(ISERROR(PV_DATA[[#This Row],[New Ark PO status]]),"",_xlfn.XLOOKUP(PV_DATA[[#This Row],[SPTN-PVHK New Ark PO'#]],New_Ark_Data[Purchase order Number],New_Ark_Data[Estimated time of arrival],"",0))</f>
        <v>0</v>
      </c>
      <c r="AZ1331" s="45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331" s="455">
        <f>IFERROR(PV_DATA[[#This Row],[ODP ETA Port]]+PV_DATA[[#This Row],[Customs/Leg3 Assumption]],"n/a")</f>
        <v>46404</v>
      </c>
      <c r="BB1331" s="452">
        <f>YEAR(PV_DATA[[#This Row],[ETA for New Ark update]])</f>
        <v>2027</v>
      </c>
      <c r="BC1331" s="450">
        <f>MONTH(PV_DATA[[#This Row],[ETA for New Ark update]])</f>
        <v>1</v>
      </c>
      <c r="BD1331" s="450">
        <f>IFERROR(_xlfn.ISOWEEKNUM(PV_DATA[[#This Row],[ETA for New Ark update]]),0)</f>
        <v>2</v>
      </c>
      <c r="BE1331" s="431">
        <f>_xlfn.XLOOKUP(PV_DATA[[#This Row],[New Ark SKU]],Table9[New Ark SKU],Table9[Total PCS per Pallet],,0)</f>
        <v>33</v>
      </c>
      <c r="BF1331" s="431">
        <v>594</v>
      </c>
      <c r="BG1331" s="431" t="str">
        <f>_xlfn.XLOOKUP(PV_DATA[[#This Row],[New Ark SKU]],Table9[New Ark SKU],Table9[Back Glass],,0)</f>
        <v>Redirection Film</v>
      </c>
      <c r="BH1331" s="731" t="str">
        <f>_xlfn.XLOOKUP(PV_DATA[[#This Row],[PORT DESTINATION]],Table12[PORT DESTINATION],Table12[Cosco Line],,0)</f>
        <v>AEM</v>
      </c>
      <c r="BI1331" s="450" t="s">
        <v>7438</v>
      </c>
      <c r="BJ1331" s="1187"/>
    </row>
    <row r="1332" spans="1:62" s="450" customFormat="1" hidden="1">
      <c r="A1332" s="1183" t="s">
        <v>7625</v>
      </c>
      <c r="B1332" s="1184" t="s">
        <v>111</v>
      </c>
      <c r="C1332" s="446" t="str">
        <f>IFERROR(LEFT(PV_DATA[[#This Row],[TCL REFERENCE]],FIND(".",PV_DATA[[#This Row],[TCL REFERENCE]],1)-1),"Main Line")</f>
        <v>26Oct003</v>
      </c>
      <c r="D1332" s="1184" t="s">
        <v>63</v>
      </c>
      <c r="E1332" s="446" t="s">
        <v>64</v>
      </c>
      <c r="F1332" s="446" t="str" cm="1">
        <f t="array" ref="F133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332" s="1184" t="s">
        <v>402</v>
      </c>
      <c r="H1332" s="446" t="s">
        <v>115</v>
      </c>
      <c r="I1332" s="1184" t="s">
        <v>689</v>
      </c>
      <c r="J1332" s="450" t="s">
        <v>96</v>
      </c>
      <c r="M1332" s="999" t="s">
        <v>68</v>
      </c>
      <c r="N1332" s="451">
        <v>46321</v>
      </c>
      <c r="O1332" s="999" t="s">
        <v>4540</v>
      </c>
      <c r="P1332" s="450" t="s">
        <v>7330</v>
      </c>
      <c r="Q1332" s="450" t="s">
        <v>1484</v>
      </c>
      <c r="R1332" s="430" t="str">
        <f>_xlfn.XLOOKUP(PV_DATA[[#This Row],[New Ark SKU]],Table9[New Ark SKU],Table9[Connector],,0)</f>
        <v>H4(Com)</v>
      </c>
      <c r="S1332" s="433" t="str">
        <f>_xlfn.XLOOKUP(PV_DATA[[#This Row],[New Ark SKU]],Table9[New Ark SKU],Table9[Cable],,0)</f>
        <v>±1400mm</v>
      </c>
      <c r="T1332" s="452">
        <v>725</v>
      </c>
      <c r="U1332" s="1063">
        <f>594*5</f>
        <v>2970</v>
      </c>
      <c r="V1332" s="453">
        <f>PV_DATA[[#This Row],[QUANTITY]]*PV_DATA[[#This Row],[WATT]]/1000000</f>
        <v>2.1532499999999999</v>
      </c>
      <c r="W1332" s="454">
        <f>PV_DATA[[#This Row],[QUANTITY]]/PV_DATA[[#This Row],[Qty/Pallet]]</f>
        <v>90</v>
      </c>
      <c r="X1332" s="1185">
        <f>PV_DATA[[#This Row],[QUANTITY]]/PV_DATA[[#This Row],[Qty/CT]]</f>
        <v>5</v>
      </c>
      <c r="Y1332" s="450" t="s">
        <v>4392</v>
      </c>
      <c r="Z1332" s="1186" t="str">
        <f t="shared" si="39"/>
        <v/>
      </c>
      <c r="AA1332" s="450" t="s">
        <v>7626</v>
      </c>
      <c r="AB1332" s="455"/>
      <c r="AC1332" s="471" t="str">
        <f>IF(PV_DATA[[#This Row],[Pick-Up Date]]&lt;&gt;"",_xlfn.ISOWEEKNUM(PV_DATA[[#This Row],[Pick-Up Date]]),"")</f>
        <v/>
      </c>
      <c r="AE1332" s="452"/>
      <c r="AF1332" s="450" t="s">
        <v>122</v>
      </c>
      <c r="AG1332" s="450" t="s">
        <v>123</v>
      </c>
      <c r="AH1332" s="999" t="s">
        <v>124</v>
      </c>
      <c r="AI1332" s="455"/>
      <c r="AJ1332" s="455"/>
      <c r="AK1332" s="455"/>
      <c r="AL1332" s="455"/>
      <c r="AM1332" s="455"/>
      <c r="AN1332" s="455"/>
      <c r="AQ1332" s="456"/>
      <c r="AR1332" s="619"/>
      <c r="AU1332" s="619"/>
      <c r="AW1332" s="455" cm="1">
        <f t="array" ref="AW133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46423</v>
      </c>
      <c r="AX133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32" s="455">
        <f>IF(ISERROR(PV_DATA[[#This Row],[New Ark PO status]]),"",_xlfn.XLOOKUP(PV_DATA[[#This Row],[SPTN-PVHK New Ark PO'#]],New_Ark_Data[Purchase order Number],New_Ark_Data[Estimated time of arrival],"",0))</f>
        <v>0</v>
      </c>
      <c r="AZ1332" s="45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332" s="455">
        <f>IFERROR(PV_DATA[[#This Row],[ODP ETA Port]]+PV_DATA[[#This Row],[Customs/Leg3 Assumption]],"n/a")</f>
        <v>46432</v>
      </c>
      <c r="BB1332" s="452">
        <f>YEAR(PV_DATA[[#This Row],[ETA for New Ark update]])</f>
        <v>2027</v>
      </c>
      <c r="BC1332" s="450">
        <f>MONTH(PV_DATA[[#This Row],[ETA for New Ark update]])</f>
        <v>2</v>
      </c>
      <c r="BD1332" s="450">
        <f>IFERROR(_xlfn.ISOWEEKNUM(PV_DATA[[#This Row],[ETA for New Ark update]]),0)</f>
        <v>6</v>
      </c>
      <c r="BE1332" s="431">
        <f>_xlfn.XLOOKUP(PV_DATA[[#This Row],[New Ark SKU]],Table9[New Ark SKU],Table9[Total PCS per Pallet],,0)</f>
        <v>33</v>
      </c>
      <c r="BF1332" s="431">
        <v>594</v>
      </c>
      <c r="BG1332" s="431" t="str">
        <f>_xlfn.XLOOKUP(PV_DATA[[#This Row],[New Ark SKU]],Table9[New Ark SKU],Table9[Back Glass],,0)</f>
        <v>Redirection Film</v>
      </c>
      <c r="BH1332" s="731" t="str">
        <f>_xlfn.XLOOKUP(PV_DATA[[#This Row],[PORT DESTINATION]],Table12[PORT DESTINATION],Table12[Cosco Line],,0)</f>
        <v>AEM</v>
      </c>
      <c r="BJ1332" s="1187"/>
    </row>
    <row r="1333" spans="1:62" s="450" customFormat="1" hidden="1">
      <c r="A1333" s="1183" t="s">
        <v>7627</v>
      </c>
      <c r="B1333" s="1184" t="s">
        <v>111</v>
      </c>
      <c r="C1333" s="446" t="str">
        <f>IFERROR(LEFT(PV_DATA[[#This Row],[TCL REFERENCE]],FIND(".",PV_DATA[[#This Row],[TCL REFERENCE]],1)-1),"Main Line")</f>
        <v>26Oct003</v>
      </c>
      <c r="D1333" s="1184" t="s">
        <v>63</v>
      </c>
      <c r="E1333" s="446" t="s">
        <v>64</v>
      </c>
      <c r="F1333" s="446" t="str" cm="1">
        <f t="array" ref="F133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333" s="1184" t="s">
        <v>402</v>
      </c>
      <c r="H1333" s="446" t="s">
        <v>115</v>
      </c>
      <c r="I1333" s="1184" t="s">
        <v>689</v>
      </c>
      <c r="J1333" s="450" t="s">
        <v>96</v>
      </c>
      <c r="M1333" s="999" t="s">
        <v>68</v>
      </c>
      <c r="N1333" s="451">
        <v>46321</v>
      </c>
      <c r="O1333" s="999" t="s">
        <v>4540</v>
      </c>
      <c r="P1333" s="450" t="s">
        <v>7330</v>
      </c>
      <c r="Q1333" s="450" t="s">
        <v>1484</v>
      </c>
      <c r="R1333" s="430" t="str">
        <f>_xlfn.XLOOKUP(PV_DATA[[#This Row],[New Ark SKU]],Table9[New Ark SKU],Table9[Connector],,0)</f>
        <v>H4(Com)</v>
      </c>
      <c r="S1333" s="433" t="str">
        <f>_xlfn.XLOOKUP(PV_DATA[[#This Row],[New Ark SKU]],Table9[New Ark SKU],Table9[Cable],,0)</f>
        <v>±1400mm</v>
      </c>
      <c r="T1333" s="452">
        <v>725</v>
      </c>
      <c r="U1333" s="1063">
        <f>594*10</f>
        <v>5940</v>
      </c>
      <c r="V1333" s="453">
        <f>PV_DATA[[#This Row],[QUANTITY]]*PV_DATA[[#This Row],[WATT]]/1000000</f>
        <v>4.3064999999999998</v>
      </c>
      <c r="W1333" s="454">
        <f>PV_DATA[[#This Row],[QUANTITY]]/PV_DATA[[#This Row],[Qty/Pallet]]</f>
        <v>180</v>
      </c>
      <c r="X1333" s="1185">
        <f>PV_DATA[[#This Row],[QUANTITY]]/PV_DATA[[#This Row],[Qty/CT]]</f>
        <v>10</v>
      </c>
      <c r="Y1333" s="450" t="s">
        <v>7628</v>
      </c>
      <c r="Z1333" s="1186" t="str">
        <f t="shared" si="39"/>
        <v/>
      </c>
      <c r="AA1333" s="450" t="s">
        <v>7629</v>
      </c>
      <c r="AB1333" s="455"/>
      <c r="AC1333" s="471" t="str">
        <f>IF(PV_DATA[[#This Row],[Pick-Up Date]]&lt;&gt;"",_xlfn.ISOWEEKNUM(PV_DATA[[#This Row],[Pick-Up Date]]),"")</f>
        <v/>
      </c>
      <c r="AE1333" s="452"/>
      <c r="AF1333" s="450" t="s">
        <v>122</v>
      </c>
      <c r="AG1333" s="450" t="s">
        <v>123</v>
      </c>
      <c r="AH1333" s="999" t="s">
        <v>124</v>
      </c>
      <c r="AI1333" s="455"/>
      <c r="AJ1333" s="455"/>
      <c r="AK1333" s="455"/>
      <c r="AL1333" s="455"/>
      <c r="AM1333" s="455"/>
      <c r="AN1333" s="455"/>
      <c r="AQ1333" s="456"/>
      <c r="AR1333" s="619"/>
      <c r="AU1333" s="619"/>
      <c r="AW1333" s="455" cm="1">
        <f t="array" ref="AW133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46087</v>
      </c>
      <c r="AX133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33" s="455">
        <f>IF(ISERROR(PV_DATA[[#This Row],[New Ark PO status]]),"",_xlfn.XLOOKUP(PV_DATA[[#This Row],[SPTN-PVHK New Ark PO'#]],New_Ark_Data[Purchase order Number],New_Ark_Data[Estimated time of arrival],"",0))</f>
        <v>0</v>
      </c>
      <c r="AZ1333" s="45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333" s="455">
        <f>IFERROR(PV_DATA[[#This Row],[ODP ETA Port]]+PV_DATA[[#This Row],[Customs/Leg3 Assumption]],"n/a")</f>
        <v>46096</v>
      </c>
      <c r="BB1333" s="452">
        <f>YEAR(PV_DATA[[#This Row],[ETA for New Ark update]])</f>
        <v>2026</v>
      </c>
      <c r="BC1333" s="450">
        <f>MONTH(PV_DATA[[#This Row],[ETA for New Ark update]])</f>
        <v>3</v>
      </c>
      <c r="BD1333" s="450">
        <f>IFERROR(_xlfn.ISOWEEKNUM(PV_DATA[[#This Row],[ETA for New Ark update]]),0)</f>
        <v>11</v>
      </c>
      <c r="BE1333" s="431">
        <f>_xlfn.XLOOKUP(PV_DATA[[#This Row],[New Ark SKU]],Table9[New Ark SKU],Table9[Total PCS per Pallet],,0)</f>
        <v>33</v>
      </c>
      <c r="BF1333" s="431">
        <v>594</v>
      </c>
      <c r="BG1333" s="431" t="str">
        <f>_xlfn.XLOOKUP(PV_DATA[[#This Row],[New Ark SKU]],Table9[New Ark SKU],Table9[Back Glass],,0)</f>
        <v>Redirection Film</v>
      </c>
      <c r="BH1333" s="731" t="str">
        <f>_xlfn.XLOOKUP(PV_DATA[[#This Row],[PORT DESTINATION]],Table12[PORT DESTINATION],Table12[Cosco Line],,0)</f>
        <v>AEM</v>
      </c>
      <c r="BJ1333" s="1187"/>
    </row>
    <row r="1334" spans="1:62" s="450" customFormat="1" hidden="1">
      <c r="A1334" s="1183" t="s">
        <v>7630</v>
      </c>
      <c r="B1334" s="1184" t="s">
        <v>111</v>
      </c>
      <c r="C1334" s="446" t="str">
        <f>IFERROR(LEFT(PV_DATA[[#This Row],[TCL REFERENCE]],FIND(".",PV_DATA[[#This Row],[TCL REFERENCE]],1)-1),"Main Line")</f>
        <v>26Oct003</v>
      </c>
      <c r="D1334" s="1184" t="s">
        <v>63</v>
      </c>
      <c r="E1334" s="446" t="s">
        <v>64</v>
      </c>
      <c r="F1334" s="446" t="str" cm="1">
        <f t="array" ref="F133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334" s="1184" t="s">
        <v>402</v>
      </c>
      <c r="H1334" s="446" t="s">
        <v>115</v>
      </c>
      <c r="I1334" s="1184" t="s">
        <v>689</v>
      </c>
      <c r="J1334" s="450" t="s">
        <v>96</v>
      </c>
      <c r="M1334" s="999" t="s">
        <v>68</v>
      </c>
      <c r="N1334" s="451">
        <v>46321</v>
      </c>
      <c r="O1334" s="999" t="s">
        <v>4540</v>
      </c>
      <c r="P1334" s="450" t="s">
        <v>7330</v>
      </c>
      <c r="Q1334" s="450" t="s">
        <v>1484</v>
      </c>
      <c r="R1334" s="430" t="str">
        <f>_xlfn.XLOOKUP(PV_DATA[[#This Row],[New Ark SKU]],Table9[New Ark SKU],Table9[Connector],,0)</f>
        <v>H4(Com)</v>
      </c>
      <c r="S1334" s="433" t="str">
        <f>_xlfn.XLOOKUP(PV_DATA[[#This Row],[New Ark SKU]],Table9[New Ark SKU],Table9[Cable],,0)</f>
        <v>±1400mm</v>
      </c>
      <c r="T1334" s="452">
        <v>725</v>
      </c>
      <c r="U1334" s="1063">
        <f>594*10</f>
        <v>5940</v>
      </c>
      <c r="V1334" s="453">
        <f>PV_DATA[[#This Row],[QUANTITY]]*PV_DATA[[#This Row],[WATT]]/1000000</f>
        <v>4.3064999999999998</v>
      </c>
      <c r="W1334" s="454">
        <f>PV_DATA[[#This Row],[QUANTITY]]/PV_DATA[[#This Row],[Qty/Pallet]]</f>
        <v>180</v>
      </c>
      <c r="X1334" s="1185">
        <f>PV_DATA[[#This Row],[QUANTITY]]/PV_DATA[[#This Row],[Qty/CT]]</f>
        <v>10</v>
      </c>
      <c r="Y1334" s="450" t="s">
        <v>7631</v>
      </c>
      <c r="Z1334" s="1186" t="str">
        <f t="shared" si="39"/>
        <v/>
      </c>
      <c r="AA1334" s="450" t="s">
        <v>7632</v>
      </c>
      <c r="AB1334" s="455"/>
      <c r="AC1334" s="471" t="str">
        <f>IF(PV_DATA[[#This Row],[Pick-Up Date]]&lt;&gt;"",_xlfn.ISOWEEKNUM(PV_DATA[[#This Row],[Pick-Up Date]]),"")</f>
        <v/>
      </c>
      <c r="AE1334" s="452"/>
      <c r="AF1334" s="450" t="s">
        <v>122</v>
      </c>
      <c r="AG1334" s="450" t="s">
        <v>123</v>
      </c>
      <c r="AH1334" s="999" t="s">
        <v>124</v>
      </c>
      <c r="AI1334" s="455"/>
      <c r="AJ1334" s="455"/>
      <c r="AK1334" s="455"/>
      <c r="AL1334" s="455"/>
      <c r="AM1334" s="455"/>
      <c r="AN1334" s="455"/>
      <c r="AQ1334" s="456"/>
      <c r="AR1334" s="619"/>
      <c r="AU1334" s="619"/>
      <c r="AW1334" s="455" cm="1">
        <f t="array" ref="AW133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46143</v>
      </c>
      <c r="AX133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34" s="455">
        <f>IF(ISERROR(PV_DATA[[#This Row],[New Ark PO status]]),"",_xlfn.XLOOKUP(PV_DATA[[#This Row],[SPTN-PVHK New Ark PO'#]],New_Ark_Data[Purchase order Number],New_Ark_Data[Estimated time of arrival],"",0))</f>
        <v>0</v>
      </c>
      <c r="AZ1334" s="45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334" s="455">
        <f>IFERROR(PV_DATA[[#This Row],[ODP ETA Port]]+PV_DATA[[#This Row],[Customs/Leg3 Assumption]],"n/a")</f>
        <v>46152</v>
      </c>
      <c r="BB1334" s="452">
        <f>YEAR(PV_DATA[[#This Row],[ETA for New Ark update]])</f>
        <v>2026</v>
      </c>
      <c r="BC1334" s="450">
        <f>MONTH(PV_DATA[[#This Row],[ETA for New Ark update]])</f>
        <v>5</v>
      </c>
      <c r="BD1334" s="450">
        <f>IFERROR(_xlfn.ISOWEEKNUM(PV_DATA[[#This Row],[ETA for New Ark update]]),0)</f>
        <v>19</v>
      </c>
      <c r="BE1334" s="431">
        <f>_xlfn.XLOOKUP(PV_DATA[[#This Row],[New Ark SKU]],Table9[New Ark SKU],Table9[Total PCS per Pallet],,0)</f>
        <v>33</v>
      </c>
      <c r="BF1334" s="431">
        <v>594</v>
      </c>
      <c r="BG1334" s="431" t="str">
        <f>_xlfn.XLOOKUP(PV_DATA[[#This Row],[New Ark SKU]],Table9[New Ark SKU],Table9[Back Glass],,0)</f>
        <v>Redirection Film</v>
      </c>
      <c r="BH1334" s="731" t="str">
        <f>_xlfn.XLOOKUP(PV_DATA[[#This Row],[PORT DESTINATION]],Table12[PORT DESTINATION],Table12[Cosco Line],,0)</f>
        <v>AEM</v>
      </c>
      <c r="BJ1334" s="1187"/>
    </row>
    <row r="1335" spans="1:62" s="450" customFormat="1" hidden="1">
      <c r="A1335" s="1183" t="s">
        <v>7633</v>
      </c>
      <c r="B1335" s="1184" t="s">
        <v>111</v>
      </c>
      <c r="C1335" s="446" t="str">
        <f>IFERROR(LEFT(PV_DATA[[#This Row],[TCL REFERENCE]],FIND(".",PV_DATA[[#This Row],[TCL REFERENCE]],1)-1),"Main Line")</f>
        <v>26Oct003</v>
      </c>
      <c r="D1335" s="1184" t="s">
        <v>63</v>
      </c>
      <c r="E1335" s="446" t="s">
        <v>64</v>
      </c>
      <c r="F1335" s="446" t="str" cm="1">
        <f t="array" ref="F133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335" s="1184" t="s">
        <v>402</v>
      </c>
      <c r="H1335" s="446" t="s">
        <v>115</v>
      </c>
      <c r="I1335" s="1184" t="s">
        <v>689</v>
      </c>
      <c r="J1335" s="450" t="s">
        <v>96</v>
      </c>
      <c r="M1335" s="999" t="s">
        <v>68</v>
      </c>
      <c r="N1335" s="451">
        <v>46321</v>
      </c>
      <c r="O1335" s="999" t="s">
        <v>4540</v>
      </c>
      <c r="P1335" s="450" t="s">
        <v>7330</v>
      </c>
      <c r="Q1335" s="450" t="s">
        <v>1484</v>
      </c>
      <c r="R1335" s="430" t="str">
        <f>_xlfn.XLOOKUP(PV_DATA[[#This Row],[New Ark SKU]],Table9[New Ark SKU],Table9[Connector],,0)</f>
        <v>H4(Com)</v>
      </c>
      <c r="S1335" s="433" t="str">
        <f>_xlfn.XLOOKUP(PV_DATA[[#This Row],[New Ark SKU]],Table9[New Ark SKU],Table9[Cable],,0)</f>
        <v>±1400mm</v>
      </c>
      <c r="T1335" s="452">
        <v>725</v>
      </c>
      <c r="U1335" s="1063">
        <f>594*6</f>
        <v>3564</v>
      </c>
      <c r="V1335" s="453">
        <f>PV_DATA[[#This Row],[QUANTITY]]*PV_DATA[[#This Row],[WATT]]/1000000</f>
        <v>2.5838999999999999</v>
      </c>
      <c r="W1335" s="454">
        <f>PV_DATA[[#This Row],[QUANTITY]]/PV_DATA[[#This Row],[Qty/Pallet]]</f>
        <v>108</v>
      </c>
      <c r="X1335" s="1185">
        <f>PV_DATA[[#This Row],[QUANTITY]]/PV_DATA[[#This Row],[Qty/CT]]</f>
        <v>6</v>
      </c>
      <c r="Y1335" s="450" t="s">
        <v>2152</v>
      </c>
      <c r="Z1335" s="1186" t="str">
        <f t="shared" ref="Z1335" si="43">IF(AN1335&lt;&gt;"","COMPLETED",IF(AK1335&lt;&gt;"","IN-TRANSIT",""))</f>
        <v/>
      </c>
      <c r="AA1335" s="450" t="s">
        <v>7634</v>
      </c>
      <c r="AB1335" s="455"/>
      <c r="AC1335" s="471" t="str">
        <f>IF(PV_DATA[[#This Row],[Pick-Up Date]]&lt;&gt;"",_xlfn.ISOWEEKNUM(PV_DATA[[#This Row],[Pick-Up Date]]),"")</f>
        <v/>
      </c>
      <c r="AE1335" s="452"/>
      <c r="AF1335" s="450" t="s">
        <v>122</v>
      </c>
      <c r="AG1335" s="450" t="s">
        <v>123</v>
      </c>
      <c r="AH1335" s="999" t="s">
        <v>124</v>
      </c>
      <c r="AI1335" s="455"/>
      <c r="AJ1335" s="455"/>
      <c r="AK1335" s="455"/>
      <c r="AL1335" s="455"/>
      <c r="AM1335" s="455"/>
      <c r="AN1335" s="455"/>
      <c r="AQ1335" s="456"/>
      <c r="AR1335" s="619"/>
      <c r="AU1335" s="619"/>
      <c r="AW1335" s="455" cm="1">
        <f t="array" ref="AW133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46185</v>
      </c>
      <c r="AX133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35" s="455">
        <f>IF(ISERROR(PV_DATA[[#This Row],[New Ark PO status]]),"",_xlfn.XLOOKUP(PV_DATA[[#This Row],[SPTN-PVHK New Ark PO'#]],New_Ark_Data[Purchase order Number],New_Ark_Data[Estimated time of arrival],"",0))</f>
        <v>0</v>
      </c>
      <c r="AZ1335" s="45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335" s="455">
        <f>IFERROR(PV_DATA[[#This Row],[ODP ETA Port]]+PV_DATA[[#This Row],[Customs/Leg3 Assumption]],"n/a")</f>
        <v>46194</v>
      </c>
      <c r="BB1335" s="452">
        <f>YEAR(PV_DATA[[#This Row],[ETA for New Ark update]])</f>
        <v>2026</v>
      </c>
      <c r="BC1335" s="450">
        <f>MONTH(PV_DATA[[#This Row],[ETA for New Ark update]])</f>
        <v>6</v>
      </c>
      <c r="BD1335" s="450">
        <f>IFERROR(_xlfn.ISOWEEKNUM(PV_DATA[[#This Row],[ETA for New Ark update]]),0)</f>
        <v>25</v>
      </c>
      <c r="BE1335" s="431">
        <f>_xlfn.XLOOKUP(PV_DATA[[#This Row],[New Ark SKU]],Table9[New Ark SKU],Table9[Total PCS per Pallet],,0)</f>
        <v>33</v>
      </c>
      <c r="BF1335" s="431">
        <v>594</v>
      </c>
      <c r="BG1335" s="431" t="str">
        <f>_xlfn.XLOOKUP(PV_DATA[[#This Row],[New Ark SKU]],Table9[New Ark SKU],Table9[Back Glass],,0)</f>
        <v>Redirection Film</v>
      </c>
      <c r="BH1335" s="731" t="str">
        <f>_xlfn.XLOOKUP(PV_DATA[[#This Row],[PORT DESTINATION]],Table12[PORT DESTINATION],Table12[Cosco Line],,0)</f>
        <v>AEM</v>
      </c>
      <c r="BJ1335" s="1187"/>
    </row>
    <row r="1336" spans="1:62" s="450" customFormat="1" hidden="1">
      <c r="A1336" s="1183" t="s">
        <v>7635</v>
      </c>
      <c r="B1336" s="1184" t="s">
        <v>111</v>
      </c>
      <c r="C1336" s="446" t="str">
        <f>IFERROR(LEFT(PV_DATA[[#This Row],[TCL REFERENCE]],FIND(".",PV_DATA[[#This Row],[TCL REFERENCE]],1)-1),"Main Line")</f>
        <v>Main Line</v>
      </c>
      <c r="D1336" s="1184" t="s">
        <v>63</v>
      </c>
      <c r="E1336" s="439" t="s">
        <v>68</v>
      </c>
      <c r="F1336" s="439" t="str" cm="1">
        <f t="array" ref="F1336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36" s="726" t="s">
        <v>68</v>
      </c>
      <c r="H1336" s="726" t="s">
        <v>68</v>
      </c>
      <c r="I1336" s="431" t="s">
        <v>68</v>
      </c>
      <c r="J1336" s="619" t="s">
        <v>68</v>
      </c>
      <c r="K1336" s="619"/>
      <c r="L1336" s="619"/>
      <c r="M1336" s="619" t="s">
        <v>68</v>
      </c>
      <c r="N1336" s="451">
        <v>46321</v>
      </c>
      <c r="O1336" s="999" t="s">
        <v>4540</v>
      </c>
      <c r="P1336" s="450" t="s">
        <v>7336</v>
      </c>
      <c r="Q1336" s="450" t="s">
        <v>1682</v>
      </c>
      <c r="R1336" s="430" t="str">
        <f>_xlfn.XLOOKUP(PV_DATA[[#This Row],[New Ark SKU]],Table9[New Ark SKU],Table9[Connector],,0)</f>
        <v>H4(Com)</v>
      </c>
      <c r="S1336" s="433" t="str">
        <f>_xlfn.XLOOKUP(PV_DATA[[#This Row],[New Ark SKU]],Table9[New Ark SKU],Table9[Cable],,0)</f>
        <v>±1400mm</v>
      </c>
      <c r="T1336" s="452">
        <v>730</v>
      </c>
      <c r="U1336" s="1063" cm="1">
        <f t="array" ref="U1336">48114-fx_qty</f>
        <v>594</v>
      </c>
      <c r="V1336" s="453">
        <f>PV_DATA[[#This Row],[QUANTITY]]*PV_DATA[[#This Row],[WATT]]/1000000</f>
        <v>0.43362000000000001</v>
      </c>
      <c r="W1336" s="454">
        <f>PV_DATA[[#This Row],[QUANTITY]]/PV_DATA[[#This Row],[Qty/Pallet]]</f>
        <v>18</v>
      </c>
      <c r="X1336" s="1185">
        <f>PV_DATA[[#This Row],[QUANTITY]]/PV_DATA[[#This Row],[Qty/CT]]</f>
        <v>1</v>
      </c>
      <c r="Y1336" s="450" t="s">
        <v>7039</v>
      </c>
      <c r="Z1336" s="1186" t="str">
        <f t="shared" si="39"/>
        <v/>
      </c>
      <c r="AA1336" s="1382">
        <v>46319</v>
      </c>
      <c r="AB1336" s="455"/>
      <c r="AC1336" s="471" t="str">
        <f>IF(PV_DATA[[#This Row],[Pick-Up Date]]&lt;&gt;"",_xlfn.ISOWEEKNUM(PV_DATA[[#This Row],[Pick-Up Date]]),"")</f>
        <v/>
      </c>
      <c r="AE1336" s="452"/>
      <c r="AF1336" s="450" t="s">
        <v>122</v>
      </c>
      <c r="AG1336" s="450" t="s">
        <v>123</v>
      </c>
      <c r="AH1336" s="454"/>
      <c r="AI1336" s="455"/>
      <c r="AJ1336" s="455"/>
      <c r="AK1336" s="455"/>
      <c r="AL1336" s="455"/>
      <c r="AM1336" s="455"/>
      <c r="AN1336" s="455"/>
      <c r="AQ1336" s="456"/>
      <c r="AR1336" s="619"/>
      <c r="AU1336" s="619"/>
      <c r="AW1336" s="455" t="str" cm="1">
        <f t="array" ref="AW133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3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36" s="455" t="str">
        <f>IF(ISERROR(PV_DATA[[#This Row],[New Ark PO status]]),"",_xlfn.XLOOKUP(PV_DATA[[#This Row],[SPTN-PVHK New Ark PO'#]],New_Ark_Data[Purchase order Number],New_Ark_Data[Estimated time of arrival],"",0))</f>
        <v/>
      </c>
      <c r="AZ1336" s="45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36" s="455" t="str">
        <f>IFERROR(PV_DATA[[#This Row],[ODP ETA Port]]+PV_DATA[[#This Row],[Customs/Leg3 Assumption]],"n/a")</f>
        <v>n/a</v>
      </c>
      <c r="BB1336" s="452" t="e">
        <f>YEAR(PV_DATA[[#This Row],[ETA for New Ark update]])</f>
        <v>#VALUE!</v>
      </c>
      <c r="BC1336" s="450" t="e">
        <f>MONTH(PV_DATA[[#This Row],[ETA for New Ark update]])</f>
        <v>#VALUE!</v>
      </c>
      <c r="BD1336" s="450">
        <f>IFERROR(_xlfn.ISOWEEKNUM(PV_DATA[[#This Row],[ETA for New Ark update]]),0)</f>
        <v>0</v>
      </c>
      <c r="BE1336" s="431">
        <v>33</v>
      </c>
      <c r="BF1336" s="431">
        <v>594</v>
      </c>
      <c r="BG1336" s="431" t="str">
        <f>_xlfn.XLOOKUP(PV_DATA[[#This Row],[New Ark SKU]],Table9[New Ark SKU],Table9[Back Glass],,0)</f>
        <v>Redirection Film</v>
      </c>
      <c r="BH1336" s="731">
        <f>_xlfn.XLOOKUP(PV_DATA[[#This Row],[PORT DESTINATION]],Table12[PORT DESTINATION],Table12[Cosco Line],,0)</f>
        <v>0</v>
      </c>
      <c r="BJ1336" s="1187"/>
    </row>
    <row r="1337" spans="1:62" s="450" customFormat="1" hidden="1">
      <c r="A1337" s="1183" t="s">
        <v>7636</v>
      </c>
      <c r="B1337" s="1184" t="s">
        <v>111</v>
      </c>
      <c r="C1337" s="446" t="str">
        <f>IFERROR(LEFT(PV_DATA[[#This Row],[TCL REFERENCE]],FIND(".",PV_DATA[[#This Row],[TCL REFERENCE]],1)-1),"Main Line")</f>
        <v>26Oct004</v>
      </c>
      <c r="D1337" s="1184" t="s">
        <v>63</v>
      </c>
      <c r="E1337" s="439" t="s">
        <v>64</v>
      </c>
      <c r="F1337" s="439" t="str" cm="1">
        <f t="array" ref="F133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37" s="726" t="s">
        <v>402</v>
      </c>
      <c r="H1337" s="726" t="s">
        <v>67</v>
      </c>
      <c r="I1337" s="431" t="s">
        <v>689</v>
      </c>
      <c r="J1337" s="431" t="s">
        <v>96</v>
      </c>
      <c r="K1337" s="619"/>
      <c r="L1337" s="619"/>
      <c r="M1337" s="619" t="s">
        <v>68</v>
      </c>
      <c r="N1337" s="451">
        <v>46321</v>
      </c>
      <c r="O1337" s="999" t="s">
        <v>4540</v>
      </c>
      <c r="P1337" s="450" t="s">
        <v>7336</v>
      </c>
      <c r="Q1337" s="450" t="s">
        <v>1682</v>
      </c>
      <c r="R1337" s="430" t="str">
        <f>_xlfn.XLOOKUP(PV_DATA[[#This Row],[New Ark SKU]],Table9[New Ark SKU],Table9[Connector],,0)</f>
        <v>H4(Com)</v>
      </c>
      <c r="S1337" s="433" t="str">
        <f>_xlfn.XLOOKUP(PV_DATA[[#This Row],[New Ark SKU]],Table9[New Ark SKU],Table9[Cable],,0)</f>
        <v>±1400mm</v>
      </c>
      <c r="T1337" s="452">
        <v>730</v>
      </c>
      <c r="U1337" s="1063">
        <f>594*10</f>
        <v>5940</v>
      </c>
      <c r="V1337" s="453">
        <f>PV_DATA[[#This Row],[QUANTITY]]*PV_DATA[[#This Row],[WATT]]/1000000</f>
        <v>4.3361999999999998</v>
      </c>
      <c r="W1337" s="454">
        <f>PV_DATA[[#This Row],[QUANTITY]]/PV_DATA[[#This Row],[Qty/Pallet]]</f>
        <v>180</v>
      </c>
      <c r="X1337" s="1478">
        <f>PV_DATA[[#This Row],[QUANTITY]]/PV_DATA[[#This Row],[Qty/CT]]</f>
        <v>10</v>
      </c>
      <c r="Y1337" s="450" t="s">
        <v>4388</v>
      </c>
      <c r="Z1337" s="1186" t="str">
        <f t="shared" ref="Z1337" si="44">IF(AN1337&lt;&gt;"","COMPLETED",IF(AK1337&lt;&gt;"","IN-TRANSIT",""))</f>
        <v/>
      </c>
      <c r="AA1337" s="1382">
        <v>46321</v>
      </c>
      <c r="AB1337" s="455"/>
      <c r="AC1337" s="471" t="str">
        <f>IF(PV_DATA[[#This Row],[Pick-Up Date]]&lt;&gt;"",_xlfn.ISOWEEKNUM(PV_DATA[[#This Row],[Pick-Up Date]]),"")</f>
        <v/>
      </c>
      <c r="AE1337" s="452"/>
      <c r="AF1337" s="450" t="s">
        <v>122</v>
      </c>
      <c r="AG1337" s="450" t="s">
        <v>123</v>
      </c>
      <c r="AH1337" s="454" t="s">
        <v>105</v>
      </c>
      <c r="AI1337" s="455"/>
      <c r="AJ1337" s="455"/>
      <c r="AK1337" s="455"/>
      <c r="AL1337" s="455"/>
      <c r="AM1337" s="455"/>
      <c r="AN1337" s="455"/>
      <c r="AQ1337" s="456"/>
      <c r="AR1337" s="619"/>
      <c r="AU1337" s="619"/>
      <c r="AW1337" s="455" cm="1">
        <f t="array" ref="AW133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46395</v>
      </c>
      <c r="AX133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37" s="455">
        <f>IF(ISERROR(PV_DATA[[#This Row],[New Ark PO status]]),"",_xlfn.XLOOKUP(PV_DATA[[#This Row],[SPTN-PVHK New Ark PO'#]],New_Ark_Data[Purchase order Number],New_Ark_Data[Estimated time of arrival],"",0))</f>
        <v>0</v>
      </c>
      <c r="AZ1337" s="45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37" s="455">
        <f>IFERROR(PV_DATA[[#This Row],[ODP ETA Port]]+PV_DATA[[#This Row],[Customs/Leg3 Assumption]],"n/a")</f>
        <v>46402</v>
      </c>
      <c r="BB1337" s="452">
        <f>YEAR(PV_DATA[[#This Row],[ETA for New Ark update]])</f>
        <v>2027</v>
      </c>
      <c r="BC1337" s="450">
        <f>MONTH(PV_DATA[[#This Row],[ETA for New Ark update]])</f>
        <v>1</v>
      </c>
      <c r="BD1337" s="450">
        <f>IFERROR(_xlfn.ISOWEEKNUM(PV_DATA[[#This Row],[ETA for New Ark update]]),0)</f>
        <v>2</v>
      </c>
      <c r="BE1337" s="431">
        <v>33</v>
      </c>
      <c r="BF1337" s="431">
        <v>594</v>
      </c>
      <c r="BG1337" s="431" t="str">
        <f>_xlfn.XLOOKUP(PV_DATA[[#This Row],[New Ark SKU]],Table9[New Ark SKU],Table9[Back Glass],,0)</f>
        <v>Redirection Film</v>
      </c>
      <c r="BH1337" s="731" t="str">
        <f>_xlfn.XLOOKUP(PV_DATA[[#This Row],[PORT DESTINATION]],Table12[PORT DESTINATION],Table12[Cosco Line],,0)</f>
        <v>AEU</v>
      </c>
      <c r="BJ1337" s="1187"/>
    </row>
    <row r="1338" spans="1:62" s="450" customFormat="1" hidden="1">
      <c r="A1338" s="1183" t="s">
        <v>7637</v>
      </c>
      <c r="B1338" s="1184" t="s">
        <v>111</v>
      </c>
      <c r="C1338" s="446" t="str">
        <f>IFERROR(LEFT(PV_DATA[[#This Row],[TCL REFERENCE]],FIND(".",PV_DATA[[#This Row],[TCL REFERENCE]],1)-1),"Main Line")</f>
        <v>26Oct004</v>
      </c>
      <c r="D1338" s="1184" t="s">
        <v>63</v>
      </c>
      <c r="E1338" s="439" t="s">
        <v>64</v>
      </c>
      <c r="F1338" s="439" t="str" cm="1">
        <f t="array" ref="F133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38" s="726" t="s">
        <v>402</v>
      </c>
      <c r="H1338" s="726" t="s">
        <v>67</v>
      </c>
      <c r="I1338" s="431" t="s">
        <v>689</v>
      </c>
      <c r="J1338" s="431" t="s">
        <v>96</v>
      </c>
      <c r="K1338" s="619"/>
      <c r="L1338" s="619"/>
      <c r="M1338" s="619" t="s">
        <v>68</v>
      </c>
      <c r="N1338" s="451">
        <v>46321</v>
      </c>
      <c r="O1338" s="999" t="s">
        <v>4540</v>
      </c>
      <c r="P1338" s="450" t="s">
        <v>7336</v>
      </c>
      <c r="Q1338" s="450" t="s">
        <v>1682</v>
      </c>
      <c r="R1338" s="430" t="str">
        <f>_xlfn.XLOOKUP(PV_DATA[[#This Row],[New Ark SKU]],Table9[New Ark SKU],Table9[Connector],,0)</f>
        <v>H4(Com)</v>
      </c>
      <c r="S1338" s="433" t="str">
        <f>_xlfn.XLOOKUP(PV_DATA[[#This Row],[New Ark SKU]],Table9[New Ark SKU],Table9[Cable],,0)</f>
        <v>±1400mm</v>
      </c>
      <c r="T1338" s="452">
        <v>730</v>
      </c>
      <c r="U1338" s="1063">
        <f>594*10</f>
        <v>5940</v>
      </c>
      <c r="V1338" s="453">
        <f>PV_DATA[[#This Row],[QUANTITY]]*PV_DATA[[#This Row],[WATT]]/1000000</f>
        <v>4.3361999999999998</v>
      </c>
      <c r="W1338" s="454">
        <f>PV_DATA[[#This Row],[QUANTITY]]/PV_DATA[[#This Row],[Qty/Pallet]]</f>
        <v>180</v>
      </c>
      <c r="X1338" s="1185">
        <f>PV_DATA[[#This Row],[QUANTITY]]/PV_DATA[[#This Row],[Qty/CT]]</f>
        <v>10</v>
      </c>
      <c r="Y1338" s="450" t="s">
        <v>4391</v>
      </c>
      <c r="Z1338" s="1186" t="str">
        <f t="shared" ref="Z1338" si="45">IF(AN1338&lt;&gt;"","COMPLETED",IF(AK1338&lt;&gt;"","IN-TRANSIT",""))</f>
        <v/>
      </c>
      <c r="AA1338" s="1382">
        <v>46322</v>
      </c>
      <c r="AB1338" s="455"/>
      <c r="AC1338" s="471" t="str">
        <f>IF(PV_DATA[[#This Row],[Pick-Up Date]]&lt;&gt;"",_xlfn.ISOWEEKNUM(PV_DATA[[#This Row],[Pick-Up Date]]),"")</f>
        <v/>
      </c>
      <c r="AE1338" s="452"/>
      <c r="AF1338" s="450" t="s">
        <v>122</v>
      </c>
      <c r="AG1338" s="450" t="s">
        <v>123</v>
      </c>
      <c r="AH1338" s="454" t="s">
        <v>105</v>
      </c>
      <c r="AI1338" s="455"/>
      <c r="AJ1338" s="455"/>
      <c r="AK1338" s="455"/>
      <c r="AL1338" s="455"/>
      <c r="AM1338" s="455"/>
      <c r="AN1338" s="455"/>
      <c r="AQ1338" s="456"/>
      <c r="AR1338" s="619"/>
      <c r="AU1338" s="619"/>
      <c r="AW1338" s="455" cm="1">
        <f t="array" ref="AW133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0</v>
      </c>
      <c r="AX133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38" s="455">
        <f>IF(ISERROR(PV_DATA[[#This Row],[New Ark PO status]]),"",_xlfn.XLOOKUP(PV_DATA[[#This Row],[SPTN-PVHK New Ark PO'#]],New_Ark_Data[Purchase order Number],New_Ark_Data[Estimated time of arrival],"",0))</f>
        <v>0</v>
      </c>
      <c r="AZ1338" s="45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38" s="455">
        <f>IFERROR(PV_DATA[[#This Row],[ODP ETA Port]]+PV_DATA[[#This Row],[Customs/Leg3 Assumption]],"n/a")</f>
        <v>7</v>
      </c>
      <c r="BB1338" s="452">
        <f>YEAR(PV_DATA[[#This Row],[ETA for New Ark update]])</f>
        <v>1900</v>
      </c>
      <c r="BC1338" s="450">
        <f>MONTH(PV_DATA[[#This Row],[ETA for New Ark update]])</f>
        <v>1</v>
      </c>
      <c r="BD1338" s="450">
        <f>IFERROR(_xlfn.ISOWEEKNUM(PV_DATA[[#This Row],[ETA for New Ark update]]),0)</f>
        <v>1</v>
      </c>
      <c r="BE1338" s="431">
        <v>33</v>
      </c>
      <c r="BF1338" s="431">
        <v>594</v>
      </c>
      <c r="BG1338" s="431" t="str">
        <f>_xlfn.XLOOKUP(PV_DATA[[#This Row],[New Ark SKU]],Table9[New Ark SKU],Table9[Back Glass],,0)</f>
        <v>Redirection Film</v>
      </c>
      <c r="BH1338" s="731" t="str">
        <f>_xlfn.XLOOKUP(PV_DATA[[#This Row],[PORT DESTINATION]],Table12[PORT DESTINATION],Table12[Cosco Line],,0)</f>
        <v>AEU</v>
      </c>
      <c r="BJ1338" s="1187"/>
    </row>
    <row r="1339" spans="1:62" s="450" customFormat="1" hidden="1">
      <c r="A1339" s="1183" t="s">
        <v>7638</v>
      </c>
      <c r="B1339" s="1184" t="s">
        <v>111</v>
      </c>
      <c r="C1339" s="446" t="str">
        <f>IFERROR(LEFT(PV_DATA[[#This Row],[TCL REFERENCE]],FIND(".",PV_DATA[[#This Row],[TCL REFERENCE]],1)-1),"Main Line")</f>
        <v>26Oct004</v>
      </c>
      <c r="D1339" s="1184" t="s">
        <v>63</v>
      </c>
      <c r="E1339" s="439" t="s">
        <v>64</v>
      </c>
      <c r="F1339" s="439" t="str" cm="1">
        <f t="array" ref="F133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39" s="726" t="s">
        <v>402</v>
      </c>
      <c r="H1339" s="726" t="s">
        <v>67</v>
      </c>
      <c r="I1339" s="431" t="s">
        <v>689</v>
      </c>
      <c r="J1339" s="431" t="s">
        <v>96</v>
      </c>
      <c r="K1339" s="619"/>
      <c r="L1339" s="619"/>
      <c r="M1339" s="619" t="s">
        <v>68</v>
      </c>
      <c r="N1339" s="451">
        <v>46321</v>
      </c>
      <c r="O1339" s="999" t="s">
        <v>4540</v>
      </c>
      <c r="P1339" s="450" t="s">
        <v>7336</v>
      </c>
      <c r="Q1339" s="450" t="s">
        <v>1682</v>
      </c>
      <c r="R1339" s="430" t="str">
        <f>_xlfn.XLOOKUP(PV_DATA[[#This Row],[New Ark SKU]],Table9[New Ark SKU],Table9[Connector],,0)</f>
        <v>H4(Com)</v>
      </c>
      <c r="S1339" s="433" t="str">
        <f>_xlfn.XLOOKUP(PV_DATA[[#This Row],[New Ark SKU]],Table9[New Ark SKU],Table9[Cable],,0)</f>
        <v>±1400mm</v>
      </c>
      <c r="T1339" s="452">
        <v>730</v>
      </c>
      <c r="U1339" s="1063">
        <f>594*10</f>
        <v>5940</v>
      </c>
      <c r="V1339" s="453">
        <f>PV_DATA[[#This Row],[QUANTITY]]*PV_DATA[[#This Row],[WATT]]/1000000</f>
        <v>4.3361999999999998</v>
      </c>
      <c r="W1339" s="454">
        <f>PV_DATA[[#This Row],[QUANTITY]]/PV_DATA[[#This Row],[Qty/Pallet]]</f>
        <v>180</v>
      </c>
      <c r="X1339" s="1185">
        <f>PV_DATA[[#This Row],[QUANTITY]]/PV_DATA[[#This Row],[Qty/CT]]</f>
        <v>10</v>
      </c>
      <c r="Y1339" s="450" t="s">
        <v>4393</v>
      </c>
      <c r="Z1339" s="1186" t="str">
        <f t="shared" ref="Z1339" si="46">IF(AN1339&lt;&gt;"","COMPLETED",IF(AK1339&lt;&gt;"","IN-TRANSIT",""))</f>
        <v/>
      </c>
      <c r="AA1339" s="450" t="s">
        <v>7639</v>
      </c>
      <c r="AB1339" s="455"/>
      <c r="AC1339" s="471" t="str">
        <f>IF(PV_DATA[[#This Row],[Pick-Up Date]]&lt;&gt;"",_xlfn.ISOWEEKNUM(PV_DATA[[#This Row],[Pick-Up Date]]),"")</f>
        <v/>
      </c>
      <c r="AE1339" s="452"/>
      <c r="AF1339" s="450" t="s">
        <v>122</v>
      </c>
      <c r="AG1339" s="450" t="s">
        <v>123</v>
      </c>
      <c r="AH1339" s="454" t="s">
        <v>105</v>
      </c>
      <c r="AI1339" s="455"/>
      <c r="AJ1339" s="455"/>
      <c r="AK1339" s="455"/>
      <c r="AL1339" s="455"/>
      <c r="AM1339" s="455"/>
      <c r="AN1339" s="455"/>
      <c r="AQ1339" s="456"/>
      <c r="AR1339" s="619"/>
      <c r="AU1339" s="619"/>
      <c r="AW1339" s="455" cm="1">
        <f t="array" ref="AW133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46430</v>
      </c>
      <c r="AX133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39" s="455">
        <f>IF(ISERROR(PV_DATA[[#This Row],[New Ark PO status]]),"",_xlfn.XLOOKUP(PV_DATA[[#This Row],[SPTN-PVHK New Ark PO'#]],New_Ark_Data[Purchase order Number],New_Ark_Data[Estimated time of arrival],"",0))</f>
        <v>0</v>
      </c>
      <c r="AZ1339" s="45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39" s="455">
        <f>IFERROR(PV_DATA[[#This Row],[ODP ETA Port]]+PV_DATA[[#This Row],[Customs/Leg3 Assumption]],"n/a")</f>
        <v>46437</v>
      </c>
      <c r="BB1339" s="452">
        <f>YEAR(PV_DATA[[#This Row],[ETA for New Ark update]])</f>
        <v>2027</v>
      </c>
      <c r="BC1339" s="450">
        <f>MONTH(PV_DATA[[#This Row],[ETA for New Ark update]])</f>
        <v>2</v>
      </c>
      <c r="BD1339" s="450">
        <f>IFERROR(_xlfn.ISOWEEKNUM(PV_DATA[[#This Row],[ETA for New Ark update]]),0)</f>
        <v>7</v>
      </c>
      <c r="BE1339" s="431">
        <v>33</v>
      </c>
      <c r="BF1339" s="431">
        <v>594</v>
      </c>
      <c r="BG1339" s="431" t="str">
        <f>_xlfn.XLOOKUP(PV_DATA[[#This Row],[New Ark SKU]],Table9[New Ark SKU],Table9[Back Glass],,0)</f>
        <v>Redirection Film</v>
      </c>
      <c r="BH1339" s="731" t="str">
        <f>_xlfn.XLOOKUP(PV_DATA[[#This Row],[PORT DESTINATION]],Table12[PORT DESTINATION],Table12[Cosco Line],,0)</f>
        <v>AEU</v>
      </c>
      <c r="BJ1339" s="1187"/>
    </row>
    <row r="1340" spans="1:62" s="450" customFormat="1" hidden="1">
      <c r="A1340" s="1384" t="s">
        <v>7640</v>
      </c>
      <c r="B1340" s="1184" t="s">
        <v>111</v>
      </c>
      <c r="C1340" s="446" t="str">
        <f>IFERROR(LEFT(PV_DATA[[#This Row],[TCL REFERENCE]],FIND(".",PV_DATA[[#This Row],[TCL REFERENCE]],1)-1),"Main Line")</f>
        <v>26Oct004</v>
      </c>
      <c r="D1340" s="1184" t="s">
        <v>63</v>
      </c>
      <c r="E1340" s="446" t="s">
        <v>64</v>
      </c>
      <c r="F1340" s="446" t="str" cm="1">
        <f t="array" ref="F134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340" s="1184" t="s">
        <v>402</v>
      </c>
      <c r="H1340" s="446" t="s">
        <v>115</v>
      </c>
      <c r="I1340" s="1184" t="s">
        <v>689</v>
      </c>
      <c r="J1340" s="450" t="s">
        <v>96</v>
      </c>
      <c r="M1340" s="999" t="s">
        <v>68</v>
      </c>
      <c r="N1340" s="451">
        <v>46321</v>
      </c>
      <c r="O1340" s="999" t="s">
        <v>4540</v>
      </c>
      <c r="P1340" s="450" t="s">
        <v>7336</v>
      </c>
      <c r="Q1340" s="450" t="s">
        <v>1682</v>
      </c>
      <c r="R1340" s="430" t="str">
        <f>_xlfn.XLOOKUP(PV_DATA[[#This Row],[New Ark SKU]],Table9[New Ark SKU],Table9[Connector],,0)</f>
        <v>H4(Com)</v>
      </c>
      <c r="S1340" s="433" t="str">
        <f>_xlfn.XLOOKUP(PV_DATA[[#This Row],[New Ark SKU]],Table9[New Ark SKU],Table9[Cable],,0)</f>
        <v>±1400mm</v>
      </c>
      <c r="T1340" s="452">
        <v>730</v>
      </c>
      <c r="U1340" s="1063">
        <f>594*12</f>
        <v>7128</v>
      </c>
      <c r="V1340" s="453">
        <f>PV_DATA[[#This Row],[QUANTITY]]*PV_DATA[[#This Row],[WATT]]/1000000</f>
        <v>5.2034399999999996</v>
      </c>
      <c r="W1340" s="454">
        <f>PV_DATA[[#This Row],[QUANTITY]]/PV_DATA[[#This Row],[Qty/Pallet]]</f>
        <v>216</v>
      </c>
      <c r="X1340" s="1185">
        <f>PV_DATA[[#This Row],[QUANTITY]]/PV_DATA[[#This Row],[Qty/CT]]</f>
        <v>12</v>
      </c>
      <c r="Y1340" s="450" t="s">
        <v>4392</v>
      </c>
      <c r="Z1340" s="1186" t="str">
        <f t="shared" si="39"/>
        <v/>
      </c>
      <c r="AA1340" s="450" t="s">
        <v>7641</v>
      </c>
      <c r="AB1340" s="455"/>
      <c r="AC1340" s="471" t="str">
        <f>IF(PV_DATA[[#This Row],[Pick-Up Date]]&lt;&gt;"",_xlfn.ISOWEEKNUM(PV_DATA[[#This Row],[Pick-Up Date]]),"")</f>
        <v/>
      </c>
      <c r="AE1340" s="452"/>
      <c r="AF1340" s="450" t="s">
        <v>122</v>
      </c>
      <c r="AG1340" s="450" t="s">
        <v>123</v>
      </c>
      <c r="AH1340" s="999" t="s">
        <v>124</v>
      </c>
      <c r="AI1340" s="455"/>
      <c r="AJ1340" s="455"/>
      <c r="AK1340" s="455"/>
      <c r="AL1340" s="455"/>
      <c r="AM1340" s="455"/>
      <c r="AN1340" s="455"/>
      <c r="AQ1340" s="456"/>
      <c r="AR1340" s="619"/>
      <c r="AU1340" s="619"/>
      <c r="AW1340" s="455" cm="1">
        <f t="array" ref="AW134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46423</v>
      </c>
      <c r="AX1340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40" s="455">
        <f>IF(ISERROR(PV_DATA[[#This Row],[New Ark PO status]]),"",_xlfn.XLOOKUP(PV_DATA[[#This Row],[SPTN-PVHK New Ark PO'#]],New_Ark_Data[Purchase order Number],New_Ark_Data[Estimated time of arrival],"",0))</f>
        <v>0</v>
      </c>
      <c r="AZ1340" s="45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340" s="455">
        <f>IFERROR(PV_DATA[[#This Row],[ODP ETA Port]]+PV_DATA[[#This Row],[Customs/Leg3 Assumption]],"n/a")</f>
        <v>46432</v>
      </c>
      <c r="BB1340" s="452">
        <f>YEAR(PV_DATA[[#This Row],[ETA for New Ark update]])</f>
        <v>2027</v>
      </c>
      <c r="BC1340" s="450">
        <f>MONTH(PV_DATA[[#This Row],[ETA for New Ark update]])</f>
        <v>2</v>
      </c>
      <c r="BD1340" s="450">
        <f>IFERROR(_xlfn.ISOWEEKNUM(PV_DATA[[#This Row],[ETA for New Ark update]]),0)</f>
        <v>6</v>
      </c>
      <c r="BE1340" s="431">
        <v>33</v>
      </c>
      <c r="BF1340" s="431">
        <v>594</v>
      </c>
      <c r="BG1340" s="431" t="str">
        <f>_xlfn.XLOOKUP(PV_DATA[[#This Row],[New Ark SKU]],Table9[New Ark SKU],Table9[Back Glass],,0)</f>
        <v>Redirection Film</v>
      </c>
      <c r="BH1340" s="731" t="str">
        <f>_xlfn.XLOOKUP(PV_DATA[[#This Row],[PORT DESTINATION]],Table12[PORT DESTINATION],Table12[Cosco Line],,0)</f>
        <v>AEM</v>
      </c>
      <c r="BJ1340" s="1187"/>
    </row>
    <row r="1341" spans="1:62" s="450" customFormat="1" hidden="1">
      <c r="A1341" s="1384" t="s">
        <v>7642</v>
      </c>
      <c r="B1341" s="1184" t="s">
        <v>111</v>
      </c>
      <c r="C1341" s="446" t="str">
        <f>IFERROR(LEFT(PV_DATA[[#This Row],[TCL REFERENCE]],FIND(".",PV_DATA[[#This Row],[TCL REFERENCE]],1)-1),"Main Line")</f>
        <v>26Oct004</v>
      </c>
      <c r="D1341" s="1184" t="s">
        <v>63</v>
      </c>
      <c r="E1341" s="446" t="s">
        <v>64</v>
      </c>
      <c r="F1341" s="446" t="str" cm="1">
        <f t="array" ref="F134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341" s="1184" t="s">
        <v>402</v>
      </c>
      <c r="H1341" s="446" t="s">
        <v>115</v>
      </c>
      <c r="I1341" s="1184" t="s">
        <v>689</v>
      </c>
      <c r="J1341" s="450" t="s">
        <v>96</v>
      </c>
      <c r="M1341" s="999" t="s">
        <v>68</v>
      </c>
      <c r="N1341" s="451">
        <v>46321</v>
      </c>
      <c r="O1341" s="999" t="s">
        <v>4540</v>
      </c>
      <c r="P1341" s="450" t="s">
        <v>7336</v>
      </c>
      <c r="Q1341" s="450" t="s">
        <v>1682</v>
      </c>
      <c r="R1341" s="430" t="str">
        <f>_xlfn.XLOOKUP(PV_DATA[[#This Row],[New Ark SKU]],Table9[New Ark SKU],Table9[Connector],,0)</f>
        <v>H4(Com)</v>
      </c>
      <c r="S1341" s="433" t="str">
        <f>_xlfn.XLOOKUP(PV_DATA[[#This Row],[New Ark SKU]],Table9[New Ark SKU],Table9[Cable],,0)</f>
        <v>±1400mm</v>
      </c>
      <c r="T1341" s="452">
        <v>730</v>
      </c>
      <c r="U1341" s="1063">
        <f>594*12</f>
        <v>7128</v>
      </c>
      <c r="V1341" s="453">
        <f>PV_DATA[[#This Row],[QUANTITY]]*PV_DATA[[#This Row],[WATT]]/1000000</f>
        <v>5.2034399999999996</v>
      </c>
      <c r="W1341" s="454">
        <f>PV_DATA[[#This Row],[QUANTITY]]/PV_DATA[[#This Row],[Qty/Pallet]]</f>
        <v>216</v>
      </c>
      <c r="X1341" s="1185">
        <f>PV_DATA[[#This Row],[QUANTITY]]/PV_DATA[[#This Row],[Qty/CT]]</f>
        <v>12</v>
      </c>
      <c r="Y1341" s="450" t="s">
        <v>7643</v>
      </c>
      <c r="Z1341" s="1186" t="str">
        <f t="shared" si="39"/>
        <v/>
      </c>
      <c r="AA1341" s="450" t="s">
        <v>7644</v>
      </c>
      <c r="AB1341" s="455"/>
      <c r="AC1341" s="471" t="str">
        <f>IF(PV_DATA[[#This Row],[Pick-Up Date]]&lt;&gt;"",_xlfn.ISOWEEKNUM(PV_DATA[[#This Row],[Pick-Up Date]]),"")</f>
        <v/>
      </c>
      <c r="AE1341" s="452"/>
      <c r="AF1341" s="450" t="s">
        <v>122</v>
      </c>
      <c r="AG1341" s="450" t="s">
        <v>123</v>
      </c>
      <c r="AH1341" s="999" t="s">
        <v>124</v>
      </c>
      <c r="AI1341" s="455"/>
      <c r="AJ1341" s="455"/>
      <c r="AK1341" s="455"/>
      <c r="AL1341" s="455"/>
      <c r="AM1341" s="455"/>
      <c r="AN1341" s="455"/>
      <c r="AQ1341" s="456"/>
      <c r="AR1341" s="619"/>
      <c r="AU1341" s="619"/>
      <c r="AW1341" s="455" cm="1">
        <f t="array" ref="AW134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46101</v>
      </c>
      <c r="AX134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41" s="455">
        <f>IF(ISERROR(PV_DATA[[#This Row],[New Ark PO status]]),"",_xlfn.XLOOKUP(PV_DATA[[#This Row],[SPTN-PVHK New Ark PO'#]],New_Ark_Data[Purchase order Number],New_Ark_Data[Estimated time of arrival],"",0))</f>
        <v>0</v>
      </c>
      <c r="AZ1341" s="45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341" s="455">
        <f>IFERROR(PV_DATA[[#This Row],[ODP ETA Port]]+PV_DATA[[#This Row],[Customs/Leg3 Assumption]],"n/a")</f>
        <v>46110</v>
      </c>
      <c r="BB1341" s="452">
        <f>YEAR(PV_DATA[[#This Row],[ETA for New Ark update]])</f>
        <v>2026</v>
      </c>
      <c r="BC1341" s="450">
        <f>MONTH(PV_DATA[[#This Row],[ETA for New Ark update]])</f>
        <v>3</v>
      </c>
      <c r="BD1341" s="450">
        <f>IFERROR(_xlfn.ISOWEEKNUM(PV_DATA[[#This Row],[ETA for New Ark update]]),0)</f>
        <v>13</v>
      </c>
      <c r="BE1341" s="431">
        <v>33</v>
      </c>
      <c r="BF1341" s="431">
        <v>594</v>
      </c>
      <c r="BG1341" s="431" t="str">
        <f>_xlfn.XLOOKUP(PV_DATA[[#This Row],[New Ark SKU]],Table9[New Ark SKU],Table9[Back Glass],,0)</f>
        <v>Redirection Film</v>
      </c>
      <c r="BH1341" s="731" t="str">
        <f>_xlfn.XLOOKUP(PV_DATA[[#This Row],[PORT DESTINATION]],Table12[PORT DESTINATION],Table12[Cosco Line],,0)</f>
        <v>AEM</v>
      </c>
      <c r="BJ1341" s="1187"/>
    </row>
    <row r="1342" spans="1:62" s="450" customFormat="1" hidden="1">
      <c r="A1342" s="1384" t="s">
        <v>7645</v>
      </c>
      <c r="B1342" s="1184" t="s">
        <v>111</v>
      </c>
      <c r="C1342" s="446" t="str">
        <f>IFERROR(LEFT(PV_DATA[[#This Row],[TCL REFERENCE]],FIND(".",PV_DATA[[#This Row],[TCL REFERENCE]],1)-1),"Main Line")</f>
        <v>26Oct004</v>
      </c>
      <c r="D1342" s="1184" t="s">
        <v>63</v>
      </c>
      <c r="E1342" s="446" t="s">
        <v>64</v>
      </c>
      <c r="F1342" s="446" t="str" cm="1">
        <f t="array" ref="F134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Plan-SPES</v>
      </c>
      <c r="G1342" s="1184" t="s">
        <v>402</v>
      </c>
      <c r="H1342" s="446" t="s">
        <v>115</v>
      </c>
      <c r="I1342" s="1184" t="s">
        <v>689</v>
      </c>
      <c r="J1342" s="450" t="s">
        <v>96</v>
      </c>
      <c r="M1342" s="999" t="s">
        <v>68</v>
      </c>
      <c r="N1342" s="451">
        <v>46321</v>
      </c>
      <c r="O1342" s="999" t="s">
        <v>4540</v>
      </c>
      <c r="P1342" s="450" t="s">
        <v>7336</v>
      </c>
      <c r="Q1342" s="450" t="s">
        <v>1682</v>
      </c>
      <c r="R1342" s="430" t="str">
        <f>_xlfn.XLOOKUP(PV_DATA[[#This Row],[New Ark SKU]],Table9[New Ark SKU],Table9[Connector],,0)</f>
        <v>H4(Com)</v>
      </c>
      <c r="S1342" s="433" t="str">
        <f>_xlfn.XLOOKUP(PV_DATA[[#This Row],[New Ark SKU]],Table9[New Ark SKU],Table9[Cable],,0)</f>
        <v>±1400mm</v>
      </c>
      <c r="T1342" s="452">
        <v>730</v>
      </c>
      <c r="U1342" s="1063">
        <f>594*12</f>
        <v>7128</v>
      </c>
      <c r="V1342" s="453">
        <f>PV_DATA[[#This Row],[QUANTITY]]*PV_DATA[[#This Row],[WATT]]/1000000</f>
        <v>5.2034399999999996</v>
      </c>
      <c r="W1342" s="454">
        <f>PV_DATA[[#This Row],[QUANTITY]]/PV_DATA[[#This Row],[Qty/Pallet]]</f>
        <v>216</v>
      </c>
      <c r="X1342" s="1185">
        <f>PV_DATA[[#This Row],[QUANTITY]]/PV_DATA[[#This Row],[Qty/CT]]</f>
        <v>12</v>
      </c>
      <c r="Y1342" s="450" t="s">
        <v>7631</v>
      </c>
      <c r="Z1342" s="1186" t="str">
        <f t="shared" ref="Z1342" si="47">IF(AN1342&lt;&gt;"","COMPLETED",IF(AK1342&lt;&gt;"","IN-TRANSIT",""))</f>
        <v/>
      </c>
      <c r="AA1342" s="450" t="s">
        <v>7646</v>
      </c>
      <c r="AB1342" s="455"/>
      <c r="AC1342" s="471" t="str">
        <f>IF(PV_DATA[[#This Row],[Pick-Up Date]]&lt;&gt;"",_xlfn.ISOWEEKNUM(PV_DATA[[#This Row],[Pick-Up Date]]),"")</f>
        <v/>
      </c>
      <c r="AE1342" s="452"/>
      <c r="AF1342" s="450" t="s">
        <v>122</v>
      </c>
      <c r="AG1342" s="450" t="s">
        <v>123</v>
      </c>
      <c r="AH1342" s="999" t="s">
        <v>124</v>
      </c>
      <c r="AI1342" s="455"/>
      <c r="AJ1342" s="455"/>
      <c r="AK1342" s="455"/>
      <c r="AL1342" s="455"/>
      <c r="AM1342" s="455"/>
      <c r="AN1342" s="455"/>
      <c r="AQ1342" s="456"/>
      <c r="AR1342" s="619"/>
      <c r="AU1342" s="619"/>
      <c r="AW1342" s="455" cm="1">
        <f t="array" ref="AW134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46143</v>
      </c>
      <c r="AX134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42" s="455">
        <f>IF(ISERROR(PV_DATA[[#This Row],[New Ark PO status]]),"",_xlfn.XLOOKUP(PV_DATA[[#This Row],[SPTN-PVHK New Ark PO'#]],New_Ark_Data[Purchase order Number],New_Ark_Data[Estimated time of arrival],"",0))</f>
        <v>0</v>
      </c>
      <c r="AZ1342" s="452">
        <f>IF(OR(PV_DATA[[#This Row],[New Ark PO Type]]="Offshore",PV_DATA[[#This Row],[New Ark PO Type]]="Internal-&gt;Offshore"),0,IFERROR(VLOOKUP(PV_DATA[[#This Row],[POL]]&amp;PV_DATA[[#This Row],[PORT DESTINATION]],LT_REF[],7,0),14))</f>
        <v>9</v>
      </c>
      <c r="BA1342" s="455">
        <f>IFERROR(PV_DATA[[#This Row],[ODP ETA Port]]+PV_DATA[[#This Row],[Customs/Leg3 Assumption]],"n/a")</f>
        <v>46152</v>
      </c>
      <c r="BB1342" s="452">
        <f>YEAR(PV_DATA[[#This Row],[ETA for New Ark update]])</f>
        <v>2026</v>
      </c>
      <c r="BC1342" s="450">
        <f>MONTH(PV_DATA[[#This Row],[ETA for New Ark update]])</f>
        <v>5</v>
      </c>
      <c r="BD1342" s="450">
        <f>IFERROR(_xlfn.ISOWEEKNUM(PV_DATA[[#This Row],[ETA for New Ark update]]),0)</f>
        <v>19</v>
      </c>
      <c r="BE1342" s="431">
        <v>33</v>
      </c>
      <c r="BF1342" s="431">
        <v>594</v>
      </c>
      <c r="BG1342" s="431" t="str">
        <f>_xlfn.XLOOKUP(PV_DATA[[#This Row],[New Ark SKU]],Table9[New Ark SKU],Table9[Back Glass],,0)</f>
        <v>Redirection Film</v>
      </c>
      <c r="BH1342" s="731" t="str">
        <f>_xlfn.XLOOKUP(PV_DATA[[#This Row],[PORT DESTINATION]],Table12[PORT DESTINATION],Table12[Cosco Line],,0)</f>
        <v>AEM</v>
      </c>
      <c r="BJ1342" s="1187"/>
    </row>
    <row r="1343" spans="1:62" hidden="1">
      <c r="A1343" s="1179" t="s">
        <v>7647</v>
      </c>
      <c r="B1343" s="726" t="s">
        <v>61</v>
      </c>
      <c r="C1343" s="439" t="str">
        <f>IFERROR(LEFT(PV_DATA[[#This Row],[TCL REFERENCE]],FIND(".",PV_DATA[[#This Row],[TCL REFERENCE]],1)-1),"Main Line")</f>
        <v>Main Line</v>
      </c>
      <c r="D1343" s="726" t="s">
        <v>63</v>
      </c>
      <c r="E1343" s="439" t="s">
        <v>68</v>
      </c>
      <c r="F1343" s="439" t="str" cm="1">
        <f t="array" ref="F1343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43" s="726" t="s">
        <v>68</v>
      </c>
      <c r="H1343" s="726" t="s">
        <v>68</v>
      </c>
      <c r="I1343" s="431" t="s">
        <v>68</v>
      </c>
      <c r="J1343" s="619" t="s">
        <v>68</v>
      </c>
      <c r="K1343" s="619"/>
      <c r="L1343" s="619"/>
      <c r="M1343" s="619" t="s">
        <v>68</v>
      </c>
      <c r="N1343" s="461">
        <v>46317</v>
      </c>
      <c r="O1343" s="619" t="s">
        <v>4540</v>
      </c>
      <c r="P1343" s="430" t="s">
        <v>71</v>
      </c>
      <c r="Q1343" s="431" t="s">
        <v>72</v>
      </c>
      <c r="R1343" s="430" t="str">
        <f>_xlfn.XLOOKUP(PV_DATA[[#This Row],[New Ark SKU]],Table9[New Ark SKU],Table9[Connector],,0)</f>
        <v>EVO2A</v>
      </c>
      <c r="S1343" s="433" t="str">
        <f>_xlfn.XLOOKUP(PV_DATA[[#This Row],[New Ark SKU]],Table9[New Ark SKU],Table9[Cable],,0)</f>
        <v>±1200mm</v>
      </c>
      <c r="T1343" s="442">
        <v>500</v>
      </c>
      <c r="U1343" s="1067" cm="1">
        <f t="array" ref="U1343">23328-fx_qty</f>
        <v>5184</v>
      </c>
      <c r="V1343" s="448">
        <f>PV_DATA[[#This Row],[QUANTITY]]*PV_DATA[[#This Row],[WATT]]/1000000</f>
        <v>2.5920000000000001</v>
      </c>
      <c r="W1343" s="466">
        <f>PV_DATA[[#This Row],[QUANTITY]]/PV_DATA[[#This Row],[Qty/Pallet]]</f>
        <v>144</v>
      </c>
      <c r="X1343" s="1022">
        <f>PV_DATA[[#This Row],[QUANTITY]]/PV_DATA[[#This Row],[Qty/CT]]</f>
        <v>6</v>
      </c>
      <c r="Y1343" s="431" t="s">
        <v>7039</v>
      </c>
      <c r="Z1343" s="1180" t="str">
        <f t="shared" si="39"/>
        <v/>
      </c>
      <c r="AA1343" s="661">
        <v>46327</v>
      </c>
      <c r="AB1343" s="441"/>
      <c r="AC1343" s="467" t="str">
        <f>IF(PV_DATA[[#This Row],[Pick-Up Date]]&lt;&gt;"",_xlfn.ISOWEEKNUM(PV_DATA[[#This Row],[Pick-Up Date]]),"")</f>
        <v/>
      </c>
      <c r="AD1343" s="431"/>
      <c r="AE1343" s="442"/>
      <c r="AF1343" s="619" t="s">
        <v>61</v>
      </c>
      <c r="AG1343" s="619" t="s">
        <v>61</v>
      </c>
      <c r="AH1343" s="466" t="s">
        <v>68</v>
      </c>
      <c r="AI1343" s="441"/>
      <c r="AJ1343" s="441"/>
      <c r="AK1343" s="441"/>
      <c r="AL1343" s="441"/>
      <c r="AM1343" s="441"/>
      <c r="AO1343" s="431"/>
      <c r="AP1343" s="431"/>
      <c r="AQ1343" s="445"/>
      <c r="AR1343" s="619"/>
      <c r="AS1343" s="431"/>
      <c r="AT1343" s="431"/>
      <c r="AU1343" s="619"/>
      <c r="AV1343" s="431"/>
      <c r="AW1343" s="441" t="str" cm="1">
        <f t="array" ref="AW134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4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43" s="441">
        <f>IF(ISERROR(PV_DATA[[#This Row],[New Ark PO status]]),"",_xlfn.XLOOKUP(PV_DATA[[#This Row],[SPTN-PVHK New Ark PO'#]],New_Ark_Data[Purchase order Number],New_Ark_Data[Estimated time of arrival],"",0))</f>
        <v>0</v>
      </c>
      <c r="AZ1343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43" s="441" t="str">
        <f>IFERROR(PV_DATA[[#This Row],[ODP ETA Port]]+PV_DATA[[#This Row],[Customs/Leg3 Assumption]],"n/a")</f>
        <v>n/a</v>
      </c>
      <c r="BB1343" s="442" t="e">
        <f>YEAR(PV_DATA[[#This Row],[ETA for New Ark update]])</f>
        <v>#VALUE!</v>
      </c>
      <c r="BC1343" s="431" t="e">
        <f>MONTH(PV_DATA[[#This Row],[ETA for New Ark update]])</f>
        <v>#VALUE!</v>
      </c>
      <c r="BD1343" s="431">
        <f>IFERROR(_xlfn.ISOWEEKNUM(PV_DATA[[#This Row],[ETA for New Ark update]]),0)</f>
        <v>0</v>
      </c>
      <c r="BE1343" s="431">
        <f>_xlfn.XLOOKUP(PV_DATA[[#This Row],[New Ark SKU]],Table9[New Ark SKU],Table9[Total PCS per Pallet],,0)</f>
        <v>36</v>
      </c>
      <c r="BF1343" s="431">
        <f>_xlfn.XLOOKUP(PV_DATA[[#This Row],[New Ark SKU]],Table9[New Ark SKU],Table9[Total PCS per 40HQ Container],,0)</f>
        <v>864</v>
      </c>
      <c r="BG1343" s="431" t="str">
        <f>_xlfn.XLOOKUP(PV_DATA[[#This Row],[New Ark SKU]],Table9[New Ark SKU],Table9[Back Glass],,0)</f>
        <v>Black glazing</v>
      </c>
      <c r="BH1343" s="622" t="str">
        <f>_xlfn.XLOOKUP(PV_DATA[[#This Row],[PORT DESTINATION]],Table12[PORT DESTINATION],Table12[Cosco Line],,0)</f>
        <v>n/a</v>
      </c>
    </row>
    <row r="1344" spans="1:62" hidden="1">
      <c r="A1344" s="1179" t="s">
        <v>7648</v>
      </c>
      <c r="B1344" s="726" t="s">
        <v>61</v>
      </c>
      <c r="C1344" s="439" t="str">
        <f>IFERROR(LEFT(PV_DATA[[#This Row],[TCL REFERENCE]],FIND(".",PV_DATA[[#This Row],[TCL REFERENCE]],1)-1),"Main Line")</f>
        <v>26Oct005</v>
      </c>
      <c r="D1344" s="726" t="s">
        <v>63</v>
      </c>
      <c r="E1344" s="439" t="s">
        <v>144</v>
      </c>
      <c r="F1344" s="439" t="str" cm="1">
        <f t="array" ref="F1344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344" s="439" t="s">
        <v>402</v>
      </c>
      <c r="H1344" s="726" t="s">
        <v>2394</v>
      </c>
      <c r="I1344" s="431" t="s">
        <v>689</v>
      </c>
      <c r="J1344" s="619" t="s">
        <v>2394</v>
      </c>
      <c r="K1344" s="619" t="s">
        <v>7649</v>
      </c>
      <c r="L1344" s="619">
        <v>1</v>
      </c>
      <c r="M1344" s="619" t="s">
        <v>7494</v>
      </c>
      <c r="N1344" s="461">
        <v>46317</v>
      </c>
      <c r="O1344" s="619" t="s">
        <v>4540</v>
      </c>
      <c r="P1344" s="430" t="s">
        <v>71</v>
      </c>
      <c r="Q1344" s="431" t="s">
        <v>72</v>
      </c>
      <c r="R1344" s="430" t="str">
        <f>_xlfn.XLOOKUP(PV_DATA[[#This Row],[New Ark SKU]],Table9[New Ark SKU],Table9[Connector],,0)</f>
        <v>EVO2A</v>
      </c>
      <c r="S1344" s="433" t="str">
        <f>_xlfn.XLOOKUP(PV_DATA[[#This Row],[New Ark SKU]],Table9[New Ark SKU],Table9[Cable],,0)</f>
        <v>±1200mm</v>
      </c>
      <c r="T1344" s="442">
        <v>500</v>
      </c>
      <c r="U1344" s="1067">
        <f>864*6</f>
        <v>5184</v>
      </c>
      <c r="V1344" s="448">
        <f>PV_DATA[[#This Row],[QUANTITY]]*PV_DATA[[#This Row],[WATT]]/1000000</f>
        <v>2.5920000000000001</v>
      </c>
      <c r="W1344" s="466">
        <f>PV_DATA[[#This Row],[QUANTITY]]/PV_DATA[[#This Row],[Qty/Pallet]]</f>
        <v>144</v>
      </c>
      <c r="X1344" s="1022">
        <f>PV_DATA[[#This Row],[QUANTITY]]/PV_DATA[[#This Row],[Qty/CT]]</f>
        <v>6</v>
      </c>
      <c r="Y1344" s="431" t="s">
        <v>4387</v>
      </c>
      <c r="Z1344" s="1180" t="str">
        <f t="shared" si="39"/>
        <v/>
      </c>
      <c r="AA1344" s="661">
        <v>46323</v>
      </c>
      <c r="AB1344" s="441"/>
      <c r="AC1344" s="467" t="str">
        <f>IF(PV_DATA[[#This Row],[Pick-Up Date]]&lt;&gt;"",_xlfn.ISOWEEKNUM(PV_DATA[[#This Row],[Pick-Up Date]]),"")</f>
        <v/>
      </c>
      <c r="AD1344" s="431"/>
      <c r="AE1344" s="442"/>
      <c r="AF1344" s="619" t="s">
        <v>61</v>
      </c>
      <c r="AG1344" s="619" t="s">
        <v>61</v>
      </c>
      <c r="AH1344" s="466" t="s">
        <v>888</v>
      </c>
      <c r="AI1344" s="441"/>
      <c r="AJ1344" s="441"/>
      <c r="AK1344" s="441"/>
      <c r="AL1344" s="441"/>
      <c r="AM1344" s="441"/>
      <c r="AO1344" s="431"/>
      <c r="AP1344" s="431"/>
      <c r="AQ1344" s="445"/>
      <c r="AR1344" s="619"/>
      <c r="AS1344" s="431"/>
      <c r="AT1344" s="431"/>
      <c r="AU1344" s="619"/>
      <c r="AV1344" s="431"/>
      <c r="AW1344" s="441" cm="1">
        <f t="array" ref="AW134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46409</v>
      </c>
      <c r="AX134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44" s="441">
        <f>IF(ISERROR(PV_DATA[[#This Row],[New Ark PO status]]),"",_xlfn.XLOOKUP(PV_DATA[[#This Row],[SPTN-PVHK New Ark PO'#]],New_Ark_Data[Purchase order Number],New_Ark_Data[Estimated time of arrival],"",0))</f>
        <v>0</v>
      </c>
      <c r="AZ1344" s="442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344" s="441">
        <f>IFERROR(PV_DATA[[#This Row],[ODP ETA Port]]+PV_DATA[[#This Row],[Customs/Leg3 Assumption]],"n/a")</f>
        <v>46409</v>
      </c>
      <c r="BB1344" s="442">
        <f>YEAR(PV_DATA[[#This Row],[ETA for New Ark update]])</f>
        <v>2027</v>
      </c>
      <c r="BC1344" s="431">
        <f>MONTH(PV_DATA[[#This Row],[ETA for New Ark update]])</f>
        <v>1</v>
      </c>
      <c r="BD1344" s="431">
        <f>IFERROR(_xlfn.ISOWEEKNUM(PV_DATA[[#This Row],[ETA for New Ark update]]),0)</f>
        <v>3</v>
      </c>
      <c r="BE1344" s="431">
        <f>_xlfn.XLOOKUP(PV_DATA[[#This Row],[New Ark SKU]],Table9[New Ark SKU],Table9[Total PCS per Pallet],,0)</f>
        <v>36</v>
      </c>
      <c r="BF1344" s="431">
        <f>_xlfn.XLOOKUP(PV_DATA[[#This Row],[New Ark SKU]],Table9[New Ark SKU],Table9[Total PCS per 40HQ Container],,0)</f>
        <v>864</v>
      </c>
      <c r="BG1344" s="431" t="str">
        <f>_xlfn.XLOOKUP(PV_DATA[[#This Row],[New Ark SKU]],Table9[New Ark SKU],Table9[Back Glass],,0)</f>
        <v>Black glazing</v>
      </c>
      <c r="BH1344" s="622" t="str">
        <f>_xlfn.XLOOKUP(PV_DATA[[#This Row],[PORT DESTINATION]],Table12[PORT DESTINATION],Table12[Cosco Line],,0)</f>
        <v>AEU</v>
      </c>
    </row>
    <row r="1345" spans="1:61" hidden="1">
      <c r="A1345" s="1179" t="s">
        <v>7650</v>
      </c>
      <c r="B1345" s="726" t="s">
        <v>61</v>
      </c>
      <c r="C1345" s="439" t="str">
        <f>IFERROR(LEFT(PV_DATA[[#This Row],[TCL REFERENCE]],FIND(".",PV_DATA[[#This Row],[TCL REFERENCE]],1)-1),"Main Line")</f>
        <v>26Oct005</v>
      </c>
      <c r="D1345" s="726" t="s">
        <v>63</v>
      </c>
      <c r="E1345" s="439" t="s">
        <v>64</v>
      </c>
      <c r="F1345" s="439" t="str" cm="1">
        <f t="array" ref="F134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45" s="439" t="s">
        <v>402</v>
      </c>
      <c r="H1345" s="439" t="s">
        <v>67</v>
      </c>
      <c r="I1345" s="431" t="s">
        <v>689</v>
      </c>
      <c r="J1345" s="431" t="s">
        <v>96</v>
      </c>
      <c r="K1345" s="619"/>
      <c r="L1345" s="619"/>
      <c r="M1345" s="619" t="s">
        <v>68</v>
      </c>
      <c r="N1345" s="461">
        <v>46317</v>
      </c>
      <c r="O1345" s="619" t="s">
        <v>4540</v>
      </c>
      <c r="P1345" s="430" t="s">
        <v>71</v>
      </c>
      <c r="Q1345" s="431" t="s">
        <v>72</v>
      </c>
      <c r="R1345" s="430" t="str">
        <f>_xlfn.XLOOKUP(PV_DATA[[#This Row],[New Ark SKU]],Table9[New Ark SKU],Table9[Connector],,0)</f>
        <v>EVO2A</v>
      </c>
      <c r="S1345" s="433" t="str">
        <f>_xlfn.XLOOKUP(PV_DATA[[#This Row],[New Ark SKU]],Table9[New Ark SKU],Table9[Cable],,0)</f>
        <v>±1200mm</v>
      </c>
      <c r="T1345" s="442">
        <v>500</v>
      </c>
      <c r="U1345" s="1067">
        <f>864*4</f>
        <v>3456</v>
      </c>
      <c r="V1345" s="448">
        <f>PV_DATA[[#This Row],[QUANTITY]]*PV_DATA[[#This Row],[WATT]]/1000000</f>
        <v>1.728</v>
      </c>
      <c r="W1345" s="466">
        <f>PV_DATA[[#This Row],[QUANTITY]]/PV_DATA[[#This Row],[Qty/Pallet]]</f>
        <v>96</v>
      </c>
      <c r="X1345" s="1022">
        <f>PV_DATA[[#This Row],[QUANTITY]]/PV_DATA[[#This Row],[Qty/CT]]</f>
        <v>4</v>
      </c>
      <c r="Y1345" s="431" t="s">
        <v>4387</v>
      </c>
      <c r="Z1345" s="1180" t="str">
        <f t="shared" ref="Z1345:Z1371" si="48">IF(AN1345&lt;&gt;"","COMPLETED",IF(AK1345&lt;&gt;"","IN-TRANSIT",""))</f>
        <v/>
      </c>
      <c r="AA1345" s="661">
        <v>46324</v>
      </c>
      <c r="AB1345" s="441"/>
      <c r="AC1345" s="467" t="str">
        <f>IF(PV_DATA[[#This Row],[Pick-Up Date]]&lt;&gt;"",_xlfn.ISOWEEKNUM(PV_DATA[[#This Row],[Pick-Up Date]]),"")</f>
        <v/>
      </c>
      <c r="AD1345" s="431"/>
      <c r="AE1345" s="442"/>
      <c r="AF1345" s="619" t="s">
        <v>61</v>
      </c>
      <c r="AG1345" s="619" t="s">
        <v>61</v>
      </c>
      <c r="AH1345" s="466" t="s">
        <v>105</v>
      </c>
      <c r="AI1345" s="441"/>
      <c r="AJ1345" s="441"/>
      <c r="AK1345" s="441"/>
      <c r="AL1345" s="441"/>
      <c r="AM1345" s="441"/>
      <c r="AO1345" s="431"/>
      <c r="AP1345" s="431"/>
      <c r="AQ1345" s="445"/>
      <c r="AR1345" s="619"/>
      <c r="AS1345" s="431"/>
      <c r="AT1345" s="431"/>
      <c r="AU1345" s="619"/>
      <c r="AV1345" s="431"/>
      <c r="AW1345" s="441" cm="1">
        <f t="array" ref="AW134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46409</v>
      </c>
      <c r="AX134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45" s="441">
        <f>IF(ISERROR(PV_DATA[[#This Row],[New Ark PO status]]),"",_xlfn.XLOOKUP(PV_DATA[[#This Row],[SPTN-PVHK New Ark PO'#]],New_Ark_Data[Purchase order Number],New_Ark_Data[Estimated time of arrival],"",0))</f>
        <v>0</v>
      </c>
      <c r="AZ1345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45" s="441">
        <f>IFERROR(PV_DATA[[#This Row],[ODP ETA Port]]+PV_DATA[[#This Row],[Customs/Leg3 Assumption]],"n/a")</f>
        <v>46416</v>
      </c>
      <c r="BB1345" s="442">
        <f>YEAR(PV_DATA[[#This Row],[ETA for New Ark update]])</f>
        <v>2027</v>
      </c>
      <c r="BC1345" s="431">
        <f>MONTH(PV_DATA[[#This Row],[ETA for New Ark update]])</f>
        <v>1</v>
      </c>
      <c r="BD1345" s="431">
        <f>IFERROR(_xlfn.ISOWEEKNUM(PV_DATA[[#This Row],[ETA for New Ark update]]),0)</f>
        <v>4</v>
      </c>
      <c r="BE1345" s="431">
        <f>_xlfn.XLOOKUP(PV_DATA[[#This Row],[New Ark SKU]],Table9[New Ark SKU],Table9[Total PCS per Pallet],,0)</f>
        <v>36</v>
      </c>
      <c r="BF1345" s="431">
        <f>_xlfn.XLOOKUP(PV_DATA[[#This Row],[New Ark SKU]],Table9[New Ark SKU],Table9[Total PCS per 40HQ Container],,0)</f>
        <v>864</v>
      </c>
      <c r="BG1345" s="431" t="str">
        <f>_xlfn.XLOOKUP(PV_DATA[[#This Row],[New Ark SKU]],Table9[New Ark SKU],Table9[Back Glass],,0)</f>
        <v>Black glazing</v>
      </c>
      <c r="BH1345" s="622" t="str">
        <f>_xlfn.XLOOKUP(PV_DATA[[#This Row],[PORT DESTINATION]],Table12[PORT DESTINATION],Table12[Cosco Line],,0)</f>
        <v>AEU</v>
      </c>
    </row>
    <row r="1346" spans="1:61" hidden="1">
      <c r="A1346" s="1179" t="s">
        <v>7651</v>
      </c>
      <c r="B1346" s="726" t="s">
        <v>61</v>
      </c>
      <c r="C1346" s="439" t="str">
        <f>IFERROR(LEFT(PV_DATA[[#This Row],[TCL REFERENCE]],FIND(".",PV_DATA[[#This Row],[TCL REFERENCE]],1)-1),"Main Line")</f>
        <v>26Oct005</v>
      </c>
      <c r="D1346" s="726" t="s">
        <v>63</v>
      </c>
      <c r="E1346" s="439" t="s">
        <v>64</v>
      </c>
      <c r="F1346" s="439" t="str" cm="1">
        <f t="array" ref="F134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46" s="439" t="s">
        <v>402</v>
      </c>
      <c r="H1346" s="439" t="s">
        <v>67</v>
      </c>
      <c r="I1346" s="431" t="s">
        <v>689</v>
      </c>
      <c r="J1346" s="431" t="s">
        <v>96</v>
      </c>
      <c r="K1346" s="619"/>
      <c r="L1346" s="619"/>
      <c r="M1346" s="619" t="s">
        <v>68</v>
      </c>
      <c r="N1346" s="461">
        <v>46317</v>
      </c>
      <c r="O1346" s="619" t="s">
        <v>4540</v>
      </c>
      <c r="P1346" s="430" t="s">
        <v>71</v>
      </c>
      <c r="Q1346" s="431" t="s">
        <v>72</v>
      </c>
      <c r="R1346" s="430" t="str">
        <f>_xlfn.XLOOKUP(PV_DATA[[#This Row],[New Ark SKU]],Table9[New Ark SKU],Table9[Connector],,0)</f>
        <v>EVO2A</v>
      </c>
      <c r="S1346" s="433" t="str">
        <f>_xlfn.XLOOKUP(PV_DATA[[#This Row],[New Ark SKU]],Table9[New Ark SKU],Table9[Cable],,0)</f>
        <v>±1200mm</v>
      </c>
      <c r="T1346" s="442">
        <v>500</v>
      </c>
      <c r="U1346" s="1067">
        <f>864*4</f>
        <v>3456</v>
      </c>
      <c r="V1346" s="448">
        <f>PV_DATA[[#This Row],[QUANTITY]]*PV_DATA[[#This Row],[WATT]]/1000000</f>
        <v>1.728</v>
      </c>
      <c r="W1346" s="466">
        <f>PV_DATA[[#This Row],[QUANTITY]]/PV_DATA[[#This Row],[Qty/Pallet]]</f>
        <v>96</v>
      </c>
      <c r="X1346" s="1022">
        <f>PV_DATA[[#This Row],[QUANTITY]]/PV_DATA[[#This Row],[Qty/CT]]</f>
        <v>4</v>
      </c>
      <c r="Y1346" s="431" t="s">
        <v>4388</v>
      </c>
      <c r="Z1346" s="1180" t="str">
        <f t="shared" si="48"/>
        <v/>
      </c>
      <c r="AA1346" s="661">
        <v>46325</v>
      </c>
      <c r="AB1346" s="441"/>
      <c r="AC1346" s="467" t="str">
        <f>IF(PV_DATA[[#This Row],[Pick-Up Date]]&lt;&gt;"",_xlfn.ISOWEEKNUM(PV_DATA[[#This Row],[Pick-Up Date]]),"")</f>
        <v/>
      </c>
      <c r="AD1346" s="431"/>
      <c r="AE1346" s="442"/>
      <c r="AF1346" s="619" t="s">
        <v>61</v>
      </c>
      <c r="AG1346" s="619" t="s">
        <v>61</v>
      </c>
      <c r="AH1346" s="466" t="s">
        <v>105</v>
      </c>
      <c r="AI1346" s="441"/>
      <c r="AJ1346" s="441"/>
      <c r="AK1346" s="441"/>
      <c r="AL1346" s="441"/>
      <c r="AM1346" s="441"/>
      <c r="AO1346" s="431"/>
      <c r="AP1346" s="431"/>
      <c r="AQ1346" s="445"/>
      <c r="AR1346" s="619"/>
      <c r="AS1346" s="431"/>
      <c r="AT1346" s="431"/>
      <c r="AU1346" s="619"/>
      <c r="AV1346" s="431"/>
      <c r="AW1346" s="441" cm="1">
        <f t="array" ref="AW134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46416</v>
      </c>
      <c r="AX134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46" s="441">
        <f>IF(ISERROR(PV_DATA[[#This Row],[New Ark PO status]]),"",_xlfn.XLOOKUP(PV_DATA[[#This Row],[SPTN-PVHK New Ark PO'#]],New_Ark_Data[Purchase order Number],New_Ark_Data[Estimated time of arrival],"",0))</f>
        <v>0</v>
      </c>
      <c r="AZ1346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46" s="441">
        <f>IFERROR(PV_DATA[[#This Row],[ODP ETA Port]]+PV_DATA[[#This Row],[Customs/Leg3 Assumption]],"n/a")</f>
        <v>46423</v>
      </c>
      <c r="BB1346" s="442">
        <f>YEAR(PV_DATA[[#This Row],[ETA for New Ark update]])</f>
        <v>2027</v>
      </c>
      <c r="BC1346" s="431">
        <f>MONTH(PV_DATA[[#This Row],[ETA for New Ark update]])</f>
        <v>2</v>
      </c>
      <c r="BD1346" s="431">
        <f>IFERROR(_xlfn.ISOWEEKNUM(PV_DATA[[#This Row],[ETA for New Ark update]]),0)</f>
        <v>5</v>
      </c>
      <c r="BE1346" s="431">
        <f>_xlfn.XLOOKUP(PV_DATA[[#This Row],[New Ark SKU]],Table9[New Ark SKU],Table9[Total PCS per Pallet],,0)</f>
        <v>36</v>
      </c>
      <c r="BF1346" s="431">
        <f>_xlfn.XLOOKUP(PV_DATA[[#This Row],[New Ark SKU]],Table9[New Ark SKU],Table9[Total PCS per 40HQ Container],,0)</f>
        <v>864</v>
      </c>
      <c r="BG1346" s="431" t="str">
        <f>_xlfn.XLOOKUP(PV_DATA[[#This Row],[New Ark SKU]],Table9[New Ark SKU],Table9[Back Glass],,0)</f>
        <v>Black glazing</v>
      </c>
      <c r="BH1346" s="622" t="str">
        <f>_xlfn.XLOOKUP(PV_DATA[[#This Row],[PORT DESTINATION]],Table12[PORT DESTINATION],Table12[Cosco Line],,0)</f>
        <v>AEU</v>
      </c>
    </row>
    <row r="1347" spans="1:61" hidden="1">
      <c r="A1347" s="1179" t="s">
        <v>7652</v>
      </c>
      <c r="B1347" s="726" t="s">
        <v>61</v>
      </c>
      <c r="C1347" s="439" t="str">
        <f>IFERROR(LEFT(PV_DATA[[#This Row],[TCL REFERENCE]],FIND(".",PV_DATA[[#This Row],[TCL REFERENCE]],1)-1),"Main Line")</f>
        <v>26Oct005</v>
      </c>
      <c r="D1347" s="726" t="s">
        <v>63</v>
      </c>
      <c r="E1347" s="439" t="s">
        <v>64</v>
      </c>
      <c r="F1347" s="439" t="str" cm="1">
        <f t="array" ref="F134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47" s="439" t="s">
        <v>402</v>
      </c>
      <c r="H1347" s="439" t="s">
        <v>67</v>
      </c>
      <c r="I1347" s="431" t="s">
        <v>689</v>
      </c>
      <c r="J1347" s="431" t="s">
        <v>96</v>
      </c>
      <c r="K1347" s="619"/>
      <c r="L1347" s="619"/>
      <c r="M1347" s="619" t="s">
        <v>68</v>
      </c>
      <c r="N1347" s="461">
        <v>46317</v>
      </c>
      <c r="O1347" s="619" t="s">
        <v>4540</v>
      </c>
      <c r="P1347" s="430" t="s">
        <v>71</v>
      </c>
      <c r="Q1347" s="431" t="s">
        <v>72</v>
      </c>
      <c r="R1347" s="430" t="str">
        <f>_xlfn.XLOOKUP(PV_DATA[[#This Row],[New Ark SKU]],Table9[New Ark SKU],Table9[Connector],,0)</f>
        <v>EVO2A</v>
      </c>
      <c r="S1347" s="433" t="str">
        <f>_xlfn.XLOOKUP(PV_DATA[[#This Row],[New Ark SKU]],Table9[New Ark SKU],Table9[Cable],,0)</f>
        <v>±1200mm</v>
      </c>
      <c r="T1347" s="442">
        <v>500</v>
      </c>
      <c r="U1347" s="1067">
        <f>864*4</f>
        <v>3456</v>
      </c>
      <c r="V1347" s="448">
        <f>PV_DATA[[#This Row],[QUANTITY]]*PV_DATA[[#This Row],[WATT]]/1000000</f>
        <v>1.728</v>
      </c>
      <c r="W1347" s="466">
        <f>PV_DATA[[#This Row],[QUANTITY]]/PV_DATA[[#This Row],[Qty/Pallet]]</f>
        <v>96</v>
      </c>
      <c r="X1347" s="1022">
        <f>PV_DATA[[#This Row],[QUANTITY]]/PV_DATA[[#This Row],[Qty/CT]]</f>
        <v>4</v>
      </c>
      <c r="Y1347" s="431" t="s">
        <v>4389</v>
      </c>
      <c r="Z1347" s="1180" t="str">
        <f t="shared" si="48"/>
        <v/>
      </c>
      <c r="AA1347" s="661">
        <v>46326</v>
      </c>
      <c r="AB1347" s="441"/>
      <c r="AC1347" s="467" t="str">
        <f>IF(PV_DATA[[#This Row],[Pick-Up Date]]&lt;&gt;"",_xlfn.ISOWEEKNUM(PV_DATA[[#This Row],[Pick-Up Date]]),"")</f>
        <v/>
      </c>
      <c r="AD1347" s="431"/>
      <c r="AE1347" s="442"/>
      <c r="AF1347" s="619" t="s">
        <v>61</v>
      </c>
      <c r="AG1347" s="619" t="s">
        <v>61</v>
      </c>
      <c r="AH1347" s="466" t="s">
        <v>105</v>
      </c>
      <c r="AI1347" s="441"/>
      <c r="AJ1347" s="441"/>
      <c r="AK1347" s="441"/>
      <c r="AL1347" s="441"/>
      <c r="AM1347" s="441"/>
      <c r="AO1347" s="431"/>
      <c r="AP1347" s="431"/>
      <c r="AQ1347" s="445"/>
      <c r="AR1347" s="619"/>
      <c r="AS1347" s="431"/>
      <c r="AT1347" s="431"/>
      <c r="AU1347" s="619"/>
      <c r="AV1347" s="431"/>
      <c r="AW1347" s="441" cm="1">
        <f t="array" ref="AW134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46423</v>
      </c>
      <c r="AX134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47" s="441">
        <f>IF(ISERROR(PV_DATA[[#This Row],[New Ark PO status]]),"",_xlfn.XLOOKUP(PV_DATA[[#This Row],[SPTN-PVHK New Ark PO'#]],New_Ark_Data[Purchase order Number],New_Ark_Data[Estimated time of arrival],"",0))</f>
        <v>0</v>
      </c>
      <c r="AZ1347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47" s="441">
        <f>IFERROR(PV_DATA[[#This Row],[ODP ETA Port]]+PV_DATA[[#This Row],[Customs/Leg3 Assumption]],"n/a")</f>
        <v>46430</v>
      </c>
      <c r="BB1347" s="442">
        <f>YEAR(PV_DATA[[#This Row],[ETA for New Ark update]])</f>
        <v>2027</v>
      </c>
      <c r="BC1347" s="431">
        <f>MONTH(PV_DATA[[#This Row],[ETA for New Ark update]])</f>
        <v>2</v>
      </c>
      <c r="BD1347" s="431">
        <f>IFERROR(_xlfn.ISOWEEKNUM(PV_DATA[[#This Row],[ETA for New Ark update]]),0)</f>
        <v>6</v>
      </c>
      <c r="BE1347" s="431">
        <f>_xlfn.XLOOKUP(PV_DATA[[#This Row],[New Ark SKU]],Table9[New Ark SKU],Table9[Total PCS per Pallet],,0)</f>
        <v>36</v>
      </c>
      <c r="BF1347" s="431">
        <f>_xlfn.XLOOKUP(PV_DATA[[#This Row],[New Ark SKU]],Table9[New Ark SKU],Table9[Total PCS per 40HQ Container],,0)</f>
        <v>864</v>
      </c>
      <c r="BG1347" s="431" t="str">
        <f>_xlfn.XLOOKUP(PV_DATA[[#This Row],[New Ark SKU]],Table9[New Ark SKU],Table9[Back Glass],,0)</f>
        <v>Black glazing</v>
      </c>
      <c r="BH1347" s="622" t="str">
        <f>_xlfn.XLOOKUP(PV_DATA[[#This Row],[PORT DESTINATION]],Table12[PORT DESTINATION],Table12[Cosco Line],,0)</f>
        <v>AEU</v>
      </c>
    </row>
    <row r="1348" spans="1:61" hidden="1">
      <c r="A1348" s="1179" t="s">
        <v>7653</v>
      </c>
      <c r="B1348" s="726" t="s">
        <v>61</v>
      </c>
      <c r="C1348" s="439" t="str">
        <f>IFERROR(LEFT(PV_DATA[[#This Row],[TCL REFERENCE]],FIND(".",PV_DATA[[#This Row],[TCL REFERENCE]],1)-1),"Main Line")</f>
        <v>Main Line</v>
      </c>
      <c r="D1348" s="726" t="s">
        <v>63</v>
      </c>
      <c r="E1348" s="439" t="s">
        <v>68</v>
      </c>
      <c r="F1348" s="439" t="str" cm="1">
        <f t="array" ref="F1348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48" s="726" t="s">
        <v>68</v>
      </c>
      <c r="H1348" s="726" t="s">
        <v>68</v>
      </c>
      <c r="I1348" s="431" t="s">
        <v>68</v>
      </c>
      <c r="J1348" s="619" t="s">
        <v>68</v>
      </c>
      <c r="K1348" s="619"/>
      <c r="L1348" s="619"/>
      <c r="M1348" s="619" t="s">
        <v>68</v>
      </c>
      <c r="N1348" s="461">
        <v>46317</v>
      </c>
      <c r="O1348" s="619" t="s">
        <v>4540</v>
      </c>
      <c r="P1348" s="430" t="s">
        <v>1151</v>
      </c>
      <c r="Q1348" s="431" t="s">
        <v>421</v>
      </c>
      <c r="R1348" s="430" t="str">
        <f>_xlfn.XLOOKUP(PV_DATA[[#This Row],[New Ark SKU]],Table9[New Ark SKU],Table9[Connector],,0)</f>
        <v>EVO2A</v>
      </c>
      <c r="S1348" s="433" t="str">
        <f>_xlfn.XLOOKUP(PV_DATA[[#This Row],[New Ark SKU]],Table9[New Ark SKU],Table9[Cable],,0)</f>
        <v>±1200mm</v>
      </c>
      <c r="T1348" s="442">
        <v>505</v>
      </c>
      <c r="U1348" s="1067" cm="1">
        <f t="array" ref="U1348">16416-fx_qty</f>
        <v>0</v>
      </c>
      <c r="V1348" s="448">
        <f>PV_DATA[[#This Row],[QUANTITY]]*PV_DATA[[#This Row],[WATT]]/1000000</f>
        <v>0</v>
      </c>
      <c r="W1348" s="466">
        <f>PV_DATA[[#This Row],[QUANTITY]]/PV_DATA[[#This Row],[Qty/Pallet]]</f>
        <v>0</v>
      </c>
      <c r="X1348" s="1022">
        <f>PV_DATA[[#This Row],[QUANTITY]]/PV_DATA[[#This Row],[Qty/CT]]</f>
        <v>0</v>
      </c>
      <c r="Y1348" s="431" t="s">
        <v>7039</v>
      </c>
      <c r="Z1348" s="1180" t="str">
        <f t="shared" si="48"/>
        <v/>
      </c>
      <c r="AA1348" s="661">
        <v>46322</v>
      </c>
      <c r="AB1348" s="441"/>
      <c r="AC1348" s="467" t="str">
        <f>IF(PV_DATA[[#This Row],[Pick-Up Date]]&lt;&gt;"",_xlfn.ISOWEEKNUM(PV_DATA[[#This Row],[Pick-Up Date]]),"")</f>
        <v/>
      </c>
      <c r="AD1348" s="431"/>
      <c r="AE1348" s="442"/>
      <c r="AF1348" s="619" t="s">
        <v>61</v>
      </c>
      <c r="AG1348" s="619" t="s">
        <v>61</v>
      </c>
      <c r="AH1348" s="466" t="s">
        <v>68</v>
      </c>
      <c r="AI1348" s="441"/>
      <c r="AJ1348" s="441"/>
      <c r="AK1348" s="441"/>
      <c r="AL1348" s="441"/>
      <c r="AM1348" s="441"/>
      <c r="AO1348" s="431"/>
      <c r="AP1348" s="431"/>
      <c r="AQ1348" s="445"/>
      <c r="AR1348" s="619"/>
      <c r="AS1348" s="431"/>
      <c r="AT1348" s="431"/>
      <c r="AU1348" s="619"/>
      <c r="AV1348" s="431"/>
      <c r="AW1348" s="441" t="str" cm="1">
        <f t="array" ref="AW134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4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48" s="441">
        <f>IF(ISERROR(PV_DATA[[#This Row],[New Ark PO status]]),"",_xlfn.XLOOKUP(PV_DATA[[#This Row],[SPTN-PVHK New Ark PO'#]],New_Ark_Data[Purchase order Number],New_Ark_Data[Estimated time of arrival],"",0))</f>
        <v>0</v>
      </c>
      <c r="AZ1348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48" s="441" t="str">
        <f>IFERROR(PV_DATA[[#This Row],[ODP ETA Port]]+PV_DATA[[#This Row],[Customs/Leg3 Assumption]],"n/a")</f>
        <v>n/a</v>
      </c>
      <c r="BB1348" s="442" t="e">
        <f>YEAR(PV_DATA[[#This Row],[ETA for New Ark update]])</f>
        <v>#VALUE!</v>
      </c>
      <c r="BC1348" s="431" t="e">
        <f>MONTH(PV_DATA[[#This Row],[ETA for New Ark update]])</f>
        <v>#VALUE!</v>
      </c>
      <c r="BD1348" s="431">
        <f>IFERROR(_xlfn.ISOWEEKNUM(PV_DATA[[#This Row],[ETA for New Ark update]]),0)</f>
        <v>0</v>
      </c>
      <c r="BE1348" s="431">
        <f>_xlfn.XLOOKUP(PV_DATA[[#This Row],[New Ark SKU]],Table9[New Ark SKU],Table9[Total PCS per Pallet],,0)</f>
        <v>36</v>
      </c>
      <c r="BF1348" s="431">
        <f>_xlfn.XLOOKUP(PV_DATA[[#This Row],[New Ark SKU]],Table9[New Ark SKU],Table9[Total PCS per 40HQ Container],,0)</f>
        <v>864</v>
      </c>
      <c r="BG1348" s="431" t="str">
        <f>_xlfn.XLOOKUP(PV_DATA[[#This Row],[New Ark SKU]],Table9[New Ark SKU],Table9[Back Glass],,0)</f>
        <v>Black glazing</v>
      </c>
      <c r="BH1348" s="622" t="str">
        <f>_xlfn.XLOOKUP(PV_DATA[[#This Row],[PORT DESTINATION]],Table12[PORT DESTINATION],Table12[Cosco Line],,0)</f>
        <v>n/a</v>
      </c>
    </row>
    <row r="1349" spans="1:61" hidden="1">
      <c r="A1349" s="1179" t="s">
        <v>7654</v>
      </c>
      <c r="B1349" s="726" t="s">
        <v>61</v>
      </c>
      <c r="C1349" s="439" t="str">
        <f>IFERROR(LEFT(PV_DATA[[#This Row],[TCL REFERENCE]],FIND(".",PV_DATA[[#This Row],[TCL REFERENCE]],1)-1),"Main Line")</f>
        <v>26Oct006</v>
      </c>
      <c r="D1349" s="726" t="s">
        <v>63</v>
      </c>
      <c r="E1349" s="439" t="s">
        <v>64</v>
      </c>
      <c r="F1349" s="439" t="str" cm="1">
        <f t="array" ref="F134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349" s="439" t="s">
        <v>402</v>
      </c>
      <c r="H1349" s="439" t="s">
        <v>67</v>
      </c>
      <c r="I1349" s="431" t="s">
        <v>689</v>
      </c>
      <c r="J1349" s="431" t="s">
        <v>96</v>
      </c>
      <c r="K1349" s="619"/>
      <c r="L1349" s="619"/>
      <c r="M1349" s="619" t="s">
        <v>68</v>
      </c>
      <c r="N1349" s="461">
        <v>46317</v>
      </c>
      <c r="O1349" s="619" t="s">
        <v>4540</v>
      </c>
      <c r="P1349" s="430" t="s">
        <v>1151</v>
      </c>
      <c r="Q1349" s="431" t="s">
        <v>421</v>
      </c>
      <c r="R1349" s="430" t="str">
        <f>_xlfn.XLOOKUP(PV_DATA[[#This Row],[New Ark SKU]],Table9[New Ark SKU],Table9[Connector],,0)</f>
        <v>EVO2A</v>
      </c>
      <c r="S1349" s="433" t="str">
        <f>_xlfn.XLOOKUP(PV_DATA[[#This Row],[New Ark SKU]],Table9[New Ark SKU],Table9[Cable],,0)</f>
        <v>±1200mm</v>
      </c>
      <c r="T1349" s="442">
        <v>505</v>
      </c>
      <c r="U1349" s="1067">
        <f>864*2</f>
        <v>1728</v>
      </c>
      <c r="V1349" s="448">
        <f>PV_DATA[[#This Row],[QUANTITY]]*PV_DATA[[#This Row],[WATT]]/1000000</f>
        <v>0.87263999999999997</v>
      </c>
      <c r="W1349" s="466">
        <f>PV_DATA[[#This Row],[QUANTITY]]/PV_DATA[[#This Row],[Qty/Pallet]]</f>
        <v>48</v>
      </c>
      <c r="X1349" s="1022">
        <f>PV_DATA[[#This Row],[QUANTITY]]/PV_DATA[[#This Row],[Qty/CT]]</f>
        <v>2</v>
      </c>
      <c r="Y1349" s="431" t="s">
        <v>4388</v>
      </c>
      <c r="Z1349" s="1180" t="str">
        <f>IF(AN1349&lt;&gt;"","COMPLETED",IF(AK1349&lt;&gt;"","IN-TRANSIT",""))</f>
        <v/>
      </c>
      <c r="AA1349" s="661">
        <v>46322</v>
      </c>
      <c r="AB1349" s="441"/>
      <c r="AC1349" s="467" t="str">
        <f>IF(PV_DATA[[#This Row],[Pick-Up Date]]&lt;&gt;"",_xlfn.ISOWEEKNUM(PV_DATA[[#This Row],[Pick-Up Date]]),"")</f>
        <v/>
      </c>
      <c r="AD1349" s="431"/>
      <c r="AE1349" s="442"/>
      <c r="AF1349" s="619" t="s">
        <v>61</v>
      </c>
      <c r="AG1349" s="619" t="s">
        <v>61</v>
      </c>
      <c r="AH1349" s="466" t="s">
        <v>78</v>
      </c>
      <c r="AI1349" s="441">
        <v>46333</v>
      </c>
      <c r="AJ1349" s="441"/>
      <c r="AK1349" s="441"/>
      <c r="AL1349" s="441">
        <v>46412</v>
      </c>
      <c r="AM1349" s="1190">
        <f>IFERROR(VLOOKUP(AT1349, Vessel!A:H, 8, FALSE), "")</f>
        <v>46405.791666666664</v>
      </c>
      <c r="AN1349" s="1190" t="str">
        <f>IFERROR(IF(VLOOKUP(AT1349,Vessel!A:I,9,FALSE)=0,"",VLOOKUP(AT1349,Vessel!A:I,9,FALSE)),"")</f>
        <v/>
      </c>
      <c r="AO1349" s="726" t="s">
        <v>402</v>
      </c>
      <c r="AP1349" s="431" t="s">
        <v>7464</v>
      </c>
      <c r="AQ1349" s="445" t="s">
        <v>80</v>
      </c>
      <c r="AR1349" s="619"/>
      <c r="AS1349" s="431" t="s">
        <v>7655</v>
      </c>
      <c r="AT1349" s="431" t="s">
        <v>7655</v>
      </c>
      <c r="AU1349" s="619"/>
      <c r="AV1349" s="431"/>
      <c r="AW1349" s="441" cm="1">
        <f t="array" ref="AW134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46405.791666666664</v>
      </c>
      <c r="AX134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49" s="441">
        <f>IF(ISERROR(PV_DATA[[#This Row],[New Ark PO status]]),"",_xlfn.XLOOKUP(PV_DATA[[#This Row],[SPTN-PVHK New Ark PO'#]],New_Ark_Data[Purchase order Number],New_Ark_Data[Estimated time of arrival],"",0))</f>
        <v>0</v>
      </c>
      <c r="AZ1349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349" s="441">
        <f>IFERROR(PV_DATA[[#This Row],[ODP ETA Port]]+PV_DATA[[#This Row],[Customs/Leg3 Assumption]],"n/a")</f>
        <v>46413.791666666664</v>
      </c>
      <c r="BB1349" s="442">
        <f>YEAR(PV_DATA[[#This Row],[ETA for New Ark update]])</f>
        <v>2027</v>
      </c>
      <c r="BC1349" s="431">
        <f>MONTH(PV_DATA[[#This Row],[ETA for New Ark update]])</f>
        <v>1</v>
      </c>
      <c r="BD1349" s="431">
        <f>IFERROR(_xlfn.ISOWEEKNUM(PV_DATA[[#This Row],[ETA for New Ark update]]),0)</f>
        <v>4</v>
      </c>
      <c r="BE1349" s="431">
        <f>_xlfn.XLOOKUP(PV_DATA[[#This Row],[New Ark SKU]],Table9[New Ark SKU],Table9[Total PCS per Pallet],,0)</f>
        <v>36</v>
      </c>
      <c r="BF1349" s="431">
        <f>_xlfn.XLOOKUP(PV_DATA[[#This Row],[New Ark SKU]],Table9[New Ark SKU],Table9[Total PCS per 40HQ Container],,0)</f>
        <v>864</v>
      </c>
      <c r="BG1349" s="431" t="str">
        <f>_xlfn.XLOOKUP(PV_DATA[[#This Row],[New Ark SKU]],Table9[New Ark SKU],Table9[Back Glass],,0)</f>
        <v>Black glazing</v>
      </c>
      <c r="BH1349" s="622" t="str">
        <f>_xlfn.XLOOKUP(PV_DATA[[#This Row],[PORT DESTINATION]],Table12[PORT DESTINATION],Table12[Cosco Line],,0)</f>
        <v>AEM</v>
      </c>
    </row>
    <row r="1350" spans="1:61" hidden="1">
      <c r="A1350" s="1179" t="s">
        <v>7656</v>
      </c>
      <c r="B1350" s="726" t="s">
        <v>61</v>
      </c>
      <c r="C1350" s="439" t="str">
        <f>IFERROR(LEFT(PV_DATA[[#This Row],[TCL REFERENCE]],FIND(".",PV_DATA[[#This Row],[TCL REFERENCE]],1)-1),"Main Line")</f>
        <v>26Oct006</v>
      </c>
      <c r="D1350" s="726" t="s">
        <v>63</v>
      </c>
      <c r="E1350" s="439" t="s">
        <v>64</v>
      </c>
      <c r="F1350" s="439" t="str" cm="1">
        <f t="array" ref="F135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50" s="726" t="s">
        <v>402</v>
      </c>
      <c r="H1350" s="726" t="s">
        <v>67</v>
      </c>
      <c r="I1350" s="431" t="s">
        <v>689</v>
      </c>
      <c r="J1350" s="619" t="s">
        <v>7347</v>
      </c>
      <c r="K1350" s="619"/>
      <c r="L1350" s="619"/>
      <c r="M1350" s="619" t="s">
        <v>68</v>
      </c>
      <c r="N1350" s="461">
        <v>46317</v>
      </c>
      <c r="O1350" s="619" t="s">
        <v>4540</v>
      </c>
      <c r="P1350" s="430" t="s">
        <v>1151</v>
      </c>
      <c r="Q1350" s="431" t="s">
        <v>421</v>
      </c>
      <c r="R1350" s="430" t="str">
        <f>_xlfn.XLOOKUP(PV_DATA[[#This Row],[New Ark SKU]],Table9[New Ark SKU],Table9[Connector],,0)</f>
        <v>EVO2A</v>
      </c>
      <c r="S1350" s="433" t="str">
        <f>_xlfn.XLOOKUP(PV_DATA[[#This Row],[New Ark SKU]],Table9[New Ark SKU],Table9[Cable],,0)</f>
        <v>±1200mm</v>
      </c>
      <c r="T1350" s="442">
        <v>505</v>
      </c>
      <c r="U1350" s="1067">
        <f>864*2</f>
        <v>1728</v>
      </c>
      <c r="V1350" s="448">
        <f>PV_DATA[[#This Row],[QUANTITY]]*PV_DATA[[#This Row],[WATT]]/1000000</f>
        <v>0.87263999999999997</v>
      </c>
      <c r="W1350" s="466">
        <f>PV_DATA[[#This Row],[QUANTITY]]/PV_DATA[[#This Row],[Qty/Pallet]]</f>
        <v>48</v>
      </c>
      <c r="X1350" s="1022">
        <f>PV_DATA[[#This Row],[QUANTITY]]/PV_DATA[[#This Row],[Qty/CT]]</f>
        <v>2</v>
      </c>
      <c r="Y1350" s="431" t="s">
        <v>4386</v>
      </c>
      <c r="Z1350" s="1180" t="str">
        <f t="shared" si="48"/>
        <v/>
      </c>
      <c r="AA1350" s="661">
        <v>46319</v>
      </c>
      <c r="AB1350" s="441"/>
      <c r="AC1350" s="467" t="str">
        <f>IF(PV_DATA[[#This Row],[Pick-Up Date]]&lt;&gt;"",_xlfn.ISOWEEKNUM(PV_DATA[[#This Row],[Pick-Up Date]]),"")</f>
        <v/>
      </c>
      <c r="AD1350" s="431"/>
      <c r="AE1350" s="442"/>
      <c r="AF1350" s="619" t="s">
        <v>61</v>
      </c>
      <c r="AG1350" s="619" t="s">
        <v>61</v>
      </c>
      <c r="AH1350" s="466" t="s">
        <v>105</v>
      </c>
      <c r="AI1350" s="441"/>
      <c r="AJ1350" s="441"/>
      <c r="AK1350" s="441"/>
      <c r="AL1350" s="441"/>
      <c r="AM1350" s="441"/>
      <c r="AO1350" s="431"/>
      <c r="AP1350" s="431"/>
      <c r="AQ1350" s="445"/>
      <c r="AR1350" s="619"/>
      <c r="AS1350" s="431"/>
      <c r="AT1350" s="431"/>
      <c r="AU1350" s="619"/>
      <c r="AV1350" s="431"/>
      <c r="AW1350" s="441" cm="1">
        <f t="array" ref="AW135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46402</v>
      </c>
      <c r="AX1350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50" s="441">
        <f>IF(ISERROR(PV_DATA[[#This Row],[New Ark PO status]]),"",_xlfn.XLOOKUP(PV_DATA[[#This Row],[SPTN-PVHK New Ark PO'#]],New_Ark_Data[Purchase order Number],New_Ark_Data[Estimated time of arrival],"",0))</f>
        <v>0</v>
      </c>
      <c r="AZ1350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50" s="441">
        <f>IFERROR(PV_DATA[[#This Row],[ODP ETA Port]]+PV_DATA[[#This Row],[Customs/Leg3 Assumption]],"n/a")</f>
        <v>46409</v>
      </c>
      <c r="BB1350" s="442">
        <f>YEAR(PV_DATA[[#This Row],[ETA for New Ark update]])</f>
        <v>2027</v>
      </c>
      <c r="BC1350" s="431">
        <f>MONTH(PV_DATA[[#This Row],[ETA for New Ark update]])</f>
        <v>1</v>
      </c>
      <c r="BD1350" s="431">
        <f>IFERROR(_xlfn.ISOWEEKNUM(PV_DATA[[#This Row],[ETA for New Ark update]]),0)</f>
        <v>3</v>
      </c>
      <c r="BE1350" s="431">
        <f>_xlfn.XLOOKUP(PV_DATA[[#This Row],[New Ark SKU]],Table9[New Ark SKU],Table9[Total PCS per Pallet],,0)</f>
        <v>36</v>
      </c>
      <c r="BF1350" s="431">
        <f>_xlfn.XLOOKUP(PV_DATA[[#This Row],[New Ark SKU]],Table9[New Ark SKU],Table9[Total PCS per 40HQ Container],,0)</f>
        <v>864</v>
      </c>
      <c r="BG1350" s="431" t="str">
        <f>_xlfn.XLOOKUP(PV_DATA[[#This Row],[New Ark SKU]],Table9[New Ark SKU],Table9[Back Glass],,0)</f>
        <v>Black glazing</v>
      </c>
      <c r="BH1350" s="622" t="str">
        <f>_xlfn.XLOOKUP(PV_DATA[[#This Row],[PORT DESTINATION]],Table12[PORT DESTINATION],Table12[Cosco Line],,0)</f>
        <v>AEU</v>
      </c>
      <c r="BI1350" s="430" t="s">
        <v>7438</v>
      </c>
    </row>
    <row r="1351" spans="1:61" hidden="1">
      <c r="A1351" s="1179" t="s">
        <v>7657</v>
      </c>
      <c r="B1351" s="726" t="s">
        <v>61</v>
      </c>
      <c r="C1351" s="439" t="str">
        <f>IFERROR(LEFT(PV_DATA[[#This Row],[TCL REFERENCE]],FIND(".",PV_DATA[[#This Row],[TCL REFERENCE]],1)-1),"Main Line")</f>
        <v>26Oct006</v>
      </c>
      <c r="D1351" s="726" t="s">
        <v>63</v>
      </c>
      <c r="E1351" s="439" t="s">
        <v>64</v>
      </c>
      <c r="F1351" s="439" t="str" cm="1">
        <f t="array" ref="F135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51" s="726" t="s">
        <v>402</v>
      </c>
      <c r="H1351" s="726" t="s">
        <v>67</v>
      </c>
      <c r="I1351" s="431" t="s">
        <v>689</v>
      </c>
      <c r="J1351" s="619" t="s">
        <v>7347</v>
      </c>
      <c r="K1351" s="619"/>
      <c r="L1351" s="619"/>
      <c r="M1351" s="619" t="s">
        <v>68</v>
      </c>
      <c r="N1351" s="461">
        <v>46317</v>
      </c>
      <c r="O1351" s="619" t="s">
        <v>4540</v>
      </c>
      <c r="P1351" s="430" t="s">
        <v>1151</v>
      </c>
      <c r="Q1351" s="431" t="s">
        <v>421</v>
      </c>
      <c r="R1351" s="430" t="str">
        <f>_xlfn.XLOOKUP(PV_DATA[[#This Row],[New Ark SKU]],Table9[New Ark SKU],Table9[Connector],,0)</f>
        <v>EVO2A</v>
      </c>
      <c r="S1351" s="433" t="str">
        <f>_xlfn.XLOOKUP(PV_DATA[[#This Row],[New Ark SKU]],Table9[New Ark SKU],Table9[Cable],,0)</f>
        <v>±1200mm</v>
      </c>
      <c r="T1351" s="442">
        <v>505</v>
      </c>
      <c r="U1351" s="1067">
        <f>864*4</f>
        <v>3456</v>
      </c>
      <c r="V1351" s="448">
        <f>PV_DATA[[#This Row],[QUANTITY]]*PV_DATA[[#This Row],[WATT]]/1000000</f>
        <v>1.7452799999999999</v>
      </c>
      <c r="W1351" s="466">
        <f>PV_DATA[[#This Row],[QUANTITY]]/PV_DATA[[#This Row],[Qty/Pallet]]</f>
        <v>96</v>
      </c>
      <c r="X1351" s="1022">
        <f>PV_DATA[[#This Row],[QUANTITY]]/PV_DATA[[#This Row],[Qty/CT]]</f>
        <v>4</v>
      </c>
      <c r="Y1351" s="431" t="s">
        <v>4387</v>
      </c>
      <c r="Z1351" s="1180" t="str">
        <f t="shared" si="48"/>
        <v/>
      </c>
      <c r="AA1351" s="661">
        <v>46321</v>
      </c>
      <c r="AB1351" s="441"/>
      <c r="AC1351" s="467" t="str">
        <f>IF(PV_DATA[[#This Row],[Pick-Up Date]]&lt;&gt;"",_xlfn.ISOWEEKNUM(PV_DATA[[#This Row],[Pick-Up Date]]),"")</f>
        <v/>
      </c>
      <c r="AD1351" s="431"/>
      <c r="AE1351" s="442"/>
      <c r="AF1351" s="619" t="s">
        <v>61</v>
      </c>
      <c r="AG1351" s="619" t="s">
        <v>61</v>
      </c>
      <c r="AH1351" s="466" t="s">
        <v>105</v>
      </c>
      <c r="AI1351" s="441"/>
      <c r="AJ1351" s="441"/>
      <c r="AK1351" s="441"/>
      <c r="AL1351" s="441"/>
      <c r="AM1351" s="441"/>
      <c r="AO1351" s="431"/>
      <c r="AP1351" s="431"/>
      <c r="AQ1351" s="445"/>
      <c r="AR1351" s="619"/>
      <c r="AS1351" s="431"/>
      <c r="AT1351" s="431"/>
      <c r="AU1351" s="619"/>
      <c r="AV1351" s="431"/>
      <c r="AW1351" s="441" cm="1">
        <f t="array" ref="AW135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46409</v>
      </c>
      <c r="AX135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51" s="441">
        <f>IF(ISERROR(PV_DATA[[#This Row],[New Ark PO status]]),"",_xlfn.XLOOKUP(PV_DATA[[#This Row],[SPTN-PVHK New Ark PO'#]],New_Ark_Data[Purchase order Number],New_Ark_Data[Estimated time of arrival],"",0))</f>
        <v>0</v>
      </c>
      <c r="AZ1351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51" s="441">
        <f>IFERROR(PV_DATA[[#This Row],[ODP ETA Port]]+PV_DATA[[#This Row],[Customs/Leg3 Assumption]],"n/a")</f>
        <v>46416</v>
      </c>
      <c r="BB1351" s="442">
        <f>YEAR(PV_DATA[[#This Row],[ETA for New Ark update]])</f>
        <v>2027</v>
      </c>
      <c r="BC1351" s="431">
        <f>MONTH(PV_DATA[[#This Row],[ETA for New Ark update]])</f>
        <v>1</v>
      </c>
      <c r="BD1351" s="431">
        <f>IFERROR(_xlfn.ISOWEEKNUM(PV_DATA[[#This Row],[ETA for New Ark update]]),0)</f>
        <v>4</v>
      </c>
      <c r="BE1351" s="431">
        <f>_xlfn.XLOOKUP(PV_DATA[[#This Row],[New Ark SKU]],Table9[New Ark SKU],Table9[Total PCS per Pallet],,0)</f>
        <v>36</v>
      </c>
      <c r="BF1351" s="431">
        <f>_xlfn.XLOOKUP(PV_DATA[[#This Row],[New Ark SKU]],Table9[New Ark SKU],Table9[Total PCS per 40HQ Container],,0)</f>
        <v>864</v>
      </c>
      <c r="BG1351" s="431" t="str">
        <f>_xlfn.XLOOKUP(PV_DATA[[#This Row],[New Ark SKU]],Table9[New Ark SKU],Table9[Back Glass],,0)</f>
        <v>Black glazing</v>
      </c>
      <c r="BH1351" s="622" t="str">
        <f>_xlfn.XLOOKUP(PV_DATA[[#This Row],[PORT DESTINATION]],Table12[PORT DESTINATION],Table12[Cosco Line],,0)</f>
        <v>AEU</v>
      </c>
    </row>
    <row r="1352" spans="1:61" hidden="1">
      <c r="A1352" s="1179" t="s">
        <v>7658</v>
      </c>
      <c r="B1352" s="726" t="s">
        <v>1757</v>
      </c>
      <c r="C1352" s="726" t="str">
        <f>IFERROR(LEFT(PV_DATA[[#This Row],[TCL REFERENCE]],FIND(".",PV_DATA[[#This Row],[TCL REFERENCE]],1)-1),"Main Line")</f>
        <v>Main Line</v>
      </c>
      <c r="D1352" s="726" t="s">
        <v>63</v>
      </c>
      <c r="E1352" s="439" t="s">
        <v>68</v>
      </c>
      <c r="F1352" s="439" t="str" cm="1">
        <f t="array" ref="F1352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52" s="726" t="s">
        <v>68</v>
      </c>
      <c r="H1352" s="726" t="s">
        <v>68</v>
      </c>
      <c r="I1352" s="431" t="s">
        <v>68</v>
      </c>
      <c r="J1352" s="619" t="s">
        <v>68</v>
      </c>
      <c r="K1352" s="619"/>
      <c r="L1352" s="619"/>
      <c r="M1352" s="619" t="s">
        <v>68</v>
      </c>
      <c r="N1352" s="630"/>
      <c r="O1352" s="619" t="s">
        <v>284</v>
      </c>
      <c r="P1352" s="623" t="s">
        <v>7223</v>
      </c>
      <c r="Q1352" s="619" t="s">
        <v>7224</v>
      </c>
      <c r="R1352" s="430" t="str">
        <f>_xlfn.XLOOKUP(PV_DATA[[#This Row],[New Ark SKU]],Table9[New Ark SKU],Table9[Connector],,0)</f>
        <v>EVO2A</v>
      </c>
      <c r="S1352" s="433" t="str">
        <f>_xlfn.XLOOKUP(PV_DATA[[#This Row],[New Ark SKU]],Table9[New Ark SKU],Table9[Cable],,0)</f>
        <v>±1200mm</v>
      </c>
      <c r="T1352" s="620">
        <v>490</v>
      </c>
      <c r="U1352" s="1038" cm="1">
        <f t="array" ref="U1352">936*44-fx_qty</f>
        <v>0</v>
      </c>
      <c r="V1352" s="624">
        <f>PV_DATA[[#This Row],[QUANTITY]]*PV_DATA[[#This Row],[WATT]]/1000000</f>
        <v>0</v>
      </c>
      <c r="W1352" s="625">
        <f>PV_DATA[[#This Row],[QUANTITY]]/PV_DATA[[#This Row],[Qty/Pallet]]</f>
        <v>0</v>
      </c>
      <c r="X1352" s="1022">
        <f>PV_DATA[[#This Row],[QUANTITY]]/PV_DATA[[#This Row],[Qty/CT]]</f>
        <v>0</v>
      </c>
      <c r="Y1352" s="431" t="s">
        <v>7039</v>
      </c>
      <c r="Z1352" s="1178" t="str">
        <f t="shared" si="48"/>
        <v/>
      </c>
      <c r="AA1352" s="855">
        <v>46320</v>
      </c>
      <c r="AB1352" s="626"/>
      <c r="AC1352" s="627" t="str">
        <f>IF(PV_DATA[[#This Row],[Pick-Up Date]]&lt;&gt;"",_xlfn.ISOWEEKNUM(PV_DATA[[#This Row],[Pick-Up Date]]),"")</f>
        <v/>
      </c>
      <c r="AD1352" s="619"/>
      <c r="AE1352" s="620"/>
      <c r="AF1352" s="430" t="s">
        <v>122</v>
      </c>
      <c r="AG1352" s="430" t="s">
        <v>123</v>
      </c>
      <c r="AH1352" s="431" t="s">
        <v>68</v>
      </c>
      <c r="AI1352" s="626"/>
      <c r="AJ1352" s="626"/>
      <c r="AK1352" s="626"/>
      <c r="AL1352" s="626"/>
      <c r="AM1352" s="626"/>
      <c r="AN1352" s="626"/>
      <c r="AO1352" s="619"/>
      <c r="AP1352" s="619"/>
      <c r="AQ1352" s="628"/>
      <c r="AR1352" s="619"/>
      <c r="AS1352" s="619"/>
      <c r="AT1352" s="619"/>
      <c r="AU1352" s="619"/>
      <c r="AV1352" s="619"/>
      <c r="AW1352" s="626" t="str" cm="1">
        <f t="array" ref="AW135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5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52" s="626">
        <f>IF(ISERROR(PV_DATA[[#This Row],[New Ark PO status]]),"",_xlfn.XLOOKUP(PV_DATA[[#This Row],[SPTN-PVHK New Ark PO'#]],New_Ark_Data[Purchase order Number],New_Ark_Data[Estimated time of arrival],"",0))</f>
        <v>0</v>
      </c>
      <c r="AZ1352" s="620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52" s="626" t="str">
        <f>IFERROR(PV_DATA[[#This Row],[ODP ETA Port]]+PV_DATA[[#This Row],[Customs/Leg3 Assumption]],"n/a")</f>
        <v>n/a</v>
      </c>
      <c r="BB1352" s="620" t="e">
        <f>YEAR(PV_DATA[[#This Row],[ETA for New Ark update]])</f>
        <v>#VALUE!</v>
      </c>
      <c r="BC1352" s="619" t="e">
        <f>MONTH(PV_DATA[[#This Row],[ETA for New Ark update]])</f>
        <v>#VALUE!</v>
      </c>
      <c r="BD1352" s="619">
        <f>IFERROR(_xlfn.ISOWEEKNUM(PV_DATA[[#This Row],[ETA for New Ark update]]),0)</f>
        <v>0</v>
      </c>
      <c r="BE1352" s="431">
        <f>_xlfn.XLOOKUP(PV_DATA[[#This Row],[New Ark SKU]],Table9[New Ark SKU],Table9[Total PCS per Pallet],,0)</f>
        <v>36</v>
      </c>
      <c r="BF1352" s="431">
        <f>_xlfn.XLOOKUP(PV_DATA[[#This Row],[New Ark SKU]],Table9[New Ark SKU],Table9[Total PCS per 40HQ Container],,0)</f>
        <v>936</v>
      </c>
      <c r="BG1352" s="431" t="str">
        <f>_xlfn.XLOOKUP(PV_DATA[[#This Row],[New Ark SKU]],Table9[New Ark SKU],Table9[Back Glass],,0)</f>
        <v>Black glazing</v>
      </c>
      <c r="BH1352" s="629" t="str">
        <f>_xlfn.XLOOKUP(PV_DATA[[#This Row],[PORT DESTINATION]],Table12[PORT DESTINATION],Table12[Cosco Line],,0)</f>
        <v>n/a</v>
      </c>
    </row>
    <row r="1353" spans="1:61" hidden="1">
      <c r="A1353" s="1179" t="s">
        <v>7659</v>
      </c>
      <c r="B1353" s="726" t="s">
        <v>1757</v>
      </c>
      <c r="C1353" s="726" t="str">
        <f>IFERROR(LEFT(PV_DATA[[#This Row],[TCL REFERENCE]],FIND(".",PV_DATA[[#This Row],[TCL REFERENCE]],1)-1),"Main Line")</f>
        <v>26Oct007</v>
      </c>
      <c r="D1353" s="726" t="s">
        <v>63</v>
      </c>
      <c r="E1353" s="439" t="s">
        <v>64</v>
      </c>
      <c r="F1353" s="439" t="str" cm="1">
        <f t="array" ref="F135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353" s="726" t="s">
        <v>402</v>
      </c>
      <c r="H1353" s="726" t="s">
        <v>311</v>
      </c>
      <c r="I1353" s="431" t="s">
        <v>689</v>
      </c>
      <c r="J1353" s="431" t="s">
        <v>96</v>
      </c>
      <c r="K1353" s="619"/>
      <c r="L1353" s="619"/>
      <c r="M1353" s="619" t="s">
        <v>68</v>
      </c>
      <c r="N1353" s="630"/>
      <c r="O1353" s="619" t="s">
        <v>284</v>
      </c>
      <c r="P1353" s="623" t="s">
        <v>7223</v>
      </c>
      <c r="Q1353" s="619" t="s">
        <v>7224</v>
      </c>
      <c r="R1353" s="430" t="str">
        <f>_xlfn.XLOOKUP(PV_DATA[[#This Row],[New Ark SKU]],Table9[New Ark SKU],Table9[Connector],,0)</f>
        <v>EVO2A</v>
      </c>
      <c r="S1353" s="433" t="str">
        <f>_xlfn.XLOOKUP(PV_DATA[[#This Row],[New Ark SKU]],Table9[New Ark SKU],Table9[Cable],,0)</f>
        <v>±1200mm</v>
      </c>
      <c r="T1353" s="620">
        <v>490</v>
      </c>
      <c r="U1353" s="1038">
        <f>936*2</f>
        <v>1872</v>
      </c>
      <c r="V1353" s="624">
        <f>PV_DATA[[#This Row],[QUANTITY]]*PV_DATA[[#This Row],[WATT]]/1000000</f>
        <v>0.91727999999999998</v>
      </c>
      <c r="W1353" s="625">
        <f>PV_DATA[[#This Row],[QUANTITY]]/PV_DATA[[#This Row],[Qty/Pallet]]</f>
        <v>52</v>
      </c>
      <c r="X1353" s="1022">
        <f>PV_DATA[[#This Row],[QUANTITY]]/PV_DATA[[#This Row],[Qty/CT]]</f>
        <v>2</v>
      </c>
      <c r="Y1353" s="431" t="s">
        <v>4387</v>
      </c>
      <c r="Z1353" s="1178" t="str">
        <f t="shared" ref="Z1353" si="49">IF(AN1353&lt;&gt;"","COMPLETED",IF(AK1353&lt;&gt;"","IN-TRANSIT",""))</f>
        <v/>
      </c>
      <c r="AA1353" s="855">
        <v>46320</v>
      </c>
      <c r="AB1353" s="626"/>
      <c r="AC1353" s="627" t="str">
        <f>IF(PV_DATA[[#This Row],[Pick-Up Date]]&lt;&gt;"",_xlfn.ISOWEEKNUM(PV_DATA[[#This Row],[Pick-Up Date]]),"")</f>
        <v/>
      </c>
      <c r="AD1353" s="619"/>
      <c r="AE1353" s="620"/>
      <c r="AF1353" s="430" t="s">
        <v>122</v>
      </c>
      <c r="AG1353" s="430" t="s">
        <v>123</v>
      </c>
      <c r="AH1353" s="431" t="s">
        <v>314</v>
      </c>
      <c r="AI1353" s="626"/>
      <c r="AJ1353" s="626"/>
      <c r="AK1353" s="626"/>
      <c r="AL1353" s="626"/>
      <c r="AM1353" s="626"/>
      <c r="AN1353" s="626"/>
      <c r="AO1353" s="619"/>
      <c r="AP1353" s="619"/>
      <c r="AQ1353" s="628"/>
      <c r="AR1353" s="619"/>
      <c r="AS1353" s="619"/>
      <c r="AT1353" s="619"/>
      <c r="AU1353" s="619"/>
      <c r="AV1353" s="619"/>
      <c r="AW1353" s="626" cm="1">
        <f t="array" ref="AW135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46392</v>
      </c>
      <c r="AX135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53" s="626">
        <f>IF(ISERROR(PV_DATA[[#This Row],[New Ark PO status]]),"",_xlfn.XLOOKUP(PV_DATA[[#This Row],[SPTN-PVHK New Ark PO'#]],New_Ark_Data[Purchase order Number],New_Ark_Data[Estimated time of arrival],"",0))</f>
        <v>0</v>
      </c>
      <c r="AZ1353" s="620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353" s="626">
        <f>IFERROR(PV_DATA[[#This Row],[ODP ETA Port]]+PV_DATA[[#This Row],[Customs/Leg3 Assumption]],"n/a")</f>
        <v>46402</v>
      </c>
      <c r="BB1353" s="620">
        <f>YEAR(PV_DATA[[#This Row],[ETA for New Ark update]])</f>
        <v>2027</v>
      </c>
      <c r="BC1353" s="619">
        <f>MONTH(PV_DATA[[#This Row],[ETA for New Ark update]])</f>
        <v>1</v>
      </c>
      <c r="BD1353" s="619">
        <f>IFERROR(_xlfn.ISOWEEKNUM(PV_DATA[[#This Row],[ETA for New Ark update]]),0)</f>
        <v>2</v>
      </c>
      <c r="BE1353" s="431">
        <f>_xlfn.XLOOKUP(PV_DATA[[#This Row],[New Ark SKU]],Table9[New Ark SKU],Table9[Total PCS per Pallet],,0)</f>
        <v>36</v>
      </c>
      <c r="BF1353" s="431">
        <f>_xlfn.XLOOKUP(PV_DATA[[#This Row],[New Ark SKU]],Table9[New Ark SKU],Table9[Total PCS per 40HQ Container],,0)</f>
        <v>936</v>
      </c>
      <c r="BG1353" s="431" t="str">
        <f>_xlfn.XLOOKUP(PV_DATA[[#This Row],[New Ark SKU]],Table9[New Ark SKU],Table9[Back Glass],,0)</f>
        <v>Black glazing</v>
      </c>
      <c r="BH1353" s="629" t="str">
        <f>_xlfn.XLOOKUP(PV_DATA[[#This Row],[PORT DESTINATION]],Table12[PORT DESTINATION],Table12[Cosco Line],,0)</f>
        <v>AEM</v>
      </c>
    </row>
    <row r="1354" spans="1:61" hidden="1">
      <c r="A1354" s="1179" t="s">
        <v>7282</v>
      </c>
      <c r="B1354" s="726" t="s">
        <v>1757</v>
      </c>
      <c r="C1354" s="726" t="str">
        <f>IFERROR(LEFT(PV_DATA[[#This Row],[TCL REFERENCE]],FIND(".",PV_DATA[[#This Row],[TCL REFERENCE]],1)-1),"Main Line")</f>
        <v>Main Line</v>
      </c>
      <c r="D1354" s="726" t="s">
        <v>63</v>
      </c>
      <c r="E1354" s="439" t="s">
        <v>68</v>
      </c>
      <c r="F1354" s="439" t="str" cm="1">
        <f t="array" ref="F1354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54" s="726" t="s">
        <v>68</v>
      </c>
      <c r="H1354" s="726" t="s">
        <v>68</v>
      </c>
      <c r="I1354" s="431" t="s">
        <v>68</v>
      </c>
      <c r="J1354" s="619" t="s">
        <v>68</v>
      </c>
      <c r="K1354" s="619"/>
      <c r="L1354" s="619"/>
      <c r="M1354" s="619" t="s">
        <v>68</v>
      </c>
      <c r="N1354" s="630"/>
      <c r="O1354" s="619" t="s">
        <v>284</v>
      </c>
      <c r="P1354" s="623" t="s">
        <v>5860</v>
      </c>
      <c r="Q1354" s="619" t="s">
        <v>5861</v>
      </c>
      <c r="R1354" s="430" t="str">
        <f>_xlfn.XLOOKUP(PV_DATA[[#This Row],[New Ark SKU]],Table9[New Ark SKU],Table9[Connector],,0)</f>
        <v>EVO2A</v>
      </c>
      <c r="S1354" s="433" t="str">
        <f>_xlfn.XLOOKUP(PV_DATA[[#This Row],[New Ark SKU]],Table9[New Ark SKU],Table9[Cable],,0)</f>
        <v>±1200mm</v>
      </c>
      <c r="T1354" s="620">
        <v>485</v>
      </c>
      <c r="U1354" s="1038" cm="1">
        <f t="array" ref="U1354">152496-fx_qty</f>
        <v>-72</v>
      </c>
      <c r="V1354" s="624">
        <f>PV_DATA[[#This Row],[QUANTITY]]*PV_DATA[[#This Row],[WATT]]/1000000</f>
        <v>-3.492E-2</v>
      </c>
      <c r="W1354" s="625">
        <f>PV_DATA[[#This Row],[QUANTITY]]/PV_DATA[[#This Row],[Qty/Pallet]]</f>
        <v>-2</v>
      </c>
      <c r="X1354" s="1022">
        <f>PV_DATA[[#This Row],[QUANTITY]]/PV_DATA[[#This Row],[Qty/CT]]</f>
        <v>-7.6923076923076927E-2</v>
      </c>
      <c r="Y1354" s="431" t="s">
        <v>7039</v>
      </c>
      <c r="Z1354" s="1178" t="str">
        <f t="shared" si="48"/>
        <v/>
      </c>
      <c r="AA1354" s="855" t="s">
        <v>7660</v>
      </c>
      <c r="AB1354" s="626"/>
      <c r="AC1354" s="627" t="str">
        <f>IF(PV_DATA[[#This Row],[Pick-Up Date]]&lt;&gt;"",_xlfn.ISOWEEKNUM(PV_DATA[[#This Row],[Pick-Up Date]]),"")</f>
        <v/>
      </c>
      <c r="AD1354" s="619"/>
      <c r="AE1354" s="620"/>
      <c r="AF1354" s="430" t="s">
        <v>122</v>
      </c>
      <c r="AG1354" s="430" t="s">
        <v>123</v>
      </c>
      <c r="AH1354" s="431" t="s">
        <v>68</v>
      </c>
      <c r="AI1354" s="626"/>
      <c r="AJ1354" s="626"/>
      <c r="AK1354" s="626"/>
      <c r="AL1354" s="626"/>
      <c r="AM1354" s="626"/>
      <c r="AN1354" s="626"/>
      <c r="AO1354" s="619"/>
      <c r="AP1354" s="619"/>
      <c r="AQ1354" s="628"/>
      <c r="AR1354" s="619"/>
      <c r="AS1354" s="619"/>
      <c r="AT1354" s="619"/>
      <c r="AU135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0</v>
      </c>
      <c r="AV1354" s="619"/>
      <c r="AW1354" s="626" t="str" cm="1">
        <f t="array" ref="AW135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5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54" s="626">
        <f>IF(ISERROR(PV_DATA[[#This Row],[New Ark PO status]]),"",_xlfn.XLOOKUP(PV_DATA[[#This Row],[SPTN-PVHK New Ark PO'#]],New_Ark_Data[Purchase order Number],New_Ark_Data[Estimated time of arrival],"",0))</f>
        <v>0</v>
      </c>
      <c r="AZ1354" s="620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54" s="626" t="str">
        <f>IFERROR(PV_DATA[[#This Row],[ODP ETA Port]]+PV_DATA[[#This Row],[Customs/Leg3 Assumption]],"n/a")</f>
        <v>n/a</v>
      </c>
      <c r="BB1354" s="620" t="e">
        <f>YEAR(PV_DATA[[#This Row],[ETA for New Ark update]])</f>
        <v>#VALUE!</v>
      </c>
      <c r="BC1354" s="619" t="e">
        <f>MONTH(PV_DATA[[#This Row],[ETA for New Ark update]])</f>
        <v>#VALUE!</v>
      </c>
      <c r="BD1354" s="619">
        <f>IFERROR(_xlfn.ISOWEEKNUM(PV_DATA[[#This Row],[ETA for New Ark update]]),0)</f>
        <v>0</v>
      </c>
      <c r="BE1354" s="431">
        <f>_xlfn.XLOOKUP(PV_DATA[[#This Row],[New Ark SKU]],Table9[New Ark SKU],Table9[Total PCS per Pallet],,0)</f>
        <v>36</v>
      </c>
      <c r="BF1354" s="431">
        <f>_xlfn.XLOOKUP(PV_DATA[[#This Row],[New Ark SKU]],Table9[New Ark SKU],Table9[Total PCS per 40HQ Container],,0)</f>
        <v>936</v>
      </c>
      <c r="BG1354" s="431" t="str">
        <f>_xlfn.XLOOKUP(PV_DATA[[#This Row],[New Ark SKU]],Table9[New Ark SKU],Table9[Back Glass],,0)</f>
        <v>Black glazing</v>
      </c>
      <c r="BH1354" s="629" t="str">
        <f>_xlfn.XLOOKUP(PV_DATA[[#This Row],[PORT DESTINATION]],Table12[PORT DESTINATION],Table12[Cosco Line],,0)</f>
        <v>n/a</v>
      </c>
    </row>
    <row r="1355" spans="1:61" hidden="1">
      <c r="A1355" s="1179" t="s">
        <v>7661</v>
      </c>
      <c r="B1355" s="726" t="s">
        <v>1757</v>
      </c>
      <c r="C1355" s="726" t="str">
        <f>IFERROR(LEFT(PV_DATA[[#This Row],[TCL REFERENCE]],FIND(".",PV_DATA[[#This Row],[TCL REFERENCE]],1)-1),"Main Line")</f>
        <v>26Oct009</v>
      </c>
      <c r="D1355" s="726" t="s">
        <v>63</v>
      </c>
      <c r="E1355" s="439" t="s">
        <v>64</v>
      </c>
      <c r="F1355" s="439" t="str" cm="1">
        <f t="array" ref="F135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55" s="726" t="s">
        <v>402</v>
      </c>
      <c r="H1355" s="726" t="s">
        <v>67</v>
      </c>
      <c r="I1355" s="431" t="s">
        <v>689</v>
      </c>
      <c r="J1355" s="431" t="s">
        <v>96</v>
      </c>
      <c r="K1355" s="619"/>
      <c r="L1355" s="619"/>
      <c r="M1355" s="619" t="s">
        <v>68</v>
      </c>
      <c r="N1355" s="630"/>
      <c r="O1355" s="619" t="s">
        <v>284</v>
      </c>
      <c r="P1355" s="623" t="s">
        <v>5860</v>
      </c>
      <c r="Q1355" s="619" t="s">
        <v>5861</v>
      </c>
      <c r="R1355" s="430" t="str">
        <f>_xlfn.XLOOKUP(PV_DATA[[#This Row],[New Ark SKU]],Table9[New Ark SKU],Table9[Connector],,0)</f>
        <v>EVO2A</v>
      </c>
      <c r="S1355" s="433" t="str">
        <f>_xlfn.XLOOKUP(PV_DATA[[#This Row],[New Ark SKU]],Table9[New Ark SKU],Table9[Cable],,0)</f>
        <v>±1200mm</v>
      </c>
      <c r="T1355" s="620">
        <v>485</v>
      </c>
      <c r="U1355" s="1038">
        <f>936*9</f>
        <v>8424</v>
      </c>
      <c r="V1355" s="624">
        <f>PV_DATA[[#This Row],[QUANTITY]]*PV_DATA[[#This Row],[WATT]]/1000000</f>
        <v>4.0856399999999997</v>
      </c>
      <c r="W1355" s="625">
        <f>PV_DATA[[#This Row],[QUANTITY]]/PV_DATA[[#This Row],[Qty/Pallet]]</f>
        <v>234</v>
      </c>
      <c r="X1355" s="1478">
        <f>PV_DATA[[#This Row],[QUANTITY]]/PV_DATA[[#This Row],[Qty/CT]]</f>
        <v>9</v>
      </c>
      <c r="Y1355" s="431" t="s">
        <v>4387</v>
      </c>
      <c r="Z1355" s="1178" t="str">
        <f t="shared" ref="Z1355:Z1360" si="50">IF(AN1355&lt;&gt;"","COMPLETED",IF(AK1355&lt;&gt;"","IN-TRANSIT",""))</f>
        <v/>
      </c>
      <c r="AA1355" s="855">
        <v>46327</v>
      </c>
      <c r="AB1355" s="626"/>
      <c r="AC1355" s="627" t="str">
        <f>IF(PV_DATA[[#This Row],[Pick-Up Date]]&lt;&gt;"",_xlfn.ISOWEEKNUM(PV_DATA[[#This Row],[Pick-Up Date]]),"")</f>
        <v/>
      </c>
      <c r="AD1355" s="619"/>
      <c r="AE1355" s="620"/>
      <c r="AF1355" s="430" t="s">
        <v>122</v>
      </c>
      <c r="AG1355" s="430" t="s">
        <v>123</v>
      </c>
      <c r="AH1355" s="431" t="s">
        <v>105</v>
      </c>
      <c r="AI1355" s="626"/>
      <c r="AJ1355" s="626"/>
      <c r="AK1355" s="626"/>
      <c r="AL1355" s="626"/>
      <c r="AM1355" s="626"/>
      <c r="AN1355" s="626"/>
      <c r="AO1355" s="619"/>
      <c r="AP1355" s="619"/>
      <c r="AQ1355" s="628"/>
      <c r="AR1355" s="619"/>
      <c r="AS1355" s="619"/>
      <c r="AT1355" s="619"/>
      <c r="AU135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0</v>
      </c>
      <c r="AV1355" s="619"/>
      <c r="AW1355" s="626" cm="1">
        <f t="array" ref="AW135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46388</v>
      </c>
      <c r="AX135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55" s="626">
        <f>IF(ISERROR(PV_DATA[[#This Row],[New Ark PO status]]),"",_xlfn.XLOOKUP(PV_DATA[[#This Row],[SPTN-PVHK New Ark PO'#]],New_Ark_Data[Purchase order Number],New_Ark_Data[Estimated time of arrival],"",0))</f>
        <v>0</v>
      </c>
      <c r="AZ1355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55" s="626">
        <f>IFERROR(PV_DATA[[#This Row],[ODP ETA Port]]+PV_DATA[[#This Row],[Customs/Leg3 Assumption]],"n/a")</f>
        <v>46395</v>
      </c>
      <c r="BB1355" s="620">
        <f>YEAR(PV_DATA[[#This Row],[ETA for New Ark update]])</f>
        <v>2027</v>
      </c>
      <c r="BC1355" s="619">
        <f>MONTH(PV_DATA[[#This Row],[ETA for New Ark update]])</f>
        <v>1</v>
      </c>
      <c r="BD1355" s="619">
        <f>IFERROR(_xlfn.ISOWEEKNUM(PV_DATA[[#This Row],[ETA for New Ark update]]),0)</f>
        <v>1</v>
      </c>
      <c r="BE1355" s="431">
        <f>_xlfn.XLOOKUP(PV_DATA[[#This Row],[New Ark SKU]],Table9[New Ark SKU],Table9[Total PCS per Pallet],,0)</f>
        <v>36</v>
      </c>
      <c r="BF1355" s="431">
        <f>_xlfn.XLOOKUP(PV_DATA[[#This Row],[New Ark SKU]],Table9[New Ark SKU],Table9[Total PCS per 40HQ Container],,0)</f>
        <v>936</v>
      </c>
      <c r="BG1355" s="431" t="str">
        <f>_xlfn.XLOOKUP(PV_DATA[[#This Row],[New Ark SKU]],Table9[New Ark SKU],Table9[Back Glass],,0)</f>
        <v>Black glazing</v>
      </c>
      <c r="BH1355" s="629" t="str">
        <f>_xlfn.XLOOKUP(PV_DATA[[#This Row],[PORT DESTINATION]],Table12[PORT DESTINATION],Table12[Cosco Line],,0)</f>
        <v>AEU</v>
      </c>
    </row>
    <row r="1356" spans="1:61" hidden="1">
      <c r="A1356" s="1179" t="s">
        <v>7662</v>
      </c>
      <c r="B1356" s="726" t="s">
        <v>1757</v>
      </c>
      <c r="C1356" s="726" t="str">
        <f>IFERROR(LEFT(PV_DATA[[#This Row],[TCL REFERENCE]],FIND(".",PV_DATA[[#This Row],[TCL REFERENCE]],1)-1),"Main Line")</f>
        <v>26Oct009</v>
      </c>
      <c r="D1356" s="726" t="s">
        <v>63</v>
      </c>
      <c r="E1356" s="439" t="s">
        <v>64</v>
      </c>
      <c r="F1356" s="439" t="str" cm="1">
        <f t="array" ref="F135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56" s="726" t="s">
        <v>402</v>
      </c>
      <c r="H1356" s="726" t="s">
        <v>67</v>
      </c>
      <c r="I1356" s="431" t="s">
        <v>689</v>
      </c>
      <c r="J1356" s="431" t="s">
        <v>96</v>
      </c>
      <c r="K1356" s="619"/>
      <c r="L1356" s="619"/>
      <c r="M1356" s="619" t="s">
        <v>68</v>
      </c>
      <c r="N1356" s="630"/>
      <c r="O1356" s="619" t="s">
        <v>284</v>
      </c>
      <c r="P1356" s="623" t="s">
        <v>5860</v>
      </c>
      <c r="Q1356" s="619" t="s">
        <v>5861</v>
      </c>
      <c r="R1356" s="430" t="str">
        <f>_xlfn.XLOOKUP(PV_DATA[[#This Row],[New Ark SKU]],Table9[New Ark SKU],Table9[Connector],,0)</f>
        <v>EVO2A</v>
      </c>
      <c r="S1356" s="433" t="str">
        <f>_xlfn.XLOOKUP(PV_DATA[[#This Row],[New Ark SKU]],Table9[New Ark SKU],Table9[Cable],,0)</f>
        <v>±1200mm</v>
      </c>
      <c r="T1356" s="620">
        <v>485</v>
      </c>
      <c r="U1356" s="1038">
        <f>936*8</f>
        <v>7488</v>
      </c>
      <c r="V1356" s="624">
        <f>PV_DATA[[#This Row],[QUANTITY]]*PV_DATA[[#This Row],[WATT]]/1000000</f>
        <v>3.6316799999999998</v>
      </c>
      <c r="W1356" s="625">
        <f>PV_DATA[[#This Row],[QUANTITY]]/PV_DATA[[#This Row],[Qty/Pallet]]</f>
        <v>208</v>
      </c>
      <c r="X1356" s="1478">
        <f>PV_DATA[[#This Row],[QUANTITY]]/PV_DATA[[#This Row],[Qty/CT]]</f>
        <v>8</v>
      </c>
      <c r="Y1356" s="431" t="s">
        <v>4388</v>
      </c>
      <c r="Z1356" s="1178" t="str">
        <f t="shared" si="50"/>
        <v/>
      </c>
      <c r="AA1356" s="855" t="s">
        <v>7663</v>
      </c>
      <c r="AB1356" s="626"/>
      <c r="AC1356" s="627" t="str">
        <f>IF(PV_DATA[[#This Row],[Pick-Up Date]]&lt;&gt;"",_xlfn.ISOWEEKNUM(PV_DATA[[#This Row],[Pick-Up Date]]),"")</f>
        <v/>
      </c>
      <c r="AD1356" s="619"/>
      <c r="AE1356" s="620"/>
      <c r="AF1356" s="430" t="s">
        <v>122</v>
      </c>
      <c r="AG1356" s="430" t="s">
        <v>123</v>
      </c>
      <c r="AH1356" s="431" t="s">
        <v>105</v>
      </c>
      <c r="AI1356" s="626"/>
      <c r="AJ1356" s="626"/>
      <c r="AK1356" s="626"/>
      <c r="AL1356" s="626"/>
      <c r="AM1356" s="626"/>
      <c r="AN1356" s="626"/>
      <c r="AO1356" s="619"/>
      <c r="AP1356" s="619"/>
      <c r="AQ1356" s="628"/>
      <c r="AR1356" s="619"/>
      <c r="AS1356" s="619"/>
      <c r="AT1356" s="619"/>
      <c r="AU135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0</v>
      </c>
      <c r="AV1356" s="619"/>
      <c r="AW1356" s="626" cm="1">
        <f t="array" ref="AW135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46395</v>
      </c>
      <c r="AX135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56" s="626">
        <f>IF(ISERROR(PV_DATA[[#This Row],[New Ark PO status]]),"",_xlfn.XLOOKUP(PV_DATA[[#This Row],[SPTN-PVHK New Ark PO'#]],New_Ark_Data[Purchase order Number],New_Ark_Data[Estimated time of arrival],"",0))</f>
        <v>0</v>
      </c>
      <c r="AZ1356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56" s="626">
        <f>IFERROR(PV_DATA[[#This Row],[ODP ETA Port]]+PV_DATA[[#This Row],[Customs/Leg3 Assumption]],"n/a")</f>
        <v>46402</v>
      </c>
      <c r="BB1356" s="620">
        <f>YEAR(PV_DATA[[#This Row],[ETA for New Ark update]])</f>
        <v>2027</v>
      </c>
      <c r="BC1356" s="619">
        <f>MONTH(PV_DATA[[#This Row],[ETA for New Ark update]])</f>
        <v>1</v>
      </c>
      <c r="BD1356" s="619">
        <f>IFERROR(_xlfn.ISOWEEKNUM(PV_DATA[[#This Row],[ETA for New Ark update]]),0)</f>
        <v>2</v>
      </c>
      <c r="BE1356" s="431">
        <f>_xlfn.XLOOKUP(PV_DATA[[#This Row],[New Ark SKU]],Table9[New Ark SKU],Table9[Total PCS per Pallet],,0)</f>
        <v>36</v>
      </c>
      <c r="BF1356" s="431">
        <f>_xlfn.XLOOKUP(PV_DATA[[#This Row],[New Ark SKU]],Table9[New Ark SKU],Table9[Total PCS per 40HQ Container],,0)</f>
        <v>936</v>
      </c>
      <c r="BG1356" s="431" t="str">
        <f>_xlfn.XLOOKUP(PV_DATA[[#This Row],[New Ark SKU]],Table9[New Ark SKU],Table9[Back Glass],,0)</f>
        <v>Black glazing</v>
      </c>
      <c r="BH1356" s="629" t="str">
        <f>_xlfn.XLOOKUP(PV_DATA[[#This Row],[PORT DESTINATION]],Table12[PORT DESTINATION],Table12[Cosco Line],,0)</f>
        <v>AEU</v>
      </c>
    </row>
    <row r="1357" spans="1:61" hidden="1">
      <c r="A1357" s="1179" t="s">
        <v>7664</v>
      </c>
      <c r="B1357" s="726" t="s">
        <v>1757</v>
      </c>
      <c r="C1357" s="726" t="str">
        <f>IFERROR(LEFT(PV_DATA[[#This Row],[TCL REFERENCE]],FIND(".",PV_DATA[[#This Row],[TCL REFERENCE]],1)-1),"Main Line")</f>
        <v>26Oct009</v>
      </c>
      <c r="D1357" s="726" t="s">
        <v>63</v>
      </c>
      <c r="E1357" s="439" t="s">
        <v>64</v>
      </c>
      <c r="F1357" s="439" t="str" cm="1">
        <f t="array" ref="F135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57" s="726" t="s">
        <v>402</v>
      </c>
      <c r="H1357" s="726" t="s">
        <v>67</v>
      </c>
      <c r="I1357" s="431" t="s">
        <v>689</v>
      </c>
      <c r="J1357" s="431" t="s">
        <v>96</v>
      </c>
      <c r="K1357" s="619"/>
      <c r="L1357" s="619"/>
      <c r="M1357" s="619" t="s">
        <v>68</v>
      </c>
      <c r="N1357" s="630"/>
      <c r="O1357" s="619" t="s">
        <v>284</v>
      </c>
      <c r="P1357" s="623" t="s">
        <v>5860</v>
      </c>
      <c r="Q1357" s="619" t="s">
        <v>5861</v>
      </c>
      <c r="R1357" s="430" t="str">
        <f>_xlfn.XLOOKUP(PV_DATA[[#This Row],[New Ark SKU]],Table9[New Ark SKU],Table9[Connector],,0)</f>
        <v>EVO2A</v>
      </c>
      <c r="S1357" s="433" t="str">
        <f>_xlfn.XLOOKUP(PV_DATA[[#This Row],[New Ark SKU]],Table9[New Ark SKU],Table9[Cable],,0)</f>
        <v>±1200mm</v>
      </c>
      <c r="T1357" s="620">
        <v>485</v>
      </c>
      <c r="U1357" s="1038">
        <f t="shared" ref="U1357:U1358" si="51">936*10</f>
        <v>9360</v>
      </c>
      <c r="V1357" s="624">
        <f>PV_DATA[[#This Row],[QUANTITY]]*PV_DATA[[#This Row],[WATT]]/1000000</f>
        <v>4.5396000000000001</v>
      </c>
      <c r="W1357" s="625">
        <f>PV_DATA[[#This Row],[QUANTITY]]/PV_DATA[[#This Row],[Qty/Pallet]]</f>
        <v>260</v>
      </c>
      <c r="X1357" s="1478">
        <f>PV_DATA[[#This Row],[QUANTITY]]/PV_DATA[[#This Row],[Qty/CT]]</f>
        <v>10</v>
      </c>
      <c r="Y1357" s="431" t="s">
        <v>4388</v>
      </c>
      <c r="Z1357" s="1178" t="str">
        <f t="shared" si="50"/>
        <v/>
      </c>
      <c r="AA1357" s="855" t="s">
        <v>7663</v>
      </c>
      <c r="AB1357" s="626"/>
      <c r="AC1357" s="627" t="str">
        <f>IF(PV_DATA[[#This Row],[Pick-Up Date]]&lt;&gt;"",_xlfn.ISOWEEKNUM(PV_DATA[[#This Row],[Pick-Up Date]]),"")</f>
        <v/>
      </c>
      <c r="AD1357" s="619"/>
      <c r="AE1357" s="620"/>
      <c r="AF1357" s="430" t="s">
        <v>122</v>
      </c>
      <c r="AG1357" s="430" t="s">
        <v>123</v>
      </c>
      <c r="AH1357" s="431" t="s">
        <v>105</v>
      </c>
      <c r="AI1357" s="626"/>
      <c r="AJ1357" s="626"/>
      <c r="AK1357" s="626"/>
      <c r="AL1357" s="626"/>
      <c r="AM1357" s="626"/>
      <c r="AN1357" s="626"/>
      <c r="AO1357" s="619"/>
      <c r="AP1357" s="619"/>
      <c r="AQ1357" s="628"/>
      <c r="AR1357" s="619"/>
      <c r="AS1357" s="619"/>
      <c r="AT1357" s="619"/>
      <c r="AU135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0</v>
      </c>
      <c r="AV1357" s="619"/>
      <c r="AW1357" s="626" cm="1">
        <f t="array" ref="AW135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46395</v>
      </c>
      <c r="AX135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57" s="626">
        <f>IF(ISERROR(PV_DATA[[#This Row],[New Ark PO status]]),"",_xlfn.XLOOKUP(PV_DATA[[#This Row],[SPTN-PVHK New Ark PO'#]],New_Ark_Data[Purchase order Number],New_Ark_Data[Estimated time of arrival],"",0))</f>
        <v>0</v>
      </c>
      <c r="AZ1357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57" s="626">
        <f>IFERROR(PV_DATA[[#This Row],[ODP ETA Port]]+PV_DATA[[#This Row],[Customs/Leg3 Assumption]],"n/a")</f>
        <v>46402</v>
      </c>
      <c r="BB1357" s="620">
        <f>YEAR(PV_DATA[[#This Row],[ETA for New Ark update]])</f>
        <v>2027</v>
      </c>
      <c r="BC1357" s="619">
        <f>MONTH(PV_DATA[[#This Row],[ETA for New Ark update]])</f>
        <v>1</v>
      </c>
      <c r="BD1357" s="619">
        <f>IFERROR(_xlfn.ISOWEEKNUM(PV_DATA[[#This Row],[ETA for New Ark update]]),0)</f>
        <v>2</v>
      </c>
      <c r="BE1357" s="431">
        <f>_xlfn.XLOOKUP(PV_DATA[[#This Row],[New Ark SKU]],Table9[New Ark SKU],Table9[Total PCS per Pallet],,0)</f>
        <v>36</v>
      </c>
      <c r="BF1357" s="431">
        <f>_xlfn.XLOOKUP(PV_DATA[[#This Row],[New Ark SKU]],Table9[New Ark SKU],Table9[Total PCS per 40HQ Container],,0)</f>
        <v>936</v>
      </c>
      <c r="BG1357" s="431" t="str">
        <f>_xlfn.XLOOKUP(PV_DATA[[#This Row],[New Ark SKU]],Table9[New Ark SKU],Table9[Back Glass],,0)</f>
        <v>Black glazing</v>
      </c>
      <c r="BH1357" s="629" t="str">
        <f>_xlfn.XLOOKUP(PV_DATA[[#This Row],[PORT DESTINATION]],Table12[PORT DESTINATION],Table12[Cosco Line],,0)</f>
        <v>AEU</v>
      </c>
    </row>
    <row r="1358" spans="1:61" hidden="1">
      <c r="A1358" s="1179" t="s">
        <v>7665</v>
      </c>
      <c r="B1358" s="726" t="s">
        <v>1757</v>
      </c>
      <c r="C1358" s="726" t="str">
        <f>IFERROR(LEFT(PV_DATA[[#This Row],[TCL REFERENCE]],FIND(".",PV_DATA[[#This Row],[TCL REFERENCE]],1)-1),"Main Line")</f>
        <v>26Oct009</v>
      </c>
      <c r="D1358" s="726" t="s">
        <v>63</v>
      </c>
      <c r="E1358" s="439" t="s">
        <v>64</v>
      </c>
      <c r="F1358" s="439" t="str" cm="1">
        <f t="array" ref="F135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58" s="726" t="s">
        <v>402</v>
      </c>
      <c r="H1358" s="726" t="s">
        <v>67</v>
      </c>
      <c r="I1358" s="431" t="s">
        <v>689</v>
      </c>
      <c r="J1358" s="431" t="s">
        <v>96</v>
      </c>
      <c r="K1358" s="619"/>
      <c r="L1358" s="619"/>
      <c r="M1358" s="619" t="s">
        <v>68</v>
      </c>
      <c r="N1358" s="630"/>
      <c r="O1358" s="619" t="s">
        <v>284</v>
      </c>
      <c r="P1358" s="623" t="s">
        <v>5860</v>
      </c>
      <c r="Q1358" s="619" t="s">
        <v>5861</v>
      </c>
      <c r="R1358" s="430" t="str">
        <f>_xlfn.XLOOKUP(PV_DATA[[#This Row],[New Ark SKU]],Table9[New Ark SKU],Table9[Connector],,0)</f>
        <v>EVO2A</v>
      </c>
      <c r="S1358" s="433" t="str">
        <f>_xlfn.XLOOKUP(PV_DATA[[#This Row],[New Ark SKU]],Table9[New Ark SKU],Table9[Cable],,0)</f>
        <v>±1200mm</v>
      </c>
      <c r="T1358" s="620">
        <v>485</v>
      </c>
      <c r="U1358" s="1038">
        <f t="shared" si="51"/>
        <v>9360</v>
      </c>
      <c r="V1358" s="624">
        <f>PV_DATA[[#This Row],[QUANTITY]]*PV_DATA[[#This Row],[WATT]]/1000000</f>
        <v>4.5396000000000001</v>
      </c>
      <c r="W1358" s="625">
        <f>PV_DATA[[#This Row],[QUANTITY]]/PV_DATA[[#This Row],[Qty/Pallet]]</f>
        <v>260</v>
      </c>
      <c r="X1358" s="1478">
        <f>PV_DATA[[#This Row],[QUANTITY]]/PV_DATA[[#This Row],[Qty/CT]]</f>
        <v>10</v>
      </c>
      <c r="Y1358" s="431" t="s">
        <v>4388</v>
      </c>
      <c r="Z1358" s="1178" t="str">
        <f t="shared" si="50"/>
        <v/>
      </c>
      <c r="AA1358" s="855" t="s">
        <v>7663</v>
      </c>
      <c r="AB1358" s="626"/>
      <c r="AC1358" s="627" t="str">
        <f>IF(PV_DATA[[#This Row],[Pick-Up Date]]&lt;&gt;"",_xlfn.ISOWEEKNUM(PV_DATA[[#This Row],[Pick-Up Date]]),"")</f>
        <v/>
      </c>
      <c r="AD1358" s="619"/>
      <c r="AE1358" s="620"/>
      <c r="AF1358" s="430" t="s">
        <v>122</v>
      </c>
      <c r="AG1358" s="430" t="s">
        <v>123</v>
      </c>
      <c r="AH1358" s="431" t="s">
        <v>105</v>
      </c>
      <c r="AI1358" s="626"/>
      <c r="AJ1358" s="626"/>
      <c r="AK1358" s="626"/>
      <c r="AL1358" s="626"/>
      <c r="AM1358" s="626"/>
      <c r="AN1358" s="626"/>
      <c r="AO1358" s="619"/>
      <c r="AP1358" s="619"/>
      <c r="AQ1358" s="628"/>
      <c r="AR1358" s="619"/>
      <c r="AS1358" s="619"/>
      <c r="AT1358" s="619"/>
      <c r="AU1358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0</v>
      </c>
      <c r="AV1358" s="619"/>
      <c r="AW1358" s="626" cm="1">
        <f t="array" ref="AW135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46395</v>
      </c>
      <c r="AX135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58" s="626">
        <f>IF(ISERROR(PV_DATA[[#This Row],[New Ark PO status]]),"",_xlfn.XLOOKUP(PV_DATA[[#This Row],[SPTN-PVHK New Ark PO'#]],New_Ark_Data[Purchase order Number],New_Ark_Data[Estimated time of arrival],"",0))</f>
        <v>0</v>
      </c>
      <c r="AZ1358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58" s="626">
        <f>IFERROR(PV_DATA[[#This Row],[ODP ETA Port]]+PV_DATA[[#This Row],[Customs/Leg3 Assumption]],"n/a")</f>
        <v>46402</v>
      </c>
      <c r="BB1358" s="620">
        <f>YEAR(PV_DATA[[#This Row],[ETA for New Ark update]])</f>
        <v>2027</v>
      </c>
      <c r="BC1358" s="619">
        <f>MONTH(PV_DATA[[#This Row],[ETA for New Ark update]])</f>
        <v>1</v>
      </c>
      <c r="BD1358" s="619">
        <f>IFERROR(_xlfn.ISOWEEKNUM(PV_DATA[[#This Row],[ETA for New Ark update]]),0)</f>
        <v>2</v>
      </c>
      <c r="BE1358" s="431">
        <f>_xlfn.XLOOKUP(PV_DATA[[#This Row],[New Ark SKU]],Table9[New Ark SKU],Table9[Total PCS per Pallet],,0)</f>
        <v>36</v>
      </c>
      <c r="BF1358" s="431">
        <f>_xlfn.XLOOKUP(PV_DATA[[#This Row],[New Ark SKU]],Table9[New Ark SKU],Table9[Total PCS per 40HQ Container],,0)</f>
        <v>936</v>
      </c>
      <c r="BG1358" s="431" t="str">
        <f>_xlfn.XLOOKUP(PV_DATA[[#This Row],[New Ark SKU]],Table9[New Ark SKU],Table9[Back Glass],,0)</f>
        <v>Black glazing</v>
      </c>
      <c r="BH1358" s="629" t="str">
        <f>_xlfn.XLOOKUP(PV_DATA[[#This Row],[PORT DESTINATION]],Table12[PORT DESTINATION],Table12[Cosco Line],,0)</f>
        <v>AEU</v>
      </c>
    </row>
    <row r="1359" spans="1:61" hidden="1">
      <c r="A1359" s="1179" t="s">
        <v>7666</v>
      </c>
      <c r="B1359" s="726" t="s">
        <v>1757</v>
      </c>
      <c r="C1359" s="726" t="str">
        <f>IFERROR(LEFT(PV_DATA[[#This Row],[TCL REFERENCE]],FIND(".",PV_DATA[[#This Row],[TCL REFERENCE]],1)-1),"Main Line")</f>
        <v>26Oct009</v>
      </c>
      <c r="D1359" s="726" t="s">
        <v>63</v>
      </c>
      <c r="E1359" s="439" t="s">
        <v>64</v>
      </c>
      <c r="F1359" s="439" t="str" cm="1">
        <f t="array" ref="F135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359" s="726" t="s">
        <v>402</v>
      </c>
      <c r="H1359" s="726" t="s">
        <v>311</v>
      </c>
      <c r="I1359" s="431" t="s">
        <v>689</v>
      </c>
      <c r="J1359" s="431" t="s">
        <v>96</v>
      </c>
      <c r="K1359" s="619"/>
      <c r="L1359" s="619"/>
      <c r="M1359" s="619" t="s">
        <v>68</v>
      </c>
      <c r="N1359" s="630"/>
      <c r="O1359" s="619" t="s">
        <v>284</v>
      </c>
      <c r="P1359" s="623" t="s">
        <v>5860</v>
      </c>
      <c r="Q1359" s="619" t="s">
        <v>5861</v>
      </c>
      <c r="R1359" s="430" t="str">
        <f>_xlfn.XLOOKUP(PV_DATA[[#This Row],[New Ark SKU]],Table9[New Ark SKU],Table9[Connector],,0)</f>
        <v>EVO2A</v>
      </c>
      <c r="S1359" s="433" t="str">
        <f>_xlfn.XLOOKUP(PV_DATA[[#This Row],[New Ark SKU]],Table9[New Ark SKU],Table9[Cable],,0)</f>
        <v>±1200mm</v>
      </c>
      <c r="T1359" s="620">
        <v>485</v>
      </c>
      <c r="U1359" s="1038">
        <f>936*5</f>
        <v>4680</v>
      </c>
      <c r="V1359" s="624">
        <f>PV_DATA[[#This Row],[QUANTITY]]*PV_DATA[[#This Row],[WATT]]/1000000</f>
        <v>2.2698</v>
      </c>
      <c r="W1359" s="625">
        <f>PV_DATA[[#This Row],[QUANTITY]]/PV_DATA[[#This Row],[Qty/Pallet]]</f>
        <v>130</v>
      </c>
      <c r="X1359" s="1022">
        <f>PV_DATA[[#This Row],[QUANTITY]]/PV_DATA[[#This Row],[Qty/CT]]</f>
        <v>5</v>
      </c>
      <c r="Y1359" s="431" t="s">
        <v>4388</v>
      </c>
      <c r="Z1359" s="1178" t="str">
        <f t="shared" si="50"/>
        <v/>
      </c>
      <c r="AA1359" s="855" t="s">
        <v>7667</v>
      </c>
      <c r="AB1359" s="626"/>
      <c r="AC1359" s="627" t="str">
        <f>IF(PV_DATA[[#This Row],[Pick-Up Date]]&lt;&gt;"",_xlfn.ISOWEEKNUM(PV_DATA[[#This Row],[Pick-Up Date]]),"")</f>
        <v/>
      </c>
      <c r="AD1359" s="619"/>
      <c r="AE1359" s="620"/>
      <c r="AF1359" s="430" t="s">
        <v>122</v>
      </c>
      <c r="AG1359" s="430" t="s">
        <v>123</v>
      </c>
      <c r="AH1359" s="431" t="s">
        <v>314</v>
      </c>
      <c r="AI1359" s="626"/>
      <c r="AJ1359" s="626"/>
      <c r="AK1359" s="626"/>
      <c r="AL1359" s="626"/>
      <c r="AM1359" s="626"/>
      <c r="AN1359" s="626"/>
      <c r="AO1359" s="619"/>
      <c r="AP1359" s="619"/>
      <c r="AQ1359" s="628"/>
      <c r="AR1359" s="619"/>
      <c r="AS1359" s="619"/>
      <c r="AT1359" s="619"/>
      <c r="AU1359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0</v>
      </c>
      <c r="AV1359" s="619"/>
      <c r="AW1359" s="626" cm="1">
        <f t="array" ref="AW135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46399</v>
      </c>
      <c r="AX135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59" s="626">
        <f>IF(ISERROR(PV_DATA[[#This Row],[New Ark PO status]]),"",_xlfn.XLOOKUP(PV_DATA[[#This Row],[SPTN-PVHK New Ark PO'#]],New_Ark_Data[Purchase order Number],New_Ark_Data[Estimated time of arrival],"",0))</f>
        <v>0</v>
      </c>
      <c r="AZ1359" s="620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359" s="626">
        <f>IFERROR(PV_DATA[[#This Row],[ODP ETA Port]]+PV_DATA[[#This Row],[Customs/Leg3 Assumption]],"n/a")</f>
        <v>46409</v>
      </c>
      <c r="BB1359" s="620">
        <f>YEAR(PV_DATA[[#This Row],[ETA for New Ark update]])</f>
        <v>2027</v>
      </c>
      <c r="BC1359" s="619">
        <f>MONTH(PV_DATA[[#This Row],[ETA for New Ark update]])</f>
        <v>1</v>
      </c>
      <c r="BD1359" s="619">
        <f>IFERROR(_xlfn.ISOWEEKNUM(PV_DATA[[#This Row],[ETA for New Ark update]]),0)</f>
        <v>3</v>
      </c>
      <c r="BE1359" s="431">
        <f>_xlfn.XLOOKUP(PV_DATA[[#This Row],[New Ark SKU]],Table9[New Ark SKU],Table9[Total PCS per Pallet],,0)</f>
        <v>36</v>
      </c>
      <c r="BF1359" s="431">
        <f>_xlfn.XLOOKUP(PV_DATA[[#This Row],[New Ark SKU]],Table9[New Ark SKU],Table9[Total PCS per 40HQ Container],,0)</f>
        <v>936</v>
      </c>
      <c r="BG1359" s="431" t="str">
        <f>_xlfn.XLOOKUP(PV_DATA[[#This Row],[New Ark SKU]],Table9[New Ark SKU],Table9[Back Glass],,0)</f>
        <v>Black glazing</v>
      </c>
      <c r="BH1359" s="629" t="str">
        <f>_xlfn.XLOOKUP(PV_DATA[[#This Row],[PORT DESTINATION]],Table12[PORT DESTINATION],Table12[Cosco Line],,0)</f>
        <v>AEM</v>
      </c>
    </row>
    <row r="1360" spans="1:61" hidden="1">
      <c r="A1360" s="1179" t="s">
        <v>7668</v>
      </c>
      <c r="B1360" s="726" t="s">
        <v>1757</v>
      </c>
      <c r="C1360" s="726" t="str">
        <f>IFERROR(LEFT(PV_DATA[[#This Row],[TCL REFERENCE]],FIND(".",PV_DATA[[#This Row],[TCL REFERENCE]],1)-1),"Main Line")</f>
        <v>26Oct009</v>
      </c>
      <c r="D1360" s="726" t="s">
        <v>63</v>
      </c>
      <c r="E1360" s="439" t="s">
        <v>64</v>
      </c>
      <c r="F1360" s="439" t="str" cm="1">
        <f t="array" ref="F136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Plan-SPIT</v>
      </c>
      <c r="G1360" s="726" t="s">
        <v>402</v>
      </c>
      <c r="H1360" s="726" t="s">
        <v>311</v>
      </c>
      <c r="I1360" s="431" t="s">
        <v>689</v>
      </c>
      <c r="J1360" s="431" t="s">
        <v>96</v>
      </c>
      <c r="K1360" s="619"/>
      <c r="L1360" s="619"/>
      <c r="M1360" s="619" t="s">
        <v>68</v>
      </c>
      <c r="N1360" s="630"/>
      <c r="O1360" s="619" t="s">
        <v>284</v>
      </c>
      <c r="P1360" s="623" t="s">
        <v>5860</v>
      </c>
      <c r="Q1360" s="619" t="s">
        <v>5861</v>
      </c>
      <c r="R1360" s="430" t="str">
        <f>_xlfn.XLOOKUP(PV_DATA[[#This Row],[New Ark SKU]],Table9[New Ark SKU],Table9[Connector],,0)</f>
        <v>EVO2A</v>
      </c>
      <c r="S1360" s="433" t="str">
        <f>_xlfn.XLOOKUP(PV_DATA[[#This Row],[New Ark SKU]],Table9[New Ark SKU],Table9[Cable],,0)</f>
        <v>±1200mm</v>
      </c>
      <c r="T1360" s="620">
        <v>485</v>
      </c>
      <c r="U1360" s="1038">
        <f>936*5</f>
        <v>4680</v>
      </c>
      <c r="V1360" s="624">
        <f>PV_DATA[[#This Row],[QUANTITY]]*PV_DATA[[#This Row],[WATT]]/1000000</f>
        <v>2.2698</v>
      </c>
      <c r="W1360" s="625">
        <f>PV_DATA[[#This Row],[QUANTITY]]/PV_DATA[[#This Row],[Qty/Pallet]]</f>
        <v>130</v>
      </c>
      <c r="X1360" s="1022">
        <f>PV_DATA[[#This Row],[QUANTITY]]/PV_DATA[[#This Row],[Qty/CT]]</f>
        <v>5</v>
      </c>
      <c r="Y1360" s="431" t="s">
        <v>4389</v>
      </c>
      <c r="Z1360" s="1178" t="str">
        <f t="shared" si="50"/>
        <v/>
      </c>
      <c r="AA1360" s="855" t="s">
        <v>7669</v>
      </c>
      <c r="AB1360" s="626"/>
      <c r="AC1360" s="627" t="str">
        <f>IF(PV_DATA[[#This Row],[Pick-Up Date]]&lt;&gt;"",_xlfn.ISOWEEKNUM(PV_DATA[[#This Row],[Pick-Up Date]]),"")</f>
        <v/>
      </c>
      <c r="AD1360" s="619"/>
      <c r="AE1360" s="620"/>
      <c r="AF1360" s="430" t="s">
        <v>122</v>
      </c>
      <c r="AG1360" s="430" t="s">
        <v>123</v>
      </c>
      <c r="AH1360" s="431" t="s">
        <v>1561</v>
      </c>
      <c r="AI1360" s="626"/>
      <c r="AJ1360" s="626"/>
      <c r="AK1360" s="626"/>
      <c r="AL1360" s="626"/>
      <c r="AM1360" s="626"/>
      <c r="AN1360" s="626"/>
      <c r="AO1360" s="619"/>
      <c r="AP1360" s="619"/>
      <c r="AQ1360" s="628"/>
      <c r="AR1360" s="619"/>
      <c r="AS1360" s="619"/>
      <c r="AT1360" s="619"/>
      <c r="AU1360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0</v>
      </c>
      <c r="AV1360" s="619"/>
      <c r="AW1360" s="626" cm="1">
        <f t="array" ref="AW136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46406</v>
      </c>
      <c r="AX1360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60" s="626">
        <f>IF(ISERROR(PV_DATA[[#This Row],[New Ark PO status]]),"",_xlfn.XLOOKUP(PV_DATA[[#This Row],[SPTN-PVHK New Ark PO'#]],New_Ark_Data[Purchase order Number],New_Ark_Data[Estimated time of arrival],"",0))</f>
        <v>0</v>
      </c>
      <c r="AZ1360" s="620">
        <f>IF(OR(PV_DATA[[#This Row],[New Ark PO Type]]="Offshore",PV_DATA[[#This Row],[New Ark PO Type]]="Internal-&gt;Offshore"),0,IFERROR(VLOOKUP(PV_DATA[[#This Row],[POL]]&amp;PV_DATA[[#This Row],[PORT DESTINATION]],LT_REF[],7,0),14))</f>
        <v>10</v>
      </c>
      <c r="BA1360" s="626">
        <f>IFERROR(PV_DATA[[#This Row],[ODP ETA Port]]+PV_DATA[[#This Row],[Customs/Leg3 Assumption]],"n/a")</f>
        <v>46416</v>
      </c>
      <c r="BB1360" s="620">
        <f>YEAR(PV_DATA[[#This Row],[ETA for New Ark update]])</f>
        <v>2027</v>
      </c>
      <c r="BC1360" s="619">
        <f>MONTH(PV_DATA[[#This Row],[ETA for New Ark update]])</f>
        <v>1</v>
      </c>
      <c r="BD1360" s="619">
        <f>IFERROR(_xlfn.ISOWEEKNUM(PV_DATA[[#This Row],[ETA for New Ark update]]),0)</f>
        <v>4</v>
      </c>
      <c r="BE1360" s="431">
        <f>_xlfn.XLOOKUP(PV_DATA[[#This Row],[New Ark SKU]],Table9[New Ark SKU],Table9[Total PCS per Pallet],,0)</f>
        <v>36</v>
      </c>
      <c r="BF1360" s="431">
        <f>_xlfn.XLOOKUP(PV_DATA[[#This Row],[New Ark SKU]],Table9[New Ark SKU],Table9[Total PCS per 40HQ Container],,0)</f>
        <v>936</v>
      </c>
      <c r="BG1360" s="431" t="str">
        <f>_xlfn.XLOOKUP(PV_DATA[[#This Row],[New Ark SKU]],Table9[New Ark SKU],Table9[Back Glass],,0)</f>
        <v>Black glazing</v>
      </c>
      <c r="BH1360" s="629" t="str">
        <f>_xlfn.XLOOKUP(PV_DATA[[#This Row],[PORT DESTINATION]],Table12[PORT DESTINATION],Table12[Cosco Line],,0)</f>
        <v>AEM</v>
      </c>
    </row>
    <row r="1361" spans="1:61" hidden="1">
      <c r="A1361" s="1179" t="s">
        <v>7670</v>
      </c>
      <c r="B1361" s="726" t="s">
        <v>1757</v>
      </c>
      <c r="C1361" s="726" t="str">
        <f>IFERROR(LEFT(PV_DATA[[#This Row],[TCL REFERENCE]],FIND(".",PV_DATA[[#This Row],[TCL REFERENCE]],1)-1),"Main Line")</f>
        <v>26Oct009</v>
      </c>
      <c r="D1361" s="726" t="s">
        <v>63</v>
      </c>
      <c r="E1361" s="439" t="s">
        <v>64</v>
      </c>
      <c r="F1361" s="439" t="s">
        <v>450</v>
      </c>
      <c r="G1361" s="726" t="s">
        <v>402</v>
      </c>
      <c r="H1361" s="726" t="s">
        <v>451</v>
      </c>
      <c r="I1361" s="431" t="s">
        <v>689</v>
      </c>
      <c r="J1361" s="431" t="s">
        <v>96</v>
      </c>
      <c r="K1361" s="619"/>
      <c r="L1361" s="619"/>
      <c r="M1361" s="619" t="s">
        <v>68</v>
      </c>
      <c r="N1361" s="630"/>
      <c r="O1361" s="619" t="s">
        <v>284</v>
      </c>
      <c r="P1361" s="623" t="s">
        <v>5860</v>
      </c>
      <c r="Q1361" s="619" t="s">
        <v>5861</v>
      </c>
      <c r="R1361" s="430" t="str">
        <f>_xlfn.XLOOKUP(PV_DATA[[#This Row],[New Ark SKU]],Table9[New Ark SKU],Table9[Connector],,0)</f>
        <v>EVO2A</v>
      </c>
      <c r="S1361" s="433" t="str">
        <f>_xlfn.XLOOKUP(PV_DATA[[#This Row],[New Ark SKU]],Table9[New Ark SKU],Table9[Cable],,0)</f>
        <v>±1200mm</v>
      </c>
      <c r="T1361" s="620">
        <v>485</v>
      </c>
      <c r="U1361" s="1038">
        <f>936*5</f>
        <v>4680</v>
      </c>
      <c r="V1361" s="624">
        <f>PV_DATA[[#This Row],[QUANTITY]]*PV_DATA[[#This Row],[WATT]]/1000000</f>
        <v>2.2698</v>
      </c>
      <c r="W1361" s="625">
        <f>PV_DATA[[#This Row],[QUANTITY]]/PV_DATA[[#This Row],[Qty/Pallet]]</f>
        <v>130</v>
      </c>
      <c r="X1361" s="1022">
        <f>PV_DATA[[#This Row],[QUANTITY]]/PV_DATA[[#This Row],[Qty/CT]]</f>
        <v>5</v>
      </c>
      <c r="Y1361" s="431" t="s">
        <v>4388</v>
      </c>
      <c r="Z1361" s="1178" t="str">
        <f t="shared" ref="Z1361" si="52">IF(AN1361&lt;&gt;"","COMPLETED",IF(AK1361&lt;&gt;"","IN-TRANSIT",""))</f>
        <v/>
      </c>
      <c r="AA1361" s="855" t="s">
        <v>7660</v>
      </c>
      <c r="AB1361" s="626"/>
      <c r="AC1361" s="627" t="str">
        <f>IF(PV_DATA[[#This Row],[Pick-Up Date]]&lt;&gt;"",_xlfn.ISOWEEKNUM(PV_DATA[[#This Row],[Pick-Up Date]]),"")</f>
        <v/>
      </c>
      <c r="AD1361" s="619"/>
      <c r="AE1361" s="620"/>
      <c r="AF1361" s="430" t="s">
        <v>122</v>
      </c>
      <c r="AG1361" s="430" t="s">
        <v>123</v>
      </c>
      <c r="AH1361" s="431" t="s">
        <v>456</v>
      </c>
      <c r="AI1361" s="626"/>
      <c r="AJ1361" s="626"/>
      <c r="AK1361" s="626"/>
      <c r="AL1361" s="626"/>
      <c r="AM1361" s="626"/>
      <c r="AN1361" s="626"/>
      <c r="AO1361" s="619"/>
      <c r="AP1361" s="619"/>
      <c r="AQ1361" s="628"/>
      <c r="AR1361" s="619"/>
      <c r="AS1361" s="619"/>
      <c r="AT1361" s="619"/>
      <c r="AU1361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0</v>
      </c>
      <c r="AV1361" s="619"/>
      <c r="AW1361" s="626" cm="1">
        <f t="array" ref="AW136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46395</v>
      </c>
      <c r="AX136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61" s="626">
        <f>IF(ISERROR(PV_DATA[[#This Row],[New Ark PO status]]),"",_xlfn.XLOOKUP(PV_DATA[[#This Row],[SPTN-PVHK New Ark PO'#]],New_Ark_Data[Purchase order Number],New_Ark_Data[Estimated time of arrival],"",0))</f>
        <v>0</v>
      </c>
      <c r="AZ1361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61" s="626">
        <f>IFERROR(PV_DATA[[#This Row],[ODP ETA Port]]+PV_DATA[[#This Row],[Customs/Leg3 Assumption]],"n/a")</f>
        <v>46402</v>
      </c>
      <c r="BB1361" s="620">
        <f>YEAR(PV_DATA[[#This Row],[ETA for New Ark update]])</f>
        <v>2027</v>
      </c>
      <c r="BC1361" s="619">
        <f>MONTH(PV_DATA[[#This Row],[ETA for New Ark update]])</f>
        <v>1</v>
      </c>
      <c r="BD1361" s="619">
        <f>IFERROR(_xlfn.ISOWEEKNUM(PV_DATA[[#This Row],[ETA for New Ark update]]),0)</f>
        <v>2</v>
      </c>
      <c r="BE1361" s="431">
        <f>_xlfn.XLOOKUP(PV_DATA[[#This Row],[New Ark SKU]],Table9[New Ark SKU],Table9[Total PCS per Pallet],,0)</f>
        <v>36</v>
      </c>
      <c r="BF1361" s="431">
        <f>_xlfn.XLOOKUP(PV_DATA[[#This Row],[New Ark SKU]],Table9[New Ark SKU],Table9[Total PCS per 40HQ Container],,0)</f>
        <v>936</v>
      </c>
      <c r="BG1361" s="431" t="str">
        <f>_xlfn.XLOOKUP(PV_DATA[[#This Row],[New Ark SKU]],Table9[New Ark SKU],Table9[Back Glass],,0)</f>
        <v>Black glazing</v>
      </c>
      <c r="BH1361" s="629" t="str">
        <f>_xlfn.XLOOKUP(PV_DATA[[#This Row],[PORT DESTINATION]],Table12[PORT DESTINATION],Table12[Cosco Line],,0)</f>
        <v>AEU</v>
      </c>
    </row>
    <row r="1362" spans="1:61" hidden="1">
      <c r="A1362" s="1179" t="s">
        <v>7671</v>
      </c>
      <c r="B1362" s="726" t="s">
        <v>1757</v>
      </c>
      <c r="C1362" s="726" t="str">
        <f>IFERROR(LEFT(PV_DATA[[#This Row],[TCL REFERENCE]],FIND(".",PV_DATA[[#This Row],[TCL REFERENCE]],1)-1),"Main Line")</f>
        <v>26Oct009</v>
      </c>
      <c r="D1362" s="726" t="s">
        <v>63</v>
      </c>
      <c r="E1362" s="439" t="s">
        <v>68</v>
      </c>
      <c r="F1362" s="439" t="str" cm="1">
        <f t="array" ref="F1362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62" s="726" t="s">
        <v>68</v>
      </c>
      <c r="H1362" s="726" t="s">
        <v>68</v>
      </c>
      <c r="I1362" s="431" t="s">
        <v>68</v>
      </c>
      <c r="J1362" s="619" t="s">
        <v>68</v>
      </c>
      <c r="K1362" s="619"/>
      <c r="L1362" s="619"/>
      <c r="M1362" s="619" t="s">
        <v>68</v>
      </c>
      <c r="N1362" s="630"/>
      <c r="O1362" s="619" t="s">
        <v>284</v>
      </c>
      <c r="P1362" s="623" t="s">
        <v>5860</v>
      </c>
      <c r="Q1362" s="619" t="s">
        <v>5861</v>
      </c>
      <c r="R1362" s="430" t="str">
        <f>_xlfn.XLOOKUP(PV_DATA[[#This Row],[New Ark SKU]],Table9[New Ark SKU],Table9[Connector],,0)</f>
        <v>EVO2A</v>
      </c>
      <c r="S1362" s="433" t="str">
        <f>_xlfn.XLOOKUP(PV_DATA[[#This Row],[New Ark SKU]],Table9[New Ark SKU],Table9[Cable],,0)</f>
        <v>±1200mm</v>
      </c>
      <c r="T1362" s="620">
        <v>485</v>
      </c>
      <c r="U1362" s="1038">
        <f>936*10</f>
        <v>9360</v>
      </c>
      <c r="V1362" s="624">
        <f>PV_DATA[[#This Row],[QUANTITY]]*PV_DATA[[#This Row],[WATT]]/1000000</f>
        <v>4.5396000000000001</v>
      </c>
      <c r="W1362" s="625">
        <f>PV_DATA[[#This Row],[QUANTITY]]/PV_DATA[[#This Row],[Qty/Pallet]]</f>
        <v>260</v>
      </c>
      <c r="X1362" s="1478">
        <f>PV_DATA[[#This Row],[QUANTITY]]/PV_DATA[[#This Row],[Qty/CT]]</f>
        <v>10</v>
      </c>
      <c r="Y1362" s="431" t="s">
        <v>4387</v>
      </c>
      <c r="Z1362" s="1178" t="str">
        <f t="shared" ref="Z1362" si="53">IF(AN1362&lt;&gt;"","COMPLETED",IF(AK1362&lt;&gt;"","IN-TRANSIT",""))</f>
        <v/>
      </c>
      <c r="AA1362" s="855">
        <v>46324</v>
      </c>
      <c r="AB1362" s="626"/>
      <c r="AC1362" s="627" t="str">
        <f>IF(PV_DATA[[#This Row],[Pick-Up Date]]&lt;&gt;"",_xlfn.ISOWEEKNUM(PV_DATA[[#This Row],[Pick-Up Date]]),"")</f>
        <v/>
      </c>
      <c r="AD1362" s="619"/>
      <c r="AE1362" s="620"/>
      <c r="AF1362" s="430" t="s">
        <v>122</v>
      </c>
      <c r="AG1362" s="430" t="s">
        <v>123</v>
      </c>
      <c r="AH1362" s="431" t="s">
        <v>105</v>
      </c>
      <c r="AI1362" s="626"/>
      <c r="AJ1362" s="626"/>
      <c r="AK1362" s="626"/>
      <c r="AL1362" s="626"/>
      <c r="AM1362" s="626"/>
      <c r="AN1362" s="626"/>
      <c r="AO1362" s="619"/>
      <c r="AP1362" s="619"/>
      <c r="AQ1362" s="628"/>
      <c r="AR1362" s="619"/>
      <c r="AS1362" s="619"/>
      <c r="AT1362" s="619"/>
      <c r="AU1362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0</v>
      </c>
      <c r="AV1362" s="619"/>
      <c r="AW1362" s="626" t="str" cm="1">
        <f t="array" ref="AW136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6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62" s="626">
        <f>IF(ISERROR(PV_DATA[[#This Row],[New Ark PO status]]),"",_xlfn.XLOOKUP(PV_DATA[[#This Row],[SPTN-PVHK New Ark PO'#]],New_Ark_Data[Purchase order Number],New_Ark_Data[Estimated time of arrival],"",0))</f>
        <v>0</v>
      </c>
      <c r="AZ1362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62" s="626" t="str">
        <f>IFERROR(PV_DATA[[#This Row],[ODP ETA Port]]+PV_DATA[[#This Row],[Customs/Leg3 Assumption]],"n/a")</f>
        <v>n/a</v>
      </c>
      <c r="BB1362" s="620" t="e">
        <f>YEAR(PV_DATA[[#This Row],[ETA for New Ark update]])</f>
        <v>#VALUE!</v>
      </c>
      <c r="BC1362" s="619" t="e">
        <f>MONTH(PV_DATA[[#This Row],[ETA for New Ark update]])</f>
        <v>#VALUE!</v>
      </c>
      <c r="BD1362" s="619">
        <f>IFERROR(_xlfn.ISOWEEKNUM(PV_DATA[[#This Row],[ETA for New Ark update]]),0)</f>
        <v>0</v>
      </c>
      <c r="BE1362" s="431">
        <f>_xlfn.XLOOKUP(PV_DATA[[#This Row],[New Ark SKU]],Table9[New Ark SKU],Table9[Total PCS per Pallet],,0)</f>
        <v>36</v>
      </c>
      <c r="BF1362" s="431">
        <f>_xlfn.XLOOKUP(PV_DATA[[#This Row],[New Ark SKU]],Table9[New Ark SKU],Table9[Total PCS per 40HQ Container],,0)</f>
        <v>936</v>
      </c>
      <c r="BG1362" s="431" t="str">
        <f>_xlfn.XLOOKUP(PV_DATA[[#This Row],[New Ark SKU]],Table9[New Ark SKU],Table9[Back Glass],,0)</f>
        <v>Black glazing</v>
      </c>
      <c r="BH1362" s="629" t="str">
        <f>_xlfn.XLOOKUP(PV_DATA[[#This Row],[PORT DESTINATION]],Table12[PORT DESTINATION],Table12[Cosco Line],,0)</f>
        <v>AEU</v>
      </c>
    </row>
    <row r="1363" spans="1:61" hidden="1">
      <c r="A1363" s="1179" t="s">
        <v>7672</v>
      </c>
      <c r="B1363" s="726" t="s">
        <v>1757</v>
      </c>
      <c r="C1363" s="726" t="str">
        <f>IFERROR(LEFT(PV_DATA[[#This Row],[TCL REFERENCE]],FIND(".",PV_DATA[[#This Row],[TCL REFERENCE]],1)-1),"Main Line")</f>
        <v>26Oct009</v>
      </c>
      <c r="D1363" s="726" t="s">
        <v>63</v>
      </c>
      <c r="E1363" s="439" t="s">
        <v>144</v>
      </c>
      <c r="F1363" s="439" t="str" cm="1">
        <f t="array" ref="F1363">_xlfn.IFS(PV_DATA[[#This Row],[New Ark PO Type]]="n/a","n/a",PV_DATA[[#This Row],[New Ark PO Type]]="Offshore","SPTN Offstore in Transit WH",TRUE,_xlfn.XLOOKUP(PV_DATA[[#This Row],[PORT DESTINATION]],LT_REF[PORT DESTINATION],LT_REF[New Ark WH],,0))</f>
        <v>SPTN Offstore in Transit WH</v>
      </c>
      <c r="G1363" s="726" t="s">
        <v>146</v>
      </c>
      <c r="H1363" s="726" t="s">
        <v>1080</v>
      </c>
      <c r="I1363" s="726" t="s">
        <v>689</v>
      </c>
      <c r="J1363" s="619" t="s">
        <v>1080</v>
      </c>
      <c r="K1363" s="619" t="s">
        <v>7673</v>
      </c>
      <c r="L1363" s="619">
        <v>1</v>
      </c>
      <c r="M1363" s="619" t="s">
        <v>7272</v>
      </c>
      <c r="N1363" s="630"/>
      <c r="O1363" s="619" t="s">
        <v>284</v>
      </c>
      <c r="P1363" s="623" t="s">
        <v>5860</v>
      </c>
      <c r="Q1363" s="619" t="s">
        <v>5861</v>
      </c>
      <c r="R1363" s="430" t="str">
        <f>_xlfn.XLOOKUP(PV_DATA[[#This Row],[New Ark SKU]],Table9[New Ark SKU],Table9[Connector],,0)</f>
        <v>EVO2A</v>
      </c>
      <c r="S1363" s="433" t="str">
        <f>_xlfn.XLOOKUP(PV_DATA[[#This Row],[New Ark SKU]],Table9[New Ark SKU],Table9[Cable],,0)</f>
        <v>±1200mm</v>
      </c>
      <c r="T1363" s="620">
        <v>485</v>
      </c>
      <c r="U1363" s="1038">
        <f>936*1</f>
        <v>936</v>
      </c>
      <c r="V1363" s="624">
        <f>PV_DATA[[#This Row],[QUANTITY]]*PV_DATA[[#This Row],[WATT]]/1000000</f>
        <v>0.45395999999999997</v>
      </c>
      <c r="W1363" s="625">
        <f>PV_DATA[[#This Row],[QUANTITY]]/PV_DATA[[#This Row],[Qty/Pallet]]</f>
        <v>26</v>
      </c>
      <c r="X1363" s="1478">
        <f>PV_DATA[[#This Row],[QUANTITY]]/PV_DATA[[#This Row],[Qty/CT]]</f>
        <v>1</v>
      </c>
      <c r="Y1363" s="431" t="s">
        <v>4386</v>
      </c>
      <c r="Z1363" s="1178" t="str">
        <f t="shared" si="48"/>
        <v/>
      </c>
      <c r="AA1363" s="855">
        <v>46320</v>
      </c>
      <c r="AB1363" s="626"/>
      <c r="AC1363" s="627" t="str">
        <f>IF(PV_DATA[[#This Row],[Pick-Up Date]]&lt;&gt;"",_xlfn.ISOWEEKNUM(PV_DATA[[#This Row],[Pick-Up Date]]),"")</f>
        <v/>
      </c>
      <c r="AD1363" s="619"/>
      <c r="AE1363" s="620"/>
      <c r="AF1363" s="430" t="s">
        <v>122</v>
      </c>
      <c r="AG1363" s="430" t="s">
        <v>123</v>
      </c>
      <c r="AH1363" s="431" t="s">
        <v>105</v>
      </c>
      <c r="AI1363" s="626"/>
      <c r="AJ1363" s="626"/>
      <c r="AK1363" s="626"/>
      <c r="AL1363" s="626"/>
      <c r="AM1363" s="626"/>
      <c r="AN1363" s="626"/>
      <c r="AO1363" s="619"/>
      <c r="AP1363" s="619"/>
      <c r="AQ1363" s="628"/>
      <c r="AR1363" s="619"/>
      <c r="AS1363" s="619"/>
      <c r="AT1363" s="619"/>
      <c r="AU1363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0</v>
      </c>
      <c r="AV1363" s="619"/>
      <c r="AW1363" s="626" cm="1">
        <f t="array" ref="AW136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46381</v>
      </c>
      <c r="AX136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63" s="626">
        <f>IF(ISERROR(PV_DATA[[#This Row],[New Ark PO status]]),"",_xlfn.XLOOKUP(PV_DATA[[#This Row],[SPTN-PVHK New Ark PO'#]],New_Ark_Data[Purchase order Number],New_Ark_Data[Estimated time of arrival],"",0))</f>
        <v>0</v>
      </c>
      <c r="AZ1363" s="620">
        <f>IF(OR(PV_DATA[[#This Row],[New Ark PO Type]]="Offshore",PV_DATA[[#This Row],[New Ark PO Type]]="Internal-&gt;Offshore"),0,IFERROR(VLOOKUP(PV_DATA[[#This Row],[POL]]&amp;PV_DATA[[#This Row],[PORT DESTINATION]],LT_REF[],7,0),14))</f>
        <v>0</v>
      </c>
      <c r="BA1363" s="626">
        <f>IFERROR(PV_DATA[[#This Row],[ODP ETA Port]]+PV_DATA[[#This Row],[Customs/Leg3 Assumption]],"n/a")</f>
        <v>46381</v>
      </c>
      <c r="BB1363" s="620">
        <f>YEAR(PV_DATA[[#This Row],[ETA for New Ark update]])</f>
        <v>2026</v>
      </c>
      <c r="BC1363" s="619">
        <f>MONTH(PV_DATA[[#This Row],[ETA for New Ark update]])</f>
        <v>12</v>
      </c>
      <c r="BD1363" s="619">
        <f>IFERROR(_xlfn.ISOWEEKNUM(PV_DATA[[#This Row],[ETA for New Ark update]]),0)</f>
        <v>52</v>
      </c>
      <c r="BE1363" s="431">
        <f>_xlfn.XLOOKUP(PV_DATA[[#This Row],[New Ark SKU]],Table9[New Ark SKU],Table9[Total PCS per Pallet],,0)</f>
        <v>36</v>
      </c>
      <c r="BF1363" s="431">
        <f>_xlfn.XLOOKUP(PV_DATA[[#This Row],[New Ark SKU]],Table9[New Ark SKU],Table9[Total PCS per 40HQ Container],,0)</f>
        <v>936</v>
      </c>
      <c r="BG1363" s="431" t="str">
        <f>_xlfn.XLOOKUP(PV_DATA[[#This Row],[New Ark SKU]],Table9[New Ark SKU],Table9[Back Glass],,0)</f>
        <v>Black glazing</v>
      </c>
      <c r="BH1363" s="629" t="str">
        <f>_xlfn.XLOOKUP(PV_DATA[[#This Row],[PORT DESTINATION]],Table12[PORT DESTINATION],Table12[Cosco Line],,0)</f>
        <v>AEU</v>
      </c>
    </row>
    <row r="1364" spans="1:61" hidden="1">
      <c r="A1364" s="1179" t="s">
        <v>7674</v>
      </c>
      <c r="B1364" s="726" t="s">
        <v>1757</v>
      </c>
      <c r="C1364" s="726" t="str">
        <f>IFERROR(LEFT(PV_DATA[[#This Row],[TCL REFERENCE]],FIND(".",PV_DATA[[#This Row],[TCL REFERENCE]],1)-1),"Main Line")</f>
        <v>26Oct009</v>
      </c>
      <c r="D1364" s="726" t="s">
        <v>63</v>
      </c>
      <c r="E1364" s="439" t="s">
        <v>64</v>
      </c>
      <c r="F1364" s="439" t="str" cm="1">
        <f t="array" ref="F136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64" s="726" t="s">
        <v>402</v>
      </c>
      <c r="H1364" s="726" t="s">
        <v>67</v>
      </c>
      <c r="I1364" s="431" t="s">
        <v>689</v>
      </c>
      <c r="J1364" s="431" t="s">
        <v>96</v>
      </c>
      <c r="K1364" s="431"/>
      <c r="L1364" s="431"/>
      <c r="M1364" s="619" t="s">
        <v>68</v>
      </c>
      <c r="N1364" s="630"/>
      <c r="O1364" s="619" t="s">
        <v>284</v>
      </c>
      <c r="P1364" s="623" t="s">
        <v>5860</v>
      </c>
      <c r="Q1364" s="619" t="s">
        <v>5861</v>
      </c>
      <c r="R1364" s="430" t="str">
        <f>_xlfn.XLOOKUP(PV_DATA[[#This Row],[New Ark SKU]],Table9[New Ark SKU],Table9[Connector],,0)</f>
        <v>EVO2A</v>
      </c>
      <c r="S1364" s="433" t="str">
        <f>_xlfn.XLOOKUP(PV_DATA[[#This Row],[New Ark SKU]],Table9[New Ark SKU],Table9[Cable],,0)</f>
        <v>±1200mm</v>
      </c>
      <c r="T1364" s="620">
        <v>485</v>
      </c>
      <c r="U1364" s="1038">
        <f>936*11</f>
        <v>10296</v>
      </c>
      <c r="V1364" s="624">
        <f>PV_DATA[[#This Row],[QUANTITY]]*PV_DATA[[#This Row],[WATT]]/1000000</f>
        <v>4.9935600000000004</v>
      </c>
      <c r="W1364" s="625">
        <f>PV_DATA[[#This Row],[QUANTITY]]/PV_DATA[[#This Row],[Qty/Pallet]]</f>
        <v>286</v>
      </c>
      <c r="X1364" s="1478">
        <f>PV_DATA[[#This Row],[QUANTITY]]/PV_DATA[[#This Row],[Qty/CT]]</f>
        <v>11</v>
      </c>
      <c r="Y1364" s="431" t="s">
        <v>4386</v>
      </c>
      <c r="Z1364" s="1178" t="str">
        <f t="shared" si="48"/>
        <v/>
      </c>
      <c r="AA1364" s="855">
        <v>46320</v>
      </c>
      <c r="AB1364" s="626"/>
      <c r="AC1364" s="627" t="str">
        <f>IF(PV_DATA[[#This Row],[Pick-Up Date]]&lt;&gt;"",_xlfn.ISOWEEKNUM(PV_DATA[[#This Row],[Pick-Up Date]]),"")</f>
        <v/>
      </c>
      <c r="AD1364" s="619"/>
      <c r="AE1364" s="620"/>
      <c r="AF1364" s="430" t="s">
        <v>122</v>
      </c>
      <c r="AG1364" s="430" t="s">
        <v>123</v>
      </c>
      <c r="AH1364" s="431" t="s">
        <v>105</v>
      </c>
      <c r="AI1364" s="626"/>
      <c r="AJ1364" s="626"/>
      <c r="AK1364" s="626"/>
      <c r="AL1364" s="626"/>
      <c r="AM1364" s="626"/>
      <c r="AN1364" s="626"/>
      <c r="AO1364" s="619"/>
      <c r="AP1364" s="619"/>
      <c r="AQ1364" s="628"/>
      <c r="AR1364" s="619"/>
      <c r="AS1364" s="619"/>
      <c r="AT1364" s="619"/>
      <c r="AU1364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0</v>
      </c>
      <c r="AV1364" s="619"/>
      <c r="AW1364" s="626" cm="1">
        <f t="array" ref="AW136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46381</v>
      </c>
      <c r="AX136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64" s="626">
        <f>IF(ISERROR(PV_DATA[[#This Row],[New Ark PO status]]),"",_xlfn.XLOOKUP(PV_DATA[[#This Row],[SPTN-PVHK New Ark PO'#]],New_Ark_Data[Purchase order Number],New_Ark_Data[Estimated time of arrival],"",0))</f>
        <v>0</v>
      </c>
      <c r="AZ1364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64" s="626">
        <f>IFERROR(PV_DATA[[#This Row],[ODP ETA Port]]+PV_DATA[[#This Row],[Customs/Leg3 Assumption]],"n/a")</f>
        <v>46388</v>
      </c>
      <c r="BB1364" s="620">
        <f>YEAR(PV_DATA[[#This Row],[ETA for New Ark update]])</f>
        <v>2027</v>
      </c>
      <c r="BC1364" s="619">
        <f>MONTH(PV_DATA[[#This Row],[ETA for New Ark update]])</f>
        <v>1</v>
      </c>
      <c r="BD1364" s="619">
        <f>IFERROR(_xlfn.ISOWEEKNUM(PV_DATA[[#This Row],[ETA for New Ark update]]),0)</f>
        <v>53</v>
      </c>
      <c r="BE1364" s="431">
        <f>_xlfn.XLOOKUP(PV_DATA[[#This Row],[New Ark SKU]],Table9[New Ark SKU],Table9[Total PCS per Pallet],,0)</f>
        <v>36</v>
      </c>
      <c r="BF1364" s="431">
        <f>_xlfn.XLOOKUP(PV_DATA[[#This Row],[New Ark SKU]],Table9[New Ark SKU],Table9[Total PCS per 40HQ Container],,0)</f>
        <v>936</v>
      </c>
      <c r="BG1364" s="431" t="str">
        <f>_xlfn.XLOOKUP(PV_DATA[[#This Row],[New Ark SKU]],Table9[New Ark SKU],Table9[Back Glass],,0)</f>
        <v>Black glazing</v>
      </c>
      <c r="BH1364" s="629" t="str">
        <f>_xlfn.XLOOKUP(PV_DATA[[#This Row],[PORT DESTINATION]],Table12[PORT DESTINATION],Table12[Cosco Line],,0)</f>
        <v>AEU</v>
      </c>
    </row>
    <row r="1365" spans="1:61" hidden="1">
      <c r="A1365" s="1179" t="s">
        <v>7675</v>
      </c>
      <c r="B1365" s="726" t="s">
        <v>1757</v>
      </c>
      <c r="C1365" s="726" t="str">
        <f>IFERROR(LEFT(PV_DATA[[#This Row],[TCL REFERENCE]],FIND(".",PV_DATA[[#This Row],[TCL REFERENCE]],1)-1),"Main Line")</f>
        <v>26Oct009</v>
      </c>
      <c r="D1365" s="726" t="s">
        <v>63</v>
      </c>
      <c r="E1365" s="439" t="s">
        <v>64</v>
      </c>
      <c r="F1365" s="439" t="str" cm="1">
        <f t="array" ref="F136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65" s="726" t="s">
        <v>402</v>
      </c>
      <c r="H1365" s="726" t="s">
        <v>67</v>
      </c>
      <c r="I1365" s="431" t="s">
        <v>689</v>
      </c>
      <c r="J1365" s="431" t="s">
        <v>96</v>
      </c>
      <c r="K1365" s="431"/>
      <c r="L1365" s="431"/>
      <c r="M1365" s="619" t="s">
        <v>68</v>
      </c>
      <c r="N1365" s="630"/>
      <c r="O1365" s="619" t="s">
        <v>284</v>
      </c>
      <c r="P1365" s="623" t="s">
        <v>5860</v>
      </c>
      <c r="Q1365" s="619" t="s">
        <v>5861</v>
      </c>
      <c r="R1365" s="430" t="str">
        <f>_xlfn.XLOOKUP(PV_DATA[[#This Row],[New Ark SKU]],Table9[New Ark SKU],Table9[Connector],,0)</f>
        <v>EVO2A</v>
      </c>
      <c r="S1365" s="433" t="str">
        <f>_xlfn.XLOOKUP(PV_DATA[[#This Row],[New Ark SKU]],Table9[New Ark SKU],Table9[Cable],,0)</f>
        <v>±1200mm</v>
      </c>
      <c r="T1365" s="620">
        <v>485</v>
      </c>
      <c r="U1365" s="1038">
        <f>936*5</f>
        <v>4680</v>
      </c>
      <c r="V1365" s="624">
        <f>PV_DATA[[#This Row],[QUANTITY]]*PV_DATA[[#This Row],[WATT]]/1000000</f>
        <v>2.2698</v>
      </c>
      <c r="W1365" s="625">
        <f>PV_DATA[[#This Row],[QUANTITY]]/PV_DATA[[#This Row],[Qty/Pallet]]</f>
        <v>130</v>
      </c>
      <c r="X1365" s="1478">
        <f>PV_DATA[[#This Row],[QUANTITY]]/PV_DATA[[#This Row],[Qty/CT]]</f>
        <v>5</v>
      </c>
      <c r="Y1365" s="431" t="s">
        <v>4386</v>
      </c>
      <c r="Z1365" s="1178" t="str">
        <f t="shared" si="48"/>
        <v/>
      </c>
      <c r="AA1365" s="855">
        <v>46317</v>
      </c>
      <c r="AB1365" s="626"/>
      <c r="AC1365" s="627" t="str">
        <f>IF(PV_DATA[[#This Row],[Pick-Up Date]]&lt;&gt;"",_xlfn.ISOWEEKNUM(PV_DATA[[#This Row],[Pick-Up Date]]),"")</f>
        <v/>
      </c>
      <c r="AD1365" s="619"/>
      <c r="AE1365" s="620"/>
      <c r="AF1365" s="430" t="s">
        <v>122</v>
      </c>
      <c r="AG1365" s="430" t="s">
        <v>6003</v>
      </c>
      <c r="AH1365" s="431" t="s">
        <v>105</v>
      </c>
      <c r="AI1365" s="626"/>
      <c r="AJ1365" s="626"/>
      <c r="AK1365" s="626"/>
      <c r="AL1365" s="626"/>
      <c r="AM1365" s="626"/>
      <c r="AN1365" s="626"/>
      <c r="AO1365" s="619"/>
      <c r="AP1365" s="619"/>
      <c r="AQ1365" s="628"/>
      <c r="AR1365" s="619"/>
      <c r="AS1365" s="619"/>
      <c r="AT1365" s="619"/>
      <c r="AU1365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0</v>
      </c>
      <c r="AV1365" s="619"/>
      <c r="AW1365" s="626" cm="1">
        <f t="array" ref="AW136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46381</v>
      </c>
      <c r="AX136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65" s="626">
        <f>IF(ISERROR(PV_DATA[[#This Row],[New Ark PO status]]),"",_xlfn.XLOOKUP(PV_DATA[[#This Row],[SPTN-PVHK New Ark PO'#]],New_Ark_Data[Purchase order Number],New_Ark_Data[Estimated time of arrival],"",0))</f>
        <v>0</v>
      </c>
      <c r="AZ1365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65" s="626">
        <f>IFERROR(PV_DATA[[#This Row],[ODP ETA Port]]+PV_DATA[[#This Row],[Customs/Leg3 Assumption]],"n/a")</f>
        <v>46388</v>
      </c>
      <c r="BB1365" s="620">
        <f>YEAR(PV_DATA[[#This Row],[ETA for New Ark update]])</f>
        <v>2027</v>
      </c>
      <c r="BC1365" s="619">
        <f>MONTH(PV_DATA[[#This Row],[ETA for New Ark update]])</f>
        <v>1</v>
      </c>
      <c r="BD1365" s="619">
        <f>IFERROR(_xlfn.ISOWEEKNUM(PV_DATA[[#This Row],[ETA for New Ark update]]),0)</f>
        <v>53</v>
      </c>
      <c r="BE1365" s="431">
        <f>_xlfn.XLOOKUP(PV_DATA[[#This Row],[New Ark SKU]],Table9[New Ark SKU],Table9[Total PCS per Pallet],,0)</f>
        <v>36</v>
      </c>
      <c r="BF1365" s="431">
        <f>_xlfn.XLOOKUP(PV_DATA[[#This Row],[New Ark SKU]],Table9[New Ark SKU],Table9[Total PCS per 40HQ Container],,0)</f>
        <v>936</v>
      </c>
      <c r="BG1365" s="431" t="str">
        <f>_xlfn.XLOOKUP(PV_DATA[[#This Row],[New Ark SKU]],Table9[New Ark SKU],Table9[Back Glass],,0)</f>
        <v>Black glazing</v>
      </c>
      <c r="BH1365" s="629" t="str">
        <f>_xlfn.XLOOKUP(PV_DATA[[#This Row],[PORT DESTINATION]],Table12[PORT DESTINATION],Table12[Cosco Line],,0)</f>
        <v>AEU</v>
      </c>
      <c r="BI1365" s="430" t="s">
        <v>7454</v>
      </c>
    </row>
    <row r="1366" spans="1:61" hidden="1">
      <c r="A1366" s="1179" t="s">
        <v>7676</v>
      </c>
      <c r="B1366" s="726" t="s">
        <v>1757</v>
      </c>
      <c r="C1366" s="726" t="str">
        <f>IFERROR(LEFT(PV_DATA[[#This Row],[TCL REFERENCE]],FIND(".",PV_DATA[[#This Row],[TCL REFERENCE]],1)-1),"Main Line")</f>
        <v>Main Line</v>
      </c>
      <c r="D1366" s="726" t="s">
        <v>63</v>
      </c>
      <c r="E1366" s="439" t="s">
        <v>68</v>
      </c>
      <c r="F1366" s="439" t="str" cm="1">
        <f t="array" ref="F1366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66" s="726" t="s">
        <v>68</v>
      </c>
      <c r="H1366" s="726" t="s">
        <v>68</v>
      </c>
      <c r="I1366" s="431" t="s">
        <v>68</v>
      </c>
      <c r="J1366" s="619" t="s">
        <v>68</v>
      </c>
      <c r="K1366" s="619"/>
      <c r="L1366" s="619"/>
      <c r="M1366" s="619" t="s">
        <v>68</v>
      </c>
      <c r="N1366" s="630"/>
      <c r="O1366" s="619" t="s">
        <v>284</v>
      </c>
      <c r="P1366" s="623" t="s">
        <v>6219</v>
      </c>
      <c r="Q1366" s="619" t="s">
        <v>6220</v>
      </c>
      <c r="R1366" s="430" t="str">
        <f>_xlfn.XLOOKUP(PV_DATA[[#This Row],[New Ark SKU]],Table9[New Ark SKU],Table9[Connector],,0)</f>
        <v>EVO2A</v>
      </c>
      <c r="S1366" s="433" t="str">
        <f>_xlfn.XLOOKUP(PV_DATA[[#This Row],[New Ark SKU]],Table9[New Ark SKU],Table9[Cable],,0)</f>
        <v>±1200mm</v>
      </c>
      <c r="T1366" s="620">
        <v>490</v>
      </c>
      <c r="U1366" s="1038" cm="1">
        <f t="array" ref="U1366">29088-fx_qty</f>
        <v>17856</v>
      </c>
      <c r="V1366" s="624">
        <f>PV_DATA[[#This Row],[QUANTITY]]*PV_DATA[[#This Row],[WATT]]/1000000</f>
        <v>8.7494399999999999</v>
      </c>
      <c r="W1366" s="625">
        <f>PV_DATA[[#This Row],[QUANTITY]]/PV_DATA[[#This Row],[Qty/Pallet]]</f>
        <v>496</v>
      </c>
      <c r="X1366" s="1022">
        <f>PV_DATA[[#This Row],[QUANTITY]]/PV_DATA[[#This Row],[Qty/CT]]</f>
        <v>19.076923076923077</v>
      </c>
      <c r="Y1366" s="431" t="s">
        <v>7039</v>
      </c>
      <c r="Z1366" s="1178" t="str">
        <f t="shared" si="48"/>
        <v/>
      </c>
      <c r="AA1366" s="619"/>
      <c r="AB1366" s="626"/>
      <c r="AC1366" s="627" t="str">
        <f>IF(PV_DATA[[#This Row],[Pick-Up Date]]&lt;&gt;"",_xlfn.ISOWEEKNUM(PV_DATA[[#This Row],[Pick-Up Date]]),"")</f>
        <v/>
      </c>
      <c r="AD1366" s="619"/>
      <c r="AE1366" s="620"/>
      <c r="AF1366" s="430" t="s">
        <v>122</v>
      </c>
      <c r="AG1366" s="430" t="s">
        <v>123</v>
      </c>
      <c r="AH1366" s="431" t="s">
        <v>68</v>
      </c>
      <c r="AI1366" s="626"/>
      <c r="AJ1366" s="626"/>
      <c r="AK1366" s="626"/>
      <c r="AL1366" s="626"/>
      <c r="AM1366" s="626"/>
      <c r="AN1366" s="626"/>
      <c r="AO1366" s="619"/>
      <c r="AP1366" s="619"/>
      <c r="AQ1366" s="628"/>
      <c r="AR1366" s="619"/>
      <c r="AS1366" s="619"/>
      <c r="AT1366" s="619"/>
      <c r="AU1366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0</v>
      </c>
      <c r="AV1366" s="619"/>
      <c r="AW1366" s="626" t="str" cm="1">
        <f t="array" ref="AW136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6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66" s="626">
        <f>IF(ISERROR(PV_DATA[[#This Row],[New Ark PO status]]),"",_xlfn.XLOOKUP(PV_DATA[[#This Row],[SPTN-PVHK New Ark PO'#]],New_Ark_Data[Purchase order Number],New_Ark_Data[Estimated time of arrival],"",0))</f>
        <v>0</v>
      </c>
      <c r="AZ1366" s="620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66" s="626" t="str">
        <f>IFERROR(PV_DATA[[#This Row],[ODP ETA Port]]+PV_DATA[[#This Row],[Customs/Leg3 Assumption]],"n/a")</f>
        <v>n/a</v>
      </c>
      <c r="BB1366" s="620" t="e">
        <f>YEAR(PV_DATA[[#This Row],[ETA for New Ark update]])</f>
        <v>#VALUE!</v>
      </c>
      <c r="BC1366" s="619" t="e">
        <f>MONTH(PV_DATA[[#This Row],[ETA for New Ark update]])</f>
        <v>#VALUE!</v>
      </c>
      <c r="BD1366" s="619">
        <f>IFERROR(_xlfn.ISOWEEKNUM(PV_DATA[[#This Row],[ETA for New Ark update]]),0)</f>
        <v>0</v>
      </c>
      <c r="BE1366" s="431">
        <f>_xlfn.XLOOKUP(PV_DATA[[#This Row],[New Ark SKU]],Table9[New Ark SKU],Table9[Total PCS per Pallet],,0)</f>
        <v>36</v>
      </c>
      <c r="BF1366" s="431">
        <f>_xlfn.XLOOKUP(PV_DATA[[#This Row],[New Ark SKU]],Table9[New Ark SKU],Table9[Total PCS per 40HQ Container],,0)</f>
        <v>936</v>
      </c>
      <c r="BG1366" s="431" t="str">
        <f>_xlfn.XLOOKUP(PV_DATA[[#This Row],[New Ark SKU]],Table9[New Ark SKU],Table9[Back Glass],,0)</f>
        <v>Black glazing</v>
      </c>
      <c r="BH1366" s="629" t="str">
        <f>_xlfn.XLOOKUP(PV_DATA[[#This Row],[PORT DESTINATION]],Table12[PORT DESTINATION],Table12[Cosco Line],,0)</f>
        <v>n/a</v>
      </c>
    </row>
    <row r="1367" spans="1:61" hidden="1">
      <c r="A1367" s="1179" t="s">
        <v>7677</v>
      </c>
      <c r="B1367" s="726" t="s">
        <v>1757</v>
      </c>
      <c r="C1367" s="726" t="str">
        <f>IFERROR(LEFT(PV_DATA[[#This Row],[TCL REFERENCE]],FIND(".",PV_DATA[[#This Row],[TCL REFERENCE]],1)-1),"Main Line")</f>
        <v>26Oct010</v>
      </c>
      <c r="D1367" s="726" t="s">
        <v>63</v>
      </c>
      <c r="E1367" s="439" t="s">
        <v>68</v>
      </c>
      <c r="F1367" s="439" t="str" cm="1">
        <f t="array" ref="F1367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67" s="726" t="s">
        <v>68</v>
      </c>
      <c r="H1367" s="726" t="s">
        <v>68</v>
      </c>
      <c r="I1367" s="431" t="s">
        <v>68</v>
      </c>
      <c r="J1367" s="619" t="s">
        <v>68</v>
      </c>
      <c r="K1367" s="619"/>
      <c r="L1367" s="619"/>
      <c r="M1367" s="619" t="s">
        <v>68</v>
      </c>
      <c r="N1367" s="630"/>
      <c r="O1367" s="619" t="s">
        <v>284</v>
      </c>
      <c r="P1367" s="623" t="s">
        <v>6219</v>
      </c>
      <c r="Q1367" s="619" t="s">
        <v>6220</v>
      </c>
      <c r="R1367" s="430" t="str">
        <f>_xlfn.XLOOKUP(PV_DATA[[#This Row],[New Ark SKU]],Table9[New Ark SKU],Table9[Connector],,0)</f>
        <v>EVO2A</v>
      </c>
      <c r="S1367" s="433" t="str">
        <f>_xlfn.XLOOKUP(PV_DATA[[#This Row],[New Ark SKU]],Table9[New Ark SKU],Table9[Cable],,0)</f>
        <v>±1200mm</v>
      </c>
      <c r="T1367" s="620">
        <v>490</v>
      </c>
      <c r="U1367" s="1038">
        <f>936*5</f>
        <v>4680</v>
      </c>
      <c r="V1367" s="624">
        <f>PV_DATA[[#This Row],[QUANTITY]]*PV_DATA[[#This Row],[WATT]]/1000000</f>
        <v>2.2932000000000001</v>
      </c>
      <c r="W1367" s="625">
        <f>PV_DATA[[#This Row],[QUANTITY]]/PV_DATA[[#This Row],[Qty/Pallet]]</f>
        <v>130</v>
      </c>
      <c r="X1367" s="1478">
        <f>PV_DATA[[#This Row],[QUANTITY]]/PV_DATA[[#This Row],[Qty/CT]]</f>
        <v>5</v>
      </c>
      <c r="Y1367" s="431" t="s">
        <v>4387</v>
      </c>
      <c r="Z1367" s="1178" t="str">
        <f t="shared" ref="Z1367" si="54">IF(AN1367&lt;&gt;"","COMPLETED",IF(AK1367&lt;&gt;"","IN-TRANSIT",""))</f>
        <v/>
      </c>
      <c r="AA1367" s="619"/>
      <c r="AB1367" s="626"/>
      <c r="AC1367" s="627" t="str">
        <f>IF(PV_DATA[[#This Row],[Pick-Up Date]]&lt;&gt;"",_xlfn.ISOWEEKNUM(PV_DATA[[#This Row],[Pick-Up Date]]),"")</f>
        <v/>
      </c>
      <c r="AD1367" s="619"/>
      <c r="AE1367" s="620"/>
      <c r="AF1367" s="430" t="s">
        <v>122</v>
      </c>
      <c r="AG1367" s="430" t="s">
        <v>123</v>
      </c>
      <c r="AH1367" s="431" t="s">
        <v>105</v>
      </c>
      <c r="AI1367" s="626"/>
      <c r="AJ1367" s="626"/>
      <c r="AK1367" s="626"/>
      <c r="AL1367" s="626"/>
      <c r="AM1367" s="626"/>
      <c r="AN1367" s="626"/>
      <c r="AO1367" s="619"/>
      <c r="AP1367" s="619"/>
      <c r="AQ1367" s="628"/>
      <c r="AR1367" s="619"/>
      <c r="AS1367" s="619"/>
      <c r="AT1367" s="619"/>
      <c r="AU1367" s="430">
        <f>IFERROR(IF(PV_DATA[[#This Row],[ATA PORT]]&lt;&gt;"",PV_DATA[[#This Row],[ATA PORT]],IF(PV_DATA[[#This Row],[ETA Update]]&lt;&gt;"",PV_DATA[[#This Row],[ETA Update]],PV_DATA[[#This Row],[ETA On S/O]]))-IF(PV_DATA[[#This Row],[ATD PORT]]&lt;&gt;"",PV_DATA[[#This Row],[ATD PORT]],IF(PV_DATA[[#This Row],[ETD Update]]&lt;&gt;"",PV_DATA[[#This Row],[ETD Update]],PV_DATA[[#This Row],[ETD On S/O
]])),0)</f>
        <v>0</v>
      </c>
      <c r="AV1367" s="619"/>
      <c r="AW1367" s="626" t="str" cm="1">
        <f t="array" ref="AW136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6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67" s="626">
        <f>IF(ISERROR(PV_DATA[[#This Row],[New Ark PO status]]),"",_xlfn.XLOOKUP(PV_DATA[[#This Row],[SPTN-PVHK New Ark PO'#]],New_Ark_Data[Purchase order Number],New_Ark_Data[Estimated time of arrival],"",0))</f>
        <v>0</v>
      </c>
      <c r="AZ1367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67" s="626" t="str">
        <f>IFERROR(PV_DATA[[#This Row],[ODP ETA Port]]+PV_DATA[[#This Row],[Customs/Leg3 Assumption]],"n/a")</f>
        <v>n/a</v>
      </c>
      <c r="BB1367" s="620" t="e">
        <f>YEAR(PV_DATA[[#This Row],[ETA for New Ark update]])</f>
        <v>#VALUE!</v>
      </c>
      <c r="BC1367" s="619" t="e">
        <f>MONTH(PV_DATA[[#This Row],[ETA for New Ark update]])</f>
        <v>#VALUE!</v>
      </c>
      <c r="BD1367" s="619">
        <f>IFERROR(_xlfn.ISOWEEKNUM(PV_DATA[[#This Row],[ETA for New Ark update]]),0)</f>
        <v>0</v>
      </c>
      <c r="BE1367" s="431">
        <f>_xlfn.XLOOKUP(PV_DATA[[#This Row],[New Ark SKU]],Table9[New Ark SKU],Table9[Total PCS per Pallet],,0)</f>
        <v>36</v>
      </c>
      <c r="BF1367" s="431">
        <f>_xlfn.XLOOKUP(PV_DATA[[#This Row],[New Ark SKU]],Table9[New Ark SKU],Table9[Total PCS per 40HQ Container],,0)</f>
        <v>936</v>
      </c>
      <c r="BG1367" s="431" t="str">
        <f>_xlfn.XLOOKUP(PV_DATA[[#This Row],[New Ark SKU]],Table9[New Ark SKU],Table9[Back Glass],,0)</f>
        <v>Black glazing</v>
      </c>
      <c r="BH1367" s="629" t="str">
        <f>_xlfn.XLOOKUP(PV_DATA[[#This Row],[PORT DESTINATION]],Table12[PORT DESTINATION],Table12[Cosco Line],,0)</f>
        <v>AEU</v>
      </c>
    </row>
    <row r="1368" spans="1:61" hidden="1">
      <c r="A1368" s="1179" t="s">
        <v>7678</v>
      </c>
      <c r="B1368" s="439" t="s">
        <v>111</v>
      </c>
      <c r="C1368" s="439" t="str">
        <f>IFERROR(LEFT(PV_DATA[[#This Row],[TCL REFERENCE]],FIND(".",PV_DATA[[#This Row],[TCL REFERENCE]],1)-1),"Main Line")</f>
        <v>Main Line</v>
      </c>
      <c r="D1368" s="726" t="s">
        <v>63</v>
      </c>
      <c r="E1368" s="439" t="s">
        <v>68</v>
      </c>
      <c r="F1368" s="439" t="str" cm="1">
        <f t="array" ref="F1368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68" s="726" t="s">
        <v>68</v>
      </c>
      <c r="H1368" s="726" t="s">
        <v>68</v>
      </c>
      <c r="I1368" s="431" t="s">
        <v>68</v>
      </c>
      <c r="J1368" s="619" t="s">
        <v>68</v>
      </c>
      <c r="K1368" s="619"/>
      <c r="L1368" s="619"/>
      <c r="M1368" s="619" t="s">
        <v>68</v>
      </c>
      <c r="N1368" s="461">
        <v>46321</v>
      </c>
      <c r="O1368" s="431" t="s">
        <v>5388</v>
      </c>
      <c r="P1368" s="430" t="s">
        <v>6781</v>
      </c>
      <c r="Q1368" s="431" t="s">
        <v>6782</v>
      </c>
      <c r="R1368" s="430" t="str">
        <f>_xlfn.XLOOKUP(PV_DATA[[#This Row],[New Ark SKU]],Table9[New Ark SKU],Table9[Connector],,0)</f>
        <v>EVO2A</v>
      </c>
      <c r="S1368" s="433" t="str">
        <f>_xlfn.XLOOKUP(PV_DATA[[#This Row],[New Ark SKU]],Table9[New Ark SKU],Table9[Cable],,0)</f>
        <v>±1200mm</v>
      </c>
      <c r="T1368" s="442">
        <v>480</v>
      </c>
      <c r="U1368" s="1067" cm="1">
        <f t="array" ref="U1368">16848-fx_qty</f>
        <v>0</v>
      </c>
      <c r="V1368" s="448">
        <f>PV_DATA[[#This Row],[QUANTITY]]*PV_DATA[[#This Row],[WATT]]/1000000</f>
        <v>0</v>
      </c>
      <c r="W1368" s="466">
        <f>PV_DATA[[#This Row],[QUANTITY]]/PV_DATA[[#This Row],[Qty/Pallet]]</f>
        <v>0</v>
      </c>
      <c r="X1368" s="1022">
        <f>PV_DATA[[#This Row],[QUANTITY]]/PV_DATA[[#This Row],[Qty/CT]]</f>
        <v>0</v>
      </c>
      <c r="Y1368" s="431" t="s">
        <v>7039</v>
      </c>
      <c r="Z1368" s="1180" t="str">
        <f t="shared" si="48"/>
        <v/>
      </c>
      <c r="AA1368" s="661">
        <v>46326</v>
      </c>
      <c r="AB1368" s="441"/>
      <c r="AC1368" s="467" t="str">
        <f>IF(PV_DATA[[#This Row],[Pick-Up Date]]&lt;&gt;"",_xlfn.ISOWEEKNUM(PV_DATA[[#This Row],[Pick-Up Date]]),"")</f>
        <v/>
      </c>
      <c r="AD1368" s="431"/>
      <c r="AE1368" s="442"/>
      <c r="AF1368" s="430" t="s">
        <v>122</v>
      </c>
      <c r="AG1368" s="430" t="s">
        <v>123</v>
      </c>
      <c r="AH1368" s="431" t="s">
        <v>68</v>
      </c>
      <c r="AI1368" s="441"/>
      <c r="AJ1368" s="441"/>
      <c r="AK1368" s="441"/>
      <c r="AL1368" s="441"/>
      <c r="AM1368" s="441"/>
      <c r="AO1368" s="431"/>
      <c r="AP1368" s="431"/>
      <c r="AQ1368" s="445"/>
      <c r="AR1368" s="619"/>
      <c r="AS1368" s="431"/>
      <c r="AT1368" s="431"/>
      <c r="AU1368" s="619"/>
      <c r="AV1368" s="431"/>
      <c r="AW1368" s="441" t="str" cm="1">
        <f t="array" ref="AW136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6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68" s="441">
        <f>IF(ISERROR(PV_DATA[[#This Row],[New Ark PO status]]),"",_xlfn.XLOOKUP(PV_DATA[[#This Row],[SPTN-PVHK New Ark PO'#]],New_Ark_Data[Purchase order Number],New_Ark_Data[Estimated time of arrival],"",0))</f>
        <v>0</v>
      </c>
      <c r="AZ1368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68" s="441" t="str">
        <f>IFERROR(PV_DATA[[#This Row],[ODP ETA Port]]+PV_DATA[[#This Row],[Customs/Leg3 Assumption]],"n/a")</f>
        <v>n/a</v>
      </c>
      <c r="BB1368" s="442" t="e">
        <f>YEAR(PV_DATA[[#This Row],[ETA for New Ark update]])</f>
        <v>#VALUE!</v>
      </c>
      <c r="BC1368" s="431" t="e">
        <f>MONTH(PV_DATA[[#This Row],[ETA for New Ark update]])</f>
        <v>#VALUE!</v>
      </c>
      <c r="BD1368" s="431">
        <f>IFERROR(_xlfn.ISOWEEKNUM(PV_DATA[[#This Row],[ETA for New Ark update]]),0)</f>
        <v>0</v>
      </c>
      <c r="BE1368" s="431">
        <f>_xlfn.XLOOKUP(PV_DATA[[#This Row],[New Ark SKU]],Table9[New Ark SKU],Table9[Total PCS per Pallet],,0)</f>
        <v>36</v>
      </c>
      <c r="BF1368" s="431">
        <f>_xlfn.XLOOKUP(PV_DATA[[#This Row],[New Ark SKU]],Table9[New Ark SKU],Table9[Total PCS per 40HQ Container],,0)</f>
        <v>936</v>
      </c>
      <c r="BG1368" s="431" t="str">
        <f>_xlfn.XLOOKUP(PV_DATA[[#This Row],[New Ark SKU]],Table9[New Ark SKU],Table9[Back Glass],,0)</f>
        <v>Black glazing</v>
      </c>
      <c r="BH1368" s="622" t="str">
        <f>_xlfn.XLOOKUP(PV_DATA[[#This Row],[PORT DESTINATION]],Table12[PORT DESTINATION],Table12[Cosco Line],,0)</f>
        <v>n/a</v>
      </c>
    </row>
    <row r="1369" spans="1:61" hidden="1">
      <c r="A1369" s="1179" t="s">
        <v>7679</v>
      </c>
      <c r="B1369" s="439" t="s">
        <v>111</v>
      </c>
      <c r="C1369" s="439" t="str">
        <f>IFERROR(LEFT(PV_DATA[[#This Row],[TCL REFERENCE]],FIND(".",PV_DATA[[#This Row],[TCL REFERENCE]],1)-1),"Main Line")</f>
        <v>26Oct012</v>
      </c>
      <c r="D1369" s="726" t="s">
        <v>63</v>
      </c>
      <c r="E1369" s="439" t="s">
        <v>64</v>
      </c>
      <c r="F1369" s="439" t="str" cm="1">
        <f t="array" ref="F136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69" s="726" t="s">
        <v>402</v>
      </c>
      <c r="H1369" s="726" t="s">
        <v>67</v>
      </c>
      <c r="I1369" s="431" t="s">
        <v>689</v>
      </c>
      <c r="J1369" s="431" t="s">
        <v>96</v>
      </c>
      <c r="K1369" s="431"/>
      <c r="L1369" s="431"/>
      <c r="M1369" s="619" t="s">
        <v>68</v>
      </c>
      <c r="N1369" s="461">
        <v>46321</v>
      </c>
      <c r="O1369" s="431" t="s">
        <v>5388</v>
      </c>
      <c r="P1369" s="430" t="s">
        <v>6781</v>
      </c>
      <c r="Q1369" s="431" t="s">
        <v>6782</v>
      </c>
      <c r="R1369" s="430" t="str">
        <f>_xlfn.XLOOKUP(PV_DATA[[#This Row],[New Ark SKU]],Table9[New Ark SKU],Table9[Connector],,0)</f>
        <v>EVO2A</v>
      </c>
      <c r="S1369" s="433" t="str">
        <f>_xlfn.XLOOKUP(PV_DATA[[#This Row],[New Ark SKU]],Table9[New Ark SKU],Table9[Cable],,0)</f>
        <v>±1200mm</v>
      </c>
      <c r="T1369" s="442">
        <v>480</v>
      </c>
      <c r="U1369" s="1067">
        <f>936*8</f>
        <v>7488</v>
      </c>
      <c r="V1369" s="448">
        <f>PV_DATA[[#This Row],[QUANTITY]]*PV_DATA[[#This Row],[WATT]]/1000000</f>
        <v>3.5942400000000001</v>
      </c>
      <c r="W1369" s="466">
        <f>PV_DATA[[#This Row],[QUANTITY]]/PV_DATA[[#This Row],[Qty/Pallet]]</f>
        <v>208</v>
      </c>
      <c r="X1369" s="1478">
        <f>PV_DATA[[#This Row],[QUANTITY]]/PV_DATA[[#This Row],[Qty/CT]]</f>
        <v>8</v>
      </c>
      <c r="Y1369" s="431" t="s">
        <v>4387</v>
      </c>
      <c r="Z1369" s="1180" t="str">
        <f t="shared" si="48"/>
        <v/>
      </c>
      <c r="AA1369" s="661">
        <v>46324</v>
      </c>
      <c r="AB1369" s="441"/>
      <c r="AC1369" s="467" t="str">
        <f>IF(PV_DATA[[#This Row],[Pick-Up Date]]&lt;&gt;"",_xlfn.ISOWEEKNUM(PV_DATA[[#This Row],[Pick-Up Date]]),"")</f>
        <v/>
      </c>
      <c r="AD1369" s="431"/>
      <c r="AE1369" s="442"/>
      <c r="AF1369" s="430" t="s">
        <v>122</v>
      </c>
      <c r="AG1369" s="430" t="s">
        <v>123</v>
      </c>
      <c r="AH1369" s="431" t="s">
        <v>105</v>
      </c>
      <c r="AI1369" s="441"/>
      <c r="AJ1369" s="441"/>
      <c r="AK1369" s="441"/>
      <c r="AL1369" s="441"/>
      <c r="AM1369" s="441"/>
      <c r="AO1369" s="431"/>
      <c r="AP1369" s="431"/>
      <c r="AQ1369" s="445"/>
      <c r="AR1369" s="619"/>
      <c r="AS1369" s="431"/>
      <c r="AT1369" s="431"/>
      <c r="AU1369" s="619"/>
      <c r="AV1369" s="431"/>
      <c r="AW1369" s="441" cm="1">
        <f t="array" ref="AW136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46388</v>
      </c>
      <c r="AX136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69" s="441">
        <f>IF(ISERROR(PV_DATA[[#This Row],[New Ark PO status]]),"",_xlfn.XLOOKUP(PV_DATA[[#This Row],[SPTN-PVHK New Ark PO'#]],New_Ark_Data[Purchase order Number],New_Ark_Data[Estimated time of arrival],"",0))</f>
        <v>0</v>
      </c>
      <c r="AZ1369" s="442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69" s="441">
        <f>IFERROR(PV_DATA[[#This Row],[ODP ETA Port]]+PV_DATA[[#This Row],[Customs/Leg3 Assumption]],"n/a")</f>
        <v>46395</v>
      </c>
      <c r="BB1369" s="442">
        <f>YEAR(PV_DATA[[#This Row],[ETA for New Ark update]])</f>
        <v>2027</v>
      </c>
      <c r="BC1369" s="431">
        <f>MONTH(PV_DATA[[#This Row],[ETA for New Ark update]])</f>
        <v>1</v>
      </c>
      <c r="BD1369" s="431">
        <f>IFERROR(_xlfn.ISOWEEKNUM(PV_DATA[[#This Row],[ETA for New Ark update]]),0)</f>
        <v>1</v>
      </c>
      <c r="BE1369" s="431">
        <f>_xlfn.XLOOKUP(PV_DATA[[#This Row],[New Ark SKU]],Table9[New Ark SKU],Table9[Total PCS per Pallet],,0)</f>
        <v>36</v>
      </c>
      <c r="BF1369" s="431">
        <f>_xlfn.XLOOKUP(PV_DATA[[#This Row],[New Ark SKU]],Table9[New Ark SKU],Table9[Total PCS per 40HQ Container],,0)</f>
        <v>936</v>
      </c>
      <c r="BG1369" s="431" t="str">
        <f>_xlfn.XLOOKUP(PV_DATA[[#This Row],[New Ark SKU]],Table9[New Ark SKU],Table9[Back Glass],,0)</f>
        <v>Black glazing</v>
      </c>
      <c r="BH1369" s="622" t="str">
        <f>_xlfn.XLOOKUP(PV_DATA[[#This Row],[PORT DESTINATION]],Table12[PORT DESTINATION],Table12[Cosco Line],,0)</f>
        <v>AEU</v>
      </c>
    </row>
    <row r="1370" spans="1:61" hidden="1">
      <c r="A1370" s="1179" t="s">
        <v>7680</v>
      </c>
      <c r="B1370" s="439" t="s">
        <v>111</v>
      </c>
      <c r="C1370" s="726" t="str">
        <f>IFERROR(LEFT(PV_DATA[[#This Row],[TCL REFERENCE]],FIND(".",PV_DATA[[#This Row],[TCL REFERENCE]],1)-1),"Main Line")</f>
        <v>Main Line</v>
      </c>
      <c r="D1370" s="726" t="s">
        <v>63</v>
      </c>
      <c r="E1370" s="439" t="s">
        <v>68</v>
      </c>
      <c r="F1370" s="439" t="str" cm="1">
        <f t="array" ref="F1370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70" s="726" t="s">
        <v>68</v>
      </c>
      <c r="H1370" s="726" t="s">
        <v>68</v>
      </c>
      <c r="I1370" s="431" t="s">
        <v>68</v>
      </c>
      <c r="J1370" s="619" t="s">
        <v>68</v>
      </c>
      <c r="K1370" s="619"/>
      <c r="L1370" s="619"/>
      <c r="M1370" s="619" t="s">
        <v>68</v>
      </c>
      <c r="N1370" s="461">
        <v>46321</v>
      </c>
      <c r="O1370" s="431" t="s">
        <v>5388</v>
      </c>
      <c r="P1370" s="623" t="s">
        <v>7681</v>
      </c>
      <c r="Q1370" s="619" t="s">
        <v>7682</v>
      </c>
      <c r="R1370" s="430" t="str">
        <f>_xlfn.XLOOKUP(PV_DATA[[#This Row],[New Ark SKU]],Table9[New Ark SKU],Table9[Connector],,0)</f>
        <v>EVO2A</v>
      </c>
      <c r="S1370" s="433" t="str">
        <f>_xlfn.XLOOKUP(PV_DATA[[#This Row],[New Ark SKU]],Table9[New Ark SKU],Table9[Cable],,0)</f>
        <v>±1200mm</v>
      </c>
      <c r="T1370" s="620">
        <v>485</v>
      </c>
      <c r="U1370" s="1038" cm="1">
        <f t="array" ref="U1370">25272-fx_qty</f>
        <v>0</v>
      </c>
      <c r="V1370" s="624">
        <f>PV_DATA[[#This Row],[QUANTITY]]*PV_DATA[[#This Row],[WATT]]/1000000</f>
        <v>0</v>
      </c>
      <c r="W1370" s="625">
        <f>PV_DATA[[#This Row],[QUANTITY]]/PV_DATA[[#This Row],[Qty/Pallet]]</f>
        <v>0</v>
      </c>
      <c r="X1370" s="1022">
        <f>PV_DATA[[#This Row],[QUANTITY]]/PV_DATA[[#This Row],[Qty/CT]]</f>
        <v>0</v>
      </c>
      <c r="Y1370" s="431" t="s">
        <v>7039</v>
      </c>
      <c r="Z1370" s="1178" t="str">
        <f t="shared" si="48"/>
        <v/>
      </c>
      <c r="AA1370" s="855">
        <v>46322</v>
      </c>
      <c r="AB1370" s="626"/>
      <c r="AC1370" s="627" t="str">
        <f>IF(PV_DATA[[#This Row],[Pick-Up Date]]&lt;&gt;"",_xlfn.ISOWEEKNUM(PV_DATA[[#This Row],[Pick-Up Date]]),"")</f>
        <v/>
      </c>
      <c r="AD1370" s="619"/>
      <c r="AE1370" s="620"/>
      <c r="AF1370" s="430" t="s">
        <v>122</v>
      </c>
      <c r="AG1370" s="430" t="s">
        <v>123</v>
      </c>
      <c r="AH1370" s="431" t="s">
        <v>68</v>
      </c>
      <c r="AI1370" s="626"/>
      <c r="AJ1370" s="626"/>
      <c r="AK1370" s="626"/>
      <c r="AL1370" s="626"/>
      <c r="AM1370" s="626"/>
      <c r="AN1370" s="626"/>
      <c r="AO1370" s="619"/>
      <c r="AP1370" s="431"/>
      <c r="AQ1370" s="628"/>
      <c r="AR1370" s="619"/>
      <c r="AS1370" s="619"/>
      <c r="AT1370" s="619"/>
      <c r="AU1370" s="619"/>
      <c r="AV1370" s="619"/>
      <c r="AW1370" s="626" t="str" cm="1">
        <f t="array" ref="AW137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70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70" s="626">
        <f>IF(ISERROR(PV_DATA[[#This Row],[New Ark PO status]]),"",_xlfn.XLOOKUP(PV_DATA[[#This Row],[SPTN-PVHK New Ark PO'#]],New_Ark_Data[Purchase order Number],New_Ark_Data[Estimated time of arrival],"",0))</f>
        <v>0</v>
      </c>
      <c r="AZ1370" s="620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70" s="626" t="str">
        <f>IFERROR(PV_DATA[[#This Row],[ODP ETA Port]]+PV_DATA[[#This Row],[Customs/Leg3 Assumption]],"n/a")</f>
        <v>n/a</v>
      </c>
      <c r="BB1370" s="620" t="e">
        <f>YEAR(PV_DATA[[#This Row],[ETA for New Ark update]])</f>
        <v>#VALUE!</v>
      </c>
      <c r="BC1370" s="619" t="e">
        <f>MONTH(PV_DATA[[#This Row],[ETA for New Ark update]])</f>
        <v>#VALUE!</v>
      </c>
      <c r="BD1370" s="619">
        <f>IFERROR(_xlfn.ISOWEEKNUM(PV_DATA[[#This Row],[ETA for New Ark update]]),0)</f>
        <v>0</v>
      </c>
      <c r="BE1370" s="431">
        <f>_xlfn.XLOOKUP(PV_DATA[[#This Row],[New Ark SKU]],Table9[New Ark SKU],Table9[Total PCS per Pallet],,0)</f>
        <v>36</v>
      </c>
      <c r="BF1370" s="431">
        <f>_xlfn.XLOOKUP(PV_DATA[[#This Row],[New Ark SKU]],Table9[New Ark SKU],Table9[Total PCS per 40HQ Container],,0)</f>
        <v>936</v>
      </c>
      <c r="BG1370" s="431" t="str">
        <f>_xlfn.XLOOKUP(PV_DATA[[#This Row],[New Ark SKU]],Table9[New Ark SKU],Table9[Back Glass],,0)</f>
        <v>Black glazing</v>
      </c>
      <c r="BH1370" s="629" t="str">
        <f>_xlfn.XLOOKUP(PV_DATA[[#This Row],[PORT DESTINATION]],Table12[PORT DESTINATION],Table12[Cosco Line],,0)</f>
        <v>n/a</v>
      </c>
    </row>
    <row r="1371" spans="1:61" hidden="1">
      <c r="A1371" s="1179" t="s">
        <v>7683</v>
      </c>
      <c r="B1371" s="439" t="s">
        <v>111</v>
      </c>
      <c r="C1371" s="726" t="str">
        <f>IFERROR(LEFT(PV_DATA[[#This Row],[TCL REFERENCE]],FIND(".",PV_DATA[[#This Row],[TCL REFERENCE]],1)-1),"Main Line")</f>
        <v>26Oct013</v>
      </c>
      <c r="D1371" s="726" t="s">
        <v>63</v>
      </c>
      <c r="E1371" s="439" t="s">
        <v>64</v>
      </c>
      <c r="F1371" s="439" t="str" cm="1">
        <f t="array" ref="F137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Plan-SPUK</v>
      </c>
      <c r="G1371" s="726" t="s">
        <v>402</v>
      </c>
      <c r="H1371" s="726" t="s">
        <v>451</v>
      </c>
      <c r="I1371" s="431" t="s">
        <v>689</v>
      </c>
      <c r="J1371" s="431" t="s">
        <v>96</v>
      </c>
      <c r="K1371" s="619"/>
      <c r="L1371" s="619"/>
      <c r="M1371" s="619" t="s">
        <v>68</v>
      </c>
      <c r="N1371" s="461">
        <v>46321</v>
      </c>
      <c r="O1371" s="431" t="s">
        <v>5388</v>
      </c>
      <c r="P1371" s="623" t="s">
        <v>7681</v>
      </c>
      <c r="Q1371" s="619" t="s">
        <v>7682</v>
      </c>
      <c r="R1371" s="430" t="str">
        <f>_xlfn.XLOOKUP(PV_DATA[[#This Row],[New Ark SKU]],Table9[New Ark SKU],Table9[Connector],,0)</f>
        <v>EVO2A</v>
      </c>
      <c r="S1371" s="433" t="str">
        <f>_xlfn.XLOOKUP(PV_DATA[[#This Row],[New Ark SKU]],Table9[New Ark SKU],Table9[Cable],,0)</f>
        <v>±1200mm</v>
      </c>
      <c r="T1371" s="620">
        <v>485</v>
      </c>
      <c r="U1371" s="1038">
        <f>936*2</f>
        <v>1872</v>
      </c>
      <c r="V1371" s="624">
        <f>PV_DATA[[#This Row],[QUANTITY]]*PV_DATA[[#This Row],[WATT]]/1000000</f>
        <v>0.90791999999999995</v>
      </c>
      <c r="W1371" s="625">
        <f>PV_DATA[[#This Row],[QUANTITY]]/PV_DATA[[#This Row],[Qty/Pallet]]</f>
        <v>52</v>
      </c>
      <c r="X1371" s="1022">
        <f>PV_DATA[[#This Row],[QUANTITY]]/PV_DATA[[#This Row],[Qty/CT]]</f>
        <v>2</v>
      </c>
      <c r="Y1371" s="431" t="s">
        <v>4388</v>
      </c>
      <c r="Z1371" s="1178" t="str">
        <f t="shared" si="48"/>
        <v/>
      </c>
      <c r="AA1371" s="855">
        <v>46317</v>
      </c>
      <c r="AB1371" s="626"/>
      <c r="AC1371" s="627" t="str">
        <f>IF(PV_DATA[[#This Row],[Pick-Up Date]]&lt;&gt;"",_xlfn.ISOWEEKNUM(PV_DATA[[#This Row],[Pick-Up Date]]),"")</f>
        <v/>
      </c>
      <c r="AD1371" s="619"/>
      <c r="AE1371" s="620"/>
      <c r="AF1371" s="430" t="s">
        <v>6003</v>
      </c>
      <c r="AG1371" s="430" t="s">
        <v>6003</v>
      </c>
      <c r="AH1371" s="431" t="s">
        <v>456</v>
      </c>
      <c r="AI1371" s="626"/>
      <c r="AJ1371" s="626"/>
      <c r="AK1371" s="626"/>
      <c r="AL1371" s="626"/>
      <c r="AM1371" s="626"/>
      <c r="AN1371" s="626"/>
      <c r="AO1371" s="619"/>
      <c r="AP1371" s="431"/>
      <c r="AQ1371" s="628"/>
      <c r="AR1371" s="619"/>
      <c r="AS1371" s="619"/>
      <c r="AT1371" s="619"/>
      <c r="AU1371" s="619"/>
      <c r="AV1371" s="619"/>
      <c r="AW1371" s="626" cm="1">
        <f t="array" ref="AW137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46395</v>
      </c>
      <c r="AX137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71" s="626">
        <f>IF(ISERROR(PV_DATA[[#This Row],[New Ark PO status]]),"",_xlfn.XLOOKUP(PV_DATA[[#This Row],[SPTN-PVHK New Ark PO'#]],New_Ark_Data[Purchase order Number],New_Ark_Data[Estimated time of arrival],"",0))</f>
        <v>0</v>
      </c>
      <c r="AZ1371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71" s="626">
        <f>IFERROR(PV_DATA[[#This Row],[ODP ETA Port]]+PV_DATA[[#This Row],[Customs/Leg3 Assumption]],"n/a")</f>
        <v>46402</v>
      </c>
      <c r="BB1371" s="620">
        <f>YEAR(PV_DATA[[#This Row],[ETA for New Ark update]])</f>
        <v>2027</v>
      </c>
      <c r="BC1371" s="619">
        <f>MONTH(PV_DATA[[#This Row],[ETA for New Ark update]])</f>
        <v>1</v>
      </c>
      <c r="BD1371" s="619">
        <f>IFERROR(_xlfn.ISOWEEKNUM(PV_DATA[[#This Row],[ETA for New Ark update]]),0)</f>
        <v>2</v>
      </c>
      <c r="BE1371" s="431">
        <f>_xlfn.XLOOKUP(PV_DATA[[#This Row],[New Ark SKU]],Table9[New Ark SKU],Table9[Total PCS per Pallet],,0)</f>
        <v>36</v>
      </c>
      <c r="BF1371" s="431">
        <f>_xlfn.XLOOKUP(PV_DATA[[#This Row],[New Ark SKU]],Table9[New Ark SKU],Table9[Total PCS per 40HQ Container],,0)</f>
        <v>936</v>
      </c>
      <c r="BG1371" s="431" t="str">
        <f>_xlfn.XLOOKUP(PV_DATA[[#This Row],[New Ark SKU]],Table9[New Ark SKU],Table9[Back Glass],,0)</f>
        <v>Black glazing</v>
      </c>
      <c r="BH1371" s="629" t="str">
        <f>_xlfn.XLOOKUP(PV_DATA[[#This Row],[PORT DESTINATION]],Table12[PORT DESTINATION],Table12[Cosco Line],,0)</f>
        <v>AEU</v>
      </c>
    </row>
    <row r="1372" spans="1:61" hidden="1">
      <c r="A1372" s="1179" t="s">
        <v>7684</v>
      </c>
      <c r="B1372" s="439" t="s">
        <v>111</v>
      </c>
      <c r="C1372" s="726" t="str">
        <f>IFERROR(LEFT(PV_DATA[[#This Row],[TCL REFERENCE]],FIND(".",PV_DATA[[#This Row],[TCL REFERENCE]],1)-1),"Main Line")</f>
        <v>26Oct013</v>
      </c>
      <c r="D1372" s="726" t="s">
        <v>63</v>
      </c>
      <c r="E1372" s="439" t="s">
        <v>64</v>
      </c>
      <c r="F1372" s="439" t="str" cm="1">
        <f t="array" ref="F137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72" s="726" t="s">
        <v>402</v>
      </c>
      <c r="H1372" s="726" t="s">
        <v>67</v>
      </c>
      <c r="I1372" s="431" t="s">
        <v>689</v>
      </c>
      <c r="J1372" s="431" t="s">
        <v>96</v>
      </c>
      <c r="K1372" s="431"/>
      <c r="L1372" s="431"/>
      <c r="M1372" s="619" t="s">
        <v>68</v>
      </c>
      <c r="N1372" s="461">
        <v>46321</v>
      </c>
      <c r="O1372" s="431" t="s">
        <v>5388</v>
      </c>
      <c r="P1372" s="623" t="s">
        <v>7681</v>
      </c>
      <c r="Q1372" s="619" t="s">
        <v>7682</v>
      </c>
      <c r="R1372" s="430" t="str">
        <f>_xlfn.XLOOKUP(PV_DATA[[#This Row],[New Ark SKU]],Table9[New Ark SKU],Table9[Connector],,0)</f>
        <v>EVO2A</v>
      </c>
      <c r="S1372" s="433" t="str">
        <f>_xlfn.XLOOKUP(PV_DATA[[#This Row],[New Ark SKU]],Table9[New Ark SKU],Table9[Cable],,0)</f>
        <v>±1200mm</v>
      </c>
      <c r="T1372" s="620">
        <v>485</v>
      </c>
      <c r="U1372" s="1067">
        <f>936*12</f>
        <v>11232</v>
      </c>
      <c r="V1372" s="624">
        <f>PV_DATA[[#This Row],[QUANTITY]]*PV_DATA[[#This Row],[WATT]]/1000000</f>
        <v>5.4475199999999999</v>
      </c>
      <c r="W1372" s="625">
        <f>PV_DATA[[#This Row],[QUANTITY]]/PV_DATA[[#This Row],[Qty/Pallet]]</f>
        <v>312</v>
      </c>
      <c r="X1372" s="1478">
        <f>PV_DATA[[#This Row],[QUANTITY]]/PV_DATA[[#This Row],[Qty/CT]]</f>
        <v>12</v>
      </c>
      <c r="Y1372" s="431" t="s">
        <v>4388</v>
      </c>
      <c r="Z1372" s="1178" t="str">
        <f t="shared" ref="Z1372:Z1411" si="55">IF(AN1372&lt;&gt;"","COMPLETED",IF(AK1372&lt;&gt;"","IN-TRANSIT",""))</f>
        <v/>
      </c>
      <c r="AA1372" s="855">
        <v>46317</v>
      </c>
      <c r="AB1372" s="626"/>
      <c r="AC1372" s="627" t="str">
        <f>IF(PV_DATA[[#This Row],[Pick-Up Date]]&lt;&gt;"",_xlfn.ISOWEEKNUM(PV_DATA[[#This Row],[Pick-Up Date]]),"")</f>
        <v/>
      </c>
      <c r="AD1372" s="619"/>
      <c r="AE1372" s="620"/>
      <c r="AF1372" s="430" t="s">
        <v>122</v>
      </c>
      <c r="AG1372" s="430" t="s">
        <v>123</v>
      </c>
      <c r="AH1372" s="431" t="s">
        <v>105</v>
      </c>
      <c r="AI1372" s="626"/>
      <c r="AJ1372" s="626"/>
      <c r="AK1372" s="626"/>
      <c r="AL1372" s="626"/>
      <c r="AM1372" s="626"/>
      <c r="AN1372" s="626"/>
      <c r="AO1372" s="619"/>
      <c r="AP1372" s="431"/>
      <c r="AQ1372" s="628"/>
      <c r="AR1372" s="619"/>
      <c r="AS1372" s="619"/>
      <c r="AT1372" s="619"/>
      <c r="AU1372" s="619"/>
      <c r="AV1372" s="619"/>
      <c r="AW1372" s="626" cm="1">
        <f t="array" ref="AW137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46395</v>
      </c>
      <c r="AX137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72" s="626" t="str">
        <f>IF(ISERROR(PV_DATA[[#This Row],[New Ark PO status]]),"",_xlfn.XLOOKUP(PV_DATA[[#This Row],[SPTN-PVHK New Ark PO'#]],New_Ark_Data[Purchase order Number],New_Ark_Data[Estimated time of arrival],"",0))</f>
        <v/>
      </c>
      <c r="AZ1372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72" s="626">
        <f>IFERROR(PV_DATA[[#This Row],[ODP ETA Port]]+PV_DATA[[#This Row],[Customs/Leg3 Assumption]],"n/a")</f>
        <v>46402</v>
      </c>
      <c r="BB1372" s="620">
        <f>YEAR(PV_DATA[[#This Row],[ETA for New Ark update]])</f>
        <v>2027</v>
      </c>
      <c r="BC1372" s="619">
        <f>MONTH(PV_DATA[[#This Row],[ETA for New Ark update]])</f>
        <v>1</v>
      </c>
      <c r="BD1372" s="619">
        <f>IFERROR(_xlfn.ISOWEEKNUM(PV_DATA[[#This Row],[ETA for New Ark update]]),0)</f>
        <v>2</v>
      </c>
      <c r="BE1372" s="431">
        <f>_xlfn.XLOOKUP(PV_DATA[[#This Row],[New Ark SKU]],Table9[New Ark SKU],Table9[Total PCS per Pallet],,0)</f>
        <v>36</v>
      </c>
      <c r="BF1372" s="431">
        <f>_xlfn.XLOOKUP(PV_DATA[[#This Row],[New Ark SKU]],Table9[New Ark SKU],Table9[Total PCS per 40HQ Container],,0)</f>
        <v>936</v>
      </c>
      <c r="BG1372" s="431" t="str">
        <f>_xlfn.XLOOKUP(PV_DATA[[#This Row],[New Ark SKU]],Table9[New Ark SKU],Table9[Back Glass],,0)</f>
        <v>Black glazing</v>
      </c>
      <c r="BH1372" s="629" t="str">
        <f>_xlfn.XLOOKUP(PV_DATA[[#This Row],[PORT DESTINATION]],Table12[PORT DESTINATION],Table12[Cosco Line],,0)</f>
        <v>AEU</v>
      </c>
    </row>
    <row r="1373" spans="1:61" hidden="1">
      <c r="A1373" s="1179" t="s">
        <v>7685</v>
      </c>
      <c r="B1373" s="439" t="s">
        <v>111</v>
      </c>
      <c r="C1373" s="726" t="str">
        <f>IFERROR(LEFT(PV_DATA[[#This Row],[TCL REFERENCE]],FIND(".",PV_DATA[[#This Row],[TCL REFERENCE]],1)-1),"Main Line")</f>
        <v>26Oct013</v>
      </c>
      <c r="D1373" s="726" t="s">
        <v>63</v>
      </c>
      <c r="E1373" s="439" t="s">
        <v>64</v>
      </c>
      <c r="F1373" s="439" t="str" cm="1">
        <f t="array" ref="F137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73" s="726" t="s">
        <v>402</v>
      </c>
      <c r="H1373" s="726" t="s">
        <v>67</v>
      </c>
      <c r="I1373" s="431" t="s">
        <v>689</v>
      </c>
      <c r="J1373" s="431" t="s">
        <v>96</v>
      </c>
      <c r="K1373" s="431"/>
      <c r="L1373" s="431"/>
      <c r="M1373" s="619" t="s">
        <v>68</v>
      </c>
      <c r="N1373" s="461">
        <v>46321</v>
      </c>
      <c r="O1373" s="431" t="s">
        <v>5388</v>
      </c>
      <c r="P1373" s="623" t="s">
        <v>7681</v>
      </c>
      <c r="Q1373" s="619" t="s">
        <v>7682</v>
      </c>
      <c r="R1373" s="430" t="str">
        <f>_xlfn.XLOOKUP(PV_DATA[[#This Row],[New Ark SKU]],Table9[New Ark SKU],Table9[Connector],,0)</f>
        <v>EVO2A</v>
      </c>
      <c r="S1373" s="433" t="str">
        <f>_xlfn.XLOOKUP(PV_DATA[[#This Row],[New Ark SKU]],Table9[New Ark SKU],Table9[Cable],,0)</f>
        <v>±1200mm</v>
      </c>
      <c r="T1373" s="620">
        <v>485</v>
      </c>
      <c r="U1373" s="1067">
        <f>936*6</f>
        <v>5616</v>
      </c>
      <c r="V1373" s="624">
        <f>PV_DATA[[#This Row],[QUANTITY]]*PV_DATA[[#This Row],[WATT]]/1000000</f>
        <v>2.72376</v>
      </c>
      <c r="W1373" s="625">
        <f>PV_DATA[[#This Row],[QUANTITY]]/PV_DATA[[#This Row],[Qty/Pallet]]</f>
        <v>156</v>
      </c>
      <c r="X1373" s="1022">
        <f>PV_DATA[[#This Row],[QUANTITY]]/PV_DATA[[#This Row],[Qty/CT]]</f>
        <v>6</v>
      </c>
      <c r="Y1373" s="431" t="s">
        <v>4390</v>
      </c>
      <c r="Z1373" s="1178" t="str">
        <f t="shared" si="55"/>
        <v/>
      </c>
      <c r="AA1373" s="855">
        <v>46319</v>
      </c>
      <c r="AB1373" s="626"/>
      <c r="AC1373" s="627" t="str">
        <f>IF(PV_DATA[[#This Row],[Pick-Up Date]]&lt;&gt;"",_xlfn.ISOWEEKNUM(PV_DATA[[#This Row],[Pick-Up Date]]),"")</f>
        <v/>
      </c>
      <c r="AD1373" s="619"/>
      <c r="AE1373" s="620"/>
      <c r="AF1373" s="430" t="s">
        <v>122</v>
      </c>
      <c r="AG1373" s="430" t="s">
        <v>123</v>
      </c>
      <c r="AH1373" s="431" t="s">
        <v>105</v>
      </c>
      <c r="AI1373" s="626"/>
      <c r="AJ1373" s="626"/>
      <c r="AK1373" s="626"/>
      <c r="AL1373" s="626"/>
      <c r="AM1373" s="626"/>
      <c r="AN1373" s="626"/>
      <c r="AO1373" s="619"/>
      <c r="AP1373" s="619"/>
      <c r="AQ1373" s="628"/>
      <c r="AR1373" s="619"/>
      <c r="AS1373" s="619"/>
      <c r="AT1373" s="619"/>
      <c r="AU1373" s="619"/>
      <c r="AV1373" s="619"/>
      <c r="AW1373" s="626" cm="1">
        <f t="array" ref="AW137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46409</v>
      </c>
      <c r="AX137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73" s="626" t="str">
        <f>IF(ISERROR(PV_DATA[[#This Row],[New Ark PO status]]),"",_xlfn.XLOOKUP(PV_DATA[[#This Row],[SPTN-PVHK New Ark PO'#]],New_Ark_Data[Purchase order Number],New_Ark_Data[Estimated time of arrival],"",0))</f>
        <v/>
      </c>
      <c r="AZ1373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73" s="626">
        <f>IFERROR(PV_DATA[[#This Row],[ODP ETA Port]]+PV_DATA[[#This Row],[Customs/Leg3 Assumption]],"n/a")</f>
        <v>46416</v>
      </c>
      <c r="BB1373" s="620">
        <f>YEAR(PV_DATA[[#This Row],[ETA for New Ark update]])</f>
        <v>2027</v>
      </c>
      <c r="BC1373" s="619">
        <f>MONTH(PV_DATA[[#This Row],[ETA for New Ark update]])</f>
        <v>1</v>
      </c>
      <c r="BD1373" s="619">
        <f>IFERROR(_xlfn.ISOWEEKNUM(PV_DATA[[#This Row],[ETA for New Ark update]]),0)</f>
        <v>4</v>
      </c>
      <c r="BE1373" s="431">
        <f>_xlfn.XLOOKUP(PV_DATA[[#This Row],[New Ark SKU]],Table9[New Ark SKU],Table9[Total PCS per Pallet],,0)</f>
        <v>36</v>
      </c>
      <c r="BF1373" s="431">
        <f>_xlfn.XLOOKUP(PV_DATA[[#This Row],[New Ark SKU]],Table9[New Ark SKU],Table9[Total PCS per 40HQ Container],,0)</f>
        <v>936</v>
      </c>
      <c r="BG1373" s="431" t="str">
        <f>_xlfn.XLOOKUP(PV_DATA[[#This Row],[New Ark SKU]],Table9[New Ark SKU],Table9[Back Glass],,0)</f>
        <v>Black glazing</v>
      </c>
      <c r="BH1373" s="629" t="str">
        <f>_xlfn.XLOOKUP(PV_DATA[[#This Row],[PORT DESTINATION]],Table12[PORT DESTINATION],Table12[Cosco Line],,0)</f>
        <v>AEU</v>
      </c>
    </row>
    <row r="1374" spans="1:61" hidden="1">
      <c r="A1374" s="1179" t="s">
        <v>7686</v>
      </c>
      <c r="B1374" s="439" t="s">
        <v>111</v>
      </c>
      <c r="C1374" s="726" t="str">
        <f>IFERROR(LEFT(PV_DATA[[#This Row],[TCL REFERENCE]],FIND(".",PV_DATA[[#This Row],[TCL REFERENCE]],1)-1),"Main Line")</f>
        <v>26Oct013</v>
      </c>
      <c r="D1374" s="726" t="s">
        <v>63</v>
      </c>
      <c r="E1374" s="439" t="s">
        <v>64</v>
      </c>
      <c r="F1374" s="439" t="str" cm="1">
        <f t="array" ref="F137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74" s="726" t="s">
        <v>402</v>
      </c>
      <c r="H1374" s="726" t="s">
        <v>67</v>
      </c>
      <c r="I1374" s="431" t="s">
        <v>689</v>
      </c>
      <c r="J1374" s="431" t="s">
        <v>96</v>
      </c>
      <c r="K1374" s="431"/>
      <c r="L1374" s="431"/>
      <c r="M1374" s="619" t="s">
        <v>68</v>
      </c>
      <c r="N1374" s="461">
        <v>46321</v>
      </c>
      <c r="O1374" s="431" t="s">
        <v>5388</v>
      </c>
      <c r="P1374" s="623" t="s">
        <v>7681</v>
      </c>
      <c r="Q1374" s="619" t="s">
        <v>7682</v>
      </c>
      <c r="R1374" s="430" t="str">
        <f>_xlfn.XLOOKUP(PV_DATA[[#This Row],[New Ark SKU]],Table9[New Ark SKU],Table9[Connector],,0)</f>
        <v>EVO2A</v>
      </c>
      <c r="S1374" s="433" t="str">
        <f>_xlfn.XLOOKUP(PV_DATA[[#This Row],[New Ark SKU]],Table9[New Ark SKU],Table9[Cable],,0)</f>
        <v>±1200mm</v>
      </c>
      <c r="T1374" s="620">
        <v>485</v>
      </c>
      <c r="U1374" s="1067">
        <f>936*7</f>
        <v>6552</v>
      </c>
      <c r="V1374" s="624">
        <f>PV_DATA[[#This Row],[QUANTITY]]*PV_DATA[[#This Row],[WATT]]/1000000</f>
        <v>3.1777199999999999</v>
      </c>
      <c r="W1374" s="625">
        <f>PV_DATA[[#This Row],[QUANTITY]]/PV_DATA[[#This Row],[Qty/Pallet]]</f>
        <v>182</v>
      </c>
      <c r="X1374" s="1022">
        <f>PV_DATA[[#This Row],[QUANTITY]]/PV_DATA[[#This Row],[Qty/CT]]</f>
        <v>7</v>
      </c>
      <c r="Y1374" s="431" t="s">
        <v>4391</v>
      </c>
      <c r="Z1374" s="1178" t="str">
        <f t="shared" si="55"/>
        <v/>
      </c>
      <c r="AA1374" s="855">
        <v>46321</v>
      </c>
      <c r="AB1374" s="626"/>
      <c r="AC1374" s="627" t="str">
        <f>IF(PV_DATA[[#This Row],[Pick-Up Date]]&lt;&gt;"",_xlfn.ISOWEEKNUM(PV_DATA[[#This Row],[Pick-Up Date]]),"")</f>
        <v/>
      </c>
      <c r="AD1374" s="619"/>
      <c r="AE1374" s="620"/>
      <c r="AF1374" s="430" t="s">
        <v>122</v>
      </c>
      <c r="AG1374" s="430" t="s">
        <v>123</v>
      </c>
      <c r="AH1374" s="431" t="s">
        <v>105</v>
      </c>
      <c r="AI1374" s="626"/>
      <c r="AJ1374" s="626"/>
      <c r="AK1374" s="626"/>
      <c r="AL1374" s="626"/>
      <c r="AM1374" s="626"/>
      <c r="AN1374" s="626"/>
      <c r="AO1374" s="619"/>
      <c r="AP1374" s="619"/>
      <c r="AQ1374" s="628"/>
      <c r="AR1374" s="619"/>
      <c r="AS1374" s="619"/>
      <c r="AT1374" s="619"/>
      <c r="AU1374" s="619"/>
      <c r="AV1374" s="619"/>
      <c r="AW1374" s="626" cm="1">
        <f t="array" ref="AW137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0</v>
      </c>
      <c r="AX137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74" s="626">
        <f>IF(ISERROR(PV_DATA[[#This Row],[New Ark PO status]]),"",_xlfn.XLOOKUP(PV_DATA[[#This Row],[SPTN-PVHK New Ark PO'#]],New_Ark_Data[Purchase order Number],New_Ark_Data[Estimated time of arrival],"",0))</f>
        <v>0</v>
      </c>
      <c r="AZ1374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74" s="626">
        <f>IFERROR(PV_DATA[[#This Row],[ODP ETA Port]]+PV_DATA[[#This Row],[Customs/Leg3 Assumption]],"n/a")</f>
        <v>7</v>
      </c>
      <c r="BB1374" s="620">
        <f>YEAR(PV_DATA[[#This Row],[ETA for New Ark update]])</f>
        <v>1900</v>
      </c>
      <c r="BC1374" s="619">
        <f>MONTH(PV_DATA[[#This Row],[ETA for New Ark update]])</f>
        <v>1</v>
      </c>
      <c r="BD1374" s="619">
        <f>IFERROR(_xlfn.ISOWEEKNUM(PV_DATA[[#This Row],[ETA for New Ark update]]),0)</f>
        <v>1</v>
      </c>
      <c r="BE1374" s="431">
        <f>_xlfn.XLOOKUP(PV_DATA[[#This Row],[New Ark SKU]],Table9[New Ark SKU],Table9[Total PCS per Pallet],,0)</f>
        <v>36</v>
      </c>
      <c r="BF1374" s="431">
        <f>_xlfn.XLOOKUP(PV_DATA[[#This Row],[New Ark SKU]],Table9[New Ark SKU],Table9[Total PCS per 40HQ Container],,0)</f>
        <v>936</v>
      </c>
      <c r="BG1374" s="431" t="str">
        <f>_xlfn.XLOOKUP(PV_DATA[[#This Row],[New Ark SKU]],Table9[New Ark SKU],Table9[Back Glass],,0)</f>
        <v>Black glazing</v>
      </c>
      <c r="BH1374" s="629" t="str">
        <f>_xlfn.XLOOKUP(PV_DATA[[#This Row],[PORT DESTINATION]],Table12[PORT DESTINATION],Table12[Cosco Line],,0)</f>
        <v>AEU</v>
      </c>
    </row>
    <row r="1375" spans="1:61" hidden="1">
      <c r="A1375" s="1179" t="s">
        <v>7687</v>
      </c>
      <c r="B1375" s="439" t="s">
        <v>111</v>
      </c>
      <c r="C1375" s="439" t="str">
        <f>IFERROR(LEFT(PV_DATA[[#This Row],[TCL REFERENCE]],FIND(".",PV_DATA[[#This Row],[TCL REFERENCE]],1)-1),"Main Line")</f>
        <v>Main Line</v>
      </c>
      <c r="D1375" s="726" t="s">
        <v>63</v>
      </c>
      <c r="E1375" s="439" t="s">
        <v>68</v>
      </c>
      <c r="F1375" s="439" t="str" cm="1">
        <f t="array" ref="F1375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75" s="726" t="s">
        <v>68</v>
      </c>
      <c r="H1375" s="726" t="s">
        <v>68</v>
      </c>
      <c r="I1375" s="431" t="s">
        <v>68</v>
      </c>
      <c r="J1375" s="619" t="s">
        <v>68</v>
      </c>
      <c r="K1375" s="619"/>
      <c r="L1375" s="619"/>
      <c r="M1375" s="619" t="s">
        <v>68</v>
      </c>
      <c r="N1375" s="630">
        <v>46292</v>
      </c>
      <c r="O1375" s="431" t="s">
        <v>5388</v>
      </c>
      <c r="P1375" s="430" t="s">
        <v>7266</v>
      </c>
      <c r="Q1375" s="431" t="s">
        <v>7267</v>
      </c>
      <c r="R1375" s="430" t="str">
        <f>_xlfn.XLOOKUP(PV_DATA[[#This Row],[New Ark SKU]],Table9[New Ark SKU],Table9[Connector],,0)</f>
        <v>EVO2A</v>
      </c>
      <c r="S1375" s="433" t="str">
        <f>_xlfn.XLOOKUP(PV_DATA[[#This Row],[New Ark SKU]],Table9[New Ark SKU],Table9[Cable],,0)</f>
        <v>±1200mm</v>
      </c>
      <c r="T1375" s="442">
        <v>480</v>
      </c>
      <c r="U1375" s="1067" cm="1">
        <f t="array" ref="U1375">936*9-fx_qty</f>
        <v>0</v>
      </c>
      <c r="V1375" s="448">
        <f>PV_DATA[[#This Row],[QUANTITY]]*PV_DATA[[#This Row],[WATT]]/1000000</f>
        <v>0</v>
      </c>
      <c r="W1375" s="466">
        <f>PV_DATA[[#This Row],[QUANTITY]]/PV_DATA[[#This Row],[Qty/Pallet]]</f>
        <v>0</v>
      </c>
      <c r="X1375" s="1022">
        <f>PV_DATA[[#This Row],[QUANTITY]]/PV_DATA[[#This Row],[Qty/CT]]</f>
        <v>0</v>
      </c>
      <c r="Y1375" s="431" t="s">
        <v>7039</v>
      </c>
      <c r="Z1375" s="1180" t="str">
        <f t="shared" si="55"/>
        <v/>
      </c>
      <c r="AA1375" s="431"/>
      <c r="AB1375" s="441"/>
      <c r="AC1375" s="467" t="str">
        <f>IF(PV_DATA[[#This Row],[Pick-Up Date]]&lt;&gt;"",_xlfn.ISOWEEKNUM(PV_DATA[[#This Row],[Pick-Up Date]]),"")</f>
        <v/>
      </c>
      <c r="AD1375" s="431"/>
      <c r="AE1375" s="442"/>
      <c r="AF1375" s="430" t="s">
        <v>122</v>
      </c>
      <c r="AG1375" s="430" t="s">
        <v>123</v>
      </c>
      <c r="AH1375" s="466"/>
      <c r="AI1375" s="441"/>
      <c r="AJ1375" s="441"/>
      <c r="AK1375" s="441"/>
      <c r="AL1375" s="441"/>
      <c r="AM1375" s="441"/>
      <c r="AO1375" s="431"/>
      <c r="AP1375" s="431"/>
      <c r="AQ1375" s="445"/>
      <c r="AR1375" s="619"/>
      <c r="AS1375" s="431"/>
      <c r="AT1375" s="431"/>
      <c r="AU1375" s="619"/>
      <c r="AV1375" s="431"/>
      <c r="AW1375" s="441" t="str" cm="1">
        <f t="array" ref="AW137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7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75" s="441">
        <f>IF(ISERROR(PV_DATA[[#This Row],[New Ark PO status]]),"",_xlfn.XLOOKUP(PV_DATA[[#This Row],[SPTN-PVHK New Ark PO'#]],New_Ark_Data[Purchase order Number],New_Ark_Data[Estimated time of arrival],"",0))</f>
        <v>0</v>
      </c>
      <c r="AZ1375" s="4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75" s="441" t="str">
        <f>IFERROR(PV_DATA[[#This Row],[ODP ETA Port]]+PV_DATA[[#This Row],[Customs/Leg3 Assumption]],"n/a")</f>
        <v>n/a</v>
      </c>
      <c r="BB1375" s="442" t="e">
        <f>YEAR(PV_DATA[[#This Row],[ETA for New Ark update]])</f>
        <v>#VALUE!</v>
      </c>
      <c r="BC1375" s="431" t="e">
        <f>MONTH(PV_DATA[[#This Row],[ETA for New Ark update]])</f>
        <v>#VALUE!</v>
      </c>
      <c r="BD1375" s="431">
        <f>IFERROR(_xlfn.ISOWEEKNUM(PV_DATA[[#This Row],[ETA for New Ark update]]),0)</f>
        <v>0</v>
      </c>
      <c r="BE1375" s="431">
        <f>_xlfn.XLOOKUP(PV_DATA[[#This Row],[New Ark SKU]],Table9[New Ark SKU],Table9[Total PCS per Pallet],,0)</f>
        <v>36</v>
      </c>
      <c r="BF1375" s="431">
        <f>_xlfn.XLOOKUP(PV_DATA[[#This Row],[New Ark SKU]],Table9[New Ark SKU],Table9[Total PCS per 40HQ Container],,0)</f>
        <v>936</v>
      </c>
      <c r="BG1375" s="431" t="str">
        <f>_xlfn.XLOOKUP(PV_DATA[[#This Row],[New Ark SKU]],Table9[New Ark SKU],Table9[Back Glass],,0)</f>
        <v>White glazing</v>
      </c>
      <c r="BH1375" s="622">
        <f>_xlfn.XLOOKUP(PV_DATA[[#This Row],[PORT DESTINATION]],Table12[PORT DESTINATION],Table12[Cosco Line],,0)</f>
        <v>0</v>
      </c>
    </row>
    <row r="1376" spans="1:61" hidden="1">
      <c r="A1376" s="1179" t="s">
        <v>7688</v>
      </c>
      <c r="B1376" s="439" t="s">
        <v>111</v>
      </c>
      <c r="C1376" s="439" t="str">
        <f>IFERROR(LEFT(PV_DATA[[#This Row],[TCL REFERENCE]],FIND(".",PV_DATA[[#This Row],[TCL REFERENCE]],1)-1),"Main Line")</f>
        <v>26Oct014</v>
      </c>
      <c r="D1376" s="726" t="s">
        <v>63</v>
      </c>
      <c r="E1376" s="439" t="s">
        <v>64</v>
      </c>
      <c r="F1376" s="439" t="str" cm="1">
        <f t="array" ref="F137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376" s="726" t="s">
        <v>402</v>
      </c>
      <c r="H1376" s="726" t="s">
        <v>67</v>
      </c>
      <c r="I1376" s="431" t="s">
        <v>689</v>
      </c>
      <c r="J1376" s="431" t="s">
        <v>96</v>
      </c>
      <c r="K1376" s="431"/>
      <c r="L1376" s="431"/>
      <c r="M1376" s="619" t="s">
        <v>68</v>
      </c>
      <c r="N1376" s="630">
        <v>46292</v>
      </c>
      <c r="O1376" s="431" t="s">
        <v>5388</v>
      </c>
      <c r="P1376" s="430" t="s">
        <v>7266</v>
      </c>
      <c r="Q1376" s="431" t="s">
        <v>7267</v>
      </c>
      <c r="R1376" s="430" t="str">
        <f>_xlfn.XLOOKUP(PV_DATA[[#This Row],[New Ark SKU]],Table9[New Ark SKU],Table9[Connector],,0)</f>
        <v>EVO2A</v>
      </c>
      <c r="S1376" s="433" t="str">
        <f>_xlfn.XLOOKUP(PV_DATA[[#This Row],[New Ark SKU]],Table9[New Ark SKU],Table9[Cable],,0)</f>
        <v>±1200mm</v>
      </c>
      <c r="T1376" s="442">
        <v>480</v>
      </c>
      <c r="U1376" s="1067">
        <f>936*4</f>
        <v>3744</v>
      </c>
      <c r="V1376" s="448">
        <f>PV_DATA[[#This Row],[QUANTITY]]*PV_DATA[[#This Row],[WATT]]/1000000</f>
        <v>1.7971200000000001</v>
      </c>
      <c r="W1376" s="466">
        <f>PV_DATA[[#This Row],[QUANTITY]]/PV_DATA[[#This Row],[Qty/Pallet]]</f>
        <v>104</v>
      </c>
      <c r="X1376" s="1022">
        <f>PV_DATA[[#This Row],[QUANTITY]]/PV_DATA[[#This Row],[Qty/CT]]</f>
        <v>4</v>
      </c>
      <c r="Y1376" s="431" t="s">
        <v>4386</v>
      </c>
      <c r="Z1376" s="1180" t="str">
        <f t="shared" si="55"/>
        <v/>
      </c>
      <c r="AA1376" s="431" t="s">
        <v>5862</v>
      </c>
      <c r="AB1376" s="441"/>
      <c r="AC1376" s="467" t="str">
        <f>IF(PV_DATA[[#This Row],[Pick-Up Date]]&lt;&gt;"",_xlfn.ISOWEEKNUM(PV_DATA[[#This Row],[Pick-Up Date]]),"")</f>
        <v/>
      </c>
      <c r="AD1376" s="431"/>
      <c r="AE1376" s="442"/>
      <c r="AF1376" s="430" t="s">
        <v>122</v>
      </c>
      <c r="AG1376" s="430" t="s">
        <v>123</v>
      </c>
      <c r="AH1376" s="431" t="s">
        <v>78</v>
      </c>
      <c r="AI1376" s="441"/>
      <c r="AJ1376" s="441"/>
      <c r="AK1376" s="441"/>
      <c r="AL1376" s="441"/>
      <c r="AM1376" s="441"/>
      <c r="AO1376" s="431"/>
      <c r="AP1376" s="431"/>
      <c r="AQ1376" s="445"/>
      <c r="AR1376" s="619"/>
      <c r="AS1376" s="431"/>
      <c r="AT1376" s="431"/>
      <c r="AU1376" s="619"/>
      <c r="AV1376" s="431"/>
      <c r="AW1376" s="441" cm="1">
        <f t="array" ref="AW137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46385</v>
      </c>
      <c r="AX137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76" s="441">
        <f>IF(ISERROR(PV_DATA[[#This Row],[New Ark PO status]]),"",_xlfn.XLOOKUP(PV_DATA[[#This Row],[SPTN-PVHK New Ark PO'#]],New_Ark_Data[Purchase order Number],New_Ark_Data[Estimated time of arrival],"",0))</f>
        <v>0</v>
      </c>
      <c r="AZ1376" s="4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376" s="441">
        <f>IFERROR(PV_DATA[[#This Row],[ODP ETA Port]]+PV_DATA[[#This Row],[Customs/Leg3 Assumption]],"n/a")</f>
        <v>46393</v>
      </c>
      <c r="BB1376" s="442">
        <f>YEAR(PV_DATA[[#This Row],[ETA for New Ark update]])</f>
        <v>2027</v>
      </c>
      <c r="BC1376" s="431">
        <f>MONTH(PV_DATA[[#This Row],[ETA for New Ark update]])</f>
        <v>1</v>
      </c>
      <c r="BD1376" s="431">
        <f>IFERROR(_xlfn.ISOWEEKNUM(PV_DATA[[#This Row],[ETA for New Ark update]]),0)</f>
        <v>1</v>
      </c>
      <c r="BE1376" s="431">
        <f>_xlfn.XLOOKUP(PV_DATA[[#This Row],[New Ark SKU]],Table9[New Ark SKU],Table9[Total PCS per Pallet],,0)</f>
        <v>36</v>
      </c>
      <c r="BF1376" s="431">
        <f>_xlfn.XLOOKUP(PV_DATA[[#This Row],[New Ark SKU]],Table9[New Ark SKU],Table9[Total PCS per 40HQ Container],,0)</f>
        <v>936</v>
      </c>
      <c r="BG1376" s="431" t="str">
        <f>_xlfn.XLOOKUP(PV_DATA[[#This Row],[New Ark SKU]],Table9[New Ark SKU],Table9[Back Glass],,0)</f>
        <v>White glazing</v>
      </c>
      <c r="BH1376" s="622" t="str">
        <f>_xlfn.XLOOKUP(PV_DATA[[#This Row],[PORT DESTINATION]],Table12[PORT DESTINATION],Table12[Cosco Line],,0)</f>
        <v>AEM</v>
      </c>
    </row>
    <row r="1377" spans="1:60" hidden="1">
      <c r="A1377" s="1179" t="s">
        <v>7689</v>
      </c>
      <c r="B1377" s="439" t="s">
        <v>111</v>
      </c>
      <c r="C1377" s="726" t="str">
        <f>IFERROR(LEFT(PV_DATA[[#This Row],[TCL REFERENCE]],FIND(".",PV_DATA[[#This Row],[TCL REFERENCE]],1)-1),"Main Line")</f>
        <v>Main Line</v>
      </c>
      <c r="D1377" s="726" t="s">
        <v>63</v>
      </c>
      <c r="E1377" s="439" t="s">
        <v>68</v>
      </c>
      <c r="F1377" s="726" t="str" cm="1">
        <f t="array" ref="F1377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77" s="726" t="s">
        <v>68</v>
      </c>
      <c r="H1377" s="726" t="s">
        <v>68</v>
      </c>
      <c r="I1377" s="431" t="s">
        <v>68</v>
      </c>
      <c r="J1377" s="619" t="s">
        <v>68</v>
      </c>
      <c r="K1377" s="619"/>
      <c r="L1377" s="619"/>
      <c r="M1377" s="619" t="s">
        <v>68</v>
      </c>
      <c r="N1377" s="630">
        <v>46292</v>
      </c>
      <c r="O1377" s="431" t="s">
        <v>5388</v>
      </c>
      <c r="P1377" s="623" t="s">
        <v>7319</v>
      </c>
      <c r="Q1377" s="619" t="s">
        <v>7320</v>
      </c>
      <c r="R1377" s="430" t="str">
        <f>_xlfn.XLOOKUP(PV_DATA[[#This Row],[New Ark SKU]],Table9[New Ark SKU],Table9[Connector],,0)</f>
        <v>EVO2A</v>
      </c>
      <c r="S1377" s="433" t="str">
        <f>_xlfn.XLOOKUP(PV_DATA[[#This Row],[New Ark SKU]],Table9[New Ark SKU],Table9[Cable],,0)</f>
        <v>±1200mm</v>
      </c>
      <c r="T1377" s="620">
        <v>485</v>
      </c>
      <c r="U1377" s="1038" cm="1">
        <f t="array" ref="U1377">936*7-fx_qty</f>
        <v>0</v>
      </c>
      <c r="V1377" s="624">
        <f>PV_DATA[[#This Row],[QUANTITY]]*PV_DATA[[#This Row],[WATT]]/1000000</f>
        <v>0</v>
      </c>
      <c r="W1377" s="625">
        <f>PV_DATA[[#This Row],[QUANTITY]]/PV_DATA[[#This Row],[Qty/Pallet]]</f>
        <v>0</v>
      </c>
      <c r="X1377" s="1022">
        <f>PV_DATA[[#This Row],[QUANTITY]]/PV_DATA[[#This Row],[Qty/CT]]</f>
        <v>0</v>
      </c>
      <c r="Y1377" s="431" t="s">
        <v>7039</v>
      </c>
      <c r="Z1377" s="1178" t="str">
        <f t="shared" si="55"/>
        <v/>
      </c>
      <c r="AA1377" s="619"/>
      <c r="AB1377" s="626"/>
      <c r="AC1377" s="627" t="str">
        <f>IF(PV_DATA[[#This Row],[Pick-Up Date]]&lt;&gt;"",_xlfn.ISOWEEKNUM(PV_DATA[[#This Row],[Pick-Up Date]]),"")</f>
        <v/>
      </c>
      <c r="AD1377" s="619"/>
      <c r="AE1377" s="620"/>
      <c r="AF1377" s="430" t="s">
        <v>122</v>
      </c>
      <c r="AG1377" s="430" t="s">
        <v>123</v>
      </c>
      <c r="AH1377" s="625"/>
      <c r="AI1377" s="626"/>
      <c r="AJ1377" s="626"/>
      <c r="AK1377" s="626"/>
      <c r="AL1377" s="626"/>
      <c r="AM1377" s="626"/>
      <c r="AN1377" s="626"/>
      <c r="AO1377" s="619"/>
      <c r="AP1377" s="619"/>
      <c r="AQ1377" s="628"/>
      <c r="AR1377" s="619"/>
      <c r="AS1377" s="619"/>
      <c r="AT1377" s="619"/>
      <c r="AU1377" s="619"/>
      <c r="AV1377" s="619"/>
      <c r="AW1377" s="626" t="str" cm="1">
        <f t="array" ref="AW137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7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77" s="626">
        <f>IF(ISERROR(PV_DATA[[#This Row],[New Ark PO status]]),"",_xlfn.XLOOKUP(PV_DATA[[#This Row],[SPTN-PVHK New Ark PO'#]],New_Ark_Data[Purchase order Number],New_Ark_Data[Estimated time of arrival],"",0))</f>
        <v>0</v>
      </c>
      <c r="AZ1377" s="620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77" s="626" t="str">
        <f>IFERROR(PV_DATA[[#This Row],[ODP ETA Port]]+PV_DATA[[#This Row],[Customs/Leg3 Assumption]],"n/a")</f>
        <v>n/a</v>
      </c>
      <c r="BB1377" s="620" t="e">
        <f>YEAR(PV_DATA[[#This Row],[ETA for New Ark update]])</f>
        <v>#VALUE!</v>
      </c>
      <c r="BC1377" s="619" t="e">
        <f>MONTH(PV_DATA[[#This Row],[ETA for New Ark update]])</f>
        <v>#VALUE!</v>
      </c>
      <c r="BD1377" s="619">
        <f>IFERROR(_xlfn.ISOWEEKNUM(PV_DATA[[#This Row],[ETA for New Ark update]]),0)</f>
        <v>0</v>
      </c>
      <c r="BE1377" s="431">
        <f>_xlfn.XLOOKUP(PV_DATA[[#This Row],[New Ark SKU]],Table9[New Ark SKU],Table9[Total PCS per Pallet],,0)</f>
        <v>36</v>
      </c>
      <c r="BF1377" s="431">
        <f>_xlfn.XLOOKUP(PV_DATA[[#This Row],[New Ark SKU]],Table9[New Ark SKU],Table9[Total PCS per 40HQ Container],,0)</f>
        <v>936</v>
      </c>
      <c r="BG1377" s="431" t="str">
        <f>_xlfn.XLOOKUP(PV_DATA[[#This Row],[New Ark SKU]],Table9[New Ark SKU],Table9[Back Glass],,0)</f>
        <v>White glazing</v>
      </c>
      <c r="BH1377" s="629">
        <f>_xlfn.XLOOKUP(PV_DATA[[#This Row],[PORT DESTINATION]],Table12[PORT DESTINATION],Table12[Cosco Line],,0)</f>
        <v>0</v>
      </c>
    </row>
    <row r="1378" spans="1:60" hidden="1">
      <c r="A1378" s="727" t="s">
        <v>7690</v>
      </c>
      <c r="B1378" s="726" t="s">
        <v>111</v>
      </c>
      <c r="C1378" s="726" t="str">
        <f>IFERROR(LEFT(PV_DATA[[#This Row],[TCL REFERENCE]],FIND(".",PV_DATA[[#This Row],[TCL REFERENCE]],1)-1),"Main Line")</f>
        <v>Main Line</v>
      </c>
      <c r="D1378" s="726" t="s">
        <v>113</v>
      </c>
      <c r="E1378" s="726" t="s">
        <v>68</v>
      </c>
      <c r="F1378" s="726" t="str" cm="1">
        <f t="array" ref="F1378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78" s="726" t="s">
        <v>68</v>
      </c>
      <c r="H1378" s="726" t="s">
        <v>68</v>
      </c>
      <c r="I1378" s="431" t="s">
        <v>68</v>
      </c>
      <c r="J1378" s="619" t="s">
        <v>68</v>
      </c>
      <c r="K1378" s="619"/>
      <c r="L1378" s="619"/>
      <c r="M1378" s="619" t="s">
        <v>68</v>
      </c>
      <c r="N1378" s="630">
        <v>46309</v>
      </c>
      <c r="O1378" s="431" t="s">
        <v>4495</v>
      </c>
      <c r="P1378" s="623" t="s">
        <v>7244</v>
      </c>
      <c r="Q1378" s="619" t="s">
        <v>7245</v>
      </c>
      <c r="R1378" s="430" t="str">
        <f>_xlfn.XLOOKUP(PV_DATA[[#This Row],[New Ark SKU]],Table9[New Ark SKU],Table9[Connector],,0)</f>
        <v>EVO2A</v>
      </c>
      <c r="S1378" s="433" t="str">
        <f>_xlfn.XLOOKUP(PV_DATA[[#This Row],[New Ark SKU]],Table9[New Ark SKU],Table9[Cable],,0)</f>
        <v>±1600mm</v>
      </c>
      <c r="T1378" s="620">
        <v>650</v>
      </c>
      <c r="U1378" s="1038" cm="1">
        <f t="array" ref="U1378">11880-fx_qty</f>
        <v>0</v>
      </c>
      <c r="V1378" s="624">
        <f>PV_DATA[[#This Row],[QUANTITY]]*PV_DATA[[#This Row],[WATT]]/1000000</f>
        <v>0</v>
      </c>
      <c r="W1378" s="625">
        <f>PV_DATA[[#This Row],[QUANTITY]]/PV_DATA[[#This Row],[Qty/Pallet]]</f>
        <v>0</v>
      </c>
      <c r="X1378" s="1015">
        <f>PV_DATA[[#This Row],[QUANTITY]]/PV_DATA[[#This Row],[Qty/CT]]</f>
        <v>0</v>
      </c>
      <c r="Y1378" s="431" t="s">
        <v>7039</v>
      </c>
      <c r="Z1378" s="1178" t="str">
        <f t="shared" si="55"/>
        <v/>
      </c>
      <c r="AA1378" s="619"/>
      <c r="AB1378" s="626"/>
      <c r="AC1378" s="627" t="str">
        <f>IF(PV_DATA[[#This Row],[Pick-Up Date]]&lt;&gt;"",_xlfn.ISOWEEKNUM(PV_DATA[[#This Row],[Pick-Up Date]]),"")</f>
        <v/>
      </c>
      <c r="AD1378" s="619"/>
      <c r="AE1378" s="620"/>
      <c r="AF1378" s="431" t="s">
        <v>122</v>
      </c>
      <c r="AG1378" s="431" t="s">
        <v>123</v>
      </c>
      <c r="AH1378" s="625" t="s">
        <v>68</v>
      </c>
      <c r="AI1378" s="1197"/>
      <c r="AJ1378" s="1197" t="str">
        <f>IFERROR(VLOOKUP(AT1378, Vessel!A:D, 4, FALSE), "")</f>
        <v/>
      </c>
      <c r="AK1378" s="1197" t="str">
        <f>IFERROR(IF(VLOOKUP(AT1378,Vessel!A:F,5,FALSE)=0,"",VLOOKUP(AT1378,Vessel!A:F,5,FALSE)),"")</f>
        <v/>
      </c>
      <c r="AL1378" s="1197"/>
      <c r="AM1378" s="1198" t="str">
        <f>IFERROR(VLOOKUP(AT1378, Vessel!A:H, 8, FALSE), "")</f>
        <v/>
      </c>
      <c r="AN1378" s="1198" t="str">
        <f>IFERROR(IF(VLOOKUP(AT1378,Vessel!A:I,9,FALSE)=0,"",VLOOKUP(AT1378,Vessel!A:I,9,FALSE)),"")</f>
        <v/>
      </c>
      <c r="AO1378" s="619"/>
      <c r="AP1378" s="619"/>
      <c r="AQ1378" s="628"/>
      <c r="AR1378" s="619"/>
      <c r="AS1378" s="619"/>
      <c r="AT1378" s="619"/>
      <c r="AU1378" s="619"/>
      <c r="AV1378" s="619"/>
      <c r="AW1378" s="626" t="str" cm="1">
        <f t="array" ref="AW137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7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78" s="626">
        <f>IF(ISERROR(PV_DATA[[#This Row],[New Ark PO status]]),"",_xlfn.XLOOKUP(PV_DATA[[#This Row],[SPTN-PVHK New Ark PO'#]],New_Ark_Data[Purchase order Number],New_Ark_Data[Estimated time of arrival],"",0))</f>
        <v>0</v>
      </c>
      <c r="AZ1378" s="620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78" s="626" t="str">
        <f>IFERROR(PV_DATA[[#This Row],[ODP ETA Port]]+PV_DATA[[#This Row],[Customs/Leg3 Assumption]],"n/a")</f>
        <v>n/a</v>
      </c>
      <c r="BB1378" s="620" t="e">
        <f>YEAR(PV_DATA[[#This Row],[ETA for New Ark update]])</f>
        <v>#VALUE!</v>
      </c>
      <c r="BC1378" s="619" t="e">
        <f>MONTH(PV_DATA[[#This Row],[ETA for New Ark update]])</f>
        <v>#VALUE!</v>
      </c>
      <c r="BD1378" s="619">
        <f>IFERROR(_xlfn.ISOWEEKNUM(PV_DATA[[#This Row],[ETA for New Ark update]]),0)</f>
        <v>0</v>
      </c>
      <c r="BE1378" s="431">
        <f>_xlfn.XLOOKUP(PV_DATA[[#This Row],[New Ark SKU]],Table9[New Ark SKU],Table9[Total PCS per Pallet],,0)</f>
        <v>36</v>
      </c>
      <c r="BF1378" s="431">
        <f>_xlfn.XLOOKUP(PV_DATA[[#This Row],[New Ark SKU]],Table9[New Ark SKU],Table9[Total PCS per 40HQ Container],,0)</f>
        <v>720</v>
      </c>
      <c r="BG1378" s="431" t="str">
        <f>_xlfn.XLOOKUP(PV_DATA[[#This Row],[New Ark SKU]],Table9[New Ark SKU],Table9[Back Glass],,0)</f>
        <v>Redirection Film</v>
      </c>
      <c r="BH1378" s="629" t="str">
        <f>_xlfn.XLOOKUP(PV_DATA[[#This Row],[PORT DESTINATION]],Table12[PORT DESTINATION],Table12[Cosco Line],,0)</f>
        <v>n/a</v>
      </c>
    </row>
    <row r="1379" spans="1:60" hidden="1">
      <c r="A1379" s="727" t="s">
        <v>7691</v>
      </c>
      <c r="B1379" s="726" t="s">
        <v>111</v>
      </c>
      <c r="C1379" s="726" t="str">
        <f>IFERROR(LEFT(PV_DATA[[#This Row],[TCL REFERENCE]],FIND(".",PV_DATA[[#This Row],[TCL REFERENCE]],1)-1),"Main Line")</f>
        <v>26Oct016</v>
      </c>
      <c r="D1379" s="726" t="s">
        <v>113</v>
      </c>
      <c r="E1379" s="726" t="s">
        <v>64</v>
      </c>
      <c r="F1379" s="726" t="str" cm="1">
        <f t="array" ref="F137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Plan-SPNL</v>
      </c>
      <c r="G1379" s="726" t="s">
        <v>402</v>
      </c>
      <c r="H1379" s="726" t="s">
        <v>67</v>
      </c>
      <c r="I1379" s="431" t="s">
        <v>1395</v>
      </c>
      <c r="J1379" s="1285" t="s">
        <v>7692</v>
      </c>
      <c r="K1379" s="619"/>
      <c r="L1379" s="619"/>
      <c r="M1379" s="619" t="s">
        <v>68</v>
      </c>
      <c r="N1379" s="630"/>
      <c r="O1379" s="431" t="s">
        <v>4495</v>
      </c>
      <c r="P1379" s="623" t="s">
        <v>7244</v>
      </c>
      <c r="Q1379" s="619" t="s">
        <v>7245</v>
      </c>
      <c r="R1379" s="430" t="str">
        <f>_xlfn.XLOOKUP(PV_DATA[[#This Row],[New Ark SKU]],Table9[New Ark SKU],Table9[Connector],,0)</f>
        <v>EVO2A</v>
      </c>
      <c r="S1379" s="433" t="str">
        <f>_xlfn.XLOOKUP(PV_DATA[[#This Row],[New Ark SKU]],Table9[New Ark SKU],Table9[Cable],,0)</f>
        <v>±1600mm</v>
      </c>
      <c r="T1379" s="620">
        <v>650</v>
      </c>
      <c r="U1379" s="1038">
        <v>6120</v>
      </c>
      <c r="V1379" s="624">
        <f>PV_DATA[[#This Row],[QUANTITY]]*PV_DATA[[#This Row],[WATT]]/1000000</f>
        <v>3.9780000000000002</v>
      </c>
      <c r="W1379" s="625">
        <f>PV_DATA[[#This Row],[QUANTITY]]/PV_DATA[[#This Row],[Qty/Pallet]]</f>
        <v>170</v>
      </c>
      <c r="X1379" s="1015">
        <f>PV_DATA[[#This Row],[QUANTITY]]/PV_DATA[[#This Row],[Qty/CT]]</f>
        <v>8.5</v>
      </c>
      <c r="Y1379" s="431" t="s">
        <v>4388</v>
      </c>
      <c r="Z1379" s="1178" t="str">
        <f t="shared" si="55"/>
        <v/>
      </c>
      <c r="AA1379" s="619" t="s">
        <v>7693</v>
      </c>
      <c r="AB1379" s="626"/>
      <c r="AC1379" s="627" t="str">
        <f>IF(PV_DATA[[#This Row],[Pick-Up Date]]&lt;&gt;"",_xlfn.ISOWEEKNUM(PV_DATA[[#This Row],[Pick-Up Date]]),"")</f>
        <v/>
      </c>
      <c r="AD1379" s="619"/>
      <c r="AE1379" s="620"/>
      <c r="AF1379" s="431" t="s">
        <v>122</v>
      </c>
      <c r="AG1379" s="431" t="s">
        <v>123</v>
      </c>
      <c r="AH1379" s="625" t="s">
        <v>105</v>
      </c>
      <c r="AI1379" s="1197"/>
      <c r="AJ1379" s="1197" t="str">
        <f>IFERROR(VLOOKUP(AT1379, Vessel!A:D, 4, FALSE), "")</f>
        <v/>
      </c>
      <c r="AK1379" s="1197" t="str">
        <f>IFERROR(IF(VLOOKUP(AT1379,Vessel!A:F,5,FALSE)=0,"",VLOOKUP(AT1379,Vessel!A:F,5,FALSE)),"")</f>
        <v/>
      </c>
      <c r="AL1379" s="1197"/>
      <c r="AM1379" s="1198" t="str">
        <f>IFERROR(VLOOKUP(AT1379, Vessel!A:H, 8, FALSE), "")</f>
        <v/>
      </c>
      <c r="AN1379" s="1198" t="str">
        <f>IFERROR(IF(VLOOKUP(AT1379,Vessel!A:I,9,FALSE)=0,"",VLOOKUP(AT1379,Vessel!A:I,9,FALSE)),"")</f>
        <v/>
      </c>
      <c r="AO1379" s="619"/>
      <c r="AP1379" s="619"/>
      <c r="AQ1379" s="628"/>
      <c r="AR1379" s="619"/>
      <c r="AS1379" s="619"/>
      <c r="AT1379" s="619"/>
      <c r="AU1379" s="619"/>
      <c r="AV1379" s="619"/>
      <c r="AW1379" s="626" cm="1">
        <f t="array" ref="AW137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46395</v>
      </c>
      <c r="AX137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79" s="626">
        <f>IF(ISERROR(PV_DATA[[#This Row],[New Ark PO status]]),"",_xlfn.XLOOKUP(PV_DATA[[#This Row],[SPTN-PVHK New Ark PO'#]],New_Ark_Data[Purchase order Number],New_Ark_Data[Estimated time of arrival],"",0))</f>
        <v>0</v>
      </c>
      <c r="AZ1379" s="620">
        <f>IF(OR(PV_DATA[[#This Row],[New Ark PO Type]]="Offshore",PV_DATA[[#This Row],[New Ark PO Type]]="Internal-&gt;Offshore"),0,IFERROR(VLOOKUP(PV_DATA[[#This Row],[POL]]&amp;PV_DATA[[#This Row],[PORT DESTINATION]],LT_REF[],7,0),14))</f>
        <v>7</v>
      </c>
      <c r="BA1379" s="626">
        <f>IFERROR(PV_DATA[[#This Row],[ODP ETA Port]]+PV_DATA[[#This Row],[Customs/Leg3 Assumption]],"n/a")</f>
        <v>46402</v>
      </c>
      <c r="BB1379" s="620">
        <f>YEAR(PV_DATA[[#This Row],[ETA for New Ark update]])</f>
        <v>2027</v>
      </c>
      <c r="BC1379" s="619">
        <f>MONTH(PV_DATA[[#This Row],[ETA for New Ark update]])</f>
        <v>1</v>
      </c>
      <c r="BD1379" s="619">
        <f>IFERROR(_xlfn.ISOWEEKNUM(PV_DATA[[#This Row],[ETA for New Ark update]]),0)</f>
        <v>2</v>
      </c>
      <c r="BE1379" s="431">
        <f>_xlfn.XLOOKUP(PV_DATA[[#This Row],[New Ark SKU]],Table9[New Ark SKU],Table9[Total PCS per Pallet],,0)</f>
        <v>36</v>
      </c>
      <c r="BF1379" s="431">
        <f>_xlfn.XLOOKUP(PV_DATA[[#This Row],[New Ark SKU]],Table9[New Ark SKU],Table9[Total PCS per 40HQ Container],,0)</f>
        <v>720</v>
      </c>
      <c r="BG1379" s="431" t="str">
        <f>_xlfn.XLOOKUP(PV_DATA[[#This Row],[New Ark SKU]],Table9[New Ark SKU],Table9[Back Glass],,0)</f>
        <v>Redirection Film</v>
      </c>
      <c r="BH1379" s="629" t="str">
        <f>_xlfn.XLOOKUP(PV_DATA[[#This Row],[PORT DESTINATION]],Table12[PORT DESTINATION],Table12[Cosco Line],,0)</f>
        <v>AEU</v>
      </c>
    </row>
    <row r="1380" spans="1:60" hidden="1">
      <c r="A1380" s="1250" t="s">
        <v>7694</v>
      </c>
      <c r="B1380" s="726" t="s">
        <v>111</v>
      </c>
      <c r="C1380" s="1238" t="str">
        <f>IFERROR(LEFT(PV_DATA[[#This Row],[TCL REFERENCE]],FIND(".",PV_DATA[[#This Row],[TCL REFERENCE]],1)-1),"Main Line")</f>
        <v>Main Line</v>
      </c>
      <c r="D1380" s="726" t="s">
        <v>113</v>
      </c>
      <c r="E1380" s="726" t="s">
        <v>68</v>
      </c>
      <c r="F1380" s="726" t="str" cm="1">
        <f t="array" ref="F1380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80" s="726" t="s">
        <v>68</v>
      </c>
      <c r="H1380" s="726" t="s">
        <v>68</v>
      </c>
      <c r="I1380" s="431" t="s">
        <v>68</v>
      </c>
      <c r="J1380" s="619" t="s">
        <v>68</v>
      </c>
      <c r="K1380" s="619"/>
      <c r="L1380" s="619"/>
      <c r="M1380" s="619" t="s">
        <v>68</v>
      </c>
      <c r="N1380" s="1240"/>
      <c r="O1380" s="431" t="s">
        <v>4495</v>
      </c>
      <c r="P1380" s="1241" t="s">
        <v>7695</v>
      </c>
      <c r="Q1380" s="619" t="s">
        <v>7245</v>
      </c>
      <c r="R1380" s="431" t="s">
        <v>73</v>
      </c>
      <c r="S1380" s="442" t="s">
        <v>992</v>
      </c>
      <c r="T1380" s="1242">
        <v>650</v>
      </c>
      <c r="U1380" s="1243" cm="1">
        <f t="array" ref="U1380">7776-fx_qty</f>
        <v>7776</v>
      </c>
      <c r="V1380" s="1244">
        <f>PV_DATA[[#This Row],[QUANTITY]]*PV_DATA[[#This Row],[WATT]]/1000000</f>
        <v>5.0544000000000002</v>
      </c>
      <c r="W1380" s="625">
        <f>PV_DATA[[#This Row],[QUANTITY]]/PV_DATA[[#This Row],[Qty/Pallet]]</f>
        <v>216</v>
      </c>
      <c r="X1380" s="1015">
        <f>PV_DATA[[#This Row],[QUANTITY]]/PV_DATA[[#This Row],[Qty/CT]]</f>
        <v>10.8</v>
      </c>
      <c r="Y1380" s="431" t="s">
        <v>7039</v>
      </c>
      <c r="Z1380" s="1245" t="str">
        <f t="shared" si="55"/>
        <v/>
      </c>
      <c r="AA1380" s="1239" t="s">
        <v>7696</v>
      </c>
      <c r="AB1380" s="1246"/>
      <c r="AC1380" s="1247" t="str">
        <f>IF(PV_DATA[[#This Row],[Pick-Up Date]]&lt;&gt;"",_xlfn.ISOWEEKNUM(PV_DATA[[#This Row],[Pick-Up Date]]),"")</f>
        <v/>
      </c>
      <c r="AD1380" s="1239"/>
      <c r="AE1380" s="1242"/>
      <c r="AF1380" s="431" t="s">
        <v>122</v>
      </c>
      <c r="AG1380" s="431" t="s">
        <v>123</v>
      </c>
      <c r="AH1380" s="625" t="s">
        <v>68</v>
      </c>
      <c r="AI1380" s="1246"/>
      <c r="AJ1380" s="1246"/>
      <c r="AK1380" s="1246"/>
      <c r="AL1380" s="1246"/>
      <c r="AM1380" s="1251"/>
      <c r="AN1380" s="1251"/>
      <c r="AO1380" s="1239"/>
      <c r="AP1380" s="1239"/>
      <c r="AQ1380" s="1248"/>
      <c r="AR1380" s="1239"/>
      <c r="AS1380" s="1239"/>
      <c r="AT1380" s="1239"/>
      <c r="AU1380" s="619"/>
      <c r="AV1380" s="1239"/>
      <c r="AW1380" s="1246" t="str" cm="1">
        <f t="array" ref="AW138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80" s="1242" t="e">
        <f>IF(COUNTIF(#REF!,#REF!)=0,"-",_xlfn.XLOOKUP(#REF!,#REF!,#REF!,,0)&amp;"-"&amp;_xlfn.XLOOKUP(#REF!,#REF!,#REF!,,0))</f>
        <v>#REF!</v>
      </c>
      <c r="AY1380" s="1246" t="str">
        <f>IF(ISERROR(PV_DATA[[#This Row],[New Ark PO status]]),"",_xlfn.XLOOKUP(PV_DATA[[#This Row],[SPTN-PVHK New Ark PO'#]],New_Ark_Data[Purchase order Number],New_Ark_Data[Estimated time of arrival],"",0))</f>
        <v/>
      </c>
      <c r="AZ1380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80" s="1246" t="str">
        <f>IFERROR(PV_DATA[[#This Row],[ODP ETA Port]]+PV_DATA[[#This Row],[Customs/Leg3 Assumption]],"n/a")</f>
        <v>n/a</v>
      </c>
      <c r="BB1380" s="1242" t="e">
        <f>YEAR(PV_DATA[[#This Row],[ETA for New Ark update]])</f>
        <v>#VALUE!</v>
      </c>
      <c r="BC1380" s="1239" t="e">
        <f>MONTH(PV_DATA[[#This Row],[ETA for New Ark update]])</f>
        <v>#VALUE!</v>
      </c>
      <c r="BD1380" s="1239">
        <f>IFERROR(_xlfn.ISOWEEKNUM(PV_DATA[[#This Row],[ETA for New Ark update]]),0)</f>
        <v>0</v>
      </c>
      <c r="BE1380" s="1239">
        <f>_xlfn.XLOOKUP(PV_DATA[[#This Row],[New Ark SKU]],Table9[New Ark SKU],Table9[Total PCS per Pallet],,0)</f>
        <v>36</v>
      </c>
      <c r="BF1380" s="1239">
        <f>_xlfn.XLOOKUP(PV_DATA[[#This Row],[New Ark SKU]],Table9[New Ark SKU],Table9[Total PCS per 40HQ Container],,0)</f>
        <v>720</v>
      </c>
      <c r="BG1380" s="431" t="str">
        <f>_xlfn.XLOOKUP(PV_DATA[[#This Row],[New Ark SKU]],Table9[New Ark SKU],Table9[Back Glass],,0)</f>
        <v>Redirection Film</v>
      </c>
      <c r="BH1380" s="1249" t="str">
        <f>_xlfn.XLOOKUP(PV_DATA[[#This Row],[PORT DESTINATION]],Table12[PORT DESTINATION],Table12[Cosco Line],,0)</f>
        <v>n/a</v>
      </c>
    </row>
    <row r="1381" spans="1:60" hidden="1">
      <c r="A1381" s="1250" t="s">
        <v>7697</v>
      </c>
      <c r="B1381" s="726" t="s">
        <v>111</v>
      </c>
      <c r="C1381" s="1254" t="str">
        <f>IFERROR(LEFT(PV_DATA[[#This Row],[TCL REFERENCE]],FIND(".",PV_DATA[[#This Row],[TCL REFERENCE]],1)-1),"Main Line")</f>
        <v>Main Line</v>
      </c>
      <c r="D1381" s="726" t="s">
        <v>113</v>
      </c>
      <c r="E1381" s="726" t="s">
        <v>68</v>
      </c>
      <c r="F1381" s="726" t="str" cm="1">
        <f t="array" ref="F1381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81" s="726" t="s">
        <v>68</v>
      </c>
      <c r="H1381" s="726" t="s">
        <v>68</v>
      </c>
      <c r="I1381" s="431" t="s">
        <v>68</v>
      </c>
      <c r="J1381" s="619" t="s">
        <v>68</v>
      </c>
      <c r="K1381" s="619"/>
      <c r="L1381" s="619"/>
      <c r="M1381" s="619" t="s">
        <v>68</v>
      </c>
      <c r="N1381" s="1256">
        <v>46340</v>
      </c>
      <c r="O1381" s="1255" t="s">
        <v>4540</v>
      </c>
      <c r="P1381" s="1257" t="s">
        <v>7698</v>
      </c>
      <c r="Q1381" s="1255" t="s">
        <v>7699</v>
      </c>
      <c r="R1381" s="431" t="s">
        <v>73</v>
      </c>
      <c r="S1381" s="442" t="s">
        <v>992</v>
      </c>
      <c r="T1381" s="1258">
        <v>715</v>
      </c>
      <c r="U1381" s="1259" cm="1">
        <f t="array" ref="U1381">28809-fx_qty</f>
        <v>0</v>
      </c>
      <c r="V1381" s="1260">
        <f>PV_DATA[[#This Row],[QUANTITY]]*PV_DATA[[#This Row],[WATT]]/1000000</f>
        <v>0</v>
      </c>
      <c r="W1381" s="466">
        <f>PV_DATA[[#This Row],[QUANTITY]]/PV_DATA[[#This Row],[Qty/Pallet]]</f>
        <v>0</v>
      </c>
      <c r="X1381" s="1022">
        <f>PV_DATA[[#This Row],[QUANTITY]]/PV_DATA[[#This Row],[Qty/CT]]</f>
        <v>0</v>
      </c>
      <c r="Y1381" s="431" t="s">
        <v>7039</v>
      </c>
      <c r="Z1381" s="1261" t="str">
        <f t="shared" si="55"/>
        <v/>
      </c>
      <c r="AA1381" s="1255"/>
      <c r="AB1381" s="1262"/>
      <c r="AC1381" s="1263" t="str">
        <f>IF(PV_DATA[[#This Row],[Pick-Up Date]]&lt;&gt;"",_xlfn.ISOWEEKNUM(PV_DATA[[#This Row],[Pick-Up Date]]),"")</f>
        <v/>
      </c>
      <c r="AD1381" s="1255"/>
      <c r="AE1381" s="1258"/>
      <c r="AF1381" s="431" t="s">
        <v>122</v>
      </c>
      <c r="AG1381" s="431" t="s">
        <v>123</v>
      </c>
      <c r="AH1381" s="625" t="s">
        <v>68</v>
      </c>
      <c r="AI1381" s="1262"/>
      <c r="AJ1381" s="1262"/>
      <c r="AK1381" s="1262"/>
      <c r="AL1381" s="1262"/>
      <c r="AM1381" s="1264"/>
      <c r="AN1381" s="1264"/>
      <c r="AO1381" s="1255"/>
      <c r="AP1381" s="1255"/>
      <c r="AQ1381" s="1265"/>
      <c r="AR1381" s="1255"/>
      <c r="AS1381" s="1255"/>
      <c r="AT1381" s="1255"/>
      <c r="AU1381" s="1255"/>
      <c r="AV1381" s="1255"/>
      <c r="AW1381" s="1262" t="str" cm="1">
        <f t="array" ref="AW138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8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81" s="1262">
        <f>IF(ISERROR(PV_DATA[[#This Row],[New Ark PO status]]),"",_xlfn.XLOOKUP(PV_DATA[[#This Row],[SPTN-PVHK New Ark PO'#]],New_Ark_Data[Purchase order Number],New_Ark_Data[Estimated time of arrival],"",0))</f>
        <v>0</v>
      </c>
      <c r="AZ1381" s="1258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81" s="1262" t="str">
        <f>IFERROR(PV_DATA[[#This Row],[ODP ETA Port]]+PV_DATA[[#This Row],[Customs/Leg3 Assumption]],"n/a")</f>
        <v>n/a</v>
      </c>
      <c r="BB1381" s="1258" t="e">
        <f>YEAR(PV_DATA[[#This Row],[ETA for New Ark update]])</f>
        <v>#VALUE!</v>
      </c>
      <c r="BC1381" s="1255" t="e">
        <f>MONTH(PV_DATA[[#This Row],[ETA for New Ark update]])</f>
        <v>#VALUE!</v>
      </c>
      <c r="BD1381" s="1255">
        <f>IFERROR(_xlfn.ISOWEEKNUM(PV_DATA[[#This Row],[ETA for New Ark update]]),0)</f>
        <v>0</v>
      </c>
      <c r="BE1381" s="1255">
        <f>_xlfn.XLOOKUP(PV_DATA[[#This Row],[New Ark SKU]],Table9[New Ark SKU],Table9[Total PCS per Pallet],,0)</f>
        <v>33</v>
      </c>
      <c r="BF1381" s="1255">
        <f>_xlfn.XLOOKUP(PV_DATA[[#This Row],[New Ark SKU]],Table9[New Ark SKU],Table9[Total PCS per 40HQ Container],,0)</f>
        <v>594</v>
      </c>
      <c r="BG1381" s="619" t="str">
        <f>_xlfn.XLOOKUP(PV_DATA[[#This Row],[New Ark SKU]],Table9[New Ark SKU],Table9[Back Glass],,0)</f>
        <v>Redirection Film</v>
      </c>
      <c r="BH1381" s="1266" t="str">
        <f>_xlfn.XLOOKUP(PV_DATA[[#This Row],[PORT DESTINATION]],Table12[PORT DESTINATION],Table12[Cosco Line],,0)</f>
        <v>n/a</v>
      </c>
    </row>
    <row r="1382" spans="1:60" hidden="1">
      <c r="A1382" s="1250" t="s">
        <v>7700</v>
      </c>
      <c r="B1382" s="726" t="s">
        <v>111</v>
      </c>
      <c r="C1382" s="1254" t="str">
        <f>IFERROR(LEFT(PV_DATA[[#This Row],[TCL REFERENCE]],FIND(".",PV_DATA[[#This Row],[TCL REFERENCE]],1)-1),"Main Line")</f>
        <v>26Oct018</v>
      </c>
      <c r="D1382" s="726" t="s">
        <v>113</v>
      </c>
      <c r="E1382" s="726" t="s">
        <v>64</v>
      </c>
      <c r="F1382" s="726" t="str" cm="1">
        <f t="array" ref="F138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382" s="726" t="s">
        <v>402</v>
      </c>
      <c r="H1382" s="726" t="s">
        <v>67</v>
      </c>
      <c r="I1382" s="431" t="s">
        <v>689</v>
      </c>
      <c r="J1382" s="619" t="s">
        <v>7701</v>
      </c>
      <c r="K1382" s="619"/>
      <c r="L1382" s="619"/>
      <c r="M1382" s="619" t="s">
        <v>68</v>
      </c>
      <c r="N1382" s="1256">
        <v>46340</v>
      </c>
      <c r="O1382" s="1255" t="s">
        <v>4540</v>
      </c>
      <c r="P1382" s="1257" t="s">
        <v>7698</v>
      </c>
      <c r="Q1382" s="1255" t="s">
        <v>7699</v>
      </c>
      <c r="R1382" s="431" t="s">
        <v>73</v>
      </c>
      <c r="S1382" s="442" t="s">
        <v>992</v>
      </c>
      <c r="T1382" s="1258">
        <v>715</v>
      </c>
      <c r="U1382" s="1259">
        <f>594*8</f>
        <v>4752</v>
      </c>
      <c r="V1382" s="1260">
        <f>PV_DATA[[#This Row],[QUANTITY]]*PV_DATA[[#This Row],[WATT]]/1000000</f>
        <v>3.3976799999999998</v>
      </c>
      <c r="W1382" s="466">
        <f>PV_DATA[[#This Row],[QUANTITY]]/PV_DATA[[#This Row],[Qty/Pallet]]</f>
        <v>144</v>
      </c>
      <c r="X1382" s="1022">
        <f>PV_DATA[[#This Row],[QUANTITY]]/PV_DATA[[#This Row],[Qty/CT]]</f>
        <v>8</v>
      </c>
      <c r="Y1382" s="431" t="s">
        <v>4390</v>
      </c>
      <c r="Z1382" s="1261" t="str">
        <f t="shared" si="55"/>
        <v/>
      </c>
      <c r="AA1382" s="1239" t="s">
        <v>7702</v>
      </c>
      <c r="AB1382" s="1262"/>
      <c r="AC1382" s="1263" t="str">
        <f>IF(PV_DATA[[#This Row],[Pick-Up Date]]&lt;&gt;"",_xlfn.ISOWEEKNUM(PV_DATA[[#This Row],[Pick-Up Date]]),"")</f>
        <v/>
      </c>
      <c r="AD1382" s="1255"/>
      <c r="AE1382" s="1258"/>
      <c r="AF1382" s="431" t="s">
        <v>122</v>
      </c>
      <c r="AG1382" s="431" t="s">
        <v>123</v>
      </c>
      <c r="AH1382" s="625" t="s">
        <v>78</v>
      </c>
      <c r="AI1382" s="1262"/>
      <c r="AJ1382" s="1262"/>
      <c r="AK1382" s="1262"/>
      <c r="AL1382" s="1262"/>
      <c r="AM1382" s="1264"/>
      <c r="AN1382" s="1264"/>
      <c r="AO1382" s="1255"/>
      <c r="AP1382" s="1255"/>
      <c r="AQ1382" s="1265"/>
      <c r="AR1382" s="1255"/>
      <c r="AS1382" s="1255"/>
      <c r="AT1382" s="1255"/>
      <c r="AU1382" s="1255"/>
      <c r="AV1382" s="1255"/>
      <c r="AW1382" s="1262" cm="1">
        <f t="array" ref="AW138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46413</v>
      </c>
      <c r="AX138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82" s="1262">
        <f>IF(ISERROR(PV_DATA[[#This Row],[New Ark PO status]]),"",_xlfn.XLOOKUP(PV_DATA[[#This Row],[SPTN-PVHK New Ark PO'#]],New_Ark_Data[Purchase order Number],New_Ark_Data[Estimated time of arrival],"",0))</f>
        <v>0</v>
      </c>
      <c r="AZ1382" s="1258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382" s="1262">
        <f>IFERROR(PV_DATA[[#This Row],[ODP ETA Port]]+PV_DATA[[#This Row],[Customs/Leg3 Assumption]],"n/a")</f>
        <v>46421</v>
      </c>
      <c r="BB1382" s="1258">
        <f>YEAR(PV_DATA[[#This Row],[ETA for New Ark update]])</f>
        <v>2027</v>
      </c>
      <c r="BC1382" s="1255">
        <f>MONTH(PV_DATA[[#This Row],[ETA for New Ark update]])</f>
        <v>2</v>
      </c>
      <c r="BD1382" s="1255">
        <f>IFERROR(_xlfn.ISOWEEKNUM(PV_DATA[[#This Row],[ETA for New Ark update]]),0)</f>
        <v>5</v>
      </c>
      <c r="BE1382" s="1255">
        <f>_xlfn.XLOOKUP(PV_DATA[[#This Row],[New Ark SKU]],Table9[New Ark SKU],Table9[Total PCS per Pallet],,0)</f>
        <v>33</v>
      </c>
      <c r="BF1382" s="1255">
        <f>_xlfn.XLOOKUP(PV_DATA[[#This Row],[New Ark SKU]],Table9[New Ark SKU],Table9[Total PCS per 40HQ Container],,0)</f>
        <v>594</v>
      </c>
      <c r="BG1382" s="619" t="str">
        <f>_xlfn.XLOOKUP(PV_DATA[[#This Row],[New Ark SKU]],Table9[New Ark SKU],Table9[Back Glass],,0)</f>
        <v>Redirection Film</v>
      </c>
      <c r="BH1382" s="1266" t="str">
        <f>_xlfn.XLOOKUP(PV_DATA[[#This Row],[PORT DESTINATION]],Table12[PORT DESTINATION],Table12[Cosco Line],,0)</f>
        <v>AEM</v>
      </c>
    </row>
    <row r="1383" spans="1:60" hidden="1">
      <c r="A1383" s="1250" t="s">
        <v>7703</v>
      </c>
      <c r="B1383" s="726" t="s">
        <v>111</v>
      </c>
      <c r="C1383" s="1254" t="str">
        <f>IFERROR(LEFT(PV_DATA[[#This Row],[TCL REFERENCE]],FIND(".",PV_DATA[[#This Row],[TCL REFERENCE]],1)-1),"Main Line")</f>
        <v>26Oct018</v>
      </c>
      <c r="D1383" s="726" t="s">
        <v>113</v>
      </c>
      <c r="E1383" s="726" t="s">
        <v>64</v>
      </c>
      <c r="F1383" s="726" t="str" cm="1">
        <f t="array" ref="F138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383" s="726" t="s">
        <v>402</v>
      </c>
      <c r="H1383" s="726" t="s">
        <v>67</v>
      </c>
      <c r="I1383" s="431" t="s">
        <v>689</v>
      </c>
      <c r="J1383" s="619" t="s">
        <v>7701</v>
      </c>
      <c r="K1383" s="619"/>
      <c r="L1383" s="619"/>
      <c r="M1383" s="619" t="s">
        <v>68</v>
      </c>
      <c r="N1383" s="1256">
        <v>46340</v>
      </c>
      <c r="O1383" s="1255" t="s">
        <v>4540</v>
      </c>
      <c r="P1383" s="1257" t="s">
        <v>7698</v>
      </c>
      <c r="Q1383" s="1255" t="s">
        <v>7699</v>
      </c>
      <c r="R1383" s="431" t="s">
        <v>73</v>
      </c>
      <c r="S1383" s="442" t="s">
        <v>992</v>
      </c>
      <c r="T1383" s="1258">
        <v>715</v>
      </c>
      <c r="U1383" s="1259">
        <f>594*6</f>
        <v>3564</v>
      </c>
      <c r="V1383" s="1260">
        <f>PV_DATA[[#This Row],[QUANTITY]]*PV_DATA[[#This Row],[WATT]]/1000000</f>
        <v>2.54826</v>
      </c>
      <c r="W1383" s="466">
        <f>PV_DATA[[#This Row],[QUANTITY]]/PV_DATA[[#This Row],[Qty/Pallet]]</f>
        <v>108</v>
      </c>
      <c r="X1383" s="1022">
        <f>PV_DATA[[#This Row],[QUANTITY]]/PV_DATA[[#This Row],[Qty/CT]]</f>
        <v>6</v>
      </c>
      <c r="Y1383" s="431" t="s">
        <v>4391</v>
      </c>
      <c r="Z1383" s="1261" t="str">
        <f t="shared" si="55"/>
        <v/>
      </c>
      <c r="AA1383" s="1239" t="s">
        <v>7704</v>
      </c>
      <c r="AB1383" s="1262"/>
      <c r="AC1383" s="1263" t="str">
        <f>IF(PV_DATA[[#This Row],[Pick-Up Date]]&lt;&gt;"",_xlfn.ISOWEEKNUM(PV_DATA[[#This Row],[Pick-Up Date]]),"")</f>
        <v/>
      </c>
      <c r="AD1383" s="1255"/>
      <c r="AE1383" s="1258"/>
      <c r="AF1383" s="431" t="s">
        <v>122</v>
      </c>
      <c r="AG1383" s="431" t="s">
        <v>123</v>
      </c>
      <c r="AH1383" s="625" t="s">
        <v>78</v>
      </c>
      <c r="AI1383" s="1262"/>
      <c r="AJ1383" s="1262"/>
      <c r="AK1383" s="1262"/>
      <c r="AL1383" s="1262"/>
      <c r="AM1383" s="1264"/>
      <c r="AN1383" s="1264"/>
      <c r="AO1383" s="1255"/>
      <c r="AP1383" s="1255"/>
      <c r="AQ1383" s="1265"/>
      <c r="AR1383" s="1255"/>
      <c r="AS1383" s="1255"/>
      <c r="AT1383" s="1255"/>
      <c r="AU1383" s="1255"/>
      <c r="AV1383" s="1255"/>
      <c r="AW1383" s="1262" cm="1">
        <f t="array" ref="AW138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0</v>
      </c>
      <c r="AX138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83" s="1262">
        <f>IF(ISERROR(PV_DATA[[#This Row],[New Ark PO status]]),"",_xlfn.XLOOKUP(PV_DATA[[#This Row],[SPTN-PVHK New Ark PO'#]],New_Ark_Data[Purchase order Number],New_Ark_Data[Estimated time of arrival],"",0))</f>
        <v>0</v>
      </c>
      <c r="AZ1383" s="1258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383" s="1262">
        <f>IFERROR(PV_DATA[[#This Row],[ODP ETA Port]]+PV_DATA[[#This Row],[Customs/Leg3 Assumption]],"n/a")</f>
        <v>8</v>
      </c>
      <c r="BB1383" s="1258">
        <f>YEAR(PV_DATA[[#This Row],[ETA for New Ark update]])</f>
        <v>1900</v>
      </c>
      <c r="BC1383" s="1255">
        <f>MONTH(PV_DATA[[#This Row],[ETA for New Ark update]])</f>
        <v>1</v>
      </c>
      <c r="BD1383" s="1255">
        <f>IFERROR(_xlfn.ISOWEEKNUM(PV_DATA[[#This Row],[ETA for New Ark update]]),0)</f>
        <v>1</v>
      </c>
      <c r="BE1383" s="1255">
        <f>_xlfn.XLOOKUP(PV_DATA[[#This Row],[New Ark SKU]],Table9[New Ark SKU],Table9[Total PCS per Pallet],,0)</f>
        <v>33</v>
      </c>
      <c r="BF1383" s="1255">
        <f>_xlfn.XLOOKUP(PV_DATA[[#This Row],[New Ark SKU]],Table9[New Ark SKU],Table9[Total PCS per 40HQ Container],,0)</f>
        <v>594</v>
      </c>
      <c r="BG1383" s="619" t="str">
        <f>_xlfn.XLOOKUP(PV_DATA[[#This Row],[New Ark SKU]],Table9[New Ark SKU],Table9[Back Glass],,0)</f>
        <v>Redirection Film</v>
      </c>
      <c r="BH1383" s="1266" t="str">
        <f>_xlfn.XLOOKUP(PV_DATA[[#This Row],[PORT DESTINATION]],Table12[PORT DESTINATION],Table12[Cosco Line],,0)</f>
        <v>AEM</v>
      </c>
    </row>
    <row r="1384" spans="1:60" hidden="1">
      <c r="A1384" s="1250" t="s">
        <v>7705</v>
      </c>
      <c r="B1384" s="726" t="s">
        <v>111</v>
      </c>
      <c r="C1384" s="1254" t="str">
        <f>IFERROR(LEFT(PV_DATA[[#This Row],[TCL REFERENCE]],FIND(".",PV_DATA[[#This Row],[TCL REFERENCE]],1)-1),"Main Line")</f>
        <v>26Oct018</v>
      </c>
      <c r="D1384" s="726" t="s">
        <v>113</v>
      </c>
      <c r="E1384" s="726" t="s">
        <v>64</v>
      </c>
      <c r="F1384" s="726" t="str" cm="1">
        <f t="array" ref="F138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384" s="726" t="s">
        <v>402</v>
      </c>
      <c r="H1384" s="726" t="s">
        <v>67</v>
      </c>
      <c r="I1384" s="431" t="s">
        <v>689</v>
      </c>
      <c r="J1384" s="619" t="s">
        <v>7701</v>
      </c>
      <c r="K1384" s="619"/>
      <c r="L1384" s="619"/>
      <c r="M1384" s="619" t="s">
        <v>68</v>
      </c>
      <c r="N1384" s="1256">
        <v>46340</v>
      </c>
      <c r="O1384" s="1255" t="s">
        <v>4540</v>
      </c>
      <c r="P1384" s="1257" t="s">
        <v>7698</v>
      </c>
      <c r="Q1384" s="1255" t="s">
        <v>7699</v>
      </c>
      <c r="R1384" s="431" t="s">
        <v>73</v>
      </c>
      <c r="S1384" s="442" t="s">
        <v>992</v>
      </c>
      <c r="T1384" s="1258">
        <v>715</v>
      </c>
      <c r="U1384" s="1259">
        <f>594*6</f>
        <v>3564</v>
      </c>
      <c r="V1384" s="1260">
        <f>PV_DATA[[#This Row],[QUANTITY]]*PV_DATA[[#This Row],[WATT]]/1000000</f>
        <v>2.54826</v>
      </c>
      <c r="W1384" s="466">
        <f>PV_DATA[[#This Row],[QUANTITY]]/PV_DATA[[#This Row],[Qty/Pallet]]</f>
        <v>108</v>
      </c>
      <c r="X1384" s="1022">
        <f>PV_DATA[[#This Row],[QUANTITY]]/PV_DATA[[#This Row],[Qty/CT]]</f>
        <v>6</v>
      </c>
      <c r="Y1384" s="431" t="s">
        <v>4393</v>
      </c>
      <c r="Z1384" s="1261" t="str">
        <f t="shared" si="55"/>
        <v/>
      </c>
      <c r="AA1384" s="1239" t="s">
        <v>7706</v>
      </c>
      <c r="AB1384" s="1262"/>
      <c r="AC1384" s="1263" t="str">
        <f>IF(PV_DATA[[#This Row],[Pick-Up Date]]&lt;&gt;"",_xlfn.ISOWEEKNUM(PV_DATA[[#This Row],[Pick-Up Date]]),"")</f>
        <v/>
      </c>
      <c r="AD1384" s="1255"/>
      <c r="AE1384" s="1258"/>
      <c r="AF1384" s="431" t="s">
        <v>122</v>
      </c>
      <c r="AG1384" s="431" t="s">
        <v>123</v>
      </c>
      <c r="AH1384" s="625" t="s">
        <v>78</v>
      </c>
      <c r="AI1384" s="1262"/>
      <c r="AJ1384" s="1262"/>
      <c r="AK1384" s="1262"/>
      <c r="AL1384" s="1262"/>
      <c r="AM1384" s="1264"/>
      <c r="AN1384" s="1264"/>
      <c r="AO1384" s="1255"/>
      <c r="AP1384" s="1255"/>
      <c r="AQ1384" s="1265"/>
      <c r="AR1384" s="1255"/>
      <c r="AS1384" s="1255"/>
      <c r="AT1384" s="1255"/>
      <c r="AU1384" s="1255"/>
      <c r="AV1384" s="1255"/>
      <c r="AW1384" s="1262" cm="1">
        <f t="array" ref="AW138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46434</v>
      </c>
      <c r="AX138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84" s="1262">
        <f>IF(ISERROR(PV_DATA[[#This Row],[New Ark PO status]]),"",_xlfn.XLOOKUP(PV_DATA[[#This Row],[SPTN-PVHK New Ark PO'#]],New_Ark_Data[Purchase order Number],New_Ark_Data[Estimated time of arrival],"",0))</f>
        <v>0</v>
      </c>
      <c r="AZ1384" s="1258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384" s="1262">
        <f>IFERROR(PV_DATA[[#This Row],[ODP ETA Port]]+PV_DATA[[#This Row],[Customs/Leg3 Assumption]],"n/a")</f>
        <v>46442</v>
      </c>
      <c r="BB1384" s="1258">
        <f>YEAR(PV_DATA[[#This Row],[ETA for New Ark update]])</f>
        <v>2027</v>
      </c>
      <c r="BC1384" s="1255">
        <f>MONTH(PV_DATA[[#This Row],[ETA for New Ark update]])</f>
        <v>2</v>
      </c>
      <c r="BD1384" s="1255">
        <f>IFERROR(_xlfn.ISOWEEKNUM(PV_DATA[[#This Row],[ETA for New Ark update]]),0)</f>
        <v>8</v>
      </c>
      <c r="BE1384" s="1255">
        <f>_xlfn.XLOOKUP(PV_DATA[[#This Row],[New Ark SKU]],Table9[New Ark SKU],Table9[Total PCS per Pallet],,0)</f>
        <v>33</v>
      </c>
      <c r="BF1384" s="1255">
        <f>_xlfn.XLOOKUP(PV_DATA[[#This Row],[New Ark SKU]],Table9[New Ark SKU],Table9[Total PCS per 40HQ Container],,0)</f>
        <v>594</v>
      </c>
      <c r="BG1384" s="619" t="str">
        <f>_xlfn.XLOOKUP(PV_DATA[[#This Row],[New Ark SKU]],Table9[New Ark SKU],Table9[Back Glass],,0)</f>
        <v>Redirection Film</v>
      </c>
      <c r="BH1384" s="1266" t="str">
        <f>_xlfn.XLOOKUP(PV_DATA[[#This Row],[PORT DESTINATION]],Table12[PORT DESTINATION],Table12[Cosco Line],,0)</f>
        <v>AEM</v>
      </c>
    </row>
    <row r="1385" spans="1:60" hidden="1">
      <c r="A1385" s="1250" t="s">
        <v>7707</v>
      </c>
      <c r="B1385" s="726" t="s">
        <v>111</v>
      </c>
      <c r="C1385" s="1254" t="str">
        <f>IFERROR(LEFT(PV_DATA[[#This Row],[TCL REFERENCE]],FIND(".",PV_DATA[[#This Row],[TCL REFERENCE]],1)-1),"Main Line")</f>
        <v>26Oct018</v>
      </c>
      <c r="D1385" s="726" t="s">
        <v>113</v>
      </c>
      <c r="E1385" s="726" t="s">
        <v>64</v>
      </c>
      <c r="F1385" s="726" t="str" cm="1">
        <f t="array" ref="F138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385" s="726" t="s">
        <v>402</v>
      </c>
      <c r="H1385" s="726" t="s">
        <v>67</v>
      </c>
      <c r="I1385" s="431" t="s">
        <v>689</v>
      </c>
      <c r="J1385" s="619" t="s">
        <v>7701</v>
      </c>
      <c r="K1385" s="619"/>
      <c r="L1385" s="619"/>
      <c r="M1385" s="619" t="s">
        <v>68</v>
      </c>
      <c r="N1385" s="1256">
        <v>46340</v>
      </c>
      <c r="O1385" s="1255" t="s">
        <v>4540</v>
      </c>
      <c r="P1385" s="1257" t="s">
        <v>7698</v>
      </c>
      <c r="Q1385" s="1255" t="s">
        <v>7699</v>
      </c>
      <c r="R1385" s="431" t="s">
        <v>73</v>
      </c>
      <c r="S1385" s="442" t="s">
        <v>992</v>
      </c>
      <c r="T1385" s="1258">
        <v>715</v>
      </c>
      <c r="U1385" s="1259">
        <f>594*7</f>
        <v>4158</v>
      </c>
      <c r="V1385" s="1260">
        <f>PV_DATA[[#This Row],[QUANTITY]]*PV_DATA[[#This Row],[WATT]]/1000000</f>
        <v>2.9729700000000001</v>
      </c>
      <c r="W1385" s="466">
        <f>PV_DATA[[#This Row],[QUANTITY]]/PV_DATA[[#This Row],[Qty/Pallet]]</f>
        <v>126</v>
      </c>
      <c r="X1385" s="1022">
        <f>PV_DATA[[#This Row],[QUANTITY]]/PV_DATA[[#This Row],[Qty/CT]]</f>
        <v>7</v>
      </c>
      <c r="Y1385" s="431" t="s">
        <v>7708</v>
      </c>
      <c r="Z1385" s="1261" t="str">
        <f t="shared" si="55"/>
        <v/>
      </c>
      <c r="AA1385" s="1239" t="s">
        <v>7709</v>
      </c>
      <c r="AB1385" s="1262"/>
      <c r="AC1385" s="1263" t="str">
        <f>IF(PV_DATA[[#This Row],[Pick-Up Date]]&lt;&gt;"",_xlfn.ISOWEEKNUM(PV_DATA[[#This Row],[Pick-Up Date]]),"")</f>
        <v/>
      </c>
      <c r="AD1385" s="1255"/>
      <c r="AE1385" s="1258"/>
      <c r="AF1385" s="431" t="s">
        <v>122</v>
      </c>
      <c r="AG1385" s="431" t="s">
        <v>123</v>
      </c>
      <c r="AH1385" s="625" t="s">
        <v>78</v>
      </c>
      <c r="AI1385" s="1262"/>
      <c r="AJ1385" s="1262"/>
      <c r="AK1385" s="1262"/>
      <c r="AL1385" s="1262"/>
      <c r="AM1385" s="1264"/>
      <c r="AN1385" s="1264"/>
      <c r="AO1385" s="1255"/>
      <c r="AP1385" s="1255"/>
      <c r="AQ1385" s="1265"/>
      <c r="AR1385" s="1255"/>
      <c r="AS1385" s="1255"/>
      <c r="AT1385" s="1255"/>
      <c r="AU1385" s="1255"/>
      <c r="AV1385" s="1255"/>
      <c r="AW1385" s="1262" cm="1">
        <f t="array" ref="AW138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46098</v>
      </c>
      <c r="AX138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85" s="1262">
        <f>IF(ISERROR(PV_DATA[[#This Row],[New Ark PO status]]),"",_xlfn.XLOOKUP(PV_DATA[[#This Row],[SPTN-PVHK New Ark PO'#]],New_Ark_Data[Purchase order Number],New_Ark_Data[Estimated time of arrival],"",0))</f>
        <v>0</v>
      </c>
      <c r="AZ1385" s="1258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385" s="1262">
        <f>IFERROR(PV_DATA[[#This Row],[ODP ETA Port]]+PV_DATA[[#This Row],[Customs/Leg3 Assumption]],"n/a")</f>
        <v>46106</v>
      </c>
      <c r="BB1385" s="1258">
        <f>YEAR(PV_DATA[[#This Row],[ETA for New Ark update]])</f>
        <v>2026</v>
      </c>
      <c r="BC1385" s="1255">
        <f>MONTH(PV_DATA[[#This Row],[ETA for New Ark update]])</f>
        <v>3</v>
      </c>
      <c r="BD1385" s="1255">
        <f>IFERROR(_xlfn.ISOWEEKNUM(PV_DATA[[#This Row],[ETA for New Ark update]]),0)</f>
        <v>13</v>
      </c>
      <c r="BE1385" s="1255">
        <f>_xlfn.XLOOKUP(PV_DATA[[#This Row],[New Ark SKU]],Table9[New Ark SKU],Table9[Total PCS per Pallet],,0)</f>
        <v>33</v>
      </c>
      <c r="BF1385" s="1255">
        <f>_xlfn.XLOOKUP(PV_DATA[[#This Row],[New Ark SKU]],Table9[New Ark SKU],Table9[Total PCS per 40HQ Container],,0)</f>
        <v>594</v>
      </c>
      <c r="BG1385" s="619" t="str">
        <f>_xlfn.XLOOKUP(PV_DATA[[#This Row],[New Ark SKU]],Table9[New Ark SKU],Table9[Back Glass],,0)</f>
        <v>Redirection Film</v>
      </c>
      <c r="BH1385" s="1266" t="str">
        <f>_xlfn.XLOOKUP(PV_DATA[[#This Row],[PORT DESTINATION]],Table12[PORT DESTINATION],Table12[Cosco Line],,0)</f>
        <v>AEM</v>
      </c>
    </row>
    <row r="1386" spans="1:60" hidden="1">
      <c r="A1386" s="1250" t="s">
        <v>7710</v>
      </c>
      <c r="B1386" s="726" t="s">
        <v>111</v>
      </c>
      <c r="C1386" s="1254" t="str">
        <f>IFERROR(LEFT(PV_DATA[[#This Row],[TCL REFERENCE]],FIND(".",PV_DATA[[#This Row],[TCL REFERENCE]],1)-1),"Main Line")</f>
        <v>26Oct018</v>
      </c>
      <c r="D1386" s="726" t="s">
        <v>113</v>
      </c>
      <c r="E1386" s="726" t="s">
        <v>64</v>
      </c>
      <c r="F1386" s="726" t="str" cm="1">
        <f t="array" ref="F138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386" s="726" t="s">
        <v>402</v>
      </c>
      <c r="H1386" s="726" t="s">
        <v>67</v>
      </c>
      <c r="I1386" s="431" t="s">
        <v>689</v>
      </c>
      <c r="J1386" s="619" t="s">
        <v>7701</v>
      </c>
      <c r="K1386" s="619"/>
      <c r="L1386" s="619"/>
      <c r="M1386" s="619" t="s">
        <v>68</v>
      </c>
      <c r="N1386" s="1256">
        <v>46340</v>
      </c>
      <c r="O1386" s="1255" t="s">
        <v>4540</v>
      </c>
      <c r="P1386" s="1257" t="s">
        <v>7698</v>
      </c>
      <c r="Q1386" s="1255" t="s">
        <v>7699</v>
      </c>
      <c r="R1386" s="431" t="s">
        <v>73</v>
      </c>
      <c r="S1386" s="442" t="s">
        <v>992</v>
      </c>
      <c r="T1386" s="1258">
        <v>715</v>
      </c>
      <c r="U1386" s="1259">
        <f>594*6</f>
        <v>3564</v>
      </c>
      <c r="V1386" s="1260">
        <f>PV_DATA[[#This Row],[QUANTITY]]*PV_DATA[[#This Row],[WATT]]/1000000</f>
        <v>2.54826</v>
      </c>
      <c r="W1386" s="466">
        <f>PV_DATA[[#This Row],[QUANTITY]]/PV_DATA[[#This Row],[Qty/Pallet]]</f>
        <v>108</v>
      </c>
      <c r="X1386" s="1022">
        <f>PV_DATA[[#This Row],[QUANTITY]]/PV_DATA[[#This Row],[Qty/CT]]</f>
        <v>6</v>
      </c>
      <c r="Y1386" s="431" t="s">
        <v>7643</v>
      </c>
      <c r="Z1386" s="1261" t="str">
        <f t="shared" si="55"/>
        <v/>
      </c>
      <c r="AA1386" s="1239" t="s">
        <v>7711</v>
      </c>
      <c r="AB1386" s="1262"/>
      <c r="AC1386" s="1263" t="str">
        <f>IF(PV_DATA[[#This Row],[Pick-Up Date]]&lt;&gt;"",_xlfn.ISOWEEKNUM(PV_DATA[[#This Row],[Pick-Up Date]]),"")</f>
        <v/>
      </c>
      <c r="AD1386" s="1255"/>
      <c r="AE1386" s="1258"/>
      <c r="AF1386" s="431" t="s">
        <v>122</v>
      </c>
      <c r="AG1386" s="431" t="s">
        <v>123</v>
      </c>
      <c r="AH1386" s="625" t="s">
        <v>78</v>
      </c>
      <c r="AI1386" s="1262"/>
      <c r="AJ1386" s="1262"/>
      <c r="AK1386" s="1262"/>
      <c r="AL1386" s="1262"/>
      <c r="AM1386" s="1264"/>
      <c r="AN1386" s="1264"/>
      <c r="AO1386" s="1255"/>
      <c r="AP1386" s="1255"/>
      <c r="AQ1386" s="1265"/>
      <c r="AR1386" s="1255"/>
      <c r="AS1386" s="1255"/>
      <c r="AT1386" s="1255"/>
      <c r="AU1386" s="1255"/>
      <c r="AV1386" s="1255"/>
      <c r="AW1386" s="1262" cm="1">
        <f t="array" ref="AW138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46105</v>
      </c>
      <c r="AX138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86" s="1262">
        <f>IF(ISERROR(PV_DATA[[#This Row],[New Ark PO status]]),"",_xlfn.XLOOKUP(PV_DATA[[#This Row],[SPTN-PVHK New Ark PO'#]],New_Ark_Data[Purchase order Number],New_Ark_Data[Estimated time of arrival],"",0))</f>
        <v>0</v>
      </c>
      <c r="AZ1386" s="1258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386" s="1262">
        <f>IFERROR(PV_DATA[[#This Row],[ODP ETA Port]]+PV_DATA[[#This Row],[Customs/Leg3 Assumption]],"n/a")</f>
        <v>46113</v>
      </c>
      <c r="BB1386" s="1258">
        <f>YEAR(PV_DATA[[#This Row],[ETA for New Ark update]])</f>
        <v>2026</v>
      </c>
      <c r="BC1386" s="1255">
        <f>MONTH(PV_DATA[[#This Row],[ETA for New Ark update]])</f>
        <v>4</v>
      </c>
      <c r="BD1386" s="1255">
        <f>IFERROR(_xlfn.ISOWEEKNUM(PV_DATA[[#This Row],[ETA for New Ark update]]),0)</f>
        <v>14</v>
      </c>
      <c r="BE1386" s="1255">
        <f>_xlfn.XLOOKUP(PV_DATA[[#This Row],[New Ark SKU]],Table9[New Ark SKU],Table9[Total PCS per Pallet],,0)</f>
        <v>33</v>
      </c>
      <c r="BF1386" s="1255">
        <f>_xlfn.XLOOKUP(PV_DATA[[#This Row],[New Ark SKU]],Table9[New Ark SKU],Table9[Total PCS per 40HQ Container],,0)</f>
        <v>594</v>
      </c>
      <c r="BG1386" s="619" t="str">
        <f>_xlfn.XLOOKUP(PV_DATA[[#This Row],[New Ark SKU]],Table9[New Ark SKU],Table9[Back Glass],,0)</f>
        <v>Redirection Film</v>
      </c>
      <c r="BH1386" s="1266" t="str">
        <f>_xlfn.XLOOKUP(PV_DATA[[#This Row],[PORT DESTINATION]],Table12[PORT DESTINATION],Table12[Cosco Line],,0)</f>
        <v>AEM</v>
      </c>
    </row>
    <row r="1387" spans="1:60" hidden="1">
      <c r="A1387" s="1250" t="s">
        <v>7712</v>
      </c>
      <c r="B1387" s="726" t="s">
        <v>111</v>
      </c>
      <c r="C1387" s="1254" t="str">
        <f>IFERROR(LEFT(PV_DATA[[#This Row],[TCL REFERENCE]],FIND(".",PV_DATA[[#This Row],[TCL REFERENCE]],1)-1),"Main Line")</f>
        <v>26Oct018</v>
      </c>
      <c r="D1387" s="726" t="s">
        <v>113</v>
      </c>
      <c r="E1387" s="726" t="s">
        <v>64</v>
      </c>
      <c r="F1387" s="726" t="str" cm="1">
        <f t="array" ref="F138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387" s="726" t="s">
        <v>402</v>
      </c>
      <c r="H1387" s="726" t="s">
        <v>67</v>
      </c>
      <c r="I1387" s="431" t="s">
        <v>689</v>
      </c>
      <c r="J1387" s="619" t="s">
        <v>7701</v>
      </c>
      <c r="K1387" s="619"/>
      <c r="L1387" s="619"/>
      <c r="M1387" s="619" t="s">
        <v>68</v>
      </c>
      <c r="N1387" s="1256">
        <v>46340</v>
      </c>
      <c r="O1387" s="1255" t="s">
        <v>4540</v>
      </c>
      <c r="P1387" s="1257" t="s">
        <v>7698</v>
      </c>
      <c r="Q1387" s="1255" t="s">
        <v>7699</v>
      </c>
      <c r="R1387" s="431" t="s">
        <v>73</v>
      </c>
      <c r="S1387" s="442" t="s">
        <v>992</v>
      </c>
      <c r="T1387" s="1258">
        <v>715</v>
      </c>
      <c r="U1387" s="1259">
        <f>594*8</f>
        <v>4752</v>
      </c>
      <c r="V1387" s="1260">
        <f>PV_DATA[[#This Row],[QUANTITY]]*PV_DATA[[#This Row],[WATT]]/1000000</f>
        <v>3.3976799999999998</v>
      </c>
      <c r="W1387" s="466">
        <f>PV_DATA[[#This Row],[QUANTITY]]/PV_DATA[[#This Row],[Qty/Pallet]]</f>
        <v>144</v>
      </c>
      <c r="X1387" s="1022">
        <f>PV_DATA[[#This Row],[QUANTITY]]/PV_DATA[[#This Row],[Qty/CT]]</f>
        <v>8</v>
      </c>
      <c r="Y1387" s="431" t="s">
        <v>7713</v>
      </c>
      <c r="Z1387" s="1261" t="str">
        <f t="shared" si="55"/>
        <v/>
      </c>
      <c r="AA1387" s="1239" t="s">
        <v>7714</v>
      </c>
      <c r="AB1387" s="1262"/>
      <c r="AC1387" s="1263" t="str">
        <f>IF(PV_DATA[[#This Row],[Pick-Up Date]]&lt;&gt;"",_xlfn.ISOWEEKNUM(PV_DATA[[#This Row],[Pick-Up Date]]),"")</f>
        <v/>
      </c>
      <c r="AD1387" s="1255"/>
      <c r="AE1387" s="1258"/>
      <c r="AF1387" s="431" t="s">
        <v>122</v>
      </c>
      <c r="AG1387" s="431" t="s">
        <v>123</v>
      </c>
      <c r="AH1387" s="625" t="s">
        <v>78</v>
      </c>
      <c r="AI1387" s="1262"/>
      <c r="AJ1387" s="1262"/>
      <c r="AK1387" s="1262"/>
      <c r="AL1387" s="1262"/>
      <c r="AM1387" s="1264"/>
      <c r="AN1387" s="1264"/>
      <c r="AO1387" s="1255"/>
      <c r="AP1387" s="1255"/>
      <c r="AQ1387" s="1265"/>
      <c r="AR1387" s="1255"/>
      <c r="AS1387" s="1255"/>
      <c r="AT1387" s="1255"/>
      <c r="AU1387" s="1255"/>
      <c r="AV1387" s="1255"/>
      <c r="AW1387" s="1262" cm="1">
        <f t="array" ref="AW138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46119</v>
      </c>
      <c r="AX138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87" s="1262">
        <f>IF(ISERROR(PV_DATA[[#This Row],[New Ark PO status]]),"",_xlfn.XLOOKUP(PV_DATA[[#This Row],[SPTN-PVHK New Ark PO'#]],New_Ark_Data[Purchase order Number],New_Ark_Data[Estimated time of arrival],"",0))</f>
        <v>0</v>
      </c>
      <c r="AZ1387" s="1258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387" s="1262">
        <f>IFERROR(PV_DATA[[#This Row],[ODP ETA Port]]+PV_DATA[[#This Row],[Customs/Leg3 Assumption]],"n/a")</f>
        <v>46127</v>
      </c>
      <c r="BB1387" s="1258">
        <f>YEAR(PV_DATA[[#This Row],[ETA for New Ark update]])</f>
        <v>2026</v>
      </c>
      <c r="BC1387" s="1255">
        <f>MONTH(PV_DATA[[#This Row],[ETA for New Ark update]])</f>
        <v>4</v>
      </c>
      <c r="BD1387" s="1255">
        <f>IFERROR(_xlfn.ISOWEEKNUM(PV_DATA[[#This Row],[ETA for New Ark update]]),0)</f>
        <v>16</v>
      </c>
      <c r="BE1387" s="1255">
        <f>_xlfn.XLOOKUP(PV_DATA[[#This Row],[New Ark SKU]],Table9[New Ark SKU],Table9[Total PCS per Pallet],,0)</f>
        <v>33</v>
      </c>
      <c r="BF1387" s="1255">
        <f>_xlfn.XLOOKUP(PV_DATA[[#This Row],[New Ark SKU]],Table9[New Ark SKU],Table9[Total PCS per 40HQ Container],,0)</f>
        <v>594</v>
      </c>
      <c r="BG1387" s="619" t="str">
        <f>_xlfn.XLOOKUP(PV_DATA[[#This Row],[New Ark SKU]],Table9[New Ark SKU],Table9[Back Glass],,0)</f>
        <v>Redirection Film</v>
      </c>
      <c r="BH1387" s="1266" t="str">
        <f>_xlfn.XLOOKUP(PV_DATA[[#This Row],[PORT DESTINATION]],Table12[PORT DESTINATION],Table12[Cosco Line],,0)</f>
        <v>AEM</v>
      </c>
    </row>
    <row r="1388" spans="1:60" hidden="1">
      <c r="A1388" s="1250" t="s">
        <v>7715</v>
      </c>
      <c r="B1388" s="726" t="s">
        <v>111</v>
      </c>
      <c r="C1388" s="1254" t="str">
        <f>IFERROR(LEFT(PV_DATA[[#This Row],[TCL REFERENCE]],FIND(".",PV_DATA[[#This Row],[TCL REFERENCE]],1)-1),"Main Line")</f>
        <v>26Oct018</v>
      </c>
      <c r="D1388" s="726" t="s">
        <v>113</v>
      </c>
      <c r="E1388" s="726" t="s">
        <v>64</v>
      </c>
      <c r="F1388" s="726" t="str" cm="1">
        <f t="array" ref="F138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388" s="726" t="s">
        <v>402</v>
      </c>
      <c r="H1388" s="726" t="s">
        <v>67</v>
      </c>
      <c r="I1388" s="431" t="s">
        <v>689</v>
      </c>
      <c r="J1388" s="619" t="s">
        <v>7701</v>
      </c>
      <c r="K1388" s="619"/>
      <c r="L1388" s="619"/>
      <c r="M1388" s="619" t="s">
        <v>68</v>
      </c>
      <c r="N1388" s="1256">
        <v>46340</v>
      </c>
      <c r="O1388" s="1255" t="s">
        <v>4540</v>
      </c>
      <c r="P1388" s="1257" t="s">
        <v>7698</v>
      </c>
      <c r="Q1388" s="1255" t="s">
        <v>7699</v>
      </c>
      <c r="R1388" s="431" t="s">
        <v>73</v>
      </c>
      <c r="S1388" s="442" t="s">
        <v>992</v>
      </c>
      <c r="T1388" s="1258">
        <v>715</v>
      </c>
      <c r="U1388" s="1259">
        <f>594*7.5</f>
        <v>4455</v>
      </c>
      <c r="V1388" s="1260">
        <f>PV_DATA[[#This Row],[QUANTITY]]*PV_DATA[[#This Row],[WATT]]/1000000</f>
        <v>3.1853250000000002</v>
      </c>
      <c r="W1388" s="466">
        <f>PV_DATA[[#This Row],[QUANTITY]]/PV_DATA[[#This Row],[Qty/Pallet]]</f>
        <v>135</v>
      </c>
      <c r="X1388" s="1022">
        <f>PV_DATA[[#This Row],[QUANTITY]]/PV_DATA[[#This Row],[Qty/CT]]</f>
        <v>7.5</v>
      </c>
      <c r="Y1388" s="431" t="s">
        <v>7716</v>
      </c>
      <c r="Z1388" s="1261" t="str">
        <f t="shared" si="55"/>
        <v/>
      </c>
      <c r="AA1388" s="1239" t="s">
        <v>7717</v>
      </c>
      <c r="AB1388" s="1262"/>
      <c r="AC1388" s="1263" t="str">
        <f>IF(PV_DATA[[#This Row],[Pick-Up Date]]&lt;&gt;"",_xlfn.ISOWEEKNUM(PV_DATA[[#This Row],[Pick-Up Date]]),"")</f>
        <v/>
      </c>
      <c r="AD1388" s="1255"/>
      <c r="AE1388" s="1258"/>
      <c r="AF1388" s="431" t="s">
        <v>122</v>
      </c>
      <c r="AG1388" s="431" t="s">
        <v>123</v>
      </c>
      <c r="AH1388" s="625" t="s">
        <v>78</v>
      </c>
      <c r="AI1388" s="1262"/>
      <c r="AJ1388" s="1262"/>
      <c r="AK1388" s="1262"/>
      <c r="AL1388" s="1262"/>
      <c r="AM1388" s="1264"/>
      <c r="AN1388" s="1264"/>
      <c r="AO1388" s="1255"/>
      <c r="AP1388" s="1255"/>
      <c r="AQ1388" s="1265"/>
      <c r="AR1388" s="1255"/>
      <c r="AS1388" s="1255"/>
      <c r="AT1388" s="1255"/>
      <c r="AU1388" s="1255"/>
      <c r="AV1388" s="1255"/>
      <c r="AW1388" s="1262" cm="1">
        <f t="array" ref="AW138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46126</v>
      </c>
      <c r="AX138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88" s="1262">
        <f>IF(ISERROR(PV_DATA[[#This Row],[New Ark PO status]]),"",_xlfn.XLOOKUP(PV_DATA[[#This Row],[SPTN-PVHK New Ark PO'#]],New_Ark_Data[Purchase order Number],New_Ark_Data[Estimated time of arrival],"",0))</f>
        <v>0</v>
      </c>
      <c r="AZ1388" s="1258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388" s="1262">
        <f>IFERROR(PV_DATA[[#This Row],[ODP ETA Port]]+PV_DATA[[#This Row],[Customs/Leg3 Assumption]],"n/a")</f>
        <v>46134</v>
      </c>
      <c r="BB1388" s="1258">
        <f>YEAR(PV_DATA[[#This Row],[ETA for New Ark update]])</f>
        <v>2026</v>
      </c>
      <c r="BC1388" s="1255">
        <f>MONTH(PV_DATA[[#This Row],[ETA for New Ark update]])</f>
        <v>4</v>
      </c>
      <c r="BD1388" s="1255">
        <f>IFERROR(_xlfn.ISOWEEKNUM(PV_DATA[[#This Row],[ETA for New Ark update]]),0)</f>
        <v>17</v>
      </c>
      <c r="BE1388" s="1255">
        <f>_xlfn.XLOOKUP(PV_DATA[[#This Row],[New Ark SKU]],Table9[New Ark SKU],Table9[Total PCS per Pallet],,0)</f>
        <v>33</v>
      </c>
      <c r="BF1388" s="1255">
        <f>_xlfn.XLOOKUP(PV_DATA[[#This Row],[New Ark SKU]],Table9[New Ark SKU],Table9[Total PCS per 40HQ Container],,0)</f>
        <v>594</v>
      </c>
      <c r="BG1388" s="619" t="str">
        <f>_xlfn.XLOOKUP(PV_DATA[[#This Row],[New Ark SKU]],Table9[New Ark SKU],Table9[Back Glass],,0)</f>
        <v>Redirection Film</v>
      </c>
      <c r="BH1388" s="1266" t="str">
        <f>_xlfn.XLOOKUP(PV_DATA[[#This Row],[PORT DESTINATION]],Table12[PORT DESTINATION],Table12[Cosco Line],,0)</f>
        <v>AEM</v>
      </c>
    </row>
    <row r="1389" spans="1:60" ht="14.25" hidden="1" customHeight="1">
      <c r="A1389" s="1238" t="s">
        <v>7718</v>
      </c>
      <c r="B1389" s="726" t="s">
        <v>111</v>
      </c>
      <c r="C1389" s="1238" t="str">
        <f>IFERROR(LEFT(PV_DATA[[#This Row],[TCL REFERENCE]],FIND(".",PV_DATA[[#This Row],[TCL REFERENCE]],1)-1),"Main Line")</f>
        <v>Main Line</v>
      </c>
      <c r="D1389" s="726" t="s">
        <v>113</v>
      </c>
      <c r="E1389" s="726" t="s">
        <v>68</v>
      </c>
      <c r="F1389" s="726" t="str" cm="1">
        <f t="array" ref="F1389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89" s="726" t="s">
        <v>68</v>
      </c>
      <c r="H1389" s="726" t="s">
        <v>68</v>
      </c>
      <c r="I1389" s="431" t="s">
        <v>68</v>
      </c>
      <c r="J1389" s="619" t="s">
        <v>68</v>
      </c>
      <c r="K1389" s="619"/>
      <c r="L1389" s="619"/>
      <c r="M1389" s="619" t="s">
        <v>68</v>
      </c>
      <c r="N1389" s="1256">
        <v>46340</v>
      </c>
      <c r="O1389" s="1255" t="s">
        <v>4540</v>
      </c>
      <c r="P1389" s="1241" t="s">
        <v>7719</v>
      </c>
      <c r="Q1389" s="1239" t="s">
        <v>7720</v>
      </c>
      <c r="R1389" s="431" t="str">
        <f>_xlfn.XLOOKUP(PV_DATA[[#This Row],[New Ark SKU]],Table9[New Ark SKU],Table9[Connector],,0)</f>
        <v>EVO2A</v>
      </c>
      <c r="S1389" s="442" t="str">
        <f>_xlfn.XLOOKUP(PV_DATA[[#This Row],[New Ark SKU]],Table9[New Ark SKU],Table9[Cable],,0)</f>
        <v>±1400mm</v>
      </c>
      <c r="T1389" s="1242">
        <v>720</v>
      </c>
      <c r="U1389" s="1243" cm="1">
        <f t="array" ref="U1389">19305-fx_qty</f>
        <v>0</v>
      </c>
      <c r="V1389" s="1244">
        <f>PV_DATA[[#This Row],[QUANTITY]]*PV_DATA[[#This Row],[WATT]]/1000000</f>
        <v>0</v>
      </c>
      <c r="W1389" s="466">
        <f>PV_DATA[[#This Row],[QUANTITY]]/PV_DATA[[#This Row],[Qty/Pallet]]</f>
        <v>0</v>
      </c>
      <c r="X1389" s="1022">
        <f>PV_DATA[[#This Row],[QUANTITY]]/PV_DATA[[#This Row],[Qty/CT]]</f>
        <v>0</v>
      </c>
      <c r="Y1389" s="431" t="s">
        <v>7039</v>
      </c>
      <c r="Z1389" s="1245" t="str">
        <f t="shared" si="55"/>
        <v/>
      </c>
      <c r="AA1389" s="1383">
        <v>46353</v>
      </c>
      <c r="AB1389" s="1246"/>
      <c r="AC1389" s="1247" t="str">
        <f>IF(PV_DATA[[#This Row],[Pick-Up Date]]&lt;&gt;"",_xlfn.ISOWEEKNUM(PV_DATA[[#This Row],[Pick-Up Date]]),"")</f>
        <v/>
      </c>
      <c r="AD1389" s="1239"/>
      <c r="AE1389" s="1242"/>
      <c r="AF1389" s="431" t="s">
        <v>122</v>
      </c>
      <c r="AG1389" s="431" t="s">
        <v>123</v>
      </c>
      <c r="AH1389" s="625" t="s">
        <v>68</v>
      </c>
      <c r="AI1389" s="1246"/>
      <c r="AJ1389" s="1246"/>
      <c r="AK1389" s="1246"/>
      <c r="AL1389" s="1246"/>
      <c r="AM1389" s="1251"/>
      <c r="AN1389" s="1251"/>
      <c r="AO1389" s="1239"/>
      <c r="AP1389" s="1239"/>
      <c r="AQ1389" s="1248"/>
      <c r="AR1389" s="1239"/>
      <c r="AS1389" s="1239"/>
      <c r="AT1389" s="1239"/>
      <c r="AU1389" s="1239"/>
      <c r="AV1389" s="1239"/>
      <c r="AW1389" s="1246" t="str" cm="1">
        <f t="array" ref="AW138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8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89" s="1246">
        <f>IF(ISERROR(PV_DATA[[#This Row],[New Ark PO status]]),"",_xlfn.XLOOKUP(PV_DATA[[#This Row],[SPTN-PVHK New Ark PO'#]],New_Ark_Data[Purchase order Number],New_Ark_Data[Estimated time of arrival],"",0))</f>
        <v>0</v>
      </c>
      <c r="AZ1389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89" s="1246" t="str">
        <f>IFERROR(PV_DATA[[#This Row],[ODP ETA Port]]+PV_DATA[[#This Row],[Customs/Leg3 Assumption]],"n/a")</f>
        <v>n/a</v>
      </c>
      <c r="BB1389" s="1242" t="e">
        <f>YEAR(PV_DATA[[#This Row],[ETA for New Ark update]])</f>
        <v>#VALUE!</v>
      </c>
      <c r="BC1389" s="1239" t="e">
        <f>MONTH(PV_DATA[[#This Row],[ETA for New Ark update]])</f>
        <v>#VALUE!</v>
      </c>
      <c r="BD1389" s="1239">
        <f>IFERROR(_xlfn.ISOWEEKNUM(PV_DATA[[#This Row],[ETA for New Ark update]]),0)</f>
        <v>0</v>
      </c>
      <c r="BE1389" s="1239">
        <f>_xlfn.XLOOKUP(PV_DATA[[#This Row],[New Ark SKU]],Table9[New Ark SKU],Table9[Total PCS per Pallet],,0)</f>
        <v>33</v>
      </c>
      <c r="BF1389" s="1239">
        <f>_xlfn.XLOOKUP(PV_DATA[[#This Row],[New Ark SKU]],Table9[New Ark SKU],Table9[Total PCS per 40HQ Container],,0)</f>
        <v>594</v>
      </c>
      <c r="BG1389" s="431" t="str">
        <f>_xlfn.XLOOKUP(PV_DATA[[#This Row],[New Ark SKU]],Table9[New Ark SKU],Table9[Back Glass],,0)</f>
        <v>Transparent</v>
      </c>
      <c r="BH1389" s="1249" t="str">
        <f>_xlfn.XLOOKUP(PV_DATA[[#This Row],[PORT DESTINATION]],Table12[PORT DESTINATION],Table12[Cosco Line],,0)</f>
        <v>n/a</v>
      </c>
    </row>
    <row r="1390" spans="1:60" ht="14.25" hidden="1" customHeight="1">
      <c r="A1390" s="1238" t="s">
        <v>7721</v>
      </c>
      <c r="B1390" s="726" t="s">
        <v>111</v>
      </c>
      <c r="C1390" s="1238" t="str">
        <f>IFERROR(LEFT(PV_DATA[[#This Row],[TCL REFERENCE]],FIND(".",PV_DATA[[#This Row],[TCL REFERENCE]],1)-1),"Main Line")</f>
        <v>26Oct019</v>
      </c>
      <c r="D1390" s="726" t="s">
        <v>113</v>
      </c>
      <c r="E1390" s="726" t="s">
        <v>64</v>
      </c>
      <c r="F1390" s="726" t="str" cm="1">
        <f t="array" ref="F139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390" s="726" t="s">
        <v>402</v>
      </c>
      <c r="H1390" s="726" t="s">
        <v>67</v>
      </c>
      <c r="I1390" s="431" t="s">
        <v>689</v>
      </c>
      <c r="J1390" s="619" t="s">
        <v>7701</v>
      </c>
      <c r="K1390" s="619"/>
      <c r="L1390" s="619"/>
      <c r="M1390" s="619" t="s">
        <v>68</v>
      </c>
      <c r="N1390" s="1256">
        <v>46340</v>
      </c>
      <c r="O1390" s="1255" t="s">
        <v>4540</v>
      </c>
      <c r="P1390" s="1241" t="s">
        <v>7719</v>
      </c>
      <c r="Q1390" s="1239" t="s">
        <v>7720</v>
      </c>
      <c r="R1390" s="431" t="str">
        <f>_xlfn.XLOOKUP(PV_DATA[[#This Row],[New Ark SKU]],Table9[New Ark SKU],Table9[Connector],,0)</f>
        <v>EVO2A</v>
      </c>
      <c r="S1390" s="442" t="str">
        <f>_xlfn.XLOOKUP(PV_DATA[[#This Row],[New Ark SKU]],Table9[New Ark SKU],Table9[Cable],,0)</f>
        <v>±1400mm</v>
      </c>
      <c r="T1390" s="1242">
        <v>720</v>
      </c>
      <c r="U1390" s="1243">
        <f>594*6</f>
        <v>3564</v>
      </c>
      <c r="V1390" s="1244">
        <f>PV_DATA[[#This Row],[QUANTITY]]*PV_DATA[[#This Row],[WATT]]/1000000</f>
        <v>2.5660799999999999</v>
      </c>
      <c r="W1390" s="466">
        <f>PV_DATA[[#This Row],[QUANTITY]]/PV_DATA[[#This Row],[Qty/Pallet]]</f>
        <v>108</v>
      </c>
      <c r="X1390" s="1022">
        <f>PV_DATA[[#This Row],[QUANTITY]]/PV_DATA[[#This Row],[Qty/CT]]</f>
        <v>6</v>
      </c>
      <c r="Y1390" s="431" t="s">
        <v>4392</v>
      </c>
      <c r="Z1390" s="1245" t="str">
        <f t="shared" ref="Z1390:Z1394" si="56">IF(AN1390&lt;&gt;"","COMPLETED",IF(AK1390&lt;&gt;"","IN-TRANSIT",""))</f>
        <v/>
      </c>
      <c r="AA1390" s="1239" t="s">
        <v>7722</v>
      </c>
      <c r="AB1390" s="1246"/>
      <c r="AC1390" s="1247" t="str">
        <f>IF(PV_DATA[[#This Row],[Pick-Up Date]]&lt;&gt;"",_xlfn.ISOWEEKNUM(PV_DATA[[#This Row],[Pick-Up Date]]),"")</f>
        <v/>
      </c>
      <c r="AD1390" s="1239"/>
      <c r="AE1390" s="1242"/>
      <c r="AF1390" s="431" t="s">
        <v>122</v>
      </c>
      <c r="AG1390" s="431" t="s">
        <v>123</v>
      </c>
      <c r="AH1390" s="625" t="s">
        <v>78</v>
      </c>
      <c r="AI1390" s="1246"/>
      <c r="AJ1390" s="1246"/>
      <c r="AK1390" s="1246"/>
      <c r="AL1390" s="1246"/>
      <c r="AM1390" s="1251"/>
      <c r="AN1390" s="1251"/>
      <c r="AO1390" s="1239"/>
      <c r="AP1390" s="1239"/>
      <c r="AQ1390" s="1248"/>
      <c r="AR1390" s="1239"/>
      <c r="AS1390" s="1239"/>
      <c r="AT1390" s="1239"/>
      <c r="AU1390" s="1239"/>
      <c r="AV1390" s="1239"/>
      <c r="AW1390" s="1246" cm="1">
        <f t="array" ref="AW139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46427</v>
      </c>
      <c r="AX1390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90" s="1246">
        <f>IF(ISERROR(PV_DATA[[#This Row],[New Ark PO status]]),"",_xlfn.XLOOKUP(PV_DATA[[#This Row],[SPTN-PVHK New Ark PO'#]],New_Ark_Data[Purchase order Number],New_Ark_Data[Estimated time of arrival],"",0))</f>
        <v>0</v>
      </c>
      <c r="AZ1390" s="12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390" s="1246">
        <f>IFERROR(PV_DATA[[#This Row],[ODP ETA Port]]+PV_DATA[[#This Row],[Customs/Leg3 Assumption]],"n/a")</f>
        <v>46435</v>
      </c>
      <c r="BB1390" s="1242">
        <f>YEAR(PV_DATA[[#This Row],[ETA for New Ark update]])</f>
        <v>2027</v>
      </c>
      <c r="BC1390" s="1239">
        <f>MONTH(PV_DATA[[#This Row],[ETA for New Ark update]])</f>
        <v>2</v>
      </c>
      <c r="BD1390" s="1239">
        <f>IFERROR(_xlfn.ISOWEEKNUM(PV_DATA[[#This Row],[ETA for New Ark update]]),0)</f>
        <v>7</v>
      </c>
      <c r="BE1390" s="1239">
        <f>_xlfn.XLOOKUP(PV_DATA[[#This Row],[New Ark SKU]],Table9[New Ark SKU],Table9[Total PCS per Pallet],,0)</f>
        <v>33</v>
      </c>
      <c r="BF1390" s="1239">
        <f>_xlfn.XLOOKUP(PV_DATA[[#This Row],[New Ark SKU]],Table9[New Ark SKU],Table9[Total PCS per 40HQ Container],,0)</f>
        <v>594</v>
      </c>
      <c r="BG1390" s="431" t="str">
        <f>_xlfn.XLOOKUP(PV_DATA[[#This Row],[New Ark SKU]],Table9[New Ark SKU],Table9[Back Glass],,0)</f>
        <v>Transparent</v>
      </c>
      <c r="BH1390" s="1249" t="str">
        <f>_xlfn.XLOOKUP(PV_DATA[[#This Row],[PORT DESTINATION]],Table12[PORT DESTINATION],Table12[Cosco Line],,0)</f>
        <v>AEM</v>
      </c>
    </row>
    <row r="1391" spans="1:60" ht="14.25" hidden="1" customHeight="1">
      <c r="A1391" s="1238" t="s">
        <v>7723</v>
      </c>
      <c r="B1391" s="726" t="s">
        <v>111</v>
      </c>
      <c r="C1391" s="1238" t="str">
        <f>IFERROR(LEFT(PV_DATA[[#This Row],[TCL REFERENCE]],FIND(".",PV_DATA[[#This Row],[TCL REFERENCE]],1)-1),"Main Line")</f>
        <v>26Oct019</v>
      </c>
      <c r="D1391" s="726" t="s">
        <v>113</v>
      </c>
      <c r="E1391" s="726" t="s">
        <v>64</v>
      </c>
      <c r="F1391" s="726" t="str" cm="1">
        <f t="array" ref="F139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391" s="726" t="s">
        <v>402</v>
      </c>
      <c r="H1391" s="726" t="s">
        <v>67</v>
      </c>
      <c r="I1391" s="431" t="s">
        <v>689</v>
      </c>
      <c r="J1391" s="619" t="s">
        <v>7701</v>
      </c>
      <c r="K1391" s="619"/>
      <c r="L1391" s="619"/>
      <c r="M1391" s="619" t="s">
        <v>68</v>
      </c>
      <c r="N1391" s="1256">
        <v>46340</v>
      </c>
      <c r="O1391" s="1255" t="s">
        <v>4540</v>
      </c>
      <c r="P1391" s="1241" t="s">
        <v>7719</v>
      </c>
      <c r="Q1391" s="1239" t="s">
        <v>7720</v>
      </c>
      <c r="R1391" s="431" t="str">
        <f>_xlfn.XLOOKUP(PV_DATA[[#This Row],[New Ark SKU]],Table9[New Ark SKU],Table9[Connector],,0)</f>
        <v>EVO2A</v>
      </c>
      <c r="S1391" s="442" t="str">
        <f>_xlfn.XLOOKUP(PV_DATA[[#This Row],[New Ark SKU]],Table9[New Ark SKU],Table9[Cable],,0)</f>
        <v>±1400mm</v>
      </c>
      <c r="T1391" s="1242">
        <v>720</v>
      </c>
      <c r="U1391" s="1243">
        <f>594*7</f>
        <v>4158</v>
      </c>
      <c r="V1391" s="1244">
        <f>PV_DATA[[#This Row],[QUANTITY]]*PV_DATA[[#This Row],[WATT]]/1000000</f>
        <v>2.99376</v>
      </c>
      <c r="W1391" s="466">
        <f>PV_DATA[[#This Row],[QUANTITY]]/PV_DATA[[#This Row],[Qty/Pallet]]</f>
        <v>126</v>
      </c>
      <c r="X1391" s="1022">
        <f>PV_DATA[[#This Row],[QUANTITY]]/PV_DATA[[#This Row],[Qty/CT]]</f>
        <v>7</v>
      </c>
      <c r="Y1391" s="431" t="s">
        <v>7724</v>
      </c>
      <c r="Z1391" s="1245" t="str">
        <f t="shared" si="56"/>
        <v/>
      </c>
      <c r="AA1391" s="1239" t="s">
        <v>7725</v>
      </c>
      <c r="AB1391" s="1246"/>
      <c r="AC1391" s="1247" t="str">
        <f>IF(PV_DATA[[#This Row],[Pick-Up Date]]&lt;&gt;"",_xlfn.ISOWEEKNUM(PV_DATA[[#This Row],[Pick-Up Date]]),"")</f>
        <v/>
      </c>
      <c r="AD1391" s="1239"/>
      <c r="AE1391" s="1242"/>
      <c r="AF1391" s="431" t="s">
        <v>122</v>
      </c>
      <c r="AG1391" s="431" t="s">
        <v>123</v>
      </c>
      <c r="AH1391" s="625" t="s">
        <v>78</v>
      </c>
      <c r="AI1391" s="1246"/>
      <c r="AJ1391" s="1246"/>
      <c r="AK1391" s="1246"/>
      <c r="AL1391" s="1246"/>
      <c r="AM1391" s="1251"/>
      <c r="AN1391" s="1251"/>
      <c r="AO1391" s="1239"/>
      <c r="AP1391" s="1239"/>
      <c r="AQ1391" s="1248"/>
      <c r="AR1391" s="1239"/>
      <c r="AS1391" s="1239"/>
      <c r="AT1391" s="1239"/>
      <c r="AU1391" s="1239"/>
      <c r="AV1391" s="1239"/>
      <c r="AW1391" s="1246" cm="1">
        <f t="array" ref="AW139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46084</v>
      </c>
      <c r="AX139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91" s="1246">
        <f>IF(ISERROR(PV_DATA[[#This Row],[New Ark PO status]]),"",_xlfn.XLOOKUP(PV_DATA[[#This Row],[SPTN-PVHK New Ark PO'#]],New_Ark_Data[Purchase order Number],New_Ark_Data[Estimated time of arrival],"",0))</f>
        <v>0</v>
      </c>
      <c r="AZ1391" s="12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391" s="1246">
        <f>IFERROR(PV_DATA[[#This Row],[ODP ETA Port]]+PV_DATA[[#This Row],[Customs/Leg3 Assumption]],"n/a")</f>
        <v>46092</v>
      </c>
      <c r="BB1391" s="1242">
        <f>YEAR(PV_DATA[[#This Row],[ETA for New Ark update]])</f>
        <v>2026</v>
      </c>
      <c r="BC1391" s="1239">
        <f>MONTH(PV_DATA[[#This Row],[ETA for New Ark update]])</f>
        <v>3</v>
      </c>
      <c r="BD1391" s="1239">
        <f>IFERROR(_xlfn.ISOWEEKNUM(PV_DATA[[#This Row],[ETA for New Ark update]]),0)</f>
        <v>11</v>
      </c>
      <c r="BE1391" s="1239">
        <f>_xlfn.XLOOKUP(PV_DATA[[#This Row],[New Ark SKU]],Table9[New Ark SKU],Table9[Total PCS per Pallet],,0)</f>
        <v>33</v>
      </c>
      <c r="BF1391" s="1239">
        <f>_xlfn.XLOOKUP(PV_DATA[[#This Row],[New Ark SKU]],Table9[New Ark SKU],Table9[Total PCS per 40HQ Container],,0)</f>
        <v>594</v>
      </c>
      <c r="BG1391" s="431" t="str">
        <f>_xlfn.XLOOKUP(PV_DATA[[#This Row],[New Ark SKU]],Table9[New Ark SKU],Table9[Back Glass],,0)</f>
        <v>Transparent</v>
      </c>
      <c r="BH1391" s="1249" t="str">
        <f>_xlfn.XLOOKUP(PV_DATA[[#This Row],[PORT DESTINATION]],Table12[PORT DESTINATION],Table12[Cosco Line],,0)</f>
        <v>AEM</v>
      </c>
    </row>
    <row r="1392" spans="1:60" ht="14.25" hidden="1" customHeight="1">
      <c r="A1392" s="1238" t="s">
        <v>7726</v>
      </c>
      <c r="B1392" s="726" t="s">
        <v>111</v>
      </c>
      <c r="C1392" s="1238" t="str">
        <f>IFERROR(LEFT(PV_DATA[[#This Row],[TCL REFERENCE]],FIND(".",PV_DATA[[#This Row],[TCL REFERENCE]],1)-1),"Main Line")</f>
        <v>26Oct019</v>
      </c>
      <c r="D1392" s="726" t="s">
        <v>113</v>
      </c>
      <c r="E1392" s="726" t="s">
        <v>64</v>
      </c>
      <c r="F1392" s="726" t="str" cm="1">
        <f t="array" ref="F139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392" s="726" t="s">
        <v>402</v>
      </c>
      <c r="H1392" s="726" t="s">
        <v>67</v>
      </c>
      <c r="I1392" s="431" t="s">
        <v>689</v>
      </c>
      <c r="J1392" s="619" t="s">
        <v>7701</v>
      </c>
      <c r="K1392" s="619"/>
      <c r="L1392" s="619"/>
      <c r="M1392" s="619" t="s">
        <v>68</v>
      </c>
      <c r="N1392" s="1256">
        <v>46340</v>
      </c>
      <c r="O1392" s="1255" t="s">
        <v>4540</v>
      </c>
      <c r="P1392" s="1241" t="s">
        <v>7719</v>
      </c>
      <c r="Q1392" s="1239" t="s">
        <v>7720</v>
      </c>
      <c r="R1392" s="431" t="str">
        <f>_xlfn.XLOOKUP(PV_DATA[[#This Row],[New Ark SKU]],Table9[New Ark SKU],Table9[Connector],,0)</f>
        <v>EVO2A</v>
      </c>
      <c r="S1392" s="442" t="str">
        <f>_xlfn.XLOOKUP(PV_DATA[[#This Row],[New Ark SKU]],Table9[New Ark SKU],Table9[Cable],,0)</f>
        <v>±1400mm</v>
      </c>
      <c r="T1392" s="1242">
        <v>720</v>
      </c>
      <c r="U1392" s="1243">
        <f>594*6</f>
        <v>3564</v>
      </c>
      <c r="V1392" s="1244">
        <f>PV_DATA[[#This Row],[QUANTITY]]*PV_DATA[[#This Row],[WATT]]/1000000</f>
        <v>2.5660799999999999</v>
      </c>
      <c r="W1392" s="466">
        <f>PV_DATA[[#This Row],[QUANTITY]]/PV_DATA[[#This Row],[Qty/Pallet]]</f>
        <v>108</v>
      </c>
      <c r="X1392" s="1022">
        <f>PV_DATA[[#This Row],[QUANTITY]]/PV_DATA[[#This Row],[Qty/CT]]</f>
        <v>6</v>
      </c>
      <c r="Y1392" s="431" t="s">
        <v>7628</v>
      </c>
      <c r="Z1392" s="1245" t="str">
        <f t="shared" si="56"/>
        <v/>
      </c>
      <c r="AA1392" s="1239" t="s">
        <v>7727</v>
      </c>
      <c r="AB1392" s="1246"/>
      <c r="AC1392" s="1247" t="str">
        <f>IF(PV_DATA[[#This Row],[Pick-Up Date]]&lt;&gt;"",_xlfn.ISOWEEKNUM(PV_DATA[[#This Row],[Pick-Up Date]]),"")</f>
        <v/>
      </c>
      <c r="AD1392" s="1239"/>
      <c r="AE1392" s="1242"/>
      <c r="AF1392" s="431" t="s">
        <v>122</v>
      </c>
      <c r="AG1392" s="431" t="s">
        <v>123</v>
      </c>
      <c r="AH1392" s="625" t="s">
        <v>78</v>
      </c>
      <c r="AI1392" s="1246"/>
      <c r="AJ1392" s="1246"/>
      <c r="AK1392" s="1246"/>
      <c r="AL1392" s="1246"/>
      <c r="AM1392" s="1251"/>
      <c r="AN1392" s="1251"/>
      <c r="AO1392" s="1239"/>
      <c r="AP1392" s="1239"/>
      <c r="AQ1392" s="1248"/>
      <c r="AR1392" s="1239"/>
      <c r="AS1392" s="1239"/>
      <c r="AT1392" s="1239"/>
      <c r="AU1392" s="1239"/>
      <c r="AV1392" s="1239"/>
      <c r="AW1392" s="1246" cm="1">
        <f t="array" ref="AW139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46091</v>
      </c>
      <c r="AX139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92" s="1246">
        <f>IF(ISERROR(PV_DATA[[#This Row],[New Ark PO status]]),"",_xlfn.XLOOKUP(PV_DATA[[#This Row],[SPTN-PVHK New Ark PO'#]],New_Ark_Data[Purchase order Number],New_Ark_Data[Estimated time of arrival],"",0))</f>
        <v>0</v>
      </c>
      <c r="AZ1392" s="12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392" s="1246">
        <f>IFERROR(PV_DATA[[#This Row],[ODP ETA Port]]+PV_DATA[[#This Row],[Customs/Leg3 Assumption]],"n/a")</f>
        <v>46099</v>
      </c>
      <c r="BB1392" s="1242">
        <f>YEAR(PV_DATA[[#This Row],[ETA for New Ark update]])</f>
        <v>2026</v>
      </c>
      <c r="BC1392" s="1239">
        <f>MONTH(PV_DATA[[#This Row],[ETA for New Ark update]])</f>
        <v>3</v>
      </c>
      <c r="BD1392" s="1239">
        <f>IFERROR(_xlfn.ISOWEEKNUM(PV_DATA[[#This Row],[ETA for New Ark update]]),0)</f>
        <v>12</v>
      </c>
      <c r="BE1392" s="1239">
        <f>_xlfn.XLOOKUP(PV_DATA[[#This Row],[New Ark SKU]],Table9[New Ark SKU],Table9[Total PCS per Pallet],,0)</f>
        <v>33</v>
      </c>
      <c r="BF1392" s="1239">
        <f>_xlfn.XLOOKUP(PV_DATA[[#This Row],[New Ark SKU]],Table9[New Ark SKU],Table9[Total PCS per 40HQ Container],,0)</f>
        <v>594</v>
      </c>
      <c r="BG1392" s="431" t="str">
        <f>_xlfn.XLOOKUP(PV_DATA[[#This Row],[New Ark SKU]],Table9[New Ark SKU],Table9[Back Glass],,0)</f>
        <v>Transparent</v>
      </c>
      <c r="BH1392" s="1249" t="str">
        <f>_xlfn.XLOOKUP(PV_DATA[[#This Row],[PORT DESTINATION]],Table12[PORT DESTINATION],Table12[Cosco Line],,0)</f>
        <v>AEM</v>
      </c>
    </row>
    <row r="1393" spans="1:62" hidden="1">
      <c r="A1393" s="1238" t="s">
        <v>7728</v>
      </c>
      <c r="B1393" s="726" t="s">
        <v>111</v>
      </c>
      <c r="C1393" s="1238" t="str">
        <f>IFERROR(LEFT(PV_DATA[[#This Row],[TCL REFERENCE]],FIND(".",PV_DATA[[#This Row],[TCL REFERENCE]],1)-1),"Main Line")</f>
        <v>26Oct019</v>
      </c>
      <c r="D1393" s="726" t="s">
        <v>113</v>
      </c>
      <c r="E1393" s="726" t="s">
        <v>64</v>
      </c>
      <c r="F1393" s="726" t="str" cm="1">
        <f t="array" ref="F1393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393" s="726" t="s">
        <v>402</v>
      </c>
      <c r="H1393" s="726" t="s">
        <v>67</v>
      </c>
      <c r="I1393" s="431" t="s">
        <v>689</v>
      </c>
      <c r="J1393" s="619" t="s">
        <v>7701</v>
      </c>
      <c r="K1393" s="619"/>
      <c r="L1393" s="619"/>
      <c r="M1393" s="619" t="s">
        <v>68</v>
      </c>
      <c r="N1393" s="1256">
        <v>46340</v>
      </c>
      <c r="O1393" s="1255" t="s">
        <v>4540</v>
      </c>
      <c r="P1393" s="1241" t="s">
        <v>7719</v>
      </c>
      <c r="Q1393" s="1239" t="s">
        <v>7720</v>
      </c>
      <c r="R1393" s="431" t="str">
        <f>_xlfn.XLOOKUP(PV_DATA[[#This Row],[New Ark SKU]],Table9[New Ark SKU],Table9[Connector],,0)</f>
        <v>EVO2A</v>
      </c>
      <c r="S1393" s="442" t="str">
        <f>_xlfn.XLOOKUP(PV_DATA[[#This Row],[New Ark SKU]],Table9[New Ark SKU],Table9[Cable],,0)</f>
        <v>±1400mm</v>
      </c>
      <c r="T1393" s="1242">
        <v>720</v>
      </c>
      <c r="U1393" s="1243">
        <f>594*7.5</f>
        <v>4455</v>
      </c>
      <c r="V1393" s="1244">
        <f>PV_DATA[[#This Row],[QUANTITY]]*PV_DATA[[#This Row],[WATT]]/1000000</f>
        <v>3.2075999999999998</v>
      </c>
      <c r="W1393" s="466">
        <f>PV_DATA[[#This Row],[QUANTITY]]/PV_DATA[[#This Row],[Qty/Pallet]]</f>
        <v>135</v>
      </c>
      <c r="X1393" s="1022">
        <f>PV_DATA[[#This Row],[QUANTITY]]/PV_DATA[[#This Row],[Qty/CT]]</f>
        <v>7.5</v>
      </c>
      <c r="Y1393" s="431" t="s">
        <v>7729</v>
      </c>
      <c r="Z1393" s="1245" t="str">
        <f t="shared" si="56"/>
        <v/>
      </c>
      <c r="AA1393" s="1239" t="s">
        <v>7730</v>
      </c>
      <c r="AB1393" s="1246"/>
      <c r="AC1393" s="1247" t="str">
        <f>IF(PV_DATA[[#This Row],[Pick-Up Date]]&lt;&gt;"",_xlfn.ISOWEEKNUM(PV_DATA[[#This Row],[Pick-Up Date]]),"")</f>
        <v/>
      </c>
      <c r="AD1393" s="1239"/>
      <c r="AE1393" s="1242"/>
      <c r="AF1393" s="431" t="s">
        <v>122</v>
      </c>
      <c r="AG1393" s="431" t="s">
        <v>123</v>
      </c>
      <c r="AH1393" s="625" t="s">
        <v>78</v>
      </c>
      <c r="AI1393" s="1246"/>
      <c r="AJ1393" s="1246"/>
      <c r="AK1393" s="1246"/>
      <c r="AL1393" s="1246"/>
      <c r="AM1393" s="1251"/>
      <c r="AN1393" s="1251"/>
      <c r="AO1393" s="1239"/>
      <c r="AP1393" s="1239"/>
      <c r="AQ1393" s="1248"/>
      <c r="AR1393" s="1239"/>
      <c r="AS1393" s="1239"/>
      <c r="AT1393" s="1239"/>
      <c r="AU1393" s="1239"/>
      <c r="AV1393" s="1239"/>
      <c r="AW1393" s="1246" cm="1">
        <f t="array" ref="AW139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46133</v>
      </c>
      <c r="AX139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93" s="1246">
        <f>IF(ISERROR(PV_DATA[[#This Row],[New Ark PO status]]),"",_xlfn.XLOOKUP(PV_DATA[[#This Row],[SPTN-PVHK New Ark PO'#]],New_Ark_Data[Purchase order Number],New_Ark_Data[Estimated time of arrival],"",0))</f>
        <v>0</v>
      </c>
      <c r="AZ1393" s="12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393" s="1246">
        <f>IFERROR(PV_DATA[[#This Row],[ODP ETA Port]]+PV_DATA[[#This Row],[Customs/Leg3 Assumption]],"n/a")</f>
        <v>46141</v>
      </c>
      <c r="BB1393" s="1242">
        <f>YEAR(PV_DATA[[#This Row],[ETA for New Ark update]])</f>
        <v>2026</v>
      </c>
      <c r="BC1393" s="1239">
        <f>MONTH(PV_DATA[[#This Row],[ETA for New Ark update]])</f>
        <v>4</v>
      </c>
      <c r="BD1393" s="1239">
        <f>IFERROR(_xlfn.ISOWEEKNUM(PV_DATA[[#This Row],[ETA for New Ark update]]),0)</f>
        <v>18</v>
      </c>
      <c r="BE1393" s="1239">
        <f>_xlfn.XLOOKUP(PV_DATA[[#This Row],[New Ark SKU]],Table9[New Ark SKU],Table9[Total PCS per Pallet],,0)</f>
        <v>33</v>
      </c>
      <c r="BF1393" s="1239">
        <f>_xlfn.XLOOKUP(PV_DATA[[#This Row],[New Ark SKU]],Table9[New Ark SKU],Table9[Total PCS per 40HQ Container],,0)</f>
        <v>594</v>
      </c>
      <c r="BG1393" s="431" t="str">
        <f>_xlfn.XLOOKUP(PV_DATA[[#This Row],[New Ark SKU]],Table9[New Ark SKU],Table9[Back Glass],,0)</f>
        <v>Transparent</v>
      </c>
      <c r="BH1393" s="1249" t="str">
        <f>_xlfn.XLOOKUP(PV_DATA[[#This Row],[PORT DESTINATION]],Table12[PORT DESTINATION],Table12[Cosco Line],,0)</f>
        <v>AEM</v>
      </c>
    </row>
    <row r="1394" spans="1:62" hidden="1">
      <c r="A1394" s="1238" t="s">
        <v>7731</v>
      </c>
      <c r="B1394" s="726" t="s">
        <v>111</v>
      </c>
      <c r="C1394" s="1238" t="str">
        <f>IFERROR(LEFT(PV_DATA[[#This Row],[TCL REFERENCE]],FIND(".",PV_DATA[[#This Row],[TCL REFERENCE]],1)-1),"Main Line")</f>
        <v>26Oct019</v>
      </c>
      <c r="D1394" s="726" t="s">
        <v>113</v>
      </c>
      <c r="E1394" s="726" t="s">
        <v>64</v>
      </c>
      <c r="F1394" s="726" t="str" cm="1">
        <f t="array" ref="F139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394" s="726" t="s">
        <v>402</v>
      </c>
      <c r="H1394" s="726" t="s">
        <v>67</v>
      </c>
      <c r="I1394" s="431" t="s">
        <v>689</v>
      </c>
      <c r="J1394" s="619" t="s">
        <v>7701</v>
      </c>
      <c r="K1394" s="619"/>
      <c r="L1394" s="619"/>
      <c r="M1394" s="619" t="s">
        <v>68</v>
      </c>
      <c r="N1394" s="1256">
        <v>46340</v>
      </c>
      <c r="O1394" s="1255" t="s">
        <v>4540</v>
      </c>
      <c r="P1394" s="1241" t="s">
        <v>7719</v>
      </c>
      <c r="Q1394" s="1239" t="s">
        <v>7720</v>
      </c>
      <c r="R1394" s="431" t="str">
        <f>_xlfn.XLOOKUP(PV_DATA[[#This Row],[New Ark SKU]],Table9[New Ark SKU],Table9[Connector],,0)</f>
        <v>EVO2A</v>
      </c>
      <c r="S1394" s="442" t="str">
        <f>_xlfn.XLOOKUP(PV_DATA[[#This Row],[New Ark SKU]],Table9[New Ark SKU],Table9[Cable],,0)</f>
        <v>±1400mm</v>
      </c>
      <c r="T1394" s="1242">
        <v>720</v>
      </c>
      <c r="U1394" s="1243">
        <f>594*6</f>
        <v>3564</v>
      </c>
      <c r="V1394" s="1244">
        <f>PV_DATA[[#This Row],[QUANTITY]]*PV_DATA[[#This Row],[WATT]]/1000000</f>
        <v>2.5660799999999999</v>
      </c>
      <c r="W1394" s="466">
        <f>PV_DATA[[#This Row],[QUANTITY]]/PV_DATA[[#This Row],[Qty/Pallet]]</f>
        <v>108</v>
      </c>
      <c r="X1394" s="1022">
        <f>PV_DATA[[#This Row],[QUANTITY]]/PV_DATA[[#This Row],[Qty/CT]]</f>
        <v>6</v>
      </c>
      <c r="Y1394" s="431" t="s">
        <v>7732</v>
      </c>
      <c r="Z1394" s="1245" t="str">
        <f t="shared" si="56"/>
        <v/>
      </c>
      <c r="AA1394" s="1239" t="s">
        <v>7733</v>
      </c>
      <c r="AB1394" s="1246"/>
      <c r="AC1394" s="1247" t="str">
        <f>IF(PV_DATA[[#This Row],[Pick-Up Date]]&lt;&gt;"",_xlfn.ISOWEEKNUM(PV_DATA[[#This Row],[Pick-Up Date]]),"")</f>
        <v/>
      </c>
      <c r="AD1394" s="1239"/>
      <c r="AE1394" s="1242"/>
      <c r="AF1394" s="431" t="s">
        <v>122</v>
      </c>
      <c r="AG1394" s="431" t="s">
        <v>123</v>
      </c>
      <c r="AH1394" s="625" t="s">
        <v>78</v>
      </c>
      <c r="AI1394" s="1246"/>
      <c r="AJ1394" s="1246"/>
      <c r="AK1394" s="1246"/>
      <c r="AL1394" s="1246"/>
      <c r="AM1394" s="1251"/>
      <c r="AN1394" s="1251"/>
      <c r="AO1394" s="1239"/>
      <c r="AP1394" s="1239"/>
      <c r="AQ1394" s="1248"/>
      <c r="AR1394" s="1239"/>
      <c r="AS1394" s="1239"/>
      <c r="AT1394" s="1239"/>
      <c r="AU1394" s="1239"/>
      <c r="AV1394" s="1239"/>
      <c r="AW1394" s="1246" cm="1">
        <f t="array" ref="AW139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46140</v>
      </c>
      <c r="AX139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94" s="1246">
        <f>IF(ISERROR(PV_DATA[[#This Row],[New Ark PO status]]),"",_xlfn.XLOOKUP(PV_DATA[[#This Row],[SPTN-PVHK New Ark PO'#]],New_Ark_Data[Purchase order Number],New_Ark_Data[Estimated time of arrival],"",0))</f>
        <v>0</v>
      </c>
      <c r="AZ1394" s="12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394" s="1246">
        <f>IFERROR(PV_DATA[[#This Row],[ODP ETA Port]]+PV_DATA[[#This Row],[Customs/Leg3 Assumption]],"n/a")</f>
        <v>46148</v>
      </c>
      <c r="BB1394" s="1242">
        <f>YEAR(PV_DATA[[#This Row],[ETA for New Ark update]])</f>
        <v>2026</v>
      </c>
      <c r="BC1394" s="1239">
        <f>MONTH(PV_DATA[[#This Row],[ETA for New Ark update]])</f>
        <v>5</v>
      </c>
      <c r="BD1394" s="1239">
        <f>IFERROR(_xlfn.ISOWEEKNUM(PV_DATA[[#This Row],[ETA for New Ark update]]),0)</f>
        <v>19</v>
      </c>
      <c r="BE1394" s="1239">
        <f>_xlfn.XLOOKUP(PV_DATA[[#This Row],[New Ark SKU]],Table9[New Ark SKU],Table9[Total PCS per Pallet],,0)</f>
        <v>33</v>
      </c>
      <c r="BF1394" s="1239">
        <f>_xlfn.XLOOKUP(PV_DATA[[#This Row],[New Ark SKU]],Table9[New Ark SKU],Table9[Total PCS per 40HQ Container],,0)</f>
        <v>594</v>
      </c>
      <c r="BG1394" s="431" t="str">
        <f>_xlfn.XLOOKUP(PV_DATA[[#This Row],[New Ark SKU]],Table9[New Ark SKU],Table9[Back Glass],,0)</f>
        <v>Transparent</v>
      </c>
      <c r="BH1394" s="1249" t="str">
        <f>_xlfn.XLOOKUP(PV_DATA[[#This Row],[PORT DESTINATION]],Table12[PORT DESTINATION],Table12[Cosco Line],,0)</f>
        <v>AEM</v>
      </c>
    </row>
    <row r="1395" spans="1:62" hidden="1">
      <c r="A1395" s="1238" t="s">
        <v>7734</v>
      </c>
      <c r="B1395" s="1238" t="s">
        <v>61</v>
      </c>
      <c r="C1395" s="1238" t="str">
        <f>IFERROR(LEFT(PV_DATA[[#This Row],[TCL REFERENCE]],FIND(".",PV_DATA[[#This Row],[TCL REFERENCE]],1)-1),"Main Line")</f>
        <v>Main Line</v>
      </c>
      <c r="D1395" s="726" t="s">
        <v>113</v>
      </c>
      <c r="E1395" s="726" t="s">
        <v>68</v>
      </c>
      <c r="F1395" s="726" t="str" cm="1">
        <f t="array" ref="F1395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95" s="726" t="s">
        <v>68</v>
      </c>
      <c r="H1395" s="726" t="s">
        <v>68</v>
      </c>
      <c r="I1395" s="431" t="s">
        <v>68</v>
      </c>
      <c r="J1395" s="619" t="s">
        <v>68</v>
      </c>
      <c r="K1395" s="619"/>
      <c r="L1395" s="619"/>
      <c r="M1395" s="619" t="s">
        <v>68</v>
      </c>
      <c r="N1395" s="1240">
        <v>46358</v>
      </c>
      <c r="O1395" s="431" t="s">
        <v>284</v>
      </c>
      <c r="P1395" s="1241" t="s">
        <v>7735</v>
      </c>
      <c r="Q1395" s="1239" t="s">
        <v>7736</v>
      </c>
      <c r="R1395" s="431" t="s">
        <v>73</v>
      </c>
      <c r="S1395" s="442" t="s">
        <v>7737</v>
      </c>
      <c r="T1395" s="1242">
        <v>655</v>
      </c>
      <c r="U1395" s="1243" cm="1">
        <f t="array" ref="U1395">8964-fx_qty</f>
        <v>0</v>
      </c>
      <c r="V1395" s="1244">
        <f>PV_DATA[[#This Row],[QUANTITY]]*PV_DATA[[#This Row],[WATT]]/1000000</f>
        <v>0</v>
      </c>
      <c r="W1395" s="466">
        <f>PV_DATA[[#This Row],[QUANTITY]]/PV_DATA[[#This Row],[Qty/Pallet]]</f>
        <v>0</v>
      </c>
      <c r="X1395" s="1022">
        <f>PV_DATA[[#This Row],[QUANTITY]]/PV_DATA[[#This Row],[Qty/CT]]</f>
        <v>0</v>
      </c>
      <c r="Y1395" s="431" t="s">
        <v>7039</v>
      </c>
      <c r="Z1395" s="1245" t="str">
        <f t="shared" si="55"/>
        <v/>
      </c>
      <c r="AA1395" s="1239"/>
      <c r="AB1395" s="1246"/>
      <c r="AC1395" s="1247" t="str">
        <f>IF(PV_DATA[[#This Row],[Pick-Up Date]]&lt;&gt;"",_xlfn.ISOWEEKNUM(PV_DATA[[#This Row],[Pick-Up Date]]),"")</f>
        <v/>
      </c>
      <c r="AD1395" s="1239"/>
      <c r="AE1395" s="1242"/>
      <c r="AF1395" s="1239" t="s">
        <v>61</v>
      </c>
      <c r="AG1395" s="1239" t="s">
        <v>61</v>
      </c>
      <c r="AH1395" s="625" t="s">
        <v>68</v>
      </c>
      <c r="AI1395" s="1246"/>
      <c r="AJ1395" s="1246"/>
      <c r="AK1395" s="1246"/>
      <c r="AL1395" s="1246"/>
      <c r="AM1395" s="1251"/>
      <c r="AN1395" s="1251"/>
      <c r="AO1395" s="1239"/>
      <c r="AP1395" s="1239"/>
      <c r="AQ1395" s="1248"/>
      <c r="AR1395" s="1239"/>
      <c r="AS1395" s="1239"/>
      <c r="AT1395" s="1239"/>
      <c r="AU1395" s="1239"/>
      <c r="AV1395" s="1239"/>
      <c r="AW1395" s="1246" t="str" cm="1">
        <f t="array" ref="AW139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9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95" s="1246">
        <f>IF(ISERROR(PV_DATA[[#This Row],[New Ark PO status]]),"",_xlfn.XLOOKUP(PV_DATA[[#This Row],[SPTN-PVHK New Ark PO'#]],New_Ark_Data[Purchase order Number],New_Ark_Data[Estimated time of arrival],"",0))</f>
        <v>0</v>
      </c>
      <c r="AZ1395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95" s="1246" t="str">
        <f>IFERROR(PV_DATA[[#This Row],[ODP ETA Port]]+PV_DATA[[#This Row],[Customs/Leg3 Assumption]],"n/a")</f>
        <v>n/a</v>
      </c>
      <c r="BB1395" s="1242" t="e">
        <f>YEAR(PV_DATA[[#This Row],[ETA for New Ark update]])</f>
        <v>#VALUE!</v>
      </c>
      <c r="BC1395" s="1239" t="e">
        <f>MONTH(PV_DATA[[#This Row],[ETA for New Ark update]])</f>
        <v>#VALUE!</v>
      </c>
      <c r="BD1395" s="1239">
        <f>IFERROR(_xlfn.ISOWEEKNUM(PV_DATA[[#This Row],[ETA for New Ark update]]),0)</f>
        <v>0</v>
      </c>
      <c r="BE1395" s="1239">
        <f>_xlfn.XLOOKUP(PV_DATA[[#This Row],[New Ark SKU]],Table9[New Ark SKU],Table9[Total PCS per Pallet],,0)</f>
        <v>36</v>
      </c>
      <c r="BF1395" s="1239">
        <f>_xlfn.XLOOKUP(PV_DATA[[#This Row],[New Ark SKU]],Table9[New Ark SKU],Table9[Total PCS per 40HQ Container],,0)</f>
        <v>720</v>
      </c>
      <c r="BG1395" s="431" t="str">
        <f>_xlfn.XLOOKUP(PV_DATA[[#This Row],[New Ark SKU]],Table9[New Ark SKU],Table9[Back Glass],,0)</f>
        <v>White glazing</v>
      </c>
      <c r="BH1395" s="1249" t="str">
        <f>_xlfn.XLOOKUP(PV_DATA[[#This Row],[PORT DESTINATION]],Table12[PORT DESTINATION],Table12[Cosco Line],,0)</f>
        <v>n/a</v>
      </c>
    </row>
    <row r="1396" spans="1:62" s="1444" customFormat="1" hidden="1">
      <c r="A1396" s="1442" t="s">
        <v>7738</v>
      </c>
      <c r="B1396" s="1442" t="s">
        <v>61</v>
      </c>
      <c r="C1396" s="1442" t="str">
        <f>IFERROR(LEFT(PV_DATA[[#This Row],[TCL REFERENCE]],FIND(".",PV_DATA[[#This Row],[TCL REFERENCE]],1)-1),"Main Line")</f>
        <v>26Oct020</v>
      </c>
      <c r="D1396" s="1443" t="s">
        <v>113</v>
      </c>
      <c r="E1396" s="1443" t="s">
        <v>64</v>
      </c>
      <c r="F1396" s="1443" t="str" cm="1">
        <f t="array" ref="F139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396" s="1443" t="s">
        <v>402</v>
      </c>
      <c r="H1396" s="1443" t="s">
        <v>67</v>
      </c>
      <c r="I1396" s="1444" t="s">
        <v>822</v>
      </c>
      <c r="J1396" s="1445" t="s">
        <v>7739</v>
      </c>
      <c r="K1396" s="1445"/>
      <c r="L1396" s="1445"/>
      <c r="M1396" s="1445" t="s">
        <v>68</v>
      </c>
      <c r="N1396" s="1446">
        <v>46358</v>
      </c>
      <c r="O1396" s="1444" t="s">
        <v>284</v>
      </c>
      <c r="P1396" s="1447" t="s">
        <v>7735</v>
      </c>
      <c r="Q1396" s="1447" t="s">
        <v>7736</v>
      </c>
      <c r="R1396" s="1444" t="s">
        <v>73</v>
      </c>
      <c r="S1396" s="1448" t="s">
        <v>7737</v>
      </c>
      <c r="T1396" s="1449">
        <v>655</v>
      </c>
      <c r="U1396" s="1450">
        <f>720*10</f>
        <v>7200</v>
      </c>
      <c r="V1396" s="1451">
        <f>PV_DATA[[#This Row],[QUANTITY]]*PV_DATA[[#This Row],[WATT]]/1000000</f>
        <v>4.7160000000000002</v>
      </c>
      <c r="W1396" s="1452">
        <f>PV_DATA[[#This Row],[QUANTITY]]/PV_DATA[[#This Row],[Qty/Pallet]]</f>
        <v>200</v>
      </c>
      <c r="X1396" s="1453">
        <f>PV_DATA[[#This Row],[QUANTITY]]/PV_DATA[[#This Row],[Qty/CT]]</f>
        <v>10</v>
      </c>
      <c r="Y1396" s="1444" t="s">
        <v>4389</v>
      </c>
      <c r="Z1396" s="1454" t="str">
        <f t="shared" si="55"/>
        <v/>
      </c>
      <c r="AA1396" s="1447" t="s">
        <v>7740</v>
      </c>
      <c r="AB1396" s="1455"/>
      <c r="AC1396" s="1456" t="str">
        <f>IF(PV_DATA[[#This Row],[Pick-Up Date]]&lt;&gt;"",_xlfn.ISOWEEKNUM(PV_DATA[[#This Row],[Pick-Up Date]]),"")</f>
        <v/>
      </c>
      <c r="AD1396" s="1447"/>
      <c r="AE1396" s="1449"/>
      <c r="AF1396" s="1447" t="s">
        <v>61</v>
      </c>
      <c r="AG1396" s="1447" t="s">
        <v>61</v>
      </c>
      <c r="AH1396" s="1457" t="s">
        <v>78</v>
      </c>
      <c r="AI1396" s="1455"/>
      <c r="AJ1396" s="1455"/>
      <c r="AK1396" s="1455"/>
      <c r="AL1396" s="1455"/>
      <c r="AM1396" s="1458"/>
      <c r="AN1396" s="1458"/>
      <c r="AO1396" s="1447"/>
      <c r="AP1396" s="1447"/>
      <c r="AQ1396" s="1459"/>
      <c r="AR1396" s="1447"/>
      <c r="AS1396" s="1447"/>
      <c r="AT1396" s="1447"/>
      <c r="AU1396" s="1447"/>
      <c r="AV1396" s="1447"/>
      <c r="AW1396" s="1455" cm="1">
        <f t="array" ref="AW139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46420</v>
      </c>
      <c r="AX1396" s="1460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96" s="1455">
        <f>IF(ISERROR(PV_DATA[[#This Row],[New Ark PO status]]),"",_xlfn.XLOOKUP(PV_DATA[[#This Row],[SPTN-PVHK New Ark PO'#]],New_Ark_Data[Purchase order Number],New_Ark_Data[Estimated time of arrival],"",0))</f>
        <v>0</v>
      </c>
      <c r="AZ1396" s="1449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396" s="1455">
        <f>IFERROR(PV_DATA[[#This Row],[ODP ETA Port]]+PV_DATA[[#This Row],[Customs/Leg3 Assumption]],"n/a")</f>
        <v>46428</v>
      </c>
      <c r="BB1396" s="1449">
        <f>YEAR(PV_DATA[[#This Row],[ETA for New Ark update]])</f>
        <v>2027</v>
      </c>
      <c r="BC1396" s="1447">
        <f>MONTH(PV_DATA[[#This Row],[ETA for New Ark update]])</f>
        <v>2</v>
      </c>
      <c r="BD1396" s="1447">
        <f>IFERROR(_xlfn.ISOWEEKNUM(PV_DATA[[#This Row],[ETA for New Ark update]]),0)</f>
        <v>6</v>
      </c>
      <c r="BE1396" s="1447">
        <f>_xlfn.XLOOKUP(PV_DATA[[#This Row],[New Ark SKU]],Table9[New Ark SKU],Table9[Total PCS per Pallet],,0)</f>
        <v>36</v>
      </c>
      <c r="BF1396" s="1447">
        <f>_xlfn.XLOOKUP(PV_DATA[[#This Row],[New Ark SKU]],Table9[New Ark SKU],Table9[Total PCS per 40HQ Container],,0)</f>
        <v>720</v>
      </c>
      <c r="BG1396" s="1444" t="str">
        <f>_xlfn.XLOOKUP(PV_DATA[[#This Row],[New Ark SKU]],Table9[New Ark SKU],Table9[Back Glass],,0)</f>
        <v>White glazing</v>
      </c>
      <c r="BH1396" s="1461" t="str">
        <f>_xlfn.XLOOKUP(PV_DATA[[#This Row],[PORT DESTINATION]],Table12[PORT DESTINATION],Table12[Cosco Line],,0)</f>
        <v>AEM</v>
      </c>
      <c r="BJ1396" s="1462"/>
    </row>
    <row r="1397" spans="1:62" s="1444" customFormat="1" hidden="1">
      <c r="A1397" s="1442" t="s">
        <v>7741</v>
      </c>
      <c r="B1397" s="1442" t="s">
        <v>61</v>
      </c>
      <c r="C1397" s="1442" t="str">
        <f>IFERROR(LEFT(PV_DATA[[#This Row],[TCL REFERENCE]],FIND(".",PV_DATA[[#This Row],[TCL REFERENCE]],1)-1),"Main Line")</f>
        <v>26Oct020</v>
      </c>
      <c r="D1397" s="1443" t="s">
        <v>113</v>
      </c>
      <c r="E1397" s="1443" t="s">
        <v>64</v>
      </c>
      <c r="F1397" s="1443" t="str" cm="1">
        <f t="array" ref="F139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397" s="1443" t="s">
        <v>402</v>
      </c>
      <c r="H1397" s="1443" t="s">
        <v>67</v>
      </c>
      <c r="I1397" s="1444" t="s">
        <v>822</v>
      </c>
      <c r="J1397" s="1445" t="s">
        <v>7739</v>
      </c>
      <c r="K1397" s="1445"/>
      <c r="L1397" s="1445"/>
      <c r="M1397" s="1445" t="s">
        <v>68</v>
      </c>
      <c r="N1397" s="1446">
        <v>46358</v>
      </c>
      <c r="O1397" s="1444" t="s">
        <v>284</v>
      </c>
      <c r="P1397" s="1447" t="s">
        <v>7735</v>
      </c>
      <c r="Q1397" s="1447" t="s">
        <v>7736</v>
      </c>
      <c r="R1397" s="1444" t="s">
        <v>73</v>
      </c>
      <c r="S1397" s="1448" t="s">
        <v>7737</v>
      </c>
      <c r="T1397" s="1449">
        <v>655</v>
      </c>
      <c r="U1397" s="1450">
        <f>1764</f>
        <v>1764</v>
      </c>
      <c r="V1397" s="1451">
        <f>PV_DATA[[#This Row],[QUANTITY]]*PV_DATA[[#This Row],[WATT]]/1000000</f>
        <v>1.1554199999999999</v>
      </c>
      <c r="W1397" s="1452">
        <f>PV_DATA[[#This Row],[QUANTITY]]/PV_DATA[[#This Row],[Qty/Pallet]]</f>
        <v>49</v>
      </c>
      <c r="X1397" s="1453">
        <f>PV_DATA[[#This Row],[QUANTITY]]/PV_DATA[[#This Row],[Qty/CT]]</f>
        <v>2.4500000000000002</v>
      </c>
      <c r="Y1397" s="1444" t="s">
        <v>4390</v>
      </c>
      <c r="Z1397" s="1454" t="str">
        <f t="shared" si="55"/>
        <v/>
      </c>
      <c r="AA1397" s="1447" t="s">
        <v>7742</v>
      </c>
      <c r="AB1397" s="1455"/>
      <c r="AC1397" s="1456" t="str">
        <f>IF(PV_DATA[[#This Row],[Pick-Up Date]]&lt;&gt;"",_xlfn.ISOWEEKNUM(PV_DATA[[#This Row],[Pick-Up Date]]),"")</f>
        <v/>
      </c>
      <c r="AD1397" s="1447"/>
      <c r="AE1397" s="1449"/>
      <c r="AF1397" s="1447" t="s">
        <v>61</v>
      </c>
      <c r="AG1397" s="1447" t="s">
        <v>61</v>
      </c>
      <c r="AH1397" s="1457" t="s">
        <v>78</v>
      </c>
      <c r="AI1397" s="1455"/>
      <c r="AJ1397" s="1455"/>
      <c r="AK1397" s="1455"/>
      <c r="AL1397" s="1455"/>
      <c r="AM1397" s="1458"/>
      <c r="AN1397" s="1458"/>
      <c r="AO1397" s="1447"/>
      <c r="AP1397" s="1447"/>
      <c r="AQ1397" s="1459"/>
      <c r="AR1397" s="1447"/>
      <c r="AS1397" s="1447"/>
      <c r="AT1397" s="1447"/>
      <c r="AU1397" s="1447"/>
      <c r="AV1397" s="1447"/>
      <c r="AW1397" s="1455" cm="1">
        <f t="array" ref="AW139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46427</v>
      </c>
      <c r="AX1397" s="1460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97" s="1455">
        <f>IF(ISERROR(PV_DATA[[#This Row],[New Ark PO status]]),"",_xlfn.XLOOKUP(PV_DATA[[#This Row],[SPTN-PVHK New Ark PO'#]],New_Ark_Data[Purchase order Number],New_Ark_Data[Estimated time of arrival],"",0))</f>
        <v>0</v>
      </c>
      <c r="AZ1397" s="1449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397" s="1455">
        <f>IFERROR(PV_DATA[[#This Row],[ODP ETA Port]]+PV_DATA[[#This Row],[Customs/Leg3 Assumption]],"n/a")</f>
        <v>46435</v>
      </c>
      <c r="BB1397" s="1449">
        <f>YEAR(PV_DATA[[#This Row],[ETA for New Ark update]])</f>
        <v>2027</v>
      </c>
      <c r="BC1397" s="1447">
        <f>MONTH(PV_DATA[[#This Row],[ETA for New Ark update]])</f>
        <v>2</v>
      </c>
      <c r="BD1397" s="1447">
        <f>IFERROR(_xlfn.ISOWEEKNUM(PV_DATA[[#This Row],[ETA for New Ark update]]),0)</f>
        <v>7</v>
      </c>
      <c r="BE1397" s="1447">
        <f>_xlfn.XLOOKUP(PV_DATA[[#This Row],[New Ark SKU]],Table9[New Ark SKU],Table9[Total PCS per Pallet],,0)</f>
        <v>36</v>
      </c>
      <c r="BF1397" s="1447">
        <f>_xlfn.XLOOKUP(PV_DATA[[#This Row],[New Ark SKU]],Table9[New Ark SKU],Table9[Total PCS per 40HQ Container],,0)</f>
        <v>720</v>
      </c>
      <c r="BG1397" s="1444" t="str">
        <f>_xlfn.XLOOKUP(PV_DATA[[#This Row],[New Ark SKU]],Table9[New Ark SKU],Table9[Back Glass],,0)</f>
        <v>White glazing</v>
      </c>
      <c r="BH1397" s="1461" t="str">
        <f>_xlfn.XLOOKUP(PV_DATA[[#This Row],[PORT DESTINATION]],Table12[PORT DESTINATION],Table12[Cosco Line],,0)</f>
        <v>AEM</v>
      </c>
      <c r="BJ1397" s="1462"/>
    </row>
    <row r="1398" spans="1:62" hidden="1">
      <c r="A1398" s="1238" t="s">
        <v>7743</v>
      </c>
      <c r="B1398" s="1238" t="s">
        <v>61</v>
      </c>
      <c r="C1398" s="1238" t="str">
        <f>IFERROR(LEFT(PV_DATA[[#This Row],[TCL REFERENCE]],FIND(".",PV_DATA[[#This Row],[TCL REFERENCE]],1)-1),"Main Line")</f>
        <v>Main Line</v>
      </c>
      <c r="D1398" s="726" t="s">
        <v>113</v>
      </c>
      <c r="E1398" s="726" t="s">
        <v>68</v>
      </c>
      <c r="F1398" s="726" t="str" cm="1">
        <f t="array" ref="F1398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398" s="726" t="s">
        <v>68</v>
      </c>
      <c r="H1398" s="726" t="s">
        <v>68</v>
      </c>
      <c r="I1398" s="431" t="s">
        <v>68</v>
      </c>
      <c r="J1398" s="619" t="s">
        <v>68</v>
      </c>
      <c r="K1398" s="619"/>
      <c r="L1398" s="619"/>
      <c r="M1398" s="619" t="s">
        <v>68</v>
      </c>
      <c r="N1398" s="1240">
        <v>46358</v>
      </c>
      <c r="O1398" s="431" t="s">
        <v>284</v>
      </c>
      <c r="P1398" s="1241" t="s">
        <v>7744</v>
      </c>
      <c r="Q1398" s="1239" t="s">
        <v>7745</v>
      </c>
      <c r="R1398" s="431" t="s">
        <v>73</v>
      </c>
      <c r="S1398" s="442" t="s">
        <v>992</v>
      </c>
      <c r="T1398" s="1242">
        <v>650</v>
      </c>
      <c r="U1398" s="1243" cm="1">
        <f t="array" ref="U1398">29340-fx_qty</f>
        <v>0</v>
      </c>
      <c r="V1398" s="1244">
        <f>PV_DATA[[#This Row],[QUANTITY]]*PV_DATA[[#This Row],[WATT]]/1000000</f>
        <v>0</v>
      </c>
      <c r="W1398" s="466">
        <f>PV_DATA[[#This Row],[QUANTITY]]/PV_DATA[[#This Row],[Qty/Pallet]]</f>
        <v>0</v>
      </c>
      <c r="X1398" s="1022">
        <f>PV_DATA[[#This Row],[QUANTITY]]/PV_DATA[[#This Row],[Qty/CT]]</f>
        <v>0</v>
      </c>
      <c r="Y1398" s="431" t="s">
        <v>7039</v>
      </c>
      <c r="Z1398" s="1245" t="str">
        <f t="shared" si="55"/>
        <v/>
      </c>
      <c r="AA1398" s="1239"/>
      <c r="AB1398" s="1246"/>
      <c r="AC1398" s="1247" t="str">
        <f>IF(PV_DATA[[#This Row],[Pick-Up Date]]&lt;&gt;"",_xlfn.ISOWEEKNUM(PV_DATA[[#This Row],[Pick-Up Date]]),"")</f>
        <v/>
      </c>
      <c r="AD1398" s="1239"/>
      <c r="AE1398" s="1242"/>
      <c r="AF1398" s="1239" t="s">
        <v>61</v>
      </c>
      <c r="AG1398" s="1239" t="s">
        <v>61</v>
      </c>
      <c r="AH1398" s="625" t="s">
        <v>68</v>
      </c>
      <c r="AI1398" s="1246"/>
      <c r="AJ1398" s="1246"/>
      <c r="AK1398" s="1246"/>
      <c r="AL1398" s="1246"/>
      <c r="AM1398" s="1251"/>
      <c r="AN1398" s="1251"/>
      <c r="AO1398" s="1239"/>
      <c r="AP1398" s="1239"/>
      <c r="AQ1398" s="1248"/>
      <c r="AR1398" s="1239"/>
      <c r="AS1398" s="1239"/>
      <c r="AT1398" s="1239"/>
      <c r="AU1398" s="1239"/>
      <c r="AV1398" s="1239"/>
      <c r="AW1398" s="1246" t="str" cm="1">
        <f t="array" ref="AW139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39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98" s="1246">
        <f>IF(ISERROR(PV_DATA[[#This Row],[New Ark PO status]]),"",_xlfn.XLOOKUP(PV_DATA[[#This Row],[SPTN-PVHK New Ark PO'#]],New_Ark_Data[Purchase order Number],New_Ark_Data[Estimated time of arrival],"",0))</f>
        <v>0</v>
      </c>
      <c r="AZ1398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398" s="1246" t="str">
        <f>IFERROR(PV_DATA[[#This Row],[ODP ETA Port]]+PV_DATA[[#This Row],[Customs/Leg3 Assumption]],"n/a")</f>
        <v>n/a</v>
      </c>
      <c r="BB1398" s="1242" t="e">
        <f>YEAR(PV_DATA[[#This Row],[ETA for New Ark update]])</f>
        <v>#VALUE!</v>
      </c>
      <c r="BC1398" s="1239" t="e">
        <f>MONTH(PV_DATA[[#This Row],[ETA for New Ark update]])</f>
        <v>#VALUE!</v>
      </c>
      <c r="BD1398" s="1239">
        <f>IFERROR(_xlfn.ISOWEEKNUM(PV_DATA[[#This Row],[ETA for New Ark update]]),0)</f>
        <v>0</v>
      </c>
      <c r="BE1398" s="1239">
        <f>_xlfn.XLOOKUP(PV_DATA[[#This Row],[New Ark SKU]],Table9[New Ark SKU],Table9[Total PCS per Pallet],,0)</f>
        <v>36</v>
      </c>
      <c r="BF1398" s="1239">
        <f>_xlfn.XLOOKUP(PV_DATA[[#This Row],[New Ark SKU]],Table9[New Ark SKU],Table9[Total PCS per 40HQ Container],,0)</f>
        <v>720</v>
      </c>
      <c r="BG1398" s="431" t="str">
        <f>_xlfn.XLOOKUP(PV_DATA[[#This Row],[New Ark SKU]],Table9[New Ark SKU],Table9[Back Glass],,0)</f>
        <v>White glazing</v>
      </c>
      <c r="BH1398" s="1249" t="str">
        <f>_xlfn.XLOOKUP(PV_DATA[[#This Row],[PORT DESTINATION]],Table12[PORT DESTINATION],Table12[Cosco Line],,0)</f>
        <v>n/a</v>
      </c>
    </row>
    <row r="1399" spans="1:62" s="1444" customFormat="1" hidden="1">
      <c r="A1399" s="1442" t="s">
        <v>7746</v>
      </c>
      <c r="B1399" s="1442" t="s">
        <v>61</v>
      </c>
      <c r="C1399" s="1442" t="str">
        <f>IFERROR(LEFT(PV_DATA[[#This Row],[TCL REFERENCE]],FIND(".",PV_DATA[[#This Row],[TCL REFERENCE]],1)-1),"Main Line")</f>
        <v>26Oct021</v>
      </c>
      <c r="D1399" s="1443" t="s">
        <v>113</v>
      </c>
      <c r="E1399" s="1443" t="s">
        <v>64</v>
      </c>
      <c r="F1399" s="1443" t="str" cm="1">
        <f t="array" ref="F1399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399" s="1443" t="s">
        <v>402</v>
      </c>
      <c r="H1399" s="1443" t="s">
        <v>67</v>
      </c>
      <c r="I1399" s="1444" t="s">
        <v>1395</v>
      </c>
      <c r="J1399" s="1445" t="s">
        <v>7747</v>
      </c>
      <c r="K1399" s="1445"/>
      <c r="L1399" s="1445"/>
      <c r="M1399" s="1445" t="s">
        <v>68</v>
      </c>
      <c r="N1399" s="1446">
        <v>46358</v>
      </c>
      <c r="O1399" s="1444" t="s">
        <v>284</v>
      </c>
      <c r="P1399" s="1447" t="s">
        <v>7744</v>
      </c>
      <c r="Q1399" s="1447" t="s">
        <v>7745</v>
      </c>
      <c r="R1399" s="1444" t="s">
        <v>73</v>
      </c>
      <c r="S1399" s="1448" t="s">
        <v>992</v>
      </c>
      <c r="T1399" s="1449">
        <v>650</v>
      </c>
      <c r="U1399" s="1450">
        <f>720*10</f>
        <v>7200</v>
      </c>
      <c r="V1399" s="1451">
        <f>PV_DATA[[#This Row],[QUANTITY]]*PV_DATA[[#This Row],[WATT]]/1000000</f>
        <v>4.68</v>
      </c>
      <c r="W1399" s="1452">
        <f>PV_DATA[[#This Row],[QUANTITY]]/PV_DATA[[#This Row],[Qty/Pallet]]</f>
        <v>200</v>
      </c>
      <c r="X1399" s="1453">
        <f>PV_DATA[[#This Row],[QUANTITY]]/PV_DATA[[#This Row],[Qty/CT]]</f>
        <v>10</v>
      </c>
      <c r="Y1399" s="1444" t="s">
        <v>4391</v>
      </c>
      <c r="Z1399" s="1454" t="str">
        <f t="shared" si="55"/>
        <v/>
      </c>
      <c r="AA1399" s="1447" t="s">
        <v>7748</v>
      </c>
      <c r="AB1399" s="1455"/>
      <c r="AC1399" s="1456" t="str">
        <f>IF(PV_DATA[[#This Row],[Pick-Up Date]]&lt;&gt;"",_xlfn.ISOWEEKNUM(PV_DATA[[#This Row],[Pick-Up Date]]),"")</f>
        <v/>
      </c>
      <c r="AD1399" s="1447"/>
      <c r="AE1399" s="1449"/>
      <c r="AF1399" s="1447" t="s">
        <v>61</v>
      </c>
      <c r="AG1399" s="1447" t="s">
        <v>61</v>
      </c>
      <c r="AH1399" s="1457" t="s">
        <v>78</v>
      </c>
      <c r="AI1399" s="1455"/>
      <c r="AJ1399" s="1455"/>
      <c r="AK1399" s="1455"/>
      <c r="AL1399" s="1455"/>
      <c r="AM1399" s="1458"/>
      <c r="AN1399" s="1458"/>
      <c r="AO1399" s="1447"/>
      <c r="AP1399" s="1447"/>
      <c r="AQ1399" s="1459"/>
      <c r="AR1399" s="1447"/>
      <c r="AS1399" s="1447"/>
      <c r="AT1399" s="1447"/>
      <c r="AU1399" s="1447"/>
      <c r="AV1399" s="1447"/>
      <c r="AW1399" s="1455" cm="1">
        <f t="array" ref="AW139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0</v>
      </c>
      <c r="AX1399" s="1460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399" s="1455">
        <f>IF(ISERROR(PV_DATA[[#This Row],[New Ark PO status]]),"",_xlfn.XLOOKUP(PV_DATA[[#This Row],[SPTN-PVHK New Ark PO'#]],New_Ark_Data[Purchase order Number],New_Ark_Data[Estimated time of arrival],"",0))</f>
        <v>0</v>
      </c>
      <c r="AZ1399" s="1449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399" s="1455">
        <f>IFERROR(PV_DATA[[#This Row],[ODP ETA Port]]+PV_DATA[[#This Row],[Customs/Leg3 Assumption]],"n/a")</f>
        <v>8</v>
      </c>
      <c r="BB1399" s="1449">
        <f>YEAR(PV_DATA[[#This Row],[ETA for New Ark update]])</f>
        <v>1900</v>
      </c>
      <c r="BC1399" s="1447">
        <f>MONTH(PV_DATA[[#This Row],[ETA for New Ark update]])</f>
        <v>1</v>
      </c>
      <c r="BD1399" s="1447">
        <f>IFERROR(_xlfn.ISOWEEKNUM(PV_DATA[[#This Row],[ETA for New Ark update]]),0)</f>
        <v>1</v>
      </c>
      <c r="BE1399" s="1447">
        <f>_xlfn.XLOOKUP(PV_DATA[[#This Row],[New Ark SKU]],Table9[New Ark SKU],Table9[Total PCS per Pallet],,0)</f>
        <v>36</v>
      </c>
      <c r="BF1399" s="1447">
        <f>_xlfn.XLOOKUP(PV_DATA[[#This Row],[New Ark SKU]],Table9[New Ark SKU],Table9[Total PCS per 40HQ Container],,0)</f>
        <v>720</v>
      </c>
      <c r="BG1399" s="1444" t="str">
        <f>_xlfn.XLOOKUP(PV_DATA[[#This Row],[New Ark SKU]],Table9[New Ark SKU],Table9[Back Glass],,0)</f>
        <v>White glazing</v>
      </c>
      <c r="BH1399" s="1461" t="str">
        <f>_xlfn.XLOOKUP(PV_DATA[[#This Row],[PORT DESTINATION]],Table12[PORT DESTINATION],Table12[Cosco Line],,0)</f>
        <v>AEM</v>
      </c>
      <c r="BJ1399" s="1462"/>
    </row>
    <row r="1400" spans="1:62" s="1444" customFormat="1" hidden="1">
      <c r="A1400" s="1442" t="s">
        <v>7749</v>
      </c>
      <c r="B1400" s="1442" t="s">
        <v>61</v>
      </c>
      <c r="C1400" s="1442" t="str">
        <f>IFERROR(LEFT(PV_DATA[[#This Row],[TCL REFERENCE]],FIND(".",PV_DATA[[#This Row],[TCL REFERENCE]],1)-1),"Main Line")</f>
        <v>26Oct021</v>
      </c>
      <c r="D1400" s="1443" t="s">
        <v>113</v>
      </c>
      <c r="E1400" s="1443" t="s">
        <v>64</v>
      </c>
      <c r="F1400" s="1443" t="str" cm="1">
        <f t="array" ref="F140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400" s="1443" t="s">
        <v>402</v>
      </c>
      <c r="H1400" s="1443" t="s">
        <v>67</v>
      </c>
      <c r="I1400" s="1444" t="s">
        <v>1395</v>
      </c>
      <c r="J1400" s="1445" t="s">
        <v>7747</v>
      </c>
      <c r="K1400" s="1445"/>
      <c r="L1400" s="1445"/>
      <c r="M1400" s="1445" t="s">
        <v>68</v>
      </c>
      <c r="N1400" s="1446">
        <v>46358</v>
      </c>
      <c r="O1400" s="1444" t="s">
        <v>284</v>
      </c>
      <c r="P1400" s="1447" t="s">
        <v>7744</v>
      </c>
      <c r="Q1400" s="1447" t="s">
        <v>7745</v>
      </c>
      <c r="R1400" s="1444" t="s">
        <v>73</v>
      </c>
      <c r="S1400" s="1448" t="s">
        <v>992</v>
      </c>
      <c r="T1400" s="1449">
        <v>650</v>
      </c>
      <c r="U1400" s="1450">
        <f>720*10</f>
        <v>7200</v>
      </c>
      <c r="V1400" s="1451">
        <f>PV_DATA[[#This Row],[QUANTITY]]*PV_DATA[[#This Row],[WATT]]/1000000</f>
        <v>4.68</v>
      </c>
      <c r="W1400" s="1452">
        <f>PV_DATA[[#This Row],[QUANTITY]]/PV_DATA[[#This Row],[Qty/Pallet]]</f>
        <v>200</v>
      </c>
      <c r="X1400" s="1453">
        <f>PV_DATA[[#This Row],[QUANTITY]]/PV_DATA[[#This Row],[Qty/CT]]</f>
        <v>10</v>
      </c>
      <c r="Y1400" s="1444" t="s">
        <v>4392</v>
      </c>
      <c r="Z1400" s="1454" t="str">
        <f t="shared" si="55"/>
        <v/>
      </c>
      <c r="AA1400" s="1447" t="s">
        <v>7750</v>
      </c>
      <c r="AB1400" s="1455"/>
      <c r="AC1400" s="1456" t="str">
        <f>IF(PV_DATA[[#This Row],[Pick-Up Date]]&lt;&gt;"",_xlfn.ISOWEEKNUM(PV_DATA[[#This Row],[Pick-Up Date]]),"")</f>
        <v/>
      </c>
      <c r="AD1400" s="1447"/>
      <c r="AE1400" s="1449"/>
      <c r="AF1400" s="1447" t="s">
        <v>61</v>
      </c>
      <c r="AG1400" s="1447" t="s">
        <v>61</v>
      </c>
      <c r="AH1400" s="1457" t="s">
        <v>78</v>
      </c>
      <c r="AI1400" s="1455"/>
      <c r="AJ1400" s="1455"/>
      <c r="AK1400" s="1455"/>
      <c r="AL1400" s="1455"/>
      <c r="AM1400" s="1458"/>
      <c r="AN1400" s="1458"/>
      <c r="AO1400" s="1447"/>
      <c r="AP1400" s="1447"/>
      <c r="AQ1400" s="1459"/>
      <c r="AR1400" s="1447"/>
      <c r="AS1400" s="1447"/>
      <c r="AT1400" s="1447"/>
      <c r="AU1400" s="1447"/>
      <c r="AV1400" s="1447"/>
      <c r="AW1400" s="1455" cm="1">
        <f t="array" ref="AW140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46441</v>
      </c>
      <c r="AX1400" s="1460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400" s="1455">
        <f>IF(ISERROR(PV_DATA[[#This Row],[New Ark PO status]]),"",_xlfn.XLOOKUP(PV_DATA[[#This Row],[SPTN-PVHK New Ark PO'#]],New_Ark_Data[Purchase order Number],New_Ark_Data[Estimated time of arrival],"",0))</f>
        <v>0</v>
      </c>
      <c r="AZ1400" s="1449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400" s="1455">
        <f>IFERROR(PV_DATA[[#This Row],[ODP ETA Port]]+PV_DATA[[#This Row],[Customs/Leg3 Assumption]],"n/a")</f>
        <v>46449</v>
      </c>
      <c r="BB1400" s="1449">
        <f>YEAR(PV_DATA[[#This Row],[ETA for New Ark update]])</f>
        <v>2027</v>
      </c>
      <c r="BC1400" s="1447">
        <f>MONTH(PV_DATA[[#This Row],[ETA for New Ark update]])</f>
        <v>3</v>
      </c>
      <c r="BD1400" s="1447">
        <f>IFERROR(_xlfn.ISOWEEKNUM(PV_DATA[[#This Row],[ETA for New Ark update]]),0)</f>
        <v>9</v>
      </c>
      <c r="BE1400" s="1447">
        <f>_xlfn.XLOOKUP(PV_DATA[[#This Row],[New Ark SKU]],Table9[New Ark SKU],Table9[Total PCS per Pallet],,0)</f>
        <v>36</v>
      </c>
      <c r="BF1400" s="1447">
        <f>_xlfn.XLOOKUP(PV_DATA[[#This Row],[New Ark SKU]],Table9[New Ark SKU],Table9[Total PCS per 40HQ Container],,0)</f>
        <v>720</v>
      </c>
      <c r="BG1400" s="1444" t="str">
        <f>_xlfn.XLOOKUP(PV_DATA[[#This Row],[New Ark SKU]],Table9[New Ark SKU],Table9[Back Glass],,0)</f>
        <v>White glazing</v>
      </c>
      <c r="BH1400" s="1461" t="str">
        <f>_xlfn.XLOOKUP(PV_DATA[[#This Row],[PORT DESTINATION]],Table12[PORT DESTINATION],Table12[Cosco Line],,0)</f>
        <v>AEM</v>
      </c>
      <c r="BJ1400" s="1462"/>
    </row>
    <row r="1401" spans="1:62" hidden="1">
      <c r="A1401" s="1238" t="s">
        <v>7751</v>
      </c>
      <c r="B1401" s="1238" t="s">
        <v>61</v>
      </c>
      <c r="C1401" s="1238" t="str">
        <f>IFERROR(LEFT(PV_DATA[[#This Row],[TCL REFERENCE]],FIND(".",PV_DATA[[#This Row],[TCL REFERENCE]],1)-1),"Main Line")</f>
        <v>26Oct021</v>
      </c>
      <c r="D1401" s="726" t="s">
        <v>113</v>
      </c>
      <c r="E1401" s="726" t="s">
        <v>64</v>
      </c>
      <c r="F1401" s="726" t="str" cm="1">
        <f t="array" ref="F140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401" s="726" t="s">
        <v>402</v>
      </c>
      <c r="H1401" s="726" t="s">
        <v>67</v>
      </c>
      <c r="I1401" s="431" t="s">
        <v>882</v>
      </c>
      <c r="J1401" s="619" t="s">
        <v>7747</v>
      </c>
      <c r="K1401" s="619"/>
      <c r="L1401" s="619"/>
      <c r="M1401" s="619" t="s">
        <v>68</v>
      </c>
      <c r="N1401" s="1240">
        <v>46358</v>
      </c>
      <c r="O1401" s="431" t="s">
        <v>284</v>
      </c>
      <c r="P1401" s="1241" t="s">
        <v>7744</v>
      </c>
      <c r="Q1401" s="1239" t="s">
        <v>7745</v>
      </c>
      <c r="R1401" s="431" t="s">
        <v>73</v>
      </c>
      <c r="S1401" s="442" t="s">
        <v>992</v>
      </c>
      <c r="T1401" s="1242">
        <v>650</v>
      </c>
      <c r="U1401" s="1243">
        <f>720*10</f>
        <v>7200</v>
      </c>
      <c r="V1401" s="1244">
        <f>PV_DATA[[#This Row],[QUANTITY]]*PV_DATA[[#This Row],[WATT]]/1000000</f>
        <v>4.68</v>
      </c>
      <c r="W1401" s="466">
        <f>PV_DATA[[#This Row],[QUANTITY]]/PV_DATA[[#This Row],[Qty/Pallet]]</f>
        <v>200</v>
      </c>
      <c r="X1401" s="1022">
        <f>PV_DATA[[#This Row],[QUANTITY]]/PV_DATA[[#This Row],[Qty/CT]]</f>
        <v>10</v>
      </c>
      <c r="Y1401" s="431" t="s">
        <v>4390</v>
      </c>
      <c r="Z1401" s="1245" t="str">
        <f t="shared" si="55"/>
        <v/>
      </c>
      <c r="AA1401" s="1239" t="s">
        <v>7752</v>
      </c>
      <c r="AB1401" s="1246"/>
      <c r="AC1401" s="1247" t="str">
        <f>IF(PV_DATA[[#This Row],[Pick-Up Date]]&lt;&gt;"",_xlfn.ISOWEEKNUM(PV_DATA[[#This Row],[Pick-Up Date]]),"")</f>
        <v/>
      </c>
      <c r="AD1401" s="1239"/>
      <c r="AE1401" s="1242"/>
      <c r="AF1401" s="1239" t="s">
        <v>61</v>
      </c>
      <c r="AG1401" s="1239" t="s">
        <v>61</v>
      </c>
      <c r="AH1401" s="625" t="s">
        <v>78</v>
      </c>
      <c r="AI1401" s="1246"/>
      <c r="AJ1401" s="1246"/>
      <c r="AK1401" s="1246"/>
      <c r="AL1401" s="1246"/>
      <c r="AM1401" s="1251"/>
      <c r="AN1401" s="1251"/>
      <c r="AO1401" s="1239"/>
      <c r="AP1401" s="1239"/>
      <c r="AQ1401" s="1248"/>
      <c r="AR1401" s="1239"/>
      <c r="AS1401" s="1239"/>
      <c r="AT1401" s="1239"/>
      <c r="AU1401" s="1239"/>
      <c r="AV1401" s="1239"/>
      <c r="AW1401" s="1246" cm="1">
        <f t="array" ref="AW140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46427</v>
      </c>
      <c r="AX1401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401" s="1246">
        <f>IF(ISERROR(PV_DATA[[#This Row],[New Ark PO status]]),"",_xlfn.XLOOKUP(PV_DATA[[#This Row],[SPTN-PVHK New Ark PO'#]],New_Ark_Data[Purchase order Number],New_Ark_Data[Estimated time of arrival],"",0))</f>
        <v>0</v>
      </c>
      <c r="AZ1401" s="12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401" s="1246">
        <f>IFERROR(PV_DATA[[#This Row],[ODP ETA Port]]+PV_DATA[[#This Row],[Customs/Leg3 Assumption]],"n/a")</f>
        <v>46435</v>
      </c>
      <c r="BB1401" s="1242">
        <f>YEAR(PV_DATA[[#This Row],[ETA for New Ark update]])</f>
        <v>2027</v>
      </c>
      <c r="BC1401" s="1239">
        <f>MONTH(PV_DATA[[#This Row],[ETA for New Ark update]])</f>
        <v>2</v>
      </c>
      <c r="BD1401" s="1239">
        <f>IFERROR(_xlfn.ISOWEEKNUM(PV_DATA[[#This Row],[ETA for New Ark update]]),0)</f>
        <v>7</v>
      </c>
      <c r="BE1401" s="1239">
        <f>_xlfn.XLOOKUP(PV_DATA[[#This Row],[New Ark SKU]],Table9[New Ark SKU],Table9[Total PCS per Pallet],,0)</f>
        <v>36</v>
      </c>
      <c r="BF1401" s="1239">
        <f>_xlfn.XLOOKUP(PV_DATA[[#This Row],[New Ark SKU]],Table9[New Ark SKU],Table9[Total PCS per 40HQ Container],,0)</f>
        <v>720</v>
      </c>
      <c r="BG1401" s="431" t="str">
        <f>_xlfn.XLOOKUP(PV_DATA[[#This Row],[New Ark SKU]],Table9[New Ark SKU],Table9[Back Glass],,0)</f>
        <v>White glazing</v>
      </c>
      <c r="BH1401" s="1249" t="str">
        <f>_xlfn.XLOOKUP(PV_DATA[[#This Row],[PORT DESTINATION]],Table12[PORT DESTINATION],Table12[Cosco Line],,0)</f>
        <v>AEM</v>
      </c>
    </row>
    <row r="1402" spans="1:62" hidden="1">
      <c r="A1402" s="1238" t="s">
        <v>7753</v>
      </c>
      <c r="B1402" s="1238" t="s">
        <v>61</v>
      </c>
      <c r="C1402" s="1238" t="str">
        <f>IFERROR(LEFT(PV_DATA[[#This Row],[TCL REFERENCE]],FIND(".",PV_DATA[[#This Row],[TCL REFERENCE]],1)-1),"Main Line")</f>
        <v>26Oct021</v>
      </c>
      <c r="D1402" s="726" t="s">
        <v>113</v>
      </c>
      <c r="E1402" s="726" t="s">
        <v>64</v>
      </c>
      <c r="F1402" s="726" t="str" cm="1">
        <f t="array" ref="F1402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402" s="726" t="s">
        <v>402</v>
      </c>
      <c r="H1402" s="726" t="s">
        <v>67</v>
      </c>
      <c r="I1402" s="431" t="s">
        <v>882</v>
      </c>
      <c r="J1402" s="619" t="s">
        <v>7747</v>
      </c>
      <c r="K1402" s="619"/>
      <c r="L1402" s="619"/>
      <c r="M1402" s="619" t="s">
        <v>68</v>
      </c>
      <c r="N1402" s="1240">
        <v>46358</v>
      </c>
      <c r="O1402" s="431" t="s">
        <v>284</v>
      </c>
      <c r="P1402" s="1241" t="s">
        <v>7744</v>
      </c>
      <c r="Q1402" s="1239" t="s">
        <v>7745</v>
      </c>
      <c r="R1402" s="431" t="s">
        <v>73</v>
      </c>
      <c r="S1402" s="442" t="s">
        <v>992</v>
      </c>
      <c r="T1402" s="1242">
        <v>650</v>
      </c>
      <c r="U1402" s="1243">
        <f>7740</f>
        <v>7740</v>
      </c>
      <c r="V1402" s="1244">
        <f>PV_DATA[[#This Row],[QUANTITY]]*PV_DATA[[#This Row],[WATT]]/1000000</f>
        <v>5.0309999999999997</v>
      </c>
      <c r="W1402" s="466">
        <f>PV_DATA[[#This Row],[QUANTITY]]/PV_DATA[[#This Row],[Qty/Pallet]]</f>
        <v>215</v>
      </c>
      <c r="X1402" s="1022">
        <f>PV_DATA[[#This Row],[QUANTITY]]/PV_DATA[[#This Row],[Qty/CT]]</f>
        <v>10.75</v>
      </c>
      <c r="Y1402" s="431" t="s">
        <v>4391</v>
      </c>
      <c r="Z1402" s="1245" t="str">
        <f t="shared" si="55"/>
        <v/>
      </c>
      <c r="AA1402" s="1239" t="s">
        <v>7754</v>
      </c>
      <c r="AB1402" s="1246"/>
      <c r="AC1402" s="1247" t="str">
        <f>IF(PV_DATA[[#This Row],[Pick-Up Date]]&lt;&gt;"",_xlfn.ISOWEEKNUM(PV_DATA[[#This Row],[Pick-Up Date]]),"")</f>
        <v/>
      </c>
      <c r="AD1402" s="1239"/>
      <c r="AE1402" s="1242"/>
      <c r="AF1402" s="1239" t="s">
        <v>61</v>
      </c>
      <c r="AG1402" s="1239" t="s">
        <v>61</v>
      </c>
      <c r="AH1402" s="625" t="s">
        <v>78</v>
      </c>
      <c r="AI1402" s="1246"/>
      <c r="AJ1402" s="1246"/>
      <c r="AK1402" s="1246"/>
      <c r="AL1402" s="1246"/>
      <c r="AM1402" s="1251"/>
      <c r="AN1402" s="1251"/>
      <c r="AO1402" s="1239"/>
      <c r="AP1402" s="1239"/>
      <c r="AQ1402" s="1248"/>
      <c r="AR1402" s="1239"/>
      <c r="AS1402" s="1239"/>
      <c r="AT1402" s="1239"/>
      <c r="AU1402" s="1239"/>
      <c r="AV1402" s="1239"/>
      <c r="AW1402" s="1246" cm="1">
        <f t="array" ref="AW140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0</v>
      </c>
      <c r="AX1402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402" s="1246">
        <f>IF(ISERROR(PV_DATA[[#This Row],[New Ark PO status]]),"",_xlfn.XLOOKUP(PV_DATA[[#This Row],[SPTN-PVHK New Ark PO'#]],New_Ark_Data[Purchase order Number],New_Ark_Data[Estimated time of arrival],"",0))</f>
        <v>0</v>
      </c>
      <c r="AZ1402" s="12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402" s="1246">
        <f>IFERROR(PV_DATA[[#This Row],[ODP ETA Port]]+PV_DATA[[#This Row],[Customs/Leg3 Assumption]],"n/a")</f>
        <v>8</v>
      </c>
      <c r="BB1402" s="1242">
        <f>YEAR(PV_DATA[[#This Row],[ETA for New Ark update]])</f>
        <v>1900</v>
      </c>
      <c r="BC1402" s="1239">
        <f>MONTH(PV_DATA[[#This Row],[ETA for New Ark update]])</f>
        <v>1</v>
      </c>
      <c r="BD1402" s="1239">
        <f>IFERROR(_xlfn.ISOWEEKNUM(PV_DATA[[#This Row],[ETA for New Ark update]]),0)</f>
        <v>1</v>
      </c>
      <c r="BE1402" s="1239">
        <f>_xlfn.XLOOKUP(PV_DATA[[#This Row],[New Ark SKU]],Table9[New Ark SKU],Table9[Total PCS per Pallet],,0)</f>
        <v>36</v>
      </c>
      <c r="BF1402" s="1239">
        <f>_xlfn.XLOOKUP(PV_DATA[[#This Row],[New Ark SKU]],Table9[New Ark SKU],Table9[Total PCS per 40HQ Container],,0)</f>
        <v>720</v>
      </c>
      <c r="BG1402" s="431" t="str">
        <f>_xlfn.XLOOKUP(PV_DATA[[#This Row],[New Ark SKU]],Table9[New Ark SKU],Table9[Back Glass],,0)</f>
        <v>White glazing</v>
      </c>
      <c r="BH1402" s="1249" t="str">
        <f>_xlfn.XLOOKUP(PV_DATA[[#This Row],[PORT DESTINATION]],Table12[PORT DESTINATION],Table12[Cosco Line],,0)</f>
        <v>AEM</v>
      </c>
    </row>
    <row r="1403" spans="1:62" hidden="1">
      <c r="A1403" s="1238" t="s">
        <v>7755</v>
      </c>
      <c r="B1403" s="1238" t="s">
        <v>61</v>
      </c>
      <c r="C1403" s="1238" t="str">
        <f>IFERROR(LEFT(PV_DATA[[#This Row],[TCL REFERENCE]],FIND(".",PV_DATA[[#This Row],[TCL REFERENCE]],1)-1),"Main Line")</f>
        <v>Main Line</v>
      </c>
      <c r="D1403" s="726" t="s">
        <v>113</v>
      </c>
      <c r="E1403" s="726" t="s">
        <v>68</v>
      </c>
      <c r="F1403" s="726" t="str" cm="1">
        <f t="array" ref="F1403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403" s="726" t="s">
        <v>68</v>
      </c>
      <c r="H1403" s="726" t="s">
        <v>68</v>
      </c>
      <c r="I1403" s="431" t="s">
        <v>68</v>
      </c>
      <c r="J1403" s="619" t="s">
        <v>68</v>
      </c>
      <c r="K1403" s="619"/>
      <c r="L1403" s="619"/>
      <c r="M1403" s="619" t="s">
        <v>68</v>
      </c>
      <c r="N1403" s="1240">
        <v>46358</v>
      </c>
      <c r="O1403" s="431" t="s">
        <v>284</v>
      </c>
      <c r="P1403" s="1241" t="s">
        <v>7756</v>
      </c>
      <c r="Q1403" s="1239" t="s">
        <v>7736</v>
      </c>
      <c r="R1403" s="431" t="s">
        <v>73</v>
      </c>
      <c r="S1403" s="442" t="s">
        <v>992</v>
      </c>
      <c r="T1403" s="1242">
        <v>655</v>
      </c>
      <c r="U1403" s="1243" cm="1">
        <f t="array" ref="U1403">21960-fx_qty</f>
        <v>0</v>
      </c>
      <c r="V1403" s="1244">
        <f>PV_DATA[[#This Row],[QUANTITY]]*PV_DATA[[#This Row],[WATT]]/1000000</f>
        <v>0</v>
      </c>
      <c r="W1403" s="466">
        <f>PV_DATA[[#This Row],[QUANTITY]]/PV_DATA[[#This Row],[Qty/Pallet]]</f>
        <v>0</v>
      </c>
      <c r="X1403" s="1022">
        <f>PV_DATA[[#This Row],[QUANTITY]]/PV_DATA[[#This Row],[Qty/CT]]</f>
        <v>0</v>
      </c>
      <c r="Y1403" s="431" t="s">
        <v>7039</v>
      </c>
      <c r="Z1403" s="1245" t="str">
        <f t="shared" si="55"/>
        <v/>
      </c>
      <c r="AA1403" s="1239"/>
      <c r="AB1403" s="1246"/>
      <c r="AC1403" s="1247" t="str">
        <f>IF(PV_DATA[[#This Row],[Pick-Up Date]]&lt;&gt;"",_xlfn.ISOWEEKNUM(PV_DATA[[#This Row],[Pick-Up Date]]),"")</f>
        <v/>
      </c>
      <c r="AD1403" s="1239"/>
      <c r="AE1403" s="1242"/>
      <c r="AF1403" s="1239" t="s">
        <v>61</v>
      </c>
      <c r="AG1403" s="1239" t="s">
        <v>61</v>
      </c>
      <c r="AH1403" s="625" t="s">
        <v>68</v>
      </c>
      <c r="AI1403" s="1246"/>
      <c r="AJ1403" s="1246"/>
      <c r="AK1403" s="1246"/>
      <c r="AL1403" s="1246"/>
      <c r="AM1403" s="1251"/>
      <c r="AN1403" s="1251"/>
      <c r="AO1403" s="1239"/>
      <c r="AP1403" s="1239"/>
      <c r="AQ1403" s="1248"/>
      <c r="AR1403" s="1239"/>
      <c r="AS1403" s="1239"/>
      <c r="AT1403" s="1239"/>
      <c r="AU1403" s="1239"/>
      <c r="AV1403" s="1239"/>
      <c r="AW1403" s="1246" t="str" cm="1">
        <f t="array" ref="AW140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403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403" s="1246">
        <f>IF(ISERROR(PV_DATA[[#This Row],[New Ark PO status]]),"",_xlfn.XLOOKUP(PV_DATA[[#This Row],[SPTN-PVHK New Ark PO'#]],New_Ark_Data[Purchase order Number],New_Ark_Data[Estimated time of arrival],"",0))</f>
        <v>0</v>
      </c>
      <c r="AZ1403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403" s="1246" t="str">
        <f>IFERROR(PV_DATA[[#This Row],[ODP ETA Port]]+PV_DATA[[#This Row],[Customs/Leg3 Assumption]],"n/a")</f>
        <v>n/a</v>
      </c>
      <c r="BB1403" s="1242" t="e">
        <f>YEAR(PV_DATA[[#This Row],[ETA for New Ark update]])</f>
        <v>#VALUE!</v>
      </c>
      <c r="BC1403" s="1239" t="e">
        <f>MONTH(PV_DATA[[#This Row],[ETA for New Ark update]])</f>
        <v>#VALUE!</v>
      </c>
      <c r="BD1403" s="1239">
        <f>IFERROR(_xlfn.ISOWEEKNUM(PV_DATA[[#This Row],[ETA for New Ark update]]),0)</f>
        <v>0</v>
      </c>
      <c r="BE1403" s="1239">
        <f>_xlfn.XLOOKUP(PV_DATA[[#This Row],[New Ark SKU]],Table9[New Ark SKU],Table9[Total PCS per Pallet],,0)</f>
        <v>36</v>
      </c>
      <c r="BF1403" s="1239">
        <f>_xlfn.XLOOKUP(PV_DATA[[#This Row],[New Ark SKU]],Table9[New Ark SKU],Table9[Total PCS per 40HQ Container],,0)</f>
        <v>720</v>
      </c>
      <c r="BG1403" s="431" t="str">
        <f>_xlfn.XLOOKUP(PV_DATA[[#This Row],[New Ark SKU]],Table9[New Ark SKU],Table9[Back Glass],,0)</f>
        <v>White glazing</v>
      </c>
      <c r="BH1403" s="1249" t="str">
        <f>_xlfn.XLOOKUP(PV_DATA[[#This Row],[PORT DESTINATION]],Table12[PORT DESTINATION],Table12[Cosco Line],,0)</f>
        <v>n/a</v>
      </c>
    </row>
    <row r="1404" spans="1:62" hidden="1">
      <c r="A1404" s="1238" t="s">
        <v>7757</v>
      </c>
      <c r="B1404" s="1238" t="s">
        <v>61</v>
      </c>
      <c r="C1404" s="1238" t="str">
        <f>IFERROR(LEFT(PV_DATA[[#This Row],[TCL REFERENCE]],FIND(".",PV_DATA[[#This Row],[TCL REFERENCE]],1)-1),"Main Line")</f>
        <v>26Oct022</v>
      </c>
      <c r="D1404" s="726" t="s">
        <v>113</v>
      </c>
      <c r="E1404" s="726" t="s">
        <v>64</v>
      </c>
      <c r="F1404" s="726" t="str" cm="1">
        <f t="array" ref="F1404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404" s="726" t="s">
        <v>402</v>
      </c>
      <c r="H1404" s="726" t="s">
        <v>67</v>
      </c>
      <c r="I1404" s="431" t="s">
        <v>882</v>
      </c>
      <c r="J1404" s="619" t="s">
        <v>7758</v>
      </c>
      <c r="K1404" s="619"/>
      <c r="L1404" s="619"/>
      <c r="M1404" s="619" t="s">
        <v>68</v>
      </c>
      <c r="N1404" s="1240">
        <v>46358</v>
      </c>
      <c r="O1404" s="431" t="s">
        <v>284</v>
      </c>
      <c r="P1404" s="1241" t="s">
        <v>7756</v>
      </c>
      <c r="Q1404" s="1239" t="s">
        <v>7736</v>
      </c>
      <c r="R1404" s="431" t="s">
        <v>73</v>
      </c>
      <c r="S1404" s="442" t="s">
        <v>992</v>
      </c>
      <c r="T1404" s="1242">
        <v>655</v>
      </c>
      <c r="U1404" s="1243">
        <f>720*7</f>
        <v>5040</v>
      </c>
      <c r="V1404" s="1244">
        <f>PV_DATA[[#This Row],[QUANTITY]]*PV_DATA[[#This Row],[WATT]]/1000000</f>
        <v>3.3012000000000001</v>
      </c>
      <c r="W1404" s="466">
        <f>PV_DATA[[#This Row],[QUANTITY]]/PV_DATA[[#This Row],[Qty/Pallet]]</f>
        <v>140</v>
      </c>
      <c r="X1404" s="1022">
        <f>PV_DATA[[#This Row],[QUANTITY]]/PV_DATA[[#This Row],[Qty/CT]]</f>
        <v>7</v>
      </c>
      <c r="Y1404" s="431" t="s">
        <v>7759</v>
      </c>
      <c r="Z1404" s="1245" t="str">
        <f t="shared" si="55"/>
        <v/>
      </c>
      <c r="AA1404" s="1239" t="s">
        <v>7760</v>
      </c>
      <c r="AB1404" s="1246"/>
      <c r="AC1404" s="1247" t="str">
        <f>IF(PV_DATA[[#This Row],[Pick-Up Date]]&lt;&gt;"",_xlfn.ISOWEEKNUM(PV_DATA[[#This Row],[Pick-Up Date]]),"")</f>
        <v/>
      </c>
      <c r="AD1404" s="1239"/>
      <c r="AE1404" s="1242"/>
      <c r="AF1404" s="1239" t="s">
        <v>61</v>
      </c>
      <c r="AG1404" s="1239" t="s">
        <v>61</v>
      </c>
      <c r="AH1404" s="625" t="s">
        <v>78</v>
      </c>
      <c r="AI1404" s="1246"/>
      <c r="AJ1404" s="1246"/>
      <c r="AK1404" s="1246"/>
      <c r="AL1404" s="1246"/>
      <c r="AM1404" s="1251"/>
      <c r="AN1404" s="1251"/>
      <c r="AO1404" s="1239"/>
      <c r="AP1404" s="1239"/>
      <c r="AQ1404" s="1248"/>
      <c r="AR1404" s="1239"/>
      <c r="AS1404" s="1239"/>
      <c r="AT1404" s="1239"/>
      <c r="AU1404" s="1239"/>
      <c r="AV1404" s="1239"/>
      <c r="AW1404" s="1246" cm="1">
        <f t="array" ref="AW140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46126</v>
      </c>
      <c r="AX1404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404" s="1246">
        <f>IF(ISERROR(PV_DATA[[#This Row],[New Ark PO status]]),"",_xlfn.XLOOKUP(PV_DATA[[#This Row],[SPTN-PVHK New Ark PO'#]],New_Ark_Data[Purchase order Number],New_Ark_Data[Estimated time of arrival],"",0))</f>
        <v>0</v>
      </c>
      <c r="AZ1404" s="12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404" s="1246">
        <f>IFERROR(PV_DATA[[#This Row],[ODP ETA Port]]+PV_DATA[[#This Row],[Customs/Leg3 Assumption]],"n/a")</f>
        <v>46134</v>
      </c>
      <c r="BB1404" s="1242">
        <f>YEAR(PV_DATA[[#This Row],[ETA for New Ark update]])</f>
        <v>2026</v>
      </c>
      <c r="BC1404" s="1239">
        <f>MONTH(PV_DATA[[#This Row],[ETA for New Ark update]])</f>
        <v>4</v>
      </c>
      <c r="BD1404" s="1239">
        <f>IFERROR(_xlfn.ISOWEEKNUM(PV_DATA[[#This Row],[ETA for New Ark update]]),0)</f>
        <v>17</v>
      </c>
      <c r="BE1404" s="1239">
        <f>_xlfn.XLOOKUP(PV_DATA[[#This Row],[New Ark SKU]],Table9[New Ark SKU],Table9[Total PCS per Pallet],,0)</f>
        <v>36</v>
      </c>
      <c r="BF1404" s="1239">
        <f>_xlfn.XLOOKUP(PV_DATA[[#This Row],[New Ark SKU]],Table9[New Ark SKU],Table9[Total PCS per 40HQ Container],,0)</f>
        <v>720</v>
      </c>
      <c r="BG1404" s="431" t="str">
        <f>_xlfn.XLOOKUP(PV_DATA[[#This Row],[New Ark SKU]],Table9[New Ark SKU],Table9[Back Glass],,0)</f>
        <v>White glazing</v>
      </c>
      <c r="BH1404" s="1249" t="str">
        <f>_xlfn.XLOOKUP(PV_DATA[[#This Row],[PORT DESTINATION]],Table12[PORT DESTINATION],Table12[Cosco Line],,0)</f>
        <v>AEM</v>
      </c>
    </row>
    <row r="1405" spans="1:62" hidden="1">
      <c r="A1405" s="1238" t="s">
        <v>7761</v>
      </c>
      <c r="B1405" s="1238" t="s">
        <v>61</v>
      </c>
      <c r="C1405" s="1238" t="str">
        <f>IFERROR(LEFT(PV_DATA[[#This Row],[TCL REFERENCE]],FIND(".",PV_DATA[[#This Row],[TCL REFERENCE]],1)-1),"Main Line")</f>
        <v>26Oct022</v>
      </c>
      <c r="D1405" s="726" t="s">
        <v>113</v>
      </c>
      <c r="E1405" s="726" t="s">
        <v>64</v>
      </c>
      <c r="F1405" s="726" t="str" cm="1">
        <f t="array" ref="F1405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405" s="726" t="s">
        <v>402</v>
      </c>
      <c r="H1405" s="726" t="s">
        <v>67</v>
      </c>
      <c r="I1405" s="431" t="s">
        <v>882</v>
      </c>
      <c r="J1405" s="619" t="s">
        <v>7758</v>
      </c>
      <c r="K1405" s="619"/>
      <c r="L1405" s="619"/>
      <c r="M1405" s="619" t="s">
        <v>68</v>
      </c>
      <c r="N1405" s="1240">
        <v>46358</v>
      </c>
      <c r="O1405" s="431" t="s">
        <v>284</v>
      </c>
      <c r="P1405" s="1241" t="s">
        <v>7756</v>
      </c>
      <c r="Q1405" s="1239" t="s">
        <v>7736</v>
      </c>
      <c r="R1405" s="431" t="s">
        <v>73</v>
      </c>
      <c r="S1405" s="442" t="s">
        <v>992</v>
      </c>
      <c r="T1405" s="1242">
        <v>655</v>
      </c>
      <c r="U1405" s="1243">
        <f>720*6</f>
        <v>4320</v>
      </c>
      <c r="V1405" s="1244">
        <f>PV_DATA[[#This Row],[QUANTITY]]*PV_DATA[[#This Row],[WATT]]/1000000</f>
        <v>2.8296000000000001</v>
      </c>
      <c r="W1405" s="466">
        <f>PV_DATA[[#This Row],[QUANTITY]]/PV_DATA[[#This Row],[Qty/Pallet]]</f>
        <v>120</v>
      </c>
      <c r="X1405" s="1022">
        <f>PV_DATA[[#This Row],[QUANTITY]]/PV_DATA[[#This Row],[Qty/CT]]</f>
        <v>6</v>
      </c>
      <c r="Y1405" s="431" t="s">
        <v>7713</v>
      </c>
      <c r="Z1405" s="1245" t="str">
        <f t="shared" si="55"/>
        <v/>
      </c>
      <c r="AA1405" s="1239" t="s">
        <v>7762</v>
      </c>
      <c r="AB1405" s="1246"/>
      <c r="AC1405" s="1247" t="str">
        <f>IF(PV_DATA[[#This Row],[Pick-Up Date]]&lt;&gt;"",_xlfn.ISOWEEKNUM(PV_DATA[[#This Row],[Pick-Up Date]]),"")</f>
        <v/>
      </c>
      <c r="AD1405" s="1239"/>
      <c r="AE1405" s="1242"/>
      <c r="AF1405" s="1239" t="s">
        <v>61</v>
      </c>
      <c r="AG1405" s="1239" t="s">
        <v>61</v>
      </c>
      <c r="AH1405" s="625" t="s">
        <v>78</v>
      </c>
      <c r="AI1405" s="1246"/>
      <c r="AJ1405" s="1246"/>
      <c r="AK1405" s="1246"/>
      <c r="AL1405" s="1246"/>
      <c r="AM1405" s="1251"/>
      <c r="AN1405" s="1251"/>
      <c r="AO1405" s="1239"/>
      <c r="AP1405" s="1239"/>
      <c r="AQ1405" s="1248"/>
      <c r="AR1405" s="1239"/>
      <c r="AS1405" s="1239"/>
      <c r="AT1405" s="1239"/>
      <c r="AU1405" s="1239"/>
      <c r="AV1405" s="1239"/>
      <c r="AW1405" s="1246" cm="1">
        <f t="array" ref="AW140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46133</v>
      </c>
      <c r="AX1405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405" s="1246">
        <f>IF(ISERROR(PV_DATA[[#This Row],[New Ark PO status]]),"",_xlfn.XLOOKUP(PV_DATA[[#This Row],[SPTN-PVHK New Ark PO'#]],New_Ark_Data[Purchase order Number],New_Ark_Data[Estimated time of arrival],"",0))</f>
        <v>0</v>
      </c>
      <c r="AZ1405" s="12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405" s="1246">
        <f>IFERROR(PV_DATA[[#This Row],[ODP ETA Port]]+PV_DATA[[#This Row],[Customs/Leg3 Assumption]],"n/a")</f>
        <v>46141</v>
      </c>
      <c r="BB1405" s="1242">
        <f>YEAR(PV_DATA[[#This Row],[ETA for New Ark update]])</f>
        <v>2026</v>
      </c>
      <c r="BC1405" s="1239">
        <f>MONTH(PV_DATA[[#This Row],[ETA for New Ark update]])</f>
        <v>4</v>
      </c>
      <c r="BD1405" s="1239">
        <f>IFERROR(_xlfn.ISOWEEKNUM(PV_DATA[[#This Row],[ETA for New Ark update]]),0)</f>
        <v>18</v>
      </c>
      <c r="BE1405" s="1239">
        <f>_xlfn.XLOOKUP(PV_DATA[[#This Row],[New Ark SKU]],Table9[New Ark SKU],Table9[Total PCS per Pallet],,0)</f>
        <v>36</v>
      </c>
      <c r="BF1405" s="1239">
        <f>_xlfn.XLOOKUP(PV_DATA[[#This Row],[New Ark SKU]],Table9[New Ark SKU],Table9[Total PCS per 40HQ Container],,0)</f>
        <v>720</v>
      </c>
      <c r="BG1405" s="431" t="str">
        <f>_xlfn.XLOOKUP(PV_DATA[[#This Row],[New Ark SKU]],Table9[New Ark SKU],Table9[Back Glass],,0)</f>
        <v>White glazing</v>
      </c>
      <c r="BH1405" s="1249" t="str">
        <f>_xlfn.XLOOKUP(PV_DATA[[#This Row],[PORT DESTINATION]],Table12[PORT DESTINATION],Table12[Cosco Line],,0)</f>
        <v>AEM</v>
      </c>
    </row>
    <row r="1406" spans="1:62" hidden="1">
      <c r="A1406" s="1238" t="s">
        <v>7763</v>
      </c>
      <c r="B1406" s="1238" t="s">
        <v>61</v>
      </c>
      <c r="C1406" s="1238" t="str">
        <f>IFERROR(LEFT(PV_DATA[[#This Row],[TCL REFERENCE]],FIND(".",PV_DATA[[#This Row],[TCL REFERENCE]],1)-1),"Main Line")</f>
        <v>26Oct022</v>
      </c>
      <c r="D1406" s="726" t="s">
        <v>113</v>
      </c>
      <c r="E1406" s="726" t="s">
        <v>64</v>
      </c>
      <c r="F1406" s="726" t="str" cm="1">
        <f t="array" ref="F1406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406" s="726" t="s">
        <v>402</v>
      </c>
      <c r="H1406" s="726" t="s">
        <v>67</v>
      </c>
      <c r="I1406" s="431" t="s">
        <v>882</v>
      </c>
      <c r="J1406" s="619" t="s">
        <v>7758</v>
      </c>
      <c r="K1406" s="619"/>
      <c r="L1406" s="619"/>
      <c r="M1406" s="619" t="s">
        <v>68</v>
      </c>
      <c r="N1406" s="1240">
        <v>46358</v>
      </c>
      <c r="O1406" s="431" t="s">
        <v>284</v>
      </c>
      <c r="P1406" s="1241" t="s">
        <v>7756</v>
      </c>
      <c r="Q1406" s="1239" t="s">
        <v>7736</v>
      </c>
      <c r="R1406" s="431" t="s">
        <v>73</v>
      </c>
      <c r="S1406" s="442" t="s">
        <v>992</v>
      </c>
      <c r="T1406" s="1242">
        <v>655</v>
      </c>
      <c r="U1406" s="1243">
        <f>720*6</f>
        <v>4320</v>
      </c>
      <c r="V1406" s="1244">
        <f>PV_DATA[[#This Row],[QUANTITY]]*PV_DATA[[#This Row],[WATT]]/1000000</f>
        <v>2.8296000000000001</v>
      </c>
      <c r="W1406" s="466">
        <f>PV_DATA[[#This Row],[QUANTITY]]/PV_DATA[[#This Row],[Qty/Pallet]]</f>
        <v>120</v>
      </c>
      <c r="X1406" s="1022">
        <f>PV_DATA[[#This Row],[QUANTITY]]/PV_DATA[[#This Row],[Qty/CT]]</f>
        <v>6</v>
      </c>
      <c r="Y1406" s="431" t="s">
        <v>7716</v>
      </c>
      <c r="Z1406" s="1245" t="str">
        <f t="shared" si="55"/>
        <v/>
      </c>
      <c r="AA1406" s="1239" t="s">
        <v>7764</v>
      </c>
      <c r="AB1406" s="1246"/>
      <c r="AC1406" s="1247" t="str">
        <f>IF(PV_DATA[[#This Row],[Pick-Up Date]]&lt;&gt;"",_xlfn.ISOWEEKNUM(PV_DATA[[#This Row],[Pick-Up Date]]),"")</f>
        <v/>
      </c>
      <c r="AD1406" s="1239"/>
      <c r="AE1406" s="1242"/>
      <c r="AF1406" s="1239" t="s">
        <v>61</v>
      </c>
      <c r="AG1406" s="1239" t="s">
        <v>61</v>
      </c>
      <c r="AH1406" s="625" t="s">
        <v>78</v>
      </c>
      <c r="AI1406" s="1246"/>
      <c r="AJ1406" s="1246"/>
      <c r="AK1406" s="1246"/>
      <c r="AL1406" s="1246"/>
      <c r="AM1406" s="1251"/>
      <c r="AN1406" s="1251"/>
      <c r="AO1406" s="1239"/>
      <c r="AP1406" s="1239"/>
      <c r="AQ1406" s="1248"/>
      <c r="AR1406" s="1239"/>
      <c r="AS1406" s="1239"/>
      <c r="AT1406" s="1239"/>
      <c r="AU1406" s="1239"/>
      <c r="AV1406" s="1239"/>
      <c r="AW1406" s="1246" cm="1">
        <f t="array" ref="AW140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46140</v>
      </c>
      <c r="AX1406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406" s="1246">
        <f>IF(ISERROR(PV_DATA[[#This Row],[New Ark PO status]]),"",_xlfn.XLOOKUP(PV_DATA[[#This Row],[SPTN-PVHK New Ark PO'#]],New_Ark_Data[Purchase order Number],New_Ark_Data[Estimated time of arrival],"",0))</f>
        <v>0</v>
      </c>
      <c r="AZ1406" s="12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406" s="1246">
        <f>IFERROR(PV_DATA[[#This Row],[ODP ETA Port]]+PV_DATA[[#This Row],[Customs/Leg3 Assumption]],"n/a")</f>
        <v>46148</v>
      </c>
      <c r="BB1406" s="1242">
        <f>YEAR(PV_DATA[[#This Row],[ETA for New Ark update]])</f>
        <v>2026</v>
      </c>
      <c r="BC1406" s="1239">
        <f>MONTH(PV_DATA[[#This Row],[ETA for New Ark update]])</f>
        <v>5</v>
      </c>
      <c r="BD1406" s="1239">
        <f>IFERROR(_xlfn.ISOWEEKNUM(PV_DATA[[#This Row],[ETA for New Ark update]]),0)</f>
        <v>19</v>
      </c>
      <c r="BE1406" s="1239">
        <f>_xlfn.XLOOKUP(PV_DATA[[#This Row],[New Ark SKU]],Table9[New Ark SKU],Table9[Total PCS per Pallet],,0)</f>
        <v>36</v>
      </c>
      <c r="BF1406" s="1239">
        <f>_xlfn.XLOOKUP(PV_DATA[[#This Row],[New Ark SKU]],Table9[New Ark SKU],Table9[Total PCS per 40HQ Container],,0)</f>
        <v>720</v>
      </c>
      <c r="BG1406" s="431" t="str">
        <f>_xlfn.XLOOKUP(PV_DATA[[#This Row],[New Ark SKU]],Table9[New Ark SKU],Table9[Back Glass],,0)</f>
        <v>White glazing</v>
      </c>
      <c r="BH1406" s="1249" t="str">
        <f>_xlfn.XLOOKUP(PV_DATA[[#This Row],[PORT DESTINATION]],Table12[PORT DESTINATION],Table12[Cosco Line],,0)</f>
        <v>AEM</v>
      </c>
    </row>
    <row r="1407" spans="1:62" hidden="1">
      <c r="A1407" s="1238" t="s">
        <v>7765</v>
      </c>
      <c r="B1407" s="1238" t="s">
        <v>61</v>
      </c>
      <c r="C1407" s="1238" t="str">
        <f>IFERROR(LEFT(PV_DATA[[#This Row],[TCL REFERENCE]],FIND(".",PV_DATA[[#This Row],[TCL REFERENCE]],1)-1),"Main Line")</f>
        <v>26Oct022</v>
      </c>
      <c r="D1407" s="726" t="s">
        <v>113</v>
      </c>
      <c r="E1407" s="726" t="s">
        <v>64</v>
      </c>
      <c r="F1407" s="726" t="str" cm="1">
        <f t="array" ref="F1407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407" s="726" t="s">
        <v>402</v>
      </c>
      <c r="H1407" s="726" t="s">
        <v>67</v>
      </c>
      <c r="I1407" s="431" t="s">
        <v>882</v>
      </c>
      <c r="J1407" s="619" t="s">
        <v>7758</v>
      </c>
      <c r="K1407" s="619"/>
      <c r="L1407" s="619"/>
      <c r="M1407" s="619" t="s">
        <v>68</v>
      </c>
      <c r="N1407" s="1240">
        <v>46358</v>
      </c>
      <c r="O1407" s="431" t="s">
        <v>284</v>
      </c>
      <c r="P1407" s="1241" t="s">
        <v>7756</v>
      </c>
      <c r="Q1407" s="1239" t="s">
        <v>7736</v>
      </c>
      <c r="R1407" s="431" t="s">
        <v>73</v>
      </c>
      <c r="S1407" s="442" t="s">
        <v>992</v>
      </c>
      <c r="T1407" s="1242">
        <v>655</v>
      </c>
      <c r="U1407" s="1243">
        <f>720*6</f>
        <v>4320</v>
      </c>
      <c r="V1407" s="1244">
        <f>PV_DATA[[#This Row],[QUANTITY]]*PV_DATA[[#This Row],[WATT]]/1000000</f>
        <v>2.8296000000000001</v>
      </c>
      <c r="W1407" s="466">
        <f>PV_DATA[[#This Row],[QUANTITY]]/PV_DATA[[#This Row],[Qty/Pallet]]</f>
        <v>120</v>
      </c>
      <c r="X1407" s="1022">
        <f>PV_DATA[[#This Row],[QUANTITY]]/PV_DATA[[#This Row],[Qty/CT]]</f>
        <v>6</v>
      </c>
      <c r="Y1407" s="431" t="s">
        <v>7729</v>
      </c>
      <c r="Z1407" s="1245" t="str">
        <f t="shared" si="55"/>
        <v/>
      </c>
      <c r="AA1407" s="1239" t="s">
        <v>7766</v>
      </c>
      <c r="AB1407" s="1246"/>
      <c r="AC1407" s="1247" t="str">
        <f>IF(PV_DATA[[#This Row],[Pick-Up Date]]&lt;&gt;"",_xlfn.ISOWEEKNUM(PV_DATA[[#This Row],[Pick-Up Date]]),"")</f>
        <v/>
      </c>
      <c r="AD1407" s="1239"/>
      <c r="AE1407" s="1242"/>
      <c r="AF1407" s="1239" t="s">
        <v>61</v>
      </c>
      <c r="AG1407" s="1239" t="s">
        <v>61</v>
      </c>
      <c r="AH1407" s="625" t="s">
        <v>78</v>
      </c>
      <c r="AI1407" s="1246"/>
      <c r="AJ1407" s="1246"/>
      <c r="AK1407" s="1246"/>
      <c r="AL1407" s="1246"/>
      <c r="AM1407" s="1251"/>
      <c r="AN1407" s="1251"/>
      <c r="AO1407" s="1239"/>
      <c r="AP1407" s="1239"/>
      <c r="AQ1407" s="1248"/>
      <c r="AR1407" s="1239"/>
      <c r="AS1407" s="1239"/>
      <c r="AT1407" s="1239"/>
      <c r="AU1407" s="1239"/>
      <c r="AV1407" s="1239"/>
      <c r="AW1407" s="1246" cm="1">
        <f t="array" ref="AW140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46147</v>
      </c>
      <c r="AX1407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407" s="1246">
        <f>IF(ISERROR(PV_DATA[[#This Row],[New Ark PO status]]),"",_xlfn.XLOOKUP(PV_DATA[[#This Row],[SPTN-PVHK New Ark PO'#]],New_Ark_Data[Purchase order Number],New_Ark_Data[Estimated time of arrival],"",0))</f>
        <v>0</v>
      </c>
      <c r="AZ1407" s="12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407" s="1246">
        <f>IFERROR(PV_DATA[[#This Row],[ODP ETA Port]]+PV_DATA[[#This Row],[Customs/Leg3 Assumption]],"n/a")</f>
        <v>46155</v>
      </c>
      <c r="BB1407" s="1242">
        <f>YEAR(PV_DATA[[#This Row],[ETA for New Ark update]])</f>
        <v>2026</v>
      </c>
      <c r="BC1407" s="1239">
        <f>MONTH(PV_DATA[[#This Row],[ETA for New Ark update]])</f>
        <v>5</v>
      </c>
      <c r="BD1407" s="1239">
        <f>IFERROR(_xlfn.ISOWEEKNUM(PV_DATA[[#This Row],[ETA for New Ark update]]),0)</f>
        <v>20</v>
      </c>
      <c r="BE1407" s="1239">
        <f>_xlfn.XLOOKUP(PV_DATA[[#This Row],[New Ark SKU]],Table9[New Ark SKU],Table9[Total PCS per Pallet],,0)</f>
        <v>36</v>
      </c>
      <c r="BF1407" s="1239">
        <f>_xlfn.XLOOKUP(PV_DATA[[#This Row],[New Ark SKU]],Table9[New Ark SKU],Table9[Total PCS per 40HQ Container],,0)</f>
        <v>720</v>
      </c>
      <c r="BG1407" s="431" t="str">
        <f>_xlfn.XLOOKUP(PV_DATA[[#This Row],[New Ark SKU]],Table9[New Ark SKU],Table9[Back Glass],,0)</f>
        <v>White glazing</v>
      </c>
      <c r="BH1407" s="1249" t="str">
        <f>_xlfn.XLOOKUP(PV_DATA[[#This Row],[PORT DESTINATION]],Table12[PORT DESTINATION],Table12[Cosco Line],,0)</f>
        <v>AEM</v>
      </c>
    </row>
    <row r="1408" spans="1:62" hidden="1">
      <c r="A1408" s="1238" t="s">
        <v>7767</v>
      </c>
      <c r="B1408" s="1238" t="s">
        <v>61</v>
      </c>
      <c r="C1408" s="1238" t="str">
        <f>IFERROR(LEFT(PV_DATA[[#This Row],[TCL REFERENCE]],FIND(".",PV_DATA[[#This Row],[TCL REFERENCE]],1)-1),"Main Line")</f>
        <v>26Oct022</v>
      </c>
      <c r="D1408" s="726" t="s">
        <v>113</v>
      </c>
      <c r="E1408" s="726" t="s">
        <v>64</v>
      </c>
      <c r="F1408" s="726" t="str" cm="1">
        <f t="array" ref="F1408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408" s="726" t="s">
        <v>402</v>
      </c>
      <c r="H1408" s="726" t="s">
        <v>67</v>
      </c>
      <c r="I1408" s="431" t="s">
        <v>882</v>
      </c>
      <c r="J1408" s="619" t="s">
        <v>7758</v>
      </c>
      <c r="K1408" s="619"/>
      <c r="L1408" s="619"/>
      <c r="M1408" s="619" t="s">
        <v>68</v>
      </c>
      <c r="N1408" s="1240">
        <v>46358</v>
      </c>
      <c r="O1408" s="431" t="s">
        <v>284</v>
      </c>
      <c r="P1408" s="1241" t="s">
        <v>7756</v>
      </c>
      <c r="Q1408" s="1239" t="s">
        <v>7736</v>
      </c>
      <c r="R1408" s="431" t="s">
        <v>73</v>
      </c>
      <c r="S1408" s="442" t="s">
        <v>992</v>
      </c>
      <c r="T1408" s="1242">
        <v>655</v>
      </c>
      <c r="U1408" s="1243">
        <v>3960</v>
      </c>
      <c r="V1408" s="1244">
        <f>PV_DATA[[#This Row],[QUANTITY]]*PV_DATA[[#This Row],[WATT]]/1000000</f>
        <v>2.5937999999999999</v>
      </c>
      <c r="W1408" s="466">
        <f>PV_DATA[[#This Row],[QUANTITY]]/PV_DATA[[#This Row],[Qty/Pallet]]</f>
        <v>110</v>
      </c>
      <c r="X1408" s="1022">
        <f>PV_DATA[[#This Row],[QUANTITY]]/PV_DATA[[#This Row],[Qty/CT]]</f>
        <v>5.5</v>
      </c>
      <c r="Y1408" s="431" t="s">
        <v>7732</v>
      </c>
      <c r="Z1408" s="1245" t="str">
        <f t="shared" si="55"/>
        <v/>
      </c>
      <c r="AA1408" s="1239" t="s">
        <v>7768</v>
      </c>
      <c r="AB1408" s="1246"/>
      <c r="AC1408" s="1247" t="str">
        <f>IF(PV_DATA[[#This Row],[Pick-Up Date]]&lt;&gt;"",_xlfn.ISOWEEKNUM(PV_DATA[[#This Row],[Pick-Up Date]]),"")</f>
        <v/>
      </c>
      <c r="AD1408" s="1239"/>
      <c r="AE1408" s="1242"/>
      <c r="AF1408" s="1239" t="s">
        <v>61</v>
      </c>
      <c r="AG1408" s="1239" t="s">
        <v>61</v>
      </c>
      <c r="AH1408" s="625" t="s">
        <v>78</v>
      </c>
      <c r="AI1408" s="1246"/>
      <c r="AJ1408" s="1246"/>
      <c r="AK1408" s="1246"/>
      <c r="AL1408" s="1246"/>
      <c r="AM1408" s="1251"/>
      <c r="AN1408" s="1251"/>
      <c r="AO1408" s="1239"/>
      <c r="AP1408" s="1239"/>
      <c r="AQ1408" s="1248"/>
      <c r="AR1408" s="1239"/>
      <c r="AS1408" s="1239"/>
      <c r="AT1408" s="1239"/>
      <c r="AU1408" s="1239"/>
      <c r="AV1408" s="1239"/>
      <c r="AW1408" s="1246" cm="1">
        <f t="array" ref="AW140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46154</v>
      </c>
      <c r="AX1408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408" s="1246">
        <f>IF(ISERROR(PV_DATA[[#This Row],[New Ark PO status]]),"",_xlfn.XLOOKUP(PV_DATA[[#This Row],[SPTN-PVHK New Ark PO'#]],New_Ark_Data[Purchase order Number],New_Ark_Data[Estimated time of arrival],"",0))</f>
        <v>0</v>
      </c>
      <c r="AZ1408" s="1242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408" s="1246">
        <f>IFERROR(PV_DATA[[#This Row],[ODP ETA Port]]+PV_DATA[[#This Row],[Customs/Leg3 Assumption]],"n/a")</f>
        <v>46162</v>
      </c>
      <c r="BB1408" s="1242">
        <f>YEAR(PV_DATA[[#This Row],[ETA for New Ark update]])</f>
        <v>2026</v>
      </c>
      <c r="BC1408" s="1239">
        <f>MONTH(PV_DATA[[#This Row],[ETA for New Ark update]])</f>
        <v>5</v>
      </c>
      <c r="BD1408" s="1239">
        <f>IFERROR(_xlfn.ISOWEEKNUM(PV_DATA[[#This Row],[ETA for New Ark update]]),0)</f>
        <v>21</v>
      </c>
      <c r="BE1408" s="1239">
        <f>_xlfn.XLOOKUP(PV_DATA[[#This Row],[New Ark SKU]],Table9[New Ark SKU],Table9[Total PCS per Pallet],,0)</f>
        <v>36</v>
      </c>
      <c r="BF1408" s="1239">
        <f>_xlfn.XLOOKUP(PV_DATA[[#This Row],[New Ark SKU]],Table9[New Ark SKU],Table9[Total PCS per 40HQ Container],,0)</f>
        <v>720</v>
      </c>
      <c r="BG1408" s="431" t="str">
        <f>_xlfn.XLOOKUP(PV_DATA[[#This Row],[New Ark SKU]],Table9[New Ark SKU],Table9[Back Glass],,0)</f>
        <v>White glazing</v>
      </c>
      <c r="BH1408" s="1249" t="str">
        <f>_xlfn.XLOOKUP(PV_DATA[[#This Row],[PORT DESTINATION]],Table12[PORT DESTINATION],Table12[Cosco Line],,0)</f>
        <v>AEM</v>
      </c>
    </row>
    <row r="1409" spans="1:62" hidden="1">
      <c r="A1409" s="1238" t="s">
        <v>7769</v>
      </c>
      <c r="B1409" s="1238" t="s">
        <v>61</v>
      </c>
      <c r="C1409" s="1238" t="str">
        <f>IFERROR(LEFT(PV_DATA[[#This Row],[TCL REFERENCE]],FIND(".",PV_DATA[[#This Row],[TCL REFERENCE]],1)-1),"Main Line")</f>
        <v>Main Line</v>
      </c>
      <c r="D1409" s="726" t="s">
        <v>113</v>
      </c>
      <c r="E1409" s="726" t="s">
        <v>68</v>
      </c>
      <c r="F1409" s="726" t="str" cm="1">
        <f t="array" ref="F1409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409" s="726" t="s">
        <v>68</v>
      </c>
      <c r="H1409" s="726" t="s">
        <v>68</v>
      </c>
      <c r="I1409" s="431" t="s">
        <v>68</v>
      </c>
      <c r="J1409" s="619" t="s">
        <v>68</v>
      </c>
      <c r="K1409" s="619"/>
      <c r="L1409" s="619"/>
      <c r="M1409" s="619" t="s">
        <v>68</v>
      </c>
      <c r="N1409" s="1240">
        <v>46358</v>
      </c>
      <c r="O1409" s="431" t="s">
        <v>284</v>
      </c>
      <c r="P1409" s="1241" t="s">
        <v>7770</v>
      </c>
      <c r="Q1409" s="1239" t="s">
        <v>7745</v>
      </c>
      <c r="R1409" s="431" t="s">
        <v>73</v>
      </c>
      <c r="S1409" s="442" t="s">
        <v>7737</v>
      </c>
      <c r="T1409" s="1242">
        <v>650</v>
      </c>
      <c r="U1409" s="1243" cm="1">
        <f t="array" ref="U1409">16560-fx_qty</f>
        <v>0</v>
      </c>
      <c r="V1409" s="1244">
        <f>PV_DATA[[#This Row],[QUANTITY]]*PV_DATA[[#This Row],[WATT]]/1000000</f>
        <v>0</v>
      </c>
      <c r="W1409" s="466">
        <f>PV_DATA[[#This Row],[QUANTITY]]/PV_DATA[[#This Row],[Qty/Pallet]]</f>
        <v>0</v>
      </c>
      <c r="X1409" s="1022">
        <f>PV_DATA[[#This Row],[QUANTITY]]/PV_DATA[[#This Row],[Qty/CT]]</f>
        <v>0</v>
      </c>
      <c r="Y1409" s="431" t="s">
        <v>7039</v>
      </c>
      <c r="Z1409" s="1245" t="str">
        <f t="shared" si="55"/>
        <v/>
      </c>
      <c r="AA1409" s="1239"/>
      <c r="AB1409" s="1246"/>
      <c r="AC1409" s="1247" t="str">
        <f>IF(PV_DATA[[#This Row],[Pick-Up Date]]&lt;&gt;"",_xlfn.ISOWEEKNUM(PV_DATA[[#This Row],[Pick-Up Date]]),"")</f>
        <v/>
      </c>
      <c r="AD1409" s="1239"/>
      <c r="AE1409" s="1242"/>
      <c r="AF1409" s="1239" t="s">
        <v>61</v>
      </c>
      <c r="AG1409" s="1239" t="s">
        <v>61</v>
      </c>
      <c r="AH1409" s="625" t="s">
        <v>68</v>
      </c>
      <c r="AI1409" s="1246"/>
      <c r="AJ1409" s="1246"/>
      <c r="AK1409" s="1246"/>
      <c r="AL1409" s="1246"/>
      <c r="AM1409" s="1251"/>
      <c r="AN1409" s="1251"/>
      <c r="AO1409" s="1239"/>
      <c r="AP1409" s="1239"/>
      <c r="AQ1409" s="1248"/>
      <c r="AR1409" s="1239"/>
      <c r="AS1409" s="1239"/>
      <c r="AT1409" s="1239"/>
      <c r="AU1409" s="1239"/>
      <c r="AV1409" s="1239"/>
      <c r="AW1409" s="1246" t="str" cm="1">
        <f t="array" ref="AW140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409" s="1214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409" s="1246">
        <f>IF(ISERROR(PV_DATA[[#This Row],[New Ark PO status]]),"",_xlfn.XLOOKUP(PV_DATA[[#This Row],[SPTN-PVHK New Ark PO'#]],New_Ark_Data[Purchase order Number],New_Ark_Data[Estimated time of arrival],"",0))</f>
        <v>0</v>
      </c>
      <c r="AZ1409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409" s="1246" t="str">
        <f>IFERROR(PV_DATA[[#This Row],[ODP ETA Port]]+PV_DATA[[#This Row],[Customs/Leg3 Assumption]],"n/a")</f>
        <v>n/a</v>
      </c>
      <c r="BB1409" s="1242" t="e">
        <f>YEAR(PV_DATA[[#This Row],[ETA for New Ark update]])</f>
        <v>#VALUE!</v>
      </c>
      <c r="BC1409" s="1239" t="e">
        <f>MONTH(PV_DATA[[#This Row],[ETA for New Ark update]])</f>
        <v>#VALUE!</v>
      </c>
      <c r="BD1409" s="1239">
        <f>IFERROR(_xlfn.ISOWEEKNUM(PV_DATA[[#This Row],[ETA for New Ark update]]),0)</f>
        <v>0</v>
      </c>
      <c r="BE1409" s="1239">
        <f>_xlfn.XLOOKUP(PV_DATA[[#This Row],[New Ark SKU]],Table9[New Ark SKU],Table9[Total PCS per Pallet],,0)</f>
        <v>36</v>
      </c>
      <c r="BF1409" s="1239">
        <f>_xlfn.XLOOKUP(PV_DATA[[#This Row],[New Ark SKU]],Table9[New Ark SKU],Table9[Total PCS per 40HQ Container],,0)</f>
        <v>720</v>
      </c>
      <c r="BG1409" s="431" t="str">
        <f>_xlfn.XLOOKUP(PV_DATA[[#This Row],[New Ark SKU]],Table9[New Ark SKU],Table9[Back Glass],,0)</f>
        <v>White glazing</v>
      </c>
      <c r="BH1409" s="1249" t="str">
        <f>_xlfn.XLOOKUP(PV_DATA[[#This Row],[PORT DESTINATION]],Table12[PORT DESTINATION],Table12[Cosco Line],,0)</f>
        <v>n/a</v>
      </c>
    </row>
    <row r="1410" spans="1:62" s="1444" customFormat="1" hidden="1">
      <c r="A1410" s="1442" t="s">
        <v>7771</v>
      </c>
      <c r="B1410" s="1442" t="s">
        <v>61</v>
      </c>
      <c r="C1410" s="1442" t="str">
        <f>IFERROR(LEFT(PV_DATA[[#This Row],[TCL REFERENCE]],FIND(".",PV_DATA[[#This Row],[TCL REFERENCE]],1)-1),"Main Line")</f>
        <v>26Oct023</v>
      </c>
      <c r="D1410" s="1443" t="s">
        <v>113</v>
      </c>
      <c r="E1410" s="1443" t="s">
        <v>64</v>
      </c>
      <c r="F1410" s="1443" t="str" cm="1">
        <f t="array" ref="F1410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410" s="1443" t="s">
        <v>402</v>
      </c>
      <c r="H1410" s="1443" t="s">
        <v>67</v>
      </c>
      <c r="I1410" s="1444" t="s">
        <v>869</v>
      </c>
      <c r="J1410" s="1445" t="s">
        <v>7772</v>
      </c>
      <c r="K1410" s="1445"/>
      <c r="L1410" s="1445"/>
      <c r="M1410" s="1445" t="s">
        <v>68</v>
      </c>
      <c r="N1410" s="1446">
        <v>46358</v>
      </c>
      <c r="O1410" s="1444" t="s">
        <v>284</v>
      </c>
      <c r="P1410" s="1447" t="s">
        <v>7770</v>
      </c>
      <c r="Q1410" s="1447" t="s">
        <v>7745</v>
      </c>
      <c r="R1410" s="1444" t="s">
        <v>73</v>
      </c>
      <c r="S1410" s="1448" t="s">
        <v>7737</v>
      </c>
      <c r="T1410" s="1449">
        <v>650</v>
      </c>
      <c r="U1410" s="1450">
        <f>720*16</f>
        <v>11520</v>
      </c>
      <c r="V1410" s="1451">
        <f>PV_DATA[[#This Row],[QUANTITY]]*PV_DATA[[#This Row],[WATT]]/1000000</f>
        <v>7.4880000000000004</v>
      </c>
      <c r="W1410" s="1452">
        <f>PV_DATA[[#This Row],[QUANTITY]]/PV_DATA[[#This Row],[Qty/Pallet]]</f>
        <v>320</v>
      </c>
      <c r="X1410" s="1453">
        <f>PV_DATA[[#This Row],[QUANTITY]]/PV_DATA[[#This Row],[Qty/CT]]</f>
        <v>16</v>
      </c>
      <c r="Y1410" s="1444" t="s">
        <v>4389</v>
      </c>
      <c r="Z1410" s="1454" t="str">
        <f t="shared" si="55"/>
        <v/>
      </c>
      <c r="AA1410" s="1447" t="s">
        <v>7773</v>
      </c>
      <c r="AB1410" s="1455"/>
      <c r="AC1410" s="1456" t="str">
        <f>IF(PV_DATA[[#This Row],[Pick-Up Date]]&lt;&gt;"",_xlfn.ISOWEEKNUM(PV_DATA[[#This Row],[Pick-Up Date]]),"")</f>
        <v/>
      </c>
      <c r="AD1410" s="1447"/>
      <c r="AE1410" s="1449"/>
      <c r="AF1410" s="1447" t="s">
        <v>61</v>
      </c>
      <c r="AG1410" s="1447" t="s">
        <v>61</v>
      </c>
      <c r="AH1410" s="1457" t="s">
        <v>78</v>
      </c>
      <c r="AI1410" s="1455"/>
      <c r="AJ1410" s="1455"/>
      <c r="AK1410" s="1455"/>
      <c r="AL1410" s="1455"/>
      <c r="AM1410" s="1458"/>
      <c r="AN1410" s="1458"/>
      <c r="AO1410" s="1447"/>
      <c r="AP1410" s="1447"/>
      <c r="AQ1410" s="1459"/>
      <c r="AR1410" s="1447"/>
      <c r="AS1410" s="1447"/>
      <c r="AT1410" s="1447"/>
      <c r="AU1410" s="1447"/>
      <c r="AV1410" s="1447"/>
      <c r="AW1410" s="1455" cm="1">
        <f t="array" ref="AW141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46420</v>
      </c>
      <c r="AX1410" s="1460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410" s="1455">
        <f>IF(ISERROR(PV_DATA[[#This Row],[New Ark PO status]]),"",_xlfn.XLOOKUP(PV_DATA[[#This Row],[SPTN-PVHK New Ark PO'#]],New_Ark_Data[Purchase order Number],New_Ark_Data[Estimated time of arrival],"",0))</f>
        <v>0</v>
      </c>
      <c r="AZ1410" s="1449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410" s="1455">
        <f>IFERROR(PV_DATA[[#This Row],[ODP ETA Port]]+PV_DATA[[#This Row],[Customs/Leg3 Assumption]],"n/a")</f>
        <v>46428</v>
      </c>
      <c r="BB1410" s="1449">
        <f>YEAR(PV_DATA[[#This Row],[ETA for New Ark update]])</f>
        <v>2027</v>
      </c>
      <c r="BC1410" s="1447">
        <f>MONTH(PV_DATA[[#This Row],[ETA for New Ark update]])</f>
        <v>2</v>
      </c>
      <c r="BD1410" s="1447">
        <f>IFERROR(_xlfn.ISOWEEKNUM(PV_DATA[[#This Row],[ETA for New Ark update]]),0)</f>
        <v>6</v>
      </c>
      <c r="BE1410" s="1447">
        <f>_xlfn.XLOOKUP(PV_DATA[[#This Row],[New Ark SKU]],Table9[New Ark SKU],Table9[Total PCS per Pallet],,0)</f>
        <v>36</v>
      </c>
      <c r="BF1410" s="1447">
        <f>_xlfn.XLOOKUP(PV_DATA[[#This Row],[New Ark SKU]],Table9[New Ark SKU],Table9[Total PCS per 40HQ Container],,0)</f>
        <v>720</v>
      </c>
      <c r="BG1410" s="1444" t="str">
        <f>_xlfn.XLOOKUP(PV_DATA[[#This Row],[New Ark SKU]],Table9[New Ark SKU],Table9[Back Glass],,0)</f>
        <v>White glazing</v>
      </c>
      <c r="BH1410" s="1461" t="str">
        <f>_xlfn.XLOOKUP(PV_DATA[[#This Row],[PORT DESTINATION]],Table12[PORT DESTINATION],Table12[Cosco Line],,0)</f>
        <v>AEM</v>
      </c>
      <c r="BJ1410" s="1462"/>
    </row>
    <row r="1411" spans="1:62" s="1444" customFormat="1" hidden="1">
      <c r="A1411" s="1442" t="s">
        <v>7774</v>
      </c>
      <c r="B1411" s="1442" t="s">
        <v>61</v>
      </c>
      <c r="C1411" s="1442" t="str">
        <f>IFERROR(LEFT(PV_DATA[[#This Row],[TCL REFERENCE]],FIND(".",PV_DATA[[#This Row],[TCL REFERENCE]],1)-1),"Main Line")</f>
        <v>26Oct023</v>
      </c>
      <c r="D1411" s="1443" t="s">
        <v>113</v>
      </c>
      <c r="E1411" s="1443" t="s">
        <v>64</v>
      </c>
      <c r="F1411" s="1443" t="str" cm="1">
        <f t="array" ref="F1411">_xlfn.IFS(PV_DATA[[#This Row],[New Ark PO Type]]="n/a","n/a",PV_DATA[[#This Row],[New Ark PO Type]]="Offshore","SPTN Offstore in Transit WH",TRUE,_xlfn.XLOOKUP(PV_DATA[[#This Row],[PORT DESTINATION]],LT_REF[PORT DESTINATION],LT_REF[New Ark WH],,0))</f>
        <v>Arrival Plan-SPTN</v>
      </c>
      <c r="G1411" s="1443" t="s">
        <v>402</v>
      </c>
      <c r="H1411" s="1443" t="s">
        <v>67</v>
      </c>
      <c r="I1411" s="1444" t="s">
        <v>1395</v>
      </c>
      <c r="J1411" s="1445" t="s">
        <v>7772</v>
      </c>
      <c r="K1411" s="1445"/>
      <c r="L1411" s="1445"/>
      <c r="M1411" s="1445" t="s">
        <v>68</v>
      </c>
      <c r="N1411" s="1446">
        <v>46358</v>
      </c>
      <c r="O1411" s="1444" t="s">
        <v>284</v>
      </c>
      <c r="P1411" s="1447" t="s">
        <v>7770</v>
      </c>
      <c r="Q1411" s="1447" t="s">
        <v>7745</v>
      </c>
      <c r="R1411" s="1444" t="s">
        <v>73</v>
      </c>
      <c r="S1411" s="1448" t="s">
        <v>7737</v>
      </c>
      <c r="T1411" s="1449">
        <v>650</v>
      </c>
      <c r="U1411" s="1450">
        <f>720*7</f>
        <v>5040</v>
      </c>
      <c r="V1411" s="1451">
        <f>PV_DATA[[#This Row],[QUANTITY]]*PV_DATA[[#This Row],[WATT]]/1000000</f>
        <v>3.2759999999999998</v>
      </c>
      <c r="W1411" s="1452">
        <f>PV_DATA[[#This Row],[QUANTITY]]/PV_DATA[[#This Row],[Qty/Pallet]]</f>
        <v>140</v>
      </c>
      <c r="X1411" s="1453">
        <f>PV_DATA[[#This Row],[QUANTITY]]/PV_DATA[[#This Row],[Qty/CT]]</f>
        <v>7</v>
      </c>
      <c r="Y1411" s="1444" t="s">
        <v>4390</v>
      </c>
      <c r="Z1411" s="1454" t="str">
        <f t="shared" si="55"/>
        <v/>
      </c>
      <c r="AA1411" s="1447" t="s">
        <v>7775</v>
      </c>
      <c r="AB1411" s="1455"/>
      <c r="AC1411" s="1456" t="str">
        <f>IF(PV_DATA[[#This Row],[Pick-Up Date]]&lt;&gt;"",_xlfn.ISOWEEKNUM(PV_DATA[[#This Row],[Pick-Up Date]]),"")</f>
        <v/>
      </c>
      <c r="AD1411" s="1447"/>
      <c r="AE1411" s="1449"/>
      <c r="AF1411" s="1447" t="s">
        <v>61</v>
      </c>
      <c r="AG1411" s="1447" t="s">
        <v>61</v>
      </c>
      <c r="AH1411" s="1457" t="s">
        <v>78</v>
      </c>
      <c r="AI1411" s="1455"/>
      <c r="AJ1411" s="1455"/>
      <c r="AK1411" s="1455"/>
      <c r="AL1411" s="1455"/>
      <c r="AM1411" s="1458"/>
      <c r="AN1411" s="1458"/>
      <c r="AO1411" s="1447"/>
      <c r="AP1411" s="1447"/>
      <c r="AQ1411" s="1459"/>
      <c r="AR1411" s="1447"/>
      <c r="AS1411" s="1447"/>
      <c r="AT1411" s="1447"/>
      <c r="AU1411" s="1447"/>
      <c r="AV1411" s="1447"/>
      <c r="AW1411" s="1455" cm="1">
        <f t="array" ref="AW141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46427</v>
      </c>
      <c r="AX1411" s="1460" t="str">
        <f>IF(COUNTIF(New_Ark_Data[Purchase order Number],PV_DATA[[#This Row],[SPTN-PVHK New Ark PO'#]])=0,"-",_xlfn.XLOOKUP(PV_DATA[[#This Row],[SPTN-PVHK New Ark PO'#]],New_Ark_Data[Purchase order Number],New_Ark_Data[Status],,0)&amp;"-"&amp;_xlfn.XLOOKUP(PV_DATA[[#This Row],[SPTN-PVHK New Ark PO'#]],New_Ark_Data[Purchase order Number],New_Ark_Data[Approval Status],,0))</f>
        <v>-</v>
      </c>
      <c r="AY1411" s="1455">
        <f>IF(ISERROR(PV_DATA[[#This Row],[New Ark PO status]]),"",_xlfn.XLOOKUP(PV_DATA[[#This Row],[SPTN-PVHK New Ark PO'#]],New_Ark_Data[Purchase order Number],New_Ark_Data[Estimated time of arrival],"",0))</f>
        <v>0</v>
      </c>
      <c r="AZ1411" s="1449">
        <f>IF(OR(PV_DATA[[#This Row],[New Ark PO Type]]="Offshore",PV_DATA[[#This Row],[New Ark PO Type]]="Internal-&gt;Offshore"),0,IFERROR(VLOOKUP(PV_DATA[[#This Row],[POL]]&amp;PV_DATA[[#This Row],[PORT DESTINATION]],LT_REF[],7,0),14))</f>
        <v>8</v>
      </c>
      <c r="BA1411" s="1455">
        <f>IFERROR(PV_DATA[[#This Row],[ODP ETA Port]]+PV_DATA[[#This Row],[Customs/Leg3 Assumption]],"n/a")</f>
        <v>46435</v>
      </c>
      <c r="BB1411" s="1449">
        <f>YEAR(PV_DATA[[#This Row],[ETA for New Ark update]])</f>
        <v>2027</v>
      </c>
      <c r="BC1411" s="1447">
        <f>MONTH(PV_DATA[[#This Row],[ETA for New Ark update]])</f>
        <v>2</v>
      </c>
      <c r="BD1411" s="1447">
        <f>IFERROR(_xlfn.ISOWEEKNUM(PV_DATA[[#This Row],[ETA for New Ark update]]),0)</f>
        <v>7</v>
      </c>
      <c r="BE1411" s="1447">
        <f>_xlfn.XLOOKUP(PV_DATA[[#This Row],[New Ark SKU]],Table9[New Ark SKU],Table9[Total PCS per Pallet],,0)</f>
        <v>36</v>
      </c>
      <c r="BF1411" s="1447">
        <f>_xlfn.XLOOKUP(PV_DATA[[#This Row],[New Ark SKU]],Table9[New Ark SKU],Table9[Total PCS per 40HQ Container],,0)</f>
        <v>720</v>
      </c>
      <c r="BG1411" s="1444" t="str">
        <f>_xlfn.XLOOKUP(PV_DATA[[#This Row],[New Ark SKU]],Table9[New Ark SKU],Table9[Back Glass],,0)</f>
        <v>White glazing</v>
      </c>
      <c r="BH1411" s="1461" t="str">
        <f>_xlfn.XLOOKUP(PV_DATA[[#This Row],[PORT DESTINATION]],Table12[PORT DESTINATION],Table12[Cosco Line],,0)</f>
        <v>AEM</v>
      </c>
      <c r="BJ1411" s="1462"/>
    </row>
    <row r="1412" spans="1:62" hidden="1">
      <c r="A1412" s="1238" t="s">
        <v>7776</v>
      </c>
      <c r="B1412" s="1238" t="s">
        <v>111</v>
      </c>
      <c r="C1412" s="1238" t="str">
        <f>IFERROR(LEFT(PV_DATA[[#This Row],[TCL REFERENCE]],FIND(".",PV_DATA[[#This Row],[TCL REFERENCE]],1)-1),"Main Line")</f>
        <v>Main Line</v>
      </c>
      <c r="D1412" s="726" t="s">
        <v>113</v>
      </c>
      <c r="E1412" s="726" t="s">
        <v>68</v>
      </c>
      <c r="F1412" s="726" t="str" cm="1">
        <f t="array" ref="F1412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412" s="726" t="s">
        <v>68</v>
      </c>
      <c r="H1412" s="726" t="s">
        <v>68</v>
      </c>
      <c r="I1412" s="431" t="s">
        <v>68</v>
      </c>
      <c r="J1412" s="619" t="s">
        <v>68</v>
      </c>
      <c r="K1412" s="619"/>
      <c r="L1412" s="619"/>
      <c r="M1412" s="619" t="s">
        <v>68</v>
      </c>
      <c r="N1412" s="1240">
        <v>46347</v>
      </c>
      <c r="O1412" s="431" t="s">
        <v>5388</v>
      </c>
      <c r="P1412" s="1241" t="s">
        <v>7777</v>
      </c>
      <c r="Q1412" s="1239" t="s">
        <v>7778</v>
      </c>
      <c r="R1412" s="431" t="s">
        <v>331</v>
      </c>
      <c r="S1412" s="442" t="s">
        <v>967</v>
      </c>
      <c r="T1412" s="1242">
        <v>480</v>
      </c>
      <c r="U1412" s="1243">
        <v>61776</v>
      </c>
      <c r="V1412" s="1244">
        <f>PV_DATA[[#This Row],[QUANTITY]]*PV_DATA[[#This Row],[WATT]]/1000000</f>
        <v>29.652480000000001</v>
      </c>
      <c r="W1412" s="466">
        <f>PV_DATA[[#This Row],[QUANTITY]]/PV_DATA[[#This Row],[Qty/Pallet]]</f>
        <v>1716</v>
      </c>
      <c r="X1412" s="1022">
        <f>PV_DATA[[#This Row],[QUANTITY]]/PV_DATA[[#This Row],[Qty/CT]]</f>
        <v>66</v>
      </c>
      <c r="Y1412" s="431" t="s">
        <v>7039</v>
      </c>
      <c r="Z1412" s="1245" t="str">
        <f t="shared" ref="Z1412:Z1417" si="57">IF(AN1412&lt;&gt;"","COMPLETED",IF(AK1412&lt;&gt;"","IN-TRANSIT",""))</f>
        <v/>
      </c>
      <c r="AA1412" s="1239" t="s">
        <v>7779</v>
      </c>
      <c r="AB1412" s="1246"/>
      <c r="AC1412" s="1247" t="str">
        <f>IF(PV_DATA[[#This Row],[Pick-Up Date]]&lt;&gt;"",_xlfn.ISOWEEKNUM(PV_DATA[[#This Row],[Pick-Up Date]]),"")</f>
        <v/>
      </c>
      <c r="AD1412" s="1239"/>
      <c r="AE1412" s="1242"/>
      <c r="AF1412" s="1239" t="s">
        <v>123</v>
      </c>
      <c r="AG1412" s="1239" t="s">
        <v>123</v>
      </c>
      <c r="AH1412" s="625"/>
      <c r="AI1412" s="1246"/>
      <c r="AJ1412" s="1246"/>
      <c r="AK1412" s="1246"/>
      <c r="AL1412" s="1246"/>
      <c r="AM1412" s="1251"/>
      <c r="AN1412" s="1251"/>
      <c r="AO1412" s="1239"/>
      <c r="AP1412" s="1239"/>
      <c r="AQ1412" s="1248"/>
      <c r="AR1412" s="1239"/>
      <c r="AS1412" s="1239"/>
      <c r="AT1412" s="1239"/>
      <c r="AU1412" s="1239"/>
      <c r="AV1412" s="1239"/>
      <c r="AW1412" s="1246" t="str" cm="1">
        <f t="array" ref="AW141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412" s="1214" t="e">
        <f>IF(COUNTIF(#REF!,#REF!)=0,"-",_xlfn.XLOOKUP(#REF!,#REF!,#REF!,,0)&amp;"-"&amp;_xlfn.XLOOKUP(#REF!,#REF!,#REF!,,0))</f>
        <v>#REF!</v>
      </c>
      <c r="AY1412" s="1246" t="str">
        <f>IF(ISERROR(PV_DATA[[#This Row],[New Ark PO status]]),"",_xlfn.XLOOKUP(PV_DATA[[#This Row],[SPTN-PVHK New Ark PO'#]],New_Ark_Data[Purchase order Number],New_Ark_Data[Estimated time of arrival],"",0))</f>
        <v/>
      </c>
      <c r="AZ1412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412" s="1246" t="str">
        <f>IFERROR(PV_DATA[[#This Row],[ODP ETA Port]]+PV_DATA[[#This Row],[Customs/Leg3 Assumption]],"n/a")</f>
        <v>n/a</v>
      </c>
      <c r="BB1412" s="1242" t="e">
        <f>YEAR(PV_DATA[[#This Row],[ETA for New Ark update]])</f>
        <v>#VALUE!</v>
      </c>
      <c r="BC1412" s="1239" t="e">
        <f>MONTH(PV_DATA[[#This Row],[ETA for New Ark update]])</f>
        <v>#VALUE!</v>
      </c>
      <c r="BD1412" s="1239">
        <f>IFERROR(_xlfn.ISOWEEKNUM(PV_DATA[[#This Row],[ETA for New Ark update]]),0)</f>
        <v>0</v>
      </c>
      <c r="BE1412" s="1239">
        <v>36</v>
      </c>
      <c r="BF1412" s="1239">
        <v>936</v>
      </c>
      <c r="BG1412" s="431" t="e">
        <f>_xlfn.XLOOKUP(PV_DATA[[#This Row],[New Ark SKU]],Table9[New Ark SKU],Table9[Back Glass],,0)</f>
        <v>#N/A</v>
      </c>
      <c r="BH1412" s="1249">
        <f>_xlfn.XLOOKUP(PV_DATA[[#This Row],[PORT DESTINATION]],Table12[PORT DESTINATION],Table12[Cosco Line],,0)</f>
        <v>0</v>
      </c>
    </row>
    <row r="1413" spans="1:62" hidden="1">
      <c r="A1413" s="1238" t="s">
        <v>7780</v>
      </c>
      <c r="B1413" s="1238" t="s">
        <v>111</v>
      </c>
      <c r="C1413" s="1238" t="str">
        <f>IFERROR(LEFT(PV_DATA[[#This Row],[TCL REFERENCE]],FIND(".",PV_DATA[[#This Row],[TCL REFERENCE]],1)-1),"Main Line")</f>
        <v>Main Line</v>
      </c>
      <c r="D1413" s="726" t="s">
        <v>113</v>
      </c>
      <c r="E1413" s="726" t="s">
        <v>68</v>
      </c>
      <c r="F1413" s="726" t="str" cm="1">
        <f t="array" ref="F1413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413" s="726" t="s">
        <v>68</v>
      </c>
      <c r="H1413" s="726" t="s">
        <v>68</v>
      </c>
      <c r="I1413" s="431" t="s">
        <v>68</v>
      </c>
      <c r="J1413" s="619" t="s">
        <v>68</v>
      </c>
      <c r="K1413" s="619"/>
      <c r="L1413" s="619"/>
      <c r="M1413" s="619" t="s">
        <v>68</v>
      </c>
      <c r="N1413" s="1240">
        <v>46347</v>
      </c>
      <c r="O1413" s="431" t="s">
        <v>5388</v>
      </c>
      <c r="P1413" s="1241" t="s">
        <v>7781</v>
      </c>
      <c r="Q1413" s="1239" t="s">
        <v>7782</v>
      </c>
      <c r="R1413" s="431" t="s">
        <v>331</v>
      </c>
      <c r="S1413" s="442" t="s">
        <v>967</v>
      </c>
      <c r="T1413" s="1242">
        <v>485</v>
      </c>
      <c r="U1413" s="1243">
        <v>82368</v>
      </c>
      <c r="V1413" s="1244">
        <f>PV_DATA[[#This Row],[QUANTITY]]*PV_DATA[[#This Row],[WATT]]/1000000</f>
        <v>39.948480000000004</v>
      </c>
      <c r="W1413" s="466">
        <f>PV_DATA[[#This Row],[QUANTITY]]/PV_DATA[[#This Row],[Qty/Pallet]]</f>
        <v>2288</v>
      </c>
      <c r="X1413" s="1022">
        <f>PV_DATA[[#This Row],[QUANTITY]]/PV_DATA[[#This Row],[Qty/CT]]</f>
        <v>88</v>
      </c>
      <c r="Y1413" s="431" t="s">
        <v>7039</v>
      </c>
      <c r="Z1413" s="1245" t="str">
        <f t="shared" si="57"/>
        <v/>
      </c>
      <c r="AA1413" s="1239" t="s">
        <v>7779</v>
      </c>
      <c r="AB1413" s="1246"/>
      <c r="AC1413" s="1247" t="str">
        <f>IF(PV_DATA[[#This Row],[Pick-Up Date]]&lt;&gt;"",_xlfn.ISOWEEKNUM(PV_DATA[[#This Row],[Pick-Up Date]]),"")</f>
        <v/>
      </c>
      <c r="AD1413" s="1239"/>
      <c r="AE1413" s="1242"/>
      <c r="AF1413" s="1239" t="s">
        <v>123</v>
      </c>
      <c r="AG1413" s="1239" t="s">
        <v>123</v>
      </c>
      <c r="AH1413" s="625"/>
      <c r="AI1413" s="1246"/>
      <c r="AJ1413" s="1246"/>
      <c r="AK1413" s="1246"/>
      <c r="AL1413" s="1246"/>
      <c r="AM1413" s="1251"/>
      <c r="AN1413" s="1251"/>
      <c r="AO1413" s="1239"/>
      <c r="AP1413" s="1239"/>
      <c r="AQ1413" s="1248"/>
      <c r="AR1413" s="1239"/>
      <c r="AS1413" s="1239"/>
      <c r="AT1413" s="1239"/>
      <c r="AU1413" s="1239"/>
      <c r="AV1413" s="1239"/>
      <c r="AW1413" s="1246" t="str" cm="1">
        <f t="array" ref="AW141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413" s="1214" t="e">
        <f>IF(COUNTIF(#REF!,#REF!)=0,"-",_xlfn.XLOOKUP(#REF!,#REF!,#REF!,,0)&amp;"-"&amp;_xlfn.XLOOKUP(#REF!,#REF!,#REF!,,0))</f>
        <v>#REF!</v>
      </c>
      <c r="AY1413" s="1246" t="str">
        <f>IF(ISERROR(PV_DATA[[#This Row],[New Ark PO status]]),"",_xlfn.XLOOKUP(PV_DATA[[#This Row],[SPTN-PVHK New Ark PO'#]],New_Ark_Data[Purchase order Number],New_Ark_Data[Estimated time of arrival],"",0))</f>
        <v/>
      </c>
      <c r="AZ1413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413" s="1246" t="str">
        <f>IFERROR(PV_DATA[[#This Row],[ODP ETA Port]]+PV_DATA[[#This Row],[Customs/Leg3 Assumption]],"n/a")</f>
        <v>n/a</v>
      </c>
      <c r="BB1413" s="1242" t="e">
        <f>YEAR(PV_DATA[[#This Row],[ETA for New Ark update]])</f>
        <v>#VALUE!</v>
      </c>
      <c r="BC1413" s="1239" t="e">
        <f>MONTH(PV_DATA[[#This Row],[ETA for New Ark update]])</f>
        <v>#VALUE!</v>
      </c>
      <c r="BD1413" s="1239">
        <f>IFERROR(_xlfn.ISOWEEKNUM(PV_DATA[[#This Row],[ETA for New Ark update]]),0)</f>
        <v>0</v>
      </c>
      <c r="BE1413" s="1239">
        <v>36</v>
      </c>
      <c r="BF1413" s="1239">
        <v>936</v>
      </c>
      <c r="BG1413" s="431" t="e">
        <f>_xlfn.XLOOKUP(PV_DATA[[#This Row],[New Ark SKU]],Table9[New Ark SKU],Table9[Back Glass],,0)</f>
        <v>#N/A</v>
      </c>
      <c r="BH1413" s="1249">
        <f>_xlfn.XLOOKUP(PV_DATA[[#This Row],[PORT DESTINATION]],Table12[PORT DESTINATION],Table12[Cosco Line],,0)</f>
        <v>0</v>
      </c>
    </row>
    <row r="1414" spans="1:62" hidden="1">
      <c r="A1414" s="1238" t="s">
        <v>7783</v>
      </c>
      <c r="B1414" s="1238" t="s">
        <v>111</v>
      </c>
      <c r="C1414" s="1238" t="str">
        <f>IFERROR(LEFT(PV_DATA[[#This Row],[TCL REFERENCE]],FIND(".",PV_DATA[[#This Row],[TCL REFERENCE]],1)-1),"Main Line")</f>
        <v>Main Line</v>
      </c>
      <c r="D1414" s="726" t="s">
        <v>113</v>
      </c>
      <c r="E1414" s="726" t="s">
        <v>68</v>
      </c>
      <c r="F1414" s="726" t="str" cm="1">
        <f t="array" ref="F1414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414" s="726" t="s">
        <v>68</v>
      </c>
      <c r="H1414" s="726" t="s">
        <v>68</v>
      </c>
      <c r="I1414" s="431" t="s">
        <v>68</v>
      </c>
      <c r="J1414" s="619" t="s">
        <v>68</v>
      </c>
      <c r="K1414" s="619"/>
      <c r="L1414" s="619"/>
      <c r="M1414" s="619" t="s">
        <v>68</v>
      </c>
      <c r="N1414" s="1240">
        <v>46358</v>
      </c>
      <c r="O1414" s="431" t="s">
        <v>5388</v>
      </c>
      <c r="P1414" s="1241" t="s">
        <v>7784</v>
      </c>
      <c r="Q1414" s="1239" t="s">
        <v>7785</v>
      </c>
      <c r="R1414" s="431" t="s">
        <v>331</v>
      </c>
      <c r="S1414" s="442" t="s">
        <v>967</v>
      </c>
      <c r="T1414" s="1242">
        <v>485</v>
      </c>
      <c r="U1414" s="1243">
        <v>71136</v>
      </c>
      <c r="V1414" s="1244">
        <f>PV_DATA[[#This Row],[QUANTITY]]*PV_DATA[[#This Row],[WATT]]/1000000</f>
        <v>34.500959999999999</v>
      </c>
      <c r="W1414" s="466">
        <f>PV_DATA[[#This Row],[QUANTITY]]/PV_DATA[[#This Row],[Qty/Pallet]]</f>
        <v>1976</v>
      </c>
      <c r="X1414" s="1022">
        <f>PV_DATA[[#This Row],[QUANTITY]]/PV_DATA[[#This Row],[Qty/CT]]</f>
        <v>76</v>
      </c>
      <c r="Y1414" s="431" t="s">
        <v>7039</v>
      </c>
      <c r="Z1414" s="1245" t="str">
        <f t="shared" si="57"/>
        <v/>
      </c>
      <c r="AA1414" s="1239" t="s">
        <v>7786</v>
      </c>
      <c r="AB1414" s="1246"/>
      <c r="AC1414" s="1247" t="str">
        <f>IF(PV_DATA[[#This Row],[Pick-Up Date]]&lt;&gt;"",_xlfn.ISOWEEKNUM(PV_DATA[[#This Row],[Pick-Up Date]]),"")</f>
        <v/>
      </c>
      <c r="AD1414" s="1239"/>
      <c r="AE1414" s="1242"/>
      <c r="AF1414" s="1239" t="s">
        <v>123</v>
      </c>
      <c r="AG1414" s="1239" t="s">
        <v>123</v>
      </c>
      <c r="AH1414" s="625"/>
      <c r="AI1414" s="1246"/>
      <c r="AJ1414" s="1246"/>
      <c r="AK1414" s="1246"/>
      <c r="AL1414" s="1246"/>
      <c r="AM1414" s="1251"/>
      <c r="AN1414" s="1251"/>
      <c r="AO1414" s="1239"/>
      <c r="AP1414" s="1239"/>
      <c r="AQ1414" s="1248"/>
      <c r="AR1414" s="1239"/>
      <c r="AS1414" s="1239"/>
      <c r="AT1414" s="1239"/>
      <c r="AU1414" s="1239"/>
      <c r="AV1414" s="1239"/>
      <c r="AW1414" s="1246" t="str" cm="1">
        <f t="array" ref="AW141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414" s="1214" t="e">
        <f>IF(COUNTIF(#REF!,#REF!)=0,"-",_xlfn.XLOOKUP(#REF!,#REF!,#REF!,,0)&amp;"-"&amp;_xlfn.XLOOKUP(#REF!,#REF!,#REF!,,0))</f>
        <v>#REF!</v>
      </c>
      <c r="AY1414" s="1246" t="str">
        <f>IF(ISERROR(PV_DATA[[#This Row],[New Ark PO status]]),"",_xlfn.XLOOKUP(PV_DATA[[#This Row],[SPTN-PVHK New Ark PO'#]],New_Ark_Data[Purchase order Number],New_Ark_Data[Estimated time of arrival],"",0))</f>
        <v/>
      </c>
      <c r="AZ1414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414" s="1246" t="str">
        <f>IFERROR(PV_DATA[[#This Row],[ODP ETA Port]]+PV_DATA[[#This Row],[Customs/Leg3 Assumption]],"n/a")</f>
        <v>n/a</v>
      </c>
      <c r="BB1414" s="1242" t="e">
        <f>YEAR(PV_DATA[[#This Row],[ETA for New Ark update]])</f>
        <v>#VALUE!</v>
      </c>
      <c r="BC1414" s="1239" t="e">
        <f>MONTH(PV_DATA[[#This Row],[ETA for New Ark update]])</f>
        <v>#VALUE!</v>
      </c>
      <c r="BD1414" s="1239">
        <f>IFERROR(_xlfn.ISOWEEKNUM(PV_DATA[[#This Row],[ETA for New Ark update]]),0)</f>
        <v>0</v>
      </c>
      <c r="BE1414" s="1239">
        <v>36</v>
      </c>
      <c r="BF1414" s="1239">
        <v>936</v>
      </c>
      <c r="BG1414" s="431" t="e">
        <f>_xlfn.XLOOKUP(PV_DATA[[#This Row],[New Ark SKU]],Table9[New Ark SKU],Table9[Back Glass],,0)</f>
        <v>#N/A</v>
      </c>
      <c r="BH1414" s="1249">
        <f>_xlfn.XLOOKUP(PV_DATA[[#This Row],[PORT DESTINATION]],Table12[PORT DESTINATION],Table12[Cosco Line],,0)</f>
        <v>0</v>
      </c>
    </row>
    <row r="1415" spans="1:62" hidden="1">
      <c r="A1415" s="1238" t="s">
        <v>7787</v>
      </c>
      <c r="B1415" s="1238" t="s">
        <v>111</v>
      </c>
      <c r="C1415" s="1238" t="str">
        <f>IFERROR(LEFT(PV_DATA[[#This Row],[TCL REFERENCE]],FIND(".",PV_DATA[[#This Row],[TCL REFERENCE]],1)-1),"Main Line")</f>
        <v>Main Line</v>
      </c>
      <c r="D1415" s="726" t="s">
        <v>113</v>
      </c>
      <c r="E1415" s="726" t="s">
        <v>68</v>
      </c>
      <c r="F1415" s="726" t="str" cm="1">
        <f t="array" ref="F1415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415" s="726" t="s">
        <v>68</v>
      </c>
      <c r="H1415" s="726" t="s">
        <v>68</v>
      </c>
      <c r="I1415" s="431" t="s">
        <v>68</v>
      </c>
      <c r="J1415" s="619" t="s">
        <v>68</v>
      </c>
      <c r="K1415" s="619"/>
      <c r="L1415" s="619"/>
      <c r="M1415" s="619" t="s">
        <v>68</v>
      </c>
      <c r="N1415" s="1240">
        <v>46358</v>
      </c>
      <c r="O1415" s="431" t="s">
        <v>5388</v>
      </c>
      <c r="P1415" s="1241" t="s">
        <v>7788</v>
      </c>
      <c r="Q1415" s="1239" t="s">
        <v>7789</v>
      </c>
      <c r="R1415" s="431" t="s">
        <v>331</v>
      </c>
      <c r="S1415" s="442" t="s">
        <v>967</v>
      </c>
      <c r="T1415" s="1242">
        <v>490</v>
      </c>
      <c r="U1415" s="1243">
        <v>20592</v>
      </c>
      <c r="V1415" s="1244">
        <f>PV_DATA[[#This Row],[QUANTITY]]*PV_DATA[[#This Row],[WATT]]/1000000</f>
        <v>10.09008</v>
      </c>
      <c r="W1415" s="466">
        <f>PV_DATA[[#This Row],[QUANTITY]]/PV_DATA[[#This Row],[Qty/Pallet]]</f>
        <v>572</v>
      </c>
      <c r="X1415" s="1022">
        <f>PV_DATA[[#This Row],[QUANTITY]]/PV_DATA[[#This Row],[Qty/CT]]</f>
        <v>22</v>
      </c>
      <c r="Y1415" s="431" t="s">
        <v>7039</v>
      </c>
      <c r="Z1415" s="1245" t="str">
        <f t="shared" si="57"/>
        <v/>
      </c>
      <c r="AA1415" s="1239" t="s">
        <v>7786</v>
      </c>
      <c r="AB1415" s="1246"/>
      <c r="AC1415" s="1247" t="str">
        <f>IF(PV_DATA[[#This Row],[Pick-Up Date]]&lt;&gt;"",_xlfn.ISOWEEKNUM(PV_DATA[[#This Row],[Pick-Up Date]]),"")</f>
        <v/>
      </c>
      <c r="AD1415" s="1239"/>
      <c r="AE1415" s="1242"/>
      <c r="AF1415" s="1239" t="s">
        <v>123</v>
      </c>
      <c r="AG1415" s="1239" t="s">
        <v>123</v>
      </c>
      <c r="AH1415" s="625"/>
      <c r="AI1415" s="1246"/>
      <c r="AJ1415" s="1246"/>
      <c r="AK1415" s="1246"/>
      <c r="AL1415" s="1246"/>
      <c r="AM1415" s="1251"/>
      <c r="AN1415" s="1251"/>
      <c r="AO1415" s="1239"/>
      <c r="AP1415" s="1239"/>
      <c r="AQ1415" s="1248"/>
      <c r="AR1415" s="1239"/>
      <c r="AS1415" s="1239"/>
      <c r="AT1415" s="1239"/>
      <c r="AU1415" s="1239"/>
      <c r="AV1415" s="1239"/>
      <c r="AW1415" s="1246" t="str" cm="1">
        <f t="array" ref="AW141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415" s="1214" t="e">
        <f>IF(COUNTIF(#REF!,#REF!)=0,"-",_xlfn.XLOOKUP(#REF!,#REF!,#REF!,,0)&amp;"-"&amp;_xlfn.XLOOKUP(#REF!,#REF!,#REF!,,0))</f>
        <v>#REF!</v>
      </c>
      <c r="AY1415" s="1246" t="str">
        <f>IF(ISERROR(PV_DATA[[#This Row],[New Ark PO status]]),"",_xlfn.XLOOKUP(PV_DATA[[#This Row],[SPTN-PVHK New Ark PO'#]],New_Ark_Data[Purchase order Number],New_Ark_Data[Estimated time of arrival],"",0))</f>
        <v/>
      </c>
      <c r="AZ1415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415" s="1246" t="str">
        <f>IFERROR(PV_DATA[[#This Row],[ODP ETA Port]]+PV_DATA[[#This Row],[Customs/Leg3 Assumption]],"n/a")</f>
        <v>n/a</v>
      </c>
      <c r="BB1415" s="1242" t="e">
        <f>YEAR(PV_DATA[[#This Row],[ETA for New Ark update]])</f>
        <v>#VALUE!</v>
      </c>
      <c r="BC1415" s="1239" t="e">
        <f>MONTH(PV_DATA[[#This Row],[ETA for New Ark update]])</f>
        <v>#VALUE!</v>
      </c>
      <c r="BD1415" s="1239">
        <f>IFERROR(_xlfn.ISOWEEKNUM(PV_DATA[[#This Row],[ETA for New Ark update]]),0)</f>
        <v>0</v>
      </c>
      <c r="BE1415" s="1239">
        <v>36</v>
      </c>
      <c r="BF1415" s="1239">
        <v>936</v>
      </c>
      <c r="BG1415" s="431" t="e">
        <f>_xlfn.XLOOKUP(PV_DATA[[#This Row],[New Ark SKU]],Table9[New Ark SKU],Table9[Back Glass],,0)</f>
        <v>#N/A</v>
      </c>
      <c r="BH1415" s="1249">
        <f>_xlfn.XLOOKUP(PV_DATA[[#This Row],[PORT DESTINATION]],Table12[PORT DESTINATION],Table12[Cosco Line],,0)</f>
        <v>0</v>
      </c>
    </row>
    <row r="1416" spans="1:62" hidden="1">
      <c r="A1416" s="1238" t="s">
        <v>7790</v>
      </c>
      <c r="B1416" s="1238" t="s">
        <v>1757</v>
      </c>
      <c r="C1416" s="1238" t="str">
        <f>IFERROR(LEFT(PV_DATA[[#This Row],[TCL REFERENCE]],FIND(".",PV_DATA[[#This Row],[TCL REFERENCE]],1)-1),"Main Line")</f>
        <v>Main Line</v>
      </c>
      <c r="D1416" s="726" t="s">
        <v>113</v>
      </c>
      <c r="E1416" s="726" t="s">
        <v>68</v>
      </c>
      <c r="F1416" s="726" t="str" cm="1">
        <f t="array" ref="F1416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416" s="726" t="s">
        <v>68</v>
      </c>
      <c r="H1416" s="726" t="s">
        <v>68</v>
      </c>
      <c r="I1416" s="431" t="s">
        <v>68</v>
      </c>
      <c r="J1416" s="619" t="s">
        <v>68</v>
      </c>
      <c r="K1416" s="619"/>
      <c r="L1416" s="619"/>
      <c r="M1416" s="619" t="s">
        <v>68</v>
      </c>
      <c r="N1416" s="1240">
        <v>46368</v>
      </c>
      <c r="O1416" s="431" t="s">
        <v>284</v>
      </c>
      <c r="P1416" s="1241" t="s">
        <v>6856</v>
      </c>
      <c r="Q1416" s="1239" t="s">
        <v>6857</v>
      </c>
      <c r="R1416" s="431" t="str">
        <f>_xlfn.XLOOKUP(PV_DATA[[#This Row],[New Ark SKU]],Table9[New Ark SKU],Table9[Connector],,0)</f>
        <v>EVO2A</v>
      </c>
      <c r="S1416" s="442" t="str">
        <f>_xlfn.XLOOKUP(PV_DATA[[#This Row],[New Ark SKU]],Table9[New Ark SKU],Table9[Cable],,0)</f>
        <v>±1200mm</v>
      </c>
      <c r="T1416" s="1242">
        <v>485</v>
      </c>
      <c r="U1416" s="1243">
        <v>24336</v>
      </c>
      <c r="V1416" s="1244">
        <f>PV_DATA[[#This Row],[QUANTITY]]*PV_DATA[[#This Row],[WATT]]/1000000</f>
        <v>11.802960000000001</v>
      </c>
      <c r="W1416" s="466">
        <f>PV_DATA[[#This Row],[QUANTITY]]/PV_DATA[[#This Row],[Qty/Pallet]]</f>
        <v>676</v>
      </c>
      <c r="X1416" s="1022">
        <f>PV_DATA[[#This Row],[QUANTITY]]/PV_DATA[[#This Row],[Qty/CT]]</f>
        <v>26</v>
      </c>
      <c r="Y1416" s="431" t="s">
        <v>7039</v>
      </c>
      <c r="Z1416" s="1245" t="str">
        <f t="shared" si="57"/>
        <v/>
      </c>
      <c r="AA1416" s="1239" t="s">
        <v>7791</v>
      </c>
      <c r="AB1416" s="1246"/>
      <c r="AC1416" s="1247" t="str">
        <f>IF(PV_DATA[[#This Row],[Pick-Up Date]]&lt;&gt;"",_xlfn.ISOWEEKNUM(PV_DATA[[#This Row],[Pick-Up Date]]),"")</f>
        <v/>
      </c>
      <c r="AD1416" s="1239"/>
      <c r="AE1416" s="1242"/>
      <c r="AF1416" s="1239" t="s">
        <v>123</v>
      </c>
      <c r="AG1416" s="1239" t="s">
        <v>123</v>
      </c>
      <c r="AH1416" s="625"/>
      <c r="AI1416" s="1246"/>
      <c r="AJ1416" s="1246"/>
      <c r="AK1416" s="1246"/>
      <c r="AL1416" s="1246"/>
      <c r="AM1416" s="1251"/>
      <c r="AN1416" s="1251"/>
      <c r="AO1416" s="1239"/>
      <c r="AP1416" s="1239"/>
      <c r="AQ1416" s="1248"/>
      <c r="AR1416" s="1239"/>
      <c r="AS1416" s="1239"/>
      <c r="AT1416" s="1239"/>
      <c r="AU1416" s="1239"/>
      <c r="AV1416" s="1239"/>
      <c r="AW1416" s="1246" t="str" cm="1">
        <f t="array" ref="AW141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416" s="1214" t="e">
        <f>IF(COUNTIF(#REF!,#REF!)=0,"-",_xlfn.XLOOKUP(#REF!,#REF!,#REF!,,0)&amp;"-"&amp;_xlfn.XLOOKUP(#REF!,#REF!,#REF!,,0))</f>
        <v>#REF!</v>
      </c>
      <c r="AY1416" s="1246" t="str">
        <f>IF(ISERROR(PV_DATA[[#This Row],[New Ark PO status]]),"",_xlfn.XLOOKUP(PV_DATA[[#This Row],[SPTN-PVHK New Ark PO'#]],New_Ark_Data[Purchase order Number],New_Ark_Data[Estimated time of arrival],"",0))</f>
        <v/>
      </c>
      <c r="AZ1416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416" s="1246" t="str">
        <f>IFERROR(PV_DATA[[#This Row],[ODP ETA Port]]+PV_DATA[[#This Row],[Customs/Leg3 Assumption]],"n/a")</f>
        <v>n/a</v>
      </c>
      <c r="BB1416" s="1242" t="e">
        <f>YEAR(PV_DATA[[#This Row],[ETA for New Ark update]])</f>
        <v>#VALUE!</v>
      </c>
      <c r="BC1416" s="1239" t="e">
        <f>MONTH(PV_DATA[[#This Row],[ETA for New Ark update]])</f>
        <v>#VALUE!</v>
      </c>
      <c r="BD1416" s="1239">
        <f>IFERROR(_xlfn.ISOWEEKNUM(PV_DATA[[#This Row],[ETA for New Ark update]]),0)</f>
        <v>0</v>
      </c>
      <c r="BE1416" s="1239">
        <f>_xlfn.XLOOKUP(PV_DATA[[#This Row],[New Ark SKU]],Table9[New Ark SKU],Table9[Total PCS per Pallet],,0)</f>
        <v>36</v>
      </c>
      <c r="BF1416" s="1239">
        <f>_xlfn.XLOOKUP(PV_DATA[[#This Row],[New Ark SKU]],Table9[New Ark SKU],Table9[Total PCS per 40HQ Container],,0)</f>
        <v>936</v>
      </c>
      <c r="BG1416" s="431" t="str">
        <f>_xlfn.XLOOKUP(PV_DATA[[#This Row],[New Ark SKU]],Table9[New Ark SKU],Table9[Back Glass],,0)</f>
        <v>Black glazing</v>
      </c>
      <c r="BH1416" s="1249">
        <f>_xlfn.XLOOKUP(PV_DATA[[#This Row],[PORT DESTINATION]],Table12[PORT DESTINATION],Table12[Cosco Line],,0)</f>
        <v>0</v>
      </c>
    </row>
    <row r="1417" spans="1:62" hidden="1">
      <c r="A1417" s="1238" t="s">
        <v>7792</v>
      </c>
      <c r="B1417" s="1238" t="s">
        <v>1757</v>
      </c>
      <c r="C1417" s="1238" t="str">
        <f>IFERROR(LEFT(PV_DATA[[#This Row],[TCL REFERENCE]],FIND(".",PV_DATA[[#This Row],[TCL REFERENCE]],1)-1),"Main Line")</f>
        <v>Main Line</v>
      </c>
      <c r="D1417" s="726" t="s">
        <v>113</v>
      </c>
      <c r="E1417" s="726" t="s">
        <v>68</v>
      </c>
      <c r="F1417" s="726" t="str" cm="1">
        <f t="array" ref="F1417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417" s="726" t="s">
        <v>68</v>
      </c>
      <c r="H1417" s="726" t="s">
        <v>68</v>
      </c>
      <c r="I1417" s="431" t="s">
        <v>68</v>
      </c>
      <c r="J1417" s="619" t="s">
        <v>68</v>
      </c>
      <c r="K1417" s="619"/>
      <c r="L1417" s="619"/>
      <c r="M1417" s="619" t="s">
        <v>68</v>
      </c>
      <c r="N1417" s="1240">
        <v>46368</v>
      </c>
      <c r="O1417" s="431" t="s">
        <v>284</v>
      </c>
      <c r="P1417" s="1241" t="s">
        <v>6849</v>
      </c>
      <c r="Q1417" s="1239" t="s">
        <v>6850</v>
      </c>
      <c r="R1417" s="431" t="str">
        <f>_xlfn.XLOOKUP(PV_DATA[[#This Row],[New Ark SKU]],Table9[New Ark SKU],Table9[Connector],,0)</f>
        <v>EVO2A</v>
      </c>
      <c r="S1417" s="442" t="str">
        <f>_xlfn.XLOOKUP(PV_DATA[[#This Row],[New Ark SKU]],Table9[New Ark SKU],Table9[Cable],,0)</f>
        <v>±1200mm</v>
      </c>
      <c r="T1417" s="1242">
        <v>490</v>
      </c>
      <c r="U1417" s="1243">
        <v>65520</v>
      </c>
      <c r="V1417" s="1244">
        <f>PV_DATA[[#This Row],[QUANTITY]]*PV_DATA[[#This Row],[WATT]]/1000000</f>
        <v>32.104799999999997</v>
      </c>
      <c r="W1417" s="466">
        <f>PV_DATA[[#This Row],[QUANTITY]]/PV_DATA[[#This Row],[Qty/Pallet]]</f>
        <v>1820</v>
      </c>
      <c r="X1417" s="1022">
        <f>PV_DATA[[#This Row],[QUANTITY]]/PV_DATA[[#This Row],[Qty/CT]]</f>
        <v>70</v>
      </c>
      <c r="Y1417" s="431" t="s">
        <v>7039</v>
      </c>
      <c r="Z1417" s="1245" t="str">
        <f t="shared" si="57"/>
        <v/>
      </c>
      <c r="AA1417" s="1239" t="s">
        <v>7791</v>
      </c>
      <c r="AB1417" s="1246"/>
      <c r="AC1417" s="1247" t="str">
        <f>IF(PV_DATA[[#This Row],[Pick-Up Date]]&lt;&gt;"",_xlfn.ISOWEEKNUM(PV_DATA[[#This Row],[Pick-Up Date]]),"")</f>
        <v/>
      </c>
      <c r="AD1417" s="1239"/>
      <c r="AE1417" s="1242"/>
      <c r="AF1417" s="1239" t="s">
        <v>123</v>
      </c>
      <c r="AG1417" s="1239" t="s">
        <v>123</v>
      </c>
      <c r="AH1417" s="625"/>
      <c r="AI1417" s="1246"/>
      <c r="AJ1417" s="1246"/>
      <c r="AK1417" s="1246"/>
      <c r="AL1417" s="1246"/>
      <c r="AM1417" s="1251"/>
      <c r="AN1417" s="1251"/>
      <c r="AO1417" s="1239"/>
      <c r="AP1417" s="1239"/>
      <c r="AQ1417" s="1248"/>
      <c r="AR1417" s="1239"/>
      <c r="AS1417" s="1239"/>
      <c r="AT1417" s="1239"/>
      <c r="AU1417" s="1239"/>
      <c r="AV1417" s="1239"/>
      <c r="AW1417" s="1246" t="str" cm="1">
        <f t="array" ref="AW1417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417" s="1214" t="e">
        <f>IF(COUNTIF(#REF!,#REF!)=0,"-",_xlfn.XLOOKUP(#REF!,#REF!,#REF!,,0)&amp;"-"&amp;_xlfn.XLOOKUP(#REF!,#REF!,#REF!,,0))</f>
        <v>#REF!</v>
      </c>
      <c r="AY1417" s="1246" t="str">
        <f>IF(ISERROR(PV_DATA[[#This Row],[New Ark PO status]]),"",_xlfn.XLOOKUP(PV_DATA[[#This Row],[SPTN-PVHK New Ark PO'#]],New_Ark_Data[Purchase order Number],New_Ark_Data[Estimated time of arrival],"",0))</f>
        <v/>
      </c>
      <c r="AZ1417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417" s="1246" t="str">
        <f>IFERROR(PV_DATA[[#This Row],[ODP ETA Port]]+PV_DATA[[#This Row],[Customs/Leg3 Assumption]],"n/a")</f>
        <v>n/a</v>
      </c>
      <c r="BB1417" s="1242" t="e">
        <f>YEAR(PV_DATA[[#This Row],[ETA for New Ark update]])</f>
        <v>#VALUE!</v>
      </c>
      <c r="BC1417" s="1239" t="e">
        <f>MONTH(PV_DATA[[#This Row],[ETA for New Ark update]])</f>
        <v>#VALUE!</v>
      </c>
      <c r="BD1417" s="1239">
        <f>IFERROR(_xlfn.ISOWEEKNUM(PV_DATA[[#This Row],[ETA for New Ark update]]),0)</f>
        <v>0</v>
      </c>
      <c r="BE1417" s="1239">
        <f>_xlfn.XLOOKUP(PV_DATA[[#This Row],[New Ark SKU]],Table9[New Ark SKU],Table9[Total PCS per Pallet],,0)</f>
        <v>36</v>
      </c>
      <c r="BF1417" s="1239">
        <f>_xlfn.XLOOKUP(PV_DATA[[#This Row],[New Ark SKU]],Table9[New Ark SKU],Table9[Total PCS per 40HQ Container],,0)</f>
        <v>936</v>
      </c>
      <c r="BG1417" s="431" t="str">
        <f>_xlfn.XLOOKUP(PV_DATA[[#This Row],[New Ark SKU]],Table9[New Ark SKU],Table9[Back Glass],,0)</f>
        <v>Black glazing</v>
      </c>
      <c r="BH1417" s="1249">
        <f>_xlfn.XLOOKUP(PV_DATA[[#This Row],[PORT DESTINATION]],Table12[PORT DESTINATION],Table12[Cosco Line],,0)</f>
        <v>0</v>
      </c>
    </row>
    <row r="1418" spans="1:62" hidden="1">
      <c r="A1418" s="1238" t="s">
        <v>7793</v>
      </c>
      <c r="B1418" s="1238" t="s">
        <v>61</v>
      </c>
      <c r="C1418" s="1238" t="str">
        <f>IFERROR(LEFT(PV_DATA[[#This Row],[TCL REFERENCE]],FIND(".",PV_DATA[[#This Row],[TCL REFERENCE]],1)-1),"Main Line")</f>
        <v>Main Line</v>
      </c>
      <c r="D1418" s="726" t="s">
        <v>63</v>
      </c>
      <c r="E1418" s="726" t="s">
        <v>68</v>
      </c>
      <c r="F1418" s="726" t="str" cm="1">
        <f t="array" ref="F1418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418" s="726" t="s">
        <v>68</v>
      </c>
      <c r="H1418" s="726" t="s">
        <v>68</v>
      </c>
      <c r="I1418" s="431" t="s">
        <v>68</v>
      </c>
      <c r="J1418" s="619" t="s">
        <v>68</v>
      </c>
      <c r="K1418" s="619"/>
      <c r="L1418" s="619"/>
      <c r="M1418" s="619" t="s">
        <v>68</v>
      </c>
      <c r="N1418" s="1240">
        <v>46346</v>
      </c>
      <c r="O1418" s="1255" t="s">
        <v>4540</v>
      </c>
      <c r="P1418" s="1241" t="s">
        <v>71</v>
      </c>
      <c r="Q1418" s="1239" t="s">
        <v>72</v>
      </c>
      <c r="R1418" s="431" t="str">
        <f>_xlfn.XLOOKUP(PV_DATA[[#This Row],[New Ark SKU]],Table9[New Ark SKU],Table9[Connector],,0)</f>
        <v>EVO2A</v>
      </c>
      <c r="S1418" s="442" t="str">
        <f>_xlfn.XLOOKUP(PV_DATA[[#This Row],[New Ark SKU]],Table9[New Ark SKU],Table9[Cable],,0)</f>
        <v>±1200mm</v>
      </c>
      <c r="T1418" s="1242">
        <v>500</v>
      </c>
      <c r="U1418" s="1243">
        <v>35424</v>
      </c>
      <c r="V1418" s="1244">
        <f>PV_DATA[[#This Row],[QUANTITY]]*PV_DATA[[#This Row],[WATT]]/1000000</f>
        <v>17.712</v>
      </c>
      <c r="W1418" s="466">
        <f>PV_DATA[[#This Row],[QUANTITY]]/PV_DATA[[#This Row],[Qty/Pallet]]</f>
        <v>984</v>
      </c>
      <c r="X1418" s="1022">
        <f>PV_DATA[[#This Row],[QUANTITY]]/PV_DATA[[#This Row],[Qty/CT]]</f>
        <v>41</v>
      </c>
      <c r="Y1418" s="431" t="s">
        <v>7039</v>
      </c>
      <c r="Z1418" s="1245" t="str">
        <f>IF(AN1418&lt;&gt;"","COMPLETED",IF(AK1418&lt;&gt;"","IN-TRANSIT",""))</f>
        <v/>
      </c>
      <c r="AA1418" s="1239" t="s">
        <v>7794</v>
      </c>
      <c r="AB1418" s="1246"/>
      <c r="AC1418" s="1247" t="str">
        <f>IF(PV_DATA[[#This Row],[Pick-Up Date]]&lt;&gt;"",_xlfn.ISOWEEKNUM(PV_DATA[[#This Row],[Pick-Up Date]]),"")</f>
        <v/>
      </c>
      <c r="AD1418" s="1239"/>
      <c r="AE1418" s="1242"/>
      <c r="AF1418" s="1239" t="s">
        <v>61</v>
      </c>
      <c r="AG1418" s="1239" t="s">
        <v>61</v>
      </c>
      <c r="AH1418" s="625"/>
      <c r="AI1418" s="1246"/>
      <c r="AJ1418" s="1246"/>
      <c r="AK1418" s="1246"/>
      <c r="AL1418" s="1246"/>
      <c r="AM1418" s="1251"/>
      <c r="AN1418" s="1251"/>
      <c r="AO1418" s="1239"/>
      <c r="AP1418" s="1239"/>
      <c r="AQ1418" s="1248"/>
      <c r="AR1418" s="1239"/>
      <c r="AS1418" s="1239"/>
      <c r="AT1418" s="1239"/>
      <c r="AU1418" s="1239"/>
      <c r="AV1418" s="1239"/>
      <c r="AW1418" s="1246" t="str" cm="1">
        <f t="array" ref="AW1418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418" s="1214" t="e">
        <f>IF(COUNTIF(#REF!,#REF!)=0,"-",_xlfn.XLOOKUP(#REF!,#REF!,#REF!,,0)&amp;"-"&amp;_xlfn.XLOOKUP(#REF!,#REF!,#REF!,,0))</f>
        <v>#REF!</v>
      </c>
      <c r="AY1418" s="1246" t="str">
        <f>IF(ISERROR(PV_DATA[[#This Row],[New Ark PO status]]),"",_xlfn.XLOOKUP(PV_DATA[[#This Row],[SPTN-PVHK New Ark PO'#]],New_Ark_Data[Purchase order Number],New_Ark_Data[Estimated time of arrival],"",0))</f>
        <v/>
      </c>
      <c r="AZ1418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418" s="1246" t="str">
        <f>IFERROR(PV_DATA[[#This Row],[ODP ETA Port]]+PV_DATA[[#This Row],[Customs/Leg3 Assumption]],"n/a")</f>
        <v>n/a</v>
      </c>
      <c r="BB1418" s="1242" t="e">
        <f>YEAR(PV_DATA[[#This Row],[ETA for New Ark update]])</f>
        <v>#VALUE!</v>
      </c>
      <c r="BC1418" s="1239" t="e">
        <f>MONTH(PV_DATA[[#This Row],[ETA for New Ark update]])</f>
        <v>#VALUE!</v>
      </c>
      <c r="BD1418" s="1239">
        <f>IFERROR(_xlfn.ISOWEEKNUM(PV_DATA[[#This Row],[ETA for New Ark update]]),0)</f>
        <v>0</v>
      </c>
      <c r="BE1418" s="1239">
        <f>_xlfn.XLOOKUP(PV_DATA[[#This Row],[New Ark SKU]],Table9[New Ark SKU],Table9[Total PCS per Pallet],,0)</f>
        <v>36</v>
      </c>
      <c r="BF1418" s="1239">
        <f>_xlfn.XLOOKUP(PV_DATA[[#This Row],[New Ark SKU]],Table9[New Ark SKU],Table9[Total PCS per 40HQ Container],,0)</f>
        <v>864</v>
      </c>
      <c r="BG1418" s="431" t="str">
        <f>_xlfn.XLOOKUP(PV_DATA[[#This Row],[New Ark SKU]],Table9[New Ark SKU],Table9[Back Glass],,0)</f>
        <v>Black glazing</v>
      </c>
      <c r="BH1418" s="1249">
        <f>_xlfn.XLOOKUP(PV_DATA[[#This Row],[PORT DESTINATION]],Table12[PORT DESTINATION],Table12[Cosco Line],,0)</f>
        <v>0</v>
      </c>
    </row>
    <row r="1419" spans="1:62" hidden="1">
      <c r="A1419" s="1238" t="s">
        <v>7795</v>
      </c>
      <c r="B1419" s="1238" t="s">
        <v>61</v>
      </c>
      <c r="C1419" s="1238" t="str">
        <f>IFERROR(LEFT(PV_DATA[[#This Row],[TCL REFERENCE]],FIND(".",PV_DATA[[#This Row],[TCL REFERENCE]],1)-1),"Main Line")</f>
        <v>Main Line</v>
      </c>
      <c r="D1419" s="726" t="s">
        <v>63</v>
      </c>
      <c r="E1419" s="726" t="s">
        <v>68</v>
      </c>
      <c r="F1419" s="726" t="str" cm="1">
        <f t="array" ref="F1419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419" s="726" t="s">
        <v>68</v>
      </c>
      <c r="H1419" s="726" t="s">
        <v>68</v>
      </c>
      <c r="I1419" s="431" t="s">
        <v>68</v>
      </c>
      <c r="J1419" s="619" t="s">
        <v>68</v>
      </c>
      <c r="K1419" s="619"/>
      <c r="L1419" s="619"/>
      <c r="M1419" s="619" t="s">
        <v>68</v>
      </c>
      <c r="N1419" s="1240">
        <v>46346</v>
      </c>
      <c r="O1419" s="1255" t="s">
        <v>4540</v>
      </c>
      <c r="P1419" s="1241" t="s">
        <v>1151</v>
      </c>
      <c r="Q1419" s="1239" t="s">
        <v>421</v>
      </c>
      <c r="R1419" s="431" t="str">
        <f>_xlfn.XLOOKUP(PV_DATA[[#This Row],[New Ark SKU]],Table9[New Ark SKU],Table9[Connector],,0)</f>
        <v>EVO2A</v>
      </c>
      <c r="S1419" s="442" t="str">
        <f>_xlfn.XLOOKUP(PV_DATA[[#This Row],[New Ark SKU]],Table9[New Ark SKU],Table9[Cable],,0)</f>
        <v>±1200mm</v>
      </c>
      <c r="T1419" s="1242">
        <v>505</v>
      </c>
      <c r="U1419" s="1243">
        <v>24192</v>
      </c>
      <c r="V1419" s="1244">
        <f>PV_DATA[[#This Row],[QUANTITY]]*PV_DATA[[#This Row],[WATT]]/1000000</f>
        <v>12.21696</v>
      </c>
      <c r="W1419" s="466">
        <f>PV_DATA[[#This Row],[QUANTITY]]/PV_DATA[[#This Row],[Qty/Pallet]]</f>
        <v>672</v>
      </c>
      <c r="X1419" s="1022">
        <f>PV_DATA[[#This Row],[QUANTITY]]/PV_DATA[[#This Row],[Qty/CT]]</f>
        <v>28</v>
      </c>
      <c r="Y1419" s="431" t="s">
        <v>7039</v>
      </c>
      <c r="Z1419" s="1245" t="str">
        <f t="shared" ref="Z1419:Z1426" si="58">IF(AN1419&lt;&gt;"","COMPLETED",IF(AK1419&lt;&gt;"","IN-TRANSIT",""))</f>
        <v/>
      </c>
      <c r="AA1419" s="1239" t="s">
        <v>7794</v>
      </c>
      <c r="AB1419" s="1246"/>
      <c r="AC1419" s="1247" t="str">
        <f>IF(PV_DATA[[#This Row],[Pick-Up Date]]&lt;&gt;"",_xlfn.ISOWEEKNUM(PV_DATA[[#This Row],[Pick-Up Date]]),"")</f>
        <v/>
      </c>
      <c r="AD1419" s="1239"/>
      <c r="AE1419" s="1242"/>
      <c r="AF1419" s="1239" t="s">
        <v>61</v>
      </c>
      <c r="AG1419" s="1239" t="s">
        <v>61</v>
      </c>
      <c r="AH1419" s="625"/>
      <c r="AI1419" s="1246"/>
      <c r="AJ1419" s="1246"/>
      <c r="AK1419" s="1246"/>
      <c r="AL1419" s="1246"/>
      <c r="AM1419" s="1251"/>
      <c r="AN1419" s="1251"/>
      <c r="AO1419" s="1239"/>
      <c r="AP1419" s="1239"/>
      <c r="AQ1419" s="1248"/>
      <c r="AR1419" s="1239"/>
      <c r="AS1419" s="1239"/>
      <c r="AT1419" s="1239"/>
      <c r="AU1419" s="1239"/>
      <c r="AV1419" s="1239"/>
      <c r="AW1419" s="1246" t="str" cm="1">
        <f t="array" ref="AW1419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419" s="1214" t="e">
        <f>IF(COUNTIF(#REF!,#REF!)=0,"-",_xlfn.XLOOKUP(#REF!,#REF!,#REF!,,0)&amp;"-"&amp;_xlfn.XLOOKUP(#REF!,#REF!,#REF!,,0))</f>
        <v>#REF!</v>
      </c>
      <c r="AY1419" s="1246" t="str">
        <f>IF(ISERROR(PV_DATA[[#This Row],[New Ark PO status]]),"",_xlfn.XLOOKUP(PV_DATA[[#This Row],[SPTN-PVHK New Ark PO'#]],New_Ark_Data[Purchase order Number],New_Ark_Data[Estimated time of arrival],"",0))</f>
        <v/>
      </c>
      <c r="AZ1419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419" s="1246" t="str">
        <f>IFERROR(PV_DATA[[#This Row],[ODP ETA Port]]+PV_DATA[[#This Row],[Customs/Leg3 Assumption]],"n/a")</f>
        <v>n/a</v>
      </c>
      <c r="BB1419" s="1242" t="e">
        <f>YEAR(PV_DATA[[#This Row],[ETA for New Ark update]])</f>
        <v>#VALUE!</v>
      </c>
      <c r="BC1419" s="1239" t="e">
        <f>MONTH(PV_DATA[[#This Row],[ETA for New Ark update]])</f>
        <v>#VALUE!</v>
      </c>
      <c r="BD1419" s="1239">
        <f>IFERROR(_xlfn.ISOWEEKNUM(PV_DATA[[#This Row],[ETA for New Ark update]]),0)</f>
        <v>0</v>
      </c>
      <c r="BE1419" s="1239">
        <f>_xlfn.XLOOKUP(PV_DATA[[#This Row],[New Ark SKU]],Table9[New Ark SKU],Table9[Total PCS per Pallet],,0)</f>
        <v>36</v>
      </c>
      <c r="BF1419" s="1239">
        <f>_xlfn.XLOOKUP(PV_DATA[[#This Row],[New Ark SKU]],Table9[New Ark SKU],Table9[Total PCS per 40HQ Container],,0)</f>
        <v>864</v>
      </c>
      <c r="BG1419" s="431" t="str">
        <f>_xlfn.XLOOKUP(PV_DATA[[#This Row],[New Ark SKU]],Table9[New Ark SKU],Table9[Back Glass],,0)</f>
        <v>Black glazing</v>
      </c>
      <c r="BH1419" s="1249">
        <f>_xlfn.XLOOKUP(PV_DATA[[#This Row],[PORT DESTINATION]],Table12[PORT DESTINATION],Table12[Cosco Line],,0)</f>
        <v>0</v>
      </c>
    </row>
    <row r="1420" spans="1:62" hidden="1">
      <c r="A1420" s="1238" t="s">
        <v>7796</v>
      </c>
      <c r="B1420" s="1238" t="s">
        <v>7797</v>
      </c>
      <c r="C1420" s="1238" t="str">
        <f>IFERROR(LEFT(PV_DATA[[#This Row],[TCL REFERENCE]],FIND(".",PV_DATA[[#This Row],[TCL REFERENCE]],1)-1),"Main Line")</f>
        <v>Main Line</v>
      </c>
      <c r="D1420" s="726" t="s">
        <v>63</v>
      </c>
      <c r="E1420" s="726" t="s">
        <v>68</v>
      </c>
      <c r="F1420" s="726" t="str" cm="1">
        <f t="array" ref="F1420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420" s="726" t="s">
        <v>68</v>
      </c>
      <c r="H1420" s="726" t="s">
        <v>68</v>
      </c>
      <c r="I1420" s="431" t="s">
        <v>68</v>
      </c>
      <c r="J1420" s="619" t="s">
        <v>68</v>
      </c>
      <c r="K1420" s="619"/>
      <c r="L1420" s="619"/>
      <c r="M1420" s="619" t="s">
        <v>68</v>
      </c>
      <c r="N1420" s="1240">
        <v>46351</v>
      </c>
      <c r="O1420" s="431" t="s">
        <v>284</v>
      </c>
      <c r="P1420" s="1241" t="s">
        <v>7223</v>
      </c>
      <c r="Q1420" s="1239" t="s">
        <v>7224</v>
      </c>
      <c r="R1420" s="431" t="str">
        <f>_xlfn.XLOOKUP(PV_DATA[[#This Row],[New Ark SKU]],Table9[New Ark SKU],Table9[Connector],,0)</f>
        <v>EVO2A</v>
      </c>
      <c r="S1420" s="442" t="str">
        <f>_xlfn.XLOOKUP(PV_DATA[[#This Row],[New Ark SKU]],Table9[New Ark SKU],Table9[Cable],,0)</f>
        <v>±1200mm</v>
      </c>
      <c r="T1420" s="1242">
        <v>490</v>
      </c>
      <c r="U1420" s="1243">
        <v>41184</v>
      </c>
      <c r="V1420" s="1244">
        <f>PV_DATA[[#This Row],[QUANTITY]]*PV_DATA[[#This Row],[WATT]]/1000000</f>
        <v>20.180160000000001</v>
      </c>
      <c r="W1420" s="466">
        <f>PV_DATA[[#This Row],[QUANTITY]]/PV_DATA[[#This Row],[Qty/Pallet]]</f>
        <v>1144</v>
      </c>
      <c r="X1420" s="1022">
        <f>PV_DATA[[#This Row],[QUANTITY]]/PV_DATA[[#This Row],[Qty/CT]]</f>
        <v>44</v>
      </c>
      <c r="Y1420" s="431" t="s">
        <v>7039</v>
      </c>
      <c r="Z1420" s="1245" t="str">
        <f t="shared" si="58"/>
        <v/>
      </c>
      <c r="AA1420" s="1239" t="s">
        <v>7798</v>
      </c>
      <c r="AB1420" s="1246"/>
      <c r="AC1420" s="1247" t="str">
        <f>IF(PV_DATA[[#This Row],[Pick-Up Date]]&lt;&gt;"",_xlfn.ISOWEEKNUM(PV_DATA[[#This Row],[Pick-Up Date]]),"")</f>
        <v/>
      </c>
      <c r="AD1420" s="1239"/>
      <c r="AE1420" s="1242"/>
      <c r="AF1420" s="1239" t="s">
        <v>123</v>
      </c>
      <c r="AG1420" s="1239" t="s">
        <v>123</v>
      </c>
      <c r="AH1420" s="625"/>
      <c r="AI1420" s="1246"/>
      <c r="AJ1420" s="1246"/>
      <c r="AK1420" s="1246"/>
      <c r="AL1420" s="1246"/>
      <c r="AM1420" s="1251"/>
      <c r="AN1420" s="1251"/>
      <c r="AO1420" s="1239"/>
      <c r="AP1420" s="1239"/>
      <c r="AQ1420" s="1248"/>
      <c r="AR1420" s="1239"/>
      <c r="AS1420" s="1239"/>
      <c r="AT1420" s="1239"/>
      <c r="AU1420" s="1239"/>
      <c r="AV1420" s="1239"/>
      <c r="AW1420" s="1246" t="str" cm="1">
        <f t="array" ref="AW1420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420" s="1214" t="e">
        <f>IF(COUNTIF(#REF!,#REF!)=0,"-",_xlfn.XLOOKUP(#REF!,#REF!,#REF!,,0)&amp;"-"&amp;_xlfn.XLOOKUP(#REF!,#REF!,#REF!,,0))</f>
        <v>#REF!</v>
      </c>
      <c r="AY1420" s="1246" t="str">
        <f>IF(ISERROR(PV_DATA[[#This Row],[New Ark PO status]]),"",_xlfn.XLOOKUP(PV_DATA[[#This Row],[SPTN-PVHK New Ark PO'#]],New_Ark_Data[Purchase order Number],New_Ark_Data[Estimated time of arrival],"",0))</f>
        <v/>
      </c>
      <c r="AZ1420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420" s="1246" t="str">
        <f>IFERROR(PV_DATA[[#This Row],[ODP ETA Port]]+PV_DATA[[#This Row],[Customs/Leg3 Assumption]],"n/a")</f>
        <v>n/a</v>
      </c>
      <c r="BB1420" s="1242" t="e">
        <f>YEAR(PV_DATA[[#This Row],[ETA for New Ark update]])</f>
        <v>#VALUE!</v>
      </c>
      <c r="BC1420" s="1239" t="e">
        <f>MONTH(PV_DATA[[#This Row],[ETA for New Ark update]])</f>
        <v>#VALUE!</v>
      </c>
      <c r="BD1420" s="1239">
        <f>IFERROR(_xlfn.ISOWEEKNUM(PV_DATA[[#This Row],[ETA for New Ark update]]),0)</f>
        <v>0</v>
      </c>
      <c r="BE1420" s="1239">
        <f>_xlfn.XLOOKUP(PV_DATA[[#This Row],[New Ark SKU]],Table9[New Ark SKU],Table9[Total PCS per Pallet],,0)</f>
        <v>36</v>
      </c>
      <c r="BF1420" s="1239">
        <f>_xlfn.XLOOKUP(PV_DATA[[#This Row],[New Ark SKU]],Table9[New Ark SKU],Table9[Total PCS per 40HQ Container],,0)</f>
        <v>936</v>
      </c>
      <c r="BG1420" s="431" t="str">
        <f>_xlfn.XLOOKUP(PV_DATA[[#This Row],[New Ark SKU]],Table9[New Ark SKU],Table9[Back Glass],,0)</f>
        <v>Black glazing</v>
      </c>
      <c r="BH1420" s="1249">
        <f>_xlfn.XLOOKUP(PV_DATA[[#This Row],[PORT DESTINATION]],Table12[PORT DESTINATION],Table12[Cosco Line],,0)</f>
        <v>0</v>
      </c>
    </row>
    <row r="1421" spans="1:62" hidden="1">
      <c r="A1421" s="1238" t="s">
        <v>7799</v>
      </c>
      <c r="B1421" s="1238" t="s">
        <v>7797</v>
      </c>
      <c r="C1421" s="1238" t="str">
        <f>IFERROR(LEFT(PV_DATA[[#This Row],[TCL REFERENCE]],FIND(".",PV_DATA[[#This Row],[TCL REFERENCE]],1)-1),"Main Line")</f>
        <v>Main Line</v>
      </c>
      <c r="D1421" s="726" t="s">
        <v>63</v>
      </c>
      <c r="E1421" s="726" t="s">
        <v>68</v>
      </c>
      <c r="F1421" s="726" t="str" cm="1">
        <f t="array" ref="F1421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421" s="726" t="s">
        <v>68</v>
      </c>
      <c r="H1421" s="726" t="s">
        <v>68</v>
      </c>
      <c r="I1421" s="431" t="s">
        <v>68</v>
      </c>
      <c r="J1421" s="619" t="s">
        <v>68</v>
      </c>
      <c r="K1421" s="619"/>
      <c r="L1421" s="619"/>
      <c r="M1421" s="619" t="s">
        <v>68</v>
      </c>
      <c r="N1421" s="1240">
        <v>46357</v>
      </c>
      <c r="O1421" s="431" t="s">
        <v>284</v>
      </c>
      <c r="P1421" s="1241" t="s">
        <v>5860</v>
      </c>
      <c r="Q1421" s="1239" t="s">
        <v>5861</v>
      </c>
      <c r="R1421" s="431" t="str">
        <f>_xlfn.XLOOKUP(PV_DATA[[#This Row],[New Ark SKU]],Table9[New Ark SKU],Table9[Connector],,0)</f>
        <v>EVO2A</v>
      </c>
      <c r="S1421" s="442" t="str">
        <f>_xlfn.XLOOKUP(PV_DATA[[#This Row],[New Ark SKU]],Table9[New Ark SKU],Table9[Cable],,0)</f>
        <v>±1200mm</v>
      </c>
      <c r="T1421" s="1242">
        <v>485</v>
      </c>
      <c r="U1421" s="1243">
        <v>131976</v>
      </c>
      <c r="V1421" s="1244">
        <f>PV_DATA[[#This Row],[QUANTITY]]*PV_DATA[[#This Row],[WATT]]/1000000</f>
        <v>64.008359999999996</v>
      </c>
      <c r="W1421" s="466">
        <f>PV_DATA[[#This Row],[QUANTITY]]/PV_DATA[[#This Row],[Qty/Pallet]]</f>
        <v>3666</v>
      </c>
      <c r="X1421" s="1022">
        <f>PV_DATA[[#This Row],[QUANTITY]]/PV_DATA[[#This Row],[Qty/CT]]</f>
        <v>141</v>
      </c>
      <c r="Y1421" s="431" t="s">
        <v>7039</v>
      </c>
      <c r="Z1421" s="1245" t="str">
        <f t="shared" si="58"/>
        <v/>
      </c>
      <c r="AA1421" s="1239" t="s">
        <v>7798</v>
      </c>
      <c r="AB1421" s="1246"/>
      <c r="AC1421" s="1247" t="str">
        <f>IF(PV_DATA[[#This Row],[Pick-Up Date]]&lt;&gt;"",_xlfn.ISOWEEKNUM(PV_DATA[[#This Row],[Pick-Up Date]]),"")</f>
        <v/>
      </c>
      <c r="AD1421" s="1239"/>
      <c r="AE1421" s="1242"/>
      <c r="AF1421" s="1239" t="s">
        <v>123</v>
      </c>
      <c r="AG1421" s="1239" t="s">
        <v>123</v>
      </c>
      <c r="AH1421" s="625"/>
      <c r="AI1421" s="1246"/>
      <c r="AJ1421" s="1246"/>
      <c r="AK1421" s="1246"/>
      <c r="AL1421" s="1246"/>
      <c r="AM1421" s="1251"/>
      <c r="AN1421" s="1251"/>
      <c r="AO1421" s="1239"/>
      <c r="AP1421" s="1239"/>
      <c r="AQ1421" s="1248"/>
      <c r="AR1421" s="1239"/>
      <c r="AS1421" s="1239"/>
      <c r="AT1421" s="1239"/>
      <c r="AU1421" s="1239"/>
      <c r="AV1421" s="1239"/>
      <c r="AW1421" s="1246" t="str" cm="1">
        <f t="array" ref="AW1421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421" s="1214" t="e">
        <f>IF(COUNTIF(#REF!,#REF!)=0,"-",_xlfn.XLOOKUP(#REF!,#REF!,#REF!,,0)&amp;"-"&amp;_xlfn.XLOOKUP(#REF!,#REF!,#REF!,,0))</f>
        <v>#REF!</v>
      </c>
      <c r="AY1421" s="1246" t="str">
        <f>IF(ISERROR(PV_DATA[[#This Row],[New Ark PO status]]),"",_xlfn.XLOOKUP(PV_DATA[[#This Row],[SPTN-PVHK New Ark PO'#]],New_Ark_Data[Purchase order Number],New_Ark_Data[Estimated time of arrival],"",0))</f>
        <v/>
      </c>
      <c r="AZ1421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421" s="1246" t="str">
        <f>IFERROR(PV_DATA[[#This Row],[ODP ETA Port]]+PV_DATA[[#This Row],[Customs/Leg3 Assumption]],"n/a")</f>
        <v>n/a</v>
      </c>
      <c r="BB1421" s="1242" t="e">
        <f>YEAR(PV_DATA[[#This Row],[ETA for New Ark update]])</f>
        <v>#VALUE!</v>
      </c>
      <c r="BC1421" s="1239" t="e">
        <f>MONTH(PV_DATA[[#This Row],[ETA for New Ark update]])</f>
        <v>#VALUE!</v>
      </c>
      <c r="BD1421" s="1239">
        <f>IFERROR(_xlfn.ISOWEEKNUM(PV_DATA[[#This Row],[ETA for New Ark update]]),0)</f>
        <v>0</v>
      </c>
      <c r="BE1421" s="1239">
        <f>_xlfn.XLOOKUP(PV_DATA[[#This Row],[New Ark SKU]],Table9[New Ark SKU],Table9[Total PCS per Pallet],,0)</f>
        <v>36</v>
      </c>
      <c r="BF1421" s="1239">
        <f>_xlfn.XLOOKUP(PV_DATA[[#This Row],[New Ark SKU]],Table9[New Ark SKU],Table9[Total PCS per 40HQ Container],,0)</f>
        <v>936</v>
      </c>
      <c r="BG1421" s="431" t="str">
        <f>_xlfn.XLOOKUP(PV_DATA[[#This Row],[New Ark SKU]],Table9[New Ark SKU],Table9[Back Glass],,0)</f>
        <v>Black glazing</v>
      </c>
      <c r="BH1421" s="1249">
        <f>_xlfn.XLOOKUP(PV_DATA[[#This Row],[PORT DESTINATION]],Table12[PORT DESTINATION],Table12[Cosco Line],,0)</f>
        <v>0</v>
      </c>
    </row>
    <row r="1422" spans="1:62" hidden="1">
      <c r="A1422" s="1238" t="s">
        <v>7800</v>
      </c>
      <c r="B1422" s="1238" t="s">
        <v>7797</v>
      </c>
      <c r="C1422" s="1238" t="str">
        <f>IFERROR(LEFT(PV_DATA[[#This Row],[TCL REFERENCE]],FIND(".",PV_DATA[[#This Row],[TCL REFERENCE]],1)-1),"Main Line")</f>
        <v>Main Line</v>
      </c>
      <c r="D1422" s="726" t="s">
        <v>63</v>
      </c>
      <c r="E1422" s="726" t="s">
        <v>68</v>
      </c>
      <c r="F1422" s="726" t="str" cm="1">
        <f t="array" ref="F1422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422" s="726" t="s">
        <v>68</v>
      </c>
      <c r="H1422" s="726" t="s">
        <v>68</v>
      </c>
      <c r="I1422" s="431" t="s">
        <v>68</v>
      </c>
      <c r="J1422" s="619" t="s">
        <v>68</v>
      </c>
      <c r="K1422" s="619"/>
      <c r="L1422" s="619"/>
      <c r="M1422" s="619" t="s">
        <v>68</v>
      </c>
      <c r="N1422" s="1240">
        <v>46357</v>
      </c>
      <c r="O1422" s="431" t="s">
        <v>284</v>
      </c>
      <c r="P1422" s="1241" t="s">
        <v>6219</v>
      </c>
      <c r="Q1422" s="1239" t="s">
        <v>6220</v>
      </c>
      <c r="R1422" s="431" t="str">
        <f>_xlfn.XLOOKUP(PV_DATA[[#This Row],[New Ark SKU]],Table9[New Ark SKU],Table9[Connector],,0)</f>
        <v>EVO2A</v>
      </c>
      <c r="S1422" s="442" t="str">
        <f>_xlfn.XLOOKUP(PV_DATA[[#This Row],[New Ark SKU]],Table9[New Ark SKU],Table9[Cable],,0)</f>
        <v>±1200mm</v>
      </c>
      <c r="T1422" s="1242">
        <v>490</v>
      </c>
      <c r="U1422" s="1243">
        <v>32760</v>
      </c>
      <c r="V1422" s="1244">
        <f>PV_DATA[[#This Row],[QUANTITY]]*PV_DATA[[#This Row],[WATT]]/1000000</f>
        <v>16.052399999999999</v>
      </c>
      <c r="W1422" s="466">
        <f>PV_DATA[[#This Row],[QUANTITY]]/PV_DATA[[#This Row],[Qty/Pallet]]</f>
        <v>910</v>
      </c>
      <c r="X1422" s="1022">
        <f>PV_DATA[[#This Row],[QUANTITY]]/PV_DATA[[#This Row],[Qty/CT]]</f>
        <v>35</v>
      </c>
      <c r="Y1422" s="431" t="s">
        <v>7039</v>
      </c>
      <c r="Z1422" s="1245" t="str">
        <f t="shared" si="58"/>
        <v/>
      </c>
      <c r="AA1422" s="1239" t="s">
        <v>7798</v>
      </c>
      <c r="AB1422" s="1246"/>
      <c r="AC1422" s="1247" t="str">
        <f>IF(PV_DATA[[#This Row],[Pick-Up Date]]&lt;&gt;"",_xlfn.ISOWEEKNUM(PV_DATA[[#This Row],[Pick-Up Date]]),"")</f>
        <v/>
      </c>
      <c r="AD1422" s="1239"/>
      <c r="AE1422" s="1242"/>
      <c r="AF1422" s="1239" t="s">
        <v>123</v>
      </c>
      <c r="AG1422" s="1239" t="s">
        <v>123</v>
      </c>
      <c r="AH1422" s="625"/>
      <c r="AI1422" s="1246"/>
      <c r="AJ1422" s="1246"/>
      <c r="AK1422" s="1246"/>
      <c r="AL1422" s="1246"/>
      <c r="AM1422" s="1251"/>
      <c r="AN1422" s="1251"/>
      <c r="AO1422" s="1239"/>
      <c r="AP1422" s="1239"/>
      <c r="AQ1422" s="1248"/>
      <c r="AR1422" s="1239"/>
      <c r="AS1422" s="1239"/>
      <c r="AT1422" s="1239"/>
      <c r="AU1422" s="1239"/>
      <c r="AV1422" s="1239"/>
      <c r="AW1422" s="1246" t="str" cm="1">
        <f t="array" ref="AW1422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422" s="1214" t="e">
        <f>IF(COUNTIF(#REF!,#REF!)=0,"-",_xlfn.XLOOKUP(#REF!,#REF!,#REF!,,0)&amp;"-"&amp;_xlfn.XLOOKUP(#REF!,#REF!,#REF!,,0))</f>
        <v>#REF!</v>
      </c>
      <c r="AY1422" s="1246" t="str">
        <f>IF(ISERROR(PV_DATA[[#This Row],[New Ark PO status]]),"",_xlfn.XLOOKUP(PV_DATA[[#This Row],[SPTN-PVHK New Ark PO'#]],New_Ark_Data[Purchase order Number],New_Ark_Data[Estimated time of arrival],"",0))</f>
        <v/>
      </c>
      <c r="AZ1422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422" s="1246" t="str">
        <f>IFERROR(PV_DATA[[#This Row],[ODP ETA Port]]+PV_DATA[[#This Row],[Customs/Leg3 Assumption]],"n/a")</f>
        <v>n/a</v>
      </c>
      <c r="BB1422" s="1242" t="e">
        <f>YEAR(PV_DATA[[#This Row],[ETA for New Ark update]])</f>
        <v>#VALUE!</v>
      </c>
      <c r="BC1422" s="1239" t="e">
        <f>MONTH(PV_DATA[[#This Row],[ETA for New Ark update]])</f>
        <v>#VALUE!</v>
      </c>
      <c r="BD1422" s="1239">
        <f>IFERROR(_xlfn.ISOWEEKNUM(PV_DATA[[#This Row],[ETA for New Ark update]]),0)</f>
        <v>0</v>
      </c>
      <c r="BE1422" s="1239">
        <f>_xlfn.XLOOKUP(PV_DATA[[#This Row],[New Ark SKU]],Table9[New Ark SKU],Table9[Total PCS per Pallet],,0)</f>
        <v>36</v>
      </c>
      <c r="BF1422" s="1239">
        <f>_xlfn.XLOOKUP(PV_DATA[[#This Row],[New Ark SKU]],Table9[New Ark SKU],Table9[Total PCS per 40HQ Container],,0)</f>
        <v>936</v>
      </c>
      <c r="BG1422" s="431" t="str">
        <f>_xlfn.XLOOKUP(PV_DATA[[#This Row],[New Ark SKU]],Table9[New Ark SKU],Table9[Back Glass],,0)</f>
        <v>Black glazing</v>
      </c>
      <c r="BH1422" s="1249">
        <f>_xlfn.XLOOKUP(PV_DATA[[#This Row],[PORT DESTINATION]],Table12[PORT DESTINATION],Table12[Cosco Line],,0)</f>
        <v>0</v>
      </c>
    </row>
    <row r="1423" spans="1:62" hidden="1">
      <c r="A1423" s="1238" t="s">
        <v>7801</v>
      </c>
      <c r="B1423" s="1238" t="s">
        <v>111</v>
      </c>
      <c r="C1423" s="1238" t="str">
        <f>IFERROR(LEFT(PV_DATA[[#This Row],[TCL REFERENCE]],FIND(".",PV_DATA[[#This Row],[TCL REFERENCE]],1)-1),"Main Line")</f>
        <v>Main Line</v>
      </c>
      <c r="D1423" s="726" t="s">
        <v>63</v>
      </c>
      <c r="E1423" s="726" t="s">
        <v>68</v>
      </c>
      <c r="F1423" s="726" t="str" cm="1">
        <f t="array" ref="F1423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423" s="726" t="s">
        <v>68</v>
      </c>
      <c r="H1423" s="726" t="s">
        <v>68</v>
      </c>
      <c r="I1423" s="431" t="s">
        <v>68</v>
      </c>
      <c r="J1423" s="619" t="s">
        <v>68</v>
      </c>
      <c r="K1423" s="619"/>
      <c r="L1423" s="619"/>
      <c r="M1423" s="619" t="s">
        <v>68</v>
      </c>
      <c r="N1423" s="1240">
        <v>46347</v>
      </c>
      <c r="O1423" s="431" t="s">
        <v>5388</v>
      </c>
      <c r="P1423" s="1241" t="s">
        <v>6291</v>
      </c>
      <c r="Q1423" s="1239" t="s">
        <v>6292</v>
      </c>
      <c r="R1423" s="431" t="str">
        <f>_xlfn.XLOOKUP(PV_DATA[[#This Row],[New Ark SKU]],Table9[New Ark SKU],Table9[Connector],,0)</f>
        <v>EVO2A</v>
      </c>
      <c r="S1423" s="442" t="str">
        <f>_xlfn.XLOOKUP(PV_DATA[[#This Row],[New Ark SKU]],Table9[New Ark SKU],Table9[Cable],,0)</f>
        <v>±1200mm</v>
      </c>
      <c r="T1423" s="1242">
        <v>480</v>
      </c>
      <c r="U1423" s="1243">
        <v>1872</v>
      </c>
      <c r="V1423" s="1244">
        <f>PV_DATA[[#This Row],[QUANTITY]]*PV_DATA[[#This Row],[WATT]]/1000000</f>
        <v>0.89856000000000003</v>
      </c>
      <c r="W1423" s="466">
        <f>PV_DATA[[#This Row],[QUANTITY]]/PV_DATA[[#This Row],[Qty/Pallet]]</f>
        <v>52</v>
      </c>
      <c r="X1423" s="1022">
        <f>PV_DATA[[#This Row],[QUANTITY]]/PV_DATA[[#This Row],[Qty/CT]]</f>
        <v>2</v>
      </c>
      <c r="Y1423" s="431" t="s">
        <v>7039</v>
      </c>
      <c r="Z1423" s="1245" t="str">
        <f t="shared" si="58"/>
        <v/>
      </c>
      <c r="AA1423" s="1239" t="s">
        <v>7696</v>
      </c>
      <c r="AB1423" s="1246"/>
      <c r="AC1423" s="1247" t="str">
        <f>IF(PV_DATA[[#This Row],[Pick-Up Date]]&lt;&gt;"",_xlfn.ISOWEEKNUM(PV_DATA[[#This Row],[Pick-Up Date]]),"")</f>
        <v/>
      </c>
      <c r="AD1423" s="1239"/>
      <c r="AE1423" s="1242"/>
      <c r="AF1423" s="1239" t="s">
        <v>123</v>
      </c>
      <c r="AG1423" s="1239" t="s">
        <v>123</v>
      </c>
      <c r="AH1423" s="625"/>
      <c r="AI1423" s="1246"/>
      <c r="AJ1423" s="1246"/>
      <c r="AK1423" s="1246"/>
      <c r="AL1423" s="1246"/>
      <c r="AM1423" s="1251"/>
      <c r="AN1423" s="1251"/>
      <c r="AO1423" s="1239"/>
      <c r="AP1423" s="1239"/>
      <c r="AQ1423" s="1248"/>
      <c r="AR1423" s="1239"/>
      <c r="AS1423" s="1239"/>
      <c r="AT1423" s="1239"/>
      <c r="AU1423" s="1239"/>
      <c r="AV1423" s="1239"/>
      <c r="AW1423" s="1246" t="str" cm="1">
        <f t="array" ref="AW1423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423" s="1214" t="e">
        <f>IF(COUNTIF(#REF!,#REF!)=0,"-",_xlfn.XLOOKUP(#REF!,#REF!,#REF!,,0)&amp;"-"&amp;_xlfn.XLOOKUP(#REF!,#REF!,#REF!,,0))</f>
        <v>#REF!</v>
      </c>
      <c r="AY1423" s="1246" t="str">
        <f>IF(ISERROR(PV_DATA[[#This Row],[New Ark PO status]]),"",_xlfn.XLOOKUP(PV_DATA[[#This Row],[SPTN-PVHK New Ark PO'#]],New_Ark_Data[Purchase order Number],New_Ark_Data[Estimated time of arrival],"",0))</f>
        <v/>
      </c>
      <c r="AZ1423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423" s="1246" t="str">
        <f>IFERROR(PV_DATA[[#This Row],[ODP ETA Port]]+PV_DATA[[#This Row],[Customs/Leg3 Assumption]],"n/a")</f>
        <v>n/a</v>
      </c>
      <c r="BB1423" s="1242" t="e">
        <f>YEAR(PV_DATA[[#This Row],[ETA for New Ark update]])</f>
        <v>#VALUE!</v>
      </c>
      <c r="BC1423" s="1239" t="e">
        <f>MONTH(PV_DATA[[#This Row],[ETA for New Ark update]])</f>
        <v>#VALUE!</v>
      </c>
      <c r="BD1423" s="1239">
        <f>IFERROR(_xlfn.ISOWEEKNUM(PV_DATA[[#This Row],[ETA for New Ark update]]),0)</f>
        <v>0</v>
      </c>
      <c r="BE1423" s="1239">
        <f>_xlfn.XLOOKUP(PV_DATA[[#This Row],[New Ark SKU]],Table9[New Ark SKU],Table9[Total PCS per Pallet],,0)</f>
        <v>36</v>
      </c>
      <c r="BF1423" s="1239">
        <f>_xlfn.XLOOKUP(PV_DATA[[#This Row],[New Ark SKU]],Table9[New Ark SKU],Table9[Total PCS per 40HQ Container],,0)</f>
        <v>936</v>
      </c>
      <c r="BG1423" s="431" t="str">
        <f>_xlfn.XLOOKUP(PV_DATA[[#This Row],[New Ark SKU]],Table9[New Ark SKU],Table9[Back Glass],,0)</f>
        <v>White glazing</v>
      </c>
      <c r="BH1423" s="1249">
        <f>_xlfn.XLOOKUP(PV_DATA[[#This Row],[PORT DESTINATION]],Table12[PORT DESTINATION],Table12[Cosco Line],,0)</f>
        <v>0</v>
      </c>
    </row>
    <row r="1424" spans="1:62" hidden="1">
      <c r="A1424" s="1238" t="s">
        <v>7802</v>
      </c>
      <c r="B1424" s="1238" t="s">
        <v>111</v>
      </c>
      <c r="C1424" s="1238" t="str">
        <f>IFERROR(LEFT(PV_DATA[[#This Row],[TCL REFERENCE]],FIND(".",PV_DATA[[#This Row],[TCL REFERENCE]],1)-1),"Main Line")</f>
        <v>Main Line</v>
      </c>
      <c r="D1424" s="726" t="s">
        <v>63</v>
      </c>
      <c r="E1424" s="726" t="s">
        <v>68</v>
      </c>
      <c r="F1424" s="726" t="str" cm="1">
        <f t="array" ref="F1424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424" s="726" t="s">
        <v>68</v>
      </c>
      <c r="H1424" s="726" t="s">
        <v>68</v>
      </c>
      <c r="I1424" s="431" t="s">
        <v>68</v>
      </c>
      <c r="J1424" s="619" t="s">
        <v>68</v>
      </c>
      <c r="K1424" s="619"/>
      <c r="L1424" s="619"/>
      <c r="M1424" s="619" t="s">
        <v>68</v>
      </c>
      <c r="N1424" s="1240">
        <v>46347</v>
      </c>
      <c r="O1424" s="431" t="s">
        <v>5388</v>
      </c>
      <c r="P1424" s="1241" t="s">
        <v>7803</v>
      </c>
      <c r="Q1424" s="1239" t="s">
        <v>7804</v>
      </c>
      <c r="R1424" s="431" t="s">
        <v>73</v>
      </c>
      <c r="S1424" s="442" t="s">
        <v>967</v>
      </c>
      <c r="T1424" s="1242">
        <v>485</v>
      </c>
      <c r="U1424" s="1243">
        <v>18720</v>
      </c>
      <c r="V1424" s="1244">
        <f>PV_DATA[[#This Row],[QUANTITY]]*PV_DATA[[#This Row],[WATT]]/1000000</f>
        <v>9.0792000000000002</v>
      </c>
      <c r="W1424" s="466">
        <f>PV_DATA[[#This Row],[QUANTITY]]/PV_DATA[[#This Row],[Qty/Pallet]]</f>
        <v>520</v>
      </c>
      <c r="X1424" s="1022">
        <f>PV_DATA[[#This Row],[QUANTITY]]/PV_DATA[[#This Row],[Qty/CT]]</f>
        <v>20</v>
      </c>
      <c r="Y1424" s="431" t="s">
        <v>7039</v>
      </c>
      <c r="Z1424" s="1245" t="str">
        <f t="shared" si="58"/>
        <v/>
      </c>
      <c r="AA1424" s="1239" t="s">
        <v>7696</v>
      </c>
      <c r="AB1424" s="1246"/>
      <c r="AC1424" s="1247" t="str">
        <f>IF(PV_DATA[[#This Row],[Pick-Up Date]]&lt;&gt;"",_xlfn.ISOWEEKNUM(PV_DATA[[#This Row],[Pick-Up Date]]),"")</f>
        <v/>
      </c>
      <c r="AD1424" s="1239"/>
      <c r="AE1424" s="1242"/>
      <c r="AF1424" s="1239" t="s">
        <v>123</v>
      </c>
      <c r="AG1424" s="1239" t="s">
        <v>123</v>
      </c>
      <c r="AH1424" s="625"/>
      <c r="AI1424" s="1246"/>
      <c r="AJ1424" s="1246"/>
      <c r="AK1424" s="1246"/>
      <c r="AL1424" s="1246"/>
      <c r="AM1424" s="1251"/>
      <c r="AN1424" s="1251"/>
      <c r="AO1424" s="1239"/>
      <c r="AP1424" s="1239"/>
      <c r="AQ1424" s="1248"/>
      <c r="AR1424" s="1239"/>
      <c r="AS1424" s="1239"/>
      <c r="AT1424" s="1239"/>
      <c r="AU1424" s="1239"/>
      <c r="AV1424" s="1239"/>
      <c r="AW1424" s="1246" t="str" cm="1">
        <f t="array" ref="AW1424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424" s="1214" t="e">
        <f>IF(COUNTIF(#REF!,#REF!)=0,"-",_xlfn.XLOOKUP(#REF!,#REF!,#REF!,,0)&amp;"-"&amp;_xlfn.XLOOKUP(#REF!,#REF!,#REF!,,0))</f>
        <v>#REF!</v>
      </c>
      <c r="AY1424" s="1246" t="str">
        <f>IF(ISERROR(PV_DATA[[#This Row],[New Ark PO status]]),"",_xlfn.XLOOKUP(PV_DATA[[#This Row],[SPTN-PVHK New Ark PO'#]],New_Ark_Data[Purchase order Number],New_Ark_Data[Estimated time of arrival],"",0))</f>
        <v/>
      </c>
      <c r="AZ1424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424" s="1246" t="str">
        <f>IFERROR(PV_DATA[[#This Row],[ODP ETA Port]]+PV_DATA[[#This Row],[Customs/Leg3 Assumption]],"n/a")</f>
        <v>n/a</v>
      </c>
      <c r="BB1424" s="1242" t="e">
        <f>YEAR(PV_DATA[[#This Row],[ETA for New Ark update]])</f>
        <v>#VALUE!</v>
      </c>
      <c r="BC1424" s="1239" t="e">
        <f>MONTH(PV_DATA[[#This Row],[ETA for New Ark update]])</f>
        <v>#VALUE!</v>
      </c>
      <c r="BD1424" s="1239">
        <f>IFERROR(_xlfn.ISOWEEKNUM(PV_DATA[[#This Row],[ETA for New Ark update]]),0)</f>
        <v>0</v>
      </c>
      <c r="BE1424" s="1239">
        <v>36</v>
      </c>
      <c r="BF1424" s="1239">
        <v>936</v>
      </c>
      <c r="BG1424" s="431" t="e">
        <f>_xlfn.XLOOKUP(PV_DATA[[#This Row],[New Ark SKU]],Table9[New Ark SKU],Table9[Back Glass],,0)</f>
        <v>#N/A</v>
      </c>
      <c r="BH1424" s="1249">
        <f>_xlfn.XLOOKUP(PV_DATA[[#This Row],[PORT DESTINATION]],Table12[PORT DESTINATION],Table12[Cosco Line],,0)</f>
        <v>0</v>
      </c>
    </row>
    <row r="1425" spans="1:60" hidden="1">
      <c r="A1425" s="1238" t="s">
        <v>7805</v>
      </c>
      <c r="B1425" s="1238" t="s">
        <v>111</v>
      </c>
      <c r="C1425" s="1238" t="str">
        <f>IFERROR(LEFT(PV_DATA[[#This Row],[TCL REFERENCE]],FIND(".",PV_DATA[[#This Row],[TCL REFERENCE]],1)-1),"Main Line")</f>
        <v>Main Line</v>
      </c>
      <c r="D1425" s="726" t="s">
        <v>63</v>
      </c>
      <c r="E1425" s="726" t="s">
        <v>68</v>
      </c>
      <c r="F1425" s="726" t="str" cm="1">
        <f t="array" ref="F1425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425" s="726" t="s">
        <v>68</v>
      </c>
      <c r="H1425" s="726" t="s">
        <v>68</v>
      </c>
      <c r="I1425" s="431" t="s">
        <v>68</v>
      </c>
      <c r="J1425" s="619" t="s">
        <v>68</v>
      </c>
      <c r="K1425" s="619"/>
      <c r="L1425" s="619"/>
      <c r="M1425" s="619" t="s">
        <v>68</v>
      </c>
      <c r="N1425" s="1240">
        <v>46358</v>
      </c>
      <c r="O1425" s="431" t="s">
        <v>5388</v>
      </c>
      <c r="P1425" s="1241" t="s">
        <v>7266</v>
      </c>
      <c r="Q1425" s="1239" t="s">
        <v>7267</v>
      </c>
      <c r="R1425" s="431" t="str">
        <f>_xlfn.XLOOKUP(PV_DATA[[#This Row],[New Ark SKU]],Table9[New Ark SKU],Table9[Connector],,0)</f>
        <v>EVO2A</v>
      </c>
      <c r="S1425" s="442" t="str">
        <f>_xlfn.XLOOKUP(PV_DATA[[#This Row],[New Ark SKU]],Table9[New Ark SKU],Table9[Cable],,0)</f>
        <v>±1200mm</v>
      </c>
      <c r="T1425" s="1242">
        <v>480</v>
      </c>
      <c r="U1425" s="1243">
        <v>12168</v>
      </c>
      <c r="V1425" s="1244">
        <f>PV_DATA[[#This Row],[QUANTITY]]*PV_DATA[[#This Row],[WATT]]/1000000</f>
        <v>5.8406399999999996</v>
      </c>
      <c r="W1425" s="466">
        <f>PV_DATA[[#This Row],[QUANTITY]]/PV_DATA[[#This Row],[Qty/Pallet]]</f>
        <v>338</v>
      </c>
      <c r="X1425" s="1022">
        <f>PV_DATA[[#This Row],[QUANTITY]]/PV_DATA[[#This Row],[Qty/CT]]</f>
        <v>13</v>
      </c>
      <c r="Y1425" s="431" t="s">
        <v>7039</v>
      </c>
      <c r="Z1425" s="1245" t="str">
        <f t="shared" si="58"/>
        <v/>
      </c>
      <c r="AA1425" s="1239" t="s">
        <v>7696</v>
      </c>
      <c r="AB1425" s="1246"/>
      <c r="AC1425" s="1247" t="str">
        <f>IF(PV_DATA[[#This Row],[Pick-Up Date]]&lt;&gt;"",_xlfn.ISOWEEKNUM(PV_DATA[[#This Row],[Pick-Up Date]]),"")</f>
        <v/>
      </c>
      <c r="AD1425" s="1239"/>
      <c r="AE1425" s="1242"/>
      <c r="AF1425" s="1239" t="s">
        <v>123</v>
      </c>
      <c r="AG1425" s="1239" t="s">
        <v>123</v>
      </c>
      <c r="AH1425" s="625"/>
      <c r="AI1425" s="1246"/>
      <c r="AJ1425" s="1246"/>
      <c r="AK1425" s="1246"/>
      <c r="AL1425" s="1246"/>
      <c r="AM1425" s="1251"/>
      <c r="AN1425" s="1251"/>
      <c r="AO1425" s="1239"/>
      <c r="AP1425" s="1239"/>
      <c r="AQ1425" s="1248"/>
      <c r="AR1425" s="1239"/>
      <c r="AS1425" s="1239"/>
      <c r="AT1425" s="1239"/>
      <c r="AU1425" s="1239"/>
      <c r="AV1425" s="1239"/>
      <c r="AW1425" s="1246" t="str" cm="1">
        <f t="array" ref="AW1425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425" s="1214" t="e">
        <f>IF(COUNTIF(#REF!,#REF!)=0,"-",_xlfn.XLOOKUP(#REF!,#REF!,#REF!,,0)&amp;"-"&amp;_xlfn.XLOOKUP(#REF!,#REF!,#REF!,,0))</f>
        <v>#REF!</v>
      </c>
      <c r="AY1425" s="1246" t="str">
        <f>IF(ISERROR(PV_DATA[[#This Row],[New Ark PO status]]),"",_xlfn.XLOOKUP(PV_DATA[[#This Row],[SPTN-PVHK New Ark PO'#]],New_Ark_Data[Purchase order Number],New_Ark_Data[Estimated time of arrival],"",0))</f>
        <v/>
      </c>
      <c r="AZ1425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425" s="1246" t="str">
        <f>IFERROR(PV_DATA[[#This Row],[ODP ETA Port]]+PV_DATA[[#This Row],[Customs/Leg3 Assumption]],"n/a")</f>
        <v>n/a</v>
      </c>
      <c r="BB1425" s="1242" t="e">
        <f>YEAR(PV_DATA[[#This Row],[ETA for New Ark update]])</f>
        <v>#VALUE!</v>
      </c>
      <c r="BC1425" s="1239" t="e">
        <f>MONTH(PV_DATA[[#This Row],[ETA for New Ark update]])</f>
        <v>#VALUE!</v>
      </c>
      <c r="BD1425" s="1239">
        <f>IFERROR(_xlfn.ISOWEEKNUM(PV_DATA[[#This Row],[ETA for New Ark update]]),0)</f>
        <v>0</v>
      </c>
      <c r="BE1425" s="1239">
        <f>_xlfn.XLOOKUP(PV_DATA[[#This Row],[New Ark SKU]],Table9[New Ark SKU],Table9[Total PCS per Pallet],,0)</f>
        <v>36</v>
      </c>
      <c r="BF1425" s="1239">
        <f>_xlfn.XLOOKUP(PV_DATA[[#This Row],[New Ark SKU]],Table9[New Ark SKU],Table9[Total PCS per 40HQ Container],,0)</f>
        <v>936</v>
      </c>
      <c r="BG1425" s="431" t="str">
        <f>_xlfn.XLOOKUP(PV_DATA[[#This Row],[New Ark SKU]],Table9[New Ark SKU],Table9[Back Glass],,0)</f>
        <v>White glazing</v>
      </c>
      <c r="BH1425" s="1249">
        <f>_xlfn.XLOOKUP(PV_DATA[[#This Row],[PORT DESTINATION]],Table12[PORT DESTINATION],Table12[Cosco Line],,0)</f>
        <v>0</v>
      </c>
    </row>
    <row r="1426" spans="1:60" hidden="1">
      <c r="A1426" s="1238" t="s">
        <v>7806</v>
      </c>
      <c r="B1426" s="1238" t="s">
        <v>111</v>
      </c>
      <c r="C1426" s="1238" t="str">
        <f>IFERROR(LEFT(PV_DATA[[#This Row],[TCL REFERENCE]],FIND(".",PV_DATA[[#This Row],[TCL REFERENCE]],1)-1),"Main Line")</f>
        <v>Main Line</v>
      </c>
      <c r="D1426" s="726" t="s">
        <v>63</v>
      </c>
      <c r="E1426" s="726" t="s">
        <v>68</v>
      </c>
      <c r="F1426" s="726" t="str" cm="1">
        <f t="array" ref="F1426">_xlfn.IFS(PV_DATA[[#This Row],[New Ark PO Type]]="n/a","n/a",PV_DATA[[#This Row],[New Ark PO Type]]="Offshore","SPTN Offstore in Transit WH",TRUE,_xlfn.XLOOKUP(PV_DATA[[#This Row],[PORT DESTINATION]],LT_REF[PORT DESTINATION],LT_REF[New Ark WH],,0))</f>
        <v>n/a</v>
      </c>
      <c r="G1426" s="726" t="s">
        <v>68</v>
      </c>
      <c r="H1426" s="726" t="s">
        <v>68</v>
      </c>
      <c r="I1426" s="431" t="s">
        <v>68</v>
      </c>
      <c r="J1426" s="619" t="s">
        <v>68</v>
      </c>
      <c r="K1426" s="619"/>
      <c r="L1426" s="619"/>
      <c r="M1426" s="619" t="s">
        <v>68</v>
      </c>
      <c r="N1426" s="1240">
        <v>46358</v>
      </c>
      <c r="O1426" s="431" t="s">
        <v>5388</v>
      </c>
      <c r="P1426" s="1241" t="s">
        <v>7319</v>
      </c>
      <c r="Q1426" s="1239" t="s">
        <v>7320</v>
      </c>
      <c r="R1426" s="431" t="str">
        <f>_xlfn.XLOOKUP(PV_DATA[[#This Row],[New Ark SKU]],Table9[New Ark SKU],Table9[Connector],,0)</f>
        <v>EVO2A</v>
      </c>
      <c r="S1426" s="442" t="str">
        <f>_xlfn.XLOOKUP(PV_DATA[[#This Row],[New Ark SKU]],Table9[New Ark SKU],Table9[Cable],,0)</f>
        <v>±1200mm</v>
      </c>
      <c r="T1426" s="1242">
        <v>485</v>
      </c>
      <c r="U1426" s="1243">
        <v>8424</v>
      </c>
      <c r="V1426" s="1244">
        <f>PV_DATA[[#This Row],[QUANTITY]]*PV_DATA[[#This Row],[WATT]]/1000000</f>
        <v>4.0856399999999997</v>
      </c>
      <c r="W1426" s="466">
        <f>PV_DATA[[#This Row],[QUANTITY]]/PV_DATA[[#This Row],[Qty/Pallet]]</f>
        <v>234</v>
      </c>
      <c r="X1426" s="1022">
        <f>PV_DATA[[#This Row],[QUANTITY]]/PV_DATA[[#This Row],[Qty/CT]]</f>
        <v>9</v>
      </c>
      <c r="Y1426" s="431" t="s">
        <v>7039</v>
      </c>
      <c r="Z1426" s="1245" t="str">
        <f t="shared" si="58"/>
        <v/>
      </c>
      <c r="AA1426" s="1239" t="s">
        <v>7696</v>
      </c>
      <c r="AB1426" s="1246"/>
      <c r="AC1426" s="1247" t="str">
        <f>IF(PV_DATA[[#This Row],[Pick-Up Date]]&lt;&gt;"",_xlfn.ISOWEEKNUM(PV_DATA[[#This Row],[Pick-Up Date]]),"")</f>
        <v/>
      </c>
      <c r="AD1426" s="1239"/>
      <c r="AE1426" s="1242"/>
      <c r="AF1426" s="1239" t="s">
        <v>123</v>
      </c>
      <c r="AG1426" s="1239" t="s">
        <v>123</v>
      </c>
      <c r="AH1426" s="625"/>
      <c r="AI1426" s="1246"/>
      <c r="AJ1426" s="1246"/>
      <c r="AK1426" s="1246"/>
      <c r="AL1426" s="1246"/>
      <c r="AM1426" s="1251"/>
      <c r="AN1426" s="1251"/>
      <c r="AO1426" s="1239"/>
      <c r="AP1426" s="1239"/>
      <c r="AQ1426" s="1248"/>
      <c r="AR1426" s="1239"/>
      <c r="AS1426" s="1239"/>
      <c r="AT1426" s="1239"/>
      <c r="AU1426" s="1239"/>
      <c r="AV1426" s="1239"/>
      <c r="AW1426" s="1246" t="str" cm="1">
        <f t="array" ref="AW1426">IFERROR(_xlfn.IFS(
IFERROR(--PV_DATA[[#This Row],[ATA PORT]],0)&gt;0,PV_DATA[[#This Row],[ATA PORT]],
IFERROR(--PV_DATA[[#This Row],[ETA Update]],0)&gt;0,PV_DATA[[#This Row],[ETA Update]],
IFERROR(--PV_DATA[[#This Row],[ETA On S/O]],0)&gt;0,PV_DATA[[#This Row],[ETA On S/O]],
PV_DATA[[#This Row],[TCL-HK PO INCOTERM Requested]]="FOB","n/a",
PV_DATA[[#This Row],[TCL-HK PO INCOTERM Requested]]="n/a","n/a",
PV_DATA[[#This Row],[STATUS]]&lt;&gt;"PO FIRM",VLOOKUP(PV_DATA[[#This Row],[STATUS]],'Assumption ATP'!$B$4:$C$54,2,0)+VLOOKUP(PV_DATA[[#This Row],[POL]]&amp;PV_DATA[[#This Row],[PORT DESTINATION]],LT_REF[],5,0),
TRUE,date_end_horizon
),0)</f>
        <v>n/a</v>
      </c>
      <c r="AX1426" s="1214" t="e">
        <f>IF(COUNTIF(#REF!,#REF!)=0,"-",_xlfn.XLOOKUP(#REF!,#REF!,#REF!,,0)&amp;"-"&amp;_xlfn.XLOOKUP(#REF!,#REF!,#REF!,,0))</f>
        <v>#REF!</v>
      </c>
      <c r="AY1426" s="1246" t="str">
        <f>IF(ISERROR(PV_DATA[[#This Row],[New Ark PO status]]),"",_xlfn.XLOOKUP(PV_DATA[[#This Row],[SPTN-PVHK New Ark PO'#]],New_Ark_Data[Purchase order Number],New_Ark_Data[Estimated time of arrival],"",0))</f>
        <v/>
      </c>
      <c r="AZ1426" s="1242">
        <f>IF(OR(PV_DATA[[#This Row],[New Ark PO Type]]="Offshore",PV_DATA[[#This Row],[New Ark PO Type]]="Internal-&gt;Offshore"),0,IFERROR(VLOOKUP(PV_DATA[[#This Row],[POL]]&amp;PV_DATA[[#This Row],[PORT DESTINATION]],LT_REF[],7,0),14))</f>
        <v>14</v>
      </c>
      <c r="BA1426" s="1246" t="str">
        <f>IFERROR(PV_DATA[[#This Row],[ODP ETA Port]]+PV_DATA[[#This Row],[Customs/Leg3 Assumption]],"n/a")</f>
        <v>n/a</v>
      </c>
      <c r="BB1426" s="1242" t="e">
        <f>YEAR(PV_DATA[[#This Row],[ETA for New Ark update]])</f>
        <v>#VALUE!</v>
      </c>
      <c r="BC1426" s="1239" t="e">
        <f>MONTH(PV_DATA[[#This Row],[ETA for New Ark update]])</f>
        <v>#VALUE!</v>
      </c>
      <c r="BD1426" s="1239">
        <f>IFERROR(_xlfn.ISOWEEKNUM(PV_DATA[[#This Row],[ETA for New Ark update]]),0)</f>
        <v>0</v>
      </c>
      <c r="BE1426" s="1239">
        <f>_xlfn.XLOOKUP(PV_DATA[[#This Row],[New Ark SKU]],Table9[New Ark SKU],Table9[Total PCS per Pallet],,0)</f>
        <v>36</v>
      </c>
      <c r="BF1426" s="1239">
        <f>_xlfn.XLOOKUP(PV_DATA[[#This Row],[New Ark SKU]],Table9[New Ark SKU],Table9[Total PCS per 40HQ Container],,0)</f>
        <v>936</v>
      </c>
      <c r="BG1426" s="431" t="str">
        <f>_xlfn.XLOOKUP(PV_DATA[[#This Row],[New Ark SKU]],Table9[New Ark SKU],Table9[Back Glass],,0)</f>
        <v>White glazing</v>
      </c>
      <c r="BH1426" s="1249">
        <f>_xlfn.XLOOKUP(PV_DATA[[#This Row],[PORT DESTINATION]],Table12[PORT DESTINATION],Table12[Cosco Line],,0)</f>
        <v>0</v>
      </c>
    </row>
    <row r="1430" spans="1:60">
      <c r="C1430" s="459"/>
    </row>
    <row r="1443" spans="7:7">
      <c r="G1443" s="462"/>
    </row>
  </sheetData>
  <sheetProtection formatCells="0" formatColumns="0" formatRows="0" insertRows="0" autoFilter="0" pivotTables="0"/>
  <protectedRanges>
    <protectedRange sqref="AL360 AI255:AK259 AB231 AI360:AK365 AO258:AT263 AB432 AI263:AJ266 AI391:AJ392 AI311:AK318 AP431:AR432 A446:B446 G488 AO431:AO433 M433 AO451:AO452 AR452 AJ452 AI463 AI462:AJ462 AI464:AJ464 T492 AO446:AO449 T498 G499 AA446:AD452 AJ465:AK466 AI219:AR220 AI221:AM222 AM230:AT231 AL258:AN259 A522:B523 AN221:AR221 AI223:AT227 AJ1236 M522 AL515 T1304 AA1290 T493:X497 AL255:AT257 AI260:AN262 AK263:AN263 AK264:AT266 AO297:AT313 AL314:AT318 I530:I531 AQ527:AR527 I505:I507 M492:M494 M518:M519 J533 G532 M543:M547 V498:X498 AS533:AT536 M496:M512 I612 G556 M549:M550 M572 M559:M560 A552:B555 AP532:AR536 AL311:AN313 M556:M557 AI252:AT254 V492:X492 AM360:AT365 AA491 AA430:AA432 I570 M564:M569 A558:B560 AQ573:AR574 D572:E574 A535:B541 AS576:AT576 D446:E446 A447:E467 D522:E523 D535:E541 A556:E557 D558:E560 G571 A575:E576 M260 M296:M298 M300 M303:M310 M355 G509:G510 H577 G564 G566 G568:G569 G500:H504 I444 I475 I480:I481 I496 G486:H487 I543:I544 I556:I557 J557:J558 J564:J567 J574 M293:M294 K483:L483 J523:J524 K452:L452 G1237:I1240 G512:G521 G543:G548 I434:I435 I473 I513 G534:G541 G561:G562 H560:H571 M535:M541 M474:M488 M443:M452 I446:I462 I438:I442 I548:I551 I519:I520 I486:J486 J464:J466 I568:J569 H533:H548 H510:H521 G1231:I1235 I463:J463 G557:H557 G597:M597 G575:J576 G463:H466 G472:H484 J472:J484 G495:H498 G293:L300 J491:J504 J508:J521 J543:J548 G490:H493 K1237:M1240 T491:X491 I534:M534 K589:M589 K548:M548 AM1236 AP433:AT433 AP447:AT451 AT527 AO434:AT434 AT430:AT432 AO520:AT525 AS574:AT574 AO513:AT516 AN222:AT222 AS565:AT566 AZ410:BD427 BB447:BD467 K1231:M1235 A585:B585 D585:H585 J588:J590 G588:G590 H588:I591 A634:F634 AE1246:AF1246 D644:G644 D618:F618 A584:H584 A586:J587 M619:M620 J621 AI293:AL300 A572:B574 D577:E578 M575:M577 H592 J584 AQ594:AR594 H622 N443:N444 N446:N452 N474:N475 N479:N484 N486:N488 T499:X529 N523 N1237:N1238 N1253:N1255 AI479:AI481 AI470:AI471 AJ516:AJ517 AK524:AK529 AJ522:AJ532 H579 M594 D597:F599 A594:B595 D579:F579 A577:B579 A588:F593 I592:I593 M579:M588 A581:B583 AO562:AO578 D581:H583 A580:G580 AP537:AT560 AP574 AP565:AQ566 AP575:AR576 BF625 AP562:AT563 AP567:AT572 H608 J630 J606 D600:H601 J602:J604 AA625 T625 AC625 D625 AZ625 A646:B646 D621:F622 AC629 B645 A597:B607 D602:F607 G607:H607 W625:X625 G629 D655:M655 O629 W629:Y629 K230:M230 G237:H260 J1:XFD1 I230 BF656:BF657 AZ656:AZ657 A689:B689 D658:M658 D646:F646 B629 D629:E629 AZ629 D650:H650 D610:F610 L610:M610 D626:G626 M609 D609:I609 D611:H617 M611:M617 D637:H639 A626:B628 M626:M629 D627:F628 J640 D640:G640 AI301:AN310 AL391:AT392 AN446 D641:H641 W645:Y645 D645:H645 D649:G649 I631:J631 D630:F631 D664:H664 A655:B655 D643:H643 D642:I642 M623:M624 D651:G651 J650 D635:G636 O647:Q651 B635:B636 W635:Y636 J663 A630:B633 J647:J648 D647:H648 H646 W647:Y651 B649:B651 D672:H672 M647:M651 A637:B644 AT656 D659:H659 J659 Y491:Y529 AI518:AI532 AI575:AJ579 AK594 AI594 BF653 W653:Y653 AZ653 AI492:AT512 D653 T653 AC653 O683 AZ683 AK516:AN516 K766:L766 M667 D682:J682 W656:Y657 O656:O657 T656:T657 A658:B658 D667:H667 D665:G665 D666:F666 J665 AR666 AI572:AJ572 M656:M657 B657 D656:D657 O653 AA647:AB647 A608:F608 D687:H687 BA428:BA467 AZ428:AZ466 BB428:BD445 A428:E445 A690:I690 A490:E521 F490:F578 I487:I491 A489:G489 M526:N527 G526:J527 AE662:AI662 A660:B661 B688 AB688 H688 D688:F689 AE688:AL688 F428:F467 A468:F488 I467:I471 M462:M472 AB648:AB651 AC683 AC430:AH432 AE447:AH451 AB230:AL230 AF452:AH452 U659:Y659 BF720 D670:G671 AA674 AA676 AI1232:AJ1235 W663:X663 AZ720 D720:E720 J672 D694:I695 B670:B671 D663:G663 T664:Y669 AE663:AJ663 D684:M684 AP609:AQ609 AO582:AO609 AP631:AS631 AP629:AR629 AP625:AR625 AP656:AS657 AP652:AP653 AO636:AO659 AB670:AB671 AI623:AL623 AI624:AJ624 AK624:AL626 AK632:AL633 AM293:AT296 AI366:AT390 AI430:AR430 AI431:AN434 AI435:AT438 AI439:AS439 AI447:AN449 AI450:AO450 AI451:AN451 AK462:AT464 AM465:AT466 D552:E555 AI669 AP658:AT659 AP630:AT630 AP582:AT593 AE635:AM636 D696:J697 AS663:AT665 A691:B695 AR652:AT653 AT671 B662:B663 AS609:AT609 AP577:AT578 D693:H693 D669:I669 A664:B669 AA683 W662:Y662 M659:M665 D660:F662 BE410:BF467 D668:F668 D683 D691:F691 D692:I692 AB695 T683 A687:B687 M687:M689 W688:Y688 B696:B697 AS704:AT704 AP595:AT608 AP626:AT628 AP654:AT655 AR667:AT668 AS669:AT670 O674:Q682 M685 B685 W685:Y685 D685:G685 AB662:AB663 A684:B684 AB679:AB683 M598:M599 M528:M533 D594:F595 D1262:E1262 AS674:AT685 B673:B682 T684:Y684 W670:Y683 D747:G747 D906:F906 AR672:AR673 AE685:AI685 T686:Y687 T660:Y661 AE643:AL643 U627:Y628 AA1246:AC1246 AE656:AI657 T646:Y646 T658:Y658 AE645:AL645 AE625:AJ625 T626:Y626 AC633:AJ633 T654:Y655 AF446:AH446 AD231:AL231 AK654:AL659 AE647:AL651 D754:G754 D711:F711 A711:B711 AF705:AH705 D707:G710 A1228:B1230 AS1230 AE1249:AH1251 AE754:AH754 O744 E798 D673:G681 M669:M682 O702:Q702 A524:E534 G528:I529 AC706 M707:M711 A812:Q812 AA656:AC657 AA658:AI659 AA654:AI655 T637:Y644 AP632:AT633 M635:M645 BF705:BF706 AK517:AT517 T706 D705:D706 AL662:AL663 AA428:AT429 AI440:AT445 AI467:AT469 AI513:AN513 AL520:AN521 AZ705:AZ706 B701:B710 D701:G704 AP636:AT651 AV654:AW655 AV658:AW682 AV707:AW711 D740:E740 D712:E712 AM524:AN524 AZ712 AF724:AH725 D724:E725 AZ724:AZ725 AR724:AR725 G798 D789:F789 AT703 AE653:AL653 AJ664:AL665 AL667:AL669 AI674:AI678 AI453:AT461 AC491:AT491 AL518:AT519 AK522:AN523 O755 X755 AC755 E755 G755 E700:G700 O700 W700:X700 AE700:AG700 T695 W701:Y710 D698:H699 M691:M705 W695:Y699 J698:J699 AS691:AT700 AE745 G744:G745 D718:H719 D716:I717 D632:H633 M827:M828 D784:H784 J759:J760 D759:H760 T739 D739 AC739 AI670:AL671 AL672:AL678 AL684:AL685 O726:Q738 AJ470:AT481 AI482:AT490 AM514:AN515 AL525:AN525 AL526:AT526 J738 D738:H738 W811:Y811 D726:G737 O721:Q723 M726:M738 M721:M723 O756:Q760 AV793:AW793 D721:H723 D756:G758 X859:Y859 J713 B712:B713 T689:Y694 U742:Y742 D746:H746 D762:G762 AE693:AL693 BF712 AF752:AH752 AR712 D748:H748 J748 R410:R625 J742:J743 D742:H743 O754:Q754 W743:Y743 W718:Y741 D741:F741 W746:X746 X744:X745 E744:E745 AC744:AC745 M741:M744 M746:M750 B749:B750 D749:G750 AR754:AT754 W754:X754 BF751:BF753 T753 T751 G751 AZ751:AZ753 B718:B743 AZ739:AZ740 AI768 AL768 G781 AB756:AB760 M813 BF761 D761 T761 AZ761 O817:Q817 B752:B754 M752:M760 D751:D753 X779:Y779 AI700 AJ705:AL705 AF720:AJ720 U780:Y780 BH626:BH628 AC772 T814:Y814 E772 G772 X772 AE772:AG772 W773:X776 G770 E770 D771:G771 AX809 D767:H767 J865 W815:Y815 AZ777 AE770:AG770 E781 AC770 X770 AC753 BH654:BH655 BH658:BH682 BH707:BH711 BH684:BH704 BH721:BH723 BH756:BH760 BH786 BH754 BH741:BH743 BH726:BH738 BH746:BH750 B789 O746:Q750 X798 AT748:AT750 W747:Y753 B746:B747 AY468:BF624 AY467:AZ467 AY447:AY466 R715 AY410:AY445 AE691:AL691 AL572:AN573 BG767:BG768 AZ715 D793:H793 AB780:AI780 BH793 A766:B767 D766:E766 AE802:AG802 AS767:AT767 AY798:BF798 D780:F780 AZ768 AE768:AG768 O798 W799:Y799 AB779:AC779 AE779:AI779 D778:M778 A778:B778 D777 W777:Y777 AS777 BH807 B771 W771:Y771 D1260:G1261 BF768 O768 AB768:AC768 X768 W858:Y858 W955:X955 E768:G768 BH778 BH767 M773:M776 B756:B765 BH773:BH776 O769:Q769 AF809:AH809 B773:B777 D809 D773:H776 W1258:Y1263 W769:Y769 B769 D769:F769 BH771 M763:M765 M767:M769 BH762:BH765 AX767:AX768 W756:Y765 D763:H765 J765 U766:Y766 AA190:AT218 AA643:AC643 AA237:AA246 AA629:AA631 AA653 AA557:AH572 AA219:AH227 AA492:AH540 AA453:AH471 AA433:AH445 AA669:AC669 AA664:AH668 AA691:AC691 AA684:AI684 AA686:AL687 AA660:AM661 AA623:AH624 AA573:AJ573 AA646:AL646 AA644:AL644 AA626:AJ626 AA632:AJ632 AA472:AI478 AA247:AT251 AA479:AH490 AA633 AA575:AH619 AA634:AT634 AA690:AM690 AA692:AL692 AA1247:AH1248 AA1232:AH1242 AA693:AC693 AA1243:AF1245 AA706 AA739 AA742:AC742 AA694:AL694 AA751:AC751 AA753 AA761:AC761 AA767:AC767 E810 AA778:AI778 AI666:AL666 AE701:AI701 AJ700:AJ701 AE702:AJ702 AA711:AL711 AE718:AL718 AE719:AJ719 AK719:AL720 AE726:AI728 AJ724:AJ728 D715:E715 W712:Y715 M1260:M1261 AE781:AG781 D787:E787 AZ787 B715 AA716:AL717 AY713:BF714 BH716:BH719 A716:B717 D713:H714 AV716:AW719 M713:M719 A714:B714 BH713:BH714 AA714 AC818 AB817:AB818 AA821:AA822 AC781 X781 AI781:AJ781 M817 W817:Y817 A609:B624 D619:H620 BF794 AO621:AO633 AP621:AT624 AA621:AL622 H780 BI767:XFD781 AC821:AC822 BH780 O782:Q784 B780 T237:Y490 W789:Y789 AY784:BF784 B799 AF799:AH799 D799:E799 O802 E802:G802 AA802:AC802 M802 BH784 O786:Q786 D794:E796 AZ794:AZ796 AF794:AH796 O797:Q797 AV786:AW786 O819:Q820 M797:M798 B794:B797 D797:H797 AE797:AH797 AI561:AT561 AL575:AN576 X818 M819:M820 D819:G820 M810:M811 AC816 AI844 BI793:XFD796 AX793:AX796 AI802 D786:H786 M786 W794:Y797 X816:Y816 BI816:XFD816 D815:H815 M815 T821:T822 D883:F883 W883:AA883 W813:Y813 X844 W1249:Y1252 B815 W829:X830 AO1271:AR1273 T829:T830 D829:D830 B782:B787 D785:E785 AZ785 AA843 D843 AA829:AA830 O811:Q811 D841 T843 W843:X843 X831:Y831 B843 AA841 W841:X841 X834 AQ813:AQ814 U812:Y812 D811:H811 AB811 X827:Y827 E827:H827 AZ843:AZ845 O846 J811 A813:B814 D813:J813 AX821:AX822 O788 AC788 M788 E788:H788 AF787:AH787 AX784:AX787 BI784:XFD788 X788 AC790:AC791 AE788:AH791 AE786:AH786 AF785:AI785 D792:I792 A790:B793 AA812 M790:M794 AE782:AJ783 AR825:AS825 AP794:AR794 AR796 AT1277:AT1278 X860 AE858:AH860 G843 AE695:AL699 AK700:AL702 AK724:AK725 AK726:AL728 AF740:AL740 X806 D858:G859 D790:H791 M865 AX843:AX845 AF845:AH845 W805:Y805 B883 O831 AZ841 AX841 J842 X842 X810:Y810 A1243:B1246 D623:H624 AA652:AL652 AE669:AH683 E808 G808 X808:Y808 AC810 E846:J846 X846:Y846 D974:F974 D817:F817 B817 AZ813 AX813 B811 AF803:AH803 BI813:XFD813 W809:Y809 AZ809 AC808 W807:Y807 B807 B809 D807:G807 AT1258:AT1260 G841 D821:D822 B819:B822 BI818:XFD822 AZ821:AZ822 A1112:B1112 AA1228:AJ1231 D814:F814 AA813:AB814 J814:J815 H814 H817 E831:H831 O841 T840:T841 D828:H828 O827 W828:Y828 B845 W845:Y845 D845 AP826:AT826 F929:H929 AX826 AF715:AL715 Y848 M971 AL527:AO527 AC630:AL631 F847 A974:B974 F886 X886:Z886 O887 AE887:AG887 G887 G882 Z882:AA882 E884 AC827 G884 G804:G806 W804:X804 O804:O805 T804:T805 AC804:AC806 E1039:J1039 D782:G783 M780:M784 J782:J783 W782:Y787 Z911:AA911 J974 AB832:AI832 M831 U832:Y832 AC841:AC843 B803:B805 W803:Y803 D803:D805 AE703:AL704 AE729:AL739 AE753:AL753 AJ754:AL754 AE767:AL767 AE769:AL769 AI770:AL770 AE771:AL771 AI772:AL772 AE773:AJ773 AL773 T850:T852 AZ850:AZ852 B850:B852 D850:D852 B831:B833 AX829:AX830 O843:O844 E844:G844 D831:E833 M844:M846 AI882 AI887 T871:X871 W840:Y840 G947 AF712:AL712 AJ778:AL780 AF833:AH833 W833:Y833 AZ826 O834 M834:M835 E834:H834 O829 AC829:AC831 BI833:XFD834 AX833 AZ833 D826:E826 AE834:AI834 B826 AC834 AF826:AH826 AC854 AE850:AI854 AB854:AB855 W850:Y852 AB853:AC853 AE827:AI831 B828 BI829:XFD831 AZ829:AZ830 D823:H823 A823:B823 W819:Y823 J827 X853:Y854 AC855:AI855 A864:B864 AE846:AI846 C1290 X887 O900:Q900 G861 W900:X900 D900:H900 B900 B858:B859 AE741:AL744 AH745:AL745 AE746:AL751 AI786:AI789 T530:Y624 AI791 AF813:AJ813 AK530:AT531 AI534:AO540 AA541:AO556 J881 Z887:AA887 AC887 AC824:AC825 AZ887:AZ890 W826:Y826 O891:O893 B888:B890 D888:D890 AF888:AH890 W888:X890 X901:Z901 E901:J901 E891:G891 BI824:XFD827 AE891:AH891 Z888:Z890 D864:H864 F866:H866 G867 E865:H865 A542:E551 A561:E571 E824 AG825:AI825 AE825 J823 T825 X824:X825 AI849 AC884:AC885 Z885:AA885 X884:X885 AZ885 U885 Z883:Z884 AZ882 AE882:AG882 O882 X856:X857 E861 M856 AE856:AG857 AI856:AI857 BH955:XFD955 BH858 E856:E857 AC856:AC857 G856:G857 M860 T860 A855:B855 D855:F855 AZ970 D970 W914:Z914 M914 AB913:AB914 T915 AZ915 D915 BI908:XFD908 AC908 AZ908 T908 W908:AA908 D908 X916:Z917 G953:G954 E953:E954 A904:B906 T902 AC911 J907 D907:H907 M907 W907:Z907 AL793:AL795 AL797:AL798 AO800 AE804:AI808 AE824:AI824 AJ824:AJ834 AI794:AI795 AC814:AJ814 AK577:AN577 AI581:AT581 AO635:AT635 AO669:AQ669 AO678:AQ678 AO670:AP677 AO660:AT661 AO663:AP668 AI679:AL683 AO684:AQ685 AO705:AS705 AO686:AT690 AO691:AQ700 AO701:AP702 AO703:AQ704 AE706:AL710 AO713:AT714 AO716:AT723 AO715:AS715 AJ752:AL752 AO741:AT747 AI580:AM580 AO579:AT580 AO748:AS751 AP754 AO768:AT768 AO767:AQ767 AO769:AQ777 AO802:AT802 AO798 AO795:AS795 AO803:AS803 AO813:AO814 AO843:AS843 AO844:AT844 AO834 AO827:AS827 AO825:AP825 AO845:AS845 AO824:AS824 AO883:AR883 AJ866:AJ867 AO865:AS865 AO864:AQ864 AO1246:AQ1246 AO1249:AR1249 AO1250:AS1255 AO1230:AQ1230 AO1263:AS1264 AO1231:AS1245 AO1258:AS1261 AZ1275:AZ1277 AK578:AM579 AM594 AA627:AL628 AE629:AM629 AA640:AL642 AA689:AL689 AO706:AT711 AE713:AL714 AO726:AT739 AE755:AL764 AM767:AM783 M823:M825 E1036 AJ785:AL789 AI790:AL790 AJ791:AL792 AC812:AJ812 AM621:AM628 AA637:AM639 X961:Z961 W940:X941 D911:G911 AF940:AH941 AZ911 BI911:XFD911 B907:B910 W909:Y911 J909:J910 D909:H910 Z909:Z910 AE892:AI893 T911 O911 X913:Z913 D967:G969 D940:D941 B940:B941 B914:B915 D903:H905 B903 W903:Z903 X897:X899 I895:J899 Z897:Z900 Z902 AC894:AC899 X891:Z896 X902 E892:J893 F868:H868 O868 X868:Y868 A871:H871 A875:B877 A869:B870 K871:L871 D869:H870 O942 AE942:AI942 X867 J867 O912:Q912 V904:AA905 AC904:AC906 D912:H912 B912 O929 AC942 O1277:O1278 AA879 E942:G942 AJ940:AJ943 E963 G963 M967:M969 B918 AB971 I705 AF963:AH963 W967:Z969 D918 AZ918 T918 G965:G966 T970 E965:E966 AE880:AI881 F879:F880 X879:X882 AC879:AC882 AI1237:AJ1251 AG1243:AH1246 AS1246 Z965:Z966 X965:X966 BI965:XFD966 M964 AE967:AI970 X963 Z963 W964:Z964 D964:G964 B964 B967:B970 AZ962 D962 T962 W962:AA962 D961:G961 AF961:AI961 AI962:AI963 AO941:AS941 AO940:AT940 J931 AM630:AM633 AM640:AM659 AO679:AP683 AO1247:AS1248 AO879:AS879 AO1228:AS1229 AL1228:AM1235 AL528:AT529 AK532:AM532 AI533:AM533 AI557:AO560 AI562:AN571 AI586:AM593 AN532:AO533 AH933 W918:AA918 G975 X861:Y861 D1048 E983:G983 T932 AH931 M920:M927 T930 AH932:AI932 AB969 AB961:AB963 E938 U1275:U1276 M994 AE993:AJ993 AO1275:AS1278 Y1278:Z1278 AJ922 W1268:X1273 O1268:O1273 AE1285:AF1285 G919 AK994:AL994 AE765:AM765 AE810:AJ811 AE815:AJ823 AE840:AJ841 AE842:AI843 AJ842:AJ846 AI582:AN585 AI610:AT616 AJ802:AJ809 AF777:AL777 A837:B840 O961:Q961 O875:Q878 O1232:Q1246 T1228:Y1248 AV810:BG810 O869:Q870 T869:Y870 O909:Q910 BF908:BG908 T904:T905 BF970:BG970 AV849:AW849 O858:Q859 N871:Q871 K836:Q836 O903:Q907 T906:AA906 O835:Q835 BF841:BG841 A652:Q652 T652:Y652 BF843:BG845 AO778:AT793 O837:Q840 O713:R714 BF785 O789:Q793 O780:Q780 BF795:BG796 T714 T716:Y717 BF787 AY716:BF719 AY793:BF793 AY767:BF767 AY762:BF765 O773:Q776 O807:Q807 O771:Q771 BF802:BF805 O778:Q778 T778:Y778 BF715 AY630:BF652 AY754:BF760 AY726:BF738 AY741:BF750 AY786:BF786 AY721:BF723 AY684:BF704 AY707:BF711 AY658:BF682 AY654:BF655 AY626:BF628 O762:Q765 T813 O716:R718 BF739:BF740 O741:Q743 K690:Q690 O626:R628 O691:Q699 BF724:BF725 O635:Q645 O630:Q633 M489:Q490 M622:Q622 A654:Q654 N1231:Q1231 O655:Q655 M646:Q646 N573:Q573 O623:Q624 A686:Q686 O687:Q689 N634:Q634 O684:Q685 BF683 O658:Q672 O466:Q471 K1247:Q1248 T711:Y711 O597:Q621 O591:Q595 N589:Q590 O578:Q588 O563:Q570 O574:Q576 O1228:Q1230 I571:Q571 BF629 N577:Q577 I561:Q562 K513:Q513 K520:Q520 N472:Q472 N462:Q465 M436:Q437 A596:Q596 K438:Q442 O572:Q572 N410:Q433 K434:Q435 K491:Q491 K453:Q461 K473:Q473 O514:Q519 O521:Q560 O474:Q488 O492:Q512 O443:Q452 O707:R711 BH410:BH624 O813:Q815 O767:Q767 T767:Y767 BF809:BG809 BF777:BG777 AS769:AT776 BH769 O828:Q828 O883:Q883 BG802:BG808 T790:Y793 BH1258:BH1261 BH819:BH820 AV827:BG827 O855:Q855 BF813:BG813 BF821:BG822 BF826:BG826 BF833:BG833 AV834:BG834 BF850:BG852 BF829:BG830 BF887:BG890 O823:Q823 BF882:BG882 BF915:BG915 O864:Q864 AO846:AT846 BF911:BG911 AO880:AT882 O967:Q969 BF918:BG918 O964:Q964 BF962:BG962 BH817:XFD817 AB975 AO875:AT878 BH903:XFD907 AT1228:AT1255 BH900:XFD900 BH855:XFD855 AO815:AT823 AO797:AT797 BH782:XFD783 AS864:AT864 AV886:AW886 BH814:XFD815 AO804:AT812 BH789:XFD792 AO930:AT930 AF1013:AJ1013 AO839:AT842 T835:Y839 AO835:AT837 D926:E926 BG784:BG794 BG410:BG765 R712 B1000 AE875:AJ879 AD823:AD825 AA844:AG844 AD858:AD861 AD866:AD871 AD954 AX410:AX765 AO756:AT766 AX777 AV814:BG820 AV824:BG825 AO828:AT832 W926:Z926 AQ926:AT927 E934:E935 AB916:AB919 B926 X930:X933 AR931:AT933 J933 F936 Z940:Z941 AJ926:AK927 AO927 D937 U937:U939 Z937:AA939 G938 J1014 AZ993 D801 BF801:BG801 U801 AA801 U993 AK793:AK800 BG798:BG800 BF799:BF800 AL800 BI798:XFD810 AX798:AX805 AZ799:AZ805 AI800 M800 E800:G800 X800:X802 O800 AC800:AC801 X998 AC929:AC930 X929:Z929 AQ798:AT801 T924 AF926:AH926 BF926:BG926 AZ926 U1290 K950:K951 G950 AG950:AI950 AH951:AI951 AJ1292:AS1292 BK2:XFD181 AF1008:AH1008 AF1007:AG1007 H920 AA804:AA805 AA840:AB840 AA850:AC852 AA823:AB823 AA792:AI792 AA620:AM620 AA839:AJ839 T875:AC878 AA790:AA791 AA793:AJ793 AA855 J920:J921 AH920:AH923 A928:H928 E920 K874:Q874 AK922:AL923 AG924:AL924 AE1062:AH1063 AB1016 D875:H877 A874:H874 AA869:AC872 BH869:XFD872 T872:Y872 Z927 E927 O872:Q873 A872:B873 D872:H873 AE873:AI873 H925 AH925 E925 AI874 AF1009:AG1009 G1008:G1010 M1009 AH1009:AH1010 Y1009 E1008 M930:M935 H992 J992 K928:Q928 AE929:AJ929 X950:X951 AH978 X978 E952:J952 AV994:AW994 AE984:AI984 BI410:XFD765 R629:R706 BH630:BH652 T630:Y634 AI393:AT427 J378:J461 G378:H461 I379:I432 K379:M432 M357:M378 G355:L377 AI319:AT359 G303:L349 M314:M349 AI267:AT292 G264:M292 N237:S409 AA252:AH427 A237:F427 N230:AA236 A230:H236 M231:M258 I232:I260 K232:L260 J230:J260 AB232:AT246 AA228:AT229 A190:Z229 AX190:XFD409 A182:AT189 K1005 BI2:BI181 O2:O181 A2:F181 B1:H1 G1443 G971:G972 Z1048:AA1048 AJ925:AL925 J925 AH988 H958:H960 AA848 AC846:AC848 BI865:XFD868 AC865:AC868 AE865:AI867 X865:Y866 O865:O866 BF885:BG885 Z930:Z936 AJ961:AL963 AC798:AI798 AD800:AG800 AC916:AD918 W915:AD915 AD847:AJ848 AA864:AI864 AD877:AD882 AC913:AJ913 W970:AD970 AD967:AD969 AC924:AE924 AD930:AE930 AC932:AE932 AC962:AH962 AJ978 AH930:AJ930 AJ931:AJ935 AE936:AJ939 AD964:AJ964 AF965:AJ966 W1011:AA1012 AE915:AJ918 AI919:AJ919 AA574:AN574 AN586:AN594 AM662:AM689 E1001 G1006 E1006 AV883:AW884 AV846:BG846 AV916:AW917 AV909:AW910 AV927:AW936 AV963:AW969 AE1275:AN1282 X1053:Z1053 W1000:Z1000 AE998:AF998 AH998:AJ998 AE944:AF944 B999:E999 Z1002:AA1002 E949:E950 X919:X925 AC991 X948:Z948 Z949:Z951 AH943 AS994:AT994 E994:G994 AH994 AJ1001:AL1001 AC993 E979:E981 M979:M983 AH982:AH983 AB1039 Y996:Z996 M996 BF937:BG941 AZ937:AZ941 BF984:BG984 BF993:BG993 AH992 AK957:AL960 AC984 U984 AZ984 Z984:AA984 Z993:AA993 H957:J957 H988:J988 X982:X984 BD989:BG989 Y986:Z986 AF1120:AH1120 O999:Q999 AS985:AT987 Z985 G985 BD985:BG985 E985:E987 AI987 D862:E863 AV853:AW881 AC859:AC863 M862:M863 BI856:XFD863 AE861:AI863 W862:Y863 B862:B863 M986:M988 X988 Z998 AC1000 Z999:AJ999 AH947 X947 J956 E956 H956 AE1000:AL1000 AC936:AC939 X936:X939 AY998:BG998 M992 AC1014 AE1014:AI1014 D1000:E1000 X991:X994 AE991:AF991 M990 E992 G989 AI991 Z987:Z992 E989:E990 AC944 AJ958:AJ960 A878:H878 M837:M840 M878 AU1027:AU1028 AF952:AH952 AJ950:AL952 AE948:AG948 AI946:AJ946 AF946:AG946 AF919:AG919 Z944:Z947 X944:X945 AH945 M945 Z919:Z925 AC948 U948 E976:E977 M976:M977 AO1270:AS1270 AO1279:AT1282 X952:Z954 AY1028:BG1028 W1027:AA1027 AF995:AH995 AE1002:AL1002 Z1274 AK1274:AT1274 E1274:H1274 BF1002:BG1002 X971:X972 AB1007:AB1010 AJ794:AJ800 AD801:AO801 AE868:AJ872 AJ880:AJ882 AE883:AJ886 D1228:E1230 G1230:H1230 A1231:E1242 D1243:E1246 G1246:H1246 A1247:E1248 G1247:I1248 G1258:H1258 AJ1016:AL1016 AJ887:AJ893 Z971:Z972 AI944:AJ944 AI595:AN609 AY912:XFD912 AY849:BG849 AY883:BH883 AY886:XFD886 AY994:BG994 AY884:BG884 AV847:AW847 AY847:BG847 AY879:BG881 AY916:BG917 AY909:XFD910 AY864:XFD864 AY963:BG963 AY927:BG927 AY928:XFD928 AY865:BG872 AY873:XFD878 AY929:BG936 AY964:XFD964 AY965:BG966 AY967:XFD969 AY985:BA985 AY853:BG863 O1020:Q1020 AY999:XFD999 AY986:BG988 AY975:BG983 AY1274:BD1274 AY989:BA989 AY990:BG992 AC1011:AC1012 AY919:BG925 AY950:BF951 W1146:X1146 B1148 O997:Q997 B997:E997 AV190:AW445 AV182:XFD189 AV3:BF181 R2:BF2 AV626:AW628 AV684:AW704 AV767:AW767 AV630:AW652 AV784:AW784 AV798 AV726:AW738 AV713:AW714 AV721:AW723 AV741:AW750 AV754:AW760 AV762:AW765 AV447:AW624 AV806:BF808 AV788:BF792 AV769:BG776 AV842:BG842 AV828:XFD828 AV831:BG831 AV823:XFD823 AV797:XFD797 AV778:BG783 AV811:XFD812 AV766:XFD766 AV832:XFD832 AV835:XFD840 AV919:AW925 AV1274:AW1274 AV985:AW992 AV997:XFD997 BI970:XFD973 T973 W973:AI973 W1264:X1265 BF973:BG973 D973 AZ973 AC953:AC954 AJ1263:AJ1265 B961:B962 B973 D1249:E1259 AE1006:AL1006 AY1006:BG1010 AE1288:AT1291 T1291 J1003:J1004 AO1265:AT1265 AF971:AH972 H1004 J958:J960 E1004 AH956:AH960 W1253:Z1257 BI913:XFD913 AO1256:AT1257 AK1228:AK1265 M1258 AE1252:AJ1261 AL1237:AM1261 AK949:AL949 M949:M951 O1250:Q1261 E971:E972 Z1258:Z1265 B1011:B1012 AZ1011:AZ1012 AJ1007:AL1011 D1011:D1012 BF1011:BG1012 AE1011:AI1012 T1011:T1012 AY971:BG972 AV971:AW972 AF1262:AH1265 AN1228:AN1265 X956:X960 AJ956:AL956 AL1263:AM1265 BI956:XFD963 BI998:XFD998 AY952:BG961 AY1003:BG1004 AH1003:AH1004 B955 Z955:Z960 M953:M961 O955:Q955 D955:H955 AV1006:AW1010 Z1003:Z1010 U1002 AC1006 Z1275:AA1277 AY1039:BG1039 AC1002 AZ1002 G1111 AE774:AL776 B1020:E1020 Z997:AH997 AJ997 AY1051:BG1051 B995 Z994:Z995 W995:X995 AZ995 D995 BF995:BG995 BI915:XFD927 AV996:AW996 AY996:BG996 E996 AJ1293:AQ1294 AI1128 AE953:AL955 AJ873:AJ874 AI1031 AK781:AL783 AI1304 AK996:AL997 AI1038:AL1038 AU1037:BG1037 AK1037:AL1037 AI1037 BF1135:BG1135 AC1052:AC1053 E1114 AE1035:BG1036 AZ1048 B1048 AE1048:AH1048 O1048 BF1048:BG1048 G1048 T1048 AX1048 M1015 X1002:X1010 AE721:AM723 X1021:X1022 AH1021:AH1022 AY1020:XFD1020 AU1017:AX1020 AO1284:AT1286 AF1050:AH1050 AB1050 X1050 AH1099 Z1050 G1050 E1056 AA835:AJ837 Z1045 Y1051:Z1051 E1050:E1051 M1051 AT1053:BG1053 AC1048 AX1051:AX1052 G1052 BF1052:BG1052 O1052 AE1052:AI1052 B1052 AZ1052 Z1052:AA1052 D1052 W1052:X1052 T1052 AI1053:AL1053 AT1052:AU1052 M1017:M1019 AF1016:AH1016 E1015:E1019 AY1014:BG1019 AK1012:AT1013 B1049:E1049 K1049:L1049 X847:X849 AO847:AS849 AC849:AG849 Z237:Z872 BF848:BG848 Z1020:AL1020 G1026 O1025:Q1025 AQ1027:AR1028 AE1030:AI1030 AT1292:AT1294 AO1052:AS1053 W1048:X1048 O1049:Q1049 AJ945 AK1017:AL1019 G1029 X1029 Z1029 K1044:L1044 A835:H836 D837:H840 E1035:J1035 O1044:Q1044 B1044:E1044 Z1044:AA1044 AJ982:AJ986 AJ979:AL980 AL992:AT992 AL993 AI948:AJ948 AL998:AL999 AJ1014:AJ1015 AM691:AM720 AA766:AM766 AO1030:BG1030 AZ1027 D1027 BF1027:BG1027 E1047 BI1047:XFD1048 Y1047:Z1047 AU1050:BG1050 AU1051:AW1051 AS1049:XFD1049 AS1048:AU1048 AK1050:AL1052 Z1049:AH1049 I1043 AU1029:BG1029 G1074 X1028:Z1028 AV1028:AW1028 AH1029:AI1029 AB1021:AB1022 AF1066:AH1066 I1116 I1066 B1034:E1034 AE1043:AH1043 AF1070:AH1070 AF1227:AG1227 AR1055:BG1056 Z1054:Z1056 AC1135 AJ1031:BG1032 AH1292:AH1294 O1060:Q1061 B1060:E1061 AR1294 AS1293:AS1294 X1066:Z1066 M1071 B1046:E1046 O1046:Q1046 K1046:L1046 Z1034:AB1034 B1041:C1042 V1041:V1042 AE1041:AG1042 Z1026 AE1069:AI1069 R3:AT181 Z1046:AA1046 K1034:L1034 BI1045:XFD1045 E1045 M1045 M1047 G1072 AF1072:AH1072 M1073 K1060:L1061 AD1044:AH1044 AD1046:AH1046 AD1034:AH1034 G1070 E1070 AN578:AN580 AI617:AM619 AO617:AT620 AN617:AN633 G1099 AL981 AC1091 AL1089:BA1089 AF1115:AG1115 E1076:E1077 G1076:G1077 AL1088:BG1088 J1069 AC1069 J1091 M1068 E1227 AI1068 X1068:X1073 AZ1043 AL1058:BA1058 BD1071:BG1071 AE1117 J1117 BD1089:BG1089 AE1096 J1096 AJ1115:AL1115 AE1059:AL1059 AK1114:AL1114 AK1090:AL1090 AG1091:AL1091 AJ947 AG1117:AI1117 Z1025:XFD1025 AM724:AM764 AP752:AS753 AP755:AT755 AO752:AO755 AE784:AM784 AM785:AM800 E848:E849 U848 BI841:XFD854 G848:G849 AZ848 E1433:E1041984 AX1027:AX1028 AC1027:AC1028 D1081 AZ1081 B1081 T1081 X1059 W1081:AC1081 T1027 W1267:Y1267 AO931:AP933 AI1111 AL1045:AM1046 AX1081 AE1027:AI1028 G1114 Z1060:AL1061 AC1096 X1227 E1097 G1097 AG1096:AH1097 AF1148:AH1148 BD1118:BG1118 M1118 AF1116:AH1116 AH1039:AL1039 AZ1135 E1225 AX1043 AE1040:AL1040 AB1099:AB1101 BF1043:BG1043 D1043 B1043 E1119 D1135 W1135:AA1135 T1135 T1148 W1148:AA1148 AO1133:BG1134 AF1134:AI1134 AC1117 AE1135:AI1135 AK1026:BA1026 G1119:G1120 AG1119:AH1119 E1099 M1092:M1095 M1098 AE1091 X1039:Z1039 Z1141 BD1141:BG1141 X1141 BI1141:XFD1141 B1142:D1143 O1034:Q1034 Z1142:AI1143 T1364:AT1365 AO1040:AU1040 AE1081:AU1081 AO850:AT863 AO920:AT925 AJ920:AL921 AK975:AL978 AK913:AT919 AO994:AQ994 AO993:AS993 AM993:AN994 AO1001:AT1001 AO1002:AR1002 AJ1003:AL1003 AO1003:AX1003 AM1001:AN1003 AO1006:AT1011 AH1005:AL1005 AO1005:BF1005 AO1021:BG1022 AO1016:AT1020 AL1111 AO1135:AU1135 AE1284:AN1284 AO1050:AT1051 AJ1054:BG1054 AO1071:BA1071 AO1072:BG1072 AO1066:BA1067 AO1068:BG1070 AO1113:AU1113 AM1090:BG1098 AO1117:BG1117 AO1039:AW1039 AM1037:AN1040 AO1119:BG1120 AO1115:BA1116 AO1114:BG1114 AO1037:AR1037 AO1028:AP1028 AO1027 AO1023:BA1024 AO1029:AR1029 AO1059:BG1059 AO1060:XFD1061 AM1059:AN1061 AJ1066:AN1066 AJ1092:AL1093 M1054:M1056 D1148 M1041:M1042 H1142:H1143 O1142:Q1143 AF1149:AG1150 T1138:AG1138 BK1136:XFD1139 A1136:C1139 O1136:O1139 E1139 T1136:AG1136 M1150 G1082 G1151 AH1151 AJ1034:XFD1034 Z1375:AI1375 Z1366:AT1366 E1137 J1139 J1137 T1139:AI1139 AI1136 AJ1067 AL1067:AN1067 T1177:X1178 M1227:M1229 Z1144 Z1021:Z1024 G1021:G1024 BD1023:BG1024 G1133 M1058 Z1267:AA1273 AK1266:AT1269 X1110:X1111 AO1038:BG1038 AK1043:AU1043 X1030:Z1030 G1037:G1038 B1135 AH1037:AH1038 BD1100:BG1106 M1100:M1106 M1131:M1132 AY1278:BD1293 AE1283:AT1283 AO1073:BA1075 AA1304 AM1113:AN1115 AX1113 AE1113:AI1114 AC1113:AC1114 W1113:AA1113 AJ1113:AL1113 T1113 B1113 AZ1113 D1113 BF1113:BG1113 D1263:D1273 AZ1262:AZ1273 B1249:B1269 T1266:T1273 W1266:AA1266 AC1266:AC1273 AE1266:AI1269 O1112:Q1112 D1112:F1112 Z1279:Z1289 AC1275:AC1291 AE1031:AG1032 AA1064 BD1041:BG1042 AA1041:AA1042 X1041:X1042 BD1033:BG1033 AJ1033:BA1033 Y1128 X1149:X1153 AF1128:AG1130 AB1128:AB1129 BD1300:BD1301 AM1050:AN1053 U1053 Z1082 AC1083:AC1087 B1083:C1087 T1083:T1087 V1083:V1087 AJ1082:BG1082 AH1082 AH1298:AH1299 AE1083:AG1087 AA1083:AA1086 AM1064:BA1065 AE1064:AG1065 V1064:V1065 T1064:T1065 B1064:C1065 AC1062:AC1065 X1078:X1080 M1026 AC1304 B1304:C1304 V1304 AE1304:AG1304 E1026 BD1026:BG1026 BF1081:BG1081 X1225 AX975:AX996 D914:H914 BI975:XFD996 AY913:BG914 AV975:AW983 Z975:Z983 AF975:AG975 X975 AI975:AJ975 AD914:AJ914 BH914:XFD914 O914:Q914 O974:Q974 W912:Z912 AV912:AW914 M909:M912 AU3:AU893 AO884:AT893 AX847:AX893 O901 AY891:BG893 AY902:BG907 AV891:AW893 AV902:AW907 BI879:XFD899 M892:M893 AC901:AC902 AC891:AD893 BI901:XFD902 M900:M905 AX902:AX973 AU902:AU973 AO942:AT943 X942:Z943 AV942:AW961 AL940:AN943 BI929:XFD954 AY942:BG949 AC998 AK929:AK943 E943:J943 AX1001:AX1002 AV998:AX1000 AV1001:AW1001 AU975:AU1002 Z1013:Z1019 E1013 AV1013:AW1016 AX1006:AX1016 AU1006:AU1016 BI1000:XFD1019 X1013:X1014 X1016 M1000:M1005 AY1000:BG1001 AY1013:BA1013 Z1001 G1013 G1016 BD1013:BG1013 AC1041:AC1046 M1036 X1031:X1032 X1035:X1038 Z1031:Z1033 Z1035:Z1038 BI1026:XFD1033 AC1030:AC1032 AC1035:AC1036 BI1035:XFD1043 X1054:X1055 B1040 D1040 BF1040:BG1040 T1040:T1043 AX1039:AX1040 AZ1040 W1040:Z1040 W1043:Z1043 AE1053:AG1053 AB1040:AC1040 AC1059 AE1057:BG1057 AJ1062:BG1063 X1062:X1065 K1025:L1025 B1025:E1025 BI1021:XFD1024 AM1016:AN1024 BD1058:BG1058 E1058:E1059 AJ1021:AL1024 Z1058:Z1059 G1058:G1059 G1062:G1063 Z1062:Z1063 E1062:E1063 BD1064:BG1067 AC1057 BI1050:XFD1059 X1057:Z1057 M1064:M1065 Z1149:Z1153 X1082:X1087 AJ1068:AN1075 BD1083:BG1087 M1083:M1090 Z1067:Z1080 X1075 M1075:M1080 BD1073:BG1080 M1115 B1116 BD1115:BG1116 AJ1116:AN1117 Z1114:Z1134 X1114:X1121 X1123:X1134 BI1113:XFD1135 BD1121:BG1132 M1121 M1123:M1129 AO1121:BA1121 T1137:AI1137 AI1138 B1177:D1177 H1140 AI1376 O1140:Q1140 B1140:D1140 Z1140:AI1140 Y1108 H1155 H1157 Z879:Z881 AJ1027:AN1030 AK1094:AL1098 AJ1102:BA1106 AI1130:AL1130 AH1133:AL1133 AN635:AN800 AD894:BG901 AK839:AN848 AK1086:AK1087 AM1083:BA1087 BI1136:BI1139 BI1175:XFD1176 A1155:C1158 M1302 E1427:E1431 A1159:F1159 BH1228:XFD1257 BD1108:BG1109 O719:Q719 T855:Y855 T823:U823 T864:Y864 T874:AG874 T873:AC873 T928:AG928 T999:X999 T1020:X1020 T997:X997 T1025:X1025 T1049:X1049 T1044:X1044 T1060:X1061 T1046:X1046 T1034:X1034 T1142:X1143 T1112:XFD1112 T1140:X1140 Y1154:Z1154 AJ1108:AK1111 X1109:Z1109 M1108:M1109 AM1108:BA1109 AY1148:BA1150 AF1152:AG1153 S410:S1108 R719:R1108 BD1152:BG1153 Z1088:Z1108 Z1110:Z1111 BI1062:XFD1111 X1089:X1108 AJ1107:BG1107 AF1107:AG1110 AM1110:BG1111 AB1153 AY1151:BG1151 AY1302:BD1303 AY1300:BA1301 AY1297:BD1299 AY1136:BF1139 AY1141:BA1141 AY1142:XFD1143 AY1140:XFD1140 AJ1154:AW1154 AY1152:BA1153 BD1175:BG1176 AV1175:BA1176 B1161:D1161 O1161:Q1161 AV1177:XFD1177 X1198 Z1198 T1162:AI1162 AJ1076:BA1080 AL1099:BG1099 AJ1099:AJ1101 AL1100:BA1101 AJ1119:AN1121 AJ1118 AL1118:BA1118 AL931:AL935 AL938:AT938 AL939:AS939 AK983:AN987 AJ1131:AL1132 BE1146:BG1146 AJ849:AN865 AA838:AT838 AM920:AN927 AL936:AS937 AM949:AT963 T1174:AG1174 Y1376:AG1376 Z1175:AA1176 AJ1375:BG1376 AA1190 X1175:X1176 O1177:Q1177 AV1174:BG1174 AY1154:BG1159 T1155:AL1159 T1163:AG1163 AJ1162:AL1163 AI1163 BK1174:XFD1174 BI1174 O1174 A1174:C1174 BK1155:XFD1160 O1155:O1160 A1160:C1160 R1170:AI1170 T1161:X1161 R1169:AG1169 F1377 AG1427:AK1041984 AF1427:AF1446 AF1448:AF1041984 AI928:AT928 AL929:AT929 AN930:AN933 AN934:AT935 AJ1122:BA1123 BI1198:XFD1198 Y1188 B1171:D1173 H1160:H1162 O1171:X1173 E1186 R1161:S1164 AP1373:AR1374 Z1370:AO1370 AQ1370:AT1370 H1170:H1173 BI1155:BI1160 Z1183:AH1183 Z1171:AI1173 AI1174 R1174:S1178 AK875:AN893 AK1227:AT1227 AY1227:BD1261 AX1148:AX1159 AS1146:AU1146 AV1227:AW1261 T1320:X1321 AJ1221:AL1221 J1170 E1164 Z1177:AI1177 H1177 Z1178:AG1179 R1224:AG1224 R1179:X1179 O1196:X1197 Z1196:AI1197 AD902:AT912 AK982:AT982 AO983:AT983 AO984:AS984 AO985:AQ987 AK1014:AR1014 AK1015:AT1015 AJ1183:AL1183 A1205:A1206 Z1205:AN1206 H1211 O1211:Q1211 T1211:X1211 R1198:S1198 BD1198:BG1198 B1211:D1211 B1196:D1197 X1147 B1199:D1199 H1199 O1199:X1199 Z1199:AI1199 R1427:AE1041984 AL1413:BF1041984 AI1185:AL1185 Z1413:AK1417 Z1377:BG1412 M1147 AI1224:BG1224 AK802:AN837 AK944:AT948 AJ967:AT973 AJ988:AT991 AJ995:AT995 AM996:AT1000 AJ1004:AX1004 AL1041:BA1042 AL1044:XFD1044 AN1045:BG1045 AN1046:XFD1046 AL1047:BG1047 AL1048:AR1049 R1160:AL1160 Z1161:AL1161 R1195:AI1195 AF1212:AG1212 Y1207:AL1207 AI1218 AP1221:BG1221 AI1220:AL1220 AI1169:AL1169 R1200:AI1200 AI1178:AI1179 AK1218:AL1219 AJ1195:AL1200 R1218:AH1219 H1218:H1219 AI1219:AJ1219 AK1225:BG1226 R1165:AL1165 BD1147:BG1150 T1145:X1145 Z1145:AL1145 M1136:M1145 BI1145 BK1145:XFD1145 A1145:C1145 O1145 H1201 R1201:AL1201 AJ1134:AL1144 AY1144:BA1144 BI1144:XFD1144 AX1135:AX1144 BD1144:BG1144 X1144 T1164:X1164 Z1164:AL1164 J1164 H1193:H1197 O1193:O1195 O1223:O1224 BI1225:XFD1227 H1223 R1223:BG1223 G1225:G1229 Z1225:Z1252 A1193:C1195 AX1227:AX1296 AU1227:AU1296 X1275:X1299 Z1291:Z1303 AV1278:AW1296 AJ1295:AT1296 M1271:M1300 AF1295:AG1296 AY1294:BA1296 BD1294:BD1296 BI1258:XFD1306 R1109:S1159 BI1146:XFD1154 Z1146:Z1147 BD1304:BD1306 X1304:X1306 Z1305:Z1306 AJ1297:AX1306 AY1304:BA1306 AX1146 D1146 B1146 AZ1146 BI1188:XFD1192 X1188:X1192 Z1192 AJ1188:AL1192 BD1188:BG1192 AF1188:AG1192 Z1191:AA1191 AJ1204:BA1204 X1204 AF1204:AG1204 Z1188:Z1190 AI1216:AL1217 Z1212 X1212 AJ1313:BA1319 BD1313:BG1319 R1202:X1202 Z1313:Z1319 X1313:X1319 BI1313:XFD1319 AF1313:AG1319 R1211:S1212 A1209:C1210 AJ1212:AL1212 BD1212:BG1212 C1182:C1183 A1182:A1183 Z1182:AL1182 Z1186:AL1186 R1205:X1207 J1186 R1364:S1366 O1209 R1210:X1210 AS1371:BG1374 AQ1371:AR1372 AP1370:AP1372 BI1212:XFD1212 Y1369:AT1369 Z1166:AL1168 R1166:X1168 O1200:O1203 A1200:C1203 R1182:X1183 R1203:AL1203 Y1353 BK1200:XFD1203 BI1200:BI1203 BI1193:BI1195 A1178:C1181 BK1193:XFD1195 O1180:O1181 H1180:H1181 R1180:AI1181 AJ1170:AL1181 R1193:AL1194 R1184:AL1184 O1184 R1188:S1192 Z1202:AL1202 BI1204:XFD1204 Z1204 R1204:S1204 R1216:X1217 BD1204:BG1204 O1207 A1207:C1207 BK1205:XFD1207 BI1205:BI1207 M1152:M1187 R1187:AL1187 A1162:C1170 O1162:O1170 BI1162:BI1170 BK1162:XFD1170 BI1178:BI1187 BK1178:XFD1187 A1184:C1187 O1186:O1187 M1189:M1207 R1185:X1186 AP1205:BG1206 C1205:C1206 R1213:AL1215 Z1185:AE1185 A1223:C1224 C1221:C1222 A1221:A1222 Z1222:AL1222 Z1221:AH1221 BI1209:BI1210 BK1209:XFD1210 R1220:X1222 R1225:S1321 BE1227:BG1312 B1307:D1312 Z1307:BD1312 T1307:X1312 BH1307:XFD1312 O1307:Q1312 H1309:H1310 AJ1208:AL1208 R1209:AL1209 AI1210:AL1210 Z1211:AL1211 M1209:M1225 BI1213:BI1224 A1213:C1220 BK1213:XFD1224 O1213:O1215 O1218:O1219 G1301 E1301 Z1220:AG1220 Z1210:AG1210 Z1216:AG1217 AI1340:BG1342 Z1340:AG1342 AI1331:BG1335 Z1331:AG1335 Z1336:BG1339 AI1285:AN1286 AE1286:AG1287 AI1287:AT1287 AH1285:AH1287 AE1270:AN1273 O1412:O1041984 R1375:X1426 A1378:F1417 A1427:D1041984 A1418:C1426 AF1420:AG1426 AK866:AT874 AK964:AT966 T974:XFD974 AL1055:AP1056 AM975:AT981 AM1005:AN1011 AO1146:AQ1146 AJ1146:AL1153 AO1148:AW1153 AJ1124:AL1129 AO1124:BA1132 AO1147:BA1147 AO1145:BG1145 AO1136:AW1144 AM1124:AN1153 AO1155:AW1159 AO1162:BG1163 AO1196:XFD1197 AO1198:BA1198 AO1160:BG1160 AO1161:XFD1161 AO1171:XFD1173 AO1174:AU1177 AO1199:XFD1199 AO1164:BF1164 AO1188:BA1192 AO1186:BF1186 AO1165:BG1170 AO1193:BG1195 AO1178:BG1185 AO1200:BG1203 AO1187:BG1187 AM1155:AN1203 AO1212:BA1212 AO1213:BG1220 AO1222:BG1222 AO1211:XFD1211 AM1207:BG1208 AM1209:AN1222 AO1209:BG1210 Z1208 BI1208:XFD1208 R1208:S1208 G1208 Y1355:Y1360 R1361:BG1363 R1371:AO1374 T1366:X1366 AU1364:BG1366 Z1368:AT1368 AU1368:BG1370 A1352:C1377 O1352:O1394 R1367:X1370 Y1367:BG1367 A1343:A1351 C1343:C1351 M1304:M1362 BI1320:BI1041883 BK1320:XFD1041883 R1322:X1360 Z1343:BG1348 Z1320:BG1330 Z1350:BG1360 Z1349:AH1349 AP1349:BG1349 AJ1349:AN1349 A1320:C1342 F1427:F1041984 E1418:F1426 M1364:M1426" name="PV_Data"/>
    <protectedRange sqref="I1" name="PV_Data_2"/>
    <protectedRange sqref="A1" name="PV_Data_4"/>
    <protectedRange sqref="AQ679:AQ681 AQ754" name="PV_Data_1"/>
    <protectedRange sqref="AK572:AK573 AK575:AK576" name="PV_Data_3"/>
  </protectedRanges>
  <sortState xmlns:xlrd2="http://schemas.microsoft.com/office/spreadsheetml/2017/richdata2" ref="AD1294:AD1311">
    <sortCondition descending="1" ref="AD1294:AD1311"/>
  </sortState>
  <phoneticPr fontId="0" type="noConversion"/>
  <conditionalFormatting sqref="A1">
    <cfRule type="duplicateValues" dxfId="82" priority="274"/>
  </conditionalFormatting>
  <conditionalFormatting sqref="A803:A805 A809:A810 P847:Q876 W847:W876 P1274:Q1276 W1274:W1276 P1289:P1292 M1364:M1426">
    <cfRule type="cellIs" dxfId="81" priority="152" operator="equal">
      <formula>"No"</formula>
    </cfRule>
    <cfRule type="cellIs" dxfId="80" priority="153" operator="equal">
      <formula>"Yes"</formula>
    </cfRule>
  </conditionalFormatting>
  <conditionalFormatting sqref="A850:A854">
    <cfRule type="cellIs" dxfId="79" priority="138" operator="equal">
      <formula>"No"</formula>
    </cfRule>
    <cfRule type="cellIs" dxfId="78" priority="139" operator="equal">
      <formula>"Yes"</formula>
    </cfRule>
  </conditionalFormatting>
  <conditionalFormatting sqref="K826">
    <cfRule type="duplicateValues" dxfId="77" priority="205"/>
  </conditionalFormatting>
  <conditionalFormatting sqref="K961 K833 A740:A743 A811:A812 A790:A794 A745:A750 A767:A773 A752:A764 A776 A778:A780 A815:A816 A823:A825 A836 A806 A839:A840 A844:A845 K964 K967 A798:A801 A2:A715 A858:A943 A949:A990 A847:A849 A1001:A1013 A1016:A1089 A1099:A1289 A1291:A1048576">
    <cfRule type="duplicateValues" dxfId="76" priority="4860"/>
  </conditionalFormatting>
  <conditionalFormatting sqref="M1:M550 P669:P848 T824:T902 A841:A843 T926:T960 P934:Q939 W934:W939 P940:P975 P943:Q960 W943:W963">
    <cfRule type="cellIs" dxfId="75" priority="132" operator="equal">
      <formula>"No"</formula>
    </cfRule>
    <cfRule type="cellIs" dxfId="74" priority="133" operator="equal">
      <formula>"Yes"</formula>
    </cfRule>
  </conditionalFormatting>
  <conditionalFormatting sqref="M1:M1048576">
    <cfRule type="cellIs" dxfId="73" priority="32" operator="equal">
      <formula>"Yes - GTG"</formula>
    </cfRule>
    <cfRule type="cellIs" dxfId="72" priority="33" operator="equal">
      <formula>"No - GTG"</formula>
    </cfRule>
  </conditionalFormatting>
  <conditionalFormatting sqref="M554:M594 M596:M631 P610 P625:P631 P635:P636 P646:P648 P650:P651 P653:P663 T700 T743:T748 T755 T768:T798 P825:Q827 W825:W827 P844:Q845 W844:W845 P877:P878 AD1288">
    <cfRule type="cellIs" dxfId="71" priority="463" operator="equal">
      <formula>"No"</formula>
    </cfRule>
    <cfRule type="cellIs" dxfId="70" priority="467" operator="equal">
      <formula>"Yes"</formula>
    </cfRule>
  </conditionalFormatting>
  <conditionalFormatting sqref="M635:M1300 A846 P878:Q902 W878:W902 P894:P934 T913 T916:T919 T969:T973 T975:T1227 P976:Q1227 W976:W1227 P1262:P1274 T1274:T1290 P1277:P1287 P1304:Q1304 M1304:M1362">
    <cfRule type="cellIs" dxfId="69" priority="150" operator="equal">
      <formula>"No"</formula>
    </cfRule>
    <cfRule type="cellIs" dxfId="68" priority="151" operator="equal">
      <formula>"Yes"</formula>
    </cfRule>
  </conditionalFormatting>
  <conditionalFormatting sqref="M1302">
    <cfRule type="cellIs" dxfId="67" priority="4" operator="equal">
      <formula>"No"</formula>
    </cfRule>
    <cfRule type="cellIs" dxfId="66" priority="5" operator="equal">
      <formula>"Yes"</formula>
    </cfRule>
  </conditionalFormatting>
  <conditionalFormatting sqref="P1290:Q1290">
    <cfRule type="cellIs" dxfId="65" priority="182" operator="equal">
      <formula>"No"</formula>
    </cfRule>
    <cfRule type="cellIs" dxfId="64" priority="183" operator="equal">
      <formula>"Yes"</formula>
    </cfRule>
  </conditionalFormatting>
  <conditionalFormatting sqref="T800:T822 P801:Q801 W801 A826:A835 A837:A838 P922:Q924 T922:T924 W922:W924 P926:Q929 W926:W929 W1290">
    <cfRule type="cellIs" dxfId="63" priority="140" operator="equal">
      <formula>"No"</formula>
    </cfRule>
    <cfRule type="cellIs" dxfId="62" priority="141" operator="equal">
      <formula>"Yes"</formula>
    </cfRule>
  </conditionalFormatting>
  <dataValidations count="2">
    <dataValidation allowBlank="1" showInputMessage="1" showErrorMessage="1" sqref="AQ201:AQ202 AP211:AP217 AL222:AL227 AO224:AO227 AD235:AD236 B358 A280:A289 AP280:AP288 B280:D284 AW358:AX358 AK219:AR219 AN261:AO266 AQ276:AT289 AK393:AK401 AC359 AP419:AR422 AM406:AN406 AK298:AL300 AL366:AL370 A359:C368 D358:D368 AQ407:AR407 D407 AW407:AX407 A405:D406 AR401:AR402 AP399:AP404 AW401:AW404 D400:D404 AA405:AC406 AI222:AK228 AK296:AN296 AB360:AC360 AL412:AL418 AO391:AO408 Z407:AA407 AL401:AM402 AP408:AU408 AK211:AL218 AS319:AT326 AK413:AU413 AP391:AT398 AP405:AT406 AQ399:AT400 AO360:AT377 AS227:AT229 AP263:AT266 AQ255:AT262 A425:D426 AO211:AO218 AP430:AR432 AB432 AR298:AT314 AQ298:AQ313 AO298:AP314 AE405:AE406 AP221:AR227 AN220:AO221 AM361:AN370 AM220:AR220 AK248:AT254 AC430:AC432 AL391:AN400 AJ462:AK462 AK463:AK464 BB405:BD406 AR446:AR462 AN402:AN403 AP446:AQ461 Z408:AB408 AJ465:AK466 AA430:AA432 AD457 AR464:AR465 AL464:AN464 AK255:AP259 AM221:AN228 AO462:AQ465 AK220:AL221 AO436:AO444 AA433:AC463 AM412:AM413 AJ522:AK529 Z1236:AC1236 A1236:D1236 AN465 X473:X486 AK473:AK484 AJ485:AL485 AL428:AL444 AL446:AL463 AN280:AO289 AL519:AN523 AK489:AK504 AE521:AE523 O1232:O1233 O1239:O1240 AS533:AT536 AC1231 AI495:AJ495 AJ510:AL510 W579:Z579 AE528:AE529 AJ489:AJ494 AX574:BD574 AP532:AR536 AI512:AL513 AY542:BD556 AR557:AR558 BA558:BD559 BA512:BD541 AI518:AI529 AI557:AK559 AS473:AS476 AJ516:AK517 B1232:B1233 J1231:J1235 N358 N1231:O1231 J654:L659 N401:O404 AJ496:AJ504 AI430:AN432 AY405:AZ406 AL473:AN493 AY559:BD570 AZ1231 AZ1236:AZ1238 N405:V406 BA571:BD571 AY571:AZ577 AV1247:AV1248 AJ520 O473:W483 AJ468:AJ484 BA573:BD578 Z464:AF464 BA579 D579 AD578 AD572 AD562:AD563 N663:AC663 AP557:AP559 AP596:AP597 AZ584:AZ604 AJ559:AJ595 AI559:AI578 AI580:AI595 AD566 AD581 J554:J578 AI371:AN376 J631:K631 AM524:AO524 AG635:AG649 N467:X472 N561:X578 AP668:AR669 O484:X560 N473:N560 AJ486:AK488 AD658 A428:D578 AE668:AG678 AG665 T1:AG181 AH706:AH712 Z700:AG700 AI405:AL406 AI297:AL297 AI222:AL223 AI360:AN360 AI316:AR325 AI315:AS315 AI361:AK370 AI377:AP377 AI228:AR229 AI378:AT390 AI211:AJ221 AI446:AK461 AI462:AI463 AI408:AM408 AI464:AJ464 AI260:AM266 AI248:AJ259 AI391:AJ402 AI433:AK444 AI445:AL445 AI267:AT275 J684:J695 AN276:AP279 AI468:AI510 AL413:AN427 AE530:AF578 AA1247:AF1248 AF522:AF529 AE524:AF527 AE1236:AF1236 AF1237 AG306:AG311 AI296:AJ300 AI301:AN314 AG296 AF358 W634:Z634 AG298:AG300 AE465:AF521 AF401:AF407 AD665 AN446:AO463 AN405 AM433:AN444 AM465:AM466 AO473:AR478 AI530:AL558 AN667:AS667 AQ662:AQ666 AR662:AT669 AD672:AD678 AB664:AB667 AB662 A427 AP423:AT427 B424:D427 AO419:AO433 AD684:AD685 AG679:AG692 K1232:L1242 J1237:J1242 AI654:AI659 AE635:AF667 AC662:AC667 AA635:AC661 AR602:AR628 AF1231 AI635:AJ653 B1249:B1252 N1262:N1263 AD690 AF707:AG707 Z701:AF701 AQ634 N634:O634 AE580:AG633 BA634 D634 AM445:AM463 AL494:AT504 AE663:AG663 AI511:AM511 AL513:AM513 AL515:AL520 AH863:AH873 AG704 M1 AA726:AE735 AP580:AT595 AD705 AV713:BF713 AI660:AJ671 AA696:AF699 AG698:AG700 AC684:AC695 AB685:AB695 K691:K695 AD692:AD695 AE679:AF695 AA718:AG719 AA722:AG723 N666:AC666 AM516:AN518 AA717:AF725 AF721:AG723 Z713:AF713 AD711:AD713 AI707:AI712 N702:AG702 U748:U760 T748:T749 AO519:AO525 BH468:BH578 AV635:AW699 AV610:BF610 AY468:AZ541 AR596:AT601 AV558:BF558 AY557:AZ559 AV405:AW406 AX468:AX510 AX512:AX556 AX559:AX571 AX573 AX575:AX576 AX597:AX609 AX579:AX595 AX611:AX628 AX648:BF648 AX664:AX666 AX668 AX649:AX662 AX701 AX703:AX712 AE736:AF742 AD736:AD738 Z761:AC761 AR762:AS777 M668:M683 AT742:AT767 AI874:AJ874 AA684:AA695 AA668:AC689 I1 AA662:AA667 A580:D633 AA349:AC349 AA465:AC578 AA580:AC630 AA736:AC742 V748:Y749 AA748:AF760 AA703:AC713 AA701:AG702 M749:M750 M756:M873 W1231:Y1231 AA1231 AV720:BF720 AE703:AF716 Z716:AC716 N629:AC629 AP598:AQ633 AI596:AJ633 AK579:AK633 AS602:AT627 AH875 K1259:L1259 B799:D801 AP795:AR795 A799:A822 N1251:N1255 Z748:AG748 AO1247:AS1248 AA741:AG747 AA714:AG715 AI713:AT713 AI714:AL715 AK559:AL578 AL580:AL633 AR767:AR794 A635:D798 AO580:AO634 AK635:AM671 N618:Z618 AO635:AT661 AO662:AP669 AL1247:AM1248 AI740:AL760 AJ736:AL739 AN611:AN633 AG749:AG760 AC755:AG755 AM579:AM633 AV629:BF629 AI672:AM699 AJ707:AL715 AI701:AL706 AI761:AN761 AI721:AL735 Y1278 AO969:AO973 M619:M628 AQ964:AQ973 AM714:AN714 AN668 AP754:AT755 AN664:AN666 AI1231:AJ1231 AI1247:AJ1248 T1247:V1248 AJ1236 AL1231:AQ1231 AM1236:AS1236 AN1232:AN1235 BA1237:BA1246 AY1247:BA1248 A1231:A1246 A1247:C1248 AT1246:AT1247 AP964:AP969 BH1247:XFD1248 U1275:U1276 O1268:O1274 AI973:AJ973 AU186:BF186 AV804:BF806 AX670:AX699 AV669:BF669 AX714:AX719 AV702:BF702 AV667:BF667 AY597:BF633 AV578:BF578 AY874:XFD874 AY635:BF699 AY580:BF595 AX577:BF577 BE579:BF579 BE558:BF576 AX557:BF557 AX596:BF596 AX572:BF572 AX511:BF511 BE512:BF556 BA510:BF510 BH580:BH633 BH629:XFD629 BH705:XFD705 BE1236:XFD1236 BH635:BH761 AV766:BF797 AV801:XFD801 AX721:AX765 AV663:BF663 BG926 AM530:AO577 AR796:AR800 M630 Z1290:AC1290 AP762:AQ800 AN801:AP801 AE1290:AF1290 A1290:D1290 AM715:AT715 N874:AG874 N631:AC633 N513:AC513 AA186:AC186 Z465:Z512 Y514:Z578 Z580:Z617 Z619:Z628 Z630 Z635:Z662 Z664:Z665 Z667:Z699 Z703:Z712 AA964:AA973 AO970:AP973 M925 AY926:BF935 BH926:XFD935 BG930:BG935 N407 AX630:AX647 BE634:BF634 BI468:XFD761 Z409:Z463 AV408:AZ444 J404:J549 AE408:AF463 BB408:BD509 N408:V466 AA409:AC429 AI409:AK427 AN407:AN414 AL409:AM411 A408:D423 AO409:AT418 W358:X466 BH359:XFD467 AX359:AX406 AV359:AW400 AE359:AF400 N359:V400 AY359:AZ400 K359:L400 BB359:BD400 A369:D400 AC361:AC404 AB361:AB400 AI326:AT359 AV700:BF700 AZ328:AZ578 AO290:AT297 AN290:AN295 AI276:AM295 A285:D357 AI230:AT247 AQ204:AQ218 AM201:AN218 AI201:AL210 AO201:AP210 AR201:AT218 K183:L357 BA187:BA509 BE187:BF509 AX187:AX357 AI1:AT200 AE182:AF357 AB182:AC357 Y182:Y512 J182:J402 Z182:Z406 AA182:AA404 BH1:XFD357 AY182:AZ357 N182:X357 AI817:AJ822 BB182:BD357 BE182:BF185 AX182:AX185 BA182:BA185 AD182:AD184 AE761:AG845 AK762:AL800 T880:Z893 AI1290:AT1290 AL864:AL893 AI926:AJ939 AY927:XFD929 AV1236 AO516:AT520 AO940:AQ963 AY863:XFD863 AM721:AM760 K648:K667 AD978:AD987 J635:J667 K635:K646 AD976 M1271:M1273 AJ940:AJ948 AX1236:BA1236 AH877:AH878 AI762:AI878 AK926:AK948 AR1055:XFD1056 AV1:BF181 AP433:AT444 AO434:AT435 AT430:AT432 AI428:AT429 AN222:AT223 AU1:AU185 AN260:AU260 AV182:AW357 AL314:AV314 AN445:AZ445 AU423:AU444 AS422:AU422 AU187:AU259 AU261:AU313 AU315:AU407 AU409:AU412 AU414:AU421 AS446:AT465 AV446:AZ467 AR463:AT463 AO949:AT960 AH714 AO740:AT742 AO701:AT715 AQ558:AT558 AS557:AT559 AV468:AW577 AT1235 AI716:AT720 AV701:AW777 AI974:XFD974 AN663:AT663 AO804:AT806 AN610:AT610 AV580:AW633 AS767:AT800 AR629:AT633 AL525:AT529 AP537:AT557 AT473:AT478 AP477:AT478 AN466:AT466 AP530:AT531 AP559:AT577 AI467:AT467 AO479:AT493 AM510:AT515 AK468:AT472 AJ505:AT509 AP519:AT524 AF1258:AG1259 AY934:XFD973 AJ762:AJ816 AJ961:AK973 A1274:D1274 AH1 AA940:AA962 AJ875:AJ876 AN1228:AN1230 AM578:AT578 AD762:AD836 AA762:AC845 AD839:AD845 AK864:AK875 AF1312 AJ1292:AJ1294 AI700:AT700 AM913:AQ913 AN635:AN662 AN579:AN609 AN741:AN760 AO741:AS761 AK801:AK861 AJ823:AJ873 BG1:BG862 BH762:XFD862 AM701:AN712 AI1098 M1114 AS1093:AT1094 AS1095:XFD1095 AN721:AT740 AN669:AT699 AQ1093:AR1098 AU1092:XFD1098 AN762:AN862 AL801:AL862 AK862:AL863 AM863:AN863 AO923:AS925 AL926:AL935 AO926:AT935 AH961:AH973 AO976:AT987 AO1093:AO1098 AK1098:AP1098 AJ1093:AJ1098 T944:AG948 M1228:M1229 T755:Z755 J1274:L1274 L635:L667 J666:L666 J663:L663 K405:L578 T894:AC924 K874:L877 J876:L876 J632:L633 N580:Y630 N1231:N1246 J1243:L1257 M580:M617 J580:L630 J1236:L1236 M753 L684:L695 J668:L689 J1:L181 N1:Q181 J696:L874 AH1093:AI1097 AI915:AN919 Z1228:Z1235 T922:AD925 BA1228:BA1235 J1270 J1258:J1266 AV1274:XFD1274 W1228:X1273 AN1237:AN1270 J1345:J1347 AN1274:AN1291 AK1275:AK1294 AF1281:AG1284 N1311:N1312 AG1317:AG1319 R975:X975 AM914:AN914 AH920:AH925 AO975:AR975 AR913:AT919 AR934:AT973 T976:AC987 AV784:AX893 AU894:AX973 AU446:AU893 AY701:BF893 AY894:XFD925 BG864:XFD893 AO876:AQ924 AO922:AT922 AI876:AK893 AL936:AQ939 AD894:AD922 AS894:AS924 AR894:AR921 AR877:AT893 AT894:AT925 AU975:XFD997 C975:D997 AL940:AN973 AI1088:AL1092 A800:D974 A976:B997 Z714:Z879 AO1088:XFD1092 AM1088:AN1097 AI1057:XFD1087 G1 AK1093:AL1097 J1303 AE1317:AE1319 AA846:AG893 T974:AG974 AB940:AG973 AI940:AI973 AH940:AH943 AC914:AG919 AA915:AG919 AE894:AG925 AI894:AL925 AH894:AH913 Z975:AG975 AE976:AG987 A1:D279 E1 F1:F181 H1:H181 AV1290:BH1290 BE1237:BG1273 BE1275:BG1289 T940:Z973 N1290:X1290 N1274:AG1274 T750:Y879 T635:Y748 N1236:W1236 N1247:R1248 N635:Q974 T926:AG939 R1:S873 AX1237:AX1273 AX1275:AX1289 AU1099:AU1158 AM762:AM935 AR1314:AT1314 AI1274:AT1274 AU1162 AA1313:AC1313 AJ1314:AP1314 J1314:L1314 AA1315 O1412:O1415 AV1099:XFD1160 N1160:AG1161 AI975:AN987 AI944:AL960 AF1420:AF1426 Y1326 J1326 T988:AG1170 N1164:X1170 AV1162:XFD1172 N976:Q1170 R875:S1170 AR1200:AU1207 AQ1173:AQ1177 Y1321:Y1324 AP1195:AP1207 K1309:L1309 AP802:AP875 BE1413:BF1415 AO1160:XFD1161 O1378:O1394 AI1378:AN1412 AO874:AQ874 J1355:J1361 AO762:AO876 AQ801:AT876 AO944:XFD948 AI988:AT997 AO1164:CM1170 AI1055:AP1056 AI1218 AI1099:AK1179 AU1196:XFD1207 AS1096:AT1170 AR1146:AT1147 AX1228:AX1235 BE1228:BG1235 AK1228:AK1270 D1228:D1273 AI1225:AT1227 AV1225:XFD1227 C1227:D1227 AM1292:AN1298 X1275:X1299 AF1295:AG1296 BE1291:BG1306 Z1237:Z1306 AJ1295:AK1306 AU1145:XFD1147 AX1291:AX1306 J1305:J1309 X1304:X1306 AI998:XFD1054 AN1299:AN1306 N1145:AG1147 R1228:S1306 AB1314:AC1315 N1316:X1316 J1316:L1319 Z1316:AC1319 AI1315:AT1319 N1317:Q1319 BD1317:BD1319 AY1317:BA1319 T1317:X1319 BH1317:BH1319 AV1317:AW1319 AQ1196:AQ1207 AI1223:XFD1224 AE1313:AG1316 AV1313:BA1316 Z1313:Z1315 BD1313:BH1316 J1371:J1374 Y1355:Y1362 J1369 Y1369 AU1354:AU1367 N1375:N1377 J1376 AA1376 AO1173:AP1183 AI1195:AK1207 AO1178:AQ1194 AO1190:AT1194 AR1173:XFD1183 AR1184:AR1198 AS1202:XFD1207 Y1353 J1353 AM1099:AN1194 AO1170:XFD1170 AS1165:XFD1169 AS1184:XFD1195 X1363:Y1365 J1364:J1365 Z1307:AC1312 AV1307:BH1312 O1307:X1315 B1307:D1319 J1310:L1310 AI1307:AT1313 AE1307:AE1312 AM1196:AN1206 J1337:J1342 AI1219:AP1223 J1328:J1335 J1285:J1287 O1423:O1426 O1418:O1419 D1418:D1426 AN864:AN935 AI1145:AL1147 AO1099:AR1170 AI1165:AL1169 AI1180:AL1194 AL1195:AQ1195 AI1201:AL1207 AO1197:AQ1207 AO1199:AT1207 AL1099:AL1183 AO1171:AT1172 AL1196:AL1207 AO1196:AO1207 AK1218:AP1218 AQ1205:XFD1222 AQ1204:AR1208 AI1204:AP1217 A998:D1226 N1165:AG1227 J878:L1227 AS1195:AT1208 AF1317:AF1342 J1321:J1324 Y1371:Y1374 Y1367 AF1352:AF1417 X1366:X1426 AF1343:AG1351 B1343:B1351 X1320:X1362 O1320:O1351 R1317:S1415 BE1317:BG1412 AX1317:AX1412 D1320:D1377 J1349 AI1349:AT1349" xr:uid="{ED956DE9-B3DC-4FA3-83E1-4BE1D8807D51}"/>
    <dataValidation type="list" allowBlank="1" showInputMessage="1" showErrorMessage="1" sqref="F997 F976:F977 F950:F954 F1228:F1259 F1262:F1270 F956 F913 F1305:F1308 F1068:F1070 F1127:F1135 F980:F981 F972:F973 F1002:F1051 F1141 F1107:F1115 F1122 F1303 E2:E1107 E1108:F1109 F1314 E1160:F1161 E1301:F1301 E1110:E1170 F1149:F1170 E1359:F1361 F1355:F1358 E1145:F1147 E1362:E1426 E1165:F1227 E1228:E1300 E1302:E1358" xr:uid="{6834011C-E9A7-4669-BDFE-6FE0B021AB76}">
      <formula1>"Internal,Offshore,n/a,ongoing B/L change"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3856B44-0A35-4600-9F67-FEE7363875D5}">
          <x14:formula1>
            <xm:f>'Assumption ATP'!$N$4:$N$38</xm:f>
          </x14:formula1>
          <xm:sqref>J705 J700 J714:J715 J880 J876 J824:K824 J922:J924 J969:J973 J926:J929 J878 J1274 J736:J874 J1138 J915:J919 J882:J902 J934:J960 J1033:K1034 J1036:K1036 J975:J1032 J1035:J1136 J1326 J1355:J1361 J1353 J1304:J1310 J1337:J1339 J1328:J1330 J1140:J1224 J1321:J1324 H182:H1426</xm:sqref>
        </x14:dataValidation>
        <x14:dataValidation type="list" allowBlank="1" showInputMessage="1" showErrorMessage="1" xr:uid="{4CDED5A4-D41E-48A0-BFC5-E635221E6C73}">
          <x14:formula1>
            <xm:f>'Assumption ATP'!$Q$4:$Q$11</xm:f>
          </x14:formula1>
          <xm:sqref>K876 AO964:AO968 K801 K880:K902 K923:K924 K926:K929 K865:K874 K862:K863 K934:K939 K1274 K943:K960 AO1205:AO1207 AO1221:AO1222 K976:K1224 G2:G1426 AO1349</xm:sqref>
        </x14:dataValidation>
        <x14:dataValidation type="list" allowBlank="1" showInputMessage="1" showErrorMessage="1" xr:uid="{5536FC10-E60A-433E-AC39-A2D72539961F}">
          <x14:formula1>
            <xm:f>'Assumption ATP'!$S$4:$S$23</xm:f>
          </x14:formula1>
          <xm:sqref>Y913</xm:sqref>
        </x14:dataValidation>
        <x14:dataValidation type="list" allowBlank="1" showInputMessage="1" showErrorMessage="1" xr:uid="{DF434F83-2686-452A-8186-D71F7F636F2D}">
          <x14:formula1>
            <xm:f>'Assumption ATP'!$S$4:$S$34</xm:f>
          </x14:formula1>
          <xm:sqref>AH2:AH1412</xm:sqref>
        </x14:dataValidation>
        <x14:dataValidation type="list" allowBlank="1" showInputMessage="1" showErrorMessage="1" xr:uid="{7AD80D79-5EED-4379-BA27-2D7CACB3E54E}">
          <x14:formula1>
            <xm:f>'Assumption ATP'!$W$4:$W$6</xm:f>
          </x14:formula1>
          <xm:sqref>M2:M1426</xm:sqref>
        </x14:dataValidation>
        <x14:dataValidation type="list" allowBlank="1" showInputMessage="1" showErrorMessage="1" xr:uid="{CCF185B2-DD90-4AA1-BCC9-E5F9AF230BE6}">
          <x14:formula1>
            <xm:f>'Assumption ATP'!$Y$4:$Y$10</xm:f>
          </x14:formula1>
          <xm:sqref>I2:I1426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E051A-2F3D-4A10-8987-54D0157C767B}">
  <sheetPr codeName="Sheet11">
    <tabColor rgb="FF92D050"/>
  </sheetPr>
  <dimension ref="A1:BI353"/>
  <sheetViews>
    <sheetView showGridLines="0" zoomScaleNormal="100" workbookViewId="0">
      <pane ySplit="1" topLeftCell="A256" activePane="bottomLeft" state="frozen"/>
      <selection pane="bottomLeft" activeCell="A281" sqref="A281:XFD284"/>
    </sheetView>
  </sheetViews>
  <sheetFormatPr defaultColWidth="9.09765625" defaultRowHeight="11.25" customHeight="1" outlineLevelCol="1"/>
  <cols>
    <col min="1" max="1" width="14.296875" style="5" customWidth="1"/>
    <col min="2" max="2" width="9.09765625" hidden="1" customWidth="1"/>
    <col min="3" max="3" width="9.09765625" style="5" hidden="1" customWidth="1" outlineLevel="1"/>
    <col min="4" max="5" width="9.09765625" hidden="1" customWidth="1" outlineLevel="1"/>
    <col min="6" max="6" width="14" style="5" hidden="1" customWidth="1" outlineLevel="1"/>
    <col min="7" max="7" width="8.3984375" hidden="1" customWidth="1" collapsed="1"/>
    <col min="8" max="8" width="22.69921875" style="5" hidden="1" customWidth="1" outlineLevel="1"/>
    <col min="9" max="9" width="13.3984375" style="5" hidden="1" customWidth="1" collapsed="1"/>
    <col min="10" max="10" width="8.59765625" style="5" hidden="1" customWidth="1" outlineLevel="1"/>
    <col min="11" max="11" width="12.09765625" hidden="1" customWidth="1" collapsed="1"/>
    <col min="12" max="12" width="11.09765625" hidden="1" customWidth="1" outlineLevel="1"/>
    <col min="13" max="13" width="9.8984375" style="5" hidden="1" customWidth="1" outlineLevel="1"/>
    <col min="14" max="14" width="13.3984375" style="5" customWidth="1" outlineLevel="1"/>
    <col min="15" max="15" width="25.09765625" style="6" customWidth="1" outlineLevel="1"/>
    <col min="16" max="16" width="21.296875" style="5" customWidth="1"/>
    <col min="17" max="17" width="9.8984375" style="5" hidden="1" customWidth="1"/>
    <col min="18" max="18" width="9.09765625" style="5" customWidth="1"/>
    <col min="19" max="19" width="4.59765625" style="5" hidden="1" customWidth="1" outlineLevel="1"/>
    <col min="20" max="20" width="9.09765625" style="5" hidden="1" customWidth="1" collapsed="1"/>
    <col min="21" max="21" width="9.09765625" style="5" customWidth="1" outlineLevel="1"/>
    <col min="22" max="22" width="12" style="5" customWidth="1" outlineLevel="1"/>
    <col min="23" max="23" width="12.59765625" style="5" customWidth="1"/>
    <col min="24" max="24" width="11" style="5" customWidth="1"/>
    <col min="25" max="25" width="9.09765625" style="373" customWidth="1"/>
    <col min="26" max="26" width="10.3984375" style="301" customWidth="1"/>
    <col min="27" max="27" width="9.09765625" style="5" customWidth="1" outlineLevel="1"/>
    <col min="28" max="28" width="14.09765625" style="5" customWidth="1"/>
    <col min="29" max="29" width="9" style="5" hidden="1" customWidth="1"/>
    <col min="30" max="30" width="9.09765625" style="6" customWidth="1"/>
    <col min="31" max="31" width="10.296875" style="6" customWidth="1"/>
    <col min="32" max="32" width="12.3984375" style="6" customWidth="1"/>
    <col min="33" max="33" width="11.3984375" style="6" customWidth="1"/>
    <col min="34" max="34" width="11.3984375" style="8" customWidth="1"/>
    <col min="35" max="35" width="9.8984375" style="9" customWidth="1"/>
    <col min="36" max="36" width="11.3984375" style="9" customWidth="1"/>
    <col min="37" max="38" width="11.3984375" style="5" customWidth="1"/>
    <col min="39" max="39" width="7.3984375" style="5" customWidth="1"/>
    <col min="40" max="40" width="20.8984375" style="5" customWidth="1"/>
    <col min="41" max="41" width="9.09765625" style="7" customWidth="1"/>
    <col min="42" max="42" width="15.09765625" style="10" customWidth="1"/>
    <col min="43" max="43" width="13.8984375" style="10" customWidth="1"/>
    <col min="44" max="44" width="14.8984375" style="7" customWidth="1"/>
    <col min="45" max="45" width="9.09765625" style="32" customWidth="1"/>
    <col min="46" max="46" width="11.3984375" style="32" bestFit="1" customWidth="1"/>
    <col min="47" max="47" width="11.3984375" style="5" bestFit="1" customWidth="1"/>
    <col min="48" max="48" width="13.3984375" style="5" customWidth="1"/>
    <col min="49" max="51" width="11.3984375" style="5" bestFit="1" customWidth="1"/>
    <col min="52" max="52" width="10.3984375" style="5" bestFit="1" customWidth="1"/>
    <col min="53" max="53" width="11.3984375" style="5" bestFit="1" customWidth="1"/>
    <col min="54" max="54" width="11.09765625" style="5" bestFit="1" customWidth="1"/>
    <col min="55" max="55" width="11.3984375" style="5" bestFit="1" customWidth="1"/>
    <col min="56" max="56" width="22.59765625" style="5" bestFit="1" customWidth="1"/>
    <col min="57" max="57" width="9.09765625" style="21" customWidth="1"/>
    <col min="58" max="58" width="9.09765625" style="21" bestFit="1" customWidth="1"/>
    <col min="59" max="16384" width="9.09765625" style="21"/>
  </cols>
  <sheetData>
    <row r="1" spans="1:56" s="22" customFormat="1" ht="63">
      <c r="A1" s="409" t="s">
        <v>0</v>
      </c>
      <c r="B1" s="410" t="s">
        <v>1</v>
      </c>
      <c r="C1" s="396" t="s">
        <v>2</v>
      </c>
      <c r="D1" s="411" t="s">
        <v>3</v>
      </c>
      <c r="E1" s="412" t="s">
        <v>4</v>
      </c>
      <c r="F1" s="412" t="s">
        <v>5</v>
      </c>
      <c r="G1" s="412" t="s">
        <v>6</v>
      </c>
      <c r="H1" s="412" t="s">
        <v>7</v>
      </c>
      <c r="I1" s="412" t="s">
        <v>8</v>
      </c>
      <c r="J1" s="412" t="s">
        <v>9</v>
      </c>
      <c r="K1" s="412" t="s">
        <v>10</v>
      </c>
      <c r="L1" s="412" t="s">
        <v>11</v>
      </c>
      <c r="M1" s="412" t="s">
        <v>7807</v>
      </c>
      <c r="N1" s="2" t="s">
        <v>15</v>
      </c>
      <c r="O1" s="2" t="s">
        <v>7808</v>
      </c>
      <c r="P1" s="2" t="s">
        <v>16</v>
      </c>
      <c r="Q1" s="2" t="s">
        <v>19</v>
      </c>
      <c r="R1" s="2" t="s">
        <v>20</v>
      </c>
      <c r="S1" s="2" t="s">
        <v>21</v>
      </c>
      <c r="T1" s="2" t="s">
        <v>22</v>
      </c>
      <c r="U1" s="856" t="s">
        <v>23</v>
      </c>
      <c r="V1" s="998" t="s">
        <v>7809</v>
      </c>
      <c r="W1" s="2" t="s">
        <v>24</v>
      </c>
      <c r="X1" s="2" t="s">
        <v>7810</v>
      </c>
      <c r="Y1" s="3" t="s">
        <v>26</v>
      </c>
      <c r="Z1" s="27" t="s">
        <v>27</v>
      </c>
      <c r="AA1" s="28" t="s">
        <v>28</v>
      </c>
      <c r="AB1" s="2" t="s">
        <v>29</v>
      </c>
      <c r="AC1" s="2" t="s">
        <v>30</v>
      </c>
      <c r="AD1" s="26" t="s">
        <v>31</v>
      </c>
      <c r="AE1" s="26" t="s">
        <v>32</v>
      </c>
      <c r="AF1" s="26" t="s">
        <v>33</v>
      </c>
      <c r="AG1" s="4" t="s">
        <v>2459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39</v>
      </c>
      <c r="AM1" s="2" t="s">
        <v>7811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9" t="s">
        <v>48</v>
      </c>
      <c r="AV1" s="29" t="s">
        <v>2466</v>
      </c>
      <c r="AW1" s="29" t="s">
        <v>50</v>
      </c>
      <c r="AX1" s="29" t="s">
        <v>51</v>
      </c>
      <c r="AY1" s="29" t="s">
        <v>52</v>
      </c>
      <c r="AZ1" s="245" t="s">
        <v>53</v>
      </c>
      <c r="BA1" s="245" t="s">
        <v>54</v>
      </c>
      <c r="BB1" s="29" t="s">
        <v>55</v>
      </c>
      <c r="BC1" s="196" t="s">
        <v>59</v>
      </c>
      <c r="BD1" s="196" t="s">
        <v>7812</v>
      </c>
    </row>
    <row r="2" spans="1:56" s="23" customFormat="1" ht="11.25" customHeight="1">
      <c r="A2" s="11" t="s">
        <v>7813</v>
      </c>
      <c r="B2" s="12" t="s">
        <v>7814</v>
      </c>
      <c r="C2" s="12" t="str">
        <f>IFERROR(LEFT(ESS_DATA[[#This Row],[TCL REFERENCE]],FIND(".",ESS_DATA[[#This Row],[TCL REFERENCE]],1)-1),"Main Line")</f>
        <v>25NOV001</v>
      </c>
      <c r="D2" s="12" t="s">
        <v>63</v>
      </c>
      <c r="E2" s="160" t="s">
        <v>64</v>
      </c>
      <c r="F2" s="160" t="s">
        <v>68</v>
      </c>
      <c r="G2" s="12" t="s">
        <v>7815</v>
      </c>
      <c r="H2" s="12" t="s">
        <v>67</v>
      </c>
      <c r="I2" s="13"/>
      <c r="J2" s="12" t="s">
        <v>96</v>
      </c>
      <c r="K2" s="12"/>
      <c r="L2" s="13"/>
      <c r="M2" s="213" t="s">
        <v>68</v>
      </c>
      <c r="N2" s="25" t="s">
        <v>7816</v>
      </c>
      <c r="O2" s="12" t="s">
        <v>7817</v>
      </c>
      <c r="P2" s="12" t="s">
        <v>7818</v>
      </c>
      <c r="Q2" s="12">
        <v>0</v>
      </c>
      <c r="R2" s="295">
        <v>78</v>
      </c>
      <c r="S2" s="296"/>
      <c r="T2" s="12"/>
      <c r="U2" s="300"/>
      <c r="V2" s="365"/>
      <c r="W2" s="147" t="s">
        <v>75</v>
      </c>
      <c r="X2" s="147" t="str">
        <f t="shared" ref="X2:X33" si="0">IF(AL2&lt;&gt;"","COMPLETED",IF(AI2&lt;&gt;"","IN-TRANSIT",""))</f>
        <v>COMPLETED</v>
      </c>
      <c r="Y2" s="180"/>
      <c r="Z2" s="702">
        <v>45982</v>
      </c>
      <c r="AA2" s="15">
        <f>WEEKNUM(ESS_DATA[[#This Row],[Pick-Up Date]])</f>
        <v>47</v>
      </c>
      <c r="AB2" s="12" t="s">
        <v>7819</v>
      </c>
      <c r="AC2" s="12">
        <v>371009150</v>
      </c>
      <c r="AD2" s="12" t="s">
        <v>122</v>
      </c>
      <c r="AE2" s="12" t="s">
        <v>123</v>
      </c>
      <c r="AF2" s="12" t="s">
        <v>78</v>
      </c>
      <c r="AG2" s="14">
        <v>45998</v>
      </c>
      <c r="AH2" s="14"/>
      <c r="AI2" s="14">
        <v>45998</v>
      </c>
      <c r="AJ2" s="14">
        <v>46048</v>
      </c>
      <c r="AK2" s="14">
        <v>46062</v>
      </c>
      <c r="AL2" s="14">
        <v>46062</v>
      </c>
      <c r="AM2" s="12" t="s">
        <v>7815</v>
      </c>
      <c r="AN2" s="12" t="s">
        <v>7820</v>
      </c>
      <c r="AO2" s="12" t="s">
        <v>80</v>
      </c>
      <c r="AP2" s="12" t="s">
        <v>7821</v>
      </c>
      <c r="AQ2" s="12" t="s">
        <v>7822</v>
      </c>
      <c r="AR2" s="12" t="s">
        <v>7822</v>
      </c>
      <c r="AS2" s="12">
        <f>ESS_DATA[[#This Row],[ETA On S/O]]-ESS_DATA[[#This Row],[ETD On S/O]]+1</f>
        <v>51</v>
      </c>
      <c r="AT2" s="12" t="s">
        <v>83</v>
      </c>
      <c r="AU2" s="347" cm="1">
        <f t="array" ref="AU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46062</v>
      </c>
      <c r="AV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2" s="14">
        <f>IF(ISERROR(ESS_DATA[[#This Row],[New Ark PO status]]),"",_xlfn.XLOOKUP(ESS_DATA[[#This Row],[SPTN-PVHK New Ark PO'#]],New_Ark_Data[Purchase order Number],New_Ark_Data[Estimated time of arrival],"",0))</f>
        <v>46076</v>
      </c>
      <c r="AX2" s="82">
        <f>IF(ESS_DATA[[#This Row],[New Ark PO Type]]="Offshore",0,IFERROR(VLOOKUP(ESS_DATA[[#This Row],[PORT OF LOADING]]&amp;ESS_DATA[[#This Row],[PORT DESTINATION]],LT_REF[],7,0),14))</f>
        <v>8</v>
      </c>
      <c r="AY2" s="14">
        <f>IFERROR(ESS_DATA[[#This Row],[ODP ETA Port]]+ESS_DATA[[#This Row],[Customs/Leg3 Assumption]],"n/a")</f>
        <v>46070</v>
      </c>
      <c r="AZ2" s="82">
        <f>YEAR(ESS_DATA[[#This Row],[ETA for New Ark update]])</f>
        <v>2026</v>
      </c>
      <c r="BA2" s="82">
        <f>MONTH(ESS_DATA[[#This Row],[ETA for New Ark update]])</f>
        <v>2</v>
      </c>
      <c r="BB2" s="82">
        <f>IFERROR(_xlfn.ISOWEEKNUM(ESS_DATA[[#This Row],[ETA for New Ark update]]),0)</f>
        <v>8</v>
      </c>
      <c r="BC2" s="82" t="str">
        <f>_xlfn.XLOOKUP(ESS_DATA[[#This Row],[PORT DESTINATION]],Table12[PORT DESTINATION],Table12[Cosco Line],,0)</f>
        <v>AEM</v>
      </c>
      <c r="BD2" s="395"/>
    </row>
    <row r="3" spans="1:56" s="23" customFormat="1" ht="10">
      <c r="A3" s="11" t="s">
        <v>7823</v>
      </c>
      <c r="B3" s="12" t="s">
        <v>7814</v>
      </c>
      <c r="C3" s="12" t="str">
        <f>IFERROR(LEFT(ESS_DATA[[#This Row],[TCL REFERENCE]],FIND(".",ESS_DATA[[#This Row],[TCL REFERENCE]],1)-1),"Main Line")</f>
        <v>25NOV002</v>
      </c>
      <c r="D3" s="12" t="s">
        <v>63</v>
      </c>
      <c r="E3" s="160" t="s">
        <v>64</v>
      </c>
      <c r="F3" s="160" t="s">
        <v>68</v>
      </c>
      <c r="G3" s="12" t="s">
        <v>7815</v>
      </c>
      <c r="H3" s="12" t="s">
        <v>67</v>
      </c>
      <c r="I3" s="13"/>
      <c r="J3" s="12" t="s">
        <v>96</v>
      </c>
      <c r="K3" s="12"/>
      <c r="L3" s="13"/>
      <c r="M3" s="213" t="s">
        <v>68</v>
      </c>
      <c r="N3" s="12" t="s">
        <v>7824</v>
      </c>
      <c r="O3" s="12" t="s">
        <v>7825</v>
      </c>
      <c r="P3" s="12" t="s">
        <v>7826</v>
      </c>
      <c r="Q3" s="12">
        <v>0</v>
      </c>
      <c r="R3" s="295">
        <v>24</v>
      </c>
      <c r="S3" s="296"/>
      <c r="T3" s="12"/>
      <c r="U3" s="300"/>
      <c r="V3" s="365"/>
      <c r="W3" s="147" t="s">
        <v>75</v>
      </c>
      <c r="X3" s="147" t="str">
        <f t="shared" si="0"/>
        <v>COMPLETED</v>
      </c>
      <c r="Y3" s="180"/>
      <c r="Z3" s="702">
        <v>45982</v>
      </c>
      <c r="AA3" s="15">
        <f>WEEKNUM(ESS_DATA[[#This Row],[Pick-Up Date]])</f>
        <v>47</v>
      </c>
      <c r="AB3" s="12" t="s">
        <v>7819</v>
      </c>
      <c r="AC3" s="12">
        <v>371009150</v>
      </c>
      <c r="AD3" s="12" t="s">
        <v>122</v>
      </c>
      <c r="AE3" s="12" t="s">
        <v>123</v>
      </c>
      <c r="AF3" s="12" t="s">
        <v>78</v>
      </c>
      <c r="AG3" s="14">
        <v>45998</v>
      </c>
      <c r="AH3" s="14"/>
      <c r="AI3" s="14">
        <v>45998</v>
      </c>
      <c r="AJ3" s="14">
        <v>46048</v>
      </c>
      <c r="AK3" s="14">
        <v>46062</v>
      </c>
      <c r="AL3" s="14">
        <v>46062</v>
      </c>
      <c r="AM3" s="12" t="s">
        <v>7815</v>
      </c>
      <c r="AN3" s="12" t="s">
        <v>7820</v>
      </c>
      <c r="AO3" s="12" t="s">
        <v>80</v>
      </c>
      <c r="AP3" s="12" t="s">
        <v>7821</v>
      </c>
      <c r="AQ3" s="12" t="s">
        <v>7822</v>
      </c>
      <c r="AR3" s="12" t="s">
        <v>7822</v>
      </c>
      <c r="AS3" s="12">
        <f>ESS_DATA[[#This Row],[ETA On S/O]]-ESS_DATA[[#This Row],[ETD On S/O]]+1</f>
        <v>51</v>
      </c>
      <c r="AT3" s="12" t="s">
        <v>83</v>
      </c>
      <c r="AU3" s="347" cm="1">
        <f t="array" ref="AU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46062</v>
      </c>
      <c r="AV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3" s="14">
        <f>IF(ISERROR(ESS_DATA[[#This Row],[New Ark PO status]]),"",_xlfn.XLOOKUP(ESS_DATA[[#This Row],[SPTN-PVHK New Ark PO'#]],New_Ark_Data[Purchase order Number],New_Ark_Data[Estimated time of arrival],"",0))</f>
        <v>46076</v>
      </c>
      <c r="AX3" s="12">
        <f>IF(ESS_DATA[[#This Row],[New Ark PO Type]]="Offshore",0,IFERROR(VLOOKUP(ESS_DATA[[#This Row],[PORT OF LOADING]]&amp;ESS_DATA[[#This Row],[PORT DESTINATION]],LT_REF[],7,0),14))</f>
        <v>8</v>
      </c>
      <c r="AY3" s="14">
        <f>IFERROR(ESS_DATA[[#This Row],[ODP ETA Port]]+ESS_DATA[[#This Row],[Customs/Leg3 Assumption]],"n/a")</f>
        <v>46070</v>
      </c>
      <c r="AZ3" s="82">
        <f>YEAR(ESS_DATA[[#This Row],[ETA for New Ark update]])</f>
        <v>2026</v>
      </c>
      <c r="BA3" s="82">
        <f>MONTH(ESS_DATA[[#This Row],[ETA for New Ark update]])</f>
        <v>2</v>
      </c>
      <c r="BB3" s="82">
        <f>IFERROR(_xlfn.ISOWEEKNUM(ESS_DATA[[#This Row],[ETA for New Ark update]]),0)</f>
        <v>8</v>
      </c>
      <c r="BC3" s="82" t="str">
        <f>_xlfn.XLOOKUP(ESS_DATA[[#This Row],[PORT DESTINATION]],Table12[PORT DESTINATION],Table12[Cosco Line],,0)</f>
        <v>AEM</v>
      </c>
      <c r="BD3" s="82"/>
    </row>
    <row r="4" spans="1:56" s="23" customFormat="1" ht="11.25" customHeight="1">
      <c r="A4" s="11" t="s">
        <v>7827</v>
      </c>
      <c r="B4" s="12" t="s">
        <v>7814</v>
      </c>
      <c r="C4" s="12" t="str">
        <f>IFERROR(LEFT(ESS_DATA[[#This Row],[TCL REFERENCE]],FIND(".",ESS_DATA[[#This Row],[TCL REFERENCE]],1)-1),"Main Line")</f>
        <v>25OCT001</v>
      </c>
      <c r="D4" s="12" t="s">
        <v>63</v>
      </c>
      <c r="E4" s="160" t="s">
        <v>64</v>
      </c>
      <c r="F4" s="160" t="s">
        <v>68</v>
      </c>
      <c r="G4" s="12" t="s">
        <v>7815</v>
      </c>
      <c r="H4" s="12" t="s">
        <v>67</v>
      </c>
      <c r="I4" s="13"/>
      <c r="J4" s="12" t="s">
        <v>96</v>
      </c>
      <c r="K4" s="12"/>
      <c r="L4" s="13"/>
      <c r="M4" s="213" t="s">
        <v>68</v>
      </c>
      <c r="N4" s="12" t="s">
        <v>7828</v>
      </c>
      <c r="O4" s="12" t="s">
        <v>7829</v>
      </c>
      <c r="P4" s="12" t="s">
        <v>7830</v>
      </c>
      <c r="Q4" s="12">
        <v>6000</v>
      </c>
      <c r="R4" s="295">
        <v>224</v>
      </c>
      <c r="S4" s="296"/>
      <c r="T4" s="12"/>
      <c r="U4" s="300"/>
      <c r="V4" s="365"/>
      <c r="W4" s="147" t="s">
        <v>75</v>
      </c>
      <c r="X4" s="147" t="str">
        <f t="shared" si="0"/>
        <v>COMPLETED</v>
      </c>
      <c r="Y4" s="180"/>
      <c r="Z4" s="702">
        <v>45982</v>
      </c>
      <c r="AA4" s="15">
        <f>WEEKNUM(ESS_DATA[[#This Row],[Pick-Up Date]])</f>
        <v>47</v>
      </c>
      <c r="AB4" s="12" t="s">
        <v>7831</v>
      </c>
      <c r="AC4" s="12">
        <v>371009148</v>
      </c>
      <c r="AD4" s="12" t="s">
        <v>122</v>
      </c>
      <c r="AE4" s="12" t="s">
        <v>123</v>
      </c>
      <c r="AF4" s="12" t="s">
        <v>78</v>
      </c>
      <c r="AG4" s="14">
        <v>45998</v>
      </c>
      <c r="AH4" s="14"/>
      <c r="AI4" s="14">
        <v>45998</v>
      </c>
      <c r="AJ4" s="14">
        <v>46048</v>
      </c>
      <c r="AK4" s="14">
        <v>46062</v>
      </c>
      <c r="AL4" s="14">
        <v>46062</v>
      </c>
      <c r="AM4" s="12" t="s">
        <v>7815</v>
      </c>
      <c r="AN4" s="12" t="s">
        <v>7820</v>
      </c>
      <c r="AO4" s="12" t="s">
        <v>80</v>
      </c>
      <c r="AP4" s="12" t="s">
        <v>7821</v>
      </c>
      <c r="AQ4" s="12" t="s">
        <v>7822</v>
      </c>
      <c r="AR4" s="12" t="s">
        <v>7822</v>
      </c>
      <c r="AS4" s="12">
        <f>ESS_DATA[[#This Row],[ETA On S/O]]-ESS_DATA[[#This Row],[ETD On S/O]]+1</f>
        <v>51</v>
      </c>
      <c r="AT4" s="12" t="s">
        <v>83</v>
      </c>
      <c r="AU4" s="347" cm="1">
        <f t="array" ref="AU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46062</v>
      </c>
      <c r="AV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4" s="14">
        <f>IF(ISERROR(ESS_DATA[[#This Row],[New Ark PO status]]),"",_xlfn.XLOOKUP(ESS_DATA[[#This Row],[SPTN-PVHK New Ark PO'#]],New_Ark_Data[Purchase order Number],New_Ark_Data[Estimated time of arrival],"",0))</f>
        <v>46076</v>
      </c>
      <c r="AX4" s="12">
        <f>IF(ESS_DATA[[#This Row],[New Ark PO Type]]="Offshore",0,IFERROR(VLOOKUP(ESS_DATA[[#This Row],[PORT OF LOADING]]&amp;ESS_DATA[[#This Row],[PORT DESTINATION]],LT_REF[],7,0),14))</f>
        <v>8</v>
      </c>
      <c r="AY4" s="14">
        <f>IFERROR(ESS_DATA[[#This Row],[ODP ETA Port]]+ESS_DATA[[#This Row],[Customs/Leg3 Assumption]],"n/a")</f>
        <v>46070</v>
      </c>
      <c r="AZ4" s="82">
        <f>YEAR(ESS_DATA[[#This Row],[ETA for New Ark update]])</f>
        <v>2026</v>
      </c>
      <c r="BA4" s="82">
        <f>MONTH(ESS_DATA[[#This Row],[ETA for New Ark update]])</f>
        <v>2</v>
      </c>
      <c r="BB4" s="82">
        <f>IFERROR(_xlfn.ISOWEEKNUM(ESS_DATA[[#This Row],[ETA for New Ark update]]),0)</f>
        <v>8</v>
      </c>
      <c r="BC4" s="82" t="str">
        <f>_xlfn.XLOOKUP(ESS_DATA[[#This Row],[PORT DESTINATION]],Table12[PORT DESTINATION],Table12[Cosco Line],,0)</f>
        <v>AEM</v>
      </c>
      <c r="BD4" s="82"/>
    </row>
    <row r="5" spans="1:56" s="23" customFormat="1" ht="12" customHeight="1">
      <c r="A5" s="11" t="s">
        <v>7832</v>
      </c>
      <c r="B5" s="12" t="s">
        <v>7814</v>
      </c>
      <c r="C5" s="12" t="str">
        <f>IFERROR(LEFT(ESS_DATA[[#This Row],[TCL REFERENCE]],FIND(".",ESS_DATA[[#This Row],[TCL REFERENCE]],1)-1),"Main Line")</f>
        <v>25OCT001</v>
      </c>
      <c r="D5" s="12" t="s">
        <v>63</v>
      </c>
      <c r="E5" s="160" t="s">
        <v>64</v>
      </c>
      <c r="F5" s="160" t="s">
        <v>68</v>
      </c>
      <c r="G5" s="12" t="s">
        <v>7815</v>
      </c>
      <c r="H5" s="12" t="s">
        <v>67</v>
      </c>
      <c r="I5" s="13"/>
      <c r="J5" s="12" t="s">
        <v>96</v>
      </c>
      <c r="K5" s="12"/>
      <c r="L5" s="13"/>
      <c r="M5" s="213" t="s">
        <v>68</v>
      </c>
      <c r="N5" s="12" t="s">
        <v>7828</v>
      </c>
      <c r="O5" s="12" t="s">
        <v>7829</v>
      </c>
      <c r="P5" s="12" t="s">
        <v>7830</v>
      </c>
      <c r="Q5" s="12">
        <v>6000</v>
      </c>
      <c r="R5" s="295">
        <v>101</v>
      </c>
      <c r="S5" s="296"/>
      <c r="T5" s="12"/>
      <c r="U5" s="300"/>
      <c r="V5" s="365"/>
      <c r="W5" s="147" t="s">
        <v>75</v>
      </c>
      <c r="X5" s="147" t="str">
        <f t="shared" si="0"/>
        <v>COMPLETED</v>
      </c>
      <c r="Y5" s="180"/>
      <c r="Z5" s="702">
        <v>45982</v>
      </c>
      <c r="AA5" s="15">
        <f>WEEKNUM(ESS_DATA[[#This Row],[Pick-Up Date]])</f>
        <v>47</v>
      </c>
      <c r="AB5" s="12" t="s">
        <v>7819</v>
      </c>
      <c r="AC5" s="12">
        <v>371009150</v>
      </c>
      <c r="AD5" s="12" t="s">
        <v>122</v>
      </c>
      <c r="AE5" s="12" t="s">
        <v>123</v>
      </c>
      <c r="AF5" s="12" t="s">
        <v>78</v>
      </c>
      <c r="AG5" s="14">
        <v>45998</v>
      </c>
      <c r="AH5" s="14"/>
      <c r="AI5" s="14">
        <v>45998</v>
      </c>
      <c r="AJ5" s="14">
        <v>46048</v>
      </c>
      <c r="AK5" s="14">
        <v>46062</v>
      </c>
      <c r="AL5" s="14">
        <v>46062</v>
      </c>
      <c r="AM5" s="12" t="s">
        <v>7815</v>
      </c>
      <c r="AN5" s="12" t="s">
        <v>7820</v>
      </c>
      <c r="AO5" s="12" t="s">
        <v>80</v>
      </c>
      <c r="AP5" s="12" t="s">
        <v>7821</v>
      </c>
      <c r="AQ5" s="12" t="s">
        <v>7822</v>
      </c>
      <c r="AR5" s="12" t="s">
        <v>7822</v>
      </c>
      <c r="AS5" s="12">
        <f>ESS_DATA[[#This Row],[ETA On S/O]]-ESS_DATA[[#This Row],[ETD On S/O]]+1</f>
        <v>51</v>
      </c>
      <c r="AT5" s="12" t="s">
        <v>83</v>
      </c>
      <c r="AU5" s="347" cm="1">
        <f t="array" ref="AU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46062</v>
      </c>
      <c r="AV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5" s="14">
        <f>IF(ISERROR(ESS_DATA[[#This Row],[New Ark PO status]]),"",_xlfn.XLOOKUP(ESS_DATA[[#This Row],[SPTN-PVHK New Ark PO'#]],New_Ark_Data[Purchase order Number],New_Ark_Data[Estimated time of arrival],"",0))</f>
        <v>46076</v>
      </c>
      <c r="AX5" s="12">
        <f>IF(ESS_DATA[[#This Row],[New Ark PO Type]]="Offshore",0,IFERROR(VLOOKUP(ESS_DATA[[#This Row],[PORT OF LOADING]]&amp;ESS_DATA[[#This Row],[PORT DESTINATION]],LT_REF[],7,0),14))</f>
        <v>8</v>
      </c>
      <c r="AY5" s="14">
        <f>IFERROR(ESS_DATA[[#This Row],[ODP ETA Port]]+ESS_DATA[[#This Row],[Customs/Leg3 Assumption]],"n/a")</f>
        <v>46070</v>
      </c>
      <c r="AZ5" s="82">
        <f>YEAR(ESS_DATA[[#This Row],[ETA for New Ark update]])</f>
        <v>2026</v>
      </c>
      <c r="BA5" s="82">
        <f>MONTH(ESS_DATA[[#This Row],[ETA for New Ark update]])</f>
        <v>2</v>
      </c>
      <c r="BB5" s="82">
        <f>IFERROR(_xlfn.ISOWEEKNUM(ESS_DATA[[#This Row],[ETA for New Ark update]]),0)</f>
        <v>8</v>
      </c>
      <c r="BC5" s="82" t="str">
        <f>_xlfn.XLOOKUP(ESS_DATA[[#This Row],[PORT DESTINATION]],Table12[PORT DESTINATION],Table12[Cosco Line],,0)</f>
        <v>AEM</v>
      </c>
      <c r="BD5" s="82"/>
    </row>
    <row r="6" spans="1:56" s="23" customFormat="1" ht="12" customHeight="1">
      <c r="A6" s="11" t="s">
        <v>7833</v>
      </c>
      <c r="B6" s="12" t="s">
        <v>7814</v>
      </c>
      <c r="C6" s="12" t="str">
        <f>IFERROR(LEFT(ESS_DATA[[#This Row],[TCL REFERENCE]],FIND(".",ESS_DATA[[#This Row],[TCL REFERENCE]],1)-1),"Main Line")</f>
        <v>Main Line</v>
      </c>
      <c r="D6" s="12" t="s">
        <v>63</v>
      </c>
      <c r="E6" s="160" t="s">
        <v>64</v>
      </c>
      <c r="F6" s="160" t="s">
        <v>68</v>
      </c>
      <c r="G6" s="12" t="s">
        <v>7815</v>
      </c>
      <c r="H6" s="12" t="s">
        <v>67</v>
      </c>
      <c r="I6" s="13"/>
      <c r="J6" s="12" t="s">
        <v>96</v>
      </c>
      <c r="K6" s="12"/>
      <c r="L6" s="13"/>
      <c r="M6" s="213" t="s">
        <v>68</v>
      </c>
      <c r="N6" s="12" t="s">
        <v>7834</v>
      </c>
      <c r="O6" s="12" t="s">
        <v>7829</v>
      </c>
      <c r="P6" s="12" t="s">
        <v>7835</v>
      </c>
      <c r="Q6" s="12">
        <v>8000</v>
      </c>
      <c r="R6" s="295">
        <v>60</v>
      </c>
      <c r="S6" s="296"/>
      <c r="T6" s="12"/>
      <c r="U6" s="300"/>
      <c r="V6" s="365"/>
      <c r="W6" s="147" t="s">
        <v>75</v>
      </c>
      <c r="X6" s="147" t="str">
        <f t="shared" si="0"/>
        <v>COMPLETED</v>
      </c>
      <c r="Y6" s="180"/>
      <c r="Z6" s="702">
        <v>45982</v>
      </c>
      <c r="AA6" s="15">
        <f>WEEKNUM(ESS_DATA[[#This Row],[Pick-Up Date]])</f>
        <v>47</v>
      </c>
      <c r="AB6" s="12" t="s">
        <v>7819</v>
      </c>
      <c r="AC6" s="12">
        <v>371009150</v>
      </c>
      <c r="AD6" s="12" t="s">
        <v>122</v>
      </c>
      <c r="AE6" s="12" t="s">
        <v>123</v>
      </c>
      <c r="AF6" s="12" t="s">
        <v>78</v>
      </c>
      <c r="AG6" s="14">
        <v>45998</v>
      </c>
      <c r="AH6" s="14"/>
      <c r="AI6" s="14">
        <v>45998</v>
      </c>
      <c r="AJ6" s="14">
        <v>46048</v>
      </c>
      <c r="AK6" s="14">
        <v>46062</v>
      </c>
      <c r="AL6" s="14">
        <v>46062</v>
      </c>
      <c r="AM6" s="12" t="s">
        <v>7815</v>
      </c>
      <c r="AN6" s="12" t="s">
        <v>7820</v>
      </c>
      <c r="AO6" s="12" t="s">
        <v>80</v>
      </c>
      <c r="AP6" s="12" t="s">
        <v>7821</v>
      </c>
      <c r="AQ6" s="12" t="s">
        <v>7822</v>
      </c>
      <c r="AR6" s="12" t="s">
        <v>7822</v>
      </c>
      <c r="AS6" s="12">
        <f>ESS_DATA[[#This Row],[ETA On S/O]]-ESS_DATA[[#This Row],[ETD On S/O]]+1</f>
        <v>51</v>
      </c>
      <c r="AT6" s="12" t="s">
        <v>83</v>
      </c>
      <c r="AU6" s="347" cm="1">
        <f t="array" ref="AU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46062</v>
      </c>
      <c r="AV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6" s="14">
        <f>IF(ISERROR(ESS_DATA[[#This Row],[New Ark PO status]]),"",_xlfn.XLOOKUP(ESS_DATA[[#This Row],[SPTN-PVHK New Ark PO'#]],New_Ark_Data[Purchase order Number],New_Ark_Data[Estimated time of arrival],"",0))</f>
        <v>46076</v>
      </c>
      <c r="AX6" s="12">
        <f>IF(ESS_DATA[[#This Row],[New Ark PO Type]]="Offshore",0,IFERROR(VLOOKUP(ESS_DATA[[#This Row],[PORT OF LOADING]]&amp;ESS_DATA[[#This Row],[PORT DESTINATION]],LT_REF[],7,0),14))</f>
        <v>8</v>
      </c>
      <c r="AY6" s="14">
        <f>IFERROR(ESS_DATA[[#This Row],[ODP ETA Port]]+ESS_DATA[[#This Row],[Customs/Leg3 Assumption]],"n/a")</f>
        <v>46070</v>
      </c>
      <c r="AZ6" s="82">
        <f>YEAR(ESS_DATA[[#This Row],[ETA for New Ark update]])</f>
        <v>2026</v>
      </c>
      <c r="BA6" s="82">
        <f>MONTH(ESS_DATA[[#This Row],[ETA for New Ark update]])</f>
        <v>2</v>
      </c>
      <c r="BB6" s="82">
        <f>IFERROR(_xlfn.ISOWEEKNUM(ESS_DATA[[#This Row],[ETA for New Ark update]]),0)</f>
        <v>8</v>
      </c>
      <c r="BC6" s="82" t="str">
        <f>_xlfn.XLOOKUP(ESS_DATA[[#This Row],[PORT DESTINATION]],Table12[PORT DESTINATION],Table12[Cosco Line],,0)</f>
        <v>AEM</v>
      </c>
      <c r="BD6" s="82"/>
    </row>
    <row r="7" spans="1:56" s="23" customFormat="1" ht="10">
      <c r="A7" s="11" t="s">
        <v>7836</v>
      </c>
      <c r="B7" s="12" t="s">
        <v>7814</v>
      </c>
      <c r="C7" s="12" t="str">
        <f>IFERROR(LEFT(ESS_DATA[[#This Row],[TCL REFERENCE]],FIND(".",ESS_DATA[[#This Row],[TCL REFERENCE]],1)-1),"Main Line")</f>
        <v>Main Line</v>
      </c>
      <c r="D7" s="12" t="s">
        <v>63</v>
      </c>
      <c r="E7" s="160" t="s">
        <v>64</v>
      </c>
      <c r="F7" s="160" t="s">
        <v>68</v>
      </c>
      <c r="G7" s="12" t="s">
        <v>7815</v>
      </c>
      <c r="H7" s="12" t="s">
        <v>67</v>
      </c>
      <c r="I7" s="13"/>
      <c r="J7" s="12" t="s">
        <v>96</v>
      </c>
      <c r="K7" s="12"/>
      <c r="L7" s="13"/>
      <c r="M7" s="213" t="s">
        <v>68</v>
      </c>
      <c r="N7" s="12" t="s">
        <v>7837</v>
      </c>
      <c r="O7" s="12" t="s">
        <v>7829</v>
      </c>
      <c r="P7" s="12" t="s">
        <v>7838</v>
      </c>
      <c r="Q7" s="12">
        <v>10000</v>
      </c>
      <c r="R7" s="295">
        <v>10</v>
      </c>
      <c r="S7" s="297"/>
      <c r="T7" s="12"/>
      <c r="U7" s="300"/>
      <c r="V7" s="365"/>
      <c r="W7" s="147" t="s">
        <v>75</v>
      </c>
      <c r="X7" s="147" t="str">
        <f t="shared" si="0"/>
        <v>COMPLETED</v>
      </c>
      <c r="Y7" s="180"/>
      <c r="Z7" s="702">
        <v>45982</v>
      </c>
      <c r="AA7" s="15">
        <f>WEEKNUM(ESS_DATA[[#This Row],[Pick-Up Date]])</f>
        <v>47</v>
      </c>
      <c r="AB7" s="12" t="s">
        <v>7819</v>
      </c>
      <c r="AC7" s="12">
        <v>371009150</v>
      </c>
      <c r="AD7" s="12" t="s">
        <v>122</v>
      </c>
      <c r="AE7" s="12" t="s">
        <v>123</v>
      </c>
      <c r="AF7" s="12" t="s">
        <v>78</v>
      </c>
      <c r="AG7" s="14">
        <v>45998</v>
      </c>
      <c r="AH7" s="14"/>
      <c r="AI7" s="14">
        <v>45998</v>
      </c>
      <c r="AJ7" s="14">
        <v>46048</v>
      </c>
      <c r="AK7" s="14">
        <v>46062</v>
      </c>
      <c r="AL7" s="14">
        <v>46062</v>
      </c>
      <c r="AM7" s="12" t="s">
        <v>7815</v>
      </c>
      <c r="AN7" s="12" t="s">
        <v>7820</v>
      </c>
      <c r="AO7" s="12" t="s">
        <v>80</v>
      </c>
      <c r="AP7" s="12" t="s">
        <v>7821</v>
      </c>
      <c r="AQ7" s="12" t="s">
        <v>7822</v>
      </c>
      <c r="AR7" s="12" t="s">
        <v>7822</v>
      </c>
      <c r="AS7" s="12">
        <f>ESS_DATA[[#This Row],[ETA On S/O]]-ESS_DATA[[#This Row],[ETD On S/O]]+1</f>
        <v>51</v>
      </c>
      <c r="AT7" s="12" t="s">
        <v>83</v>
      </c>
      <c r="AU7" s="347" cm="1">
        <f t="array" ref="AU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46062</v>
      </c>
      <c r="AV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7" s="14">
        <f>IF(ISERROR(ESS_DATA[[#This Row],[New Ark PO status]]),"",_xlfn.XLOOKUP(ESS_DATA[[#This Row],[SPTN-PVHK New Ark PO'#]],New_Ark_Data[Purchase order Number],New_Ark_Data[Estimated time of arrival],"",0))</f>
        <v>46076</v>
      </c>
      <c r="AX7" s="12">
        <f>IF(ESS_DATA[[#This Row],[New Ark PO Type]]="Offshore",0,IFERROR(VLOOKUP(ESS_DATA[[#This Row],[PORT OF LOADING]]&amp;ESS_DATA[[#This Row],[PORT DESTINATION]],LT_REF[],7,0),14))</f>
        <v>8</v>
      </c>
      <c r="AY7" s="14">
        <f>IFERROR(ESS_DATA[[#This Row],[ODP ETA Port]]+ESS_DATA[[#This Row],[Customs/Leg3 Assumption]],"n/a")</f>
        <v>46070</v>
      </c>
      <c r="AZ7" s="82">
        <f>YEAR(ESS_DATA[[#This Row],[ETA for New Ark update]])</f>
        <v>2026</v>
      </c>
      <c r="BA7" s="82">
        <f>MONTH(ESS_DATA[[#This Row],[ETA for New Ark update]])</f>
        <v>2</v>
      </c>
      <c r="BB7" s="82">
        <f>IFERROR(_xlfn.ISOWEEKNUM(ESS_DATA[[#This Row],[ETA for New Ark update]]),0)</f>
        <v>8</v>
      </c>
      <c r="BC7" s="82" t="str">
        <f>_xlfn.XLOOKUP(ESS_DATA[[#This Row],[PORT DESTINATION]],Table12[PORT DESTINATION],Table12[Cosco Line],,0)</f>
        <v>AEM</v>
      </c>
      <c r="BD7" s="82"/>
    </row>
    <row r="8" spans="1:56" s="23" customFormat="1" ht="10">
      <c r="A8" s="11" t="s">
        <v>7839</v>
      </c>
      <c r="B8" s="12" t="s">
        <v>7814</v>
      </c>
      <c r="C8" s="12" t="str">
        <f>IFERROR(LEFT(ESS_DATA[[#This Row],[TCL REFERENCE]],FIND(".",ESS_DATA[[#This Row],[TCL REFERENCE]],1)-1),"Main Line")</f>
        <v>25OCT004</v>
      </c>
      <c r="D8" s="12" t="s">
        <v>63</v>
      </c>
      <c r="E8" s="160" t="s">
        <v>64</v>
      </c>
      <c r="F8" s="160" t="s">
        <v>68</v>
      </c>
      <c r="G8" s="12" t="s">
        <v>7815</v>
      </c>
      <c r="H8" s="12" t="s">
        <v>67</v>
      </c>
      <c r="I8" s="13"/>
      <c r="J8" s="12" t="s">
        <v>96</v>
      </c>
      <c r="K8" s="12"/>
      <c r="L8" s="13"/>
      <c r="M8" s="213" t="s">
        <v>68</v>
      </c>
      <c r="N8" s="12" t="s">
        <v>7840</v>
      </c>
      <c r="O8" s="12" t="s">
        <v>7841</v>
      </c>
      <c r="P8" s="12" t="s">
        <v>7842</v>
      </c>
      <c r="Q8" s="12">
        <v>0</v>
      </c>
      <c r="R8" s="295">
        <v>350</v>
      </c>
      <c r="S8" s="296"/>
      <c r="T8" s="12"/>
      <c r="U8" s="300"/>
      <c r="V8" s="365"/>
      <c r="W8" s="147" t="s">
        <v>75</v>
      </c>
      <c r="X8" s="147" t="str">
        <f t="shared" si="0"/>
        <v>COMPLETED</v>
      </c>
      <c r="Y8" s="180"/>
      <c r="Z8" s="702">
        <v>45982</v>
      </c>
      <c r="AA8" s="15">
        <f>WEEKNUM(ESS_DATA[[#This Row],[Pick-Up Date]])</f>
        <v>47</v>
      </c>
      <c r="AB8" s="12" t="s">
        <v>7843</v>
      </c>
      <c r="AC8" s="12">
        <v>371009149</v>
      </c>
      <c r="AD8" s="12" t="s">
        <v>122</v>
      </c>
      <c r="AE8" s="12" t="s">
        <v>123</v>
      </c>
      <c r="AF8" s="12" t="s">
        <v>78</v>
      </c>
      <c r="AG8" s="14">
        <v>45998</v>
      </c>
      <c r="AH8" s="14"/>
      <c r="AI8" s="14">
        <v>45998</v>
      </c>
      <c r="AJ8" s="14">
        <v>46048</v>
      </c>
      <c r="AK8" s="14">
        <v>46062</v>
      </c>
      <c r="AL8" s="14">
        <v>46062</v>
      </c>
      <c r="AM8" s="12" t="s">
        <v>7815</v>
      </c>
      <c r="AN8" s="12" t="s">
        <v>7820</v>
      </c>
      <c r="AO8" s="12" t="s">
        <v>80</v>
      </c>
      <c r="AP8" s="12" t="s">
        <v>7821</v>
      </c>
      <c r="AQ8" s="12" t="s">
        <v>7822</v>
      </c>
      <c r="AR8" s="12" t="s">
        <v>7822</v>
      </c>
      <c r="AS8" s="12">
        <f>ESS_DATA[[#This Row],[ETA On S/O]]-ESS_DATA[[#This Row],[ETD On S/O]]+1</f>
        <v>51</v>
      </c>
      <c r="AT8" s="12" t="s">
        <v>83</v>
      </c>
      <c r="AU8" s="347" cm="1">
        <f t="array" ref="AU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46062</v>
      </c>
      <c r="AV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8" s="14">
        <f>IF(ISERROR(ESS_DATA[[#This Row],[New Ark PO status]]),"",_xlfn.XLOOKUP(ESS_DATA[[#This Row],[SPTN-PVHK New Ark PO'#]],New_Ark_Data[Purchase order Number],New_Ark_Data[Estimated time of arrival],"",0))</f>
        <v>46076</v>
      </c>
      <c r="AX8" s="12">
        <f>IF(ESS_DATA[[#This Row],[New Ark PO Type]]="Offshore",0,IFERROR(VLOOKUP(ESS_DATA[[#This Row],[PORT OF LOADING]]&amp;ESS_DATA[[#This Row],[PORT DESTINATION]],LT_REF[],7,0),14))</f>
        <v>8</v>
      </c>
      <c r="AY8" s="14">
        <f>IFERROR(ESS_DATA[[#This Row],[ODP ETA Port]]+ESS_DATA[[#This Row],[Customs/Leg3 Assumption]],"n/a")</f>
        <v>46070</v>
      </c>
      <c r="AZ8" s="82">
        <f>YEAR(ESS_DATA[[#This Row],[ETA for New Ark update]])</f>
        <v>2026</v>
      </c>
      <c r="BA8" s="82">
        <f>MONTH(ESS_DATA[[#This Row],[ETA for New Ark update]])</f>
        <v>2</v>
      </c>
      <c r="BB8" s="82">
        <f>IFERROR(_xlfn.ISOWEEKNUM(ESS_DATA[[#This Row],[ETA for New Ark update]]),0)</f>
        <v>8</v>
      </c>
      <c r="BC8" s="82" t="str">
        <f>_xlfn.XLOOKUP(ESS_DATA[[#This Row],[PORT DESTINATION]],Table12[PORT DESTINATION],Table12[Cosco Line],,0)</f>
        <v>AEM</v>
      </c>
      <c r="BD8" s="82"/>
    </row>
    <row r="9" spans="1:56" s="23" customFormat="1" ht="10">
      <c r="A9" s="11" t="s">
        <v>7844</v>
      </c>
      <c r="B9" s="12" t="s">
        <v>7814</v>
      </c>
      <c r="C9" s="12" t="str">
        <f>IFERROR(LEFT(ESS_DATA[[#This Row],[TCL REFERENCE]],FIND(".",ESS_DATA[[#This Row],[TCL REFERENCE]],1)-1),"Main Line")</f>
        <v>25OCT004</v>
      </c>
      <c r="D9" s="12" t="s">
        <v>63</v>
      </c>
      <c r="E9" s="160" t="s">
        <v>64</v>
      </c>
      <c r="F9" s="160" t="s">
        <v>68</v>
      </c>
      <c r="G9" s="12" t="s">
        <v>7815</v>
      </c>
      <c r="H9" s="12" t="s">
        <v>67</v>
      </c>
      <c r="I9" s="13"/>
      <c r="J9" s="12" t="s">
        <v>96</v>
      </c>
      <c r="K9" s="12"/>
      <c r="L9" s="13"/>
      <c r="M9" s="213" t="s">
        <v>68</v>
      </c>
      <c r="N9" s="12" t="s">
        <v>7840</v>
      </c>
      <c r="O9" s="12" t="s">
        <v>7841</v>
      </c>
      <c r="P9" s="12" t="s">
        <v>7842</v>
      </c>
      <c r="Q9" s="12">
        <v>0</v>
      </c>
      <c r="R9" s="295">
        <v>45</v>
      </c>
      <c r="S9" s="296"/>
      <c r="T9" s="12"/>
      <c r="U9" s="300"/>
      <c r="V9" s="365"/>
      <c r="W9" s="147" t="s">
        <v>75</v>
      </c>
      <c r="X9" s="147" t="str">
        <f t="shared" si="0"/>
        <v>COMPLETED</v>
      </c>
      <c r="Y9" s="180"/>
      <c r="Z9" s="702">
        <v>45982</v>
      </c>
      <c r="AA9" s="15">
        <f>WEEKNUM(ESS_DATA[[#This Row],[Pick-Up Date]])</f>
        <v>47</v>
      </c>
      <c r="AB9" s="12" t="s">
        <v>7819</v>
      </c>
      <c r="AC9" s="12">
        <v>371009150</v>
      </c>
      <c r="AD9" s="12" t="s">
        <v>122</v>
      </c>
      <c r="AE9" s="12" t="s">
        <v>123</v>
      </c>
      <c r="AF9" s="12" t="s">
        <v>78</v>
      </c>
      <c r="AG9" s="14">
        <v>45998</v>
      </c>
      <c r="AH9" s="14"/>
      <c r="AI9" s="14">
        <v>45998</v>
      </c>
      <c r="AJ9" s="14">
        <v>46048</v>
      </c>
      <c r="AK9" s="14">
        <v>46062</v>
      </c>
      <c r="AL9" s="14">
        <v>46062</v>
      </c>
      <c r="AM9" s="12" t="s">
        <v>7815</v>
      </c>
      <c r="AN9" s="12" t="s">
        <v>7820</v>
      </c>
      <c r="AO9" s="12" t="s">
        <v>80</v>
      </c>
      <c r="AP9" s="12" t="s">
        <v>7821</v>
      </c>
      <c r="AQ9" s="12" t="s">
        <v>7822</v>
      </c>
      <c r="AR9" s="12" t="s">
        <v>7822</v>
      </c>
      <c r="AS9" s="12">
        <f>ESS_DATA[[#This Row],[ETA On S/O]]-ESS_DATA[[#This Row],[ETD On S/O]]+1</f>
        <v>51</v>
      </c>
      <c r="AT9" s="12" t="s">
        <v>83</v>
      </c>
      <c r="AU9" s="347" cm="1">
        <f t="array" ref="AU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46062</v>
      </c>
      <c r="AV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9" s="14">
        <f>IF(ISERROR(ESS_DATA[[#This Row],[New Ark PO status]]),"",_xlfn.XLOOKUP(ESS_DATA[[#This Row],[SPTN-PVHK New Ark PO'#]],New_Ark_Data[Purchase order Number],New_Ark_Data[Estimated time of arrival],"",0))</f>
        <v>46076</v>
      </c>
      <c r="AX9" s="12">
        <f>IF(ESS_DATA[[#This Row],[New Ark PO Type]]="Offshore",0,IFERROR(VLOOKUP(ESS_DATA[[#This Row],[PORT OF LOADING]]&amp;ESS_DATA[[#This Row],[PORT DESTINATION]],LT_REF[],7,0),14))</f>
        <v>8</v>
      </c>
      <c r="AY9" s="14">
        <f>IFERROR(ESS_DATA[[#This Row],[ODP ETA Port]]+ESS_DATA[[#This Row],[Customs/Leg3 Assumption]],"n/a")</f>
        <v>46070</v>
      </c>
      <c r="AZ9" s="82">
        <f>YEAR(ESS_DATA[[#This Row],[ETA for New Ark update]])</f>
        <v>2026</v>
      </c>
      <c r="BA9" s="82">
        <f>MONTH(ESS_DATA[[#This Row],[ETA for New Ark update]])</f>
        <v>2</v>
      </c>
      <c r="BB9" s="82">
        <f>IFERROR(_xlfn.ISOWEEKNUM(ESS_DATA[[#This Row],[ETA for New Ark update]]),0)</f>
        <v>8</v>
      </c>
      <c r="BC9" s="82" t="str">
        <f>_xlfn.XLOOKUP(ESS_DATA[[#This Row],[PORT DESTINATION]],Table12[PORT DESTINATION],Table12[Cosco Line],,0)</f>
        <v>AEM</v>
      </c>
      <c r="BD9" s="82"/>
    </row>
    <row r="10" spans="1:56" s="23" customFormat="1" ht="10">
      <c r="A10" s="11" t="s">
        <v>7845</v>
      </c>
      <c r="B10" s="12" t="s">
        <v>7814</v>
      </c>
      <c r="C10" s="12" t="str">
        <f>IFERROR(LEFT(ESS_DATA[[#This Row],[TCL REFERENCE]],FIND(".",ESS_DATA[[#This Row],[TCL REFERENCE]],1)-1),"Main Line")</f>
        <v>25OCT006</v>
      </c>
      <c r="D10" s="12" t="s">
        <v>63</v>
      </c>
      <c r="E10" s="160" t="s">
        <v>64</v>
      </c>
      <c r="F10" s="160" t="s">
        <v>68</v>
      </c>
      <c r="G10" s="12" t="s">
        <v>7815</v>
      </c>
      <c r="H10" s="12" t="s">
        <v>67</v>
      </c>
      <c r="I10" s="13"/>
      <c r="J10" s="12" t="s">
        <v>7846</v>
      </c>
      <c r="K10" s="12"/>
      <c r="L10" s="13"/>
      <c r="M10" s="213" t="s">
        <v>68</v>
      </c>
      <c r="N10" s="12" t="s">
        <v>7828</v>
      </c>
      <c r="O10" s="12" t="s">
        <v>7829</v>
      </c>
      <c r="P10" s="12" t="s">
        <v>7830</v>
      </c>
      <c r="Q10" s="12">
        <v>6000</v>
      </c>
      <c r="R10" s="295">
        <v>9</v>
      </c>
      <c r="S10" s="296"/>
      <c r="T10" s="12"/>
      <c r="U10" s="300"/>
      <c r="V10" s="365"/>
      <c r="W10" s="147" t="s">
        <v>75</v>
      </c>
      <c r="X10" s="147" t="str">
        <f t="shared" si="0"/>
        <v>COMPLETED</v>
      </c>
      <c r="Y10" s="180"/>
      <c r="Z10" s="702">
        <v>45982</v>
      </c>
      <c r="AA10" s="15">
        <f>WEEKNUM(ESS_DATA[[#This Row],[Pick-Up Date]])</f>
        <v>47</v>
      </c>
      <c r="AB10" s="12" t="s">
        <v>7819</v>
      </c>
      <c r="AC10" s="12">
        <v>371009150</v>
      </c>
      <c r="AD10" s="12" t="s">
        <v>122</v>
      </c>
      <c r="AE10" s="12" t="s">
        <v>123</v>
      </c>
      <c r="AF10" s="12" t="s">
        <v>78</v>
      </c>
      <c r="AG10" s="14">
        <v>45998</v>
      </c>
      <c r="AH10" s="14"/>
      <c r="AI10" s="14">
        <v>45998</v>
      </c>
      <c r="AJ10" s="14">
        <v>46048</v>
      </c>
      <c r="AK10" s="14">
        <v>46062</v>
      </c>
      <c r="AL10" s="14">
        <v>46062</v>
      </c>
      <c r="AM10" s="12" t="s">
        <v>7815</v>
      </c>
      <c r="AN10" s="12" t="s">
        <v>7820</v>
      </c>
      <c r="AO10" s="12" t="s">
        <v>80</v>
      </c>
      <c r="AP10" s="12" t="s">
        <v>7821</v>
      </c>
      <c r="AQ10" s="12" t="s">
        <v>7822</v>
      </c>
      <c r="AR10" s="12" t="s">
        <v>7822</v>
      </c>
      <c r="AS10" s="12">
        <f>ESS_DATA[[#This Row],[ETA On S/O]]-ESS_DATA[[#This Row],[ETD On S/O]]+1</f>
        <v>51</v>
      </c>
      <c r="AT10" s="12" t="s">
        <v>83</v>
      </c>
      <c r="AU10" s="347" cm="1">
        <f t="array" ref="AU1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46062</v>
      </c>
      <c r="AV1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10" s="14">
        <f>IF(ISERROR(ESS_DATA[[#This Row],[New Ark PO status]]),"",_xlfn.XLOOKUP(ESS_DATA[[#This Row],[SPTN-PVHK New Ark PO'#]],New_Ark_Data[Purchase order Number],New_Ark_Data[Estimated time of arrival],"",0))</f>
        <v>46076</v>
      </c>
      <c r="AX10" s="12">
        <f>IF(ESS_DATA[[#This Row],[New Ark PO Type]]="Offshore",0,IFERROR(VLOOKUP(ESS_DATA[[#This Row],[PORT OF LOADING]]&amp;ESS_DATA[[#This Row],[PORT DESTINATION]],LT_REF[],7,0),14))</f>
        <v>8</v>
      </c>
      <c r="AY10" s="14">
        <f>IFERROR(ESS_DATA[[#This Row],[ODP ETA Port]]+ESS_DATA[[#This Row],[Customs/Leg3 Assumption]],"n/a")</f>
        <v>46070</v>
      </c>
      <c r="AZ10" s="82">
        <f>YEAR(ESS_DATA[[#This Row],[ETA for New Ark update]])</f>
        <v>2026</v>
      </c>
      <c r="BA10" s="82">
        <f>MONTH(ESS_DATA[[#This Row],[ETA for New Ark update]])</f>
        <v>2</v>
      </c>
      <c r="BB10" s="82">
        <f>IFERROR(_xlfn.ISOWEEKNUM(ESS_DATA[[#This Row],[ETA for New Ark update]]),0)</f>
        <v>8</v>
      </c>
      <c r="BC10" s="82" t="str">
        <f>_xlfn.XLOOKUP(ESS_DATA[[#This Row],[PORT DESTINATION]],Table12[PORT DESTINATION],Table12[Cosco Line],,0)</f>
        <v>AEM</v>
      </c>
      <c r="BD10" s="82"/>
    </row>
    <row r="11" spans="1:56" s="23" customFormat="1" ht="10">
      <c r="A11" s="11" t="s">
        <v>7847</v>
      </c>
      <c r="B11" s="12" t="s">
        <v>7814</v>
      </c>
      <c r="C11" s="12" t="str">
        <f>IFERROR(LEFT(ESS_DATA[[#This Row],[TCL REFERENCE]],FIND(".",ESS_DATA[[#This Row],[TCL REFERENCE]],1)-1),"Main Line")</f>
        <v>25OCT007</v>
      </c>
      <c r="D11" s="12" t="s">
        <v>63</v>
      </c>
      <c r="E11" s="160" t="s">
        <v>64</v>
      </c>
      <c r="F11" s="160" t="s">
        <v>68</v>
      </c>
      <c r="G11" s="12" t="s">
        <v>7815</v>
      </c>
      <c r="H11" s="12" t="s">
        <v>67</v>
      </c>
      <c r="I11" s="13"/>
      <c r="J11" s="12" t="s">
        <v>7846</v>
      </c>
      <c r="K11" s="12"/>
      <c r="L11" s="13"/>
      <c r="M11" s="213" t="s">
        <v>68</v>
      </c>
      <c r="N11" s="12" t="s">
        <v>7834</v>
      </c>
      <c r="O11" s="12" t="s">
        <v>7829</v>
      </c>
      <c r="P11" s="12" t="s">
        <v>7835</v>
      </c>
      <c r="Q11" s="12">
        <v>8000</v>
      </c>
      <c r="R11" s="295">
        <v>2</v>
      </c>
      <c r="S11" s="296"/>
      <c r="T11" s="12"/>
      <c r="U11" s="300"/>
      <c r="V11" s="365"/>
      <c r="W11" s="147" t="s">
        <v>75</v>
      </c>
      <c r="X11" s="147" t="str">
        <f t="shared" si="0"/>
        <v>COMPLETED</v>
      </c>
      <c r="Y11" s="180"/>
      <c r="Z11" s="702">
        <v>45982</v>
      </c>
      <c r="AA11" s="15">
        <f>WEEKNUM(ESS_DATA[[#This Row],[Pick-Up Date]])</f>
        <v>47</v>
      </c>
      <c r="AB11" s="12" t="s">
        <v>7819</v>
      </c>
      <c r="AC11" s="12">
        <v>371009150</v>
      </c>
      <c r="AD11" s="12" t="s">
        <v>122</v>
      </c>
      <c r="AE11" s="12" t="s">
        <v>123</v>
      </c>
      <c r="AF11" s="12" t="s">
        <v>78</v>
      </c>
      <c r="AG11" s="14">
        <v>45998</v>
      </c>
      <c r="AH11" s="14"/>
      <c r="AI11" s="14">
        <v>45998</v>
      </c>
      <c r="AJ11" s="14">
        <v>46048</v>
      </c>
      <c r="AK11" s="14">
        <v>46062</v>
      </c>
      <c r="AL11" s="14">
        <v>46062</v>
      </c>
      <c r="AM11" s="12" t="s">
        <v>7815</v>
      </c>
      <c r="AN11" s="12" t="s">
        <v>7820</v>
      </c>
      <c r="AO11" s="12" t="s">
        <v>80</v>
      </c>
      <c r="AP11" s="12" t="s">
        <v>7821</v>
      </c>
      <c r="AQ11" s="12" t="s">
        <v>7822</v>
      </c>
      <c r="AR11" s="12" t="s">
        <v>7822</v>
      </c>
      <c r="AS11" s="12">
        <f>ESS_DATA[[#This Row],[ETA On S/O]]-ESS_DATA[[#This Row],[ETD On S/O]]+1</f>
        <v>51</v>
      </c>
      <c r="AT11" s="12" t="s">
        <v>83</v>
      </c>
      <c r="AU11" s="347" cm="1">
        <f t="array" ref="AU1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46062</v>
      </c>
      <c r="AV1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11" s="14">
        <f>IF(ISERROR(ESS_DATA[[#This Row],[New Ark PO status]]),"",_xlfn.XLOOKUP(ESS_DATA[[#This Row],[SPTN-PVHK New Ark PO'#]],New_Ark_Data[Purchase order Number],New_Ark_Data[Estimated time of arrival],"",0))</f>
        <v>46076</v>
      </c>
      <c r="AX11" s="12">
        <f>IF(ESS_DATA[[#This Row],[New Ark PO Type]]="Offshore",0,IFERROR(VLOOKUP(ESS_DATA[[#This Row],[PORT OF LOADING]]&amp;ESS_DATA[[#This Row],[PORT DESTINATION]],LT_REF[],7,0),14))</f>
        <v>8</v>
      </c>
      <c r="AY11" s="14">
        <f>IFERROR(ESS_DATA[[#This Row],[ODP ETA Port]]+ESS_DATA[[#This Row],[Customs/Leg3 Assumption]],"n/a")</f>
        <v>46070</v>
      </c>
      <c r="AZ11" s="82">
        <f>YEAR(ESS_DATA[[#This Row],[ETA for New Ark update]])</f>
        <v>2026</v>
      </c>
      <c r="BA11" s="82">
        <f>MONTH(ESS_DATA[[#This Row],[ETA for New Ark update]])</f>
        <v>2</v>
      </c>
      <c r="BB11" s="82">
        <f>IFERROR(_xlfn.ISOWEEKNUM(ESS_DATA[[#This Row],[ETA for New Ark update]]),0)</f>
        <v>8</v>
      </c>
      <c r="BC11" s="82" t="str">
        <f>_xlfn.XLOOKUP(ESS_DATA[[#This Row],[PORT DESTINATION]],Table12[PORT DESTINATION],Table12[Cosco Line],,0)</f>
        <v>AEM</v>
      </c>
      <c r="BD11" s="82"/>
    </row>
    <row r="12" spans="1:56" s="23" customFormat="1" ht="11.25" customHeight="1">
      <c r="A12" s="11" t="s">
        <v>7848</v>
      </c>
      <c r="B12" s="12" t="s">
        <v>7814</v>
      </c>
      <c r="C12" s="12" t="str">
        <f>IFERROR(LEFT(ESS_DATA[[#This Row],[TCL REFERENCE]],FIND(".",ESS_DATA[[#This Row],[TCL REFERENCE]],1)-1),"Main Line")</f>
        <v>25OCT008</v>
      </c>
      <c r="D12" s="12" t="s">
        <v>63</v>
      </c>
      <c r="E12" s="160" t="s">
        <v>64</v>
      </c>
      <c r="F12" s="160" t="s">
        <v>68</v>
      </c>
      <c r="G12" s="12" t="s">
        <v>7815</v>
      </c>
      <c r="H12" s="12" t="s">
        <v>67</v>
      </c>
      <c r="I12" s="13"/>
      <c r="J12" s="12" t="s">
        <v>7846</v>
      </c>
      <c r="K12" s="12"/>
      <c r="L12" s="13"/>
      <c r="M12" s="213" t="s">
        <v>68</v>
      </c>
      <c r="N12" s="12" t="s">
        <v>7837</v>
      </c>
      <c r="O12" s="12" t="s">
        <v>7829</v>
      </c>
      <c r="P12" s="12" t="s">
        <v>7838</v>
      </c>
      <c r="Q12" s="12">
        <v>10000</v>
      </c>
      <c r="R12" s="295">
        <v>1</v>
      </c>
      <c r="S12" s="297"/>
      <c r="T12" s="12"/>
      <c r="U12" s="300"/>
      <c r="V12" s="365"/>
      <c r="W12" s="147" t="s">
        <v>75</v>
      </c>
      <c r="X12" s="147" t="str">
        <f t="shared" si="0"/>
        <v>COMPLETED</v>
      </c>
      <c r="Y12" s="180"/>
      <c r="Z12" s="702">
        <v>45982</v>
      </c>
      <c r="AA12" s="15">
        <f>WEEKNUM(ESS_DATA[[#This Row],[Pick-Up Date]])</f>
        <v>47</v>
      </c>
      <c r="AB12" s="12" t="s">
        <v>7819</v>
      </c>
      <c r="AC12" s="12">
        <v>371009150</v>
      </c>
      <c r="AD12" s="12" t="s">
        <v>122</v>
      </c>
      <c r="AE12" s="12" t="s">
        <v>123</v>
      </c>
      <c r="AF12" s="12" t="s">
        <v>78</v>
      </c>
      <c r="AG12" s="14">
        <v>45998</v>
      </c>
      <c r="AH12" s="14"/>
      <c r="AI12" s="14">
        <v>45998</v>
      </c>
      <c r="AJ12" s="14">
        <v>46048</v>
      </c>
      <c r="AK12" s="14">
        <v>46062</v>
      </c>
      <c r="AL12" s="14">
        <v>46062</v>
      </c>
      <c r="AM12" s="12" t="s">
        <v>7815</v>
      </c>
      <c r="AN12" s="12" t="s">
        <v>7820</v>
      </c>
      <c r="AO12" s="12" t="s">
        <v>80</v>
      </c>
      <c r="AP12" s="12" t="s">
        <v>7821</v>
      </c>
      <c r="AQ12" s="12" t="s">
        <v>7822</v>
      </c>
      <c r="AR12" s="12" t="s">
        <v>7822</v>
      </c>
      <c r="AS12" s="12">
        <f>ESS_DATA[[#This Row],[ETA On S/O]]-ESS_DATA[[#This Row],[ETD On S/O]]+1</f>
        <v>51</v>
      </c>
      <c r="AT12" s="12" t="s">
        <v>83</v>
      </c>
      <c r="AU12" s="347" cm="1">
        <f t="array" ref="AU1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46062</v>
      </c>
      <c r="AV1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12" s="14">
        <f>IF(ISERROR(ESS_DATA[[#This Row],[New Ark PO status]]),"",_xlfn.XLOOKUP(ESS_DATA[[#This Row],[SPTN-PVHK New Ark PO'#]],New_Ark_Data[Purchase order Number],New_Ark_Data[Estimated time of arrival],"",0))</f>
        <v>46076</v>
      </c>
      <c r="AX12" s="12">
        <f>IF(ESS_DATA[[#This Row],[New Ark PO Type]]="Offshore",0,IFERROR(VLOOKUP(ESS_DATA[[#This Row],[PORT OF LOADING]]&amp;ESS_DATA[[#This Row],[PORT DESTINATION]],LT_REF[],7,0),14))</f>
        <v>8</v>
      </c>
      <c r="AY12" s="14">
        <f>IFERROR(ESS_DATA[[#This Row],[ODP ETA Port]]+ESS_DATA[[#This Row],[Customs/Leg3 Assumption]],"n/a")</f>
        <v>46070</v>
      </c>
      <c r="AZ12" s="82">
        <f>YEAR(ESS_DATA[[#This Row],[ETA for New Ark update]])</f>
        <v>2026</v>
      </c>
      <c r="BA12" s="82">
        <f>MONTH(ESS_DATA[[#This Row],[ETA for New Ark update]])</f>
        <v>2</v>
      </c>
      <c r="BB12" s="82">
        <f>IFERROR(_xlfn.ISOWEEKNUM(ESS_DATA[[#This Row],[ETA for New Ark update]]),0)</f>
        <v>8</v>
      </c>
      <c r="BC12" s="82" t="str">
        <f>_xlfn.XLOOKUP(ESS_DATA[[#This Row],[PORT DESTINATION]],Table12[PORT DESTINATION],Table12[Cosco Line],,0)</f>
        <v>AEM</v>
      </c>
      <c r="BD12" s="82"/>
    </row>
    <row r="13" spans="1:56" s="23" customFormat="1" ht="11.25" customHeight="1">
      <c r="A13" s="11" t="s">
        <v>7849</v>
      </c>
      <c r="B13" s="12" t="s">
        <v>7814</v>
      </c>
      <c r="C13" s="12" t="str">
        <f>IFERROR(LEFT(ESS_DATA[[#This Row],[TCL REFERENCE]],FIND(".",ESS_DATA[[#This Row],[TCL REFERENCE]],1)-1),"Main Line")</f>
        <v>25OCT009</v>
      </c>
      <c r="D13" s="12" t="s">
        <v>63</v>
      </c>
      <c r="E13" s="160" t="s">
        <v>64</v>
      </c>
      <c r="F13" s="160" t="s">
        <v>68</v>
      </c>
      <c r="G13" s="12" t="s">
        <v>7815</v>
      </c>
      <c r="H13" s="12" t="s">
        <v>67</v>
      </c>
      <c r="I13" s="13"/>
      <c r="J13" s="12" t="s">
        <v>7846</v>
      </c>
      <c r="K13" s="12"/>
      <c r="L13" s="13"/>
      <c r="M13" s="213" t="s">
        <v>68</v>
      </c>
      <c r="N13" s="12" t="s">
        <v>7840</v>
      </c>
      <c r="O13" s="12" t="s">
        <v>7841</v>
      </c>
      <c r="P13" s="12" t="s">
        <v>7842</v>
      </c>
      <c r="Q13" s="12">
        <v>0</v>
      </c>
      <c r="R13" s="295">
        <v>12</v>
      </c>
      <c r="S13" s="296"/>
      <c r="T13" s="12"/>
      <c r="U13" s="300"/>
      <c r="V13" s="365"/>
      <c r="W13" s="147" t="s">
        <v>75</v>
      </c>
      <c r="X13" s="147" t="str">
        <f t="shared" si="0"/>
        <v>COMPLETED</v>
      </c>
      <c r="Y13" s="180"/>
      <c r="Z13" s="702">
        <v>45982</v>
      </c>
      <c r="AA13" s="15">
        <f>WEEKNUM(ESS_DATA[[#This Row],[Pick-Up Date]])</f>
        <v>47</v>
      </c>
      <c r="AB13" s="12" t="s">
        <v>7819</v>
      </c>
      <c r="AC13" s="12">
        <v>371009150</v>
      </c>
      <c r="AD13" s="12" t="s">
        <v>122</v>
      </c>
      <c r="AE13" s="12" t="s">
        <v>123</v>
      </c>
      <c r="AF13" s="12" t="s">
        <v>78</v>
      </c>
      <c r="AG13" s="14">
        <v>45998</v>
      </c>
      <c r="AH13" s="14"/>
      <c r="AI13" s="14">
        <v>45998</v>
      </c>
      <c r="AJ13" s="14">
        <v>46048</v>
      </c>
      <c r="AK13" s="14">
        <v>46062</v>
      </c>
      <c r="AL13" s="14">
        <v>46062</v>
      </c>
      <c r="AM13" s="12" t="s">
        <v>7815</v>
      </c>
      <c r="AN13" s="12" t="s">
        <v>7820</v>
      </c>
      <c r="AO13" s="12" t="s">
        <v>80</v>
      </c>
      <c r="AP13" s="12" t="s">
        <v>7821</v>
      </c>
      <c r="AQ13" s="12" t="s">
        <v>7822</v>
      </c>
      <c r="AR13" s="12" t="s">
        <v>7822</v>
      </c>
      <c r="AS13" s="12">
        <f>ESS_DATA[[#This Row],[ETA On S/O]]-ESS_DATA[[#This Row],[ETD On S/O]]+1</f>
        <v>51</v>
      </c>
      <c r="AT13" s="12" t="s">
        <v>83</v>
      </c>
      <c r="AU13" s="347" cm="1">
        <f t="array" ref="AU1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46062</v>
      </c>
      <c r="AV1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13" s="14">
        <f>IF(ISERROR(ESS_DATA[[#This Row],[New Ark PO status]]),"",_xlfn.XLOOKUP(ESS_DATA[[#This Row],[SPTN-PVHK New Ark PO'#]],New_Ark_Data[Purchase order Number],New_Ark_Data[Estimated time of arrival],"",0))</f>
        <v>46076</v>
      </c>
      <c r="AX13" s="12">
        <f>IF(ESS_DATA[[#This Row],[New Ark PO Type]]="Offshore",0,IFERROR(VLOOKUP(ESS_DATA[[#This Row],[PORT OF LOADING]]&amp;ESS_DATA[[#This Row],[PORT DESTINATION]],LT_REF[],7,0),14))</f>
        <v>8</v>
      </c>
      <c r="AY13" s="14">
        <f>IFERROR(ESS_DATA[[#This Row],[ODP ETA Port]]+ESS_DATA[[#This Row],[Customs/Leg3 Assumption]],"n/a")</f>
        <v>46070</v>
      </c>
      <c r="AZ13" s="82">
        <f>YEAR(ESS_DATA[[#This Row],[ETA for New Ark update]])</f>
        <v>2026</v>
      </c>
      <c r="BA13" s="82">
        <f>MONTH(ESS_DATA[[#This Row],[ETA for New Ark update]])</f>
        <v>2</v>
      </c>
      <c r="BB13" s="82">
        <f>IFERROR(_xlfn.ISOWEEKNUM(ESS_DATA[[#This Row],[ETA for New Ark update]]),0)</f>
        <v>8</v>
      </c>
      <c r="BC13" s="82" t="str">
        <f>_xlfn.XLOOKUP(ESS_DATA[[#This Row],[PORT DESTINATION]],Table12[PORT DESTINATION],Table12[Cosco Line],,0)</f>
        <v>AEM</v>
      </c>
      <c r="BD13" s="82"/>
    </row>
    <row r="14" spans="1:56" s="32" customFormat="1" ht="10">
      <c r="A14" s="33" t="s">
        <v>7850</v>
      </c>
      <c r="B14" s="12" t="s">
        <v>7814</v>
      </c>
      <c r="C14" s="31" t="str">
        <f>IFERROR(LEFT(ESS_DATA[[#This Row],[TCL REFERENCE]],FIND(".",ESS_DATA[[#This Row],[TCL REFERENCE]],1)-1),"Main Line")</f>
        <v>25DEC001</v>
      </c>
      <c r="D14" s="31" t="s">
        <v>63</v>
      </c>
      <c r="E14" s="160" t="s">
        <v>64</v>
      </c>
      <c r="F14" s="160" t="s">
        <v>68</v>
      </c>
      <c r="G14" s="31" t="s">
        <v>7815</v>
      </c>
      <c r="H14" s="31" t="s">
        <v>67</v>
      </c>
      <c r="I14" s="31"/>
      <c r="J14" s="31" t="s">
        <v>96</v>
      </c>
      <c r="K14" s="31"/>
      <c r="L14" s="34"/>
      <c r="M14" s="212" t="s">
        <v>68</v>
      </c>
      <c r="N14" s="31" t="s">
        <v>7851</v>
      </c>
      <c r="O14" s="31" t="s">
        <v>7852</v>
      </c>
      <c r="P14" s="31" t="s">
        <v>7853</v>
      </c>
      <c r="Q14" s="31">
        <v>5000</v>
      </c>
      <c r="R14" s="595">
        <v>276</v>
      </c>
      <c r="S14" s="260"/>
      <c r="T14" s="82"/>
      <c r="U14" s="299">
        <f>ESS_DATA[[#This Row],[QUANTITY]]/276</f>
        <v>1</v>
      </c>
      <c r="V14" s="596" t="s">
        <v>7854</v>
      </c>
      <c r="W14" s="82" t="s">
        <v>7855</v>
      </c>
      <c r="X14" s="82" t="str">
        <f t="shared" si="0"/>
        <v>COMPLETED</v>
      </c>
      <c r="Y14" s="161"/>
      <c r="Z14" s="703">
        <v>46051</v>
      </c>
      <c r="AA14" s="35">
        <f>WEEKNUM(ESS_DATA[[#This Row],[Pick-Up Date]])</f>
        <v>5</v>
      </c>
      <c r="AB14" s="31" t="s">
        <v>7856</v>
      </c>
      <c r="AC14" s="31"/>
      <c r="AD14" s="31" t="s">
        <v>122</v>
      </c>
      <c r="AE14" s="31" t="s">
        <v>123</v>
      </c>
      <c r="AF14" s="31" t="s">
        <v>78</v>
      </c>
      <c r="AG14" s="162">
        <v>46057</v>
      </c>
      <c r="AH14" s="162">
        <v>46057</v>
      </c>
      <c r="AI14" s="162">
        <v>46057</v>
      </c>
      <c r="AJ14" s="30">
        <v>46100</v>
      </c>
      <c r="AK14" s="30">
        <v>46100</v>
      </c>
      <c r="AL14" s="30">
        <v>46116</v>
      </c>
      <c r="AM14" s="162" t="s">
        <v>7815</v>
      </c>
      <c r="AN14" s="162" t="s">
        <v>7857</v>
      </c>
      <c r="AO14" s="162" t="s">
        <v>161</v>
      </c>
      <c r="AP14" s="31" t="s">
        <v>7858</v>
      </c>
      <c r="AQ14" s="31">
        <v>265718797</v>
      </c>
      <c r="AR14" s="31">
        <v>265718797</v>
      </c>
      <c r="AS14" s="31">
        <f>ESS_DATA[[#This Row],[ETA On S/O]]-ESS_DATA[[#This Row],[ETD On S/O]]+1</f>
        <v>44</v>
      </c>
      <c r="AT14" s="31"/>
      <c r="AU14" s="30" cm="1">
        <f t="array" ref="AU1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1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14" s="14">
        <f>IF(ISERROR(ESS_DATA[[#This Row],[New Ark PO status]]),"",_xlfn.XLOOKUP(ESS_DATA[[#This Row],[SPTN-PVHK New Ark PO'#]],New_Ark_Data[Purchase order Number],New_Ark_Data[Estimated time of arrival],"",0))</f>
        <v>46121</v>
      </c>
      <c r="AX14" s="31">
        <f>IF(ESS_DATA[[#This Row],[New Ark PO Type]]="Offshore",0,IFERROR(VLOOKUP(ESS_DATA[[#This Row],[PORT OF LOADING]]&amp;ESS_DATA[[#This Row],[PORT DESTINATION]],LT_REF[],7,0),14))</f>
        <v>8</v>
      </c>
      <c r="AY14" s="30">
        <f>IFERROR(ESS_DATA[[#This Row],[ODP ETA Port]]+ESS_DATA[[#This Row],[Customs/Leg3 Assumption]],"n/a")</f>
        <v>46124</v>
      </c>
      <c r="AZ14" s="82">
        <f>YEAR(ESS_DATA[[#This Row],[ETA for New Ark update]])</f>
        <v>2026</v>
      </c>
      <c r="BA14" s="82">
        <f>MONTH(ESS_DATA[[#This Row],[ETA for New Ark update]])</f>
        <v>4</v>
      </c>
      <c r="BB14" s="82">
        <f>IFERROR(_xlfn.ISOWEEKNUM(ESS_DATA[[#This Row],[ETA for New Ark update]]),0)</f>
        <v>15</v>
      </c>
      <c r="BC14" s="82" t="str">
        <f>_xlfn.XLOOKUP(ESS_DATA[[#This Row],[PORT DESTINATION]],Table12[PORT DESTINATION],Table12[Cosco Line],,0)</f>
        <v>AEM</v>
      </c>
      <c r="BD14" s="82"/>
    </row>
    <row r="15" spans="1:56" s="32" customFormat="1" ht="10">
      <c r="A15" s="33" t="s">
        <v>7859</v>
      </c>
      <c r="B15" s="12" t="s">
        <v>7814</v>
      </c>
      <c r="C15" s="31" t="str">
        <f>IFERROR(LEFT(ESS_DATA[[#This Row],[TCL REFERENCE]],FIND(".",ESS_DATA[[#This Row],[TCL REFERENCE]],1)-1),"Main Line")</f>
        <v>25DEC001</v>
      </c>
      <c r="D15" s="31" t="s">
        <v>63</v>
      </c>
      <c r="E15" s="160" t="s">
        <v>64</v>
      </c>
      <c r="F15" s="160" t="s">
        <v>68</v>
      </c>
      <c r="G15" s="31" t="s">
        <v>7815</v>
      </c>
      <c r="H15" s="31" t="s">
        <v>67</v>
      </c>
      <c r="I15" s="31"/>
      <c r="J15" s="31" t="s">
        <v>96</v>
      </c>
      <c r="K15" s="31"/>
      <c r="L15" s="34"/>
      <c r="M15" s="212" t="s">
        <v>68</v>
      </c>
      <c r="N15" s="31" t="s">
        <v>7851</v>
      </c>
      <c r="O15" s="31" t="s">
        <v>7852</v>
      </c>
      <c r="P15" s="31" t="s">
        <v>7853</v>
      </c>
      <c r="Q15" s="31">
        <v>5000</v>
      </c>
      <c r="R15" s="595">
        <v>276</v>
      </c>
      <c r="S15" s="597"/>
      <c r="T15" s="165"/>
      <c r="U15" s="598">
        <f>ESS_DATA[[#This Row],[QUANTITY]]/276</f>
        <v>1</v>
      </c>
      <c r="V15" s="596" t="s">
        <v>7860</v>
      </c>
      <c r="W15" s="82" t="s">
        <v>7855</v>
      </c>
      <c r="X15" s="82" t="str">
        <f t="shared" si="0"/>
        <v>COMPLETED</v>
      </c>
      <c r="Y15" s="161"/>
      <c r="Z15" s="703">
        <v>46051</v>
      </c>
      <c r="AA15" s="35">
        <f>WEEKNUM(ESS_DATA[[#This Row],[Pick-Up Date]])</f>
        <v>5</v>
      </c>
      <c r="AB15" s="31" t="s">
        <v>7856</v>
      </c>
      <c r="AC15" s="31"/>
      <c r="AD15" s="31" t="s">
        <v>122</v>
      </c>
      <c r="AE15" s="31" t="s">
        <v>123</v>
      </c>
      <c r="AF15" s="31" t="s">
        <v>78</v>
      </c>
      <c r="AG15" s="162">
        <v>46057</v>
      </c>
      <c r="AH15" s="162">
        <v>46057</v>
      </c>
      <c r="AI15" s="162">
        <v>46057</v>
      </c>
      <c r="AJ15" s="30">
        <v>46100</v>
      </c>
      <c r="AK15" s="30">
        <v>46100</v>
      </c>
      <c r="AL15" s="30">
        <v>46116</v>
      </c>
      <c r="AM15" s="162" t="s">
        <v>7815</v>
      </c>
      <c r="AN15" s="162" t="s">
        <v>7857</v>
      </c>
      <c r="AO15" s="162" t="s">
        <v>161</v>
      </c>
      <c r="AP15" s="31" t="s">
        <v>7858</v>
      </c>
      <c r="AQ15" s="31">
        <v>265718797</v>
      </c>
      <c r="AR15" s="31">
        <v>265718797</v>
      </c>
      <c r="AS15" s="31">
        <f>ESS_DATA[[#This Row],[ETA On S/O]]-ESS_DATA[[#This Row],[ETD On S/O]]+1</f>
        <v>44</v>
      </c>
      <c r="AT15" s="31"/>
      <c r="AU15" s="30" cm="1">
        <f t="array" ref="AU1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1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15" s="14">
        <f>IF(ISERROR(ESS_DATA[[#This Row],[New Ark PO status]]),"",_xlfn.XLOOKUP(ESS_DATA[[#This Row],[SPTN-PVHK New Ark PO'#]],New_Ark_Data[Purchase order Number],New_Ark_Data[Estimated time of arrival],"",0))</f>
        <v>46121</v>
      </c>
      <c r="AX15" s="31">
        <f>IF(ESS_DATA[[#This Row],[New Ark PO Type]]="Offshore",0,IFERROR(VLOOKUP(ESS_DATA[[#This Row],[PORT OF LOADING]]&amp;ESS_DATA[[#This Row],[PORT DESTINATION]],LT_REF[],7,0),14))</f>
        <v>8</v>
      </c>
      <c r="AY15" s="30">
        <f>IFERROR(ESS_DATA[[#This Row],[ODP ETA Port]]+ESS_DATA[[#This Row],[Customs/Leg3 Assumption]],"n/a")</f>
        <v>46124</v>
      </c>
      <c r="AZ15" s="82">
        <f>YEAR(ESS_DATA[[#This Row],[ETA for New Ark update]])</f>
        <v>2026</v>
      </c>
      <c r="BA15" s="82">
        <f>MONTH(ESS_DATA[[#This Row],[ETA for New Ark update]])</f>
        <v>4</v>
      </c>
      <c r="BB15" s="82">
        <f>IFERROR(_xlfn.ISOWEEKNUM(ESS_DATA[[#This Row],[ETA for New Ark update]]),0)</f>
        <v>15</v>
      </c>
      <c r="BC15" s="82" t="str">
        <f>_xlfn.XLOOKUP(ESS_DATA[[#This Row],[PORT DESTINATION]],Table12[PORT DESTINATION],Table12[Cosco Line],,0)</f>
        <v>AEM</v>
      </c>
      <c r="BD15" s="82"/>
    </row>
    <row r="16" spans="1:56" s="5" customFormat="1" ht="10">
      <c r="A16" s="38" t="s">
        <v>7861</v>
      </c>
      <c r="B16" s="12" t="s">
        <v>7814</v>
      </c>
      <c r="C16" s="39" t="str">
        <f>IFERROR(LEFT(ESS_DATA[[#This Row],[TCL REFERENCE]],FIND(".",ESS_DATA[[#This Row],[TCL REFERENCE]],1)-1),"Main Line")</f>
        <v>Main Line</v>
      </c>
      <c r="D16" s="39" t="s">
        <v>63</v>
      </c>
      <c r="E16" s="160" t="s">
        <v>64</v>
      </c>
      <c r="F16" s="160" t="s">
        <v>68</v>
      </c>
      <c r="G16" s="39" t="s">
        <v>7815</v>
      </c>
      <c r="H16" s="39" t="s">
        <v>67</v>
      </c>
      <c r="I16" s="56"/>
      <c r="J16" s="39" t="s">
        <v>96</v>
      </c>
      <c r="K16" s="39"/>
      <c r="L16" s="56"/>
      <c r="M16" s="75" t="s">
        <v>68</v>
      </c>
      <c r="N16" s="39" t="s">
        <v>7862</v>
      </c>
      <c r="O16" s="39" t="s">
        <v>7829</v>
      </c>
      <c r="P16" s="39" t="s">
        <v>7863</v>
      </c>
      <c r="Q16" s="39">
        <v>5000</v>
      </c>
      <c r="R16" s="656">
        <v>100</v>
      </c>
      <c r="S16" s="607"/>
      <c r="T16" s="79"/>
      <c r="U16" s="657">
        <f>ESS_DATA[[#This Row],[QUANTITY]]/224</f>
        <v>0.44642857142857145</v>
      </c>
      <c r="V16" s="701" t="s">
        <v>7864</v>
      </c>
      <c r="W16" s="79" t="s">
        <v>7855</v>
      </c>
      <c r="X16" s="79" t="str">
        <f t="shared" si="0"/>
        <v>COMPLETED</v>
      </c>
      <c r="Y16" s="118"/>
      <c r="Z16" s="704">
        <v>46056</v>
      </c>
      <c r="AA16" s="660">
        <f>WEEKNUM(ESS_DATA[[#This Row],[Pick-Up Date]])</f>
        <v>6</v>
      </c>
      <c r="AB16" s="39" t="s">
        <v>7865</v>
      </c>
      <c r="AC16" s="39"/>
      <c r="AD16" s="39" t="s">
        <v>122</v>
      </c>
      <c r="AE16" s="39" t="s">
        <v>123</v>
      </c>
      <c r="AF16" s="39" t="s">
        <v>78</v>
      </c>
      <c r="AG16" s="659">
        <v>46063</v>
      </c>
      <c r="AH16" s="659">
        <v>46065</v>
      </c>
      <c r="AI16" s="659">
        <v>46063</v>
      </c>
      <c r="AJ16" s="659">
        <v>46111</v>
      </c>
      <c r="AK16" s="659">
        <v>46133</v>
      </c>
      <c r="AL16" s="659">
        <v>46132</v>
      </c>
      <c r="AM16" s="39" t="s">
        <v>7815</v>
      </c>
      <c r="AN16" s="39" t="s">
        <v>739</v>
      </c>
      <c r="AO16" s="39" t="s">
        <v>80</v>
      </c>
      <c r="AP16" s="39" t="s">
        <v>7866</v>
      </c>
      <c r="AQ16" s="39" t="s">
        <v>7867</v>
      </c>
      <c r="AR16" s="39" t="s">
        <v>7867</v>
      </c>
      <c r="AS16" s="39">
        <f>ESS_DATA[[#This Row],[ETA On S/O]]-ESS_DATA[[#This Row],[ETD On S/O]]+1</f>
        <v>49</v>
      </c>
      <c r="AT16" s="39"/>
      <c r="AU16" s="30" cm="1">
        <f t="array" ref="AU1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46132</v>
      </c>
      <c r="AV1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16" s="14">
        <f>IF(ISERROR(ESS_DATA[[#This Row],[New Ark PO status]]),"",_xlfn.XLOOKUP(ESS_DATA[[#This Row],[SPTN-PVHK New Ark PO'#]],New_Ark_Data[Purchase order Number],New_Ark_Data[Estimated time of arrival],"",0))</f>
        <v>46142</v>
      </c>
      <c r="AX16" s="31">
        <f>IF(ESS_DATA[[#This Row],[New Ark PO Type]]="Offshore",0,IFERROR(VLOOKUP(ESS_DATA[[#This Row],[PORT OF LOADING]]&amp;ESS_DATA[[#This Row],[PORT DESTINATION]],LT_REF[],7,0),14))</f>
        <v>8</v>
      </c>
      <c r="AY16" s="30">
        <f>IFERROR(ESS_DATA[[#This Row],[ODP ETA Port]]+ESS_DATA[[#This Row],[Customs/Leg3 Assumption]],"n/a")</f>
        <v>46140</v>
      </c>
      <c r="AZ16" s="82">
        <f>YEAR(ESS_DATA[[#This Row],[ETA for New Ark update]])</f>
        <v>2026</v>
      </c>
      <c r="BA16" s="82">
        <f>MONTH(ESS_DATA[[#This Row],[ETA for New Ark update]])</f>
        <v>4</v>
      </c>
      <c r="BB16" s="82">
        <f>IFERROR(_xlfn.ISOWEEKNUM(ESS_DATA[[#This Row],[ETA for New Ark update]]),0)</f>
        <v>18</v>
      </c>
      <c r="BC16" s="82" t="str">
        <f>_xlfn.XLOOKUP(ESS_DATA[[#This Row],[PORT DESTINATION]],Table12[PORT DESTINATION],Table12[Cosco Line],,0)</f>
        <v>AEM</v>
      </c>
      <c r="BD16" s="82"/>
    </row>
    <row r="17" spans="1:56" s="5" customFormat="1" ht="10">
      <c r="A17" s="38" t="s">
        <v>7868</v>
      </c>
      <c r="B17" s="12" t="s">
        <v>7814</v>
      </c>
      <c r="C17" s="39" t="str">
        <f>IFERROR(LEFT(ESS_DATA[[#This Row],[TCL REFERENCE]],FIND(".",ESS_DATA[[#This Row],[TCL REFERENCE]],1)-1),"Main Line")</f>
        <v>25DEC002</v>
      </c>
      <c r="D17" s="39" t="s">
        <v>63</v>
      </c>
      <c r="E17" s="160" t="s">
        <v>64</v>
      </c>
      <c r="F17" s="160" t="s">
        <v>68</v>
      </c>
      <c r="G17" s="39" t="s">
        <v>7815</v>
      </c>
      <c r="H17" s="39" t="s">
        <v>67</v>
      </c>
      <c r="I17" s="56"/>
      <c r="J17" s="39" t="s">
        <v>7846</v>
      </c>
      <c r="K17" s="39"/>
      <c r="L17" s="56"/>
      <c r="M17" s="75" t="s">
        <v>68</v>
      </c>
      <c r="N17" s="39" t="s">
        <v>7862</v>
      </c>
      <c r="O17" s="39" t="s">
        <v>7829</v>
      </c>
      <c r="P17" s="39" t="s">
        <v>7863</v>
      </c>
      <c r="Q17" s="39">
        <v>5000</v>
      </c>
      <c r="R17" s="656">
        <v>3</v>
      </c>
      <c r="S17" s="607"/>
      <c r="T17" s="79"/>
      <c r="U17" s="657">
        <f>ESS_DATA[[#This Row],[QUANTITY]]/224</f>
        <v>1.3392857142857142E-2</v>
      </c>
      <c r="V17" s="701" t="s">
        <v>7864</v>
      </c>
      <c r="W17" s="79" t="s">
        <v>7855</v>
      </c>
      <c r="X17" s="79" t="str">
        <f t="shared" si="0"/>
        <v>COMPLETED</v>
      </c>
      <c r="Y17" s="118"/>
      <c r="Z17" s="704">
        <v>46056</v>
      </c>
      <c r="AA17" s="660">
        <f>WEEKNUM(ESS_DATA[[#This Row],[Pick-Up Date]])</f>
        <v>6</v>
      </c>
      <c r="AB17" s="39" t="s">
        <v>7865</v>
      </c>
      <c r="AC17" s="39"/>
      <c r="AD17" s="39" t="s">
        <v>122</v>
      </c>
      <c r="AE17" s="39" t="s">
        <v>123</v>
      </c>
      <c r="AF17" s="39" t="s">
        <v>78</v>
      </c>
      <c r="AG17" s="659">
        <v>46063</v>
      </c>
      <c r="AH17" s="659">
        <v>46065</v>
      </c>
      <c r="AI17" s="659">
        <v>46063</v>
      </c>
      <c r="AJ17" s="659">
        <v>46111</v>
      </c>
      <c r="AK17" s="659">
        <v>46133</v>
      </c>
      <c r="AL17" s="659">
        <v>46132</v>
      </c>
      <c r="AM17" s="39" t="s">
        <v>7815</v>
      </c>
      <c r="AN17" s="39" t="s">
        <v>739</v>
      </c>
      <c r="AO17" s="39" t="s">
        <v>80</v>
      </c>
      <c r="AP17" s="39" t="s">
        <v>7866</v>
      </c>
      <c r="AQ17" s="39" t="s">
        <v>7867</v>
      </c>
      <c r="AR17" s="39" t="s">
        <v>7867</v>
      </c>
      <c r="AS17" s="39">
        <f>ESS_DATA[[#This Row],[ETA On S/O]]-ESS_DATA[[#This Row],[ETD On S/O]]+1</f>
        <v>49</v>
      </c>
      <c r="AT17" s="39"/>
      <c r="AU17" s="30" cm="1">
        <f t="array" ref="AU1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46132</v>
      </c>
      <c r="AV1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17" s="14">
        <f>IF(ISERROR(ESS_DATA[[#This Row],[New Ark PO status]]),"",_xlfn.XLOOKUP(ESS_DATA[[#This Row],[SPTN-PVHK New Ark PO'#]],New_Ark_Data[Purchase order Number],New_Ark_Data[Estimated time of arrival],"",0))</f>
        <v>46142</v>
      </c>
      <c r="AX17" s="31">
        <f>IF(ESS_DATA[[#This Row],[New Ark PO Type]]="Offshore",0,IFERROR(VLOOKUP(ESS_DATA[[#This Row],[PORT OF LOADING]]&amp;ESS_DATA[[#This Row],[PORT DESTINATION]],LT_REF[],7,0),14))</f>
        <v>8</v>
      </c>
      <c r="AY17" s="30">
        <f>IFERROR(ESS_DATA[[#This Row],[ODP ETA Port]]+ESS_DATA[[#This Row],[Customs/Leg3 Assumption]],"n/a")</f>
        <v>46140</v>
      </c>
      <c r="AZ17" s="82">
        <f>YEAR(ESS_DATA[[#This Row],[ETA for New Ark update]])</f>
        <v>2026</v>
      </c>
      <c r="BA17" s="82">
        <f>MONTH(ESS_DATA[[#This Row],[ETA for New Ark update]])</f>
        <v>4</v>
      </c>
      <c r="BB17" s="82">
        <f>IFERROR(_xlfn.ISOWEEKNUM(ESS_DATA[[#This Row],[ETA for New Ark update]]),0)</f>
        <v>18</v>
      </c>
      <c r="BC17" s="82" t="str">
        <f>_xlfn.XLOOKUP(ESS_DATA[[#This Row],[PORT DESTINATION]],Table12[PORT DESTINATION],Table12[Cosco Line],,0)</f>
        <v>AEM</v>
      </c>
      <c r="BD17" s="82"/>
    </row>
    <row r="18" spans="1:56" s="5" customFormat="1" ht="10">
      <c r="A18" s="38" t="s">
        <v>7869</v>
      </c>
      <c r="B18" s="12" t="s">
        <v>7814</v>
      </c>
      <c r="C18" s="39" t="str">
        <f>IFERROR(LEFT(ESS_DATA[[#This Row],[TCL REFERENCE]],FIND(".",ESS_DATA[[#This Row],[TCL REFERENCE]],1)-1),"Main Line")</f>
        <v>Main Line</v>
      </c>
      <c r="D18" s="39" t="s">
        <v>63</v>
      </c>
      <c r="E18" s="160" t="s">
        <v>64</v>
      </c>
      <c r="F18" s="160" t="s">
        <v>68</v>
      </c>
      <c r="G18" s="39" t="s">
        <v>7815</v>
      </c>
      <c r="H18" s="39" t="s">
        <v>67</v>
      </c>
      <c r="I18" s="56"/>
      <c r="J18" s="39" t="s">
        <v>96</v>
      </c>
      <c r="K18" s="39"/>
      <c r="L18" s="56"/>
      <c r="M18" s="75" t="s">
        <v>68</v>
      </c>
      <c r="N18" s="39" t="s">
        <v>7828</v>
      </c>
      <c r="O18" s="39" t="s">
        <v>7829</v>
      </c>
      <c r="P18" s="39" t="s">
        <v>7830</v>
      </c>
      <c r="Q18" s="39">
        <v>6000</v>
      </c>
      <c r="R18" s="656">
        <f>296-R21</f>
        <v>72</v>
      </c>
      <c r="S18" s="607"/>
      <c r="T18" s="79"/>
      <c r="U18" s="657">
        <f>ESS_DATA[[#This Row],[QUANTITY]]/224</f>
        <v>0.32142857142857145</v>
      </c>
      <c r="V18" s="701" t="s">
        <v>7864</v>
      </c>
      <c r="W18" s="79" t="s">
        <v>7855</v>
      </c>
      <c r="X18" s="79" t="str">
        <f t="shared" si="0"/>
        <v>COMPLETED</v>
      </c>
      <c r="Y18" s="118"/>
      <c r="Z18" s="704">
        <v>46056</v>
      </c>
      <c r="AA18" s="660">
        <f>WEEKNUM(ESS_DATA[[#This Row],[Pick-Up Date]])</f>
        <v>6</v>
      </c>
      <c r="AB18" s="39" t="s">
        <v>7865</v>
      </c>
      <c r="AC18" s="39"/>
      <c r="AD18" s="39" t="s">
        <v>122</v>
      </c>
      <c r="AE18" s="39" t="s">
        <v>123</v>
      </c>
      <c r="AF18" s="39" t="s">
        <v>78</v>
      </c>
      <c r="AG18" s="659">
        <v>46063</v>
      </c>
      <c r="AH18" s="659">
        <v>46065</v>
      </c>
      <c r="AI18" s="659">
        <v>46063</v>
      </c>
      <c r="AJ18" s="659">
        <v>46111</v>
      </c>
      <c r="AK18" s="659">
        <v>46133</v>
      </c>
      <c r="AL18" s="659">
        <v>46132</v>
      </c>
      <c r="AM18" s="39" t="s">
        <v>7815</v>
      </c>
      <c r="AN18" s="39" t="s">
        <v>739</v>
      </c>
      <c r="AO18" s="39" t="s">
        <v>80</v>
      </c>
      <c r="AP18" s="39" t="s">
        <v>7866</v>
      </c>
      <c r="AQ18" s="39" t="s">
        <v>7867</v>
      </c>
      <c r="AR18" s="39" t="s">
        <v>7867</v>
      </c>
      <c r="AS18" s="39">
        <f>ESS_DATA[[#This Row],[ETA On S/O]]-ESS_DATA[[#This Row],[ETD On S/O]]+1</f>
        <v>49</v>
      </c>
      <c r="AT18" s="39"/>
      <c r="AU18" s="30" cm="1">
        <f t="array" ref="AU1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46132</v>
      </c>
      <c r="AV1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18" s="14">
        <f>IF(ISERROR(ESS_DATA[[#This Row],[New Ark PO status]]),"",_xlfn.XLOOKUP(ESS_DATA[[#This Row],[SPTN-PVHK New Ark PO'#]],New_Ark_Data[Purchase order Number],New_Ark_Data[Estimated time of arrival],"",0))</f>
        <v>46142</v>
      </c>
      <c r="AX18" s="31">
        <f>IF(ESS_DATA[[#This Row],[New Ark PO Type]]="Offshore",0,IFERROR(VLOOKUP(ESS_DATA[[#This Row],[PORT OF LOADING]]&amp;ESS_DATA[[#This Row],[PORT DESTINATION]],LT_REF[],7,0),14))</f>
        <v>8</v>
      </c>
      <c r="AY18" s="30">
        <f>IFERROR(ESS_DATA[[#This Row],[ODP ETA Port]]+ESS_DATA[[#This Row],[Customs/Leg3 Assumption]],"n/a")</f>
        <v>46140</v>
      </c>
      <c r="AZ18" s="82">
        <f>YEAR(ESS_DATA[[#This Row],[ETA for New Ark update]])</f>
        <v>2026</v>
      </c>
      <c r="BA18" s="82">
        <f>MONTH(ESS_DATA[[#This Row],[ETA for New Ark update]])</f>
        <v>4</v>
      </c>
      <c r="BB18" s="82">
        <f>IFERROR(_xlfn.ISOWEEKNUM(ESS_DATA[[#This Row],[ETA for New Ark update]]),0)</f>
        <v>18</v>
      </c>
      <c r="BC18" s="82" t="str">
        <f>_xlfn.XLOOKUP(ESS_DATA[[#This Row],[PORT DESTINATION]],Table12[PORT DESTINATION],Table12[Cosco Line],,0)</f>
        <v>AEM</v>
      </c>
      <c r="BD18" s="82"/>
    </row>
    <row r="19" spans="1:56" s="5" customFormat="1" ht="10">
      <c r="A19" s="38" t="s">
        <v>7870</v>
      </c>
      <c r="B19" s="12" t="s">
        <v>7814</v>
      </c>
      <c r="C19" s="39" t="str">
        <f>IFERROR(LEFT(ESS_DATA[[#This Row],[TCL REFERENCE]],FIND(".",ESS_DATA[[#This Row],[TCL REFERENCE]],1)-1),"Main Line")</f>
        <v>25DEC003</v>
      </c>
      <c r="D19" s="39" t="s">
        <v>63</v>
      </c>
      <c r="E19" s="160" t="s">
        <v>64</v>
      </c>
      <c r="F19" s="160" t="s">
        <v>68</v>
      </c>
      <c r="G19" s="39" t="s">
        <v>7815</v>
      </c>
      <c r="H19" s="39" t="s">
        <v>67</v>
      </c>
      <c r="I19" s="56"/>
      <c r="J19" s="39" t="s">
        <v>7846</v>
      </c>
      <c r="K19" s="39"/>
      <c r="L19" s="56"/>
      <c r="M19" s="75" t="s">
        <v>68</v>
      </c>
      <c r="N19" s="39" t="s">
        <v>7828</v>
      </c>
      <c r="O19" s="39" t="s">
        <v>7829</v>
      </c>
      <c r="P19" s="39" t="s">
        <v>7830</v>
      </c>
      <c r="Q19" s="39">
        <v>6000</v>
      </c>
      <c r="R19" s="656">
        <v>9</v>
      </c>
      <c r="S19" s="607"/>
      <c r="T19" s="79"/>
      <c r="U19" s="657">
        <f>ESS_DATA[[#This Row],[QUANTITY]]/224</f>
        <v>4.0178571428571432E-2</v>
      </c>
      <c r="V19" s="701" t="s">
        <v>7864</v>
      </c>
      <c r="W19" s="79" t="s">
        <v>7855</v>
      </c>
      <c r="X19" s="79" t="str">
        <f t="shared" si="0"/>
        <v>COMPLETED</v>
      </c>
      <c r="Y19" s="118"/>
      <c r="Z19" s="704">
        <v>46056</v>
      </c>
      <c r="AA19" s="660">
        <f>WEEKNUM(ESS_DATA[[#This Row],[Pick-Up Date]])</f>
        <v>6</v>
      </c>
      <c r="AB19" s="39" t="s">
        <v>7865</v>
      </c>
      <c r="AC19" s="39"/>
      <c r="AD19" s="39" t="s">
        <v>122</v>
      </c>
      <c r="AE19" s="39" t="s">
        <v>123</v>
      </c>
      <c r="AF19" s="39" t="s">
        <v>78</v>
      </c>
      <c r="AG19" s="659">
        <v>46063</v>
      </c>
      <c r="AH19" s="659">
        <v>46065</v>
      </c>
      <c r="AI19" s="659">
        <v>46063</v>
      </c>
      <c r="AJ19" s="659">
        <v>46111</v>
      </c>
      <c r="AK19" s="659">
        <v>46133</v>
      </c>
      <c r="AL19" s="659">
        <v>46132</v>
      </c>
      <c r="AM19" s="39" t="s">
        <v>7815</v>
      </c>
      <c r="AN19" s="39" t="s">
        <v>739</v>
      </c>
      <c r="AO19" s="39" t="s">
        <v>80</v>
      </c>
      <c r="AP19" s="39" t="s">
        <v>7866</v>
      </c>
      <c r="AQ19" s="39" t="s">
        <v>7867</v>
      </c>
      <c r="AR19" s="39" t="s">
        <v>7867</v>
      </c>
      <c r="AS19" s="39">
        <f>ESS_DATA[[#This Row],[ETA On S/O]]-ESS_DATA[[#This Row],[ETD On S/O]]+1</f>
        <v>49</v>
      </c>
      <c r="AT19" s="39"/>
      <c r="AU19" s="30" cm="1">
        <f t="array" ref="AU1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46132</v>
      </c>
      <c r="AV1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19" s="14">
        <f>IF(ISERROR(ESS_DATA[[#This Row],[New Ark PO status]]),"",_xlfn.XLOOKUP(ESS_DATA[[#This Row],[SPTN-PVHK New Ark PO'#]],New_Ark_Data[Purchase order Number],New_Ark_Data[Estimated time of arrival],"",0))</f>
        <v>46142</v>
      </c>
      <c r="AX19" s="31">
        <f>IF(ESS_DATA[[#This Row],[New Ark PO Type]]="Offshore",0,IFERROR(VLOOKUP(ESS_DATA[[#This Row],[PORT OF LOADING]]&amp;ESS_DATA[[#This Row],[PORT DESTINATION]],LT_REF[],7,0),14))</f>
        <v>8</v>
      </c>
      <c r="AY19" s="30">
        <f>IFERROR(ESS_DATA[[#This Row],[ODP ETA Port]]+ESS_DATA[[#This Row],[Customs/Leg3 Assumption]],"n/a")</f>
        <v>46140</v>
      </c>
      <c r="AZ19" s="82">
        <f>YEAR(ESS_DATA[[#This Row],[ETA for New Ark update]])</f>
        <v>2026</v>
      </c>
      <c r="BA19" s="82">
        <f>MONTH(ESS_DATA[[#This Row],[ETA for New Ark update]])</f>
        <v>4</v>
      </c>
      <c r="BB19" s="82">
        <f>IFERROR(_xlfn.ISOWEEKNUM(ESS_DATA[[#This Row],[ETA for New Ark update]]),0)</f>
        <v>18</v>
      </c>
      <c r="BC19" s="82" t="str">
        <f>_xlfn.XLOOKUP(ESS_DATA[[#This Row],[PORT DESTINATION]],Table12[PORT DESTINATION],Table12[Cosco Line],,0)</f>
        <v>AEM</v>
      </c>
      <c r="BD19" s="82"/>
    </row>
    <row r="20" spans="1:56" s="5" customFormat="1" ht="10">
      <c r="A20" s="38" t="s">
        <v>7871</v>
      </c>
      <c r="B20" s="12" t="s">
        <v>7814</v>
      </c>
      <c r="C20" s="39" t="str">
        <f>IFERROR(LEFT(ESS_DATA[[#This Row],[TCL REFERENCE]],FIND(".",ESS_DATA[[#This Row],[TCL REFERENCE]],1)-1),"Main Line")</f>
        <v>Main Line</v>
      </c>
      <c r="D20" s="39" t="s">
        <v>63</v>
      </c>
      <c r="E20" s="160" t="s">
        <v>64</v>
      </c>
      <c r="F20" s="160" t="s">
        <v>68</v>
      </c>
      <c r="G20" s="39" t="s">
        <v>7815</v>
      </c>
      <c r="H20" s="39" t="s">
        <v>67</v>
      </c>
      <c r="I20" s="56"/>
      <c r="J20" s="39" t="s">
        <v>96</v>
      </c>
      <c r="K20" s="39"/>
      <c r="L20" s="56"/>
      <c r="M20" s="75" t="s">
        <v>68</v>
      </c>
      <c r="N20" s="39" t="s">
        <v>7840</v>
      </c>
      <c r="O20" s="39" t="s">
        <v>7841</v>
      </c>
      <c r="P20" s="39" t="s">
        <v>7842</v>
      </c>
      <c r="Q20" s="39">
        <v>0</v>
      </c>
      <c r="R20" s="656">
        <f>396-R22</f>
        <v>58</v>
      </c>
      <c r="S20" s="607"/>
      <c r="T20" s="79"/>
      <c r="U20" s="657">
        <f>ESS_DATA[[#This Row],[QUANTITY]]/350</f>
        <v>0.1657142857142857</v>
      </c>
      <c r="V20" s="701" t="s">
        <v>7864</v>
      </c>
      <c r="W20" s="79" t="s">
        <v>7855</v>
      </c>
      <c r="X20" s="79" t="str">
        <f t="shared" si="0"/>
        <v>COMPLETED</v>
      </c>
      <c r="Y20" s="118"/>
      <c r="Z20" s="704">
        <v>46056</v>
      </c>
      <c r="AA20" s="660">
        <f>WEEKNUM(ESS_DATA[[#This Row],[Pick-Up Date]])</f>
        <v>6</v>
      </c>
      <c r="AB20" s="39" t="s">
        <v>7865</v>
      </c>
      <c r="AC20" s="39"/>
      <c r="AD20" s="39" t="s">
        <v>122</v>
      </c>
      <c r="AE20" s="39" t="s">
        <v>123</v>
      </c>
      <c r="AF20" s="39" t="s">
        <v>78</v>
      </c>
      <c r="AG20" s="659">
        <v>46063</v>
      </c>
      <c r="AH20" s="659">
        <v>46065</v>
      </c>
      <c r="AI20" s="659">
        <v>46063</v>
      </c>
      <c r="AJ20" s="659">
        <v>46111</v>
      </c>
      <c r="AK20" s="659">
        <v>46133</v>
      </c>
      <c r="AL20" s="659">
        <v>46132</v>
      </c>
      <c r="AM20" s="39" t="s">
        <v>7815</v>
      </c>
      <c r="AN20" s="39" t="s">
        <v>739</v>
      </c>
      <c r="AO20" s="39" t="s">
        <v>80</v>
      </c>
      <c r="AP20" s="39" t="s">
        <v>7866</v>
      </c>
      <c r="AQ20" s="39" t="s">
        <v>7867</v>
      </c>
      <c r="AR20" s="39" t="s">
        <v>7867</v>
      </c>
      <c r="AS20" s="39">
        <f>ESS_DATA[[#This Row],[ETA On S/O]]-ESS_DATA[[#This Row],[ETD On S/O]]+1</f>
        <v>49</v>
      </c>
      <c r="AT20" s="39"/>
      <c r="AU20" s="30" cm="1">
        <f t="array" ref="AU2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46132</v>
      </c>
      <c r="AV2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20" s="14">
        <f>IF(ISERROR(ESS_DATA[[#This Row],[New Ark PO status]]),"",_xlfn.XLOOKUP(ESS_DATA[[#This Row],[SPTN-PVHK New Ark PO'#]],New_Ark_Data[Purchase order Number],New_Ark_Data[Estimated time of arrival],"",0))</f>
        <v>46142</v>
      </c>
      <c r="AX20" s="31">
        <f>IF(ESS_DATA[[#This Row],[New Ark PO Type]]="Offshore",0,IFERROR(VLOOKUP(ESS_DATA[[#This Row],[PORT OF LOADING]]&amp;ESS_DATA[[#This Row],[PORT DESTINATION]],LT_REF[],7,0),14))</f>
        <v>8</v>
      </c>
      <c r="AY20" s="30">
        <f>IFERROR(ESS_DATA[[#This Row],[ODP ETA Port]]+ESS_DATA[[#This Row],[Customs/Leg3 Assumption]],"n/a")</f>
        <v>46140</v>
      </c>
      <c r="AZ20" s="82">
        <f>YEAR(ESS_DATA[[#This Row],[ETA for New Ark update]])</f>
        <v>2026</v>
      </c>
      <c r="BA20" s="82">
        <f>MONTH(ESS_DATA[[#This Row],[ETA for New Ark update]])</f>
        <v>4</v>
      </c>
      <c r="BB20" s="82">
        <f>IFERROR(_xlfn.ISOWEEKNUM(ESS_DATA[[#This Row],[ETA for New Ark update]]),0)</f>
        <v>18</v>
      </c>
      <c r="BC20" s="82" t="str">
        <f>_xlfn.XLOOKUP(ESS_DATA[[#This Row],[PORT DESTINATION]],Table12[PORT DESTINATION],Table12[Cosco Line],,0)</f>
        <v>AEM</v>
      </c>
      <c r="BD20" s="82"/>
    </row>
    <row r="21" spans="1:56" s="5" customFormat="1" ht="10">
      <c r="A21" s="38" t="s">
        <v>7872</v>
      </c>
      <c r="B21" s="12" t="s">
        <v>7814</v>
      </c>
      <c r="C21" s="39" t="str">
        <f>IFERROR(LEFT(ESS_DATA[[#This Row],[TCL REFERENCE]],FIND(".",ESS_DATA[[#This Row],[TCL REFERENCE]],1)-1),"Main Line")</f>
        <v>25DEC003</v>
      </c>
      <c r="D21" s="39" t="s">
        <v>63</v>
      </c>
      <c r="E21" s="160" t="s">
        <v>64</v>
      </c>
      <c r="F21" s="160" t="s">
        <v>68</v>
      </c>
      <c r="G21" s="39" t="s">
        <v>7815</v>
      </c>
      <c r="H21" s="39" t="s">
        <v>67</v>
      </c>
      <c r="I21" s="39"/>
      <c r="J21" s="39" t="s">
        <v>96</v>
      </c>
      <c r="K21" s="39"/>
      <c r="L21" s="56"/>
      <c r="M21" s="75" t="s">
        <v>68</v>
      </c>
      <c r="N21" s="39" t="s">
        <v>7828</v>
      </c>
      <c r="O21" s="39" t="s">
        <v>7829</v>
      </c>
      <c r="P21" s="39" t="s">
        <v>7830</v>
      </c>
      <c r="Q21" s="39">
        <v>6000</v>
      </c>
      <c r="R21" s="656">
        <v>224</v>
      </c>
      <c r="S21" s="607"/>
      <c r="T21" s="79"/>
      <c r="U21" s="657">
        <f>ESS_DATA[[#This Row],[QUANTITY]]/224</f>
        <v>1</v>
      </c>
      <c r="V21" s="758" t="s">
        <v>7873</v>
      </c>
      <c r="W21" s="79" t="s">
        <v>7855</v>
      </c>
      <c r="X21" s="79" t="str">
        <f t="shared" si="0"/>
        <v>COMPLETED</v>
      </c>
      <c r="Y21" s="118"/>
      <c r="Z21" s="704">
        <v>46056</v>
      </c>
      <c r="AA21" s="660">
        <f>WEEKNUM(ESS_DATA[[#This Row],[Pick-Up Date]])</f>
        <v>6</v>
      </c>
      <c r="AB21" s="39" t="s">
        <v>7874</v>
      </c>
      <c r="AC21" s="39"/>
      <c r="AD21" s="39" t="s">
        <v>122</v>
      </c>
      <c r="AE21" s="39" t="s">
        <v>123</v>
      </c>
      <c r="AF21" s="39" t="s">
        <v>78</v>
      </c>
      <c r="AG21" s="659">
        <v>46063</v>
      </c>
      <c r="AH21" s="659">
        <v>46065</v>
      </c>
      <c r="AI21" s="659">
        <v>46063</v>
      </c>
      <c r="AJ21" s="659">
        <v>46111</v>
      </c>
      <c r="AK21" s="659">
        <v>46133</v>
      </c>
      <c r="AL21" s="659">
        <v>46132</v>
      </c>
      <c r="AM21" s="39" t="s">
        <v>7815</v>
      </c>
      <c r="AN21" s="39" t="s">
        <v>739</v>
      </c>
      <c r="AO21" s="39" t="s">
        <v>80</v>
      </c>
      <c r="AP21" s="39" t="s">
        <v>7866</v>
      </c>
      <c r="AQ21" s="39" t="s">
        <v>7867</v>
      </c>
      <c r="AR21" s="39" t="s">
        <v>7867</v>
      </c>
      <c r="AS21" s="39">
        <f>ESS_DATA[[#This Row],[ETA On S/O]]-ESS_DATA[[#This Row],[ETD On S/O]]+1</f>
        <v>49</v>
      </c>
      <c r="AT21" s="39"/>
      <c r="AU21" s="30" cm="1">
        <f t="array" ref="AU2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46132</v>
      </c>
      <c r="AV2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21" s="14">
        <f>IF(ISERROR(ESS_DATA[[#This Row],[New Ark PO status]]),"",_xlfn.XLOOKUP(ESS_DATA[[#This Row],[SPTN-PVHK New Ark PO'#]],New_Ark_Data[Purchase order Number],New_Ark_Data[Estimated time of arrival],"",0))</f>
        <v>46142</v>
      </c>
      <c r="AX21" s="31">
        <f>IF(ESS_DATA[[#This Row],[New Ark PO Type]]="Offshore",0,IFERROR(VLOOKUP(ESS_DATA[[#This Row],[PORT OF LOADING]]&amp;ESS_DATA[[#This Row],[PORT DESTINATION]],LT_REF[],7,0),14))</f>
        <v>8</v>
      </c>
      <c r="AY21" s="30">
        <f>IFERROR(ESS_DATA[[#This Row],[ODP ETA Port]]+ESS_DATA[[#This Row],[Customs/Leg3 Assumption]],"n/a")</f>
        <v>46140</v>
      </c>
      <c r="AZ21" s="82">
        <f>YEAR(ESS_DATA[[#This Row],[ETA for New Ark update]])</f>
        <v>2026</v>
      </c>
      <c r="BA21" s="82">
        <f>MONTH(ESS_DATA[[#This Row],[ETA for New Ark update]])</f>
        <v>4</v>
      </c>
      <c r="BB21" s="82">
        <f>IFERROR(_xlfn.ISOWEEKNUM(ESS_DATA[[#This Row],[ETA for New Ark update]]),0)</f>
        <v>18</v>
      </c>
      <c r="BC21" s="82" t="str">
        <f>_xlfn.XLOOKUP(ESS_DATA[[#This Row],[PORT DESTINATION]],Table12[PORT DESTINATION],Table12[Cosco Line],,0)</f>
        <v>AEM</v>
      </c>
      <c r="BD21" s="82"/>
    </row>
    <row r="22" spans="1:56" s="5" customFormat="1" ht="10">
      <c r="A22" s="38" t="s">
        <v>7875</v>
      </c>
      <c r="B22" s="12" t="s">
        <v>7814</v>
      </c>
      <c r="C22" s="39" t="str">
        <f>IFERROR(LEFT(ESS_DATA[[#This Row],[TCL REFERENCE]],FIND(".",ESS_DATA[[#This Row],[TCL REFERENCE]],1)-1),"Main Line")</f>
        <v>25DEC004</v>
      </c>
      <c r="D22" s="39" t="s">
        <v>63</v>
      </c>
      <c r="E22" s="160" t="s">
        <v>64</v>
      </c>
      <c r="F22" s="160" t="s">
        <v>68</v>
      </c>
      <c r="G22" s="39" t="s">
        <v>7815</v>
      </c>
      <c r="H22" s="39" t="s">
        <v>67</v>
      </c>
      <c r="I22" s="39"/>
      <c r="J22" s="112" t="s">
        <v>7876</v>
      </c>
      <c r="K22" s="39"/>
      <c r="L22" s="56"/>
      <c r="M22" s="75" t="s">
        <v>68</v>
      </c>
      <c r="N22" s="39" t="s">
        <v>7840</v>
      </c>
      <c r="O22" s="39" t="s">
        <v>7841</v>
      </c>
      <c r="P22" s="39" t="s">
        <v>7842</v>
      </c>
      <c r="Q22" s="39">
        <v>0</v>
      </c>
      <c r="R22" s="656">
        <v>338</v>
      </c>
      <c r="S22" s="608"/>
      <c r="T22" s="609"/>
      <c r="U22" s="658">
        <f>ESS_DATA[[#This Row],[QUANTITY]]/350</f>
        <v>0.96571428571428575</v>
      </c>
      <c r="V22" s="758" t="s">
        <v>7877</v>
      </c>
      <c r="W22" s="79" t="s">
        <v>7855</v>
      </c>
      <c r="X22" s="79" t="str">
        <f t="shared" si="0"/>
        <v>COMPLETED</v>
      </c>
      <c r="Y22" s="118"/>
      <c r="Z22" s="704">
        <v>46056</v>
      </c>
      <c r="AA22" s="660">
        <f>WEEKNUM(ESS_DATA[[#This Row],[Pick-Up Date]])</f>
        <v>6</v>
      </c>
      <c r="AB22" s="39" t="s">
        <v>7878</v>
      </c>
      <c r="AC22" s="39"/>
      <c r="AD22" s="39" t="s">
        <v>122</v>
      </c>
      <c r="AE22" s="39" t="s">
        <v>123</v>
      </c>
      <c r="AF22" s="39" t="s">
        <v>78</v>
      </c>
      <c r="AG22" s="659">
        <v>46063</v>
      </c>
      <c r="AH22" s="659">
        <v>46065</v>
      </c>
      <c r="AI22" s="659">
        <v>46063</v>
      </c>
      <c r="AJ22" s="659">
        <v>46111</v>
      </c>
      <c r="AK22" s="659">
        <v>46133</v>
      </c>
      <c r="AL22" s="659">
        <v>46132</v>
      </c>
      <c r="AM22" s="39" t="s">
        <v>7815</v>
      </c>
      <c r="AN22" s="39" t="s">
        <v>739</v>
      </c>
      <c r="AO22" s="39" t="s">
        <v>80</v>
      </c>
      <c r="AP22" s="39" t="s">
        <v>7866</v>
      </c>
      <c r="AQ22" s="39" t="s">
        <v>7867</v>
      </c>
      <c r="AR22" s="39" t="s">
        <v>7867</v>
      </c>
      <c r="AS22" s="39">
        <f>ESS_DATA[[#This Row],[ETA On S/O]]-ESS_DATA[[#This Row],[ETD On S/O]]+1</f>
        <v>49</v>
      </c>
      <c r="AT22" s="39"/>
      <c r="AU22" s="30" cm="1">
        <f t="array" ref="AU2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46132</v>
      </c>
      <c r="AV2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22" s="14">
        <f>IF(ISERROR(ESS_DATA[[#This Row],[New Ark PO status]]),"",_xlfn.XLOOKUP(ESS_DATA[[#This Row],[SPTN-PVHK New Ark PO'#]],New_Ark_Data[Purchase order Number],New_Ark_Data[Estimated time of arrival],"",0))</f>
        <v>46142</v>
      </c>
      <c r="AX22" s="31">
        <f>IF(ESS_DATA[[#This Row],[New Ark PO Type]]="Offshore",0,IFERROR(VLOOKUP(ESS_DATA[[#This Row],[PORT OF LOADING]]&amp;ESS_DATA[[#This Row],[PORT DESTINATION]],LT_REF[],7,0),14))</f>
        <v>8</v>
      </c>
      <c r="AY22" s="30">
        <f>IFERROR(ESS_DATA[[#This Row],[ODP ETA Port]]+ESS_DATA[[#This Row],[Customs/Leg3 Assumption]],"n/a")</f>
        <v>46140</v>
      </c>
      <c r="AZ22" s="82">
        <f>YEAR(ESS_DATA[[#This Row],[ETA for New Ark update]])</f>
        <v>2026</v>
      </c>
      <c r="BA22" s="82">
        <f>MONTH(ESS_DATA[[#This Row],[ETA for New Ark update]])</f>
        <v>4</v>
      </c>
      <c r="BB22" s="82">
        <f>IFERROR(_xlfn.ISOWEEKNUM(ESS_DATA[[#This Row],[ETA for New Ark update]]),0)</f>
        <v>18</v>
      </c>
      <c r="BC22" s="82" t="str">
        <f>_xlfn.XLOOKUP(ESS_DATA[[#This Row],[PORT DESTINATION]],Table12[PORT DESTINATION],Table12[Cosco Line],,0)</f>
        <v>AEM</v>
      </c>
      <c r="BD22" s="82"/>
    </row>
    <row r="23" spans="1:56" s="5" customFormat="1" ht="10">
      <c r="A23" s="38" t="s">
        <v>7879</v>
      </c>
      <c r="B23" s="12" t="s">
        <v>7814</v>
      </c>
      <c r="C23" s="39" t="str">
        <f>IFERROR(LEFT(ESS_DATA[[#This Row],[TCL REFERENCE]],FIND(".",ESS_DATA[[#This Row],[TCL REFERENCE]],1)-1),"Main Line")</f>
        <v>25DEC004</v>
      </c>
      <c r="D23" s="39" t="s">
        <v>63</v>
      </c>
      <c r="E23" s="160" t="s">
        <v>64</v>
      </c>
      <c r="F23" s="160" t="s">
        <v>68</v>
      </c>
      <c r="G23" s="39" t="s">
        <v>7815</v>
      </c>
      <c r="H23" s="39" t="s">
        <v>67</v>
      </c>
      <c r="I23" s="56"/>
      <c r="J23" s="112" t="s">
        <v>96</v>
      </c>
      <c r="K23" s="39"/>
      <c r="L23" s="56"/>
      <c r="M23" s="75" t="s">
        <v>68</v>
      </c>
      <c r="N23" s="39" t="s">
        <v>7840</v>
      </c>
      <c r="O23" s="39" t="s">
        <v>7841</v>
      </c>
      <c r="P23" s="39" t="s">
        <v>7842</v>
      </c>
      <c r="Q23" s="39">
        <v>0</v>
      </c>
      <c r="R23" s="656">
        <v>12</v>
      </c>
      <c r="S23" s="607"/>
      <c r="T23" s="79"/>
      <c r="U23" s="657">
        <f>ESS_DATA[[#This Row],[QUANTITY]]/350</f>
        <v>3.4285714285714287E-2</v>
      </c>
      <c r="V23" s="759" t="s">
        <v>7877</v>
      </c>
      <c r="W23" s="705" t="s">
        <v>7855</v>
      </c>
      <c r="X23" s="5" t="str">
        <f t="shared" si="0"/>
        <v>COMPLETED</v>
      </c>
      <c r="Y23" s="139"/>
      <c r="Z23" s="659">
        <v>46056</v>
      </c>
      <c r="AA23" s="660">
        <f>WEEKNUM(ESS_DATA[[#This Row],[Pick-Up Date]])</f>
        <v>6</v>
      </c>
      <c r="AB23" s="39" t="s">
        <v>7878</v>
      </c>
      <c r="AC23" s="39"/>
      <c r="AD23" s="39" t="s">
        <v>122</v>
      </c>
      <c r="AE23" s="39" t="s">
        <v>123</v>
      </c>
      <c r="AF23" s="39" t="s">
        <v>78</v>
      </c>
      <c r="AG23" s="659">
        <v>46063</v>
      </c>
      <c r="AH23" s="659">
        <v>46065</v>
      </c>
      <c r="AI23" s="659">
        <v>46063</v>
      </c>
      <c r="AJ23" s="659">
        <v>46111</v>
      </c>
      <c r="AK23" s="659">
        <v>46133</v>
      </c>
      <c r="AL23" s="659">
        <v>46132</v>
      </c>
      <c r="AM23" s="39" t="s">
        <v>7815</v>
      </c>
      <c r="AN23" s="39" t="s">
        <v>739</v>
      </c>
      <c r="AO23" s="39" t="s">
        <v>80</v>
      </c>
      <c r="AP23" s="39" t="s">
        <v>7866</v>
      </c>
      <c r="AQ23" s="39" t="s">
        <v>7867</v>
      </c>
      <c r="AR23" s="39" t="s">
        <v>7867</v>
      </c>
      <c r="AS23" s="39">
        <f>ESS_DATA[[#This Row],[ETA On S/O]]-ESS_DATA[[#This Row],[ETD On S/O]]+1</f>
        <v>49</v>
      </c>
      <c r="AT23" s="39"/>
      <c r="AU23" s="30" cm="1">
        <f t="array" ref="AU2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46132</v>
      </c>
      <c r="AV2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23" s="14">
        <f>IF(ISERROR(ESS_DATA[[#This Row],[New Ark PO status]]),"",_xlfn.XLOOKUP(ESS_DATA[[#This Row],[SPTN-PVHK New Ark PO'#]],New_Ark_Data[Purchase order Number],New_Ark_Data[Estimated time of arrival],"",0))</f>
        <v>46142</v>
      </c>
      <c r="AX23" s="31">
        <f>IF(ESS_DATA[[#This Row],[New Ark PO Type]]="Offshore",0,IFERROR(VLOOKUP(ESS_DATA[[#This Row],[PORT OF LOADING]]&amp;ESS_DATA[[#This Row],[PORT DESTINATION]],LT_REF[],7,0),14))</f>
        <v>8</v>
      </c>
      <c r="AY23" s="30">
        <f>IFERROR(ESS_DATA[[#This Row],[ODP ETA Port]]+ESS_DATA[[#This Row],[Customs/Leg3 Assumption]],"n/a")</f>
        <v>46140</v>
      </c>
      <c r="AZ23" s="82">
        <f>YEAR(ESS_DATA[[#This Row],[ETA for New Ark update]])</f>
        <v>2026</v>
      </c>
      <c r="BA23" s="82">
        <f>MONTH(ESS_DATA[[#This Row],[ETA for New Ark update]])</f>
        <v>4</v>
      </c>
      <c r="BB23" s="82">
        <f>IFERROR(_xlfn.ISOWEEKNUM(ESS_DATA[[#This Row],[ETA for New Ark update]]),0)</f>
        <v>18</v>
      </c>
      <c r="BC23" s="82" t="str">
        <f>_xlfn.XLOOKUP(ESS_DATA[[#This Row],[PORT DESTINATION]],Table12[PORT DESTINATION],Table12[Cosco Line],,0)</f>
        <v>AEM</v>
      </c>
      <c r="BD23" s="82"/>
    </row>
    <row r="24" spans="1:56" s="32" customFormat="1" ht="10">
      <c r="A24" s="164" t="s">
        <v>7880</v>
      </c>
      <c r="B24" s="12" t="s">
        <v>7814</v>
      </c>
      <c r="C24" s="82" t="str">
        <f>IFERROR(LEFT(ESS_DATA[[#This Row],[TCL REFERENCE]],FIND(".",ESS_DATA[[#This Row],[TCL REFERENCE]],1)-1),"Main Line")</f>
        <v>Main Line</v>
      </c>
      <c r="D24" s="31" t="s">
        <v>7881</v>
      </c>
      <c r="E24" s="160" t="s">
        <v>144</v>
      </c>
      <c r="F24" s="160" t="s">
        <v>68</v>
      </c>
      <c r="G24" s="82" t="s">
        <v>68</v>
      </c>
      <c r="H24" s="82" t="s">
        <v>7882</v>
      </c>
      <c r="I24" s="82"/>
      <c r="J24" s="39" t="s">
        <v>7883</v>
      </c>
      <c r="K24" s="82"/>
      <c r="L24" s="79"/>
      <c r="M24" s="218" t="s">
        <v>840</v>
      </c>
      <c r="N24" s="82" t="s">
        <v>7834</v>
      </c>
      <c r="O24" s="82" t="s">
        <v>7829</v>
      </c>
      <c r="P24" s="82" t="s">
        <v>7835</v>
      </c>
      <c r="Q24" s="160">
        <v>8000</v>
      </c>
      <c r="R24" s="163">
        <v>34</v>
      </c>
      <c r="S24" s="599"/>
      <c r="T24" s="395"/>
      <c r="U24" s="698">
        <f>ESS_DATA[[#This Row],[QUANTITY]]/104</f>
        <v>0.32692307692307693</v>
      </c>
      <c r="V24" s="372" t="s">
        <v>7884</v>
      </c>
      <c r="W24" s="82" t="s">
        <v>7855</v>
      </c>
      <c r="X24" s="33" t="str">
        <f t="shared" si="0"/>
        <v>COMPLETED</v>
      </c>
      <c r="Y24" s="161"/>
      <c r="Z24" s="30">
        <v>46050</v>
      </c>
      <c r="AA24" s="163">
        <f>WEEKNUM(ESS_DATA[[#This Row],[Pick-Up Date]])</f>
        <v>5</v>
      </c>
      <c r="AB24" s="82"/>
      <c r="AC24" s="82"/>
      <c r="AD24" s="82" t="s">
        <v>122</v>
      </c>
      <c r="AE24" s="82" t="s">
        <v>123</v>
      </c>
      <c r="AF24" s="82" t="s">
        <v>5786</v>
      </c>
      <c r="AG24" s="162">
        <v>46057</v>
      </c>
      <c r="AH24" s="162">
        <v>46057</v>
      </c>
      <c r="AI24" s="162">
        <v>46057</v>
      </c>
      <c r="AJ24" s="162">
        <v>46085</v>
      </c>
      <c r="AK24" s="162">
        <v>46088</v>
      </c>
      <c r="AL24" s="162">
        <v>46084</v>
      </c>
      <c r="AM24" s="235" t="s">
        <v>402</v>
      </c>
      <c r="AN24" s="162" t="s">
        <v>7857</v>
      </c>
      <c r="AO24" s="162" t="s">
        <v>161</v>
      </c>
      <c r="AP24" s="162" t="s">
        <v>7885</v>
      </c>
      <c r="AQ24" s="82">
        <v>264931704</v>
      </c>
      <c r="AR24" s="82">
        <v>264931704</v>
      </c>
      <c r="AS24" s="82">
        <f>ESS_DATA[[#This Row],[ETA On S/O]]-ESS_DATA[[#This Row],[ETD On S/O]]+1</f>
        <v>29</v>
      </c>
      <c r="AT24" s="82"/>
      <c r="AU24" s="30" cm="1">
        <f t="array" ref="AU2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46084</v>
      </c>
      <c r="AV2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4" s="14" t="str">
        <f>IF(ISERROR(ESS_DATA[[#This Row],[New Ark PO status]]),"",_xlfn.XLOOKUP(ESS_DATA[[#This Row],[SPTN-PVHK New Ark PO'#]],New_Ark_Data[Purchase order Number],New_Ark_Data[Estimated time of arrival],"",0))</f>
        <v/>
      </c>
      <c r="AX24" s="31">
        <f>IF(ESS_DATA[[#This Row],[New Ark PO Type]]="Offshore",0,IFERROR(VLOOKUP(ESS_DATA[[#This Row],[PORT OF LOADING]]&amp;ESS_DATA[[#This Row],[PORT DESTINATION]],LT_REF[],7,0),14))</f>
        <v>0</v>
      </c>
      <c r="AY24" s="30">
        <f>IFERROR(ESS_DATA[[#This Row],[ODP ETA Port]]+ESS_DATA[[#This Row],[Customs/Leg3 Assumption]],"n/a")</f>
        <v>46084</v>
      </c>
      <c r="AZ24" s="82">
        <f>YEAR(ESS_DATA[[#This Row],[ETA for New Ark update]])</f>
        <v>2026</v>
      </c>
      <c r="BA24" s="82">
        <f>MONTH(ESS_DATA[[#This Row],[ETA for New Ark update]])</f>
        <v>3</v>
      </c>
      <c r="BB24" s="82">
        <f>IFERROR(_xlfn.ISOWEEKNUM(ESS_DATA[[#This Row],[ETA for New Ark update]]),0)</f>
        <v>10</v>
      </c>
      <c r="BC24" s="82" t="str">
        <f>_xlfn.XLOOKUP(ESS_DATA[[#This Row],[PORT DESTINATION]],Table12[PORT DESTINATION],Table12[Cosco Line],,0)</f>
        <v>n/a</v>
      </c>
      <c r="BD24" s="82"/>
    </row>
    <row r="25" spans="1:56" s="32" customFormat="1" ht="10">
      <c r="A25" s="32" t="s">
        <v>7886</v>
      </c>
      <c r="B25" s="12" t="s">
        <v>7814</v>
      </c>
      <c r="C25" s="82" t="str">
        <f>IFERROR(LEFT(ESS_DATA[[#This Row],[TCL REFERENCE]],FIND(".",ESS_DATA[[#This Row],[TCL REFERENCE]],1)-1),"Main Line")</f>
        <v>Main Line</v>
      </c>
      <c r="D25" s="31" t="s">
        <v>7881</v>
      </c>
      <c r="E25" s="160" t="s">
        <v>144</v>
      </c>
      <c r="F25" s="160" t="s">
        <v>68</v>
      </c>
      <c r="G25" s="82" t="s">
        <v>68</v>
      </c>
      <c r="H25" s="82" t="s">
        <v>7882</v>
      </c>
      <c r="I25" s="82"/>
      <c r="J25" s="39" t="s">
        <v>7883</v>
      </c>
      <c r="K25" s="82"/>
      <c r="L25" s="79"/>
      <c r="M25" s="218" t="s">
        <v>840</v>
      </c>
      <c r="N25" s="82" t="s">
        <v>7887</v>
      </c>
      <c r="O25" s="82" t="s">
        <v>7841</v>
      </c>
      <c r="P25" s="82" t="s">
        <v>7842</v>
      </c>
      <c r="Q25" s="160">
        <v>0</v>
      </c>
      <c r="R25" s="163">
        <v>34</v>
      </c>
      <c r="S25" s="260"/>
      <c r="T25" s="82"/>
      <c r="U25" s="401">
        <f>ESS_DATA[[#This Row],[QUANTITY]]/170</f>
        <v>0.2</v>
      </c>
      <c r="V25" s="372" t="s">
        <v>7884</v>
      </c>
      <c r="W25" s="82" t="s">
        <v>7855</v>
      </c>
      <c r="X25" s="33" t="str">
        <f t="shared" si="0"/>
        <v>COMPLETED</v>
      </c>
      <c r="Y25" s="161"/>
      <c r="Z25" s="30">
        <v>46050</v>
      </c>
      <c r="AA25" s="163">
        <f>WEEKNUM(ESS_DATA[[#This Row],[Pick-Up Date]])</f>
        <v>5</v>
      </c>
      <c r="AB25" s="82"/>
      <c r="AC25" s="82"/>
      <c r="AD25" s="82" t="s">
        <v>122</v>
      </c>
      <c r="AE25" s="82" t="s">
        <v>123</v>
      </c>
      <c r="AF25" s="82" t="s">
        <v>5786</v>
      </c>
      <c r="AG25" s="162">
        <v>46057</v>
      </c>
      <c r="AH25" s="162">
        <v>46057</v>
      </c>
      <c r="AI25" s="162">
        <v>46057</v>
      </c>
      <c r="AJ25" s="162">
        <v>46085</v>
      </c>
      <c r="AK25" s="162">
        <v>46088</v>
      </c>
      <c r="AL25" s="162">
        <v>46084</v>
      </c>
      <c r="AM25" s="235" t="s">
        <v>402</v>
      </c>
      <c r="AN25" s="162" t="s">
        <v>7857</v>
      </c>
      <c r="AO25" s="162" t="s">
        <v>161</v>
      </c>
      <c r="AP25" s="162" t="s">
        <v>7885</v>
      </c>
      <c r="AQ25" s="82">
        <v>264931704</v>
      </c>
      <c r="AR25" s="82">
        <v>264931704</v>
      </c>
      <c r="AS25" s="82">
        <f>ESS_DATA[[#This Row],[ETA On S/O]]-ESS_DATA[[#This Row],[ETD On S/O]]+1</f>
        <v>29</v>
      </c>
      <c r="AT25" s="82"/>
      <c r="AU25" s="30" cm="1">
        <f t="array" ref="AU2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46084</v>
      </c>
      <c r="AV2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5" s="14" t="str">
        <f>IF(ISERROR(ESS_DATA[[#This Row],[New Ark PO status]]),"",_xlfn.XLOOKUP(ESS_DATA[[#This Row],[SPTN-PVHK New Ark PO'#]],New_Ark_Data[Purchase order Number],New_Ark_Data[Estimated time of arrival],"",0))</f>
        <v/>
      </c>
      <c r="AX25" s="31">
        <f>IF(ESS_DATA[[#This Row],[New Ark PO Type]]="Offshore",0,IFERROR(VLOOKUP(ESS_DATA[[#This Row],[PORT OF LOADING]]&amp;ESS_DATA[[#This Row],[PORT DESTINATION]],LT_REF[],7,0),14))</f>
        <v>0</v>
      </c>
      <c r="AY25" s="30">
        <f>IFERROR(ESS_DATA[[#This Row],[ODP ETA Port]]+ESS_DATA[[#This Row],[Customs/Leg3 Assumption]],"n/a")</f>
        <v>46084</v>
      </c>
      <c r="AZ25" s="82">
        <f>YEAR(ESS_DATA[[#This Row],[ETA for New Ark update]])</f>
        <v>2026</v>
      </c>
      <c r="BA25" s="82">
        <f>MONTH(ESS_DATA[[#This Row],[ETA for New Ark update]])</f>
        <v>3</v>
      </c>
      <c r="BB25" s="82">
        <f>IFERROR(_xlfn.ISOWEEKNUM(ESS_DATA[[#This Row],[ETA for New Ark update]]),0)</f>
        <v>10</v>
      </c>
      <c r="BC25" s="82" t="str">
        <f>_xlfn.XLOOKUP(ESS_DATA[[#This Row],[PORT DESTINATION]],Table12[PORT DESTINATION],Table12[Cosco Line],,0)</f>
        <v>n/a</v>
      </c>
      <c r="BD25" s="82"/>
    </row>
    <row r="26" spans="1:56" s="32" customFormat="1" ht="10">
      <c r="A26" s="33" t="s">
        <v>7888</v>
      </c>
      <c r="B26" s="12" t="s">
        <v>7814</v>
      </c>
      <c r="C26" s="82" t="str">
        <f>IFERROR(LEFT(ESS_DATA[[#This Row],[TCL REFERENCE]],FIND(".",ESS_DATA[[#This Row],[TCL REFERENCE]],1)-1),"Main Line")</f>
        <v>Main Line</v>
      </c>
      <c r="D26" s="31" t="s">
        <v>7881</v>
      </c>
      <c r="E26" s="160" t="s">
        <v>144</v>
      </c>
      <c r="F26" s="160" t="s">
        <v>68</v>
      </c>
      <c r="G26" s="82" t="s">
        <v>68</v>
      </c>
      <c r="H26" s="82" t="s">
        <v>7882</v>
      </c>
      <c r="I26" s="82"/>
      <c r="J26" s="39" t="s">
        <v>7883</v>
      </c>
      <c r="K26" s="82"/>
      <c r="L26" s="79"/>
      <c r="M26" s="218" t="s">
        <v>840</v>
      </c>
      <c r="N26" s="82" t="s">
        <v>7889</v>
      </c>
      <c r="O26" s="82" t="s">
        <v>7852</v>
      </c>
      <c r="P26" s="82" t="s">
        <v>7853</v>
      </c>
      <c r="Q26" s="160">
        <v>5000</v>
      </c>
      <c r="R26" s="163">
        <v>34</v>
      </c>
      <c r="S26" s="260"/>
      <c r="T26" s="82"/>
      <c r="U26" s="401">
        <f>ESS_DATA[[#This Row],[QUANTITY]]/132</f>
        <v>0.25757575757575757</v>
      </c>
      <c r="V26" s="372" t="s">
        <v>7884</v>
      </c>
      <c r="W26" s="82" t="s">
        <v>7855</v>
      </c>
      <c r="X26" s="33" t="str">
        <f t="shared" si="0"/>
        <v>COMPLETED</v>
      </c>
      <c r="Y26" s="161"/>
      <c r="Z26" s="30">
        <v>46050</v>
      </c>
      <c r="AA26" s="163">
        <f>WEEKNUM(ESS_DATA[[#This Row],[Pick-Up Date]])</f>
        <v>5</v>
      </c>
      <c r="AB26" s="82"/>
      <c r="AC26" s="82"/>
      <c r="AD26" s="82" t="s">
        <v>122</v>
      </c>
      <c r="AE26" s="82" t="s">
        <v>123</v>
      </c>
      <c r="AF26" s="82" t="s">
        <v>5786</v>
      </c>
      <c r="AG26" s="162">
        <v>46057</v>
      </c>
      <c r="AH26" s="162">
        <v>46057</v>
      </c>
      <c r="AI26" s="162">
        <v>46057</v>
      </c>
      <c r="AJ26" s="162">
        <v>46085</v>
      </c>
      <c r="AK26" s="162">
        <v>46088</v>
      </c>
      <c r="AL26" s="162">
        <v>46084</v>
      </c>
      <c r="AM26" s="235" t="s">
        <v>402</v>
      </c>
      <c r="AN26" s="162" t="s">
        <v>7857</v>
      </c>
      <c r="AO26" s="162" t="s">
        <v>161</v>
      </c>
      <c r="AP26" s="162" t="s">
        <v>7885</v>
      </c>
      <c r="AQ26" s="82">
        <v>264931704</v>
      </c>
      <c r="AR26" s="82">
        <v>264931704</v>
      </c>
      <c r="AS26" s="82">
        <f>ESS_DATA[[#This Row],[ETA On S/O]]-ESS_DATA[[#This Row],[ETD On S/O]]+1</f>
        <v>29</v>
      </c>
      <c r="AT26" s="82"/>
      <c r="AU26" s="30" cm="1">
        <f t="array" ref="AU2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46084</v>
      </c>
      <c r="AV2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6" s="14" t="str">
        <f>IF(ISERROR(ESS_DATA[[#This Row],[New Ark PO status]]),"",_xlfn.XLOOKUP(ESS_DATA[[#This Row],[SPTN-PVHK New Ark PO'#]],New_Ark_Data[Purchase order Number],New_Ark_Data[Estimated time of arrival],"",0))</f>
        <v/>
      </c>
      <c r="AX26" s="31">
        <f>IF(ESS_DATA[[#This Row],[New Ark PO Type]]="Offshore",0,IFERROR(VLOOKUP(ESS_DATA[[#This Row],[PORT OF LOADING]]&amp;ESS_DATA[[#This Row],[PORT DESTINATION]],LT_REF[],7,0),14))</f>
        <v>0</v>
      </c>
      <c r="AY26" s="30">
        <f>IFERROR(ESS_DATA[[#This Row],[ODP ETA Port]]+ESS_DATA[[#This Row],[Customs/Leg3 Assumption]],"n/a")</f>
        <v>46084</v>
      </c>
      <c r="AZ26" s="82">
        <f>YEAR(ESS_DATA[[#This Row],[ETA for New Ark update]])</f>
        <v>2026</v>
      </c>
      <c r="BA26" s="82">
        <f>MONTH(ESS_DATA[[#This Row],[ETA for New Ark update]])</f>
        <v>3</v>
      </c>
      <c r="BB26" s="82">
        <f>IFERROR(_xlfn.ISOWEEKNUM(ESS_DATA[[#This Row],[ETA for New Ark update]]),0)</f>
        <v>10</v>
      </c>
      <c r="BC26" s="82" t="str">
        <f>_xlfn.XLOOKUP(ESS_DATA[[#This Row],[PORT DESTINATION]],Table12[PORT DESTINATION],Table12[Cosco Line],,0)</f>
        <v>n/a</v>
      </c>
      <c r="BD26" s="82"/>
    </row>
    <row r="27" spans="1:56" s="32" customFormat="1" ht="10">
      <c r="A27" s="33" t="s">
        <v>7890</v>
      </c>
      <c r="B27" s="12" t="s">
        <v>7814</v>
      </c>
      <c r="C27" s="82" t="str">
        <f>IFERROR(LEFT(ESS_DATA[[#This Row],[TCL REFERENCE]],FIND(".",ESS_DATA[[#This Row],[TCL REFERENCE]],1)-1),"Main Line")</f>
        <v>25DEC001</v>
      </c>
      <c r="D27" s="31" t="s">
        <v>7881</v>
      </c>
      <c r="E27" s="160" t="s">
        <v>144</v>
      </c>
      <c r="F27" s="160" t="s">
        <v>68</v>
      </c>
      <c r="G27" s="82" t="s">
        <v>68</v>
      </c>
      <c r="H27" s="82" t="s">
        <v>7882</v>
      </c>
      <c r="I27" s="82"/>
      <c r="J27" s="39" t="s">
        <v>7883</v>
      </c>
      <c r="K27" s="82"/>
      <c r="L27" s="79"/>
      <c r="M27" s="218" t="s">
        <v>840</v>
      </c>
      <c r="N27" s="82" t="s">
        <v>7851</v>
      </c>
      <c r="O27" s="82" t="s">
        <v>7852</v>
      </c>
      <c r="P27" s="82" t="s">
        <v>7853</v>
      </c>
      <c r="Q27" s="160">
        <v>5000</v>
      </c>
      <c r="R27" s="163">
        <v>20</v>
      </c>
      <c r="S27" s="260"/>
      <c r="T27" s="82"/>
      <c r="U27" s="401">
        <f>ESS_DATA[[#This Row],[QUANTITY]]/132</f>
        <v>0.15151515151515152</v>
      </c>
      <c r="V27" s="372" t="s">
        <v>7884</v>
      </c>
      <c r="W27" s="165" t="s">
        <v>7855</v>
      </c>
      <c r="X27" s="33" t="str">
        <f t="shared" si="0"/>
        <v>COMPLETED</v>
      </c>
      <c r="Y27" s="161"/>
      <c r="Z27" s="30">
        <v>46050</v>
      </c>
      <c r="AA27" s="163">
        <f>WEEKNUM(ESS_DATA[[#This Row],[Pick-Up Date]])</f>
        <v>5</v>
      </c>
      <c r="AB27" s="82"/>
      <c r="AC27" s="82"/>
      <c r="AD27" s="82" t="s">
        <v>122</v>
      </c>
      <c r="AE27" s="82" t="s">
        <v>123</v>
      </c>
      <c r="AF27" s="82" t="s">
        <v>5786</v>
      </c>
      <c r="AG27" s="162">
        <v>46057</v>
      </c>
      <c r="AH27" s="162">
        <v>46057</v>
      </c>
      <c r="AI27" s="162">
        <v>46057</v>
      </c>
      <c r="AJ27" s="162">
        <v>46085</v>
      </c>
      <c r="AK27" s="162">
        <v>46088</v>
      </c>
      <c r="AL27" s="162">
        <v>46084</v>
      </c>
      <c r="AM27" s="235" t="s">
        <v>402</v>
      </c>
      <c r="AN27" s="162" t="s">
        <v>7857</v>
      </c>
      <c r="AO27" s="162" t="s">
        <v>161</v>
      </c>
      <c r="AP27" s="162" t="s">
        <v>7885</v>
      </c>
      <c r="AQ27" s="82">
        <v>264931704</v>
      </c>
      <c r="AR27" s="82">
        <v>264931704</v>
      </c>
      <c r="AS27" s="82">
        <f>ESS_DATA[[#This Row],[ETA On S/O]]-ESS_DATA[[#This Row],[ETD On S/O]]+1</f>
        <v>29</v>
      </c>
      <c r="AT27" s="82"/>
      <c r="AU27" s="30" cm="1">
        <f t="array" ref="AU2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46084</v>
      </c>
      <c r="AV2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7" s="14" t="str">
        <f>IF(ISERROR(ESS_DATA[[#This Row],[New Ark PO status]]),"",_xlfn.XLOOKUP(ESS_DATA[[#This Row],[SPTN-PVHK New Ark PO'#]],New_Ark_Data[Purchase order Number],New_Ark_Data[Estimated time of arrival],"",0))</f>
        <v/>
      </c>
      <c r="AX27" s="31">
        <f>IF(ESS_DATA[[#This Row],[New Ark PO Type]]="Offshore",0,IFERROR(VLOOKUP(ESS_DATA[[#This Row],[PORT OF LOADING]]&amp;ESS_DATA[[#This Row],[PORT DESTINATION]],LT_REF[],7,0),14))</f>
        <v>0</v>
      </c>
      <c r="AY27" s="30">
        <f>IFERROR(ESS_DATA[[#This Row],[ODP ETA Port]]+ESS_DATA[[#This Row],[Customs/Leg3 Assumption]],"n/a")</f>
        <v>46084</v>
      </c>
      <c r="AZ27" s="82">
        <f>YEAR(ESS_DATA[[#This Row],[ETA for New Ark update]])</f>
        <v>2026</v>
      </c>
      <c r="BA27" s="82">
        <f>MONTH(ESS_DATA[[#This Row],[ETA for New Ark update]])</f>
        <v>3</v>
      </c>
      <c r="BB27" s="82">
        <f>IFERROR(_xlfn.ISOWEEKNUM(ESS_DATA[[#This Row],[ETA for New Ark update]]),0)</f>
        <v>10</v>
      </c>
      <c r="BC27" s="82" t="str">
        <f>_xlfn.XLOOKUP(ESS_DATA[[#This Row],[PORT DESTINATION]],Table12[PORT DESTINATION],Table12[Cosco Line],,0)</f>
        <v>n/a</v>
      </c>
      <c r="BD27" s="82"/>
    </row>
    <row r="28" spans="1:56" s="32" customFormat="1" ht="10">
      <c r="A28" s="33" t="s">
        <v>7891</v>
      </c>
      <c r="B28" s="12" t="s">
        <v>7814</v>
      </c>
      <c r="C28" s="31" t="str">
        <f>IFERROR(LEFT(ESS_DATA[[#This Row],[TCL REFERENCE]],FIND(".",ESS_DATA[[#This Row],[TCL REFERENCE]],1)-1),"Main Line")</f>
        <v>Main Line</v>
      </c>
      <c r="D28" s="31" t="s">
        <v>63</v>
      </c>
      <c r="E28" s="160" t="s">
        <v>64</v>
      </c>
      <c r="F28" s="160" t="s">
        <v>68</v>
      </c>
      <c r="G28" s="82" t="s">
        <v>66</v>
      </c>
      <c r="H28" s="31" t="s">
        <v>67</v>
      </c>
      <c r="I28" s="34"/>
      <c r="J28" s="31" t="s">
        <v>232</v>
      </c>
      <c r="K28" s="31"/>
      <c r="L28" s="34"/>
      <c r="M28" s="212" t="s">
        <v>68</v>
      </c>
      <c r="N28" s="31" t="s">
        <v>7851</v>
      </c>
      <c r="O28" s="31" t="s">
        <v>7852</v>
      </c>
      <c r="P28" s="31" t="s">
        <v>7853</v>
      </c>
      <c r="Q28" s="31">
        <v>5000</v>
      </c>
      <c r="R28" s="595">
        <f>792-R14-R15-R27</f>
        <v>220</v>
      </c>
      <c r="S28" s="260"/>
      <c r="T28" s="82"/>
      <c r="U28" s="700">
        <f>ESS_DATA[[#This Row],[QUANTITY]]/276</f>
        <v>0.79710144927536231</v>
      </c>
      <c r="V28" s="706" t="s">
        <v>7854</v>
      </c>
      <c r="W28" s="82" t="s">
        <v>7855</v>
      </c>
      <c r="X28" s="82" t="str">
        <f t="shared" si="0"/>
        <v>COMPLETED</v>
      </c>
      <c r="Y28" s="708"/>
      <c r="Z28" s="30">
        <v>46063</v>
      </c>
      <c r="AA28" s="35">
        <f>WEEKNUM(ESS_DATA[[#This Row],[Pick-Up Date]])</f>
        <v>7</v>
      </c>
      <c r="AB28" s="31" t="s">
        <v>7892</v>
      </c>
      <c r="AC28" s="31"/>
      <c r="AD28" s="31" t="s">
        <v>122</v>
      </c>
      <c r="AE28" s="31" t="s">
        <v>123</v>
      </c>
      <c r="AF28" s="31" t="s">
        <v>78</v>
      </c>
      <c r="AG28" s="30">
        <v>46071</v>
      </c>
      <c r="AH28" s="30">
        <v>46071</v>
      </c>
      <c r="AI28" s="30">
        <v>46073</v>
      </c>
      <c r="AJ28" s="30">
        <v>46114</v>
      </c>
      <c r="AK28" s="30">
        <v>46114</v>
      </c>
      <c r="AL28" s="30">
        <v>46116</v>
      </c>
      <c r="AM28" s="162" t="s">
        <v>7815</v>
      </c>
      <c r="AN28" s="31" t="s">
        <v>7893</v>
      </c>
      <c r="AO28" s="162" t="s">
        <v>161</v>
      </c>
      <c r="AP28" s="31" t="s">
        <v>7894</v>
      </c>
      <c r="AQ28" s="31">
        <v>266196843</v>
      </c>
      <c r="AR28" s="31">
        <v>266196843</v>
      </c>
      <c r="AS28" s="31">
        <f>ESS_DATA[[#This Row],[ETA On S/O]]-ESS_DATA[[#This Row],[ETD On S/O]]+1</f>
        <v>44</v>
      </c>
      <c r="AT28" s="31"/>
      <c r="AU28" s="30" cm="1">
        <f t="array" ref="AU2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2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28" s="14">
        <f>IF(ISERROR(ESS_DATA[[#This Row],[New Ark PO status]]),"",_xlfn.XLOOKUP(ESS_DATA[[#This Row],[SPTN-PVHK New Ark PO'#]],New_Ark_Data[Purchase order Number],New_Ark_Data[Estimated time of arrival],"",0))</f>
        <v>46128</v>
      </c>
      <c r="AX28" s="31">
        <f>IF(ESS_DATA[[#This Row],[New Ark PO Type]]="Offshore",0,IFERROR(VLOOKUP(ESS_DATA[[#This Row],[PORT OF LOADING]]&amp;ESS_DATA[[#This Row],[PORT DESTINATION]],LT_REF[],7,0),14))</f>
        <v>8</v>
      </c>
      <c r="AY28" s="30">
        <f>IFERROR(ESS_DATA[[#This Row],[ODP ETA Port]]+ESS_DATA[[#This Row],[Customs/Leg3 Assumption]],"n/a")</f>
        <v>46124</v>
      </c>
      <c r="AZ28" s="82">
        <f>YEAR(ESS_DATA[[#This Row],[ETA for New Ark update]])</f>
        <v>2026</v>
      </c>
      <c r="BA28" s="82">
        <f>MONTH(ESS_DATA[[#This Row],[ETA for New Ark update]])</f>
        <v>4</v>
      </c>
      <c r="BB28" s="82">
        <f>IFERROR(_xlfn.ISOWEEKNUM(ESS_DATA[[#This Row],[ETA for New Ark update]]),0)</f>
        <v>15</v>
      </c>
      <c r="BC28" s="82" t="str">
        <f>_xlfn.XLOOKUP(ESS_DATA[[#This Row],[PORT DESTINATION]],Table12[PORT DESTINATION],Table12[Cosco Line],,0)</f>
        <v>AEM</v>
      </c>
      <c r="BD28" s="82"/>
    </row>
    <row r="29" spans="1:56" s="32" customFormat="1" ht="10">
      <c r="A29" s="33" t="s">
        <v>7895</v>
      </c>
      <c r="B29" s="12" t="s">
        <v>7814</v>
      </c>
      <c r="C29" s="31" t="str">
        <f>IFERROR(LEFT(ESS_DATA[[#This Row],[TCL REFERENCE]],FIND(".",ESS_DATA[[#This Row],[TCL REFERENCE]],1)-1),"Main Line")</f>
        <v>25DEC001</v>
      </c>
      <c r="D29" s="31" t="s">
        <v>63</v>
      </c>
      <c r="E29" s="160" t="s">
        <v>64</v>
      </c>
      <c r="F29" s="160" t="s">
        <v>68</v>
      </c>
      <c r="G29" s="82" t="s">
        <v>66</v>
      </c>
      <c r="H29" s="31" t="s">
        <v>67</v>
      </c>
      <c r="I29" s="34"/>
      <c r="J29" s="31" t="s">
        <v>7896</v>
      </c>
      <c r="K29" s="31"/>
      <c r="L29" s="34"/>
      <c r="M29" s="212" t="s">
        <v>68</v>
      </c>
      <c r="N29" s="31" t="s">
        <v>7851</v>
      </c>
      <c r="O29" s="31" t="s">
        <v>7852</v>
      </c>
      <c r="P29" s="31" t="s">
        <v>7853</v>
      </c>
      <c r="Q29" s="31">
        <v>5000</v>
      </c>
      <c r="R29" s="595">
        <v>24</v>
      </c>
      <c r="S29" s="260"/>
      <c r="T29" s="82"/>
      <c r="U29" s="700">
        <f>ESS_DATA[[#This Row],[QUANTITY]]/276</f>
        <v>8.6956521739130432E-2</v>
      </c>
      <c r="V29" s="706" t="s">
        <v>7854</v>
      </c>
      <c r="W29" s="82" t="s">
        <v>7855</v>
      </c>
      <c r="X29" s="82" t="str">
        <f t="shared" si="0"/>
        <v>COMPLETED</v>
      </c>
      <c r="Y29" s="708"/>
      <c r="Z29" s="30">
        <v>46063</v>
      </c>
      <c r="AA29" s="35">
        <f>WEEKNUM(ESS_DATA[[#This Row],[Pick-Up Date]])</f>
        <v>7</v>
      </c>
      <c r="AB29" s="31" t="s">
        <v>7892</v>
      </c>
      <c r="AC29" s="31"/>
      <c r="AD29" s="31" t="s">
        <v>122</v>
      </c>
      <c r="AE29" s="31" t="s">
        <v>123</v>
      </c>
      <c r="AF29" s="31" t="s">
        <v>78</v>
      </c>
      <c r="AG29" s="30">
        <v>46071</v>
      </c>
      <c r="AH29" s="30">
        <v>46071</v>
      </c>
      <c r="AI29" s="30">
        <v>46073</v>
      </c>
      <c r="AJ29" s="30">
        <v>46114</v>
      </c>
      <c r="AK29" s="30">
        <v>46114</v>
      </c>
      <c r="AL29" s="30">
        <v>46116</v>
      </c>
      <c r="AM29" s="162" t="s">
        <v>7815</v>
      </c>
      <c r="AN29" s="31" t="s">
        <v>7893</v>
      </c>
      <c r="AO29" s="162" t="s">
        <v>161</v>
      </c>
      <c r="AP29" s="31" t="s">
        <v>7894</v>
      </c>
      <c r="AQ29" s="31">
        <v>266196843</v>
      </c>
      <c r="AR29" s="31">
        <v>266196843</v>
      </c>
      <c r="AS29" s="31">
        <f>ESS_DATA[[#This Row],[ETA On S/O]]-ESS_DATA[[#This Row],[ETD On S/O]]+1</f>
        <v>44</v>
      </c>
      <c r="AT29" s="31"/>
      <c r="AU29" s="30" cm="1">
        <f t="array" ref="AU2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2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29" s="14">
        <f>IF(ISERROR(ESS_DATA[[#This Row],[New Ark PO status]]),"",_xlfn.XLOOKUP(ESS_DATA[[#This Row],[SPTN-PVHK New Ark PO'#]],New_Ark_Data[Purchase order Number],New_Ark_Data[Estimated time of arrival],"",0))</f>
        <v>46128</v>
      </c>
      <c r="AX29" s="31">
        <f>IF(ESS_DATA[[#This Row],[New Ark PO Type]]="Offshore",0,IFERROR(VLOOKUP(ESS_DATA[[#This Row],[PORT OF LOADING]]&amp;ESS_DATA[[#This Row],[PORT DESTINATION]],LT_REF[],7,0),14))</f>
        <v>8</v>
      </c>
      <c r="AY29" s="30">
        <f>IFERROR(ESS_DATA[[#This Row],[ODP ETA Port]]+ESS_DATA[[#This Row],[Customs/Leg3 Assumption]],"n/a")</f>
        <v>46124</v>
      </c>
      <c r="AZ29" s="82">
        <f>YEAR(ESS_DATA[[#This Row],[ETA for New Ark update]])</f>
        <v>2026</v>
      </c>
      <c r="BA29" s="82">
        <f>MONTH(ESS_DATA[[#This Row],[ETA for New Ark update]])</f>
        <v>4</v>
      </c>
      <c r="BB29" s="82">
        <f>IFERROR(_xlfn.ISOWEEKNUM(ESS_DATA[[#This Row],[ETA for New Ark update]]),0)</f>
        <v>15</v>
      </c>
      <c r="BC29" s="82" t="str">
        <f>_xlfn.XLOOKUP(ESS_DATA[[#This Row],[PORT DESTINATION]],Table12[PORT DESTINATION],Table12[Cosco Line],,0)</f>
        <v>AEM</v>
      </c>
      <c r="BD29" s="82"/>
    </row>
    <row r="30" spans="1:56" s="32" customFormat="1" ht="10.5">
      <c r="A30" s="600" t="s">
        <v>7897</v>
      </c>
      <c r="B30" s="12" t="s">
        <v>7814</v>
      </c>
      <c r="C30" s="601" t="str">
        <f>IFERROR(LEFT(ESS_DATA[[#This Row],[TCL REFERENCE]],FIND(".",ESS_DATA[[#This Row],[TCL REFERENCE]],1)-1),"Main Line")</f>
        <v>Main Line</v>
      </c>
      <c r="D30" s="602" t="s">
        <v>63</v>
      </c>
      <c r="E30" s="160" t="s">
        <v>64</v>
      </c>
      <c r="F30" s="160" t="s">
        <v>68</v>
      </c>
      <c r="G30" s="82" t="s">
        <v>66</v>
      </c>
      <c r="H30" s="31" t="s">
        <v>67</v>
      </c>
      <c r="I30" s="602"/>
      <c r="J30" s="31" t="s">
        <v>232</v>
      </c>
      <c r="K30" s="601"/>
      <c r="L30" s="603"/>
      <c r="M30" s="212" t="s">
        <v>68</v>
      </c>
      <c r="N30" s="601" t="s">
        <v>7898</v>
      </c>
      <c r="O30" s="601" t="s">
        <v>7852</v>
      </c>
      <c r="P30" s="601" t="s">
        <v>7853</v>
      </c>
      <c r="Q30" s="601">
        <v>5000</v>
      </c>
      <c r="R30" s="604">
        <v>8</v>
      </c>
      <c r="S30" s="605"/>
      <c r="T30" s="602"/>
      <c r="U30" s="700">
        <f>ESS_DATA[[#This Row],[QUANTITY]]/276</f>
        <v>2.8985507246376812E-2</v>
      </c>
      <c r="V30" s="706" t="s">
        <v>7854</v>
      </c>
      <c r="W30" s="82" t="s">
        <v>7855</v>
      </c>
      <c r="X30" s="82" t="str">
        <f t="shared" si="0"/>
        <v>COMPLETED</v>
      </c>
      <c r="Y30" s="709"/>
      <c r="Z30" s="30">
        <v>46063</v>
      </c>
      <c r="AA30" s="606">
        <f>WEEKNUM(ESS_DATA[[#This Row],[Pick-Up Date]])</f>
        <v>7</v>
      </c>
      <c r="AB30" s="31" t="s">
        <v>7892</v>
      </c>
      <c r="AC30" s="602"/>
      <c r="AD30" s="602" t="s">
        <v>122</v>
      </c>
      <c r="AE30" s="601" t="s">
        <v>123</v>
      </c>
      <c r="AF30" s="601" t="s">
        <v>78</v>
      </c>
      <c r="AG30" s="30">
        <v>46071</v>
      </c>
      <c r="AH30" s="30">
        <v>46071</v>
      </c>
      <c r="AI30" s="30">
        <v>46073</v>
      </c>
      <c r="AJ30" s="30">
        <v>46114</v>
      </c>
      <c r="AK30" s="30">
        <v>46114</v>
      </c>
      <c r="AL30" s="30">
        <v>46116</v>
      </c>
      <c r="AM30" s="39" t="s">
        <v>7815</v>
      </c>
      <c r="AN30" s="31" t="s">
        <v>7893</v>
      </c>
      <c r="AO30" s="162" t="s">
        <v>161</v>
      </c>
      <c r="AP30" s="31" t="s">
        <v>7894</v>
      </c>
      <c r="AQ30" s="31">
        <v>266196843</v>
      </c>
      <c r="AR30" s="31">
        <v>266196843</v>
      </c>
      <c r="AS30" s="602">
        <f>ESS_DATA[[#This Row],[ETA On S/O]]-ESS_DATA[[#This Row],[ETD On S/O]]+1</f>
        <v>44</v>
      </c>
      <c r="AT30" s="602"/>
      <c r="AU30" s="30" cm="1">
        <f t="array" ref="AU3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3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30" s="14">
        <f>IF(ISERROR(ESS_DATA[[#This Row],[New Ark PO status]]),"",_xlfn.XLOOKUP(ESS_DATA[[#This Row],[SPTN-PVHK New Ark PO'#]],New_Ark_Data[Purchase order Number],New_Ark_Data[Estimated time of arrival],"",0))</f>
        <v>46128</v>
      </c>
      <c r="AX30" s="31">
        <f>IF(ESS_DATA[[#This Row],[New Ark PO Type]]="Offshore",0,IFERROR(VLOOKUP(ESS_DATA[[#This Row],[PORT OF LOADING]]&amp;ESS_DATA[[#This Row],[PORT DESTINATION]],LT_REF[],7,0),14))</f>
        <v>8</v>
      </c>
      <c r="AY30" s="30">
        <f>IFERROR(ESS_DATA[[#This Row],[ODP ETA Port]]+ESS_DATA[[#This Row],[Customs/Leg3 Assumption]],"n/a")</f>
        <v>46124</v>
      </c>
      <c r="AZ30" s="82">
        <f>YEAR(ESS_DATA[[#This Row],[ETA for New Ark update]])</f>
        <v>2026</v>
      </c>
      <c r="BA30" s="82">
        <f>MONTH(ESS_DATA[[#This Row],[ETA for New Ark update]])</f>
        <v>4</v>
      </c>
      <c r="BB30" s="82">
        <f>IFERROR(_xlfn.ISOWEEKNUM(ESS_DATA[[#This Row],[ETA for New Ark update]]),0)</f>
        <v>15</v>
      </c>
      <c r="BC30" s="82" t="str">
        <f>_xlfn.XLOOKUP(ESS_DATA[[#This Row],[PORT DESTINATION]],Table12[PORT DESTINATION],Table12[Cosco Line],,0)</f>
        <v>AEM</v>
      </c>
      <c r="BD30" s="82"/>
    </row>
    <row r="31" spans="1:56" s="32" customFormat="1" ht="10">
      <c r="A31" s="82" t="s">
        <v>7899</v>
      </c>
      <c r="B31" s="12" t="s">
        <v>7814</v>
      </c>
      <c r="C31" s="82" t="str">
        <f>IFERROR(LEFT(ESS_DATA[[#This Row],[TCL REFERENCE]],FIND(".",ESS_DATA[[#This Row],[TCL REFERENCE]],1)-1),"Main Line")</f>
        <v>Main Line</v>
      </c>
      <c r="D31" s="82" t="s">
        <v>63</v>
      </c>
      <c r="E31" s="160" t="s">
        <v>64</v>
      </c>
      <c r="F31" s="160" t="s">
        <v>68</v>
      </c>
      <c r="G31" s="82" t="s">
        <v>66</v>
      </c>
      <c r="H31" s="31" t="s">
        <v>67</v>
      </c>
      <c r="I31" s="82"/>
      <c r="J31" s="31" t="s">
        <v>232</v>
      </c>
      <c r="K31" s="82"/>
      <c r="L31" s="79"/>
      <c r="M31" s="212" t="s">
        <v>68</v>
      </c>
      <c r="N31" s="82" t="s">
        <v>7834</v>
      </c>
      <c r="O31" s="82" t="s">
        <v>7829</v>
      </c>
      <c r="P31" s="82" t="s">
        <v>7835</v>
      </c>
      <c r="Q31" s="160">
        <v>8000</v>
      </c>
      <c r="R31" s="163">
        <v>6</v>
      </c>
      <c r="S31" s="260"/>
      <c r="T31" s="82"/>
      <c r="U31" s="401">
        <f>ESS_DATA[[#This Row],[QUANTITY]]/224</f>
        <v>2.6785714285714284E-2</v>
      </c>
      <c r="V31" s="706" t="s">
        <v>7854</v>
      </c>
      <c r="W31" s="82" t="s">
        <v>7855</v>
      </c>
      <c r="X31" s="82" t="str">
        <f t="shared" si="0"/>
        <v>COMPLETED</v>
      </c>
      <c r="Y31" s="710"/>
      <c r="Z31" s="30">
        <v>46063</v>
      </c>
      <c r="AA31" s="163">
        <f>WEEKNUM(ESS_DATA[[#This Row],[Pick-Up Date]])</f>
        <v>7</v>
      </c>
      <c r="AB31" s="31" t="s">
        <v>7892</v>
      </c>
      <c r="AC31" s="82"/>
      <c r="AD31" s="82" t="s">
        <v>122</v>
      </c>
      <c r="AE31" s="31" t="s">
        <v>123</v>
      </c>
      <c r="AF31" s="31" t="s">
        <v>78</v>
      </c>
      <c r="AG31" s="30">
        <v>46071</v>
      </c>
      <c r="AH31" s="30">
        <v>46071</v>
      </c>
      <c r="AI31" s="30">
        <v>46073</v>
      </c>
      <c r="AJ31" s="30">
        <v>46114</v>
      </c>
      <c r="AK31" s="30">
        <v>46114</v>
      </c>
      <c r="AL31" s="30">
        <v>46116</v>
      </c>
      <c r="AM31" s="39" t="s">
        <v>7815</v>
      </c>
      <c r="AN31" s="31" t="s">
        <v>7893</v>
      </c>
      <c r="AO31" s="162" t="s">
        <v>161</v>
      </c>
      <c r="AP31" s="31" t="s">
        <v>7894</v>
      </c>
      <c r="AQ31" s="31">
        <v>266196843</v>
      </c>
      <c r="AR31" s="31">
        <v>266196843</v>
      </c>
      <c r="AS31" s="82">
        <f>ESS_DATA[[#This Row],[ETA On S/O]]-ESS_DATA[[#This Row],[ETD On S/O]]+1</f>
        <v>44</v>
      </c>
      <c r="AT31" s="82"/>
      <c r="AU31" s="30" cm="1">
        <f t="array" ref="AU3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3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31" s="14">
        <f>IF(ISERROR(ESS_DATA[[#This Row],[New Ark PO status]]),"",_xlfn.XLOOKUP(ESS_DATA[[#This Row],[SPTN-PVHK New Ark PO'#]],New_Ark_Data[Purchase order Number],New_Ark_Data[Estimated time of arrival],"",0))</f>
        <v>46128</v>
      </c>
      <c r="AX31" s="31">
        <f>IF(ESS_DATA[[#This Row],[New Ark PO Type]]="Offshore",0,IFERROR(VLOOKUP(ESS_DATA[[#This Row],[PORT OF LOADING]]&amp;ESS_DATA[[#This Row],[PORT DESTINATION]],LT_REF[],7,0),14))</f>
        <v>8</v>
      </c>
      <c r="AY31" s="30">
        <f>IFERROR(ESS_DATA[[#This Row],[ODP ETA Port]]+ESS_DATA[[#This Row],[Customs/Leg3 Assumption]],"n/a")</f>
        <v>46124</v>
      </c>
      <c r="AZ31" s="82">
        <f>YEAR(ESS_DATA[[#This Row],[ETA for New Ark update]])</f>
        <v>2026</v>
      </c>
      <c r="BA31" s="82">
        <f>MONTH(ESS_DATA[[#This Row],[ETA for New Ark update]])</f>
        <v>4</v>
      </c>
      <c r="BB31" s="82">
        <f>IFERROR(_xlfn.ISOWEEKNUM(ESS_DATA[[#This Row],[ETA for New Ark update]]),0)</f>
        <v>15</v>
      </c>
      <c r="BC31" s="82" t="str">
        <f>_xlfn.XLOOKUP(ESS_DATA[[#This Row],[PORT DESTINATION]],Table12[PORT DESTINATION],Table12[Cosco Line],,0)</f>
        <v>AEM</v>
      </c>
      <c r="BD31" s="82"/>
    </row>
    <row r="32" spans="1:56" s="32" customFormat="1" ht="10">
      <c r="A32" s="82" t="s">
        <v>7900</v>
      </c>
      <c r="B32" s="12" t="s">
        <v>7814</v>
      </c>
      <c r="C32" s="82" t="str">
        <f>IFERROR(LEFT(ESS_DATA[[#This Row],[TCL REFERENCE]],FIND(".",ESS_DATA[[#This Row],[TCL REFERENCE]],1)-1),"Main Line")</f>
        <v>Main Line</v>
      </c>
      <c r="D32" s="82" t="s">
        <v>63</v>
      </c>
      <c r="E32" s="160" t="s">
        <v>64</v>
      </c>
      <c r="F32" s="160" t="s">
        <v>68</v>
      </c>
      <c r="G32" s="82" t="s">
        <v>66</v>
      </c>
      <c r="H32" s="31" t="s">
        <v>67</v>
      </c>
      <c r="I32" s="82"/>
      <c r="J32" s="31" t="s">
        <v>232</v>
      </c>
      <c r="K32" s="82"/>
      <c r="L32" s="79"/>
      <c r="M32" s="212" t="s">
        <v>68</v>
      </c>
      <c r="N32" s="82" t="s">
        <v>7840</v>
      </c>
      <c r="O32" s="82" t="s">
        <v>7841</v>
      </c>
      <c r="P32" s="82" t="s">
        <v>7842</v>
      </c>
      <c r="Q32" s="160">
        <v>0</v>
      </c>
      <c r="R32" s="163">
        <v>6</v>
      </c>
      <c r="S32" s="260"/>
      <c r="T32" s="82"/>
      <c r="U32" s="401">
        <f>ESS_DATA[[#This Row],[QUANTITY]]/350</f>
        <v>1.7142857142857144E-2</v>
      </c>
      <c r="V32" s="706" t="s">
        <v>7854</v>
      </c>
      <c r="W32" s="82" t="s">
        <v>7855</v>
      </c>
      <c r="X32" s="82" t="str">
        <f t="shared" si="0"/>
        <v>COMPLETED</v>
      </c>
      <c r="Y32" s="710"/>
      <c r="Z32" s="30">
        <v>46063</v>
      </c>
      <c r="AA32" s="163">
        <f>WEEKNUM(ESS_DATA[[#This Row],[Pick-Up Date]])</f>
        <v>7</v>
      </c>
      <c r="AB32" s="31" t="s">
        <v>7892</v>
      </c>
      <c r="AC32" s="82"/>
      <c r="AD32" s="82" t="s">
        <v>122</v>
      </c>
      <c r="AE32" s="31" t="s">
        <v>123</v>
      </c>
      <c r="AF32" s="31" t="s">
        <v>78</v>
      </c>
      <c r="AG32" s="30">
        <v>46071</v>
      </c>
      <c r="AH32" s="30">
        <v>46071</v>
      </c>
      <c r="AI32" s="30">
        <v>46073</v>
      </c>
      <c r="AJ32" s="30">
        <v>46114</v>
      </c>
      <c r="AK32" s="30">
        <v>46114</v>
      </c>
      <c r="AL32" s="30">
        <v>46116</v>
      </c>
      <c r="AM32" s="39" t="s">
        <v>7815</v>
      </c>
      <c r="AN32" s="31" t="s">
        <v>7893</v>
      </c>
      <c r="AO32" s="162" t="s">
        <v>161</v>
      </c>
      <c r="AP32" s="31" t="s">
        <v>7894</v>
      </c>
      <c r="AQ32" s="31">
        <v>266196843</v>
      </c>
      <c r="AR32" s="31">
        <v>266196843</v>
      </c>
      <c r="AS32" s="82">
        <f>ESS_DATA[[#This Row],[ETA On S/O]]-ESS_DATA[[#This Row],[ETD On S/O]]+1</f>
        <v>44</v>
      </c>
      <c r="AT32" s="82"/>
      <c r="AU32" s="30" cm="1">
        <f t="array" ref="AU3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3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32" s="14">
        <f>IF(ISERROR(ESS_DATA[[#This Row],[New Ark PO status]]),"",_xlfn.XLOOKUP(ESS_DATA[[#This Row],[SPTN-PVHK New Ark PO'#]],New_Ark_Data[Purchase order Number],New_Ark_Data[Estimated time of arrival],"",0))</f>
        <v>46128</v>
      </c>
      <c r="AX32" s="31">
        <f>IF(ESS_DATA[[#This Row],[New Ark PO Type]]="Offshore",0,IFERROR(VLOOKUP(ESS_DATA[[#This Row],[PORT OF LOADING]]&amp;ESS_DATA[[#This Row],[PORT DESTINATION]],LT_REF[],7,0),14))</f>
        <v>8</v>
      </c>
      <c r="AY32" s="30">
        <f>IFERROR(ESS_DATA[[#This Row],[ODP ETA Port]]+ESS_DATA[[#This Row],[Customs/Leg3 Assumption]],"n/a")</f>
        <v>46124</v>
      </c>
      <c r="AZ32" s="82">
        <f>YEAR(ESS_DATA[[#This Row],[ETA for New Ark update]])</f>
        <v>2026</v>
      </c>
      <c r="BA32" s="82">
        <f>MONTH(ESS_DATA[[#This Row],[ETA for New Ark update]])</f>
        <v>4</v>
      </c>
      <c r="BB32" s="82">
        <f>IFERROR(_xlfn.ISOWEEKNUM(ESS_DATA[[#This Row],[ETA for New Ark update]]),0)</f>
        <v>15</v>
      </c>
      <c r="BC32" s="82" t="str">
        <f>_xlfn.XLOOKUP(ESS_DATA[[#This Row],[PORT DESTINATION]],Table12[PORT DESTINATION],Table12[Cosco Line],,0)</f>
        <v>AEM</v>
      </c>
      <c r="BD32" s="82"/>
    </row>
    <row r="33" spans="1:56" s="32" customFormat="1" ht="10">
      <c r="A33" s="82" t="s">
        <v>1427</v>
      </c>
      <c r="B33" s="12" t="s">
        <v>7814</v>
      </c>
      <c r="C33" s="82" t="str">
        <f>IFERROR(LEFT(ESS_DATA[[#This Row],[TCL REFERENCE]],FIND(".",ESS_DATA[[#This Row],[TCL REFERENCE]],1)-1),"Main Line")</f>
        <v>Main Line</v>
      </c>
      <c r="D33" s="82" t="s">
        <v>63</v>
      </c>
      <c r="E33" s="160" t="s">
        <v>64</v>
      </c>
      <c r="F33" s="160" t="s">
        <v>68</v>
      </c>
      <c r="G33" s="82" t="s">
        <v>66</v>
      </c>
      <c r="H33" s="12" t="s">
        <v>67</v>
      </c>
      <c r="I33" s="82"/>
      <c r="J33" s="82" t="s">
        <v>7901</v>
      </c>
      <c r="K33" s="82"/>
      <c r="L33" s="79"/>
      <c r="M33" s="213" t="s">
        <v>68</v>
      </c>
      <c r="N33" s="178" t="s">
        <v>7902</v>
      </c>
      <c r="O33" s="82" t="s">
        <v>7903</v>
      </c>
      <c r="P33" s="82" t="s">
        <v>7904</v>
      </c>
      <c r="Q33" s="170"/>
      <c r="R33" s="163">
        <v>50</v>
      </c>
      <c r="S33" s="260"/>
      <c r="T33" s="147"/>
      <c r="U33" s="401">
        <f>ESS_DATA[[#This Row],[QUANTITY]]*(0.04/360)</f>
        <v>5.5555555555555558E-3</v>
      </c>
      <c r="V33" s="706" t="s">
        <v>7854</v>
      </c>
      <c r="W33" s="82" t="s">
        <v>7855</v>
      </c>
      <c r="X33" s="147" t="str">
        <f t="shared" si="0"/>
        <v>COMPLETED</v>
      </c>
      <c r="Y33" s="710"/>
      <c r="Z33" s="30">
        <v>46063</v>
      </c>
      <c r="AA33" s="163">
        <f>WEEKNUM(ESS_DATA[[#This Row],[Pick-Up Date]])</f>
        <v>7</v>
      </c>
      <c r="AB33" s="31" t="s">
        <v>7892</v>
      </c>
      <c r="AC33" s="147"/>
      <c r="AD33" s="82" t="s">
        <v>122</v>
      </c>
      <c r="AE33" s="31" t="s">
        <v>123</v>
      </c>
      <c r="AF33" s="31" t="s">
        <v>78</v>
      </c>
      <c r="AG33" s="30">
        <v>46071</v>
      </c>
      <c r="AH33" s="30">
        <v>46071</v>
      </c>
      <c r="AI33" s="30">
        <v>46073</v>
      </c>
      <c r="AJ33" s="30">
        <v>46114</v>
      </c>
      <c r="AK33" s="30">
        <v>46114</v>
      </c>
      <c r="AL33" s="30">
        <v>46116</v>
      </c>
      <c r="AM33" s="162" t="s">
        <v>7815</v>
      </c>
      <c r="AN33" s="31" t="s">
        <v>7893</v>
      </c>
      <c r="AO33" s="162" t="s">
        <v>161</v>
      </c>
      <c r="AP33" s="31" t="s">
        <v>7894</v>
      </c>
      <c r="AQ33" s="31">
        <v>266196843</v>
      </c>
      <c r="AR33" s="31">
        <v>266196843</v>
      </c>
      <c r="AS33" s="82">
        <f>ESS_DATA[[#This Row],[ETA On S/O]]-ESS_DATA[[#This Row],[ETD On S/O]]+1</f>
        <v>44</v>
      </c>
      <c r="AT33" s="82"/>
      <c r="AU33" s="30" cm="1">
        <f t="array" ref="AU3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3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33" s="14">
        <f>IF(ISERROR(ESS_DATA[[#This Row],[New Ark PO status]]),"",_xlfn.XLOOKUP(ESS_DATA[[#This Row],[SPTN-PVHK New Ark PO'#]],New_Ark_Data[Purchase order Number],New_Ark_Data[Estimated time of arrival],"",0))</f>
        <v>46128</v>
      </c>
      <c r="AX33" s="31">
        <f>IF(ESS_DATA[[#This Row],[New Ark PO Type]]="Offshore",0,IFERROR(VLOOKUP(ESS_DATA[[#This Row],[PORT OF LOADING]]&amp;ESS_DATA[[#This Row],[PORT DESTINATION]],LT_REF[],7,0),14))</f>
        <v>8</v>
      </c>
      <c r="AY33" s="30">
        <f>IFERROR(ESS_DATA[[#This Row],[ODP ETA Port]]+ESS_DATA[[#This Row],[Customs/Leg3 Assumption]],"n/a")</f>
        <v>46124</v>
      </c>
      <c r="AZ33" s="82">
        <f>YEAR(ESS_DATA[[#This Row],[ETA for New Ark update]])</f>
        <v>2026</v>
      </c>
      <c r="BA33" s="82">
        <f>MONTH(ESS_DATA[[#This Row],[ETA for New Ark update]])</f>
        <v>4</v>
      </c>
      <c r="BB33" s="82">
        <f>IFERROR(_xlfn.ISOWEEKNUM(ESS_DATA[[#This Row],[ETA for New Ark update]]),0)</f>
        <v>15</v>
      </c>
      <c r="BC33" s="82" t="str">
        <f>_xlfn.XLOOKUP(ESS_DATA[[#This Row],[PORT DESTINATION]],Table12[PORT DESTINATION],Table12[Cosco Line],,0)</f>
        <v>AEM</v>
      </c>
      <c r="BD33" s="82"/>
    </row>
    <row r="34" spans="1:56" s="23" customFormat="1" ht="10">
      <c r="A34" s="82" t="s">
        <v>985</v>
      </c>
      <c r="B34" s="12" t="s">
        <v>7814</v>
      </c>
      <c r="C34" s="82" t="str">
        <f>IFERROR(LEFT(ESS_DATA[[#This Row],[TCL REFERENCE]],FIND(".",ESS_DATA[[#This Row],[TCL REFERENCE]],1)-1),"Main Line")</f>
        <v>Main Line</v>
      </c>
      <c r="D34" s="82" t="s">
        <v>63</v>
      </c>
      <c r="E34" s="160" t="s">
        <v>64</v>
      </c>
      <c r="F34" s="160" t="s">
        <v>68</v>
      </c>
      <c r="G34" s="82" t="s">
        <v>66</v>
      </c>
      <c r="H34" s="12" t="s">
        <v>67</v>
      </c>
      <c r="I34" s="82"/>
      <c r="J34" s="82" t="s">
        <v>7905</v>
      </c>
      <c r="K34" s="82"/>
      <c r="L34" s="79"/>
      <c r="M34" s="213" t="s">
        <v>68</v>
      </c>
      <c r="N34" s="147" t="s">
        <v>7906</v>
      </c>
      <c r="O34" s="147" t="s">
        <v>7907</v>
      </c>
      <c r="P34" s="147" t="s">
        <v>7908</v>
      </c>
      <c r="Q34" s="170"/>
      <c r="R34" s="215">
        <v>20</v>
      </c>
      <c r="S34" s="260"/>
      <c r="T34" s="147"/>
      <c r="U34" s="359">
        <f>ESS_DATA[[#This Row],[QUANTITY]]*(0.04/360)</f>
        <v>2.2222222222222222E-3</v>
      </c>
      <c r="V34" s="706" t="s">
        <v>7854</v>
      </c>
      <c r="W34" s="147" t="s">
        <v>7855</v>
      </c>
      <c r="X34" s="147" t="str">
        <f t="shared" ref="X34:X65" si="1">IF(AL34&lt;&gt;"","COMPLETED",IF(AI34&lt;&gt;"","IN-TRANSIT",""))</f>
        <v>COMPLETED</v>
      </c>
      <c r="Y34" s="711"/>
      <c r="Z34" s="14">
        <v>46063</v>
      </c>
      <c r="AA34" s="215">
        <f>WEEKNUM(ESS_DATA[[#This Row],[Pick-Up Date]])</f>
        <v>7</v>
      </c>
      <c r="AB34" s="12" t="s">
        <v>7892</v>
      </c>
      <c r="AC34" s="147"/>
      <c r="AD34" s="147" t="s">
        <v>122</v>
      </c>
      <c r="AE34" s="12" t="s">
        <v>123</v>
      </c>
      <c r="AF34" s="12" t="s">
        <v>78</v>
      </c>
      <c r="AG34" s="14">
        <v>46071</v>
      </c>
      <c r="AH34" s="14">
        <v>46071</v>
      </c>
      <c r="AI34" s="14">
        <v>46073</v>
      </c>
      <c r="AJ34" s="14">
        <v>46114</v>
      </c>
      <c r="AK34" s="14">
        <v>46114</v>
      </c>
      <c r="AL34" s="14">
        <v>46116</v>
      </c>
      <c r="AM34" s="162" t="s">
        <v>7815</v>
      </c>
      <c r="AN34" s="12" t="s">
        <v>7893</v>
      </c>
      <c r="AO34" s="162" t="s">
        <v>161</v>
      </c>
      <c r="AP34" s="12" t="s">
        <v>7894</v>
      </c>
      <c r="AQ34" s="12">
        <v>266196843</v>
      </c>
      <c r="AR34" s="12">
        <v>266196843</v>
      </c>
      <c r="AS34" s="82">
        <f>ESS_DATA[[#This Row],[ETA On S/O]]-ESS_DATA[[#This Row],[ETD On S/O]]+1</f>
        <v>44</v>
      </c>
      <c r="AT34" s="82"/>
      <c r="AU34" s="347" cm="1">
        <f t="array" ref="AU3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3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34" s="14">
        <f>IF(ISERROR(ESS_DATA[[#This Row],[New Ark PO status]]),"",_xlfn.XLOOKUP(ESS_DATA[[#This Row],[SPTN-PVHK New Ark PO'#]],New_Ark_Data[Purchase order Number],New_Ark_Data[Estimated time of arrival],"",0))</f>
        <v>46128</v>
      </c>
      <c r="AX34" s="12">
        <f>IF(ESS_DATA[[#This Row],[New Ark PO Type]]="Offshore",0,IFERROR(VLOOKUP(ESS_DATA[[#This Row],[PORT OF LOADING]]&amp;ESS_DATA[[#This Row],[PORT DESTINATION]],LT_REF[],7,0),14))</f>
        <v>8</v>
      </c>
      <c r="AY34" s="14">
        <f>IFERROR(ESS_DATA[[#This Row],[ODP ETA Port]]+ESS_DATA[[#This Row],[Customs/Leg3 Assumption]],"n/a")</f>
        <v>46124</v>
      </c>
      <c r="AZ34" s="82">
        <f>YEAR(ESS_DATA[[#This Row],[ETA for New Ark update]])</f>
        <v>2026</v>
      </c>
      <c r="BA34" s="82">
        <f>MONTH(ESS_DATA[[#This Row],[ETA for New Ark update]])</f>
        <v>4</v>
      </c>
      <c r="BB34" s="82">
        <f>IFERROR(_xlfn.ISOWEEKNUM(ESS_DATA[[#This Row],[ETA for New Ark update]]),0)</f>
        <v>15</v>
      </c>
      <c r="BC34" s="82" t="str">
        <f>_xlfn.XLOOKUP(ESS_DATA[[#This Row],[PORT DESTINATION]],Table12[PORT DESTINATION],Table12[Cosco Line],,0)</f>
        <v>AEM</v>
      </c>
      <c r="BD34" s="82"/>
    </row>
    <row r="35" spans="1:56" s="23" customFormat="1" ht="10">
      <c r="A35" s="82" t="s">
        <v>963</v>
      </c>
      <c r="B35" s="12" t="s">
        <v>7814</v>
      </c>
      <c r="C35" s="82" t="str">
        <f>IFERROR(LEFT(ESS_DATA[[#This Row],[TCL REFERENCE]],FIND(".",ESS_DATA[[#This Row],[TCL REFERENCE]],1)-1),"Main Line")</f>
        <v>Main Line</v>
      </c>
      <c r="D35" s="82" t="s">
        <v>63</v>
      </c>
      <c r="E35" s="160" t="s">
        <v>64</v>
      </c>
      <c r="F35" s="160" t="s">
        <v>68</v>
      </c>
      <c r="G35" s="82" t="s">
        <v>66</v>
      </c>
      <c r="H35" s="12" t="s">
        <v>67</v>
      </c>
      <c r="I35" s="82"/>
      <c r="J35" s="82" t="s">
        <v>7909</v>
      </c>
      <c r="K35" s="82"/>
      <c r="L35" s="79"/>
      <c r="M35" s="213" t="s">
        <v>68</v>
      </c>
      <c r="N35" s="147" t="s">
        <v>7910</v>
      </c>
      <c r="O35" s="147" t="s">
        <v>7911</v>
      </c>
      <c r="P35" s="147" t="s">
        <v>7912</v>
      </c>
      <c r="Q35" s="170"/>
      <c r="R35" s="215">
        <v>10</v>
      </c>
      <c r="S35" s="260"/>
      <c r="T35" s="147"/>
      <c r="U35" s="359">
        <f>ESS_DATA[[#This Row],[QUANTITY]]*(0.04/360)</f>
        <v>1.1111111111111111E-3</v>
      </c>
      <c r="V35" s="706" t="s">
        <v>7854</v>
      </c>
      <c r="W35" s="147" t="s">
        <v>7855</v>
      </c>
      <c r="X35" s="147" t="str">
        <f t="shared" si="1"/>
        <v>COMPLETED</v>
      </c>
      <c r="Y35" s="711"/>
      <c r="Z35" s="14">
        <v>46063</v>
      </c>
      <c r="AA35" s="215">
        <f>WEEKNUM(ESS_DATA[[#This Row],[Pick-Up Date]])</f>
        <v>7</v>
      </c>
      <c r="AB35" s="12" t="s">
        <v>7892</v>
      </c>
      <c r="AC35" s="147"/>
      <c r="AD35" s="147" t="s">
        <v>122</v>
      </c>
      <c r="AE35" s="12" t="s">
        <v>123</v>
      </c>
      <c r="AF35" s="12" t="s">
        <v>78</v>
      </c>
      <c r="AG35" s="14">
        <v>46071</v>
      </c>
      <c r="AH35" s="14">
        <v>46071</v>
      </c>
      <c r="AI35" s="14">
        <v>46073</v>
      </c>
      <c r="AJ35" s="14">
        <v>46114</v>
      </c>
      <c r="AK35" s="14">
        <v>46114</v>
      </c>
      <c r="AL35" s="14">
        <v>46116</v>
      </c>
      <c r="AM35" s="18" t="s">
        <v>7815</v>
      </c>
      <c r="AN35" s="12" t="s">
        <v>7893</v>
      </c>
      <c r="AO35" s="162" t="s">
        <v>161</v>
      </c>
      <c r="AP35" s="12" t="s">
        <v>7894</v>
      </c>
      <c r="AQ35" s="12">
        <v>266196843</v>
      </c>
      <c r="AR35" s="12">
        <v>266196843</v>
      </c>
      <c r="AS35" s="82">
        <f>ESS_DATA[[#This Row],[ETA On S/O]]-ESS_DATA[[#This Row],[ETD On S/O]]+1</f>
        <v>44</v>
      </c>
      <c r="AT35" s="82"/>
      <c r="AU35" s="347" cm="1">
        <f t="array" ref="AU3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3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35" s="14">
        <f>IF(ISERROR(ESS_DATA[[#This Row],[New Ark PO status]]),"",_xlfn.XLOOKUP(ESS_DATA[[#This Row],[SPTN-PVHK New Ark PO'#]],New_Ark_Data[Purchase order Number],New_Ark_Data[Estimated time of arrival],"",0))</f>
        <v>46128</v>
      </c>
      <c r="AX35" s="12">
        <f>IF(ESS_DATA[[#This Row],[New Ark PO Type]]="Offshore",0,IFERROR(VLOOKUP(ESS_DATA[[#This Row],[PORT OF LOADING]]&amp;ESS_DATA[[#This Row],[PORT DESTINATION]],LT_REF[],7,0),14))</f>
        <v>8</v>
      </c>
      <c r="AY35" s="14">
        <f>IFERROR(ESS_DATA[[#This Row],[ODP ETA Port]]+ESS_DATA[[#This Row],[Customs/Leg3 Assumption]],"n/a")</f>
        <v>46124</v>
      </c>
      <c r="AZ35" s="82">
        <f>YEAR(ESS_DATA[[#This Row],[ETA for New Ark update]])</f>
        <v>2026</v>
      </c>
      <c r="BA35" s="82">
        <f>MONTH(ESS_DATA[[#This Row],[ETA for New Ark update]])</f>
        <v>4</v>
      </c>
      <c r="BB35" s="82">
        <f>IFERROR(_xlfn.ISOWEEKNUM(ESS_DATA[[#This Row],[ETA for New Ark update]]),0)</f>
        <v>15</v>
      </c>
      <c r="BC35" s="82" t="str">
        <f>_xlfn.XLOOKUP(ESS_DATA[[#This Row],[PORT DESTINATION]],Table12[PORT DESTINATION],Table12[Cosco Line],,0)</f>
        <v>AEM</v>
      </c>
      <c r="BD35" s="82"/>
    </row>
    <row r="36" spans="1:56" s="23" customFormat="1" ht="10">
      <c r="A36" s="82" t="s">
        <v>7913</v>
      </c>
      <c r="B36" s="12" t="s">
        <v>7814</v>
      </c>
      <c r="C36" s="82" t="str">
        <f>IFERROR(LEFT(ESS_DATA[[#This Row],[TCL REFERENCE]],FIND(".",ESS_DATA[[#This Row],[TCL REFERENCE]],1)-1),"Main Line")</f>
        <v>Main Line</v>
      </c>
      <c r="D36" s="82" t="s">
        <v>63</v>
      </c>
      <c r="E36" s="160" t="s">
        <v>64</v>
      </c>
      <c r="F36" s="160" t="s">
        <v>68</v>
      </c>
      <c r="G36" s="82" t="s">
        <v>66</v>
      </c>
      <c r="H36" s="12" t="s">
        <v>67</v>
      </c>
      <c r="I36" s="82"/>
      <c r="J36" s="82" t="s">
        <v>7914</v>
      </c>
      <c r="K36" s="82"/>
      <c r="L36" s="79"/>
      <c r="M36" s="213" t="s">
        <v>68</v>
      </c>
      <c r="N36" s="147" t="s">
        <v>7824</v>
      </c>
      <c r="O36" s="147" t="s">
        <v>7915</v>
      </c>
      <c r="P36" s="147" t="s">
        <v>7826</v>
      </c>
      <c r="Q36" s="170"/>
      <c r="R36" s="215">
        <v>10</v>
      </c>
      <c r="S36" s="260"/>
      <c r="T36" s="147"/>
      <c r="U36" s="359">
        <f>ESS_DATA[[#This Row],[QUANTITY]]*(0.04/360)</f>
        <v>1.1111111111111111E-3</v>
      </c>
      <c r="V36" s="706" t="s">
        <v>7854</v>
      </c>
      <c r="W36" s="147" t="s">
        <v>7855</v>
      </c>
      <c r="X36" s="147" t="str">
        <f t="shared" si="1"/>
        <v>COMPLETED</v>
      </c>
      <c r="Y36" s="711"/>
      <c r="Z36" s="14">
        <v>46063</v>
      </c>
      <c r="AA36" s="215">
        <f>WEEKNUM(ESS_DATA[[#This Row],[Pick-Up Date]])</f>
        <v>7</v>
      </c>
      <c r="AB36" s="12" t="s">
        <v>7892</v>
      </c>
      <c r="AC36" s="147"/>
      <c r="AD36" s="147" t="s">
        <v>122</v>
      </c>
      <c r="AE36" s="12" t="s">
        <v>123</v>
      </c>
      <c r="AF36" s="12" t="s">
        <v>78</v>
      </c>
      <c r="AG36" s="14">
        <v>46071</v>
      </c>
      <c r="AH36" s="14">
        <v>46071</v>
      </c>
      <c r="AI36" s="14">
        <v>46073</v>
      </c>
      <c r="AJ36" s="14">
        <v>46114</v>
      </c>
      <c r="AK36" s="14">
        <v>46114</v>
      </c>
      <c r="AL36" s="14">
        <v>46116</v>
      </c>
      <c r="AM36" s="18" t="s">
        <v>7815</v>
      </c>
      <c r="AN36" s="12" t="s">
        <v>7893</v>
      </c>
      <c r="AO36" s="162" t="s">
        <v>161</v>
      </c>
      <c r="AP36" s="12" t="s">
        <v>7894</v>
      </c>
      <c r="AQ36" s="12">
        <v>266196843</v>
      </c>
      <c r="AR36" s="12">
        <v>266196843</v>
      </c>
      <c r="AS36" s="82">
        <f>ESS_DATA[[#This Row],[ETA On S/O]]-ESS_DATA[[#This Row],[ETD On S/O]]+1</f>
        <v>44</v>
      </c>
      <c r="AT36" s="82"/>
      <c r="AU36" s="347" cm="1">
        <f t="array" ref="AU3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3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36" s="14">
        <f>IF(ISERROR(ESS_DATA[[#This Row],[New Ark PO status]]),"",_xlfn.XLOOKUP(ESS_DATA[[#This Row],[SPTN-PVHK New Ark PO'#]],New_Ark_Data[Purchase order Number],New_Ark_Data[Estimated time of arrival],"",0))</f>
        <v>46128</v>
      </c>
      <c r="AX36" s="12">
        <f>IF(ESS_DATA[[#This Row],[New Ark PO Type]]="Offshore",0,IFERROR(VLOOKUP(ESS_DATA[[#This Row],[PORT OF LOADING]]&amp;ESS_DATA[[#This Row],[PORT DESTINATION]],LT_REF[],7,0),14))</f>
        <v>8</v>
      </c>
      <c r="AY36" s="14">
        <f>IFERROR(ESS_DATA[[#This Row],[ODP ETA Port]]+ESS_DATA[[#This Row],[Customs/Leg3 Assumption]],"n/a")</f>
        <v>46124</v>
      </c>
      <c r="AZ36" s="82">
        <f>YEAR(ESS_DATA[[#This Row],[ETA for New Ark update]])</f>
        <v>2026</v>
      </c>
      <c r="BA36" s="82">
        <f>MONTH(ESS_DATA[[#This Row],[ETA for New Ark update]])</f>
        <v>4</v>
      </c>
      <c r="BB36" s="82">
        <f>IFERROR(_xlfn.ISOWEEKNUM(ESS_DATA[[#This Row],[ETA for New Ark update]]),0)</f>
        <v>15</v>
      </c>
      <c r="BC36" s="82" t="str">
        <f>_xlfn.XLOOKUP(ESS_DATA[[#This Row],[PORT DESTINATION]],Table12[PORT DESTINATION],Table12[Cosco Line],,0)</f>
        <v>AEM</v>
      </c>
      <c r="BD36" s="82"/>
    </row>
    <row r="37" spans="1:56" s="23" customFormat="1" ht="10">
      <c r="A37" s="82" t="s">
        <v>1149</v>
      </c>
      <c r="B37" s="12" t="s">
        <v>7814</v>
      </c>
      <c r="C37" s="82" t="str">
        <f>IFERROR(LEFT(ESS_DATA[[#This Row],[TCL REFERENCE]],FIND(".",ESS_DATA[[#This Row],[TCL REFERENCE]],1)-1),"Main Line")</f>
        <v>Main Line</v>
      </c>
      <c r="D37" s="82" t="s">
        <v>63</v>
      </c>
      <c r="E37" s="160" t="s">
        <v>64</v>
      </c>
      <c r="F37" s="160" t="s">
        <v>68</v>
      </c>
      <c r="G37" s="82" t="s">
        <v>66</v>
      </c>
      <c r="H37" s="12" t="s">
        <v>67</v>
      </c>
      <c r="I37" s="82"/>
      <c r="J37" s="82" t="s">
        <v>7916</v>
      </c>
      <c r="K37" s="82"/>
      <c r="L37" s="79"/>
      <c r="M37" s="213" t="s">
        <v>68</v>
      </c>
      <c r="N37" s="147" t="s">
        <v>7917</v>
      </c>
      <c r="O37" s="147" t="s">
        <v>7918</v>
      </c>
      <c r="P37" s="147" t="s">
        <v>7919</v>
      </c>
      <c r="Q37" s="170"/>
      <c r="R37" s="215">
        <v>10</v>
      </c>
      <c r="S37" s="260"/>
      <c r="T37" s="147"/>
      <c r="U37" s="359">
        <f>ESS_DATA[[#This Row],[QUANTITY]]*(0.04/360)</f>
        <v>1.1111111111111111E-3</v>
      </c>
      <c r="V37" s="706" t="s">
        <v>7854</v>
      </c>
      <c r="W37" s="147" t="s">
        <v>7855</v>
      </c>
      <c r="X37" s="147" t="str">
        <f t="shared" si="1"/>
        <v>COMPLETED</v>
      </c>
      <c r="Y37" s="711"/>
      <c r="Z37" s="14">
        <v>46063</v>
      </c>
      <c r="AA37" s="215">
        <f>WEEKNUM(ESS_DATA[[#This Row],[Pick-Up Date]])</f>
        <v>7</v>
      </c>
      <c r="AB37" s="12" t="s">
        <v>7892</v>
      </c>
      <c r="AC37" s="147"/>
      <c r="AD37" s="147" t="s">
        <v>122</v>
      </c>
      <c r="AE37" s="12" t="s">
        <v>123</v>
      </c>
      <c r="AF37" s="12" t="s">
        <v>78</v>
      </c>
      <c r="AG37" s="14">
        <v>46071</v>
      </c>
      <c r="AH37" s="14">
        <v>46071</v>
      </c>
      <c r="AI37" s="14">
        <v>46073</v>
      </c>
      <c r="AJ37" s="14">
        <v>46114</v>
      </c>
      <c r="AK37" s="14">
        <v>46114</v>
      </c>
      <c r="AL37" s="14">
        <v>46116</v>
      </c>
      <c r="AM37" s="18" t="s">
        <v>7815</v>
      </c>
      <c r="AN37" s="12" t="s">
        <v>7893</v>
      </c>
      <c r="AO37" s="162" t="s">
        <v>161</v>
      </c>
      <c r="AP37" s="12" t="s">
        <v>7894</v>
      </c>
      <c r="AQ37" s="12">
        <v>266196843</v>
      </c>
      <c r="AR37" s="12">
        <v>266196843</v>
      </c>
      <c r="AS37" s="82">
        <f>ESS_DATA[[#This Row],[ETA On S/O]]-ESS_DATA[[#This Row],[ETD On S/O]]+1</f>
        <v>44</v>
      </c>
      <c r="AT37" s="82"/>
      <c r="AU37" s="347" cm="1">
        <f t="array" ref="AU3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3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37" s="14">
        <f>IF(ISERROR(ESS_DATA[[#This Row],[New Ark PO status]]),"",_xlfn.XLOOKUP(ESS_DATA[[#This Row],[SPTN-PVHK New Ark PO'#]],New_Ark_Data[Purchase order Number],New_Ark_Data[Estimated time of arrival],"",0))</f>
        <v>46128</v>
      </c>
      <c r="AX37" s="12">
        <f>IF(ESS_DATA[[#This Row],[New Ark PO Type]]="Offshore",0,IFERROR(VLOOKUP(ESS_DATA[[#This Row],[PORT OF LOADING]]&amp;ESS_DATA[[#This Row],[PORT DESTINATION]],LT_REF[],7,0),14))</f>
        <v>8</v>
      </c>
      <c r="AY37" s="14">
        <f>IFERROR(ESS_DATA[[#This Row],[ODP ETA Port]]+ESS_DATA[[#This Row],[Customs/Leg3 Assumption]],"n/a")</f>
        <v>46124</v>
      </c>
      <c r="AZ37" s="82">
        <f>YEAR(ESS_DATA[[#This Row],[ETA for New Ark update]])</f>
        <v>2026</v>
      </c>
      <c r="BA37" s="82">
        <f>MONTH(ESS_DATA[[#This Row],[ETA for New Ark update]])</f>
        <v>4</v>
      </c>
      <c r="BB37" s="82">
        <f>IFERROR(_xlfn.ISOWEEKNUM(ESS_DATA[[#This Row],[ETA for New Ark update]]),0)</f>
        <v>15</v>
      </c>
      <c r="BC37" s="82" t="str">
        <f>_xlfn.XLOOKUP(ESS_DATA[[#This Row],[PORT DESTINATION]],Table12[PORT DESTINATION],Table12[Cosco Line],,0)</f>
        <v>AEM</v>
      </c>
      <c r="BD37" s="82"/>
    </row>
    <row r="38" spans="1:56" s="23" customFormat="1" ht="10">
      <c r="A38" s="82" t="s">
        <v>1007</v>
      </c>
      <c r="B38" s="12" t="s">
        <v>7814</v>
      </c>
      <c r="C38" s="82" t="str">
        <f>IFERROR(LEFT(ESS_DATA[[#This Row],[TCL REFERENCE]],FIND(".",ESS_DATA[[#This Row],[TCL REFERENCE]],1)-1),"Main Line")</f>
        <v>Main Line</v>
      </c>
      <c r="D38" s="82" t="s">
        <v>63</v>
      </c>
      <c r="E38" s="160" t="s">
        <v>64</v>
      </c>
      <c r="F38" s="160" t="s">
        <v>68</v>
      </c>
      <c r="G38" s="82" t="s">
        <v>66</v>
      </c>
      <c r="H38" s="12" t="s">
        <v>67</v>
      </c>
      <c r="I38" s="82"/>
      <c r="J38" s="82" t="s">
        <v>7920</v>
      </c>
      <c r="K38" s="82"/>
      <c r="L38" s="79"/>
      <c r="M38" s="213" t="s">
        <v>68</v>
      </c>
      <c r="N38" s="147" t="s">
        <v>7921</v>
      </c>
      <c r="O38" s="147" t="s">
        <v>7922</v>
      </c>
      <c r="P38" s="147" t="s">
        <v>7923</v>
      </c>
      <c r="Q38" s="170"/>
      <c r="R38" s="215">
        <v>10</v>
      </c>
      <c r="S38" s="260"/>
      <c r="T38" s="147"/>
      <c r="U38" s="359">
        <f>ESS_DATA[[#This Row],[QUANTITY]]*(0.04/360)</f>
        <v>1.1111111111111111E-3</v>
      </c>
      <c r="V38" s="706" t="s">
        <v>7854</v>
      </c>
      <c r="W38" s="147" t="s">
        <v>7855</v>
      </c>
      <c r="X38" s="147" t="str">
        <f t="shared" si="1"/>
        <v>COMPLETED</v>
      </c>
      <c r="Y38" s="711"/>
      <c r="Z38" s="14">
        <v>46063</v>
      </c>
      <c r="AA38" s="215">
        <f>WEEKNUM(ESS_DATA[[#This Row],[Pick-Up Date]])</f>
        <v>7</v>
      </c>
      <c r="AB38" s="12" t="s">
        <v>7892</v>
      </c>
      <c r="AC38" s="147"/>
      <c r="AD38" s="147" t="s">
        <v>122</v>
      </c>
      <c r="AE38" s="12" t="s">
        <v>123</v>
      </c>
      <c r="AF38" s="12" t="s">
        <v>78</v>
      </c>
      <c r="AG38" s="14">
        <v>46071</v>
      </c>
      <c r="AH38" s="14">
        <v>46071</v>
      </c>
      <c r="AI38" s="14">
        <v>46073</v>
      </c>
      <c r="AJ38" s="14">
        <v>46114</v>
      </c>
      <c r="AK38" s="14">
        <v>46114</v>
      </c>
      <c r="AL38" s="14">
        <v>46116</v>
      </c>
      <c r="AM38" s="162" t="s">
        <v>7815</v>
      </c>
      <c r="AN38" s="12" t="s">
        <v>7893</v>
      </c>
      <c r="AO38" s="162" t="s">
        <v>161</v>
      </c>
      <c r="AP38" s="12" t="s">
        <v>7894</v>
      </c>
      <c r="AQ38" s="12">
        <v>266196843</v>
      </c>
      <c r="AR38" s="12">
        <v>266196843</v>
      </c>
      <c r="AS38" s="82">
        <f>ESS_DATA[[#This Row],[ETA On S/O]]-ESS_DATA[[#This Row],[ETD On S/O]]+1</f>
        <v>44</v>
      </c>
      <c r="AT38" s="82"/>
      <c r="AU38" s="347" cm="1">
        <f t="array" ref="AU3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3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38" s="14">
        <f>IF(ISERROR(ESS_DATA[[#This Row],[New Ark PO status]]),"",_xlfn.XLOOKUP(ESS_DATA[[#This Row],[SPTN-PVHK New Ark PO'#]],New_Ark_Data[Purchase order Number],New_Ark_Data[Estimated time of arrival],"",0))</f>
        <v>46128</v>
      </c>
      <c r="AX38" s="12">
        <f>IF(ESS_DATA[[#This Row],[New Ark PO Type]]="Offshore",0,IFERROR(VLOOKUP(ESS_DATA[[#This Row],[PORT OF LOADING]]&amp;ESS_DATA[[#This Row],[PORT DESTINATION]],LT_REF[],7,0),14))</f>
        <v>8</v>
      </c>
      <c r="AY38" s="14">
        <f>IFERROR(ESS_DATA[[#This Row],[ODP ETA Port]]+ESS_DATA[[#This Row],[Customs/Leg3 Assumption]],"n/a")</f>
        <v>46124</v>
      </c>
      <c r="AZ38" s="82">
        <f>YEAR(ESS_DATA[[#This Row],[ETA for New Ark update]])</f>
        <v>2026</v>
      </c>
      <c r="BA38" s="82">
        <f>MONTH(ESS_DATA[[#This Row],[ETA for New Ark update]])</f>
        <v>4</v>
      </c>
      <c r="BB38" s="82">
        <f>IFERROR(_xlfn.ISOWEEKNUM(ESS_DATA[[#This Row],[ETA for New Ark update]]),0)</f>
        <v>15</v>
      </c>
      <c r="BC38" s="82" t="str">
        <f>_xlfn.XLOOKUP(ESS_DATA[[#This Row],[PORT DESTINATION]],Table12[PORT DESTINATION],Table12[Cosco Line],,0)</f>
        <v>AEM</v>
      </c>
      <c r="BD38" s="82"/>
    </row>
    <row r="39" spans="1:56" s="23" customFormat="1" ht="10">
      <c r="A39" s="82" t="s">
        <v>1000</v>
      </c>
      <c r="B39" s="12" t="s">
        <v>7814</v>
      </c>
      <c r="C39" s="82" t="str">
        <f>IFERROR(LEFT(ESS_DATA[[#This Row],[TCL REFERENCE]],FIND(".",ESS_DATA[[#This Row],[TCL REFERENCE]],1)-1),"Main Line")</f>
        <v>Main Line</v>
      </c>
      <c r="D39" s="82" t="s">
        <v>63</v>
      </c>
      <c r="E39" s="160" t="s">
        <v>64</v>
      </c>
      <c r="F39" s="160" t="s">
        <v>68</v>
      </c>
      <c r="G39" s="82" t="s">
        <v>66</v>
      </c>
      <c r="H39" s="12" t="s">
        <v>67</v>
      </c>
      <c r="I39" s="82"/>
      <c r="J39" s="82" t="s">
        <v>7924</v>
      </c>
      <c r="K39" s="82"/>
      <c r="L39" s="79"/>
      <c r="M39" s="213" t="s">
        <v>68</v>
      </c>
      <c r="N39" s="178" t="s">
        <v>7925</v>
      </c>
      <c r="O39" s="147" t="s">
        <v>7926</v>
      </c>
      <c r="P39" s="147" t="s">
        <v>7927</v>
      </c>
      <c r="Q39" s="170"/>
      <c r="R39" s="215">
        <v>50</v>
      </c>
      <c r="S39" s="260"/>
      <c r="T39" s="147"/>
      <c r="U39" s="359">
        <f>ESS_DATA[[#This Row],[QUANTITY]]*(0.04/360)</f>
        <v>5.5555555555555558E-3</v>
      </c>
      <c r="V39" s="706" t="s">
        <v>7854</v>
      </c>
      <c r="W39" s="147" t="s">
        <v>7855</v>
      </c>
      <c r="X39" s="147" t="str">
        <f t="shared" si="1"/>
        <v>COMPLETED</v>
      </c>
      <c r="Y39" s="711"/>
      <c r="Z39" s="14">
        <v>46063</v>
      </c>
      <c r="AA39" s="215">
        <f>WEEKNUM(ESS_DATA[[#This Row],[Pick-Up Date]])</f>
        <v>7</v>
      </c>
      <c r="AB39" s="12" t="s">
        <v>7892</v>
      </c>
      <c r="AC39" s="147"/>
      <c r="AD39" s="147" t="s">
        <v>122</v>
      </c>
      <c r="AE39" s="12" t="s">
        <v>123</v>
      </c>
      <c r="AF39" s="12" t="s">
        <v>78</v>
      </c>
      <c r="AG39" s="14">
        <v>46071</v>
      </c>
      <c r="AH39" s="14">
        <v>46071</v>
      </c>
      <c r="AI39" s="14">
        <v>46073</v>
      </c>
      <c r="AJ39" s="14">
        <v>46114</v>
      </c>
      <c r="AK39" s="14">
        <v>46114</v>
      </c>
      <c r="AL39" s="14">
        <v>46116</v>
      </c>
      <c r="AM39" s="162" t="s">
        <v>7815</v>
      </c>
      <c r="AN39" s="12" t="s">
        <v>7893</v>
      </c>
      <c r="AO39" s="162" t="s">
        <v>161</v>
      </c>
      <c r="AP39" s="12" t="s">
        <v>7894</v>
      </c>
      <c r="AQ39" s="12">
        <v>266196843</v>
      </c>
      <c r="AR39" s="12">
        <v>266196843</v>
      </c>
      <c r="AS39" s="82">
        <f>ESS_DATA[[#This Row],[ETA On S/O]]-ESS_DATA[[#This Row],[ETD On S/O]]+1</f>
        <v>44</v>
      </c>
      <c r="AT39" s="82"/>
      <c r="AU39" s="347" cm="1">
        <f t="array" ref="AU3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3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39" s="14">
        <f>IF(ISERROR(ESS_DATA[[#This Row],[New Ark PO status]]),"",_xlfn.XLOOKUP(ESS_DATA[[#This Row],[SPTN-PVHK New Ark PO'#]],New_Ark_Data[Purchase order Number],New_Ark_Data[Estimated time of arrival],"",0))</f>
        <v>46128</v>
      </c>
      <c r="AX39" s="12">
        <f>IF(ESS_DATA[[#This Row],[New Ark PO Type]]="Offshore",0,IFERROR(VLOOKUP(ESS_DATA[[#This Row],[PORT OF LOADING]]&amp;ESS_DATA[[#This Row],[PORT DESTINATION]],LT_REF[],7,0),14))</f>
        <v>8</v>
      </c>
      <c r="AY39" s="14">
        <f>IFERROR(ESS_DATA[[#This Row],[ODP ETA Port]]+ESS_DATA[[#This Row],[Customs/Leg3 Assumption]],"n/a")</f>
        <v>46124</v>
      </c>
      <c r="AZ39" s="82">
        <f>YEAR(ESS_DATA[[#This Row],[ETA for New Ark update]])</f>
        <v>2026</v>
      </c>
      <c r="BA39" s="82">
        <f>MONTH(ESS_DATA[[#This Row],[ETA for New Ark update]])</f>
        <v>4</v>
      </c>
      <c r="BB39" s="82">
        <f>IFERROR(_xlfn.ISOWEEKNUM(ESS_DATA[[#This Row],[ETA for New Ark update]]),0)</f>
        <v>15</v>
      </c>
      <c r="BC39" s="82" t="str">
        <f>_xlfn.XLOOKUP(ESS_DATA[[#This Row],[PORT DESTINATION]],Table12[PORT DESTINATION],Table12[Cosco Line],,0)</f>
        <v>AEM</v>
      </c>
      <c r="BD39" s="82"/>
    </row>
    <row r="40" spans="1:56" s="23" customFormat="1" ht="10">
      <c r="A40" s="82" t="s">
        <v>7928</v>
      </c>
      <c r="B40" s="12" t="s">
        <v>7814</v>
      </c>
      <c r="C40" s="82" t="str">
        <f>IFERROR(LEFT(ESS_DATA[[#This Row],[TCL REFERENCE]],FIND(".",ESS_DATA[[#This Row],[TCL REFERENCE]],1)-1),"Main Line")</f>
        <v>Main Line</v>
      </c>
      <c r="D40" s="82" t="s">
        <v>63</v>
      </c>
      <c r="E40" s="160" t="s">
        <v>64</v>
      </c>
      <c r="F40" s="160" t="s">
        <v>68</v>
      </c>
      <c r="G40" s="82" t="s">
        <v>66</v>
      </c>
      <c r="H40" s="12" t="s">
        <v>67</v>
      </c>
      <c r="I40" s="82"/>
      <c r="J40" s="82" t="s">
        <v>7929</v>
      </c>
      <c r="K40" s="82"/>
      <c r="L40" s="79"/>
      <c r="M40" s="213" t="s">
        <v>68</v>
      </c>
      <c r="N40" s="147" t="s">
        <v>7930</v>
      </c>
      <c r="O40" s="147" t="s">
        <v>7931</v>
      </c>
      <c r="P40" s="147" t="s">
        <v>7932</v>
      </c>
      <c r="Q40" s="170"/>
      <c r="R40" s="215">
        <v>20</v>
      </c>
      <c r="S40" s="260"/>
      <c r="T40" s="147"/>
      <c r="U40" s="359">
        <f>ESS_DATA[[#This Row],[QUANTITY]]*(0.04/360)</f>
        <v>2.2222222222222222E-3</v>
      </c>
      <c r="V40" s="706" t="s">
        <v>7854</v>
      </c>
      <c r="W40" s="147" t="s">
        <v>7855</v>
      </c>
      <c r="X40" s="147" t="str">
        <f t="shared" si="1"/>
        <v>COMPLETED</v>
      </c>
      <c r="Y40" s="711"/>
      <c r="Z40" s="14">
        <v>46063</v>
      </c>
      <c r="AA40" s="215">
        <f>WEEKNUM(ESS_DATA[[#This Row],[Pick-Up Date]])</f>
        <v>7</v>
      </c>
      <c r="AB40" s="12" t="s">
        <v>7892</v>
      </c>
      <c r="AC40" s="147"/>
      <c r="AD40" s="147" t="s">
        <v>122</v>
      </c>
      <c r="AE40" s="12" t="s">
        <v>123</v>
      </c>
      <c r="AF40" s="12" t="s">
        <v>78</v>
      </c>
      <c r="AG40" s="14">
        <v>46071</v>
      </c>
      <c r="AH40" s="14">
        <v>46071</v>
      </c>
      <c r="AI40" s="14">
        <v>46073</v>
      </c>
      <c r="AJ40" s="14">
        <v>46114</v>
      </c>
      <c r="AK40" s="14">
        <v>46114</v>
      </c>
      <c r="AL40" s="14">
        <v>46116</v>
      </c>
      <c r="AM40" s="18" t="s">
        <v>7815</v>
      </c>
      <c r="AN40" s="12" t="s">
        <v>7893</v>
      </c>
      <c r="AO40" s="162" t="s">
        <v>161</v>
      </c>
      <c r="AP40" s="12" t="s">
        <v>7894</v>
      </c>
      <c r="AQ40" s="12">
        <v>266196843</v>
      </c>
      <c r="AR40" s="12">
        <v>266196843</v>
      </c>
      <c r="AS40" s="82">
        <f>ESS_DATA[[#This Row],[ETA On S/O]]-ESS_DATA[[#This Row],[ETD On S/O]]+1</f>
        <v>44</v>
      </c>
      <c r="AT40" s="82"/>
      <c r="AU40" s="347" cm="1">
        <f t="array" ref="AU4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4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40" s="14">
        <f>IF(ISERROR(ESS_DATA[[#This Row],[New Ark PO status]]),"",_xlfn.XLOOKUP(ESS_DATA[[#This Row],[SPTN-PVHK New Ark PO'#]],New_Ark_Data[Purchase order Number],New_Ark_Data[Estimated time of arrival],"",0))</f>
        <v>46128</v>
      </c>
      <c r="AX40" s="12">
        <f>IF(ESS_DATA[[#This Row],[New Ark PO Type]]="Offshore",0,IFERROR(VLOOKUP(ESS_DATA[[#This Row],[PORT OF LOADING]]&amp;ESS_DATA[[#This Row],[PORT DESTINATION]],LT_REF[],7,0),14))</f>
        <v>8</v>
      </c>
      <c r="AY40" s="14">
        <f>IFERROR(ESS_DATA[[#This Row],[ODP ETA Port]]+ESS_DATA[[#This Row],[Customs/Leg3 Assumption]],"n/a")</f>
        <v>46124</v>
      </c>
      <c r="AZ40" s="82">
        <f>YEAR(ESS_DATA[[#This Row],[ETA for New Ark update]])</f>
        <v>2026</v>
      </c>
      <c r="BA40" s="82">
        <f>MONTH(ESS_DATA[[#This Row],[ETA for New Ark update]])</f>
        <v>4</v>
      </c>
      <c r="BB40" s="82">
        <f>IFERROR(_xlfn.ISOWEEKNUM(ESS_DATA[[#This Row],[ETA for New Ark update]]),0)</f>
        <v>15</v>
      </c>
      <c r="BC40" s="82" t="str">
        <f>_xlfn.XLOOKUP(ESS_DATA[[#This Row],[PORT DESTINATION]],Table12[PORT DESTINATION],Table12[Cosco Line],,0)</f>
        <v>AEM</v>
      </c>
      <c r="BD40" s="82"/>
    </row>
    <row r="41" spans="1:56" s="23" customFormat="1" ht="10">
      <c r="A41" s="82" t="s">
        <v>7933</v>
      </c>
      <c r="B41" s="12" t="s">
        <v>7814</v>
      </c>
      <c r="C41" s="82" t="str">
        <f>IFERROR(LEFT(ESS_DATA[[#This Row],[TCL REFERENCE]],FIND(".",ESS_DATA[[#This Row],[TCL REFERENCE]],1)-1),"Main Line")</f>
        <v>Main Line</v>
      </c>
      <c r="D41" s="82" t="s">
        <v>63</v>
      </c>
      <c r="E41" s="160" t="s">
        <v>64</v>
      </c>
      <c r="F41" s="160" t="s">
        <v>68</v>
      </c>
      <c r="G41" s="82" t="s">
        <v>66</v>
      </c>
      <c r="H41" s="12" t="s">
        <v>67</v>
      </c>
      <c r="I41" s="82"/>
      <c r="J41" s="82" t="s">
        <v>7934</v>
      </c>
      <c r="K41" s="82"/>
      <c r="L41" s="79"/>
      <c r="M41" s="213" t="s">
        <v>68</v>
      </c>
      <c r="N41" s="147" t="s">
        <v>7935</v>
      </c>
      <c r="O41" s="147" t="s">
        <v>7936</v>
      </c>
      <c r="P41" s="147" t="s">
        <v>7937</v>
      </c>
      <c r="Q41" s="170"/>
      <c r="R41" s="215">
        <v>10</v>
      </c>
      <c r="S41" s="260"/>
      <c r="T41" s="147"/>
      <c r="U41" s="359">
        <f>ESS_DATA[[#This Row],[QUANTITY]]*(0.04/360)</f>
        <v>1.1111111111111111E-3</v>
      </c>
      <c r="V41" s="706" t="s">
        <v>7854</v>
      </c>
      <c r="W41" s="147" t="s">
        <v>7855</v>
      </c>
      <c r="X41" s="147" t="str">
        <f t="shared" si="1"/>
        <v>COMPLETED</v>
      </c>
      <c r="Y41" s="711"/>
      <c r="Z41" s="14">
        <v>46063</v>
      </c>
      <c r="AA41" s="215">
        <f>WEEKNUM(ESS_DATA[[#This Row],[Pick-Up Date]])</f>
        <v>7</v>
      </c>
      <c r="AB41" s="12" t="s">
        <v>7892</v>
      </c>
      <c r="AC41" s="147"/>
      <c r="AD41" s="147" t="s">
        <v>122</v>
      </c>
      <c r="AE41" s="12" t="s">
        <v>123</v>
      </c>
      <c r="AF41" s="12" t="s">
        <v>78</v>
      </c>
      <c r="AG41" s="14">
        <v>46071</v>
      </c>
      <c r="AH41" s="14">
        <v>46071</v>
      </c>
      <c r="AI41" s="14">
        <v>46073</v>
      </c>
      <c r="AJ41" s="14">
        <v>46114</v>
      </c>
      <c r="AK41" s="14">
        <v>46114</v>
      </c>
      <c r="AL41" s="14">
        <v>46116</v>
      </c>
      <c r="AM41" s="18" t="s">
        <v>7815</v>
      </c>
      <c r="AN41" s="12" t="s">
        <v>7893</v>
      </c>
      <c r="AO41" s="162" t="s">
        <v>161</v>
      </c>
      <c r="AP41" s="12" t="s">
        <v>7894</v>
      </c>
      <c r="AQ41" s="12">
        <v>266196843</v>
      </c>
      <c r="AR41" s="12">
        <v>266196843</v>
      </c>
      <c r="AS41" s="82">
        <f>ESS_DATA[[#This Row],[ETA On S/O]]-ESS_DATA[[#This Row],[ETD On S/O]]+1</f>
        <v>44</v>
      </c>
      <c r="AT41" s="82"/>
      <c r="AU41" s="347" cm="1">
        <f t="array" ref="AU4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4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41" s="14">
        <f>IF(ISERROR(ESS_DATA[[#This Row],[New Ark PO status]]),"",_xlfn.XLOOKUP(ESS_DATA[[#This Row],[SPTN-PVHK New Ark PO'#]],New_Ark_Data[Purchase order Number],New_Ark_Data[Estimated time of arrival],"",0))</f>
        <v>46128</v>
      </c>
      <c r="AX41" s="12">
        <f>IF(ESS_DATA[[#This Row],[New Ark PO Type]]="Offshore",0,IFERROR(VLOOKUP(ESS_DATA[[#This Row],[PORT OF LOADING]]&amp;ESS_DATA[[#This Row],[PORT DESTINATION]],LT_REF[],7,0),14))</f>
        <v>8</v>
      </c>
      <c r="AY41" s="14">
        <f>IFERROR(ESS_DATA[[#This Row],[ODP ETA Port]]+ESS_DATA[[#This Row],[Customs/Leg3 Assumption]],"n/a")</f>
        <v>46124</v>
      </c>
      <c r="AZ41" s="82">
        <f>YEAR(ESS_DATA[[#This Row],[ETA for New Ark update]])</f>
        <v>2026</v>
      </c>
      <c r="BA41" s="82">
        <f>MONTH(ESS_DATA[[#This Row],[ETA for New Ark update]])</f>
        <v>4</v>
      </c>
      <c r="BB41" s="82">
        <f>IFERROR(_xlfn.ISOWEEKNUM(ESS_DATA[[#This Row],[ETA for New Ark update]]),0)</f>
        <v>15</v>
      </c>
      <c r="BC41" s="82" t="str">
        <f>_xlfn.XLOOKUP(ESS_DATA[[#This Row],[PORT DESTINATION]],Table12[PORT DESTINATION],Table12[Cosco Line],,0)</f>
        <v>AEM</v>
      </c>
      <c r="BD41" s="82"/>
    </row>
    <row r="42" spans="1:56" s="23" customFormat="1" ht="10">
      <c r="A42" s="82" t="s">
        <v>7938</v>
      </c>
      <c r="B42" s="12" t="s">
        <v>7814</v>
      </c>
      <c r="C42" s="82" t="str">
        <f>IFERROR(LEFT(ESS_DATA[[#This Row],[TCL REFERENCE]],FIND(".",ESS_DATA[[#This Row],[TCL REFERENCE]],1)-1),"Main Line")</f>
        <v>Main Line</v>
      </c>
      <c r="D42" s="82" t="s">
        <v>63</v>
      </c>
      <c r="E42" s="160" t="s">
        <v>64</v>
      </c>
      <c r="F42" s="160" t="s">
        <v>68</v>
      </c>
      <c r="G42" s="82" t="s">
        <v>66</v>
      </c>
      <c r="H42" s="12" t="s">
        <v>67</v>
      </c>
      <c r="I42" s="82"/>
      <c r="J42" s="82" t="s">
        <v>7939</v>
      </c>
      <c r="K42" s="82"/>
      <c r="L42" s="79"/>
      <c r="M42" s="213" t="s">
        <v>68</v>
      </c>
      <c r="N42" s="147" t="s">
        <v>7940</v>
      </c>
      <c r="O42" s="147" t="s">
        <v>7941</v>
      </c>
      <c r="P42" s="147" t="s">
        <v>7942</v>
      </c>
      <c r="Q42" s="170"/>
      <c r="R42" s="215">
        <v>10</v>
      </c>
      <c r="S42" s="260"/>
      <c r="T42" s="147"/>
      <c r="U42" s="359">
        <f>ESS_DATA[[#This Row],[QUANTITY]]*(0.04/360)</f>
        <v>1.1111111111111111E-3</v>
      </c>
      <c r="V42" s="706" t="s">
        <v>7854</v>
      </c>
      <c r="W42" s="147" t="s">
        <v>7855</v>
      </c>
      <c r="X42" s="147" t="str">
        <f t="shared" si="1"/>
        <v>COMPLETED</v>
      </c>
      <c r="Y42" s="711"/>
      <c r="Z42" s="14">
        <v>46063</v>
      </c>
      <c r="AA42" s="215">
        <f>WEEKNUM(ESS_DATA[[#This Row],[Pick-Up Date]])</f>
        <v>7</v>
      </c>
      <c r="AB42" s="12" t="s">
        <v>7892</v>
      </c>
      <c r="AC42" s="147"/>
      <c r="AD42" s="147" t="s">
        <v>122</v>
      </c>
      <c r="AE42" s="12" t="s">
        <v>123</v>
      </c>
      <c r="AF42" s="12" t="s">
        <v>78</v>
      </c>
      <c r="AG42" s="14">
        <v>46071</v>
      </c>
      <c r="AH42" s="14">
        <v>46071</v>
      </c>
      <c r="AI42" s="14">
        <v>46073</v>
      </c>
      <c r="AJ42" s="14">
        <v>46114</v>
      </c>
      <c r="AK42" s="14">
        <v>46114</v>
      </c>
      <c r="AL42" s="14">
        <v>46116</v>
      </c>
      <c r="AM42" s="18" t="s">
        <v>7815</v>
      </c>
      <c r="AN42" s="12" t="s">
        <v>7893</v>
      </c>
      <c r="AO42" s="162" t="s">
        <v>161</v>
      </c>
      <c r="AP42" s="12" t="s">
        <v>7894</v>
      </c>
      <c r="AQ42" s="12">
        <v>266196843</v>
      </c>
      <c r="AR42" s="12">
        <v>266196843</v>
      </c>
      <c r="AS42" s="82">
        <f>ESS_DATA[[#This Row],[ETA On S/O]]-ESS_DATA[[#This Row],[ETD On S/O]]+1</f>
        <v>44</v>
      </c>
      <c r="AT42" s="82"/>
      <c r="AU42" s="347" cm="1">
        <f t="array" ref="AU4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4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42" s="14">
        <f>IF(ISERROR(ESS_DATA[[#This Row],[New Ark PO status]]),"",_xlfn.XLOOKUP(ESS_DATA[[#This Row],[SPTN-PVHK New Ark PO'#]],New_Ark_Data[Purchase order Number],New_Ark_Data[Estimated time of arrival],"",0))</f>
        <v>46128</v>
      </c>
      <c r="AX42" s="12">
        <f>IF(ESS_DATA[[#This Row],[New Ark PO Type]]="Offshore",0,IFERROR(VLOOKUP(ESS_DATA[[#This Row],[PORT OF LOADING]]&amp;ESS_DATA[[#This Row],[PORT DESTINATION]],LT_REF[],7,0),14))</f>
        <v>8</v>
      </c>
      <c r="AY42" s="14">
        <f>IFERROR(ESS_DATA[[#This Row],[ODP ETA Port]]+ESS_DATA[[#This Row],[Customs/Leg3 Assumption]],"n/a")</f>
        <v>46124</v>
      </c>
      <c r="AZ42" s="82">
        <f>YEAR(ESS_DATA[[#This Row],[ETA for New Ark update]])</f>
        <v>2026</v>
      </c>
      <c r="BA42" s="82">
        <f>MONTH(ESS_DATA[[#This Row],[ETA for New Ark update]])</f>
        <v>4</v>
      </c>
      <c r="BB42" s="82">
        <f>IFERROR(_xlfn.ISOWEEKNUM(ESS_DATA[[#This Row],[ETA for New Ark update]]),0)</f>
        <v>15</v>
      </c>
      <c r="BC42" s="82" t="str">
        <f>_xlfn.XLOOKUP(ESS_DATA[[#This Row],[PORT DESTINATION]],Table12[PORT DESTINATION],Table12[Cosco Line],,0)</f>
        <v>AEM</v>
      </c>
      <c r="BD42" s="82"/>
    </row>
    <row r="43" spans="1:56" s="23" customFormat="1" ht="10">
      <c r="A43" s="82" t="s">
        <v>7943</v>
      </c>
      <c r="B43" s="12" t="s">
        <v>7814</v>
      </c>
      <c r="C43" s="82" t="str">
        <f>IFERROR(LEFT(ESS_DATA[[#This Row],[TCL REFERENCE]],FIND(".",ESS_DATA[[#This Row],[TCL REFERENCE]],1)-1),"Main Line")</f>
        <v>Main Line</v>
      </c>
      <c r="D43" s="82" t="s">
        <v>63</v>
      </c>
      <c r="E43" s="160" t="s">
        <v>64</v>
      </c>
      <c r="F43" s="160" t="s">
        <v>68</v>
      </c>
      <c r="G43" s="82" t="s">
        <v>66</v>
      </c>
      <c r="H43" s="12" t="s">
        <v>67</v>
      </c>
      <c r="I43" s="82"/>
      <c r="J43" s="82" t="s">
        <v>7905</v>
      </c>
      <c r="K43" s="82"/>
      <c r="L43" s="79"/>
      <c r="M43" s="213" t="s">
        <v>68</v>
      </c>
      <c r="N43" s="147" t="s">
        <v>7944</v>
      </c>
      <c r="O43" s="147" t="s">
        <v>7945</v>
      </c>
      <c r="P43" s="147" t="s">
        <v>7946</v>
      </c>
      <c r="Q43" s="170"/>
      <c r="R43" s="215">
        <v>40</v>
      </c>
      <c r="S43" s="260"/>
      <c r="T43" s="147"/>
      <c r="U43" s="359">
        <f>ESS_DATA[[#This Row],[QUANTITY]]*(0.04/360)</f>
        <v>4.4444444444444444E-3</v>
      </c>
      <c r="V43" s="706" t="s">
        <v>7854</v>
      </c>
      <c r="W43" s="147" t="s">
        <v>7855</v>
      </c>
      <c r="X43" s="147" t="str">
        <f t="shared" si="1"/>
        <v>COMPLETED</v>
      </c>
      <c r="Y43" s="711"/>
      <c r="Z43" s="14">
        <v>46063</v>
      </c>
      <c r="AA43" s="215">
        <f>WEEKNUM(ESS_DATA[[#This Row],[Pick-Up Date]])</f>
        <v>7</v>
      </c>
      <c r="AB43" s="12" t="s">
        <v>7892</v>
      </c>
      <c r="AC43" s="147"/>
      <c r="AD43" s="147" t="s">
        <v>122</v>
      </c>
      <c r="AE43" s="12" t="s">
        <v>123</v>
      </c>
      <c r="AF43" s="12" t="s">
        <v>78</v>
      </c>
      <c r="AG43" s="14">
        <v>46071</v>
      </c>
      <c r="AH43" s="14">
        <v>46071</v>
      </c>
      <c r="AI43" s="14">
        <v>46073</v>
      </c>
      <c r="AJ43" s="14">
        <v>46114</v>
      </c>
      <c r="AK43" s="14">
        <v>46114</v>
      </c>
      <c r="AL43" s="14">
        <v>46116</v>
      </c>
      <c r="AM43" s="162" t="s">
        <v>7815</v>
      </c>
      <c r="AN43" s="12" t="s">
        <v>7893</v>
      </c>
      <c r="AO43" s="162" t="s">
        <v>161</v>
      </c>
      <c r="AP43" s="12" t="s">
        <v>7894</v>
      </c>
      <c r="AQ43" s="12">
        <v>266196843</v>
      </c>
      <c r="AR43" s="12">
        <v>266196843</v>
      </c>
      <c r="AS43" s="82">
        <f>ESS_DATA[[#This Row],[ETA On S/O]]-ESS_DATA[[#This Row],[ETD On S/O]]+1</f>
        <v>44</v>
      </c>
      <c r="AT43" s="82"/>
      <c r="AU43" s="347" cm="1">
        <f t="array" ref="AU4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4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43" s="14">
        <f>IF(ISERROR(ESS_DATA[[#This Row],[New Ark PO status]]),"",_xlfn.XLOOKUP(ESS_DATA[[#This Row],[SPTN-PVHK New Ark PO'#]],New_Ark_Data[Purchase order Number],New_Ark_Data[Estimated time of arrival],"",0))</f>
        <v>46128</v>
      </c>
      <c r="AX43" s="12">
        <f>IF(ESS_DATA[[#This Row],[New Ark PO Type]]="Offshore",0,IFERROR(VLOOKUP(ESS_DATA[[#This Row],[PORT OF LOADING]]&amp;ESS_DATA[[#This Row],[PORT DESTINATION]],LT_REF[],7,0),14))</f>
        <v>8</v>
      </c>
      <c r="AY43" s="14">
        <f>IFERROR(ESS_DATA[[#This Row],[ODP ETA Port]]+ESS_DATA[[#This Row],[Customs/Leg3 Assumption]],"n/a")</f>
        <v>46124</v>
      </c>
      <c r="AZ43" s="82">
        <f>YEAR(ESS_DATA[[#This Row],[ETA for New Ark update]])</f>
        <v>2026</v>
      </c>
      <c r="BA43" s="82">
        <f>MONTH(ESS_DATA[[#This Row],[ETA for New Ark update]])</f>
        <v>4</v>
      </c>
      <c r="BB43" s="82">
        <f>IFERROR(_xlfn.ISOWEEKNUM(ESS_DATA[[#This Row],[ETA for New Ark update]]),0)</f>
        <v>15</v>
      </c>
      <c r="BC43" s="82" t="str">
        <f>_xlfn.XLOOKUP(ESS_DATA[[#This Row],[PORT DESTINATION]],Table12[PORT DESTINATION],Table12[Cosco Line],,0)</f>
        <v>AEM</v>
      </c>
      <c r="BD43" s="82"/>
    </row>
    <row r="44" spans="1:56" s="23" customFormat="1" ht="10">
      <c r="A44" s="82" t="s">
        <v>7947</v>
      </c>
      <c r="B44" s="12" t="s">
        <v>7814</v>
      </c>
      <c r="C44" s="82" t="str">
        <f>IFERROR(LEFT(ESS_DATA[[#This Row],[TCL REFERENCE]],FIND(".",ESS_DATA[[#This Row],[TCL REFERENCE]],1)-1),"Main Line")</f>
        <v>Main Line</v>
      </c>
      <c r="D44" s="82" t="s">
        <v>63</v>
      </c>
      <c r="E44" s="160" t="s">
        <v>64</v>
      </c>
      <c r="F44" s="160" t="s">
        <v>68</v>
      </c>
      <c r="G44" s="82" t="s">
        <v>66</v>
      </c>
      <c r="H44" s="12" t="s">
        <v>67</v>
      </c>
      <c r="I44" s="82"/>
      <c r="J44" s="82" t="s">
        <v>7909</v>
      </c>
      <c r="K44" s="82"/>
      <c r="L44" s="79"/>
      <c r="M44" s="213" t="s">
        <v>68</v>
      </c>
      <c r="N44" s="147" t="s">
        <v>7948</v>
      </c>
      <c r="O44" s="147" t="s">
        <v>7949</v>
      </c>
      <c r="P44" s="147" t="s">
        <v>7950</v>
      </c>
      <c r="Q44" s="170"/>
      <c r="R44" s="215">
        <v>10</v>
      </c>
      <c r="S44" s="260"/>
      <c r="T44" s="147"/>
      <c r="U44" s="359">
        <f>ESS_DATA[[#This Row],[QUANTITY]]*(0.04/360)</f>
        <v>1.1111111111111111E-3</v>
      </c>
      <c r="V44" s="706" t="s">
        <v>7854</v>
      </c>
      <c r="W44" s="147" t="s">
        <v>7855</v>
      </c>
      <c r="X44" s="147" t="str">
        <f t="shared" si="1"/>
        <v>COMPLETED</v>
      </c>
      <c r="Y44" s="711"/>
      <c r="Z44" s="14">
        <v>46063</v>
      </c>
      <c r="AA44" s="215">
        <f>WEEKNUM(ESS_DATA[[#This Row],[Pick-Up Date]])</f>
        <v>7</v>
      </c>
      <c r="AB44" s="12" t="s">
        <v>7892</v>
      </c>
      <c r="AC44" s="147"/>
      <c r="AD44" s="147" t="s">
        <v>122</v>
      </c>
      <c r="AE44" s="12" t="s">
        <v>123</v>
      </c>
      <c r="AF44" s="12" t="s">
        <v>78</v>
      </c>
      <c r="AG44" s="14">
        <v>46071</v>
      </c>
      <c r="AH44" s="14">
        <v>46071</v>
      </c>
      <c r="AI44" s="14">
        <v>46073</v>
      </c>
      <c r="AJ44" s="14">
        <v>46114</v>
      </c>
      <c r="AK44" s="14">
        <v>46114</v>
      </c>
      <c r="AL44" s="14">
        <v>46116</v>
      </c>
      <c r="AM44" s="162" t="s">
        <v>7815</v>
      </c>
      <c r="AN44" s="12" t="s">
        <v>7893</v>
      </c>
      <c r="AO44" s="162" t="s">
        <v>161</v>
      </c>
      <c r="AP44" s="12" t="s">
        <v>7894</v>
      </c>
      <c r="AQ44" s="12">
        <v>266196843</v>
      </c>
      <c r="AR44" s="12">
        <v>266196843</v>
      </c>
      <c r="AS44" s="82">
        <f>ESS_DATA[[#This Row],[ETA On S/O]]-ESS_DATA[[#This Row],[ETD On S/O]]+1</f>
        <v>44</v>
      </c>
      <c r="AT44" s="82"/>
      <c r="AU44" s="347" cm="1">
        <f t="array" ref="AU4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4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44" s="14">
        <f>IF(ISERROR(ESS_DATA[[#This Row],[New Ark PO status]]),"",_xlfn.XLOOKUP(ESS_DATA[[#This Row],[SPTN-PVHK New Ark PO'#]],New_Ark_Data[Purchase order Number],New_Ark_Data[Estimated time of arrival],"",0))</f>
        <v>46128</v>
      </c>
      <c r="AX44" s="12">
        <f>IF(ESS_DATA[[#This Row],[New Ark PO Type]]="Offshore",0,IFERROR(VLOOKUP(ESS_DATA[[#This Row],[PORT OF LOADING]]&amp;ESS_DATA[[#This Row],[PORT DESTINATION]],LT_REF[],7,0),14))</f>
        <v>8</v>
      </c>
      <c r="AY44" s="14">
        <f>IFERROR(ESS_DATA[[#This Row],[ODP ETA Port]]+ESS_DATA[[#This Row],[Customs/Leg3 Assumption]],"n/a")</f>
        <v>46124</v>
      </c>
      <c r="AZ44" s="82">
        <f>YEAR(ESS_DATA[[#This Row],[ETA for New Ark update]])</f>
        <v>2026</v>
      </c>
      <c r="BA44" s="82">
        <f>MONTH(ESS_DATA[[#This Row],[ETA for New Ark update]])</f>
        <v>4</v>
      </c>
      <c r="BB44" s="82">
        <f>IFERROR(_xlfn.ISOWEEKNUM(ESS_DATA[[#This Row],[ETA for New Ark update]]),0)</f>
        <v>15</v>
      </c>
      <c r="BC44" s="82" t="str">
        <f>_xlfn.XLOOKUP(ESS_DATA[[#This Row],[PORT DESTINATION]],Table12[PORT DESTINATION],Table12[Cosco Line],,0)</f>
        <v>AEM</v>
      </c>
      <c r="BD44" s="82"/>
    </row>
    <row r="45" spans="1:56" s="23" customFormat="1" ht="10">
      <c r="A45" s="82" t="s">
        <v>7951</v>
      </c>
      <c r="B45" s="12" t="s">
        <v>7814</v>
      </c>
      <c r="C45" s="82" t="str">
        <f>IFERROR(LEFT(ESS_DATA[[#This Row],[TCL REFERENCE]],FIND(".",ESS_DATA[[#This Row],[TCL REFERENCE]],1)-1),"Main Line")</f>
        <v>Main Line</v>
      </c>
      <c r="D45" s="82" t="s">
        <v>63</v>
      </c>
      <c r="E45" s="160" t="s">
        <v>64</v>
      </c>
      <c r="F45" s="160" t="s">
        <v>68</v>
      </c>
      <c r="G45" s="82" t="s">
        <v>66</v>
      </c>
      <c r="H45" s="12" t="s">
        <v>67</v>
      </c>
      <c r="I45" s="82"/>
      <c r="J45" s="82" t="s">
        <v>7952</v>
      </c>
      <c r="K45" s="82"/>
      <c r="L45" s="79"/>
      <c r="M45" s="213" t="s">
        <v>68</v>
      </c>
      <c r="N45" s="147" t="s">
        <v>7816</v>
      </c>
      <c r="O45" s="147" t="s">
        <v>7953</v>
      </c>
      <c r="P45" s="147" t="s">
        <v>7818</v>
      </c>
      <c r="Q45" s="170"/>
      <c r="R45" s="215">
        <v>10</v>
      </c>
      <c r="S45" s="260"/>
      <c r="T45" s="147"/>
      <c r="U45" s="359">
        <f>ESS_DATA[[#This Row],[QUANTITY]]*(0.04/360)</f>
        <v>1.1111111111111111E-3</v>
      </c>
      <c r="V45" s="706" t="s">
        <v>7854</v>
      </c>
      <c r="W45" s="147" t="s">
        <v>7855</v>
      </c>
      <c r="X45" s="147" t="str">
        <f t="shared" si="1"/>
        <v>COMPLETED</v>
      </c>
      <c r="Y45" s="711"/>
      <c r="Z45" s="14">
        <v>46063</v>
      </c>
      <c r="AA45" s="215">
        <f>WEEKNUM(ESS_DATA[[#This Row],[Pick-Up Date]])</f>
        <v>7</v>
      </c>
      <c r="AB45" s="12" t="s">
        <v>7892</v>
      </c>
      <c r="AC45" s="147"/>
      <c r="AD45" s="147" t="s">
        <v>122</v>
      </c>
      <c r="AE45" s="12" t="s">
        <v>123</v>
      </c>
      <c r="AF45" s="12" t="s">
        <v>78</v>
      </c>
      <c r="AG45" s="14">
        <v>46071</v>
      </c>
      <c r="AH45" s="14">
        <v>46071</v>
      </c>
      <c r="AI45" s="14">
        <v>46073</v>
      </c>
      <c r="AJ45" s="14">
        <v>46114</v>
      </c>
      <c r="AK45" s="14">
        <v>46114</v>
      </c>
      <c r="AL45" s="14">
        <v>46116</v>
      </c>
      <c r="AM45" s="18" t="s">
        <v>7815</v>
      </c>
      <c r="AN45" s="12" t="s">
        <v>7893</v>
      </c>
      <c r="AO45" s="162" t="s">
        <v>161</v>
      </c>
      <c r="AP45" s="12" t="s">
        <v>7894</v>
      </c>
      <c r="AQ45" s="12">
        <v>266196843</v>
      </c>
      <c r="AR45" s="12">
        <v>266196843</v>
      </c>
      <c r="AS45" s="82">
        <f>ESS_DATA[[#This Row],[ETA On S/O]]-ESS_DATA[[#This Row],[ETD On S/O]]+1</f>
        <v>44</v>
      </c>
      <c r="AT45" s="82"/>
      <c r="AU45" s="347" cm="1">
        <f t="array" ref="AU4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4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45" s="14">
        <f>IF(ISERROR(ESS_DATA[[#This Row],[New Ark PO status]]),"",_xlfn.XLOOKUP(ESS_DATA[[#This Row],[SPTN-PVHK New Ark PO'#]],New_Ark_Data[Purchase order Number],New_Ark_Data[Estimated time of arrival],"",0))</f>
        <v>46128</v>
      </c>
      <c r="AX45" s="12">
        <f>IF(ESS_DATA[[#This Row],[New Ark PO Type]]="Offshore",0,IFERROR(VLOOKUP(ESS_DATA[[#This Row],[PORT OF LOADING]]&amp;ESS_DATA[[#This Row],[PORT DESTINATION]],LT_REF[],7,0),14))</f>
        <v>8</v>
      </c>
      <c r="AY45" s="14">
        <f>IFERROR(ESS_DATA[[#This Row],[ODP ETA Port]]+ESS_DATA[[#This Row],[Customs/Leg3 Assumption]],"n/a")</f>
        <v>46124</v>
      </c>
      <c r="AZ45" s="82">
        <f>YEAR(ESS_DATA[[#This Row],[ETA for New Ark update]])</f>
        <v>2026</v>
      </c>
      <c r="BA45" s="82">
        <f>MONTH(ESS_DATA[[#This Row],[ETA for New Ark update]])</f>
        <v>4</v>
      </c>
      <c r="BB45" s="82">
        <f>IFERROR(_xlfn.ISOWEEKNUM(ESS_DATA[[#This Row],[ETA for New Ark update]]),0)</f>
        <v>15</v>
      </c>
      <c r="BC45" s="82" t="str">
        <f>_xlfn.XLOOKUP(ESS_DATA[[#This Row],[PORT DESTINATION]],Table12[PORT DESTINATION],Table12[Cosco Line],,0)</f>
        <v>AEM</v>
      </c>
      <c r="BD45" s="82"/>
    </row>
    <row r="46" spans="1:56" s="23" customFormat="1" ht="10">
      <c r="A46" s="82" t="s">
        <v>7954</v>
      </c>
      <c r="B46" s="12" t="s">
        <v>7814</v>
      </c>
      <c r="C46" s="82" t="str">
        <f>IFERROR(LEFT(ESS_DATA[[#This Row],[TCL REFERENCE]],FIND(".",ESS_DATA[[#This Row],[TCL REFERENCE]],1)-1),"Main Line")</f>
        <v>Main Line</v>
      </c>
      <c r="D46" s="82" t="s">
        <v>63</v>
      </c>
      <c r="E46" s="160" t="s">
        <v>64</v>
      </c>
      <c r="F46" s="160" t="s">
        <v>68</v>
      </c>
      <c r="G46" s="82" t="s">
        <v>66</v>
      </c>
      <c r="H46" s="12" t="s">
        <v>67</v>
      </c>
      <c r="I46" s="82"/>
      <c r="J46" s="82" t="s">
        <v>7955</v>
      </c>
      <c r="K46" s="82"/>
      <c r="L46" s="79"/>
      <c r="M46" s="213" t="s">
        <v>68</v>
      </c>
      <c r="N46" s="147" t="s">
        <v>7956</v>
      </c>
      <c r="O46" s="147" t="s">
        <v>7957</v>
      </c>
      <c r="P46" s="147" t="s">
        <v>7958</v>
      </c>
      <c r="Q46" s="170"/>
      <c r="R46" s="215">
        <v>10</v>
      </c>
      <c r="S46" s="260"/>
      <c r="T46" s="147"/>
      <c r="U46" s="359">
        <f>ESS_DATA[[#This Row],[QUANTITY]]*(0.04/360)</f>
        <v>1.1111111111111111E-3</v>
      </c>
      <c r="V46" s="706" t="s">
        <v>7854</v>
      </c>
      <c r="W46" s="147" t="s">
        <v>7855</v>
      </c>
      <c r="X46" s="147" t="str">
        <f t="shared" si="1"/>
        <v>COMPLETED</v>
      </c>
      <c r="Y46" s="711"/>
      <c r="Z46" s="14">
        <v>46063</v>
      </c>
      <c r="AA46" s="215">
        <f>WEEKNUM(ESS_DATA[[#This Row],[Pick-Up Date]])</f>
        <v>7</v>
      </c>
      <c r="AB46" s="12" t="s">
        <v>7892</v>
      </c>
      <c r="AC46" s="147"/>
      <c r="AD46" s="147" t="s">
        <v>122</v>
      </c>
      <c r="AE46" s="12" t="s">
        <v>123</v>
      </c>
      <c r="AF46" s="12" t="s">
        <v>78</v>
      </c>
      <c r="AG46" s="14">
        <v>46071</v>
      </c>
      <c r="AH46" s="14">
        <v>46071</v>
      </c>
      <c r="AI46" s="14">
        <v>46073</v>
      </c>
      <c r="AJ46" s="14">
        <v>46114</v>
      </c>
      <c r="AK46" s="14">
        <v>46114</v>
      </c>
      <c r="AL46" s="14">
        <v>46116</v>
      </c>
      <c r="AM46" s="18" t="s">
        <v>7815</v>
      </c>
      <c r="AN46" s="12" t="s">
        <v>7893</v>
      </c>
      <c r="AO46" s="162" t="s">
        <v>161</v>
      </c>
      <c r="AP46" s="12" t="s">
        <v>7894</v>
      </c>
      <c r="AQ46" s="12">
        <v>266196843</v>
      </c>
      <c r="AR46" s="12">
        <v>266196843</v>
      </c>
      <c r="AS46" s="82">
        <f>ESS_DATA[[#This Row],[ETA On S/O]]-ESS_DATA[[#This Row],[ETD On S/O]]+1</f>
        <v>44</v>
      </c>
      <c r="AT46" s="82"/>
      <c r="AU46" s="347" cm="1">
        <f t="array" ref="AU4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4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46" s="14">
        <f>IF(ISERROR(ESS_DATA[[#This Row],[New Ark PO status]]),"",_xlfn.XLOOKUP(ESS_DATA[[#This Row],[SPTN-PVHK New Ark PO'#]],New_Ark_Data[Purchase order Number],New_Ark_Data[Estimated time of arrival],"",0))</f>
        <v>46128</v>
      </c>
      <c r="AX46" s="12">
        <f>IF(ESS_DATA[[#This Row],[New Ark PO Type]]="Offshore",0,IFERROR(VLOOKUP(ESS_DATA[[#This Row],[PORT OF LOADING]]&amp;ESS_DATA[[#This Row],[PORT DESTINATION]],LT_REF[],7,0),14))</f>
        <v>8</v>
      </c>
      <c r="AY46" s="14">
        <f>IFERROR(ESS_DATA[[#This Row],[ODP ETA Port]]+ESS_DATA[[#This Row],[Customs/Leg3 Assumption]],"n/a")</f>
        <v>46124</v>
      </c>
      <c r="AZ46" s="82">
        <f>YEAR(ESS_DATA[[#This Row],[ETA for New Ark update]])</f>
        <v>2026</v>
      </c>
      <c r="BA46" s="82">
        <f>MONTH(ESS_DATA[[#This Row],[ETA for New Ark update]])</f>
        <v>4</v>
      </c>
      <c r="BB46" s="82">
        <f>IFERROR(_xlfn.ISOWEEKNUM(ESS_DATA[[#This Row],[ETA for New Ark update]]),0)</f>
        <v>15</v>
      </c>
      <c r="BC46" s="82" t="str">
        <f>_xlfn.XLOOKUP(ESS_DATA[[#This Row],[PORT DESTINATION]],Table12[PORT DESTINATION],Table12[Cosco Line],,0)</f>
        <v>AEM</v>
      </c>
      <c r="BD46" s="82"/>
    </row>
    <row r="47" spans="1:56" s="23" customFormat="1" ht="10">
      <c r="A47" s="82" t="s">
        <v>7959</v>
      </c>
      <c r="B47" s="12" t="s">
        <v>7814</v>
      </c>
      <c r="C47" s="82" t="str">
        <f>IFERROR(LEFT(ESS_DATA[[#This Row],[TCL REFERENCE]],FIND(".",ESS_DATA[[#This Row],[TCL REFERENCE]],1)-1),"Main Line")</f>
        <v>Main Line</v>
      </c>
      <c r="D47" s="82" t="s">
        <v>63</v>
      </c>
      <c r="E47" s="160" t="s">
        <v>64</v>
      </c>
      <c r="F47" s="160" t="s">
        <v>68</v>
      </c>
      <c r="G47" s="82" t="s">
        <v>66</v>
      </c>
      <c r="H47" s="12" t="s">
        <v>67</v>
      </c>
      <c r="I47" s="82"/>
      <c r="J47" s="82" t="s">
        <v>7960</v>
      </c>
      <c r="K47" s="82"/>
      <c r="L47" s="79"/>
      <c r="M47" s="213" t="s">
        <v>68</v>
      </c>
      <c r="N47" s="147" t="s">
        <v>7961</v>
      </c>
      <c r="O47" s="147" t="s">
        <v>7962</v>
      </c>
      <c r="P47" s="147" t="s">
        <v>7963</v>
      </c>
      <c r="Q47" s="170"/>
      <c r="R47" s="215">
        <v>40</v>
      </c>
      <c r="S47" s="260"/>
      <c r="T47" s="147"/>
      <c r="U47" s="359">
        <f>ESS_DATA[[#This Row],[QUANTITY]]*(0.04/360)</f>
        <v>4.4444444444444444E-3</v>
      </c>
      <c r="V47" s="706" t="s">
        <v>7854</v>
      </c>
      <c r="W47" s="147" t="s">
        <v>7855</v>
      </c>
      <c r="X47" s="147" t="str">
        <f t="shared" si="1"/>
        <v>COMPLETED</v>
      </c>
      <c r="Y47" s="711"/>
      <c r="Z47" s="14">
        <v>46063</v>
      </c>
      <c r="AA47" s="215">
        <f>WEEKNUM(ESS_DATA[[#This Row],[Pick-Up Date]])</f>
        <v>7</v>
      </c>
      <c r="AB47" s="12" t="s">
        <v>7892</v>
      </c>
      <c r="AC47" s="147"/>
      <c r="AD47" s="147" t="s">
        <v>122</v>
      </c>
      <c r="AE47" s="12" t="s">
        <v>123</v>
      </c>
      <c r="AF47" s="12" t="s">
        <v>78</v>
      </c>
      <c r="AG47" s="14">
        <v>46071</v>
      </c>
      <c r="AH47" s="14">
        <v>46071</v>
      </c>
      <c r="AI47" s="14">
        <v>46073</v>
      </c>
      <c r="AJ47" s="14">
        <v>46114</v>
      </c>
      <c r="AK47" s="14">
        <v>46114</v>
      </c>
      <c r="AL47" s="14">
        <v>46116</v>
      </c>
      <c r="AM47" s="18" t="s">
        <v>7815</v>
      </c>
      <c r="AN47" s="12" t="s">
        <v>7893</v>
      </c>
      <c r="AO47" s="162" t="s">
        <v>161</v>
      </c>
      <c r="AP47" s="12" t="s">
        <v>7894</v>
      </c>
      <c r="AQ47" s="12">
        <v>266196843</v>
      </c>
      <c r="AR47" s="12">
        <v>266196843</v>
      </c>
      <c r="AS47" s="82">
        <f>ESS_DATA[[#This Row],[ETA On S/O]]-ESS_DATA[[#This Row],[ETD On S/O]]+1</f>
        <v>44</v>
      </c>
      <c r="AT47" s="82"/>
      <c r="AU47" s="347" cm="1">
        <f t="array" ref="AU4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4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47" s="14">
        <f>IF(ISERROR(ESS_DATA[[#This Row],[New Ark PO status]]),"",_xlfn.XLOOKUP(ESS_DATA[[#This Row],[SPTN-PVHK New Ark PO'#]],New_Ark_Data[Purchase order Number],New_Ark_Data[Estimated time of arrival],"",0))</f>
        <v>46128</v>
      </c>
      <c r="AX47" s="12">
        <f>IF(ESS_DATA[[#This Row],[New Ark PO Type]]="Offshore",0,IFERROR(VLOOKUP(ESS_DATA[[#This Row],[PORT OF LOADING]]&amp;ESS_DATA[[#This Row],[PORT DESTINATION]],LT_REF[],7,0),14))</f>
        <v>8</v>
      </c>
      <c r="AY47" s="14">
        <f>IFERROR(ESS_DATA[[#This Row],[ODP ETA Port]]+ESS_DATA[[#This Row],[Customs/Leg3 Assumption]],"n/a")</f>
        <v>46124</v>
      </c>
      <c r="AZ47" s="82">
        <f>YEAR(ESS_DATA[[#This Row],[ETA for New Ark update]])</f>
        <v>2026</v>
      </c>
      <c r="BA47" s="82">
        <f>MONTH(ESS_DATA[[#This Row],[ETA for New Ark update]])</f>
        <v>4</v>
      </c>
      <c r="BB47" s="82">
        <f>IFERROR(_xlfn.ISOWEEKNUM(ESS_DATA[[#This Row],[ETA for New Ark update]]),0)</f>
        <v>15</v>
      </c>
      <c r="BC47" s="82" t="str">
        <f>_xlfn.XLOOKUP(ESS_DATA[[#This Row],[PORT DESTINATION]],Table12[PORT DESTINATION],Table12[Cosco Line],,0)</f>
        <v>AEM</v>
      </c>
      <c r="BD47" s="82"/>
    </row>
    <row r="48" spans="1:56" s="23" customFormat="1" ht="10">
      <c r="A48" s="82" t="s">
        <v>7964</v>
      </c>
      <c r="B48" s="12" t="s">
        <v>7814</v>
      </c>
      <c r="C48" s="82" t="str">
        <f>IFERROR(LEFT(ESS_DATA[[#This Row],[TCL REFERENCE]],FIND(".",ESS_DATA[[#This Row],[TCL REFERENCE]],1)-1),"Main Line")</f>
        <v>Main Line</v>
      </c>
      <c r="D48" s="82" t="s">
        <v>63</v>
      </c>
      <c r="E48" s="160" t="s">
        <v>64</v>
      </c>
      <c r="F48" s="160" t="s">
        <v>68</v>
      </c>
      <c r="G48" s="82" t="s">
        <v>66</v>
      </c>
      <c r="H48" s="12" t="s">
        <v>67</v>
      </c>
      <c r="I48" s="82"/>
      <c r="J48" s="82" t="s">
        <v>7965</v>
      </c>
      <c r="K48" s="82"/>
      <c r="L48" s="79"/>
      <c r="M48" s="213" t="s">
        <v>68</v>
      </c>
      <c r="N48" s="147" t="s">
        <v>7966</v>
      </c>
      <c r="O48" s="147" t="s">
        <v>7967</v>
      </c>
      <c r="P48" s="147" t="s">
        <v>7968</v>
      </c>
      <c r="Q48" s="170"/>
      <c r="R48" s="215">
        <v>10</v>
      </c>
      <c r="S48" s="260"/>
      <c r="T48" s="147"/>
      <c r="U48" s="359">
        <f>ESS_DATA[[#This Row],[QUANTITY]]*(0.04/360)</f>
        <v>1.1111111111111111E-3</v>
      </c>
      <c r="V48" s="706" t="s">
        <v>7854</v>
      </c>
      <c r="W48" s="147" t="s">
        <v>7855</v>
      </c>
      <c r="X48" s="147" t="str">
        <f t="shared" si="1"/>
        <v>COMPLETED</v>
      </c>
      <c r="Y48" s="711"/>
      <c r="Z48" s="14">
        <v>46063</v>
      </c>
      <c r="AA48" s="215">
        <f>WEEKNUM(ESS_DATA[[#This Row],[Pick-Up Date]])</f>
        <v>7</v>
      </c>
      <c r="AB48" s="12" t="s">
        <v>7892</v>
      </c>
      <c r="AC48" s="147"/>
      <c r="AD48" s="147" t="s">
        <v>122</v>
      </c>
      <c r="AE48" s="12" t="s">
        <v>123</v>
      </c>
      <c r="AF48" s="12" t="s">
        <v>78</v>
      </c>
      <c r="AG48" s="14">
        <v>46071</v>
      </c>
      <c r="AH48" s="14">
        <v>46071</v>
      </c>
      <c r="AI48" s="14">
        <v>46073</v>
      </c>
      <c r="AJ48" s="14">
        <v>46114</v>
      </c>
      <c r="AK48" s="14">
        <v>46114</v>
      </c>
      <c r="AL48" s="14">
        <v>46116</v>
      </c>
      <c r="AM48" s="18" t="s">
        <v>7815</v>
      </c>
      <c r="AN48" s="12" t="s">
        <v>7893</v>
      </c>
      <c r="AO48" s="162" t="s">
        <v>161</v>
      </c>
      <c r="AP48" s="12" t="s">
        <v>7894</v>
      </c>
      <c r="AQ48" s="12">
        <v>266196843</v>
      </c>
      <c r="AR48" s="12">
        <v>266196843</v>
      </c>
      <c r="AS48" s="82">
        <f>ESS_DATA[[#This Row],[ETA On S/O]]-ESS_DATA[[#This Row],[ETD On S/O]]+1</f>
        <v>44</v>
      </c>
      <c r="AT48" s="82"/>
      <c r="AU48" s="347" cm="1">
        <f t="array" ref="AU4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4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48" s="14">
        <f>IF(ISERROR(ESS_DATA[[#This Row],[New Ark PO status]]),"",_xlfn.XLOOKUP(ESS_DATA[[#This Row],[SPTN-PVHK New Ark PO'#]],New_Ark_Data[Purchase order Number],New_Ark_Data[Estimated time of arrival],"",0))</f>
        <v>46128</v>
      </c>
      <c r="AX48" s="12">
        <f>IF(ESS_DATA[[#This Row],[New Ark PO Type]]="Offshore",0,IFERROR(VLOOKUP(ESS_DATA[[#This Row],[PORT OF LOADING]]&amp;ESS_DATA[[#This Row],[PORT DESTINATION]],LT_REF[],7,0),14))</f>
        <v>8</v>
      </c>
      <c r="AY48" s="14">
        <f>IFERROR(ESS_DATA[[#This Row],[ODP ETA Port]]+ESS_DATA[[#This Row],[Customs/Leg3 Assumption]],"n/a")</f>
        <v>46124</v>
      </c>
      <c r="AZ48" s="82">
        <f>YEAR(ESS_DATA[[#This Row],[ETA for New Ark update]])</f>
        <v>2026</v>
      </c>
      <c r="BA48" s="82">
        <f>MONTH(ESS_DATA[[#This Row],[ETA for New Ark update]])</f>
        <v>4</v>
      </c>
      <c r="BB48" s="82">
        <f>IFERROR(_xlfn.ISOWEEKNUM(ESS_DATA[[#This Row],[ETA for New Ark update]]),0)</f>
        <v>15</v>
      </c>
      <c r="BC48" s="82" t="str">
        <f>_xlfn.XLOOKUP(ESS_DATA[[#This Row],[PORT DESTINATION]],Table12[PORT DESTINATION],Table12[Cosco Line],,0)</f>
        <v>AEM</v>
      </c>
      <c r="BD48" s="82"/>
    </row>
    <row r="49" spans="1:56" s="23" customFormat="1" ht="10">
      <c r="A49" s="82" t="s">
        <v>7969</v>
      </c>
      <c r="B49" s="12" t="s">
        <v>7814</v>
      </c>
      <c r="C49" s="82" t="str">
        <f>IFERROR(LEFT(ESS_DATA[[#This Row],[TCL REFERENCE]],FIND(".",ESS_DATA[[#This Row],[TCL REFERENCE]],1)-1),"Main Line")</f>
        <v>Main Line</v>
      </c>
      <c r="D49" s="82" t="s">
        <v>63</v>
      </c>
      <c r="E49" s="160" t="s">
        <v>64</v>
      </c>
      <c r="F49" s="160" t="s">
        <v>68</v>
      </c>
      <c r="G49" s="82" t="s">
        <v>66</v>
      </c>
      <c r="H49" s="12" t="s">
        <v>67</v>
      </c>
      <c r="I49" s="82"/>
      <c r="J49" s="82" t="s">
        <v>7970</v>
      </c>
      <c r="K49" s="82"/>
      <c r="L49" s="79"/>
      <c r="M49" s="213" t="s">
        <v>68</v>
      </c>
      <c r="N49" s="147" t="s">
        <v>7971</v>
      </c>
      <c r="O49" s="147" t="s">
        <v>7972</v>
      </c>
      <c r="P49" s="147" t="s">
        <v>7973</v>
      </c>
      <c r="Q49" s="170"/>
      <c r="R49" s="215">
        <v>40</v>
      </c>
      <c r="S49" s="260"/>
      <c r="T49" s="147"/>
      <c r="U49" s="359">
        <f>ESS_DATA[[#This Row],[QUANTITY]]*(0.04/360)</f>
        <v>4.4444444444444444E-3</v>
      </c>
      <c r="V49" s="706" t="s">
        <v>7854</v>
      </c>
      <c r="W49" s="147" t="s">
        <v>7855</v>
      </c>
      <c r="X49" s="147" t="str">
        <f t="shared" si="1"/>
        <v>COMPLETED</v>
      </c>
      <c r="Y49" s="711"/>
      <c r="Z49" s="14">
        <v>46063</v>
      </c>
      <c r="AA49" s="215">
        <f>WEEKNUM(ESS_DATA[[#This Row],[Pick-Up Date]])</f>
        <v>7</v>
      </c>
      <c r="AB49" s="12" t="s">
        <v>7892</v>
      </c>
      <c r="AC49" s="147"/>
      <c r="AD49" s="147" t="s">
        <v>122</v>
      </c>
      <c r="AE49" s="12" t="s">
        <v>123</v>
      </c>
      <c r="AF49" s="12" t="s">
        <v>78</v>
      </c>
      <c r="AG49" s="14">
        <v>46071</v>
      </c>
      <c r="AH49" s="14">
        <v>46071</v>
      </c>
      <c r="AI49" s="14">
        <v>46073</v>
      </c>
      <c r="AJ49" s="14">
        <v>46114</v>
      </c>
      <c r="AK49" s="14">
        <v>46114</v>
      </c>
      <c r="AL49" s="14">
        <v>46116</v>
      </c>
      <c r="AM49" s="18" t="s">
        <v>7815</v>
      </c>
      <c r="AN49" s="12" t="s">
        <v>7893</v>
      </c>
      <c r="AO49" s="162" t="s">
        <v>161</v>
      </c>
      <c r="AP49" s="12" t="s">
        <v>7894</v>
      </c>
      <c r="AQ49" s="12">
        <v>266196843</v>
      </c>
      <c r="AR49" s="12">
        <v>266196843</v>
      </c>
      <c r="AS49" s="82">
        <f>ESS_DATA[[#This Row],[ETA On S/O]]-ESS_DATA[[#This Row],[ETD On S/O]]+1</f>
        <v>44</v>
      </c>
      <c r="AT49" s="82"/>
      <c r="AU49" s="347" cm="1">
        <f t="array" ref="AU4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46116</v>
      </c>
      <c r="AV4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49" s="14">
        <f>IF(ISERROR(ESS_DATA[[#This Row],[New Ark PO status]]),"",_xlfn.XLOOKUP(ESS_DATA[[#This Row],[SPTN-PVHK New Ark PO'#]],New_Ark_Data[Purchase order Number],New_Ark_Data[Estimated time of arrival],"",0))</f>
        <v>46128</v>
      </c>
      <c r="AX49" s="12">
        <f>IF(ESS_DATA[[#This Row],[New Ark PO Type]]="Offshore",0,IFERROR(VLOOKUP(ESS_DATA[[#This Row],[PORT OF LOADING]]&amp;ESS_DATA[[#This Row],[PORT DESTINATION]],LT_REF[],7,0),14))</f>
        <v>8</v>
      </c>
      <c r="AY49" s="14">
        <f>IFERROR(ESS_DATA[[#This Row],[ODP ETA Port]]+ESS_DATA[[#This Row],[Customs/Leg3 Assumption]],"n/a")</f>
        <v>46124</v>
      </c>
      <c r="AZ49" s="82">
        <f>YEAR(ESS_DATA[[#This Row],[ETA for New Ark update]])</f>
        <v>2026</v>
      </c>
      <c r="BA49" s="82">
        <f>MONTH(ESS_DATA[[#This Row],[ETA for New Ark update]])</f>
        <v>4</v>
      </c>
      <c r="BB49" s="82">
        <f>IFERROR(_xlfn.ISOWEEKNUM(ESS_DATA[[#This Row],[ETA for New Ark update]]),0)</f>
        <v>15</v>
      </c>
      <c r="BC49" s="82" t="str">
        <f>_xlfn.XLOOKUP(ESS_DATA[[#This Row],[PORT DESTINATION]],Table12[PORT DESTINATION],Table12[Cosco Line],,0)</f>
        <v>AEM</v>
      </c>
      <c r="BD49" s="82"/>
    </row>
    <row r="50" spans="1:56" s="23" customFormat="1" ht="12.75" customHeight="1">
      <c r="A50" s="147" t="s">
        <v>7974</v>
      </c>
      <c r="B50" s="229" t="s">
        <v>7975</v>
      </c>
      <c r="C50" s="147" t="str">
        <f>IFERROR(LEFT(ESS_DATA[[#This Row],[TCL REFERENCE]],FIND(".",ESS_DATA[[#This Row],[TCL REFERENCE]],1)-1),"Main Line")</f>
        <v>Main Line</v>
      </c>
      <c r="D50" s="147" t="s">
        <v>63</v>
      </c>
      <c r="E50" s="147" t="s">
        <v>64</v>
      </c>
      <c r="F50" s="147" t="s">
        <v>100</v>
      </c>
      <c r="G50" s="308" t="s">
        <v>66</v>
      </c>
      <c r="H50" s="12" t="s">
        <v>67</v>
      </c>
      <c r="I50" s="147"/>
      <c r="J50" s="147" t="s">
        <v>7976</v>
      </c>
      <c r="K50" s="147"/>
      <c r="L50" s="117"/>
      <c r="M50" s="213" t="s">
        <v>840</v>
      </c>
      <c r="N50" s="147" t="s">
        <v>7977</v>
      </c>
      <c r="O50" s="147" t="s">
        <v>7978</v>
      </c>
      <c r="P50" s="147" t="s">
        <v>7979</v>
      </c>
      <c r="Q50" s="170"/>
      <c r="R50" s="215">
        <v>16</v>
      </c>
      <c r="S50" s="298"/>
      <c r="T50" s="147"/>
      <c r="U50" s="359">
        <v>1</v>
      </c>
      <c r="V50" s="707" t="s">
        <v>7854</v>
      </c>
      <c r="W50" s="147" t="s">
        <v>7855</v>
      </c>
      <c r="X50" s="147" t="str">
        <f t="shared" si="1"/>
        <v>COMPLETED</v>
      </c>
      <c r="Y50" s="711"/>
      <c r="Z50" s="278">
        <v>46085</v>
      </c>
      <c r="AA50" s="215">
        <f>WEEKNUM(ESS_DATA[[#This Row],[Pick-Up Date]])</f>
        <v>10</v>
      </c>
      <c r="AB50" s="252" t="s">
        <v>7980</v>
      </c>
      <c r="AC50" s="147"/>
      <c r="AD50" s="147" t="s">
        <v>7981</v>
      </c>
      <c r="AE50" s="147" t="s">
        <v>289</v>
      </c>
      <c r="AF50" s="147" t="s">
        <v>105</v>
      </c>
      <c r="AG50" s="14">
        <v>46091</v>
      </c>
      <c r="AH50" s="278">
        <v>46093</v>
      </c>
      <c r="AI50" s="278">
        <v>46093</v>
      </c>
      <c r="AJ50" s="14">
        <v>46125</v>
      </c>
      <c r="AK50" s="278">
        <v>46126</v>
      </c>
      <c r="AL50" s="278">
        <v>46127</v>
      </c>
      <c r="AM50" s="310" t="s">
        <v>7815</v>
      </c>
      <c r="AN50" s="278" t="s">
        <v>7982</v>
      </c>
      <c r="AO50" s="278" t="s">
        <v>161</v>
      </c>
      <c r="AP50" s="278" t="s">
        <v>7983</v>
      </c>
      <c r="AQ50" s="12">
        <v>264859787</v>
      </c>
      <c r="AR50" s="12">
        <v>264859787</v>
      </c>
      <c r="AS50" s="147">
        <f>ESS_DATA[[#This Row],[ETA On S/O]]-ESS_DATA[[#This Row],[ETD On S/O]]+1</f>
        <v>35</v>
      </c>
      <c r="AT50" s="147"/>
      <c r="AU50" s="347" cm="1">
        <f t="array" ref="AU5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46127</v>
      </c>
      <c r="AV5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50" s="14">
        <f>IF(ISERROR(ESS_DATA[[#This Row],[New Ark PO status]]),"",_xlfn.XLOOKUP(ESS_DATA[[#This Row],[SPTN-PVHK New Ark PO'#]],New_Ark_Data[Purchase order Number],New_Ark_Data[Estimated time of arrival],"",0))</f>
        <v>46132</v>
      </c>
      <c r="AX50" s="12">
        <f>IF(ESS_DATA[[#This Row],[New Ark PO Type]]="Offshore",0,IFERROR(VLOOKUP(ESS_DATA[[#This Row],[PORT OF LOADING]]&amp;ESS_DATA[[#This Row],[PORT DESTINATION]],LT_REF[],7,0),14))</f>
        <v>14</v>
      </c>
      <c r="AY50" s="14">
        <f>IFERROR(ESS_DATA[[#This Row],[ODP ETA Port]]+ESS_DATA[[#This Row],[Customs/Leg3 Assumption]],"n/a")</f>
        <v>46141</v>
      </c>
      <c r="AZ50" s="82">
        <f>YEAR(ESS_DATA[[#This Row],[ETA for New Ark update]])</f>
        <v>2026</v>
      </c>
      <c r="BA50" s="82">
        <f>MONTH(ESS_DATA[[#This Row],[ETA for New Ark update]])</f>
        <v>4</v>
      </c>
      <c r="BB50" s="82">
        <f>IFERROR(_xlfn.ISOWEEKNUM(ESS_DATA[[#This Row],[ETA for New Ark update]]),0)</f>
        <v>18</v>
      </c>
      <c r="BC50" s="82" t="str">
        <f>_xlfn.XLOOKUP(ESS_DATA[[#This Row],[PORT DESTINATION]],Table12[PORT DESTINATION],Table12[Cosco Line],,0)</f>
        <v>AEU</v>
      </c>
      <c r="BD50" s="82"/>
    </row>
    <row r="51" spans="1:56" s="32" customFormat="1" ht="12.75" customHeight="1">
      <c r="A51" s="33" t="s">
        <v>7984</v>
      </c>
      <c r="B51" s="165" t="s">
        <v>7985</v>
      </c>
      <c r="C51" s="33" t="str">
        <f>IFERROR(LEFT(ESS_DATA[[#This Row],[TCL REFERENCE]],FIND(".",ESS_DATA[[#This Row],[TCL REFERENCE]],1)-1),"Main Line")</f>
        <v>26APR005</v>
      </c>
      <c r="D51" s="31" t="s">
        <v>63</v>
      </c>
      <c r="E51" s="31" t="s">
        <v>64</v>
      </c>
      <c r="F51" s="31" t="s">
        <v>65</v>
      </c>
      <c r="G51" s="31" t="s">
        <v>402</v>
      </c>
      <c r="H51" s="31" t="s">
        <v>67</v>
      </c>
      <c r="I51" s="31"/>
      <c r="J51" s="82" t="s">
        <v>7976</v>
      </c>
      <c r="K51" s="31"/>
      <c r="L51" s="268"/>
      <c r="M51" s="212" t="s">
        <v>68</v>
      </c>
      <c r="N51" s="31" t="s">
        <v>7816</v>
      </c>
      <c r="O51" s="82" t="s">
        <v>7986</v>
      </c>
      <c r="P51" s="31" t="s">
        <v>7818</v>
      </c>
      <c r="Q51" s="31"/>
      <c r="R51" s="163">
        <v>72</v>
      </c>
      <c r="S51" s="269"/>
      <c r="T51" s="31"/>
      <c r="U51" s="270">
        <v>7.0000000000000007E-2</v>
      </c>
      <c r="V51" s="367" t="s">
        <v>7987</v>
      </c>
      <c r="W51" s="191" t="s">
        <v>7988</v>
      </c>
      <c r="X51" s="191" t="str">
        <f t="shared" si="1"/>
        <v>COMPLETED</v>
      </c>
      <c r="Y51" s="34"/>
      <c r="Z51" s="30">
        <v>46133</v>
      </c>
      <c r="AA51" s="166">
        <f>WEEKNUM(ESS_DATA[[#This Row],[Pick-Up Date]])</f>
        <v>17</v>
      </c>
      <c r="AB51" s="31" t="s">
        <v>7989</v>
      </c>
      <c r="AC51" s="31"/>
      <c r="AD51" s="160" t="s">
        <v>122</v>
      </c>
      <c r="AE51" s="31" t="s">
        <v>123</v>
      </c>
      <c r="AF51" s="31" t="s">
        <v>7990</v>
      </c>
      <c r="AG51" s="30">
        <v>46135</v>
      </c>
      <c r="AH51" s="30">
        <v>46135</v>
      </c>
      <c r="AI51" s="30">
        <v>46135</v>
      </c>
      <c r="AJ51" s="30">
        <v>46137</v>
      </c>
      <c r="AK51" s="30">
        <v>46138</v>
      </c>
      <c r="AL51" s="30">
        <v>46138</v>
      </c>
      <c r="AM51" s="235" t="s">
        <v>66</v>
      </c>
      <c r="AN51" s="30"/>
      <c r="AO51" s="162" t="s">
        <v>161</v>
      </c>
      <c r="AP51" s="30" t="s">
        <v>7991</v>
      </c>
      <c r="AQ51" s="31" t="s">
        <v>7992</v>
      </c>
      <c r="AR51" s="31"/>
      <c r="AS51" s="31">
        <f>ESS_DATA[[#This Row],[ETA On S/O]]-ESS_DATA[[#This Row],[ETD On S/O]]+1</f>
        <v>3</v>
      </c>
      <c r="AT51" s="31"/>
      <c r="AU51" s="347" cm="1">
        <f t="array" ref="AU5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46138</v>
      </c>
      <c r="AV5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51" s="14">
        <f>IF(ISERROR(ESS_DATA[[#This Row],[New Ark PO status]]),"",_xlfn.XLOOKUP(ESS_DATA[[#This Row],[SPTN-PVHK New Ark PO'#]],New_Ark_Data[Purchase order Number],New_Ark_Data[Estimated time of arrival],"",0))</f>
        <v>46150</v>
      </c>
      <c r="AX51" s="31">
        <f>IF(ESS_DATA[[#This Row],[New Ark PO Type]]="Offshore",0,IFERROR(VLOOKUP(ESS_DATA[[#This Row],[PORT OF LOADING]]&amp;ESS_DATA[[#This Row],[PORT DESTINATION]],LT_REF[],7,0),14))</f>
        <v>14</v>
      </c>
      <c r="AY51" s="14">
        <f>IFERROR(ESS_DATA[[#This Row],[ODP ETA Port]]+ESS_DATA[[#This Row],[Customs/Leg3 Assumption]],"n/a")</f>
        <v>46152</v>
      </c>
      <c r="AZ51" s="82">
        <f>YEAR(ESS_DATA[[#This Row],[ETA for New Ark update]])</f>
        <v>2026</v>
      </c>
      <c r="BA51" s="82">
        <f>MONTH(ESS_DATA[[#This Row],[ETA for New Ark update]])</f>
        <v>5</v>
      </c>
      <c r="BB51" s="82">
        <f>IFERROR(_xlfn.ISOWEEKNUM(ESS_DATA[[#This Row],[ETA for New Ark update]]),0)</f>
        <v>19</v>
      </c>
      <c r="BC51" s="82" t="e">
        <f>_xlfn.XLOOKUP(ESS_DATA[[#This Row],[PORT DESTINATION]],Table12[PORT DESTINATION],Table12[Cosco Line],,0)</f>
        <v>#N/A</v>
      </c>
      <c r="BD51" s="82"/>
    </row>
    <row r="52" spans="1:56" s="32" customFormat="1" ht="12.75" customHeight="1">
      <c r="A52" s="33" t="s">
        <v>7993</v>
      </c>
      <c r="B52" s="31" t="s">
        <v>7975</v>
      </c>
      <c r="C52" s="31" t="str">
        <f>IFERROR(LEFT(ESS_DATA[[#This Row],[TCL REFERENCE]],FIND(".",ESS_DATA[[#This Row],[TCL REFERENCE]],1)-1),"Main Line")</f>
        <v>Main Line</v>
      </c>
      <c r="D52" s="31" t="s">
        <v>63</v>
      </c>
      <c r="E52" s="31" t="s">
        <v>64</v>
      </c>
      <c r="F52" s="31" t="s">
        <v>100</v>
      </c>
      <c r="G52" s="31" t="s">
        <v>402</v>
      </c>
      <c r="H52" s="31" t="s">
        <v>67</v>
      </c>
      <c r="I52" s="31"/>
      <c r="J52" s="82" t="s">
        <v>7976</v>
      </c>
      <c r="K52" s="31"/>
      <c r="L52" s="268"/>
      <c r="M52" s="212" t="s">
        <v>68</v>
      </c>
      <c r="N52" s="82" t="s">
        <v>7977</v>
      </c>
      <c r="O52" s="82" t="s">
        <v>7978</v>
      </c>
      <c r="P52" s="82" t="s">
        <v>7979</v>
      </c>
      <c r="Q52" s="160"/>
      <c r="R52" s="163">
        <v>16</v>
      </c>
      <c r="S52" s="260"/>
      <c r="T52" s="82"/>
      <c r="U52" s="299">
        <v>1</v>
      </c>
      <c r="V52" s="366" t="s">
        <v>7854</v>
      </c>
      <c r="W52" s="31" t="s">
        <v>7994</v>
      </c>
      <c r="X52" s="31" t="str">
        <f t="shared" si="1"/>
        <v>COMPLETED</v>
      </c>
      <c r="Y52" s="34"/>
      <c r="Z52" s="30">
        <v>46142</v>
      </c>
      <c r="AA52" s="166">
        <f>WEEKNUM(ESS_DATA[[#This Row],[Pick-Up Date]])</f>
        <v>18</v>
      </c>
      <c r="AB52" s="50" t="s">
        <v>7995</v>
      </c>
      <c r="AC52" s="31"/>
      <c r="AD52" s="31" t="s">
        <v>7981</v>
      </c>
      <c r="AE52" s="31" t="s">
        <v>289</v>
      </c>
      <c r="AF52" s="31" t="s">
        <v>105</v>
      </c>
      <c r="AG52" s="30">
        <v>46147</v>
      </c>
      <c r="AH52" s="30">
        <v>46148</v>
      </c>
      <c r="AI52" s="30">
        <v>46148</v>
      </c>
      <c r="AJ52" s="30">
        <v>46181</v>
      </c>
      <c r="AK52" s="30">
        <v>46182</v>
      </c>
      <c r="AL52" s="30">
        <v>46181</v>
      </c>
      <c r="AM52" s="162" t="s">
        <v>402</v>
      </c>
      <c r="AN52" s="30" t="s">
        <v>7996</v>
      </c>
      <c r="AO52" s="162" t="s">
        <v>161</v>
      </c>
      <c r="AP52" s="30" t="s">
        <v>7997</v>
      </c>
      <c r="AQ52" s="31" t="s">
        <v>7998</v>
      </c>
      <c r="AR52" s="31">
        <v>293959234</v>
      </c>
      <c r="AS52" s="31">
        <f>ESS_DATA[[#This Row],[ETA On S/O]]-ESS_DATA[[#This Row],[ETD On S/O]]+1</f>
        <v>35</v>
      </c>
      <c r="AT52" s="31"/>
      <c r="AU52" s="347" cm="1">
        <f t="array" ref="AU5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46181</v>
      </c>
      <c r="AV5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52" s="14">
        <f>IF(ISERROR(ESS_DATA[[#This Row],[New Ark PO status]]),"",_xlfn.XLOOKUP(ESS_DATA[[#This Row],[SPTN-PVHK New Ark PO'#]],New_Ark_Data[Purchase order Number],New_Ark_Data[Estimated time of arrival],"",0))</f>
        <v>46196</v>
      </c>
      <c r="AX52" s="31">
        <f>IF(ESS_DATA[[#This Row],[New Ark PO Type]]="Offshore",0,IFERROR(VLOOKUP(ESS_DATA[[#This Row],[PORT OF LOADING]]&amp;ESS_DATA[[#This Row],[PORT DESTINATION]],LT_REF[],7,0),14))</f>
        <v>14</v>
      </c>
      <c r="AY52" s="14">
        <f>IFERROR(ESS_DATA[[#This Row],[ODP ETA Port]]+ESS_DATA[[#This Row],[Customs/Leg3 Assumption]],"n/a")</f>
        <v>46195</v>
      </c>
      <c r="AZ52" s="82">
        <f>YEAR(ESS_DATA[[#This Row],[ETA for New Ark update]])</f>
        <v>2026</v>
      </c>
      <c r="BA52" s="82">
        <f>MONTH(ESS_DATA[[#This Row],[ETA for New Ark update]])</f>
        <v>6</v>
      </c>
      <c r="BB52" s="82">
        <f>IFERROR(_xlfn.ISOWEEKNUM(ESS_DATA[[#This Row],[ETA for New Ark update]]),0)</f>
        <v>26</v>
      </c>
      <c r="BC52" s="82" t="str">
        <f>_xlfn.XLOOKUP(ESS_DATA[[#This Row],[PORT DESTINATION]],Table12[PORT DESTINATION],Table12[Cosco Line],,0)</f>
        <v>AEU</v>
      </c>
      <c r="BD52" s="82"/>
    </row>
    <row r="53" spans="1:56" s="32" customFormat="1" ht="12.75" customHeight="1">
      <c r="A53" s="33" t="s">
        <v>7999</v>
      </c>
      <c r="B53" s="31" t="s">
        <v>7975</v>
      </c>
      <c r="C53" s="31" t="str">
        <f>IFERROR(LEFT(ESS_DATA[[#This Row],[TCL REFERENCE]],FIND(".",ESS_DATA[[#This Row],[TCL REFERENCE]],1)-1),"Main Line")</f>
        <v>Main Line</v>
      </c>
      <c r="D53" s="31" t="s">
        <v>63</v>
      </c>
      <c r="E53" s="31" t="s">
        <v>64</v>
      </c>
      <c r="F53" s="31" t="s">
        <v>100</v>
      </c>
      <c r="G53" s="31" t="s">
        <v>402</v>
      </c>
      <c r="H53" s="31" t="s">
        <v>67</v>
      </c>
      <c r="I53" s="31"/>
      <c r="J53" s="82" t="s">
        <v>7976</v>
      </c>
      <c r="K53" s="31"/>
      <c r="L53" s="268"/>
      <c r="M53" s="212" t="s">
        <v>68</v>
      </c>
      <c r="N53" s="82" t="s">
        <v>7977</v>
      </c>
      <c r="O53" s="82" t="s">
        <v>7978</v>
      </c>
      <c r="P53" s="82" t="s">
        <v>7979</v>
      </c>
      <c r="Q53" s="165"/>
      <c r="R53" s="163">
        <v>16</v>
      </c>
      <c r="S53" s="260"/>
      <c r="T53" s="82"/>
      <c r="U53" s="299">
        <v>1</v>
      </c>
      <c r="V53" s="366" t="s">
        <v>7854</v>
      </c>
      <c r="W53" s="31" t="s">
        <v>8000</v>
      </c>
      <c r="X53" s="31" t="str">
        <f t="shared" si="1"/>
        <v>COMPLETED</v>
      </c>
      <c r="Y53" s="34"/>
      <c r="Z53" s="30">
        <v>46142</v>
      </c>
      <c r="AA53" s="166">
        <f>WEEKNUM(ESS_DATA[[#This Row],[Pick-Up Date]])</f>
        <v>18</v>
      </c>
      <c r="AB53" s="685" t="s">
        <v>8001</v>
      </c>
      <c r="AC53" s="31"/>
      <c r="AD53" s="31" t="s">
        <v>7981</v>
      </c>
      <c r="AE53" s="31" t="s">
        <v>289</v>
      </c>
      <c r="AF53" s="31" t="s">
        <v>105</v>
      </c>
      <c r="AG53" s="30">
        <v>46152</v>
      </c>
      <c r="AH53" s="30">
        <v>46152</v>
      </c>
      <c r="AI53" s="30">
        <v>46152</v>
      </c>
      <c r="AJ53" s="30">
        <v>46177</v>
      </c>
      <c r="AK53" s="30">
        <v>46177</v>
      </c>
      <c r="AL53" s="30">
        <v>46178</v>
      </c>
      <c r="AM53" s="162" t="s">
        <v>402</v>
      </c>
      <c r="AN53" s="30" t="s">
        <v>8002</v>
      </c>
      <c r="AO53" s="162" t="s">
        <v>161</v>
      </c>
      <c r="AP53" s="30" t="s">
        <v>8003</v>
      </c>
      <c r="AQ53" s="31" t="s">
        <v>8004</v>
      </c>
      <c r="AR53" s="31" t="s">
        <v>8004</v>
      </c>
      <c r="AS53" s="31">
        <f>ESS_DATA[[#This Row],[ETA On S/O]]-ESS_DATA[[#This Row],[ETD On S/O]]+1</f>
        <v>26</v>
      </c>
      <c r="AT53" s="31"/>
      <c r="AU53" s="347" cm="1">
        <f t="array" ref="AU5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46178</v>
      </c>
      <c r="AV5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53" s="14" t="str">
        <f>IF(ISERROR(ESS_DATA[[#This Row],[New Ark PO status]]),"",_xlfn.XLOOKUP(ESS_DATA[[#This Row],[SPTN-PVHK New Ark PO'#]],New_Ark_Data[Purchase order Number],New_Ark_Data[Estimated time of arrival],"",0))</f>
        <v/>
      </c>
      <c r="AX53" s="31">
        <f>IF(ESS_DATA[[#This Row],[New Ark PO Type]]="Offshore",0,IFERROR(VLOOKUP(ESS_DATA[[#This Row],[PORT OF LOADING]]&amp;ESS_DATA[[#This Row],[PORT DESTINATION]],LT_REF[],7,0),14))</f>
        <v>14</v>
      </c>
      <c r="AY53" s="14">
        <f>IFERROR(ESS_DATA[[#This Row],[ODP ETA Port]]+ESS_DATA[[#This Row],[Customs/Leg3 Assumption]],"n/a")</f>
        <v>46192</v>
      </c>
      <c r="AZ53" s="82">
        <f>YEAR(ESS_DATA[[#This Row],[ETA for New Ark update]])</f>
        <v>2026</v>
      </c>
      <c r="BA53" s="82">
        <f>MONTH(ESS_DATA[[#This Row],[ETA for New Ark update]])</f>
        <v>6</v>
      </c>
      <c r="BB53" s="82">
        <f>IFERROR(_xlfn.ISOWEEKNUM(ESS_DATA[[#This Row],[ETA for New Ark update]]),0)</f>
        <v>25</v>
      </c>
      <c r="BC53" s="82" t="str">
        <f>_xlfn.XLOOKUP(ESS_DATA[[#This Row],[PORT DESTINATION]],Table12[PORT DESTINATION],Table12[Cosco Line],,0)</f>
        <v>AEU</v>
      </c>
      <c r="BD53" s="82"/>
    </row>
    <row r="54" spans="1:56" s="175" customFormat="1" ht="10">
      <c r="A54" s="973" t="s">
        <v>8005</v>
      </c>
      <c r="B54" s="974" t="s">
        <v>8006</v>
      </c>
      <c r="C54" s="974" t="str">
        <f>IFERROR(LEFT(ESS_DATA[[#This Row],[TCL REFERENCE]],FIND(".",ESS_DATA[[#This Row],[TCL REFERENCE]],1)-1),"Main Line")</f>
        <v>Main Line</v>
      </c>
      <c r="D54" s="974"/>
      <c r="E54" s="974" t="s">
        <v>68</v>
      </c>
      <c r="F54" s="974" t="s">
        <v>68</v>
      </c>
      <c r="G54" s="974"/>
      <c r="H54" s="41"/>
      <c r="I54" s="974"/>
      <c r="J54" s="178" t="s">
        <v>8007</v>
      </c>
      <c r="K54" s="974"/>
      <c r="L54" s="535"/>
      <c r="M54" s="225"/>
      <c r="N54" s="974" t="s">
        <v>8008</v>
      </c>
      <c r="O54" s="178" t="s">
        <v>7829</v>
      </c>
      <c r="P54" s="974" t="s">
        <v>8009</v>
      </c>
      <c r="Q54" s="974"/>
      <c r="R54" s="490">
        <v>93</v>
      </c>
      <c r="S54" s="975"/>
      <c r="T54" s="974"/>
      <c r="U54" s="976">
        <f>1/192*R54</f>
        <v>0.484375</v>
      </c>
      <c r="V54" s="977" t="s">
        <v>7854</v>
      </c>
      <c r="W54" s="974" t="s">
        <v>68</v>
      </c>
      <c r="X54" s="974" t="str">
        <f t="shared" si="1"/>
        <v>COMPLETED</v>
      </c>
      <c r="Y54" s="978"/>
      <c r="Z54" s="979">
        <v>46174</v>
      </c>
      <c r="AA54" s="980">
        <f>WEEKNUM(ESS_DATA[[#This Row],[Pick-Up Date]])</f>
        <v>23</v>
      </c>
      <c r="AB54" s="974" t="s">
        <v>8010</v>
      </c>
      <c r="AC54" s="974"/>
      <c r="AD54" s="974" t="s">
        <v>122</v>
      </c>
      <c r="AE54" s="974" t="s">
        <v>123</v>
      </c>
      <c r="AF54" s="974" t="s">
        <v>946</v>
      </c>
      <c r="AG54" s="979">
        <v>46179</v>
      </c>
      <c r="AH54" s="979">
        <v>46186</v>
      </c>
      <c r="AI54" s="979">
        <v>46185</v>
      </c>
      <c r="AJ54" s="979">
        <v>46186</v>
      </c>
      <c r="AK54" s="979">
        <v>46194</v>
      </c>
      <c r="AL54" s="979">
        <v>46195</v>
      </c>
      <c r="AM54" s="529" t="s">
        <v>402</v>
      </c>
      <c r="AN54" s="979" t="s">
        <v>8011</v>
      </c>
      <c r="AO54" s="979" t="s">
        <v>161</v>
      </c>
      <c r="AP54" s="979" t="s">
        <v>8012</v>
      </c>
      <c r="AQ54" s="974">
        <v>802143373</v>
      </c>
      <c r="AR54" s="974">
        <v>802143373</v>
      </c>
      <c r="AS54" s="974">
        <f>ESS_DATA[[#This Row],[ETA On S/O]]-ESS_DATA[[#This Row],[ETD On S/O]]+1</f>
        <v>8</v>
      </c>
      <c r="AT54" s="974"/>
      <c r="AU54" s="37" cm="1">
        <f t="array" ref="AU5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46195</v>
      </c>
      <c r="AV5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54" s="14" t="str">
        <f>IF(ISERROR(ESS_DATA[[#This Row],[New Ark PO status]]),"",_xlfn.XLOOKUP(ESS_DATA[[#This Row],[SPTN-PVHK New Ark PO'#]],New_Ark_Data[Purchase order Number],New_Ark_Data[Estimated time of arrival],"",0))</f>
        <v/>
      </c>
      <c r="AX54" s="41">
        <f>IF(ESS_DATA[[#This Row],[New Ark PO Type]]="Offshore",0,IFERROR(VLOOKUP(ESS_DATA[[#This Row],[PORT OF LOADING]]&amp;ESS_DATA[[#This Row],[PORT DESTINATION]],LT_REF[],7,0),14))</f>
        <v>0</v>
      </c>
      <c r="AY54" s="37">
        <f>IFERROR(ESS_DATA[[#This Row],[ODP ETA Port]]+ESS_DATA[[#This Row],[Customs/Leg3 Assumption]],"n/a")</f>
        <v>46195</v>
      </c>
      <c r="AZ54" s="178">
        <f>YEAR(ESS_DATA[[#This Row],[ETA for New Ark update]])</f>
        <v>2026</v>
      </c>
      <c r="BA54" s="178">
        <f>MONTH(ESS_DATA[[#This Row],[ETA for New Ark update]])</f>
        <v>6</v>
      </c>
      <c r="BB54" s="178">
        <f>IFERROR(_xlfn.ISOWEEKNUM(ESS_DATA[[#This Row],[ETA for New Ark update]]),0)</f>
        <v>26</v>
      </c>
      <c r="BC54" s="178" t="str">
        <f>_xlfn.XLOOKUP(ESS_DATA[[#This Row],[PORT DESTINATION]],Table12[PORT DESTINATION],Table12[Cosco Line],,0)</f>
        <v>n/a</v>
      </c>
      <c r="BD54" s="178"/>
    </row>
    <row r="55" spans="1:56" s="175" customFormat="1" ht="10">
      <c r="A55" s="973" t="s">
        <v>8013</v>
      </c>
      <c r="B55" s="974" t="s">
        <v>8006</v>
      </c>
      <c r="C55" s="974" t="str">
        <f>IFERROR(LEFT(ESS_DATA[[#This Row],[TCL REFERENCE]],FIND(".",ESS_DATA[[#This Row],[TCL REFERENCE]],1)-1),"Main Line")</f>
        <v>26FEB002</v>
      </c>
      <c r="D55" s="974"/>
      <c r="E55" s="974" t="s">
        <v>68</v>
      </c>
      <c r="F55" s="974" t="s">
        <v>68</v>
      </c>
      <c r="G55" s="974"/>
      <c r="H55" s="41"/>
      <c r="I55" s="974"/>
      <c r="J55" s="178" t="s">
        <v>8007</v>
      </c>
      <c r="K55" s="974"/>
      <c r="L55" s="535"/>
      <c r="M55" s="225"/>
      <c r="N55" s="974" t="s">
        <v>8008</v>
      </c>
      <c r="O55" s="178" t="s">
        <v>7829</v>
      </c>
      <c r="P55" s="41" t="s">
        <v>8009</v>
      </c>
      <c r="Q55" s="41"/>
      <c r="R55" s="490">
        <v>3</v>
      </c>
      <c r="S55" s="975"/>
      <c r="T55" s="974"/>
      <c r="U55" s="976">
        <f>1/192*R55</f>
        <v>1.5625E-2</v>
      </c>
      <c r="V55" s="977" t="s">
        <v>7854</v>
      </c>
      <c r="W55" s="974" t="s">
        <v>68</v>
      </c>
      <c r="X55" s="974" t="str">
        <f t="shared" si="1"/>
        <v>COMPLETED</v>
      </c>
      <c r="Y55" s="978"/>
      <c r="Z55" s="979">
        <v>46174</v>
      </c>
      <c r="AA55" s="980">
        <f>WEEKNUM(ESS_DATA[[#This Row],[Pick-Up Date]])</f>
        <v>23</v>
      </c>
      <c r="AB55" s="974" t="s">
        <v>8010</v>
      </c>
      <c r="AC55" s="974"/>
      <c r="AD55" s="974" t="s">
        <v>122</v>
      </c>
      <c r="AE55" s="974" t="s">
        <v>123</v>
      </c>
      <c r="AF55" s="974" t="s">
        <v>946</v>
      </c>
      <c r="AG55" s="979">
        <v>46179</v>
      </c>
      <c r="AH55" s="979">
        <v>46186</v>
      </c>
      <c r="AI55" s="979">
        <v>46185</v>
      </c>
      <c r="AJ55" s="979">
        <v>46186</v>
      </c>
      <c r="AK55" s="979">
        <v>46194</v>
      </c>
      <c r="AL55" s="979">
        <v>46195</v>
      </c>
      <c r="AM55" s="529" t="s">
        <v>402</v>
      </c>
      <c r="AN55" s="979" t="s">
        <v>8011</v>
      </c>
      <c r="AO55" s="979" t="s">
        <v>161</v>
      </c>
      <c r="AP55" s="979" t="s">
        <v>8012</v>
      </c>
      <c r="AQ55" s="974">
        <v>802143373</v>
      </c>
      <c r="AR55" s="974">
        <v>802143373</v>
      </c>
      <c r="AS55" s="974">
        <f>ESS_DATA[[#This Row],[ETA On S/O]]-ESS_DATA[[#This Row],[ETD On S/O]]+1</f>
        <v>8</v>
      </c>
      <c r="AT55" s="974"/>
      <c r="AU55" s="37" cm="1">
        <f t="array" ref="AU5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46195</v>
      </c>
      <c r="AV5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55" s="14" t="str">
        <f>IF(ISERROR(ESS_DATA[[#This Row],[New Ark PO status]]),"",_xlfn.XLOOKUP(ESS_DATA[[#This Row],[SPTN-PVHK New Ark PO'#]],New_Ark_Data[Purchase order Number],New_Ark_Data[Estimated time of arrival],"",0))</f>
        <v/>
      </c>
      <c r="AX55" s="41">
        <f>IF(ESS_DATA[[#This Row],[New Ark PO Type]]="Offshore",0,IFERROR(VLOOKUP(ESS_DATA[[#This Row],[PORT OF LOADING]]&amp;ESS_DATA[[#This Row],[PORT DESTINATION]],LT_REF[],7,0),14))</f>
        <v>0</v>
      </c>
      <c r="AY55" s="37">
        <f>IFERROR(ESS_DATA[[#This Row],[ODP ETA Port]]+ESS_DATA[[#This Row],[Customs/Leg3 Assumption]],"n/a")</f>
        <v>46195</v>
      </c>
      <c r="AZ55" s="178">
        <f>YEAR(ESS_DATA[[#This Row],[ETA for New Ark update]])</f>
        <v>2026</v>
      </c>
      <c r="BA55" s="178">
        <f>MONTH(ESS_DATA[[#This Row],[ETA for New Ark update]])</f>
        <v>6</v>
      </c>
      <c r="BB55" s="178">
        <f>IFERROR(_xlfn.ISOWEEKNUM(ESS_DATA[[#This Row],[ETA for New Ark update]]),0)</f>
        <v>26</v>
      </c>
      <c r="BC55" s="178" t="str">
        <f>_xlfn.XLOOKUP(ESS_DATA[[#This Row],[PORT DESTINATION]],Table12[PORT DESTINATION],Table12[Cosco Line],,0)</f>
        <v>n/a</v>
      </c>
      <c r="BD55" s="178"/>
    </row>
    <row r="56" spans="1:56" s="175" customFormat="1" ht="10">
      <c r="A56" s="973" t="s">
        <v>8014</v>
      </c>
      <c r="B56" s="974" t="s">
        <v>8006</v>
      </c>
      <c r="C56" s="974" t="str">
        <f>IFERROR(LEFT(ESS_DATA[[#This Row],[TCL REFERENCE]],FIND(".",ESS_DATA[[#This Row],[TCL REFERENCE]],1)-1),"Main Line")</f>
        <v>Main Line</v>
      </c>
      <c r="D56" s="974"/>
      <c r="E56" s="974" t="s">
        <v>68</v>
      </c>
      <c r="F56" s="974" t="s">
        <v>68</v>
      </c>
      <c r="G56" s="974"/>
      <c r="H56" s="41"/>
      <c r="I56" s="974"/>
      <c r="J56" s="178" t="s">
        <v>8007</v>
      </c>
      <c r="K56" s="974"/>
      <c r="L56" s="535"/>
      <c r="M56" s="225"/>
      <c r="N56" s="974" t="s">
        <v>8015</v>
      </c>
      <c r="O56" s="974" t="s">
        <v>7852</v>
      </c>
      <c r="P56" s="178" t="s">
        <v>8016</v>
      </c>
      <c r="Q56" s="981"/>
      <c r="R56" s="982">
        <v>93</v>
      </c>
      <c r="S56" s="975"/>
      <c r="T56" s="974"/>
      <c r="U56" s="976">
        <f>1/192*R56</f>
        <v>0.484375</v>
      </c>
      <c r="V56" s="977" t="s">
        <v>7854</v>
      </c>
      <c r="W56" s="974" t="s">
        <v>68</v>
      </c>
      <c r="X56" s="974" t="str">
        <f t="shared" si="1"/>
        <v>COMPLETED</v>
      </c>
      <c r="Y56" s="978"/>
      <c r="Z56" s="979">
        <v>46174</v>
      </c>
      <c r="AA56" s="980">
        <f>WEEKNUM(ESS_DATA[[#This Row],[Pick-Up Date]])</f>
        <v>23</v>
      </c>
      <c r="AB56" s="974" t="s">
        <v>8010</v>
      </c>
      <c r="AC56" s="974"/>
      <c r="AD56" s="974" t="s">
        <v>122</v>
      </c>
      <c r="AE56" s="974" t="s">
        <v>123</v>
      </c>
      <c r="AF56" s="974" t="s">
        <v>946</v>
      </c>
      <c r="AG56" s="979">
        <v>46179</v>
      </c>
      <c r="AH56" s="979">
        <v>46186</v>
      </c>
      <c r="AI56" s="979">
        <v>46185</v>
      </c>
      <c r="AJ56" s="979">
        <v>46186</v>
      </c>
      <c r="AK56" s="979">
        <v>46194</v>
      </c>
      <c r="AL56" s="979">
        <v>46195</v>
      </c>
      <c r="AM56" s="529" t="s">
        <v>402</v>
      </c>
      <c r="AN56" s="979" t="s">
        <v>8011</v>
      </c>
      <c r="AO56" s="979" t="s">
        <v>161</v>
      </c>
      <c r="AP56" s="979" t="s">
        <v>8012</v>
      </c>
      <c r="AQ56" s="974">
        <v>802143373</v>
      </c>
      <c r="AR56" s="974">
        <v>802143373</v>
      </c>
      <c r="AS56" s="974">
        <f>ESS_DATA[[#This Row],[ETA On S/O]]-ESS_DATA[[#This Row],[ETD On S/O]]+1</f>
        <v>8</v>
      </c>
      <c r="AT56" s="974"/>
      <c r="AU56" s="37" cm="1">
        <f t="array" ref="AU5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46195</v>
      </c>
      <c r="AV5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56" s="14" t="str">
        <f>IF(ISERROR(ESS_DATA[[#This Row],[New Ark PO status]]),"",_xlfn.XLOOKUP(ESS_DATA[[#This Row],[SPTN-PVHK New Ark PO'#]],New_Ark_Data[Purchase order Number],New_Ark_Data[Estimated time of arrival],"",0))</f>
        <v/>
      </c>
      <c r="AX56" s="41">
        <f>IF(ESS_DATA[[#This Row],[New Ark PO Type]]="Offshore",0,IFERROR(VLOOKUP(ESS_DATA[[#This Row],[PORT OF LOADING]]&amp;ESS_DATA[[#This Row],[PORT DESTINATION]],LT_REF[],7,0),14))</f>
        <v>0</v>
      </c>
      <c r="AY56" s="37">
        <f>IFERROR(ESS_DATA[[#This Row],[ODP ETA Port]]+ESS_DATA[[#This Row],[Customs/Leg3 Assumption]],"n/a")</f>
        <v>46195</v>
      </c>
      <c r="AZ56" s="178">
        <f>YEAR(ESS_DATA[[#This Row],[ETA for New Ark update]])</f>
        <v>2026</v>
      </c>
      <c r="BA56" s="178">
        <f>MONTH(ESS_DATA[[#This Row],[ETA for New Ark update]])</f>
        <v>6</v>
      </c>
      <c r="BB56" s="178">
        <f>IFERROR(_xlfn.ISOWEEKNUM(ESS_DATA[[#This Row],[ETA for New Ark update]]),0)</f>
        <v>26</v>
      </c>
      <c r="BC56" s="178" t="str">
        <f>_xlfn.XLOOKUP(ESS_DATA[[#This Row],[PORT DESTINATION]],Table12[PORT DESTINATION],Table12[Cosco Line],,0)</f>
        <v>n/a</v>
      </c>
      <c r="BD56" s="178"/>
    </row>
    <row r="57" spans="1:56" s="175" customFormat="1" ht="10">
      <c r="A57" s="172" t="s">
        <v>8017</v>
      </c>
      <c r="B57" s="974" t="s">
        <v>8006</v>
      </c>
      <c r="C57" s="41" t="str">
        <f>IFERROR(LEFT(ESS_DATA[[#This Row],[TCL REFERENCE]],FIND(".",ESS_DATA[[#This Row],[TCL REFERENCE]],1)-1),"Main Line")</f>
        <v>26FEB003</v>
      </c>
      <c r="D57" s="41"/>
      <c r="E57" s="974" t="s">
        <v>68</v>
      </c>
      <c r="F57" s="974" t="s">
        <v>68</v>
      </c>
      <c r="G57" s="41"/>
      <c r="H57" s="41"/>
      <c r="I57" s="41"/>
      <c r="J57" s="178" t="s">
        <v>8007</v>
      </c>
      <c r="K57" s="41"/>
      <c r="L57" s="535"/>
      <c r="M57" s="225"/>
      <c r="N57" s="41" t="s">
        <v>8015</v>
      </c>
      <c r="O57" s="178" t="s">
        <v>7852</v>
      </c>
      <c r="P57" s="219" t="s">
        <v>8016</v>
      </c>
      <c r="Q57" s="219"/>
      <c r="R57" s="490">
        <v>3</v>
      </c>
      <c r="S57" s="495"/>
      <c r="T57" s="41"/>
      <c r="U57" s="491">
        <f>1/192*R57</f>
        <v>1.5625E-2</v>
      </c>
      <c r="V57" s="977" t="s">
        <v>7854</v>
      </c>
      <c r="W57" s="41" t="s">
        <v>68</v>
      </c>
      <c r="X57" s="41" t="str">
        <f t="shared" si="1"/>
        <v>COMPLETED</v>
      </c>
      <c r="Y57" s="173"/>
      <c r="Z57" s="979">
        <v>46174</v>
      </c>
      <c r="AA57" s="492">
        <f>WEEKNUM(ESS_DATA[[#This Row],[Pick-Up Date]])</f>
        <v>23</v>
      </c>
      <c r="AB57" s="41" t="s">
        <v>8010</v>
      </c>
      <c r="AC57" s="41"/>
      <c r="AD57" s="41" t="s">
        <v>122</v>
      </c>
      <c r="AE57" s="41" t="s">
        <v>123</v>
      </c>
      <c r="AF57" s="974" t="s">
        <v>946</v>
      </c>
      <c r="AG57" s="979">
        <v>46179</v>
      </c>
      <c r="AH57" s="979">
        <v>46186</v>
      </c>
      <c r="AI57" s="979">
        <v>46185</v>
      </c>
      <c r="AJ57" s="979">
        <v>46186</v>
      </c>
      <c r="AK57" s="979">
        <v>46194</v>
      </c>
      <c r="AL57" s="979">
        <v>46195</v>
      </c>
      <c r="AM57" s="983" t="s">
        <v>402</v>
      </c>
      <c r="AN57" s="979" t="s">
        <v>8011</v>
      </c>
      <c r="AO57" s="979" t="s">
        <v>161</v>
      </c>
      <c r="AP57" s="979" t="s">
        <v>8012</v>
      </c>
      <c r="AQ57" s="974">
        <v>802143373</v>
      </c>
      <c r="AR57" s="974">
        <v>802143373</v>
      </c>
      <c r="AS57" s="41">
        <f>ESS_DATA[[#This Row],[ETA On S/O]]-ESS_DATA[[#This Row],[ETD On S/O]]+1</f>
        <v>8</v>
      </c>
      <c r="AT57" s="41"/>
      <c r="AU57" s="37" cm="1">
        <f t="array" ref="AU5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46195</v>
      </c>
      <c r="AV5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57" s="14" t="str">
        <f>IF(ISERROR(ESS_DATA[[#This Row],[New Ark PO status]]),"",_xlfn.XLOOKUP(ESS_DATA[[#This Row],[SPTN-PVHK New Ark PO'#]],New_Ark_Data[Purchase order Number],New_Ark_Data[Estimated time of arrival],"",0))</f>
        <v/>
      </c>
      <c r="AX57" s="41">
        <f>IF(ESS_DATA[[#This Row],[New Ark PO Type]]="Offshore",0,IFERROR(VLOOKUP(ESS_DATA[[#This Row],[PORT OF LOADING]]&amp;ESS_DATA[[#This Row],[PORT DESTINATION]],LT_REF[],7,0),14))</f>
        <v>0</v>
      </c>
      <c r="AY57" s="37">
        <f>IFERROR(ESS_DATA[[#This Row],[ODP ETA Port]]+ESS_DATA[[#This Row],[Customs/Leg3 Assumption]],"n/a")</f>
        <v>46195</v>
      </c>
      <c r="AZ57" s="178">
        <f>YEAR(ESS_DATA[[#This Row],[ETA for New Ark update]])</f>
        <v>2026</v>
      </c>
      <c r="BA57" s="178">
        <f>MONTH(ESS_DATA[[#This Row],[ETA for New Ark update]])</f>
        <v>6</v>
      </c>
      <c r="BB57" s="178">
        <f>IFERROR(_xlfn.ISOWEEKNUM(ESS_DATA[[#This Row],[ETA for New Ark update]]),0)</f>
        <v>26</v>
      </c>
      <c r="BC57" s="178" t="str">
        <f>_xlfn.XLOOKUP(ESS_DATA[[#This Row],[PORT DESTINATION]],Table12[PORT DESTINATION],Table12[Cosco Line],,0)</f>
        <v>n/a</v>
      </c>
      <c r="BD57" s="178"/>
    </row>
    <row r="58" spans="1:56" s="752" customFormat="1" ht="12.75" customHeight="1">
      <c r="A58" s="741" t="s">
        <v>8018</v>
      </c>
      <c r="B58" s="547" t="s">
        <v>7975</v>
      </c>
      <c r="C58" s="548" t="str">
        <f>IFERROR(LEFT(ESS_DATA[[#This Row],[TCL REFERENCE]],FIND(".",ESS_DATA[[#This Row],[TCL REFERENCE]],1)-1),"Main Line")</f>
        <v>Main Line</v>
      </c>
      <c r="D58" s="546"/>
      <c r="E58" s="549" t="s">
        <v>68</v>
      </c>
      <c r="F58" s="549" t="s">
        <v>68</v>
      </c>
      <c r="G58" s="546" t="s">
        <v>402</v>
      </c>
      <c r="H58" s="548" t="s">
        <v>8019</v>
      </c>
      <c r="I58" s="546"/>
      <c r="J58" s="546" t="s">
        <v>949</v>
      </c>
      <c r="K58" s="546"/>
      <c r="L58" s="550"/>
      <c r="M58" s="551"/>
      <c r="N58" s="741" t="s">
        <v>8020</v>
      </c>
      <c r="O58" s="741" t="s">
        <v>7978</v>
      </c>
      <c r="P58" s="741" t="s">
        <v>7979</v>
      </c>
      <c r="Q58" s="754"/>
      <c r="R58" s="742">
        <v>8</v>
      </c>
      <c r="S58" s="553"/>
      <c r="T58" s="546"/>
      <c r="U58" s="755">
        <v>1</v>
      </c>
      <c r="V58" s="756" t="s">
        <v>7884</v>
      </c>
      <c r="W58" s="741" t="s">
        <v>8021</v>
      </c>
      <c r="X58" s="555" t="str">
        <f t="shared" si="1"/>
        <v>COMPLETED</v>
      </c>
      <c r="Y58" s="757"/>
      <c r="Z58" s="740">
        <v>46108</v>
      </c>
      <c r="AA58" s="742">
        <f>WEEKNUM(ESS_DATA[[#This Row],[Pick-Up Date]])</f>
        <v>13</v>
      </c>
      <c r="AB58" s="746" t="s">
        <v>7989</v>
      </c>
      <c r="AC58" s="546"/>
      <c r="AD58" s="741" t="s">
        <v>8022</v>
      </c>
      <c r="AE58" s="741" t="s">
        <v>289</v>
      </c>
      <c r="AF58" s="741" t="s">
        <v>946</v>
      </c>
      <c r="AG58" s="740">
        <v>46112</v>
      </c>
      <c r="AH58" s="740">
        <v>46119</v>
      </c>
      <c r="AI58" s="740">
        <v>46121</v>
      </c>
      <c r="AJ58" s="740">
        <v>46117</v>
      </c>
      <c r="AK58" s="740">
        <v>46123</v>
      </c>
      <c r="AL58" s="740">
        <v>46127</v>
      </c>
      <c r="AM58" s="740" t="s">
        <v>402</v>
      </c>
      <c r="AN58" s="740" t="s">
        <v>8023</v>
      </c>
      <c r="AO58" s="740" t="s">
        <v>161</v>
      </c>
      <c r="AP58" s="740" t="s">
        <v>8024</v>
      </c>
      <c r="AQ58" s="741" t="s">
        <v>8025</v>
      </c>
      <c r="AR58" s="741" t="s">
        <v>8025</v>
      </c>
      <c r="AS58" s="741">
        <f>ESS_DATA[[#This Row],[ETA On S/O]]-ESS_DATA[[#This Row],[ETD On S/O]]+1</f>
        <v>6</v>
      </c>
      <c r="AT58" s="741"/>
      <c r="AU58" s="750" cm="1">
        <f t="array" ref="AU5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46127</v>
      </c>
      <c r="AV5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58" s="14">
        <f>IF(ISERROR(ESS_DATA[[#This Row],[New Ark PO status]]),"",_xlfn.XLOOKUP(ESS_DATA[[#This Row],[SPTN-PVHK New Ark PO'#]],New_Ark_Data[Purchase order Number],New_Ark_Data[Estimated time of arrival],"",0))</f>
        <v>46150</v>
      </c>
      <c r="AX58" s="739">
        <f>IF(ESS_DATA[[#This Row],[New Ark PO Type]]="Offshore",0,IFERROR(VLOOKUP(ESS_DATA[[#This Row],[PORT OF LOADING]]&amp;ESS_DATA[[#This Row],[PORT DESTINATION]],LT_REF[],7,0),14))</f>
        <v>14</v>
      </c>
      <c r="AY58" s="750">
        <f>IFERROR(ESS_DATA[[#This Row],[ODP ETA Port]]+ESS_DATA[[#This Row],[Customs/Leg3 Assumption]],"n/a")</f>
        <v>46141</v>
      </c>
      <c r="AZ58" s="741">
        <f>YEAR(ESS_DATA[[#This Row],[ETA for New Ark update]])</f>
        <v>2026</v>
      </c>
      <c r="BA58" s="741">
        <f>MONTH(ESS_DATA[[#This Row],[ETA for New Ark update]])</f>
        <v>4</v>
      </c>
      <c r="BB58" s="741">
        <f>IFERROR(_xlfn.ISOWEEKNUM(ESS_DATA[[#This Row],[ETA for New Ark update]]),0)</f>
        <v>18</v>
      </c>
      <c r="BC58" s="741" t="str">
        <f>_xlfn.XLOOKUP(ESS_DATA[[#This Row],[PORT DESTINATION]],Table12[PORT DESTINATION],Table12[Cosco Line],,0)</f>
        <v>n/a</v>
      </c>
      <c r="BD58" s="741"/>
    </row>
    <row r="59" spans="1:56" s="559" customFormat="1" ht="10.5">
      <c r="A59" s="560" t="s">
        <v>8026</v>
      </c>
      <c r="B59" s="546" t="s">
        <v>7985</v>
      </c>
      <c r="C59" s="560" t="str">
        <f>IFERROR(LEFT(ESS_DATA[[#This Row],[TCL REFERENCE]],FIND(".",ESS_DATA[[#This Row],[TCL REFERENCE]],1)-1),"Main Line")</f>
        <v>26APR001</v>
      </c>
      <c r="D59" s="548" t="s">
        <v>63</v>
      </c>
      <c r="E59" s="548" t="s">
        <v>64</v>
      </c>
      <c r="F59" s="548" t="s">
        <v>100</v>
      </c>
      <c r="G59" s="548" t="s">
        <v>402</v>
      </c>
      <c r="H59" s="548" t="s">
        <v>67</v>
      </c>
      <c r="I59" s="548"/>
      <c r="J59" s="548" t="s">
        <v>8027</v>
      </c>
      <c r="K59" s="548"/>
      <c r="L59" s="561"/>
      <c r="M59" s="551" t="s">
        <v>68</v>
      </c>
      <c r="N59" s="548" t="s">
        <v>7828</v>
      </c>
      <c r="O59" s="546" t="s">
        <v>7829</v>
      </c>
      <c r="P59" s="548" t="s">
        <v>7830</v>
      </c>
      <c r="Q59" s="548"/>
      <c r="R59" s="552">
        <v>114</v>
      </c>
      <c r="S59" s="562"/>
      <c r="T59" s="548"/>
      <c r="U59" s="563">
        <f>ESS_DATA[[#This Row],[QUANTITY]]/224</f>
        <v>0.5089285714285714</v>
      </c>
      <c r="V59" s="564" t="s">
        <v>7854</v>
      </c>
      <c r="W59" s="565" t="s">
        <v>8000</v>
      </c>
      <c r="X59" s="559" t="str">
        <f t="shared" si="1"/>
        <v>COMPLETED</v>
      </c>
      <c r="Y59" s="566"/>
      <c r="Z59" s="567">
        <v>46152</v>
      </c>
      <c r="AA59" s="568">
        <f>WEEKNUM(ESS_DATA[[#This Row],[Pick-Up Date]])</f>
        <v>20</v>
      </c>
      <c r="AB59" s="569" t="s">
        <v>8028</v>
      </c>
      <c r="AC59" s="560"/>
      <c r="AD59" s="546" t="s">
        <v>122</v>
      </c>
      <c r="AE59" s="548" t="s">
        <v>123</v>
      </c>
      <c r="AF59" s="548" t="s">
        <v>105</v>
      </c>
      <c r="AG59" s="558">
        <v>46158</v>
      </c>
      <c r="AH59" s="558">
        <v>46158</v>
      </c>
      <c r="AI59" s="558">
        <v>46158</v>
      </c>
      <c r="AJ59" s="558">
        <v>46200</v>
      </c>
      <c r="AK59" s="558">
        <v>46202</v>
      </c>
      <c r="AL59" s="558">
        <v>46201</v>
      </c>
      <c r="AM59" s="556" t="s">
        <v>402</v>
      </c>
      <c r="AN59" s="558" t="s">
        <v>8029</v>
      </c>
      <c r="AO59" s="558" t="s">
        <v>161</v>
      </c>
      <c r="AP59" s="558" t="s">
        <v>8030</v>
      </c>
      <c r="AQ59" s="548" t="s">
        <v>8031</v>
      </c>
      <c r="AR59" s="548" t="s">
        <v>8032</v>
      </c>
      <c r="AS59" s="548">
        <f>ESS_DATA[[#This Row],[ETA On S/O]]-ESS_DATA[[#This Row],[ETD On S/O]]+1</f>
        <v>43</v>
      </c>
      <c r="AT59" s="548"/>
      <c r="AU59" s="558" cm="1">
        <f t="array" ref="AU5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46201</v>
      </c>
      <c r="AV5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59" s="14">
        <f>IF(ISERROR(ESS_DATA[[#This Row],[New Ark PO status]]),"",_xlfn.XLOOKUP(ESS_DATA[[#This Row],[SPTN-PVHK New Ark PO'#]],New_Ark_Data[Purchase order Number],New_Ark_Data[Estimated time of arrival],"",0))</f>
        <v>46216</v>
      </c>
      <c r="AX59" s="548">
        <f>IF(ESS_DATA[[#This Row],[New Ark PO Type]]="Offshore",0,IFERROR(VLOOKUP(ESS_DATA[[#This Row],[PORT OF LOADING]]&amp;ESS_DATA[[#This Row],[PORT DESTINATION]],LT_REF[],7,0),14))</f>
        <v>7</v>
      </c>
      <c r="AY59" s="558">
        <f>IFERROR(ESS_DATA[[#This Row],[ODP ETA Port]]+ESS_DATA[[#This Row],[Customs/Leg3 Assumption]],"n/a")</f>
        <v>46208</v>
      </c>
      <c r="AZ59" s="546">
        <f>YEAR(ESS_DATA[[#This Row],[ETA for New Ark update]])</f>
        <v>2026</v>
      </c>
      <c r="BA59" s="546">
        <f>MONTH(ESS_DATA[[#This Row],[ETA for New Ark update]])</f>
        <v>7</v>
      </c>
      <c r="BB59" s="546">
        <f>IFERROR(_xlfn.ISOWEEKNUM(ESS_DATA[[#This Row],[ETA for New Ark update]]),0)</f>
        <v>27</v>
      </c>
      <c r="BC59" s="546" t="str">
        <f>_xlfn.XLOOKUP(ESS_DATA[[#This Row],[PORT DESTINATION]],Table12[PORT DESTINATION],Table12[Cosco Line],,0)</f>
        <v>AEU</v>
      </c>
      <c r="BD59" s="546"/>
    </row>
    <row r="60" spans="1:56" s="559" customFormat="1" ht="10.5">
      <c r="A60" s="549" t="s">
        <v>8033</v>
      </c>
      <c r="B60" s="546" t="s">
        <v>7985</v>
      </c>
      <c r="C60" s="555" t="str">
        <f>IFERROR(LEFT(ESS_DATA[[#This Row],[TCL REFERENCE]],FIND(".",ESS_DATA[[#This Row],[TCL REFERENCE]],1)-1),"Main Line")</f>
        <v>Main Line</v>
      </c>
      <c r="D60" s="546" t="s">
        <v>63</v>
      </c>
      <c r="E60" s="546" t="s">
        <v>64</v>
      </c>
      <c r="F60" s="546" t="s">
        <v>100</v>
      </c>
      <c r="G60" s="546" t="s">
        <v>402</v>
      </c>
      <c r="H60" s="548" t="s">
        <v>67</v>
      </c>
      <c r="I60" s="546"/>
      <c r="J60" s="548" t="s">
        <v>8027</v>
      </c>
      <c r="K60" s="546"/>
      <c r="L60" s="550"/>
      <c r="M60" s="551" t="s">
        <v>68</v>
      </c>
      <c r="N60" s="570" t="s">
        <v>7834</v>
      </c>
      <c r="O60" s="546" t="s">
        <v>7829</v>
      </c>
      <c r="P60" s="546" t="s">
        <v>7835</v>
      </c>
      <c r="Q60" s="549">
        <v>8000</v>
      </c>
      <c r="R60" s="552">
        <v>2</v>
      </c>
      <c r="S60" s="553"/>
      <c r="T60" s="546"/>
      <c r="U60" s="563">
        <f>ESS_DATA[[#This Row],[QUANTITY]]/224</f>
        <v>8.9285714285714281E-3</v>
      </c>
      <c r="V60" s="564" t="s">
        <v>7854</v>
      </c>
      <c r="W60" s="546" t="s">
        <v>8000</v>
      </c>
      <c r="X60" s="555" t="str">
        <f t="shared" si="1"/>
        <v>COMPLETED</v>
      </c>
      <c r="Y60" s="571"/>
      <c r="Z60" s="558">
        <v>46152</v>
      </c>
      <c r="AA60" s="572">
        <f>WEEKNUM(ESS_DATA[[#This Row],[Pick-Up Date]])</f>
        <v>20</v>
      </c>
      <c r="AB60" s="569" t="s">
        <v>8028</v>
      </c>
      <c r="AC60" s="555"/>
      <c r="AD60" s="546" t="s">
        <v>122</v>
      </c>
      <c r="AE60" s="548" t="s">
        <v>123</v>
      </c>
      <c r="AF60" s="548" t="s">
        <v>105</v>
      </c>
      <c r="AG60" s="558">
        <v>46158</v>
      </c>
      <c r="AH60" s="558">
        <v>46158</v>
      </c>
      <c r="AI60" s="558">
        <v>46158</v>
      </c>
      <c r="AJ60" s="558">
        <v>46200</v>
      </c>
      <c r="AK60" s="558">
        <v>46202</v>
      </c>
      <c r="AL60" s="558">
        <v>46201</v>
      </c>
      <c r="AM60" s="556" t="s">
        <v>402</v>
      </c>
      <c r="AN60" s="558" t="s">
        <v>8029</v>
      </c>
      <c r="AO60" s="558" t="s">
        <v>161</v>
      </c>
      <c r="AP60" s="558" t="s">
        <v>8030</v>
      </c>
      <c r="AQ60" s="548" t="s">
        <v>8031</v>
      </c>
      <c r="AR60" s="548" t="s">
        <v>8032</v>
      </c>
      <c r="AS60" s="546">
        <f>ESS_DATA[[#This Row],[ETA On S/O]]-ESS_DATA[[#This Row],[ETD On S/O]]+1</f>
        <v>43</v>
      </c>
      <c r="AT60" s="546"/>
      <c r="AU60" s="558" cm="1">
        <f t="array" ref="AU6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46201</v>
      </c>
      <c r="AV6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60" s="14">
        <f>IF(ISERROR(ESS_DATA[[#This Row],[New Ark PO status]]),"",_xlfn.XLOOKUP(ESS_DATA[[#This Row],[SPTN-PVHK New Ark PO'#]],New_Ark_Data[Purchase order Number],New_Ark_Data[Estimated time of arrival],"",0))</f>
        <v>46216</v>
      </c>
      <c r="AX60" s="548">
        <f>IF(ESS_DATA[[#This Row],[New Ark PO Type]]="Offshore",0,IFERROR(VLOOKUP(ESS_DATA[[#This Row],[PORT OF LOADING]]&amp;ESS_DATA[[#This Row],[PORT DESTINATION]],LT_REF[],7,0),14))</f>
        <v>7</v>
      </c>
      <c r="AY60" s="558">
        <f>IFERROR(ESS_DATA[[#This Row],[ODP ETA Port]]+ESS_DATA[[#This Row],[Customs/Leg3 Assumption]],"n/a")</f>
        <v>46208</v>
      </c>
      <c r="AZ60" s="546">
        <f>YEAR(ESS_DATA[[#This Row],[ETA for New Ark update]])</f>
        <v>2026</v>
      </c>
      <c r="BA60" s="546">
        <f>MONTH(ESS_DATA[[#This Row],[ETA for New Ark update]])</f>
        <v>7</v>
      </c>
      <c r="BB60" s="546">
        <f>IFERROR(_xlfn.ISOWEEKNUM(ESS_DATA[[#This Row],[ETA for New Ark update]]),0)</f>
        <v>27</v>
      </c>
      <c r="BC60" s="546" t="str">
        <f>_xlfn.XLOOKUP(ESS_DATA[[#This Row],[PORT DESTINATION]],Table12[PORT DESTINATION],Table12[Cosco Line],,0)</f>
        <v>AEU</v>
      </c>
      <c r="BD60" s="546"/>
    </row>
    <row r="61" spans="1:56" s="559" customFormat="1" ht="10.5">
      <c r="A61" s="560" t="s">
        <v>8034</v>
      </c>
      <c r="B61" s="546" t="s">
        <v>7985</v>
      </c>
      <c r="C61" s="560" t="str">
        <f>IFERROR(LEFT(ESS_DATA[[#This Row],[TCL REFERENCE]],FIND(".",ESS_DATA[[#This Row],[TCL REFERENCE]],1)-1),"Main Line")</f>
        <v>Main Line</v>
      </c>
      <c r="D61" s="548" t="s">
        <v>63</v>
      </c>
      <c r="E61" s="548" t="s">
        <v>64</v>
      </c>
      <c r="F61" s="548" t="s">
        <v>100</v>
      </c>
      <c r="G61" s="548" t="s">
        <v>402</v>
      </c>
      <c r="H61" s="548" t="s">
        <v>67</v>
      </c>
      <c r="I61" s="548"/>
      <c r="J61" s="548" t="s">
        <v>8027</v>
      </c>
      <c r="K61" s="548"/>
      <c r="L61" s="561"/>
      <c r="M61" s="551" t="s">
        <v>68</v>
      </c>
      <c r="N61" s="548" t="s">
        <v>7837</v>
      </c>
      <c r="O61" s="546" t="s">
        <v>7829</v>
      </c>
      <c r="P61" s="548" t="s">
        <v>7838</v>
      </c>
      <c r="Q61" s="548"/>
      <c r="R61" s="552">
        <v>58</v>
      </c>
      <c r="S61" s="562"/>
      <c r="T61" s="548"/>
      <c r="U61" s="563">
        <f>ESS_DATA[[#This Row],[QUANTITY]]/224</f>
        <v>0.25892857142857145</v>
      </c>
      <c r="V61" s="564" t="s">
        <v>7854</v>
      </c>
      <c r="W61" s="546" t="s">
        <v>8000</v>
      </c>
      <c r="X61" s="560" t="str">
        <f t="shared" si="1"/>
        <v>COMPLETED</v>
      </c>
      <c r="Y61" s="566"/>
      <c r="Z61" s="567">
        <v>46152</v>
      </c>
      <c r="AA61" s="568">
        <f>WEEKNUM(ESS_DATA[[#This Row],[Pick-Up Date]])</f>
        <v>20</v>
      </c>
      <c r="AB61" s="569" t="s">
        <v>8028</v>
      </c>
      <c r="AC61" s="560"/>
      <c r="AD61" s="546" t="s">
        <v>122</v>
      </c>
      <c r="AE61" s="548" t="s">
        <v>123</v>
      </c>
      <c r="AF61" s="548" t="s">
        <v>105</v>
      </c>
      <c r="AG61" s="558">
        <v>46158</v>
      </c>
      <c r="AH61" s="558">
        <v>46158</v>
      </c>
      <c r="AI61" s="558">
        <v>46158</v>
      </c>
      <c r="AJ61" s="558">
        <v>46200</v>
      </c>
      <c r="AK61" s="558">
        <v>46202</v>
      </c>
      <c r="AL61" s="558">
        <v>46201</v>
      </c>
      <c r="AM61" s="556" t="s">
        <v>402</v>
      </c>
      <c r="AN61" s="558" t="s">
        <v>8029</v>
      </c>
      <c r="AO61" s="558" t="s">
        <v>161</v>
      </c>
      <c r="AP61" s="558" t="s">
        <v>8030</v>
      </c>
      <c r="AQ61" s="548" t="s">
        <v>8031</v>
      </c>
      <c r="AR61" s="548" t="s">
        <v>8032</v>
      </c>
      <c r="AS61" s="548">
        <f>ESS_DATA[[#This Row],[ETA On S/O]]-ESS_DATA[[#This Row],[ETD On S/O]]+1</f>
        <v>43</v>
      </c>
      <c r="AT61" s="548"/>
      <c r="AU61" s="558" cm="1">
        <f t="array" ref="AU6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46201</v>
      </c>
      <c r="AV6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61" s="14">
        <f>IF(ISERROR(ESS_DATA[[#This Row],[New Ark PO status]]),"",_xlfn.XLOOKUP(ESS_DATA[[#This Row],[SPTN-PVHK New Ark PO'#]],New_Ark_Data[Purchase order Number],New_Ark_Data[Estimated time of arrival],"",0))</f>
        <v>46216</v>
      </c>
      <c r="AX61" s="548">
        <f>IF(ESS_DATA[[#This Row],[New Ark PO Type]]="Offshore",0,IFERROR(VLOOKUP(ESS_DATA[[#This Row],[PORT OF LOADING]]&amp;ESS_DATA[[#This Row],[PORT DESTINATION]],LT_REF[],7,0),14))</f>
        <v>7</v>
      </c>
      <c r="AY61" s="558">
        <f>IFERROR(ESS_DATA[[#This Row],[ODP ETA Port]]+ESS_DATA[[#This Row],[Customs/Leg3 Assumption]],"n/a")</f>
        <v>46208</v>
      </c>
      <c r="AZ61" s="546">
        <f>YEAR(ESS_DATA[[#This Row],[ETA for New Ark update]])</f>
        <v>2026</v>
      </c>
      <c r="BA61" s="546">
        <f>MONTH(ESS_DATA[[#This Row],[ETA for New Ark update]])</f>
        <v>7</v>
      </c>
      <c r="BB61" s="546">
        <f>IFERROR(_xlfn.ISOWEEKNUM(ESS_DATA[[#This Row],[ETA for New Ark update]]),0)</f>
        <v>27</v>
      </c>
      <c r="BC61" s="546" t="str">
        <f>_xlfn.XLOOKUP(ESS_DATA[[#This Row],[PORT DESTINATION]],Table12[PORT DESTINATION],Table12[Cosco Line],,0)</f>
        <v>AEU</v>
      </c>
      <c r="BD61" s="546"/>
    </row>
    <row r="62" spans="1:56" s="559" customFormat="1" ht="10.5">
      <c r="A62" s="560" t="s">
        <v>8035</v>
      </c>
      <c r="B62" s="546" t="s">
        <v>7985</v>
      </c>
      <c r="C62" s="560" t="str">
        <f>IFERROR(LEFT(ESS_DATA[[#This Row],[TCL REFERENCE]],FIND(".",ESS_DATA[[#This Row],[TCL REFERENCE]],1)-1),"Main Line")</f>
        <v>26APR002</v>
      </c>
      <c r="D62" s="548" t="s">
        <v>63</v>
      </c>
      <c r="E62" s="548" t="s">
        <v>64</v>
      </c>
      <c r="F62" s="548" t="s">
        <v>100</v>
      </c>
      <c r="G62" s="548" t="s">
        <v>402</v>
      </c>
      <c r="H62" s="548" t="s">
        <v>67</v>
      </c>
      <c r="I62" s="548"/>
      <c r="J62" s="548" t="s">
        <v>8027</v>
      </c>
      <c r="K62" s="548"/>
      <c r="L62" s="561"/>
      <c r="M62" s="551" t="s">
        <v>68</v>
      </c>
      <c r="N62" s="548" t="s">
        <v>7837</v>
      </c>
      <c r="O62" s="546" t="s">
        <v>7829</v>
      </c>
      <c r="P62" s="548" t="s">
        <v>7838</v>
      </c>
      <c r="Q62" s="548"/>
      <c r="R62" s="552">
        <v>2</v>
      </c>
      <c r="S62" s="562"/>
      <c r="T62" s="548"/>
      <c r="U62" s="573">
        <f>ESS_DATA[[#This Row],[QUANTITY]]/224</f>
        <v>8.9285714285714281E-3</v>
      </c>
      <c r="V62" s="564" t="s">
        <v>7854</v>
      </c>
      <c r="W62" s="546" t="s">
        <v>8000</v>
      </c>
      <c r="X62" s="560" t="str">
        <f t="shared" si="1"/>
        <v>COMPLETED</v>
      </c>
      <c r="Y62" s="566"/>
      <c r="Z62" s="567">
        <v>46152</v>
      </c>
      <c r="AA62" s="568">
        <f>WEEKNUM(ESS_DATA[[#This Row],[Pick-Up Date]])</f>
        <v>20</v>
      </c>
      <c r="AB62" s="569" t="s">
        <v>8028</v>
      </c>
      <c r="AC62" s="560"/>
      <c r="AD62" s="546" t="s">
        <v>122</v>
      </c>
      <c r="AE62" s="548" t="s">
        <v>123</v>
      </c>
      <c r="AF62" s="548" t="s">
        <v>105</v>
      </c>
      <c r="AG62" s="558">
        <v>46158</v>
      </c>
      <c r="AH62" s="558">
        <v>46158</v>
      </c>
      <c r="AI62" s="558">
        <v>46158</v>
      </c>
      <c r="AJ62" s="558">
        <v>46200</v>
      </c>
      <c r="AK62" s="558">
        <v>46202</v>
      </c>
      <c r="AL62" s="558">
        <v>46201</v>
      </c>
      <c r="AM62" s="556" t="s">
        <v>402</v>
      </c>
      <c r="AN62" s="558" t="s">
        <v>8029</v>
      </c>
      <c r="AO62" s="558" t="s">
        <v>161</v>
      </c>
      <c r="AP62" s="558" t="s">
        <v>8030</v>
      </c>
      <c r="AQ62" s="548" t="s">
        <v>8031</v>
      </c>
      <c r="AR62" s="548" t="s">
        <v>8032</v>
      </c>
      <c r="AS62" s="548">
        <f>ESS_DATA[[#This Row],[ETA On S/O]]-ESS_DATA[[#This Row],[ETD On S/O]]+1</f>
        <v>43</v>
      </c>
      <c r="AT62" s="548"/>
      <c r="AU62" s="558" cm="1">
        <f t="array" ref="AU6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46201</v>
      </c>
      <c r="AV6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62" s="14">
        <f>IF(ISERROR(ESS_DATA[[#This Row],[New Ark PO status]]),"",_xlfn.XLOOKUP(ESS_DATA[[#This Row],[SPTN-PVHK New Ark PO'#]],New_Ark_Data[Purchase order Number],New_Ark_Data[Estimated time of arrival],"",0))</f>
        <v>46216</v>
      </c>
      <c r="AX62" s="548">
        <f>IF(ESS_DATA[[#This Row],[New Ark PO Type]]="Offshore",0,IFERROR(VLOOKUP(ESS_DATA[[#This Row],[PORT OF LOADING]]&amp;ESS_DATA[[#This Row],[PORT DESTINATION]],LT_REF[],7,0),14))</f>
        <v>7</v>
      </c>
      <c r="AY62" s="558">
        <f>IFERROR(ESS_DATA[[#This Row],[ODP ETA Port]]+ESS_DATA[[#This Row],[Customs/Leg3 Assumption]],"n/a")</f>
        <v>46208</v>
      </c>
      <c r="AZ62" s="546">
        <f>YEAR(ESS_DATA[[#This Row],[ETA for New Ark update]])</f>
        <v>2026</v>
      </c>
      <c r="BA62" s="546">
        <f>MONTH(ESS_DATA[[#This Row],[ETA for New Ark update]])</f>
        <v>7</v>
      </c>
      <c r="BB62" s="546">
        <f>IFERROR(_xlfn.ISOWEEKNUM(ESS_DATA[[#This Row],[ETA for New Ark update]]),0)</f>
        <v>27</v>
      </c>
      <c r="BC62" s="546" t="str">
        <f>_xlfn.XLOOKUP(ESS_DATA[[#This Row],[PORT DESTINATION]],Table12[PORT DESTINATION],Table12[Cosco Line],,0)</f>
        <v>AEU</v>
      </c>
      <c r="BD62" s="546"/>
    </row>
    <row r="63" spans="1:56" s="559" customFormat="1" ht="10.5">
      <c r="A63" s="560" t="s">
        <v>8036</v>
      </c>
      <c r="B63" s="546" t="s">
        <v>7985</v>
      </c>
      <c r="C63" s="560" t="str">
        <f>IFERROR(LEFT(ESS_DATA[[#This Row],[TCL REFERENCE]],FIND(".",ESS_DATA[[#This Row],[TCL REFERENCE]],1)-1),"Main Line")</f>
        <v>26APR003</v>
      </c>
      <c r="D63" s="548" t="s">
        <v>63</v>
      </c>
      <c r="E63" s="548" t="s">
        <v>64</v>
      </c>
      <c r="F63" s="548" t="s">
        <v>100</v>
      </c>
      <c r="G63" s="548" t="s">
        <v>402</v>
      </c>
      <c r="H63" s="548" t="s">
        <v>67</v>
      </c>
      <c r="I63" s="548"/>
      <c r="J63" s="548" t="s">
        <v>8027</v>
      </c>
      <c r="K63" s="548"/>
      <c r="L63" s="561"/>
      <c r="M63" s="551" t="s">
        <v>68</v>
      </c>
      <c r="N63" s="548" t="s">
        <v>7840</v>
      </c>
      <c r="O63" s="546" t="s">
        <v>8037</v>
      </c>
      <c r="P63" s="548" t="s">
        <v>7842</v>
      </c>
      <c r="Q63" s="548"/>
      <c r="R63" s="552">
        <v>48</v>
      </c>
      <c r="S63" s="562"/>
      <c r="T63" s="548"/>
      <c r="U63" s="563">
        <f>ESS_DATA[[#This Row],[QUANTITY]]/350</f>
        <v>0.13714285714285715</v>
      </c>
      <c r="V63" s="564" t="s">
        <v>7854</v>
      </c>
      <c r="W63" s="546" t="s">
        <v>8000</v>
      </c>
      <c r="X63" s="560" t="str">
        <f t="shared" si="1"/>
        <v>COMPLETED</v>
      </c>
      <c r="Y63" s="566"/>
      <c r="Z63" s="567">
        <v>46152</v>
      </c>
      <c r="AA63" s="568">
        <f>WEEKNUM(ESS_DATA[[#This Row],[Pick-Up Date]])</f>
        <v>20</v>
      </c>
      <c r="AB63" s="569" t="s">
        <v>8028</v>
      </c>
      <c r="AC63" s="560"/>
      <c r="AD63" s="546" t="s">
        <v>122</v>
      </c>
      <c r="AE63" s="548" t="s">
        <v>123</v>
      </c>
      <c r="AF63" s="548" t="s">
        <v>105</v>
      </c>
      <c r="AG63" s="558">
        <v>46158</v>
      </c>
      <c r="AH63" s="558">
        <v>46158</v>
      </c>
      <c r="AI63" s="558">
        <v>46158</v>
      </c>
      <c r="AJ63" s="558">
        <v>46200</v>
      </c>
      <c r="AK63" s="558">
        <v>46202</v>
      </c>
      <c r="AL63" s="558">
        <v>46201</v>
      </c>
      <c r="AM63" s="556" t="s">
        <v>402</v>
      </c>
      <c r="AN63" s="558" t="s">
        <v>8029</v>
      </c>
      <c r="AO63" s="558" t="s">
        <v>161</v>
      </c>
      <c r="AP63" s="558" t="s">
        <v>8030</v>
      </c>
      <c r="AQ63" s="548" t="s">
        <v>8031</v>
      </c>
      <c r="AR63" s="548" t="s">
        <v>8032</v>
      </c>
      <c r="AS63" s="548">
        <f>ESS_DATA[[#This Row],[ETA On S/O]]-ESS_DATA[[#This Row],[ETD On S/O]]+1</f>
        <v>43</v>
      </c>
      <c r="AT63" s="548"/>
      <c r="AU63" s="558" cm="1">
        <f t="array" ref="AU6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46201</v>
      </c>
      <c r="AV6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63" s="14">
        <f>IF(ISERROR(ESS_DATA[[#This Row],[New Ark PO status]]),"",_xlfn.XLOOKUP(ESS_DATA[[#This Row],[SPTN-PVHK New Ark PO'#]],New_Ark_Data[Purchase order Number],New_Ark_Data[Estimated time of arrival],"",0))</f>
        <v>46216</v>
      </c>
      <c r="AX63" s="548">
        <f>IF(ESS_DATA[[#This Row],[New Ark PO Type]]="Offshore",0,IFERROR(VLOOKUP(ESS_DATA[[#This Row],[PORT OF LOADING]]&amp;ESS_DATA[[#This Row],[PORT DESTINATION]],LT_REF[],7,0),14))</f>
        <v>7</v>
      </c>
      <c r="AY63" s="558">
        <f>IFERROR(ESS_DATA[[#This Row],[ODP ETA Port]]+ESS_DATA[[#This Row],[Customs/Leg3 Assumption]],"n/a")</f>
        <v>46208</v>
      </c>
      <c r="AZ63" s="546">
        <f>YEAR(ESS_DATA[[#This Row],[ETA for New Ark update]])</f>
        <v>2026</v>
      </c>
      <c r="BA63" s="546">
        <f>MONTH(ESS_DATA[[#This Row],[ETA for New Ark update]])</f>
        <v>7</v>
      </c>
      <c r="BB63" s="546">
        <f>IFERROR(_xlfn.ISOWEEKNUM(ESS_DATA[[#This Row],[ETA for New Ark update]]),0)</f>
        <v>27</v>
      </c>
      <c r="BC63" s="546" t="str">
        <f>_xlfn.XLOOKUP(ESS_DATA[[#This Row],[PORT DESTINATION]],Table12[PORT DESTINATION],Table12[Cosco Line],,0)</f>
        <v>AEU</v>
      </c>
      <c r="BD63" s="546"/>
    </row>
    <row r="64" spans="1:56" s="559" customFormat="1" ht="10.5">
      <c r="A64" s="560" t="s">
        <v>8038</v>
      </c>
      <c r="B64" s="546" t="s">
        <v>7985</v>
      </c>
      <c r="C64" s="560" t="str">
        <f>IFERROR(LEFT(ESS_DATA[[#This Row],[TCL REFERENCE]],FIND(".",ESS_DATA[[#This Row],[TCL REFERENCE]],1)-1),"Main Line")</f>
        <v>Main Line</v>
      </c>
      <c r="D64" s="548" t="s">
        <v>63</v>
      </c>
      <c r="E64" s="548" t="s">
        <v>64</v>
      </c>
      <c r="F64" s="548" t="s">
        <v>100</v>
      </c>
      <c r="G64" s="548" t="s">
        <v>402</v>
      </c>
      <c r="H64" s="548" t="s">
        <v>67</v>
      </c>
      <c r="I64" s="548"/>
      <c r="J64" s="548" t="s">
        <v>8027</v>
      </c>
      <c r="K64" s="548"/>
      <c r="L64" s="561"/>
      <c r="M64" s="551" t="s">
        <v>68</v>
      </c>
      <c r="N64" s="574" t="s">
        <v>7887</v>
      </c>
      <c r="O64" s="546" t="s">
        <v>7841</v>
      </c>
      <c r="P64" s="548" t="s">
        <v>7842</v>
      </c>
      <c r="Q64" s="548">
        <v>0</v>
      </c>
      <c r="R64" s="552">
        <v>2</v>
      </c>
      <c r="S64" s="562"/>
      <c r="T64" s="548"/>
      <c r="U64" s="563">
        <f>2/350</f>
        <v>5.7142857142857143E-3</v>
      </c>
      <c r="V64" s="564" t="s">
        <v>7854</v>
      </c>
      <c r="W64" s="546" t="s">
        <v>8000</v>
      </c>
      <c r="X64" s="560" t="str">
        <f t="shared" si="1"/>
        <v>COMPLETED</v>
      </c>
      <c r="Y64" s="566"/>
      <c r="Z64" s="567">
        <v>46152</v>
      </c>
      <c r="AA64" s="568">
        <f>WEEKNUM(ESS_DATA[[#This Row],[Pick-Up Date]])</f>
        <v>20</v>
      </c>
      <c r="AB64" s="569" t="s">
        <v>8028</v>
      </c>
      <c r="AC64" s="560"/>
      <c r="AD64" s="546" t="s">
        <v>122</v>
      </c>
      <c r="AE64" s="548" t="s">
        <v>123</v>
      </c>
      <c r="AF64" s="548" t="s">
        <v>105</v>
      </c>
      <c r="AG64" s="558">
        <v>46158</v>
      </c>
      <c r="AH64" s="558">
        <v>46158</v>
      </c>
      <c r="AI64" s="558">
        <v>46158</v>
      </c>
      <c r="AJ64" s="558">
        <v>46200</v>
      </c>
      <c r="AK64" s="558">
        <v>46202</v>
      </c>
      <c r="AL64" s="558">
        <v>46201</v>
      </c>
      <c r="AM64" s="556" t="s">
        <v>402</v>
      </c>
      <c r="AN64" s="558" t="s">
        <v>8029</v>
      </c>
      <c r="AO64" s="558" t="s">
        <v>161</v>
      </c>
      <c r="AP64" s="558" t="s">
        <v>8030</v>
      </c>
      <c r="AQ64" s="548" t="s">
        <v>8031</v>
      </c>
      <c r="AR64" s="548" t="s">
        <v>8032</v>
      </c>
      <c r="AS64" s="548">
        <f>ESS_DATA[[#This Row],[ETA On S/O]]-ESS_DATA[[#This Row],[ETD On S/O]]+1</f>
        <v>43</v>
      </c>
      <c r="AT64" s="548"/>
      <c r="AU64" s="558" cm="1">
        <f t="array" ref="AU6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46201</v>
      </c>
      <c r="AV6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64" s="14">
        <f>IF(ISERROR(ESS_DATA[[#This Row],[New Ark PO status]]),"",_xlfn.XLOOKUP(ESS_DATA[[#This Row],[SPTN-PVHK New Ark PO'#]],New_Ark_Data[Purchase order Number],New_Ark_Data[Estimated time of arrival],"",0))</f>
        <v>46216</v>
      </c>
      <c r="AX64" s="548">
        <f>IF(ESS_DATA[[#This Row],[New Ark PO Type]]="Offshore",0,IFERROR(VLOOKUP(ESS_DATA[[#This Row],[PORT OF LOADING]]&amp;ESS_DATA[[#This Row],[PORT DESTINATION]],LT_REF[],7,0),14))</f>
        <v>7</v>
      </c>
      <c r="AY64" s="558">
        <f>IFERROR(ESS_DATA[[#This Row],[ODP ETA Port]]+ESS_DATA[[#This Row],[Customs/Leg3 Assumption]],"n/a")</f>
        <v>46208</v>
      </c>
      <c r="AZ64" s="546">
        <f>YEAR(ESS_DATA[[#This Row],[ETA for New Ark update]])</f>
        <v>2026</v>
      </c>
      <c r="BA64" s="546">
        <f>MONTH(ESS_DATA[[#This Row],[ETA for New Ark update]])</f>
        <v>7</v>
      </c>
      <c r="BB64" s="546">
        <f>IFERROR(_xlfn.ISOWEEKNUM(ESS_DATA[[#This Row],[ETA for New Ark update]]),0)</f>
        <v>27</v>
      </c>
      <c r="BC64" s="546" t="str">
        <f>_xlfn.XLOOKUP(ESS_DATA[[#This Row],[PORT DESTINATION]],Table12[PORT DESTINATION],Table12[Cosco Line],,0)</f>
        <v>AEU</v>
      </c>
      <c r="BD64" s="546"/>
    </row>
    <row r="65" spans="1:56" s="559" customFormat="1" ht="10.5">
      <c r="A65" s="560" t="s">
        <v>8039</v>
      </c>
      <c r="B65" s="557" t="s">
        <v>7985</v>
      </c>
      <c r="C65" s="560" t="str">
        <f>IFERROR(LEFT(ESS_DATA[[#This Row],[TCL REFERENCE]],FIND(".",ESS_DATA[[#This Row],[TCL REFERENCE]],1)-1),"Main Line")</f>
        <v>Main Line</v>
      </c>
      <c r="D65" s="548" t="s">
        <v>63</v>
      </c>
      <c r="E65" s="548" t="s">
        <v>64</v>
      </c>
      <c r="F65" s="548" t="s">
        <v>100</v>
      </c>
      <c r="G65" s="548" t="s">
        <v>402</v>
      </c>
      <c r="H65" s="548" t="s">
        <v>67</v>
      </c>
      <c r="I65" s="548"/>
      <c r="J65" s="548" t="s">
        <v>8027</v>
      </c>
      <c r="K65" s="548"/>
      <c r="L65" s="561"/>
      <c r="M65" s="551" t="s">
        <v>68</v>
      </c>
      <c r="N65" s="548" t="s">
        <v>7816</v>
      </c>
      <c r="O65" s="546" t="s">
        <v>7986</v>
      </c>
      <c r="P65" s="548" t="s">
        <v>7818</v>
      </c>
      <c r="Q65" s="548"/>
      <c r="R65" s="552">
        <v>78</v>
      </c>
      <c r="S65" s="562"/>
      <c r="T65" s="548"/>
      <c r="U65" s="554">
        <v>7.0000000000000007E-2</v>
      </c>
      <c r="V65" s="575" t="s">
        <v>7854</v>
      </c>
      <c r="W65" s="565" t="s">
        <v>8000</v>
      </c>
      <c r="X65" s="559" t="str">
        <f t="shared" si="1"/>
        <v>COMPLETED</v>
      </c>
      <c r="Y65" s="566"/>
      <c r="Z65" s="567">
        <v>46152</v>
      </c>
      <c r="AA65" s="568">
        <f>WEEKNUM(ESS_DATA[[#This Row],[Pick-Up Date]])</f>
        <v>20</v>
      </c>
      <c r="AB65" s="569" t="s">
        <v>8028</v>
      </c>
      <c r="AC65" s="560"/>
      <c r="AD65" s="546" t="s">
        <v>122</v>
      </c>
      <c r="AE65" s="548" t="s">
        <v>123</v>
      </c>
      <c r="AF65" s="548" t="s">
        <v>105</v>
      </c>
      <c r="AG65" s="558">
        <v>46158</v>
      </c>
      <c r="AH65" s="558">
        <v>46158</v>
      </c>
      <c r="AI65" s="558">
        <v>46158</v>
      </c>
      <c r="AJ65" s="558">
        <v>46200</v>
      </c>
      <c r="AK65" s="558">
        <v>46202</v>
      </c>
      <c r="AL65" s="558">
        <v>46201</v>
      </c>
      <c r="AM65" s="556" t="s">
        <v>402</v>
      </c>
      <c r="AN65" s="558" t="s">
        <v>8029</v>
      </c>
      <c r="AO65" s="558" t="s">
        <v>161</v>
      </c>
      <c r="AP65" s="558" t="s">
        <v>8030</v>
      </c>
      <c r="AQ65" s="548" t="s">
        <v>8031</v>
      </c>
      <c r="AR65" s="548" t="s">
        <v>8032</v>
      </c>
      <c r="AS65" s="548">
        <f>ESS_DATA[[#This Row],[ETA On S/O]]-ESS_DATA[[#This Row],[ETD On S/O]]+1</f>
        <v>43</v>
      </c>
      <c r="AT65" s="548"/>
      <c r="AU65" s="558" cm="1">
        <f t="array" ref="AU6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46201</v>
      </c>
      <c r="AV6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65" s="14">
        <f>IF(ISERROR(ESS_DATA[[#This Row],[New Ark PO status]]),"",_xlfn.XLOOKUP(ESS_DATA[[#This Row],[SPTN-PVHK New Ark PO'#]],New_Ark_Data[Purchase order Number],New_Ark_Data[Estimated time of arrival],"",0))</f>
        <v>46216</v>
      </c>
      <c r="AX65" s="548">
        <f>IF(ESS_DATA[[#This Row],[New Ark PO Type]]="Offshore",0,IFERROR(VLOOKUP(ESS_DATA[[#This Row],[PORT OF LOADING]]&amp;ESS_DATA[[#This Row],[PORT DESTINATION]],LT_REF[],7,0),14))</f>
        <v>7</v>
      </c>
      <c r="AY65" s="558">
        <f>IFERROR(ESS_DATA[[#This Row],[ODP ETA Port]]+ESS_DATA[[#This Row],[Customs/Leg3 Assumption]],"n/a")</f>
        <v>46208</v>
      </c>
      <c r="AZ65" s="546">
        <f>YEAR(ESS_DATA[[#This Row],[ETA for New Ark update]])</f>
        <v>2026</v>
      </c>
      <c r="BA65" s="546">
        <f>MONTH(ESS_DATA[[#This Row],[ETA for New Ark update]])</f>
        <v>7</v>
      </c>
      <c r="BB65" s="546">
        <f>IFERROR(_xlfn.ISOWEEKNUM(ESS_DATA[[#This Row],[ETA for New Ark update]]),0)</f>
        <v>27</v>
      </c>
      <c r="BC65" s="546" t="str">
        <f>_xlfn.XLOOKUP(ESS_DATA[[#This Row],[PORT DESTINATION]],Table12[PORT DESTINATION],Table12[Cosco Line],,0)</f>
        <v>AEU</v>
      </c>
      <c r="BD65" s="546"/>
    </row>
    <row r="66" spans="1:56" s="559" customFormat="1" ht="10.5">
      <c r="A66" s="560" t="s">
        <v>8040</v>
      </c>
      <c r="B66" s="546" t="s">
        <v>7985</v>
      </c>
      <c r="C66" s="560" t="str">
        <f>IFERROR(LEFT(ESS_DATA[[#This Row],[TCL REFERENCE]],FIND(".",ESS_DATA[[#This Row],[TCL REFERENCE]],1)-1),"Main Line")</f>
        <v>Main Line</v>
      </c>
      <c r="D66" s="548" t="s">
        <v>63</v>
      </c>
      <c r="E66" s="548" t="s">
        <v>64</v>
      </c>
      <c r="F66" s="548" t="s">
        <v>100</v>
      </c>
      <c r="G66" s="548" t="s">
        <v>402</v>
      </c>
      <c r="H66" s="548" t="s">
        <v>67</v>
      </c>
      <c r="I66" s="548"/>
      <c r="J66" s="548" t="s">
        <v>8027</v>
      </c>
      <c r="K66" s="548"/>
      <c r="L66" s="561"/>
      <c r="M66" s="551" t="s">
        <v>68</v>
      </c>
      <c r="N66" s="548" t="s">
        <v>7828</v>
      </c>
      <c r="O66" s="546" t="s">
        <v>7829</v>
      </c>
      <c r="P66" s="548" t="s">
        <v>7830</v>
      </c>
      <c r="Q66" s="548"/>
      <c r="R66" s="552">
        <f>328-114</f>
        <v>214</v>
      </c>
      <c r="S66" s="562"/>
      <c r="T66" s="548"/>
      <c r="U66" s="554">
        <f>ESS_DATA[[#This Row],[QUANTITY]]/224</f>
        <v>0.9553571428571429</v>
      </c>
      <c r="V66" s="576" t="s">
        <v>7860</v>
      </c>
      <c r="W66" s="548" t="s">
        <v>8041</v>
      </c>
      <c r="X66" s="548" t="str">
        <f t="shared" ref="X66:X97" si="2">IF(AL66&lt;&gt;"","COMPLETED",IF(AI66&lt;&gt;"","IN-TRANSIT",""))</f>
        <v>COMPLETED</v>
      </c>
      <c r="Y66" s="577"/>
      <c r="Z66" s="558">
        <v>46156</v>
      </c>
      <c r="AA66" s="568">
        <f>WEEKNUM(ESS_DATA[[#This Row],[Pick-Up Date]])</f>
        <v>20</v>
      </c>
      <c r="AB66" s="569" t="s">
        <v>8042</v>
      </c>
      <c r="AC66" s="560"/>
      <c r="AD66" s="546" t="s">
        <v>122</v>
      </c>
      <c r="AE66" s="548" t="s">
        <v>123</v>
      </c>
      <c r="AF66" s="548" t="s">
        <v>105</v>
      </c>
      <c r="AG66" s="558">
        <v>46161</v>
      </c>
      <c r="AH66" s="558">
        <v>46163</v>
      </c>
      <c r="AI66" s="558">
        <v>46163</v>
      </c>
      <c r="AJ66" s="558">
        <v>46196</v>
      </c>
      <c r="AK66" s="558">
        <v>46197</v>
      </c>
      <c r="AL66" s="558">
        <v>46203</v>
      </c>
      <c r="AM66" s="556" t="s">
        <v>402</v>
      </c>
      <c r="AN66" s="558" t="s">
        <v>2449</v>
      </c>
      <c r="AO66" s="558" t="s">
        <v>80</v>
      </c>
      <c r="AP66" s="558" t="s">
        <v>8043</v>
      </c>
      <c r="AQ66" s="548" t="s">
        <v>8044</v>
      </c>
      <c r="AR66" s="548" t="s">
        <v>8044</v>
      </c>
      <c r="AS66" s="548">
        <f>ESS_DATA[[#This Row],[ETA On S/O]]-ESS_DATA[[#This Row],[ETD On S/O]]+1</f>
        <v>36</v>
      </c>
      <c r="AT66" s="548"/>
      <c r="AU66" s="558" cm="1">
        <f t="array" ref="AU6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46203</v>
      </c>
      <c r="AV6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66" s="14">
        <f>IF(ISERROR(ESS_DATA[[#This Row],[New Ark PO status]]),"",_xlfn.XLOOKUP(ESS_DATA[[#This Row],[SPTN-PVHK New Ark PO'#]],New_Ark_Data[Purchase order Number],New_Ark_Data[Estimated time of arrival],"",0))</f>
        <v>46211</v>
      </c>
      <c r="AX66" s="548">
        <f>IF(ESS_DATA[[#This Row],[New Ark PO Type]]="Offshore",0,IFERROR(VLOOKUP(ESS_DATA[[#This Row],[PORT OF LOADING]]&amp;ESS_DATA[[#This Row],[PORT DESTINATION]],LT_REF[],7,0),14))</f>
        <v>7</v>
      </c>
      <c r="AY66" s="558">
        <f>IFERROR(ESS_DATA[[#This Row],[ODP ETA Port]]+ESS_DATA[[#This Row],[Customs/Leg3 Assumption]],"n/a")</f>
        <v>46210</v>
      </c>
      <c r="AZ66" s="546">
        <f>YEAR(ESS_DATA[[#This Row],[ETA for New Ark update]])</f>
        <v>2026</v>
      </c>
      <c r="BA66" s="546">
        <f>MONTH(ESS_DATA[[#This Row],[ETA for New Ark update]])</f>
        <v>7</v>
      </c>
      <c r="BB66" s="546">
        <f>IFERROR(_xlfn.ISOWEEKNUM(ESS_DATA[[#This Row],[ETA for New Ark update]]),0)</f>
        <v>28</v>
      </c>
      <c r="BC66" s="546" t="str">
        <f>_xlfn.XLOOKUP(ESS_DATA[[#This Row],[PORT DESTINATION]],Table12[PORT DESTINATION],Table12[Cosco Line],,0)</f>
        <v>AEU</v>
      </c>
      <c r="BD66" s="546"/>
    </row>
    <row r="67" spans="1:56" s="559" customFormat="1" ht="10.5">
      <c r="A67" s="560" t="s">
        <v>8045</v>
      </c>
      <c r="B67" s="546" t="s">
        <v>7985</v>
      </c>
      <c r="C67" s="560" t="str">
        <f>IFERROR(LEFT(ESS_DATA[[#This Row],[TCL REFERENCE]],FIND(".",ESS_DATA[[#This Row],[TCL REFERENCE]],1)-1),"Main Line")</f>
        <v>26APR001</v>
      </c>
      <c r="D67" s="548" t="s">
        <v>63</v>
      </c>
      <c r="E67" s="548" t="s">
        <v>64</v>
      </c>
      <c r="F67" s="548" t="s">
        <v>100</v>
      </c>
      <c r="G67" s="548" t="s">
        <v>402</v>
      </c>
      <c r="H67" s="548" t="s">
        <v>67</v>
      </c>
      <c r="I67" s="548"/>
      <c r="J67" s="548" t="s">
        <v>8027</v>
      </c>
      <c r="K67" s="548"/>
      <c r="L67" s="561"/>
      <c r="M67" s="551" t="s">
        <v>68</v>
      </c>
      <c r="N67" s="548" t="s">
        <v>7828</v>
      </c>
      <c r="O67" s="546" t="s">
        <v>7829</v>
      </c>
      <c r="P67" s="548" t="s">
        <v>7830</v>
      </c>
      <c r="Q67" s="548"/>
      <c r="R67" s="552">
        <v>10</v>
      </c>
      <c r="S67" s="562"/>
      <c r="T67" s="548"/>
      <c r="U67" s="554">
        <f>ESS_DATA[[#This Row],[QUANTITY]]/224</f>
        <v>4.4642857142857144E-2</v>
      </c>
      <c r="V67" s="576" t="s">
        <v>7860</v>
      </c>
      <c r="W67" s="548" t="s">
        <v>8041</v>
      </c>
      <c r="X67" s="548" t="str">
        <f t="shared" si="2"/>
        <v>COMPLETED</v>
      </c>
      <c r="Y67" s="578"/>
      <c r="Z67" s="558">
        <v>46156</v>
      </c>
      <c r="AA67" s="568">
        <f>WEEKNUM(ESS_DATA[[#This Row],[Pick-Up Date]])</f>
        <v>20</v>
      </c>
      <c r="AB67" s="569" t="s">
        <v>8042</v>
      </c>
      <c r="AC67" s="560"/>
      <c r="AD67" s="546" t="s">
        <v>122</v>
      </c>
      <c r="AE67" s="548" t="s">
        <v>123</v>
      </c>
      <c r="AF67" s="548" t="s">
        <v>105</v>
      </c>
      <c r="AG67" s="558">
        <v>46161</v>
      </c>
      <c r="AH67" s="558">
        <v>46163</v>
      </c>
      <c r="AI67" s="558">
        <v>46163</v>
      </c>
      <c r="AJ67" s="558">
        <v>46196</v>
      </c>
      <c r="AK67" s="558">
        <v>46197</v>
      </c>
      <c r="AL67" s="558">
        <v>46203</v>
      </c>
      <c r="AM67" s="556" t="s">
        <v>402</v>
      </c>
      <c r="AN67" s="558" t="s">
        <v>2449</v>
      </c>
      <c r="AO67" s="558" t="s">
        <v>80</v>
      </c>
      <c r="AP67" s="558" t="s">
        <v>8043</v>
      </c>
      <c r="AQ67" s="548" t="s">
        <v>8044</v>
      </c>
      <c r="AR67" s="548" t="s">
        <v>8044</v>
      </c>
      <c r="AS67" s="548">
        <f>ESS_DATA[[#This Row],[ETA On S/O]]-ESS_DATA[[#This Row],[ETD On S/O]]+1</f>
        <v>36</v>
      </c>
      <c r="AT67" s="548"/>
      <c r="AU67" s="558" cm="1">
        <f t="array" ref="AU6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46203</v>
      </c>
      <c r="AV6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67" s="14">
        <f>IF(ISERROR(ESS_DATA[[#This Row],[New Ark PO status]]),"",_xlfn.XLOOKUP(ESS_DATA[[#This Row],[SPTN-PVHK New Ark PO'#]],New_Ark_Data[Purchase order Number],New_Ark_Data[Estimated time of arrival],"",0))</f>
        <v>46211</v>
      </c>
      <c r="AX67" s="548">
        <f>IF(ESS_DATA[[#This Row],[New Ark PO Type]]="Offshore",0,IFERROR(VLOOKUP(ESS_DATA[[#This Row],[PORT OF LOADING]]&amp;ESS_DATA[[#This Row],[PORT DESTINATION]],LT_REF[],7,0),14))</f>
        <v>7</v>
      </c>
      <c r="AY67" s="558">
        <f>IFERROR(ESS_DATA[[#This Row],[ODP ETA Port]]+ESS_DATA[[#This Row],[Customs/Leg3 Assumption]],"n/a")</f>
        <v>46210</v>
      </c>
      <c r="AZ67" s="546">
        <f>YEAR(ESS_DATA[[#This Row],[ETA for New Ark update]])</f>
        <v>2026</v>
      </c>
      <c r="BA67" s="546">
        <f>MONTH(ESS_DATA[[#This Row],[ETA for New Ark update]])</f>
        <v>7</v>
      </c>
      <c r="BB67" s="546">
        <f>IFERROR(_xlfn.ISOWEEKNUM(ESS_DATA[[#This Row],[ETA for New Ark update]]),0)</f>
        <v>28</v>
      </c>
      <c r="BC67" s="546" t="str">
        <f>_xlfn.XLOOKUP(ESS_DATA[[#This Row],[PORT DESTINATION]],Table12[PORT DESTINATION],Table12[Cosco Line],,0)</f>
        <v>AEU</v>
      </c>
      <c r="BD67" s="546"/>
    </row>
    <row r="68" spans="1:56" s="559" customFormat="1" ht="10.5">
      <c r="A68" s="560" t="s">
        <v>8046</v>
      </c>
      <c r="B68" s="546" t="s">
        <v>7985</v>
      </c>
      <c r="C68" s="560" t="str">
        <f>IFERROR(LEFT(ESS_DATA[[#This Row],[TCL REFERENCE]],FIND(".",ESS_DATA[[#This Row],[TCL REFERENCE]],1)-1),"Main Line")</f>
        <v>26APR003</v>
      </c>
      <c r="D68" s="548" t="s">
        <v>63</v>
      </c>
      <c r="E68" s="548" t="s">
        <v>64</v>
      </c>
      <c r="F68" s="548" t="s">
        <v>100</v>
      </c>
      <c r="G68" s="548" t="s">
        <v>402</v>
      </c>
      <c r="H68" s="548" t="s">
        <v>67</v>
      </c>
      <c r="I68" s="548"/>
      <c r="J68" s="548" t="s">
        <v>8027</v>
      </c>
      <c r="K68" s="548"/>
      <c r="L68" s="561"/>
      <c r="M68" s="551" t="s">
        <v>68</v>
      </c>
      <c r="N68" s="548" t="s">
        <v>7840</v>
      </c>
      <c r="O68" s="546" t="s">
        <v>8037</v>
      </c>
      <c r="P68" s="548" t="s">
        <v>7842</v>
      </c>
      <c r="Q68" s="548"/>
      <c r="R68" s="552">
        <v>338</v>
      </c>
      <c r="S68" s="562"/>
      <c r="T68" s="548"/>
      <c r="U68" s="573">
        <f>ESS_DATA[[#This Row],[QUANTITY]]/350</f>
        <v>0.96571428571428575</v>
      </c>
      <c r="V68" s="576" t="s">
        <v>7864</v>
      </c>
      <c r="W68" s="548" t="s">
        <v>8041</v>
      </c>
      <c r="X68" s="548" t="str">
        <f t="shared" si="2"/>
        <v>COMPLETED</v>
      </c>
      <c r="Y68" s="578"/>
      <c r="Z68" s="558">
        <v>46156</v>
      </c>
      <c r="AA68" s="568">
        <f>WEEKNUM(ESS_DATA[[#This Row],[Pick-Up Date]])</f>
        <v>20</v>
      </c>
      <c r="AB68" s="569" t="s">
        <v>8042</v>
      </c>
      <c r="AC68" s="560"/>
      <c r="AD68" s="546" t="s">
        <v>122</v>
      </c>
      <c r="AE68" s="548" t="s">
        <v>123</v>
      </c>
      <c r="AF68" s="548" t="s">
        <v>105</v>
      </c>
      <c r="AG68" s="558">
        <v>46161</v>
      </c>
      <c r="AH68" s="558">
        <v>46163</v>
      </c>
      <c r="AI68" s="558">
        <v>46163</v>
      </c>
      <c r="AJ68" s="558">
        <v>46196</v>
      </c>
      <c r="AK68" s="558">
        <v>46197</v>
      </c>
      <c r="AL68" s="558">
        <v>46203</v>
      </c>
      <c r="AM68" s="556" t="s">
        <v>402</v>
      </c>
      <c r="AN68" s="558" t="s">
        <v>2449</v>
      </c>
      <c r="AO68" s="558" t="s">
        <v>80</v>
      </c>
      <c r="AP68" s="558" t="s">
        <v>8043</v>
      </c>
      <c r="AQ68" s="548" t="s">
        <v>8044</v>
      </c>
      <c r="AR68" s="548" t="s">
        <v>8044</v>
      </c>
      <c r="AS68" s="548">
        <f>ESS_DATA[[#This Row],[ETA On S/O]]-ESS_DATA[[#This Row],[ETD On S/O]]+1</f>
        <v>36</v>
      </c>
      <c r="AT68" s="548"/>
      <c r="AU68" s="558" cm="1">
        <f t="array" ref="AU6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46203</v>
      </c>
      <c r="AV6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68" s="14">
        <f>IF(ISERROR(ESS_DATA[[#This Row],[New Ark PO status]]),"",_xlfn.XLOOKUP(ESS_DATA[[#This Row],[SPTN-PVHK New Ark PO'#]],New_Ark_Data[Purchase order Number],New_Ark_Data[Estimated time of arrival],"",0))</f>
        <v>46211</v>
      </c>
      <c r="AX68" s="548">
        <f>IF(ESS_DATA[[#This Row],[New Ark PO Type]]="Offshore",0,IFERROR(VLOOKUP(ESS_DATA[[#This Row],[PORT OF LOADING]]&amp;ESS_DATA[[#This Row],[PORT DESTINATION]],LT_REF[],7,0),14))</f>
        <v>7</v>
      </c>
      <c r="AY68" s="558">
        <f>IFERROR(ESS_DATA[[#This Row],[ODP ETA Port]]+ESS_DATA[[#This Row],[Customs/Leg3 Assumption]],"n/a")</f>
        <v>46210</v>
      </c>
      <c r="AZ68" s="546">
        <f>YEAR(ESS_DATA[[#This Row],[ETA for New Ark update]])</f>
        <v>2026</v>
      </c>
      <c r="BA68" s="546">
        <f>MONTH(ESS_DATA[[#This Row],[ETA for New Ark update]])</f>
        <v>7</v>
      </c>
      <c r="BB68" s="546">
        <f>IFERROR(_xlfn.ISOWEEKNUM(ESS_DATA[[#This Row],[ETA for New Ark update]]),0)</f>
        <v>28</v>
      </c>
      <c r="BC68" s="546" t="str">
        <f>_xlfn.XLOOKUP(ESS_DATA[[#This Row],[PORT DESTINATION]],Table12[PORT DESTINATION],Table12[Cosco Line],,0)</f>
        <v>AEU</v>
      </c>
      <c r="BD68" s="546"/>
    </row>
    <row r="69" spans="1:56" s="559" customFormat="1" ht="10.5">
      <c r="A69" s="560" t="s">
        <v>8047</v>
      </c>
      <c r="B69" s="546" t="s">
        <v>7985</v>
      </c>
      <c r="C69" s="560" t="str">
        <f>IFERROR(LEFT(ESS_DATA[[#This Row],[TCL REFERENCE]],FIND(".",ESS_DATA[[#This Row],[TCL REFERENCE]],1)-1),"Main Line")</f>
        <v>26APR003</v>
      </c>
      <c r="D69" s="548" t="s">
        <v>63</v>
      </c>
      <c r="E69" s="548" t="s">
        <v>64</v>
      </c>
      <c r="F69" s="548" t="s">
        <v>100</v>
      </c>
      <c r="G69" s="548" t="s">
        <v>402</v>
      </c>
      <c r="H69" s="548" t="s">
        <v>67</v>
      </c>
      <c r="I69" s="548"/>
      <c r="J69" s="548" t="s">
        <v>8027</v>
      </c>
      <c r="K69" s="548"/>
      <c r="L69" s="561"/>
      <c r="M69" s="551" t="s">
        <v>68</v>
      </c>
      <c r="N69" s="548" t="s">
        <v>7840</v>
      </c>
      <c r="O69" s="546" t="s">
        <v>8037</v>
      </c>
      <c r="P69" s="548" t="s">
        <v>7842</v>
      </c>
      <c r="Q69" s="548"/>
      <c r="R69" s="552">
        <v>12</v>
      </c>
      <c r="S69" s="562"/>
      <c r="T69" s="548"/>
      <c r="U69" s="554">
        <f>ESS_DATA[[#This Row],[QUANTITY]]/350</f>
        <v>3.4285714285714287E-2</v>
      </c>
      <c r="V69" s="564" t="s">
        <v>7864</v>
      </c>
      <c r="W69" s="549" t="s">
        <v>8041</v>
      </c>
      <c r="X69" s="546" t="str">
        <f t="shared" si="2"/>
        <v>COMPLETED</v>
      </c>
      <c r="Y69" s="579"/>
      <c r="Z69" s="558">
        <v>46156</v>
      </c>
      <c r="AA69" s="568">
        <f>WEEKNUM(ESS_DATA[[#This Row],[Pick-Up Date]])</f>
        <v>20</v>
      </c>
      <c r="AB69" s="569" t="s">
        <v>8042</v>
      </c>
      <c r="AC69" s="560"/>
      <c r="AD69" s="546" t="s">
        <v>122</v>
      </c>
      <c r="AE69" s="548" t="s">
        <v>123</v>
      </c>
      <c r="AF69" s="548" t="s">
        <v>105</v>
      </c>
      <c r="AG69" s="558">
        <v>46161</v>
      </c>
      <c r="AH69" s="558">
        <v>46163</v>
      </c>
      <c r="AI69" s="558">
        <v>46163</v>
      </c>
      <c r="AJ69" s="558">
        <v>46196</v>
      </c>
      <c r="AK69" s="558">
        <v>46197</v>
      </c>
      <c r="AL69" s="558">
        <v>46203</v>
      </c>
      <c r="AM69" s="556" t="s">
        <v>402</v>
      </c>
      <c r="AN69" s="558" t="s">
        <v>2449</v>
      </c>
      <c r="AO69" s="558" t="s">
        <v>80</v>
      </c>
      <c r="AP69" s="558" t="s">
        <v>8043</v>
      </c>
      <c r="AQ69" s="548" t="s">
        <v>8044</v>
      </c>
      <c r="AR69" s="548" t="s">
        <v>8044</v>
      </c>
      <c r="AS69" s="548">
        <f>ESS_DATA[[#This Row],[ETA On S/O]]-ESS_DATA[[#This Row],[ETD On S/O]]+1</f>
        <v>36</v>
      </c>
      <c r="AT69" s="548"/>
      <c r="AU69" s="558" cm="1">
        <f t="array" ref="AU6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46203</v>
      </c>
      <c r="AV6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69" s="14">
        <f>IF(ISERROR(ESS_DATA[[#This Row],[New Ark PO status]]),"",_xlfn.XLOOKUP(ESS_DATA[[#This Row],[SPTN-PVHK New Ark PO'#]],New_Ark_Data[Purchase order Number],New_Ark_Data[Estimated time of arrival],"",0))</f>
        <v>46211</v>
      </c>
      <c r="AX69" s="548">
        <f>IF(ESS_DATA[[#This Row],[New Ark PO Type]]="Offshore",0,IFERROR(VLOOKUP(ESS_DATA[[#This Row],[PORT OF LOADING]]&amp;ESS_DATA[[#This Row],[PORT DESTINATION]],LT_REF[],7,0),14))</f>
        <v>7</v>
      </c>
      <c r="AY69" s="558">
        <f>IFERROR(ESS_DATA[[#This Row],[ODP ETA Port]]+ESS_DATA[[#This Row],[Customs/Leg3 Assumption]],"n/a")</f>
        <v>46210</v>
      </c>
      <c r="AZ69" s="546">
        <f>YEAR(ESS_DATA[[#This Row],[ETA for New Ark update]])</f>
        <v>2026</v>
      </c>
      <c r="BA69" s="546">
        <f>MONTH(ESS_DATA[[#This Row],[ETA for New Ark update]])</f>
        <v>7</v>
      </c>
      <c r="BB69" s="546">
        <f>IFERROR(_xlfn.ISOWEEKNUM(ESS_DATA[[#This Row],[ETA for New Ark update]]),0)</f>
        <v>28</v>
      </c>
      <c r="BC69" s="546" t="str">
        <f>_xlfn.XLOOKUP(ESS_DATA[[#This Row],[PORT DESTINATION]],Table12[PORT DESTINATION],Table12[Cosco Line],,0)</f>
        <v>AEU</v>
      </c>
      <c r="BD69" s="546"/>
    </row>
    <row r="70" spans="1:56" s="559" customFormat="1" ht="10.5">
      <c r="A70" s="560" t="s">
        <v>8048</v>
      </c>
      <c r="B70" s="546" t="s">
        <v>7985</v>
      </c>
      <c r="C70" s="560" t="str">
        <f>IFERROR(LEFT(ESS_DATA[[#This Row],[TCL REFERENCE]],FIND(".",ESS_DATA[[#This Row],[TCL REFERENCE]],1)-1),"Main Line")</f>
        <v>26APR004</v>
      </c>
      <c r="D70" s="548" t="s">
        <v>63</v>
      </c>
      <c r="E70" s="548" t="s">
        <v>64</v>
      </c>
      <c r="F70" s="548" t="s">
        <v>100</v>
      </c>
      <c r="G70" s="548" t="s">
        <v>402</v>
      </c>
      <c r="H70" s="548" t="s">
        <v>67</v>
      </c>
      <c r="I70" s="548"/>
      <c r="J70" s="548" t="s">
        <v>8027</v>
      </c>
      <c r="K70" s="548"/>
      <c r="L70" s="561"/>
      <c r="M70" s="551" t="s">
        <v>68</v>
      </c>
      <c r="N70" s="548" t="s">
        <v>7851</v>
      </c>
      <c r="O70" s="546" t="s">
        <v>8049</v>
      </c>
      <c r="P70" s="548" t="s">
        <v>7853</v>
      </c>
      <c r="Q70" s="548"/>
      <c r="R70" s="552">
        <v>552</v>
      </c>
      <c r="S70" s="562"/>
      <c r="T70" s="548"/>
      <c r="U70" s="554">
        <f>ESS_DATA[[#This Row],[QUANTITY]]/276</f>
        <v>2</v>
      </c>
      <c r="V70" s="564" t="s">
        <v>8050</v>
      </c>
      <c r="W70" s="549" t="s">
        <v>8000</v>
      </c>
      <c r="X70" s="546" t="str">
        <f t="shared" si="2"/>
        <v>COMPLETED</v>
      </c>
      <c r="Y70" s="579"/>
      <c r="Z70" s="558">
        <v>46159</v>
      </c>
      <c r="AA70" s="568">
        <f>WEEKNUM(ESS_DATA[[#This Row],[Pick-Up Date]])</f>
        <v>21</v>
      </c>
      <c r="AB70" s="569" t="s">
        <v>8051</v>
      </c>
      <c r="AC70" s="560"/>
      <c r="AD70" s="546" t="s">
        <v>122</v>
      </c>
      <c r="AE70" s="548" t="s">
        <v>123</v>
      </c>
      <c r="AF70" s="548" t="s">
        <v>105</v>
      </c>
      <c r="AG70" s="558">
        <v>46163</v>
      </c>
      <c r="AH70" s="558">
        <v>46166</v>
      </c>
      <c r="AI70" s="558">
        <v>46166</v>
      </c>
      <c r="AJ70" s="558">
        <v>46202</v>
      </c>
      <c r="AK70" s="590">
        <v>46210</v>
      </c>
      <c r="AL70" s="558">
        <v>46211</v>
      </c>
      <c r="AM70" s="556" t="s">
        <v>402</v>
      </c>
      <c r="AN70" s="558" t="s">
        <v>8052</v>
      </c>
      <c r="AO70" s="558" t="s">
        <v>161</v>
      </c>
      <c r="AP70" s="558" t="s">
        <v>8053</v>
      </c>
      <c r="AQ70" s="548" t="s">
        <v>8054</v>
      </c>
      <c r="AR70" s="548" t="s">
        <v>8055</v>
      </c>
      <c r="AS70" s="548">
        <f>ESS_DATA[[#This Row],[ETA On S/O]]-ESS_DATA[[#This Row],[ETD On S/O]]+1</f>
        <v>40</v>
      </c>
      <c r="AT70" s="548"/>
      <c r="AU70" s="558" cm="1">
        <f t="array" ref="AU7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46211</v>
      </c>
      <c r="AV7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70" s="14">
        <f>IF(ISERROR(ESS_DATA[[#This Row],[New Ark PO status]]),"",_xlfn.XLOOKUP(ESS_DATA[[#This Row],[SPTN-PVHK New Ark PO'#]],New_Ark_Data[Purchase order Number],New_Ark_Data[Estimated time of arrival],"",0))</f>
        <v>46220</v>
      </c>
      <c r="AX70" s="548">
        <f>IF(ESS_DATA[[#This Row],[New Ark PO Type]]="Offshore",0,IFERROR(VLOOKUP(ESS_DATA[[#This Row],[PORT OF LOADING]]&amp;ESS_DATA[[#This Row],[PORT DESTINATION]],LT_REF[],7,0),14))</f>
        <v>7</v>
      </c>
      <c r="AY70" s="558">
        <f>IFERROR(ESS_DATA[[#This Row],[ODP ETA Port]]+ESS_DATA[[#This Row],[Customs/Leg3 Assumption]],"n/a")</f>
        <v>46218</v>
      </c>
      <c r="AZ70" s="546">
        <f>YEAR(ESS_DATA[[#This Row],[ETA for New Ark update]])</f>
        <v>2026</v>
      </c>
      <c r="BA70" s="546">
        <f>MONTH(ESS_DATA[[#This Row],[ETA for New Ark update]])</f>
        <v>7</v>
      </c>
      <c r="BB70" s="546">
        <f>IFERROR(_xlfn.ISOWEEKNUM(ESS_DATA[[#This Row],[ETA for New Ark update]]),0)</f>
        <v>29</v>
      </c>
      <c r="BC70" s="546" t="str">
        <f>_xlfn.XLOOKUP(ESS_DATA[[#This Row],[PORT DESTINATION]],Table12[PORT DESTINATION],Table12[Cosco Line],,0)</f>
        <v>AEU</v>
      </c>
      <c r="BD70" s="546"/>
    </row>
    <row r="71" spans="1:56" s="559" customFormat="1" ht="10.5">
      <c r="A71" s="560" t="s">
        <v>8056</v>
      </c>
      <c r="B71" s="546" t="s">
        <v>7985</v>
      </c>
      <c r="C71" s="560" t="str">
        <f>IFERROR(LEFT(ESS_DATA[[#This Row],[TCL REFERENCE]],FIND(".",ESS_DATA[[#This Row],[TCL REFERENCE]],1)-1),"Main Line")</f>
        <v>26APR004</v>
      </c>
      <c r="D71" s="548" t="s">
        <v>63</v>
      </c>
      <c r="E71" s="548" t="s">
        <v>64</v>
      </c>
      <c r="F71" s="548" t="s">
        <v>100</v>
      </c>
      <c r="G71" s="548" t="s">
        <v>402</v>
      </c>
      <c r="H71" s="548" t="s">
        <v>67</v>
      </c>
      <c r="I71" s="548"/>
      <c r="J71" s="548" t="s">
        <v>8027</v>
      </c>
      <c r="K71" s="548"/>
      <c r="L71" s="561"/>
      <c r="M71" s="551" t="s">
        <v>68</v>
      </c>
      <c r="N71" s="548" t="s">
        <v>7851</v>
      </c>
      <c r="O71" s="546" t="s">
        <v>8049</v>
      </c>
      <c r="P71" s="548" t="s">
        <v>7853</v>
      </c>
      <c r="Q71" s="548"/>
      <c r="R71" s="552">
        <v>252</v>
      </c>
      <c r="S71" s="562"/>
      <c r="T71" s="548"/>
      <c r="U71" s="580">
        <f>ESS_DATA[[#This Row],[QUANTITY]]/276</f>
        <v>0.91304347826086951</v>
      </c>
      <c r="V71" s="581" t="s">
        <v>8057</v>
      </c>
      <c r="W71" s="582" t="s">
        <v>8041</v>
      </c>
      <c r="X71" s="546" t="str">
        <f t="shared" si="2"/>
        <v>COMPLETED</v>
      </c>
      <c r="Y71" s="579"/>
      <c r="Z71" s="558">
        <v>46156</v>
      </c>
      <c r="AA71" s="568">
        <f>WEEKNUM(ESS_DATA[[#This Row],[Pick-Up Date]])</f>
        <v>20</v>
      </c>
      <c r="AB71" s="569" t="s">
        <v>8051</v>
      </c>
      <c r="AC71" s="560"/>
      <c r="AD71" s="546" t="s">
        <v>122</v>
      </c>
      <c r="AE71" s="548" t="s">
        <v>123</v>
      </c>
      <c r="AF71" s="548" t="s">
        <v>105</v>
      </c>
      <c r="AG71" s="558">
        <v>46163</v>
      </c>
      <c r="AH71" s="558">
        <v>46163</v>
      </c>
      <c r="AI71" s="558">
        <v>46165</v>
      </c>
      <c r="AJ71" s="558">
        <v>46202</v>
      </c>
      <c r="AK71" s="558">
        <v>46202</v>
      </c>
      <c r="AL71" s="558">
        <v>46202</v>
      </c>
      <c r="AM71" s="556" t="s">
        <v>402</v>
      </c>
      <c r="AN71" s="558" t="s">
        <v>8052</v>
      </c>
      <c r="AO71" s="558" t="s">
        <v>161</v>
      </c>
      <c r="AP71" s="558" t="s">
        <v>8058</v>
      </c>
      <c r="AQ71" s="548" t="s">
        <v>8059</v>
      </c>
      <c r="AR71" s="548">
        <v>270243379</v>
      </c>
      <c r="AS71" s="548">
        <f>ESS_DATA[[#This Row],[ETA On S/O]]-ESS_DATA[[#This Row],[ETD On S/O]]+1</f>
        <v>40</v>
      </c>
      <c r="AT71" s="548"/>
      <c r="AU71" s="558" cm="1">
        <f t="array" ref="AU7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46202</v>
      </c>
      <c r="AV7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71" s="14">
        <f>IF(ISERROR(ESS_DATA[[#This Row],[New Ark PO status]]),"",_xlfn.XLOOKUP(ESS_DATA[[#This Row],[SPTN-PVHK New Ark PO'#]],New_Ark_Data[Purchase order Number],New_Ark_Data[Estimated time of arrival],"",0))</f>
        <v>46220</v>
      </c>
      <c r="AX71" s="548">
        <f>IF(ESS_DATA[[#This Row],[New Ark PO Type]]="Offshore",0,IFERROR(VLOOKUP(ESS_DATA[[#This Row],[PORT OF LOADING]]&amp;ESS_DATA[[#This Row],[PORT DESTINATION]],LT_REF[],7,0),14))</f>
        <v>7</v>
      </c>
      <c r="AY71" s="558">
        <f>IFERROR(ESS_DATA[[#This Row],[ODP ETA Port]]+ESS_DATA[[#This Row],[Customs/Leg3 Assumption]],"n/a")</f>
        <v>46209</v>
      </c>
      <c r="AZ71" s="546">
        <f>YEAR(ESS_DATA[[#This Row],[ETA for New Ark update]])</f>
        <v>2026</v>
      </c>
      <c r="BA71" s="546">
        <f>MONTH(ESS_DATA[[#This Row],[ETA for New Ark update]])</f>
        <v>7</v>
      </c>
      <c r="BB71" s="546">
        <f>IFERROR(_xlfn.ISOWEEKNUM(ESS_DATA[[#This Row],[ETA for New Ark update]]),0)</f>
        <v>28</v>
      </c>
      <c r="BC71" s="546" t="str">
        <f>_xlfn.XLOOKUP(ESS_DATA[[#This Row],[PORT DESTINATION]],Table12[PORT DESTINATION],Table12[Cosco Line],,0)</f>
        <v>AEU</v>
      </c>
      <c r="BD71" s="546"/>
    </row>
    <row r="72" spans="1:56" s="559" customFormat="1" ht="10.5">
      <c r="A72" s="560" t="s">
        <v>8060</v>
      </c>
      <c r="B72" s="546" t="s">
        <v>7985</v>
      </c>
      <c r="C72" s="560" t="str">
        <f>IFERROR(LEFT(ESS_DATA[[#This Row],[TCL REFERENCE]],FIND(".",ESS_DATA[[#This Row],[TCL REFERENCE]],1)-1),"Main Line")</f>
        <v>26APR004</v>
      </c>
      <c r="D72" s="548" t="s">
        <v>63</v>
      </c>
      <c r="E72" s="548" t="s">
        <v>64</v>
      </c>
      <c r="F72" s="548" t="s">
        <v>100</v>
      </c>
      <c r="G72" s="548" t="s">
        <v>402</v>
      </c>
      <c r="H72" s="548" t="s">
        <v>67</v>
      </c>
      <c r="I72" s="548"/>
      <c r="J72" s="548" t="s">
        <v>8027</v>
      </c>
      <c r="K72" s="548"/>
      <c r="L72" s="561"/>
      <c r="M72" s="551" t="s">
        <v>68</v>
      </c>
      <c r="N72" s="548" t="s">
        <v>7851</v>
      </c>
      <c r="O72" s="546" t="s">
        <v>8049</v>
      </c>
      <c r="P72" s="548" t="s">
        <v>7853</v>
      </c>
      <c r="Q72" s="548"/>
      <c r="R72" s="552">
        <v>24</v>
      </c>
      <c r="S72" s="562"/>
      <c r="T72" s="548"/>
      <c r="U72" s="573">
        <f>ESS_DATA[[#This Row],[QUANTITY]]/276</f>
        <v>8.6956521739130432E-2</v>
      </c>
      <c r="V72" s="576" t="s">
        <v>8057</v>
      </c>
      <c r="W72" s="548" t="s">
        <v>8041</v>
      </c>
      <c r="X72" s="582" t="str">
        <f t="shared" si="2"/>
        <v>COMPLETED</v>
      </c>
      <c r="Y72" s="578"/>
      <c r="Z72" s="558">
        <v>46156</v>
      </c>
      <c r="AA72" s="568">
        <f>WEEKNUM(ESS_DATA[[#This Row],[Pick-Up Date]])</f>
        <v>20</v>
      </c>
      <c r="AB72" s="569" t="s">
        <v>8051</v>
      </c>
      <c r="AC72" s="560"/>
      <c r="AD72" s="546" t="s">
        <v>122</v>
      </c>
      <c r="AE72" s="548" t="s">
        <v>123</v>
      </c>
      <c r="AF72" s="548" t="s">
        <v>105</v>
      </c>
      <c r="AG72" s="558">
        <v>46163</v>
      </c>
      <c r="AH72" s="558">
        <v>46163</v>
      </c>
      <c r="AI72" s="558">
        <v>46165</v>
      </c>
      <c r="AJ72" s="558">
        <v>46202</v>
      </c>
      <c r="AK72" s="558">
        <v>46202</v>
      </c>
      <c r="AL72" s="558">
        <v>46202</v>
      </c>
      <c r="AM72" s="556" t="s">
        <v>402</v>
      </c>
      <c r="AN72" s="558" t="s">
        <v>8052</v>
      </c>
      <c r="AO72" s="558" t="s">
        <v>161</v>
      </c>
      <c r="AP72" s="558" t="s">
        <v>8058</v>
      </c>
      <c r="AQ72" s="548" t="s">
        <v>8059</v>
      </c>
      <c r="AR72" s="548">
        <v>270243379</v>
      </c>
      <c r="AS72" s="548">
        <f>ESS_DATA[[#This Row],[ETA On S/O]]-ESS_DATA[[#This Row],[ETD On S/O]]+1</f>
        <v>40</v>
      </c>
      <c r="AT72" s="548"/>
      <c r="AU72" s="558" cm="1">
        <f t="array" ref="AU7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46202</v>
      </c>
      <c r="AV7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72" s="14">
        <f>IF(ISERROR(ESS_DATA[[#This Row],[New Ark PO status]]),"",_xlfn.XLOOKUP(ESS_DATA[[#This Row],[SPTN-PVHK New Ark PO'#]],New_Ark_Data[Purchase order Number],New_Ark_Data[Estimated time of arrival],"",0))</f>
        <v>46220</v>
      </c>
      <c r="AX72" s="548">
        <f>IF(ESS_DATA[[#This Row],[New Ark PO Type]]="Offshore",0,IFERROR(VLOOKUP(ESS_DATA[[#This Row],[PORT OF LOADING]]&amp;ESS_DATA[[#This Row],[PORT DESTINATION]],LT_REF[],7,0),14))</f>
        <v>7</v>
      </c>
      <c r="AY72" s="558">
        <f>IFERROR(ESS_DATA[[#This Row],[ODP ETA Port]]+ESS_DATA[[#This Row],[Customs/Leg3 Assumption]],"n/a")</f>
        <v>46209</v>
      </c>
      <c r="AZ72" s="546">
        <f>YEAR(ESS_DATA[[#This Row],[ETA for New Ark update]])</f>
        <v>2026</v>
      </c>
      <c r="BA72" s="546">
        <f>MONTH(ESS_DATA[[#This Row],[ETA for New Ark update]])</f>
        <v>7</v>
      </c>
      <c r="BB72" s="546">
        <f>IFERROR(_xlfn.ISOWEEKNUM(ESS_DATA[[#This Row],[ETA for New Ark update]]),0)</f>
        <v>28</v>
      </c>
      <c r="BC72" s="546" t="str">
        <f>_xlfn.XLOOKUP(ESS_DATA[[#This Row],[PORT DESTINATION]],Table12[PORT DESTINATION],Table12[Cosco Line],,0)</f>
        <v>AEU</v>
      </c>
      <c r="BD72" s="546"/>
    </row>
    <row r="73" spans="1:56" s="323" customFormat="1" ht="10">
      <c r="A73" s="311" t="s">
        <v>8061</v>
      </c>
      <c r="B73" s="312" t="s">
        <v>7985</v>
      </c>
      <c r="C73" s="313" t="str">
        <f>IFERROR(LEFT(ESS_DATA[[#This Row],[TCL REFERENCE]],FIND(".",ESS_DATA[[#This Row],[TCL REFERENCE]],1)-1),"Main Line")</f>
        <v>26APR006</v>
      </c>
      <c r="D73" s="313" t="s">
        <v>63</v>
      </c>
      <c r="E73" s="313" t="s">
        <v>64</v>
      </c>
      <c r="F73" s="313" t="s">
        <v>65</v>
      </c>
      <c r="G73" s="313" t="s">
        <v>402</v>
      </c>
      <c r="H73" s="313" t="s">
        <v>67</v>
      </c>
      <c r="I73" s="313"/>
      <c r="J73" s="313" t="s">
        <v>8027</v>
      </c>
      <c r="K73" s="313"/>
      <c r="L73" s="314"/>
      <c r="M73" s="315" t="s">
        <v>68</v>
      </c>
      <c r="N73" s="313" t="s">
        <v>7828</v>
      </c>
      <c r="O73" s="316" t="s">
        <v>7829</v>
      </c>
      <c r="P73" s="381" t="s">
        <v>7830</v>
      </c>
      <c r="Q73" s="382"/>
      <c r="R73" s="383">
        <v>160</v>
      </c>
      <c r="S73" s="384"/>
      <c r="T73" s="381"/>
      <c r="U73" s="385">
        <f>ESS_DATA[[#This Row],[QUANTITY]]/224</f>
        <v>0.7142857142857143</v>
      </c>
      <c r="V73" s="386" t="s">
        <v>7854</v>
      </c>
      <c r="W73" s="374" t="s">
        <v>4365</v>
      </c>
      <c r="X73" s="374" t="str">
        <f t="shared" si="2"/>
        <v>COMPLETED</v>
      </c>
      <c r="Y73" s="249"/>
      <c r="Z73" s="320">
        <v>46177</v>
      </c>
      <c r="AA73" s="321">
        <f>WEEKNUM(ESS_DATA[[#This Row],[Pick-Up Date]])</f>
        <v>23</v>
      </c>
      <c r="AB73" s="381" t="s">
        <v>8062</v>
      </c>
      <c r="AC73" s="313"/>
      <c r="AD73" s="316" t="s">
        <v>122</v>
      </c>
      <c r="AE73" s="313" t="s">
        <v>123</v>
      </c>
      <c r="AF73" s="381" t="s">
        <v>105</v>
      </c>
      <c r="AG73" s="320">
        <v>46184</v>
      </c>
      <c r="AH73" s="320">
        <v>46186</v>
      </c>
      <c r="AI73" s="320">
        <v>46186</v>
      </c>
      <c r="AJ73" s="320">
        <v>46217</v>
      </c>
      <c r="AK73" s="320">
        <v>46223</v>
      </c>
      <c r="AL73" s="320">
        <v>46223</v>
      </c>
      <c r="AM73" s="322" t="s">
        <v>402</v>
      </c>
      <c r="AN73" s="320" t="s">
        <v>4761</v>
      </c>
      <c r="AO73" s="320" t="s">
        <v>80</v>
      </c>
      <c r="AP73" s="320" t="s">
        <v>8063</v>
      </c>
      <c r="AQ73" s="313" t="s">
        <v>8064</v>
      </c>
      <c r="AR73" s="313" t="s">
        <v>8064</v>
      </c>
      <c r="AS73" s="313">
        <f>ESS_DATA[[#This Row],[ETA On S/O]]-ESS_DATA[[#This Row],[ETD On S/O]]+1</f>
        <v>34</v>
      </c>
      <c r="AT73" s="313"/>
      <c r="AU73" s="320" cm="1">
        <f t="array" ref="AU7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46223</v>
      </c>
      <c r="AV7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73" s="14">
        <f>IF(ISERROR(ESS_DATA[[#This Row],[New Ark PO status]]),"",_xlfn.XLOOKUP(ESS_DATA[[#This Row],[SPTN-PVHK New Ark PO'#]],New_Ark_Data[Purchase order Number],New_Ark_Data[Estimated time of arrival],"",0))</f>
        <v>46230</v>
      </c>
      <c r="AX73" s="313">
        <f>IF(ESS_DATA[[#This Row],[New Ark PO Type]]="Offshore",0,IFERROR(VLOOKUP(ESS_DATA[[#This Row],[PORT OF LOADING]]&amp;ESS_DATA[[#This Row],[PORT DESTINATION]],LT_REF[],7,0),14))</f>
        <v>7</v>
      </c>
      <c r="AY73" s="320">
        <f>IFERROR(ESS_DATA[[#This Row],[ODP ETA Port]]+ESS_DATA[[#This Row],[Customs/Leg3 Assumption]],"n/a")</f>
        <v>46230</v>
      </c>
      <c r="AZ73" s="316">
        <f>YEAR(ESS_DATA[[#This Row],[ETA for New Ark update]])</f>
        <v>2026</v>
      </c>
      <c r="BA73" s="316">
        <f>MONTH(ESS_DATA[[#This Row],[ETA for New Ark update]])</f>
        <v>7</v>
      </c>
      <c r="BB73" s="316">
        <f>IFERROR(_xlfn.ISOWEEKNUM(ESS_DATA[[#This Row],[ETA for New Ark update]]),0)</f>
        <v>31</v>
      </c>
      <c r="BC73" s="316" t="str">
        <f>_xlfn.XLOOKUP(ESS_DATA[[#This Row],[PORT DESTINATION]],Table12[PORT DESTINATION],Table12[Cosco Line],,0)</f>
        <v>AEU</v>
      </c>
      <c r="BD73" s="82"/>
    </row>
    <row r="74" spans="1:56" s="323" customFormat="1" ht="10">
      <c r="A74" s="311" t="s">
        <v>8065</v>
      </c>
      <c r="B74" s="312" t="s">
        <v>7985</v>
      </c>
      <c r="C74" s="313" t="str">
        <f>IFERROR(LEFT(ESS_DATA[[#This Row],[TCL REFERENCE]],FIND(".",ESS_DATA[[#This Row],[TCL REFERENCE]],1)-1),"Main Line")</f>
        <v>26APR006</v>
      </c>
      <c r="D74" s="313" t="s">
        <v>63</v>
      </c>
      <c r="E74" s="313" t="s">
        <v>64</v>
      </c>
      <c r="F74" s="313" t="s">
        <v>65</v>
      </c>
      <c r="G74" s="313" t="s">
        <v>402</v>
      </c>
      <c r="H74" s="313" t="s">
        <v>67</v>
      </c>
      <c r="I74" s="313"/>
      <c r="J74" s="313" t="s">
        <v>8027</v>
      </c>
      <c r="K74" s="313"/>
      <c r="L74" s="314"/>
      <c r="M74" s="315" t="s">
        <v>68</v>
      </c>
      <c r="N74" s="313" t="s">
        <v>7828</v>
      </c>
      <c r="O74" s="316" t="s">
        <v>7829</v>
      </c>
      <c r="P74" s="381" t="s">
        <v>7830</v>
      </c>
      <c r="Q74" s="382"/>
      <c r="R74" s="383">
        <v>14</v>
      </c>
      <c r="S74" s="384"/>
      <c r="T74" s="381"/>
      <c r="U74" s="385">
        <f>ESS_DATA[[#This Row],[QUANTITY]]/224</f>
        <v>6.25E-2</v>
      </c>
      <c r="V74" s="386" t="s">
        <v>7854</v>
      </c>
      <c r="W74" s="374" t="s">
        <v>4365</v>
      </c>
      <c r="X74" s="374" t="str">
        <f t="shared" si="2"/>
        <v>COMPLETED</v>
      </c>
      <c r="Y74" s="249"/>
      <c r="Z74" s="320">
        <v>46177</v>
      </c>
      <c r="AA74" s="321">
        <f>WEEKNUM(ESS_DATA[[#This Row],[Pick-Up Date]])</f>
        <v>23</v>
      </c>
      <c r="AB74" s="381" t="s">
        <v>8062</v>
      </c>
      <c r="AC74" s="313"/>
      <c r="AD74" s="316" t="s">
        <v>122</v>
      </c>
      <c r="AE74" s="313" t="s">
        <v>123</v>
      </c>
      <c r="AF74" s="381" t="s">
        <v>105</v>
      </c>
      <c r="AG74" s="320">
        <v>46184</v>
      </c>
      <c r="AH74" s="320">
        <v>46186</v>
      </c>
      <c r="AI74" s="320">
        <v>46186</v>
      </c>
      <c r="AJ74" s="320">
        <v>46217</v>
      </c>
      <c r="AK74" s="320">
        <v>46223</v>
      </c>
      <c r="AL74" s="320">
        <v>46223</v>
      </c>
      <c r="AM74" s="322" t="s">
        <v>402</v>
      </c>
      <c r="AN74" s="320" t="s">
        <v>4761</v>
      </c>
      <c r="AO74" s="320" t="s">
        <v>80</v>
      </c>
      <c r="AP74" s="320" t="s">
        <v>8063</v>
      </c>
      <c r="AQ74" s="313" t="s">
        <v>8064</v>
      </c>
      <c r="AR74" s="313" t="s">
        <v>8064</v>
      </c>
      <c r="AS74" s="313">
        <f>ESS_DATA[[#This Row],[ETA On S/O]]-ESS_DATA[[#This Row],[ETD On S/O]]+1</f>
        <v>34</v>
      </c>
      <c r="AT74" s="313"/>
      <c r="AU74" s="320" cm="1">
        <f t="array" ref="AU7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46223</v>
      </c>
      <c r="AV7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74" s="14">
        <f>IF(ISERROR(ESS_DATA[[#This Row],[New Ark PO status]]),"",_xlfn.XLOOKUP(ESS_DATA[[#This Row],[SPTN-PVHK New Ark PO'#]],New_Ark_Data[Purchase order Number],New_Ark_Data[Estimated time of arrival],"",0))</f>
        <v>46230</v>
      </c>
      <c r="AX74" s="313">
        <f>IF(ESS_DATA[[#This Row],[New Ark PO Type]]="Offshore",0,IFERROR(VLOOKUP(ESS_DATA[[#This Row],[PORT OF LOADING]]&amp;ESS_DATA[[#This Row],[PORT DESTINATION]],LT_REF[],7,0),14))</f>
        <v>7</v>
      </c>
      <c r="AY74" s="320">
        <f>IFERROR(ESS_DATA[[#This Row],[ODP ETA Port]]+ESS_DATA[[#This Row],[Customs/Leg3 Assumption]],"n/a")</f>
        <v>46230</v>
      </c>
      <c r="AZ74" s="316">
        <f>YEAR(ESS_DATA[[#This Row],[ETA for New Ark update]])</f>
        <v>2026</v>
      </c>
      <c r="BA74" s="316">
        <f>MONTH(ESS_DATA[[#This Row],[ETA for New Ark update]])</f>
        <v>7</v>
      </c>
      <c r="BB74" s="316">
        <f>IFERROR(_xlfn.ISOWEEKNUM(ESS_DATA[[#This Row],[ETA for New Ark update]]),0)</f>
        <v>31</v>
      </c>
      <c r="BC74" s="316" t="str">
        <f>_xlfn.XLOOKUP(ESS_DATA[[#This Row],[PORT DESTINATION]],Table12[PORT DESTINATION],Table12[Cosco Line],,0)</f>
        <v>AEU</v>
      </c>
      <c r="BD74" s="82"/>
    </row>
    <row r="75" spans="1:56" s="323" customFormat="1" ht="10">
      <c r="A75" s="311" t="s">
        <v>8066</v>
      </c>
      <c r="B75" s="312" t="s">
        <v>7985</v>
      </c>
      <c r="C75" s="313" t="str">
        <f>IFERROR(LEFT(ESS_DATA[[#This Row],[TCL REFERENCE]],FIND(".",ESS_DATA[[#This Row],[TCL REFERENCE]],1)-1),"Main Line")</f>
        <v>Main Line</v>
      </c>
      <c r="D75" s="313" t="s">
        <v>63</v>
      </c>
      <c r="E75" s="313" t="s">
        <v>64</v>
      </c>
      <c r="F75" s="313" t="s">
        <v>65</v>
      </c>
      <c r="G75" s="313" t="s">
        <v>402</v>
      </c>
      <c r="H75" s="313" t="s">
        <v>67</v>
      </c>
      <c r="I75" s="313"/>
      <c r="J75" s="313" t="s">
        <v>8027</v>
      </c>
      <c r="K75" s="313"/>
      <c r="L75" s="314"/>
      <c r="M75" s="315" t="s">
        <v>68</v>
      </c>
      <c r="N75" s="313" t="s">
        <v>7837</v>
      </c>
      <c r="O75" s="316" t="s">
        <v>7829</v>
      </c>
      <c r="P75" s="381" t="s">
        <v>7838</v>
      </c>
      <c r="Q75" s="382"/>
      <c r="R75" s="383">
        <v>48</v>
      </c>
      <c r="S75" s="384"/>
      <c r="T75" s="381"/>
      <c r="U75" s="385">
        <f>ESS_DATA[[#This Row],[QUANTITY]]/224</f>
        <v>0.21428571428571427</v>
      </c>
      <c r="V75" s="386" t="s">
        <v>7854</v>
      </c>
      <c r="W75" s="374" t="s">
        <v>4365</v>
      </c>
      <c r="X75" s="374" t="str">
        <f t="shared" si="2"/>
        <v>COMPLETED</v>
      </c>
      <c r="Y75" s="249"/>
      <c r="Z75" s="320">
        <v>46177</v>
      </c>
      <c r="AA75" s="321">
        <f>WEEKNUM(ESS_DATA[[#This Row],[Pick-Up Date]])</f>
        <v>23</v>
      </c>
      <c r="AB75" s="381" t="s">
        <v>8062</v>
      </c>
      <c r="AC75" s="313"/>
      <c r="AD75" s="316" t="s">
        <v>122</v>
      </c>
      <c r="AE75" s="313" t="s">
        <v>123</v>
      </c>
      <c r="AF75" s="381" t="s">
        <v>105</v>
      </c>
      <c r="AG75" s="320">
        <v>46184</v>
      </c>
      <c r="AH75" s="320">
        <v>46186</v>
      </c>
      <c r="AI75" s="320">
        <v>46186</v>
      </c>
      <c r="AJ75" s="320">
        <v>46217</v>
      </c>
      <c r="AK75" s="320">
        <v>46223</v>
      </c>
      <c r="AL75" s="320">
        <v>46223</v>
      </c>
      <c r="AM75" s="322" t="s">
        <v>402</v>
      </c>
      <c r="AN75" s="320" t="s">
        <v>4761</v>
      </c>
      <c r="AO75" s="320" t="s">
        <v>80</v>
      </c>
      <c r="AP75" s="320" t="s">
        <v>8063</v>
      </c>
      <c r="AQ75" s="313" t="s">
        <v>8064</v>
      </c>
      <c r="AR75" s="313" t="s">
        <v>8064</v>
      </c>
      <c r="AS75" s="313">
        <f>ESS_DATA[[#This Row],[ETA On S/O]]-ESS_DATA[[#This Row],[ETD On S/O]]+1</f>
        <v>34</v>
      </c>
      <c r="AT75" s="313"/>
      <c r="AU75" s="320" cm="1">
        <f t="array" ref="AU7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46223</v>
      </c>
      <c r="AV7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75" s="14">
        <f>IF(ISERROR(ESS_DATA[[#This Row],[New Ark PO status]]),"",_xlfn.XLOOKUP(ESS_DATA[[#This Row],[SPTN-PVHK New Ark PO'#]],New_Ark_Data[Purchase order Number],New_Ark_Data[Estimated time of arrival],"",0))</f>
        <v>46230</v>
      </c>
      <c r="AX75" s="313">
        <f>IF(ESS_DATA[[#This Row],[New Ark PO Type]]="Offshore",0,IFERROR(VLOOKUP(ESS_DATA[[#This Row],[PORT OF LOADING]]&amp;ESS_DATA[[#This Row],[PORT DESTINATION]],LT_REF[],7,0),14))</f>
        <v>7</v>
      </c>
      <c r="AY75" s="320">
        <f>IFERROR(ESS_DATA[[#This Row],[ODP ETA Port]]+ESS_DATA[[#This Row],[Customs/Leg3 Assumption]],"n/a")</f>
        <v>46230</v>
      </c>
      <c r="AZ75" s="316">
        <f>YEAR(ESS_DATA[[#This Row],[ETA for New Ark update]])</f>
        <v>2026</v>
      </c>
      <c r="BA75" s="316">
        <f>MONTH(ESS_DATA[[#This Row],[ETA for New Ark update]])</f>
        <v>7</v>
      </c>
      <c r="BB75" s="316">
        <f>IFERROR(_xlfn.ISOWEEKNUM(ESS_DATA[[#This Row],[ETA for New Ark update]]),0)</f>
        <v>31</v>
      </c>
      <c r="BC75" s="316" t="str">
        <f>_xlfn.XLOOKUP(ESS_DATA[[#This Row],[PORT DESTINATION]],Table12[PORT DESTINATION],Table12[Cosco Line],,0)</f>
        <v>AEU</v>
      </c>
      <c r="BD75" s="82"/>
    </row>
    <row r="76" spans="1:56" s="323" customFormat="1" ht="10">
      <c r="A76" s="311" t="s">
        <v>8067</v>
      </c>
      <c r="B76" s="312" t="s">
        <v>7985</v>
      </c>
      <c r="C76" s="313" t="str">
        <f>IFERROR(LEFT(ESS_DATA[[#This Row],[TCL REFERENCE]],FIND(".",ESS_DATA[[#This Row],[TCL REFERENCE]],1)-1),"Main Line")</f>
        <v>26APR007</v>
      </c>
      <c r="D76" s="313" t="s">
        <v>63</v>
      </c>
      <c r="E76" s="313" t="s">
        <v>64</v>
      </c>
      <c r="F76" s="313" t="s">
        <v>65</v>
      </c>
      <c r="G76" s="313" t="s">
        <v>402</v>
      </c>
      <c r="H76" s="313" t="s">
        <v>67</v>
      </c>
      <c r="I76" s="313"/>
      <c r="J76" s="313" t="s">
        <v>8027</v>
      </c>
      <c r="K76" s="313"/>
      <c r="L76" s="314"/>
      <c r="M76" s="315" t="s">
        <v>68</v>
      </c>
      <c r="N76" s="313" t="s">
        <v>7837</v>
      </c>
      <c r="O76" s="316" t="s">
        <v>7829</v>
      </c>
      <c r="P76" s="381" t="s">
        <v>7838</v>
      </c>
      <c r="Q76" s="382"/>
      <c r="R76" s="383">
        <v>2</v>
      </c>
      <c r="S76" s="384"/>
      <c r="T76" s="381"/>
      <c r="U76" s="385">
        <f>ESS_DATA[[#This Row],[QUANTITY]]/224</f>
        <v>8.9285714285714281E-3</v>
      </c>
      <c r="V76" s="386" t="s">
        <v>7854</v>
      </c>
      <c r="W76" s="374" t="s">
        <v>4365</v>
      </c>
      <c r="X76" s="374" t="str">
        <f t="shared" si="2"/>
        <v>COMPLETED</v>
      </c>
      <c r="Y76" s="249"/>
      <c r="Z76" s="320">
        <v>46177</v>
      </c>
      <c r="AA76" s="321">
        <f>WEEKNUM(ESS_DATA[[#This Row],[Pick-Up Date]])</f>
        <v>23</v>
      </c>
      <c r="AB76" s="381" t="s">
        <v>8062</v>
      </c>
      <c r="AC76" s="313"/>
      <c r="AD76" s="316" t="s">
        <v>122</v>
      </c>
      <c r="AE76" s="313" t="s">
        <v>123</v>
      </c>
      <c r="AF76" s="381" t="s">
        <v>105</v>
      </c>
      <c r="AG76" s="320">
        <v>46184</v>
      </c>
      <c r="AH76" s="320">
        <v>46186</v>
      </c>
      <c r="AI76" s="320">
        <v>46186</v>
      </c>
      <c r="AJ76" s="320">
        <v>46217</v>
      </c>
      <c r="AK76" s="320">
        <v>46223</v>
      </c>
      <c r="AL76" s="320">
        <v>46223</v>
      </c>
      <c r="AM76" s="322" t="s">
        <v>402</v>
      </c>
      <c r="AN76" s="320" t="s">
        <v>4761</v>
      </c>
      <c r="AO76" s="320" t="s">
        <v>80</v>
      </c>
      <c r="AP76" s="320" t="s">
        <v>8063</v>
      </c>
      <c r="AQ76" s="313" t="s">
        <v>8064</v>
      </c>
      <c r="AR76" s="313" t="s">
        <v>8064</v>
      </c>
      <c r="AS76" s="313">
        <f>ESS_DATA[[#This Row],[ETA On S/O]]-ESS_DATA[[#This Row],[ETD On S/O]]+1</f>
        <v>34</v>
      </c>
      <c r="AT76" s="313"/>
      <c r="AU76" s="320" cm="1">
        <f t="array" ref="AU7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46223</v>
      </c>
      <c r="AV7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76" s="14">
        <f>IF(ISERROR(ESS_DATA[[#This Row],[New Ark PO status]]),"",_xlfn.XLOOKUP(ESS_DATA[[#This Row],[SPTN-PVHK New Ark PO'#]],New_Ark_Data[Purchase order Number],New_Ark_Data[Estimated time of arrival],"",0))</f>
        <v>46230</v>
      </c>
      <c r="AX76" s="313">
        <f>IF(ESS_DATA[[#This Row],[New Ark PO Type]]="Offshore",0,IFERROR(VLOOKUP(ESS_DATA[[#This Row],[PORT OF LOADING]]&amp;ESS_DATA[[#This Row],[PORT DESTINATION]],LT_REF[],7,0),14))</f>
        <v>7</v>
      </c>
      <c r="AY76" s="320">
        <f>IFERROR(ESS_DATA[[#This Row],[ODP ETA Port]]+ESS_DATA[[#This Row],[Customs/Leg3 Assumption]],"n/a")</f>
        <v>46230</v>
      </c>
      <c r="AZ76" s="316">
        <f>YEAR(ESS_DATA[[#This Row],[ETA for New Ark update]])</f>
        <v>2026</v>
      </c>
      <c r="BA76" s="316">
        <f>MONTH(ESS_DATA[[#This Row],[ETA for New Ark update]])</f>
        <v>7</v>
      </c>
      <c r="BB76" s="316">
        <f>IFERROR(_xlfn.ISOWEEKNUM(ESS_DATA[[#This Row],[ETA for New Ark update]]),0)</f>
        <v>31</v>
      </c>
      <c r="BC76" s="316" t="str">
        <f>_xlfn.XLOOKUP(ESS_DATA[[#This Row],[PORT DESTINATION]],Table12[PORT DESTINATION],Table12[Cosco Line],,0)</f>
        <v>AEU</v>
      </c>
      <c r="BD76" s="82"/>
    </row>
    <row r="77" spans="1:56" s="323" customFormat="1" ht="10">
      <c r="A77" s="311" t="s">
        <v>8068</v>
      </c>
      <c r="B77" s="312" t="s">
        <v>7985</v>
      </c>
      <c r="C77" s="313" t="str">
        <f>IFERROR(LEFT(ESS_DATA[[#This Row],[TCL REFERENCE]],FIND(".",ESS_DATA[[#This Row],[TCL REFERENCE]],1)-1),"Main Line")</f>
        <v>26APR008</v>
      </c>
      <c r="D77" s="313" t="s">
        <v>63</v>
      </c>
      <c r="E77" s="313" t="s">
        <v>64</v>
      </c>
      <c r="F77" s="313" t="s">
        <v>65</v>
      </c>
      <c r="G77" s="313" t="s">
        <v>402</v>
      </c>
      <c r="H77" s="313" t="s">
        <v>67</v>
      </c>
      <c r="I77" s="313"/>
      <c r="J77" s="313" t="s">
        <v>8027</v>
      </c>
      <c r="K77" s="313"/>
      <c r="L77" s="314"/>
      <c r="M77" s="315" t="s">
        <v>68</v>
      </c>
      <c r="N77" s="313" t="s">
        <v>7840</v>
      </c>
      <c r="O77" s="316" t="s">
        <v>8037</v>
      </c>
      <c r="P77" s="381" t="s">
        <v>7842</v>
      </c>
      <c r="Q77" s="382"/>
      <c r="R77" s="383">
        <v>334</v>
      </c>
      <c r="S77" s="384"/>
      <c r="T77" s="381"/>
      <c r="U77" s="387">
        <f>ESS_DATA[[#This Row],[QUANTITY]]/350</f>
        <v>0.95428571428571429</v>
      </c>
      <c r="V77" s="386" t="s">
        <v>7860</v>
      </c>
      <c r="W77" s="374" t="s">
        <v>4365</v>
      </c>
      <c r="X77" s="374" t="str">
        <f t="shared" si="2"/>
        <v>COMPLETED</v>
      </c>
      <c r="Y77" s="249"/>
      <c r="Z77" s="320">
        <v>46177</v>
      </c>
      <c r="AA77" s="321">
        <f>WEEKNUM(ESS_DATA[[#This Row],[Pick-Up Date]])</f>
        <v>23</v>
      </c>
      <c r="AB77" s="381" t="s">
        <v>8062</v>
      </c>
      <c r="AC77" s="313"/>
      <c r="AD77" s="316" t="s">
        <v>122</v>
      </c>
      <c r="AE77" s="313" t="s">
        <v>123</v>
      </c>
      <c r="AF77" s="381" t="s">
        <v>105</v>
      </c>
      <c r="AG77" s="320">
        <v>46184</v>
      </c>
      <c r="AH77" s="320">
        <v>46186</v>
      </c>
      <c r="AI77" s="320">
        <v>46186</v>
      </c>
      <c r="AJ77" s="320">
        <v>46217</v>
      </c>
      <c r="AK77" s="320">
        <v>46223</v>
      </c>
      <c r="AL77" s="320">
        <v>46223</v>
      </c>
      <c r="AM77" s="322" t="s">
        <v>402</v>
      </c>
      <c r="AN77" s="320" t="s">
        <v>4761</v>
      </c>
      <c r="AO77" s="320" t="s">
        <v>80</v>
      </c>
      <c r="AP77" s="320" t="s">
        <v>8063</v>
      </c>
      <c r="AQ77" s="313" t="s">
        <v>8064</v>
      </c>
      <c r="AR77" s="313" t="s">
        <v>8064</v>
      </c>
      <c r="AS77" s="313">
        <f>ESS_DATA[[#This Row],[ETA On S/O]]-ESS_DATA[[#This Row],[ETD On S/O]]+1</f>
        <v>34</v>
      </c>
      <c r="AT77" s="313"/>
      <c r="AU77" s="320" cm="1">
        <f t="array" ref="AU7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46223</v>
      </c>
      <c r="AV7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77" s="14">
        <f>IF(ISERROR(ESS_DATA[[#This Row],[New Ark PO status]]),"",_xlfn.XLOOKUP(ESS_DATA[[#This Row],[SPTN-PVHK New Ark PO'#]],New_Ark_Data[Purchase order Number],New_Ark_Data[Estimated time of arrival],"",0))</f>
        <v>46230</v>
      </c>
      <c r="AX77" s="313">
        <f>IF(ESS_DATA[[#This Row],[New Ark PO Type]]="Offshore",0,IFERROR(VLOOKUP(ESS_DATA[[#This Row],[PORT OF LOADING]]&amp;ESS_DATA[[#This Row],[PORT DESTINATION]],LT_REF[],7,0),14))</f>
        <v>7</v>
      </c>
      <c r="AY77" s="320">
        <f>IFERROR(ESS_DATA[[#This Row],[ODP ETA Port]]+ESS_DATA[[#This Row],[Customs/Leg3 Assumption]],"n/a")</f>
        <v>46230</v>
      </c>
      <c r="AZ77" s="316">
        <f>YEAR(ESS_DATA[[#This Row],[ETA for New Ark update]])</f>
        <v>2026</v>
      </c>
      <c r="BA77" s="316">
        <f>MONTH(ESS_DATA[[#This Row],[ETA for New Ark update]])</f>
        <v>7</v>
      </c>
      <c r="BB77" s="316">
        <f>IFERROR(_xlfn.ISOWEEKNUM(ESS_DATA[[#This Row],[ETA for New Ark update]]),0)</f>
        <v>31</v>
      </c>
      <c r="BC77" s="316" t="str">
        <f>_xlfn.XLOOKUP(ESS_DATA[[#This Row],[PORT DESTINATION]],Table12[PORT DESTINATION],Table12[Cosco Line],,0)</f>
        <v>AEU</v>
      </c>
      <c r="BD77" s="82"/>
    </row>
    <row r="78" spans="1:56" s="323" customFormat="1" ht="10">
      <c r="A78" s="311" t="s">
        <v>8069</v>
      </c>
      <c r="B78" s="312" t="s">
        <v>7985</v>
      </c>
      <c r="C78" s="313" t="str">
        <f>IFERROR(LEFT(ESS_DATA[[#This Row],[TCL REFERENCE]],FIND(".",ESS_DATA[[#This Row],[TCL REFERENCE]],1)-1),"Main Line")</f>
        <v>26APR008</v>
      </c>
      <c r="D78" s="313" t="s">
        <v>63</v>
      </c>
      <c r="E78" s="313" t="s">
        <v>64</v>
      </c>
      <c r="F78" s="313" t="s">
        <v>65</v>
      </c>
      <c r="G78" s="313" t="s">
        <v>402</v>
      </c>
      <c r="H78" s="313" t="s">
        <v>67</v>
      </c>
      <c r="I78" s="313"/>
      <c r="J78" s="313" t="s">
        <v>8027</v>
      </c>
      <c r="K78" s="313"/>
      <c r="L78" s="314"/>
      <c r="M78" s="315" t="s">
        <v>68</v>
      </c>
      <c r="N78" s="313" t="s">
        <v>7840</v>
      </c>
      <c r="O78" s="316" t="s">
        <v>8037</v>
      </c>
      <c r="P78" s="381" t="s">
        <v>7842</v>
      </c>
      <c r="Q78" s="382"/>
      <c r="R78" s="383">
        <v>16</v>
      </c>
      <c r="S78" s="384"/>
      <c r="T78" s="381"/>
      <c r="U78" s="387">
        <f>ESS_DATA[[#This Row],[QUANTITY]]/350</f>
        <v>4.5714285714285714E-2</v>
      </c>
      <c r="V78" s="386" t="s">
        <v>7860</v>
      </c>
      <c r="W78" s="374" t="s">
        <v>4365</v>
      </c>
      <c r="X78" s="374" t="str">
        <f t="shared" si="2"/>
        <v>COMPLETED</v>
      </c>
      <c r="Y78" s="249"/>
      <c r="Z78" s="320">
        <v>46177</v>
      </c>
      <c r="AA78" s="321">
        <f>WEEKNUM(ESS_DATA[[#This Row],[Pick-Up Date]])</f>
        <v>23</v>
      </c>
      <c r="AB78" s="381" t="s">
        <v>8062</v>
      </c>
      <c r="AC78" s="313"/>
      <c r="AD78" s="316" t="s">
        <v>122</v>
      </c>
      <c r="AE78" s="313" t="s">
        <v>123</v>
      </c>
      <c r="AF78" s="381" t="s">
        <v>105</v>
      </c>
      <c r="AG78" s="320">
        <v>46184</v>
      </c>
      <c r="AH78" s="320">
        <v>46186</v>
      </c>
      <c r="AI78" s="320">
        <v>46186</v>
      </c>
      <c r="AJ78" s="320">
        <v>46217</v>
      </c>
      <c r="AK78" s="320">
        <v>46223</v>
      </c>
      <c r="AL78" s="320">
        <v>46223</v>
      </c>
      <c r="AM78" s="322" t="s">
        <v>402</v>
      </c>
      <c r="AN78" s="320" t="s">
        <v>4761</v>
      </c>
      <c r="AO78" s="320" t="s">
        <v>80</v>
      </c>
      <c r="AP78" s="320" t="s">
        <v>8063</v>
      </c>
      <c r="AQ78" s="313" t="s">
        <v>8064</v>
      </c>
      <c r="AR78" s="313" t="s">
        <v>8064</v>
      </c>
      <c r="AS78" s="313">
        <f>ESS_DATA[[#This Row],[ETA On S/O]]-ESS_DATA[[#This Row],[ETD On S/O]]+1</f>
        <v>34</v>
      </c>
      <c r="AT78" s="313"/>
      <c r="AU78" s="320" cm="1">
        <f t="array" ref="AU7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46223</v>
      </c>
      <c r="AV7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78" s="14">
        <f>IF(ISERROR(ESS_DATA[[#This Row],[New Ark PO status]]),"",_xlfn.XLOOKUP(ESS_DATA[[#This Row],[SPTN-PVHK New Ark PO'#]],New_Ark_Data[Purchase order Number],New_Ark_Data[Estimated time of arrival],"",0))</f>
        <v>46230</v>
      </c>
      <c r="AX78" s="313">
        <f>IF(ESS_DATA[[#This Row],[New Ark PO Type]]="Offshore",0,IFERROR(VLOOKUP(ESS_DATA[[#This Row],[PORT OF LOADING]]&amp;ESS_DATA[[#This Row],[PORT DESTINATION]],LT_REF[],7,0),14))</f>
        <v>7</v>
      </c>
      <c r="AY78" s="320">
        <f>IFERROR(ESS_DATA[[#This Row],[ODP ETA Port]]+ESS_DATA[[#This Row],[Customs/Leg3 Assumption]],"n/a")</f>
        <v>46230</v>
      </c>
      <c r="AZ78" s="316">
        <f>YEAR(ESS_DATA[[#This Row],[ETA for New Ark update]])</f>
        <v>2026</v>
      </c>
      <c r="BA78" s="316">
        <f>MONTH(ESS_DATA[[#This Row],[ETA for New Ark update]])</f>
        <v>7</v>
      </c>
      <c r="BB78" s="316">
        <f>IFERROR(_xlfn.ISOWEEKNUM(ESS_DATA[[#This Row],[ETA for New Ark update]]),0)</f>
        <v>31</v>
      </c>
      <c r="BC78" s="316" t="str">
        <f>_xlfn.XLOOKUP(ESS_DATA[[#This Row],[PORT DESTINATION]],Table12[PORT DESTINATION],Table12[Cosco Line],,0)</f>
        <v>AEU</v>
      </c>
      <c r="BD78" s="82"/>
    </row>
    <row r="79" spans="1:56" s="323" customFormat="1" ht="10">
      <c r="A79" s="311" t="s">
        <v>8070</v>
      </c>
      <c r="B79" s="312" t="s">
        <v>7985</v>
      </c>
      <c r="C79" s="313" t="str">
        <f>IFERROR(LEFT(ESS_DATA[[#This Row],[TCL REFERENCE]],FIND(".",ESS_DATA[[#This Row],[TCL REFERENCE]],1)-1),"Main Line")</f>
        <v>26APR009</v>
      </c>
      <c r="D79" s="313" t="s">
        <v>63</v>
      </c>
      <c r="E79" s="313" t="s">
        <v>64</v>
      </c>
      <c r="F79" s="313" t="s">
        <v>65</v>
      </c>
      <c r="G79" s="313" t="s">
        <v>402</v>
      </c>
      <c r="H79" s="313" t="s">
        <v>67</v>
      </c>
      <c r="I79" s="313"/>
      <c r="J79" s="313" t="s">
        <v>8027</v>
      </c>
      <c r="K79" s="313"/>
      <c r="L79" s="314"/>
      <c r="M79" s="315" t="s">
        <v>68</v>
      </c>
      <c r="N79" s="313" t="s">
        <v>7851</v>
      </c>
      <c r="O79" s="316" t="s">
        <v>8049</v>
      </c>
      <c r="P79" s="381" t="s">
        <v>7853</v>
      </c>
      <c r="Q79" s="382"/>
      <c r="R79" s="686">
        <v>276</v>
      </c>
      <c r="S79" s="384"/>
      <c r="T79" s="381"/>
      <c r="U79" s="387">
        <f>ESS_DATA[[#This Row],[QUANTITY]]/276</f>
        <v>1</v>
      </c>
      <c r="V79" s="386" t="s">
        <v>8071</v>
      </c>
      <c r="W79" s="374" t="s">
        <v>4365</v>
      </c>
      <c r="X79" s="374" t="str">
        <f t="shared" si="2"/>
        <v>COMPLETED</v>
      </c>
      <c r="Y79" s="405"/>
      <c r="Z79" s="320">
        <v>46179</v>
      </c>
      <c r="AA79" s="321">
        <f>WEEKNUM(ESS_DATA[[#This Row],[Pick-Up Date]])</f>
        <v>23</v>
      </c>
      <c r="AB79" s="381" t="s">
        <v>8072</v>
      </c>
      <c r="AC79" s="313"/>
      <c r="AD79" s="316" t="s">
        <v>122</v>
      </c>
      <c r="AE79" s="313" t="s">
        <v>123</v>
      </c>
      <c r="AF79" s="381" t="s">
        <v>105</v>
      </c>
      <c r="AG79" s="320">
        <v>46186</v>
      </c>
      <c r="AH79" s="320">
        <v>46188</v>
      </c>
      <c r="AI79" s="320">
        <v>46188</v>
      </c>
      <c r="AJ79" s="320">
        <v>46228</v>
      </c>
      <c r="AK79" s="320">
        <v>46228</v>
      </c>
      <c r="AL79" s="320">
        <v>46228</v>
      </c>
      <c r="AM79" s="322" t="s">
        <v>402</v>
      </c>
      <c r="AN79" s="320" t="s">
        <v>8073</v>
      </c>
      <c r="AO79" s="320" t="s">
        <v>161</v>
      </c>
      <c r="AP79" s="320" t="s">
        <v>8074</v>
      </c>
      <c r="AQ79" s="313">
        <v>271135486</v>
      </c>
      <c r="AR79" s="313">
        <v>271135486</v>
      </c>
      <c r="AS79" s="313">
        <f>ESS_DATA[[#This Row],[ETA On S/O]]-ESS_DATA[[#This Row],[ETD On S/O]]+1</f>
        <v>43</v>
      </c>
      <c r="AT79" s="313"/>
      <c r="AU79" s="320" cm="1">
        <f t="array" ref="AU7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46228</v>
      </c>
      <c r="AV7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79" s="14">
        <f>IF(ISERROR(ESS_DATA[[#This Row],[New Ark PO status]]),"",_xlfn.XLOOKUP(ESS_DATA[[#This Row],[SPTN-PVHK New Ark PO'#]],New_Ark_Data[Purchase order Number],New_Ark_Data[Estimated time of arrival],"",0))</f>
        <v>46237</v>
      </c>
      <c r="AX79" s="313">
        <f>IF(ESS_DATA[[#This Row],[New Ark PO Type]]="Offshore",0,IFERROR(VLOOKUP(ESS_DATA[[#This Row],[PORT OF LOADING]]&amp;ESS_DATA[[#This Row],[PORT DESTINATION]],LT_REF[],7,0),14))</f>
        <v>7</v>
      </c>
      <c r="AY79" s="320">
        <f>IFERROR(ESS_DATA[[#This Row],[ODP ETA Port]]+ESS_DATA[[#This Row],[Customs/Leg3 Assumption]],"n/a")</f>
        <v>46235</v>
      </c>
      <c r="AZ79" s="316">
        <f>YEAR(ESS_DATA[[#This Row],[ETA for New Ark update]])</f>
        <v>2026</v>
      </c>
      <c r="BA79" s="316">
        <f>MONTH(ESS_DATA[[#This Row],[ETA for New Ark update]])</f>
        <v>8</v>
      </c>
      <c r="BB79" s="316">
        <f>IFERROR(_xlfn.ISOWEEKNUM(ESS_DATA[[#This Row],[ETA for New Ark update]]),0)</f>
        <v>31</v>
      </c>
      <c r="BC79" s="316" t="str">
        <f>_xlfn.XLOOKUP(ESS_DATA[[#This Row],[PORT DESTINATION]],Table12[PORT DESTINATION],Table12[Cosco Line],,0)</f>
        <v>AEU</v>
      </c>
      <c r="BD79" s="82"/>
    </row>
    <row r="80" spans="1:56" s="323" customFormat="1" ht="10">
      <c r="A80" s="311" t="s">
        <v>8075</v>
      </c>
      <c r="B80" s="312" t="s">
        <v>7985</v>
      </c>
      <c r="C80" s="313" t="str">
        <f>IFERROR(LEFT(ESS_DATA[[#This Row],[TCL REFERENCE]],FIND(".",ESS_DATA[[#This Row],[TCL REFERENCE]],1)-1),"Main Line")</f>
        <v>26APR009</v>
      </c>
      <c r="D80" s="313" t="s">
        <v>63</v>
      </c>
      <c r="E80" s="313" t="s">
        <v>64</v>
      </c>
      <c r="F80" s="313" t="s">
        <v>65</v>
      </c>
      <c r="G80" s="313" t="s">
        <v>402</v>
      </c>
      <c r="H80" s="313" t="s">
        <v>67</v>
      </c>
      <c r="I80" s="313"/>
      <c r="J80" s="313" t="s">
        <v>8027</v>
      </c>
      <c r="K80" s="313"/>
      <c r="L80" s="314"/>
      <c r="M80" s="315" t="s">
        <v>68</v>
      </c>
      <c r="N80" s="313" t="s">
        <v>7851</v>
      </c>
      <c r="O80" s="388" t="s">
        <v>8049</v>
      </c>
      <c r="P80" s="374" t="s">
        <v>7853</v>
      </c>
      <c r="Q80" s="375"/>
      <c r="R80" s="687">
        <v>276</v>
      </c>
      <c r="S80" s="377"/>
      <c r="T80" s="374"/>
      <c r="U80" s="380">
        <f>ESS_DATA[[#This Row],[QUANTITY]]/276</f>
        <v>1</v>
      </c>
      <c r="V80" s="378" t="s">
        <v>7873</v>
      </c>
      <c r="W80" s="374" t="s">
        <v>4365</v>
      </c>
      <c r="X80" s="374" t="str">
        <f t="shared" si="2"/>
        <v>COMPLETED</v>
      </c>
      <c r="Y80" s="249"/>
      <c r="Z80" s="320">
        <v>46183</v>
      </c>
      <c r="AA80" s="321">
        <f>WEEKNUM(ESS_DATA[[#This Row],[Pick-Up Date]])</f>
        <v>24</v>
      </c>
      <c r="AB80" s="381" t="s">
        <v>8076</v>
      </c>
      <c r="AC80" s="313"/>
      <c r="AD80" s="316" t="s">
        <v>122</v>
      </c>
      <c r="AE80" s="313" t="s">
        <v>123</v>
      </c>
      <c r="AF80" s="374" t="s">
        <v>356</v>
      </c>
      <c r="AG80" s="320">
        <v>46189</v>
      </c>
      <c r="AH80" s="320">
        <v>46192</v>
      </c>
      <c r="AI80" s="320">
        <v>46192</v>
      </c>
      <c r="AJ80" s="320">
        <v>46241</v>
      </c>
      <c r="AK80" s="320">
        <v>46235</v>
      </c>
      <c r="AL80" s="320">
        <v>46235</v>
      </c>
      <c r="AM80" s="322" t="s">
        <v>402</v>
      </c>
      <c r="AN80" s="320" t="s">
        <v>8077</v>
      </c>
      <c r="AO80" s="320" t="s">
        <v>161</v>
      </c>
      <c r="AP80" s="320" t="s">
        <v>8078</v>
      </c>
      <c r="AQ80" s="313">
        <v>271140592</v>
      </c>
      <c r="AR80" s="313">
        <v>271140592</v>
      </c>
      <c r="AS80" s="313">
        <f>ESS_DATA[[#This Row],[ETA On S/O]]-ESS_DATA[[#This Row],[ETD On S/O]]+1</f>
        <v>53</v>
      </c>
      <c r="AT80" s="313"/>
      <c r="AU80" s="320" cm="1">
        <f t="array" ref="AU8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46235</v>
      </c>
      <c r="AV8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80" s="14">
        <f>IF(ISERROR(ESS_DATA[[#This Row],[New Ark PO status]]),"",_xlfn.XLOOKUP(ESS_DATA[[#This Row],[SPTN-PVHK New Ark PO'#]],New_Ark_Data[Purchase order Number],New_Ark_Data[Estimated time of arrival],"",0))</f>
        <v>46247</v>
      </c>
      <c r="AX80" s="313">
        <f>IF(ESS_DATA[[#This Row],[New Ark PO Type]]="Offshore",0,IFERROR(VLOOKUP(ESS_DATA[[#This Row],[PORT OF LOADING]]&amp;ESS_DATA[[#This Row],[PORT DESTINATION]],LT_REF[],7,0),14))</f>
        <v>10</v>
      </c>
      <c r="AY80" s="320">
        <f>IFERROR(ESS_DATA[[#This Row],[ODP ETA Port]]+ESS_DATA[[#This Row],[Customs/Leg3 Assumption]],"n/a")</f>
        <v>46245</v>
      </c>
      <c r="AZ80" s="316">
        <f>YEAR(ESS_DATA[[#This Row],[ETA for New Ark update]])</f>
        <v>2026</v>
      </c>
      <c r="BA80" s="316">
        <f>MONTH(ESS_DATA[[#This Row],[ETA for New Ark update]])</f>
        <v>8</v>
      </c>
      <c r="BB80" s="316">
        <f>IFERROR(_xlfn.ISOWEEKNUM(ESS_DATA[[#This Row],[ETA for New Ark update]]),0)</f>
        <v>33</v>
      </c>
      <c r="BC80" s="316" t="str">
        <f>_xlfn.XLOOKUP(ESS_DATA[[#This Row],[PORT DESTINATION]],Table12[PORT DESTINATION],Table12[Cosco Line],,0)</f>
        <v>AEU</v>
      </c>
      <c r="BD80" s="82"/>
    </row>
    <row r="81" spans="1:56" s="323" customFormat="1" ht="10">
      <c r="A81" s="311" t="s">
        <v>8079</v>
      </c>
      <c r="B81" s="312" t="s">
        <v>7985</v>
      </c>
      <c r="C81" s="313" t="str">
        <f>IFERROR(LEFT(ESS_DATA[[#This Row],[TCL REFERENCE]],FIND(".",ESS_DATA[[#This Row],[TCL REFERENCE]],1)-1),"Main Line")</f>
        <v>26APR009</v>
      </c>
      <c r="D81" s="313" t="s">
        <v>63</v>
      </c>
      <c r="E81" s="313" t="s">
        <v>64</v>
      </c>
      <c r="F81" s="313" t="s">
        <v>65</v>
      </c>
      <c r="G81" s="313" t="s">
        <v>402</v>
      </c>
      <c r="H81" s="313" t="s">
        <v>67</v>
      </c>
      <c r="I81" s="313"/>
      <c r="J81" s="313" t="s">
        <v>8027</v>
      </c>
      <c r="K81" s="313"/>
      <c r="L81" s="314"/>
      <c r="M81" s="315" t="s">
        <v>68</v>
      </c>
      <c r="N81" s="313" t="s">
        <v>7851</v>
      </c>
      <c r="O81" s="316" t="s">
        <v>8049</v>
      </c>
      <c r="P81" s="313" t="s">
        <v>7853</v>
      </c>
      <c r="Q81" s="312"/>
      <c r="R81" s="490">
        <v>276</v>
      </c>
      <c r="S81" s="318"/>
      <c r="T81" s="313"/>
      <c r="U81" s="324">
        <f>ESS_DATA[[#This Row],[QUANTITY]]/276</f>
        <v>1</v>
      </c>
      <c r="V81" s="370" t="s">
        <v>7877</v>
      </c>
      <c r="W81" s="313" t="s">
        <v>4366</v>
      </c>
      <c r="X81" s="313" t="str">
        <f t="shared" si="2"/>
        <v>COMPLETED</v>
      </c>
      <c r="Y81" s="249"/>
      <c r="Z81" s="320">
        <v>46186</v>
      </c>
      <c r="AA81" s="321">
        <f>WEEKNUM(ESS_DATA[[#This Row],[Pick-Up Date]])</f>
        <v>24</v>
      </c>
      <c r="AB81" s="381" t="s">
        <v>8080</v>
      </c>
      <c r="AC81" s="313"/>
      <c r="AD81" s="316" t="s">
        <v>122</v>
      </c>
      <c r="AE81" s="313" t="s">
        <v>123</v>
      </c>
      <c r="AF81" s="313" t="s">
        <v>105</v>
      </c>
      <c r="AG81" s="320">
        <v>46193</v>
      </c>
      <c r="AH81" s="320">
        <v>46196</v>
      </c>
      <c r="AI81" s="320">
        <v>46196</v>
      </c>
      <c r="AJ81" s="320">
        <v>46235</v>
      </c>
      <c r="AK81" s="320">
        <v>46235</v>
      </c>
      <c r="AL81" s="320">
        <v>46235</v>
      </c>
      <c r="AM81" s="322" t="s">
        <v>402</v>
      </c>
      <c r="AN81" s="320" t="s">
        <v>8081</v>
      </c>
      <c r="AO81" s="320" t="s">
        <v>161</v>
      </c>
      <c r="AP81" s="320" t="s">
        <v>8082</v>
      </c>
      <c r="AQ81" s="313">
        <v>271300507</v>
      </c>
      <c r="AR81" s="313">
        <v>271300507</v>
      </c>
      <c r="AS81" s="313">
        <f>ESS_DATA[[#This Row],[ETA On S/O]]-ESS_DATA[[#This Row],[ETD On S/O]]+1</f>
        <v>43</v>
      </c>
      <c r="AT81" s="313"/>
      <c r="AU81" s="320" cm="1">
        <f t="array" ref="AU8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46235</v>
      </c>
      <c r="AV8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81" s="14">
        <f>IF(ISERROR(ESS_DATA[[#This Row],[New Ark PO status]]),"",_xlfn.XLOOKUP(ESS_DATA[[#This Row],[SPTN-PVHK New Ark PO'#]],New_Ark_Data[Purchase order Number],New_Ark_Data[Estimated time of arrival],"",0))</f>
        <v>46244</v>
      </c>
      <c r="AX81" s="313">
        <f>IF(ESS_DATA[[#This Row],[New Ark PO Type]]="Offshore",0,IFERROR(VLOOKUP(ESS_DATA[[#This Row],[PORT OF LOADING]]&amp;ESS_DATA[[#This Row],[PORT DESTINATION]],LT_REF[],7,0),14))</f>
        <v>7</v>
      </c>
      <c r="AY81" s="320">
        <f>IFERROR(ESS_DATA[[#This Row],[ODP ETA Port]]+ESS_DATA[[#This Row],[Customs/Leg3 Assumption]],"n/a")</f>
        <v>46242</v>
      </c>
      <c r="AZ81" s="316">
        <f>YEAR(ESS_DATA[[#This Row],[ETA for New Ark update]])</f>
        <v>2026</v>
      </c>
      <c r="BA81" s="316">
        <f>MONTH(ESS_DATA[[#This Row],[ETA for New Ark update]])</f>
        <v>8</v>
      </c>
      <c r="BB81" s="316">
        <f>IFERROR(_xlfn.ISOWEEKNUM(ESS_DATA[[#This Row],[ETA for New Ark update]]),0)</f>
        <v>32</v>
      </c>
      <c r="BC81" s="316" t="str">
        <f>_xlfn.XLOOKUP(ESS_DATA[[#This Row],[PORT DESTINATION]],Table12[PORT DESTINATION],Table12[Cosco Line],,0)</f>
        <v>AEU</v>
      </c>
      <c r="BD81" s="82"/>
    </row>
    <row r="82" spans="1:56" s="323" customFormat="1" ht="10">
      <c r="A82" s="311" t="s">
        <v>8083</v>
      </c>
      <c r="B82" s="312" t="s">
        <v>7985</v>
      </c>
      <c r="C82" s="313" t="str">
        <f>IFERROR(LEFT(ESS_DATA[[#This Row],[TCL REFERENCE]],FIND(".",ESS_DATA[[#This Row],[TCL REFERENCE]],1)-1),"Main Line")</f>
        <v>26APR009</v>
      </c>
      <c r="D82" s="313" t="s">
        <v>63</v>
      </c>
      <c r="E82" s="313" t="s">
        <v>64</v>
      </c>
      <c r="F82" s="313" t="s">
        <v>65</v>
      </c>
      <c r="G82" s="313" t="s">
        <v>402</v>
      </c>
      <c r="H82" s="313" t="s">
        <v>67</v>
      </c>
      <c r="I82" s="313"/>
      <c r="J82" s="313" t="s">
        <v>8027</v>
      </c>
      <c r="K82" s="313"/>
      <c r="L82" s="314"/>
      <c r="M82" s="315" t="s">
        <v>68</v>
      </c>
      <c r="N82" s="313" t="s">
        <v>7851</v>
      </c>
      <c r="O82" s="316" t="s">
        <v>8049</v>
      </c>
      <c r="P82" s="313" t="s">
        <v>7853</v>
      </c>
      <c r="Q82" s="312"/>
      <c r="R82" s="490">
        <v>244</v>
      </c>
      <c r="S82" s="318"/>
      <c r="T82" s="313"/>
      <c r="U82" s="324">
        <f>ESS_DATA[[#This Row],[QUANTITY]]/276</f>
        <v>0.88405797101449279</v>
      </c>
      <c r="V82" s="370" t="s">
        <v>8057</v>
      </c>
      <c r="W82" s="313" t="s">
        <v>4366</v>
      </c>
      <c r="X82" s="313" t="str">
        <f t="shared" si="2"/>
        <v>COMPLETED</v>
      </c>
      <c r="Y82" s="249"/>
      <c r="Z82" s="320">
        <v>46186</v>
      </c>
      <c r="AA82" s="321">
        <f>WEEKNUM(ESS_DATA[[#This Row],[Pick-Up Date]])</f>
        <v>24</v>
      </c>
      <c r="AB82" s="381" t="s">
        <v>8080</v>
      </c>
      <c r="AC82" s="313"/>
      <c r="AD82" s="316" t="s">
        <v>122</v>
      </c>
      <c r="AE82" s="313" t="s">
        <v>123</v>
      </c>
      <c r="AF82" s="313" t="s">
        <v>105</v>
      </c>
      <c r="AG82" s="320">
        <v>46193</v>
      </c>
      <c r="AH82" s="320">
        <v>46196</v>
      </c>
      <c r="AI82" s="320">
        <v>46196</v>
      </c>
      <c r="AJ82" s="320">
        <v>46235</v>
      </c>
      <c r="AK82" s="320">
        <v>46235</v>
      </c>
      <c r="AL82" s="320">
        <v>46235</v>
      </c>
      <c r="AM82" s="322" t="s">
        <v>402</v>
      </c>
      <c r="AN82" s="320" t="s">
        <v>8081</v>
      </c>
      <c r="AO82" s="320" t="s">
        <v>161</v>
      </c>
      <c r="AP82" s="320" t="s">
        <v>8082</v>
      </c>
      <c r="AQ82" s="313">
        <v>271300507</v>
      </c>
      <c r="AR82" s="313">
        <v>271300507</v>
      </c>
      <c r="AS82" s="313">
        <f>ESS_DATA[[#This Row],[ETA On S/O]]-ESS_DATA[[#This Row],[ETD On S/O]]+1</f>
        <v>43</v>
      </c>
      <c r="AT82" s="313"/>
      <c r="AU82" s="320" cm="1">
        <f t="array" ref="AU8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46235</v>
      </c>
      <c r="AV8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82" s="14">
        <f>IF(ISERROR(ESS_DATA[[#This Row],[New Ark PO status]]),"",_xlfn.XLOOKUP(ESS_DATA[[#This Row],[SPTN-PVHK New Ark PO'#]],New_Ark_Data[Purchase order Number],New_Ark_Data[Estimated time of arrival],"",0))</f>
        <v>46244</v>
      </c>
      <c r="AX82" s="313">
        <f>IF(ESS_DATA[[#This Row],[New Ark PO Type]]="Offshore",0,IFERROR(VLOOKUP(ESS_DATA[[#This Row],[PORT OF LOADING]]&amp;ESS_DATA[[#This Row],[PORT DESTINATION]],LT_REF[],7,0),14))</f>
        <v>7</v>
      </c>
      <c r="AY82" s="320">
        <f>IFERROR(ESS_DATA[[#This Row],[ODP ETA Port]]+ESS_DATA[[#This Row],[Customs/Leg3 Assumption]],"n/a")</f>
        <v>46242</v>
      </c>
      <c r="AZ82" s="316">
        <f>YEAR(ESS_DATA[[#This Row],[ETA for New Ark update]])</f>
        <v>2026</v>
      </c>
      <c r="BA82" s="316">
        <f>MONTH(ESS_DATA[[#This Row],[ETA for New Ark update]])</f>
        <v>8</v>
      </c>
      <c r="BB82" s="316">
        <f>IFERROR(_xlfn.ISOWEEKNUM(ESS_DATA[[#This Row],[ETA for New Ark update]]),0)</f>
        <v>32</v>
      </c>
      <c r="BC82" s="316" t="str">
        <f>_xlfn.XLOOKUP(ESS_DATA[[#This Row],[PORT DESTINATION]],Table12[PORT DESTINATION],Table12[Cosco Line],,0)</f>
        <v>AEU</v>
      </c>
      <c r="BD82" s="82"/>
    </row>
    <row r="83" spans="1:56" s="323" customFormat="1" ht="10">
      <c r="A83" s="311" t="s">
        <v>8084</v>
      </c>
      <c r="B83" s="312" t="s">
        <v>7985</v>
      </c>
      <c r="C83" s="313" t="str">
        <f>IFERROR(LEFT(ESS_DATA[[#This Row],[TCL REFERENCE]],FIND(".",ESS_DATA[[#This Row],[TCL REFERENCE]],1)-1),"Main Line")</f>
        <v>26APR009</v>
      </c>
      <c r="D83" s="313" t="s">
        <v>63</v>
      </c>
      <c r="E83" s="313" t="s">
        <v>64</v>
      </c>
      <c r="F83" s="313" t="s">
        <v>65</v>
      </c>
      <c r="G83" s="313" t="s">
        <v>402</v>
      </c>
      <c r="H83" s="313" t="s">
        <v>67</v>
      </c>
      <c r="I83" s="313"/>
      <c r="J83" s="313" t="s">
        <v>8027</v>
      </c>
      <c r="K83" s="313"/>
      <c r="L83" s="314"/>
      <c r="M83" s="315" t="s">
        <v>68</v>
      </c>
      <c r="N83" s="313" t="s">
        <v>7851</v>
      </c>
      <c r="O83" s="316" t="s">
        <v>8049</v>
      </c>
      <c r="P83" s="313" t="s">
        <v>7853</v>
      </c>
      <c r="Q83" s="312"/>
      <c r="R83" s="317">
        <v>32</v>
      </c>
      <c r="S83" s="318"/>
      <c r="T83" s="313"/>
      <c r="U83" s="324">
        <f>ESS_DATA[[#This Row],[QUANTITY]]/276</f>
        <v>0.11594202898550725</v>
      </c>
      <c r="V83" s="370" t="s">
        <v>8057</v>
      </c>
      <c r="W83" s="313" t="s">
        <v>4366</v>
      </c>
      <c r="X83" s="313" t="str">
        <f t="shared" si="2"/>
        <v>COMPLETED</v>
      </c>
      <c r="Y83" s="249"/>
      <c r="Z83" s="320">
        <v>46186</v>
      </c>
      <c r="AA83" s="321">
        <f>WEEKNUM(ESS_DATA[[#This Row],[Pick-Up Date]])</f>
        <v>24</v>
      </c>
      <c r="AB83" s="381" t="s">
        <v>8080</v>
      </c>
      <c r="AC83" s="313"/>
      <c r="AD83" s="316" t="s">
        <v>122</v>
      </c>
      <c r="AE83" s="313" t="s">
        <v>123</v>
      </c>
      <c r="AF83" s="313" t="s">
        <v>105</v>
      </c>
      <c r="AG83" s="320">
        <v>46193</v>
      </c>
      <c r="AH83" s="320">
        <v>46196</v>
      </c>
      <c r="AI83" s="320">
        <v>46196</v>
      </c>
      <c r="AJ83" s="320">
        <v>46235</v>
      </c>
      <c r="AK83" s="320">
        <v>46235</v>
      </c>
      <c r="AL83" s="320">
        <v>46235</v>
      </c>
      <c r="AM83" s="322" t="s">
        <v>402</v>
      </c>
      <c r="AN83" s="320" t="s">
        <v>8081</v>
      </c>
      <c r="AO83" s="320" t="s">
        <v>161</v>
      </c>
      <c r="AP83" s="320" t="s">
        <v>8082</v>
      </c>
      <c r="AQ83" s="313">
        <v>271300507</v>
      </c>
      <c r="AR83" s="313">
        <v>271300507</v>
      </c>
      <c r="AS83" s="313">
        <f>ESS_DATA[[#This Row],[ETA On S/O]]-ESS_DATA[[#This Row],[ETD On S/O]]+1</f>
        <v>43</v>
      </c>
      <c r="AT83" s="313"/>
      <c r="AU83" s="320" cm="1">
        <f t="array" ref="AU8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46235</v>
      </c>
      <c r="AV8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83" s="14">
        <f>IF(ISERROR(ESS_DATA[[#This Row],[New Ark PO status]]),"",_xlfn.XLOOKUP(ESS_DATA[[#This Row],[SPTN-PVHK New Ark PO'#]],New_Ark_Data[Purchase order Number],New_Ark_Data[Estimated time of arrival],"",0))</f>
        <v>46244</v>
      </c>
      <c r="AX83" s="313">
        <f>IF(ESS_DATA[[#This Row],[New Ark PO Type]]="Offshore",0,IFERROR(VLOOKUP(ESS_DATA[[#This Row],[PORT OF LOADING]]&amp;ESS_DATA[[#This Row],[PORT DESTINATION]],LT_REF[],7,0),14))</f>
        <v>7</v>
      </c>
      <c r="AY83" s="320">
        <f>IFERROR(ESS_DATA[[#This Row],[ODP ETA Port]]+ESS_DATA[[#This Row],[Customs/Leg3 Assumption]],"n/a")</f>
        <v>46242</v>
      </c>
      <c r="AZ83" s="316">
        <f>YEAR(ESS_DATA[[#This Row],[ETA for New Ark update]])</f>
        <v>2026</v>
      </c>
      <c r="BA83" s="316">
        <f>MONTH(ESS_DATA[[#This Row],[ETA for New Ark update]])</f>
        <v>8</v>
      </c>
      <c r="BB83" s="316">
        <f>IFERROR(_xlfn.ISOWEEKNUM(ESS_DATA[[#This Row],[ETA for New Ark update]]),0)</f>
        <v>32</v>
      </c>
      <c r="BC83" s="316" t="str">
        <f>_xlfn.XLOOKUP(ESS_DATA[[#This Row],[PORT DESTINATION]],Table12[PORT DESTINATION],Table12[Cosco Line],,0)</f>
        <v>AEU</v>
      </c>
      <c r="BD83" s="82"/>
    </row>
    <row r="84" spans="1:56" s="323" customFormat="1" ht="10">
      <c r="A84" s="311" t="s">
        <v>8085</v>
      </c>
      <c r="B84" s="312" t="s">
        <v>7985</v>
      </c>
      <c r="C84" s="313" t="str">
        <f>IFERROR(LEFT(ESS_DATA[[#This Row],[TCL REFERENCE]],FIND(".",ESS_DATA[[#This Row],[TCL REFERENCE]],1)-1),"Main Line")</f>
        <v>26APR006</v>
      </c>
      <c r="D84" s="313" t="s">
        <v>63</v>
      </c>
      <c r="E84" s="313" t="s">
        <v>64</v>
      </c>
      <c r="F84" s="313" t="s">
        <v>65</v>
      </c>
      <c r="G84" s="313" t="s">
        <v>402</v>
      </c>
      <c r="H84" s="313" t="s">
        <v>67</v>
      </c>
      <c r="I84" s="313"/>
      <c r="J84" s="313" t="s">
        <v>8027</v>
      </c>
      <c r="K84" s="313"/>
      <c r="L84" s="314"/>
      <c r="M84" s="315" t="s">
        <v>68</v>
      </c>
      <c r="N84" s="313" t="s">
        <v>7828</v>
      </c>
      <c r="O84" s="316" t="s">
        <v>7829</v>
      </c>
      <c r="P84" s="313" t="s">
        <v>7830</v>
      </c>
      <c r="Q84" s="312"/>
      <c r="R84" s="317">
        <v>96</v>
      </c>
      <c r="S84" s="318"/>
      <c r="T84" s="313"/>
      <c r="U84" s="319">
        <f>ESS_DATA[[#This Row],[QUANTITY]]/224</f>
        <v>0.42857142857142855</v>
      </c>
      <c r="V84" s="370" t="s">
        <v>8086</v>
      </c>
      <c r="W84" s="313" t="s">
        <v>4367</v>
      </c>
      <c r="X84" s="313" t="str">
        <f t="shared" si="2"/>
        <v>COMPLETED</v>
      </c>
      <c r="Y84" s="249"/>
      <c r="Z84" s="320">
        <v>46188</v>
      </c>
      <c r="AA84" s="321">
        <f>WEEKNUM(ESS_DATA[[#This Row],[Pick-Up Date]])</f>
        <v>25</v>
      </c>
      <c r="AB84" s="381" t="s">
        <v>8087</v>
      </c>
      <c r="AC84" s="313"/>
      <c r="AD84" s="316" t="s">
        <v>122</v>
      </c>
      <c r="AE84" s="313" t="s">
        <v>123</v>
      </c>
      <c r="AF84" s="313" t="s">
        <v>105</v>
      </c>
      <c r="AG84" s="320">
        <v>46192</v>
      </c>
      <c r="AH84" s="320">
        <v>46195</v>
      </c>
      <c r="AI84" s="320">
        <v>46195</v>
      </c>
      <c r="AJ84" s="320">
        <v>46226</v>
      </c>
      <c r="AK84" s="320">
        <v>46233</v>
      </c>
      <c r="AL84" s="320">
        <v>46233</v>
      </c>
      <c r="AM84" s="322" t="s">
        <v>402</v>
      </c>
      <c r="AN84" s="320" t="s">
        <v>4941</v>
      </c>
      <c r="AO84" s="320" t="s">
        <v>80</v>
      </c>
      <c r="AP84" s="320" t="s">
        <v>8088</v>
      </c>
      <c r="AQ84" s="313" t="s">
        <v>8089</v>
      </c>
      <c r="AR84" s="313" t="s">
        <v>8089</v>
      </c>
      <c r="AS84" s="313">
        <f>ESS_DATA[[#This Row],[ETA On S/O]]-ESS_DATA[[#This Row],[ETD On S/O]]+1</f>
        <v>35</v>
      </c>
      <c r="AT84" s="313"/>
      <c r="AU84" s="320" cm="1">
        <f t="array" ref="AU8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46233</v>
      </c>
      <c r="AV8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84" s="14">
        <f>IF(ISERROR(ESS_DATA[[#This Row],[New Ark PO status]]),"",_xlfn.XLOOKUP(ESS_DATA[[#This Row],[SPTN-PVHK New Ark PO'#]],New_Ark_Data[Purchase order Number],New_Ark_Data[Estimated time of arrival],"",0))</f>
        <v>46244</v>
      </c>
      <c r="AX84" s="313">
        <f>IF(ESS_DATA[[#This Row],[New Ark PO Type]]="Offshore",0,IFERROR(VLOOKUP(ESS_DATA[[#This Row],[PORT OF LOADING]]&amp;ESS_DATA[[#This Row],[PORT DESTINATION]],LT_REF[],7,0),14))</f>
        <v>7</v>
      </c>
      <c r="AY84" s="320">
        <f>IFERROR(ESS_DATA[[#This Row],[ODP ETA Port]]+ESS_DATA[[#This Row],[Customs/Leg3 Assumption]],"n/a")</f>
        <v>46240</v>
      </c>
      <c r="AZ84" s="316">
        <f>YEAR(ESS_DATA[[#This Row],[ETA for New Ark update]])</f>
        <v>2026</v>
      </c>
      <c r="BA84" s="316">
        <f>MONTH(ESS_DATA[[#This Row],[ETA for New Ark update]])</f>
        <v>8</v>
      </c>
      <c r="BB84" s="316">
        <f>IFERROR(_xlfn.ISOWEEKNUM(ESS_DATA[[#This Row],[ETA for New Ark update]]),0)</f>
        <v>32</v>
      </c>
      <c r="BC84" s="316" t="str">
        <f>_xlfn.XLOOKUP(ESS_DATA[[#This Row],[PORT DESTINATION]],Table12[PORT DESTINATION],Table12[Cosco Line],,0)</f>
        <v>AEU</v>
      </c>
      <c r="BD84" s="82"/>
    </row>
    <row r="85" spans="1:56" s="323" customFormat="1" ht="10">
      <c r="A85" s="311" t="s">
        <v>8090</v>
      </c>
      <c r="B85" s="312" t="s">
        <v>7985</v>
      </c>
      <c r="C85" s="313" t="str">
        <f>IFERROR(LEFT(ESS_DATA[[#This Row],[TCL REFERENCE]],FIND(".",ESS_DATA[[#This Row],[TCL REFERENCE]],1)-1),"Main Line")</f>
        <v>26APR008</v>
      </c>
      <c r="D85" s="313" t="s">
        <v>63</v>
      </c>
      <c r="E85" s="313" t="s">
        <v>64</v>
      </c>
      <c r="F85" s="313" t="s">
        <v>65</v>
      </c>
      <c r="G85" s="313" t="s">
        <v>402</v>
      </c>
      <c r="H85" s="313" t="s">
        <v>67</v>
      </c>
      <c r="I85" s="313"/>
      <c r="J85" s="313" t="s">
        <v>8027</v>
      </c>
      <c r="K85" s="313"/>
      <c r="L85" s="314"/>
      <c r="M85" s="315" t="s">
        <v>68</v>
      </c>
      <c r="N85" s="313" t="s">
        <v>7840</v>
      </c>
      <c r="O85" s="316" t="s">
        <v>8037</v>
      </c>
      <c r="P85" s="313" t="s">
        <v>7842</v>
      </c>
      <c r="Q85" s="312"/>
      <c r="R85" s="415">
        <v>194</v>
      </c>
      <c r="S85" s="318"/>
      <c r="T85" s="313"/>
      <c r="U85" s="324">
        <f>ESS_DATA[[#This Row],[QUANTITY]]/350</f>
        <v>0.55428571428571427</v>
      </c>
      <c r="V85" s="370" t="s">
        <v>8086</v>
      </c>
      <c r="W85" s="313" t="s">
        <v>4367</v>
      </c>
      <c r="X85" s="313" t="str">
        <f t="shared" si="2"/>
        <v>COMPLETED</v>
      </c>
      <c r="Y85" s="249"/>
      <c r="Z85" s="320">
        <v>46188</v>
      </c>
      <c r="AA85" s="321">
        <f>WEEKNUM(ESS_DATA[[#This Row],[Pick-Up Date]])</f>
        <v>25</v>
      </c>
      <c r="AB85" s="381" t="s">
        <v>8087</v>
      </c>
      <c r="AC85" s="313"/>
      <c r="AD85" s="316" t="s">
        <v>122</v>
      </c>
      <c r="AE85" s="313" t="s">
        <v>123</v>
      </c>
      <c r="AF85" s="313" t="s">
        <v>105</v>
      </c>
      <c r="AG85" s="320">
        <v>46192</v>
      </c>
      <c r="AH85" s="320">
        <v>46195</v>
      </c>
      <c r="AI85" s="320">
        <v>46195</v>
      </c>
      <c r="AJ85" s="320">
        <v>46226</v>
      </c>
      <c r="AK85" s="320">
        <v>46233</v>
      </c>
      <c r="AL85" s="320">
        <v>46233</v>
      </c>
      <c r="AM85" s="322" t="s">
        <v>402</v>
      </c>
      <c r="AN85" s="320" t="s">
        <v>4941</v>
      </c>
      <c r="AO85" s="320" t="s">
        <v>80</v>
      </c>
      <c r="AP85" s="320" t="s">
        <v>8088</v>
      </c>
      <c r="AQ85" s="313" t="s">
        <v>8089</v>
      </c>
      <c r="AR85" s="313" t="s">
        <v>8089</v>
      </c>
      <c r="AS85" s="313">
        <f>ESS_DATA[[#This Row],[ETA On S/O]]-ESS_DATA[[#This Row],[ETD On S/O]]+1</f>
        <v>35</v>
      </c>
      <c r="AT85" s="313"/>
      <c r="AU85" s="320" cm="1">
        <f t="array" ref="AU8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46233</v>
      </c>
      <c r="AV8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85" s="14">
        <f>IF(ISERROR(ESS_DATA[[#This Row],[New Ark PO status]]),"",_xlfn.XLOOKUP(ESS_DATA[[#This Row],[SPTN-PVHK New Ark PO'#]],New_Ark_Data[Purchase order Number],New_Ark_Data[Estimated time of arrival],"",0))</f>
        <v>46244</v>
      </c>
      <c r="AX85" s="313">
        <f>IF(ESS_DATA[[#This Row],[New Ark PO Type]]="Offshore",0,IFERROR(VLOOKUP(ESS_DATA[[#This Row],[PORT OF LOADING]]&amp;ESS_DATA[[#This Row],[PORT DESTINATION]],LT_REF[],7,0),14))</f>
        <v>7</v>
      </c>
      <c r="AY85" s="320">
        <f>IFERROR(ESS_DATA[[#This Row],[ODP ETA Port]]+ESS_DATA[[#This Row],[Customs/Leg3 Assumption]],"n/a")</f>
        <v>46240</v>
      </c>
      <c r="AZ85" s="316">
        <f>YEAR(ESS_DATA[[#This Row],[ETA for New Ark update]])</f>
        <v>2026</v>
      </c>
      <c r="BA85" s="316">
        <f>MONTH(ESS_DATA[[#This Row],[ETA for New Ark update]])</f>
        <v>8</v>
      </c>
      <c r="BB85" s="316">
        <f>IFERROR(_xlfn.ISOWEEKNUM(ESS_DATA[[#This Row],[ETA for New Ark update]]),0)</f>
        <v>32</v>
      </c>
      <c r="BC85" s="316" t="str">
        <f>_xlfn.XLOOKUP(ESS_DATA[[#This Row],[PORT DESTINATION]],Table12[PORT DESTINATION],Table12[Cosco Line],,0)</f>
        <v>AEU</v>
      </c>
      <c r="BD85" s="82"/>
    </row>
    <row r="86" spans="1:56" s="323" customFormat="1" ht="10">
      <c r="A86" s="311" t="s">
        <v>8091</v>
      </c>
      <c r="B86" s="312" t="s">
        <v>7985</v>
      </c>
      <c r="C86" s="313" t="str">
        <f>IFERROR(LEFT(ESS_DATA[[#This Row],[TCL REFERENCE]],FIND(".",ESS_DATA[[#This Row],[TCL REFERENCE]],1)-1),"Main Line")</f>
        <v>Main Line</v>
      </c>
      <c r="D86" s="313" t="s">
        <v>63</v>
      </c>
      <c r="E86" s="313" t="s">
        <v>64</v>
      </c>
      <c r="F86" s="313" t="s">
        <v>65</v>
      </c>
      <c r="G86" s="313" t="s">
        <v>402</v>
      </c>
      <c r="H86" s="313" t="s">
        <v>67</v>
      </c>
      <c r="I86" s="313"/>
      <c r="J86" s="313" t="s">
        <v>8027</v>
      </c>
      <c r="K86" s="313"/>
      <c r="L86" s="314"/>
      <c r="M86" s="315" t="s">
        <v>68</v>
      </c>
      <c r="N86" s="313" t="s">
        <v>7816</v>
      </c>
      <c r="O86" s="316" t="s">
        <v>7986</v>
      </c>
      <c r="P86" s="313" t="s">
        <v>7818</v>
      </c>
      <c r="Q86" s="312"/>
      <c r="R86" s="317">
        <v>165</v>
      </c>
      <c r="S86" s="318"/>
      <c r="T86" s="313"/>
      <c r="U86" s="324">
        <v>0.02</v>
      </c>
      <c r="V86" s="370" t="s">
        <v>8086</v>
      </c>
      <c r="W86" s="313" t="s">
        <v>4367</v>
      </c>
      <c r="X86" s="313" t="str">
        <f t="shared" si="2"/>
        <v>COMPLETED</v>
      </c>
      <c r="Y86" s="249"/>
      <c r="Z86" s="320">
        <v>46188</v>
      </c>
      <c r="AA86" s="321">
        <f>WEEKNUM(ESS_DATA[[#This Row],[Pick-Up Date]])</f>
        <v>25</v>
      </c>
      <c r="AB86" s="381" t="s">
        <v>8087</v>
      </c>
      <c r="AC86" s="313"/>
      <c r="AD86" s="316" t="s">
        <v>122</v>
      </c>
      <c r="AE86" s="313" t="s">
        <v>123</v>
      </c>
      <c r="AF86" s="313" t="s">
        <v>105</v>
      </c>
      <c r="AG86" s="320">
        <v>46192</v>
      </c>
      <c r="AH86" s="320">
        <v>46195</v>
      </c>
      <c r="AI86" s="320">
        <v>46195</v>
      </c>
      <c r="AJ86" s="320">
        <v>46226</v>
      </c>
      <c r="AK86" s="320">
        <v>46233</v>
      </c>
      <c r="AL86" s="320">
        <v>46233</v>
      </c>
      <c r="AM86" s="322" t="s">
        <v>402</v>
      </c>
      <c r="AN86" s="320" t="s">
        <v>4941</v>
      </c>
      <c r="AO86" s="320" t="s">
        <v>80</v>
      </c>
      <c r="AP86" s="320" t="s">
        <v>8088</v>
      </c>
      <c r="AQ86" s="313" t="s">
        <v>8089</v>
      </c>
      <c r="AR86" s="313" t="s">
        <v>8089</v>
      </c>
      <c r="AS86" s="313">
        <f>ESS_DATA[[#This Row],[ETA On S/O]]-ESS_DATA[[#This Row],[ETD On S/O]]+1</f>
        <v>35</v>
      </c>
      <c r="AT86" s="313"/>
      <c r="AU86" s="320" cm="1">
        <f t="array" ref="AU8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46233</v>
      </c>
      <c r="AV8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86" s="14">
        <f>IF(ISERROR(ESS_DATA[[#This Row],[New Ark PO status]]),"",_xlfn.XLOOKUP(ESS_DATA[[#This Row],[SPTN-PVHK New Ark PO'#]],New_Ark_Data[Purchase order Number],New_Ark_Data[Estimated time of arrival],"",0))</f>
        <v>46244</v>
      </c>
      <c r="AX86" s="313">
        <f>IF(ESS_DATA[[#This Row],[New Ark PO Type]]="Offshore",0,IFERROR(VLOOKUP(ESS_DATA[[#This Row],[PORT OF LOADING]]&amp;ESS_DATA[[#This Row],[PORT DESTINATION]],LT_REF[],7,0),14))</f>
        <v>7</v>
      </c>
      <c r="AY86" s="320">
        <f>IFERROR(ESS_DATA[[#This Row],[ODP ETA Port]]+ESS_DATA[[#This Row],[Customs/Leg3 Assumption]],"n/a")</f>
        <v>46240</v>
      </c>
      <c r="AZ86" s="316">
        <f>YEAR(ESS_DATA[[#This Row],[ETA for New Ark update]])</f>
        <v>2026</v>
      </c>
      <c r="BA86" s="316">
        <f>MONTH(ESS_DATA[[#This Row],[ETA for New Ark update]])</f>
        <v>8</v>
      </c>
      <c r="BB86" s="316">
        <f>IFERROR(_xlfn.ISOWEEKNUM(ESS_DATA[[#This Row],[ETA for New Ark update]]),0)</f>
        <v>32</v>
      </c>
      <c r="BC86" s="316" t="str">
        <f>_xlfn.XLOOKUP(ESS_DATA[[#This Row],[PORT DESTINATION]],Table12[PORT DESTINATION],Table12[Cosco Line],,0)</f>
        <v>AEU</v>
      </c>
      <c r="BD86" s="82"/>
    </row>
    <row r="87" spans="1:56" s="323" customFormat="1" ht="10">
      <c r="A87" s="311" t="s">
        <v>8092</v>
      </c>
      <c r="B87" s="312" t="s">
        <v>7985</v>
      </c>
      <c r="C87" s="313" t="str">
        <f>IFERROR(LEFT(ESS_DATA[[#This Row],[TCL REFERENCE]],FIND(".",ESS_DATA[[#This Row],[TCL REFERENCE]],1)-1),"Main Line")</f>
        <v>Main Line</v>
      </c>
      <c r="D87" s="313" t="s">
        <v>63</v>
      </c>
      <c r="E87" s="316" t="s">
        <v>64</v>
      </c>
      <c r="F87" s="316" t="s">
        <v>65</v>
      </c>
      <c r="G87" s="313" t="s">
        <v>402</v>
      </c>
      <c r="H87" s="313" t="s">
        <v>67</v>
      </c>
      <c r="I87" s="313"/>
      <c r="J87" s="313" t="s">
        <v>8027</v>
      </c>
      <c r="K87" s="313"/>
      <c r="L87" s="314"/>
      <c r="M87" s="315" t="s">
        <v>68</v>
      </c>
      <c r="N87" s="312" t="s">
        <v>7824</v>
      </c>
      <c r="O87" s="313" t="s">
        <v>8093</v>
      </c>
      <c r="P87" s="406" t="s">
        <v>7826</v>
      </c>
      <c r="Q87" s="407"/>
      <c r="R87" s="317">
        <v>72</v>
      </c>
      <c r="S87" s="318"/>
      <c r="T87" s="313"/>
      <c r="U87" s="699">
        <v>0</v>
      </c>
      <c r="V87" s="408" t="s">
        <v>8086</v>
      </c>
      <c r="W87" s="313" t="s">
        <v>4367</v>
      </c>
      <c r="X87" s="313" t="str">
        <f t="shared" si="2"/>
        <v>COMPLETED</v>
      </c>
      <c r="Y87" s="249"/>
      <c r="Z87" s="320">
        <v>46188</v>
      </c>
      <c r="AA87" s="321">
        <f>WEEKNUM(ESS_DATA[[#This Row],[Pick-Up Date]])</f>
        <v>25</v>
      </c>
      <c r="AB87" s="381" t="s">
        <v>8087</v>
      </c>
      <c r="AC87" s="313"/>
      <c r="AD87" s="313" t="s">
        <v>122</v>
      </c>
      <c r="AE87" s="313" t="s">
        <v>123</v>
      </c>
      <c r="AF87" s="313" t="s">
        <v>105</v>
      </c>
      <c r="AG87" s="320">
        <v>46192</v>
      </c>
      <c r="AH87" s="320">
        <v>46195</v>
      </c>
      <c r="AI87" s="320">
        <v>46195</v>
      </c>
      <c r="AJ87" s="320">
        <v>46226</v>
      </c>
      <c r="AK87" s="320">
        <v>46233</v>
      </c>
      <c r="AL87" s="320">
        <v>46233</v>
      </c>
      <c r="AM87" s="322" t="s">
        <v>402</v>
      </c>
      <c r="AN87" s="320" t="s">
        <v>4941</v>
      </c>
      <c r="AO87" s="320" t="s">
        <v>80</v>
      </c>
      <c r="AP87" s="320" t="s">
        <v>8088</v>
      </c>
      <c r="AQ87" s="313" t="s">
        <v>8089</v>
      </c>
      <c r="AR87" s="313" t="s">
        <v>8089</v>
      </c>
      <c r="AS87" s="313">
        <f>ESS_DATA[[#This Row],[ETA On S/O]]-ESS_DATA[[#This Row],[ETD On S/O]]+1</f>
        <v>35</v>
      </c>
      <c r="AT87" s="313"/>
      <c r="AU87" s="320" cm="1">
        <f t="array" ref="AU8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46233</v>
      </c>
      <c r="AV8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87" s="14">
        <f>IF(ISERROR(ESS_DATA[[#This Row],[New Ark PO status]]),"",_xlfn.XLOOKUP(ESS_DATA[[#This Row],[SPTN-PVHK New Ark PO'#]],New_Ark_Data[Purchase order Number],New_Ark_Data[Estimated time of arrival],"",0))</f>
        <v>46244</v>
      </c>
      <c r="AX87" s="313">
        <f>IF(ESS_DATA[[#This Row],[New Ark PO Type]]="Offshore",0,IFERROR(VLOOKUP(ESS_DATA[[#This Row],[PORT OF LOADING]]&amp;ESS_DATA[[#This Row],[PORT DESTINATION]],LT_REF[],7,0),14))</f>
        <v>7</v>
      </c>
      <c r="AY87" s="320">
        <f>IFERROR(ESS_DATA[[#This Row],[ODP ETA Port]]+ESS_DATA[[#This Row],[Customs/Leg3 Assumption]],"n/a")</f>
        <v>46240</v>
      </c>
      <c r="AZ87" s="316">
        <f>YEAR(ESS_DATA[[#This Row],[ETA for New Ark update]])</f>
        <v>2026</v>
      </c>
      <c r="BA87" s="316">
        <f>MONTH(ESS_DATA[[#This Row],[ETA for New Ark update]])</f>
        <v>8</v>
      </c>
      <c r="BB87" s="316">
        <f>IFERROR(_xlfn.ISOWEEKNUM(ESS_DATA[[#This Row],[ETA for New Ark update]]),0)</f>
        <v>32</v>
      </c>
      <c r="BC87" s="316" t="str">
        <f>_xlfn.XLOOKUP(ESS_DATA[[#This Row],[PORT DESTINATION]],Table12[PORT DESTINATION],Table12[Cosco Line],,0)</f>
        <v>AEU</v>
      </c>
      <c r="BD87" s="82"/>
    </row>
    <row r="88" spans="1:56" s="323" customFormat="1" ht="10">
      <c r="A88" s="379" t="s">
        <v>8094</v>
      </c>
      <c r="B88" s="312" t="s">
        <v>7985</v>
      </c>
      <c r="C88" s="313" t="str">
        <f>IFERROR(LEFT(ESS_DATA[[#This Row],[TCL REFERENCE]],FIND(".",ESS_DATA[[#This Row],[TCL REFERENCE]],1)-1),"Main Line")</f>
        <v>Main Line</v>
      </c>
      <c r="D88" s="313" t="s">
        <v>63</v>
      </c>
      <c r="E88" s="313" t="s">
        <v>64</v>
      </c>
      <c r="F88" s="313" t="s">
        <v>65</v>
      </c>
      <c r="G88" s="313" t="s">
        <v>402</v>
      </c>
      <c r="H88" s="313" t="s">
        <v>67</v>
      </c>
      <c r="I88" s="313"/>
      <c r="J88" s="313" t="s">
        <v>8027</v>
      </c>
      <c r="K88" s="313"/>
      <c r="L88" s="314"/>
      <c r="M88" s="315" t="s">
        <v>68</v>
      </c>
      <c r="N88" s="374" t="s">
        <v>8095</v>
      </c>
      <c r="O88" s="388" t="s">
        <v>8096</v>
      </c>
      <c r="P88" s="374" t="s">
        <v>8097</v>
      </c>
      <c r="Q88" s="312"/>
      <c r="R88" s="376">
        <v>150</v>
      </c>
      <c r="S88" s="318"/>
      <c r="T88" s="313"/>
      <c r="U88" s="699">
        <v>0</v>
      </c>
      <c r="V88" s="370" t="s">
        <v>8086</v>
      </c>
      <c r="W88" s="313" t="s">
        <v>4367</v>
      </c>
      <c r="X88" s="313" t="str">
        <f t="shared" si="2"/>
        <v>COMPLETED</v>
      </c>
      <c r="Y88" s="249"/>
      <c r="Z88" s="320">
        <v>46188</v>
      </c>
      <c r="AA88" s="321">
        <f>WEEKNUM(ESS_DATA[[#This Row],[Pick-Up Date]])</f>
        <v>25</v>
      </c>
      <c r="AB88" s="381" t="s">
        <v>8087</v>
      </c>
      <c r="AC88" s="313"/>
      <c r="AD88" s="316" t="s">
        <v>122</v>
      </c>
      <c r="AE88" s="313" t="s">
        <v>123</v>
      </c>
      <c r="AF88" s="313" t="s">
        <v>105</v>
      </c>
      <c r="AG88" s="320">
        <v>46192</v>
      </c>
      <c r="AH88" s="320">
        <v>46195</v>
      </c>
      <c r="AI88" s="320">
        <v>46195</v>
      </c>
      <c r="AJ88" s="320">
        <v>46226</v>
      </c>
      <c r="AK88" s="320">
        <v>46233</v>
      </c>
      <c r="AL88" s="320">
        <v>46233</v>
      </c>
      <c r="AM88" s="322" t="s">
        <v>402</v>
      </c>
      <c r="AN88" s="320" t="s">
        <v>4941</v>
      </c>
      <c r="AO88" s="320" t="s">
        <v>80</v>
      </c>
      <c r="AP88" s="320" t="s">
        <v>8088</v>
      </c>
      <c r="AQ88" s="313" t="s">
        <v>8089</v>
      </c>
      <c r="AR88" s="313" t="s">
        <v>8089</v>
      </c>
      <c r="AS88" s="313">
        <f>ESS_DATA[[#This Row],[ETA On S/O]]-ESS_DATA[[#This Row],[ETD On S/O]]+1</f>
        <v>35</v>
      </c>
      <c r="AT88" s="313"/>
      <c r="AU88" s="320" cm="1">
        <f t="array" ref="AU8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46233</v>
      </c>
      <c r="AV8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88" s="14">
        <f>IF(ISERROR(ESS_DATA[[#This Row],[New Ark PO status]]),"",_xlfn.XLOOKUP(ESS_DATA[[#This Row],[SPTN-PVHK New Ark PO'#]],New_Ark_Data[Purchase order Number],New_Ark_Data[Estimated time of arrival],"",0))</f>
        <v>46244</v>
      </c>
      <c r="AX88" s="313">
        <f>IF(ESS_DATA[[#This Row],[New Ark PO Type]]="Offshore",0,IFERROR(VLOOKUP(ESS_DATA[[#This Row],[PORT OF LOADING]]&amp;ESS_DATA[[#This Row],[PORT DESTINATION]],LT_REF[],7,0),14))</f>
        <v>7</v>
      </c>
      <c r="AY88" s="320">
        <f>IFERROR(ESS_DATA[[#This Row],[ODP ETA Port]]+ESS_DATA[[#This Row],[Customs/Leg3 Assumption]],"n/a")</f>
        <v>46240</v>
      </c>
      <c r="AZ88" s="316">
        <f>YEAR(ESS_DATA[[#This Row],[ETA for New Ark update]])</f>
        <v>2026</v>
      </c>
      <c r="BA88" s="316">
        <f>MONTH(ESS_DATA[[#This Row],[ETA for New Ark update]])</f>
        <v>8</v>
      </c>
      <c r="BB88" s="316">
        <f>IFERROR(_xlfn.ISOWEEKNUM(ESS_DATA[[#This Row],[ETA for New Ark update]]),0)</f>
        <v>32</v>
      </c>
      <c r="BC88" s="316" t="str">
        <f>_xlfn.XLOOKUP(ESS_DATA[[#This Row],[PORT DESTINATION]],Table12[PORT DESTINATION],Table12[Cosco Line],,0)</f>
        <v>AEU</v>
      </c>
      <c r="BD88" s="82"/>
    </row>
    <row r="89" spans="1:56" s="323" customFormat="1" ht="10">
      <c r="A89" s="311" t="s">
        <v>8098</v>
      </c>
      <c r="B89" s="312" t="s">
        <v>7985</v>
      </c>
      <c r="C89" s="313" t="str">
        <f>IFERROR(LEFT(ESS_DATA[[#This Row],[TCL REFERENCE]],FIND(".",ESS_DATA[[#This Row],[TCL REFERENCE]],1)-1),"Main Line")</f>
        <v>26APR006</v>
      </c>
      <c r="D89" s="313" t="s">
        <v>63</v>
      </c>
      <c r="E89" s="313" t="s">
        <v>64</v>
      </c>
      <c r="F89" s="313" t="s">
        <v>65</v>
      </c>
      <c r="G89" s="313" t="s">
        <v>402</v>
      </c>
      <c r="H89" s="313" t="s">
        <v>67</v>
      </c>
      <c r="I89" s="313"/>
      <c r="J89" s="313" t="s">
        <v>8027</v>
      </c>
      <c r="K89" s="313"/>
      <c r="L89" s="314"/>
      <c r="M89" s="315" t="s">
        <v>68</v>
      </c>
      <c r="N89" s="313" t="s">
        <v>7828</v>
      </c>
      <c r="O89" s="316" t="s">
        <v>7829</v>
      </c>
      <c r="P89" s="313" t="s">
        <v>7830</v>
      </c>
      <c r="Q89" s="312"/>
      <c r="R89" s="317">
        <v>224</v>
      </c>
      <c r="S89" s="318"/>
      <c r="T89" s="313"/>
      <c r="U89" s="319">
        <f>ESS_DATA[[#This Row],[QUANTITY]]/224</f>
        <v>1</v>
      </c>
      <c r="V89" s="370" t="s">
        <v>8099</v>
      </c>
      <c r="W89" s="313" t="s">
        <v>4367</v>
      </c>
      <c r="X89" s="313" t="str">
        <f t="shared" si="2"/>
        <v>COMPLETED</v>
      </c>
      <c r="Y89" s="249"/>
      <c r="Z89" s="320">
        <v>46188</v>
      </c>
      <c r="AA89" s="321">
        <f>WEEKNUM(ESS_DATA[[#This Row],[Pick-Up Date]])</f>
        <v>25</v>
      </c>
      <c r="AB89" s="381" t="s">
        <v>8087</v>
      </c>
      <c r="AC89" s="313"/>
      <c r="AD89" s="316" t="s">
        <v>122</v>
      </c>
      <c r="AE89" s="313" t="s">
        <v>123</v>
      </c>
      <c r="AF89" s="313" t="s">
        <v>105</v>
      </c>
      <c r="AG89" s="320">
        <v>46192</v>
      </c>
      <c r="AH89" s="320">
        <v>46195</v>
      </c>
      <c r="AI89" s="320">
        <v>46195</v>
      </c>
      <c r="AJ89" s="320">
        <v>46226</v>
      </c>
      <c r="AK89" s="320">
        <v>46233</v>
      </c>
      <c r="AL89" s="320">
        <v>46233</v>
      </c>
      <c r="AM89" s="322" t="s">
        <v>402</v>
      </c>
      <c r="AN89" s="320" t="s">
        <v>4941</v>
      </c>
      <c r="AO89" s="320" t="s">
        <v>80</v>
      </c>
      <c r="AP89" s="320" t="s">
        <v>8088</v>
      </c>
      <c r="AQ89" s="313" t="s">
        <v>8089</v>
      </c>
      <c r="AR89" s="313" t="s">
        <v>8089</v>
      </c>
      <c r="AS89" s="313">
        <f>ESS_DATA[[#This Row],[ETA On S/O]]-ESS_DATA[[#This Row],[ETD On S/O]]+1</f>
        <v>35</v>
      </c>
      <c r="AT89" s="313"/>
      <c r="AU89" s="320" cm="1">
        <f t="array" ref="AU8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46233</v>
      </c>
      <c r="AV8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89" s="14">
        <f>IF(ISERROR(ESS_DATA[[#This Row],[New Ark PO status]]),"",_xlfn.XLOOKUP(ESS_DATA[[#This Row],[SPTN-PVHK New Ark PO'#]],New_Ark_Data[Purchase order Number],New_Ark_Data[Estimated time of arrival],"",0))</f>
        <v>46244</v>
      </c>
      <c r="AX89" s="313">
        <f>IF(ESS_DATA[[#This Row],[New Ark PO Type]]="Offshore",0,IFERROR(VLOOKUP(ESS_DATA[[#This Row],[PORT OF LOADING]]&amp;ESS_DATA[[#This Row],[PORT DESTINATION]],LT_REF[],7,0),14))</f>
        <v>7</v>
      </c>
      <c r="AY89" s="320">
        <f>IFERROR(ESS_DATA[[#This Row],[ODP ETA Port]]+ESS_DATA[[#This Row],[Customs/Leg3 Assumption]],"n/a")</f>
        <v>46240</v>
      </c>
      <c r="AZ89" s="316">
        <f>YEAR(ESS_DATA[[#This Row],[ETA for New Ark update]])</f>
        <v>2026</v>
      </c>
      <c r="BA89" s="316">
        <f>MONTH(ESS_DATA[[#This Row],[ETA for New Ark update]])</f>
        <v>8</v>
      </c>
      <c r="BB89" s="316">
        <f>IFERROR(_xlfn.ISOWEEKNUM(ESS_DATA[[#This Row],[ETA for New Ark update]]),0)</f>
        <v>32</v>
      </c>
      <c r="BC89" s="316" t="str">
        <f>_xlfn.XLOOKUP(ESS_DATA[[#This Row],[PORT DESTINATION]],Table12[PORT DESTINATION],Table12[Cosco Line],,0)</f>
        <v>AEU</v>
      </c>
      <c r="BD89" s="82"/>
    </row>
    <row r="90" spans="1:56" s="350" customFormat="1" ht="13.5" customHeight="1">
      <c r="A90" s="351" t="s">
        <v>8100</v>
      </c>
      <c r="B90" s="339" t="s">
        <v>7814</v>
      </c>
      <c r="C90" s="340" t="str">
        <f>IFERROR(LEFT(ESS_DATA[[#This Row],[TCL REFERENCE]],FIND(".",ESS_DATA[[#This Row],[TCL REFERENCE]],1)-1),"Main Line")</f>
        <v>Main Line</v>
      </c>
      <c r="D90" s="340" t="s">
        <v>63</v>
      </c>
      <c r="E90" s="340" t="s">
        <v>64</v>
      </c>
      <c r="F90" s="340" t="s">
        <v>65</v>
      </c>
      <c r="G90" s="340" t="s">
        <v>402</v>
      </c>
      <c r="H90" s="340" t="s">
        <v>67</v>
      </c>
      <c r="I90" s="340"/>
      <c r="J90" s="340" t="s">
        <v>8027</v>
      </c>
      <c r="K90" s="340"/>
      <c r="L90" s="341"/>
      <c r="M90" s="342" t="s">
        <v>68</v>
      </c>
      <c r="N90" s="343" t="s">
        <v>8101</v>
      </c>
      <c r="O90" s="343" t="s">
        <v>7829</v>
      </c>
      <c r="P90" s="343" t="s">
        <v>8102</v>
      </c>
      <c r="Q90" s="339"/>
      <c r="R90" s="344">
        <v>60</v>
      </c>
      <c r="S90" s="345"/>
      <c r="T90" s="340"/>
      <c r="U90" s="346">
        <f>ESS_DATA[[#This Row],[QUANTITY]]/312</f>
        <v>0.19230769230769232</v>
      </c>
      <c r="V90" s="371" t="s">
        <v>7854</v>
      </c>
      <c r="W90" s="340" t="s">
        <v>4367</v>
      </c>
      <c r="X90" s="340" t="str">
        <f t="shared" si="2"/>
        <v>COMPLETED</v>
      </c>
      <c r="Y90" s="347">
        <v>46193</v>
      </c>
      <c r="Z90" s="347">
        <v>46195</v>
      </c>
      <c r="AA90" s="348">
        <f>WEEKNUM(ESS_DATA[[#This Row],[Pick-Up Date]])</f>
        <v>26</v>
      </c>
      <c r="AB90" s="340" t="s">
        <v>8103</v>
      </c>
      <c r="AC90" s="340"/>
      <c r="AD90" s="343" t="s">
        <v>122</v>
      </c>
      <c r="AE90" s="340" t="s">
        <v>123</v>
      </c>
      <c r="AF90" s="340" t="s">
        <v>105</v>
      </c>
      <c r="AG90" s="347">
        <v>46201</v>
      </c>
      <c r="AH90" s="347">
        <v>46203</v>
      </c>
      <c r="AI90" s="347">
        <v>46203</v>
      </c>
      <c r="AJ90" s="347">
        <v>46232</v>
      </c>
      <c r="AK90" s="347">
        <v>46238</v>
      </c>
      <c r="AL90" s="347">
        <v>46240</v>
      </c>
      <c r="AM90" s="349" t="s">
        <v>402</v>
      </c>
      <c r="AN90" s="347" t="s">
        <v>8104</v>
      </c>
      <c r="AO90" s="347" t="s">
        <v>80</v>
      </c>
      <c r="AP90" s="347" t="s">
        <v>8105</v>
      </c>
      <c r="AQ90" s="340" t="s">
        <v>8106</v>
      </c>
      <c r="AR90" s="340" t="s">
        <v>8106</v>
      </c>
      <c r="AS90" s="340">
        <f>ESS_DATA[[#This Row],[ETA On S/O]]-ESS_DATA[[#This Row],[ETD On S/O]]+1</f>
        <v>32</v>
      </c>
      <c r="AT90" s="340"/>
      <c r="AU90" s="347" cm="1">
        <f t="array" ref="AU9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46240</v>
      </c>
      <c r="AV9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90" s="14">
        <f>IF(ISERROR(ESS_DATA[[#This Row],[New Ark PO status]]),"",_xlfn.XLOOKUP(ESS_DATA[[#This Row],[SPTN-PVHK New Ark PO'#]],New_Ark_Data[Purchase order Number],New_Ark_Data[Estimated time of arrival],"",0))</f>
        <v>46248</v>
      </c>
      <c r="AX90" s="340">
        <f>IF(ESS_DATA[[#This Row],[New Ark PO Type]]="Offshore",0,IFERROR(VLOOKUP(ESS_DATA[[#This Row],[PORT OF LOADING]]&amp;ESS_DATA[[#This Row],[PORT DESTINATION]],LT_REF[],7,0),14))</f>
        <v>7</v>
      </c>
      <c r="AY90" s="14">
        <f>IFERROR(ESS_DATA[[#This Row],[ODP ETA Port]]+ESS_DATA[[#This Row],[Customs/Leg3 Assumption]],"n/a")</f>
        <v>46247</v>
      </c>
      <c r="AZ90" s="343">
        <f>YEAR(ESS_DATA[[#This Row],[ETA for New Ark update]])</f>
        <v>2026</v>
      </c>
      <c r="BA90" s="343">
        <f>MONTH(ESS_DATA[[#This Row],[ETA for New Ark update]])</f>
        <v>8</v>
      </c>
      <c r="BB90" s="343">
        <f>IFERROR(_xlfn.ISOWEEKNUM(ESS_DATA[[#This Row],[ETA for New Ark update]]),0)</f>
        <v>33</v>
      </c>
      <c r="BC90" s="343" t="str">
        <f>_xlfn.XLOOKUP(ESS_DATA[[#This Row],[PORT DESTINATION]],Table12[PORT DESTINATION],Table12[Cosco Line],,0)</f>
        <v>AEU</v>
      </c>
      <c r="BD90" s="82"/>
    </row>
    <row r="91" spans="1:56" s="350" customFormat="1" ht="13.5" customHeight="1">
      <c r="A91" s="351" t="s">
        <v>8107</v>
      </c>
      <c r="B91" s="339" t="s">
        <v>7814</v>
      </c>
      <c r="C91" s="340" t="str">
        <f>IFERROR(LEFT(ESS_DATA[[#This Row],[TCL REFERENCE]],FIND(".",ESS_DATA[[#This Row],[TCL REFERENCE]],1)-1),"Main Line")</f>
        <v>Main Line</v>
      </c>
      <c r="D91" s="340" t="s">
        <v>63</v>
      </c>
      <c r="E91" s="340" t="s">
        <v>64</v>
      </c>
      <c r="F91" s="340" t="s">
        <v>65</v>
      </c>
      <c r="G91" s="340" t="s">
        <v>402</v>
      </c>
      <c r="H91" s="340" t="s">
        <v>67</v>
      </c>
      <c r="I91" s="340"/>
      <c r="J91" s="340" t="s">
        <v>8027</v>
      </c>
      <c r="K91" s="340"/>
      <c r="L91" s="341"/>
      <c r="M91" s="342" t="s">
        <v>68</v>
      </c>
      <c r="N91" s="343" t="s">
        <v>8108</v>
      </c>
      <c r="O91" s="343" t="s">
        <v>8037</v>
      </c>
      <c r="P91" s="343" t="s">
        <v>8109</v>
      </c>
      <c r="Q91" s="339"/>
      <c r="R91" s="344">
        <v>192</v>
      </c>
      <c r="S91" s="345"/>
      <c r="T91" s="340"/>
      <c r="U91" s="346">
        <f>ESS_DATA[[#This Row],[QUANTITY]]/276</f>
        <v>0.69565217391304346</v>
      </c>
      <c r="V91" s="371" t="s">
        <v>7854</v>
      </c>
      <c r="W91" s="340" t="s">
        <v>4367</v>
      </c>
      <c r="X91" s="340" t="str">
        <f t="shared" si="2"/>
        <v>COMPLETED</v>
      </c>
      <c r="Y91" s="347">
        <v>46193</v>
      </c>
      <c r="Z91" s="347">
        <v>46195</v>
      </c>
      <c r="AA91" s="348">
        <f>WEEKNUM(ESS_DATA[[#This Row],[Pick-Up Date]])</f>
        <v>26</v>
      </c>
      <c r="AB91" s="340" t="s">
        <v>8103</v>
      </c>
      <c r="AC91" s="340"/>
      <c r="AD91" s="343" t="s">
        <v>122</v>
      </c>
      <c r="AE91" s="340" t="s">
        <v>123</v>
      </c>
      <c r="AF91" s="340" t="s">
        <v>105</v>
      </c>
      <c r="AG91" s="347">
        <v>46201</v>
      </c>
      <c r="AH91" s="347">
        <v>46203</v>
      </c>
      <c r="AI91" s="347">
        <v>46203</v>
      </c>
      <c r="AJ91" s="347">
        <v>46232</v>
      </c>
      <c r="AK91" s="347">
        <v>46238</v>
      </c>
      <c r="AL91" s="347">
        <v>46240</v>
      </c>
      <c r="AM91" s="349" t="s">
        <v>402</v>
      </c>
      <c r="AN91" s="347" t="s">
        <v>8104</v>
      </c>
      <c r="AO91" s="347" t="s">
        <v>80</v>
      </c>
      <c r="AP91" s="347" t="s">
        <v>8105</v>
      </c>
      <c r="AQ91" s="340" t="s">
        <v>8106</v>
      </c>
      <c r="AR91" s="340" t="s">
        <v>8106</v>
      </c>
      <c r="AS91" s="340">
        <f>ESS_DATA[[#This Row],[ETA On S/O]]-ESS_DATA[[#This Row],[ETD On S/O]]+1</f>
        <v>32</v>
      </c>
      <c r="AT91" s="340"/>
      <c r="AU91" s="347" cm="1">
        <f t="array" ref="AU9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46240</v>
      </c>
      <c r="AV9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91" s="14">
        <f>IF(ISERROR(ESS_DATA[[#This Row],[New Ark PO status]]),"",_xlfn.XLOOKUP(ESS_DATA[[#This Row],[SPTN-PVHK New Ark PO'#]],New_Ark_Data[Purchase order Number],New_Ark_Data[Estimated time of arrival],"",0))</f>
        <v>46248</v>
      </c>
      <c r="AX91" s="340">
        <f>IF(ESS_DATA[[#This Row],[New Ark PO Type]]="Offshore",0,IFERROR(VLOOKUP(ESS_DATA[[#This Row],[PORT OF LOADING]]&amp;ESS_DATA[[#This Row],[PORT DESTINATION]],LT_REF[],7,0),14))</f>
        <v>7</v>
      </c>
      <c r="AY91" s="14">
        <f>IFERROR(ESS_DATA[[#This Row],[ODP ETA Port]]+ESS_DATA[[#This Row],[Customs/Leg3 Assumption]],"n/a")</f>
        <v>46247</v>
      </c>
      <c r="AZ91" s="343">
        <f>YEAR(ESS_DATA[[#This Row],[ETA for New Ark update]])</f>
        <v>2026</v>
      </c>
      <c r="BA91" s="343">
        <f>MONTH(ESS_DATA[[#This Row],[ETA for New Ark update]])</f>
        <v>8</v>
      </c>
      <c r="BB91" s="343">
        <f>IFERROR(_xlfn.ISOWEEKNUM(ESS_DATA[[#This Row],[ETA for New Ark update]]),0)</f>
        <v>33</v>
      </c>
      <c r="BC91" s="343" t="str">
        <f>_xlfn.XLOOKUP(ESS_DATA[[#This Row],[PORT DESTINATION]],Table12[PORT DESTINATION],Table12[Cosco Line],,0)</f>
        <v>AEU</v>
      </c>
      <c r="BD91" s="82"/>
    </row>
    <row r="92" spans="1:56" s="350" customFormat="1" ht="14.25" customHeight="1">
      <c r="A92" s="351" t="s">
        <v>8110</v>
      </c>
      <c r="B92" s="339" t="s">
        <v>7814</v>
      </c>
      <c r="C92" s="340" t="str">
        <f>IFERROR(LEFT(ESS_DATA[[#This Row],[TCL REFERENCE]],FIND(".",ESS_DATA[[#This Row],[TCL REFERENCE]],1)-1),"Main Line")</f>
        <v>Main Line</v>
      </c>
      <c r="D92" s="340" t="s">
        <v>63</v>
      </c>
      <c r="E92" s="340" t="s">
        <v>64</v>
      </c>
      <c r="F92" s="340" t="s">
        <v>65</v>
      </c>
      <c r="G92" s="340" t="s">
        <v>402</v>
      </c>
      <c r="H92" s="340" t="s">
        <v>67</v>
      </c>
      <c r="I92" s="340"/>
      <c r="J92" s="340" t="s">
        <v>8027</v>
      </c>
      <c r="K92" s="340"/>
      <c r="L92" s="341"/>
      <c r="M92" s="342" t="s">
        <v>68</v>
      </c>
      <c r="N92" s="343" t="s">
        <v>8108</v>
      </c>
      <c r="O92" s="343" t="s">
        <v>8037</v>
      </c>
      <c r="P92" s="343" t="s">
        <v>8109</v>
      </c>
      <c r="Q92" s="339"/>
      <c r="R92" s="344">
        <v>6</v>
      </c>
      <c r="S92" s="345"/>
      <c r="T92" s="340"/>
      <c r="U92" s="346">
        <f>ESS_DATA[[#This Row],[QUANTITY]]/276</f>
        <v>2.1739130434782608E-2</v>
      </c>
      <c r="V92" s="371" t="s">
        <v>7854</v>
      </c>
      <c r="W92" s="340" t="s">
        <v>4367</v>
      </c>
      <c r="X92" s="340" t="str">
        <f t="shared" si="2"/>
        <v>COMPLETED</v>
      </c>
      <c r="Y92" s="347">
        <v>46193</v>
      </c>
      <c r="Z92" s="347">
        <v>46195</v>
      </c>
      <c r="AA92" s="348">
        <f>WEEKNUM(ESS_DATA[[#This Row],[Pick-Up Date]])</f>
        <v>26</v>
      </c>
      <c r="AB92" s="340" t="s">
        <v>8103</v>
      </c>
      <c r="AC92" s="340"/>
      <c r="AD92" s="343" t="s">
        <v>122</v>
      </c>
      <c r="AE92" s="340" t="s">
        <v>123</v>
      </c>
      <c r="AF92" s="340" t="s">
        <v>105</v>
      </c>
      <c r="AG92" s="347">
        <v>46201</v>
      </c>
      <c r="AH92" s="347">
        <v>46203</v>
      </c>
      <c r="AI92" s="347">
        <v>46203</v>
      </c>
      <c r="AJ92" s="347">
        <v>46232</v>
      </c>
      <c r="AK92" s="347">
        <v>46238</v>
      </c>
      <c r="AL92" s="347">
        <v>46240</v>
      </c>
      <c r="AM92" s="349" t="s">
        <v>402</v>
      </c>
      <c r="AN92" s="347" t="s">
        <v>8104</v>
      </c>
      <c r="AO92" s="347" t="s">
        <v>80</v>
      </c>
      <c r="AP92" s="347" t="s">
        <v>8105</v>
      </c>
      <c r="AQ92" s="340" t="s">
        <v>8106</v>
      </c>
      <c r="AR92" s="340" t="s">
        <v>8106</v>
      </c>
      <c r="AS92" s="340">
        <f>ESS_DATA[[#This Row],[ETA On S/O]]-ESS_DATA[[#This Row],[ETD On S/O]]+1</f>
        <v>32</v>
      </c>
      <c r="AT92" s="340"/>
      <c r="AU92" s="347" cm="1">
        <f t="array" ref="AU9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46240</v>
      </c>
      <c r="AV9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92" s="14">
        <f>IF(ISERROR(ESS_DATA[[#This Row],[New Ark PO status]]),"",_xlfn.XLOOKUP(ESS_DATA[[#This Row],[SPTN-PVHK New Ark PO'#]],New_Ark_Data[Purchase order Number],New_Ark_Data[Estimated time of arrival],"",0))</f>
        <v>46248</v>
      </c>
      <c r="AX92" s="340">
        <f>IF(ESS_DATA[[#This Row],[New Ark PO Type]]="Offshore",0,IFERROR(VLOOKUP(ESS_DATA[[#This Row],[PORT OF LOADING]]&amp;ESS_DATA[[#This Row],[PORT DESTINATION]],LT_REF[],7,0),14))</f>
        <v>7</v>
      </c>
      <c r="AY92" s="14">
        <f>IFERROR(ESS_DATA[[#This Row],[ODP ETA Port]]+ESS_DATA[[#This Row],[Customs/Leg3 Assumption]],"n/a")</f>
        <v>46247</v>
      </c>
      <c r="AZ92" s="343">
        <f>YEAR(ESS_DATA[[#This Row],[ETA for New Ark update]])</f>
        <v>2026</v>
      </c>
      <c r="BA92" s="343">
        <f>MONTH(ESS_DATA[[#This Row],[ETA for New Ark update]])</f>
        <v>8</v>
      </c>
      <c r="BB92" s="343">
        <f>IFERROR(_xlfn.ISOWEEKNUM(ESS_DATA[[#This Row],[ETA for New Ark update]]),0)</f>
        <v>33</v>
      </c>
      <c r="BC92" s="343" t="str">
        <f>_xlfn.XLOOKUP(ESS_DATA[[#This Row],[PORT DESTINATION]],Table12[PORT DESTINATION],Table12[Cosco Line],,0)</f>
        <v>AEU</v>
      </c>
      <c r="BD92" s="82"/>
    </row>
    <row r="93" spans="1:56" s="350" customFormat="1" ht="12" customHeight="1">
      <c r="A93" s="351" t="s">
        <v>8111</v>
      </c>
      <c r="B93" s="339" t="s">
        <v>7814</v>
      </c>
      <c r="C93" s="340" t="str">
        <f>IFERROR(LEFT(ESS_DATA[[#This Row],[TCL REFERENCE]],FIND(".",ESS_DATA[[#This Row],[TCL REFERENCE]],1)-1),"Main Line")</f>
        <v>Main Line</v>
      </c>
      <c r="D93" s="340" t="s">
        <v>63</v>
      </c>
      <c r="E93" s="340" t="s">
        <v>64</v>
      </c>
      <c r="F93" s="340" t="s">
        <v>65</v>
      </c>
      <c r="G93" s="340" t="s">
        <v>402</v>
      </c>
      <c r="H93" s="340" t="s">
        <v>67</v>
      </c>
      <c r="I93" s="340"/>
      <c r="J93" s="340" t="s">
        <v>8027</v>
      </c>
      <c r="K93" s="340"/>
      <c r="L93" s="341"/>
      <c r="M93" s="342" t="s">
        <v>68</v>
      </c>
      <c r="N93" s="343" t="s">
        <v>7851</v>
      </c>
      <c r="O93" s="343" t="s">
        <v>8049</v>
      </c>
      <c r="P93" s="343" t="s">
        <v>7853</v>
      </c>
      <c r="Q93" s="339"/>
      <c r="R93" s="490">
        <v>276</v>
      </c>
      <c r="S93" s="345"/>
      <c r="T93" s="340"/>
      <c r="U93" s="346">
        <f>ESS_DATA[[#This Row],[QUANTITY]]/276</f>
        <v>1</v>
      </c>
      <c r="V93" s="371" t="s">
        <v>7860</v>
      </c>
      <c r="W93" s="340" t="s">
        <v>4367</v>
      </c>
      <c r="X93" s="340" t="str">
        <f t="shared" si="2"/>
        <v>COMPLETED</v>
      </c>
      <c r="Y93" s="347">
        <v>46193</v>
      </c>
      <c r="Z93" s="347">
        <v>46200</v>
      </c>
      <c r="AA93" s="348">
        <f>WEEKNUM(ESS_DATA[[#This Row],[Pick-Up Date]])</f>
        <v>26</v>
      </c>
      <c r="AB93" s="340" t="s">
        <v>8112</v>
      </c>
      <c r="AC93" s="340"/>
      <c r="AD93" s="343" t="s">
        <v>122</v>
      </c>
      <c r="AE93" s="340" t="s">
        <v>123</v>
      </c>
      <c r="AF93" s="340" t="s">
        <v>105</v>
      </c>
      <c r="AG93" s="347">
        <v>46207</v>
      </c>
      <c r="AH93" s="347">
        <v>46207</v>
      </c>
      <c r="AI93" s="347">
        <v>46210</v>
      </c>
      <c r="AJ93" s="347">
        <v>46249</v>
      </c>
      <c r="AK93" s="347">
        <v>46249</v>
      </c>
      <c r="AL93" s="347">
        <v>46249</v>
      </c>
      <c r="AM93" s="349" t="s">
        <v>402</v>
      </c>
      <c r="AN93" s="347" t="s">
        <v>8113</v>
      </c>
      <c r="AO93" s="347" t="s">
        <v>161</v>
      </c>
      <c r="AP93" s="347" t="s">
        <v>8114</v>
      </c>
      <c r="AQ93" s="340">
        <v>272092787</v>
      </c>
      <c r="AR93" s="340">
        <v>272092787</v>
      </c>
      <c r="AS93" s="340">
        <f>ESS_DATA[[#This Row],[ETA On S/O]]-ESS_DATA[[#This Row],[ETD On S/O]]+1</f>
        <v>43</v>
      </c>
      <c r="AT93" s="340"/>
      <c r="AU93" s="347" cm="1">
        <f t="array" ref="AU9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46249</v>
      </c>
      <c r="AV9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93" s="14">
        <f>IF(ISERROR(ESS_DATA[[#This Row],[New Ark PO status]]),"",_xlfn.XLOOKUP(ESS_DATA[[#This Row],[SPTN-PVHK New Ark PO'#]],New_Ark_Data[Purchase order Number],New_Ark_Data[Estimated time of arrival],"",0))</f>
        <v>46255</v>
      </c>
      <c r="AX93" s="340">
        <f>IF(ESS_DATA[[#This Row],[New Ark PO Type]]="Offshore",0,IFERROR(VLOOKUP(ESS_DATA[[#This Row],[PORT OF LOADING]]&amp;ESS_DATA[[#This Row],[PORT DESTINATION]],LT_REF[],7,0),14))</f>
        <v>7</v>
      </c>
      <c r="AY93" s="14">
        <f>IFERROR(ESS_DATA[[#This Row],[ODP ETA Port]]+ESS_DATA[[#This Row],[Customs/Leg3 Assumption]],"n/a")</f>
        <v>46256</v>
      </c>
      <c r="AZ93" s="343">
        <f>YEAR(ESS_DATA[[#This Row],[ETA for New Ark update]])</f>
        <v>2026</v>
      </c>
      <c r="BA93" s="343">
        <f>MONTH(ESS_DATA[[#This Row],[ETA for New Ark update]])</f>
        <v>8</v>
      </c>
      <c r="BB93" s="343">
        <f>IFERROR(_xlfn.ISOWEEKNUM(ESS_DATA[[#This Row],[ETA for New Ark update]]),0)</f>
        <v>34</v>
      </c>
      <c r="BC93" s="343" t="str">
        <f>_xlfn.XLOOKUP(ESS_DATA[[#This Row],[PORT DESTINATION]],Table12[PORT DESTINATION],Table12[Cosco Line],,0)</f>
        <v>AEU</v>
      </c>
      <c r="BD93" s="82"/>
    </row>
    <row r="94" spans="1:56" s="350" customFormat="1" ht="12.75" customHeight="1">
      <c r="A94" s="338" t="s">
        <v>8115</v>
      </c>
      <c r="B94" s="339" t="s">
        <v>7814</v>
      </c>
      <c r="C94" s="340" t="str">
        <f>IFERROR(LEFT(ESS_DATA[[#This Row],[TCL REFERENCE]],FIND(".",ESS_DATA[[#This Row],[TCL REFERENCE]],1)-1),"Main Line")</f>
        <v>Main Line</v>
      </c>
      <c r="D94" s="340" t="s">
        <v>63</v>
      </c>
      <c r="E94" s="340" t="s">
        <v>64</v>
      </c>
      <c r="F94" s="340" t="s">
        <v>65</v>
      </c>
      <c r="G94" s="340" t="s">
        <v>402</v>
      </c>
      <c r="H94" s="340" t="s">
        <v>67</v>
      </c>
      <c r="I94" s="340"/>
      <c r="J94" s="340" t="s">
        <v>8027</v>
      </c>
      <c r="K94" s="340"/>
      <c r="L94" s="341"/>
      <c r="M94" s="342" t="s">
        <v>68</v>
      </c>
      <c r="N94" s="343" t="s">
        <v>8116</v>
      </c>
      <c r="O94" s="343" t="s">
        <v>7829</v>
      </c>
      <c r="P94" s="343" t="s">
        <v>8117</v>
      </c>
      <c r="Q94" s="339"/>
      <c r="R94" s="344">
        <v>128</v>
      </c>
      <c r="S94" s="345"/>
      <c r="T94" s="340"/>
      <c r="U94" s="346">
        <f>ESS_DATA[[#This Row],[QUANTITY]]/312</f>
        <v>0.41025641025641024</v>
      </c>
      <c r="V94" s="371" t="s">
        <v>7864</v>
      </c>
      <c r="W94" s="340" t="s">
        <v>4368</v>
      </c>
      <c r="X94" s="340" t="str">
        <f t="shared" si="2"/>
        <v>COMPLETED</v>
      </c>
      <c r="Y94" s="347">
        <v>46195</v>
      </c>
      <c r="Z94" s="347">
        <v>46200</v>
      </c>
      <c r="AA94" s="348">
        <f>WEEKNUM(ESS_DATA[[#This Row],[Pick-Up Date]])</f>
        <v>26</v>
      </c>
      <c r="AB94" s="340" t="s">
        <v>8112</v>
      </c>
      <c r="AC94" s="340"/>
      <c r="AD94" s="343" t="s">
        <v>122</v>
      </c>
      <c r="AE94" s="340" t="s">
        <v>123</v>
      </c>
      <c r="AF94" s="340" t="s">
        <v>105</v>
      </c>
      <c r="AG94" s="347">
        <v>46207</v>
      </c>
      <c r="AH94" s="347">
        <v>46207</v>
      </c>
      <c r="AI94" s="347">
        <v>46210</v>
      </c>
      <c r="AJ94" s="347">
        <v>46249</v>
      </c>
      <c r="AK94" s="347">
        <v>46249</v>
      </c>
      <c r="AL94" s="347">
        <v>46249</v>
      </c>
      <c r="AM94" s="349" t="s">
        <v>402</v>
      </c>
      <c r="AN94" s="347" t="s">
        <v>8113</v>
      </c>
      <c r="AO94" s="347" t="s">
        <v>161</v>
      </c>
      <c r="AP94" s="347" t="s">
        <v>8114</v>
      </c>
      <c r="AQ94" s="340">
        <v>272092787</v>
      </c>
      <c r="AR94" s="340">
        <v>272092787</v>
      </c>
      <c r="AS94" s="340">
        <f>ESS_DATA[[#This Row],[ETA On S/O]]-ESS_DATA[[#This Row],[ETD On S/O]]+1</f>
        <v>43</v>
      </c>
      <c r="AT94" s="340"/>
      <c r="AU94" s="347" cm="1">
        <f t="array" ref="AU9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46249</v>
      </c>
      <c r="AV9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94" s="14">
        <f>IF(ISERROR(ESS_DATA[[#This Row],[New Ark PO status]]),"",_xlfn.XLOOKUP(ESS_DATA[[#This Row],[SPTN-PVHK New Ark PO'#]],New_Ark_Data[Purchase order Number],New_Ark_Data[Estimated time of arrival],"",0))</f>
        <v>46255</v>
      </c>
      <c r="AX94" s="340">
        <f>IF(ESS_DATA[[#This Row],[New Ark PO Type]]="Offshore",0,IFERROR(VLOOKUP(ESS_DATA[[#This Row],[PORT OF LOADING]]&amp;ESS_DATA[[#This Row],[PORT DESTINATION]],LT_REF[],7,0),14))</f>
        <v>7</v>
      </c>
      <c r="AY94" s="14">
        <f>IFERROR(ESS_DATA[[#This Row],[ODP ETA Port]]+ESS_DATA[[#This Row],[Customs/Leg3 Assumption]],"n/a")</f>
        <v>46256</v>
      </c>
      <c r="AZ94" s="343">
        <f>YEAR(ESS_DATA[[#This Row],[ETA for New Ark update]])</f>
        <v>2026</v>
      </c>
      <c r="BA94" s="343">
        <f>MONTH(ESS_DATA[[#This Row],[ETA for New Ark update]])</f>
        <v>8</v>
      </c>
      <c r="BB94" s="343">
        <f>IFERROR(_xlfn.ISOWEEKNUM(ESS_DATA[[#This Row],[ETA for New Ark update]]),0)</f>
        <v>34</v>
      </c>
      <c r="BC94" s="343" t="str">
        <f>_xlfn.XLOOKUP(ESS_DATA[[#This Row],[PORT DESTINATION]],Table12[PORT DESTINATION],Table12[Cosco Line],,0)</f>
        <v>AEU</v>
      </c>
      <c r="BD94" s="82"/>
    </row>
    <row r="95" spans="1:56" s="350" customFormat="1" ht="12.75" customHeight="1">
      <c r="A95" s="338" t="s">
        <v>8118</v>
      </c>
      <c r="B95" s="339" t="s">
        <v>7814</v>
      </c>
      <c r="C95" s="340" t="str">
        <f>IFERROR(LEFT(ESS_DATA[[#This Row],[TCL REFERENCE]],FIND(".",ESS_DATA[[#This Row],[TCL REFERENCE]],1)-1),"Main Line")</f>
        <v>Main Line</v>
      </c>
      <c r="D95" s="340" t="s">
        <v>63</v>
      </c>
      <c r="E95" s="340" t="s">
        <v>64</v>
      </c>
      <c r="F95" s="340" t="s">
        <v>65</v>
      </c>
      <c r="G95" s="340" t="s">
        <v>402</v>
      </c>
      <c r="H95" s="340" t="s">
        <v>67</v>
      </c>
      <c r="I95" s="340"/>
      <c r="J95" s="340" t="s">
        <v>8027</v>
      </c>
      <c r="K95" s="340"/>
      <c r="L95" s="341"/>
      <c r="M95" s="342" t="s">
        <v>68</v>
      </c>
      <c r="N95" s="343" t="s">
        <v>8116</v>
      </c>
      <c r="O95" s="343" t="s">
        <v>7829</v>
      </c>
      <c r="P95" s="343" t="s">
        <v>8117</v>
      </c>
      <c r="Q95" s="339"/>
      <c r="R95" s="344">
        <v>4</v>
      </c>
      <c r="S95" s="345"/>
      <c r="T95" s="340"/>
      <c r="U95" s="346">
        <f>ESS_DATA[[#This Row],[QUANTITY]]/312</f>
        <v>1.282051282051282E-2</v>
      </c>
      <c r="V95" s="371" t="s">
        <v>7864</v>
      </c>
      <c r="W95" s="340" t="s">
        <v>4368</v>
      </c>
      <c r="X95" s="340" t="str">
        <f t="shared" si="2"/>
        <v>COMPLETED</v>
      </c>
      <c r="Y95" s="347">
        <v>46195</v>
      </c>
      <c r="Z95" s="347">
        <v>46200</v>
      </c>
      <c r="AA95" s="348">
        <f>WEEKNUM(ESS_DATA[[#This Row],[Pick-Up Date]])</f>
        <v>26</v>
      </c>
      <c r="AB95" s="340" t="s">
        <v>8112</v>
      </c>
      <c r="AC95" s="340"/>
      <c r="AD95" s="343" t="s">
        <v>122</v>
      </c>
      <c r="AE95" s="340" t="s">
        <v>123</v>
      </c>
      <c r="AF95" s="340" t="s">
        <v>105</v>
      </c>
      <c r="AG95" s="347">
        <v>46207</v>
      </c>
      <c r="AH95" s="347">
        <v>46207</v>
      </c>
      <c r="AI95" s="347">
        <v>46210</v>
      </c>
      <c r="AJ95" s="347">
        <v>46249</v>
      </c>
      <c r="AK95" s="347">
        <v>46249</v>
      </c>
      <c r="AL95" s="347">
        <v>46249</v>
      </c>
      <c r="AM95" s="349" t="s">
        <v>402</v>
      </c>
      <c r="AN95" s="347" t="s">
        <v>8113</v>
      </c>
      <c r="AO95" s="347" t="s">
        <v>161</v>
      </c>
      <c r="AP95" s="347" t="s">
        <v>8114</v>
      </c>
      <c r="AQ95" s="340">
        <v>272092787</v>
      </c>
      <c r="AR95" s="340">
        <v>272092787</v>
      </c>
      <c r="AS95" s="340">
        <f>ESS_DATA[[#This Row],[ETA On S/O]]-ESS_DATA[[#This Row],[ETD On S/O]]+1</f>
        <v>43</v>
      </c>
      <c r="AT95" s="340"/>
      <c r="AU95" s="347" cm="1">
        <f t="array" ref="AU9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46249</v>
      </c>
      <c r="AV9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95" s="14">
        <f>IF(ISERROR(ESS_DATA[[#This Row],[New Ark PO status]]),"",_xlfn.XLOOKUP(ESS_DATA[[#This Row],[SPTN-PVHK New Ark PO'#]],New_Ark_Data[Purchase order Number],New_Ark_Data[Estimated time of arrival],"",0))</f>
        <v>46255</v>
      </c>
      <c r="AX95" s="340">
        <f>IF(ESS_DATA[[#This Row],[New Ark PO Type]]="Offshore",0,IFERROR(VLOOKUP(ESS_DATA[[#This Row],[PORT OF LOADING]]&amp;ESS_DATA[[#This Row],[PORT DESTINATION]],LT_REF[],7,0),14))</f>
        <v>7</v>
      </c>
      <c r="AY95" s="14">
        <f>IFERROR(ESS_DATA[[#This Row],[ODP ETA Port]]+ESS_DATA[[#This Row],[Customs/Leg3 Assumption]],"n/a")</f>
        <v>46256</v>
      </c>
      <c r="AZ95" s="343">
        <f>YEAR(ESS_DATA[[#This Row],[ETA for New Ark update]])</f>
        <v>2026</v>
      </c>
      <c r="BA95" s="343">
        <f>MONTH(ESS_DATA[[#This Row],[ETA for New Ark update]])</f>
        <v>8</v>
      </c>
      <c r="BB95" s="343">
        <f>IFERROR(_xlfn.ISOWEEKNUM(ESS_DATA[[#This Row],[ETA for New Ark update]]),0)</f>
        <v>34</v>
      </c>
      <c r="BC95" s="343" t="str">
        <f>_xlfn.XLOOKUP(ESS_DATA[[#This Row],[PORT DESTINATION]],Table12[PORT DESTINATION],Table12[Cosco Line],,0)</f>
        <v>AEU</v>
      </c>
      <c r="BD95" s="82"/>
    </row>
    <row r="96" spans="1:56" s="350" customFormat="1" ht="13.5" customHeight="1">
      <c r="A96" s="351" t="s">
        <v>8119</v>
      </c>
      <c r="B96" s="339" t="s">
        <v>7814</v>
      </c>
      <c r="C96" s="340" t="str">
        <f>IFERROR(LEFT(ESS_DATA[[#This Row],[TCL REFERENCE]],FIND(".",ESS_DATA[[#This Row],[TCL REFERENCE]],1)-1),"Main Line")</f>
        <v>Main Line</v>
      </c>
      <c r="D96" s="340" t="s">
        <v>63</v>
      </c>
      <c r="E96" s="340" t="s">
        <v>64</v>
      </c>
      <c r="F96" s="340" t="s">
        <v>65</v>
      </c>
      <c r="G96" s="340" t="s">
        <v>402</v>
      </c>
      <c r="H96" s="340" t="s">
        <v>67</v>
      </c>
      <c r="I96" s="340"/>
      <c r="J96" s="340" t="s">
        <v>8027</v>
      </c>
      <c r="K96" s="340"/>
      <c r="L96" s="341"/>
      <c r="M96" s="342" t="s">
        <v>68</v>
      </c>
      <c r="N96" s="343" t="s">
        <v>8101</v>
      </c>
      <c r="O96" s="343" t="s">
        <v>7829</v>
      </c>
      <c r="P96" s="343" t="s">
        <v>8102</v>
      </c>
      <c r="Q96" s="339"/>
      <c r="R96" s="344">
        <v>4</v>
      </c>
      <c r="S96" s="345"/>
      <c r="T96" s="340"/>
      <c r="U96" s="346">
        <f>ESS_DATA[[#This Row],[QUANTITY]]/312</f>
        <v>1.282051282051282E-2</v>
      </c>
      <c r="V96" s="371" t="s">
        <v>7864</v>
      </c>
      <c r="W96" s="340" t="s">
        <v>4368</v>
      </c>
      <c r="X96" s="340" t="str">
        <f t="shared" si="2"/>
        <v>COMPLETED</v>
      </c>
      <c r="Y96" s="347">
        <v>46195</v>
      </c>
      <c r="Z96" s="347">
        <v>46200</v>
      </c>
      <c r="AA96" s="348">
        <f>WEEKNUM(ESS_DATA[[#This Row],[Pick-Up Date]])</f>
        <v>26</v>
      </c>
      <c r="AB96" s="340" t="s">
        <v>8112</v>
      </c>
      <c r="AC96" s="340"/>
      <c r="AD96" s="343" t="s">
        <v>122</v>
      </c>
      <c r="AE96" s="340" t="s">
        <v>123</v>
      </c>
      <c r="AF96" s="340" t="s">
        <v>105</v>
      </c>
      <c r="AG96" s="347">
        <v>46207</v>
      </c>
      <c r="AH96" s="347">
        <v>46207</v>
      </c>
      <c r="AI96" s="347">
        <v>46210</v>
      </c>
      <c r="AJ96" s="347">
        <v>46249</v>
      </c>
      <c r="AK96" s="347">
        <v>46249</v>
      </c>
      <c r="AL96" s="347">
        <v>46249</v>
      </c>
      <c r="AM96" s="349" t="s">
        <v>402</v>
      </c>
      <c r="AN96" s="347" t="s">
        <v>8113</v>
      </c>
      <c r="AO96" s="347" t="s">
        <v>161</v>
      </c>
      <c r="AP96" s="347" t="s">
        <v>8114</v>
      </c>
      <c r="AQ96" s="340">
        <v>272092787</v>
      </c>
      <c r="AR96" s="340">
        <v>272092787</v>
      </c>
      <c r="AS96" s="340">
        <f>ESS_DATA[[#This Row],[ETA On S/O]]-ESS_DATA[[#This Row],[ETD On S/O]]+1</f>
        <v>43</v>
      </c>
      <c r="AT96" s="340"/>
      <c r="AU96" s="347" cm="1">
        <f t="array" ref="AU9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46249</v>
      </c>
      <c r="AV9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96" s="14">
        <f>IF(ISERROR(ESS_DATA[[#This Row],[New Ark PO status]]),"",_xlfn.XLOOKUP(ESS_DATA[[#This Row],[SPTN-PVHK New Ark PO'#]],New_Ark_Data[Purchase order Number],New_Ark_Data[Estimated time of arrival],"",0))</f>
        <v>46255</v>
      </c>
      <c r="AX96" s="340">
        <f>IF(ESS_DATA[[#This Row],[New Ark PO Type]]="Offshore",0,IFERROR(VLOOKUP(ESS_DATA[[#This Row],[PORT OF LOADING]]&amp;ESS_DATA[[#This Row],[PORT DESTINATION]],LT_REF[],7,0),14))</f>
        <v>7</v>
      </c>
      <c r="AY96" s="14">
        <f>IFERROR(ESS_DATA[[#This Row],[ODP ETA Port]]+ESS_DATA[[#This Row],[Customs/Leg3 Assumption]],"n/a")</f>
        <v>46256</v>
      </c>
      <c r="AZ96" s="343">
        <f>YEAR(ESS_DATA[[#This Row],[ETA for New Ark update]])</f>
        <v>2026</v>
      </c>
      <c r="BA96" s="343">
        <f>MONTH(ESS_DATA[[#This Row],[ETA for New Ark update]])</f>
        <v>8</v>
      </c>
      <c r="BB96" s="343">
        <f>IFERROR(_xlfn.ISOWEEKNUM(ESS_DATA[[#This Row],[ETA for New Ark update]]),0)</f>
        <v>34</v>
      </c>
      <c r="BC96" s="343" t="str">
        <f>_xlfn.XLOOKUP(ESS_DATA[[#This Row],[PORT DESTINATION]],Table12[PORT DESTINATION],Table12[Cosco Line],,0)</f>
        <v>AEU</v>
      </c>
      <c r="BD96" s="82"/>
    </row>
    <row r="97" spans="1:57" s="350" customFormat="1" ht="12.75" customHeight="1">
      <c r="A97" s="351" t="s">
        <v>8120</v>
      </c>
      <c r="B97" s="339" t="s">
        <v>7814</v>
      </c>
      <c r="C97" s="340" t="str">
        <f>IFERROR(LEFT(ESS_DATA[[#This Row],[TCL REFERENCE]],FIND(".",ESS_DATA[[#This Row],[TCL REFERENCE]],1)-1),"Main Line")</f>
        <v>Main Line</v>
      </c>
      <c r="D97" s="340" t="s">
        <v>63</v>
      </c>
      <c r="E97" s="340" t="s">
        <v>64</v>
      </c>
      <c r="F97" s="340" t="s">
        <v>65</v>
      </c>
      <c r="G97" s="340" t="s">
        <v>402</v>
      </c>
      <c r="H97" s="340" t="s">
        <v>67</v>
      </c>
      <c r="I97" s="340"/>
      <c r="J97" s="340" t="s">
        <v>8027</v>
      </c>
      <c r="K97" s="340"/>
      <c r="L97" s="341"/>
      <c r="M97" s="342" t="s">
        <v>68</v>
      </c>
      <c r="N97" s="343" t="s">
        <v>8101</v>
      </c>
      <c r="O97" s="343" t="s">
        <v>7829</v>
      </c>
      <c r="P97" s="343" t="s">
        <v>8102</v>
      </c>
      <c r="Q97" s="339"/>
      <c r="R97" s="344">
        <v>2</v>
      </c>
      <c r="S97" s="345"/>
      <c r="T97" s="340"/>
      <c r="U97" s="346">
        <f>ESS_DATA[[#This Row],[QUANTITY]]/312</f>
        <v>6.41025641025641E-3</v>
      </c>
      <c r="V97" s="371" t="s">
        <v>7864</v>
      </c>
      <c r="W97" s="340" t="s">
        <v>4368</v>
      </c>
      <c r="X97" s="340" t="str">
        <f t="shared" si="2"/>
        <v>COMPLETED</v>
      </c>
      <c r="Y97" s="347">
        <v>46195</v>
      </c>
      <c r="Z97" s="347">
        <v>46200</v>
      </c>
      <c r="AA97" s="348">
        <f>WEEKNUM(ESS_DATA[[#This Row],[Pick-Up Date]])</f>
        <v>26</v>
      </c>
      <c r="AB97" s="340" t="s">
        <v>8112</v>
      </c>
      <c r="AC97" s="340"/>
      <c r="AD97" s="343" t="s">
        <v>122</v>
      </c>
      <c r="AE97" s="340" t="s">
        <v>123</v>
      </c>
      <c r="AF97" s="340" t="s">
        <v>105</v>
      </c>
      <c r="AG97" s="347">
        <v>46207</v>
      </c>
      <c r="AH97" s="347">
        <v>46207</v>
      </c>
      <c r="AI97" s="347">
        <v>46210</v>
      </c>
      <c r="AJ97" s="347">
        <v>46249</v>
      </c>
      <c r="AK97" s="347">
        <v>46249</v>
      </c>
      <c r="AL97" s="347">
        <v>46249</v>
      </c>
      <c r="AM97" s="349" t="s">
        <v>402</v>
      </c>
      <c r="AN97" s="347" t="s">
        <v>8113</v>
      </c>
      <c r="AO97" s="347" t="s">
        <v>161</v>
      </c>
      <c r="AP97" s="347" t="s">
        <v>8114</v>
      </c>
      <c r="AQ97" s="340">
        <v>272092787</v>
      </c>
      <c r="AR97" s="340">
        <v>272092787</v>
      </c>
      <c r="AS97" s="340">
        <f>ESS_DATA[[#This Row],[ETA On S/O]]-ESS_DATA[[#This Row],[ETD On S/O]]+1</f>
        <v>43</v>
      </c>
      <c r="AT97" s="340"/>
      <c r="AU97" s="347" cm="1">
        <f t="array" ref="AU9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46249</v>
      </c>
      <c r="AV9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97" s="14">
        <f>IF(ISERROR(ESS_DATA[[#This Row],[New Ark PO status]]),"",_xlfn.XLOOKUP(ESS_DATA[[#This Row],[SPTN-PVHK New Ark PO'#]],New_Ark_Data[Purchase order Number],New_Ark_Data[Estimated time of arrival],"",0))</f>
        <v>46255</v>
      </c>
      <c r="AX97" s="340">
        <f>IF(ESS_DATA[[#This Row],[New Ark PO Type]]="Offshore",0,IFERROR(VLOOKUP(ESS_DATA[[#This Row],[PORT OF LOADING]]&amp;ESS_DATA[[#This Row],[PORT DESTINATION]],LT_REF[],7,0),14))</f>
        <v>7</v>
      </c>
      <c r="AY97" s="14">
        <f>IFERROR(ESS_DATA[[#This Row],[ODP ETA Port]]+ESS_DATA[[#This Row],[Customs/Leg3 Assumption]],"n/a")</f>
        <v>46256</v>
      </c>
      <c r="AZ97" s="343">
        <f>YEAR(ESS_DATA[[#This Row],[ETA for New Ark update]])</f>
        <v>2026</v>
      </c>
      <c r="BA97" s="343">
        <f>MONTH(ESS_DATA[[#This Row],[ETA for New Ark update]])</f>
        <v>8</v>
      </c>
      <c r="BB97" s="343">
        <f>IFERROR(_xlfn.ISOWEEKNUM(ESS_DATA[[#This Row],[ETA for New Ark update]]),0)</f>
        <v>34</v>
      </c>
      <c r="BC97" s="343" t="str">
        <f>_xlfn.XLOOKUP(ESS_DATA[[#This Row],[PORT DESTINATION]],Table12[PORT DESTINATION],Table12[Cosco Line],,0)</f>
        <v>AEU</v>
      </c>
      <c r="BD97" s="82"/>
    </row>
    <row r="98" spans="1:57" s="350" customFormat="1" ht="12.75" customHeight="1">
      <c r="A98" s="351" t="s">
        <v>8121</v>
      </c>
      <c r="B98" s="339" t="s">
        <v>7814</v>
      </c>
      <c r="C98" s="340" t="str">
        <f>IFERROR(LEFT(ESS_DATA[[#This Row],[TCL REFERENCE]],FIND(".",ESS_DATA[[#This Row],[TCL REFERENCE]],1)-1),"Main Line")</f>
        <v>Main Line</v>
      </c>
      <c r="D98" s="340" t="s">
        <v>63</v>
      </c>
      <c r="E98" s="340" t="s">
        <v>64</v>
      </c>
      <c r="F98" s="340" t="s">
        <v>65</v>
      </c>
      <c r="G98" s="340" t="s">
        <v>402</v>
      </c>
      <c r="H98" s="340" t="s">
        <v>67</v>
      </c>
      <c r="I98" s="340"/>
      <c r="J98" s="340" t="s">
        <v>8027</v>
      </c>
      <c r="K98" s="340"/>
      <c r="L98" s="341"/>
      <c r="M98" s="342" t="s">
        <v>68</v>
      </c>
      <c r="N98" s="343" t="s">
        <v>7851</v>
      </c>
      <c r="O98" s="343" t="s">
        <v>8049</v>
      </c>
      <c r="P98" s="343" t="s">
        <v>7853</v>
      </c>
      <c r="Q98" s="339"/>
      <c r="R98" s="344">
        <v>108</v>
      </c>
      <c r="S98" s="345"/>
      <c r="T98" s="340"/>
      <c r="U98" s="346">
        <f>ESS_DATA[[#This Row],[QUANTITY]]/276</f>
        <v>0.39130434782608697</v>
      </c>
      <c r="V98" s="371" t="s">
        <v>7864</v>
      </c>
      <c r="W98" s="340" t="s">
        <v>4368</v>
      </c>
      <c r="X98" s="340" t="str">
        <f t="shared" ref="X98:X99" si="3">IF(AL98&lt;&gt;"","COMPLETED",IF(AI98&lt;&gt;"","IN-TRANSIT",""))</f>
        <v>COMPLETED</v>
      </c>
      <c r="Y98" s="347">
        <v>46195</v>
      </c>
      <c r="Z98" s="347">
        <v>46200</v>
      </c>
      <c r="AA98" s="348">
        <f>WEEKNUM(ESS_DATA[[#This Row],[Pick-Up Date]])</f>
        <v>26</v>
      </c>
      <c r="AB98" s="340" t="s">
        <v>8112</v>
      </c>
      <c r="AC98" s="340"/>
      <c r="AD98" s="343" t="s">
        <v>122</v>
      </c>
      <c r="AE98" s="340" t="s">
        <v>123</v>
      </c>
      <c r="AF98" s="340" t="s">
        <v>105</v>
      </c>
      <c r="AG98" s="347">
        <v>46207</v>
      </c>
      <c r="AH98" s="347">
        <v>46207</v>
      </c>
      <c r="AI98" s="347">
        <v>46210</v>
      </c>
      <c r="AJ98" s="347">
        <v>46249</v>
      </c>
      <c r="AK98" s="347">
        <v>46249</v>
      </c>
      <c r="AL98" s="347">
        <v>46249</v>
      </c>
      <c r="AM98" s="349" t="s">
        <v>402</v>
      </c>
      <c r="AN98" s="347" t="s">
        <v>8113</v>
      </c>
      <c r="AO98" s="347" t="s">
        <v>161</v>
      </c>
      <c r="AP98" s="347" t="s">
        <v>8114</v>
      </c>
      <c r="AQ98" s="340">
        <v>272092787</v>
      </c>
      <c r="AR98" s="340">
        <v>272092787</v>
      </c>
      <c r="AS98" s="340">
        <f>ESS_DATA[[#This Row],[ETA On S/O]]-ESS_DATA[[#This Row],[ETD On S/O]]+1</f>
        <v>43</v>
      </c>
      <c r="AT98" s="340"/>
      <c r="AU98" s="347" cm="1">
        <f t="array" ref="AU9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46249</v>
      </c>
      <c r="AV9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98" s="14">
        <f>IF(ISERROR(ESS_DATA[[#This Row],[New Ark PO status]]),"",_xlfn.XLOOKUP(ESS_DATA[[#This Row],[SPTN-PVHK New Ark PO'#]],New_Ark_Data[Purchase order Number],New_Ark_Data[Estimated time of arrival],"",0))</f>
        <v>46255</v>
      </c>
      <c r="AX98" s="340">
        <f>IF(ESS_DATA[[#This Row],[New Ark PO Type]]="Offshore",0,IFERROR(VLOOKUP(ESS_DATA[[#This Row],[PORT OF LOADING]]&amp;ESS_DATA[[#This Row],[PORT DESTINATION]],LT_REF[],7,0),14))</f>
        <v>7</v>
      </c>
      <c r="AY98" s="14">
        <f>IFERROR(ESS_DATA[[#This Row],[ODP ETA Port]]+ESS_DATA[[#This Row],[Customs/Leg3 Assumption]],"n/a")</f>
        <v>46256</v>
      </c>
      <c r="AZ98" s="343">
        <f>YEAR(ESS_DATA[[#This Row],[ETA for New Ark update]])</f>
        <v>2026</v>
      </c>
      <c r="BA98" s="343">
        <f>MONTH(ESS_DATA[[#This Row],[ETA for New Ark update]])</f>
        <v>8</v>
      </c>
      <c r="BB98" s="343">
        <f>IFERROR(_xlfn.ISOWEEKNUM(ESS_DATA[[#This Row],[ETA for New Ark update]]),0)</f>
        <v>34</v>
      </c>
      <c r="BC98" s="343" t="str">
        <f>_xlfn.XLOOKUP(ESS_DATA[[#This Row],[PORT DESTINATION]],Table12[PORT DESTINATION],Table12[Cosco Line],,0)</f>
        <v>AEU</v>
      </c>
      <c r="BD98" s="82"/>
    </row>
    <row r="99" spans="1:57" s="350" customFormat="1" ht="12.75" customHeight="1">
      <c r="A99" s="351" t="s">
        <v>8122</v>
      </c>
      <c r="B99" s="339" t="s">
        <v>7814</v>
      </c>
      <c r="C99" s="340" t="str">
        <f>IFERROR(LEFT(ESS_DATA[[#This Row],[TCL REFERENCE]],FIND(".",ESS_DATA[[#This Row],[TCL REFERENCE]],1)-1),"Main Line")</f>
        <v>Main Line</v>
      </c>
      <c r="D99" s="340" t="s">
        <v>63</v>
      </c>
      <c r="E99" s="340" t="s">
        <v>64</v>
      </c>
      <c r="F99" s="340" t="s">
        <v>65</v>
      </c>
      <c r="G99" s="340" t="s">
        <v>402</v>
      </c>
      <c r="H99" s="340" t="s">
        <v>67</v>
      </c>
      <c r="I99" s="340"/>
      <c r="J99" s="340" t="s">
        <v>8027</v>
      </c>
      <c r="K99" s="340"/>
      <c r="L99" s="341"/>
      <c r="M99" s="342" t="s">
        <v>68</v>
      </c>
      <c r="N99" s="343" t="s">
        <v>7851</v>
      </c>
      <c r="O99" s="343" t="s">
        <v>8049</v>
      </c>
      <c r="P99" s="339" t="s">
        <v>7853</v>
      </c>
      <c r="Q99" s="339"/>
      <c r="R99" s="344">
        <v>12</v>
      </c>
      <c r="S99" s="345"/>
      <c r="T99" s="340"/>
      <c r="U99" s="346">
        <f>ESS_DATA[[#This Row],[QUANTITY]]/276</f>
        <v>4.3478260869565216E-2</v>
      </c>
      <c r="V99" s="371" t="s">
        <v>7864</v>
      </c>
      <c r="W99" s="340" t="s">
        <v>4368</v>
      </c>
      <c r="X99" s="340" t="str">
        <f t="shared" si="3"/>
        <v>COMPLETED</v>
      </c>
      <c r="Y99" s="347">
        <v>46195</v>
      </c>
      <c r="Z99" s="347">
        <v>46200</v>
      </c>
      <c r="AA99" s="348">
        <f>WEEKNUM(ESS_DATA[[#This Row],[Pick-Up Date]])</f>
        <v>26</v>
      </c>
      <c r="AB99" s="340" t="s">
        <v>8112</v>
      </c>
      <c r="AC99" s="340"/>
      <c r="AD99" s="343" t="s">
        <v>122</v>
      </c>
      <c r="AE99" s="340" t="s">
        <v>123</v>
      </c>
      <c r="AF99" s="340" t="s">
        <v>105</v>
      </c>
      <c r="AG99" s="347">
        <v>46207</v>
      </c>
      <c r="AH99" s="347">
        <v>46207</v>
      </c>
      <c r="AI99" s="347">
        <v>46210</v>
      </c>
      <c r="AJ99" s="347">
        <v>46249</v>
      </c>
      <c r="AK99" s="347">
        <v>46249</v>
      </c>
      <c r="AL99" s="347">
        <v>46249</v>
      </c>
      <c r="AM99" s="349" t="s">
        <v>402</v>
      </c>
      <c r="AN99" s="347" t="s">
        <v>8113</v>
      </c>
      <c r="AO99" s="347" t="s">
        <v>161</v>
      </c>
      <c r="AP99" s="347" t="s">
        <v>8114</v>
      </c>
      <c r="AQ99" s="340">
        <v>272092787</v>
      </c>
      <c r="AR99" s="340">
        <v>272092787</v>
      </c>
      <c r="AS99" s="340">
        <f>ESS_DATA[[#This Row],[ETA On S/O]]-ESS_DATA[[#This Row],[ETD On S/O]]+1</f>
        <v>43</v>
      </c>
      <c r="AT99" s="340"/>
      <c r="AU99" s="347" cm="1">
        <f t="array" ref="AU9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46249</v>
      </c>
      <c r="AV9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99" s="14">
        <f>IF(ISERROR(ESS_DATA[[#This Row],[New Ark PO status]]),"",_xlfn.XLOOKUP(ESS_DATA[[#This Row],[SPTN-PVHK New Ark PO'#]],New_Ark_Data[Purchase order Number],New_Ark_Data[Estimated time of arrival],"",0))</f>
        <v>46255</v>
      </c>
      <c r="AX99" s="340">
        <f>IF(ESS_DATA[[#This Row],[New Ark PO Type]]="Offshore",0,IFERROR(VLOOKUP(ESS_DATA[[#This Row],[PORT OF LOADING]]&amp;ESS_DATA[[#This Row],[PORT DESTINATION]],LT_REF[],7,0),14))</f>
        <v>7</v>
      </c>
      <c r="AY99" s="14">
        <f>IFERROR(ESS_DATA[[#This Row],[ODP ETA Port]]+ESS_DATA[[#This Row],[Customs/Leg3 Assumption]],"n/a")</f>
        <v>46256</v>
      </c>
      <c r="AZ99" s="343">
        <f>YEAR(ESS_DATA[[#This Row],[ETA for New Ark update]])</f>
        <v>2026</v>
      </c>
      <c r="BA99" s="343">
        <f>MONTH(ESS_DATA[[#This Row],[ETA for New Ark update]])</f>
        <v>8</v>
      </c>
      <c r="BB99" s="343">
        <f>IFERROR(_xlfn.ISOWEEKNUM(ESS_DATA[[#This Row],[ETA for New Ark update]]),0)</f>
        <v>34</v>
      </c>
      <c r="BC99" s="343" t="str">
        <f>_xlfn.XLOOKUP(ESS_DATA[[#This Row],[PORT DESTINATION]],Table12[PORT DESTINATION],Table12[Cosco Line],,0)</f>
        <v>AEU</v>
      </c>
      <c r="BD99" s="82"/>
    </row>
    <row r="100" spans="1:57" s="175" customFormat="1" ht="12.75" customHeight="1">
      <c r="A100" s="172" t="s">
        <v>8123</v>
      </c>
      <c r="B100" s="494" t="s">
        <v>7814</v>
      </c>
      <c r="C100" s="41" t="str">
        <f>IFERROR(LEFT(ESS_DATA[[#This Row],[TCL REFERENCE]],FIND(".",ESS_DATA[[#This Row],[TCL REFERENCE]],1)-1),"Main Line")</f>
        <v>Main Line</v>
      </c>
      <c r="D100" s="41" t="s">
        <v>63</v>
      </c>
      <c r="E100" s="178" t="s">
        <v>144</v>
      </c>
      <c r="F100" s="178"/>
      <c r="G100" s="41" t="s">
        <v>156</v>
      </c>
      <c r="H100" s="41" t="s">
        <v>8019</v>
      </c>
      <c r="I100" s="178"/>
      <c r="J100" s="41"/>
      <c r="K100" s="41"/>
      <c r="L100" s="535"/>
      <c r="M100" s="225"/>
      <c r="N100" s="41" t="s">
        <v>7828</v>
      </c>
      <c r="O100" s="529" t="s">
        <v>7829</v>
      </c>
      <c r="P100" s="531" t="s">
        <v>7830</v>
      </c>
      <c r="Q100" s="494"/>
      <c r="R100" s="490">
        <v>9</v>
      </c>
      <c r="S100" s="495"/>
      <c r="T100" s="41"/>
      <c r="U100" s="491">
        <f>ESS_DATA[[#This Row],[QUANTITY]]/276</f>
        <v>3.2608695652173912E-2</v>
      </c>
      <c r="V100" s="530" t="s">
        <v>8124</v>
      </c>
      <c r="W100" s="41" t="s">
        <v>8125</v>
      </c>
      <c r="X100" s="178" t="str">
        <f t="shared" ref="X100:X131" si="4">IF(AL100&lt;&gt;"","COMPLETED",IF(AI100&lt;&gt;"","IN-TRANSIT",""))</f>
        <v>COMPLETED</v>
      </c>
      <c r="Y100" s="37">
        <v>46207</v>
      </c>
      <c r="Z100" s="37">
        <v>46256</v>
      </c>
      <c r="AA100" s="492">
        <f>WEEKNUM(ESS_DATA[[#This Row],[Pick-Up Date]])</f>
        <v>34</v>
      </c>
      <c r="AB100" s="41" t="s">
        <v>8126</v>
      </c>
      <c r="AC100" s="41"/>
      <c r="AD100" s="41" t="s">
        <v>122</v>
      </c>
      <c r="AE100" s="41" t="s">
        <v>122</v>
      </c>
      <c r="AF100" s="41" t="s">
        <v>8127</v>
      </c>
      <c r="AG100" s="37">
        <v>46262</v>
      </c>
      <c r="AH100" s="37">
        <v>46273</v>
      </c>
      <c r="AI100" s="37">
        <v>46272</v>
      </c>
      <c r="AJ100" s="37">
        <v>46297</v>
      </c>
      <c r="AK100" s="37">
        <v>46311</v>
      </c>
      <c r="AL100" s="37">
        <v>46313</v>
      </c>
      <c r="AM100" s="955" t="s">
        <v>156</v>
      </c>
      <c r="AN100" s="37" t="s">
        <v>8128</v>
      </c>
      <c r="AO100" s="37" t="s">
        <v>161</v>
      </c>
      <c r="AP100" s="37" t="s">
        <v>8126</v>
      </c>
      <c r="AQ100" s="37">
        <v>46311</v>
      </c>
      <c r="AR100" s="41" t="s">
        <v>8129</v>
      </c>
      <c r="AS100" s="41">
        <f>ESS_DATA[[#This Row],[ETA On S/O]]-ESS_DATA[[#This Row],[ETD On S/O]]+1</f>
        <v>36</v>
      </c>
      <c r="AT100" s="41"/>
      <c r="AU100" s="37" cm="1">
        <f t="array" ref="AU10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46313</v>
      </c>
      <c r="AV10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00" s="14" t="str">
        <f>IF(ISERROR(ESS_DATA[[#This Row],[New Ark PO status]]),"",_xlfn.XLOOKUP(ESS_DATA[[#This Row],[SPTN-PVHK New Ark PO'#]],New_Ark_Data[Purchase order Number],New_Ark_Data[Estimated time of arrival],"",0))</f>
        <v/>
      </c>
      <c r="AX100" s="41">
        <f>IF(ESS_DATA[[#This Row],[New Ark PO Type]]="Offshore",0,IFERROR(VLOOKUP(ESS_DATA[[#This Row],[PORT OF LOADING]]&amp;ESS_DATA[[#This Row],[PORT DESTINATION]],LT_REF[],7,0),14))</f>
        <v>0</v>
      </c>
      <c r="AY100" s="37">
        <f>IFERROR(ESS_DATA[[#This Row],[ODP ETA Port]]+ESS_DATA[[#This Row],[Customs/Leg3 Assumption]],"n/a")</f>
        <v>46313</v>
      </c>
      <c r="AZ100" s="178">
        <f>YEAR(ESS_DATA[[#This Row],[ETA for New Ark update]])</f>
        <v>2026</v>
      </c>
      <c r="BA100" s="178">
        <f>MONTH(ESS_DATA[[#This Row],[ETA for New Ark update]])</f>
        <v>10</v>
      </c>
      <c r="BB100" s="178">
        <f>IFERROR(_xlfn.ISOWEEKNUM(ESS_DATA[[#This Row],[ETA for New Ark update]]),0)</f>
        <v>42</v>
      </c>
      <c r="BC100" s="178" t="str">
        <f>_xlfn.XLOOKUP(ESS_DATA[[#This Row],[PORT DESTINATION]],Table12[PORT DESTINATION],Table12[Cosco Line],,0)</f>
        <v>n/a</v>
      </c>
      <c r="BD100" s="178"/>
    </row>
    <row r="101" spans="1:57" s="175" customFormat="1" ht="12.75" customHeight="1">
      <c r="A101" s="172" t="s">
        <v>8130</v>
      </c>
      <c r="B101" s="494" t="s">
        <v>7814</v>
      </c>
      <c r="C101" s="41" t="str">
        <f>IFERROR(LEFT(ESS_DATA[[#This Row],[TCL REFERENCE]],FIND(".",ESS_DATA[[#This Row],[TCL REFERENCE]],1)-1),"Main Line")</f>
        <v>Main Line</v>
      </c>
      <c r="D101" s="41" t="s">
        <v>63</v>
      </c>
      <c r="E101" s="178" t="s">
        <v>144</v>
      </c>
      <c r="F101" s="178"/>
      <c r="G101" s="41" t="s">
        <v>156</v>
      </c>
      <c r="H101" s="41" t="s">
        <v>8019</v>
      </c>
      <c r="I101" s="178"/>
      <c r="J101" s="41"/>
      <c r="K101" s="41"/>
      <c r="L101" s="535"/>
      <c r="M101" s="225"/>
      <c r="N101" s="41" t="s">
        <v>7837</v>
      </c>
      <c r="O101" s="529" t="s">
        <v>7829</v>
      </c>
      <c r="P101" s="531" t="s">
        <v>7838</v>
      </c>
      <c r="Q101" s="494"/>
      <c r="R101" s="490">
        <v>16</v>
      </c>
      <c r="S101" s="495"/>
      <c r="T101" s="41"/>
      <c r="U101" s="491">
        <f>ESS_DATA[[#This Row],[QUANTITY]]/276</f>
        <v>5.7971014492753624E-2</v>
      </c>
      <c r="V101" s="530" t="s">
        <v>8124</v>
      </c>
      <c r="W101" s="41" t="s">
        <v>8125</v>
      </c>
      <c r="X101" s="178" t="str">
        <f t="shared" si="4"/>
        <v>COMPLETED</v>
      </c>
      <c r="Y101" s="37">
        <v>46207</v>
      </c>
      <c r="Z101" s="37">
        <v>46256</v>
      </c>
      <c r="AA101" s="492">
        <f>WEEKNUM(ESS_DATA[[#This Row],[Pick-Up Date]])</f>
        <v>34</v>
      </c>
      <c r="AB101" s="41" t="s">
        <v>8126</v>
      </c>
      <c r="AC101" s="41"/>
      <c r="AD101" s="41" t="s">
        <v>122</v>
      </c>
      <c r="AE101" s="41" t="s">
        <v>122</v>
      </c>
      <c r="AF101" s="41" t="s">
        <v>8127</v>
      </c>
      <c r="AG101" s="37">
        <v>46262</v>
      </c>
      <c r="AH101" s="37">
        <v>46273</v>
      </c>
      <c r="AI101" s="37">
        <v>46272</v>
      </c>
      <c r="AJ101" s="37">
        <v>46297</v>
      </c>
      <c r="AK101" s="37">
        <v>46311</v>
      </c>
      <c r="AL101" s="37">
        <v>46313</v>
      </c>
      <c r="AM101" s="955" t="s">
        <v>156</v>
      </c>
      <c r="AN101" s="37" t="s">
        <v>8128</v>
      </c>
      <c r="AO101" s="37" t="s">
        <v>161</v>
      </c>
      <c r="AP101" s="37" t="s">
        <v>8126</v>
      </c>
      <c r="AQ101" s="37">
        <v>46311</v>
      </c>
      <c r="AR101" s="41" t="s">
        <v>8129</v>
      </c>
      <c r="AS101" s="41">
        <f>ESS_DATA[[#This Row],[ETA On S/O]]-ESS_DATA[[#This Row],[ETD On S/O]]+1</f>
        <v>36</v>
      </c>
      <c r="AT101" s="41"/>
      <c r="AU101" s="37" cm="1">
        <f t="array" ref="AU10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46313</v>
      </c>
      <c r="AV10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01" s="14" t="str">
        <f>IF(ISERROR(ESS_DATA[[#This Row],[New Ark PO status]]),"",_xlfn.XLOOKUP(ESS_DATA[[#This Row],[SPTN-PVHK New Ark PO'#]],New_Ark_Data[Purchase order Number],New_Ark_Data[Estimated time of arrival],"",0))</f>
        <v/>
      </c>
      <c r="AX101" s="41">
        <f>IF(ESS_DATA[[#This Row],[New Ark PO Type]]="Offshore",0,IFERROR(VLOOKUP(ESS_DATA[[#This Row],[PORT OF LOADING]]&amp;ESS_DATA[[#This Row],[PORT DESTINATION]],LT_REF[],7,0),14))</f>
        <v>0</v>
      </c>
      <c r="AY101" s="37">
        <f>IFERROR(ESS_DATA[[#This Row],[ODP ETA Port]]+ESS_DATA[[#This Row],[Customs/Leg3 Assumption]],"n/a")</f>
        <v>46313</v>
      </c>
      <c r="AZ101" s="178">
        <f>YEAR(ESS_DATA[[#This Row],[ETA for New Ark update]])</f>
        <v>2026</v>
      </c>
      <c r="BA101" s="178">
        <f>MONTH(ESS_DATA[[#This Row],[ETA for New Ark update]])</f>
        <v>10</v>
      </c>
      <c r="BB101" s="178">
        <f>IFERROR(_xlfn.ISOWEEKNUM(ESS_DATA[[#This Row],[ETA for New Ark update]]),0)</f>
        <v>42</v>
      </c>
      <c r="BC101" s="178" t="str">
        <f>_xlfn.XLOOKUP(ESS_DATA[[#This Row],[PORT DESTINATION]],Table12[PORT DESTINATION],Table12[Cosco Line],,0)</f>
        <v>n/a</v>
      </c>
      <c r="BD101" s="178"/>
    </row>
    <row r="102" spans="1:57" s="175" customFormat="1" ht="12.75" customHeight="1">
      <c r="A102" s="172" t="s">
        <v>8131</v>
      </c>
      <c r="B102" s="494" t="s">
        <v>7814</v>
      </c>
      <c r="C102" s="41" t="str">
        <f>IFERROR(LEFT(ESS_DATA[[#This Row],[TCL REFERENCE]],FIND(".",ESS_DATA[[#This Row],[TCL REFERENCE]],1)-1),"Main Line")</f>
        <v>Main Line</v>
      </c>
      <c r="D102" s="41" t="s">
        <v>63</v>
      </c>
      <c r="E102" s="178" t="s">
        <v>144</v>
      </c>
      <c r="F102" s="178"/>
      <c r="G102" s="41" t="s">
        <v>156</v>
      </c>
      <c r="H102" s="41" t="s">
        <v>8019</v>
      </c>
      <c r="I102" s="178"/>
      <c r="J102" s="41"/>
      <c r="K102" s="41"/>
      <c r="L102" s="535"/>
      <c r="M102" s="225"/>
      <c r="N102" s="41" t="s">
        <v>7840</v>
      </c>
      <c r="O102" s="529" t="s">
        <v>8037</v>
      </c>
      <c r="P102" s="531" t="s">
        <v>7842</v>
      </c>
      <c r="Q102" s="494"/>
      <c r="R102" s="490">
        <v>25</v>
      </c>
      <c r="S102" s="495"/>
      <c r="T102" s="41"/>
      <c r="U102" s="491">
        <f>ESS_DATA[[#This Row],[QUANTITY]]/276</f>
        <v>9.0579710144927536E-2</v>
      </c>
      <c r="V102" s="530" t="s">
        <v>8124</v>
      </c>
      <c r="W102" s="41" t="s">
        <v>8125</v>
      </c>
      <c r="X102" s="178" t="str">
        <f t="shared" si="4"/>
        <v>COMPLETED</v>
      </c>
      <c r="Y102" s="37">
        <v>46207</v>
      </c>
      <c r="Z102" s="37">
        <v>46256</v>
      </c>
      <c r="AA102" s="492">
        <f>WEEKNUM(ESS_DATA[[#This Row],[Pick-Up Date]])</f>
        <v>34</v>
      </c>
      <c r="AB102" s="41" t="s">
        <v>8126</v>
      </c>
      <c r="AC102" s="41"/>
      <c r="AD102" s="41" t="s">
        <v>122</v>
      </c>
      <c r="AE102" s="41" t="s">
        <v>122</v>
      </c>
      <c r="AF102" s="41" t="s">
        <v>8127</v>
      </c>
      <c r="AG102" s="37">
        <v>46262</v>
      </c>
      <c r="AH102" s="37">
        <v>46273</v>
      </c>
      <c r="AI102" s="37">
        <v>46272</v>
      </c>
      <c r="AJ102" s="37">
        <v>46297</v>
      </c>
      <c r="AK102" s="37">
        <v>46311</v>
      </c>
      <c r="AL102" s="37">
        <v>46313</v>
      </c>
      <c r="AM102" s="955" t="s">
        <v>156</v>
      </c>
      <c r="AN102" s="37" t="s">
        <v>8128</v>
      </c>
      <c r="AO102" s="37" t="s">
        <v>161</v>
      </c>
      <c r="AP102" s="37" t="s">
        <v>8126</v>
      </c>
      <c r="AQ102" s="37">
        <v>46311</v>
      </c>
      <c r="AR102" s="41" t="s">
        <v>8129</v>
      </c>
      <c r="AS102" s="41">
        <f>ESS_DATA[[#This Row],[ETA On S/O]]-ESS_DATA[[#This Row],[ETD On S/O]]+1</f>
        <v>36</v>
      </c>
      <c r="AT102" s="41"/>
      <c r="AU102" s="37" cm="1">
        <f t="array" ref="AU10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46313</v>
      </c>
      <c r="AV10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02" s="14" t="str">
        <f>IF(ISERROR(ESS_DATA[[#This Row],[New Ark PO status]]),"",_xlfn.XLOOKUP(ESS_DATA[[#This Row],[SPTN-PVHK New Ark PO'#]],New_Ark_Data[Purchase order Number],New_Ark_Data[Estimated time of arrival],"",0))</f>
        <v/>
      </c>
      <c r="AX102" s="41">
        <f>IF(ESS_DATA[[#This Row],[New Ark PO Type]]="Offshore",0,IFERROR(VLOOKUP(ESS_DATA[[#This Row],[PORT OF LOADING]]&amp;ESS_DATA[[#This Row],[PORT DESTINATION]],LT_REF[],7,0),14))</f>
        <v>0</v>
      </c>
      <c r="AY102" s="37">
        <f>IFERROR(ESS_DATA[[#This Row],[ODP ETA Port]]+ESS_DATA[[#This Row],[Customs/Leg3 Assumption]],"n/a")</f>
        <v>46313</v>
      </c>
      <c r="AZ102" s="178">
        <f>YEAR(ESS_DATA[[#This Row],[ETA for New Ark update]])</f>
        <v>2026</v>
      </c>
      <c r="BA102" s="178">
        <f>MONTH(ESS_DATA[[#This Row],[ETA for New Ark update]])</f>
        <v>10</v>
      </c>
      <c r="BB102" s="178">
        <f>IFERROR(_xlfn.ISOWEEKNUM(ESS_DATA[[#This Row],[ETA for New Ark update]]),0)</f>
        <v>42</v>
      </c>
      <c r="BC102" s="178" t="str">
        <f>_xlfn.XLOOKUP(ESS_DATA[[#This Row],[PORT DESTINATION]],Table12[PORT DESTINATION],Table12[Cosco Line],,0)</f>
        <v>n/a</v>
      </c>
      <c r="BD102" s="178"/>
    </row>
    <row r="103" spans="1:57" s="175" customFormat="1" ht="12.75" customHeight="1">
      <c r="A103" s="172" t="s">
        <v>8132</v>
      </c>
      <c r="B103" s="494" t="s">
        <v>7814</v>
      </c>
      <c r="C103" s="41" t="str">
        <f>IFERROR(LEFT(ESS_DATA[[#This Row],[TCL REFERENCE]],FIND(".",ESS_DATA[[#This Row],[TCL REFERENCE]],1)-1),"Main Line")</f>
        <v>Main Line</v>
      </c>
      <c r="D103" s="41" t="s">
        <v>63</v>
      </c>
      <c r="E103" s="178" t="s">
        <v>144</v>
      </c>
      <c r="F103" s="178"/>
      <c r="G103" s="41" t="s">
        <v>156</v>
      </c>
      <c r="H103" s="41" t="s">
        <v>8019</v>
      </c>
      <c r="I103" s="178"/>
      <c r="J103" s="41"/>
      <c r="K103" s="41"/>
      <c r="L103" s="535"/>
      <c r="M103" s="225"/>
      <c r="N103" s="41" t="s">
        <v>7851</v>
      </c>
      <c r="O103" s="529" t="s">
        <v>7852</v>
      </c>
      <c r="P103" s="531" t="s">
        <v>7853</v>
      </c>
      <c r="Q103" s="494"/>
      <c r="R103" s="490">
        <v>80</v>
      </c>
      <c r="S103" s="495"/>
      <c r="T103" s="41"/>
      <c r="U103" s="491">
        <f>ESS_DATA[[#This Row],[QUANTITY]]/276</f>
        <v>0.28985507246376813</v>
      </c>
      <c r="V103" s="530" t="s">
        <v>8124</v>
      </c>
      <c r="W103" s="41" t="s">
        <v>8125</v>
      </c>
      <c r="X103" s="178" t="str">
        <f t="shared" si="4"/>
        <v>COMPLETED</v>
      </c>
      <c r="Y103" s="37">
        <v>46207</v>
      </c>
      <c r="Z103" s="37">
        <v>46256</v>
      </c>
      <c r="AA103" s="492">
        <f>WEEKNUM(ESS_DATA[[#This Row],[Pick-Up Date]])</f>
        <v>34</v>
      </c>
      <c r="AB103" s="41" t="s">
        <v>8126</v>
      </c>
      <c r="AC103" s="41"/>
      <c r="AD103" s="41" t="s">
        <v>122</v>
      </c>
      <c r="AE103" s="41" t="s">
        <v>122</v>
      </c>
      <c r="AF103" s="41" t="s">
        <v>8127</v>
      </c>
      <c r="AG103" s="37">
        <v>46262</v>
      </c>
      <c r="AH103" s="37">
        <v>46273</v>
      </c>
      <c r="AI103" s="37">
        <v>46272</v>
      </c>
      <c r="AJ103" s="37">
        <v>46297</v>
      </c>
      <c r="AK103" s="37">
        <v>46311</v>
      </c>
      <c r="AL103" s="37">
        <v>46313</v>
      </c>
      <c r="AM103" s="955" t="s">
        <v>156</v>
      </c>
      <c r="AN103" s="37" t="s">
        <v>8128</v>
      </c>
      <c r="AO103" s="37" t="s">
        <v>161</v>
      </c>
      <c r="AP103" s="37" t="s">
        <v>8126</v>
      </c>
      <c r="AQ103" s="37">
        <v>46311</v>
      </c>
      <c r="AR103" s="41" t="s">
        <v>8129</v>
      </c>
      <c r="AS103" s="41">
        <f>ESS_DATA[[#This Row],[ETA On S/O]]-ESS_DATA[[#This Row],[ETD On S/O]]+1</f>
        <v>36</v>
      </c>
      <c r="AT103" s="41"/>
      <c r="AU103" s="37" cm="1">
        <f t="array" ref="AU10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46313</v>
      </c>
      <c r="AV10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03" s="14" t="str">
        <f>IF(ISERROR(ESS_DATA[[#This Row],[New Ark PO status]]),"",_xlfn.XLOOKUP(ESS_DATA[[#This Row],[SPTN-PVHK New Ark PO'#]],New_Ark_Data[Purchase order Number],New_Ark_Data[Estimated time of arrival],"",0))</f>
        <v/>
      </c>
      <c r="AX103" s="41">
        <f>IF(ESS_DATA[[#This Row],[New Ark PO Type]]="Offshore",0,IFERROR(VLOOKUP(ESS_DATA[[#This Row],[PORT OF LOADING]]&amp;ESS_DATA[[#This Row],[PORT DESTINATION]],LT_REF[],7,0),14))</f>
        <v>0</v>
      </c>
      <c r="AY103" s="37">
        <f>IFERROR(ESS_DATA[[#This Row],[ODP ETA Port]]+ESS_DATA[[#This Row],[Customs/Leg3 Assumption]],"n/a")</f>
        <v>46313</v>
      </c>
      <c r="AZ103" s="178">
        <f>YEAR(ESS_DATA[[#This Row],[ETA for New Ark update]])</f>
        <v>2026</v>
      </c>
      <c r="BA103" s="178">
        <f>MONTH(ESS_DATA[[#This Row],[ETA for New Ark update]])</f>
        <v>10</v>
      </c>
      <c r="BB103" s="178">
        <f>IFERROR(_xlfn.ISOWEEKNUM(ESS_DATA[[#This Row],[ETA for New Ark update]]),0)</f>
        <v>42</v>
      </c>
      <c r="BC103" s="178" t="str">
        <f>_xlfn.XLOOKUP(ESS_DATA[[#This Row],[PORT DESTINATION]],Table12[PORT DESTINATION],Table12[Cosco Line],,0)</f>
        <v>n/a</v>
      </c>
      <c r="BD103" s="178"/>
    </row>
    <row r="104" spans="1:57" s="336" customFormat="1" ht="14.25" customHeight="1">
      <c r="A104" s="325" t="s">
        <v>8133</v>
      </c>
      <c r="B104" s="327" t="s">
        <v>7814</v>
      </c>
      <c r="C104" s="327" t="str">
        <f>IFERROR(LEFT(ESS_DATA[[#This Row],[TCL REFERENCE]],FIND(".",ESS_DATA[[#This Row],[TCL REFERENCE]],1)-1),"Main Line")</f>
        <v>Main Line</v>
      </c>
      <c r="D104" s="327" t="s">
        <v>63</v>
      </c>
      <c r="E104" s="327" t="s">
        <v>64</v>
      </c>
      <c r="F104" s="327" t="s">
        <v>65</v>
      </c>
      <c r="G104" s="327" t="s">
        <v>402</v>
      </c>
      <c r="H104" s="327" t="s">
        <v>67</v>
      </c>
      <c r="I104" s="327"/>
      <c r="J104" s="327" t="s">
        <v>8134</v>
      </c>
      <c r="K104" s="327"/>
      <c r="L104" s="328"/>
      <c r="M104" s="329" t="s">
        <v>68</v>
      </c>
      <c r="N104" s="330" t="s">
        <v>7851</v>
      </c>
      <c r="O104" s="326" t="s">
        <v>7852</v>
      </c>
      <c r="P104" s="402" t="s">
        <v>7853</v>
      </c>
      <c r="Q104" s="403"/>
      <c r="R104" s="331">
        <v>227</v>
      </c>
      <c r="S104" s="332"/>
      <c r="T104" s="327"/>
      <c r="U104" s="337">
        <f>ESS_DATA[[#This Row],[QUANTITY]]/276</f>
        <v>0.82246376811594202</v>
      </c>
      <c r="V104" s="368" t="s">
        <v>7854</v>
      </c>
      <c r="W104" s="327" t="s">
        <v>4369</v>
      </c>
      <c r="X104" s="327" t="str">
        <f t="shared" si="4"/>
        <v>COMPLETED</v>
      </c>
      <c r="Y104" s="333">
        <v>46203</v>
      </c>
      <c r="Z104" s="333">
        <v>46204</v>
      </c>
      <c r="AA104" s="334">
        <f>WEEKNUM(ESS_DATA[[#This Row],[Pick-Up Date]])</f>
        <v>27</v>
      </c>
      <c r="AB104" s="327" t="s">
        <v>8135</v>
      </c>
      <c r="AC104" s="327"/>
      <c r="AD104" s="327" t="s">
        <v>122</v>
      </c>
      <c r="AE104" s="327" t="s">
        <v>123</v>
      </c>
      <c r="AF104" s="327" t="s">
        <v>78</v>
      </c>
      <c r="AG104" s="333">
        <v>46211</v>
      </c>
      <c r="AH104" s="333">
        <v>46217</v>
      </c>
      <c r="AI104" s="333">
        <v>46217</v>
      </c>
      <c r="AJ104" s="333">
        <v>46260</v>
      </c>
      <c r="AK104" s="677">
        <v>46260</v>
      </c>
      <c r="AL104" s="333">
        <v>46253</v>
      </c>
      <c r="AM104" s="335" t="s">
        <v>402</v>
      </c>
      <c r="AN104" s="333" t="s">
        <v>8136</v>
      </c>
      <c r="AO104" s="333" t="s">
        <v>161</v>
      </c>
      <c r="AP104" s="333" t="s">
        <v>8137</v>
      </c>
      <c r="AQ104" s="327">
        <v>272270746</v>
      </c>
      <c r="AR104" s="327">
        <v>272270746</v>
      </c>
      <c r="AS104" s="327">
        <f>ESS_DATA[[#This Row],[ETA On S/O]]-ESS_DATA[[#This Row],[ETD On S/O]]+1</f>
        <v>50</v>
      </c>
      <c r="AT104" s="327"/>
      <c r="AU104" s="333" cm="1">
        <f t="array" ref="AU10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46253</v>
      </c>
      <c r="AV10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104" s="14">
        <f>IF(ISERROR(ESS_DATA[[#This Row],[New Ark PO status]]),"",_xlfn.XLOOKUP(ESS_DATA[[#This Row],[SPTN-PVHK New Ark PO'#]],New_Ark_Data[Purchase order Number],New_Ark_Data[Estimated time of arrival],"",0))</f>
        <v>46268</v>
      </c>
      <c r="AX104" s="327">
        <f>IF(ESS_DATA[[#This Row],[New Ark PO Type]]="Offshore",0,IFERROR(VLOOKUP(ESS_DATA[[#This Row],[PORT OF LOADING]]&amp;ESS_DATA[[#This Row],[PORT DESTINATION]],LT_REF[],7,0),14))</f>
        <v>8</v>
      </c>
      <c r="AY104" s="333">
        <f>IFERROR(ESS_DATA[[#This Row],[ODP ETA Port]]+ESS_DATA[[#This Row],[Customs/Leg3 Assumption]],"n/a")</f>
        <v>46261</v>
      </c>
      <c r="AZ104" s="326">
        <f>YEAR(ESS_DATA[[#This Row],[ETA for New Ark update]])</f>
        <v>2026</v>
      </c>
      <c r="BA104" s="326">
        <f>MONTH(ESS_DATA[[#This Row],[ETA for New Ark update]])</f>
        <v>8</v>
      </c>
      <c r="BB104" s="326">
        <f>IFERROR(_xlfn.ISOWEEKNUM(ESS_DATA[[#This Row],[ETA for New Ark update]]),0)</f>
        <v>35</v>
      </c>
      <c r="BC104" s="326" t="str">
        <f>_xlfn.XLOOKUP(ESS_DATA[[#This Row],[PORT DESTINATION]],Table12[PORT DESTINATION],Table12[Cosco Line],,0)</f>
        <v>AEM</v>
      </c>
      <c r="BD104" s="82"/>
    </row>
    <row r="105" spans="1:57" s="683" customFormat="1" ht="13.5" customHeight="1">
      <c r="A105" s="667" t="s">
        <v>8138</v>
      </c>
      <c r="B105" s="668" t="s">
        <v>7814</v>
      </c>
      <c r="C105" s="668" t="str">
        <f>IFERROR(LEFT(ESS_DATA[[#This Row],[TCL REFERENCE]],FIND(".",ESS_DATA[[#This Row],[TCL REFERENCE]],1)-1),"Main Line")</f>
        <v>Main Line</v>
      </c>
      <c r="D105" s="668" t="s">
        <v>63</v>
      </c>
      <c r="E105" s="669" t="s">
        <v>64</v>
      </c>
      <c r="F105" s="669" t="s">
        <v>65</v>
      </c>
      <c r="G105" s="668" t="s">
        <v>402</v>
      </c>
      <c r="H105" s="668" t="s">
        <v>67</v>
      </c>
      <c r="I105" s="668"/>
      <c r="J105" s="668" t="s">
        <v>8027</v>
      </c>
      <c r="K105" s="668"/>
      <c r="L105" s="328"/>
      <c r="M105" s="102" t="s">
        <v>68</v>
      </c>
      <c r="N105" s="670" t="s">
        <v>7851</v>
      </c>
      <c r="O105" s="669" t="s">
        <v>7852</v>
      </c>
      <c r="P105" s="671" t="s">
        <v>7853</v>
      </c>
      <c r="Q105" s="672"/>
      <c r="R105" s="673">
        <v>49</v>
      </c>
      <c r="S105" s="674"/>
      <c r="T105" s="668"/>
      <c r="U105" s="675">
        <f>ESS_DATA[[#This Row],[QUANTITY]]/276</f>
        <v>0.17753623188405798</v>
      </c>
      <c r="V105" s="676" t="s">
        <v>7854</v>
      </c>
      <c r="W105" s="668" t="s">
        <v>4369</v>
      </c>
      <c r="X105" s="668" t="str">
        <f t="shared" si="4"/>
        <v>COMPLETED</v>
      </c>
      <c r="Y105" s="677">
        <v>46203</v>
      </c>
      <c r="Z105" s="677">
        <v>46204</v>
      </c>
      <c r="AA105" s="678">
        <f>WEEKNUM(ESS_DATA[[#This Row],[Pick-Up Date]])</f>
        <v>27</v>
      </c>
      <c r="AB105" s="668" t="s">
        <v>8135</v>
      </c>
      <c r="AC105" s="668"/>
      <c r="AD105" s="668" t="s">
        <v>122</v>
      </c>
      <c r="AE105" s="668" t="s">
        <v>123</v>
      </c>
      <c r="AF105" s="668" t="s">
        <v>78</v>
      </c>
      <c r="AG105" s="677">
        <v>46211</v>
      </c>
      <c r="AH105" s="677">
        <v>46217</v>
      </c>
      <c r="AI105" s="677">
        <v>46217</v>
      </c>
      <c r="AJ105" s="677">
        <v>46260</v>
      </c>
      <c r="AK105" s="677">
        <v>46260</v>
      </c>
      <c r="AL105" s="333">
        <v>46253</v>
      </c>
      <c r="AM105" s="679" t="s">
        <v>402</v>
      </c>
      <c r="AN105" s="677" t="s">
        <v>8136</v>
      </c>
      <c r="AO105" s="677" t="s">
        <v>161</v>
      </c>
      <c r="AP105" s="677" t="s">
        <v>8137</v>
      </c>
      <c r="AQ105" s="668">
        <v>272270746</v>
      </c>
      <c r="AR105" s="668">
        <v>272270746</v>
      </c>
      <c r="AS105" s="668">
        <f>ESS_DATA[[#This Row],[ETA On S/O]]-ESS_DATA[[#This Row],[ETD On S/O]]+1</f>
        <v>50</v>
      </c>
      <c r="AT105" s="668"/>
      <c r="AU105" s="680" cm="1">
        <f t="array" ref="AU10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46253</v>
      </c>
      <c r="AV10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Stock-Approved</v>
      </c>
      <c r="AW105" s="14">
        <f>IF(ISERROR(ESS_DATA[[#This Row],[New Ark PO status]]),"",_xlfn.XLOOKUP(ESS_DATA[[#This Row],[SPTN-PVHK New Ark PO'#]],New_Ark_Data[Purchase order Number],New_Ark_Data[Estimated time of arrival],"",0))</f>
        <v>46268</v>
      </c>
      <c r="AX105" s="668">
        <f>IF(ESS_DATA[[#This Row],[New Ark PO Type]]="Offshore",0,IFERROR(VLOOKUP(ESS_DATA[[#This Row],[PORT OF LOADING]]&amp;ESS_DATA[[#This Row],[PORT DESTINATION]],LT_REF[],7,0),14))</f>
        <v>8</v>
      </c>
      <c r="AY105" s="681">
        <f>IFERROR(ESS_DATA[[#This Row],[ODP ETA Port]]+ESS_DATA[[#This Row],[Customs/Leg3 Assumption]],"n/a")</f>
        <v>46261</v>
      </c>
      <c r="AZ105" s="669">
        <f>YEAR(ESS_DATA[[#This Row],[ETA for New Ark update]])</f>
        <v>2026</v>
      </c>
      <c r="BA105" s="669">
        <f>MONTH(ESS_DATA[[#This Row],[ETA for New Ark update]])</f>
        <v>8</v>
      </c>
      <c r="BB105" s="669">
        <f>IFERROR(_xlfn.ISOWEEKNUM(ESS_DATA[[#This Row],[ETA for New Ark update]]),0)</f>
        <v>35</v>
      </c>
      <c r="BC105" s="669" t="str">
        <f>_xlfn.XLOOKUP(ESS_DATA[[#This Row],[PORT DESTINATION]],Table12[PORT DESTINATION],Table12[Cosco Line],,0)</f>
        <v>AEM</v>
      </c>
      <c r="BD105" s="79"/>
      <c r="BE105" s="682"/>
    </row>
    <row r="106" spans="1:57" s="336" customFormat="1" ht="14.25" customHeight="1">
      <c r="A106" s="325" t="s">
        <v>8139</v>
      </c>
      <c r="B106" s="327" t="s">
        <v>7814</v>
      </c>
      <c r="C106" s="327" t="str">
        <f>IFERROR(LEFT(ESS_DATA[[#This Row],[TCL REFERENCE]],FIND(".",ESS_DATA[[#This Row],[TCL REFERENCE]],1)-1),"Main Line")</f>
        <v>Main Line</v>
      </c>
      <c r="D106" s="327" t="s">
        <v>63</v>
      </c>
      <c r="E106" s="326" t="s">
        <v>64</v>
      </c>
      <c r="F106" s="326" t="s">
        <v>65</v>
      </c>
      <c r="G106" s="327" t="s">
        <v>402</v>
      </c>
      <c r="H106" s="327" t="s">
        <v>67</v>
      </c>
      <c r="I106" s="327"/>
      <c r="J106" s="327" t="s">
        <v>8027</v>
      </c>
      <c r="K106" s="327"/>
      <c r="L106" s="328"/>
      <c r="M106" s="329" t="s">
        <v>68</v>
      </c>
      <c r="N106" s="326" t="s">
        <v>7862</v>
      </c>
      <c r="O106" s="326" t="s">
        <v>7829</v>
      </c>
      <c r="P106" s="414" t="s">
        <v>7863</v>
      </c>
      <c r="Q106" s="354"/>
      <c r="R106" s="413">
        <v>24</v>
      </c>
      <c r="S106" s="332"/>
      <c r="T106" s="327"/>
      <c r="U106" s="337">
        <f>ESS_DATA[[#This Row],[QUANTITY]]/224</f>
        <v>0.10714285714285714</v>
      </c>
      <c r="V106" s="369" t="s">
        <v>7860</v>
      </c>
      <c r="W106" s="327" t="s">
        <v>4369</v>
      </c>
      <c r="X106" s="327" t="str">
        <f t="shared" si="4"/>
        <v>COMPLETED</v>
      </c>
      <c r="Y106" s="333">
        <v>46203</v>
      </c>
      <c r="Z106" s="333">
        <v>46203</v>
      </c>
      <c r="AA106" s="334">
        <f>WEEKNUM(ESS_DATA[[#This Row],[Pick-Up Date]])</f>
        <v>27</v>
      </c>
      <c r="AB106" s="327" t="s">
        <v>8140</v>
      </c>
      <c r="AC106" s="327"/>
      <c r="AD106" s="327" t="s">
        <v>122</v>
      </c>
      <c r="AE106" s="327" t="s">
        <v>123</v>
      </c>
      <c r="AF106" s="327" t="s">
        <v>78</v>
      </c>
      <c r="AG106" s="333">
        <v>46210</v>
      </c>
      <c r="AH106" s="333">
        <v>46232</v>
      </c>
      <c r="AI106" s="333">
        <v>46232</v>
      </c>
      <c r="AJ106" s="333">
        <v>46253</v>
      </c>
      <c r="AK106" s="333">
        <v>46272</v>
      </c>
      <c r="AL106" s="333">
        <v>46272</v>
      </c>
      <c r="AM106" s="335" t="s">
        <v>402</v>
      </c>
      <c r="AN106" s="333" t="s">
        <v>8141</v>
      </c>
      <c r="AO106" s="333" t="s">
        <v>80</v>
      </c>
      <c r="AP106" s="333" t="s">
        <v>8142</v>
      </c>
      <c r="AQ106" s="327" t="s">
        <v>8143</v>
      </c>
      <c r="AR106" s="327" t="s">
        <v>8143</v>
      </c>
      <c r="AS106" s="327">
        <f>ESS_DATA[[#This Row],[ETA On S/O]]-ESS_DATA[[#This Row],[ETD On S/O]]+1</f>
        <v>44</v>
      </c>
      <c r="AT106" s="327"/>
      <c r="AU106" s="347" cm="1">
        <f t="array" ref="AU10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46272</v>
      </c>
      <c r="AV10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06" s="14">
        <f>IF(ISERROR(ESS_DATA[[#This Row],[New Ark PO status]]),"",_xlfn.XLOOKUP(ESS_DATA[[#This Row],[SPTN-PVHK New Ark PO'#]],New_Ark_Data[Purchase order Number],New_Ark_Data[Estimated time of arrival],"",0))</f>
        <v>46279</v>
      </c>
      <c r="AX106" s="327">
        <f>IF(ESS_DATA[[#This Row],[New Ark PO Type]]="Offshore",0,IFERROR(VLOOKUP(ESS_DATA[[#This Row],[PORT OF LOADING]]&amp;ESS_DATA[[#This Row],[PORT DESTINATION]],LT_REF[],7,0),14))</f>
        <v>8</v>
      </c>
      <c r="AY106" s="14">
        <f>IFERROR(ESS_DATA[[#This Row],[ODP ETA Port]]+ESS_DATA[[#This Row],[Customs/Leg3 Assumption]],"n/a")</f>
        <v>46280</v>
      </c>
      <c r="AZ106" s="326">
        <f>YEAR(ESS_DATA[[#This Row],[ETA for New Ark update]])</f>
        <v>2026</v>
      </c>
      <c r="BA106" s="326">
        <f>MONTH(ESS_DATA[[#This Row],[ETA for New Ark update]])</f>
        <v>9</v>
      </c>
      <c r="BB106" s="326">
        <f>IFERROR(_xlfn.ISOWEEKNUM(ESS_DATA[[#This Row],[ETA for New Ark update]]),0)</f>
        <v>38</v>
      </c>
      <c r="BC106" s="326" t="str">
        <f>_xlfn.XLOOKUP(ESS_DATA[[#This Row],[PORT DESTINATION]],Table12[PORT DESTINATION],Table12[Cosco Line],,0)</f>
        <v>AEM</v>
      </c>
      <c r="BD106" s="82"/>
    </row>
    <row r="107" spans="1:57" s="336" customFormat="1" ht="12.75" customHeight="1">
      <c r="A107" s="325" t="s">
        <v>8144</v>
      </c>
      <c r="B107" s="327" t="s">
        <v>7814</v>
      </c>
      <c r="C107" s="327" t="str">
        <f>IFERROR(LEFT(ESS_DATA[[#This Row],[TCL REFERENCE]],FIND(".",ESS_DATA[[#This Row],[TCL REFERENCE]],1)-1),"Main Line")</f>
        <v>Main Line</v>
      </c>
      <c r="D107" s="327" t="s">
        <v>63</v>
      </c>
      <c r="E107" s="326" t="s">
        <v>64</v>
      </c>
      <c r="F107" s="326" t="s">
        <v>65</v>
      </c>
      <c r="G107" s="327" t="s">
        <v>402</v>
      </c>
      <c r="H107" s="327" t="s">
        <v>67</v>
      </c>
      <c r="I107" s="327"/>
      <c r="J107" s="327" t="s">
        <v>8027</v>
      </c>
      <c r="K107" s="327"/>
      <c r="L107" s="328"/>
      <c r="M107" s="329" t="s">
        <v>68</v>
      </c>
      <c r="N107" s="326" t="s">
        <v>7862</v>
      </c>
      <c r="O107" s="326" t="s">
        <v>7829</v>
      </c>
      <c r="P107" s="402" t="s">
        <v>7863</v>
      </c>
      <c r="Q107" s="354"/>
      <c r="R107" s="331">
        <v>1</v>
      </c>
      <c r="S107" s="332"/>
      <c r="T107" s="327"/>
      <c r="U107" s="337">
        <f>ESS_DATA[[#This Row],[QUANTITY]]/224</f>
        <v>4.464285714285714E-3</v>
      </c>
      <c r="V107" s="369" t="s">
        <v>7860</v>
      </c>
      <c r="W107" s="327" t="s">
        <v>4369</v>
      </c>
      <c r="X107" s="327" t="str">
        <f t="shared" si="4"/>
        <v>COMPLETED</v>
      </c>
      <c r="Y107" s="333">
        <v>46203</v>
      </c>
      <c r="Z107" s="333">
        <v>46203</v>
      </c>
      <c r="AA107" s="334">
        <f>WEEKNUM(ESS_DATA[[#This Row],[Pick-Up Date]])</f>
        <v>27</v>
      </c>
      <c r="AB107" s="327" t="s">
        <v>8140</v>
      </c>
      <c r="AC107" s="327"/>
      <c r="AD107" s="327" t="s">
        <v>122</v>
      </c>
      <c r="AE107" s="327" t="s">
        <v>123</v>
      </c>
      <c r="AF107" s="327" t="s">
        <v>78</v>
      </c>
      <c r="AG107" s="333">
        <v>46210</v>
      </c>
      <c r="AH107" s="333">
        <v>46232</v>
      </c>
      <c r="AI107" s="333">
        <v>46232</v>
      </c>
      <c r="AJ107" s="333">
        <v>46253</v>
      </c>
      <c r="AK107" s="333">
        <v>46272</v>
      </c>
      <c r="AL107" s="333">
        <v>46272</v>
      </c>
      <c r="AM107" s="335" t="s">
        <v>402</v>
      </c>
      <c r="AN107" s="333" t="s">
        <v>8141</v>
      </c>
      <c r="AO107" s="333" t="s">
        <v>80</v>
      </c>
      <c r="AP107" s="333" t="s">
        <v>8142</v>
      </c>
      <c r="AQ107" s="327" t="s">
        <v>8143</v>
      </c>
      <c r="AR107" s="327" t="s">
        <v>8143</v>
      </c>
      <c r="AS107" s="327">
        <f>ESS_DATA[[#This Row],[ETA On S/O]]-ESS_DATA[[#This Row],[ETD On S/O]]+1</f>
        <v>44</v>
      </c>
      <c r="AT107" s="327"/>
      <c r="AU107" s="347" cm="1">
        <f t="array" ref="AU10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46272</v>
      </c>
      <c r="AV10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07" s="14">
        <f>IF(ISERROR(ESS_DATA[[#This Row],[New Ark PO status]]),"",_xlfn.XLOOKUP(ESS_DATA[[#This Row],[SPTN-PVHK New Ark PO'#]],New_Ark_Data[Purchase order Number],New_Ark_Data[Estimated time of arrival],"",0))</f>
        <v>46279</v>
      </c>
      <c r="AX107" s="327">
        <f>IF(ESS_DATA[[#This Row],[New Ark PO Type]]="Offshore",0,IFERROR(VLOOKUP(ESS_DATA[[#This Row],[PORT OF LOADING]]&amp;ESS_DATA[[#This Row],[PORT DESTINATION]],LT_REF[],7,0),14))</f>
        <v>8</v>
      </c>
      <c r="AY107" s="14">
        <f>IFERROR(ESS_DATA[[#This Row],[ODP ETA Port]]+ESS_DATA[[#This Row],[Customs/Leg3 Assumption]],"n/a")</f>
        <v>46280</v>
      </c>
      <c r="AZ107" s="326">
        <f>YEAR(ESS_DATA[[#This Row],[ETA for New Ark update]])</f>
        <v>2026</v>
      </c>
      <c r="BA107" s="326">
        <f>MONTH(ESS_DATA[[#This Row],[ETA for New Ark update]])</f>
        <v>9</v>
      </c>
      <c r="BB107" s="326">
        <f>IFERROR(_xlfn.ISOWEEKNUM(ESS_DATA[[#This Row],[ETA for New Ark update]]),0)</f>
        <v>38</v>
      </c>
      <c r="BC107" s="326" t="str">
        <f>_xlfn.XLOOKUP(ESS_DATA[[#This Row],[PORT DESTINATION]],Table12[PORT DESTINATION],Table12[Cosco Line],,0)</f>
        <v>AEM</v>
      </c>
      <c r="BD107" s="82"/>
    </row>
    <row r="108" spans="1:57" s="336" customFormat="1" ht="12.75" customHeight="1">
      <c r="A108" s="325" t="s">
        <v>8145</v>
      </c>
      <c r="B108" s="327" t="s">
        <v>7814</v>
      </c>
      <c r="C108" s="327" t="str">
        <f>IFERROR(LEFT(ESS_DATA[[#This Row],[TCL REFERENCE]],FIND(".",ESS_DATA[[#This Row],[TCL REFERENCE]],1)-1),"Main Line")</f>
        <v>Main Line</v>
      </c>
      <c r="D108" s="327" t="s">
        <v>63</v>
      </c>
      <c r="E108" s="326" t="s">
        <v>64</v>
      </c>
      <c r="F108" s="326" t="s">
        <v>65</v>
      </c>
      <c r="G108" s="327" t="s">
        <v>402</v>
      </c>
      <c r="H108" s="327" t="s">
        <v>67</v>
      </c>
      <c r="I108" s="327"/>
      <c r="J108" s="327" t="s">
        <v>8027</v>
      </c>
      <c r="K108" s="327"/>
      <c r="L108" s="328"/>
      <c r="M108" s="329" t="s">
        <v>68</v>
      </c>
      <c r="N108" s="326" t="s">
        <v>7837</v>
      </c>
      <c r="O108" s="326" t="s">
        <v>7829</v>
      </c>
      <c r="P108" s="402" t="s">
        <v>7838</v>
      </c>
      <c r="Q108" s="354"/>
      <c r="R108" s="331">
        <v>45</v>
      </c>
      <c r="S108" s="332"/>
      <c r="T108" s="327"/>
      <c r="U108" s="337">
        <f>ESS_DATA[[#This Row],[QUANTITY]]/224</f>
        <v>0.20089285714285715</v>
      </c>
      <c r="V108" s="369" t="s">
        <v>7860</v>
      </c>
      <c r="W108" s="327" t="s">
        <v>4369</v>
      </c>
      <c r="X108" s="327" t="str">
        <f t="shared" si="4"/>
        <v>COMPLETED</v>
      </c>
      <c r="Y108" s="333">
        <v>46203</v>
      </c>
      <c r="Z108" s="333">
        <v>46203</v>
      </c>
      <c r="AA108" s="334">
        <f>WEEKNUM(ESS_DATA[[#This Row],[Pick-Up Date]])</f>
        <v>27</v>
      </c>
      <c r="AB108" s="327" t="s">
        <v>8140</v>
      </c>
      <c r="AC108" s="327"/>
      <c r="AD108" s="327" t="s">
        <v>122</v>
      </c>
      <c r="AE108" s="327" t="s">
        <v>123</v>
      </c>
      <c r="AF108" s="327" t="s">
        <v>78</v>
      </c>
      <c r="AG108" s="333">
        <v>46210</v>
      </c>
      <c r="AH108" s="333">
        <v>46232</v>
      </c>
      <c r="AI108" s="333">
        <v>46232</v>
      </c>
      <c r="AJ108" s="333">
        <v>46253</v>
      </c>
      <c r="AK108" s="333">
        <v>46272</v>
      </c>
      <c r="AL108" s="333">
        <v>46272</v>
      </c>
      <c r="AM108" s="335" t="s">
        <v>402</v>
      </c>
      <c r="AN108" s="333" t="s">
        <v>8141</v>
      </c>
      <c r="AO108" s="333" t="s">
        <v>80</v>
      </c>
      <c r="AP108" s="333" t="s">
        <v>8142</v>
      </c>
      <c r="AQ108" s="327" t="s">
        <v>8143</v>
      </c>
      <c r="AR108" s="327" t="s">
        <v>8143</v>
      </c>
      <c r="AS108" s="327">
        <f>ESS_DATA[[#This Row],[ETA On S/O]]-ESS_DATA[[#This Row],[ETD On S/O]]+1</f>
        <v>44</v>
      </c>
      <c r="AT108" s="327"/>
      <c r="AU108" s="347" cm="1">
        <f t="array" ref="AU10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46272</v>
      </c>
      <c r="AV10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08" s="14">
        <f>IF(ISERROR(ESS_DATA[[#This Row],[New Ark PO status]]),"",_xlfn.XLOOKUP(ESS_DATA[[#This Row],[SPTN-PVHK New Ark PO'#]],New_Ark_Data[Purchase order Number],New_Ark_Data[Estimated time of arrival],"",0))</f>
        <v>46279</v>
      </c>
      <c r="AX108" s="327">
        <f>IF(ESS_DATA[[#This Row],[New Ark PO Type]]="Offshore",0,IFERROR(VLOOKUP(ESS_DATA[[#This Row],[PORT OF LOADING]]&amp;ESS_DATA[[#This Row],[PORT DESTINATION]],LT_REF[],7,0),14))</f>
        <v>8</v>
      </c>
      <c r="AY108" s="14">
        <f>IFERROR(ESS_DATA[[#This Row],[ODP ETA Port]]+ESS_DATA[[#This Row],[Customs/Leg3 Assumption]],"n/a")</f>
        <v>46280</v>
      </c>
      <c r="AZ108" s="326">
        <f>YEAR(ESS_DATA[[#This Row],[ETA for New Ark update]])</f>
        <v>2026</v>
      </c>
      <c r="BA108" s="326">
        <f>MONTH(ESS_DATA[[#This Row],[ETA for New Ark update]])</f>
        <v>9</v>
      </c>
      <c r="BB108" s="326">
        <f>IFERROR(_xlfn.ISOWEEKNUM(ESS_DATA[[#This Row],[ETA for New Ark update]]),0)</f>
        <v>38</v>
      </c>
      <c r="BC108" s="326" t="str">
        <f>_xlfn.XLOOKUP(ESS_DATA[[#This Row],[PORT DESTINATION]],Table12[PORT DESTINATION],Table12[Cosco Line],,0)</f>
        <v>AEM</v>
      </c>
      <c r="BD108" s="82"/>
    </row>
    <row r="109" spans="1:57" s="336" customFormat="1" ht="12.75" customHeight="1">
      <c r="A109" s="325" t="s">
        <v>8146</v>
      </c>
      <c r="B109" s="327" t="s">
        <v>7814</v>
      </c>
      <c r="C109" s="327" t="str">
        <f>IFERROR(LEFT(ESS_DATA[[#This Row],[TCL REFERENCE]],FIND(".",ESS_DATA[[#This Row],[TCL REFERENCE]],1)-1),"Main Line")</f>
        <v>Main Line</v>
      </c>
      <c r="D109" s="327" t="s">
        <v>63</v>
      </c>
      <c r="E109" s="326" t="s">
        <v>64</v>
      </c>
      <c r="F109" s="326" t="s">
        <v>65</v>
      </c>
      <c r="G109" s="327" t="s">
        <v>402</v>
      </c>
      <c r="H109" s="327" t="s">
        <v>67</v>
      </c>
      <c r="I109" s="327"/>
      <c r="J109" s="327" t="s">
        <v>8027</v>
      </c>
      <c r="K109" s="327"/>
      <c r="L109" s="328"/>
      <c r="M109" s="329" t="s">
        <v>68</v>
      </c>
      <c r="N109" s="326" t="s">
        <v>7837</v>
      </c>
      <c r="O109" s="326" t="s">
        <v>7829</v>
      </c>
      <c r="P109" s="402" t="s">
        <v>7838</v>
      </c>
      <c r="Q109" s="354"/>
      <c r="R109" s="331">
        <v>2</v>
      </c>
      <c r="S109" s="332"/>
      <c r="T109" s="327"/>
      <c r="U109" s="337">
        <f>ESS_DATA[[#This Row],[QUANTITY]]/224</f>
        <v>8.9285714285714281E-3</v>
      </c>
      <c r="V109" s="369" t="s">
        <v>7860</v>
      </c>
      <c r="W109" s="327" t="s">
        <v>4369</v>
      </c>
      <c r="X109" s="327" t="str">
        <f t="shared" si="4"/>
        <v>COMPLETED</v>
      </c>
      <c r="Y109" s="333">
        <v>46203</v>
      </c>
      <c r="Z109" s="333">
        <v>46203</v>
      </c>
      <c r="AA109" s="334">
        <f>WEEKNUM(ESS_DATA[[#This Row],[Pick-Up Date]])</f>
        <v>27</v>
      </c>
      <c r="AB109" s="327" t="s">
        <v>8140</v>
      </c>
      <c r="AC109" s="327"/>
      <c r="AD109" s="327" t="s">
        <v>122</v>
      </c>
      <c r="AE109" s="327" t="s">
        <v>123</v>
      </c>
      <c r="AF109" s="327" t="s">
        <v>78</v>
      </c>
      <c r="AG109" s="333">
        <v>46210</v>
      </c>
      <c r="AH109" s="333">
        <v>46232</v>
      </c>
      <c r="AI109" s="333">
        <v>46232</v>
      </c>
      <c r="AJ109" s="333">
        <v>46253</v>
      </c>
      <c r="AK109" s="333">
        <v>46272</v>
      </c>
      <c r="AL109" s="333">
        <v>46272</v>
      </c>
      <c r="AM109" s="335" t="s">
        <v>402</v>
      </c>
      <c r="AN109" s="333" t="s">
        <v>8141</v>
      </c>
      <c r="AO109" s="333" t="s">
        <v>80</v>
      </c>
      <c r="AP109" s="333" t="s">
        <v>8142</v>
      </c>
      <c r="AQ109" s="327" t="s">
        <v>8143</v>
      </c>
      <c r="AR109" s="327" t="s">
        <v>8143</v>
      </c>
      <c r="AS109" s="327">
        <f>ESS_DATA[[#This Row],[ETA On S/O]]-ESS_DATA[[#This Row],[ETD On S/O]]+1</f>
        <v>44</v>
      </c>
      <c r="AT109" s="327"/>
      <c r="AU109" s="347" cm="1">
        <f t="array" ref="AU10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46272</v>
      </c>
      <c r="AV10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09" s="14">
        <f>IF(ISERROR(ESS_DATA[[#This Row],[New Ark PO status]]),"",_xlfn.XLOOKUP(ESS_DATA[[#This Row],[SPTN-PVHK New Ark PO'#]],New_Ark_Data[Purchase order Number],New_Ark_Data[Estimated time of arrival],"",0))</f>
        <v>46279</v>
      </c>
      <c r="AX109" s="327">
        <f>IF(ESS_DATA[[#This Row],[New Ark PO Type]]="Offshore",0,IFERROR(VLOOKUP(ESS_DATA[[#This Row],[PORT OF LOADING]]&amp;ESS_DATA[[#This Row],[PORT DESTINATION]],LT_REF[],7,0),14))</f>
        <v>8</v>
      </c>
      <c r="AY109" s="14">
        <f>IFERROR(ESS_DATA[[#This Row],[ODP ETA Port]]+ESS_DATA[[#This Row],[Customs/Leg3 Assumption]],"n/a")</f>
        <v>46280</v>
      </c>
      <c r="AZ109" s="326">
        <f>YEAR(ESS_DATA[[#This Row],[ETA for New Ark update]])</f>
        <v>2026</v>
      </c>
      <c r="BA109" s="326">
        <f>MONTH(ESS_DATA[[#This Row],[ETA for New Ark update]])</f>
        <v>9</v>
      </c>
      <c r="BB109" s="326">
        <f>IFERROR(_xlfn.ISOWEEKNUM(ESS_DATA[[#This Row],[ETA for New Ark update]]),0)</f>
        <v>38</v>
      </c>
      <c r="BC109" s="326" t="str">
        <f>_xlfn.XLOOKUP(ESS_DATA[[#This Row],[PORT DESTINATION]],Table12[PORT DESTINATION],Table12[Cosco Line],,0)</f>
        <v>AEM</v>
      </c>
      <c r="BD109" s="82"/>
    </row>
    <row r="110" spans="1:57" s="336" customFormat="1" ht="12.75" customHeight="1">
      <c r="A110" s="325" t="s">
        <v>8147</v>
      </c>
      <c r="B110" s="327" t="s">
        <v>7814</v>
      </c>
      <c r="C110" s="327" t="str">
        <f>IFERROR(LEFT(ESS_DATA[[#This Row],[TCL REFERENCE]],FIND(".",ESS_DATA[[#This Row],[TCL REFERENCE]],1)-1),"Main Line")</f>
        <v>Main Line</v>
      </c>
      <c r="D110" s="327" t="s">
        <v>63</v>
      </c>
      <c r="E110" s="326" t="s">
        <v>64</v>
      </c>
      <c r="F110" s="326" t="s">
        <v>65</v>
      </c>
      <c r="G110" s="327" t="s">
        <v>402</v>
      </c>
      <c r="H110" s="327" t="s">
        <v>67</v>
      </c>
      <c r="I110" s="327"/>
      <c r="J110" s="327" t="s">
        <v>8027</v>
      </c>
      <c r="K110" s="327"/>
      <c r="L110" s="328"/>
      <c r="M110" s="329" t="s">
        <v>68</v>
      </c>
      <c r="N110" s="326" t="s">
        <v>7840</v>
      </c>
      <c r="O110" s="326" t="s">
        <v>8037</v>
      </c>
      <c r="P110" s="402" t="s">
        <v>7842</v>
      </c>
      <c r="Q110" s="354"/>
      <c r="R110" s="331">
        <v>155</v>
      </c>
      <c r="S110" s="332"/>
      <c r="T110" s="327"/>
      <c r="U110" s="337">
        <f>ESS_DATA[[#This Row],[QUANTITY]]/350</f>
        <v>0.44285714285714284</v>
      </c>
      <c r="V110" s="369" t="s">
        <v>7860</v>
      </c>
      <c r="W110" s="327" t="s">
        <v>4369</v>
      </c>
      <c r="X110" s="327" t="str">
        <f t="shared" si="4"/>
        <v>COMPLETED</v>
      </c>
      <c r="Y110" s="333">
        <v>46203</v>
      </c>
      <c r="Z110" s="333">
        <v>46203</v>
      </c>
      <c r="AA110" s="334">
        <f>WEEKNUM(ESS_DATA[[#This Row],[Pick-Up Date]])</f>
        <v>27</v>
      </c>
      <c r="AB110" s="327" t="s">
        <v>8140</v>
      </c>
      <c r="AC110" s="327"/>
      <c r="AD110" s="327" t="s">
        <v>122</v>
      </c>
      <c r="AE110" s="327" t="s">
        <v>123</v>
      </c>
      <c r="AF110" s="327" t="s">
        <v>78</v>
      </c>
      <c r="AG110" s="333">
        <v>46210</v>
      </c>
      <c r="AH110" s="333">
        <v>46232</v>
      </c>
      <c r="AI110" s="333">
        <v>46232</v>
      </c>
      <c r="AJ110" s="333">
        <v>46253</v>
      </c>
      <c r="AK110" s="333">
        <v>46272</v>
      </c>
      <c r="AL110" s="333">
        <v>46272</v>
      </c>
      <c r="AM110" s="335" t="s">
        <v>402</v>
      </c>
      <c r="AN110" s="333" t="s">
        <v>8141</v>
      </c>
      <c r="AO110" s="333" t="s">
        <v>80</v>
      </c>
      <c r="AP110" s="333" t="s">
        <v>8142</v>
      </c>
      <c r="AQ110" s="327" t="s">
        <v>8143</v>
      </c>
      <c r="AR110" s="327" t="s">
        <v>8143</v>
      </c>
      <c r="AS110" s="327">
        <f>ESS_DATA[[#This Row],[ETA On S/O]]-ESS_DATA[[#This Row],[ETD On S/O]]+1</f>
        <v>44</v>
      </c>
      <c r="AT110" s="327"/>
      <c r="AU110" s="347" cm="1">
        <f t="array" ref="AU11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46272</v>
      </c>
      <c r="AV11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10" s="14">
        <f>IF(ISERROR(ESS_DATA[[#This Row],[New Ark PO status]]),"",_xlfn.XLOOKUP(ESS_DATA[[#This Row],[SPTN-PVHK New Ark PO'#]],New_Ark_Data[Purchase order Number],New_Ark_Data[Estimated time of arrival],"",0))</f>
        <v>46279</v>
      </c>
      <c r="AX110" s="327">
        <f>IF(ESS_DATA[[#This Row],[New Ark PO Type]]="Offshore",0,IFERROR(VLOOKUP(ESS_DATA[[#This Row],[PORT OF LOADING]]&amp;ESS_DATA[[#This Row],[PORT DESTINATION]],LT_REF[],7,0),14))</f>
        <v>8</v>
      </c>
      <c r="AY110" s="14">
        <f>IFERROR(ESS_DATA[[#This Row],[ODP ETA Port]]+ESS_DATA[[#This Row],[Customs/Leg3 Assumption]],"n/a")</f>
        <v>46280</v>
      </c>
      <c r="AZ110" s="326">
        <f>YEAR(ESS_DATA[[#This Row],[ETA for New Ark update]])</f>
        <v>2026</v>
      </c>
      <c r="BA110" s="326">
        <f>MONTH(ESS_DATA[[#This Row],[ETA for New Ark update]])</f>
        <v>9</v>
      </c>
      <c r="BB110" s="326">
        <f>IFERROR(_xlfn.ISOWEEKNUM(ESS_DATA[[#This Row],[ETA for New Ark update]]),0)</f>
        <v>38</v>
      </c>
      <c r="BC110" s="326" t="str">
        <f>_xlfn.XLOOKUP(ESS_DATA[[#This Row],[PORT DESTINATION]],Table12[PORT DESTINATION],Table12[Cosco Line],,0)</f>
        <v>AEM</v>
      </c>
      <c r="BD110" s="82"/>
    </row>
    <row r="111" spans="1:57" s="336" customFormat="1" ht="12.75" customHeight="1">
      <c r="A111" s="325" t="s">
        <v>8148</v>
      </c>
      <c r="B111" s="327" t="s">
        <v>7814</v>
      </c>
      <c r="C111" s="327" t="str">
        <f>IFERROR(LEFT(ESS_DATA[[#This Row],[TCL REFERENCE]],FIND(".",ESS_DATA[[#This Row],[TCL REFERENCE]],1)-1),"Main Line")</f>
        <v>Main Line</v>
      </c>
      <c r="D111" s="327" t="s">
        <v>63</v>
      </c>
      <c r="E111" s="326" t="s">
        <v>64</v>
      </c>
      <c r="F111" s="326" t="s">
        <v>65</v>
      </c>
      <c r="G111" s="327" t="s">
        <v>402</v>
      </c>
      <c r="H111" s="327" t="s">
        <v>67</v>
      </c>
      <c r="I111" s="327"/>
      <c r="J111" s="327" t="s">
        <v>8027</v>
      </c>
      <c r="K111" s="327"/>
      <c r="L111" s="328"/>
      <c r="M111" s="329" t="s">
        <v>68</v>
      </c>
      <c r="N111" s="326" t="s">
        <v>7840</v>
      </c>
      <c r="O111" s="326" t="s">
        <v>8037</v>
      </c>
      <c r="P111" s="402" t="s">
        <v>7842</v>
      </c>
      <c r="Q111" s="354"/>
      <c r="R111" s="331">
        <v>15</v>
      </c>
      <c r="S111" s="332"/>
      <c r="T111" s="327"/>
      <c r="U111" s="337">
        <f>ESS_DATA[[#This Row],[QUANTITY]]/350</f>
        <v>4.2857142857142858E-2</v>
      </c>
      <c r="V111" s="369" t="s">
        <v>7860</v>
      </c>
      <c r="W111" s="327" t="s">
        <v>4369</v>
      </c>
      <c r="X111" s="327" t="str">
        <f t="shared" si="4"/>
        <v>COMPLETED</v>
      </c>
      <c r="Y111" s="333">
        <v>46203</v>
      </c>
      <c r="Z111" s="333">
        <v>46203</v>
      </c>
      <c r="AA111" s="334">
        <f>WEEKNUM(ESS_DATA[[#This Row],[Pick-Up Date]])</f>
        <v>27</v>
      </c>
      <c r="AB111" s="327" t="s">
        <v>8140</v>
      </c>
      <c r="AC111" s="327"/>
      <c r="AD111" s="327" t="s">
        <v>122</v>
      </c>
      <c r="AE111" s="327" t="s">
        <v>123</v>
      </c>
      <c r="AF111" s="327" t="s">
        <v>78</v>
      </c>
      <c r="AG111" s="333">
        <v>46210</v>
      </c>
      <c r="AH111" s="333">
        <v>46232</v>
      </c>
      <c r="AI111" s="333">
        <v>46232</v>
      </c>
      <c r="AJ111" s="333">
        <v>46253</v>
      </c>
      <c r="AK111" s="333">
        <v>46272</v>
      </c>
      <c r="AL111" s="333">
        <v>46272</v>
      </c>
      <c r="AM111" s="335" t="s">
        <v>402</v>
      </c>
      <c r="AN111" s="333" t="s">
        <v>8141</v>
      </c>
      <c r="AO111" s="333" t="s">
        <v>80</v>
      </c>
      <c r="AP111" s="333" t="s">
        <v>8142</v>
      </c>
      <c r="AQ111" s="327" t="s">
        <v>8143</v>
      </c>
      <c r="AR111" s="327" t="s">
        <v>8143</v>
      </c>
      <c r="AS111" s="327">
        <f>ESS_DATA[[#This Row],[ETA On S/O]]-ESS_DATA[[#This Row],[ETD On S/O]]+1</f>
        <v>44</v>
      </c>
      <c r="AT111" s="327"/>
      <c r="AU111" s="347" cm="1">
        <f t="array" ref="AU11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46272</v>
      </c>
      <c r="AV11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11" s="14">
        <f>IF(ISERROR(ESS_DATA[[#This Row],[New Ark PO status]]),"",_xlfn.XLOOKUP(ESS_DATA[[#This Row],[SPTN-PVHK New Ark PO'#]],New_Ark_Data[Purchase order Number],New_Ark_Data[Estimated time of arrival],"",0))</f>
        <v>46279</v>
      </c>
      <c r="AX111" s="327">
        <f>IF(ESS_DATA[[#This Row],[New Ark PO Type]]="Offshore",0,IFERROR(VLOOKUP(ESS_DATA[[#This Row],[PORT OF LOADING]]&amp;ESS_DATA[[#This Row],[PORT DESTINATION]],LT_REF[],7,0),14))</f>
        <v>8</v>
      </c>
      <c r="AY111" s="14">
        <f>IFERROR(ESS_DATA[[#This Row],[ODP ETA Port]]+ESS_DATA[[#This Row],[Customs/Leg3 Assumption]],"n/a")</f>
        <v>46280</v>
      </c>
      <c r="AZ111" s="326">
        <f>YEAR(ESS_DATA[[#This Row],[ETA for New Ark update]])</f>
        <v>2026</v>
      </c>
      <c r="BA111" s="326">
        <f>MONTH(ESS_DATA[[#This Row],[ETA for New Ark update]])</f>
        <v>9</v>
      </c>
      <c r="BB111" s="326">
        <f>IFERROR(_xlfn.ISOWEEKNUM(ESS_DATA[[#This Row],[ETA for New Ark update]]),0)</f>
        <v>38</v>
      </c>
      <c r="BC111" s="326" t="str">
        <f>_xlfn.XLOOKUP(ESS_DATA[[#This Row],[PORT DESTINATION]],Table12[PORT DESTINATION],Table12[Cosco Line],,0)</f>
        <v>AEM</v>
      </c>
      <c r="BD111" s="82"/>
    </row>
    <row r="112" spans="1:57" s="336" customFormat="1" ht="12" customHeight="1">
      <c r="A112" s="325" t="s">
        <v>8149</v>
      </c>
      <c r="B112" s="327" t="s">
        <v>7814</v>
      </c>
      <c r="C112" s="327" t="str">
        <f>IFERROR(LEFT(ESS_DATA[[#This Row],[TCL REFERENCE]],FIND(".",ESS_DATA[[#This Row],[TCL REFERENCE]],1)-1),"Main Line")</f>
        <v>Main Line</v>
      </c>
      <c r="D112" s="327" t="s">
        <v>63</v>
      </c>
      <c r="E112" s="326" t="s">
        <v>64</v>
      </c>
      <c r="F112" s="326" t="s">
        <v>65</v>
      </c>
      <c r="G112" s="327" t="s">
        <v>402</v>
      </c>
      <c r="H112" s="327" t="s">
        <v>67</v>
      </c>
      <c r="I112" s="327"/>
      <c r="J112" s="327" t="s">
        <v>8027</v>
      </c>
      <c r="K112" s="327"/>
      <c r="L112" s="328"/>
      <c r="M112" s="329" t="s">
        <v>68</v>
      </c>
      <c r="N112" s="326" t="s">
        <v>7816</v>
      </c>
      <c r="O112" s="326" t="s">
        <v>7986</v>
      </c>
      <c r="P112" s="327" t="s">
        <v>7818</v>
      </c>
      <c r="Q112" s="354"/>
      <c r="R112" s="331">
        <v>180</v>
      </c>
      <c r="S112" s="332"/>
      <c r="T112" s="327"/>
      <c r="U112" s="337">
        <v>0.19</v>
      </c>
      <c r="V112" s="369" t="s">
        <v>7860</v>
      </c>
      <c r="W112" s="327" t="s">
        <v>4369</v>
      </c>
      <c r="X112" s="327" t="str">
        <f t="shared" si="4"/>
        <v>COMPLETED</v>
      </c>
      <c r="Y112" s="333">
        <v>46203</v>
      </c>
      <c r="Z112" s="333">
        <v>46203</v>
      </c>
      <c r="AA112" s="334">
        <f>WEEKNUM(ESS_DATA[[#This Row],[Pick-Up Date]])</f>
        <v>27</v>
      </c>
      <c r="AB112" s="327" t="s">
        <v>8140</v>
      </c>
      <c r="AC112" s="327"/>
      <c r="AD112" s="327" t="s">
        <v>122</v>
      </c>
      <c r="AE112" s="327" t="s">
        <v>123</v>
      </c>
      <c r="AF112" s="327" t="s">
        <v>78</v>
      </c>
      <c r="AG112" s="333">
        <v>46210</v>
      </c>
      <c r="AH112" s="333">
        <v>46232</v>
      </c>
      <c r="AI112" s="333">
        <v>46232</v>
      </c>
      <c r="AJ112" s="333">
        <v>46253</v>
      </c>
      <c r="AK112" s="333">
        <v>46272</v>
      </c>
      <c r="AL112" s="333">
        <v>46272</v>
      </c>
      <c r="AM112" s="335" t="s">
        <v>402</v>
      </c>
      <c r="AN112" s="333" t="s">
        <v>8141</v>
      </c>
      <c r="AO112" s="333" t="s">
        <v>80</v>
      </c>
      <c r="AP112" s="333" t="s">
        <v>8142</v>
      </c>
      <c r="AQ112" s="327" t="s">
        <v>8143</v>
      </c>
      <c r="AR112" s="327" t="s">
        <v>8143</v>
      </c>
      <c r="AS112" s="327">
        <f>ESS_DATA[[#This Row],[ETA On S/O]]-ESS_DATA[[#This Row],[ETD On S/O]]+1</f>
        <v>44</v>
      </c>
      <c r="AT112" s="327"/>
      <c r="AU112" s="347" cm="1">
        <f t="array" ref="AU11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46272</v>
      </c>
      <c r="AV11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12" s="14">
        <f>IF(ISERROR(ESS_DATA[[#This Row],[New Ark PO status]]),"",_xlfn.XLOOKUP(ESS_DATA[[#This Row],[SPTN-PVHK New Ark PO'#]],New_Ark_Data[Purchase order Number],New_Ark_Data[Estimated time of arrival],"",0))</f>
        <v>46279</v>
      </c>
      <c r="AX112" s="327">
        <f>IF(ESS_DATA[[#This Row],[New Ark PO Type]]="Offshore",0,IFERROR(VLOOKUP(ESS_DATA[[#This Row],[PORT OF LOADING]]&amp;ESS_DATA[[#This Row],[PORT DESTINATION]],LT_REF[],7,0),14))</f>
        <v>8</v>
      </c>
      <c r="AY112" s="14">
        <f>IFERROR(ESS_DATA[[#This Row],[ODP ETA Port]]+ESS_DATA[[#This Row],[Customs/Leg3 Assumption]],"n/a")</f>
        <v>46280</v>
      </c>
      <c r="AZ112" s="326">
        <f>YEAR(ESS_DATA[[#This Row],[ETA for New Ark update]])</f>
        <v>2026</v>
      </c>
      <c r="BA112" s="326">
        <f>MONTH(ESS_DATA[[#This Row],[ETA for New Ark update]])</f>
        <v>9</v>
      </c>
      <c r="BB112" s="326">
        <f>IFERROR(_xlfn.ISOWEEKNUM(ESS_DATA[[#This Row],[ETA for New Ark update]]),0)</f>
        <v>38</v>
      </c>
      <c r="BC112" s="326" t="str">
        <f>_xlfn.XLOOKUP(ESS_DATA[[#This Row],[PORT DESTINATION]],Table12[PORT DESTINATION],Table12[Cosco Line],,0)</f>
        <v>AEM</v>
      </c>
      <c r="BD112" s="82"/>
    </row>
    <row r="113" spans="1:61" s="336" customFormat="1" ht="14.25" customHeight="1">
      <c r="A113" s="532" t="s">
        <v>8150</v>
      </c>
      <c r="B113" s="325" t="s">
        <v>7814</v>
      </c>
      <c r="C113" s="327" t="str">
        <f>IFERROR(LEFT(ESS_DATA[[#This Row],[TCL REFERENCE]],FIND(".",ESS_DATA[[#This Row],[TCL REFERENCE]],1)-1),"Main Line")</f>
        <v>Main Line</v>
      </c>
      <c r="D113" s="327" t="s">
        <v>63</v>
      </c>
      <c r="E113" s="326" t="s">
        <v>64</v>
      </c>
      <c r="F113" s="326" t="s">
        <v>65</v>
      </c>
      <c r="G113" s="327" t="s">
        <v>402</v>
      </c>
      <c r="H113" s="327" t="s">
        <v>67</v>
      </c>
      <c r="I113" s="327"/>
      <c r="J113" s="327" t="s">
        <v>8027</v>
      </c>
      <c r="K113" s="327"/>
      <c r="L113" s="328"/>
      <c r="M113" s="329" t="s">
        <v>68</v>
      </c>
      <c r="N113" s="326" t="s">
        <v>7828</v>
      </c>
      <c r="O113" s="326" t="s">
        <v>7829</v>
      </c>
      <c r="P113" s="402" t="s">
        <v>7830</v>
      </c>
      <c r="Q113" s="354"/>
      <c r="R113" s="331">
        <v>198</v>
      </c>
      <c r="S113" s="332"/>
      <c r="T113" s="327"/>
      <c r="U113" s="337">
        <f>ESS_DATA[[#This Row],[QUANTITY]]/224</f>
        <v>0.8839285714285714</v>
      </c>
      <c r="V113" s="369" t="s">
        <v>7864</v>
      </c>
      <c r="W113" s="541" t="s">
        <v>4369</v>
      </c>
      <c r="X113" s="327" t="str">
        <f t="shared" si="4"/>
        <v>COMPLETED</v>
      </c>
      <c r="Y113" s="416">
        <v>46210</v>
      </c>
      <c r="Z113" s="333">
        <v>46210</v>
      </c>
      <c r="AA113" s="334">
        <f>WEEKNUM(ESS_DATA[[#This Row],[Pick-Up Date]])</f>
        <v>28</v>
      </c>
      <c r="AB113" s="327" t="s">
        <v>8140</v>
      </c>
      <c r="AC113" s="327"/>
      <c r="AD113" s="327" t="s">
        <v>122</v>
      </c>
      <c r="AE113" s="327" t="s">
        <v>123</v>
      </c>
      <c r="AF113" s="327" t="s">
        <v>78</v>
      </c>
      <c r="AG113" s="333">
        <v>46216</v>
      </c>
      <c r="AH113" s="333">
        <v>46232</v>
      </c>
      <c r="AI113" s="333">
        <v>46232</v>
      </c>
      <c r="AJ113" s="333">
        <v>46260</v>
      </c>
      <c r="AK113" s="333">
        <v>46272</v>
      </c>
      <c r="AL113" s="333">
        <v>46272</v>
      </c>
      <c r="AM113" s="592" t="s">
        <v>402</v>
      </c>
      <c r="AN113" s="335" t="s">
        <v>8141</v>
      </c>
      <c r="AO113" s="593" t="s">
        <v>80</v>
      </c>
      <c r="AP113" s="333" t="s">
        <v>8151</v>
      </c>
      <c r="AQ113" s="327" t="s">
        <v>8152</v>
      </c>
      <c r="AR113" s="327" t="s">
        <v>8152</v>
      </c>
      <c r="AS113" s="327">
        <f>ESS_DATA[[#This Row],[ETA On S/O]]-ESS_DATA[[#This Row],[ETD On S/O]]+1</f>
        <v>45</v>
      </c>
      <c r="AT113" s="327"/>
      <c r="AU113" s="347" cm="1">
        <f t="array" ref="AU11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46272</v>
      </c>
      <c r="AV11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13" s="14">
        <f>IF(ISERROR(ESS_DATA[[#This Row],[New Ark PO status]]),"",_xlfn.XLOOKUP(ESS_DATA[[#This Row],[SPTN-PVHK New Ark PO'#]],New_Ark_Data[Purchase order Number],New_Ark_Data[Estimated time of arrival],"",0))</f>
        <v>46279</v>
      </c>
      <c r="AX113" s="327">
        <f>IF(ESS_DATA[[#This Row],[New Ark PO Type]]="Offshore",0,IFERROR(VLOOKUP(ESS_DATA[[#This Row],[PORT OF LOADING]]&amp;ESS_DATA[[#This Row],[PORT DESTINATION]],LT_REF[],7,0),14))</f>
        <v>8</v>
      </c>
      <c r="AY113" s="14">
        <f>IFERROR(ESS_DATA[[#This Row],[ODP ETA Port]]+ESS_DATA[[#This Row],[Customs/Leg3 Assumption]],"n/a")</f>
        <v>46280</v>
      </c>
      <c r="AZ113" s="326">
        <f>YEAR(ESS_DATA[[#This Row],[ETA for New Ark update]])</f>
        <v>2026</v>
      </c>
      <c r="BA113" s="326">
        <f>MONTH(ESS_DATA[[#This Row],[ETA for New Ark update]])</f>
        <v>9</v>
      </c>
      <c r="BB113" s="326">
        <f>IFERROR(_xlfn.ISOWEEKNUM(ESS_DATA[[#This Row],[ETA for New Ark update]]),0)</f>
        <v>38</v>
      </c>
      <c r="BC113" s="326" t="str">
        <f>_xlfn.XLOOKUP(ESS_DATA[[#This Row],[PORT DESTINATION]],Table12[PORT DESTINATION],Table12[Cosco Line],,0)</f>
        <v>AEM</v>
      </c>
      <c r="BD113" s="82"/>
    </row>
    <row r="114" spans="1:61" s="336" customFormat="1" ht="14.25" customHeight="1">
      <c r="A114" s="326" t="s">
        <v>8153</v>
      </c>
      <c r="B114" s="325" t="s">
        <v>7814</v>
      </c>
      <c r="C114" s="327" t="str">
        <f>IFERROR(LEFT(ESS_DATA[[#This Row],[TCL REFERENCE]],FIND(".",ESS_DATA[[#This Row],[TCL REFERENCE]],1)-1),"Main Line")</f>
        <v>Main Line</v>
      </c>
      <c r="D114" s="327" t="s">
        <v>63</v>
      </c>
      <c r="E114" s="326" t="s">
        <v>64</v>
      </c>
      <c r="F114" s="326" t="s">
        <v>65</v>
      </c>
      <c r="G114" s="327" t="s">
        <v>402</v>
      </c>
      <c r="H114" s="327" t="s">
        <v>67</v>
      </c>
      <c r="I114" s="327"/>
      <c r="J114" s="327" t="s">
        <v>8027</v>
      </c>
      <c r="K114" s="327"/>
      <c r="L114" s="328"/>
      <c r="M114" s="329" t="s">
        <v>68</v>
      </c>
      <c r="N114" s="326" t="s">
        <v>7828</v>
      </c>
      <c r="O114" s="326" t="s">
        <v>7829</v>
      </c>
      <c r="P114" s="402" t="s">
        <v>7830</v>
      </c>
      <c r="Q114" s="354"/>
      <c r="R114" s="539">
        <v>14</v>
      </c>
      <c r="S114" s="332"/>
      <c r="T114" s="327"/>
      <c r="U114" s="337">
        <f>ESS_DATA[[#This Row],[QUANTITY]]/224</f>
        <v>6.25E-2</v>
      </c>
      <c r="V114" s="369" t="s">
        <v>7864</v>
      </c>
      <c r="W114" s="541" t="s">
        <v>4369</v>
      </c>
      <c r="X114" s="327" t="str">
        <f t="shared" si="4"/>
        <v>COMPLETED</v>
      </c>
      <c r="Y114" s="416">
        <v>46210</v>
      </c>
      <c r="Z114" s="333">
        <v>46210</v>
      </c>
      <c r="AA114" s="334">
        <f>WEEKNUM(ESS_DATA[[#This Row],[Pick-Up Date]])</f>
        <v>28</v>
      </c>
      <c r="AB114" s="327" t="s">
        <v>8140</v>
      </c>
      <c r="AC114" s="327"/>
      <c r="AD114" s="327" t="s">
        <v>122</v>
      </c>
      <c r="AE114" s="327" t="s">
        <v>123</v>
      </c>
      <c r="AF114" s="327" t="s">
        <v>78</v>
      </c>
      <c r="AG114" s="333">
        <v>46216</v>
      </c>
      <c r="AH114" s="333">
        <v>46232</v>
      </c>
      <c r="AI114" s="333">
        <v>46232</v>
      </c>
      <c r="AJ114" s="333">
        <v>46260</v>
      </c>
      <c r="AK114" s="333">
        <v>46272</v>
      </c>
      <c r="AL114" s="333">
        <v>46272</v>
      </c>
      <c r="AM114" s="335" t="s">
        <v>402</v>
      </c>
      <c r="AN114" s="594" t="s">
        <v>8141</v>
      </c>
      <c r="AO114" s="333" t="s">
        <v>80</v>
      </c>
      <c r="AP114" s="333" t="s">
        <v>8151</v>
      </c>
      <c r="AQ114" s="327" t="s">
        <v>8152</v>
      </c>
      <c r="AR114" s="327" t="s">
        <v>8152</v>
      </c>
      <c r="AS114" s="327">
        <f>ESS_DATA[[#This Row],[ETA On S/O]]-ESS_DATA[[#This Row],[ETD On S/O]]+1</f>
        <v>45</v>
      </c>
      <c r="AT114" s="327"/>
      <c r="AU114" s="347" cm="1">
        <f t="array" ref="AU11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46272</v>
      </c>
      <c r="AV11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14" s="14">
        <f>IF(ISERROR(ESS_DATA[[#This Row],[New Ark PO status]]),"",_xlfn.XLOOKUP(ESS_DATA[[#This Row],[SPTN-PVHK New Ark PO'#]],New_Ark_Data[Purchase order Number],New_Ark_Data[Estimated time of arrival],"",0))</f>
        <v>46279</v>
      </c>
      <c r="AX114" s="327">
        <f>IF(ESS_DATA[[#This Row],[New Ark PO Type]]="Offshore",0,IFERROR(VLOOKUP(ESS_DATA[[#This Row],[PORT OF LOADING]]&amp;ESS_DATA[[#This Row],[PORT DESTINATION]],LT_REF[],7,0),14))</f>
        <v>8</v>
      </c>
      <c r="AY114" s="14">
        <f>IFERROR(ESS_DATA[[#This Row],[ODP ETA Port]]+ESS_DATA[[#This Row],[Customs/Leg3 Assumption]],"n/a")</f>
        <v>46280</v>
      </c>
      <c r="AZ114" s="326">
        <f>YEAR(ESS_DATA[[#This Row],[ETA for New Ark update]])</f>
        <v>2026</v>
      </c>
      <c r="BA114" s="326">
        <f>MONTH(ESS_DATA[[#This Row],[ETA for New Ark update]])</f>
        <v>9</v>
      </c>
      <c r="BB114" s="326">
        <f>IFERROR(_xlfn.ISOWEEKNUM(ESS_DATA[[#This Row],[ETA for New Ark update]]),0)</f>
        <v>38</v>
      </c>
      <c r="BC114" s="326" t="str">
        <f>_xlfn.XLOOKUP(ESS_DATA[[#This Row],[PORT DESTINATION]],Table12[PORT DESTINATION],Table12[Cosco Line],,0)</f>
        <v>AEM</v>
      </c>
      <c r="BD114" s="82"/>
    </row>
    <row r="115" spans="1:61" s="336" customFormat="1" ht="15" customHeight="1">
      <c r="A115" s="326" t="s">
        <v>8154</v>
      </c>
      <c r="B115" s="325" t="s">
        <v>7814</v>
      </c>
      <c r="C115" s="327" t="str">
        <f>IFERROR(LEFT(ESS_DATA[[#This Row],[TCL REFERENCE]],FIND(".",ESS_DATA[[#This Row],[TCL REFERENCE]],1)-1),"Main Line")</f>
        <v>Main Line</v>
      </c>
      <c r="D115" s="327" t="s">
        <v>63</v>
      </c>
      <c r="E115" s="326" t="s">
        <v>64</v>
      </c>
      <c r="F115" s="326" t="s">
        <v>65</v>
      </c>
      <c r="G115" s="327" t="s">
        <v>402</v>
      </c>
      <c r="H115" s="327" t="s">
        <v>67</v>
      </c>
      <c r="I115" s="327"/>
      <c r="J115" s="327" t="s">
        <v>8027</v>
      </c>
      <c r="K115" s="327"/>
      <c r="L115" s="328"/>
      <c r="M115" s="329" t="s">
        <v>68</v>
      </c>
      <c r="N115" s="326" t="s">
        <v>7837</v>
      </c>
      <c r="O115" s="326" t="s">
        <v>7829</v>
      </c>
      <c r="P115" s="402" t="s">
        <v>7838</v>
      </c>
      <c r="Q115" s="354"/>
      <c r="R115" s="331">
        <v>12</v>
      </c>
      <c r="S115" s="332"/>
      <c r="T115" s="327"/>
      <c r="U115" s="337">
        <f>ESS_DATA[[#This Row],[QUANTITY]]/224</f>
        <v>5.3571428571428568E-2</v>
      </c>
      <c r="V115" s="369" t="s">
        <v>7864</v>
      </c>
      <c r="W115" s="541" t="s">
        <v>4369</v>
      </c>
      <c r="X115" s="327" t="str">
        <f t="shared" si="4"/>
        <v>COMPLETED</v>
      </c>
      <c r="Y115" s="416">
        <v>46210</v>
      </c>
      <c r="Z115" s="333">
        <v>46210</v>
      </c>
      <c r="AA115" s="334">
        <f>WEEKNUM(ESS_DATA[[#This Row],[Pick-Up Date]])</f>
        <v>28</v>
      </c>
      <c r="AB115" s="327" t="s">
        <v>8140</v>
      </c>
      <c r="AC115" s="327"/>
      <c r="AD115" s="327" t="s">
        <v>122</v>
      </c>
      <c r="AE115" s="327" t="s">
        <v>123</v>
      </c>
      <c r="AF115" s="327" t="s">
        <v>78</v>
      </c>
      <c r="AG115" s="333">
        <v>46216</v>
      </c>
      <c r="AH115" s="333">
        <v>46232</v>
      </c>
      <c r="AI115" s="333">
        <v>46232</v>
      </c>
      <c r="AJ115" s="333">
        <v>46260</v>
      </c>
      <c r="AK115" s="333">
        <v>46272</v>
      </c>
      <c r="AL115" s="333">
        <v>46272</v>
      </c>
      <c r="AM115" s="335" t="s">
        <v>402</v>
      </c>
      <c r="AN115" s="333" t="s">
        <v>8141</v>
      </c>
      <c r="AO115" s="333" t="s">
        <v>80</v>
      </c>
      <c r="AP115" s="333" t="s">
        <v>8151</v>
      </c>
      <c r="AQ115" s="327" t="s">
        <v>8152</v>
      </c>
      <c r="AR115" s="327" t="s">
        <v>8152</v>
      </c>
      <c r="AS115" s="327">
        <f>ESS_DATA[[#This Row],[ETA On S/O]]-ESS_DATA[[#This Row],[ETD On S/O]]+1</f>
        <v>45</v>
      </c>
      <c r="AT115" s="327"/>
      <c r="AU115" s="347" cm="1">
        <f t="array" ref="AU11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46272</v>
      </c>
      <c r="AV11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15" s="14">
        <f>IF(ISERROR(ESS_DATA[[#This Row],[New Ark PO status]]),"",_xlfn.XLOOKUP(ESS_DATA[[#This Row],[SPTN-PVHK New Ark PO'#]],New_Ark_Data[Purchase order Number],New_Ark_Data[Estimated time of arrival],"",0))</f>
        <v>46279</v>
      </c>
      <c r="AX115" s="327">
        <f>IF(ESS_DATA[[#This Row],[New Ark PO Type]]="Offshore",0,IFERROR(VLOOKUP(ESS_DATA[[#This Row],[PORT OF LOADING]]&amp;ESS_DATA[[#This Row],[PORT DESTINATION]],LT_REF[],7,0),14))</f>
        <v>8</v>
      </c>
      <c r="AY115" s="14">
        <f>IFERROR(ESS_DATA[[#This Row],[ODP ETA Port]]+ESS_DATA[[#This Row],[Customs/Leg3 Assumption]],"n/a")</f>
        <v>46280</v>
      </c>
      <c r="AZ115" s="326">
        <f>YEAR(ESS_DATA[[#This Row],[ETA for New Ark update]])</f>
        <v>2026</v>
      </c>
      <c r="BA115" s="326">
        <f>MONTH(ESS_DATA[[#This Row],[ETA for New Ark update]])</f>
        <v>9</v>
      </c>
      <c r="BB115" s="326">
        <f>IFERROR(_xlfn.ISOWEEKNUM(ESS_DATA[[#This Row],[ETA for New Ark update]]),0)</f>
        <v>38</v>
      </c>
      <c r="BC115" s="326" t="str">
        <f>_xlfn.XLOOKUP(ESS_DATA[[#This Row],[PORT DESTINATION]],Table12[PORT DESTINATION],Table12[Cosco Line],,0)</f>
        <v>AEM</v>
      </c>
      <c r="BD115" s="82"/>
    </row>
    <row r="116" spans="1:61" s="336" customFormat="1" ht="13.5" customHeight="1">
      <c r="A116" s="591" t="s">
        <v>8155</v>
      </c>
      <c r="B116" s="325" t="s">
        <v>7814</v>
      </c>
      <c r="C116" s="327" t="str">
        <f>IFERROR(LEFT(ESS_DATA[[#This Row],[TCL REFERENCE]],FIND(".",ESS_DATA[[#This Row],[TCL REFERENCE]],1)-1),"Main Line")</f>
        <v>Main Line</v>
      </c>
      <c r="D116" s="327" t="s">
        <v>63</v>
      </c>
      <c r="E116" s="326" t="s">
        <v>64</v>
      </c>
      <c r="F116" s="326" t="s">
        <v>65</v>
      </c>
      <c r="G116" s="327" t="s">
        <v>402</v>
      </c>
      <c r="H116" s="327" t="s">
        <v>67</v>
      </c>
      <c r="I116" s="327"/>
      <c r="J116" s="327" t="s">
        <v>8027</v>
      </c>
      <c r="K116" s="327"/>
      <c r="L116" s="328"/>
      <c r="M116" s="329" t="s">
        <v>68</v>
      </c>
      <c r="N116" s="326" t="s">
        <v>7851</v>
      </c>
      <c r="O116" s="330" t="s">
        <v>7852</v>
      </c>
      <c r="P116" s="402" t="s">
        <v>7853</v>
      </c>
      <c r="Q116" s="403"/>
      <c r="R116" s="331">
        <v>470</v>
      </c>
      <c r="S116" s="332"/>
      <c r="T116" s="327"/>
      <c r="U116" s="337">
        <f>ESS_DATA[[#This Row],[QUANTITY]]/276</f>
        <v>1.7028985507246377</v>
      </c>
      <c r="V116" s="369" t="s">
        <v>8156</v>
      </c>
      <c r="W116" s="327" t="s">
        <v>4370</v>
      </c>
      <c r="X116" s="327" t="str">
        <f t="shared" si="4"/>
        <v>COMPLETED</v>
      </c>
      <c r="Y116" s="333">
        <v>46212</v>
      </c>
      <c r="Z116" s="333">
        <v>46214</v>
      </c>
      <c r="AA116" s="334">
        <f>WEEKNUM(ESS_DATA[[#This Row],[Pick-Up Date]])</f>
        <v>28</v>
      </c>
      <c r="AB116" s="327" t="s">
        <v>8157</v>
      </c>
      <c r="AC116" s="327"/>
      <c r="AD116" s="327" t="s">
        <v>122</v>
      </c>
      <c r="AE116" s="327" t="s">
        <v>123</v>
      </c>
      <c r="AF116" s="327" t="s">
        <v>78</v>
      </c>
      <c r="AG116" s="333">
        <v>46220</v>
      </c>
      <c r="AH116" s="333">
        <v>46233</v>
      </c>
      <c r="AI116" s="333">
        <v>46232</v>
      </c>
      <c r="AJ116" s="333">
        <v>46260</v>
      </c>
      <c r="AK116" s="333">
        <v>46281</v>
      </c>
      <c r="AL116" s="333">
        <v>46281</v>
      </c>
      <c r="AM116" s="335" t="s">
        <v>402</v>
      </c>
      <c r="AN116" s="333" t="s">
        <v>8158</v>
      </c>
      <c r="AO116" s="333" t="s">
        <v>161</v>
      </c>
      <c r="AP116" s="333" t="s">
        <v>8159</v>
      </c>
      <c r="AQ116" s="327">
        <v>272638715</v>
      </c>
      <c r="AR116" s="327">
        <v>272638715</v>
      </c>
      <c r="AS116" s="327">
        <f>ESS_DATA[[#This Row],[ETA On S/O]]-ESS_DATA[[#This Row],[ETD On S/O]]+1</f>
        <v>41</v>
      </c>
      <c r="AT116" s="327"/>
      <c r="AU116" s="347" cm="1">
        <f t="array" ref="AU11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46281</v>
      </c>
      <c r="AV11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16" s="14">
        <f>IF(ISERROR(ESS_DATA[[#This Row],[New Ark PO status]]),"",_xlfn.XLOOKUP(ESS_DATA[[#This Row],[SPTN-PVHK New Ark PO'#]],New_Ark_Data[Purchase order Number],New_Ark_Data[Estimated time of arrival],"",0))</f>
        <v>46288</v>
      </c>
      <c r="AX116" s="327">
        <f>IF(ESS_DATA[[#This Row],[New Ark PO Type]]="Offshore",0,IFERROR(VLOOKUP(ESS_DATA[[#This Row],[PORT OF LOADING]]&amp;ESS_DATA[[#This Row],[PORT DESTINATION]],LT_REF[],7,0),14))</f>
        <v>8</v>
      </c>
      <c r="AY116" s="14">
        <f>IFERROR(ESS_DATA[[#This Row],[ODP ETA Port]]+ESS_DATA[[#This Row],[Customs/Leg3 Assumption]],"n/a")</f>
        <v>46289</v>
      </c>
      <c r="AZ116" s="326">
        <f>YEAR(ESS_DATA[[#This Row],[ETA for New Ark update]])</f>
        <v>2026</v>
      </c>
      <c r="BA116" s="326">
        <f>MONTH(ESS_DATA[[#This Row],[ETA for New Ark update]])</f>
        <v>9</v>
      </c>
      <c r="BB116" s="326">
        <f>IFERROR(_xlfn.ISOWEEKNUM(ESS_DATA[[#This Row],[ETA for New Ark update]]),0)</f>
        <v>39</v>
      </c>
      <c r="BC116" s="326" t="str">
        <f>_xlfn.XLOOKUP(ESS_DATA[[#This Row],[PORT DESTINATION]],Table12[PORT DESTINATION],Table12[Cosco Line],,0)</f>
        <v>AEM</v>
      </c>
      <c r="BD116" s="82"/>
    </row>
    <row r="117" spans="1:61" s="336" customFormat="1" ht="13.5" customHeight="1">
      <c r="A117" s="536" t="s">
        <v>8160</v>
      </c>
      <c r="B117" s="325" t="s">
        <v>7814</v>
      </c>
      <c r="C117" s="327" t="str">
        <f>IFERROR(LEFT(ESS_DATA[[#This Row],[TCL REFERENCE]],FIND(".",ESS_DATA[[#This Row],[TCL REFERENCE]],1)-1),"Main Line")</f>
        <v>Main Line</v>
      </c>
      <c r="D117" s="327" t="s">
        <v>63</v>
      </c>
      <c r="E117" s="326" t="s">
        <v>64</v>
      </c>
      <c r="F117" s="326" t="s">
        <v>65</v>
      </c>
      <c r="G117" s="327" t="s">
        <v>402</v>
      </c>
      <c r="H117" s="327" t="s">
        <v>67</v>
      </c>
      <c r="I117" s="327"/>
      <c r="J117" s="327" t="s">
        <v>8134</v>
      </c>
      <c r="K117" s="327"/>
      <c r="L117" s="328"/>
      <c r="M117" s="329" t="s">
        <v>68</v>
      </c>
      <c r="N117" s="326" t="s">
        <v>7851</v>
      </c>
      <c r="O117" s="330" t="s">
        <v>7852</v>
      </c>
      <c r="P117" s="402" t="s">
        <v>7853</v>
      </c>
      <c r="Q117" s="354"/>
      <c r="R117" s="539">
        <v>80</v>
      </c>
      <c r="S117" s="332"/>
      <c r="T117" s="327"/>
      <c r="U117" s="337">
        <f>ESS_DATA[[#This Row],[QUANTITY]]/276</f>
        <v>0.28985507246376813</v>
      </c>
      <c r="V117" s="369" t="s">
        <v>8156</v>
      </c>
      <c r="W117" s="327" t="s">
        <v>4370</v>
      </c>
      <c r="X117" s="326" t="str">
        <f t="shared" si="4"/>
        <v>COMPLETED</v>
      </c>
      <c r="Y117" s="333">
        <v>46212</v>
      </c>
      <c r="Z117" s="333">
        <v>46214</v>
      </c>
      <c r="AA117" s="334">
        <f>WEEKNUM(ESS_DATA[[#This Row],[Pick-Up Date]])</f>
        <v>28</v>
      </c>
      <c r="AB117" s="327" t="s">
        <v>8157</v>
      </c>
      <c r="AC117" s="327"/>
      <c r="AD117" s="327" t="s">
        <v>122</v>
      </c>
      <c r="AE117" s="327" t="s">
        <v>123</v>
      </c>
      <c r="AF117" s="327" t="s">
        <v>78</v>
      </c>
      <c r="AG117" s="333">
        <v>46220</v>
      </c>
      <c r="AH117" s="333">
        <v>46233</v>
      </c>
      <c r="AI117" s="333">
        <v>46232</v>
      </c>
      <c r="AJ117" s="333">
        <v>46260</v>
      </c>
      <c r="AK117" s="333">
        <v>46281</v>
      </c>
      <c r="AL117" s="333">
        <v>46281</v>
      </c>
      <c r="AM117" s="335" t="s">
        <v>402</v>
      </c>
      <c r="AN117" s="333" t="s">
        <v>8158</v>
      </c>
      <c r="AO117" s="333" t="s">
        <v>161</v>
      </c>
      <c r="AP117" s="333" t="s">
        <v>8159</v>
      </c>
      <c r="AQ117" s="327">
        <v>272638715</v>
      </c>
      <c r="AR117" s="327">
        <v>272638715</v>
      </c>
      <c r="AS117" s="327">
        <f>ESS_DATA[[#This Row],[ETA On S/O]]-ESS_DATA[[#This Row],[ETD On S/O]]+1</f>
        <v>41</v>
      </c>
      <c r="AT117" s="327"/>
      <c r="AU117" s="333" cm="1">
        <f t="array" ref="AU11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46281</v>
      </c>
      <c r="AV11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17" s="14">
        <f>IF(ISERROR(ESS_DATA[[#This Row],[New Ark PO status]]),"",_xlfn.XLOOKUP(ESS_DATA[[#This Row],[SPTN-PVHK New Ark PO'#]],New_Ark_Data[Purchase order Number],New_Ark_Data[Estimated time of arrival],"",0))</f>
        <v>46288</v>
      </c>
      <c r="AX117" s="327">
        <f>IF(ESS_DATA[[#This Row],[New Ark PO Type]]="Offshore",0,IFERROR(VLOOKUP(ESS_DATA[[#This Row],[PORT OF LOADING]]&amp;ESS_DATA[[#This Row],[PORT DESTINATION]],LT_REF[],7,0),14))</f>
        <v>8</v>
      </c>
      <c r="AY117" s="333">
        <f>IFERROR(ESS_DATA[[#This Row],[ODP ETA Port]]+ESS_DATA[[#This Row],[Customs/Leg3 Assumption]],"n/a")</f>
        <v>46289</v>
      </c>
      <c r="AZ117" s="326">
        <f>YEAR(ESS_DATA[[#This Row],[ETA for New Ark update]])</f>
        <v>2026</v>
      </c>
      <c r="BA117" s="326">
        <f>MONTH(ESS_DATA[[#This Row],[ETA for New Ark update]])</f>
        <v>9</v>
      </c>
      <c r="BB117" s="326">
        <f>IFERROR(_xlfn.ISOWEEKNUM(ESS_DATA[[#This Row],[ETA for New Ark update]]),0)</f>
        <v>39</v>
      </c>
      <c r="BC117" s="326" t="str">
        <f>_xlfn.XLOOKUP(ESS_DATA[[#This Row],[PORT DESTINATION]],Table12[PORT DESTINATION],Table12[Cosco Line],,0)</f>
        <v>AEM</v>
      </c>
      <c r="BD117" s="326"/>
    </row>
    <row r="118" spans="1:61" s="336" customFormat="1" ht="13.5" customHeight="1">
      <c r="A118" s="536" t="s">
        <v>8161</v>
      </c>
      <c r="B118" s="325" t="s">
        <v>7814</v>
      </c>
      <c r="C118" s="327" t="str">
        <f>IFERROR(LEFT(ESS_DATA[[#This Row],[TCL REFERENCE]],FIND(".",ESS_DATA[[#This Row],[TCL REFERENCE]],1)-1),"Main Line")</f>
        <v>Main Line</v>
      </c>
      <c r="D118" s="327" t="s">
        <v>63</v>
      </c>
      <c r="E118" s="326" t="s">
        <v>64</v>
      </c>
      <c r="F118" s="326" t="s">
        <v>65</v>
      </c>
      <c r="G118" s="327" t="s">
        <v>402</v>
      </c>
      <c r="H118" s="327" t="s">
        <v>67</v>
      </c>
      <c r="I118" s="327"/>
      <c r="J118" s="327" t="s">
        <v>8027</v>
      </c>
      <c r="K118" s="327"/>
      <c r="L118" s="328"/>
      <c r="M118" s="329" t="s">
        <v>68</v>
      </c>
      <c r="N118" s="326" t="s">
        <v>7851</v>
      </c>
      <c r="O118" s="330" t="s">
        <v>7852</v>
      </c>
      <c r="P118" s="402" t="s">
        <v>7853</v>
      </c>
      <c r="Q118" s="354"/>
      <c r="R118" s="539">
        <v>2</v>
      </c>
      <c r="S118" s="332"/>
      <c r="T118" s="327"/>
      <c r="U118" s="337">
        <f>ESS_DATA[[#This Row],[QUANTITY]]/276</f>
        <v>7.246376811594203E-3</v>
      </c>
      <c r="V118" s="369" t="s">
        <v>8156</v>
      </c>
      <c r="W118" s="327" t="s">
        <v>4370</v>
      </c>
      <c r="X118" s="326" t="str">
        <f t="shared" si="4"/>
        <v>COMPLETED</v>
      </c>
      <c r="Y118" s="333">
        <v>46212</v>
      </c>
      <c r="Z118" s="333">
        <v>46214</v>
      </c>
      <c r="AA118" s="334">
        <f>WEEKNUM(ESS_DATA[[#This Row],[Pick-Up Date]])</f>
        <v>28</v>
      </c>
      <c r="AB118" s="327" t="s">
        <v>8157</v>
      </c>
      <c r="AC118" s="327"/>
      <c r="AD118" s="327" t="s">
        <v>122</v>
      </c>
      <c r="AE118" s="327" t="s">
        <v>123</v>
      </c>
      <c r="AF118" s="327" t="s">
        <v>78</v>
      </c>
      <c r="AG118" s="333">
        <v>46220</v>
      </c>
      <c r="AH118" s="333">
        <v>46233</v>
      </c>
      <c r="AI118" s="333">
        <v>46232</v>
      </c>
      <c r="AJ118" s="333">
        <v>46260</v>
      </c>
      <c r="AK118" s="333">
        <v>46281</v>
      </c>
      <c r="AL118" s="333">
        <v>46281</v>
      </c>
      <c r="AM118" s="335" t="s">
        <v>402</v>
      </c>
      <c r="AN118" s="333" t="s">
        <v>8158</v>
      </c>
      <c r="AO118" s="333" t="s">
        <v>161</v>
      </c>
      <c r="AP118" s="333" t="s">
        <v>8159</v>
      </c>
      <c r="AQ118" s="327">
        <v>272638715</v>
      </c>
      <c r="AR118" s="327">
        <v>272638715</v>
      </c>
      <c r="AS118" s="327">
        <f>ESS_DATA[[#This Row],[ETA On S/O]]-ESS_DATA[[#This Row],[ETD On S/O]]+1</f>
        <v>41</v>
      </c>
      <c r="AT118" s="327"/>
      <c r="AU118" s="333" cm="1">
        <f t="array" ref="AU11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46281</v>
      </c>
      <c r="AV11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18" s="14">
        <f>IF(ISERROR(ESS_DATA[[#This Row],[New Ark PO status]]),"",_xlfn.XLOOKUP(ESS_DATA[[#This Row],[SPTN-PVHK New Ark PO'#]],New_Ark_Data[Purchase order Number],New_Ark_Data[Estimated time of arrival],"",0))</f>
        <v>46288</v>
      </c>
      <c r="AX118" s="327">
        <f>IF(ESS_DATA[[#This Row],[New Ark PO Type]]="Offshore",0,IFERROR(VLOOKUP(ESS_DATA[[#This Row],[PORT OF LOADING]]&amp;ESS_DATA[[#This Row],[PORT DESTINATION]],LT_REF[],7,0),14))</f>
        <v>8</v>
      </c>
      <c r="AY118" s="333">
        <f>IFERROR(ESS_DATA[[#This Row],[ODP ETA Port]]+ESS_DATA[[#This Row],[Customs/Leg3 Assumption]],"n/a")</f>
        <v>46289</v>
      </c>
      <c r="AZ118" s="326">
        <f>YEAR(ESS_DATA[[#This Row],[ETA for New Ark update]])</f>
        <v>2026</v>
      </c>
      <c r="BA118" s="326">
        <f>MONTH(ESS_DATA[[#This Row],[ETA for New Ark update]])</f>
        <v>9</v>
      </c>
      <c r="BB118" s="326">
        <f>IFERROR(_xlfn.ISOWEEKNUM(ESS_DATA[[#This Row],[ETA for New Ark update]]),0)</f>
        <v>39</v>
      </c>
      <c r="BC118" s="326" t="str">
        <f>_xlfn.XLOOKUP(ESS_DATA[[#This Row],[PORT DESTINATION]],Table12[PORT DESTINATION],Table12[Cosco Line],,0)</f>
        <v>AEM</v>
      </c>
      <c r="BD118" s="326"/>
    </row>
    <row r="119" spans="1:61" s="336" customFormat="1" ht="14.25" customHeight="1">
      <c r="A119" s="533" t="s">
        <v>8162</v>
      </c>
      <c r="B119" s="325" t="s">
        <v>7814</v>
      </c>
      <c r="C119" s="327" t="str">
        <f>IFERROR(LEFT(ESS_DATA[[#This Row],[TCL REFERENCE]],FIND(".",ESS_DATA[[#This Row],[TCL REFERENCE]],1)-1),"Main Line")</f>
        <v>Main Line</v>
      </c>
      <c r="D119" s="327" t="s">
        <v>63</v>
      </c>
      <c r="E119" s="326" t="s">
        <v>64</v>
      </c>
      <c r="F119" s="326" t="s">
        <v>65</v>
      </c>
      <c r="G119" s="327" t="s">
        <v>402</v>
      </c>
      <c r="H119" s="327" t="s">
        <v>67</v>
      </c>
      <c r="I119" s="327"/>
      <c r="J119" s="327" t="s">
        <v>8027</v>
      </c>
      <c r="K119" s="327"/>
      <c r="L119" s="328"/>
      <c r="M119" s="329" t="s">
        <v>68</v>
      </c>
      <c r="N119" s="326" t="s">
        <v>7840</v>
      </c>
      <c r="O119" s="326" t="s">
        <v>8037</v>
      </c>
      <c r="P119" s="402" t="s">
        <v>7842</v>
      </c>
      <c r="Q119" s="354"/>
      <c r="R119" s="331">
        <v>349</v>
      </c>
      <c r="S119" s="332"/>
      <c r="T119" s="327"/>
      <c r="U119" s="337">
        <f>ESS_DATA[[#This Row],[QUANTITY]]/350</f>
        <v>0.99714285714285711</v>
      </c>
      <c r="V119" s="369" t="s">
        <v>8057</v>
      </c>
      <c r="W119" s="327" t="s">
        <v>4370</v>
      </c>
      <c r="X119" s="327" t="str">
        <f t="shared" si="4"/>
        <v>COMPLETED</v>
      </c>
      <c r="Y119" s="333">
        <v>46213</v>
      </c>
      <c r="Z119" s="333">
        <v>46213</v>
      </c>
      <c r="AA119" s="334">
        <f>WEEKNUM(ESS_DATA[[#This Row],[Pick-Up Date]])</f>
        <v>28</v>
      </c>
      <c r="AB119" s="327" t="s">
        <v>8163</v>
      </c>
      <c r="AC119" s="327"/>
      <c r="AD119" s="327" t="s">
        <v>122</v>
      </c>
      <c r="AE119" s="327" t="s">
        <v>123</v>
      </c>
      <c r="AF119" s="327" t="s">
        <v>78</v>
      </c>
      <c r="AG119" s="333">
        <v>46217</v>
      </c>
      <c r="AH119" s="333">
        <v>46225</v>
      </c>
      <c r="AI119" s="333">
        <v>46227</v>
      </c>
      <c r="AJ119" s="333">
        <v>46265</v>
      </c>
      <c r="AK119" s="333">
        <v>46277</v>
      </c>
      <c r="AL119" s="333">
        <v>46278</v>
      </c>
      <c r="AM119" s="335" t="s">
        <v>402</v>
      </c>
      <c r="AN119" s="333" t="s">
        <v>5309</v>
      </c>
      <c r="AO119" s="333" t="s">
        <v>80</v>
      </c>
      <c r="AP119" s="333" t="s">
        <v>8164</v>
      </c>
      <c r="AQ119" s="327" t="s">
        <v>8165</v>
      </c>
      <c r="AR119" s="327" t="s">
        <v>8165</v>
      </c>
      <c r="AS119" s="327">
        <f>ESS_DATA[[#This Row],[ETA On S/O]]-ESS_DATA[[#This Row],[ETD On S/O]]+1</f>
        <v>49</v>
      </c>
      <c r="AT119" s="327"/>
      <c r="AU119" s="333" cm="1">
        <f t="array" ref="AU11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46278</v>
      </c>
      <c r="AV11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19" s="14">
        <f>IF(ISERROR(ESS_DATA[[#This Row],[New Ark PO status]]),"",_xlfn.XLOOKUP(ESS_DATA[[#This Row],[SPTN-PVHK New Ark PO'#]],New_Ark_Data[Purchase order Number],New_Ark_Data[Estimated time of arrival],"",0))</f>
        <v>46283</v>
      </c>
      <c r="AX119" s="327">
        <f>IF(ESS_DATA[[#This Row],[New Ark PO Type]]="Offshore",0,IFERROR(VLOOKUP(ESS_DATA[[#This Row],[PORT OF LOADING]]&amp;ESS_DATA[[#This Row],[PORT DESTINATION]],LT_REF[],7,0),14))</f>
        <v>8</v>
      </c>
      <c r="AY119" s="333">
        <f>IFERROR(ESS_DATA[[#This Row],[ODP ETA Port]]+ESS_DATA[[#This Row],[Customs/Leg3 Assumption]],"n/a")</f>
        <v>46286</v>
      </c>
      <c r="AZ119" s="326">
        <f>YEAR(ESS_DATA[[#This Row],[ETA for New Ark update]])</f>
        <v>2026</v>
      </c>
      <c r="BA119" s="326">
        <f>MONTH(ESS_DATA[[#This Row],[ETA for New Ark update]])</f>
        <v>9</v>
      </c>
      <c r="BB119" s="326">
        <f>IFERROR(_xlfn.ISOWEEKNUM(ESS_DATA[[#This Row],[ETA for New Ark update]]),0)</f>
        <v>39</v>
      </c>
      <c r="BC119" s="326" t="str">
        <f>_xlfn.XLOOKUP(ESS_DATA[[#This Row],[PORT DESTINATION]],Table12[PORT DESTINATION],Table12[Cosco Line],,0)</f>
        <v>AEM</v>
      </c>
      <c r="BD119" s="326"/>
    </row>
    <row r="120" spans="1:61" s="336" customFormat="1" ht="14.25" customHeight="1">
      <c r="A120" s="532" t="s">
        <v>8166</v>
      </c>
      <c r="B120" s="325" t="s">
        <v>7814</v>
      </c>
      <c r="C120" s="327" t="str">
        <f>IFERROR(LEFT(ESS_DATA[[#This Row],[TCL REFERENCE]],FIND(".",ESS_DATA[[#This Row],[TCL REFERENCE]],1)-1),"Main Line")</f>
        <v>Main Line</v>
      </c>
      <c r="D120" s="327" t="s">
        <v>63</v>
      </c>
      <c r="E120" s="326" t="s">
        <v>64</v>
      </c>
      <c r="F120" s="326" t="s">
        <v>65</v>
      </c>
      <c r="G120" s="327" t="s">
        <v>402</v>
      </c>
      <c r="H120" s="327" t="s">
        <v>67</v>
      </c>
      <c r="I120" s="327"/>
      <c r="J120" s="327" t="s">
        <v>8027</v>
      </c>
      <c r="K120" s="327"/>
      <c r="L120" s="328"/>
      <c r="M120" s="329" t="s">
        <v>68</v>
      </c>
      <c r="N120" s="326" t="s">
        <v>7840</v>
      </c>
      <c r="O120" s="326" t="s">
        <v>8037</v>
      </c>
      <c r="P120" s="402" t="s">
        <v>7842</v>
      </c>
      <c r="Q120" s="354"/>
      <c r="R120" s="539">
        <v>1</v>
      </c>
      <c r="S120" s="332"/>
      <c r="T120" s="327"/>
      <c r="U120" s="337">
        <f>ESS_DATA[[#This Row],[QUANTITY]]/350</f>
        <v>2.8571428571428571E-3</v>
      </c>
      <c r="V120" s="369" t="s">
        <v>8057</v>
      </c>
      <c r="W120" s="327" t="s">
        <v>4370</v>
      </c>
      <c r="X120" s="327" t="str">
        <f t="shared" si="4"/>
        <v>COMPLETED</v>
      </c>
      <c r="Y120" s="333">
        <v>46213</v>
      </c>
      <c r="Z120" s="333">
        <v>46213</v>
      </c>
      <c r="AA120" s="334">
        <f>WEEKNUM(ESS_DATA[[#This Row],[Pick-Up Date]])</f>
        <v>28</v>
      </c>
      <c r="AB120" s="327" t="s">
        <v>8163</v>
      </c>
      <c r="AC120" s="327"/>
      <c r="AD120" s="327" t="s">
        <v>122</v>
      </c>
      <c r="AE120" s="327" t="s">
        <v>123</v>
      </c>
      <c r="AF120" s="327" t="s">
        <v>78</v>
      </c>
      <c r="AG120" s="333">
        <v>46217</v>
      </c>
      <c r="AH120" s="333">
        <v>46225</v>
      </c>
      <c r="AI120" s="333">
        <v>46227</v>
      </c>
      <c r="AJ120" s="333">
        <v>46265</v>
      </c>
      <c r="AK120" s="333">
        <v>46277</v>
      </c>
      <c r="AL120" s="333">
        <v>46278</v>
      </c>
      <c r="AM120" s="335" t="s">
        <v>402</v>
      </c>
      <c r="AN120" s="333" t="s">
        <v>5309</v>
      </c>
      <c r="AO120" s="333" t="s">
        <v>80</v>
      </c>
      <c r="AP120" s="333" t="s">
        <v>8164</v>
      </c>
      <c r="AQ120" s="327" t="s">
        <v>8165</v>
      </c>
      <c r="AR120" s="327" t="s">
        <v>8165</v>
      </c>
      <c r="AS120" s="327">
        <f>ESS_DATA[[#This Row],[ETA On S/O]]-ESS_DATA[[#This Row],[ETD On S/O]]+1</f>
        <v>49</v>
      </c>
      <c r="AT120" s="327"/>
      <c r="AU120" s="333" cm="1">
        <f t="array" ref="AU12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46278</v>
      </c>
      <c r="AV12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20" s="14">
        <f>IF(ISERROR(ESS_DATA[[#This Row],[New Ark PO status]]),"",_xlfn.XLOOKUP(ESS_DATA[[#This Row],[SPTN-PVHK New Ark PO'#]],New_Ark_Data[Purchase order Number],New_Ark_Data[Estimated time of arrival],"",0))</f>
        <v>46283</v>
      </c>
      <c r="AX120" s="327">
        <f>IF(ESS_DATA[[#This Row],[New Ark PO Type]]="Offshore",0,IFERROR(VLOOKUP(ESS_DATA[[#This Row],[PORT OF LOADING]]&amp;ESS_DATA[[#This Row],[PORT DESTINATION]],LT_REF[],7,0),14))</f>
        <v>8</v>
      </c>
      <c r="AY120" s="333">
        <f>IFERROR(ESS_DATA[[#This Row],[ODP ETA Port]]+ESS_DATA[[#This Row],[Customs/Leg3 Assumption]],"n/a")</f>
        <v>46286</v>
      </c>
      <c r="AZ120" s="326">
        <f>YEAR(ESS_DATA[[#This Row],[ETA for New Ark update]])</f>
        <v>2026</v>
      </c>
      <c r="BA120" s="326">
        <f>MONTH(ESS_DATA[[#This Row],[ETA for New Ark update]])</f>
        <v>9</v>
      </c>
      <c r="BB120" s="326">
        <f>IFERROR(_xlfn.ISOWEEKNUM(ESS_DATA[[#This Row],[ETA for New Ark update]]),0)</f>
        <v>39</v>
      </c>
      <c r="BC120" s="326" t="str">
        <f>_xlfn.XLOOKUP(ESS_DATA[[#This Row],[PORT DESTINATION]],Table12[PORT DESTINATION],Table12[Cosco Line],,0)</f>
        <v>AEM</v>
      </c>
      <c r="BD120" s="326"/>
    </row>
    <row r="121" spans="1:61" s="336" customFormat="1" ht="15.75" customHeight="1">
      <c r="A121" s="326" t="s">
        <v>8167</v>
      </c>
      <c r="B121" s="325" t="s">
        <v>7814</v>
      </c>
      <c r="C121" s="327" t="str">
        <f>IFERROR(LEFT(ESS_DATA[[#This Row],[TCL REFERENCE]],FIND(".",ESS_DATA[[#This Row],[TCL REFERENCE]],1)-1),"Main Line")</f>
        <v>Main Line</v>
      </c>
      <c r="D121" s="327" t="s">
        <v>63</v>
      </c>
      <c r="E121" s="326" t="s">
        <v>64</v>
      </c>
      <c r="F121" s="326" t="s">
        <v>65</v>
      </c>
      <c r="G121" s="327" t="s">
        <v>402</v>
      </c>
      <c r="H121" s="327" t="s">
        <v>67</v>
      </c>
      <c r="I121" s="327"/>
      <c r="J121" s="327" t="s">
        <v>8027</v>
      </c>
      <c r="K121" s="327"/>
      <c r="L121" s="328"/>
      <c r="M121" s="329" t="s">
        <v>68</v>
      </c>
      <c r="N121" s="326" t="s">
        <v>7828</v>
      </c>
      <c r="O121" s="326" t="s">
        <v>7829</v>
      </c>
      <c r="P121" s="402" t="s">
        <v>7830</v>
      </c>
      <c r="Q121" s="354"/>
      <c r="R121" s="413">
        <v>224</v>
      </c>
      <c r="S121" s="332"/>
      <c r="T121" s="327"/>
      <c r="U121" s="337">
        <f>ESS_DATA[[#This Row],[QUANTITY]]/224</f>
        <v>1</v>
      </c>
      <c r="V121" s="369" t="s">
        <v>8086</v>
      </c>
      <c r="W121" s="327" t="s">
        <v>4371</v>
      </c>
      <c r="X121" s="327" t="str">
        <f t="shared" si="4"/>
        <v>COMPLETED</v>
      </c>
      <c r="Y121" s="333">
        <v>46217</v>
      </c>
      <c r="Z121" s="333">
        <v>46226</v>
      </c>
      <c r="AA121" s="334">
        <f>WEEKNUM(ESS_DATA[[#This Row],[Pick-Up Date]])</f>
        <v>30</v>
      </c>
      <c r="AB121" s="668" t="s">
        <v>8168</v>
      </c>
      <c r="AC121" s="327"/>
      <c r="AD121" s="327" t="s">
        <v>122</v>
      </c>
      <c r="AE121" s="327" t="s">
        <v>123</v>
      </c>
      <c r="AF121" s="327" t="s">
        <v>78</v>
      </c>
      <c r="AG121" s="333">
        <v>46230</v>
      </c>
      <c r="AH121" s="333">
        <v>46235</v>
      </c>
      <c r="AI121" s="333">
        <v>46236</v>
      </c>
      <c r="AJ121" s="333">
        <v>46279</v>
      </c>
      <c r="AK121" s="333">
        <v>46285</v>
      </c>
      <c r="AL121" s="333">
        <v>46284</v>
      </c>
      <c r="AM121" s="335" t="s">
        <v>402</v>
      </c>
      <c r="AN121" s="333" t="s">
        <v>5528</v>
      </c>
      <c r="AO121" s="333" t="s">
        <v>80</v>
      </c>
      <c r="AP121" s="333" t="s">
        <v>8169</v>
      </c>
      <c r="AQ121" s="327" t="s">
        <v>8170</v>
      </c>
      <c r="AR121" s="327" t="s">
        <v>8170</v>
      </c>
      <c r="AS121" s="327">
        <f>ESS_DATA[[#This Row],[ETA On S/O]]-ESS_DATA[[#This Row],[ETD On S/O]]+1</f>
        <v>50</v>
      </c>
      <c r="AT121" s="327"/>
      <c r="AU121" s="347" cm="1">
        <f t="array" ref="AU12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46284</v>
      </c>
      <c r="AV12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21" s="14">
        <f>IF(ISERROR(ESS_DATA[[#This Row],[New Ark PO status]]),"",_xlfn.XLOOKUP(ESS_DATA[[#This Row],[SPTN-PVHK New Ark PO'#]],New_Ark_Data[Purchase order Number],New_Ark_Data[Estimated time of arrival],"",0))</f>
        <v>46290</v>
      </c>
      <c r="AX121" s="327">
        <f>IF(ESS_DATA[[#This Row],[New Ark PO Type]]="Offshore",0,IFERROR(VLOOKUP(ESS_DATA[[#This Row],[PORT OF LOADING]]&amp;ESS_DATA[[#This Row],[PORT DESTINATION]],LT_REF[],7,0),14))</f>
        <v>8</v>
      </c>
      <c r="AY121" s="14">
        <f>IFERROR(ESS_DATA[[#This Row],[ODP ETA Port]]+ESS_DATA[[#This Row],[Customs/Leg3 Assumption]],"n/a")</f>
        <v>46292</v>
      </c>
      <c r="AZ121" s="326">
        <f>YEAR(ESS_DATA[[#This Row],[ETA for New Ark update]])</f>
        <v>2026</v>
      </c>
      <c r="BA121" s="326">
        <f>MONTH(ESS_DATA[[#This Row],[ETA for New Ark update]])</f>
        <v>9</v>
      </c>
      <c r="BB121" s="326">
        <f>IFERROR(_xlfn.ISOWEEKNUM(ESS_DATA[[#This Row],[ETA for New Ark update]]),0)</f>
        <v>39</v>
      </c>
      <c r="BC121" s="326" t="str">
        <f>_xlfn.XLOOKUP(ESS_DATA[[#This Row],[PORT DESTINATION]],Table12[PORT DESTINATION],Table12[Cosco Line],,0)</f>
        <v>AEM</v>
      </c>
      <c r="BD121" s="82"/>
    </row>
    <row r="122" spans="1:61" s="336" customFormat="1" ht="14.25" customHeight="1">
      <c r="A122" s="326" t="s">
        <v>8171</v>
      </c>
      <c r="B122" s="325" t="s">
        <v>7814</v>
      </c>
      <c r="C122" s="327" t="str">
        <f>IFERROR(LEFT(ESS_DATA[[#This Row],[TCL REFERENCE]],FIND(".",ESS_DATA[[#This Row],[TCL REFERENCE]],1)-1),"Main Line")</f>
        <v>Main Line</v>
      </c>
      <c r="D122" s="327" t="s">
        <v>63</v>
      </c>
      <c r="E122" s="326" t="s">
        <v>64</v>
      </c>
      <c r="F122" s="326" t="s">
        <v>65</v>
      </c>
      <c r="G122" s="327" t="s">
        <v>402</v>
      </c>
      <c r="H122" s="327" t="s">
        <v>67</v>
      </c>
      <c r="I122" s="327"/>
      <c r="J122" s="327" t="s">
        <v>8027</v>
      </c>
      <c r="K122" s="327"/>
      <c r="L122" s="328"/>
      <c r="M122" s="329" t="s">
        <v>68</v>
      </c>
      <c r="N122" s="326" t="s">
        <v>7851</v>
      </c>
      <c r="O122" s="330" t="s">
        <v>7852</v>
      </c>
      <c r="P122" s="402" t="s">
        <v>7853</v>
      </c>
      <c r="Q122" s="403"/>
      <c r="R122" s="331">
        <v>276</v>
      </c>
      <c r="S122" s="332"/>
      <c r="T122" s="327"/>
      <c r="U122" s="337">
        <f>ESS_DATA[[#This Row],[QUANTITY]]/276</f>
        <v>1</v>
      </c>
      <c r="V122" s="369" t="s">
        <v>8099</v>
      </c>
      <c r="W122" s="327" t="s">
        <v>4371</v>
      </c>
      <c r="X122" s="327" t="str">
        <f t="shared" si="4"/>
        <v>COMPLETED</v>
      </c>
      <c r="Y122" s="416">
        <v>46218</v>
      </c>
      <c r="Z122" s="333">
        <v>46221</v>
      </c>
      <c r="AA122" s="334">
        <f>WEEKNUM(ESS_DATA[[#This Row],[Pick-Up Date]])</f>
        <v>29</v>
      </c>
      <c r="AB122" s="404" t="s">
        <v>8172</v>
      </c>
      <c r="AC122" s="327"/>
      <c r="AD122" s="327" t="s">
        <v>122</v>
      </c>
      <c r="AE122" s="327" t="s">
        <v>123</v>
      </c>
      <c r="AF122" s="327" t="s">
        <v>78</v>
      </c>
      <c r="AG122" s="333">
        <v>46226</v>
      </c>
      <c r="AH122" s="333">
        <v>46231</v>
      </c>
      <c r="AI122" s="333">
        <v>46231</v>
      </c>
      <c r="AJ122" s="333">
        <v>46274</v>
      </c>
      <c r="AK122" s="333">
        <v>46267</v>
      </c>
      <c r="AL122" s="333">
        <v>46267</v>
      </c>
      <c r="AM122" s="335" t="s">
        <v>402</v>
      </c>
      <c r="AN122" s="333" t="s">
        <v>8173</v>
      </c>
      <c r="AO122" s="333" t="s">
        <v>161</v>
      </c>
      <c r="AP122" s="333" t="s">
        <v>8174</v>
      </c>
      <c r="AQ122" s="327">
        <v>272910011</v>
      </c>
      <c r="AR122" s="327">
        <v>272910011</v>
      </c>
      <c r="AS122" s="327">
        <f>ESS_DATA[[#This Row],[ETA On S/O]]-ESS_DATA[[#This Row],[ETD On S/O]]+1</f>
        <v>49</v>
      </c>
      <c r="AT122" s="327"/>
      <c r="AU122" s="347" cm="1">
        <f t="array" ref="AU12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46267</v>
      </c>
      <c r="AV12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22" s="14">
        <f>IF(ISERROR(ESS_DATA[[#This Row],[New Ark PO status]]),"",_xlfn.XLOOKUP(ESS_DATA[[#This Row],[SPTN-PVHK New Ark PO'#]],New_Ark_Data[Purchase order Number],New_Ark_Data[Estimated time of arrival],"",0))</f>
        <v>46275</v>
      </c>
      <c r="AX122" s="327">
        <f>IF(ESS_DATA[[#This Row],[New Ark PO Type]]="Offshore",0,IFERROR(VLOOKUP(ESS_DATA[[#This Row],[PORT OF LOADING]]&amp;ESS_DATA[[#This Row],[PORT DESTINATION]],LT_REF[],7,0),14))</f>
        <v>8</v>
      </c>
      <c r="AY122" s="14">
        <f>IFERROR(ESS_DATA[[#This Row],[ODP ETA Port]]+ESS_DATA[[#This Row],[Customs/Leg3 Assumption]],"n/a")</f>
        <v>46275</v>
      </c>
      <c r="AZ122" s="326">
        <f>YEAR(ESS_DATA[[#This Row],[ETA for New Ark update]])</f>
        <v>2026</v>
      </c>
      <c r="BA122" s="326">
        <f>MONTH(ESS_DATA[[#This Row],[ETA for New Ark update]])</f>
        <v>9</v>
      </c>
      <c r="BB122" s="326">
        <f>IFERROR(_xlfn.ISOWEEKNUM(ESS_DATA[[#This Row],[ETA for New Ark update]]),0)</f>
        <v>37</v>
      </c>
      <c r="BC122" s="326" t="str">
        <f>_xlfn.XLOOKUP(ESS_DATA[[#This Row],[PORT DESTINATION]],Table12[PORT DESTINATION],Table12[Cosco Line],,0)</f>
        <v>AEM</v>
      </c>
      <c r="BD122" s="82"/>
    </row>
    <row r="123" spans="1:61" s="336" customFormat="1" ht="14.25" customHeight="1">
      <c r="A123" s="336" t="s">
        <v>8175</v>
      </c>
      <c r="B123" s="327" t="s">
        <v>7814</v>
      </c>
      <c r="C123" s="327" t="str">
        <f>IFERROR(LEFT(ESS_DATA[[#This Row],[TCL REFERENCE]],FIND(".",ESS_DATA[[#This Row],[TCL REFERENCE]],1)-1),"Main Line")</f>
        <v>Main Line</v>
      </c>
      <c r="D123" s="327" t="s">
        <v>63</v>
      </c>
      <c r="E123" s="326" t="s">
        <v>64</v>
      </c>
      <c r="F123" s="326" t="s">
        <v>65</v>
      </c>
      <c r="G123" s="327" t="s">
        <v>402</v>
      </c>
      <c r="H123" s="327" t="s">
        <v>67</v>
      </c>
      <c r="I123" s="327"/>
      <c r="J123" s="327" t="s">
        <v>8134</v>
      </c>
      <c r="K123" s="327"/>
      <c r="L123" s="328"/>
      <c r="M123" s="329" t="s">
        <v>68</v>
      </c>
      <c r="N123" s="326" t="s">
        <v>7851</v>
      </c>
      <c r="O123" s="330" t="s">
        <v>7852</v>
      </c>
      <c r="P123" s="402" t="s">
        <v>7853</v>
      </c>
      <c r="Q123" s="354"/>
      <c r="R123" s="331">
        <v>276</v>
      </c>
      <c r="S123" s="332"/>
      <c r="T123" s="327"/>
      <c r="U123" s="337">
        <v>1</v>
      </c>
      <c r="V123" s="368" t="s">
        <v>8176</v>
      </c>
      <c r="W123" s="327" t="s">
        <v>4372</v>
      </c>
      <c r="X123" s="327" t="str">
        <f t="shared" si="4"/>
        <v>COMPLETED</v>
      </c>
      <c r="Y123" s="416">
        <v>46223</v>
      </c>
      <c r="Z123" s="333">
        <v>46228</v>
      </c>
      <c r="AA123" s="334">
        <f>WEEKNUM(ESS_DATA[[#This Row],[Pick-Up Date]])</f>
        <v>30</v>
      </c>
      <c r="AB123" s="404" t="s">
        <v>8177</v>
      </c>
      <c r="AC123" s="327"/>
      <c r="AD123" s="327" t="s">
        <v>122</v>
      </c>
      <c r="AE123" s="327" t="s">
        <v>123</v>
      </c>
      <c r="AF123" s="327" t="s">
        <v>78</v>
      </c>
      <c r="AG123" s="333">
        <v>46236</v>
      </c>
      <c r="AH123" s="333">
        <v>46247</v>
      </c>
      <c r="AI123" s="333">
        <v>46248</v>
      </c>
      <c r="AJ123" s="333">
        <v>46281</v>
      </c>
      <c r="AK123" s="333">
        <v>46288</v>
      </c>
      <c r="AL123" s="333">
        <v>46289</v>
      </c>
      <c r="AM123" s="335" t="s">
        <v>402</v>
      </c>
      <c r="AN123" s="333" t="s">
        <v>8178</v>
      </c>
      <c r="AO123" s="333" t="s">
        <v>161</v>
      </c>
      <c r="AP123" s="333" t="s">
        <v>8179</v>
      </c>
      <c r="AQ123" s="327">
        <v>274118289</v>
      </c>
      <c r="AR123" s="327">
        <v>274118289</v>
      </c>
      <c r="AS123" s="327">
        <f>ESS_DATA[[#This Row],[ETA On S/O]]-ESS_DATA[[#This Row],[ETD On S/O]]+1</f>
        <v>46</v>
      </c>
      <c r="AT123" s="327"/>
      <c r="AU123" s="333" cm="1">
        <f t="array" ref="AU12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46289</v>
      </c>
      <c r="AV12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23" s="14">
        <f>IF(ISERROR(ESS_DATA[[#This Row],[New Ark PO status]]),"",_xlfn.XLOOKUP(ESS_DATA[[#This Row],[SPTN-PVHK New Ark PO'#]],New_Ark_Data[Purchase order Number],New_Ark_Data[Estimated time of arrival],"",0))</f>
        <v>46295</v>
      </c>
      <c r="AX123" s="327">
        <f>IF(ESS_DATA[[#This Row],[New Ark PO Type]]="Offshore",0,IFERROR(VLOOKUP(ESS_DATA[[#This Row],[PORT OF LOADING]]&amp;ESS_DATA[[#This Row],[PORT DESTINATION]],LT_REF[],7,0),14))</f>
        <v>8</v>
      </c>
      <c r="AY123" s="333">
        <f>IFERROR(ESS_DATA[[#This Row],[ODP ETA Port]]+ESS_DATA[[#This Row],[Customs/Leg3 Assumption]],"n/a")</f>
        <v>46297</v>
      </c>
      <c r="AZ123" s="326">
        <f>YEAR(ESS_DATA[[#This Row],[ETA for New Ark update]])</f>
        <v>2026</v>
      </c>
      <c r="BA123" s="326">
        <f>MONTH(ESS_DATA[[#This Row],[ETA for New Ark update]])</f>
        <v>10</v>
      </c>
      <c r="BB123" s="326">
        <f>IFERROR(_xlfn.ISOWEEKNUM(ESS_DATA[[#This Row],[ETA for New Ark update]]),0)</f>
        <v>40</v>
      </c>
      <c r="BC123" s="326" t="str">
        <f>_xlfn.XLOOKUP(ESS_DATA[[#This Row],[PORT DESTINATION]],Table12[PORT DESTINATION],Table12[Cosco Line],,0)</f>
        <v>AEM</v>
      </c>
      <c r="BD123" s="326"/>
    </row>
    <row r="124" spans="1:61" s="336" customFormat="1" ht="15" customHeight="1">
      <c r="A124" s="325" t="s">
        <v>8180</v>
      </c>
      <c r="B124" s="327" t="s">
        <v>7814</v>
      </c>
      <c r="C124" s="327" t="str">
        <f>IFERROR(LEFT(ESS_DATA[[#This Row],[TCL REFERENCE]],FIND(".",ESS_DATA[[#This Row],[TCL REFERENCE]],1)-1),"Main Line")</f>
        <v>Main Line</v>
      </c>
      <c r="D124" s="327" t="s">
        <v>63</v>
      </c>
      <c r="E124" s="326" t="s">
        <v>64</v>
      </c>
      <c r="F124" s="326" t="s">
        <v>65</v>
      </c>
      <c r="G124" s="327" t="s">
        <v>402</v>
      </c>
      <c r="H124" s="327" t="s">
        <v>67</v>
      </c>
      <c r="I124" s="327"/>
      <c r="J124" s="327" t="s">
        <v>8181</v>
      </c>
      <c r="K124" s="327"/>
      <c r="L124" s="328"/>
      <c r="M124" s="329" t="s">
        <v>68</v>
      </c>
      <c r="N124" s="326" t="s">
        <v>7851</v>
      </c>
      <c r="O124" s="330" t="s">
        <v>7852</v>
      </c>
      <c r="P124" s="402" t="s">
        <v>7853</v>
      </c>
      <c r="Q124" s="354"/>
      <c r="R124" s="331">
        <v>276</v>
      </c>
      <c r="S124" s="332"/>
      <c r="T124" s="327"/>
      <c r="U124" s="337">
        <v>1</v>
      </c>
      <c r="V124" s="368" t="s">
        <v>8182</v>
      </c>
      <c r="W124" s="327" t="s">
        <v>4372</v>
      </c>
      <c r="X124" s="327" t="str">
        <f t="shared" si="4"/>
        <v>COMPLETED</v>
      </c>
      <c r="Y124" s="416">
        <v>46228</v>
      </c>
      <c r="Z124" s="333">
        <v>46228</v>
      </c>
      <c r="AA124" s="334">
        <f>WEEKNUM(ESS_DATA[[#This Row],[Pick-Up Date]])</f>
        <v>30</v>
      </c>
      <c r="AB124" s="404" t="s">
        <v>8177</v>
      </c>
      <c r="AC124" s="327"/>
      <c r="AD124" s="327" t="s">
        <v>122</v>
      </c>
      <c r="AE124" s="327" t="s">
        <v>123</v>
      </c>
      <c r="AF124" s="327" t="s">
        <v>78</v>
      </c>
      <c r="AG124" s="333">
        <v>46236</v>
      </c>
      <c r="AH124" s="333">
        <v>46247</v>
      </c>
      <c r="AI124" s="333">
        <v>46248</v>
      </c>
      <c r="AJ124" s="333">
        <v>46281</v>
      </c>
      <c r="AK124" s="333">
        <v>46288</v>
      </c>
      <c r="AL124" s="333">
        <v>46289</v>
      </c>
      <c r="AM124" s="335" t="s">
        <v>402</v>
      </c>
      <c r="AN124" s="333" t="s">
        <v>8178</v>
      </c>
      <c r="AO124" s="333" t="s">
        <v>161</v>
      </c>
      <c r="AP124" s="333" t="s">
        <v>8179</v>
      </c>
      <c r="AQ124" s="327">
        <v>274118289</v>
      </c>
      <c r="AR124" s="327">
        <v>274118289</v>
      </c>
      <c r="AS124" s="327">
        <f>ESS_DATA[[#This Row],[ETA On S/O]]-ESS_DATA[[#This Row],[ETD On S/O]]+1</f>
        <v>46</v>
      </c>
      <c r="AT124" s="327"/>
      <c r="AU124" s="333" cm="1">
        <f t="array" ref="AU12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46289</v>
      </c>
      <c r="AV12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24" s="14">
        <f>IF(ISERROR(ESS_DATA[[#This Row],[New Ark PO status]]),"",_xlfn.XLOOKUP(ESS_DATA[[#This Row],[SPTN-PVHK New Ark PO'#]],New_Ark_Data[Purchase order Number],New_Ark_Data[Estimated time of arrival],"",0))</f>
        <v>46295</v>
      </c>
      <c r="AX124" s="327">
        <f>IF(ESS_DATA[[#This Row],[New Ark PO Type]]="Offshore",0,IFERROR(VLOOKUP(ESS_DATA[[#This Row],[PORT OF LOADING]]&amp;ESS_DATA[[#This Row],[PORT DESTINATION]],LT_REF[],7,0),14))</f>
        <v>8</v>
      </c>
      <c r="AY124" s="333">
        <f>IFERROR(ESS_DATA[[#This Row],[ODP ETA Port]]+ESS_DATA[[#This Row],[Customs/Leg3 Assumption]],"n/a")</f>
        <v>46297</v>
      </c>
      <c r="AZ124" s="326">
        <f>YEAR(ESS_DATA[[#This Row],[ETA for New Ark update]])</f>
        <v>2026</v>
      </c>
      <c r="BA124" s="326">
        <f>MONTH(ESS_DATA[[#This Row],[ETA for New Ark update]])</f>
        <v>10</v>
      </c>
      <c r="BB124" s="326">
        <f>IFERROR(_xlfn.ISOWEEKNUM(ESS_DATA[[#This Row],[ETA for New Ark update]]),0)</f>
        <v>40</v>
      </c>
      <c r="BC124" s="326" t="str">
        <f>_xlfn.XLOOKUP(ESS_DATA[[#This Row],[PORT DESTINATION]],Table12[PORT DESTINATION],Table12[Cosco Line],,0)</f>
        <v>AEM</v>
      </c>
      <c r="BD124" s="326"/>
    </row>
    <row r="125" spans="1:61" s="540" customFormat="1" ht="12.75" customHeight="1">
      <c r="A125" s="631" t="s">
        <v>8183</v>
      </c>
      <c r="B125" s="632" t="s">
        <v>7814</v>
      </c>
      <c r="C125" s="632" t="str">
        <f>IFERROR(LEFT(ESS_DATA[[#This Row],[TCL REFERENCE]],FIND(".",ESS_DATA[[#This Row],[TCL REFERENCE]],1)-1),"Main Line")</f>
        <v>Main Line</v>
      </c>
      <c r="D125" s="632" t="s">
        <v>63</v>
      </c>
      <c r="E125" s="633" t="s">
        <v>64</v>
      </c>
      <c r="F125" s="633" t="s">
        <v>65</v>
      </c>
      <c r="G125" s="632" t="s">
        <v>402</v>
      </c>
      <c r="H125" s="632" t="s">
        <v>67</v>
      </c>
      <c r="I125" s="632"/>
      <c r="J125" s="632" t="s">
        <v>8184</v>
      </c>
      <c r="K125" s="632"/>
      <c r="L125" s="634"/>
      <c r="M125" s="635" t="s">
        <v>68</v>
      </c>
      <c r="N125" s="636" t="s">
        <v>7862</v>
      </c>
      <c r="O125" s="636" t="s">
        <v>7829</v>
      </c>
      <c r="P125" s="636" t="s">
        <v>7863</v>
      </c>
      <c r="Q125" s="637"/>
      <c r="R125" s="638">
        <v>29</v>
      </c>
      <c r="S125" s="639"/>
      <c r="T125" s="632"/>
      <c r="U125" s="640">
        <f>ESS_DATA[[#This Row],[QUANTITY]]/224</f>
        <v>0.12946428571428573</v>
      </c>
      <c r="V125" s="641" t="s">
        <v>7854</v>
      </c>
      <c r="W125" s="632" t="s">
        <v>4372</v>
      </c>
      <c r="X125" s="632" t="str">
        <f t="shared" si="4"/>
        <v>COMPLETED</v>
      </c>
      <c r="Y125" s="642">
        <v>46224</v>
      </c>
      <c r="Z125" s="643">
        <v>46225</v>
      </c>
      <c r="AA125" s="644">
        <f>WEEKNUM(ESS_DATA[[#This Row],[Pick-Up Date]])</f>
        <v>30</v>
      </c>
      <c r="AB125" s="632" t="s">
        <v>8185</v>
      </c>
      <c r="AC125" s="632"/>
      <c r="AD125" s="632" t="s">
        <v>122</v>
      </c>
      <c r="AE125" s="632" t="s">
        <v>123</v>
      </c>
      <c r="AF125" s="632" t="s">
        <v>78</v>
      </c>
      <c r="AG125" s="643">
        <v>46231</v>
      </c>
      <c r="AH125" s="643">
        <v>46232</v>
      </c>
      <c r="AI125" s="643">
        <v>46232</v>
      </c>
      <c r="AJ125" s="643">
        <v>46274</v>
      </c>
      <c r="AK125" s="643">
        <v>46272</v>
      </c>
      <c r="AL125" s="643">
        <v>46272</v>
      </c>
      <c r="AM125" s="645" t="s">
        <v>402</v>
      </c>
      <c r="AN125" s="643" t="s">
        <v>8141</v>
      </c>
      <c r="AO125" s="643" t="s">
        <v>80</v>
      </c>
      <c r="AP125" s="643" t="s">
        <v>8186</v>
      </c>
      <c r="AQ125" s="632" t="s">
        <v>8187</v>
      </c>
      <c r="AR125" s="632" t="s">
        <v>8187</v>
      </c>
      <c r="AS125" s="632">
        <f>ESS_DATA[[#This Row],[ETA On S/O]]-ESS_DATA[[#This Row],[ETD On S/O]]+1</f>
        <v>44</v>
      </c>
      <c r="AT125" s="632"/>
      <c r="AU125" s="643" cm="1">
        <f t="array" ref="AU12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46272</v>
      </c>
      <c r="AV12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25" s="14">
        <f>IF(ISERROR(ESS_DATA[[#This Row],[New Ark PO status]]),"",_xlfn.XLOOKUP(ESS_DATA[[#This Row],[SPTN-PVHK New Ark PO'#]],New_Ark_Data[Purchase order Number],New_Ark_Data[Estimated time of arrival],"",0))</f>
        <v>46279</v>
      </c>
      <c r="AX125" s="632">
        <f>IF(ESS_DATA[[#This Row],[New Ark PO Type]]="Offshore",0,IFERROR(VLOOKUP(ESS_DATA[[#This Row],[PORT OF LOADING]]&amp;ESS_DATA[[#This Row],[PORT DESTINATION]],LT_REF[],7,0),14))</f>
        <v>8</v>
      </c>
      <c r="AY125" s="643">
        <f>IFERROR(ESS_DATA[[#This Row],[ODP ETA Port]]+ESS_DATA[[#This Row],[Customs/Leg3 Assumption]],"n/a")</f>
        <v>46280</v>
      </c>
      <c r="AZ125" s="633">
        <f>YEAR(ESS_DATA[[#This Row],[ETA for New Ark update]])</f>
        <v>2026</v>
      </c>
      <c r="BA125" s="633">
        <f>MONTH(ESS_DATA[[#This Row],[ETA for New Ark update]])</f>
        <v>9</v>
      </c>
      <c r="BB125" s="633">
        <f>IFERROR(_xlfn.ISOWEEKNUM(ESS_DATA[[#This Row],[ETA for New Ark update]]),0)</f>
        <v>38</v>
      </c>
      <c r="BC125" s="633" t="str">
        <f>_xlfn.XLOOKUP(ESS_DATA[[#This Row],[PORT DESTINATION]],Table12[PORT DESTINATION],Table12[Cosco Line],,0)</f>
        <v>AEM</v>
      </c>
      <c r="BD125" s="633"/>
      <c r="BE125" s="663"/>
      <c r="BF125" s="663"/>
      <c r="BG125" s="663"/>
      <c r="BH125" s="663"/>
      <c r="BI125" s="663"/>
    </row>
    <row r="126" spans="1:61" s="540" customFormat="1" ht="11.25" customHeight="1">
      <c r="A126" s="631" t="s">
        <v>8188</v>
      </c>
      <c r="B126" s="632" t="s">
        <v>7814</v>
      </c>
      <c r="C126" s="632" t="str">
        <f>IFERROR(LEFT(ESS_DATA[[#This Row],[TCL REFERENCE]],FIND(".",ESS_DATA[[#This Row],[TCL REFERENCE]],1)-1),"Main Line")</f>
        <v>Main Line</v>
      </c>
      <c r="D126" s="632" t="s">
        <v>63</v>
      </c>
      <c r="E126" s="633" t="s">
        <v>64</v>
      </c>
      <c r="F126" s="633" t="s">
        <v>65</v>
      </c>
      <c r="G126" s="632" t="s">
        <v>402</v>
      </c>
      <c r="H126" s="632" t="s">
        <v>67</v>
      </c>
      <c r="I126" s="632"/>
      <c r="J126" s="632" t="s">
        <v>8184</v>
      </c>
      <c r="K126" s="632"/>
      <c r="L126" s="634"/>
      <c r="M126" s="635" t="s">
        <v>68</v>
      </c>
      <c r="N126" s="636" t="s">
        <v>7862</v>
      </c>
      <c r="O126" s="636" t="s">
        <v>7829</v>
      </c>
      <c r="P126" s="636" t="s">
        <v>7863</v>
      </c>
      <c r="Q126" s="637"/>
      <c r="R126" s="638">
        <v>1</v>
      </c>
      <c r="S126" s="639"/>
      <c r="T126" s="632"/>
      <c r="U126" s="640">
        <f>ESS_DATA[[#This Row],[QUANTITY]]/224</f>
        <v>4.464285714285714E-3</v>
      </c>
      <c r="V126" s="641" t="s">
        <v>7854</v>
      </c>
      <c r="W126" s="632" t="s">
        <v>4372</v>
      </c>
      <c r="X126" s="632" t="str">
        <f t="shared" si="4"/>
        <v>COMPLETED</v>
      </c>
      <c r="Y126" s="642">
        <v>46224</v>
      </c>
      <c r="Z126" s="643">
        <v>46225</v>
      </c>
      <c r="AA126" s="644">
        <f>WEEKNUM(ESS_DATA[[#This Row],[Pick-Up Date]])</f>
        <v>30</v>
      </c>
      <c r="AB126" s="632" t="s">
        <v>8185</v>
      </c>
      <c r="AC126" s="632"/>
      <c r="AD126" s="632" t="s">
        <v>122</v>
      </c>
      <c r="AE126" s="632" t="s">
        <v>123</v>
      </c>
      <c r="AF126" s="632" t="s">
        <v>78</v>
      </c>
      <c r="AG126" s="643">
        <v>46231</v>
      </c>
      <c r="AH126" s="643">
        <v>46232</v>
      </c>
      <c r="AI126" s="643">
        <v>46232</v>
      </c>
      <c r="AJ126" s="643">
        <v>46274</v>
      </c>
      <c r="AK126" s="643">
        <v>46272</v>
      </c>
      <c r="AL126" s="643">
        <v>46272</v>
      </c>
      <c r="AM126" s="645" t="s">
        <v>402</v>
      </c>
      <c r="AN126" s="643" t="s">
        <v>8141</v>
      </c>
      <c r="AO126" s="643" t="s">
        <v>80</v>
      </c>
      <c r="AP126" s="643" t="s">
        <v>8186</v>
      </c>
      <c r="AQ126" s="632" t="s">
        <v>8187</v>
      </c>
      <c r="AR126" s="632" t="s">
        <v>8187</v>
      </c>
      <c r="AS126" s="632">
        <f>ESS_DATA[[#This Row],[ETA On S/O]]-ESS_DATA[[#This Row],[ETD On S/O]]+1</f>
        <v>44</v>
      </c>
      <c r="AT126" s="632"/>
      <c r="AU126" s="643" cm="1">
        <f t="array" ref="AU12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46272</v>
      </c>
      <c r="AV12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26" s="14">
        <f>IF(ISERROR(ESS_DATA[[#This Row],[New Ark PO status]]),"",_xlfn.XLOOKUP(ESS_DATA[[#This Row],[SPTN-PVHK New Ark PO'#]],New_Ark_Data[Purchase order Number],New_Ark_Data[Estimated time of arrival],"",0))</f>
        <v>46279</v>
      </c>
      <c r="AX126" s="632">
        <f>IF(ESS_DATA[[#This Row],[New Ark PO Type]]="Offshore",0,IFERROR(VLOOKUP(ESS_DATA[[#This Row],[PORT OF LOADING]]&amp;ESS_DATA[[#This Row],[PORT DESTINATION]],LT_REF[],7,0),14))</f>
        <v>8</v>
      </c>
      <c r="AY126" s="643">
        <f>IFERROR(ESS_DATA[[#This Row],[ODP ETA Port]]+ESS_DATA[[#This Row],[Customs/Leg3 Assumption]],"n/a")</f>
        <v>46280</v>
      </c>
      <c r="AZ126" s="633">
        <f>YEAR(ESS_DATA[[#This Row],[ETA for New Ark update]])</f>
        <v>2026</v>
      </c>
      <c r="BA126" s="633">
        <f>MONTH(ESS_DATA[[#This Row],[ETA for New Ark update]])</f>
        <v>9</v>
      </c>
      <c r="BB126" s="633">
        <f>IFERROR(_xlfn.ISOWEEKNUM(ESS_DATA[[#This Row],[ETA for New Ark update]]),0)</f>
        <v>38</v>
      </c>
      <c r="BC126" s="633" t="str">
        <f>_xlfn.XLOOKUP(ESS_DATA[[#This Row],[PORT DESTINATION]],Table12[PORT DESTINATION],Table12[Cosco Line],,0)</f>
        <v>AEM</v>
      </c>
      <c r="BD126" s="633"/>
      <c r="BE126" s="663"/>
      <c r="BF126" s="663"/>
      <c r="BG126" s="663"/>
      <c r="BH126" s="663"/>
      <c r="BI126" s="663"/>
    </row>
    <row r="127" spans="1:61" s="540" customFormat="1" ht="12" customHeight="1">
      <c r="A127" s="631" t="s">
        <v>8189</v>
      </c>
      <c r="B127" s="632" t="s">
        <v>7814</v>
      </c>
      <c r="C127" s="632" t="str">
        <f>IFERROR(LEFT(ESS_DATA[[#This Row],[TCL REFERENCE]],FIND(".",ESS_DATA[[#This Row],[TCL REFERENCE]],1)-1),"Main Line")</f>
        <v>26JUL002</v>
      </c>
      <c r="D127" s="632" t="s">
        <v>63</v>
      </c>
      <c r="E127" s="633" t="s">
        <v>64</v>
      </c>
      <c r="F127" s="633" t="s">
        <v>65</v>
      </c>
      <c r="G127" s="632" t="s">
        <v>402</v>
      </c>
      <c r="H127" s="632" t="s">
        <v>67</v>
      </c>
      <c r="I127" s="632"/>
      <c r="J127" s="632" t="s">
        <v>8184</v>
      </c>
      <c r="K127" s="632"/>
      <c r="L127" s="634"/>
      <c r="M127" s="635" t="s">
        <v>68</v>
      </c>
      <c r="N127" s="636" t="s">
        <v>7828</v>
      </c>
      <c r="O127" s="636" t="s">
        <v>7829</v>
      </c>
      <c r="P127" s="636" t="s">
        <v>7830</v>
      </c>
      <c r="Q127" s="637"/>
      <c r="R127" s="638">
        <v>88</v>
      </c>
      <c r="S127" s="639"/>
      <c r="T127" s="632"/>
      <c r="U127" s="640">
        <f>ESS_DATA[[#This Row],[QUANTITY]]/224</f>
        <v>0.39285714285714285</v>
      </c>
      <c r="V127" s="641" t="s">
        <v>7854</v>
      </c>
      <c r="W127" s="632" t="s">
        <v>4372</v>
      </c>
      <c r="X127" s="632" t="str">
        <f t="shared" si="4"/>
        <v>COMPLETED</v>
      </c>
      <c r="Y127" s="642">
        <v>46224</v>
      </c>
      <c r="Z127" s="643">
        <v>46225</v>
      </c>
      <c r="AA127" s="644">
        <f>WEEKNUM(ESS_DATA[[#This Row],[Pick-Up Date]])</f>
        <v>30</v>
      </c>
      <c r="AB127" s="632" t="s">
        <v>8185</v>
      </c>
      <c r="AC127" s="632"/>
      <c r="AD127" s="632" t="s">
        <v>122</v>
      </c>
      <c r="AE127" s="632" t="s">
        <v>123</v>
      </c>
      <c r="AF127" s="632" t="s">
        <v>78</v>
      </c>
      <c r="AG127" s="643">
        <v>46231</v>
      </c>
      <c r="AH127" s="643">
        <v>46232</v>
      </c>
      <c r="AI127" s="643">
        <v>46232</v>
      </c>
      <c r="AJ127" s="643">
        <v>46274</v>
      </c>
      <c r="AK127" s="643">
        <v>46272</v>
      </c>
      <c r="AL127" s="643">
        <v>46272</v>
      </c>
      <c r="AM127" s="645" t="s">
        <v>402</v>
      </c>
      <c r="AN127" s="643" t="s">
        <v>8141</v>
      </c>
      <c r="AO127" s="643" t="s">
        <v>80</v>
      </c>
      <c r="AP127" s="643" t="s">
        <v>8186</v>
      </c>
      <c r="AQ127" s="632" t="s">
        <v>8187</v>
      </c>
      <c r="AR127" s="632" t="s">
        <v>8187</v>
      </c>
      <c r="AS127" s="632">
        <f>ESS_DATA[[#This Row],[ETA On S/O]]-ESS_DATA[[#This Row],[ETD On S/O]]+1</f>
        <v>44</v>
      </c>
      <c r="AT127" s="632"/>
      <c r="AU127" s="643" cm="1">
        <f t="array" ref="AU12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46272</v>
      </c>
      <c r="AV12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27" s="14">
        <f>IF(ISERROR(ESS_DATA[[#This Row],[New Ark PO status]]),"",_xlfn.XLOOKUP(ESS_DATA[[#This Row],[SPTN-PVHK New Ark PO'#]],New_Ark_Data[Purchase order Number],New_Ark_Data[Estimated time of arrival],"",0))</f>
        <v>46279</v>
      </c>
      <c r="AX127" s="632">
        <f>IF(ESS_DATA[[#This Row],[New Ark PO Type]]="Offshore",0,IFERROR(VLOOKUP(ESS_DATA[[#This Row],[PORT OF LOADING]]&amp;ESS_DATA[[#This Row],[PORT DESTINATION]],LT_REF[],7,0),14))</f>
        <v>8</v>
      </c>
      <c r="AY127" s="643">
        <f>IFERROR(ESS_DATA[[#This Row],[ODP ETA Port]]+ESS_DATA[[#This Row],[Customs/Leg3 Assumption]],"n/a")</f>
        <v>46280</v>
      </c>
      <c r="AZ127" s="633">
        <f>YEAR(ESS_DATA[[#This Row],[ETA for New Ark update]])</f>
        <v>2026</v>
      </c>
      <c r="BA127" s="633">
        <f>MONTH(ESS_DATA[[#This Row],[ETA for New Ark update]])</f>
        <v>9</v>
      </c>
      <c r="BB127" s="633">
        <f>IFERROR(_xlfn.ISOWEEKNUM(ESS_DATA[[#This Row],[ETA for New Ark update]]),0)</f>
        <v>38</v>
      </c>
      <c r="BC127" s="633" t="str">
        <f>_xlfn.XLOOKUP(ESS_DATA[[#This Row],[PORT DESTINATION]],Table12[PORT DESTINATION],Table12[Cosco Line],,0)</f>
        <v>AEM</v>
      </c>
      <c r="BD127" s="633"/>
      <c r="BE127" s="663"/>
      <c r="BF127" s="663"/>
      <c r="BG127" s="663"/>
      <c r="BH127" s="663"/>
      <c r="BI127" s="663"/>
    </row>
    <row r="128" spans="1:61" s="540" customFormat="1" ht="11.25" customHeight="1">
      <c r="A128" s="631" t="s">
        <v>8190</v>
      </c>
      <c r="B128" s="632" t="s">
        <v>7814</v>
      </c>
      <c r="C128" s="632" t="str">
        <f>IFERROR(LEFT(ESS_DATA[[#This Row],[TCL REFERENCE]],FIND(".",ESS_DATA[[#This Row],[TCL REFERENCE]],1)-1),"Main Line")</f>
        <v>Main Line</v>
      </c>
      <c r="D128" s="632" t="s">
        <v>63</v>
      </c>
      <c r="E128" s="633" t="s">
        <v>64</v>
      </c>
      <c r="F128" s="633" t="s">
        <v>65</v>
      </c>
      <c r="G128" s="632" t="s">
        <v>402</v>
      </c>
      <c r="H128" s="632" t="s">
        <v>67</v>
      </c>
      <c r="I128" s="632"/>
      <c r="J128" s="632" t="s">
        <v>8191</v>
      </c>
      <c r="K128" s="632"/>
      <c r="L128" s="634"/>
      <c r="M128" s="635" t="s">
        <v>68</v>
      </c>
      <c r="N128" s="636" t="s">
        <v>7828</v>
      </c>
      <c r="O128" s="636" t="s">
        <v>7829</v>
      </c>
      <c r="P128" s="636" t="s">
        <v>7830</v>
      </c>
      <c r="Q128" s="637"/>
      <c r="R128" s="638">
        <v>16</v>
      </c>
      <c r="S128" s="639"/>
      <c r="T128" s="632"/>
      <c r="U128" s="640">
        <f>ESS_DATA[[#This Row],[QUANTITY]]/224</f>
        <v>7.1428571428571425E-2</v>
      </c>
      <c r="V128" s="641" t="s">
        <v>7854</v>
      </c>
      <c r="W128" s="632" t="s">
        <v>4372</v>
      </c>
      <c r="X128" s="632" t="str">
        <f t="shared" si="4"/>
        <v>COMPLETED</v>
      </c>
      <c r="Y128" s="642">
        <v>46224</v>
      </c>
      <c r="Z128" s="643">
        <v>46225</v>
      </c>
      <c r="AA128" s="644">
        <f>WEEKNUM(ESS_DATA[[#This Row],[Pick-Up Date]])</f>
        <v>30</v>
      </c>
      <c r="AB128" s="632" t="s">
        <v>8185</v>
      </c>
      <c r="AC128" s="632"/>
      <c r="AD128" s="632" t="s">
        <v>122</v>
      </c>
      <c r="AE128" s="632" t="s">
        <v>123</v>
      </c>
      <c r="AF128" s="632" t="s">
        <v>78</v>
      </c>
      <c r="AG128" s="643">
        <v>46231</v>
      </c>
      <c r="AH128" s="643">
        <v>46232</v>
      </c>
      <c r="AI128" s="643">
        <v>46232</v>
      </c>
      <c r="AJ128" s="643">
        <v>46274</v>
      </c>
      <c r="AK128" s="643">
        <v>46272</v>
      </c>
      <c r="AL128" s="643">
        <v>46272</v>
      </c>
      <c r="AM128" s="645" t="s">
        <v>402</v>
      </c>
      <c r="AN128" s="643" t="s">
        <v>8141</v>
      </c>
      <c r="AO128" s="643" t="s">
        <v>80</v>
      </c>
      <c r="AP128" s="643" t="s">
        <v>8186</v>
      </c>
      <c r="AQ128" s="632" t="s">
        <v>8187</v>
      </c>
      <c r="AR128" s="632" t="s">
        <v>8187</v>
      </c>
      <c r="AS128" s="632">
        <f>ESS_DATA[[#This Row],[ETA On S/O]]-ESS_DATA[[#This Row],[ETD On S/O]]+1</f>
        <v>44</v>
      </c>
      <c r="AT128" s="632"/>
      <c r="AU128" s="643" cm="1">
        <f t="array" ref="AU12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46272</v>
      </c>
      <c r="AV12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28" s="14">
        <f>IF(ISERROR(ESS_DATA[[#This Row],[New Ark PO status]]),"",_xlfn.XLOOKUP(ESS_DATA[[#This Row],[SPTN-PVHK New Ark PO'#]],New_Ark_Data[Purchase order Number],New_Ark_Data[Estimated time of arrival],"",0))</f>
        <v>46279</v>
      </c>
      <c r="AX128" s="632">
        <f>IF(ESS_DATA[[#This Row],[New Ark PO Type]]="Offshore",0,IFERROR(VLOOKUP(ESS_DATA[[#This Row],[PORT OF LOADING]]&amp;ESS_DATA[[#This Row],[PORT DESTINATION]],LT_REF[],7,0),14))</f>
        <v>8</v>
      </c>
      <c r="AY128" s="643">
        <f>IFERROR(ESS_DATA[[#This Row],[ODP ETA Port]]+ESS_DATA[[#This Row],[Customs/Leg3 Assumption]],"n/a")</f>
        <v>46280</v>
      </c>
      <c r="AZ128" s="633">
        <f>YEAR(ESS_DATA[[#This Row],[ETA for New Ark update]])</f>
        <v>2026</v>
      </c>
      <c r="BA128" s="633">
        <f>MONTH(ESS_DATA[[#This Row],[ETA for New Ark update]])</f>
        <v>9</v>
      </c>
      <c r="BB128" s="633">
        <f>IFERROR(_xlfn.ISOWEEKNUM(ESS_DATA[[#This Row],[ETA for New Ark update]]),0)</f>
        <v>38</v>
      </c>
      <c r="BC128" s="633" t="str">
        <f>_xlfn.XLOOKUP(ESS_DATA[[#This Row],[PORT DESTINATION]],Table12[PORT DESTINATION],Table12[Cosco Line],,0)</f>
        <v>AEM</v>
      </c>
      <c r="BD128" s="633"/>
      <c r="BE128" s="663"/>
      <c r="BF128" s="663"/>
      <c r="BG128" s="663"/>
      <c r="BH128" s="663"/>
      <c r="BI128" s="663"/>
    </row>
    <row r="129" spans="1:61" s="540" customFormat="1" ht="10.5" customHeight="1">
      <c r="A129" s="631" t="s">
        <v>8192</v>
      </c>
      <c r="B129" s="632" t="s">
        <v>7814</v>
      </c>
      <c r="C129" s="632" t="str">
        <f>IFERROR(LEFT(ESS_DATA[[#This Row],[TCL REFERENCE]],FIND(".",ESS_DATA[[#This Row],[TCL REFERENCE]],1)-1),"Main Line")</f>
        <v>Main Line</v>
      </c>
      <c r="D129" s="632" t="s">
        <v>63</v>
      </c>
      <c r="E129" s="633" t="s">
        <v>64</v>
      </c>
      <c r="F129" s="633" t="s">
        <v>65</v>
      </c>
      <c r="G129" s="632" t="s">
        <v>402</v>
      </c>
      <c r="H129" s="632" t="s">
        <v>67</v>
      </c>
      <c r="I129" s="632"/>
      <c r="J129" s="632" t="s">
        <v>8184</v>
      </c>
      <c r="K129" s="632"/>
      <c r="L129" s="634"/>
      <c r="M129" s="635" t="s">
        <v>68</v>
      </c>
      <c r="N129" s="636" t="s">
        <v>7837</v>
      </c>
      <c r="O129" s="636" t="s">
        <v>7829</v>
      </c>
      <c r="P129" s="636" t="s">
        <v>7838</v>
      </c>
      <c r="Q129" s="637"/>
      <c r="R129" s="638">
        <v>87</v>
      </c>
      <c r="S129" s="639"/>
      <c r="T129" s="632"/>
      <c r="U129" s="640">
        <f>ESS_DATA[[#This Row],[QUANTITY]]/224</f>
        <v>0.38839285714285715</v>
      </c>
      <c r="V129" s="641" t="s">
        <v>7854</v>
      </c>
      <c r="W129" s="632" t="s">
        <v>4372</v>
      </c>
      <c r="X129" s="632" t="str">
        <f t="shared" si="4"/>
        <v>COMPLETED</v>
      </c>
      <c r="Y129" s="642">
        <v>46224</v>
      </c>
      <c r="Z129" s="643">
        <v>46225</v>
      </c>
      <c r="AA129" s="644">
        <f>WEEKNUM(ESS_DATA[[#This Row],[Pick-Up Date]])</f>
        <v>30</v>
      </c>
      <c r="AB129" s="632" t="s">
        <v>8185</v>
      </c>
      <c r="AC129" s="632"/>
      <c r="AD129" s="632" t="s">
        <v>122</v>
      </c>
      <c r="AE129" s="632" t="s">
        <v>123</v>
      </c>
      <c r="AF129" s="632" t="s">
        <v>78</v>
      </c>
      <c r="AG129" s="643">
        <v>46231</v>
      </c>
      <c r="AH129" s="643">
        <v>46232</v>
      </c>
      <c r="AI129" s="643">
        <v>46232</v>
      </c>
      <c r="AJ129" s="643">
        <v>46274</v>
      </c>
      <c r="AK129" s="643">
        <v>46272</v>
      </c>
      <c r="AL129" s="643">
        <v>46272</v>
      </c>
      <c r="AM129" s="645" t="s">
        <v>402</v>
      </c>
      <c r="AN129" s="643" t="s">
        <v>8141</v>
      </c>
      <c r="AO129" s="643" t="s">
        <v>80</v>
      </c>
      <c r="AP129" s="643" t="s">
        <v>8186</v>
      </c>
      <c r="AQ129" s="632" t="s">
        <v>8187</v>
      </c>
      <c r="AR129" s="632" t="s">
        <v>8187</v>
      </c>
      <c r="AS129" s="632">
        <f>ESS_DATA[[#This Row],[ETA On S/O]]-ESS_DATA[[#This Row],[ETD On S/O]]+1</f>
        <v>44</v>
      </c>
      <c r="AT129" s="632"/>
      <c r="AU129" s="643" cm="1">
        <f t="array" ref="AU12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46272</v>
      </c>
      <c r="AV12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29" s="14">
        <f>IF(ISERROR(ESS_DATA[[#This Row],[New Ark PO status]]),"",_xlfn.XLOOKUP(ESS_DATA[[#This Row],[SPTN-PVHK New Ark PO'#]],New_Ark_Data[Purchase order Number],New_Ark_Data[Estimated time of arrival],"",0))</f>
        <v>46279</v>
      </c>
      <c r="AX129" s="632">
        <f>IF(ESS_DATA[[#This Row],[New Ark PO Type]]="Offshore",0,IFERROR(VLOOKUP(ESS_DATA[[#This Row],[PORT OF LOADING]]&amp;ESS_DATA[[#This Row],[PORT DESTINATION]],LT_REF[],7,0),14))</f>
        <v>8</v>
      </c>
      <c r="AY129" s="643">
        <f>IFERROR(ESS_DATA[[#This Row],[ODP ETA Port]]+ESS_DATA[[#This Row],[Customs/Leg3 Assumption]],"n/a")</f>
        <v>46280</v>
      </c>
      <c r="AZ129" s="633">
        <f>YEAR(ESS_DATA[[#This Row],[ETA for New Ark update]])</f>
        <v>2026</v>
      </c>
      <c r="BA129" s="633">
        <f>MONTH(ESS_DATA[[#This Row],[ETA for New Ark update]])</f>
        <v>9</v>
      </c>
      <c r="BB129" s="633">
        <f>IFERROR(_xlfn.ISOWEEKNUM(ESS_DATA[[#This Row],[ETA for New Ark update]]),0)</f>
        <v>38</v>
      </c>
      <c r="BC129" s="633" t="str">
        <f>_xlfn.XLOOKUP(ESS_DATA[[#This Row],[PORT DESTINATION]],Table12[PORT DESTINATION],Table12[Cosco Line],,0)</f>
        <v>AEM</v>
      </c>
      <c r="BD129" s="633"/>
      <c r="BE129" s="663"/>
      <c r="BF129" s="663"/>
      <c r="BG129" s="663"/>
      <c r="BH129" s="663"/>
      <c r="BI129" s="663"/>
    </row>
    <row r="130" spans="1:61" s="540" customFormat="1" ht="11.25" customHeight="1">
      <c r="A130" s="631" t="s">
        <v>8193</v>
      </c>
      <c r="B130" s="632" t="s">
        <v>7814</v>
      </c>
      <c r="C130" s="632" t="str">
        <f>IFERROR(LEFT(ESS_DATA[[#This Row],[TCL REFERENCE]],FIND(".",ESS_DATA[[#This Row],[TCL REFERENCE]],1)-1),"Main Line")</f>
        <v>Main Line</v>
      </c>
      <c r="D130" s="632" t="s">
        <v>63</v>
      </c>
      <c r="E130" s="633" t="s">
        <v>64</v>
      </c>
      <c r="F130" s="633" t="s">
        <v>65</v>
      </c>
      <c r="G130" s="632" t="s">
        <v>402</v>
      </c>
      <c r="H130" s="632" t="s">
        <v>67</v>
      </c>
      <c r="I130" s="632"/>
      <c r="J130" s="632" t="s">
        <v>8184</v>
      </c>
      <c r="K130" s="632"/>
      <c r="L130" s="634"/>
      <c r="M130" s="635" t="s">
        <v>68</v>
      </c>
      <c r="N130" s="636" t="s">
        <v>7837</v>
      </c>
      <c r="O130" s="636" t="s">
        <v>7829</v>
      </c>
      <c r="P130" s="636" t="s">
        <v>7838</v>
      </c>
      <c r="Q130" s="637"/>
      <c r="R130" s="638">
        <v>3</v>
      </c>
      <c r="S130" s="639"/>
      <c r="T130" s="632"/>
      <c r="U130" s="640">
        <f>ESS_DATA[[#This Row],[QUANTITY]]/224</f>
        <v>1.3392857142857142E-2</v>
      </c>
      <c r="V130" s="641" t="s">
        <v>7854</v>
      </c>
      <c r="W130" s="632" t="s">
        <v>4372</v>
      </c>
      <c r="X130" s="632" t="str">
        <f t="shared" si="4"/>
        <v>COMPLETED</v>
      </c>
      <c r="Y130" s="642">
        <v>46224</v>
      </c>
      <c r="Z130" s="643">
        <v>46225</v>
      </c>
      <c r="AA130" s="644">
        <f>WEEKNUM(ESS_DATA[[#This Row],[Pick-Up Date]])</f>
        <v>30</v>
      </c>
      <c r="AB130" s="632" t="s">
        <v>8185</v>
      </c>
      <c r="AC130" s="632"/>
      <c r="AD130" s="632" t="s">
        <v>122</v>
      </c>
      <c r="AE130" s="632" t="s">
        <v>123</v>
      </c>
      <c r="AF130" s="632" t="s">
        <v>78</v>
      </c>
      <c r="AG130" s="643">
        <v>46231</v>
      </c>
      <c r="AH130" s="643">
        <v>46232</v>
      </c>
      <c r="AI130" s="643">
        <v>46232</v>
      </c>
      <c r="AJ130" s="643">
        <v>46274</v>
      </c>
      <c r="AK130" s="643">
        <v>46272</v>
      </c>
      <c r="AL130" s="643">
        <v>46272</v>
      </c>
      <c r="AM130" s="645" t="s">
        <v>402</v>
      </c>
      <c r="AN130" s="643" t="s">
        <v>8141</v>
      </c>
      <c r="AO130" s="643" t="s">
        <v>80</v>
      </c>
      <c r="AP130" s="643" t="s">
        <v>8186</v>
      </c>
      <c r="AQ130" s="632" t="s">
        <v>8187</v>
      </c>
      <c r="AR130" s="632" t="s">
        <v>8187</v>
      </c>
      <c r="AS130" s="632">
        <f>ESS_DATA[[#This Row],[ETA On S/O]]-ESS_DATA[[#This Row],[ETD On S/O]]+1</f>
        <v>44</v>
      </c>
      <c r="AT130" s="632"/>
      <c r="AU130" s="643" cm="1">
        <f t="array" ref="AU13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46272</v>
      </c>
      <c r="AV13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30" s="14">
        <f>IF(ISERROR(ESS_DATA[[#This Row],[New Ark PO status]]),"",_xlfn.XLOOKUP(ESS_DATA[[#This Row],[SPTN-PVHK New Ark PO'#]],New_Ark_Data[Purchase order Number],New_Ark_Data[Estimated time of arrival],"",0))</f>
        <v>46279</v>
      </c>
      <c r="AX130" s="632">
        <f>IF(ESS_DATA[[#This Row],[New Ark PO Type]]="Offshore",0,IFERROR(VLOOKUP(ESS_DATA[[#This Row],[PORT OF LOADING]]&amp;ESS_DATA[[#This Row],[PORT DESTINATION]],LT_REF[],7,0),14))</f>
        <v>8</v>
      </c>
      <c r="AY130" s="643">
        <f>IFERROR(ESS_DATA[[#This Row],[ODP ETA Port]]+ESS_DATA[[#This Row],[Customs/Leg3 Assumption]],"n/a")</f>
        <v>46280</v>
      </c>
      <c r="AZ130" s="633">
        <f>YEAR(ESS_DATA[[#This Row],[ETA for New Ark update]])</f>
        <v>2026</v>
      </c>
      <c r="BA130" s="633">
        <f>MONTH(ESS_DATA[[#This Row],[ETA for New Ark update]])</f>
        <v>9</v>
      </c>
      <c r="BB130" s="633">
        <f>IFERROR(_xlfn.ISOWEEKNUM(ESS_DATA[[#This Row],[ETA for New Ark update]]),0)</f>
        <v>38</v>
      </c>
      <c r="BC130" s="633" t="str">
        <f>_xlfn.XLOOKUP(ESS_DATA[[#This Row],[PORT DESTINATION]],Table12[PORT DESTINATION],Table12[Cosco Line],,0)</f>
        <v>AEM</v>
      </c>
      <c r="BD130" s="633"/>
      <c r="BE130" s="663"/>
      <c r="BF130" s="663"/>
      <c r="BG130" s="663"/>
      <c r="BH130" s="663"/>
      <c r="BI130" s="663"/>
    </row>
    <row r="131" spans="1:61" s="540" customFormat="1" ht="10.5" customHeight="1">
      <c r="A131" s="631" t="s">
        <v>8194</v>
      </c>
      <c r="B131" s="632" t="s">
        <v>7814</v>
      </c>
      <c r="C131" s="632" t="str">
        <f>IFERROR(LEFT(ESS_DATA[[#This Row],[TCL REFERENCE]],FIND(".",ESS_DATA[[#This Row],[TCL REFERENCE]],1)-1),"Main Line")</f>
        <v>26JUL004</v>
      </c>
      <c r="D131" s="632" t="s">
        <v>63</v>
      </c>
      <c r="E131" s="633" t="s">
        <v>64</v>
      </c>
      <c r="F131" s="633" t="s">
        <v>65</v>
      </c>
      <c r="G131" s="632" t="s">
        <v>402</v>
      </c>
      <c r="H131" s="632" t="s">
        <v>67</v>
      </c>
      <c r="I131" s="632"/>
      <c r="J131" s="632" t="s">
        <v>8195</v>
      </c>
      <c r="K131" s="632"/>
      <c r="L131" s="634"/>
      <c r="M131" s="635" t="s">
        <v>68</v>
      </c>
      <c r="N131" s="636" t="s">
        <v>7840</v>
      </c>
      <c r="O131" s="636" t="s">
        <v>8037</v>
      </c>
      <c r="P131" s="636" t="s">
        <v>7842</v>
      </c>
      <c r="Q131" s="637"/>
      <c r="R131" s="638">
        <v>331</v>
      </c>
      <c r="S131" s="639"/>
      <c r="T131" s="632"/>
      <c r="U131" s="640">
        <f>ESS_DATA[[#This Row],[QUANTITY]]/350</f>
        <v>0.94571428571428573</v>
      </c>
      <c r="V131" s="641" t="s">
        <v>7860</v>
      </c>
      <c r="W131" s="632" t="s">
        <v>4372</v>
      </c>
      <c r="X131" s="632" t="str">
        <f t="shared" si="4"/>
        <v>COMPLETED</v>
      </c>
      <c r="Y131" s="642">
        <v>46224</v>
      </c>
      <c r="Z131" s="643">
        <v>46225</v>
      </c>
      <c r="AA131" s="644">
        <f>WEEKNUM(ESS_DATA[[#This Row],[Pick-Up Date]])</f>
        <v>30</v>
      </c>
      <c r="AB131" s="632" t="s">
        <v>8185</v>
      </c>
      <c r="AC131" s="632"/>
      <c r="AD131" s="632" t="s">
        <v>122</v>
      </c>
      <c r="AE131" s="632" t="s">
        <v>123</v>
      </c>
      <c r="AF131" s="632" t="s">
        <v>78</v>
      </c>
      <c r="AG131" s="643">
        <v>46231</v>
      </c>
      <c r="AH131" s="643">
        <v>46232</v>
      </c>
      <c r="AI131" s="643">
        <v>46232</v>
      </c>
      <c r="AJ131" s="643">
        <v>46274</v>
      </c>
      <c r="AK131" s="643">
        <v>46272</v>
      </c>
      <c r="AL131" s="643">
        <v>46272</v>
      </c>
      <c r="AM131" s="645" t="s">
        <v>402</v>
      </c>
      <c r="AN131" s="643" t="s">
        <v>8141</v>
      </c>
      <c r="AO131" s="643" t="s">
        <v>80</v>
      </c>
      <c r="AP131" s="643" t="s">
        <v>8186</v>
      </c>
      <c r="AQ131" s="632" t="s">
        <v>8187</v>
      </c>
      <c r="AR131" s="632" t="s">
        <v>8187</v>
      </c>
      <c r="AS131" s="632">
        <f>ESS_DATA[[#This Row],[ETA On S/O]]-ESS_DATA[[#This Row],[ETD On S/O]]+1</f>
        <v>44</v>
      </c>
      <c r="AT131" s="632"/>
      <c r="AU131" s="643" cm="1">
        <f t="array" ref="AU13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46272</v>
      </c>
      <c r="AV13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31" s="14">
        <f>IF(ISERROR(ESS_DATA[[#This Row],[New Ark PO status]]),"",_xlfn.XLOOKUP(ESS_DATA[[#This Row],[SPTN-PVHK New Ark PO'#]],New_Ark_Data[Purchase order Number],New_Ark_Data[Estimated time of arrival],"",0))</f>
        <v>46279</v>
      </c>
      <c r="AX131" s="632">
        <f>IF(ESS_DATA[[#This Row],[New Ark PO Type]]="Offshore",0,IFERROR(VLOOKUP(ESS_DATA[[#This Row],[PORT OF LOADING]]&amp;ESS_DATA[[#This Row],[PORT DESTINATION]],LT_REF[],7,0),14))</f>
        <v>8</v>
      </c>
      <c r="AY131" s="643">
        <f>IFERROR(ESS_DATA[[#This Row],[ODP ETA Port]]+ESS_DATA[[#This Row],[Customs/Leg3 Assumption]],"n/a")</f>
        <v>46280</v>
      </c>
      <c r="AZ131" s="633">
        <f>YEAR(ESS_DATA[[#This Row],[ETA for New Ark update]])</f>
        <v>2026</v>
      </c>
      <c r="BA131" s="633">
        <f>MONTH(ESS_DATA[[#This Row],[ETA for New Ark update]])</f>
        <v>9</v>
      </c>
      <c r="BB131" s="633">
        <f>IFERROR(_xlfn.ISOWEEKNUM(ESS_DATA[[#This Row],[ETA for New Ark update]]),0)</f>
        <v>38</v>
      </c>
      <c r="BC131" s="633" t="str">
        <f>_xlfn.XLOOKUP(ESS_DATA[[#This Row],[PORT DESTINATION]],Table12[PORT DESTINATION],Table12[Cosco Line],,0)</f>
        <v>AEM</v>
      </c>
      <c r="BD131" s="633"/>
      <c r="BE131" s="663"/>
      <c r="BF131" s="663"/>
      <c r="BG131" s="663"/>
      <c r="BH131" s="663"/>
      <c r="BI131" s="663"/>
    </row>
    <row r="132" spans="1:61" s="540" customFormat="1" ht="11.25" customHeight="1">
      <c r="A132" s="631" t="s">
        <v>8196</v>
      </c>
      <c r="B132" s="632" t="s">
        <v>7814</v>
      </c>
      <c r="C132" s="632" t="str">
        <f>IFERROR(LEFT(ESS_DATA[[#This Row],[TCL REFERENCE]],FIND(".",ESS_DATA[[#This Row],[TCL REFERENCE]],1)-1),"Main Line")</f>
        <v>Main Line</v>
      </c>
      <c r="D132" s="632" t="s">
        <v>63</v>
      </c>
      <c r="E132" s="633" t="s">
        <v>64</v>
      </c>
      <c r="F132" s="633" t="s">
        <v>65</v>
      </c>
      <c r="G132" s="632" t="s">
        <v>402</v>
      </c>
      <c r="H132" s="632" t="s">
        <v>67</v>
      </c>
      <c r="I132" s="632"/>
      <c r="J132" s="632" t="s">
        <v>8197</v>
      </c>
      <c r="K132" s="632"/>
      <c r="L132" s="634"/>
      <c r="M132" s="635" t="s">
        <v>68</v>
      </c>
      <c r="N132" s="636" t="s">
        <v>7840</v>
      </c>
      <c r="O132" s="636" t="s">
        <v>8037</v>
      </c>
      <c r="P132" s="636" t="s">
        <v>7842</v>
      </c>
      <c r="Q132" s="637"/>
      <c r="R132" s="638">
        <v>19</v>
      </c>
      <c r="S132" s="639"/>
      <c r="T132" s="632"/>
      <c r="U132" s="640">
        <f>ESS_DATA[[#This Row],[QUANTITY]]/350</f>
        <v>5.4285714285714284E-2</v>
      </c>
      <c r="V132" s="641" t="s">
        <v>7860</v>
      </c>
      <c r="W132" s="632" t="s">
        <v>4372</v>
      </c>
      <c r="X132" s="632" t="str">
        <f t="shared" ref="X132:X148" si="5">IF(AL132&lt;&gt;"","COMPLETED",IF(AI132&lt;&gt;"","IN-TRANSIT",""))</f>
        <v>COMPLETED</v>
      </c>
      <c r="Y132" s="642">
        <v>46224</v>
      </c>
      <c r="Z132" s="643">
        <v>46225</v>
      </c>
      <c r="AA132" s="644">
        <f>WEEKNUM(ESS_DATA[[#This Row],[Pick-Up Date]])</f>
        <v>30</v>
      </c>
      <c r="AB132" s="632" t="s">
        <v>8185</v>
      </c>
      <c r="AC132" s="632"/>
      <c r="AD132" s="632" t="s">
        <v>122</v>
      </c>
      <c r="AE132" s="632" t="s">
        <v>123</v>
      </c>
      <c r="AF132" s="632" t="s">
        <v>78</v>
      </c>
      <c r="AG132" s="643">
        <v>46231</v>
      </c>
      <c r="AH132" s="643">
        <v>46232</v>
      </c>
      <c r="AI132" s="643">
        <v>46232</v>
      </c>
      <c r="AJ132" s="643">
        <v>46274</v>
      </c>
      <c r="AK132" s="643">
        <v>46272</v>
      </c>
      <c r="AL132" s="643">
        <v>46272</v>
      </c>
      <c r="AM132" s="645" t="s">
        <v>402</v>
      </c>
      <c r="AN132" s="643" t="s">
        <v>8141</v>
      </c>
      <c r="AO132" s="643" t="s">
        <v>80</v>
      </c>
      <c r="AP132" s="643" t="s">
        <v>8186</v>
      </c>
      <c r="AQ132" s="632" t="s">
        <v>8187</v>
      </c>
      <c r="AR132" s="632" t="s">
        <v>8187</v>
      </c>
      <c r="AS132" s="632">
        <f>ESS_DATA[[#This Row],[ETA On S/O]]-ESS_DATA[[#This Row],[ETD On S/O]]+1</f>
        <v>44</v>
      </c>
      <c r="AT132" s="632"/>
      <c r="AU132" s="643" cm="1">
        <f t="array" ref="AU13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46272</v>
      </c>
      <c r="AV13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32" s="14">
        <f>IF(ISERROR(ESS_DATA[[#This Row],[New Ark PO status]]),"",_xlfn.XLOOKUP(ESS_DATA[[#This Row],[SPTN-PVHK New Ark PO'#]],New_Ark_Data[Purchase order Number],New_Ark_Data[Estimated time of arrival],"",0))</f>
        <v>46279</v>
      </c>
      <c r="AX132" s="632">
        <f>IF(ESS_DATA[[#This Row],[New Ark PO Type]]="Offshore",0,IFERROR(VLOOKUP(ESS_DATA[[#This Row],[PORT OF LOADING]]&amp;ESS_DATA[[#This Row],[PORT DESTINATION]],LT_REF[],7,0),14))</f>
        <v>8</v>
      </c>
      <c r="AY132" s="643">
        <f>IFERROR(ESS_DATA[[#This Row],[ODP ETA Port]]+ESS_DATA[[#This Row],[Customs/Leg3 Assumption]],"n/a")</f>
        <v>46280</v>
      </c>
      <c r="AZ132" s="633">
        <f>YEAR(ESS_DATA[[#This Row],[ETA for New Ark update]])</f>
        <v>2026</v>
      </c>
      <c r="BA132" s="633">
        <f>MONTH(ESS_DATA[[#This Row],[ETA for New Ark update]])</f>
        <v>9</v>
      </c>
      <c r="BB132" s="633">
        <f>IFERROR(_xlfn.ISOWEEKNUM(ESS_DATA[[#This Row],[ETA for New Ark update]]),0)</f>
        <v>38</v>
      </c>
      <c r="BC132" s="633" t="str">
        <f>_xlfn.XLOOKUP(ESS_DATA[[#This Row],[PORT DESTINATION]],Table12[PORT DESTINATION],Table12[Cosco Line],,0)</f>
        <v>AEM</v>
      </c>
      <c r="BD132" s="633"/>
      <c r="BE132" s="663"/>
      <c r="BF132" s="663"/>
      <c r="BG132" s="663"/>
      <c r="BH132" s="663"/>
      <c r="BI132" s="663"/>
    </row>
    <row r="133" spans="1:61" s="540" customFormat="1" ht="10">
      <c r="A133" s="631" t="s">
        <v>8198</v>
      </c>
      <c r="B133" s="632" t="s">
        <v>7814</v>
      </c>
      <c r="C133" s="632" t="str">
        <f>IFERROR(LEFT(ESS_DATA[[#This Row],[TCL REFERENCE]],FIND(".",ESS_DATA[[#This Row],[TCL REFERENCE]],1)-1),"Main Line")</f>
        <v>26JUL002</v>
      </c>
      <c r="D133" s="632" t="s">
        <v>63</v>
      </c>
      <c r="E133" s="633" t="s">
        <v>64</v>
      </c>
      <c r="F133" s="633" t="s">
        <v>65</v>
      </c>
      <c r="G133" s="632" t="s">
        <v>402</v>
      </c>
      <c r="H133" s="632" t="s">
        <v>67</v>
      </c>
      <c r="I133" s="632"/>
      <c r="J133" s="632" t="s">
        <v>8199</v>
      </c>
      <c r="K133" s="632"/>
      <c r="L133" s="634"/>
      <c r="M133" s="635" t="s">
        <v>68</v>
      </c>
      <c r="N133" s="636" t="s">
        <v>7828</v>
      </c>
      <c r="O133" s="636" t="s">
        <v>7829</v>
      </c>
      <c r="P133" s="636" t="s">
        <v>7830</v>
      </c>
      <c r="Q133" s="637"/>
      <c r="R133" s="638">
        <v>224</v>
      </c>
      <c r="S133" s="639"/>
      <c r="T133" s="632"/>
      <c r="U133" s="640">
        <f>ESS_DATA[[#This Row],[QUANTITY]]/224</f>
        <v>1</v>
      </c>
      <c r="V133" s="641" t="s">
        <v>7864</v>
      </c>
      <c r="W133" s="632" t="s">
        <v>4373</v>
      </c>
      <c r="X133" s="632" t="str">
        <f t="shared" si="5"/>
        <v>COMPLETED</v>
      </c>
      <c r="Y133" s="642">
        <v>46231</v>
      </c>
      <c r="Z133" s="643">
        <v>46233</v>
      </c>
      <c r="AA133" s="644">
        <f>WEEKNUM(ESS_DATA[[#This Row],[Pick-Up Date]])</f>
        <v>31</v>
      </c>
      <c r="AB133" s="632" t="s">
        <v>8200</v>
      </c>
      <c r="AC133" s="632"/>
      <c r="AD133" s="632" t="s">
        <v>122</v>
      </c>
      <c r="AE133" s="632" t="s">
        <v>123</v>
      </c>
      <c r="AF133" s="632" t="s">
        <v>78</v>
      </c>
      <c r="AG133" s="643">
        <v>46238</v>
      </c>
      <c r="AH133" s="643">
        <v>46241</v>
      </c>
      <c r="AI133" s="643">
        <v>46241</v>
      </c>
      <c r="AJ133" s="643">
        <v>46281</v>
      </c>
      <c r="AK133" s="643">
        <v>46282</v>
      </c>
      <c r="AL133" s="643">
        <v>46283</v>
      </c>
      <c r="AM133" s="645" t="s">
        <v>402</v>
      </c>
      <c r="AN133" s="643" t="s">
        <v>8201</v>
      </c>
      <c r="AO133" s="643" t="s">
        <v>80</v>
      </c>
      <c r="AP133" s="643" t="s">
        <v>8202</v>
      </c>
      <c r="AQ133" s="632" t="s">
        <v>8203</v>
      </c>
      <c r="AR133" s="632" t="s">
        <v>8203</v>
      </c>
      <c r="AS133" s="632">
        <f>ESS_DATA[[#This Row],[ETA On S/O]]-ESS_DATA[[#This Row],[ETD On S/O]]+1</f>
        <v>44</v>
      </c>
      <c r="AT133" s="632"/>
      <c r="AU133" s="643" cm="1">
        <f t="array" ref="AU13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46283</v>
      </c>
      <c r="AV13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33" s="14">
        <f>IF(ISERROR(ESS_DATA[[#This Row],[New Ark PO status]]),"",_xlfn.XLOOKUP(ESS_DATA[[#This Row],[SPTN-PVHK New Ark PO'#]],New_Ark_Data[Purchase order Number],New_Ark_Data[Estimated time of arrival],"",0))</f>
        <v>46295</v>
      </c>
      <c r="AX133" s="632">
        <f>IF(ESS_DATA[[#This Row],[New Ark PO Type]]="Offshore",0,IFERROR(VLOOKUP(ESS_DATA[[#This Row],[PORT OF LOADING]]&amp;ESS_DATA[[#This Row],[PORT DESTINATION]],LT_REF[],7,0),14))</f>
        <v>8</v>
      </c>
      <c r="AY133" s="643">
        <f>IFERROR(ESS_DATA[[#This Row],[ODP ETA Port]]+ESS_DATA[[#This Row],[Customs/Leg3 Assumption]],"n/a")</f>
        <v>46291</v>
      </c>
      <c r="AZ133" s="633">
        <f>YEAR(ESS_DATA[[#This Row],[ETA for New Ark update]])</f>
        <v>2026</v>
      </c>
      <c r="BA133" s="633">
        <f>MONTH(ESS_DATA[[#This Row],[ETA for New Ark update]])</f>
        <v>9</v>
      </c>
      <c r="BB133" s="633">
        <f>IFERROR(_xlfn.ISOWEEKNUM(ESS_DATA[[#This Row],[ETA for New Ark update]]),0)</f>
        <v>39</v>
      </c>
      <c r="BC133" s="633" t="str">
        <f>_xlfn.XLOOKUP(ESS_DATA[[#This Row],[PORT DESTINATION]],Table12[PORT DESTINATION],Table12[Cosco Line],,0)</f>
        <v>AEM</v>
      </c>
      <c r="BD133" s="633"/>
      <c r="BE133" s="663"/>
      <c r="BF133" s="663"/>
      <c r="BG133" s="663"/>
      <c r="BH133" s="663"/>
      <c r="BI133" s="663"/>
    </row>
    <row r="134" spans="1:61" s="540" customFormat="1" ht="10">
      <c r="A134" s="631" t="s">
        <v>8204</v>
      </c>
      <c r="B134" s="632" t="s">
        <v>7814</v>
      </c>
      <c r="C134" s="632" t="str">
        <f>IFERROR(LEFT(ESS_DATA[[#This Row],[TCL REFERENCE]],FIND(".",ESS_DATA[[#This Row],[TCL REFERENCE]],1)-1),"Main Line")</f>
        <v>26JUL004</v>
      </c>
      <c r="D134" s="632" t="s">
        <v>63</v>
      </c>
      <c r="E134" s="633" t="s">
        <v>64</v>
      </c>
      <c r="F134" s="633" t="s">
        <v>65</v>
      </c>
      <c r="G134" s="632" t="s">
        <v>402</v>
      </c>
      <c r="H134" s="632" t="s">
        <v>67</v>
      </c>
      <c r="I134" s="632"/>
      <c r="J134" s="632" t="s">
        <v>8197</v>
      </c>
      <c r="K134" s="632"/>
      <c r="L134" s="634"/>
      <c r="M134" s="635" t="s">
        <v>68</v>
      </c>
      <c r="N134" s="636" t="s">
        <v>7840</v>
      </c>
      <c r="O134" s="636" t="s">
        <v>8037</v>
      </c>
      <c r="P134" s="636" t="s">
        <v>7842</v>
      </c>
      <c r="Q134" s="637"/>
      <c r="R134" s="638">
        <v>300</v>
      </c>
      <c r="S134" s="639"/>
      <c r="T134" s="632"/>
      <c r="U134" s="640">
        <f>ESS_DATA[[#This Row],[QUANTITY]]/350</f>
        <v>0.8571428571428571</v>
      </c>
      <c r="V134" s="646" t="s">
        <v>7873</v>
      </c>
      <c r="W134" s="632" t="s">
        <v>4373</v>
      </c>
      <c r="X134" s="632" t="str">
        <f t="shared" si="5"/>
        <v>COMPLETED</v>
      </c>
      <c r="Y134" s="643">
        <v>46233</v>
      </c>
      <c r="Z134" s="643">
        <v>46233</v>
      </c>
      <c r="AA134" s="644">
        <f>WEEKNUM(ESS_DATA[[#This Row],[Pick-Up Date]])</f>
        <v>31</v>
      </c>
      <c r="AB134" s="632" t="s">
        <v>8200</v>
      </c>
      <c r="AC134" s="632"/>
      <c r="AD134" s="632" t="s">
        <v>122</v>
      </c>
      <c r="AE134" s="632" t="s">
        <v>123</v>
      </c>
      <c r="AF134" s="632" t="s">
        <v>78</v>
      </c>
      <c r="AG134" s="643">
        <v>46238</v>
      </c>
      <c r="AH134" s="643">
        <v>46241</v>
      </c>
      <c r="AI134" s="643">
        <v>46241</v>
      </c>
      <c r="AJ134" s="643">
        <v>46281</v>
      </c>
      <c r="AK134" s="643">
        <v>46282</v>
      </c>
      <c r="AL134" s="643">
        <v>46283</v>
      </c>
      <c r="AM134" s="645" t="s">
        <v>402</v>
      </c>
      <c r="AN134" s="643" t="s">
        <v>8201</v>
      </c>
      <c r="AO134" s="643" t="s">
        <v>80</v>
      </c>
      <c r="AP134" s="643" t="s">
        <v>8202</v>
      </c>
      <c r="AQ134" s="632" t="s">
        <v>8203</v>
      </c>
      <c r="AR134" s="632" t="s">
        <v>8203</v>
      </c>
      <c r="AS134" s="632">
        <f>ESS_DATA[[#This Row],[ETA On S/O]]-ESS_DATA[[#This Row],[ETD On S/O]]+1</f>
        <v>44</v>
      </c>
      <c r="AT134" s="632"/>
      <c r="AU134" s="643" cm="1">
        <f t="array" ref="AU13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46283</v>
      </c>
      <c r="AV13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34" s="14">
        <f>IF(ISERROR(ESS_DATA[[#This Row],[New Ark PO status]]),"",_xlfn.XLOOKUP(ESS_DATA[[#This Row],[SPTN-PVHK New Ark PO'#]],New_Ark_Data[Purchase order Number],New_Ark_Data[Estimated time of arrival],"",0))</f>
        <v>46295</v>
      </c>
      <c r="AX134" s="632">
        <f>IF(ESS_DATA[[#This Row],[New Ark PO Type]]="Offshore",0,IFERROR(VLOOKUP(ESS_DATA[[#This Row],[PORT OF LOADING]]&amp;ESS_DATA[[#This Row],[PORT DESTINATION]],LT_REF[],7,0),14))</f>
        <v>8</v>
      </c>
      <c r="AY134" s="643">
        <f>IFERROR(ESS_DATA[[#This Row],[ODP ETA Port]]+ESS_DATA[[#This Row],[Customs/Leg3 Assumption]],"n/a")</f>
        <v>46291</v>
      </c>
      <c r="AZ134" s="633">
        <f>YEAR(ESS_DATA[[#This Row],[ETA for New Ark update]])</f>
        <v>2026</v>
      </c>
      <c r="BA134" s="633">
        <f>MONTH(ESS_DATA[[#This Row],[ETA for New Ark update]])</f>
        <v>9</v>
      </c>
      <c r="BB134" s="633">
        <f>IFERROR(_xlfn.ISOWEEKNUM(ESS_DATA[[#This Row],[ETA for New Ark update]]),0)</f>
        <v>39</v>
      </c>
      <c r="BC134" s="633" t="str">
        <f>_xlfn.XLOOKUP(ESS_DATA[[#This Row],[PORT DESTINATION]],Table12[PORT DESTINATION],Table12[Cosco Line],,0)</f>
        <v>AEM</v>
      </c>
      <c r="BD134" s="633"/>
      <c r="BE134" s="663"/>
      <c r="BF134" s="663"/>
      <c r="BG134" s="663"/>
      <c r="BH134" s="663"/>
      <c r="BI134" s="663"/>
    </row>
    <row r="135" spans="1:61" s="540" customFormat="1" ht="10">
      <c r="A135" s="631" t="s">
        <v>8205</v>
      </c>
      <c r="B135" s="632" t="s">
        <v>7814</v>
      </c>
      <c r="C135" s="632" t="str">
        <f>IFERROR(LEFT(ESS_DATA[[#This Row],[TCL REFERENCE]],FIND(".",ESS_DATA[[#This Row],[TCL REFERENCE]],1)-1),"Main Line")</f>
        <v>Main Line</v>
      </c>
      <c r="D135" s="632" t="s">
        <v>63</v>
      </c>
      <c r="E135" s="633" t="s">
        <v>64</v>
      </c>
      <c r="F135" s="633" t="s">
        <v>65</v>
      </c>
      <c r="G135" s="632" t="s">
        <v>402</v>
      </c>
      <c r="H135" s="632" t="s">
        <v>67</v>
      </c>
      <c r="I135" s="632"/>
      <c r="J135" s="632" t="s">
        <v>8191</v>
      </c>
      <c r="K135" s="632"/>
      <c r="L135" s="634"/>
      <c r="M135" s="635" t="s">
        <v>68</v>
      </c>
      <c r="N135" s="636" t="s">
        <v>7816</v>
      </c>
      <c r="O135" s="636" t="s">
        <v>7986</v>
      </c>
      <c r="P135" s="636" t="s">
        <v>7818</v>
      </c>
      <c r="Q135" s="637"/>
      <c r="R135" s="638">
        <v>180</v>
      </c>
      <c r="S135" s="639"/>
      <c r="T135" s="632"/>
      <c r="U135" s="640">
        <v>0.1</v>
      </c>
      <c r="V135" s="646" t="s">
        <v>8086</v>
      </c>
      <c r="W135" s="632" t="s">
        <v>4373</v>
      </c>
      <c r="X135" s="632" t="str">
        <f t="shared" si="5"/>
        <v>COMPLETED</v>
      </c>
      <c r="Y135" s="643">
        <v>46234</v>
      </c>
      <c r="Z135" s="643">
        <v>46233</v>
      </c>
      <c r="AA135" s="644">
        <f>WEEKNUM(ESS_DATA[[#This Row],[Pick-Up Date]])</f>
        <v>31</v>
      </c>
      <c r="AB135" s="632" t="s">
        <v>8200</v>
      </c>
      <c r="AC135" s="632"/>
      <c r="AD135" s="632" t="s">
        <v>122</v>
      </c>
      <c r="AE135" s="632" t="s">
        <v>123</v>
      </c>
      <c r="AF135" s="632" t="s">
        <v>78</v>
      </c>
      <c r="AG135" s="643">
        <v>46238</v>
      </c>
      <c r="AH135" s="643">
        <v>46241</v>
      </c>
      <c r="AI135" s="643">
        <v>46241</v>
      </c>
      <c r="AJ135" s="643">
        <v>46281</v>
      </c>
      <c r="AK135" s="643">
        <v>46282</v>
      </c>
      <c r="AL135" s="643">
        <v>46283</v>
      </c>
      <c r="AM135" s="645" t="s">
        <v>402</v>
      </c>
      <c r="AN135" s="643" t="s">
        <v>8201</v>
      </c>
      <c r="AO135" s="643" t="s">
        <v>80</v>
      </c>
      <c r="AP135" s="643" t="s">
        <v>8202</v>
      </c>
      <c r="AQ135" s="632" t="s">
        <v>8203</v>
      </c>
      <c r="AR135" s="632" t="s">
        <v>8203</v>
      </c>
      <c r="AS135" s="632">
        <f>ESS_DATA[[#This Row],[ETA On S/O]]-ESS_DATA[[#This Row],[ETD On S/O]]+1</f>
        <v>44</v>
      </c>
      <c r="AT135" s="632"/>
      <c r="AU135" s="643" cm="1">
        <f t="array" ref="AU13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46283</v>
      </c>
      <c r="AV13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35" s="14">
        <f>IF(ISERROR(ESS_DATA[[#This Row],[New Ark PO status]]),"",_xlfn.XLOOKUP(ESS_DATA[[#This Row],[SPTN-PVHK New Ark PO'#]],New_Ark_Data[Purchase order Number],New_Ark_Data[Estimated time of arrival],"",0))</f>
        <v>46295</v>
      </c>
      <c r="AX135" s="632">
        <f>IF(ESS_DATA[[#This Row],[New Ark PO Type]]="Offshore",0,IFERROR(VLOOKUP(ESS_DATA[[#This Row],[PORT OF LOADING]]&amp;ESS_DATA[[#This Row],[PORT DESTINATION]],LT_REF[],7,0),14))</f>
        <v>8</v>
      </c>
      <c r="AY135" s="643">
        <f>IFERROR(ESS_DATA[[#This Row],[ODP ETA Port]]+ESS_DATA[[#This Row],[Customs/Leg3 Assumption]],"n/a")</f>
        <v>46291</v>
      </c>
      <c r="AZ135" s="633">
        <f>YEAR(ESS_DATA[[#This Row],[ETA for New Ark update]])</f>
        <v>2026</v>
      </c>
      <c r="BA135" s="633">
        <f>MONTH(ESS_DATA[[#This Row],[ETA for New Ark update]])</f>
        <v>9</v>
      </c>
      <c r="BB135" s="633">
        <f>IFERROR(_xlfn.ISOWEEKNUM(ESS_DATA[[#This Row],[ETA for New Ark update]]),0)</f>
        <v>39</v>
      </c>
      <c r="BC135" s="633" t="str">
        <f>_xlfn.XLOOKUP(ESS_DATA[[#This Row],[PORT DESTINATION]],Table12[PORT DESTINATION],Table12[Cosco Line],,0)</f>
        <v>AEM</v>
      </c>
      <c r="BD135" s="633"/>
      <c r="BE135" s="663"/>
      <c r="BF135" s="663"/>
      <c r="BG135" s="663"/>
      <c r="BH135" s="663"/>
      <c r="BI135" s="663"/>
    </row>
    <row r="136" spans="1:61" s="540" customFormat="1" ht="10">
      <c r="A136" s="631" t="s">
        <v>8206</v>
      </c>
      <c r="B136" s="632" t="s">
        <v>7814</v>
      </c>
      <c r="C136" s="632" t="str">
        <f>IFERROR(LEFT(ESS_DATA[[#This Row],[TCL REFERENCE]],FIND(".",ESS_DATA[[#This Row],[TCL REFERENCE]],1)-1),"Main Line")</f>
        <v>26JUL002</v>
      </c>
      <c r="D136" s="632" t="s">
        <v>63</v>
      </c>
      <c r="E136" s="633" t="s">
        <v>64</v>
      </c>
      <c r="F136" s="633" t="s">
        <v>65</v>
      </c>
      <c r="G136" s="632" t="s">
        <v>402</v>
      </c>
      <c r="H136" s="632" t="s">
        <v>67</v>
      </c>
      <c r="I136" s="632"/>
      <c r="J136" s="632" t="s">
        <v>8191</v>
      </c>
      <c r="K136" s="632"/>
      <c r="L136" s="634"/>
      <c r="M136" s="635" t="s">
        <v>68</v>
      </c>
      <c r="N136" s="636" t="s">
        <v>7828</v>
      </c>
      <c r="O136" s="636" t="s">
        <v>7829</v>
      </c>
      <c r="P136" s="636" t="s">
        <v>7830</v>
      </c>
      <c r="Q136" s="637"/>
      <c r="R136" s="638">
        <v>202</v>
      </c>
      <c r="S136" s="639"/>
      <c r="T136" s="632"/>
      <c r="U136" s="640">
        <f>ESS_DATA[[#This Row],[QUANTITY]]/224</f>
        <v>0.9017857142857143</v>
      </c>
      <c r="V136" s="646" t="s">
        <v>8086</v>
      </c>
      <c r="W136" s="632" t="s">
        <v>4373</v>
      </c>
      <c r="X136" s="632" t="str">
        <f t="shared" si="5"/>
        <v>COMPLETED</v>
      </c>
      <c r="Y136" s="643">
        <v>46234</v>
      </c>
      <c r="Z136" s="643">
        <v>46233</v>
      </c>
      <c r="AA136" s="644">
        <f>WEEKNUM(ESS_DATA[[#This Row],[Pick-Up Date]])</f>
        <v>31</v>
      </c>
      <c r="AB136" s="632" t="s">
        <v>8200</v>
      </c>
      <c r="AC136" s="632"/>
      <c r="AD136" s="632" t="s">
        <v>122</v>
      </c>
      <c r="AE136" s="632" t="s">
        <v>123</v>
      </c>
      <c r="AF136" s="632" t="s">
        <v>78</v>
      </c>
      <c r="AG136" s="643">
        <v>46238</v>
      </c>
      <c r="AH136" s="643">
        <v>46241</v>
      </c>
      <c r="AI136" s="643">
        <v>46241</v>
      </c>
      <c r="AJ136" s="643">
        <v>46281</v>
      </c>
      <c r="AK136" s="643">
        <v>46282</v>
      </c>
      <c r="AL136" s="643">
        <v>46283</v>
      </c>
      <c r="AM136" s="645" t="s">
        <v>402</v>
      </c>
      <c r="AN136" s="643" t="s">
        <v>8201</v>
      </c>
      <c r="AO136" s="643" t="s">
        <v>80</v>
      </c>
      <c r="AP136" s="643" t="s">
        <v>8202</v>
      </c>
      <c r="AQ136" s="632" t="s">
        <v>8203</v>
      </c>
      <c r="AR136" s="632" t="s">
        <v>8203</v>
      </c>
      <c r="AS136" s="632">
        <f>ESS_DATA[[#This Row],[ETA On S/O]]-ESS_DATA[[#This Row],[ETD On S/O]]+1</f>
        <v>44</v>
      </c>
      <c r="AT136" s="632"/>
      <c r="AU136" s="643" cm="1">
        <f t="array" ref="AU13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46283</v>
      </c>
      <c r="AV13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36" s="14">
        <f>IF(ISERROR(ESS_DATA[[#This Row],[New Ark PO status]]),"",_xlfn.XLOOKUP(ESS_DATA[[#This Row],[SPTN-PVHK New Ark PO'#]],New_Ark_Data[Purchase order Number],New_Ark_Data[Estimated time of arrival],"",0))</f>
        <v>46295</v>
      </c>
      <c r="AX136" s="632">
        <f>IF(ESS_DATA[[#This Row],[New Ark PO Type]]="Offshore",0,IFERROR(VLOOKUP(ESS_DATA[[#This Row],[PORT OF LOADING]]&amp;ESS_DATA[[#This Row],[PORT DESTINATION]],LT_REF[],7,0),14))</f>
        <v>8</v>
      </c>
      <c r="AY136" s="643">
        <f>IFERROR(ESS_DATA[[#This Row],[ODP ETA Port]]+ESS_DATA[[#This Row],[Customs/Leg3 Assumption]],"n/a")</f>
        <v>46291</v>
      </c>
      <c r="AZ136" s="633">
        <f>YEAR(ESS_DATA[[#This Row],[ETA for New Ark update]])</f>
        <v>2026</v>
      </c>
      <c r="BA136" s="633">
        <f>MONTH(ESS_DATA[[#This Row],[ETA for New Ark update]])</f>
        <v>9</v>
      </c>
      <c r="BB136" s="633">
        <f>IFERROR(_xlfn.ISOWEEKNUM(ESS_DATA[[#This Row],[ETA for New Ark update]]),0)</f>
        <v>39</v>
      </c>
      <c r="BC136" s="633" t="str">
        <f>_xlfn.XLOOKUP(ESS_DATA[[#This Row],[PORT DESTINATION]],Table12[PORT DESTINATION],Table12[Cosco Line],,0)</f>
        <v>AEM</v>
      </c>
      <c r="BD136" s="633"/>
      <c r="BE136" s="663"/>
      <c r="BF136" s="663"/>
      <c r="BG136" s="663"/>
      <c r="BH136" s="663"/>
      <c r="BI136" s="663"/>
    </row>
    <row r="137" spans="1:61" s="540" customFormat="1" ht="10">
      <c r="A137" s="631" t="s">
        <v>8207</v>
      </c>
      <c r="B137" s="632" t="s">
        <v>7814</v>
      </c>
      <c r="C137" s="632" t="str">
        <f>IFERROR(LEFT(ESS_DATA[[#This Row],[TCL REFERENCE]],FIND(".",ESS_DATA[[#This Row],[TCL REFERENCE]],1)-1),"Main Line")</f>
        <v>26JUL005</v>
      </c>
      <c r="D137" s="632" t="s">
        <v>63</v>
      </c>
      <c r="E137" s="633" t="s">
        <v>64</v>
      </c>
      <c r="F137" s="633" t="s">
        <v>65</v>
      </c>
      <c r="G137" s="632" t="s">
        <v>402</v>
      </c>
      <c r="H137" s="632" t="s">
        <v>67</v>
      </c>
      <c r="I137" s="632"/>
      <c r="J137" s="632" t="s">
        <v>8208</v>
      </c>
      <c r="K137" s="632"/>
      <c r="L137" s="634"/>
      <c r="M137" s="635" t="s">
        <v>68</v>
      </c>
      <c r="N137" s="636" t="s">
        <v>7851</v>
      </c>
      <c r="O137" s="636" t="s">
        <v>7852</v>
      </c>
      <c r="P137" s="636" t="s">
        <v>7853</v>
      </c>
      <c r="Q137" s="637"/>
      <c r="R137" s="735">
        <v>212</v>
      </c>
      <c r="S137" s="639"/>
      <c r="T137" s="632"/>
      <c r="U137" s="640">
        <f>ESS_DATA[[#This Row],[QUANTITY]]/276</f>
        <v>0.76811594202898548</v>
      </c>
      <c r="V137" s="646" t="s">
        <v>8209</v>
      </c>
      <c r="W137" s="632" t="s">
        <v>4373</v>
      </c>
      <c r="X137" s="632" t="str">
        <f t="shared" si="5"/>
        <v>COMPLETED</v>
      </c>
      <c r="Y137" s="642">
        <v>46233</v>
      </c>
      <c r="Z137" s="643">
        <v>46238</v>
      </c>
      <c r="AA137" s="644">
        <f>WEEKNUM(ESS_DATA[[#This Row],[Pick-Up Date]])</f>
        <v>32</v>
      </c>
      <c r="AB137" s="632" t="s">
        <v>8210</v>
      </c>
      <c r="AC137" s="632"/>
      <c r="AD137" s="632" t="s">
        <v>122</v>
      </c>
      <c r="AE137" s="632" t="s">
        <v>123</v>
      </c>
      <c r="AF137" s="632" t="s">
        <v>78</v>
      </c>
      <c r="AG137" s="643">
        <v>46245</v>
      </c>
      <c r="AH137" s="643">
        <v>46255</v>
      </c>
      <c r="AI137" s="643">
        <v>46255</v>
      </c>
      <c r="AJ137" s="643">
        <v>46288</v>
      </c>
      <c r="AK137" s="643">
        <v>46302</v>
      </c>
      <c r="AL137" s="643">
        <v>46296</v>
      </c>
      <c r="AM137" s="645" t="s">
        <v>402</v>
      </c>
      <c r="AN137" s="643" t="s">
        <v>8211</v>
      </c>
      <c r="AO137" s="643" t="s">
        <v>161</v>
      </c>
      <c r="AP137" s="643" t="s">
        <v>8212</v>
      </c>
      <c r="AQ137" s="632">
        <v>274424044</v>
      </c>
      <c r="AR137" s="632">
        <v>274424044</v>
      </c>
      <c r="AS137" s="632">
        <f>ESS_DATA[[#This Row],[ETA On S/O]]-ESS_DATA[[#This Row],[ETD On S/O]]+1</f>
        <v>44</v>
      </c>
      <c r="AT137" s="632"/>
      <c r="AU137" s="643" cm="1">
        <f t="array" ref="AU13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46296</v>
      </c>
      <c r="AV13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37" s="14">
        <f>IF(ISERROR(ESS_DATA[[#This Row],[New Ark PO status]]),"",_xlfn.XLOOKUP(ESS_DATA[[#This Row],[SPTN-PVHK New Ark PO'#]],New_Ark_Data[Purchase order Number],New_Ark_Data[Estimated time of arrival],"",0))</f>
        <v>46303</v>
      </c>
      <c r="AX137" s="632">
        <f>IF(ESS_DATA[[#This Row],[New Ark PO Type]]="Offshore",0,IFERROR(VLOOKUP(ESS_DATA[[#This Row],[PORT OF LOADING]]&amp;ESS_DATA[[#This Row],[PORT DESTINATION]],LT_REF[],7,0),14))</f>
        <v>8</v>
      </c>
      <c r="AY137" s="643">
        <f>IFERROR(ESS_DATA[[#This Row],[ODP ETA Port]]+ESS_DATA[[#This Row],[Customs/Leg3 Assumption]],"n/a")</f>
        <v>46304</v>
      </c>
      <c r="AZ137" s="633">
        <f>YEAR(ESS_DATA[[#This Row],[ETA for New Ark update]])</f>
        <v>2026</v>
      </c>
      <c r="BA137" s="633">
        <f>MONTH(ESS_DATA[[#This Row],[ETA for New Ark update]])</f>
        <v>10</v>
      </c>
      <c r="BB137" s="633">
        <f>IFERROR(_xlfn.ISOWEEKNUM(ESS_DATA[[#This Row],[ETA for New Ark update]]),0)</f>
        <v>41</v>
      </c>
      <c r="BC137" s="633" t="str">
        <f>_xlfn.XLOOKUP(ESS_DATA[[#This Row],[PORT DESTINATION]],Table12[PORT DESTINATION],Table12[Cosco Line],,0)</f>
        <v>AEM</v>
      </c>
      <c r="BD137" s="633"/>
      <c r="BE137" s="663"/>
      <c r="BF137" s="663"/>
      <c r="BG137" s="663"/>
      <c r="BH137" s="663"/>
      <c r="BI137" s="663"/>
    </row>
    <row r="138" spans="1:61" s="540" customFormat="1" ht="10">
      <c r="A138" s="631" t="s">
        <v>8213</v>
      </c>
      <c r="B138" s="632" t="s">
        <v>7814</v>
      </c>
      <c r="C138" s="632" t="str">
        <f>IFERROR(LEFT(ESS_DATA[[#This Row],[TCL REFERENCE]],FIND(".",ESS_DATA[[#This Row],[TCL REFERENCE]],1)-1),"Main Line")</f>
        <v>Main Line</v>
      </c>
      <c r="D138" s="632" t="s">
        <v>63</v>
      </c>
      <c r="E138" s="633" t="s">
        <v>64</v>
      </c>
      <c r="F138" s="633" t="s">
        <v>65</v>
      </c>
      <c r="G138" s="632" t="s">
        <v>402</v>
      </c>
      <c r="H138" s="632" t="s">
        <v>67</v>
      </c>
      <c r="I138" s="632"/>
      <c r="J138" s="632" t="s">
        <v>8214</v>
      </c>
      <c r="K138" s="632"/>
      <c r="L138" s="634"/>
      <c r="M138" s="635" t="s">
        <v>68</v>
      </c>
      <c r="N138" s="636" t="s">
        <v>7851</v>
      </c>
      <c r="O138" s="647" t="s">
        <v>7852</v>
      </c>
      <c r="P138" s="636" t="s">
        <v>7853</v>
      </c>
      <c r="Q138" s="637"/>
      <c r="R138" s="735">
        <v>64</v>
      </c>
      <c r="S138" s="639"/>
      <c r="T138" s="632"/>
      <c r="U138" s="640">
        <f>ESS_DATA[[#This Row],[QUANTITY]]/276</f>
        <v>0.2318840579710145</v>
      </c>
      <c r="V138" s="646" t="s">
        <v>8209</v>
      </c>
      <c r="W138" s="632" t="s">
        <v>4373</v>
      </c>
      <c r="X138" s="684" t="str">
        <f t="shared" si="5"/>
        <v>COMPLETED</v>
      </c>
      <c r="Y138" s="643">
        <v>46233</v>
      </c>
      <c r="Z138" s="643">
        <v>46238</v>
      </c>
      <c r="AA138" s="644">
        <f>WEEKNUM(ESS_DATA[[#This Row],[Pick-Up Date]])</f>
        <v>32</v>
      </c>
      <c r="AB138" s="632" t="s">
        <v>8210</v>
      </c>
      <c r="AC138" s="632"/>
      <c r="AD138" s="632" t="s">
        <v>122</v>
      </c>
      <c r="AE138" s="632" t="s">
        <v>123</v>
      </c>
      <c r="AF138" s="632" t="s">
        <v>78</v>
      </c>
      <c r="AG138" s="643">
        <v>46245</v>
      </c>
      <c r="AH138" s="643">
        <v>46255</v>
      </c>
      <c r="AI138" s="643">
        <v>46255</v>
      </c>
      <c r="AJ138" s="643">
        <v>46288</v>
      </c>
      <c r="AK138" s="643">
        <v>46302</v>
      </c>
      <c r="AL138" s="643">
        <v>46296</v>
      </c>
      <c r="AM138" s="645" t="s">
        <v>402</v>
      </c>
      <c r="AN138" s="643" t="s">
        <v>8211</v>
      </c>
      <c r="AO138" s="643" t="s">
        <v>161</v>
      </c>
      <c r="AP138" s="643" t="s">
        <v>8212</v>
      </c>
      <c r="AQ138" s="632">
        <v>274424044</v>
      </c>
      <c r="AR138" s="632">
        <v>274424044</v>
      </c>
      <c r="AS138" s="632">
        <f>ESS_DATA[[#This Row],[ETA On S/O]]-ESS_DATA[[#This Row],[ETD On S/O]]+1</f>
        <v>44</v>
      </c>
      <c r="AT138" s="632"/>
      <c r="AU138" s="643" cm="1">
        <f t="array" ref="AU13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46296</v>
      </c>
      <c r="AV13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38" s="14">
        <f>IF(ISERROR(ESS_DATA[[#This Row],[New Ark PO status]]),"",_xlfn.XLOOKUP(ESS_DATA[[#This Row],[SPTN-PVHK New Ark PO'#]],New_Ark_Data[Purchase order Number],New_Ark_Data[Estimated time of arrival],"",0))</f>
        <v>46303</v>
      </c>
      <c r="AX138" s="632">
        <f>IF(ESS_DATA[[#This Row],[New Ark PO Type]]="Offshore",0,IFERROR(VLOOKUP(ESS_DATA[[#This Row],[PORT OF LOADING]]&amp;ESS_DATA[[#This Row],[PORT DESTINATION]],LT_REF[],7,0),14))</f>
        <v>8</v>
      </c>
      <c r="AY138" s="643">
        <f>IFERROR(ESS_DATA[[#This Row],[ODP ETA Port]]+ESS_DATA[[#This Row],[Customs/Leg3 Assumption]],"n/a")</f>
        <v>46304</v>
      </c>
      <c r="AZ138" s="633">
        <f>YEAR(ESS_DATA[[#This Row],[ETA for New Ark update]])</f>
        <v>2026</v>
      </c>
      <c r="BA138" s="633">
        <f>MONTH(ESS_DATA[[#This Row],[ETA for New Ark update]])</f>
        <v>10</v>
      </c>
      <c r="BB138" s="633">
        <f>IFERROR(_xlfn.ISOWEEKNUM(ESS_DATA[[#This Row],[ETA for New Ark update]]),0)</f>
        <v>41</v>
      </c>
      <c r="BC138" s="633" t="str">
        <f>_xlfn.XLOOKUP(ESS_DATA[[#This Row],[PORT DESTINATION]],Table12[PORT DESTINATION],Table12[Cosco Line],,0)</f>
        <v>AEM</v>
      </c>
      <c r="BD138" s="633"/>
      <c r="BE138" s="663"/>
      <c r="BF138" s="663"/>
      <c r="BG138" s="663"/>
      <c r="BH138" s="663"/>
      <c r="BI138" s="663"/>
    </row>
    <row r="139" spans="1:61" s="540" customFormat="1" ht="10">
      <c r="A139" s="631" t="s">
        <v>8215</v>
      </c>
      <c r="B139" s="632" t="s">
        <v>7814</v>
      </c>
      <c r="C139" s="632" t="str">
        <f>IFERROR(LEFT(ESS_DATA[[#This Row],[TCL REFERENCE]],FIND(".",ESS_DATA[[#This Row],[TCL REFERENCE]],1)-1),"Main Line")</f>
        <v>26JUL005</v>
      </c>
      <c r="D139" s="632" t="s">
        <v>63</v>
      </c>
      <c r="E139" s="633" t="s">
        <v>64</v>
      </c>
      <c r="F139" s="633" t="s">
        <v>65</v>
      </c>
      <c r="G139" s="632" t="s">
        <v>402</v>
      </c>
      <c r="H139" s="632" t="s">
        <v>67</v>
      </c>
      <c r="I139" s="632"/>
      <c r="J139" s="632" t="s">
        <v>8216</v>
      </c>
      <c r="K139" s="632"/>
      <c r="L139" s="634"/>
      <c r="M139" s="635" t="s">
        <v>68</v>
      </c>
      <c r="N139" s="636" t="s">
        <v>7851</v>
      </c>
      <c r="O139" s="636" t="s">
        <v>7852</v>
      </c>
      <c r="P139" s="636" t="s">
        <v>7853</v>
      </c>
      <c r="Q139" s="637"/>
      <c r="R139" s="638">
        <v>276</v>
      </c>
      <c r="S139" s="639"/>
      <c r="T139" s="632"/>
      <c r="U139" s="640">
        <f>ESS_DATA[[#This Row],[QUANTITY]]/276</f>
        <v>1</v>
      </c>
      <c r="V139" s="646" t="s">
        <v>8209</v>
      </c>
      <c r="W139" s="632" t="s">
        <v>4373</v>
      </c>
      <c r="X139" s="632" t="str">
        <f t="shared" si="5"/>
        <v>COMPLETED</v>
      </c>
      <c r="Y139" s="643">
        <v>46233</v>
      </c>
      <c r="Z139" s="643">
        <v>46237</v>
      </c>
      <c r="AA139" s="644">
        <f>WEEKNUM(ESS_DATA[[#This Row],[Pick-Up Date]])</f>
        <v>32</v>
      </c>
      <c r="AB139" s="632" t="s">
        <v>8210</v>
      </c>
      <c r="AC139" s="632"/>
      <c r="AD139" s="632" t="s">
        <v>122</v>
      </c>
      <c r="AE139" s="632" t="s">
        <v>123</v>
      </c>
      <c r="AF139" s="632" t="s">
        <v>78</v>
      </c>
      <c r="AG139" s="643">
        <v>46245</v>
      </c>
      <c r="AH139" s="643">
        <v>46255</v>
      </c>
      <c r="AI139" s="643">
        <v>46255</v>
      </c>
      <c r="AJ139" s="643">
        <v>46288</v>
      </c>
      <c r="AK139" s="643">
        <v>46302</v>
      </c>
      <c r="AL139" s="643">
        <v>46296</v>
      </c>
      <c r="AM139" s="645" t="s">
        <v>402</v>
      </c>
      <c r="AN139" s="643" t="s">
        <v>8211</v>
      </c>
      <c r="AO139" s="643" t="s">
        <v>161</v>
      </c>
      <c r="AP139" s="643" t="s">
        <v>8212</v>
      </c>
      <c r="AQ139" s="632">
        <v>274424044</v>
      </c>
      <c r="AR139" s="632">
        <v>274424044</v>
      </c>
      <c r="AS139" s="632">
        <f>ESS_DATA[[#This Row],[ETA On S/O]]-ESS_DATA[[#This Row],[ETD On S/O]]+1</f>
        <v>44</v>
      </c>
      <c r="AT139" s="632"/>
      <c r="AU139" s="643" cm="1">
        <f t="array" ref="AU13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46296</v>
      </c>
      <c r="AV13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39" s="14">
        <f>IF(ISERROR(ESS_DATA[[#This Row],[New Ark PO status]]),"",_xlfn.XLOOKUP(ESS_DATA[[#This Row],[SPTN-PVHK New Ark PO'#]],New_Ark_Data[Purchase order Number],New_Ark_Data[Estimated time of arrival],"",0))</f>
        <v>46303</v>
      </c>
      <c r="AX139" s="632">
        <f>IF(ESS_DATA[[#This Row],[New Ark PO Type]]="Offshore",0,IFERROR(VLOOKUP(ESS_DATA[[#This Row],[PORT OF LOADING]]&amp;ESS_DATA[[#This Row],[PORT DESTINATION]],LT_REF[],7,0),14))</f>
        <v>8</v>
      </c>
      <c r="AY139" s="643">
        <f>IFERROR(ESS_DATA[[#This Row],[ODP ETA Port]]+ESS_DATA[[#This Row],[Customs/Leg3 Assumption]],"n/a")</f>
        <v>46304</v>
      </c>
      <c r="AZ139" s="633">
        <f>YEAR(ESS_DATA[[#This Row],[ETA for New Ark update]])</f>
        <v>2026</v>
      </c>
      <c r="BA139" s="633">
        <f>MONTH(ESS_DATA[[#This Row],[ETA for New Ark update]])</f>
        <v>10</v>
      </c>
      <c r="BB139" s="633">
        <f>IFERROR(_xlfn.ISOWEEKNUM(ESS_DATA[[#This Row],[ETA for New Ark update]]),0)</f>
        <v>41</v>
      </c>
      <c r="BC139" s="633" t="str">
        <f>_xlfn.XLOOKUP(ESS_DATA[[#This Row],[PORT DESTINATION]],Table12[PORT DESTINATION],Table12[Cosco Line],,0)</f>
        <v>AEM</v>
      </c>
      <c r="BD139" s="633"/>
      <c r="BE139" s="663"/>
      <c r="BF139" s="663"/>
      <c r="BG139" s="663"/>
      <c r="BH139" s="663"/>
      <c r="BI139" s="663"/>
    </row>
    <row r="140" spans="1:61" s="540" customFormat="1" ht="10.5">
      <c r="A140" s="631" t="s">
        <v>8217</v>
      </c>
      <c r="B140" s="632" t="s">
        <v>7814</v>
      </c>
      <c r="C140" s="632" t="str">
        <f>IFERROR(LEFT(ESS_DATA[[#This Row],[TCL REFERENCE]],FIND(".",ESS_DATA[[#This Row],[TCL REFERENCE]],1)-1),"Main Line")</f>
        <v>26JUL005</v>
      </c>
      <c r="D140" s="632" t="s">
        <v>63</v>
      </c>
      <c r="E140" s="633" t="s">
        <v>64</v>
      </c>
      <c r="F140" s="633" t="s">
        <v>65</v>
      </c>
      <c r="G140" s="632" t="s">
        <v>402</v>
      </c>
      <c r="H140" s="632" t="s">
        <v>67</v>
      </c>
      <c r="I140" s="632"/>
      <c r="J140" s="632" t="s">
        <v>8218</v>
      </c>
      <c r="K140" s="632"/>
      <c r="L140" s="634"/>
      <c r="M140" s="635" t="s">
        <v>68</v>
      </c>
      <c r="N140" s="636" t="s">
        <v>7851</v>
      </c>
      <c r="O140" s="636" t="s">
        <v>7852</v>
      </c>
      <c r="P140" s="636" t="s">
        <v>7853</v>
      </c>
      <c r="Q140" s="637"/>
      <c r="R140" s="638">
        <v>552</v>
      </c>
      <c r="S140" s="639"/>
      <c r="T140" s="632"/>
      <c r="U140" s="640">
        <f>ESS_DATA[[#This Row],[QUANTITY]]/276</f>
        <v>2</v>
      </c>
      <c r="V140" s="641" t="s">
        <v>8219</v>
      </c>
      <c r="W140" s="648" t="s">
        <v>4374</v>
      </c>
      <c r="X140" s="632" t="str">
        <f t="shared" si="5"/>
        <v>COMPLETED</v>
      </c>
      <c r="Y140" s="649">
        <v>46237</v>
      </c>
      <c r="Z140" s="643">
        <v>46239</v>
      </c>
      <c r="AA140" s="644">
        <f>WEEKNUM(ESS_DATA[[#This Row],[Pick-Up Date]])</f>
        <v>32</v>
      </c>
      <c r="AB140" s="632" t="s">
        <v>8220</v>
      </c>
      <c r="AC140" s="632"/>
      <c r="AD140" s="632" t="s">
        <v>122</v>
      </c>
      <c r="AE140" s="632" t="s">
        <v>123</v>
      </c>
      <c r="AF140" s="632" t="s">
        <v>78</v>
      </c>
      <c r="AG140" s="643">
        <v>46246</v>
      </c>
      <c r="AH140" s="643">
        <v>46255</v>
      </c>
      <c r="AI140" s="643">
        <v>46255</v>
      </c>
      <c r="AJ140" s="643">
        <v>46295</v>
      </c>
      <c r="AK140" s="643">
        <v>46302</v>
      </c>
      <c r="AL140" s="643">
        <v>46296</v>
      </c>
      <c r="AM140" s="645" t="s">
        <v>402</v>
      </c>
      <c r="AN140" s="895" t="s">
        <v>8211</v>
      </c>
      <c r="AO140" s="643" t="s">
        <v>161</v>
      </c>
      <c r="AP140" s="643" t="s">
        <v>8221</v>
      </c>
      <c r="AQ140" s="632">
        <v>274797840</v>
      </c>
      <c r="AR140" s="632">
        <v>274797840</v>
      </c>
      <c r="AS140" s="632">
        <f>ESS_DATA[[#This Row],[ETA On S/O]]-ESS_DATA[[#This Row],[ETD On S/O]]+1</f>
        <v>50</v>
      </c>
      <c r="AT140" s="632"/>
      <c r="AU140" s="643" cm="1">
        <f t="array" ref="AU14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46296</v>
      </c>
      <c r="AV14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40" s="14">
        <f>IF(ISERROR(ESS_DATA[[#This Row],[New Ark PO status]]),"",_xlfn.XLOOKUP(ESS_DATA[[#This Row],[SPTN-PVHK New Ark PO'#]],New_Ark_Data[Purchase order Number],New_Ark_Data[Estimated time of arrival],"",0))</f>
        <v>46303</v>
      </c>
      <c r="AX140" s="632">
        <f>IF(ESS_DATA[[#This Row],[New Ark PO Type]]="Offshore",0,IFERROR(VLOOKUP(ESS_DATA[[#This Row],[PORT OF LOADING]]&amp;ESS_DATA[[#This Row],[PORT DESTINATION]],LT_REF[],7,0),14))</f>
        <v>8</v>
      </c>
      <c r="AY140" s="643">
        <f>IFERROR(ESS_DATA[[#This Row],[ODP ETA Port]]+ESS_DATA[[#This Row],[Customs/Leg3 Assumption]],"n/a")</f>
        <v>46304</v>
      </c>
      <c r="AZ140" s="633">
        <f>YEAR(ESS_DATA[[#This Row],[ETA for New Ark update]])</f>
        <v>2026</v>
      </c>
      <c r="BA140" s="633">
        <f>MONTH(ESS_DATA[[#This Row],[ETA for New Ark update]])</f>
        <v>10</v>
      </c>
      <c r="BB140" s="633">
        <f>IFERROR(_xlfn.ISOWEEKNUM(ESS_DATA[[#This Row],[ETA for New Ark update]]),0)</f>
        <v>41</v>
      </c>
      <c r="BC140" s="633" t="str">
        <f>_xlfn.XLOOKUP(ESS_DATA[[#This Row],[PORT DESTINATION]],Table12[PORT DESTINATION],Table12[Cosco Line],,0)</f>
        <v>AEM</v>
      </c>
      <c r="BD140" s="633"/>
      <c r="BE140" s="663"/>
      <c r="BF140" s="663"/>
      <c r="BG140" s="663"/>
      <c r="BH140" s="663"/>
      <c r="BI140" s="663"/>
    </row>
    <row r="141" spans="1:61" s="540" customFormat="1" ht="10.5">
      <c r="A141" s="631" t="s">
        <v>8222</v>
      </c>
      <c r="B141" s="632" t="s">
        <v>7814</v>
      </c>
      <c r="C141" s="632" t="str">
        <f>IFERROR(LEFT(ESS_DATA[[#This Row],[TCL REFERENCE]],FIND(".",ESS_DATA[[#This Row],[TCL REFERENCE]],1)-1),"Main Line")</f>
        <v>26JUL005</v>
      </c>
      <c r="D141" s="632" t="s">
        <v>63</v>
      </c>
      <c r="E141" s="633" t="s">
        <v>64</v>
      </c>
      <c r="F141" s="633" t="s">
        <v>65</v>
      </c>
      <c r="G141" s="632" t="s">
        <v>402</v>
      </c>
      <c r="H141" s="632" t="s">
        <v>67</v>
      </c>
      <c r="I141" s="632"/>
      <c r="J141" s="632" t="s">
        <v>8223</v>
      </c>
      <c r="K141" s="632"/>
      <c r="L141" s="634"/>
      <c r="M141" s="635" t="s">
        <v>68</v>
      </c>
      <c r="N141" s="636" t="s">
        <v>7851</v>
      </c>
      <c r="O141" s="636" t="s">
        <v>7852</v>
      </c>
      <c r="P141" s="636" t="s">
        <v>7853</v>
      </c>
      <c r="Q141" s="637"/>
      <c r="R141" s="638">
        <v>552</v>
      </c>
      <c r="S141" s="639"/>
      <c r="T141" s="632"/>
      <c r="U141" s="640">
        <f>ESS_DATA[[#This Row],[QUANTITY]]/276</f>
        <v>2</v>
      </c>
      <c r="V141" s="408" t="s">
        <v>8224</v>
      </c>
      <c r="W141" s="374" t="s">
        <v>4374</v>
      </c>
      <c r="X141" s="374" t="str">
        <f t="shared" si="5"/>
        <v>COMPLETED</v>
      </c>
      <c r="Y141" s="688">
        <v>46240</v>
      </c>
      <c r="Z141" s="643">
        <v>46240</v>
      </c>
      <c r="AA141" s="644">
        <f>WEEKNUM(ESS_DATA[[#This Row],[Pick-Up Date]])</f>
        <v>32</v>
      </c>
      <c r="AB141" s="632" t="s">
        <v>8220</v>
      </c>
      <c r="AC141" s="632"/>
      <c r="AD141" s="632" t="s">
        <v>122</v>
      </c>
      <c r="AE141" s="632" t="s">
        <v>123</v>
      </c>
      <c r="AF141" s="632" t="s">
        <v>78</v>
      </c>
      <c r="AG141" s="643">
        <v>46246</v>
      </c>
      <c r="AH141" s="643">
        <v>46255</v>
      </c>
      <c r="AI141" s="643">
        <v>46255</v>
      </c>
      <c r="AJ141" s="643">
        <v>46295</v>
      </c>
      <c r="AK141" s="643">
        <v>46302</v>
      </c>
      <c r="AL141" s="643">
        <v>46296</v>
      </c>
      <c r="AM141" s="645" t="s">
        <v>402</v>
      </c>
      <c r="AN141" s="895" t="s">
        <v>8211</v>
      </c>
      <c r="AO141" s="643" t="s">
        <v>161</v>
      </c>
      <c r="AP141" s="643" t="s">
        <v>8221</v>
      </c>
      <c r="AQ141" s="632">
        <v>274797840</v>
      </c>
      <c r="AR141" s="632">
        <v>274797840</v>
      </c>
      <c r="AS141" s="632">
        <f>ESS_DATA[[#This Row],[ETA On S/O]]-ESS_DATA[[#This Row],[ETD On S/O]]+1</f>
        <v>50</v>
      </c>
      <c r="AT141" s="632"/>
      <c r="AU141" s="643" cm="1">
        <f t="array" ref="AU14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46296</v>
      </c>
      <c r="AV14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41" s="14">
        <f>IF(ISERROR(ESS_DATA[[#This Row],[New Ark PO status]]),"",_xlfn.XLOOKUP(ESS_DATA[[#This Row],[SPTN-PVHK New Ark PO'#]],New_Ark_Data[Purchase order Number],New_Ark_Data[Estimated time of arrival],"",0))</f>
        <v>46303</v>
      </c>
      <c r="AX141" s="632">
        <f>IF(ESS_DATA[[#This Row],[New Ark PO Type]]="Offshore",0,IFERROR(VLOOKUP(ESS_DATA[[#This Row],[PORT OF LOADING]]&amp;ESS_DATA[[#This Row],[PORT DESTINATION]],LT_REF[],7,0),14))</f>
        <v>8</v>
      </c>
      <c r="AY141" s="643">
        <f>IFERROR(ESS_DATA[[#This Row],[ODP ETA Port]]+ESS_DATA[[#This Row],[Customs/Leg3 Assumption]],"n/a")</f>
        <v>46304</v>
      </c>
      <c r="AZ141" s="633">
        <f>YEAR(ESS_DATA[[#This Row],[ETA for New Ark update]])</f>
        <v>2026</v>
      </c>
      <c r="BA141" s="633">
        <f>MONTH(ESS_DATA[[#This Row],[ETA for New Ark update]])</f>
        <v>10</v>
      </c>
      <c r="BB141" s="633">
        <f>IFERROR(_xlfn.ISOWEEKNUM(ESS_DATA[[#This Row],[ETA for New Ark update]]),0)</f>
        <v>41</v>
      </c>
      <c r="BC141" s="633" t="str">
        <f>_xlfn.XLOOKUP(ESS_DATA[[#This Row],[PORT DESTINATION]],Table12[PORT DESTINATION],Table12[Cosco Line],,0)</f>
        <v>AEM</v>
      </c>
      <c r="BD141" s="633"/>
      <c r="BE141" s="663"/>
      <c r="BF141" s="663"/>
      <c r="BG141" s="663"/>
      <c r="BH141" s="663"/>
      <c r="BI141" s="663"/>
    </row>
    <row r="142" spans="1:61" s="540" customFormat="1" ht="10">
      <c r="A142" s="631" t="s">
        <v>8225</v>
      </c>
      <c r="B142" s="632" t="s">
        <v>7814</v>
      </c>
      <c r="C142" s="632" t="str">
        <f>IFERROR(LEFT(ESS_DATA[[#This Row],[TCL REFERENCE]],FIND(".",ESS_DATA[[#This Row],[TCL REFERENCE]],1)-1),"Main Line")</f>
        <v>26JUL005</v>
      </c>
      <c r="D142" s="632" t="s">
        <v>63</v>
      </c>
      <c r="E142" s="633" t="s">
        <v>64</v>
      </c>
      <c r="F142" s="633" t="s">
        <v>65</v>
      </c>
      <c r="G142" s="632" t="s">
        <v>402</v>
      </c>
      <c r="H142" s="632" t="s">
        <v>67</v>
      </c>
      <c r="I142" s="632"/>
      <c r="J142" s="632" t="s">
        <v>8226</v>
      </c>
      <c r="K142" s="632"/>
      <c r="L142" s="634"/>
      <c r="M142" s="635" t="s">
        <v>68</v>
      </c>
      <c r="N142" s="636" t="s">
        <v>7851</v>
      </c>
      <c r="O142" s="636" t="s">
        <v>7852</v>
      </c>
      <c r="P142" s="636" t="s">
        <v>7853</v>
      </c>
      <c r="Q142" s="637"/>
      <c r="R142" s="638">
        <v>552</v>
      </c>
      <c r="S142" s="639"/>
      <c r="T142" s="632"/>
      <c r="U142" s="640">
        <f>ESS_DATA[[#This Row],[QUANTITY]]/276</f>
        <v>2</v>
      </c>
      <c r="V142" s="641" t="s">
        <v>8227</v>
      </c>
      <c r="W142" s="648" t="s">
        <v>4375</v>
      </c>
      <c r="X142" s="648" t="str">
        <f t="shared" si="5"/>
        <v>COMPLETED</v>
      </c>
      <c r="Y142" s="649">
        <v>46244</v>
      </c>
      <c r="Z142" s="643">
        <v>46259</v>
      </c>
      <c r="AA142" s="733">
        <f>WEEKNUM(ESS_DATA[[#This Row],[Pick-Up Date]])</f>
        <v>35</v>
      </c>
      <c r="AB142" s="632" t="s">
        <v>8228</v>
      </c>
      <c r="AC142" s="632"/>
      <c r="AD142" s="632" t="s">
        <v>122</v>
      </c>
      <c r="AE142" s="632" t="s">
        <v>123</v>
      </c>
      <c r="AF142" s="632" t="s">
        <v>78</v>
      </c>
      <c r="AG142" s="320">
        <v>46256</v>
      </c>
      <c r="AH142" s="320">
        <v>46266</v>
      </c>
      <c r="AI142" s="320">
        <v>46265</v>
      </c>
      <c r="AJ142" s="320">
        <v>46302</v>
      </c>
      <c r="AK142" s="320">
        <v>46302</v>
      </c>
      <c r="AL142" s="320">
        <v>46303</v>
      </c>
      <c r="AM142" s="322" t="s">
        <v>402</v>
      </c>
      <c r="AN142" s="320" t="s">
        <v>8229</v>
      </c>
      <c r="AO142" s="320" t="s">
        <v>161</v>
      </c>
      <c r="AP142" s="320" t="s">
        <v>8230</v>
      </c>
      <c r="AQ142" s="313">
        <v>274958025</v>
      </c>
      <c r="AR142" s="313">
        <v>274958025</v>
      </c>
      <c r="AS142" s="313">
        <f>ESS_DATA[[#This Row],[ETA On S/O]]-ESS_DATA[[#This Row],[ETD On S/O]]+1</f>
        <v>47</v>
      </c>
      <c r="AT142" s="313"/>
      <c r="AU142" s="643" cm="1">
        <f t="array" ref="AU14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46303</v>
      </c>
      <c r="AV14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42" s="14">
        <f>IF(ISERROR(ESS_DATA[[#This Row],[New Ark PO status]]),"",_xlfn.XLOOKUP(ESS_DATA[[#This Row],[SPTN-PVHK New Ark PO'#]],New_Ark_Data[Purchase order Number],New_Ark_Data[Estimated time of arrival],"",0))</f>
        <v>46310</v>
      </c>
      <c r="AX142" s="632">
        <f>IF(ESS_DATA[[#This Row],[New Ark PO Type]]="Offshore",0,IFERROR(VLOOKUP(ESS_DATA[[#This Row],[PORT OF LOADING]]&amp;ESS_DATA[[#This Row],[PORT DESTINATION]],LT_REF[],7,0),14))</f>
        <v>8</v>
      </c>
      <c r="AY142" s="643">
        <f>IFERROR(ESS_DATA[[#This Row],[ODP ETA Port]]+ESS_DATA[[#This Row],[Customs/Leg3 Assumption]],"n/a")</f>
        <v>46311</v>
      </c>
      <c r="AZ142" s="633">
        <f>YEAR(ESS_DATA[[#This Row],[ETA for New Ark update]])</f>
        <v>2026</v>
      </c>
      <c r="BA142" s="633">
        <f>MONTH(ESS_DATA[[#This Row],[ETA for New Ark update]])</f>
        <v>10</v>
      </c>
      <c r="BB142" s="633">
        <f>IFERROR(_xlfn.ISOWEEKNUM(ESS_DATA[[#This Row],[ETA for New Ark update]]),0)</f>
        <v>42</v>
      </c>
      <c r="BC142" s="633" t="str">
        <f>_xlfn.XLOOKUP(ESS_DATA[[#This Row],[PORT DESTINATION]],Table12[PORT DESTINATION],Table12[Cosco Line],,0)</f>
        <v>AEM</v>
      </c>
      <c r="BD142" s="633"/>
      <c r="BE142" s="663"/>
      <c r="BF142" s="663"/>
      <c r="BG142" s="663"/>
      <c r="BH142" s="663"/>
      <c r="BI142" s="663"/>
    </row>
    <row r="143" spans="1:61" s="613" customFormat="1" ht="10">
      <c r="A143" s="351" t="s">
        <v>8231</v>
      </c>
      <c r="B143" s="340" t="s">
        <v>7814</v>
      </c>
      <c r="C143" s="340" t="str">
        <f>IFERROR(LEFT(ESS_DATA[[#This Row],[TCL REFERENCE]],FIND(".",ESS_DATA[[#This Row],[TCL REFERENCE]],1)-1),"Main Line")</f>
        <v>26AUG005</v>
      </c>
      <c r="D143" s="340" t="s">
        <v>63</v>
      </c>
      <c r="E143" s="343" t="s">
        <v>64</v>
      </c>
      <c r="F143" s="343" t="s">
        <v>65</v>
      </c>
      <c r="G143" s="340" t="s">
        <v>402</v>
      </c>
      <c r="H143" s="340" t="s">
        <v>67</v>
      </c>
      <c r="I143" s="343"/>
      <c r="J143" s="340"/>
      <c r="K143" s="340"/>
      <c r="L143" s="341"/>
      <c r="M143" s="342" t="s">
        <v>68</v>
      </c>
      <c r="N143" s="651" t="s">
        <v>7851</v>
      </c>
      <c r="O143" s="651" t="s">
        <v>7852</v>
      </c>
      <c r="P143" s="651" t="s">
        <v>7853</v>
      </c>
      <c r="Q143" s="339"/>
      <c r="R143" s="653">
        <v>196</v>
      </c>
      <c r="S143" s="345"/>
      <c r="T143" s="340"/>
      <c r="U143" s="346">
        <f>ESS_DATA[[#This Row],[QUANTITY]]/276</f>
        <v>0.71014492753623193</v>
      </c>
      <c r="V143" s="612" t="s">
        <v>7877</v>
      </c>
      <c r="W143" s="665" t="s">
        <v>4375</v>
      </c>
      <c r="X143" s="343" t="str">
        <f t="shared" si="5"/>
        <v>COMPLETED</v>
      </c>
      <c r="Y143" s="926">
        <v>46249</v>
      </c>
      <c r="Z143" s="347">
        <v>46259</v>
      </c>
      <c r="AA143" s="734">
        <f>WEEKNUM(ESS_DATA[[#This Row],[Pick-Up Date]])</f>
        <v>35</v>
      </c>
      <c r="AB143" s="1004" t="s">
        <v>8232</v>
      </c>
      <c r="AC143" s="340"/>
      <c r="AD143" s="340" t="s">
        <v>122</v>
      </c>
      <c r="AE143" s="340" t="s">
        <v>123</v>
      </c>
      <c r="AF143" s="340" t="s">
        <v>78</v>
      </c>
      <c r="AG143" s="347">
        <v>46256</v>
      </c>
      <c r="AH143" s="347">
        <v>46266</v>
      </c>
      <c r="AI143" s="347">
        <v>46265</v>
      </c>
      <c r="AJ143" s="347">
        <v>46302</v>
      </c>
      <c r="AK143" s="347">
        <v>46302</v>
      </c>
      <c r="AL143" s="347">
        <v>46303</v>
      </c>
      <c r="AM143" s="349" t="s">
        <v>402</v>
      </c>
      <c r="AN143" s="347" t="s">
        <v>8229</v>
      </c>
      <c r="AO143" s="347" t="s">
        <v>161</v>
      </c>
      <c r="AP143" s="347" t="s">
        <v>8230</v>
      </c>
      <c r="AQ143" s="340">
        <v>274958025</v>
      </c>
      <c r="AR143" s="340">
        <v>274958025</v>
      </c>
      <c r="AS143" s="340">
        <f>ESS_DATA[[#This Row],[ETA On S/O]]-ESS_DATA[[#This Row],[ETD On S/O]]+1</f>
        <v>47</v>
      </c>
      <c r="AT143" s="340"/>
      <c r="AU143" s="347" cm="1">
        <f t="array" ref="AU14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46303</v>
      </c>
      <c r="AV14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43" s="14">
        <f>IF(ISERROR(ESS_DATA[[#This Row],[New Ark PO status]]),"",_xlfn.XLOOKUP(ESS_DATA[[#This Row],[SPTN-PVHK New Ark PO'#]],New_Ark_Data[Purchase order Number],New_Ark_Data[Estimated time of arrival],"",0))</f>
        <v>46310</v>
      </c>
      <c r="AX143" s="340">
        <f>IF(ESS_DATA[[#This Row],[New Ark PO Type]]="Offshore",0,IFERROR(VLOOKUP(ESS_DATA[[#This Row],[PORT OF LOADING]]&amp;ESS_DATA[[#This Row],[PORT DESTINATION]],LT_REF[],7,0),14))</f>
        <v>8</v>
      </c>
      <c r="AY143" s="347">
        <f>IFERROR(ESS_DATA[[#This Row],[ODP ETA Port]]+ESS_DATA[[#This Row],[Customs/Leg3 Assumption]],"n/a")</f>
        <v>46311</v>
      </c>
      <c r="AZ143" s="343">
        <f>YEAR(ESS_DATA[[#This Row],[ETA for New Ark update]])</f>
        <v>2026</v>
      </c>
      <c r="BA143" s="343">
        <f>MONTH(ESS_DATA[[#This Row],[ETA for New Ark update]])</f>
        <v>10</v>
      </c>
      <c r="BB143" s="343">
        <f>IFERROR(_xlfn.ISOWEEKNUM(ESS_DATA[[#This Row],[ETA for New Ark update]]),0)</f>
        <v>42</v>
      </c>
      <c r="BC143" s="343" t="str">
        <f>_xlfn.XLOOKUP(ESS_DATA[[#This Row],[PORT DESTINATION]],Table12[PORT DESTINATION],Table12[Cosco Line],,0)</f>
        <v>AEM</v>
      </c>
      <c r="BD143" s="343"/>
      <c r="BE143" s="350"/>
      <c r="BF143" s="350"/>
      <c r="BG143" s="350"/>
      <c r="BH143" s="350"/>
      <c r="BI143" s="350"/>
    </row>
    <row r="144" spans="1:61" s="613" customFormat="1" ht="10">
      <c r="A144" s="351" t="s">
        <v>8233</v>
      </c>
      <c r="B144" s="340" t="s">
        <v>7814</v>
      </c>
      <c r="C144" s="340" t="str">
        <f>IFERROR(LEFT(ESS_DATA[[#This Row],[TCL REFERENCE]],FIND(".",ESS_DATA[[#This Row],[TCL REFERENCE]],1)-1),"Main Line")</f>
        <v>Main Line</v>
      </c>
      <c r="D144" s="340" t="s">
        <v>63</v>
      </c>
      <c r="E144" s="343" t="s">
        <v>64</v>
      </c>
      <c r="F144" s="343" t="s">
        <v>65</v>
      </c>
      <c r="G144" s="340" t="s">
        <v>402</v>
      </c>
      <c r="H144" s="340" t="s">
        <v>67</v>
      </c>
      <c r="I144" s="343"/>
      <c r="J144" s="340"/>
      <c r="K144" s="340"/>
      <c r="L144" s="341"/>
      <c r="M144" s="342" t="s">
        <v>68</v>
      </c>
      <c r="N144" s="651" t="s">
        <v>7851</v>
      </c>
      <c r="O144" s="654" t="s">
        <v>7852</v>
      </c>
      <c r="P144" s="651" t="s">
        <v>7853</v>
      </c>
      <c r="Q144" s="339"/>
      <c r="R144" s="653">
        <v>80</v>
      </c>
      <c r="S144" s="345"/>
      <c r="T144" s="340"/>
      <c r="U144" s="346">
        <f>ESS_DATA[[#This Row],[QUANTITY]]/276</f>
        <v>0.28985507246376813</v>
      </c>
      <c r="V144" s="612" t="s">
        <v>7877</v>
      </c>
      <c r="W144" s="665" t="s">
        <v>4375</v>
      </c>
      <c r="X144" s="343" t="str">
        <f t="shared" si="5"/>
        <v>COMPLETED</v>
      </c>
      <c r="Y144" s="926">
        <v>46249</v>
      </c>
      <c r="Z144" s="347">
        <v>46259</v>
      </c>
      <c r="AA144" s="734">
        <f>WEEKNUM(ESS_DATA[[#This Row],[Pick-Up Date]])</f>
        <v>35</v>
      </c>
      <c r="AB144" s="1004" t="s">
        <v>8232</v>
      </c>
      <c r="AC144" s="340"/>
      <c r="AD144" s="340" t="s">
        <v>122</v>
      </c>
      <c r="AE144" s="340" t="s">
        <v>123</v>
      </c>
      <c r="AF144" s="340" t="s">
        <v>78</v>
      </c>
      <c r="AG144" s="347">
        <v>46256</v>
      </c>
      <c r="AH144" s="347">
        <v>46266</v>
      </c>
      <c r="AI144" s="347">
        <v>46265</v>
      </c>
      <c r="AJ144" s="347">
        <v>46302</v>
      </c>
      <c r="AK144" s="347">
        <v>46302</v>
      </c>
      <c r="AL144" s="347">
        <v>46303</v>
      </c>
      <c r="AM144" s="349" t="s">
        <v>402</v>
      </c>
      <c r="AN144" s="347" t="s">
        <v>8229</v>
      </c>
      <c r="AO144" s="347" t="s">
        <v>161</v>
      </c>
      <c r="AP144" s="347" t="s">
        <v>8230</v>
      </c>
      <c r="AQ144" s="340">
        <v>274958025</v>
      </c>
      <c r="AR144" s="340">
        <v>274958025</v>
      </c>
      <c r="AS144" s="340">
        <f>ESS_DATA[[#This Row],[ETA On S/O]]-ESS_DATA[[#This Row],[ETD On S/O]]+1</f>
        <v>47</v>
      </c>
      <c r="AT144" s="340"/>
      <c r="AU144" s="347" cm="1">
        <f t="array" ref="AU14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46303</v>
      </c>
      <c r="AV14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44" s="14">
        <f>IF(ISERROR(ESS_DATA[[#This Row],[New Ark PO status]]),"",_xlfn.XLOOKUP(ESS_DATA[[#This Row],[SPTN-PVHK New Ark PO'#]],New_Ark_Data[Purchase order Number],New_Ark_Data[Estimated time of arrival],"",0))</f>
        <v>46310</v>
      </c>
      <c r="AX144" s="340">
        <f>IF(ESS_DATA[[#This Row],[New Ark PO Type]]="Offshore",0,IFERROR(VLOOKUP(ESS_DATA[[#This Row],[PORT OF LOADING]]&amp;ESS_DATA[[#This Row],[PORT DESTINATION]],LT_REF[],7,0),14))</f>
        <v>8</v>
      </c>
      <c r="AY144" s="347">
        <f>IFERROR(ESS_DATA[[#This Row],[ODP ETA Port]]+ESS_DATA[[#This Row],[Customs/Leg3 Assumption]],"n/a")</f>
        <v>46311</v>
      </c>
      <c r="AZ144" s="343">
        <f>YEAR(ESS_DATA[[#This Row],[ETA for New Ark update]])</f>
        <v>2026</v>
      </c>
      <c r="BA144" s="343">
        <f>MONTH(ESS_DATA[[#This Row],[ETA for New Ark update]])</f>
        <v>10</v>
      </c>
      <c r="BB144" s="343">
        <f>IFERROR(_xlfn.ISOWEEKNUM(ESS_DATA[[#This Row],[ETA for New Ark update]]),0)</f>
        <v>42</v>
      </c>
      <c r="BC144" s="343" t="str">
        <f>_xlfn.XLOOKUP(ESS_DATA[[#This Row],[PORT DESTINATION]],Table12[PORT DESTINATION],Table12[Cosco Line],,0)</f>
        <v>AEM</v>
      </c>
      <c r="BD144" s="343"/>
      <c r="BE144" s="350"/>
      <c r="BF144" s="350"/>
      <c r="BG144" s="350"/>
      <c r="BH144" s="350"/>
      <c r="BI144" s="350"/>
    </row>
    <row r="145" spans="1:61" s="613" customFormat="1" ht="10">
      <c r="A145" s="351" t="s">
        <v>8234</v>
      </c>
      <c r="B145" s="340" t="s">
        <v>7814</v>
      </c>
      <c r="C145" s="340" t="str">
        <f>IFERROR(LEFT(ESS_DATA[[#This Row],[TCL REFERENCE]],FIND(".",ESS_DATA[[#This Row],[TCL REFERENCE]],1)-1),"Main Line")</f>
        <v>26AUG005</v>
      </c>
      <c r="D145" s="340" t="s">
        <v>63</v>
      </c>
      <c r="E145" s="343" t="s">
        <v>64</v>
      </c>
      <c r="F145" s="343" t="s">
        <v>65</v>
      </c>
      <c r="G145" s="340" t="s">
        <v>402</v>
      </c>
      <c r="H145" s="340" t="s">
        <v>67</v>
      </c>
      <c r="I145" s="343"/>
      <c r="J145" s="340"/>
      <c r="K145" s="340"/>
      <c r="L145" s="341"/>
      <c r="M145" s="342" t="s">
        <v>68</v>
      </c>
      <c r="N145" s="651" t="s">
        <v>7851</v>
      </c>
      <c r="O145" s="651" t="s">
        <v>7852</v>
      </c>
      <c r="P145" s="651" t="s">
        <v>7853</v>
      </c>
      <c r="Q145" s="339"/>
      <c r="R145" s="344">
        <v>276</v>
      </c>
      <c r="S145" s="345"/>
      <c r="T145" s="340"/>
      <c r="U145" s="346">
        <f>ESS_DATA[[#This Row],[QUANTITY]]/276</f>
        <v>1</v>
      </c>
      <c r="V145" s="612" t="s">
        <v>8057</v>
      </c>
      <c r="W145" s="665" t="s">
        <v>4375</v>
      </c>
      <c r="X145" s="343" t="str">
        <f t="shared" si="5"/>
        <v>COMPLETED</v>
      </c>
      <c r="Y145" s="926">
        <v>46249</v>
      </c>
      <c r="Z145" s="347">
        <v>46259</v>
      </c>
      <c r="AA145" s="734">
        <f>WEEKNUM(ESS_DATA[[#This Row],[Pick-Up Date]])</f>
        <v>35</v>
      </c>
      <c r="AB145" s="1004" t="s">
        <v>8232</v>
      </c>
      <c r="AC145" s="340"/>
      <c r="AD145" s="340" t="s">
        <v>122</v>
      </c>
      <c r="AE145" s="340" t="s">
        <v>123</v>
      </c>
      <c r="AF145" s="340" t="s">
        <v>78</v>
      </c>
      <c r="AG145" s="347">
        <v>46256</v>
      </c>
      <c r="AH145" s="347">
        <v>46266</v>
      </c>
      <c r="AI145" s="347">
        <v>46265</v>
      </c>
      <c r="AJ145" s="347">
        <v>46302</v>
      </c>
      <c r="AK145" s="347">
        <v>46302</v>
      </c>
      <c r="AL145" s="347">
        <v>46303</v>
      </c>
      <c r="AM145" s="349" t="s">
        <v>402</v>
      </c>
      <c r="AN145" s="347" t="s">
        <v>8229</v>
      </c>
      <c r="AO145" s="347" t="s">
        <v>161</v>
      </c>
      <c r="AP145" s="347" t="s">
        <v>8230</v>
      </c>
      <c r="AQ145" s="340">
        <v>274958025</v>
      </c>
      <c r="AR145" s="340">
        <v>274958025</v>
      </c>
      <c r="AS145" s="340">
        <f>ESS_DATA[[#This Row],[ETA On S/O]]-ESS_DATA[[#This Row],[ETD On S/O]]+1</f>
        <v>47</v>
      </c>
      <c r="AT145" s="340"/>
      <c r="AU145" s="347" cm="1">
        <f t="array" ref="AU14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46303</v>
      </c>
      <c r="AV14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45" s="14">
        <f>IF(ISERROR(ESS_DATA[[#This Row],[New Ark PO status]]),"",_xlfn.XLOOKUP(ESS_DATA[[#This Row],[SPTN-PVHK New Ark PO'#]],New_Ark_Data[Purchase order Number],New_Ark_Data[Estimated time of arrival],"",0))</f>
        <v>46310</v>
      </c>
      <c r="AX145" s="340">
        <f>IF(ESS_DATA[[#This Row],[New Ark PO Type]]="Offshore",0,IFERROR(VLOOKUP(ESS_DATA[[#This Row],[PORT OF LOADING]]&amp;ESS_DATA[[#This Row],[PORT DESTINATION]],LT_REF[],7,0),14))</f>
        <v>8</v>
      </c>
      <c r="AY145" s="347">
        <f>IFERROR(ESS_DATA[[#This Row],[ODP ETA Port]]+ESS_DATA[[#This Row],[Customs/Leg3 Assumption]],"n/a")</f>
        <v>46311</v>
      </c>
      <c r="AZ145" s="343">
        <f>YEAR(ESS_DATA[[#This Row],[ETA for New Ark update]])</f>
        <v>2026</v>
      </c>
      <c r="BA145" s="343">
        <f>MONTH(ESS_DATA[[#This Row],[ETA for New Ark update]])</f>
        <v>10</v>
      </c>
      <c r="BB145" s="343">
        <f>IFERROR(_xlfn.ISOWEEKNUM(ESS_DATA[[#This Row],[ETA for New Ark update]]),0)</f>
        <v>42</v>
      </c>
      <c r="BC145" s="343" t="str">
        <f>_xlfn.XLOOKUP(ESS_DATA[[#This Row],[PORT DESTINATION]],Table12[PORT DESTINATION],Table12[Cosco Line],,0)</f>
        <v>AEM</v>
      </c>
      <c r="BD145" s="343"/>
      <c r="BE145" s="350"/>
      <c r="BF145" s="350"/>
      <c r="BG145" s="350"/>
      <c r="BH145" s="350"/>
      <c r="BI145" s="350"/>
    </row>
    <row r="146" spans="1:61" s="613" customFormat="1" ht="10">
      <c r="A146" s="351" t="s">
        <v>8235</v>
      </c>
      <c r="B146" s="340" t="s">
        <v>7814</v>
      </c>
      <c r="C146" s="340" t="str">
        <f>IFERROR(LEFT(ESS_DATA[[#This Row],[TCL REFERENCE]],FIND(".",ESS_DATA[[#This Row],[TCL REFERENCE]],1)-1),"Main Line")</f>
        <v>26AUG002</v>
      </c>
      <c r="D146" s="340" t="s">
        <v>63</v>
      </c>
      <c r="E146" s="343" t="s">
        <v>64</v>
      </c>
      <c r="F146" s="343" t="s">
        <v>65</v>
      </c>
      <c r="G146" s="340" t="s">
        <v>402</v>
      </c>
      <c r="H146" s="340" t="s">
        <v>67</v>
      </c>
      <c r="I146" s="343"/>
      <c r="J146" s="340"/>
      <c r="K146" s="340"/>
      <c r="L146" s="341"/>
      <c r="M146" s="342" t="s">
        <v>68</v>
      </c>
      <c r="N146" s="651" t="s">
        <v>7828</v>
      </c>
      <c r="O146" s="651" t="s">
        <v>7829</v>
      </c>
      <c r="P146" s="651" t="s">
        <v>7830</v>
      </c>
      <c r="Q146" s="339"/>
      <c r="R146" s="344">
        <v>107</v>
      </c>
      <c r="S146" s="345"/>
      <c r="T146" s="340"/>
      <c r="U146" s="346">
        <f>ESS_DATA[[#This Row],[QUANTITY]]/260</f>
        <v>0.41153846153846152</v>
      </c>
      <c r="V146" s="612" t="s">
        <v>7860</v>
      </c>
      <c r="W146" s="340" t="s">
        <v>4375</v>
      </c>
      <c r="X146" s="343" t="str">
        <f t="shared" si="5"/>
        <v>COMPLETED</v>
      </c>
      <c r="Y146" s="652">
        <v>46245</v>
      </c>
      <c r="Z146" s="347">
        <v>46247</v>
      </c>
      <c r="AA146" s="348">
        <f>WEEKNUM(ESS_DATA[[#This Row],[Pick-Up Date]])</f>
        <v>33</v>
      </c>
      <c r="AB146" s="340" t="s">
        <v>8236</v>
      </c>
      <c r="AC146" s="340"/>
      <c r="AD146" s="340" t="s">
        <v>122</v>
      </c>
      <c r="AE146" s="340" t="s">
        <v>123</v>
      </c>
      <c r="AF146" s="340" t="s">
        <v>78</v>
      </c>
      <c r="AG146" s="347">
        <v>46254</v>
      </c>
      <c r="AH146" s="347">
        <v>46253</v>
      </c>
      <c r="AI146" s="347">
        <v>46253</v>
      </c>
      <c r="AJ146" s="347">
        <v>46288</v>
      </c>
      <c r="AK146" s="347">
        <v>46290</v>
      </c>
      <c r="AL146" s="347">
        <v>46290</v>
      </c>
      <c r="AM146" s="349" t="s">
        <v>402</v>
      </c>
      <c r="AN146" s="347" t="s">
        <v>8237</v>
      </c>
      <c r="AO146" s="347" t="s">
        <v>80</v>
      </c>
      <c r="AP146" s="347" t="s">
        <v>8238</v>
      </c>
      <c r="AQ146" s="340" t="s">
        <v>8239</v>
      </c>
      <c r="AR146" s="340" t="s">
        <v>8239</v>
      </c>
      <c r="AS146" s="340">
        <f>ESS_DATA[[#This Row],[ETA On S/O]]-ESS_DATA[[#This Row],[ETD On S/O]]+1</f>
        <v>35</v>
      </c>
      <c r="AT146" s="340"/>
      <c r="AU146" s="347" cm="1">
        <f t="array" ref="AU14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46290</v>
      </c>
      <c r="AV14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46" s="14">
        <f>IF(ISERROR(ESS_DATA[[#This Row],[New Ark PO status]]),"",_xlfn.XLOOKUP(ESS_DATA[[#This Row],[SPTN-PVHK New Ark PO'#]],New_Ark_Data[Purchase order Number],New_Ark_Data[Estimated time of arrival],"",0))</f>
        <v>46296</v>
      </c>
      <c r="AX146" s="340">
        <f>IF(ESS_DATA[[#This Row],[New Ark PO Type]]="Offshore",0,IFERROR(VLOOKUP(ESS_DATA[[#This Row],[PORT OF LOADING]]&amp;ESS_DATA[[#This Row],[PORT DESTINATION]],LT_REF[],7,0),14))</f>
        <v>8</v>
      </c>
      <c r="AY146" s="347">
        <f>IFERROR(ESS_DATA[[#This Row],[ODP ETA Port]]+ESS_DATA[[#This Row],[Customs/Leg3 Assumption]],"n/a")</f>
        <v>46298</v>
      </c>
      <c r="AZ146" s="343">
        <f>YEAR(ESS_DATA[[#This Row],[ETA for New Ark update]])</f>
        <v>2026</v>
      </c>
      <c r="BA146" s="343">
        <f>MONTH(ESS_DATA[[#This Row],[ETA for New Ark update]])</f>
        <v>10</v>
      </c>
      <c r="BB146" s="343">
        <f>IFERROR(_xlfn.ISOWEEKNUM(ESS_DATA[[#This Row],[ETA for New Ark update]]),0)</f>
        <v>40</v>
      </c>
      <c r="BC146" s="343" t="str">
        <f>_xlfn.XLOOKUP(ESS_DATA[[#This Row],[PORT DESTINATION]],Table12[PORT DESTINATION],Table12[Cosco Line],,0)</f>
        <v>AEM</v>
      </c>
      <c r="BD146" s="343"/>
      <c r="BE146" s="350"/>
      <c r="BF146" s="350"/>
      <c r="BG146" s="350"/>
      <c r="BH146" s="350"/>
      <c r="BI146" s="350"/>
    </row>
    <row r="147" spans="1:61" s="613" customFormat="1" ht="10">
      <c r="A147" s="351" t="s">
        <v>8240</v>
      </c>
      <c r="B147" s="340" t="s">
        <v>7814</v>
      </c>
      <c r="C147" s="340" t="str">
        <f>IFERROR(LEFT(ESS_DATA[[#This Row],[TCL REFERENCE]],FIND(".",ESS_DATA[[#This Row],[TCL REFERENCE]],1)-1),"Main Line")</f>
        <v>26AUG003</v>
      </c>
      <c r="D147" s="340" t="s">
        <v>63</v>
      </c>
      <c r="E147" s="343" t="s">
        <v>64</v>
      </c>
      <c r="F147" s="343" t="s">
        <v>65</v>
      </c>
      <c r="G147" s="340" t="s">
        <v>402</v>
      </c>
      <c r="H147" s="340" t="s">
        <v>67</v>
      </c>
      <c r="I147" s="343"/>
      <c r="J147" s="340"/>
      <c r="K147" s="340"/>
      <c r="L147" s="341"/>
      <c r="M147" s="342" t="s">
        <v>68</v>
      </c>
      <c r="N147" s="651" t="s">
        <v>7837</v>
      </c>
      <c r="O147" s="651" t="s">
        <v>7829</v>
      </c>
      <c r="P147" s="651" t="s">
        <v>7838</v>
      </c>
      <c r="Q147" s="339"/>
      <c r="R147" s="344">
        <v>23</v>
      </c>
      <c r="S147" s="345"/>
      <c r="T147" s="340"/>
      <c r="U147" s="346">
        <f>ESS_DATA[[#This Row],[QUANTITY]]/260</f>
        <v>8.8461538461538466E-2</v>
      </c>
      <c r="V147" s="612" t="s">
        <v>7860</v>
      </c>
      <c r="W147" s="340" t="s">
        <v>4375</v>
      </c>
      <c r="X147" s="343" t="str">
        <f t="shared" si="5"/>
        <v>COMPLETED</v>
      </c>
      <c r="Y147" s="652">
        <v>46245</v>
      </c>
      <c r="Z147" s="347">
        <v>46247</v>
      </c>
      <c r="AA147" s="348">
        <f>WEEKNUM(ESS_DATA[[#This Row],[Pick-Up Date]])</f>
        <v>33</v>
      </c>
      <c r="AB147" s="340" t="s">
        <v>8236</v>
      </c>
      <c r="AC147" s="340"/>
      <c r="AD147" s="340" t="s">
        <v>122</v>
      </c>
      <c r="AE147" s="340" t="s">
        <v>123</v>
      </c>
      <c r="AF147" s="340" t="s">
        <v>78</v>
      </c>
      <c r="AG147" s="347">
        <v>46254</v>
      </c>
      <c r="AH147" s="347">
        <v>46253</v>
      </c>
      <c r="AI147" s="347">
        <v>46253</v>
      </c>
      <c r="AJ147" s="347">
        <v>46288</v>
      </c>
      <c r="AK147" s="347">
        <v>46290</v>
      </c>
      <c r="AL147" s="347">
        <v>46290</v>
      </c>
      <c r="AM147" s="349" t="s">
        <v>402</v>
      </c>
      <c r="AN147" s="347" t="s">
        <v>8237</v>
      </c>
      <c r="AO147" s="347" t="s">
        <v>80</v>
      </c>
      <c r="AP147" s="347" t="s">
        <v>8238</v>
      </c>
      <c r="AQ147" s="340" t="s">
        <v>8239</v>
      </c>
      <c r="AR147" s="340" t="s">
        <v>8239</v>
      </c>
      <c r="AS147" s="340">
        <f>ESS_DATA[[#This Row],[ETA On S/O]]-ESS_DATA[[#This Row],[ETD On S/O]]+1</f>
        <v>35</v>
      </c>
      <c r="AT147" s="340"/>
      <c r="AU147" s="347" cm="1">
        <f t="array" ref="AU14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46290</v>
      </c>
      <c r="AV14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47" s="14">
        <f>IF(ISERROR(ESS_DATA[[#This Row],[New Ark PO status]]),"",_xlfn.XLOOKUP(ESS_DATA[[#This Row],[SPTN-PVHK New Ark PO'#]],New_Ark_Data[Purchase order Number],New_Ark_Data[Estimated time of arrival],"",0))</f>
        <v>46296</v>
      </c>
      <c r="AX147" s="340">
        <f>IF(ESS_DATA[[#This Row],[New Ark PO Type]]="Offshore",0,IFERROR(VLOOKUP(ESS_DATA[[#This Row],[PORT OF LOADING]]&amp;ESS_DATA[[#This Row],[PORT DESTINATION]],LT_REF[],7,0),14))</f>
        <v>8</v>
      </c>
      <c r="AY147" s="347">
        <f>IFERROR(ESS_DATA[[#This Row],[ODP ETA Port]]+ESS_DATA[[#This Row],[Customs/Leg3 Assumption]],"n/a")</f>
        <v>46298</v>
      </c>
      <c r="AZ147" s="343">
        <f>YEAR(ESS_DATA[[#This Row],[ETA for New Ark update]])</f>
        <v>2026</v>
      </c>
      <c r="BA147" s="343">
        <f>MONTH(ESS_DATA[[#This Row],[ETA for New Ark update]])</f>
        <v>10</v>
      </c>
      <c r="BB147" s="343">
        <f>IFERROR(_xlfn.ISOWEEKNUM(ESS_DATA[[#This Row],[ETA for New Ark update]]),0)</f>
        <v>40</v>
      </c>
      <c r="BC147" s="343" t="str">
        <f>_xlfn.XLOOKUP(ESS_DATA[[#This Row],[PORT DESTINATION]],Table12[PORT DESTINATION],Table12[Cosco Line],,0)</f>
        <v>AEM</v>
      </c>
      <c r="BD147" s="343"/>
      <c r="BE147" s="350"/>
      <c r="BF147" s="350"/>
      <c r="BG147" s="350"/>
      <c r="BH147" s="350"/>
      <c r="BI147" s="350"/>
    </row>
    <row r="148" spans="1:61" s="613" customFormat="1" ht="10">
      <c r="A148" s="351" t="s">
        <v>8241</v>
      </c>
      <c r="B148" s="340" t="s">
        <v>7814</v>
      </c>
      <c r="C148" s="340" t="str">
        <f>IFERROR(LEFT(ESS_DATA[[#This Row],[TCL REFERENCE]],FIND(".",ESS_DATA[[#This Row],[TCL REFERENCE]],1)-1),"Main Line")</f>
        <v>26AUG004</v>
      </c>
      <c r="D148" s="340" t="s">
        <v>63</v>
      </c>
      <c r="E148" s="343" t="s">
        <v>64</v>
      </c>
      <c r="F148" s="343" t="s">
        <v>65</v>
      </c>
      <c r="G148" s="340" t="s">
        <v>402</v>
      </c>
      <c r="H148" s="340" t="s">
        <v>67</v>
      </c>
      <c r="I148" s="343"/>
      <c r="J148" s="340"/>
      <c r="K148" s="340"/>
      <c r="L148" s="341"/>
      <c r="M148" s="342" t="s">
        <v>68</v>
      </c>
      <c r="N148" s="651" t="s">
        <v>7840</v>
      </c>
      <c r="O148" s="651" t="s">
        <v>8037</v>
      </c>
      <c r="P148" s="651" t="s">
        <v>7842</v>
      </c>
      <c r="Q148" s="339"/>
      <c r="R148" s="344">
        <v>130</v>
      </c>
      <c r="S148" s="345"/>
      <c r="T148" s="340"/>
      <c r="U148" s="346">
        <f>ESS_DATA[[#This Row],[QUANTITY]]/260</f>
        <v>0.5</v>
      </c>
      <c r="V148" s="612" t="s">
        <v>7860</v>
      </c>
      <c r="W148" s="340" t="s">
        <v>4375</v>
      </c>
      <c r="X148" s="343" t="str">
        <f t="shared" si="5"/>
        <v>COMPLETED</v>
      </c>
      <c r="Y148" s="652">
        <v>46245</v>
      </c>
      <c r="Z148" s="347">
        <v>46247</v>
      </c>
      <c r="AA148" s="348">
        <f>WEEKNUM(ESS_DATA[[#This Row],[Pick-Up Date]])</f>
        <v>33</v>
      </c>
      <c r="AB148" s="343" t="s">
        <v>8236</v>
      </c>
      <c r="AC148" s="351"/>
      <c r="AD148" s="340" t="s">
        <v>122</v>
      </c>
      <c r="AE148" s="340" t="s">
        <v>123</v>
      </c>
      <c r="AF148" s="340" t="s">
        <v>78</v>
      </c>
      <c r="AG148" s="347">
        <v>46254</v>
      </c>
      <c r="AH148" s="347">
        <v>46253</v>
      </c>
      <c r="AI148" s="347">
        <v>46253</v>
      </c>
      <c r="AJ148" s="347">
        <v>46288</v>
      </c>
      <c r="AK148" s="347">
        <v>46290</v>
      </c>
      <c r="AL148" s="347">
        <v>46290</v>
      </c>
      <c r="AM148" s="349" t="s">
        <v>402</v>
      </c>
      <c r="AN148" s="347" t="s">
        <v>8237</v>
      </c>
      <c r="AO148" s="347" t="s">
        <v>80</v>
      </c>
      <c r="AP148" s="347" t="s">
        <v>8238</v>
      </c>
      <c r="AQ148" s="340" t="s">
        <v>8239</v>
      </c>
      <c r="AR148" s="340" t="s">
        <v>8239</v>
      </c>
      <c r="AS148" s="340">
        <f>ESS_DATA[[#This Row],[ETA On S/O]]-ESS_DATA[[#This Row],[ETD On S/O]]+1</f>
        <v>35</v>
      </c>
      <c r="AT148" s="340"/>
      <c r="AU148" s="347" cm="1">
        <f t="array" ref="AU14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46290</v>
      </c>
      <c r="AV14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48" s="14">
        <f>IF(ISERROR(ESS_DATA[[#This Row],[New Ark PO status]]),"",_xlfn.XLOOKUP(ESS_DATA[[#This Row],[SPTN-PVHK New Ark PO'#]],New_Ark_Data[Purchase order Number],New_Ark_Data[Estimated time of arrival],"",0))</f>
        <v>46296</v>
      </c>
      <c r="AX148" s="340">
        <f>IF(ESS_DATA[[#This Row],[New Ark PO Type]]="Offshore",0,IFERROR(VLOOKUP(ESS_DATA[[#This Row],[PORT OF LOADING]]&amp;ESS_DATA[[#This Row],[PORT DESTINATION]],LT_REF[],7,0),14))</f>
        <v>8</v>
      </c>
      <c r="AY148" s="347">
        <f>IFERROR(ESS_DATA[[#This Row],[ODP ETA Port]]+ESS_DATA[[#This Row],[Customs/Leg3 Assumption]],"n/a")</f>
        <v>46298</v>
      </c>
      <c r="AZ148" s="343">
        <f>YEAR(ESS_DATA[[#This Row],[ETA for New Ark update]])</f>
        <v>2026</v>
      </c>
      <c r="BA148" s="343">
        <f>MONTH(ESS_DATA[[#This Row],[ETA for New Ark update]])</f>
        <v>10</v>
      </c>
      <c r="BB148" s="343">
        <f>IFERROR(_xlfn.ISOWEEKNUM(ESS_DATA[[#This Row],[ETA for New Ark update]]),0)</f>
        <v>40</v>
      </c>
      <c r="BC148" s="343" t="str">
        <f>_xlfn.XLOOKUP(ESS_DATA[[#This Row],[PORT DESTINATION]],Table12[PORT DESTINATION],Table12[Cosco Line],,0)</f>
        <v>AEM</v>
      </c>
      <c r="BD148" s="343"/>
      <c r="BE148" s="350"/>
      <c r="BF148" s="350"/>
      <c r="BG148" s="350"/>
      <c r="BH148" s="350"/>
      <c r="BI148" s="350"/>
    </row>
    <row r="149" spans="1:61" s="350" customFormat="1" ht="10">
      <c r="A149" s="650" t="s">
        <v>8242</v>
      </c>
      <c r="B149" s="340" t="s">
        <v>7814</v>
      </c>
      <c r="C149" s="340" t="str">
        <f>IFERROR(LEFT(ESS_DATA[[#This Row],[TCL REFERENCE]],FIND(".",ESS_DATA[[#This Row],[TCL REFERENCE]],1)-1),"Main Line")</f>
        <v>Main Line</v>
      </c>
      <c r="D149" s="340" t="s">
        <v>63</v>
      </c>
      <c r="E149" s="343" t="s">
        <v>64</v>
      </c>
      <c r="F149" s="343" t="s">
        <v>65</v>
      </c>
      <c r="G149" s="340" t="s">
        <v>402</v>
      </c>
      <c r="H149" s="340" t="s">
        <v>67</v>
      </c>
      <c r="I149" s="343"/>
      <c r="J149" s="340"/>
      <c r="K149" s="340"/>
      <c r="L149" s="341"/>
      <c r="M149" s="342" t="s">
        <v>68</v>
      </c>
      <c r="N149" s="651" t="s">
        <v>7862</v>
      </c>
      <c r="O149" s="651" t="s">
        <v>7829</v>
      </c>
      <c r="P149" s="651" t="s">
        <v>7863</v>
      </c>
      <c r="Q149" s="339"/>
      <c r="R149" s="650">
        <v>34</v>
      </c>
      <c r="S149" s="345"/>
      <c r="T149" s="340"/>
      <c r="U149" s="346">
        <f>ESS_DATA[[#This Row],[QUANTITY]]/224</f>
        <v>0.15178571428571427</v>
      </c>
      <c r="V149" s="612" t="s">
        <v>7854</v>
      </c>
      <c r="W149" s="340" t="s">
        <v>4375</v>
      </c>
      <c r="X149" s="343" t="str">
        <f>IF(AL149&lt;&gt;"","COMPLETED",IF(AI149&lt;&gt;"","IN-TRANSIT",""))</f>
        <v>COMPLETED</v>
      </c>
      <c r="Y149" s="652">
        <v>46245</v>
      </c>
      <c r="Z149" s="347">
        <v>46256</v>
      </c>
      <c r="AA149" s="348">
        <f>WEEKNUM(ESS_DATA[[#This Row],[Pick-Up Date]])</f>
        <v>34</v>
      </c>
      <c r="AB149" s="343" t="s">
        <v>8243</v>
      </c>
      <c r="AC149" s="351"/>
      <c r="AD149" s="340" t="s">
        <v>122</v>
      </c>
      <c r="AE149" s="340" t="s">
        <v>123</v>
      </c>
      <c r="AF149" s="340" t="s">
        <v>78</v>
      </c>
      <c r="AG149" s="347">
        <v>46253</v>
      </c>
      <c r="AH149" s="347">
        <v>46267</v>
      </c>
      <c r="AI149" s="347">
        <v>46267</v>
      </c>
      <c r="AJ149" s="347">
        <v>46302</v>
      </c>
      <c r="AK149" s="347">
        <v>46309</v>
      </c>
      <c r="AL149" s="347">
        <v>46310</v>
      </c>
      <c r="AM149" s="349" t="s">
        <v>402</v>
      </c>
      <c r="AN149" s="347" t="s">
        <v>8244</v>
      </c>
      <c r="AO149" s="347" t="s">
        <v>161</v>
      </c>
      <c r="AP149" s="347" t="s">
        <v>8245</v>
      </c>
      <c r="AQ149" s="340">
        <v>275076509</v>
      </c>
      <c r="AR149" s="340">
        <v>275076509</v>
      </c>
      <c r="AS149" s="340">
        <f>ESS_DATA[[#This Row],[ETA On S/O]]-ESS_DATA[[#This Row],[ETD On S/O]]+1</f>
        <v>50</v>
      </c>
      <c r="AT149" s="340"/>
      <c r="AU149" s="347" cm="1">
        <f t="array" ref="AU14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46310</v>
      </c>
      <c r="AV14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49" s="14">
        <f>IF(ISERROR(ESS_DATA[[#This Row],[New Ark PO status]]),"",_xlfn.XLOOKUP(ESS_DATA[[#This Row],[SPTN-PVHK New Ark PO'#]],New_Ark_Data[Purchase order Number],New_Ark_Data[Estimated time of arrival],"",0))</f>
        <v>46317</v>
      </c>
      <c r="AX149" s="340">
        <f>IF(ESS_DATA[[#This Row],[New Ark PO Type]]="Offshore",0,IFERROR(VLOOKUP(ESS_DATA[[#This Row],[PORT OF LOADING]]&amp;ESS_DATA[[#This Row],[PORT DESTINATION]],LT_REF[],7,0),14))</f>
        <v>8</v>
      </c>
      <c r="AY149" s="347">
        <f>IFERROR(ESS_DATA[[#This Row],[ODP ETA Port]]+ESS_DATA[[#This Row],[Customs/Leg3 Assumption]],"n/a")</f>
        <v>46318</v>
      </c>
      <c r="AZ149" s="343">
        <f>YEAR(ESS_DATA[[#This Row],[ETA for New Ark update]])</f>
        <v>2026</v>
      </c>
      <c r="BA149" s="343">
        <f>MONTH(ESS_DATA[[#This Row],[ETA for New Ark update]])</f>
        <v>10</v>
      </c>
      <c r="BB149" s="343">
        <f>IFERROR(_xlfn.ISOWEEKNUM(ESS_DATA[[#This Row],[ETA for New Ark update]]),0)</f>
        <v>43</v>
      </c>
      <c r="BC149" s="343" t="str">
        <f>_xlfn.XLOOKUP(ESS_DATA[[#This Row],[PORT DESTINATION]],Table12[PORT DESTINATION],Table12[Cosco Line],,0)</f>
        <v>AEM</v>
      </c>
      <c r="BD149" s="343"/>
    </row>
    <row r="150" spans="1:61" s="350" customFormat="1" ht="10">
      <c r="A150" s="650" t="s">
        <v>8246</v>
      </c>
      <c r="B150" s="340" t="s">
        <v>7814</v>
      </c>
      <c r="C150" s="340" t="str">
        <f>IFERROR(LEFT(ESS_DATA[[#This Row],[TCL REFERENCE]],FIND(".",ESS_DATA[[#This Row],[TCL REFERENCE]],1)-1),"Main Line")</f>
        <v>Main Line</v>
      </c>
      <c r="D150" s="340" t="s">
        <v>63</v>
      </c>
      <c r="E150" s="343" t="s">
        <v>64</v>
      </c>
      <c r="F150" s="343" t="s">
        <v>65</v>
      </c>
      <c r="G150" s="340" t="s">
        <v>402</v>
      </c>
      <c r="H150" s="340" t="s">
        <v>67</v>
      </c>
      <c r="I150" s="343"/>
      <c r="J150" s="340"/>
      <c r="K150" s="340"/>
      <c r="L150" s="341"/>
      <c r="M150" s="342" t="s">
        <v>68</v>
      </c>
      <c r="N150" s="651" t="s">
        <v>7862</v>
      </c>
      <c r="O150" s="651" t="s">
        <v>7829</v>
      </c>
      <c r="P150" s="651" t="s">
        <v>7863</v>
      </c>
      <c r="Q150" s="339"/>
      <c r="R150" s="344">
        <v>1</v>
      </c>
      <c r="S150" s="345"/>
      <c r="T150" s="340"/>
      <c r="U150" s="346">
        <f>ESS_DATA[[#This Row],[QUANTITY]]/224</f>
        <v>4.464285714285714E-3</v>
      </c>
      <c r="V150" s="612" t="s">
        <v>7854</v>
      </c>
      <c r="W150" s="340" t="s">
        <v>4375</v>
      </c>
      <c r="X150" s="343" t="str">
        <f t="shared" ref="X150:X173" si="6">IF(AL150&lt;&gt;"","COMPLETED",IF(AI150&lt;&gt;"","IN-TRANSIT",""))</f>
        <v>COMPLETED</v>
      </c>
      <c r="Y150" s="652">
        <v>46245</v>
      </c>
      <c r="Z150" s="347">
        <v>46256</v>
      </c>
      <c r="AA150" s="348">
        <f>WEEKNUM(ESS_DATA[[#This Row],[Pick-Up Date]])</f>
        <v>34</v>
      </c>
      <c r="AB150" s="343" t="s">
        <v>8243</v>
      </c>
      <c r="AC150" s="351"/>
      <c r="AD150" s="340" t="s">
        <v>122</v>
      </c>
      <c r="AE150" s="340" t="s">
        <v>123</v>
      </c>
      <c r="AF150" s="340" t="s">
        <v>78</v>
      </c>
      <c r="AG150" s="347">
        <v>46253</v>
      </c>
      <c r="AH150" s="347">
        <v>46267</v>
      </c>
      <c r="AI150" s="347">
        <v>46267</v>
      </c>
      <c r="AJ150" s="347">
        <v>46302</v>
      </c>
      <c r="AK150" s="347">
        <v>46309</v>
      </c>
      <c r="AL150" s="347">
        <v>46310</v>
      </c>
      <c r="AM150" s="349" t="s">
        <v>402</v>
      </c>
      <c r="AN150" s="347" t="s">
        <v>8244</v>
      </c>
      <c r="AO150" s="347" t="s">
        <v>161</v>
      </c>
      <c r="AP150" s="347" t="s">
        <v>8245</v>
      </c>
      <c r="AQ150" s="340">
        <v>275076509</v>
      </c>
      <c r="AR150" s="340">
        <v>275076509</v>
      </c>
      <c r="AS150" s="340">
        <f>ESS_DATA[[#This Row],[ETA On S/O]]-ESS_DATA[[#This Row],[ETD On S/O]]+1</f>
        <v>50</v>
      </c>
      <c r="AT150" s="340"/>
      <c r="AU150" s="347" cm="1">
        <f t="array" ref="AU15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46310</v>
      </c>
      <c r="AV15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50" s="14">
        <f>IF(ISERROR(ESS_DATA[[#This Row],[New Ark PO status]]),"",_xlfn.XLOOKUP(ESS_DATA[[#This Row],[SPTN-PVHK New Ark PO'#]],New_Ark_Data[Purchase order Number],New_Ark_Data[Estimated time of arrival],"",0))</f>
        <v>46317</v>
      </c>
      <c r="AX150" s="340">
        <f>IF(ESS_DATA[[#This Row],[New Ark PO Type]]="Offshore",0,IFERROR(VLOOKUP(ESS_DATA[[#This Row],[PORT OF LOADING]]&amp;ESS_DATA[[#This Row],[PORT DESTINATION]],LT_REF[],7,0),14))</f>
        <v>8</v>
      </c>
      <c r="AY150" s="347">
        <f>IFERROR(ESS_DATA[[#This Row],[ODP ETA Port]]+ESS_DATA[[#This Row],[Customs/Leg3 Assumption]],"n/a")</f>
        <v>46318</v>
      </c>
      <c r="AZ150" s="343">
        <f>YEAR(ESS_DATA[[#This Row],[ETA for New Ark update]])</f>
        <v>2026</v>
      </c>
      <c r="BA150" s="343">
        <f>MONTH(ESS_DATA[[#This Row],[ETA for New Ark update]])</f>
        <v>10</v>
      </c>
      <c r="BB150" s="343">
        <f>IFERROR(_xlfn.ISOWEEKNUM(ESS_DATA[[#This Row],[ETA for New Ark update]]),0)</f>
        <v>43</v>
      </c>
      <c r="BC150" s="343" t="str">
        <f>_xlfn.XLOOKUP(ESS_DATA[[#This Row],[PORT DESTINATION]],Table12[PORT DESTINATION],Table12[Cosco Line],,0)</f>
        <v>AEM</v>
      </c>
      <c r="BD150" s="343"/>
    </row>
    <row r="151" spans="1:61" s="350" customFormat="1" ht="10">
      <c r="A151" s="351" t="s">
        <v>8247</v>
      </c>
      <c r="B151" s="340" t="s">
        <v>7814</v>
      </c>
      <c r="C151" s="340" t="str">
        <f>IFERROR(LEFT(ESS_DATA[[#This Row],[TCL REFERENCE]],FIND(".",ESS_DATA[[#This Row],[TCL REFERENCE]],1)-1),"Main Line")</f>
        <v>Main Line</v>
      </c>
      <c r="D151" s="340" t="s">
        <v>63</v>
      </c>
      <c r="E151" s="343" t="s">
        <v>64</v>
      </c>
      <c r="F151" s="343" t="s">
        <v>65</v>
      </c>
      <c r="G151" s="340" t="s">
        <v>402</v>
      </c>
      <c r="H151" s="340" t="s">
        <v>67</v>
      </c>
      <c r="I151" s="343"/>
      <c r="J151" s="340"/>
      <c r="K151" s="340"/>
      <c r="L151" s="341"/>
      <c r="M151" s="342" t="s">
        <v>68</v>
      </c>
      <c r="N151" s="651" t="s">
        <v>7828</v>
      </c>
      <c r="O151" s="651" t="s">
        <v>7829</v>
      </c>
      <c r="P151" s="651" t="s">
        <v>7830</v>
      </c>
      <c r="Q151" s="339"/>
      <c r="R151" s="344">
        <v>27</v>
      </c>
      <c r="S151" s="345"/>
      <c r="T151" s="340"/>
      <c r="U151" s="346">
        <f>ESS_DATA[[#This Row],[QUANTITY]]/224</f>
        <v>0.12053571428571429</v>
      </c>
      <c r="V151" s="612" t="s">
        <v>7854</v>
      </c>
      <c r="W151" s="340" t="s">
        <v>4375</v>
      </c>
      <c r="X151" s="343" t="str">
        <f>IF(AL151&lt;&gt;"","COMPLETED",IF(AI151&lt;&gt;"","IN-TRANSIT",""))</f>
        <v>COMPLETED</v>
      </c>
      <c r="Y151" s="652">
        <v>46245</v>
      </c>
      <c r="Z151" s="347">
        <v>46256</v>
      </c>
      <c r="AA151" s="348">
        <f>WEEKNUM(ESS_DATA[[#This Row],[Pick-Up Date]])</f>
        <v>34</v>
      </c>
      <c r="AB151" s="343" t="s">
        <v>8243</v>
      </c>
      <c r="AC151" s="351"/>
      <c r="AD151" s="340" t="s">
        <v>122</v>
      </c>
      <c r="AE151" s="340" t="s">
        <v>123</v>
      </c>
      <c r="AF151" s="340" t="s">
        <v>78</v>
      </c>
      <c r="AG151" s="347">
        <v>46253</v>
      </c>
      <c r="AH151" s="347">
        <v>46267</v>
      </c>
      <c r="AI151" s="347">
        <v>46267</v>
      </c>
      <c r="AJ151" s="347">
        <v>46302</v>
      </c>
      <c r="AK151" s="347">
        <v>46309</v>
      </c>
      <c r="AL151" s="347">
        <v>46310</v>
      </c>
      <c r="AM151" s="349" t="s">
        <v>402</v>
      </c>
      <c r="AN151" s="347" t="s">
        <v>8244</v>
      </c>
      <c r="AO151" s="347" t="s">
        <v>161</v>
      </c>
      <c r="AP151" s="347" t="s">
        <v>8245</v>
      </c>
      <c r="AQ151" s="340">
        <v>275076509</v>
      </c>
      <c r="AR151" s="340">
        <v>275076509</v>
      </c>
      <c r="AS151" s="340">
        <f>ESS_DATA[[#This Row],[ETA On S/O]]-ESS_DATA[[#This Row],[ETD On S/O]]+1</f>
        <v>50</v>
      </c>
      <c r="AT151" s="340"/>
      <c r="AU151" s="347" cm="1">
        <f t="array" ref="AU15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46310</v>
      </c>
      <c r="AV15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51" s="14">
        <f>IF(ISERROR(ESS_DATA[[#This Row],[New Ark PO status]]),"",_xlfn.XLOOKUP(ESS_DATA[[#This Row],[SPTN-PVHK New Ark PO'#]],New_Ark_Data[Purchase order Number],New_Ark_Data[Estimated time of arrival],"",0))</f>
        <v>46317</v>
      </c>
      <c r="AX151" s="340">
        <f>IF(ESS_DATA[[#This Row],[New Ark PO Type]]="Offshore",0,IFERROR(VLOOKUP(ESS_DATA[[#This Row],[PORT OF LOADING]]&amp;ESS_DATA[[#This Row],[PORT DESTINATION]],LT_REF[],7,0),14))</f>
        <v>8</v>
      </c>
      <c r="AY151" s="347">
        <f>IFERROR(ESS_DATA[[#This Row],[ODP ETA Port]]+ESS_DATA[[#This Row],[Customs/Leg3 Assumption]],"n/a")</f>
        <v>46318</v>
      </c>
      <c r="AZ151" s="343">
        <f>YEAR(ESS_DATA[[#This Row],[ETA for New Ark update]])</f>
        <v>2026</v>
      </c>
      <c r="BA151" s="343">
        <f>MONTH(ESS_DATA[[#This Row],[ETA for New Ark update]])</f>
        <v>10</v>
      </c>
      <c r="BB151" s="343">
        <f>IFERROR(_xlfn.ISOWEEKNUM(ESS_DATA[[#This Row],[ETA for New Ark update]]),0)</f>
        <v>43</v>
      </c>
      <c r="BC151" s="343" t="str">
        <f>_xlfn.XLOOKUP(ESS_DATA[[#This Row],[PORT DESTINATION]],Table12[PORT DESTINATION],Table12[Cosco Line],,0)</f>
        <v>AEM</v>
      </c>
      <c r="BD151" s="343"/>
    </row>
    <row r="152" spans="1:61" s="350" customFormat="1" ht="10">
      <c r="A152" s="351" t="s">
        <v>8248</v>
      </c>
      <c r="B152" s="340" t="s">
        <v>7814</v>
      </c>
      <c r="C152" s="340" t="str">
        <f>IFERROR(LEFT(ESS_DATA[[#This Row],[TCL REFERENCE]],FIND(".",ESS_DATA[[#This Row],[TCL REFERENCE]],1)-1),"Main Line")</f>
        <v>26AUG003</v>
      </c>
      <c r="D152" s="340" t="s">
        <v>63</v>
      </c>
      <c r="E152" s="343" t="s">
        <v>64</v>
      </c>
      <c r="F152" s="343" t="s">
        <v>65</v>
      </c>
      <c r="G152" s="340" t="s">
        <v>402</v>
      </c>
      <c r="H152" s="340" t="s">
        <v>67</v>
      </c>
      <c r="I152" s="343"/>
      <c r="J152" s="340"/>
      <c r="K152" s="340"/>
      <c r="L152" s="341"/>
      <c r="M152" s="342" t="s">
        <v>68</v>
      </c>
      <c r="N152" s="651" t="s">
        <v>7837</v>
      </c>
      <c r="O152" s="651" t="s">
        <v>7829</v>
      </c>
      <c r="P152" s="651" t="s">
        <v>7838</v>
      </c>
      <c r="Q152" s="339"/>
      <c r="R152" s="344">
        <v>65</v>
      </c>
      <c r="S152" s="345"/>
      <c r="T152" s="340"/>
      <c r="U152" s="346">
        <f>ESS_DATA[[#This Row],[QUANTITY]]/224</f>
        <v>0.29017857142857145</v>
      </c>
      <c r="V152" s="612" t="s">
        <v>7854</v>
      </c>
      <c r="W152" s="340" t="s">
        <v>4375</v>
      </c>
      <c r="X152" s="343" t="str">
        <f>IF(AL152&lt;&gt;"","COMPLETED",IF(AI152&lt;&gt;"","IN-TRANSIT",""))</f>
        <v>COMPLETED</v>
      </c>
      <c r="Y152" s="652">
        <v>46245</v>
      </c>
      <c r="Z152" s="347">
        <v>46256</v>
      </c>
      <c r="AA152" s="348">
        <f>WEEKNUM(ESS_DATA[[#This Row],[Pick-Up Date]])</f>
        <v>34</v>
      </c>
      <c r="AB152" s="343" t="s">
        <v>8243</v>
      </c>
      <c r="AC152" s="351"/>
      <c r="AD152" s="340" t="s">
        <v>122</v>
      </c>
      <c r="AE152" s="340" t="s">
        <v>123</v>
      </c>
      <c r="AF152" s="340" t="s">
        <v>78</v>
      </c>
      <c r="AG152" s="347">
        <v>46253</v>
      </c>
      <c r="AH152" s="347">
        <v>46267</v>
      </c>
      <c r="AI152" s="347">
        <v>46267</v>
      </c>
      <c r="AJ152" s="347">
        <v>46302</v>
      </c>
      <c r="AK152" s="347">
        <v>46309</v>
      </c>
      <c r="AL152" s="347">
        <v>46310</v>
      </c>
      <c r="AM152" s="349" t="s">
        <v>402</v>
      </c>
      <c r="AN152" s="347" t="s">
        <v>8244</v>
      </c>
      <c r="AO152" s="347" t="s">
        <v>161</v>
      </c>
      <c r="AP152" s="347" t="s">
        <v>8245</v>
      </c>
      <c r="AQ152" s="340">
        <v>275076509</v>
      </c>
      <c r="AR152" s="340">
        <v>275076509</v>
      </c>
      <c r="AS152" s="340">
        <f>ESS_DATA[[#This Row],[ETA On S/O]]-ESS_DATA[[#This Row],[ETD On S/O]]+1</f>
        <v>50</v>
      </c>
      <c r="AT152" s="340"/>
      <c r="AU152" s="347" cm="1">
        <f t="array" ref="AU15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46310</v>
      </c>
      <c r="AV15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52" s="14">
        <f>IF(ISERROR(ESS_DATA[[#This Row],[New Ark PO status]]),"",_xlfn.XLOOKUP(ESS_DATA[[#This Row],[SPTN-PVHK New Ark PO'#]],New_Ark_Data[Purchase order Number],New_Ark_Data[Estimated time of arrival],"",0))</f>
        <v>46317</v>
      </c>
      <c r="AX152" s="340">
        <f>IF(ESS_DATA[[#This Row],[New Ark PO Type]]="Offshore",0,IFERROR(VLOOKUP(ESS_DATA[[#This Row],[PORT OF LOADING]]&amp;ESS_DATA[[#This Row],[PORT DESTINATION]],LT_REF[],7,0),14))</f>
        <v>8</v>
      </c>
      <c r="AY152" s="347">
        <f>IFERROR(ESS_DATA[[#This Row],[ODP ETA Port]]+ESS_DATA[[#This Row],[Customs/Leg3 Assumption]],"n/a")</f>
        <v>46318</v>
      </c>
      <c r="AZ152" s="343">
        <f>YEAR(ESS_DATA[[#This Row],[ETA for New Ark update]])</f>
        <v>2026</v>
      </c>
      <c r="BA152" s="343">
        <f>MONTH(ESS_DATA[[#This Row],[ETA for New Ark update]])</f>
        <v>10</v>
      </c>
      <c r="BB152" s="343">
        <f>IFERROR(_xlfn.ISOWEEKNUM(ESS_DATA[[#This Row],[ETA for New Ark update]]),0)</f>
        <v>43</v>
      </c>
      <c r="BC152" s="343" t="str">
        <f>_xlfn.XLOOKUP(ESS_DATA[[#This Row],[PORT DESTINATION]],Table12[PORT DESTINATION],Table12[Cosco Line],,0)</f>
        <v>AEM</v>
      </c>
      <c r="BD152" s="343"/>
    </row>
    <row r="153" spans="1:61" s="350" customFormat="1" ht="10">
      <c r="A153" s="351" t="s">
        <v>8249</v>
      </c>
      <c r="B153" s="340" t="s">
        <v>7814</v>
      </c>
      <c r="C153" s="340" t="str">
        <f>IFERROR(LEFT(ESS_DATA[[#This Row],[TCL REFERENCE]],FIND(".",ESS_DATA[[#This Row],[TCL REFERENCE]],1)-1),"Main Line")</f>
        <v>Main Line</v>
      </c>
      <c r="D153" s="340" t="s">
        <v>63</v>
      </c>
      <c r="E153" s="343" t="s">
        <v>64</v>
      </c>
      <c r="F153" s="343" t="s">
        <v>65</v>
      </c>
      <c r="G153" s="340" t="s">
        <v>402</v>
      </c>
      <c r="H153" s="340" t="s">
        <v>67</v>
      </c>
      <c r="I153" s="343"/>
      <c r="J153" s="340"/>
      <c r="K153" s="340"/>
      <c r="L153" s="341"/>
      <c r="M153" s="342" t="s">
        <v>68</v>
      </c>
      <c r="N153" s="651" t="s">
        <v>7837</v>
      </c>
      <c r="O153" s="651" t="s">
        <v>7829</v>
      </c>
      <c r="P153" s="651" t="s">
        <v>7838</v>
      </c>
      <c r="Q153" s="339"/>
      <c r="R153" s="344">
        <v>3</v>
      </c>
      <c r="S153" s="345"/>
      <c r="T153" s="340"/>
      <c r="U153" s="346">
        <f>ESS_DATA[[#This Row],[QUANTITY]]/224</f>
        <v>1.3392857142857142E-2</v>
      </c>
      <c r="V153" s="612" t="s">
        <v>7854</v>
      </c>
      <c r="W153" s="340" t="s">
        <v>4375</v>
      </c>
      <c r="X153" s="343" t="str">
        <f t="shared" si="6"/>
        <v>COMPLETED</v>
      </c>
      <c r="Y153" s="652">
        <v>46245</v>
      </c>
      <c r="Z153" s="347">
        <v>46256</v>
      </c>
      <c r="AA153" s="348">
        <f>WEEKNUM(ESS_DATA[[#This Row],[Pick-Up Date]])</f>
        <v>34</v>
      </c>
      <c r="AB153" s="343" t="s">
        <v>8243</v>
      </c>
      <c r="AC153" s="351"/>
      <c r="AD153" s="340" t="s">
        <v>122</v>
      </c>
      <c r="AE153" s="340" t="s">
        <v>123</v>
      </c>
      <c r="AF153" s="340" t="s">
        <v>78</v>
      </c>
      <c r="AG153" s="347">
        <v>46253</v>
      </c>
      <c r="AH153" s="347">
        <v>46267</v>
      </c>
      <c r="AI153" s="347">
        <v>46267</v>
      </c>
      <c r="AJ153" s="347">
        <v>46302</v>
      </c>
      <c r="AK153" s="347">
        <v>46309</v>
      </c>
      <c r="AL153" s="347">
        <v>46310</v>
      </c>
      <c r="AM153" s="349" t="s">
        <v>402</v>
      </c>
      <c r="AN153" s="347" t="s">
        <v>8244</v>
      </c>
      <c r="AO153" s="347" t="s">
        <v>161</v>
      </c>
      <c r="AP153" s="347" t="s">
        <v>8245</v>
      </c>
      <c r="AQ153" s="340">
        <v>275076509</v>
      </c>
      <c r="AR153" s="340">
        <v>275076509</v>
      </c>
      <c r="AS153" s="340">
        <f>ESS_DATA[[#This Row],[ETA On S/O]]-ESS_DATA[[#This Row],[ETD On S/O]]+1</f>
        <v>50</v>
      </c>
      <c r="AT153" s="340"/>
      <c r="AU153" s="347" cm="1">
        <f t="array" ref="AU15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46310</v>
      </c>
      <c r="AV15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53" s="14">
        <f>IF(ISERROR(ESS_DATA[[#This Row],[New Ark PO status]]),"",_xlfn.XLOOKUP(ESS_DATA[[#This Row],[SPTN-PVHK New Ark PO'#]],New_Ark_Data[Purchase order Number],New_Ark_Data[Estimated time of arrival],"",0))</f>
        <v>46317</v>
      </c>
      <c r="AX153" s="340">
        <f>IF(ESS_DATA[[#This Row],[New Ark PO Type]]="Offshore",0,IFERROR(VLOOKUP(ESS_DATA[[#This Row],[PORT OF LOADING]]&amp;ESS_DATA[[#This Row],[PORT DESTINATION]],LT_REF[],7,0),14))</f>
        <v>8</v>
      </c>
      <c r="AY153" s="347">
        <f>IFERROR(ESS_DATA[[#This Row],[ODP ETA Port]]+ESS_DATA[[#This Row],[Customs/Leg3 Assumption]],"n/a")</f>
        <v>46318</v>
      </c>
      <c r="AZ153" s="343">
        <f>YEAR(ESS_DATA[[#This Row],[ETA for New Ark update]])</f>
        <v>2026</v>
      </c>
      <c r="BA153" s="343">
        <f>MONTH(ESS_DATA[[#This Row],[ETA for New Ark update]])</f>
        <v>10</v>
      </c>
      <c r="BB153" s="343">
        <f>IFERROR(_xlfn.ISOWEEKNUM(ESS_DATA[[#This Row],[ETA for New Ark update]]),0)</f>
        <v>43</v>
      </c>
      <c r="BC153" s="343" t="str">
        <f>_xlfn.XLOOKUP(ESS_DATA[[#This Row],[PORT DESTINATION]],Table12[PORT DESTINATION],Table12[Cosco Line],,0)</f>
        <v>AEM</v>
      </c>
      <c r="BD153" s="343"/>
    </row>
    <row r="154" spans="1:61" s="350" customFormat="1" ht="10">
      <c r="A154" s="351" t="s">
        <v>8250</v>
      </c>
      <c r="B154" s="340" t="s">
        <v>7814</v>
      </c>
      <c r="C154" s="340" t="str">
        <f>IFERROR(LEFT(ESS_DATA[[#This Row],[TCL REFERENCE]],FIND(".",ESS_DATA[[#This Row],[TCL REFERENCE]],1)-1),"Main Line")</f>
        <v>26AUG004</v>
      </c>
      <c r="D154" s="340" t="s">
        <v>63</v>
      </c>
      <c r="E154" s="343" t="s">
        <v>64</v>
      </c>
      <c r="F154" s="343" t="s">
        <v>65</v>
      </c>
      <c r="G154" s="340" t="s">
        <v>402</v>
      </c>
      <c r="H154" s="340" t="s">
        <v>67</v>
      </c>
      <c r="I154" s="343"/>
      <c r="J154" s="340"/>
      <c r="K154" s="340"/>
      <c r="L154" s="341"/>
      <c r="M154" s="342" t="s">
        <v>68</v>
      </c>
      <c r="N154" s="651" t="s">
        <v>7840</v>
      </c>
      <c r="O154" s="651" t="s">
        <v>8037</v>
      </c>
      <c r="P154" s="651" t="s">
        <v>7842</v>
      </c>
      <c r="Q154" s="339"/>
      <c r="R154" s="653">
        <v>100</v>
      </c>
      <c r="S154" s="345"/>
      <c r="T154" s="340"/>
      <c r="U154" s="346">
        <f>ESS_DATA[[#This Row],[QUANTITY]]/350</f>
        <v>0.2857142857142857</v>
      </c>
      <c r="V154" s="612" t="s">
        <v>7854</v>
      </c>
      <c r="W154" s="340" t="s">
        <v>4375</v>
      </c>
      <c r="X154" s="343" t="str">
        <f t="shared" si="6"/>
        <v>COMPLETED</v>
      </c>
      <c r="Y154" s="652">
        <v>46245</v>
      </c>
      <c r="Z154" s="347">
        <v>46256</v>
      </c>
      <c r="AA154" s="348">
        <f>WEEKNUM(ESS_DATA[[#This Row],[Pick-Up Date]])</f>
        <v>34</v>
      </c>
      <c r="AB154" s="343" t="s">
        <v>8243</v>
      </c>
      <c r="AC154" s="351"/>
      <c r="AD154" s="340" t="s">
        <v>122</v>
      </c>
      <c r="AE154" s="340" t="s">
        <v>123</v>
      </c>
      <c r="AF154" s="340" t="s">
        <v>78</v>
      </c>
      <c r="AG154" s="347">
        <v>46253</v>
      </c>
      <c r="AH154" s="347">
        <v>46267</v>
      </c>
      <c r="AI154" s="347">
        <v>46267</v>
      </c>
      <c r="AJ154" s="347">
        <v>46302</v>
      </c>
      <c r="AK154" s="347">
        <v>46309</v>
      </c>
      <c r="AL154" s="347">
        <v>46310</v>
      </c>
      <c r="AM154" s="349" t="s">
        <v>402</v>
      </c>
      <c r="AN154" s="347" t="s">
        <v>8244</v>
      </c>
      <c r="AO154" s="347" t="s">
        <v>161</v>
      </c>
      <c r="AP154" s="347" t="s">
        <v>8245</v>
      </c>
      <c r="AQ154" s="340">
        <v>275076509</v>
      </c>
      <c r="AR154" s="340">
        <v>275076509</v>
      </c>
      <c r="AS154" s="340">
        <f>ESS_DATA[[#This Row],[ETA On S/O]]-ESS_DATA[[#This Row],[ETD On S/O]]+1</f>
        <v>50</v>
      </c>
      <c r="AT154" s="340"/>
      <c r="AU154" s="347" cm="1">
        <f t="array" ref="AU15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46310</v>
      </c>
      <c r="AV15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54" s="14">
        <f>IF(ISERROR(ESS_DATA[[#This Row],[New Ark PO status]]),"",_xlfn.XLOOKUP(ESS_DATA[[#This Row],[SPTN-PVHK New Ark PO'#]],New_Ark_Data[Purchase order Number],New_Ark_Data[Estimated time of arrival],"",0))</f>
        <v>46317</v>
      </c>
      <c r="AX154" s="340">
        <f>IF(ESS_DATA[[#This Row],[New Ark PO Type]]="Offshore",0,IFERROR(VLOOKUP(ESS_DATA[[#This Row],[PORT OF LOADING]]&amp;ESS_DATA[[#This Row],[PORT DESTINATION]],LT_REF[],7,0),14))</f>
        <v>8</v>
      </c>
      <c r="AY154" s="347">
        <f>IFERROR(ESS_DATA[[#This Row],[ODP ETA Port]]+ESS_DATA[[#This Row],[Customs/Leg3 Assumption]],"n/a")</f>
        <v>46318</v>
      </c>
      <c r="AZ154" s="343">
        <f>YEAR(ESS_DATA[[#This Row],[ETA for New Ark update]])</f>
        <v>2026</v>
      </c>
      <c r="BA154" s="343">
        <f>MONTH(ESS_DATA[[#This Row],[ETA for New Ark update]])</f>
        <v>10</v>
      </c>
      <c r="BB154" s="343">
        <f>IFERROR(_xlfn.ISOWEEKNUM(ESS_DATA[[#This Row],[ETA for New Ark update]]),0)</f>
        <v>43</v>
      </c>
      <c r="BC154" s="343" t="str">
        <f>_xlfn.XLOOKUP(ESS_DATA[[#This Row],[PORT DESTINATION]],Table12[PORT DESTINATION],Table12[Cosco Line],,0)</f>
        <v>AEM</v>
      </c>
      <c r="BD154" s="343"/>
    </row>
    <row r="155" spans="1:61" s="350" customFormat="1" ht="10">
      <c r="A155" s="351" t="s">
        <v>8251</v>
      </c>
      <c r="B155" s="340" t="s">
        <v>7814</v>
      </c>
      <c r="C155" s="340" t="str">
        <f>IFERROR(LEFT(ESS_DATA[[#This Row],[TCL REFERENCE]],FIND(".",ESS_DATA[[#This Row],[TCL REFERENCE]],1)-1),"Main Line")</f>
        <v>Main Line</v>
      </c>
      <c r="D155" s="340" t="s">
        <v>63</v>
      </c>
      <c r="E155" s="343" t="s">
        <v>64</v>
      </c>
      <c r="F155" s="343" t="s">
        <v>65</v>
      </c>
      <c r="G155" s="340" t="s">
        <v>402</v>
      </c>
      <c r="H155" s="340" t="s">
        <v>67</v>
      </c>
      <c r="I155" s="343"/>
      <c r="J155" s="340"/>
      <c r="K155" s="340"/>
      <c r="L155" s="341"/>
      <c r="M155" s="342" t="s">
        <v>68</v>
      </c>
      <c r="N155" s="651" t="s">
        <v>7840</v>
      </c>
      <c r="O155" s="651" t="s">
        <v>8037</v>
      </c>
      <c r="P155" s="651" t="s">
        <v>7842</v>
      </c>
      <c r="Q155" s="339"/>
      <c r="R155" s="653">
        <v>30</v>
      </c>
      <c r="S155" s="345"/>
      <c r="T155" s="340"/>
      <c r="U155" s="346">
        <f>ESS_DATA[[#This Row],[QUANTITY]]/350</f>
        <v>8.5714285714285715E-2</v>
      </c>
      <c r="V155" s="612" t="s">
        <v>7854</v>
      </c>
      <c r="W155" s="340" t="s">
        <v>4375</v>
      </c>
      <c r="X155" s="343" t="str">
        <f t="shared" si="6"/>
        <v>COMPLETED</v>
      </c>
      <c r="Y155" s="652">
        <v>46245</v>
      </c>
      <c r="Z155" s="347">
        <v>46256</v>
      </c>
      <c r="AA155" s="348">
        <f>WEEKNUM(ESS_DATA[[#This Row],[Pick-Up Date]])</f>
        <v>34</v>
      </c>
      <c r="AB155" s="343" t="s">
        <v>8243</v>
      </c>
      <c r="AC155" s="351"/>
      <c r="AD155" s="340" t="s">
        <v>122</v>
      </c>
      <c r="AE155" s="340" t="s">
        <v>123</v>
      </c>
      <c r="AF155" s="340" t="s">
        <v>78</v>
      </c>
      <c r="AG155" s="347">
        <v>46253</v>
      </c>
      <c r="AH155" s="347">
        <v>46267</v>
      </c>
      <c r="AI155" s="347">
        <v>46267</v>
      </c>
      <c r="AJ155" s="347">
        <v>46302</v>
      </c>
      <c r="AK155" s="347">
        <v>46309</v>
      </c>
      <c r="AL155" s="347">
        <v>46310</v>
      </c>
      <c r="AM155" s="349" t="s">
        <v>402</v>
      </c>
      <c r="AN155" s="347" t="s">
        <v>8244</v>
      </c>
      <c r="AO155" s="347" t="s">
        <v>161</v>
      </c>
      <c r="AP155" s="347" t="s">
        <v>8245</v>
      </c>
      <c r="AQ155" s="340">
        <v>275076509</v>
      </c>
      <c r="AR155" s="340">
        <v>275076509</v>
      </c>
      <c r="AS155" s="340">
        <f>ESS_DATA[[#This Row],[ETA On S/O]]-ESS_DATA[[#This Row],[ETD On S/O]]+1</f>
        <v>50</v>
      </c>
      <c r="AT155" s="340"/>
      <c r="AU155" s="347" cm="1">
        <f t="array" ref="AU15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46310</v>
      </c>
      <c r="AV15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55" s="14">
        <f>IF(ISERROR(ESS_DATA[[#This Row],[New Ark PO status]]),"",_xlfn.XLOOKUP(ESS_DATA[[#This Row],[SPTN-PVHK New Ark PO'#]],New_Ark_Data[Purchase order Number],New_Ark_Data[Estimated time of arrival],"",0))</f>
        <v>46317</v>
      </c>
      <c r="AX155" s="340">
        <f>IF(ESS_DATA[[#This Row],[New Ark PO Type]]="Offshore",0,IFERROR(VLOOKUP(ESS_DATA[[#This Row],[PORT OF LOADING]]&amp;ESS_DATA[[#This Row],[PORT DESTINATION]],LT_REF[],7,0),14))</f>
        <v>8</v>
      </c>
      <c r="AY155" s="347">
        <f>IFERROR(ESS_DATA[[#This Row],[ODP ETA Port]]+ESS_DATA[[#This Row],[Customs/Leg3 Assumption]],"n/a")</f>
        <v>46318</v>
      </c>
      <c r="AZ155" s="343">
        <f>YEAR(ESS_DATA[[#This Row],[ETA for New Ark update]])</f>
        <v>2026</v>
      </c>
      <c r="BA155" s="343">
        <f>MONTH(ESS_DATA[[#This Row],[ETA for New Ark update]])</f>
        <v>10</v>
      </c>
      <c r="BB155" s="343">
        <f>IFERROR(_xlfn.ISOWEEKNUM(ESS_DATA[[#This Row],[ETA for New Ark update]]),0)</f>
        <v>43</v>
      </c>
      <c r="BC155" s="343" t="str">
        <f>_xlfn.XLOOKUP(ESS_DATA[[#This Row],[PORT DESTINATION]],Table12[PORT DESTINATION],Table12[Cosco Line],,0)</f>
        <v>AEM</v>
      </c>
      <c r="BD155" s="343"/>
    </row>
    <row r="156" spans="1:61" s="350" customFormat="1" ht="10">
      <c r="A156" s="351" t="s">
        <v>8252</v>
      </c>
      <c r="B156" s="340" t="s">
        <v>7814</v>
      </c>
      <c r="C156" s="340" t="str">
        <f>IFERROR(LEFT(ESS_DATA[[#This Row],[TCL REFERENCE]],FIND(".",ESS_DATA[[#This Row],[TCL REFERENCE]],1)-1),"Main Line")</f>
        <v>Main Line</v>
      </c>
      <c r="D156" s="340" t="s">
        <v>63</v>
      </c>
      <c r="E156" s="652" t="s">
        <v>64</v>
      </c>
      <c r="F156" s="651" t="s">
        <v>65</v>
      </c>
      <c r="G156" s="340" t="s">
        <v>402</v>
      </c>
      <c r="H156" s="651" t="s">
        <v>67</v>
      </c>
      <c r="I156" s="344"/>
      <c r="J156" s="340"/>
      <c r="K156" s="340"/>
      <c r="L156" s="341"/>
      <c r="M156" s="342"/>
      <c r="N156" s="654" t="s">
        <v>7816</v>
      </c>
      <c r="O156" s="651" t="s">
        <v>7986</v>
      </c>
      <c r="P156" s="654" t="s">
        <v>7818</v>
      </c>
      <c r="Q156" s="339"/>
      <c r="R156" s="344">
        <v>180</v>
      </c>
      <c r="S156" s="345"/>
      <c r="T156" s="340"/>
      <c r="U156" s="346">
        <v>0.05</v>
      </c>
      <c r="V156" s="612" t="s">
        <v>7854</v>
      </c>
      <c r="W156" s="340" t="s">
        <v>4375</v>
      </c>
      <c r="X156" s="343" t="str">
        <f t="shared" si="6"/>
        <v>COMPLETED</v>
      </c>
      <c r="Y156" s="652">
        <v>46245</v>
      </c>
      <c r="Z156" s="347">
        <v>46256</v>
      </c>
      <c r="AA156" s="348">
        <f>WEEKNUM(ESS_DATA[[#This Row],[Pick-Up Date]])</f>
        <v>34</v>
      </c>
      <c r="AB156" s="343" t="s">
        <v>8243</v>
      </c>
      <c r="AC156" s="351"/>
      <c r="AD156" s="340" t="s">
        <v>122</v>
      </c>
      <c r="AE156" s="340" t="s">
        <v>123</v>
      </c>
      <c r="AF156" s="340" t="s">
        <v>78</v>
      </c>
      <c r="AG156" s="347">
        <v>46253</v>
      </c>
      <c r="AH156" s="347">
        <v>46267</v>
      </c>
      <c r="AI156" s="347">
        <v>46267</v>
      </c>
      <c r="AJ156" s="347">
        <v>46302</v>
      </c>
      <c r="AK156" s="347">
        <v>46309</v>
      </c>
      <c r="AL156" s="347">
        <v>46310</v>
      </c>
      <c r="AM156" s="349" t="s">
        <v>402</v>
      </c>
      <c r="AN156" s="347" t="s">
        <v>8244</v>
      </c>
      <c r="AO156" s="347" t="s">
        <v>161</v>
      </c>
      <c r="AP156" s="347" t="s">
        <v>8245</v>
      </c>
      <c r="AQ156" s="340">
        <v>275076509</v>
      </c>
      <c r="AR156" s="340">
        <v>275076509</v>
      </c>
      <c r="AS156" s="340">
        <f>ESS_DATA[[#This Row],[ETA On S/O]]-ESS_DATA[[#This Row],[ETD On S/O]]+1</f>
        <v>50</v>
      </c>
      <c r="AT156" s="340"/>
      <c r="AU156" s="347" cm="1">
        <f t="array" ref="AU15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46310</v>
      </c>
      <c r="AV15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56" s="14">
        <f>IF(ISERROR(ESS_DATA[[#This Row],[New Ark PO status]]),"",_xlfn.XLOOKUP(ESS_DATA[[#This Row],[SPTN-PVHK New Ark PO'#]],New_Ark_Data[Purchase order Number],New_Ark_Data[Estimated time of arrival],"",0))</f>
        <v>46317</v>
      </c>
      <c r="AX156" s="340">
        <f>IF(ESS_DATA[[#This Row],[New Ark PO Type]]="Offshore",0,IFERROR(VLOOKUP(ESS_DATA[[#This Row],[PORT OF LOADING]]&amp;ESS_DATA[[#This Row],[PORT DESTINATION]],LT_REF[],7,0),14))</f>
        <v>8</v>
      </c>
      <c r="AY156" s="347">
        <f>IFERROR(ESS_DATA[[#This Row],[ODP ETA Port]]+ESS_DATA[[#This Row],[Customs/Leg3 Assumption]],"n/a")</f>
        <v>46318</v>
      </c>
      <c r="AZ156" s="343">
        <f>YEAR(ESS_DATA[[#This Row],[ETA for New Ark update]])</f>
        <v>2026</v>
      </c>
      <c r="BA156" s="343">
        <f>MONTH(ESS_DATA[[#This Row],[ETA for New Ark update]])</f>
        <v>10</v>
      </c>
      <c r="BB156" s="343">
        <f>IFERROR(_xlfn.ISOWEEKNUM(ESS_DATA[[#This Row],[ETA for New Ark update]]),0)</f>
        <v>43</v>
      </c>
      <c r="BC156" s="343" t="str">
        <f>_xlfn.XLOOKUP(ESS_DATA[[#This Row],[PORT DESTINATION]],Table12[PORT DESTINATION],Table12[Cosco Line],,0)</f>
        <v>AEM</v>
      </c>
      <c r="BD156" s="343"/>
    </row>
    <row r="157" spans="1:61" s="350" customFormat="1" ht="10">
      <c r="A157" s="351" t="s">
        <v>8253</v>
      </c>
      <c r="B157" s="340" t="s">
        <v>7814</v>
      </c>
      <c r="C157" s="340" t="str">
        <f>IFERROR(LEFT(ESS_DATA[[#This Row],[TCL REFERENCE]],FIND(".",ESS_DATA[[#This Row],[TCL REFERENCE]],1)-1),"Main Line")</f>
        <v>26AUG002</v>
      </c>
      <c r="D157" s="340" t="s">
        <v>63</v>
      </c>
      <c r="E157" s="343" t="s">
        <v>64</v>
      </c>
      <c r="F157" s="343" t="s">
        <v>65</v>
      </c>
      <c r="G157" s="340" t="s">
        <v>402</v>
      </c>
      <c r="H157" s="340" t="s">
        <v>67</v>
      </c>
      <c r="I157" s="343"/>
      <c r="J157" s="340"/>
      <c r="K157" s="340"/>
      <c r="L157" s="341"/>
      <c r="M157" s="342" t="s">
        <v>68</v>
      </c>
      <c r="N157" s="651" t="s">
        <v>7828</v>
      </c>
      <c r="O157" s="651" t="s">
        <v>7829</v>
      </c>
      <c r="P157" s="651" t="s">
        <v>7830</v>
      </c>
      <c r="Q157" s="339"/>
      <c r="R157" s="344">
        <v>130</v>
      </c>
      <c r="S157" s="345"/>
      <c r="T157" s="340"/>
      <c r="U157" s="346">
        <f>ESS_DATA[[#This Row],[QUANTITY]]/260</f>
        <v>0.5</v>
      </c>
      <c r="V157" s="612" t="s">
        <v>7864</v>
      </c>
      <c r="W157" s="340" t="s">
        <v>4376</v>
      </c>
      <c r="X157" s="343" t="str">
        <f t="shared" si="6"/>
        <v>COMPLETED</v>
      </c>
      <c r="Y157" s="652">
        <v>46251</v>
      </c>
      <c r="Z157" s="347">
        <v>46256</v>
      </c>
      <c r="AA157" s="348">
        <f>WEEKNUM(ESS_DATA[[#This Row],[Pick-Up Date]])</f>
        <v>34</v>
      </c>
      <c r="AB157" s="343" t="s">
        <v>8243</v>
      </c>
      <c r="AC157" s="351"/>
      <c r="AD157" s="340" t="s">
        <v>122</v>
      </c>
      <c r="AE157" s="340" t="s">
        <v>123</v>
      </c>
      <c r="AF157" s="340" t="s">
        <v>78</v>
      </c>
      <c r="AG157" s="347">
        <v>46253</v>
      </c>
      <c r="AH157" s="347">
        <v>46267</v>
      </c>
      <c r="AI157" s="347">
        <v>46267</v>
      </c>
      <c r="AJ157" s="347">
        <v>46302</v>
      </c>
      <c r="AK157" s="347">
        <v>46309</v>
      </c>
      <c r="AL157" s="347">
        <v>46310</v>
      </c>
      <c r="AM157" s="349" t="s">
        <v>402</v>
      </c>
      <c r="AN157" s="347" t="s">
        <v>8244</v>
      </c>
      <c r="AO157" s="347" t="s">
        <v>161</v>
      </c>
      <c r="AP157" s="347" t="s">
        <v>8245</v>
      </c>
      <c r="AQ157" s="340">
        <v>275076509</v>
      </c>
      <c r="AR157" s="340">
        <v>275076509</v>
      </c>
      <c r="AS157" s="340">
        <f>ESS_DATA[[#This Row],[ETA On S/O]]-ESS_DATA[[#This Row],[ETD On S/O]]+1</f>
        <v>50</v>
      </c>
      <c r="AT157" s="340"/>
      <c r="AU157" s="347" cm="1">
        <f t="array" ref="AU15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46310</v>
      </c>
      <c r="AV15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57" s="14">
        <f>IF(ISERROR(ESS_DATA[[#This Row],[New Ark PO status]]),"",_xlfn.XLOOKUP(ESS_DATA[[#This Row],[SPTN-PVHK New Ark PO'#]],New_Ark_Data[Purchase order Number],New_Ark_Data[Estimated time of arrival],"",0))</f>
        <v>46317</v>
      </c>
      <c r="AX157" s="340">
        <f>IF(ESS_DATA[[#This Row],[New Ark PO Type]]="Offshore",0,IFERROR(VLOOKUP(ESS_DATA[[#This Row],[PORT OF LOADING]]&amp;ESS_DATA[[#This Row],[PORT DESTINATION]],LT_REF[],7,0),14))</f>
        <v>8</v>
      </c>
      <c r="AY157" s="347">
        <f>IFERROR(ESS_DATA[[#This Row],[ODP ETA Port]]+ESS_DATA[[#This Row],[Customs/Leg3 Assumption]],"n/a")</f>
        <v>46318</v>
      </c>
      <c r="AZ157" s="343">
        <f>YEAR(ESS_DATA[[#This Row],[ETA for New Ark update]])</f>
        <v>2026</v>
      </c>
      <c r="BA157" s="343">
        <f>MONTH(ESS_DATA[[#This Row],[ETA for New Ark update]])</f>
        <v>10</v>
      </c>
      <c r="BB157" s="343">
        <f>IFERROR(_xlfn.ISOWEEKNUM(ESS_DATA[[#This Row],[ETA for New Ark update]]),0)</f>
        <v>43</v>
      </c>
      <c r="BC157" s="343" t="str">
        <f>_xlfn.XLOOKUP(ESS_DATA[[#This Row],[PORT DESTINATION]],Table12[PORT DESTINATION],Table12[Cosco Line],,0)</f>
        <v>AEM</v>
      </c>
      <c r="BD157" s="343"/>
    </row>
    <row r="158" spans="1:61" s="350" customFormat="1" ht="10">
      <c r="A158" s="351" t="s">
        <v>8254</v>
      </c>
      <c r="B158" s="340" t="s">
        <v>7814</v>
      </c>
      <c r="C158" s="340" t="str">
        <f>IFERROR(LEFT(ESS_DATA[[#This Row],[TCL REFERENCE]],FIND(".",ESS_DATA[[#This Row],[TCL REFERENCE]],1)-1),"Main Line")</f>
        <v>26AUG004</v>
      </c>
      <c r="D158" s="340" t="s">
        <v>63</v>
      </c>
      <c r="E158" s="343" t="s">
        <v>64</v>
      </c>
      <c r="F158" s="343" t="s">
        <v>65</v>
      </c>
      <c r="G158" s="340" t="s">
        <v>402</v>
      </c>
      <c r="H158" s="340" t="s">
        <v>67</v>
      </c>
      <c r="I158" s="343"/>
      <c r="J158" s="340"/>
      <c r="K158" s="340"/>
      <c r="L158" s="341"/>
      <c r="M158" s="342" t="s">
        <v>68</v>
      </c>
      <c r="N158" s="651" t="s">
        <v>7840</v>
      </c>
      <c r="O158" s="651" t="s">
        <v>8037</v>
      </c>
      <c r="P158" s="651" t="s">
        <v>7842</v>
      </c>
      <c r="Q158" s="339"/>
      <c r="R158" s="344">
        <v>130</v>
      </c>
      <c r="S158" s="345"/>
      <c r="T158" s="340"/>
      <c r="U158" s="346">
        <f>ESS_DATA[[#This Row],[QUANTITY]]/260</f>
        <v>0.5</v>
      </c>
      <c r="V158" s="612" t="s">
        <v>7864</v>
      </c>
      <c r="W158" s="340" t="s">
        <v>4376</v>
      </c>
      <c r="X158" s="343" t="str">
        <f t="shared" si="6"/>
        <v>COMPLETED</v>
      </c>
      <c r="Y158" s="652">
        <v>46251</v>
      </c>
      <c r="Z158" s="347">
        <v>46256</v>
      </c>
      <c r="AA158" s="348">
        <f>WEEKNUM(ESS_DATA[[#This Row],[Pick-Up Date]])</f>
        <v>34</v>
      </c>
      <c r="AB158" s="343" t="s">
        <v>8243</v>
      </c>
      <c r="AC158" s="351"/>
      <c r="AD158" s="340" t="s">
        <v>122</v>
      </c>
      <c r="AE158" s="340" t="s">
        <v>123</v>
      </c>
      <c r="AF158" s="340" t="s">
        <v>78</v>
      </c>
      <c r="AG158" s="347">
        <v>46253</v>
      </c>
      <c r="AH158" s="347">
        <v>46267</v>
      </c>
      <c r="AI158" s="347">
        <v>46267</v>
      </c>
      <c r="AJ158" s="347">
        <v>46302</v>
      </c>
      <c r="AK158" s="347">
        <v>46309</v>
      </c>
      <c r="AL158" s="347">
        <v>46310</v>
      </c>
      <c r="AM158" s="349" t="s">
        <v>402</v>
      </c>
      <c r="AN158" s="347" t="s">
        <v>8244</v>
      </c>
      <c r="AO158" s="347" t="s">
        <v>161</v>
      </c>
      <c r="AP158" s="347" t="s">
        <v>8245</v>
      </c>
      <c r="AQ158" s="340">
        <v>275076509</v>
      </c>
      <c r="AR158" s="340">
        <v>275076509</v>
      </c>
      <c r="AS158" s="340">
        <f>ESS_DATA[[#This Row],[ETA On S/O]]-ESS_DATA[[#This Row],[ETD On S/O]]+1</f>
        <v>50</v>
      </c>
      <c r="AT158" s="340"/>
      <c r="AU158" s="347" cm="1">
        <f t="array" ref="AU15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Row],[POL]]&amp;ESS_DATA[[#This Row],[PORT DESTINATION]],LT_REF[],5,0),TRUE,date_end_horizon),0)</f>
        <v>46310</v>
      </c>
      <c r="AV15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58" s="14">
        <f>IF(ISERROR(ESS_DATA[[#This Row],[New Ark PO status]]),"",_xlfn.XLOOKUP(ESS_DATA[[#This Row],[SPTN-PVHK New Ark PO'#]],New_Ark_Data[Purchase order Number],New_Ark_Data[Estimated time of arrival],"",0))</f>
        <v>46317</v>
      </c>
      <c r="AX158" s="340">
        <f>IF(ESS_DATA[[#This Row],[New Ark PO Type]]="Offshore",0,IFERROR(VLOOKUP(ESS_DATA[[#This Row],[PORT OF LOADING]]&amp;ESS_DATA[[#This Row],[PORT DESTINATION]],LT_REF[],7,0),14))</f>
        <v>8</v>
      </c>
      <c r="AY158" s="347">
        <f>IFERROR(ESS_DATA[[#This Row],[ODP ETA Port]]+ESS_DATA[[#This Row],[Customs/Leg3 Assumption]],"n/a")</f>
        <v>46318</v>
      </c>
      <c r="AZ158" s="343">
        <f>YEAR(ESS_DATA[[#This Row],[ETA for New Ark update]])</f>
        <v>2026</v>
      </c>
      <c r="BA158" s="343">
        <f>MONTH(ESS_DATA[[#This Row],[ETA for New Ark update]])</f>
        <v>10</v>
      </c>
      <c r="BB158" s="343">
        <f>IFERROR(_xlfn.ISOWEEKNUM(ESS_DATA[[#This Row],[ETA for New Ark update]]),0)</f>
        <v>43</v>
      </c>
      <c r="BC158" s="343" t="str">
        <f>_xlfn.XLOOKUP(ESS_DATA[[#This Row],[PORT DESTINATION]],Table12[PORT DESTINATION],Table12[Cosco Line],,0)</f>
        <v>AEM</v>
      </c>
      <c r="BD158" s="343"/>
    </row>
    <row r="159" spans="1:61" s="350" customFormat="1" ht="10">
      <c r="A159" s="351" t="s">
        <v>8255</v>
      </c>
      <c r="B159" s="340" t="s">
        <v>7814</v>
      </c>
      <c r="C159" s="340" t="str">
        <f>IFERROR(LEFT(ESS_DATA[[#This Row],[TCL REFERENCE]],FIND(".",ESS_DATA[[#This Row],[TCL REFERENCE]],1)-1),"Main Line")</f>
        <v>Main Line</v>
      </c>
      <c r="D159" s="340" t="s">
        <v>63</v>
      </c>
      <c r="E159" s="343" t="s">
        <v>64</v>
      </c>
      <c r="F159" s="343" t="s">
        <v>65</v>
      </c>
      <c r="G159" s="340" t="s">
        <v>402</v>
      </c>
      <c r="H159" s="340" t="s">
        <v>67</v>
      </c>
      <c r="I159" s="343"/>
      <c r="J159" s="340"/>
      <c r="K159" s="340"/>
      <c r="L159" s="341"/>
      <c r="M159" s="342"/>
      <c r="N159" s="339" t="s">
        <v>7824</v>
      </c>
      <c r="O159" s="340" t="s">
        <v>8093</v>
      </c>
      <c r="P159" s="666" t="s">
        <v>7826</v>
      </c>
      <c r="Q159" s="339"/>
      <c r="R159" s="653">
        <v>108</v>
      </c>
      <c r="S159" s="345"/>
      <c r="T159" s="340"/>
      <c r="U159" s="346"/>
      <c r="V159" s="612" t="s">
        <v>7864</v>
      </c>
      <c r="W159" s="340" t="s">
        <v>4376</v>
      </c>
      <c r="X159" s="343" t="str">
        <f t="shared" si="6"/>
        <v>COMPLETED</v>
      </c>
      <c r="Y159" s="652">
        <v>46251</v>
      </c>
      <c r="Z159" s="347">
        <v>46256</v>
      </c>
      <c r="AA159" s="348">
        <f>WEEKNUM(ESS_DATA[[#This Row],[Pick-Up Date]])</f>
        <v>34</v>
      </c>
      <c r="AB159" s="343" t="s">
        <v>8243</v>
      </c>
      <c r="AC159" s="351"/>
      <c r="AD159" s="340" t="s">
        <v>122</v>
      </c>
      <c r="AE159" s="340" t="s">
        <v>123</v>
      </c>
      <c r="AF159" s="340" t="s">
        <v>78</v>
      </c>
      <c r="AG159" s="347">
        <v>46253</v>
      </c>
      <c r="AH159" s="347">
        <v>46267</v>
      </c>
      <c r="AI159" s="347">
        <v>46267</v>
      </c>
      <c r="AJ159" s="347">
        <v>46302</v>
      </c>
      <c r="AK159" s="347">
        <v>46309</v>
      </c>
      <c r="AL159" s="347">
        <v>46310</v>
      </c>
      <c r="AM159" s="349" t="s">
        <v>402</v>
      </c>
      <c r="AN159" s="347" t="s">
        <v>8244</v>
      </c>
      <c r="AO159" s="347" t="s">
        <v>161</v>
      </c>
      <c r="AP159" s="347" t="s">
        <v>8245</v>
      </c>
      <c r="AQ159" s="340">
        <v>275076509</v>
      </c>
      <c r="AR159" s="340">
        <v>275076509</v>
      </c>
      <c r="AS159" s="340">
        <f>ESS_DATA[[#This Row],[ETA On S/O]]-ESS_DATA[[#This Row],[ETD On S/O]]+1</f>
        <v>50</v>
      </c>
      <c r="AT159" s="340"/>
      <c r="AU159" s="347" cm="1">
        <f t="array" ref="AU15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46310</v>
      </c>
      <c r="AV15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59" s="14">
        <f>IF(ISERROR(ESS_DATA[[#This Row],[New Ark PO status]]),"",_xlfn.XLOOKUP(ESS_DATA[[#This Row],[SPTN-PVHK New Ark PO'#]],New_Ark_Data[Purchase order Number],New_Ark_Data[Estimated time of arrival],"",0))</f>
        <v>46317</v>
      </c>
      <c r="AX159" s="340">
        <f>IF(ESS_DATA[[#This Row],[New Ark PO Type]]="Offshore",0,IFERROR(VLOOKUP(ESS_DATA[[#This Row],[PORT OF LOADING]]&amp;ESS_DATA[[#This Row],[PORT DESTINATION]],LT_REF[],7,0),14))</f>
        <v>8</v>
      </c>
      <c r="AY159" s="347">
        <f>IFERROR(ESS_DATA[[#This Row],[ODP ETA Port]]+ESS_DATA[[#This Row],[Customs/Leg3 Assumption]],"n/a")</f>
        <v>46318</v>
      </c>
      <c r="AZ159" s="343">
        <f>YEAR(ESS_DATA[[#This Row],[ETA for New Ark update]])</f>
        <v>2026</v>
      </c>
      <c r="BA159" s="343">
        <f>MONTH(ESS_DATA[[#This Row],[ETA for New Ark update]])</f>
        <v>10</v>
      </c>
      <c r="BB159" s="343">
        <f>IFERROR(_xlfn.ISOWEEKNUM(ESS_DATA[[#This Row],[ETA for New Ark update]]),0)</f>
        <v>43</v>
      </c>
      <c r="BC159" s="343" t="str">
        <f>_xlfn.XLOOKUP(ESS_DATA[[#This Row],[PORT DESTINATION]],Table12[PORT DESTINATION],Table12[Cosco Line],,0)</f>
        <v>AEM</v>
      </c>
      <c r="BD159" s="343"/>
    </row>
    <row r="160" spans="1:61" s="613" customFormat="1" ht="10">
      <c r="A160" s="351" t="s">
        <v>8256</v>
      </c>
      <c r="B160" s="340" t="s">
        <v>7814</v>
      </c>
      <c r="C160" s="340" t="str">
        <f>IFERROR(LEFT(ESS_DATA[[#This Row],[TCL REFERENCE]],FIND(".",ESS_DATA[[#This Row],[TCL REFERENCE]],1)-1),"Main Line")</f>
        <v>26AUG002</v>
      </c>
      <c r="D160" s="340" t="s">
        <v>63</v>
      </c>
      <c r="E160" s="343" t="s">
        <v>64</v>
      </c>
      <c r="F160" s="343" t="s">
        <v>65</v>
      </c>
      <c r="G160" s="340" t="s">
        <v>402</v>
      </c>
      <c r="H160" s="340" t="s">
        <v>67</v>
      </c>
      <c r="I160" s="343"/>
      <c r="J160" s="340"/>
      <c r="K160" s="340"/>
      <c r="L160" s="341"/>
      <c r="M160" s="342" t="s">
        <v>68</v>
      </c>
      <c r="N160" s="651" t="s">
        <v>7828</v>
      </c>
      <c r="O160" s="651" t="s">
        <v>7829</v>
      </c>
      <c r="P160" s="651" t="s">
        <v>7830</v>
      </c>
      <c r="Q160" s="339"/>
      <c r="R160" s="344">
        <v>130</v>
      </c>
      <c r="S160" s="345"/>
      <c r="T160" s="340"/>
      <c r="U160" s="346">
        <f>ESS_DATA[[#This Row],[QUANTITY]]/260</f>
        <v>0.5</v>
      </c>
      <c r="V160" s="612" t="s">
        <v>7873</v>
      </c>
      <c r="W160" s="340" t="s">
        <v>4376</v>
      </c>
      <c r="X160" s="343" t="str">
        <f t="shared" si="6"/>
        <v>IN-TRANSIT</v>
      </c>
      <c r="Y160" s="652">
        <v>46251</v>
      </c>
      <c r="Z160" s="347">
        <v>46256</v>
      </c>
      <c r="AA160" s="348">
        <f>WEEKNUM(ESS_DATA[[#This Row],[Pick-Up Date]])</f>
        <v>34</v>
      </c>
      <c r="AB160" s="343" t="s">
        <v>8257</v>
      </c>
      <c r="AC160" s="351"/>
      <c r="AD160" s="340" t="s">
        <v>122</v>
      </c>
      <c r="AE160" s="340" t="s">
        <v>123</v>
      </c>
      <c r="AF160" s="340" t="s">
        <v>78</v>
      </c>
      <c r="AG160" s="347">
        <v>46264</v>
      </c>
      <c r="AH160" s="347">
        <v>46269</v>
      </c>
      <c r="AI160" s="347">
        <v>46269</v>
      </c>
      <c r="AJ160" s="347">
        <v>46314</v>
      </c>
      <c r="AK160" s="347">
        <v>46332</v>
      </c>
      <c r="AL160" s="347"/>
      <c r="AM160" s="349" t="s">
        <v>402</v>
      </c>
      <c r="AN160" s="347" t="s">
        <v>6281</v>
      </c>
      <c r="AO160" s="347" t="s">
        <v>80</v>
      </c>
      <c r="AP160" s="347" t="s">
        <v>8258</v>
      </c>
      <c r="AQ160" s="340" t="s">
        <v>8259</v>
      </c>
      <c r="AR160" s="340" t="s">
        <v>8259</v>
      </c>
      <c r="AS160" s="340">
        <f>ESS_DATA[[#This Row],[ETA On S/O]]-ESS_DATA[[#This Row],[ETD On S/O]]+1</f>
        <v>51</v>
      </c>
      <c r="AT160" s="340"/>
      <c r="AU160" s="347" cm="1">
        <f t="array" ref="AU16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46332</v>
      </c>
      <c r="AV16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60" s="14">
        <f>IF(ISERROR(ESS_DATA[[#This Row],[New Ark PO status]]),"",_xlfn.XLOOKUP(ESS_DATA[[#This Row],[SPTN-PVHK New Ark PO'#]],New_Ark_Data[Purchase order Number],New_Ark_Data[Estimated time of arrival],"",0))</f>
        <v>46322</v>
      </c>
      <c r="AX160" s="340">
        <f>IF(ESS_DATA[[#This Row],[New Ark PO Type]]="Offshore",0,IFERROR(VLOOKUP(ESS_DATA[[#This Row],[PORT OF LOADING]]&amp;ESS_DATA[[#This Row],[PORT DESTINATION]],LT_REF[],7,0),14))</f>
        <v>8</v>
      </c>
      <c r="AY160" s="347">
        <f>IFERROR(ESS_DATA[[#This Row],[ODP ETA Port]]+ESS_DATA[[#This Row],[Customs/Leg3 Assumption]],"n/a")</f>
        <v>46340</v>
      </c>
      <c r="AZ160" s="343">
        <f>YEAR(ESS_DATA[[#This Row],[ETA for New Ark update]])</f>
        <v>2026</v>
      </c>
      <c r="BA160" s="343">
        <f>MONTH(ESS_DATA[[#This Row],[ETA for New Ark update]])</f>
        <v>11</v>
      </c>
      <c r="BB160" s="343">
        <f>IFERROR(_xlfn.ISOWEEKNUM(ESS_DATA[[#This Row],[ETA for New Ark update]]),0)</f>
        <v>46</v>
      </c>
      <c r="BC160" s="343" t="str">
        <f>_xlfn.XLOOKUP(ESS_DATA[[#This Row],[PORT DESTINATION]],Table12[PORT DESTINATION],Table12[Cosco Line],,0)</f>
        <v>AEM</v>
      </c>
      <c r="BD160" s="343"/>
      <c r="BE160" s="350"/>
      <c r="BF160" s="350"/>
      <c r="BG160" s="350"/>
      <c r="BH160" s="350"/>
      <c r="BI160" s="350"/>
    </row>
    <row r="161" spans="1:61" s="613" customFormat="1" ht="10">
      <c r="A161" s="351" t="s">
        <v>8260</v>
      </c>
      <c r="B161" s="340" t="s">
        <v>7814</v>
      </c>
      <c r="C161" s="340" t="str">
        <f>IFERROR(LEFT(ESS_DATA[[#This Row],[TCL REFERENCE]],FIND(".",ESS_DATA[[#This Row],[TCL REFERENCE]],1)-1),"Main Line")</f>
        <v>26AUG004</v>
      </c>
      <c r="D161" s="340" t="s">
        <v>63</v>
      </c>
      <c r="E161" s="343" t="s">
        <v>64</v>
      </c>
      <c r="F161" s="343" t="s">
        <v>65</v>
      </c>
      <c r="G161" s="340" t="s">
        <v>402</v>
      </c>
      <c r="H161" s="340" t="s">
        <v>67</v>
      </c>
      <c r="I161" s="343"/>
      <c r="J161" s="340"/>
      <c r="K161" s="340"/>
      <c r="L161" s="341"/>
      <c r="M161" s="342" t="s">
        <v>68</v>
      </c>
      <c r="N161" s="651" t="s">
        <v>7840</v>
      </c>
      <c r="O161" s="651" t="s">
        <v>8037</v>
      </c>
      <c r="P161" s="651" t="s">
        <v>7842</v>
      </c>
      <c r="Q161" s="339"/>
      <c r="R161" s="344">
        <v>130</v>
      </c>
      <c r="S161" s="345"/>
      <c r="T161" s="340"/>
      <c r="U161" s="346">
        <f>ESS_DATA[[#This Row],[QUANTITY]]/260</f>
        <v>0.5</v>
      </c>
      <c r="V161" s="612" t="s">
        <v>7873</v>
      </c>
      <c r="W161" s="340" t="s">
        <v>4376</v>
      </c>
      <c r="X161" s="343" t="str">
        <f t="shared" si="6"/>
        <v>IN-TRANSIT</v>
      </c>
      <c r="Y161" s="652">
        <v>46251</v>
      </c>
      <c r="Z161" s="347">
        <v>46256</v>
      </c>
      <c r="AA161" s="348">
        <f>WEEKNUM(ESS_DATA[[#This Row],[Pick-Up Date]])</f>
        <v>34</v>
      </c>
      <c r="AB161" s="343" t="s">
        <v>8257</v>
      </c>
      <c r="AC161" s="351"/>
      <c r="AD161" s="340" t="s">
        <v>122</v>
      </c>
      <c r="AE161" s="340" t="s">
        <v>123</v>
      </c>
      <c r="AF161" s="340" t="s">
        <v>78</v>
      </c>
      <c r="AG161" s="347">
        <v>46264</v>
      </c>
      <c r="AH161" s="347">
        <v>46269</v>
      </c>
      <c r="AI161" s="347">
        <v>46269</v>
      </c>
      <c r="AJ161" s="347">
        <v>46314</v>
      </c>
      <c r="AK161" s="347">
        <v>46332</v>
      </c>
      <c r="AL161" s="347"/>
      <c r="AM161" s="349" t="s">
        <v>402</v>
      </c>
      <c r="AN161" s="347" t="s">
        <v>6281</v>
      </c>
      <c r="AO161" s="347" t="s">
        <v>80</v>
      </c>
      <c r="AP161" s="347" t="s">
        <v>8258</v>
      </c>
      <c r="AQ161" s="340" t="s">
        <v>8259</v>
      </c>
      <c r="AR161" s="340" t="s">
        <v>8259</v>
      </c>
      <c r="AS161" s="340">
        <f>ESS_DATA[[#This Row],[ETA On S/O]]-ESS_DATA[[#This Row],[ETD On S/O]]+1</f>
        <v>51</v>
      </c>
      <c r="AT161" s="340"/>
      <c r="AU161" s="347" cm="1">
        <f t="array" ref="AU16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46332</v>
      </c>
      <c r="AV16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61" s="14">
        <f>IF(ISERROR(ESS_DATA[[#This Row],[New Ark PO status]]),"",_xlfn.XLOOKUP(ESS_DATA[[#This Row],[SPTN-PVHK New Ark PO'#]],New_Ark_Data[Purchase order Number],New_Ark_Data[Estimated time of arrival],"",0))</f>
        <v>46322</v>
      </c>
      <c r="AX161" s="340">
        <f>IF(ESS_DATA[[#This Row],[New Ark PO Type]]="Offshore",0,IFERROR(VLOOKUP(ESS_DATA[[#This Row],[PORT OF LOADING]]&amp;ESS_DATA[[#This Row],[PORT DESTINATION]],LT_REF[],7,0),14))</f>
        <v>8</v>
      </c>
      <c r="AY161" s="347">
        <f>IFERROR(ESS_DATA[[#This Row],[ODP ETA Port]]+ESS_DATA[[#This Row],[Customs/Leg3 Assumption]],"n/a")</f>
        <v>46340</v>
      </c>
      <c r="AZ161" s="343">
        <f>YEAR(ESS_DATA[[#This Row],[ETA for New Ark update]])</f>
        <v>2026</v>
      </c>
      <c r="BA161" s="343">
        <f>MONTH(ESS_DATA[[#This Row],[ETA for New Ark update]])</f>
        <v>11</v>
      </c>
      <c r="BB161" s="343">
        <f>IFERROR(_xlfn.ISOWEEKNUM(ESS_DATA[[#This Row],[ETA for New Ark update]]),0)</f>
        <v>46</v>
      </c>
      <c r="BC161" s="343" t="str">
        <f>_xlfn.XLOOKUP(ESS_DATA[[#This Row],[PORT DESTINATION]],Table12[PORT DESTINATION],Table12[Cosco Line],,0)</f>
        <v>AEM</v>
      </c>
      <c r="BD161" s="343"/>
      <c r="BE161" s="350"/>
      <c r="BF161" s="350"/>
      <c r="BG161" s="350"/>
      <c r="BH161" s="350"/>
      <c r="BI161" s="350"/>
    </row>
    <row r="162" spans="1:61" s="613" customFormat="1" ht="10">
      <c r="A162" s="351" t="s">
        <v>8256</v>
      </c>
      <c r="B162" s="340" t="s">
        <v>7814</v>
      </c>
      <c r="C162" s="340" t="str">
        <f>IFERROR(LEFT(ESS_DATA[[#This Row],[TCL REFERENCE]],FIND(".",ESS_DATA[[#This Row],[TCL REFERENCE]],1)-1),"Main Line")</f>
        <v>26AUG002</v>
      </c>
      <c r="D162" s="340" t="s">
        <v>63</v>
      </c>
      <c r="E162" s="343" t="s">
        <v>64</v>
      </c>
      <c r="F162" s="343" t="s">
        <v>65</v>
      </c>
      <c r="G162" s="340" t="s">
        <v>402</v>
      </c>
      <c r="H162" s="340" t="s">
        <v>67</v>
      </c>
      <c r="I162" s="343"/>
      <c r="J162" s="340"/>
      <c r="K162" s="340"/>
      <c r="L162" s="341"/>
      <c r="M162" s="342" t="s">
        <v>68</v>
      </c>
      <c r="N162" s="651" t="s">
        <v>7828</v>
      </c>
      <c r="O162" s="651" t="s">
        <v>7829</v>
      </c>
      <c r="P162" s="651" t="s">
        <v>7830</v>
      </c>
      <c r="Q162" s="344">
        <v>130</v>
      </c>
      <c r="R162" s="344">
        <v>130</v>
      </c>
      <c r="S162" s="345"/>
      <c r="T162" s="340"/>
      <c r="U162" s="346">
        <f>ESS_DATA[[#This Row],[QUANTITY]]/260</f>
        <v>0.5</v>
      </c>
      <c r="V162" s="612" t="s">
        <v>8086</v>
      </c>
      <c r="W162" s="340" t="s">
        <v>4377</v>
      </c>
      <c r="X162" s="343" t="str">
        <f t="shared" si="6"/>
        <v>IN-TRANSIT</v>
      </c>
      <c r="Y162" s="652">
        <v>46258</v>
      </c>
      <c r="Z162" s="347">
        <v>46256</v>
      </c>
      <c r="AA162" s="348">
        <f>WEEKNUM(ESS_DATA[[#This Row],[Pick-Up Date]])</f>
        <v>34</v>
      </c>
      <c r="AB162" s="343" t="s">
        <v>8257</v>
      </c>
      <c r="AC162" s="351"/>
      <c r="AD162" s="340" t="s">
        <v>122</v>
      </c>
      <c r="AE162" s="340" t="s">
        <v>123</v>
      </c>
      <c r="AF162" s="340" t="s">
        <v>78</v>
      </c>
      <c r="AG162" s="347">
        <v>46264</v>
      </c>
      <c r="AH162" s="347">
        <v>46269</v>
      </c>
      <c r="AI162" s="347">
        <v>46269</v>
      </c>
      <c r="AJ162" s="347">
        <v>46314</v>
      </c>
      <c r="AK162" s="347">
        <v>46332</v>
      </c>
      <c r="AL162" s="347"/>
      <c r="AM162" s="349" t="s">
        <v>402</v>
      </c>
      <c r="AN162" s="347" t="s">
        <v>6281</v>
      </c>
      <c r="AO162" s="347" t="s">
        <v>80</v>
      </c>
      <c r="AP162" s="347" t="s">
        <v>8258</v>
      </c>
      <c r="AQ162" s="340" t="s">
        <v>8259</v>
      </c>
      <c r="AR162" s="340" t="s">
        <v>8259</v>
      </c>
      <c r="AS162" s="340">
        <f>ESS_DATA[[#This Row],[ETA On S/O]]-ESS_DATA[[#This Row],[ETD On S/O]]+1</f>
        <v>51</v>
      </c>
      <c r="AT162" s="340"/>
      <c r="AU162" s="347" cm="1">
        <f t="array" ref="AU16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46332</v>
      </c>
      <c r="AV16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62" s="14">
        <f>IF(ISERROR(ESS_DATA[[#This Row],[New Ark PO status]]),"",_xlfn.XLOOKUP(ESS_DATA[[#This Row],[SPTN-PVHK New Ark PO'#]],New_Ark_Data[Purchase order Number],New_Ark_Data[Estimated time of arrival],"",0))</f>
        <v>46322</v>
      </c>
      <c r="AX162" s="340">
        <f>IF(ESS_DATA[[#This Row],[New Ark PO Type]]="Offshore",0,IFERROR(VLOOKUP(ESS_DATA[[#This Row],[PORT OF LOADING]]&amp;ESS_DATA[[#This Row],[PORT DESTINATION]],LT_REF[],7,0),14))</f>
        <v>8</v>
      </c>
      <c r="AY162" s="347">
        <f>IFERROR(ESS_DATA[[#This Row],[ODP ETA Port]]+ESS_DATA[[#This Row],[Customs/Leg3 Assumption]],"n/a")</f>
        <v>46340</v>
      </c>
      <c r="AZ162" s="343">
        <f>YEAR(ESS_DATA[[#This Row],[ETA for New Ark update]])</f>
        <v>2026</v>
      </c>
      <c r="BA162" s="343">
        <f>MONTH(ESS_DATA[[#This Row],[ETA for New Ark update]])</f>
        <v>11</v>
      </c>
      <c r="BB162" s="343">
        <f>IFERROR(_xlfn.ISOWEEKNUM(ESS_DATA[[#This Row],[ETA for New Ark update]]),0)</f>
        <v>46</v>
      </c>
      <c r="BC162" s="343" t="str">
        <f>_xlfn.XLOOKUP(ESS_DATA[[#This Row],[PORT DESTINATION]],Table12[PORT DESTINATION],Table12[Cosco Line],,0)</f>
        <v>AEM</v>
      </c>
      <c r="BD162" s="343"/>
      <c r="BE162" s="350"/>
      <c r="BF162" s="350"/>
      <c r="BG162" s="350"/>
      <c r="BH162" s="350"/>
      <c r="BI162" s="350"/>
    </row>
    <row r="163" spans="1:61" s="613" customFormat="1" ht="10">
      <c r="A163" s="351" t="s">
        <v>8260</v>
      </c>
      <c r="B163" s="340" t="s">
        <v>7814</v>
      </c>
      <c r="C163" s="340" t="str">
        <f>IFERROR(LEFT(ESS_DATA[[#This Row],[TCL REFERENCE]],FIND(".",ESS_DATA[[#This Row],[TCL REFERENCE]],1)-1),"Main Line")</f>
        <v>26AUG004</v>
      </c>
      <c r="D163" s="340" t="s">
        <v>63</v>
      </c>
      <c r="E163" s="343" t="s">
        <v>64</v>
      </c>
      <c r="F163" s="343" t="s">
        <v>65</v>
      </c>
      <c r="G163" s="340" t="s">
        <v>402</v>
      </c>
      <c r="H163" s="340" t="s">
        <v>67</v>
      </c>
      <c r="I163" s="343"/>
      <c r="J163" s="340"/>
      <c r="K163" s="340"/>
      <c r="L163" s="341"/>
      <c r="M163" s="342" t="s">
        <v>68</v>
      </c>
      <c r="N163" s="651" t="s">
        <v>7840</v>
      </c>
      <c r="O163" s="651" t="s">
        <v>8037</v>
      </c>
      <c r="P163" s="651" t="s">
        <v>7842</v>
      </c>
      <c r="Q163" s="344">
        <v>130</v>
      </c>
      <c r="R163" s="344">
        <v>130</v>
      </c>
      <c r="S163" s="345"/>
      <c r="T163" s="340"/>
      <c r="U163" s="346">
        <f>ESS_DATA[[#This Row],[QUANTITY]]/260</f>
        <v>0.5</v>
      </c>
      <c r="V163" s="612" t="s">
        <v>8086</v>
      </c>
      <c r="W163" s="340" t="s">
        <v>4377</v>
      </c>
      <c r="X163" s="343" t="str">
        <f t="shared" si="6"/>
        <v>IN-TRANSIT</v>
      </c>
      <c r="Y163" s="652">
        <v>46258</v>
      </c>
      <c r="Z163" s="347">
        <v>46256</v>
      </c>
      <c r="AA163" s="348">
        <f>WEEKNUM(ESS_DATA[[#This Row],[Pick-Up Date]])</f>
        <v>34</v>
      </c>
      <c r="AB163" s="343" t="s">
        <v>8257</v>
      </c>
      <c r="AC163" s="351"/>
      <c r="AD163" s="340" t="s">
        <v>122</v>
      </c>
      <c r="AE163" s="340" t="s">
        <v>123</v>
      </c>
      <c r="AF163" s="340" t="s">
        <v>78</v>
      </c>
      <c r="AG163" s="347">
        <v>46264</v>
      </c>
      <c r="AH163" s="347">
        <v>46269</v>
      </c>
      <c r="AI163" s="347">
        <v>46269</v>
      </c>
      <c r="AJ163" s="347">
        <v>46314</v>
      </c>
      <c r="AK163" s="347">
        <v>46332</v>
      </c>
      <c r="AL163" s="347"/>
      <c r="AM163" s="349" t="s">
        <v>402</v>
      </c>
      <c r="AN163" s="347" t="s">
        <v>6281</v>
      </c>
      <c r="AO163" s="347" t="s">
        <v>80</v>
      </c>
      <c r="AP163" s="347" t="s">
        <v>8258</v>
      </c>
      <c r="AQ163" s="340" t="s">
        <v>8259</v>
      </c>
      <c r="AR163" s="340" t="s">
        <v>8259</v>
      </c>
      <c r="AS163" s="340">
        <f>ESS_DATA[[#This Row],[ETA On S/O]]-ESS_DATA[[#This Row],[ETD On S/O]]+1</f>
        <v>51</v>
      </c>
      <c r="AT163" s="340"/>
      <c r="AU163" s="347" cm="1">
        <f t="array" ref="AU16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46332</v>
      </c>
      <c r="AV16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63" s="14">
        <f>IF(ISERROR(ESS_DATA[[#This Row],[New Ark PO status]]),"",_xlfn.XLOOKUP(ESS_DATA[[#This Row],[SPTN-PVHK New Ark PO'#]],New_Ark_Data[Purchase order Number],New_Ark_Data[Estimated time of arrival],"",0))</f>
        <v>46322</v>
      </c>
      <c r="AX163" s="340">
        <f>IF(ESS_DATA[[#This Row],[New Ark PO Type]]="Offshore",0,IFERROR(VLOOKUP(ESS_DATA[[#This Row],[PORT OF LOADING]]&amp;ESS_DATA[[#This Row],[PORT DESTINATION]],LT_REF[],7,0),14))</f>
        <v>8</v>
      </c>
      <c r="AY163" s="347">
        <f>IFERROR(ESS_DATA[[#This Row],[ODP ETA Port]]+ESS_DATA[[#This Row],[Customs/Leg3 Assumption]],"n/a")</f>
        <v>46340</v>
      </c>
      <c r="AZ163" s="343">
        <f>YEAR(ESS_DATA[[#This Row],[ETA for New Ark update]])</f>
        <v>2026</v>
      </c>
      <c r="BA163" s="343">
        <f>MONTH(ESS_DATA[[#This Row],[ETA for New Ark update]])</f>
        <v>11</v>
      </c>
      <c r="BB163" s="343">
        <f>IFERROR(_xlfn.ISOWEEKNUM(ESS_DATA[[#This Row],[ETA for New Ark update]]),0)</f>
        <v>46</v>
      </c>
      <c r="BC163" s="343" t="str">
        <f>_xlfn.XLOOKUP(ESS_DATA[[#This Row],[PORT DESTINATION]],Table12[PORT DESTINATION],Table12[Cosco Line],,0)</f>
        <v>AEM</v>
      </c>
      <c r="BD163" s="343"/>
      <c r="BE163" s="350"/>
      <c r="BF163" s="350"/>
      <c r="BG163" s="350"/>
      <c r="BH163" s="350"/>
      <c r="BI163" s="350"/>
    </row>
    <row r="164" spans="1:61" s="613" customFormat="1" ht="10">
      <c r="A164" s="351" t="s">
        <v>8261</v>
      </c>
      <c r="B164" s="340" t="s">
        <v>7814</v>
      </c>
      <c r="C164" s="340" t="str">
        <f>IFERROR(LEFT(ESS_DATA[[#This Row],[TCL REFERENCE]],FIND(".",ESS_DATA[[#This Row],[TCL REFERENCE]],1)-1),"Main Line")</f>
        <v>26AUG002</v>
      </c>
      <c r="D164" s="340" t="s">
        <v>63</v>
      </c>
      <c r="E164" s="343" t="s">
        <v>64</v>
      </c>
      <c r="F164" s="343" t="s">
        <v>65</v>
      </c>
      <c r="G164" s="340" t="s">
        <v>402</v>
      </c>
      <c r="H164" s="340" t="s">
        <v>67</v>
      </c>
      <c r="I164" s="343"/>
      <c r="J164" s="340"/>
      <c r="K164" s="340"/>
      <c r="L164" s="341"/>
      <c r="M164" s="342" t="s">
        <v>68</v>
      </c>
      <c r="N164" s="651" t="s">
        <v>7828</v>
      </c>
      <c r="O164" s="651" t="s">
        <v>7829</v>
      </c>
      <c r="P164" s="651" t="s">
        <v>7830</v>
      </c>
      <c r="Q164" s="344">
        <v>130</v>
      </c>
      <c r="R164" s="344">
        <v>130</v>
      </c>
      <c r="S164" s="345"/>
      <c r="T164" s="340"/>
      <c r="U164" s="346">
        <f>ESS_DATA[[#This Row],[QUANTITY]]/260</f>
        <v>0.5</v>
      </c>
      <c r="V164" s="612" t="s">
        <v>8099</v>
      </c>
      <c r="W164" s="340" t="s">
        <v>4377</v>
      </c>
      <c r="X164" s="343" t="str">
        <f t="shared" si="6"/>
        <v>IN-TRANSIT</v>
      </c>
      <c r="Y164" s="652">
        <v>46258</v>
      </c>
      <c r="Z164" s="347">
        <v>46258</v>
      </c>
      <c r="AA164" s="348">
        <f>WEEKNUM(ESS_DATA[[#This Row],[Pick-Up Date]])</f>
        <v>35</v>
      </c>
      <c r="AB164" s="343" t="s">
        <v>8257</v>
      </c>
      <c r="AC164" s="351"/>
      <c r="AD164" s="340" t="s">
        <v>122</v>
      </c>
      <c r="AE164" s="340" t="s">
        <v>123</v>
      </c>
      <c r="AF164" s="340" t="s">
        <v>78</v>
      </c>
      <c r="AG164" s="347">
        <v>46264</v>
      </c>
      <c r="AH164" s="347">
        <v>46269</v>
      </c>
      <c r="AI164" s="347">
        <v>46269</v>
      </c>
      <c r="AJ164" s="347">
        <v>46314</v>
      </c>
      <c r="AK164" s="347">
        <v>46332</v>
      </c>
      <c r="AL164" s="347"/>
      <c r="AM164" s="349" t="s">
        <v>402</v>
      </c>
      <c r="AN164" s="347" t="s">
        <v>6281</v>
      </c>
      <c r="AO164" s="347" t="s">
        <v>80</v>
      </c>
      <c r="AP164" s="347" t="s">
        <v>8258</v>
      </c>
      <c r="AQ164" s="340" t="s">
        <v>8259</v>
      </c>
      <c r="AR164" s="340" t="s">
        <v>8259</v>
      </c>
      <c r="AS164" s="340">
        <f>ESS_DATA[[#This Row],[ETA On S/O]]-ESS_DATA[[#This Row],[ETD On S/O]]+1</f>
        <v>51</v>
      </c>
      <c r="AT164" s="340"/>
      <c r="AU164" s="347" cm="1">
        <f t="array" ref="AU16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46332</v>
      </c>
      <c r="AV16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64" s="14">
        <f>IF(ISERROR(ESS_DATA[[#This Row],[New Ark PO status]]),"",_xlfn.XLOOKUP(ESS_DATA[[#This Row],[SPTN-PVHK New Ark PO'#]],New_Ark_Data[Purchase order Number],New_Ark_Data[Estimated time of arrival],"",0))</f>
        <v>46322</v>
      </c>
      <c r="AX164" s="340">
        <f>IF(ESS_DATA[[#This Row],[New Ark PO Type]]="Offshore",0,IFERROR(VLOOKUP(ESS_DATA[[#This Row],[PORT OF LOADING]]&amp;ESS_DATA[[#This Row],[PORT DESTINATION]],LT_REF[],7,0),14))</f>
        <v>8</v>
      </c>
      <c r="AY164" s="347">
        <f>IFERROR(ESS_DATA[[#This Row],[ODP ETA Port]]+ESS_DATA[[#This Row],[Customs/Leg3 Assumption]],"n/a")</f>
        <v>46340</v>
      </c>
      <c r="AZ164" s="343">
        <f>YEAR(ESS_DATA[[#This Row],[ETA for New Ark update]])</f>
        <v>2026</v>
      </c>
      <c r="BA164" s="343">
        <f>MONTH(ESS_DATA[[#This Row],[ETA for New Ark update]])</f>
        <v>11</v>
      </c>
      <c r="BB164" s="343">
        <f>IFERROR(_xlfn.ISOWEEKNUM(ESS_DATA[[#This Row],[ETA for New Ark update]]),0)</f>
        <v>46</v>
      </c>
      <c r="BC164" s="343" t="str">
        <f>_xlfn.XLOOKUP(ESS_DATA[[#This Row],[PORT DESTINATION]],Table12[PORT DESTINATION],Table12[Cosco Line],,0)</f>
        <v>AEM</v>
      </c>
      <c r="BD164" s="343"/>
      <c r="BE164" s="350"/>
      <c r="BF164" s="350"/>
      <c r="BG164" s="350"/>
      <c r="BH164" s="350"/>
      <c r="BI164" s="350"/>
    </row>
    <row r="165" spans="1:61" s="613" customFormat="1" ht="10">
      <c r="A165" s="351" t="s">
        <v>8262</v>
      </c>
      <c r="B165" s="340" t="s">
        <v>7814</v>
      </c>
      <c r="C165" s="340" t="str">
        <f>IFERROR(LEFT(ESS_DATA[[#This Row],[TCL REFERENCE]],FIND(".",ESS_DATA[[#This Row],[TCL REFERENCE]],1)-1),"Main Line")</f>
        <v>26AUG004</v>
      </c>
      <c r="D165" s="340" t="s">
        <v>63</v>
      </c>
      <c r="E165" s="343" t="s">
        <v>64</v>
      </c>
      <c r="F165" s="343" t="s">
        <v>65</v>
      </c>
      <c r="G165" s="340" t="s">
        <v>402</v>
      </c>
      <c r="H165" s="340" t="s">
        <v>67</v>
      </c>
      <c r="I165" s="343"/>
      <c r="J165" s="340"/>
      <c r="K165" s="340"/>
      <c r="L165" s="341"/>
      <c r="M165" s="342" t="s">
        <v>68</v>
      </c>
      <c r="N165" s="651" t="s">
        <v>7840</v>
      </c>
      <c r="O165" s="651" t="s">
        <v>8037</v>
      </c>
      <c r="P165" s="651" t="s">
        <v>7842</v>
      </c>
      <c r="Q165" s="344">
        <v>130</v>
      </c>
      <c r="R165" s="344">
        <v>130</v>
      </c>
      <c r="S165" s="345"/>
      <c r="T165" s="340"/>
      <c r="U165" s="346">
        <f>ESS_DATA[[#This Row],[QUANTITY]]/260</f>
        <v>0.5</v>
      </c>
      <c r="V165" s="612" t="s">
        <v>8099</v>
      </c>
      <c r="W165" s="340" t="s">
        <v>4377</v>
      </c>
      <c r="X165" s="343" t="str">
        <f t="shared" si="6"/>
        <v>IN-TRANSIT</v>
      </c>
      <c r="Y165" s="652">
        <v>46258</v>
      </c>
      <c r="Z165" s="347">
        <v>46258</v>
      </c>
      <c r="AA165" s="348">
        <f>WEEKNUM(ESS_DATA[[#This Row],[Pick-Up Date]])</f>
        <v>35</v>
      </c>
      <c r="AB165" s="343" t="s">
        <v>8257</v>
      </c>
      <c r="AC165" s="351"/>
      <c r="AD165" s="340" t="s">
        <v>122</v>
      </c>
      <c r="AE165" s="340" t="s">
        <v>123</v>
      </c>
      <c r="AF165" s="340" t="s">
        <v>78</v>
      </c>
      <c r="AG165" s="347">
        <v>46264</v>
      </c>
      <c r="AH165" s="347">
        <v>46269</v>
      </c>
      <c r="AI165" s="347">
        <v>46269</v>
      </c>
      <c r="AJ165" s="347">
        <v>46314</v>
      </c>
      <c r="AK165" s="347">
        <v>46332</v>
      </c>
      <c r="AL165" s="347"/>
      <c r="AM165" s="349" t="s">
        <v>402</v>
      </c>
      <c r="AN165" s="347" t="s">
        <v>6281</v>
      </c>
      <c r="AO165" s="347" t="s">
        <v>80</v>
      </c>
      <c r="AP165" s="347" t="s">
        <v>8258</v>
      </c>
      <c r="AQ165" s="340" t="s">
        <v>8259</v>
      </c>
      <c r="AR165" s="340" t="s">
        <v>8259</v>
      </c>
      <c r="AS165" s="340">
        <f>ESS_DATA[[#This Row],[ETA On S/O]]-ESS_DATA[[#This Row],[ETD On S/O]]+1</f>
        <v>51</v>
      </c>
      <c r="AT165" s="340"/>
      <c r="AU165" s="347" cm="1">
        <f t="array" ref="AU16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46332</v>
      </c>
      <c r="AV16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65" s="14">
        <f>IF(ISERROR(ESS_DATA[[#This Row],[New Ark PO status]]),"",_xlfn.XLOOKUP(ESS_DATA[[#This Row],[SPTN-PVHK New Ark PO'#]],New_Ark_Data[Purchase order Number],New_Ark_Data[Estimated time of arrival],"",0))</f>
        <v>46322</v>
      </c>
      <c r="AX165" s="340">
        <f>IF(ESS_DATA[[#This Row],[New Ark PO Type]]="Offshore",0,IFERROR(VLOOKUP(ESS_DATA[[#This Row],[PORT OF LOADING]]&amp;ESS_DATA[[#This Row],[PORT DESTINATION]],LT_REF[],7,0),14))</f>
        <v>8</v>
      </c>
      <c r="AY165" s="347">
        <f>IFERROR(ESS_DATA[[#This Row],[ODP ETA Port]]+ESS_DATA[[#This Row],[Customs/Leg3 Assumption]],"n/a")</f>
        <v>46340</v>
      </c>
      <c r="AZ165" s="343">
        <f>YEAR(ESS_DATA[[#This Row],[ETA for New Ark update]])</f>
        <v>2026</v>
      </c>
      <c r="BA165" s="343">
        <f>MONTH(ESS_DATA[[#This Row],[ETA for New Ark update]])</f>
        <v>11</v>
      </c>
      <c r="BB165" s="343">
        <f>IFERROR(_xlfn.ISOWEEKNUM(ESS_DATA[[#This Row],[ETA for New Ark update]]),0)</f>
        <v>46</v>
      </c>
      <c r="BC165" s="343" t="str">
        <f>_xlfn.XLOOKUP(ESS_DATA[[#This Row],[PORT DESTINATION]],Table12[PORT DESTINATION],Table12[Cosco Line],,0)</f>
        <v>AEM</v>
      </c>
      <c r="BD165" s="343"/>
      <c r="BE165" s="350"/>
      <c r="BF165" s="350"/>
      <c r="BG165" s="350"/>
      <c r="BH165" s="350"/>
      <c r="BI165" s="350"/>
    </row>
    <row r="166" spans="1:61" s="613" customFormat="1" ht="10">
      <c r="A166" s="351" t="s">
        <v>8263</v>
      </c>
      <c r="B166" s="340" t="s">
        <v>7814</v>
      </c>
      <c r="C166" s="340" t="str">
        <f>IFERROR(LEFT(ESS_DATA[[#This Row],[TCL REFERENCE]],FIND(".",ESS_DATA[[#This Row],[TCL REFERENCE]],1)-1),"Main Line")</f>
        <v>26AUG005</v>
      </c>
      <c r="D166" s="340" t="s">
        <v>63</v>
      </c>
      <c r="E166" s="343" t="s">
        <v>64</v>
      </c>
      <c r="F166" s="343" t="s">
        <v>65</v>
      </c>
      <c r="G166" s="340" t="s">
        <v>402</v>
      </c>
      <c r="H166" s="340" t="s">
        <v>67</v>
      </c>
      <c r="I166" s="343"/>
      <c r="J166" s="340"/>
      <c r="K166" s="340"/>
      <c r="L166" s="341"/>
      <c r="M166" s="342" t="s">
        <v>68</v>
      </c>
      <c r="N166" s="651" t="s">
        <v>7851</v>
      </c>
      <c r="O166" s="651" t="s">
        <v>7852</v>
      </c>
      <c r="P166" s="651" t="s">
        <v>7853</v>
      </c>
      <c r="Q166" s="339"/>
      <c r="R166" s="344">
        <v>552</v>
      </c>
      <c r="S166" s="345"/>
      <c r="T166" s="340"/>
      <c r="U166" s="346">
        <f>ESS_DATA[[#This Row],[QUANTITY]]/276</f>
        <v>2</v>
      </c>
      <c r="V166" s="612" t="s">
        <v>8264</v>
      </c>
      <c r="W166" s="665" t="s">
        <v>4376</v>
      </c>
      <c r="X166" s="343" t="str">
        <f t="shared" si="6"/>
        <v>IN-TRANSIT</v>
      </c>
      <c r="Y166" s="664">
        <v>46254</v>
      </c>
      <c r="Z166" s="347">
        <v>46276</v>
      </c>
      <c r="AA166" s="348">
        <f>WEEKNUM(ESS_DATA[[#This Row],[Pick-Up Date]])</f>
        <v>37</v>
      </c>
      <c r="AB166" s="343" t="s">
        <v>8265</v>
      </c>
      <c r="AC166" s="351"/>
      <c r="AD166" s="340" t="s">
        <v>122</v>
      </c>
      <c r="AE166" s="340" t="s">
        <v>123</v>
      </c>
      <c r="AF166" s="340" t="s">
        <v>78</v>
      </c>
      <c r="AG166" s="347">
        <v>46286</v>
      </c>
      <c r="AH166" s="347">
        <v>46288</v>
      </c>
      <c r="AI166" s="347">
        <v>46288</v>
      </c>
      <c r="AJ166" s="347">
        <v>46330</v>
      </c>
      <c r="AK166" s="347">
        <v>46330</v>
      </c>
      <c r="AL166" s="347"/>
      <c r="AM166" s="349" t="s">
        <v>402</v>
      </c>
      <c r="AN166" s="347" t="s">
        <v>8266</v>
      </c>
      <c r="AO166" s="347" t="s">
        <v>161</v>
      </c>
      <c r="AP166" s="347" t="s">
        <v>8267</v>
      </c>
      <c r="AQ166" s="340">
        <v>276339822</v>
      </c>
      <c r="AR166" s="340">
        <v>276339822</v>
      </c>
      <c r="AS166" s="340">
        <f>ESS_DATA[[#This Row],[ETA On S/O]]-ESS_DATA[[#This Row],[ETD On S/O]]+1</f>
        <v>45</v>
      </c>
      <c r="AT166" s="340"/>
      <c r="AU166" s="347" cm="1">
        <f t="array" ref="AU16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46330</v>
      </c>
      <c r="AV16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66" s="347" t="str">
        <f>IF(ISERROR(ESS_DATA[[#This Row],[New Ark PO status]]),"",_xlfn.XLOOKUP(ESS_DATA[[#This Row],[SPTN-PVHK New Ark PO'#]],New_Ark_Data[Purchase order Number],New_Ark_Data[Estimated time of arrival],"",0))</f>
        <v/>
      </c>
      <c r="AX166" s="340">
        <f>IF(ESS_DATA[[#This Row],[New Ark PO Type]]="Offshore",0,IFERROR(VLOOKUP(ESS_DATA[[#This Row],[PORT OF LOADING]]&amp;ESS_DATA[[#This Row],[PORT DESTINATION]],LT_REF[],7,0),14))</f>
        <v>8</v>
      </c>
      <c r="AY166" s="347">
        <f>IFERROR(ESS_DATA[[#This Row],[ODP ETA Port]]+ESS_DATA[[#This Row],[Customs/Leg3 Assumption]],"n/a")</f>
        <v>46338</v>
      </c>
      <c r="AZ166" s="343">
        <f>YEAR(ESS_DATA[[#This Row],[ETA for New Ark update]])</f>
        <v>2026</v>
      </c>
      <c r="BA166" s="343">
        <f>MONTH(ESS_DATA[[#This Row],[ETA for New Ark update]])</f>
        <v>11</v>
      </c>
      <c r="BB166" s="343">
        <f>IFERROR(_xlfn.ISOWEEKNUM(ESS_DATA[[#This Row],[ETA for New Ark update]]),0)</f>
        <v>46</v>
      </c>
      <c r="BC166" s="343" t="str">
        <f>_xlfn.XLOOKUP(ESS_DATA[[#This Row],[PORT DESTINATION]],Table12[PORT DESTINATION],Table12[Cosco Line],,0)</f>
        <v>AEM</v>
      </c>
      <c r="BD166" s="343"/>
      <c r="BE166" s="350"/>
      <c r="BF166" s="350"/>
      <c r="BG166" s="350"/>
      <c r="BH166" s="350"/>
      <c r="BI166" s="350"/>
    </row>
    <row r="167" spans="1:61" s="613" customFormat="1" ht="10">
      <c r="A167" s="351" t="s">
        <v>8268</v>
      </c>
      <c r="B167" s="340" t="s">
        <v>7814</v>
      </c>
      <c r="C167" s="340" t="str">
        <f>IFERROR(LEFT(ESS_DATA[[#This Row],[TCL REFERENCE]],FIND(".",ESS_DATA[[#This Row],[TCL REFERENCE]],1)-1),"Main Line")</f>
        <v>26AUG002</v>
      </c>
      <c r="D167" s="340" t="s">
        <v>63</v>
      </c>
      <c r="E167" s="343" t="s">
        <v>64</v>
      </c>
      <c r="F167" s="343" t="s">
        <v>65</v>
      </c>
      <c r="G167" s="340" t="s">
        <v>402</v>
      </c>
      <c r="H167" s="340" t="s">
        <v>67</v>
      </c>
      <c r="I167" s="343"/>
      <c r="J167" s="340"/>
      <c r="K167" s="340"/>
      <c r="L167" s="341"/>
      <c r="M167" s="342" t="s">
        <v>68</v>
      </c>
      <c r="N167" s="651" t="s">
        <v>7828</v>
      </c>
      <c r="O167" s="651" t="s">
        <v>7829</v>
      </c>
      <c r="P167" s="651" t="s">
        <v>7830</v>
      </c>
      <c r="Q167" s="339"/>
      <c r="R167" s="344">
        <v>130</v>
      </c>
      <c r="S167" s="345"/>
      <c r="T167" s="340"/>
      <c r="U167" s="346">
        <f>ESS_DATA[[#This Row],[QUANTITY]]/260</f>
        <v>0.5</v>
      </c>
      <c r="V167" s="612" t="s">
        <v>8269</v>
      </c>
      <c r="W167" s="340" t="s">
        <v>4378</v>
      </c>
      <c r="X167" s="343" t="str">
        <f t="shared" si="6"/>
        <v>IN-TRANSIT</v>
      </c>
      <c r="Y167" s="652">
        <v>46265</v>
      </c>
      <c r="Z167" s="347">
        <v>46266</v>
      </c>
      <c r="AA167" s="348">
        <f>WEEKNUM(ESS_DATA[[#This Row],[Pick-Up Date]])</f>
        <v>36</v>
      </c>
      <c r="AB167" s="650" t="s">
        <v>8270</v>
      </c>
      <c r="AC167" s="340"/>
      <c r="AD167" s="340" t="s">
        <v>122</v>
      </c>
      <c r="AE167" s="340" t="s">
        <v>123</v>
      </c>
      <c r="AF167" s="340" t="s">
        <v>78</v>
      </c>
      <c r="AG167" s="347">
        <v>46274</v>
      </c>
      <c r="AH167" s="347">
        <v>46273</v>
      </c>
      <c r="AI167" s="347">
        <v>46273</v>
      </c>
      <c r="AJ167" s="347">
        <v>46321</v>
      </c>
      <c r="AK167" s="347">
        <v>46336</v>
      </c>
      <c r="AL167" s="347"/>
      <c r="AM167" s="349" t="s">
        <v>402</v>
      </c>
      <c r="AN167" s="347" t="s">
        <v>6520</v>
      </c>
      <c r="AO167" s="347" t="s">
        <v>80</v>
      </c>
      <c r="AP167" s="347" t="s">
        <v>8271</v>
      </c>
      <c r="AQ167" s="340" t="s">
        <v>8272</v>
      </c>
      <c r="AR167" s="340" t="s">
        <v>8272</v>
      </c>
      <c r="AS167" s="340">
        <f>ESS_DATA[[#This Row],[ETA On S/O]]-ESS_DATA[[#This Row],[ETD On S/O]]+1</f>
        <v>48</v>
      </c>
      <c r="AT167" s="340"/>
      <c r="AU167" s="347" cm="1">
        <f t="array" ref="AU16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46336</v>
      </c>
      <c r="AV16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67" s="14" t="str">
        <f>IF(ISERROR(ESS_DATA[[#This Row],[New Ark PO status]]),"",_xlfn.XLOOKUP(ESS_DATA[[#This Row],[SPTN-PVHK New Ark PO'#]],New_Ark_Data[Purchase order Number],New_Ark_Data[Estimated time of arrival],"",0))</f>
        <v/>
      </c>
      <c r="AX167" s="340">
        <f>IF(ESS_DATA[[#This Row],[New Ark PO Type]]="Offshore",0,IFERROR(VLOOKUP(ESS_DATA[[#This Row],[PORT OF LOADING]]&amp;ESS_DATA[[#This Row],[PORT DESTINATION]],LT_REF[],7,0),14))</f>
        <v>8</v>
      </c>
      <c r="AY167" s="347">
        <f>IFERROR(ESS_DATA[[#This Row],[ODP ETA Port]]+ESS_DATA[[#This Row],[Customs/Leg3 Assumption]],"n/a")</f>
        <v>46344</v>
      </c>
      <c r="AZ167" s="343">
        <f>YEAR(ESS_DATA[[#This Row],[ETA for New Ark update]])</f>
        <v>2026</v>
      </c>
      <c r="BA167" s="343">
        <f>MONTH(ESS_DATA[[#This Row],[ETA for New Ark update]])</f>
        <v>11</v>
      </c>
      <c r="BB167" s="343">
        <f>IFERROR(_xlfn.ISOWEEKNUM(ESS_DATA[[#This Row],[ETA for New Ark update]]),0)</f>
        <v>47</v>
      </c>
      <c r="BC167" s="343" t="str">
        <f>_xlfn.XLOOKUP(ESS_DATA[[#This Row],[PORT DESTINATION]],Table12[PORT DESTINATION],Table12[Cosco Line],,0)</f>
        <v>AEM</v>
      </c>
      <c r="BD167" s="343"/>
      <c r="BE167" s="350"/>
      <c r="BF167" s="350"/>
      <c r="BG167" s="350"/>
      <c r="BH167" s="350"/>
      <c r="BI167" s="350"/>
    </row>
    <row r="168" spans="1:61" s="613" customFormat="1" ht="10">
      <c r="A168" s="351" t="s">
        <v>8273</v>
      </c>
      <c r="B168" s="340" t="s">
        <v>7814</v>
      </c>
      <c r="C168" s="340" t="str">
        <f>IFERROR(LEFT(ESS_DATA[[#This Row],[TCL REFERENCE]],FIND(".",ESS_DATA[[#This Row],[TCL REFERENCE]],1)-1),"Main Line")</f>
        <v>26AUG004</v>
      </c>
      <c r="D168" s="340" t="s">
        <v>63</v>
      </c>
      <c r="E168" s="343" t="s">
        <v>64</v>
      </c>
      <c r="F168" s="343" t="s">
        <v>65</v>
      </c>
      <c r="G168" s="340" t="s">
        <v>402</v>
      </c>
      <c r="H168" s="340" t="s">
        <v>67</v>
      </c>
      <c r="I168" s="343"/>
      <c r="J168" s="340"/>
      <c r="K168" s="340"/>
      <c r="L168" s="341"/>
      <c r="M168" s="342" t="s">
        <v>68</v>
      </c>
      <c r="N168" s="651" t="s">
        <v>7840</v>
      </c>
      <c r="O168" s="651" t="s">
        <v>8037</v>
      </c>
      <c r="P168" s="651" t="s">
        <v>7842</v>
      </c>
      <c r="Q168" s="339"/>
      <c r="R168" s="344">
        <v>130</v>
      </c>
      <c r="S168" s="345"/>
      <c r="T168" s="340"/>
      <c r="U168" s="346">
        <f>ESS_DATA[[#This Row],[QUANTITY]]/260</f>
        <v>0.5</v>
      </c>
      <c r="V168" s="612" t="s">
        <v>8269</v>
      </c>
      <c r="W168" s="340" t="s">
        <v>4378</v>
      </c>
      <c r="X168" s="343" t="str">
        <f t="shared" si="6"/>
        <v>IN-TRANSIT</v>
      </c>
      <c r="Y168" s="652">
        <v>46265</v>
      </c>
      <c r="Z168" s="347">
        <v>46266</v>
      </c>
      <c r="AA168" s="348">
        <f>WEEKNUM(ESS_DATA[[#This Row],[Pick-Up Date]])</f>
        <v>36</v>
      </c>
      <c r="AB168" s="650" t="s">
        <v>8270</v>
      </c>
      <c r="AC168" s="340"/>
      <c r="AD168" s="340" t="s">
        <v>122</v>
      </c>
      <c r="AE168" s="340" t="s">
        <v>123</v>
      </c>
      <c r="AF168" s="340" t="s">
        <v>78</v>
      </c>
      <c r="AG168" s="347">
        <v>46274</v>
      </c>
      <c r="AH168" s="347">
        <v>46273</v>
      </c>
      <c r="AI168" s="347">
        <v>46273</v>
      </c>
      <c r="AJ168" s="347">
        <v>46321</v>
      </c>
      <c r="AK168" s="347">
        <v>46336</v>
      </c>
      <c r="AL168" s="347"/>
      <c r="AM168" s="349" t="s">
        <v>402</v>
      </c>
      <c r="AN168" s="347" t="s">
        <v>6520</v>
      </c>
      <c r="AO168" s="347" t="s">
        <v>80</v>
      </c>
      <c r="AP168" s="347" t="s">
        <v>8271</v>
      </c>
      <c r="AQ168" s="340" t="s">
        <v>8272</v>
      </c>
      <c r="AR168" s="340" t="s">
        <v>8272</v>
      </c>
      <c r="AS168" s="340">
        <f>ESS_DATA[[#This Row],[ETA On S/O]]-ESS_DATA[[#This Row],[ETD On S/O]]+1</f>
        <v>48</v>
      </c>
      <c r="AT168" s="340"/>
      <c r="AU168" s="347" cm="1">
        <f t="array" ref="AU16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46336</v>
      </c>
      <c r="AV16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68" s="14" t="str">
        <f>IF(ISERROR(ESS_DATA[[#This Row],[New Ark PO status]]),"",_xlfn.XLOOKUP(ESS_DATA[[#This Row],[SPTN-PVHK New Ark PO'#]],New_Ark_Data[Purchase order Number],New_Ark_Data[Estimated time of arrival],"",0))</f>
        <v/>
      </c>
      <c r="AX168" s="340">
        <f>IF(ESS_DATA[[#This Row],[New Ark PO Type]]="Offshore",0,IFERROR(VLOOKUP(ESS_DATA[[#This Row],[PORT OF LOADING]]&amp;ESS_DATA[[#This Row],[PORT DESTINATION]],LT_REF[],7,0),14))</f>
        <v>8</v>
      </c>
      <c r="AY168" s="347">
        <f>IFERROR(ESS_DATA[[#This Row],[ODP ETA Port]]+ESS_DATA[[#This Row],[Customs/Leg3 Assumption]],"n/a")</f>
        <v>46344</v>
      </c>
      <c r="AZ168" s="343">
        <f>YEAR(ESS_DATA[[#This Row],[ETA for New Ark update]])</f>
        <v>2026</v>
      </c>
      <c r="BA168" s="343">
        <f>MONTH(ESS_DATA[[#This Row],[ETA for New Ark update]])</f>
        <v>11</v>
      </c>
      <c r="BB168" s="343">
        <f>IFERROR(_xlfn.ISOWEEKNUM(ESS_DATA[[#This Row],[ETA for New Ark update]]),0)</f>
        <v>47</v>
      </c>
      <c r="BC168" s="343" t="str">
        <f>_xlfn.XLOOKUP(ESS_DATA[[#This Row],[PORT DESTINATION]],Table12[PORT DESTINATION],Table12[Cosco Line],,0)</f>
        <v>AEM</v>
      </c>
      <c r="BD168" s="343"/>
      <c r="BE168" s="350"/>
      <c r="BF168" s="350"/>
      <c r="BG168" s="350"/>
      <c r="BH168" s="350"/>
      <c r="BI168" s="350"/>
    </row>
    <row r="169" spans="1:61" s="613" customFormat="1" ht="10">
      <c r="A169" s="351" t="s">
        <v>8274</v>
      </c>
      <c r="B169" s="340" t="s">
        <v>7814</v>
      </c>
      <c r="C169" s="340" t="str">
        <f>IFERROR(LEFT(ESS_DATA[[#This Row],[TCL REFERENCE]],FIND(".",ESS_DATA[[#This Row],[TCL REFERENCE]],1)-1),"Main Line")</f>
        <v>26AUG002</v>
      </c>
      <c r="D169" s="340" t="s">
        <v>63</v>
      </c>
      <c r="E169" s="343" t="s">
        <v>64</v>
      </c>
      <c r="F169" s="343" t="s">
        <v>65</v>
      </c>
      <c r="G169" s="340" t="s">
        <v>402</v>
      </c>
      <c r="H169" s="340" t="s">
        <v>67</v>
      </c>
      <c r="I169" s="343"/>
      <c r="J169" s="340"/>
      <c r="K169" s="340"/>
      <c r="L169" s="341"/>
      <c r="M169" s="342" t="s">
        <v>68</v>
      </c>
      <c r="N169" s="651" t="s">
        <v>7828</v>
      </c>
      <c r="O169" s="651" t="s">
        <v>7829</v>
      </c>
      <c r="P169" s="651" t="s">
        <v>7830</v>
      </c>
      <c r="Q169" s="339"/>
      <c r="R169" s="344">
        <v>130</v>
      </c>
      <c r="S169" s="345"/>
      <c r="T169" s="340"/>
      <c r="U169" s="346">
        <f>ESS_DATA[[#This Row],[QUANTITY]]/260</f>
        <v>0.5</v>
      </c>
      <c r="V169" s="612" t="s">
        <v>8275</v>
      </c>
      <c r="W169" s="340" t="s">
        <v>4378</v>
      </c>
      <c r="X169" s="343" t="str">
        <f t="shared" si="6"/>
        <v>IN-TRANSIT</v>
      </c>
      <c r="Y169" s="652">
        <v>46265</v>
      </c>
      <c r="Z169" s="347">
        <v>46266</v>
      </c>
      <c r="AA169" s="348">
        <f>WEEKNUM(ESS_DATA[[#This Row],[Pick-Up Date]])</f>
        <v>36</v>
      </c>
      <c r="AB169" s="650" t="s">
        <v>8270</v>
      </c>
      <c r="AC169" s="340"/>
      <c r="AD169" s="340" t="s">
        <v>122</v>
      </c>
      <c r="AE169" s="340" t="s">
        <v>123</v>
      </c>
      <c r="AF169" s="340" t="s">
        <v>78</v>
      </c>
      <c r="AG169" s="347">
        <v>46274</v>
      </c>
      <c r="AH169" s="347">
        <v>46273</v>
      </c>
      <c r="AI169" s="347">
        <v>46273</v>
      </c>
      <c r="AJ169" s="347">
        <v>46321</v>
      </c>
      <c r="AK169" s="347">
        <v>46336</v>
      </c>
      <c r="AL169" s="347"/>
      <c r="AM169" s="349" t="s">
        <v>402</v>
      </c>
      <c r="AN169" s="347" t="s">
        <v>6520</v>
      </c>
      <c r="AO169" s="347" t="s">
        <v>80</v>
      </c>
      <c r="AP169" s="347" t="s">
        <v>8271</v>
      </c>
      <c r="AQ169" s="340" t="s">
        <v>8272</v>
      </c>
      <c r="AR169" s="340" t="s">
        <v>8272</v>
      </c>
      <c r="AS169" s="340">
        <f>ESS_DATA[[#This Row],[ETA On S/O]]-ESS_DATA[[#This Row],[ETD On S/O]]+1</f>
        <v>48</v>
      </c>
      <c r="AT169" s="340"/>
      <c r="AU169" s="347" cm="1">
        <f t="array" ref="AU16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46336</v>
      </c>
      <c r="AV16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69" s="14" t="str">
        <f>IF(ISERROR(ESS_DATA[[#This Row],[New Ark PO status]]),"",_xlfn.XLOOKUP(ESS_DATA[[#This Row],[SPTN-PVHK New Ark PO'#]],New_Ark_Data[Purchase order Number],New_Ark_Data[Estimated time of arrival],"",0))</f>
        <v/>
      </c>
      <c r="AX169" s="340">
        <f>IF(ESS_DATA[[#This Row],[New Ark PO Type]]="Offshore",0,IFERROR(VLOOKUP(ESS_DATA[[#This Row],[PORT OF LOADING]]&amp;ESS_DATA[[#This Row],[PORT DESTINATION]],LT_REF[],7,0),14))</f>
        <v>8</v>
      </c>
      <c r="AY169" s="347">
        <f>IFERROR(ESS_DATA[[#This Row],[ODP ETA Port]]+ESS_DATA[[#This Row],[Customs/Leg3 Assumption]],"n/a")</f>
        <v>46344</v>
      </c>
      <c r="AZ169" s="343">
        <f>YEAR(ESS_DATA[[#This Row],[ETA for New Ark update]])</f>
        <v>2026</v>
      </c>
      <c r="BA169" s="343">
        <f>MONTH(ESS_DATA[[#This Row],[ETA for New Ark update]])</f>
        <v>11</v>
      </c>
      <c r="BB169" s="343">
        <f>IFERROR(_xlfn.ISOWEEKNUM(ESS_DATA[[#This Row],[ETA for New Ark update]]),0)</f>
        <v>47</v>
      </c>
      <c r="BC169" s="343" t="str">
        <f>_xlfn.XLOOKUP(ESS_DATA[[#This Row],[PORT DESTINATION]],Table12[PORT DESTINATION],Table12[Cosco Line],,0)</f>
        <v>AEM</v>
      </c>
      <c r="BD169" s="343"/>
      <c r="BE169" s="350"/>
      <c r="BF169" s="350"/>
      <c r="BG169" s="350"/>
      <c r="BH169" s="350"/>
      <c r="BI169" s="350"/>
    </row>
    <row r="170" spans="1:61" s="613" customFormat="1" ht="10.5" customHeight="1">
      <c r="A170" s="351" t="s">
        <v>8276</v>
      </c>
      <c r="B170" s="340" t="s">
        <v>7814</v>
      </c>
      <c r="C170" s="340" t="str">
        <f>IFERROR(LEFT(ESS_DATA[[#This Row],[TCL REFERENCE]],FIND(".",ESS_DATA[[#This Row],[TCL REFERENCE]],1)-1),"Main Line")</f>
        <v>26AUG004</v>
      </c>
      <c r="D170" s="340" t="s">
        <v>63</v>
      </c>
      <c r="E170" s="343" t="s">
        <v>64</v>
      </c>
      <c r="F170" s="343" t="s">
        <v>65</v>
      </c>
      <c r="G170" s="340" t="s">
        <v>402</v>
      </c>
      <c r="H170" s="340" t="s">
        <v>67</v>
      </c>
      <c r="I170" s="343"/>
      <c r="J170" s="340"/>
      <c r="K170" s="340"/>
      <c r="L170" s="341"/>
      <c r="M170" s="342" t="s">
        <v>68</v>
      </c>
      <c r="N170" s="651" t="s">
        <v>7840</v>
      </c>
      <c r="O170" s="651" t="s">
        <v>8037</v>
      </c>
      <c r="P170" s="651" t="s">
        <v>7842</v>
      </c>
      <c r="Q170" s="339"/>
      <c r="R170" s="344">
        <v>130</v>
      </c>
      <c r="S170" s="345"/>
      <c r="T170" s="340"/>
      <c r="U170" s="346">
        <f>ESS_DATA[[#This Row],[QUANTITY]]/260</f>
        <v>0.5</v>
      </c>
      <c r="V170" s="612" t="s">
        <v>8275</v>
      </c>
      <c r="W170" s="340" t="s">
        <v>4378</v>
      </c>
      <c r="X170" s="343" t="str">
        <f t="shared" si="6"/>
        <v>IN-TRANSIT</v>
      </c>
      <c r="Y170" s="652">
        <v>46265</v>
      </c>
      <c r="Z170" s="347">
        <v>46266</v>
      </c>
      <c r="AA170" s="348">
        <f>WEEKNUM(ESS_DATA[[#This Row],[Pick-Up Date]])</f>
        <v>36</v>
      </c>
      <c r="AB170" s="650" t="s">
        <v>8270</v>
      </c>
      <c r="AC170" s="351"/>
      <c r="AD170" s="340" t="s">
        <v>122</v>
      </c>
      <c r="AE170" s="340" t="s">
        <v>123</v>
      </c>
      <c r="AF170" s="340" t="s">
        <v>78</v>
      </c>
      <c r="AG170" s="347">
        <v>46274</v>
      </c>
      <c r="AH170" s="347">
        <v>46273</v>
      </c>
      <c r="AI170" s="347">
        <v>46273</v>
      </c>
      <c r="AJ170" s="347">
        <v>46321</v>
      </c>
      <c r="AK170" s="347">
        <v>46336</v>
      </c>
      <c r="AL170" s="347"/>
      <c r="AM170" s="349" t="s">
        <v>402</v>
      </c>
      <c r="AN170" s="347" t="s">
        <v>6520</v>
      </c>
      <c r="AO170" s="347" t="s">
        <v>80</v>
      </c>
      <c r="AP170" s="347" t="s">
        <v>8271</v>
      </c>
      <c r="AQ170" s="340" t="s">
        <v>8272</v>
      </c>
      <c r="AR170" s="340" t="s">
        <v>8272</v>
      </c>
      <c r="AS170" s="340">
        <f>ESS_DATA[[#This Row],[ETA On S/O]]-ESS_DATA[[#This Row],[ETD On S/O]]+1</f>
        <v>48</v>
      </c>
      <c r="AT170" s="340"/>
      <c r="AU170" s="347" cm="1">
        <f t="array" ref="AU17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46336</v>
      </c>
      <c r="AV17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70" s="14" t="str">
        <f>IF(ISERROR(ESS_DATA[[#This Row],[New Ark PO status]]),"",_xlfn.XLOOKUP(ESS_DATA[[#This Row],[SPTN-PVHK New Ark PO'#]],New_Ark_Data[Purchase order Number],New_Ark_Data[Estimated time of arrival],"",0))</f>
        <v/>
      </c>
      <c r="AX170" s="340">
        <f>IF(ESS_DATA[[#This Row],[New Ark PO Type]]="Offshore",0,IFERROR(VLOOKUP(ESS_DATA[[#This Row],[PORT OF LOADING]]&amp;ESS_DATA[[#This Row],[PORT DESTINATION]],LT_REF[],7,0),14))</f>
        <v>8</v>
      </c>
      <c r="AY170" s="347">
        <f>IFERROR(ESS_DATA[[#This Row],[ODP ETA Port]]+ESS_DATA[[#This Row],[Customs/Leg3 Assumption]],"n/a")</f>
        <v>46344</v>
      </c>
      <c r="AZ170" s="343">
        <f>YEAR(ESS_DATA[[#This Row],[ETA for New Ark update]])</f>
        <v>2026</v>
      </c>
      <c r="BA170" s="343">
        <f>MONTH(ESS_DATA[[#This Row],[ETA for New Ark update]])</f>
        <v>11</v>
      </c>
      <c r="BB170" s="343">
        <f>IFERROR(_xlfn.ISOWEEKNUM(ESS_DATA[[#This Row],[ETA for New Ark update]]),0)</f>
        <v>47</v>
      </c>
      <c r="BC170" s="343" t="str">
        <f>_xlfn.XLOOKUP(ESS_DATA[[#This Row],[PORT DESTINATION]],Table12[PORT DESTINATION],Table12[Cosco Line],,0)</f>
        <v>AEM</v>
      </c>
      <c r="BD170" s="343"/>
      <c r="BE170" s="350"/>
      <c r="BF170" s="350"/>
      <c r="BG170" s="350"/>
      <c r="BH170" s="350"/>
      <c r="BI170" s="350"/>
    </row>
    <row r="171" spans="1:61" s="613" customFormat="1" ht="11.25" customHeight="1">
      <c r="A171" s="351" t="s">
        <v>8277</v>
      </c>
      <c r="B171" s="340" t="s">
        <v>7814</v>
      </c>
      <c r="C171" s="340" t="str">
        <f>IFERROR(LEFT(ESS_DATA[[#This Row],[TCL REFERENCE]],FIND(".",ESS_DATA[[#This Row],[TCL REFERENCE]],1)-1),"Main Line")</f>
        <v>26AUG005</v>
      </c>
      <c r="D171" s="340" t="s">
        <v>63</v>
      </c>
      <c r="E171" s="652" t="s">
        <v>64</v>
      </c>
      <c r="F171" s="651" t="s">
        <v>65</v>
      </c>
      <c r="G171" s="340" t="s">
        <v>402</v>
      </c>
      <c r="H171" s="651" t="s">
        <v>67</v>
      </c>
      <c r="I171" s="344"/>
      <c r="J171" s="346"/>
      <c r="K171" s="612" t="s">
        <v>8264</v>
      </c>
      <c r="L171" s="340"/>
      <c r="M171" s="342" t="s">
        <v>68</v>
      </c>
      <c r="N171" s="651" t="s">
        <v>7851</v>
      </c>
      <c r="O171" s="651" t="s">
        <v>7852</v>
      </c>
      <c r="P171" s="651" t="s">
        <v>7853</v>
      </c>
      <c r="Q171" s="340"/>
      <c r="R171" s="616">
        <v>552</v>
      </c>
      <c r="S171" s="340"/>
      <c r="T171" s="347"/>
      <c r="U171" s="346">
        <f>ESS_DATA[[#This Row],[QUANTITY]]/276</f>
        <v>2</v>
      </c>
      <c r="V171" s="655" t="s">
        <v>8278</v>
      </c>
      <c r="W171" s="665" t="s">
        <v>4377</v>
      </c>
      <c r="X171" s="343" t="str">
        <f t="shared" si="6"/>
        <v>IN-TRANSIT</v>
      </c>
      <c r="Y171" s="664">
        <v>46260</v>
      </c>
      <c r="Z171" s="349">
        <v>46271</v>
      </c>
      <c r="AA171" s="348">
        <f>WEEKNUM(ESS_DATA[[#This Row],[Pick-Up Date]])</f>
        <v>37</v>
      </c>
      <c r="AB171" s="1148" t="s">
        <v>8279</v>
      </c>
      <c r="AC171" s="347"/>
      <c r="AD171" s="340" t="s">
        <v>122</v>
      </c>
      <c r="AE171" s="340" t="s">
        <v>123</v>
      </c>
      <c r="AF171" s="340" t="s">
        <v>78</v>
      </c>
      <c r="AG171" s="347">
        <v>46267</v>
      </c>
      <c r="AH171" s="347">
        <v>46280</v>
      </c>
      <c r="AI171" s="347">
        <v>46279</v>
      </c>
      <c r="AJ171" s="347">
        <v>46316</v>
      </c>
      <c r="AK171" s="347">
        <v>46323</v>
      </c>
      <c r="AL171" s="347"/>
      <c r="AM171" s="343" t="s">
        <v>402</v>
      </c>
      <c r="AN171" s="343" t="s">
        <v>8280</v>
      </c>
      <c r="AO171" s="347" t="s">
        <v>161</v>
      </c>
      <c r="AP171" s="347" t="s">
        <v>8281</v>
      </c>
      <c r="AQ171" s="343">
        <v>275550212</v>
      </c>
      <c r="AR171" s="343">
        <v>275550212</v>
      </c>
      <c r="AS171" s="340">
        <f>ESS_DATA[[#This Row],[ETA On S/O]]-ESS_DATA[[#This Row],[ETD On S/O]]+1</f>
        <v>50</v>
      </c>
      <c r="AT171" s="340"/>
      <c r="AU171" s="347" cm="1">
        <f t="array" ref="AU17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46323</v>
      </c>
      <c r="AV17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71" s="14" t="str">
        <f>IF(ISERROR(ESS_DATA[[#This Row],[New Ark PO status]]),"",_xlfn.XLOOKUP(ESS_DATA[[#This Row],[SPTN-PVHK New Ark PO'#]],New_Ark_Data[Purchase order Number],New_Ark_Data[Estimated time of arrival],"",0))</f>
        <v/>
      </c>
      <c r="AX171" s="340">
        <f>IF(ESS_DATA[[#This Row],[New Ark PO Type]]="Offshore",0,IFERROR(VLOOKUP(ESS_DATA[[#This Row],[PORT OF LOADING]]&amp;ESS_DATA[[#This Row],[PORT DESTINATION]],LT_REF[],7,0),14))</f>
        <v>8</v>
      </c>
      <c r="AY171" s="347">
        <f>IFERROR(ESS_DATA[[#This Row],[ODP ETA Port]]+ESS_DATA[[#This Row],[Customs/Leg3 Assumption]],"n/a")</f>
        <v>46331</v>
      </c>
      <c r="AZ171" s="343">
        <f>YEAR(ESS_DATA[[#This Row],[ETA for New Ark update]])</f>
        <v>2026</v>
      </c>
      <c r="BA171" s="343">
        <f>MONTH(ESS_DATA[[#This Row],[ETA for New Ark update]])</f>
        <v>11</v>
      </c>
      <c r="BB171" s="343">
        <f>IFERROR(_xlfn.ISOWEEKNUM(ESS_DATA[[#This Row],[ETA for New Ark update]]),0)</f>
        <v>45</v>
      </c>
      <c r="BC171" s="343" t="str">
        <f>_xlfn.XLOOKUP(ESS_DATA[[#This Row],[PORT DESTINATION]],Table12[PORT DESTINATION],Table12[Cosco Line],,0)</f>
        <v>AEM</v>
      </c>
      <c r="BD171" s="343"/>
      <c r="BE171" s="350"/>
      <c r="BF171" s="350"/>
      <c r="BG171" s="350"/>
      <c r="BH171" s="350"/>
      <c r="BI171" s="350"/>
    </row>
    <row r="172" spans="1:61" s="613" customFormat="1" ht="12" customHeight="1">
      <c r="A172" s="351" t="s">
        <v>8282</v>
      </c>
      <c r="B172" s="340" t="s">
        <v>7814</v>
      </c>
      <c r="C172" s="340" t="str">
        <f>IFERROR(LEFT(ESS_DATA[[#This Row],[TCL REFERENCE]],FIND(".",ESS_DATA[[#This Row],[TCL REFERENCE]],1)-1),"Main Line")</f>
        <v>26AUG005</v>
      </c>
      <c r="D172" s="340" t="s">
        <v>63</v>
      </c>
      <c r="E172" s="652" t="s">
        <v>64</v>
      </c>
      <c r="F172" s="651" t="s">
        <v>65</v>
      </c>
      <c r="G172" s="340" t="s">
        <v>402</v>
      </c>
      <c r="H172" s="651" t="s">
        <v>67</v>
      </c>
      <c r="I172" s="344"/>
      <c r="J172" s="346"/>
      <c r="K172" s="612" t="s">
        <v>8264</v>
      </c>
      <c r="L172" s="340"/>
      <c r="M172" s="342" t="s">
        <v>68</v>
      </c>
      <c r="N172" s="651" t="s">
        <v>7851</v>
      </c>
      <c r="O172" s="651" t="s">
        <v>7852</v>
      </c>
      <c r="P172" s="651" t="s">
        <v>7853</v>
      </c>
      <c r="Q172" s="340"/>
      <c r="R172" s="616">
        <v>552</v>
      </c>
      <c r="S172" s="340"/>
      <c r="T172" s="347"/>
      <c r="U172" s="346">
        <f>ESS_DATA[[#This Row],[QUANTITY]]/276</f>
        <v>2</v>
      </c>
      <c r="V172" s="655" t="s">
        <v>8283</v>
      </c>
      <c r="W172" s="665" t="s">
        <v>4378</v>
      </c>
      <c r="X172" s="343" t="str">
        <f t="shared" si="6"/>
        <v>IN-TRANSIT</v>
      </c>
      <c r="Y172" s="664">
        <v>46267</v>
      </c>
      <c r="Z172" s="349">
        <v>46282</v>
      </c>
      <c r="AA172" s="348">
        <f>WEEKNUM(ESS_DATA[[#This Row],[Pick-Up Date]])</f>
        <v>38</v>
      </c>
      <c r="AB172" s="1152" t="s">
        <v>8284</v>
      </c>
      <c r="AC172" s="347"/>
      <c r="AD172" s="340" t="s">
        <v>122</v>
      </c>
      <c r="AE172" s="340" t="s">
        <v>123</v>
      </c>
      <c r="AF172" s="340" t="s">
        <v>78</v>
      </c>
      <c r="AG172" s="347">
        <v>46279</v>
      </c>
      <c r="AH172" s="347">
        <v>46297</v>
      </c>
      <c r="AI172" s="347">
        <v>46297</v>
      </c>
      <c r="AJ172" s="347">
        <v>46323</v>
      </c>
      <c r="AK172" s="347">
        <v>46337</v>
      </c>
      <c r="AL172" s="347"/>
      <c r="AM172" s="343" t="s">
        <v>402</v>
      </c>
      <c r="AN172" s="343" t="s">
        <v>8285</v>
      </c>
      <c r="AO172" s="347" t="s">
        <v>161</v>
      </c>
      <c r="AP172" s="347" t="s">
        <v>8286</v>
      </c>
      <c r="AQ172" s="343">
        <v>276027831</v>
      </c>
      <c r="AR172" s="340">
        <v>276027831</v>
      </c>
      <c r="AS172" s="340">
        <f>ESS_DATA[[#This Row],[ETA On S/O]]-ESS_DATA[[#This Row],[ETD On S/O]]+1</f>
        <v>45</v>
      </c>
      <c r="AT172" s="340"/>
      <c r="AU172" s="347" cm="1">
        <f t="array" ref="AU17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46337</v>
      </c>
      <c r="AV17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72" s="14" t="str">
        <f>IF(ISERROR(ESS_DATA[[#This Row],[New Ark PO status]]),"",_xlfn.XLOOKUP(ESS_DATA[[#This Row],[SPTN-PVHK New Ark PO'#]],New_Ark_Data[Purchase order Number],New_Ark_Data[Estimated time of arrival],"",0))</f>
        <v/>
      </c>
      <c r="AX172" s="340">
        <f>IF(ESS_DATA[[#This Row],[New Ark PO Type]]="Offshore",0,IFERROR(VLOOKUP(ESS_DATA[[#This Row],[PORT OF LOADING]]&amp;ESS_DATA[[#This Row],[PORT DESTINATION]],LT_REF[],7,0),14))</f>
        <v>8</v>
      </c>
      <c r="AY172" s="347">
        <f>IFERROR(ESS_DATA[[#This Row],[ODP ETA Port]]+ESS_DATA[[#This Row],[Customs/Leg3 Assumption]],"n/a")</f>
        <v>46345</v>
      </c>
      <c r="AZ172" s="343">
        <f>YEAR(ESS_DATA[[#This Row],[ETA for New Ark update]])</f>
        <v>2026</v>
      </c>
      <c r="BA172" s="343">
        <f>MONTH(ESS_DATA[[#This Row],[ETA for New Ark update]])</f>
        <v>11</v>
      </c>
      <c r="BB172" s="343">
        <f>IFERROR(_xlfn.ISOWEEKNUM(ESS_DATA[[#This Row],[ETA for New Ark update]]),0)</f>
        <v>47</v>
      </c>
      <c r="BC172" s="343" t="str">
        <f>_xlfn.XLOOKUP(ESS_DATA[[#This Row],[PORT DESTINATION]],Table12[PORT DESTINATION],Table12[Cosco Line],,0)</f>
        <v>AEM</v>
      </c>
      <c r="BD172" s="343"/>
      <c r="BE172" s="350"/>
      <c r="BF172" s="350"/>
      <c r="BG172" s="350"/>
      <c r="BH172" s="350"/>
      <c r="BI172" s="350"/>
    </row>
    <row r="173" spans="1:61" s="613" customFormat="1" ht="12" customHeight="1">
      <c r="A173" s="351" t="s">
        <v>8287</v>
      </c>
      <c r="B173" s="340" t="s">
        <v>7814</v>
      </c>
      <c r="C173" s="340" t="str">
        <f>IFERROR(LEFT(ESS_DATA[[#This Row],[TCL REFERENCE]],FIND(".",ESS_DATA[[#This Row],[TCL REFERENCE]],1)-1),"Main Line")</f>
        <v>26AUG005</v>
      </c>
      <c r="D173" s="340" t="s">
        <v>63</v>
      </c>
      <c r="E173" s="652" t="s">
        <v>64</v>
      </c>
      <c r="F173" s="651" t="s">
        <v>65</v>
      </c>
      <c r="G173" s="340" t="s">
        <v>402</v>
      </c>
      <c r="H173" s="651" t="s">
        <v>67</v>
      </c>
      <c r="I173" s="344"/>
      <c r="J173" s="346"/>
      <c r="K173" s="612" t="s">
        <v>8264</v>
      </c>
      <c r="L173" s="340"/>
      <c r="M173" s="342" t="s">
        <v>68</v>
      </c>
      <c r="N173" s="651" t="s">
        <v>7851</v>
      </c>
      <c r="O173" s="651" t="s">
        <v>7852</v>
      </c>
      <c r="P173" s="651" t="s">
        <v>7853</v>
      </c>
      <c r="Q173" s="340"/>
      <c r="R173" s="616">
        <v>552</v>
      </c>
      <c r="S173" s="340"/>
      <c r="T173" s="347"/>
      <c r="U173" s="346">
        <f>ESS_DATA[[#This Row],[QUANTITY]]/276</f>
        <v>2</v>
      </c>
      <c r="V173" s="655" t="s">
        <v>8288</v>
      </c>
      <c r="W173" s="665" t="s">
        <v>4379</v>
      </c>
      <c r="X173" s="343" t="str">
        <f t="shared" si="6"/>
        <v>IN-TRANSIT</v>
      </c>
      <c r="Y173" s="664">
        <v>46272</v>
      </c>
      <c r="Z173" s="349">
        <v>46283</v>
      </c>
      <c r="AA173" s="348">
        <f>WEEKNUM(ESS_DATA[[#This Row],[Pick-Up Date]])</f>
        <v>38</v>
      </c>
      <c r="AB173" s="1152" t="s">
        <v>8289</v>
      </c>
      <c r="AC173" s="347"/>
      <c r="AD173" s="340" t="s">
        <v>122</v>
      </c>
      <c r="AE173" s="340" t="s">
        <v>123</v>
      </c>
      <c r="AF173" s="340" t="s">
        <v>78</v>
      </c>
      <c r="AG173" s="347">
        <v>46292</v>
      </c>
      <c r="AH173" s="347">
        <v>46297</v>
      </c>
      <c r="AI173" s="347">
        <v>46298</v>
      </c>
      <c r="AJ173" s="347">
        <v>46337</v>
      </c>
      <c r="AK173" s="347">
        <v>46337</v>
      </c>
      <c r="AL173" s="347"/>
      <c r="AM173" s="343" t="s">
        <v>402</v>
      </c>
      <c r="AN173" s="343" t="s">
        <v>8290</v>
      </c>
      <c r="AO173" s="347" t="s">
        <v>161</v>
      </c>
      <c r="AP173" s="343" t="s">
        <v>8291</v>
      </c>
      <c r="AQ173" s="343">
        <v>276766144</v>
      </c>
      <c r="AR173" s="343">
        <v>276766144</v>
      </c>
      <c r="AS173" s="340">
        <f>ESS_DATA[[#This Row],[ETA On S/O]]-ESS_DATA[[#This Row],[ETD On S/O]]+1</f>
        <v>46</v>
      </c>
      <c r="AT173" s="340"/>
      <c r="AU173" s="347" cm="1">
        <f t="array" ref="AU17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46337</v>
      </c>
      <c r="AV17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73" s="14" t="str">
        <f>IF(ISERROR(ESS_DATA[[#This Row],[New Ark PO status]]),"",_xlfn.XLOOKUP(ESS_DATA[[#This Row],[SPTN-PVHK New Ark PO'#]],New_Ark_Data[Purchase order Number],New_Ark_Data[Estimated time of arrival],"",0))</f>
        <v/>
      </c>
      <c r="AX173" s="340">
        <f>IF(ESS_DATA[[#This Row],[New Ark PO Type]]="Offshore",0,IFERROR(VLOOKUP(ESS_DATA[[#This Row],[PORT OF LOADING]]&amp;ESS_DATA[[#This Row],[PORT DESTINATION]],LT_REF[],7,0),14))</f>
        <v>8</v>
      </c>
      <c r="AY173" s="347">
        <f>IFERROR(ESS_DATA[[#This Row],[ODP ETA Port]]+ESS_DATA[[#This Row],[Customs/Leg3 Assumption]],"n/a")</f>
        <v>46345</v>
      </c>
      <c r="AZ173" s="343">
        <f>YEAR(ESS_DATA[[#This Row],[ETA for New Ark update]])</f>
        <v>2026</v>
      </c>
      <c r="BA173" s="343">
        <f>MONTH(ESS_DATA[[#This Row],[ETA for New Ark update]])</f>
        <v>11</v>
      </c>
      <c r="BB173" s="343">
        <f>IFERROR(_xlfn.ISOWEEKNUM(ESS_DATA[[#This Row],[ETA for New Ark update]]),0)</f>
        <v>47</v>
      </c>
      <c r="BC173" s="343" t="str">
        <f>_xlfn.XLOOKUP(ESS_DATA[[#This Row],[PORT DESTINATION]],Table12[PORT DESTINATION],Table12[Cosco Line],,0)</f>
        <v>AEM</v>
      </c>
      <c r="BD173" s="343"/>
      <c r="BE173" s="350"/>
      <c r="BF173" s="350"/>
      <c r="BG173" s="350"/>
      <c r="BH173" s="350"/>
      <c r="BI173" s="350"/>
    </row>
    <row r="174" spans="1:61" s="882" customFormat="1" ht="13.5" customHeight="1">
      <c r="A174" s="868" t="s">
        <v>8292</v>
      </c>
      <c r="B174" s="869" t="s">
        <v>8293</v>
      </c>
      <c r="C174" s="869" t="str">
        <f>IFERROR(LEFT(ESS_DATA[[#This Row],[TCL REFERENCE]],FIND(".",ESS_DATA[[#This Row],[TCL REFERENCE]],1)-1),"Main Line")</f>
        <v>Main Line</v>
      </c>
      <c r="D174" s="869" t="s">
        <v>63</v>
      </c>
      <c r="E174" s="869" t="s">
        <v>64</v>
      </c>
      <c r="F174" s="870" t="s">
        <v>100</v>
      </c>
      <c r="G174" s="869" t="s">
        <v>402</v>
      </c>
      <c r="H174" s="869" t="s">
        <v>67</v>
      </c>
      <c r="I174" s="870"/>
      <c r="J174" s="869"/>
      <c r="K174" s="869"/>
      <c r="L174" s="871"/>
      <c r="M174" s="872" t="s">
        <v>68</v>
      </c>
      <c r="N174" s="873" t="s">
        <v>8294</v>
      </c>
      <c r="O174" s="868" t="s">
        <v>8295</v>
      </c>
      <c r="P174" s="868" t="s">
        <v>8296</v>
      </c>
      <c r="Q174" s="874"/>
      <c r="R174" s="875">
        <v>30</v>
      </c>
      <c r="S174" s="876"/>
      <c r="T174" s="869"/>
      <c r="U174" s="877">
        <f>ESS_DATA[[#This Row],[QUANTITY]]/10</f>
        <v>3</v>
      </c>
      <c r="V174" s="878" t="s">
        <v>8297</v>
      </c>
      <c r="W174" s="869" t="s">
        <v>8298</v>
      </c>
      <c r="X174" s="869" t="str">
        <f t="shared" ref="X174:X184" si="7">IF(AL174&lt;&gt;"","COMPLETED",IF(AI174&lt;&gt;"","IN-TRANSIT",""))</f>
        <v>COMPLETED</v>
      </c>
      <c r="Y174" s="919">
        <v>46251</v>
      </c>
      <c r="Z174" s="879">
        <v>46260</v>
      </c>
      <c r="AA174" s="880">
        <f>WEEKNUM(ESS_DATA[[#This Row],[Pick-Up Date]])</f>
        <v>35</v>
      </c>
      <c r="AB174" s="869" t="s">
        <v>8299</v>
      </c>
      <c r="AC174" s="869"/>
      <c r="AD174" s="869" t="s">
        <v>7981</v>
      </c>
      <c r="AE174" s="869" t="s">
        <v>7981</v>
      </c>
      <c r="AF174" s="869" t="s">
        <v>105</v>
      </c>
      <c r="AG174" s="879">
        <v>46264</v>
      </c>
      <c r="AH174" s="879">
        <v>46267</v>
      </c>
      <c r="AI174" s="879">
        <v>46267</v>
      </c>
      <c r="AJ174" s="879">
        <v>46295</v>
      </c>
      <c r="AK174" s="879">
        <v>46299</v>
      </c>
      <c r="AL174" s="879">
        <v>46301</v>
      </c>
      <c r="AM174" s="879" t="s">
        <v>402</v>
      </c>
      <c r="AN174" s="879" t="s">
        <v>5894</v>
      </c>
      <c r="AO174" s="879" t="s">
        <v>161</v>
      </c>
      <c r="AP174" s="879" t="s">
        <v>8300</v>
      </c>
      <c r="AQ174" s="968" t="s">
        <v>8301</v>
      </c>
      <c r="AR174" s="968" t="s">
        <v>8302</v>
      </c>
      <c r="AS174" s="869">
        <f>ESS_DATA[[#This Row],[ETA On S/O]]-ESS_DATA[[#This Row],[ETD On S/O]]+1</f>
        <v>32</v>
      </c>
      <c r="AT174" s="869"/>
      <c r="AU174" s="879" cm="1">
        <f t="array" ref="AU17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46301</v>
      </c>
      <c r="AV17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In Transit-Approved</v>
      </c>
      <c r="AW174" s="14">
        <f>IF(ISERROR(ESS_DATA[[#This Row],[New Ark PO status]]),"",_xlfn.XLOOKUP(ESS_DATA[[#This Row],[SPTN-PVHK New Ark PO'#]],New_Ark_Data[Purchase order Number],New_Ark_Data[Estimated time of arrival],"",0))</f>
        <v>46312</v>
      </c>
      <c r="AX174" s="869">
        <f>IF(ESS_DATA[[#This Row],[New Ark PO Type]]="Offshore",0,IFERROR(VLOOKUP(ESS_DATA[[#This Row],[PORT OF LOADING]]&amp;ESS_DATA[[#This Row],[PORT DESTINATION]],LT_REF[],7,0),14))</f>
        <v>14</v>
      </c>
      <c r="AY174" s="879">
        <f>IFERROR(ESS_DATA[[#This Row],[ODP ETA Port]]+ESS_DATA[[#This Row],[Customs/Leg3 Assumption]],"n/a")</f>
        <v>46315</v>
      </c>
      <c r="AZ174" s="870">
        <f>YEAR(ESS_DATA[[#This Row],[ETA for New Ark update]])</f>
        <v>2026</v>
      </c>
      <c r="BA174" s="870">
        <f>MONTH(ESS_DATA[[#This Row],[ETA for New Ark update]])</f>
        <v>10</v>
      </c>
      <c r="BB174" s="870">
        <f>IFERROR(_xlfn.ISOWEEKNUM(ESS_DATA[[#This Row],[ETA for New Ark update]]),0)</f>
        <v>43</v>
      </c>
      <c r="BC174" s="870" t="str">
        <f>_xlfn.XLOOKUP(ESS_DATA[[#This Row],[PORT DESTINATION]],Table12[PORT DESTINATION],Table12[Cosco Line],,0)</f>
        <v>AEU</v>
      </c>
      <c r="BD174" s="870"/>
      <c r="BE174" s="881"/>
      <c r="BF174" s="881"/>
      <c r="BG174" s="881"/>
      <c r="BH174" s="881"/>
      <c r="BI174" s="881"/>
    </row>
    <row r="175" spans="1:61" s="691" customFormat="1" ht="13.5" customHeight="1">
      <c r="A175" s="172" t="s">
        <v>8303</v>
      </c>
      <c r="B175" s="41" t="s">
        <v>8304</v>
      </c>
      <c r="C175" s="41" t="str">
        <f>IFERROR(LEFT(ESS_DATA[[#This Row],[TCL REFERENCE]],FIND(".",ESS_DATA[[#This Row],[TCL REFERENCE]],1)-1),"Main Line")</f>
        <v>26AUG010</v>
      </c>
      <c r="D175" s="529" t="s">
        <v>68</v>
      </c>
      <c r="E175" s="529" t="s">
        <v>68</v>
      </c>
      <c r="F175" s="529" t="s">
        <v>68</v>
      </c>
      <c r="G175" s="41"/>
      <c r="H175" s="41" t="s">
        <v>8019</v>
      </c>
      <c r="I175" s="490"/>
      <c r="J175" s="41" t="s">
        <v>949</v>
      </c>
      <c r="K175" s="41"/>
      <c r="L175" s="535"/>
      <c r="M175" s="225"/>
      <c r="N175" s="692" t="s">
        <v>8305</v>
      </c>
      <c r="O175" s="692" t="s">
        <v>8306</v>
      </c>
      <c r="P175" s="692" t="s">
        <v>8307</v>
      </c>
      <c r="Q175" s="689"/>
      <c r="R175" s="690">
        <v>53</v>
      </c>
      <c r="S175" s="495"/>
      <c r="T175" s="41"/>
      <c r="U175" s="491">
        <f>ESS_DATA[[#This Row],[QUANTITY]]/124</f>
        <v>0.42741935483870969</v>
      </c>
      <c r="V175" s="530" t="s">
        <v>8308</v>
      </c>
      <c r="W175" s="865" t="s">
        <v>8309</v>
      </c>
      <c r="X175" s="866" t="str">
        <f t="shared" si="7"/>
        <v>COMPLETED</v>
      </c>
      <c r="Y175" s="867">
        <v>46252</v>
      </c>
      <c r="Z175" s="37">
        <v>46255</v>
      </c>
      <c r="AA175" s="492">
        <f>WEEKNUM(ESS_DATA[[#This Row],[Pick-Up Date]])</f>
        <v>34</v>
      </c>
      <c r="AB175" s="41" t="s">
        <v>7543</v>
      </c>
      <c r="AC175" s="41"/>
      <c r="AD175" s="225" t="s">
        <v>288</v>
      </c>
      <c r="AE175" s="225" t="s">
        <v>288</v>
      </c>
      <c r="AF175" s="41" t="s">
        <v>8310</v>
      </c>
      <c r="AG175" s="37">
        <v>46262</v>
      </c>
      <c r="AH175" s="37">
        <v>46264</v>
      </c>
      <c r="AI175" s="37">
        <v>46265</v>
      </c>
      <c r="AJ175" s="37">
        <v>46267</v>
      </c>
      <c r="AK175" s="37">
        <v>46270</v>
      </c>
      <c r="AL175" s="37">
        <v>46270</v>
      </c>
      <c r="AM175" s="529" t="s">
        <v>402</v>
      </c>
      <c r="AN175" s="37" t="s">
        <v>8311</v>
      </c>
      <c r="AO175" s="37" t="s">
        <v>161</v>
      </c>
      <c r="AP175" s="41" t="s">
        <v>7543</v>
      </c>
      <c r="AQ175" s="41" t="s">
        <v>8312</v>
      </c>
      <c r="AR175" s="41" t="s">
        <v>8312</v>
      </c>
      <c r="AS175" s="41">
        <f>ESS_DATA[[#This Row],[ETA On S/O]]-ESS_DATA[[#This Row],[ETD On S/O]]+1</f>
        <v>6</v>
      </c>
      <c r="AT175" s="41"/>
      <c r="AU175" s="37" cm="1">
        <f t="array" ref="AU17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46270</v>
      </c>
      <c r="AV17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75" s="14" t="str">
        <f>IF(ISERROR(ESS_DATA[[#This Row],[New Ark PO status]]),"",_xlfn.XLOOKUP(ESS_DATA[[#This Row],[SPTN-PVHK New Ark PO'#]],New_Ark_Data[Purchase order Number],New_Ark_Data[Estimated time of arrival],"",0))</f>
        <v/>
      </c>
      <c r="AX175" s="41">
        <f>IF(ESS_DATA[[#This Row],[New Ark PO Type]]="Offshore",0,IFERROR(VLOOKUP(ESS_DATA[[#This Row],[PORT OF LOADING]]&amp;ESS_DATA[[#This Row],[PORT DESTINATION]],LT_REF[],7,0),14))</f>
        <v>14</v>
      </c>
      <c r="AY175" s="37">
        <f>IFERROR(ESS_DATA[[#This Row],[ODP ETA Port]]+ESS_DATA[[#This Row],[Customs/Leg3 Assumption]],"n/a")</f>
        <v>46284</v>
      </c>
      <c r="AZ175" s="178">
        <f>YEAR(ESS_DATA[[#This Row],[ETA for New Ark update]])</f>
        <v>2026</v>
      </c>
      <c r="BA175" s="178">
        <f>MONTH(ESS_DATA[[#This Row],[ETA for New Ark update]])</f>
        <v>9</v>
      </c>
      <c r="BB175" s="178">
        <f>IFERROR(_xlfn.ISOWEEKNUM(ESS_DATA[[#This Row],[ETA for New Ark update]]),0)</f>
        <v>38</v>
      </c>
      <c r="BC175" s="178" t="e">
        <f>_xlfn.XLOOKUP(ESS_DATA[[#This Row],[PORT DESTINATION]],Table12[PORT DESTINATION],Table12[Cosco Line],,0)</f>
        <v>#N/A</v>
      </c>
      <c r="BD175" s="178"/>
      <c r="BE175" s="175"/>
      <c r="BF175" s="175"/>
      <c r="BG175" s="175"/>
      <c r="BH175" s="175"/>
      <c r="BI175" s="175"/>
    </row>
    <row r="176" spans="1:61" s="691" customFormat="1" ht="15.75" customHeight="1">
      <c r="A176" s="172" t="s">
        <v>8313</v>
      </c>
      <c r="B176" s="41" t="s">
        <v>8304</v>
      </c>
      <c r="C176" s="41" t="str">
        <f>IFERROR(LEFT(ESS_DATA[[#This Row],[TCL REFERENCE]],FIND(".",ESS_DATA[[#This Row],[TCL REFERENCE]],1)-1),"Main Line")</f>
        <v>26AUG011</v>
      </c>
      <c r="D176" s="529" t="s">
        <v>68</v>
      </c>
      <c r="E176" s="529" t="s">
        <v>68</v>
      </c>
      <c r="F176" s="529" t="s">
        <v>68</v>
      </c>
      <c r="G176" s="41"/>
      <c r="H176" s="41" t="s">
        <v>8019</v>
      </c>
      <c r="I176" s="490"/>
      <c r="J176" s="41" t="s">
        <v>949</v>
      </c>
      <c r="K176" s="41"/>
      <c r="L176" s="535"/>
      <c r="M176" s="225"/>
      <c r="N176" s="692" t="s">
        <v>8314</v>
      </c>
      <c r="O176" s="692" t="s">
        <v>8315</v>
      </c>
      <c r="P176" s="692" t="s">
        <v>8316</v>
      </c>
      <c r="Q176" s="689"/>
      <c r="R176" s="690">
        <v>53</v>
      </c>
      <c r="S176" s="495"/>
      <c r="T176" s="41"/>
      <c r="U176" s="491">
        <f>ESS_DATA[[#This Row],[QUANTITY]]/124</f>
        <v>0.42741935483870969</v>
      </c>
      <c r="V176" s="530" t="s">
        <v>8308</v>
      </c>
      <c r="W176" s="865" t="s">
        <v>8309</v>
      </c>
      <c r="X176" s="866" t="str">
        <f t="shared" si="7"/>
        <v>COMPLETED</v>
      </c>
      <c r="Y176" s="867">
        <v>46252</v>
      </c>
      <c r="Z176" s="37">
        <v>46255</v>
      </c>
      <c r="AA176" s="492">
        <f>WEEKNUM(ESS_DATA[[#This Row],[Pick-Up Date]])</f>
        <v>34</v>
      </c>
      <c r="AB176" s="41" t="s">
        <v>7543</v>
      </c>
      <c r="AC176" s="41"/>
      <c r="AD176" s="225" t="s">
        <v>288</v>
      </c>
      <c r="AE176" s="225" t="s">
        <v>288</v>
      </c>
      <c r="AF176" s="41" t="s">
        <v>8310</v>
      </c>
      <c r="AG176" s="37">
        <v>46262</v>
      </c>
      <c r="AH176" s="37">
        <v>46264</v>
      </c>
      <c r="AI176" s="37">
        <v>46265</v>
      </c>
      <c r="AJ176" s="37">
        <v>46267</v>
      </c>
      <c r="AK176" s="37">
        <v>46270</v>
      </c>
      <c r="AL176" s="37">
        <v>46270</v>
      </c>
      <c r="AM176" s="529" t="s">
        <v>402</v>
      </c>
      <c r="AN176" s="37" t="s">
        <v>8311</v>
      </c>
      <c r="AO176" s="37" t="s">
        <v>161</v>
      </c>
      <c r="AP176" s="41" t="s">
        <v>7543</v>
      </c>
      <c r="AQ176" s="41" t="s">
        <v>8312</v>
      </c>
      <c r="AR176" s="41" t="s">
        <v>8312</v>
      </c>
      <c r="AS176" s="41">
        <f>ESS_DATA[[#This Row],[ETA On S/O]]-ESS_DATA[[#This Row],[ETD On S/O]]+1</f>
        <v>6</v>
      </c>
      <c r="AT176" s="41"/>
      <c r="AU176" s="37" cm="1">
        <f t="array" ref="AU17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46270</v>
      </c>
      <c r="AV17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76" s="14" t="str">
        <f>IF(ISERROR(ESS_DATA[[#This Row],[New Ark PO status]]),"",_xlfn.XLOOKUP(ESS_DATA[[#This Row],[SPTN-PVHK New Ark PO'#]],New_Ark_Data[Purchase order Number],New_Ark_Data[Estimated time of arrival],"",0))</f>
        <v/>
      </c>
      <c r="AX176" s="41">
        <f>IF(ESS_DATA[[#This Row],[New Ark PO Type]]="Offshore",0,IFERROR(VLOOKUP(ESS_DATA[[#This Row],[PORT OF LOADING]]&amp;ESS_DATA[[#This Row],[PORT DESTINATION]],LT_REF[],7,0),14))</f>
        <v>14</v>
      </c>
      <c r="AY176" s="37">
        <f>IFERROR(ESS_DATA[[#This Row],[ODP ETA Port]]+ESS_DATA[[#This Row],[Customs/Leg3 Assumption]],"n/a")</f>
        <v>46284</v>
      </c>
      <c r="AZ176" s="178">
        <f>YEAR(ESS_DATA[[#This Row],[ETA for New Ark update]])</f>
        <v>2026</v>
      </c>
      <c r="BA176" s="178">
        <f>MONTH(ESS_DATA[[#This Row],[ETA for New Ark update]])</f>
        <v>9</v>
      </c>
      <c r="BB176" s="178">
        <f>IFERROR(_xlfn.ISOWEEKNUM(ESS_DATA[[#This Row],[ETA for New Ark update]]),0)</f>
        <v>38</v>
      </c>
      <c r="BC176" s="178" t="e">
        <f>_xlfn.XLOOKUP(ESS_DATA[[#This Row],[PORT DESTINATION]],Table12[PORT DESTINATION],Table12[Cosco Line],,0)</f>
        <v>#N/A</v>
      </c>
      <c r="BD176" s="178"/>
      <c r="BE176" s="175"/>
      <c r="BF176" s="175"/>
      <c r="BG176" s="175"/>
      <c r="BH176" s="175"/>
      <c r="BI176" s="175"/>
    </row>
    <row r="177" spans="1:61" s="691" customFormat="1" ht="15.75" customHeight="1">
      <c r="A177" s="172" t="s">
        <v>8317</v>
      </c>
      <c r="B177" s="41" t="s">
        <v>8304</v>
      </c>
      <c r="C177" s="41" t="str">
        <f>IFERROR(LEFT(ESS_DATA[[#This Row],[TCL REFERENCE]],FIND(".",ESS_DATA[[#This Row],[TCL REFERENCE]],1)-1),"Main Line")</f>
        <v>Main Line</v>
      </c>
      <c r="D177" s="529" t="s">
        <v>68</v>
      </c>
      <c r="E177" s="529" t="s">
        <v>68</v>
      </c>
      <c r="F177" s="529" t="s">
        <v>68</v>
      </c>
      <c r="G177" s="41"/>
      <c r="H177" s="41" t="s">
        <v>8019</v>
      </c>
      <c r="I177" s="490"/>
      <c r="J177" s="41" t="s">
        <v>949</v>
      </c>
      <c r="K177" s="41"/>
      <c r="L177" s="535"/>
      <c r="M177" s="225"/>
      <c r="N177" s="692" t="s">
        <v>8318</v>
      </c>
      <c r="O177" s="692" t="s">
        <v>8319</v>
      </c>
      <c r="P177" s="692" t="s">
        <v>8320</v>
      </c>
      <c r="Q177" s="494"/>
      <c r="R177" s="490">
        <v>16</v>
      </c>
      <c r="S177" s="495"/>
      <c r="T177" s="41"/>
      <c r="U177" s="491">
        <f>ESS_DATA[[#This Row],[QUANTITY]]/124</f>
        <v>0.12903225806451613</v>
      </c>
      <c r="V177" s="530" t="s">
        <v>8308</v>
      </c>
      <c r="W177" s="865" t="s">
        <v>8309</v>
      </c>
      <c r="X177" s="866" t="str">
        <f t="shared" si="7"/>
        <v>COMPLETED</v>
      </c>
      <c r="Y177" s="867">
        <v>46252</v>
      </c>
      <c r="Z177" s="37">
        <v>46255</v>
      </c>
      <c r="AA177" s="492">
        <f>WEEKNUM(ESS_DATA[[#This Row],[Pick-Up Date]])</f>
        <v>34</v>
      </c>
      <c r="AB177" s="41" t="s">
        <v>7543</v>
      </c>
      <c r="AC177" s="41"/>
      <c r="AD177" s="225" t="s">
        <v>288</v>
      </c>
      <c r="AE177" s="225" t="s">
        <v>288</v>
      </c>
      <c r="AF177" s="41" t="s">
        <v>8310</v>
      </c>
      <c r="AG177" s="37">
        <v>46262</v>
      </c>
      <c r="AH177" s="37">
        <v>46264</v>
      </c>
      <c r="AI177" s="37">
        <v>46265</v>
      </c>
      <c r="AJ177" s="37">
        <v>46267</v>
      </c>
      <c r="AK177" s="37">
        <v>46270</v>
      </c>
      <c r="AL177" s="37">
        <v>46270</v>
      </c>
      <c r="AM177" s="529" t="s">
        <v>402</v>
      </c>
      <c r="AN177" s="37" t="s">
        <v>8311</v>
      </c>
      <c r="AO177" s="37" t="s">
        <v>161</v>
      </c>
      <c r="AP177" s="41" t="s">
        <v>7543</v>
      </c>
      <c r="AQ177" s="41" t="s">
        <v>8312</v>
      </c>
      <c r="AR177" s="41" t="s">
        <v>8312</v>
      </c>
      <c r="AS177" s="41">
        <f>ESS_DATA[[#This Row],[ETA On S/O]]-ESS_DATA[[#This Row],[ETD On S/O]]+1</f>
        <v>6</v>
      </c>
      <c r="AT177" s="41"/>
      <c r="AU177" s="37" cm="1">
        <f t="array" ref="AU17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46270</v>
      </c>
      <c r="AV17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77" s="14" t="str">
        <f>IF(ISERROR(ESS_DATA[[#This Row],[New Ark PO status]]),"",_xlfn.XLOOKUP(ESS_DATA[[#This Row],[SPTN-PVHK New Ark PO'#]],New_Ark_Data[Purchase order Number],New_Ark_Data[Estimated time of arrival],"",0))</f>
        <v/>
      </c>
      <c r="AX177" s="41">
        <f>IF(ESS_DATA[[#This Row],[New Ark PO Type]]="Offshore",0,IFERROR(VLOOKUP(ESS_DATA[[#This Row],[PORT OF LOADING]]&amp;ESS_DATA[[#This Row],[PORT DESTINATION]],LT_REF[],7,0),14))</f>
        <v>14</v>
      </c>
      <c r="AY177" s="37">
        <f>IFERROR(ESS_DATA[[#This Row],[ODP ETA Port]]+ESS_DATA[[#This Row],[Customs/Leg3 Assumption]],"n/a")</f>
        <v>46284</v>
      </c>
      <c r="AZ177" s="178">
        <f>YEAR(ESS_DATA[[#This Row],[ETA for New Ark update]])</f>
        <v>2026</v>
      </c>
      <c r="BA177" s="178">
        <f>MONTH(ESS_DATA[[#This Row],[ETA for New Ark update]])</f>
        <v>9</v>
      </c>
      <c r="BB177" s="178">
        <f>IFERROR(_xlfn.ISOWEEKNUM(ESS_DATA[[#This Row],[ETA for New Ark update]]),0)</f>
        <v>38</v>
      </c>
      <c r="BC177" s="178" t="e">
        <f>_xlfn.XLOOKUP(ESS_DATA[[#This Row],[PORT DESTINATION]],Table12[PORT DESTINATION],Table12[Cosco Line],,0)</f>
        <v>#N/A</v>
      </c>
      <c r="BD177" s="178"/>
      <c r="BE177" s="175"/>
      <c r="BF177" s="175"/>
      <c r="BG177" s="175"/>
      <c r="BH177" s="175"/>
      <c r="BI177" s="175"/>
    </row>
    <row r="178" spans="1:61" s="691" customFormat="1" ht="15.75" customHeight="1">
      <c r="A178" s="172" t="s">
        <v>8321</v>
      </c>
      <c r="B178" s="41" t="s">
        <v>8304</v>
      </c>
      <c r="C178" s="41" t="str">
        <f>IFERROR(LEFT(ESS_DATA[[#This Row],[TCL REFERENCE]],FIND(".",ESS_DATA[[#This Row],[TCL REFERENCE]],1)-1),"Main Line")</f>
        <v>26AUG010</v>
      </c>
      <c r="D178" s="529" t="s">
        <v>68</v>
      </c>
      <c r="E178" s="529" t="s">
        <v>68</v>
      </c>
      <c r="F178" s="529" t="s">
        <v>68</v>
      </c>
      <c r="G178" s="41"/>
      <c r="H178" s="41" t="s">
        <v>8019</v>
      </c>
      <c r="I178" s="490"/>
      <c r="J178" s="41" t="s">
        <v>949</v>
      </c>
      <c r="K178" s="41"/>
      <c r="L178" s="535"/>
      <c r="M178" s="225"/>
      <c r="N178" s="692" t="s">
        <v>8305</v>
      </c>
      <c r="O178" s="692" t="s">
        <v>8306</v>
      </c>
      <c r="P178" s="692" t="s">
        <v>8307</v>
      </c>
      <c r="Q178" s="494"/>
      <c r="R178" s="490">
        <v>1</v>
      </c>
      <c r="S178" s="495"/>
      <c r="T178" s="41"/>
      <c r="U178" s="491">
        <f>ESS_DATA[[#This Row],[QUANTITY]]/124</f>
        <v>8.0645161290322578E-3</v>
      </c>
      <c r="V178" s="530" t="s">
        <v>8308</v>
      </c>
      <c r="W178" s="865" t="s">
        <v>8309</v>
      </c>
      <c r="X178" s="178" t="str">
        <f t="shared" si="7"/>
        <v>COMPLETED</v>
      </c>
      <c r="Y178" s="867">
        <v>46252</v>
      </c>
      <c r="Z178" s="37">
        <v>46255</v>
      </c>
      <c r="AA178" s="492">
        <f>WEEKNUM(ESS_DATA[[#This Row],[Pick-Up Date]])</f>
        <v>34</v>
      </c>
      <c r="AB178" s="41" t="s">
        <v>7543</v>
      </c>
      <c r="AC178" s="41"/>
      <c r="AD178" s="225" t="s">
        <v>288</v>
      </c>
      <c r="AE178" s="225" t="s">
        <v>288</v>
      </c>
      <c r="AF178" s="41" t="s">
        <v>8310</v>
      </c>
      <c r="AG178" s="37">
        <v>46262</v>
      </c>
      <c r="AH178" s="37">
        <v>46264</v>
      </c>
      <c r="AI178" s="37">
        <v>46265</v>
      </c>
      <c r="AJ178" s="37">
        <v>46267</v>
      </c>
      <c r="AK178" s="37">
        <v>46270</v>
      </c>
      <c r="AL178" s="37">
        <v>46270</v>
      </c>
      <c r="AM178" s="529" t="s">
        <v>402</v>
      </c>
      <c r="AN178" s="37" t="s">
        <v>8311</v>
      </c>
      <c r="AO178" s="37" t="s">
        <v>161</v>
      </c>
      <c r="AP178" s="41" t="s">
        <v>7543</v>
      </c>
      <c r="AQ178" s="41" t="s">
        <v>8312</v>
      </c>
      <c r="AR178" s="41" t="s">
        <v>8312</v>
      </c>
      <c r="AS178" s="41">
        <f>ESS_DATA[[#This Row],[ETA On S/O]]-ESS_DATA[[#This Row],[ETD On S/O]]+1</f>
        <v>6</v>
      </c>
      <c r="AT178" s="41"/>
      <c r="AU178" s="37" cm="1">
        <f t="array" ref="AU17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46270</v>
      </c>
      <c r="AV17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78" s="14" t="str">
        <f>IF(ISERROR(ESS_DATA[[#This Row],[New Ark PO status]]),"",_xlfn.XLOOKUP(ESS_DATA[[#This Row],[SPTN-PVHK New Ark PO'#]],New_Ark_Data[Purchase order Number],New_Ark_Data[Estimated time of arrival],"",0))</f>
        <v/>
      </c>
      <c r="AX178" s="41">
        <f>IF(ESS_DATA[[#This Row],[New Ark PO Type]]="Offshore",0,IFERROR(VLOOKUP(ESS_DATA[[#This Row],[PORT OF LOADING]]&amp;ESS_DATA[[#This Row],[PORT DESTINATION]],LT_REF[],7,0),14))</f>
        <v>14</v>
      </c>
      <c r="AY178" s="37">
        <f>IFERROR(ESS_DATA[[#This Row],[ODP ETA Port]]+ESS_DATA[[#This Row],[Customs/Leg3 Assumption]],"n/a")</f>
        <v>46284</v>
      </c>
      <c r="AZ178" s="178">
        <f>YEAR(ESS_DATA[[#This Row],[ETA for New Ark update]])</f>
        <v>2026</v>
      </c>
      <c r="BA178" s="178">
        <f>MONTH(ESS_DATA[[#This Row],[ETA for New Ark update]])</f>
        <v>9</v>
      </c>
      <c r="BB178" s="178">
        <f>IFERROR(_xlfn.ISOWEEKNUM(ESS_DATA[[#This Row],[ETA for New Ark update]]),0)</f>
        <v>38</v>
      </c>
      <c r="BC178" s="178" t="e">
        <f>_xlfn.XLOOKUP(ESS_DATA[[#This Row],[PORT DESTINATION]],Table12[PORT DESTINATION],Table12[Cosco Line],,0)</f>
        <v>#N/A</v>
      </c>
      <c r="BD178" s="178"/>
      <c r="BE178" s="175"/>
      <c r="BF178" s="175"/>
      <c r="BG178" s="175"/>
      <c r="BH178" s="175"/>
      <c r="BI178" s="175"/>
    </row>
    <row r="179" spans="1:61" s="691" customFormat="1" ht="15.75" customHeight="1">
      <c r="A179" s="172" t="s">
        <v>8322</v>
      </c>
      <c r="B179" s="41" t="s">
        <v>8304</v>
      </c>
      <c r="C179" s="41" t="str">
        <f>IFERROR(LEFT(ESS_DATA[[#This Row],[TCL REFERENCE]],FIND(".",ESS_DATA[[#This Row],[TCL REFERENCE]],1)-1),"Main Line")</f>
        <v>26AUG011</v>
      </c>
      <c r="D179" s="529" t="s">
        <v>68</v>
      </c>
      <c r="E179" s="529" t="s">
        <v>68</v>
      </c>
      <c r="F179" s="529" t="s">
        <v>68</v>
      </c>
      <c r="G179" s="41"/>
      <c r="H179" s="41" t="s">
        <v>8019</v>
      </c>
      <c r="I179" s="490"/>
      <c r="J179" s="41" t="s">
        <v>949</v>
      </c>
      <c r="K179" s="41"/>
      <c r="L179" s="535"/>
      <c r="M179" s="225"/>
      <c r="N179" s="692" t="s">
        <v>8314</v>
      </c>
      <c r="O179" s="692" t="s">
        <v>8315</v>
      </c>
      <c r="P179" s="692" t="s">
        <v>8316</v>
      </c>
      <c r="Q179" s="494"/>
      <c r="R179" s="490">
        <v>1</v>
      </c>
      <c r="S179" s="495"/>
      <c r="T179" s="41"/>
      <c r="U179" s="491">
        <f>ESS_DATA[[#This Row],[QUANTITY]]/124</f>
        <v>8.0645161290322578E-3</v>
      </c>
      <c r="V179" s="530" t="s">
        <v>8308</v>
      </c>
      <c r="W179" s="865" t="s">
        <v>8309</v>
      </c>
      <c r="X179" s="178" t="str">
        <f t="shared" si="7"/>
        <v>COMPLETED</v>
      </c>
      <c r="Y179" s="867">
        <v>46252</v>
      </c>
      <c r="Z179" s="37">
        <v>46255</v>
      </c>
      <c r="AA179" s="492">
        <f>WEEKNUM(ESS_DATA[[#This Row],[Pick-Up Date]])</f>
        <v>34</v>
      </c>
      <c r="AB179" s="41" t="s">
        <v>7543</v>
      </c>
      <c r="AC179" s="41"/>
      <c r="AD179" s="225" t="s">
        <v>288</v>
      </c>
      <c r="AE179" s="225" t="s">
        <v>288</v>
      </c>
      <c r="AF179" s="41" t="s">
        <v>8310</v>
      </c>
      <c r="AG179" s="37">
        <v>46262</v>
      </c>
      <c r="AH179" s="37">
        <v>46264</v>
      </c>
      <c r="AI179" s="37">
        <v>46265</v>
      </c>
      <c r="AJ179" s="37">
        <v>46267</v>
      </c>
      <c r="AK179" s="37">
        <v>46270</v>
      </c>
      <c r="AL179" s="37">
        <v>46270</v>
      </c>
      <c r="AM179" s="529" t="s">
        <v>402</v>
      </c>
      <c r="AN179" s="37" t="s">
        <v>8311</v>
      </c>
      <c r="AO179" s="37" t="s">
        <v>161</v>
      </c>
      <c r="AP179" s="41" t="s">
        <v>7543</v>
      </c>
      <c r="AQ179" s="41" t="s">
        <v>8312</v>
      </c>
      <c r="AR179" s="41" t="s">
        <v>8312</v>
      </c>
      <c r="AS179" s="41">
        <f>ESS_DATA[[#This Row],[ETA On S/O]]-ESS_DATA[[#This Row],[ETD On S/O]]+1</f>
        <v>6</v>
      </c>
      <c r="AT179" s="41"/>
      <c r="AU179" s="37" cm="1">
        <f t="array" ref="AU17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46270</v>
      </c>
      <c r="AV17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79" s="14" t="str">
        <f>IF(ISERROR(ESS_DATA[[#This Row],[New Ark PO status]]),"",_xlfn.XLOOKUP(ESS_DATA[[#This Row],[SPTN-PVHK New Ark PO'#]],New_Ark_Data[Purchase order Number],New_Ark_Data[Estimated time of arrival],"",0))</f>
        <v/>
      </c>
      <c r="AX179" s="41">
        <f>IF(ESS_DATA[[#This Row],[New Ark PO Type]]="Offshore",0,IFERROR(VLOOKUP(ESS_DATA[[#This Row],[PORT OF LOADING]]&amp;ESS_DATA[[#This Row],[PORT DESTINATION]],LT_REF[],7,0),14))</f>
        <v>14</v>
      </c>
      <c r="AY179" s="37">
        <f>IFERROR(ESS_DATA[[#This Row],[ODP ETA Port]]+ESS_DATA[[#This Row],[Customs/Leg3 Assumption]],"n/a")</f>
        <v>46284</v>
      </c>
      <c r="AZ179" s="178">
        <f>YEAR(ESS_DATA[[#This Row],[ETA for New Ark update]])</f>
        <v>2026</v>
      </c>
      <c r="BA179" s="178">
        <f>MONTH(ESS_DATA[[#This Row],[ETA for New Ark update]])</f>
        <v>9</v>
      </c>
      <c r="BB179" s="178">
        <f>IFERROR(_xlfn.ISOWEEKNUM(ESS_DATA[[#This Row],[ETA for New Ark update]]),0)</f>
        <v>38</v>
      </c>
      <c r="BC179" s="178" t="e">
        <f>_xlfn.XLOOKUP(ESS_DATA[[#This Row],[PORT DESTINATION]],Table12[PORT DESTINATION],Table12[Cosco Line],,0)</f>
        <v>#N/A</v>
      </c>
      <c r="BD179" s="178"/>
      <c r="BE179" s="175"/>
      <c r="BF179" s="175"/>
      <c r="BG179" s="175"/>
      <c r="BH179" s="175"/>
      <c r="BI179" s="175"/>
    </row>
    <row r="180" spans="1:61" s="753" customFormat="1" ht="15.75" customHeight="1">
      <c r="A180" s="738" t="s">
        <v>8323</v>
      </c>
      <c r="B180" s="739" t="s">
        <v>7814</v>
      </c>
      <c r="C180" s="739" t="str">
        <f>IFERROR(LEFT(ESS_DATA[[#This Row],[TCL REFERENCE]],FIND(".",ESS_DATA[[#This Row],[TCL REFERENCE]],1)-1),"Main Line")</f>
        <v>26SEP002</v>
      </c>
      <c r="D180" s="750" t="s">
        <v>63</v>
      </c>
      <c r="E180" s="740" t="s">
        <v>64</v>
      </c>
      <c r="F180" s="740" t="str" cm="1">
        <f t="array" ref="F180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Plan-SPES</v>
      </c>
      <c r="G180" s="739"/>
      <c r="H180" s="739"/>
      <c r="I180" s="742"/>
      <c r="J180" s="739"/>
      <c r="K180" s="739"/>
      <c r="L180" s="743"/>
      <c r="M180" s="744"/>
      <c r="N180" s="745" t="s">
        <v>7828</v>
      </c>
      <c r="O180" s="745" t="s">
        <v>7829</v>
      </c>
      <c r="P180" s="745" t="s">
        <v>7830</v>
      </c>
      <c r="Q180" s="746"/>
      <c r="R180" s="742">
        <v>46</v>
      </c>
      <c r="S180" s="963"/>
      <c r="T180" s="739"/>
      <c r="U180" s="748">
        <f>ESS_DATA[[#This Row],[QUANTITY]]/264</f>
        <v>0.17424242424242425</v>
      </c>
      <c r="V180" s="749" t="s">
        <v>7854</v>
      </c>
      <c r="W180" s="888" t="s">
        <v>8324</v>
      </c>
      <c r="X180" s="741" t="str">
        <f t="shared" si="7"/>
        <v>COMPLETED</v>
      </c>
      <c r="Y180" s="750">
        <v>46267</v>
      </c>
      <c r="Z180" s="750">
        <v>46273</v>
      </c>
      <c r="AA180" s="751">
        <f>WEEKNUM(ESS_DATA[[#This Row],[Pick-Up Date]])</f>
        <v>37</v>
      </c>
      <c r="AB180" s="739" t="s">
        <v>8325</v>
      </c>
      <c r="AC180" s="739"/>
      <c r="AD180" s="970" t="s">
        <v>122</v>
      </c>
      <c r="AE180" s="970" t="s">
        <v>122</v>
      </c>
      <c r="AF180" s="970" t="s">
        <v>124</v>
      </c>
      <c r="AG180" s="750">
        <v>46266</v>
      </c>
      <c r="AH180" s="750">
        <v>46281</v>
      </c>
      <c r="AI180" s="750">
        <v>46281</v>
      </c>
      <c r="AJ180" s="750">
        <v>46306</v>
      </c>
      <c r="AK180" s="750">
        <v>46313</v>
      </c>
      <c r="AL180" s="750">
        <v>46315</v>
      </c>
      <c r="AM180" s="740" t="s">
        <v>402</v>
      </c>
      <c r="AN180" s="750" t="s">
        <v>8326</v>
      </c>
      <c r="AO180" s="750" t="s">
        <v>161</v>
      </c>
      <c r="AP180" s="750" t="s">
        <v>8327</v>
      </c>
      <c r="AQ180" s="739">
        <v>275749171</v>
      </c>
      <c r="AR180" s="739">
        <v>275749171</v>
      </c>
      <c r="AS180" s="739">
        <f>ESS_DATA[[#This Row],[ETA On S/O]]-ESS_DATA[[#This Row],[ETD On S/O]]+1</f>
        <v>41</v>
      </c>
      <c r="AT180" s="739"/>
      <c r="AU180" s="750" cm="1">
        <f t="array" ref="AU18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46315</v>
      </c>
      <c r="AV18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80" s="14" t="str">
        <f>IF(ISERROR(ESS_DATA[[#This Row],[New Ark PO status]]),"",_xlfn.XLOOKUP(ESS_DATA[[#This Row],[SPTN-PVHK New Ark PO'#]],New_Ark_Data[Purchase order Number],New_Ark_Data[Estimated time of arrival],"",0))</f>
        <v/>
      </c>
      <c r="AX180" s="739">
        <f>IF(ESS_DATA[[#This Row],[New Ark PO Type]]="Offshore",0,IFERROR(VLOOKUP(ESS_DATA[[#This Row],[PORT OF LOADING]]&amp;ESS_DATA[[#This Row],[PORT DESTINATION]],LT_REF[],7,0),14))</f>
        <v>9</v>
      </c>
      <c r="AY180" s="750">
        <f>IFERROR(ESS_DATA[[#This Row],[ODP ETA Port]]+ESS_DATA[[#This Row],[Customs/Leg3 Assumption]],"n/a")</f>
        <v>46324</v>
      </c>
      <c r="AZ180" s="741">
        <f>YEAR(ESS_DATA[[#This Row],[ETA for New Ark update]])</f>
        <v>2026</v>
      </c>
      <c r="BA180" s="741">
        <f>MONTH(ESS_DATA[[#This Row],[ETA for New Ark update]])</f>
        <v>10</v>
      </c>
      <c r="BB180" s="741">
        <f>IFERROR(_xlfn.ISOWEEKNUM(ESS_DATA[[#This Row],[ETA for New Ark update]]),0)</f>
        <v>44</v>
      </c>
      <c r="BC180" s="741" t="str">
        <f>_xlfn.XLOOKUP(ESS_DATA[[#This Row],[PORT DESTINATION]],Table12[PORT DESTINATION],Table12[Cosco Line],,0)</f>
        <v>AEM</v>
      </c>
      <c r="BD180" s="741"/>
      <c r="BE180" s="752"/>
      <c r="BF180" s="752"/>
      <c r="BG180" s="752"/>
      <c r="BH180" s="752"/>
      <c r="BI180" s="752"/>
    </row>
    <row r="181" spans="1:61" s="753" customFormat="1" ht="15.75" customHeight="1">
      <c r="A181" s="738" t="s">
        <v>8328</v>
      </c>
      <c r="B181" s="739" t="s">
        <v>7814</v>
      </c>
      <c r="C181" s="739" t="str">
        <f>IFERROR(LEFT(ESS_DATA[[#This Row],[TCL REFERENCE]],FIND(".",ESS_DATA[[#This Row],[TCL REFERENCE]],1)-1),"Main Line")</f>
        <v>26SEP003</v>
      </c>
      <c r="D181" s="750" t="s">
        <v>63</v>
      </c>
      <c r="E181" s="740" t="s">
        <v>64</v>
      </c>
      <c r="F181" s="740" t="str" cm="1">
        <f t="array" ref="F181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Plan-SPES</v>
      </c>
      <c r="G181" s="739"/>
      <c r="H181" s="739"/>
      <c r="I181" s="742"/>
      <c r="J181" s="739"/>
      <c r="K181" s="739"/>
      <c r="L181" s="743"/>
      <c r="M181" s="744"/>
      <c r="N181" s="745" t="s">
        <v>7837</v>
      </c>
      <c r="O181" s="745" t="s">
        <v>7829</v>
      </c>
      <c r="P181" s="745" t="s">
        <v>7838</v>
      </c>
      <c r="Q181" s="746"/>
      <c r="R181" s="742">
        <v>20</v>
      </c>
      <c r="S181" s="963"/>
      <c r="T181" s="739"/>
      <c r="U181" s="748">
        <f>ESS_DATA[[#This Row],[QUANTITY]]/264</f>
        <v>7.575757575757576E-2</v>
      </c>
      <c r="V181" s="749" t="s">
        <v>7854</v>
      </c>
      <c r="W181" s="888" t="s">
        <v>8324</v>
      </c>
      <c r="X181" s="741" t="str">
        <f t="shared" si="7"/>
        <v>COMPLETED</v>
      </c>
      <c r="Y181" s="750">
        <v>46267</v>
      </c>
      <c r="Z181" s="750">
        <v>46273</v>
      </c>
      <c r="AA181" s="751">
        <f>WEEKNUM(ESS_DATA[[#This Row],[Pick-Up Date]])</f>
        <v>37</v>
      </c>
      <c r="AB181" s="739" t="s">
        <v>8325</v>
      </c>
      <c r="AC181" s="739"/>
      <c r="AD181" s="970" t="s">
        <v>122</v>
      </c>
      <c r="AE181" s="970" t="s">
        <v>122</v>
      </c>
      <c r="AF181" s="970" t="s">
        <v>124</v>
      </c>
      <c r="AG181" s="750">
        <v>46266</v>
      </c>
      <c r="AH181" s="750">
        <v>46281</v>
      </c>
      <c r="AI181" s="750">
        <v>46281</v>
      </c>
      <c r="AJ181" s="750">
        <v>46306</v>
      </c>
      <c r="AK181" s="750">
        <v>46313</v>
      </c>
      <c r="AL181" s="750">
        <v>46315</v>
      </c>
      <c r="AM181" s="740" t="s">
        <v>402</v>
      </c>
      <c r="AN181" s="750" t="s">
        <v>8326</v>
      </c>
      <c r="AO181" s="750" t="s">
        <v>161</v>
      </c>
      <c r="AP181" s="750" t="s">
        <v>8327</v>
      </c>
      <c r="AQ181" s="739">
        <v>275749171</v>
      </c>
      <c r="AR181" s="739">
        <v>275749171</v>
      </c>
      <c r="AS181" s="739">
        <f>ESS_DATA[[#This Row],[ETA On S/O]]-ESS_DATA[[#This Row],[ETD On S/O]]+1</f>
        <v>41</v>
      </c>
      <c r="AT181" s="739"/>
      <c r="AU181" s="750" cm="1">
        <f t="array" ref="AU18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46315</v>
      </c>
      <c r="AV18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81" s="14" t="str">
        <f>IF(ISERROR(ESS_DATA[[#This Row],[New Ark PO status]]),"",_xlfn.XLOOKUP(ESS_DATA[[#This Row],[SPTN-PVHK New Ark PO'#]],New_Ark_Data[Purchase order Number],New_Ark_Data[Estimated time of arrival],"",0))</f>
        <v/>
      </c>
      <c r="AX181" s="739">
        <f>IF(ESS_DATA[[#This Row],[New Ark PO Type]]="Offshore",0,IFERROR(VLOOKUP(ESS_DATA[[#This Row],[PORT OF LOADING]]&amp;ESS_DATA[[#This Row],[PORT DESTINATION]],LT_REF[],7,0),14))</f>
        <v>9</v>
      </c>
      <c r="AY181" s="750">
        <f>IFERROR(ESS_DATA[[#This Row],[ODP ETA Port]]+ESS_DATA[[#This Row],[Customs/Leg3 Assumption]],"n/a")</f>
        <v>46324</v>
      </c>
      <c r="AZ181" s="741">
        <f>YEAR(ESS_DATA[[#This Row],[ETA for New Ark update]])</f>
        <v>2026</v>
      </c>
      <c r="BA181" s="741">
        <f>MONTH(ESS_DATA[[#This Row],[ETA for New Ark update]])</f>
        <v>10</v>
      </c>
      <c r="BB181" s="741">
        <f>IFERROR(_xlfn.ISOWEEKNUM(ESS_DATA[[#This Row],[ETA for New Ark update]]),0)</f>
        <v>44</v>
      </c>
      <c r="BC181" s="741" t="str">
        <f>_xlfn.XLOOKUP(ESS_DATA[[#This Row],[PORT DESTINATION]],Table12[PORT DESTINATION],Table12[Cosco Line],,0)</f>
        <v>AEM</v>
      </c>
      <c r="BD181" s="741"/>
      <c r="BE181" s="752"/>
      <c r="BF181" s="752"/>
      <c r="BG181" s="752"/>
      <c r="BH181" s="752"/>
      <c r="BI181" s="752"/>
    </row>
    <row r="182" spans="1:61" s="753" customFormat="1" ht="15.75" customHeight="1">
      <c r="A182" s="738" t="s">
        <v>8329</v>
      </c>
      <c r="B182" s="739" t="s">
        <v>7814</v>
      </c>
      <c r="C182" s="739" t="str">
        <f>IFERROR(LEFT(ESS_DATA[[#This Row],[TCL REFERENCE]],FIND(".",ESS_DATA[[#This Row],[TCL REFERENCE]],1)-1),"Main Line")</f>
        <v>26SEP004</v>
      </c>
      <c r="D182" s="750" t="s">
        <v>63</v>
      </c>
      <c r="E182" s="740" t="s">
        <v>64</v>
      </c>
      <c r="F182" s="740" t="str" cm="1">
        <f t="array" ref="F182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Plan-SPES</v>
      </c>
      <c r="G182" s="739"/>
      <c r="H182" s="739"/>
      <c r="I182" s="742"/>
      <c r="J182" s="739"/>
      <c r="K182" s="739"/>
      <c r="L182" s="743"/>
      <c r="M182" s="744"/>
      <c r="N182" s="745" t="s">
        <v>7840</v>
      </c>
      <c r="O182" s="745" t="s">
        <v>8037</v>
      </c>
      <c r="P182" s="745" t="s">
        <v>7842</v>
      </c>
      <c r="Q182" s="746"/>
      <c r="R182" s="742">
        <v>66</v>
      </c>
      <c r="S182" s="963"/>
      <c r="T182" s="739"/>
      <c r="U182" s="748">
        <f>ESS_DATA[[#This Row],[QUANTITY]]/264</f>
        <v>0.25</v>
      </c>
      <c r="V182" s="749" t="s">
        <v>7854</v>
      </c>
      <c r="W182" s="888" t="s">
        <v>8324</v>
      </c>
      <c r="X182" s="741" t="str">
        <f t="shared" si="7"/>
        <v>COMPLETED</v>
      </c>
      <c r="Y182" s="750">
        <v>46267</v>
      </c>
      <c r="Z182" s="750">
        <v>46273</v>
      </c>
      <c r="AA182" s="751">
        <f>WEEKNUM(ESS_DATA[[#This Row],[Pick-Up Date]])</f>
        <v>37</v>
      </c>
      <c r="AB182" s="739" t="s">
        <v>8325</v>
      </c>
      <c r="AC182" s="739"/>
      <c r="AD182" s="970" t="s">
        <v>122</v>
      </c>
      <c r="AE182" s="970" t="s">
        <v>122</v>
      </c>
      <c r="AF182" s="970" t="s">
        <v>124</v>
      </c>
      <c r="AG182" s="750">
        <v>46266</v>
      </c>
      <c r="AH182" s="750">
        <v>46281</v>
      </c>
      <c r="AI182" s="750">
        <v>46281</v>
      </c>
      <c r="AJ182" s="750">
        <v>46306</v>
      </c>
      <c r="AK182" s="750">
        <v>46313</v>
      </c>
      <c r="AL182" s="750">
        <v>46315</v>
      </c>
      <c r="AM182" s="740" t="s">
        <v>402</v>
      </c>
      <c r="AN182" s="750" t="s">
        <v>8326</v>
      </c>
      <c r="AO182" s="750" t="s">
        <v>161</v>
      </c>
      <c r="AP182" s="750" t="s">
        <v>8327</v>
      </c>
      <c r="AQ182" s="739">
        <v>275749171</v>
      </c>
      <c r="AR182" s="739">
        <v>275749171</v>
      </c>
      <c r="AS182" s="739">
        <f>ESS_DATA[[#This Row],[ETA On S/O]]-ESS_DATA[[#This Row],[ETD On S/O]]+1</f>
        <v>41</v>
      </c>
      <c r="AT182" s="739"/>
      <c r="AU182" s="750" cm="1">
        <f t="array" ref="AU18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46315</v>
      </c>
      <c r="AV18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82" s="14" t="str">
        <f>IF(ISERROR(ESS_DATA[[#This Row],[New Ark PO status]]),"",_xlfn.XLOOKUP(ESS_DATA[[#This Row],[SPTN-PVHK New Ark PO'#]],New_Ark_Data[Purchase order Number],New_Ark_Data[Estimated time of arrival],"",0))</f>
        <v/>
      </c>
      <c r="AX182" s="739">
        <f>IF(ESS_DATA[[#This Row],[New Ark PO Type]]="Offshore",0,IFERROR(VLOOKUP(ESS_DATA[[#This Row],[PORT OF LOADING]]&amp;ESS_DATA[[#This Row],[PORT DESTINATION]],LT_REF[],7,0),14))</f>
        <v>9</v>
      </c>
      <c r="AY182" s="750">
        <f>IFERROR(ESS_DATA[[#This Row],[ODP ETA Port]]+ESS_DATA[[#This Row],[Customs/Leg3 Assumption]],"n/a")</f>
        <v>46324</v>
      </c>
      <c r="AZ182" s="741">
        <f>YEAR(ESS_DATA[[#This Row],[ETA for New Ark update]])</f>
        <v>2026</v>
      </c>
      <c r="BA182" s="741">
        <f>MONTH(ESS_DATA[[#This Row],[ETA for New Ark update]])</f>
        <v>10</v>
      </c>
      <c r="BB182" s="741">
        <f>IFERROR(_xlfn.ISOWEEKNUM(ESS_DATA[[#This Row],[ETA for New Ark update]]),0)</f>
        <v>44</v>
      </c>
      <c r="BC182" s="741" t="str">
        <f>_xlfn.XLOOKUP(ESS_DATA[[#This Row],[PORT DESTINATION]],Table12[PORT DESTINATION],Table12[Cosco Line],,0)</f>
        <v>AEM</v>
      </c>
      <c r="BD182" s="741"/>
      <c r="BE182" s="752"/>
      <c r="BF182" s="752"/>
      <c r="BG182" s="752"/>
      <c r="BH182" s="752"/>
      <c r="BI182" s="752"/>
    </row>
    <row r="183" spans="1:61" s="753" customFormat="1" ht="15.75" customHeight="1">
      <c r="A183" s="738" t="s">
        <v>8330</v>
      </c>
      <c r="B183" s="739" t="s">
        <v>7814</v>
      </c>
      <c r="C183" s="739" t="str">
        <f>IFERROR(LEFT(ESS_DATA[[#This Row],[TCL REFERENCE]],FIND(".",ESS_DATA[[#This Row],[TCL REFERENCE]],1)-1),"Main Line")</f>
        <v>26SEP008</v>
      </c>
      <c r="D183" s="750" t="s">
        <v>63</v>
      </c>
      <c r="E183" s="740" t="s">
        <v>64</v>
      </c>
      <c r="F183" s="740" t="str" cm="1">
        <f t="array" ref="F183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Plan-SPES</v>
      </c>
      <c r="G183" s="739"/>
      <c r="H183" s="739"/>
      <c r="I183" s="742"/>
      <c r="J183" s="739"/>
      <c r="K183" s="739"/>
      <c r="L183" s="743"/>
      <c r="M183" s="744"/>
      <c r="N183" s="745" t="s">
        <v>7851</v>
      </c>
      <c r="O183" s="745" t="s">
        <v>7852</v>
      </c>
      <c r="P183" s="745" t="s">
        <v>7853</v>
      </c>
      <c r="Q183" s="746"/>
      <c r="R183" s="742">
        <v>132</v>
      </c>
      <c r="S183" s="963"/>
      <c r="T183" s="739"/>
      <c r="U183" s="748">
        <f>ESS_DATA[[#This Row],[QUANTITY]]/264</f>
        <v>0.5</v>
      </c>
      <c r="V183" s="749" t="s">
        <v>7854</v>
      </c>
      <c r="W183" s="888" t="s">
        <v>8324</v>
      </c>
      <c r="X183" s="741" t="str">
        <f t="shared" si="7"/>
        <v>COMPLETED</v>
      </c>
      <c r="Y183" s="750">
        <v>46267</v>
      </c>
      <c r="Z183" s="750">
        <v>46273</v>
      </c>
      <c r="AA183" s="751">
        <f>WEEKNUM(ESS_DATA[[#This Row],[Pick-Up Date]])</f>
        <v>37</v>
      </c>
      <c r="AB183" s="739" t="s">
        <v>8325</v>
      </c>
      <c r="AC183" s="739"/>
      <c r="AD183" s="970" t="s">
        <v>122</v>
      </c>
      <c r="AE183" s="970" t="s">
        <v>122</v>
      </c>
      <c r="AF183" s="970" t="s">
        <v>124</v>
      </c>
      <c r="AG183" s="750">
        <v>46266</v>
      </c>
      <c r="AH183" s="750">
        <v>46281</v>
      </c>
      <c r="AI183" s="750">
        <v>46281</v>
      </c>
      <c r="AJ183" s="750">
        <v>46306</v>
      </c>
      <c r="AK183" s="750">
        <v>46313</v>
      </c>
      <c r="AL183" s="750">
        <v>46315</v>
      </c>
      <c r="AM183" s="740" t="s">
        <v>402</v>
      </c>
      <c r="AN183" s="750" t="s">
        <v>8326</v>
      </c>
      <c r="AO183" s="750" t="s">
        <v>161</v>
      </c>
      <c r="AP183" s="750" t="s">
        <v>8327</v>
      </c>
      <c r="AQ183" s="739">
        <v>275749171</v>
      </c>
      <c r="AR183" s="739">
        <v>275749171</v>
      </c>
      <c r="AS183" s="739">
        <f>ESS_DATA[[#This Row],[ETA On S/O]]-ESS_DATA[[#This Row],[ETD On S/O]]+1</f>
        <v>41</v>
      </c>
      <c r="AT183" s="739"/>
      <c r="AU183" s="750" cm="1">
        <f t="array" ref="AU18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46315</v>
      </c>
      <c r="AV18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83" s="14" t="str">
        <f>IF(ISERROR(ESS_DATA[[#This Row],[New Ark PO status]]),"",_xlfn.XLOOKUP(ESS_DATA[[#This Row],[SPTN-PVHK New Ark PO'#]],New_Ark_Data[Purchase order Number],New_Ark_Data[Estimated time of arrival],"",0))</f>
        <v/>
      </c>
      <c r="AX183" s="739">
        <f>IF(ESS_DATA[[#This Row],[New Ark PO Type]]="Offshore",0,IFERROR(VLOOKUP(ESS_DATA[[#This Row],[PORT OF LOADING]]&amp;ESS_DATA[[#This Row],[PORT DESTINATION]],LT_REF[],7,0),14))</f>
        <v>9</v>
      </c>
      <c r="AY183" s="750">
        <f>IFERROR(ESS_DATA[[#This Row],[ODP ETA Port]]+ESS_DATA[[#This Row],[Customs/Leg3 Assumption]],"n/a")</f>
        <v>46324</v>
      </c>
      <c r="AZ183" s="741">
        <f>YEAR(ESS_DATA[[#This Row],[ETA for New Ark update]])</f>
        <v>2026</v>
      </c>
      <c r="BA183" s="741">
        <f>MONTH(ESS_DATA[[#This Row],[ETA for New Ark update]])</f>
        <v>10</v>
      </c>
      <c r="BB183" s="741">
        <f>IFERROR(_xlfn.ISOWEEKNUM(ESS_DATA[[#This Row],[ETA for New Ark update]]),0)</f>
        <v>44</v>
      </c>
      <c r="BC183" s="741" t="str">
        <f>_xlfn.XLOOKUP(ESS_DATA[[#This Row],[PORT DESTINATION]],Table12[PORT DESTINATION],Table12[Cosco Line],,0)</f>
        <v>AEM</v>
      </c>
      <c r="BD183" s="741"/>
      <c r="BE183" s="752"/>
      <c r="BF183" s="752"/>
      <c r="BG183" s="752"/>
      <c r="BH183" s="752"/>
      <c r="BI183" s="752"/>
    </row>
    <row r="184" spans="1:61" s="753" customFormat="1" ht="15.75" customHeight="1">
      <c r="A184" s="738" t="s">
        <v>8331</v>
      </c>
      <c r="B184" s="739" t="s">
        <v>7814</v>
      </c>
      <c r="C184" s="739" t="str">
        <f>IFERROR(LEFT(ESS_DATA[[#This Row],[TCL REFERENCE]],FIND(".",ESS_DATA[[#This Row],[TCL REFERENCE]],1)-1),"Main Line")</f>
        <v>26SEP002</v>
      </c>
      <c r="D184" s="739" t="s">
        <v>63</v>
      </c>
      <c r="E184" s="740" t="s">
        <v>64</v>
      </c>
      <c r="F184" s="741" t="str" cm="1">
        <f t="array" ref="F184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184" s="739"/>
      <c r="H184" s="739"/>
      <c r="I184" s="742"/>
      <c r="J184" s="739"/>
      <c r="K184" s="739"/>
      <c r="L184" s="743"/>
      <c r="M184" s="744"/>
      <c r="N184" s="745" t="s">
        <v>7828</v>
      </c>
      <c r="O184" s="745" t="s">
        <v>7829</v>
      </c>
      <c r="P184" s="745" t="s">
        <v>7830</v>
      </c>
      <c r="Q184" s="746"/>
      <c r="R184" s="742">
        <v>130</v>
      </c>
      <c r="S184" s="963"/>
      <c r="T184" s="739"/>
      <c r="U184" s="748">
        <f>ESS_DATA[[#This Row],[QUANTITY]]/260</f>
        <v>0.5</v>
      </c>
      <c r="V184" s="749" t="s">
        <v>7860</v>
      </c>
      <c r="W184" s="889" t="s">
        <v>8332</v>
      </c>
      <c r="X184" s="741" t="str">
        <f t="shared" si="7"/>
        <v>IN-TRANSIT</v>
      </c>
      <c r="Y184" s="888">
        <v>46273</v>
      </c>
      <c r="Z184" s="750">
        <v>46274</v>
      </c>
      <c r="AA184" s="751">
        <f>WEEKNUM(ESS_DATA[[#This Row],[Pick-Up Date]])</f>
        <v>37</v>
      </c>
      <c r="AB184" s="739" t="s">
        <v>8333</v>
      </c>
      <c r="AC184" s="739"/>
      <c r="AD184" s="739" t="s">
        <v>122</v>
      </c>
      <c r="AE184" s="739" t="s">
        <v>122</v>
      </c>
      <c r="AF184" s="739" t="s">
        <v>78</v>
      </c>
      <c r="AG184" s="750">
        <v>46280</v>
      </c>
      <c r="AH184" s="750">
        <v>46283</v>
      </c>
      <c r="AI184" s="750">
        <v>46284</v>
      </c>
      <c r="AJ184" s="750">
        <v>46328</v>
      </c>
      <c r="AK184" s="750">
        <v>46342</v>
      </c>
      <c r="AL184" s="750"/>
      <c r="AM184" s="740" t="s">
        <v>402</v>
      </c>
      <c r="AN184" s="750" t="s">
        <v>6642</v>
      </c>
      <c r="AO184" s="750" t="s">
        <v>80</v>
      </c>
      <c r="AP184" s="750" t="s">
        <v>8334</v>
      </c>
      <c r="AQ184" s="739" t="s">
        <v>8335</v>
      </c>
      <c r="AR184" s="739" t="s">
        <v>8335</v>
      </c>
      <c r="AS184" s="739">
        <f>ESS_DATA[[#This Row],[ETA On S/O]]-ESS_DATA[[#This Row],[ETD On S/O]]+1</f>
        <v>49</v>
      </c>
      <c r="AT184" s="739"/>
      <c r="AU184" s="750" cm="1">
        <f t="array" ref="AU18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46342</v>
      </c>
      <c r="AV18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84" s="14" t="str">
        <f>IF(ISERROR(ESS_DATA[[#This Row],[New Ark PO status]]),"",_xlfn.XLOOKUP(ESS_DATA[[#This Row],[SPTN-PVHK New Ark PO'#]],New_Ark_Data[Purchase order Number],New_Ark_Data[Estimated time of arrival],"",0))</f>
        <v/>
      </c>
      <c r="AX184" s="739">
        <f>IF(ESS_DATA[[#This Row],[New Ark PO Type]]="Offshore",0,IFERROR(VLOOKUP(ESS_DATA[[#This Row],[PORT OF LOADING]]&amp;ESS_DATA[[#This Row],[PORT DESTINATION]],LT_REF[],7,0),14))</f>
        <v>8</v>
      </c>
      <c r="AY184" s="750">
        <f>IFERROR(ESS_DATA[[#This Row],[ODP ETA Port]]+ESS_DATA[[#This Row],[Customs/Leg3 Assumption]],"n/a")</f>
        <v>46350</v>
      </c>
      <c r="AZ184" s="741">
        <f>YEAR(ESS_DATA[[#This Row],[ETA for New Ark update]])</f>
        <v>2026</v>
      </c>
      <c r="BA184" s="741">
        <f>MONTH(ESS_DATA[[#This Row],[ETA for New Ark update]])</f>
        <v>11</v>
      </c>
      <c r="BB184" s="741">
        <f>IFERROR(_xlfn.ISOWEEKNUM(ESS_DATA[[#This Row],[ETA for New Ark update]]),0)</f>
        <v>48</v>
      </c>
      <c r="BC184" s="741" t="str">
        <f>_xlfn.XLOOKUP(ESS_DATA[[#This Row],[PORT DESTINATION]],Table12[PORT DESTINATION],Table12[Cosco Line],,0)</f>
        <v>AEM</v>
      </c>
      <c r="BD184" s="741"/>
      <c r="BE184" s="752"/>
      <c r="BF184" s="752"/>
      <c r="BG184" s="752"/>
      <c r="BH184" s="752"/>
      <c r="BI184" s="752"/>
    </row>
    <row r="185" spans="1:61" s="753" customFormat="1" ht="14.25" customHeight="1">
      <c r="A185" s="738" t="s">
        <v>8336</v>
      </c>
      <c r="B185" s="739" t="s">
        <v>7814</v>
      </c>
      <c r="C185" s="739" t="str">
        <f>IFERROR(LEFT(ESS_DATA[[#This Row],[TCL REFERENCE]],FIND(".",ESS_DATA[[#This Row],[TCL REFERENCE]],1)-1),"Main Line")</f>
        <v>26SEP004</v>
      </c>
      <c r="D185" s="739" t="s">
        <v>63</v>
      </c>
      <c r="E185" s="740" t="s">
        <v>64</v>
      </c>
      <c r="F185" s="741" t="str" cm="1">
        <f t="array" ref="F185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185" s="739"/>
      <c r="H185" s="739"/>
      <c r="I185" s="742"/>
      <c r="J185" s="739"/>
      <c r="K185" s="739"/>
      <c r="L185" s="743"/>
      <c r="M185" s="744"/>
      <c r="N185" s="745" t="s">
        <v>7840</v>
      </c>
      <c r="O185" s="745" t="s">
        <v>8037</v>
      </c>
      <c r="P185" s="745" t="s">
        <v>7842</v>
      </c>
      <c r="Q185" s="746"/>
      <c r="R185" s="742">
        <v>130</v>
      </c>
      <c r="S185" s="963"/>
      <c r="T185" s="739"/>
      <c r="U185" s="748">
        <f>ESS_DATA[[#This Row],[QUANTITY]]/260</f>
        <v>0.5</v>
      </c>
      <c r="V185" s="749" t="s">
        <v>7860</v>
      </c>
      <c r="W185" s="889" t="s">
        <v>8332</v>
      </c>
      <c r="X185" s="741" t="str">
        <f t="shared" ref="X185:X217" si="8">IF(AL185&lt;&gt;"","COMPLETED",IF(AI185&lt;&gt;"","IN-TRANSIT",""))</f>
        <v>IN-TRANSIT</v>
      </c>
      <c r="Y185" s="888">
        <v>46273</v>
      </c>
      <c r="Z185" s="750">
        <v>46274</v>
      </c>
      <c r="AA185" s="751">
        <f>WEEKNUM(ESS_DATA[[#This Row],[Pick-Up Date]])</f>
        <v>37</v>
      </c>
      <c r="AB185" s="739" t="s">
        <v>8333</v>
      </c>
      <c r="AC185" s="739"/>
      <c r="AD185" s="739" t="s">
        <v>122</v>
      </c>
      <c r="AE185" s="739" t="s">
        <v>122</v>
      </c>
      <c r="AF185" s="739" t="s">
        <v>78</v>
      </c>
      <c r="AG185" s="750">
        <v>46280</v>
      </c>
      <c r="AH185" s="750">
        <v>46283</v>
      </c>
      <c r="AI185" s="750">
        <v>46284</v>
      </c>
      <c r="AJ185" s="750">
        <v>46328</v>
      </c>
      <c r="AK185" s="750">
        <v>46342</v>
      </c>
      <c r="AL185" s="750"/>
      <c r="AM185" s="740" t="s">
        <v>402</v>
      </c>
      <c r="AN185" s="750" t="s">
        <v>6642</v>
      </c>
      <c r="AO185" s="750" t="s">
        <v>80</v>
      </c>
      <c r="AP185" s="750" t="s">
        <v>8334</v>
      </c>
      <c r="AQ185" s="739" t="s">
        <v>8335</v>
      </c>
      <c r="AR185" s="739" t="s">
        <v>8335</v>
      </c>
      <c r="AS185" s="739">
        <f>ESS_DATA[[#This Row],[ETA On S/O]]-ESS_DATA[[#This Row],[ETD On S/O]]+1</f>
        <v>49</v>
      </c>
      <c r="AT185" s="739"/>
      <c r="AU185" s="750" cm="1">
        <f t="array" ref="AU18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46342</v>
      </c>
      <c r="AV18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85" s="14" t="str">
        <f>IF(ISERROR(ESS_DATA[[#This Row],[New Ark PO status]]),"",_xlfn.XLOOKUP(ESS_DATA[[#This Row],[SPTN-PVHK New Ark PO'#]],New_Ark_Data[Purchase order Number],New_Ark_Data[Estimated time of arrival],"",0))</f>
        <v/>
      </c>
      <c r="AX185" s="739">
        <f>IF(ESS_DATA[[#This Row],[New Ark PO Type]]="Offshore",0,IFERROR(VLOOKUP(ESS_DATA[[#This Row],[PORT OF LOADING]]&amp;ESS_DATA[[#This Row],[PORT DESTINATION]],LT_REF[],7,0),14))</f>
        <v>8</v>
      </c>
      <c r="AY185" s="750">
        <f>IFERROR(ESS_DATA[[#This Row],[ODP ETA Port]]+ESS_DATA[[#This Row],[Customs/Leg3 Assumption]],"n/a")</f>
        <v>46350</v>
      </c>
      <c r="AZ185" s="741">
        <f>YEAR(ESS_DATA[[#This Row],[ETA for New Ark update]])</f>
        <v>2026</v>
      </c>
      <c r="BA185" s="741">
        <f>MONTH(ESS_DATA[[#This Row],[ETA for New Ark update]])</f>
        <v>11</v>
      </c>
      <c r="BB185" s="741">
        <f>IFERROR(_xlfn.ISOWEEKNUM(ESS_DATA[[#This Row],[ETA for New Ark update]]),0)</f>
        <v>48</v>
      </c>
      <c r="BC185" s="741" t="str">
        <f>_xlfn.XLOOKUP(ESS_DATA[[#This Row],[PORT DESTINATION]],Table12[PORT DESTINATION],Table12[Cosco Line],,0)</f>
        <v>AEM</v>
      </c>
      <c r="BD185" s="741"/>
      <c r="BE185" s="752"/>
      <c r="BF185" s="752"/>
      <c r="BG185" s="752"/>
      <c r="BH185" s="752"/>
      <c r="BI185" s="752"/>
    </row>
    <row r="186" spans="1:61" s="753" customFormat="1" ht="14.25" customHeight="1">
      <c r="A186" s="738" t="s">
        <v>8337</v>
      </c>
      <c r="B186" s="739" t="s">
        <v>7814</v>
      </c>
      <c r="C186" s="739" t="str">
        <f>IFERROR(LEFT(ESS_DATA[[#This Row],[TCL REFERENCE]],FIND(".",ESS_DATA[[#This Row],[TCL REFERENCE]],1)-1),"Main Line")</f>
        <v>26SEP001</v>
      </c>
      <c r="D186" s="739" t="s">
        <v>63</v>
      </c>
      <c r="E186" s="740" t="s">
        <v>64</v>
      </c>
      <c r="F186" s="741" t="str" cm="1">
        <f t="array" ref="F186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Plan-SPUK</v>
      </c>
      <c r="G186" s="739"/>
      <c r="H186" s="739"/>
      <c r="I186" s="742"/>
      <c r="J186" s="739"/>
      <c r="K186" s="739"/>
      <c r="L186" s="743"/>
      <c r="M186" s="744"/>
      <c r="N186" s="745" t="s">
        <v>7862</v>
      </c>
      <c r="O186" s="745" t="s">
        <v>7829</v>
      </c>
      <c r="P186" s="745" t="s">
        <v>7863</v>
      </c>
      <c r="Q186" s="746"/>
      <c r="R186" s="1000">
        <v>40</v>
      </c>
      <c r="S186" s="963"/>
      <c r="T186" s="739"/>
      <c r="U186" s="748">
        <f>ESS_DATA[[#This Row],[QUANTITY]]/264</f>
        <v>0.15151515151515152</v>
      </c>
      <c r="V186" s="749" t="s">
        <v>8338</v>
      </c>
      <c r="W186" s="739" t="s">
        <v>8339</v>
      </c>
      <c r="X186" s="741" t="str">
        <f t="shared" ref="X186:X192" si="9">IF(AL186&lt;&gt;"","COMPLETED",IF(AI186&lt;&gt;"","IN-TRANSIT",""))</f>
        <v>IN-TRANSIT</v>
      </c>
      <c r="Y186" s="750">
        <v>46273</v>
      </c>
      <c r="Z186" s="750">
        <v>46282</v>
      </c>
      <c r="AA186" s="751">
        <f>WEEKNUM(ESS_DATA[[#This Row],[Pick-Up Date]])</f>
        <v>38</v>
      </c>
      <c r="AB186" s="889" t="s">
        <v>8340</v>
      </c>
      <c r="AC186" s="739"/>
      <c r="AD186" s="739" t="s">
        <v>122</v>
      </c>
      <c r="AE186" s="739" t="s">
        <v>122</v>
      </c>
      <c r="AF186" s="1001" t="s">
        <v>8341</v>
      </c>
      <c r="AG186" s="750">
        <v>46280</v>
      </c>
      <c r="AH186" s="750">
        <v>46297</v>
      </c>
      <c r="AI186" s="750">
        <v>46297</v>
      </c>
      <c r="AJ186" s="750">
        <v>46321</v>
      </c>
      <c r="AK186" s="750">
        <v>46328</v>
      </c>
      <c r="AL186" s="750"/>
      <c r="AM186" s="740" t="s">
        <v>402</v>
      </c>
      <c r="AN186" s="750" t="s">
        <v>8285</v>
      </c>
      <c r="AO186" s="750" t="s">
        <v>161</v>
      </c>
      <c r="AP186" s="750" t="s">
        <v>8342</v>
      </c>
      <c r="AQ186" s="739">
        <v>276343831</v>
      </c>
      <c r="AR186" s="739">
        <v>276343831</v>
      </c>
      <c r="AS186" s="739">
        <f>ESS_DATA[[#This Row],[ETA On S/O]]-ESS_DATA[[#This Row],[ETD On S/O]]+1</f>
        <v>42</v>
      </c>
      <c r="AT186" s="739"/>
      <c r="AU186" s="750" cm="1">
        <f t="array" ref="AU18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46328</v>
      </c>
      <c r="AV18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86" s="14" t="str">
        <f>IF(ISERROR(ESS_DATA[[#This Row],[New Ark PO status]]),"",_xlfn.XLOOKUP(ESS_DATA[[#This Row],[SPTN-PVHK New Ark PO'#]],New_Ark_Data[Purchase order Number],New_Ark_Data[Estimated time of arrival],"",0))</f>
        <v/>
      </c>
      <c r="AX186" s="739">
        <f>IF(ESS_DATA[[#This Row],[New Ark PO Type]]="Offshore",0,IFERROR(VLOOKUP(ESS_DATA[[#This Row],[PORT OF LOADING]]&amp;ESS_DATA[[#This Row],[PORT DESTINATION]],LT_REF[],7,0),14))</f>
        <v>0</v>
      </c>
      <c r="AY186" s="750">
        <f>IFERROR(ESS_DATA[[#This Row],[ODP ETA Port]]+ESS_DATA[[#This Row],[Customs/Leg3 Assumption]],"n/a")</f>
        <v>46328</v>
      </c>
      <c r="AZ186" s="741">
        <f>YEAR(ESS_DATA[[#This Row],[ETA for New Ark update]])</f>
        <v>2026</v>
      </c>
      <c r="BA186" s="741">
        <f>MONTH(ESS_DATA[[#This Row],[ETA for New Ark update]])</f>
        <v>11</v>
      </c>
      <c r="BB186" s="741">
        <f>IFERROR(_xlfn.ISOWEEKNUM(ESS_DATA[[#This Row],[ETA for New Ark update]]),0)</f>
        <v>45</v>
      </c>
      <c r="BC186" s="741" t="e">
        <f>_xlfn.XLOOKUP(ESS_DATA[[#This Row],[PORT DESTINATION]],Table12[PORT DESTINATION],Table12[Cosco Line],,0)</f>
        <v>#N/A</v>
      </c>
      <c r="BD186" s="741"/>
      <c r="BE186" s="752"/>
      <c r="BF186" s="752"/>
      <c r="BG186" s="752"/>
      <c r="BH186" s="752"/>
      <c r="BI186" s="752"/>
    </row>
    <row r="187" spans="1:61" s="753" customFormat="1" ht="14.25" customHeight="1">
      <c r="A187" s="738" t="s">
        <v>8343</v>
      </c>
      <c r="B187" s="739" t="s">
        <v>7814</v>
      </c>
      <c r="C187" s="739" t="str">
        <f>IFERROR(LEFT(ESS_DATA[[#This Row],[TCL REFERENCE]],FIND(".",ESS_DATA[[#This Row],[TCL REFERENCE]],1)-1),"Main Line")</f>
        <v>26SEP002</v>
      </c>
      <c r="D187" s="739" t="s">
        <v>63</v>
      </c>
      <c r="E187" s="740" t="s">
        <v>64</v>
      </c>
      <c r="F187" s="741" t="str" cm="1">
        <f t="array" ref="F187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Plan-SPUK</v>
      </c>
      <c r="G187" s="739"/>
      <c r="H187" s="739"/>
      <c r="I187" s="742"/>
      <c r="J187" s="739"/>
      <c r="K187" s="739"/>
      <c r="L187" s="743"/>
      <c r="M187" s="744"/>
      <c r="N187" s="745" t="s">
        <v>7828</v>
      </c>
      <c r="O187" s="745" t="s">
        <v>7829</v>
      </c>
      <c r="P187" s="745" t="s">
        <v>7830</v>
      </c>
      <c r="Q187" s="746"/>
      <c r="R187" s="1000">
        <v>26</v>
      </c>
      <c r="S187" s="963"/>
      <c r="T187" s="739"/>
      <c r="U187" s="748">
        <f>ESS_DATA[[#This Row],[QUANTITY]]/264</f>
        <v>9.8484848484848481E-2</v>
      </c>
      <c r="V187" s="749" t="s">
        <v>8338</v>
      </c>
      <c r="W187" s="739" t="s">
        <v>8339</v>
      </c>
      <c r="X187" s="741" t="str">
        <f t="shared" si="9"/>
        <v>IN-TRANSIT</v>
      </c>
      <c r="Y187" s="750">
        <v>46273</v>
      </c>
      <c r="Z187" s="750">
        <v>46282</v>
      </c>
      <c r="AA187" s="751">
        <f>WEEKNUM(ESS_DATA[[#This Row],[Pick-Up Date]])</f>
        <v>38</v>
      </c>
      <c r="AB187" s="889" t="s">
        <v>8340</v>
      </c>
      <c r="AC187" s="739"/>
      <c r="AD187" s="739" t="s">
        <v>122</v>
      </c>
      <c r="AE187" s="739" t="s">
        <v>122</v>
      </c>
      <c r="AF187" s="1001" t="s">
        <v>8341</v>
      </c>
      <c r="AG187" s="750">
        <v>46280</v>
      </c>
      <c r="AH187" s="750">
        <v>46297</v>
      </c>
      <c r="AI187" s="750">
        <v>46297</v>
      </c>
      <c r="AJ187" s="750">
        <v>46321</v>
      </c>
      <c r="AK187" s="750">
        <v>46328</v>
      </c>
      <c r="AL187" s="750"/>
      <c r="AM187" s="740" t="s">
        <v>402</v>
      </c>
      <c r="AN187" s="750" t="s">
        <v>8285</v>
      </c>
      <c r="AO187" s="750" t="s">
        <v>161</v>
      </c>
      <c r="AP187" s="750" t="s">
        <v>8342</v>
      </c>
      <c r="AQ187" s="739">
        <v>276343831</v>
      </c>
      <c r="AR187" s="739">
        <v>276343831</v>
      </c>
      <c r="AS187" s="739">
        <f>ESS_DATA[[#This Row],[ETA On S/O]]-ESS_DATA[[#This Row],[ETD On S/O]]+1</f>
        <v>42</v>
      </c>
      <c r="AT187" s="739"/>
      <c r="AU187" s="750" cm="1">
        <f t="array" ref="AU18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46328</v>
      </c>
      <c r="AV18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87" s="14" t="str">
        <f>IF(ISERROR(ESS_DATA[[#This Row],[New Ark PO status]]),"",_xlfn.XLOOKUP(ESS_DATA[[#This Row],[SPTN-PVHK New Ark PO'#]],New_Ark_Data[Purchase order Number],New_Ark_Data[Estimated time of arrival],"",0))</f>
        <v/>
      </c>
      <c r="AX187" s="739">
        <f>IF(ESS_DATA[[#This Row],[New Ark PO Type]]="Offshore",0,IFERROR(VLOOKUP(ESS_DATA[[#This Row],[PORT OF LOADING]]&amp;ESS_DATA[[#This Row],[PORT DESTINATION]],LT_REF[],7,0),14))</f>
        <v>0</v>
      </c>
      <c r="AY187" s="750">
        <f>IFERROR(ESS_DATA[[#This Row],[ODP ETA Port]]+ESS_DATA[[#This Row],[Customs/Leg3 Assumption]],"n/a")</f>
        <v>46328</v>
      </c>
      <c r="AZ187" s="741">
        <f>YEAR(ESS_DATA[[#This Row],[ETA for New Ark update]])</f>
        <v>2026</v>
      </c>
      <c r="BA187" s="741">
        <f>MONTH(ESS_DATA[[#This Row],[ETA for New Ark update]])</f>
        <v>11</v>
      </c>
      <c r="BB187" s="741">
        <f>IFERROR(_xlfn.ISOWEEKNUM(ESS_DATA[[#This Row],[ETA for New Ark update]]),0)</f>
        <v>45</v>
      </c>
      <c r="BC187" s="741" t="e">
        <f>_xlfn.XLOOKUP(ESS_DATA[[#This Row],[PORT DESTINATION]],Table12[PORT DESTINATION],Table12[Cosco Line],,0)</f>
        <v>#N/A</v>
      </c>
      <c r="BD187" s="741"/>
      <c r="BE187" s="752"/>
      <c r="BF187" s="752"/>
      <c r="BG187" s="752"/>
      <c r="BH187" s="752"/>
      <c r="BI187" s="752"/>
    </row>
    <row r="188" spans="1:61" s="753" customFormat="1" ht="14.25" customHeight="1">
      <c r="A188" s="738" t="s">
        <v>8344</v>
      </c>
      <c r="B188" s="739" t="s">
        <v>7814</v>
      </c>
      <c r="C188" s="739" t="str">
        <f>IFERROR(LEFT(ESS_DATA[[#This Row],[TCL REFERENCE]],FIND(".",ESS_DATA[[#This Row],[TCL REFERENCE]],1)-1),"Main Line")</f>
        <v>26SEP004</v>
      </c>
      <c r="D188" s="739" t="s">
        <v>63</v>
      </c>
      <c r="E188" s="740" t="s">
        <v>64</v>
      </c>
      <c r="F188" s="741" t="str" cm="1">
        <f t="array" ref="F188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Plan-SPUK</v>
      </c>
      <c r="G188" s="739"/>
      <c r="H188" s="739"/>
      <c r="I188" s="742"/>
      <c r="J188" s="739"/>
      <c r="K188" s="739"/>
      <c r="L188" s="743"/>
      <c r="M188" s="744"/>
      <c r="N188" s="745" t="s">
        <v>7840</v>
      </c>
      <c r="O188" s="745" t="s">
        <v>8037</v>
      </c>
      <c r="P188" s="745" t="s">
        <v>7842</v>
      </c>
      <c r="Q188" s="746"/>
      <c r="R188" s="1000">
        <v>66</v>
      </c>
      <c r="S188" s="963"/>
      <c r="T188" s="739"/>
      <c r="U188" s="748">
        <f>ESS_DATA[[#This Row],[QUANTITY]]/264</f>
        <v>0.25</v>
      </c>
      <c r="V188" s="749" t="s">
        <v>8338</v>
      </c>
      <c r="W188" s="739" t="s">
        <v>8339</v>
      </c>
      <c r="X188" s="741" t="str">
        <f t="shared" si="9"/>
        <v>IN-TRANSIT</v>
      </c>
      <c r="Y188" s="750">
        <v>46273</v>
      </c>
      <c r="Z188" s="750">
        <v>46282</v>
      </c>
      <c r="AA188" s="751">
        <f>WEEKNUM(ESS_DATA[[#This Row],[Pick-Up Date]])</f>
        <v>38</v>
      </c>
      <c r="AB188" s="889" t="s">
        <v>8340</v>
      </c>
      <c r="AC188" s="739"/>
      <c r="AD188" s="739" t="s">
        <v>122</v>
      </c>
      <c r="AE188" s="739" t="s">
        <v>122</v>
      </c>
      <c r="AF188" s="1001" t="s">
        <v>8341</v>
      </c>
      <c r="AG188" s="750">
        <v>46280</v>
      </c>
      <c r="AH188" s="750">
        <v>46297</v>
      </c>
      <c r="AI188" s="750">
        <v>46297</v>
      </c>
      <c r="AJ188" s="750">
        <v>46321</v>
      </c>
      <c r="AK188" s="750">
        <v>46328</v>
      </c>
      <c r="AL188" s="750"/>
      <c r="AM188" s="740" t="s">
        <v>402</v>
      </c>
      <c r="AN188" s="750" t="s">
        <v>8285</v>
      </c>
      <c r="AO188" s="750" t="s">
        <v>161</v>
      </c>
      <c r="AP188" s="750" t="s">
        <v>8342</v>
      </c>
      <c r="AQ188" s="739">
        <v>276343831</v>
      </c>
      <c r="AR188" s="739">
        <v>276343831</v>
      </c>
      <c r="AS188" s="739">
        <f>ESS_DATA[[#This Row],[ETA On S/O]]-ESS_DATA[[#This Row],[ETD On S/O]]+1</f>
        <v>42</v>
      </c>
      <c r="AT188" s="739"/>
      <c r="AU188" s="750" cm="1">
        <f t="array" ref="AU18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46328</v>
      </c>
      <c r="AV18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88" s="14" t="str">
        <f>IF(ISERROR(ESS_DATA[[#This Row],[New Ark PO status]]),"",_xlfn.XLOOKUP(ESS_DATA[[#This Row],[SPTN-PVHK New Ark PO'#]],New_Ark_Data[Purchase order Number],New_Ark_Data[Estimated time of arrival],"",0))</f>
        <v/>
      </c>
      <c r="AX188" s="739">
        <f>IF(ESS_DATA[[#This Row],[New Ark PO Type]]="Offshore",0,IFERROR(VLOOKUP(ESS_DATA[[#This Row],[PORT OF LOADING]]&amp;ESS_DATA[[#This Row],[PORT DESTINATION]],LT_REF[],7,0),14))</f>
        <v>0</v>
      </c>
      <c r="AY188" s="750">
        <f>IFERROR(ESS_DATA[[#This Row],[ODP ETA Port]]+ESS_DATA[[#This Row],[Customs/Leg3 Assumption]],"n/a")</f>
        <v>46328</v>
      </c>
      <c r="AZ188" s="741">
        <f>YEAR(ESS_DATA[[#This Row],[ETA for New Ark update]])</f>
        <v>2026</v>
      </c>
      <c r="BA188" s="741">
        <f>MONTH(ESS_DATA[[#This Row],[ETA for New Ark update]])</f>
        <v>11</v>
      </c>
      <c r="BB188" s="741">
        <f>IFERROR(_xlfn.ISOWEEKNUM(ESS_DATA[[#This Row],[ETA for New Ark update]]),0)</f>
        <v>45</v>
      </c>
      <c r="BC188" s="741" t="e">
        <f>_xlfn.XLOOKUP(ESS_DATA[[#This Row],[PORT DESTINATION]],Table12[PORT DESTINATION],Table12[Cosco Line],,0)</f>
        <v>#N/A</v>
      </c>
      <c r="BD188" s="741"/>
      <c r="BE188" s="752"/>
      <c r="BF188" s="752"/>
      <c r="BG188" s="752"/>
      <c r="BH188" s="752"/>
      <c r="BI188" s="752"/>
    </row>
    <row r="189" spans="1:61" s="753" customFormat="1" ht="14.25" customHeight="1">
      <c r="A189" s="738" t="s">
        <v>8345</v>
      </c>
      <c r="B189" s="739" t="s">
        <v>7814</v>
      </c>
      <c r="C189" s="739" t="str">
        <f>IFERROR(LEFT(ESS_DATA[[#This Row],[TCL REFERENCE]],FIND(".",ESS_DATA[[#This Row],[TCL REFERENCE]],1)-1),"Main Line")</f>
        <v>26SEP008</v>
      </c>
      <c r="D189" s="739" t="s">
        <v>63</v>
      </c>
      <c r="E189" s="740" t="s">
        <v>64</v>
      </c>
      <c r="F189" s="741" t="str" cm="1">
        <f t="array" ref="F189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Plan-SPUK</v>
      </c>
      <c r="G189" s="739"/>
      <c r="H189" s="739"/>
      <c r="I189" s="742"/>
      <c r="J189" s="739"/>
      <c r="K189" s="739"/>
      <c r="L189" s="743"/>
      <c r="M189" s="744"/>
      <c r="N189" s="745" t="s">
        <v>7851</v>
      </c>
      <c r="O189" s="745" t="s">
        <v>7852</v>
      </c>
      <c r="P189" s="747" t="s">
        <v>7853</v>
      </c>
      <c r="Q189" s="746"/>
      <c r="R189" s="1000">
        <v>132</v>
      </c>
      <c r="S189" s="963"/>
      <c r="T189" s="739"/>
      <c r="U189" s="748">
        <f>ESS_DATA[[#This Row],[QUANTITY]]/264</f>
        <v>0.5</v>
      </c>
      <c r="V189" s="749" t="s">
        <v>8338</v>
      </c>
      <c r="W189" s="739" t="s">
        <v>8339</v>
      </c>
      <c r="X189" s="741" t="str">
        <f t="shared" si="9"/>
        <v>IN-TRANSIT</v>
      </c>
      <c r="Y189" s="750">
        <v>46273</v>
      </c>
      <c r="Z189" s="750">
        <v>46282</v>
      </c>
      <c r="AA189" s="751">
        <f>WEEKNUM(ESS_DATA[[#This Row],[Pick-Up Date]])</f>
        <v>38</v>
      </c>
      <c r="AB189" s="889" t="s">
        <v>8340</v>
      </c>
      <c r="AC189" s="739"/>
      <c r="AD189" s="739" t="s">
        <v>122</v>
      </c>
      <c r="AE189" s="739" t="s">
        <v>122</v>
      </c>
      <c r="AF189" s="1001" t="s">
        <v>8341</v>
      </c>
      <c r="AG189" s="750">
        <v>46280</v>
      </c>
      <c r="AH189" s="750">
        <v>46297</v>
      </c>
      <c r="AI189" s="750">
        <v>46297</v>
      </c>
      <c r="AJ189" s="750">
        <v>46321</v>
      </c>
      <c r="AK189" s="750">
        <v>46328</v>
      </c>
      <c r="AL189" s="750"/>
      <c r="AM189" s="740" t="s">
        <v>402</v>
      </c>
      <c r="AN189" s="750" t="s">
        <v>8285</v>
      </c>
      <c r="AO189" s="750" t="s">
        <v>161</v>
      </c>
      <c r="AP189" s="750" t="s">
        <v>8342</v>
      </c>
      <c r="AQ189" s="739">
        <v>276343831</v>
      </c>
      <c r="AR189" s="739">
        <v>276343831</v>
      </c>
      <c r="AS189" s="739">
        <f>ESS_DATA[[#This Row],[ETA On S/O]]-ESS_DATA[[#This Row],[ETD On S/O]]+1</f>
        <v>42</v>
      </c>
      <c r="AT189" s="739"/>
      <c r="AU189" s="750" cm="1">
        <f t="array" ref="AU18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46328</v>
      </c>
      <c r="AV18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89" s="14" t="str">
        <f>IF(ISERROR(ESS_DATA[[#This Row],[New Ark PO status]]),"",_xlfn.XLOOKUP(ESS_DATA[[#This Row],[SPTN-PVHK New Ark PO'#]],New_Ark_Data[Purchase order Number],New_Ark_Data[Estimated time of arrival],"",0))</f>
        <v/>
      </c>
      <c r="AX189" s="739">
        <f>IF(ESS_DATA[[#This Row],[New Ark PO Type]]="Offshore",0,IFERROR(VLOOKUP(ESS_DATA[[#This Row],[PORT OF LOADING]]&amp;ESS_DATA[[#This Row],[PORT DESTINATION]],LT_REF[],7,0),14))</f>
        <v>0</v>
      </c>
      <c r="AY189" s="750">
        <f>IFERROR(ESS_DATA[[#This Row],[ODP ETA Port]]+ESS_DATA[[#This Row],[Customs/Leg3 Assumption]],"n/a")</f>
        <v>46328</v>
      </c>
      <c r="AZ189" s="741">
        <f>YEAR(ESS_DATA[[#This Row],[ETA for New Ark update]])</f>
        <v>2026</v>
      </c>
      <c r="BA189" s="741">
        <f>MONTH(ESS_DATA[[#This Row],[ETA for New Ark update]])</f>
        <v>11</v>
      </c>
      <c r="BB189" s="741">
        <f>IFERROR(_xlfn.ISOWEEKNUM(ESS_DATA[[#This Row],[ETA for New Ark update]]),0)</f>
        <v>45</v>
      </c>
      <c r="BC189" s="741" t="e">
        <f>_xlfn.XLOOKUP(ESS_DATA[[#This Row],[PORT DESTINATION]],Table12[PORT DESTINATION],Table12[Cosco Line],,0)</f>
        <v>#N/A</v>
      </c>
      <c r="BD189" s="741"/>
      <c r="BE189" s="752"/>
      <c r="BF189" s="752"/>
      <c r="BG189" s="752"/>
      <c r="BH189" s="752"/>
      <c r="BI189" s="752"/>
    </row>
    <row r="190" spans="1:61" s="753" customFormat="1" ht="15.75" customHeight="1">
      <c r="A190" s="738" t="s">
        <v>8346</v>
      </c>
      <c r="B190" s="739" t="s">
        <v>7814</v>
      </c>
      <c r="C190" s="739" t="str">
        <f>IFERROR(LEFT(ESS_DATA[[#This Row],[TCL REFERENCE]],FIND(".",ESS_DATA[[#This Row],[TCL REFERENCE]],1)-1),"Main Line")</f>
        <v>26SEP002</v>
      </c>
      <c r="D190" s="739" t="s">
        <v>63</v>
      </c>
      <c r="E190" s="740" t="s">
        <v>64</v>
      </c>
      <c r="F190" s="741" t="str" cm="1">
        <f t="array" ref="F190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Plan-SPES</v>
      </c>
      <c r="G190" s="739"/>
      <c r="H190" s="739"/>
      <c r="I190" s="742"/>
      <c r="J190" s="739"/>
      <c r="K190" s="739"/>
      <c r="L190" s="743"/>
      <c r="M190" s="744"/>
      <c r="N190" s="745" t="s">
        <v>7828</v>
      </c>
      <c r="O190" s="745" t="s">
        <v>7829</v>
      </c>
      <c r="P190" s="745" t="s">
        <v>7830</v>
      </c>
      <c r="Q190" s="746"/>
      <c r="R190" s="920">
        <v>90</v>
      </c>
      <c r="S190" s="963"/>
      <c r="T190" s="739"/>
      <c r="U190" s="748">
        <f>ESS_DATA[[#This Row],[QUANTITY]]/260</f>
        <v>0.34615384615384615</v>
      </c>
      <c r="V190" s="749" t="s">
        <v>7864</v>
      </c>
      <c r="W190" s="739" t="s">
        <v>8347</v>
      </c>
      <c r="X190" s="741" t="str">
        <f t="shared" si="9"/>
        <v>IN-TRANSIT</v>
      </c>
      <c r="Y190" s="933">
        <v>46279</v>
      </c>
      <c r="Z190" s="750">
        <v>46280</v>
      </c>
      <c r="AA190" s="751">
        <f>WEEKNUM(ESS_DATA[[#This Row],[Pick-Up Date]])</f>
        <v>38</v>
      </c>
      <c r="AB190" s="1174" t="s">
        <v>8348</v>
      </c>
      <c r="AC190" s="739"/>
      <c r="AD190" s="739" t="s">
        <v>122</v>
      </c>
      <c r="AE190" s="739" t="s">
        <v>122</v>
      </c>
      <c r="AF190" s="889" t="s">
        <v>124</v>
      </c>
      <c r="AG190" s="750">
        <v>46288</v>
      </c>
      <c r="AH190" s="750">
        <v>46289</v>
      </c>
      <c r="AI190" s="750">
        <v>46289</v>
      </c>
      <c r="AJ190" s="750">
        <v>46324</v>
      </c>
      <c r="AK190" s="750">
        <v>46328</v>
      </c>
      <c r="AL190" s="750"/>
      <c r="AM190" s="740" t="s">
        <v>402</v>
      </c>
      <c r="AN190" s="750" t="s">
        <v>8349</v>
      </c>
      <c r="AO190" s="750" t="s">
        <v>80</v>
      </c>
      <c r="AP190" s="750" t="s">
        <v>8350</v>
      </c>
      <c r="AQ190" s="739" t="s">
        <v>8351</v>
      </c>
      <c r="AR190" s="739" t="s">
        <v>8351</v>
      </c>
      <c r="AS190" s="739">
        <f>ESS_DATA[[#This Row],[ETA On S/O]]-ESS_DATA[[#This Row],[ETD On S/O]]+1</f>
        <v>37</v>
      </c>
      <c r="AT190" s="739"/>
      <c r="AU190" s="750" cm="1">
        <f t="array" ref="AU19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46328</v>
      </c>
      <c r="AV19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90" s="14" t="str">
        <f>IF(ISERROR(ESS_DATA[[#This Row],[New Ark PO status]]),"",_xlfn.XLOOKUP(ESS_DATA[[#This Row],[SPTN-PVHK New Ark PO'#]],New_Ark_Data[Purchase order Number],New_Ark_Data[Estimated time of arrival],"",0))</f>
        <v/>
      </c>
      <c r="AX190" s="739">
        <f>IF(ESS_DATA[[#This Row],[New Ark PO Type]]="Offshore",0,IFERROR(VLOOKUP(ESS_DATA[[#This Row],[PORT OF LOADING]]&amp;ESS_DATA[[#This Row],[PORT DESTINATION]],LT_REF[],7,0),14))</f>
        <v>9</v>
      </c>
      <c r="AY190" s="750">
        <f>IFERROR(ESS_DATA[[#This Row],[ODP ETA Port]]+ESS_DATA[[#This Row],[Customs/Leg3 Assumption]],"n/a")</f>
        <v>46337</v>
      </c>
      <c r="AZ190" s="741">
        <f>YEAR(ESS_DATA[[#This Row],[ETA for New Ark update]])</f>
        <v>2026</v>
      </c>
      <c r="BA190" s="741">
        <f>MONTH(ESS_DATA[[#This Row],[ETA for New Ark update]])</f>
        <v>11</v>
      </c>
      <c r="BB190" s="741">
        <f>IFERROR(_xlfn.ISOWEEKNUM(ESS_DATA[[#This Row],[ETA for New Ark update]]),0)</f>
        <v>46</v>
      </c>
      <c r="BC190" s="741" t="str">
        <f>_xlfn.XLOOKUP(ESS_DATA[[#This Row],[PORT DESTINATION]],Table12[PORT DESTINATION],Table12[Cosco Line],,0)</f>
        <v>AEM</v>
      </c>
      <c r="BD190" s="741"/>
      <c r="BE190" s="752"/>
      <c r="BF190" s="752"/>
      <c r="BG190" s="752"/>
      <c r="BH190" s="752"/>
      <c r="BI190" s="752"/>
    </row>
    <row r="191" spans="1:61" s="753" customFormat="1" ht="15.75" customHeight="1">
      <c r="A191" s="738" t="s">
        <v>8352</v>
      </c>
      <c r="B191" s="739" t="s">
        <v>7814</v>
      </c>
      <c r="C191" s="739" t="str">
        <f>IFERROR(LEFT(ESS_DATA[[#This Row],[TCL REFERENCE]],FIND(".",ESS_DATA[[#This Row],[TCL REFERENCE]],1)-1),"Main Line")</f>
        <v>26SEP003</v>
      </c>
      <c r="D191" s="739" t="s">
        <v>63</v>
      </c>
      <c r="E191" s="740" t="s">
        <v>64</v>
      </c>
      <c r="F191" s="741" t="str" cm="1">
        <f t="array" ref="F191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Plan-SPES</v>
      </c>
      <c r="G191" s="739"/>
      <c r="H191" s="739"/>
      <c r="I191" s="742"/>
      <c r="J191" s="739"/>
      <c r="K191" s="739"/>
      <c r="L191" s="743"/>
      <c r="M191" s="744"/>
      <c r="N191" s="745" t="s">
        <v>7837</v>
      </c>
      <c r="O191" s="745" t="s">
        <v>7829</v>
      </c>
      <c r="P191" s="745" t="s">
        <v>7838</v>
      </c>
      <c r="Q191" s="746"/>
      <c r="R191" s="920">
        <v>38</v>
      </c>
      <c r="S191" s="963"/>
      <c r="T191" s="739"/>
      <c r="U191" s="748">
        <f>ESS_DATA[[#This Row],[QUANTITY]]/260</f>
        <v>0.14615384615384616</v>
      </c>
      <c r="V191" s="749" t="s">
        <v>7864</v>
      </c>
      <c r="W191" s="739" t="s">
        <v>8347</v>
      </c>
      <c r="X191" s="741" t="str">
        <f t="shared" si="9"/>
        <v>IN-TRANSIT</v>
      </c>
      <c r="Y191" s="933">
        <v>46279</v>
      </c>
      <c r="Z191" s="750">
        <v>46280</v>
      </c>
      <c r="AA191" s="751">
        <f>WEEKNUM(ESS_DATA[[#This Row],[Pick-Up Date]])</f>
        <v>38</v>
      </c>
      <c r="AB191" s="739" t="s">
        <v>8348</v>
      </c>
      <c r="AC191" s="739"/>
      <c r="AD191" s="739" t="s">
        <v>122</v>
      </c>
      <c r="AE191" s="739" t="s">
        <v>122</v>
      </c>
      <c r="AF191" s="889" t="s">
        <v>124</v>
      </c>
      <c r="AG191" s="750">
        <v>46288</v>
      </c>
      <c r="AH191" s="750">
        <v>46289</v>
      </c>
      <c r="AI191" s="750">
        <v>46289</v>
      </c>
      <c r="AJ191" s="750">
        <v>46324</v>
      </c>
      <c r="AK191" s="750">
        <v>46328</v>
      </c>
      <c r="AL191" s="750"/>
      <c r="AM191" s="740" t="s">
        <v>402</v>
      </c>
      <c r="AN191" s="750" t="s">
        <v>8349</v>
      </c>
      <c r="AO191" s="750" t="s">
        <v>80</v>
      </c>
      <c r="AP191" s="750" t="s">
        <v>8350</v>
      </c>
      <c r="AQ191" s="739" t="s">
        <v>8351</v>
      </c>
      <c r="AR191" s="739" t="s">
        <v>8351</v>
      </c>
      <c r="AS191" s="739">
        <f>ESS_DATA[[#This Row],[ETA On S/O]]-ESS_DATA[[#This Row],[ETD On S/O]]+1</f>
        <v>37</v>
      </c>
      <c r="AT191" s="739"/>
      <c r="AU191" s="750" cm="1">
        <f t="array" ref="AU19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46328</v>
      </c>
      <c r="AV19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91" s="14" t="str">
        <f>IF(ISERROR(ESS_DATA[[#This Row],[New Ark PO status]]),"",_xlfn.XLOOKUP(ESS_DATA[[#This Row],[SPTN-PVHK New Ark PO'#]],New_Ark_Data[Purchase order Number],New_Ark_Data[Estimated time of arrival],"",0))</f>
        <v/>
      </c>
      <c r="AX191" s="739">
        <f>IF(ESS_DATA[[#This Row],[New Ark PO Type]]="Offshore",0,IFERROR(VLOOKUP(ESS_DATA[[#This Row],[PORT OF LOADING]]&amp;ESS_DATA[[#This Row],[PORT DESTINATION]],LT_REF[],7,0),14))</f>
        <v>9</v>
      </c>
      <c r="AY191" s="750">
        <f>IFERROR(ESS_DATA[[#This Row],[ODP ETA Port]]+ESS_DATA[[#This Row],[Customs/Leg3 Assumption]],"n/a")</f>
        <v>46337</v>
      </c>
      <c r="AZ191" s="741">
        <f>YEAR(ESS_DATA[[#This Row],[ETA for New Ark update]])</f>
        <v>2026</v>
      </c>
      <c r="BA191" s="741">
        <f>MONTH(ESS_DATA[[#This Row],[ETA for New Ark update]])</f>
        <v>11</v>
      </c>
      <c r="BB191" s="741">
        <f>IFERROR(_xlfn.ISOWEEKNUM(ESS_DATA[[#This Row],[ETA for New Ark update]]),0)</f>
        <v>46</v>
      </c>
      <c r="BC191" s="741" t="str">
        <f>_xlfn.XLOOKUP(ESS_DATA[[#This Row],[PORT DESTINATION]],Table12[PORT DESTINATION],Table12[Cosco Line],,0)</f>
        <v>AEM</v>
      </c>
      <c r="BD191" s="741"/>
      <c r="BE191" s="752"/>
      <c r="BF191" s="752"/>
      <c r="BG191" s="752"/>
      <c r="BH191" s="752"/>
      <c r="BI191" s="752"/>
    </row>
    <row r="192" spans="1:61" s="753" customFormat="1" ht="15.75" customHeight="1">
      <c r="A192" s="738" t="s">
        <v>8353</v>
      </c>
      <c r="B192" s="739" t="s">
        <v>7814</v>
      </c>
      <c r="C192" s="739" t="str">
        <f>IFERROR(LEFT(ESS_DATA[[#This Row],[TCL REFERENCE]],FIND(".",ESS_DATA[[#This Row],[TCL REFERENCE]],1)-1),"Main Line")</f>
        <v>Main Line</v>
      </c>
      <c r="D192" s="739" t="s">
        <v>63</v>
      </c>
      <c r="E192" s="740" t="s">
        <v>64</v>
      </c>
      <c r="F192" s="741" t="str" cm="1">
        <f t="array" ref="F192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Plan-SPES</v>
      </c>
      <c r="G192" s="739"/>
      <c r="H192" s="739"/>
      <c r="I192" s="742"/>
      <c r="J192" s="739"/>
      <c r="K192" s="739"/>
      <c r="L192" s="743"/>
      <c r="M192" s="744"/>
      <c r="N192" s="745" t="s">
        <v>7837</v>
      </c>
      <c r="O192" s="745" t="s">
        <v>7829</v>
      </c>
      <c r="P192" s="745" t="s">
        <v>7838</v>
      </c>
      <c r="Q192" s="746"/>
      <c r="R192" s="920">
        <v>2</v>
      </c>
      <c r="S192" s="963"/>
      <c r="T192" s="739"/>
      <c r="U192" s="748">
        <f>ESS_DATA[[#This Row],[QUANTITY]]/260</f>
        <v>7.6923076923076927E-3</v>
      </c>
      <c r="V192" s="749" t="s">
        <v>7864</v>
      </c>
      <c r="W192" s="739" t="s">
        <v>8347</v>
      </c>
      <c r="X192" s="741" t="str">
        <f t="shared" si="9"/>
        <v>IN-TRANSIT</v>
      </c>
      <c r="Y192" s="933">
        <v>46279</v>
      </c>
      <c r="Z192" s="750">
        <v>46280</v>
      </c>
      <c r="AA192" s="751">
        <f>WEEKNUM(ESS_DATA[[#This Row],[Pick-Up Date]])</f>
        <v>38</v>
      </c>
      <c r="AB192" s="739" t="s">
        <v>8348</v>
      </c>
      <c r="AC192" s="739"/>
      <c r="AD192" s="739" t="s">
        <v>122</v>
      </c>
      <c r="AE192" s="739" t="s">
        <v>122</v>
      </c>
      <c r="AF192" s="889" t="s">
        <v>124</v>
      </c>
      <c r="AG192" s="750">
        <v>46288</v>
      </c>
      <c r="AH192" s="750">
        <v>46289</v>
      </c>
      <c r="AI192" s="750">
        <v>46289</v>
      </c>
      <c r="AJ192" s="750">
        <v>46324</v>
      </c>
      <c r="AK192" s="750">
        <v>46328</v>
      </c>
      <c r="AL192" s="750"/>
      <c r="AM192" s="740" t="s">
        <v>402</v>
      </c>
      <c r="AN192" s="750" t="s">
        <v>8349</v>
      </c>
      <c r="AO192" s="750" t="s">
        <v>80</v>
      </c>
      <c r="AP192" s="750" t="s">
        <v>8350</v>
      </c>
      <c r="AQ192" s="739" t="s">
        <v>8351</v>
      </c>
      <c r="AR192" s="739" t="s">
        <v>8351</v>
      </c>
      <c r="AS192" s="739">
        <f>ESS_DATA[[#This Row],[ETA On S/O]]-ESS_DATA[[#This Row],[ETD On S/O]]+1</f>
        <v>37</v>
      </c>
      <c r="AT192" s="739"/>
      <c r="AU192" s="750" cm="1">
        <f t="array" ref="AU19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46328</v>
      </c>
      <c r="AV19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92" s="14" t="str">
        <f>IF(ISERROR(ESS_DATA[[#This Row],[New Ark PO status]]),"",_xlfn.XLOOKUP(ESS_DATA[[#This Row],[SPTN-PVHK New Ark PO'#]],New_Ark_Data[Purchase order Number],New_Ark_Data[Estimated time of arrival],"",0))</f>
        <v/>
      </c>
      <c r="AX192" s="739">
        <f>IF(ESS_DATA[[#This Row],[New Ark PO Type]]="Offshore",0,IFERROR(VLOOKUP(ESS_DATA[[#This Row],[PORT OF LOADING]]&amp;ESS_DATA[[#This Row],[PORT DESTINATION]],LT_REF[],7,0),14))</f>
        <v>9</v>
      </c>
      <c r="AY192" s="750">
        <f>IFERROR(ESS_DATA[[#This Row],[ODP ETA Port]]+ESS_DATA[[#This Row],[Customs/Leg3 Assumption]],"n/a")</f>
        <v>46337</v>
      </c>
      <c r="AZ192" s="741">
        <f>YEAR(ESS_DATA[[#This Row],[ETA for New Ark update]])</f>
        <v>2026</v>
      </c>
      <c r="BA192" s="741">
        <f>MONTH(ESS_DATA[[#This Row],[ETA for New Ark update]])</f>
        <v>11</v>
      </c>
      <c r="BB192" s="741">
        <f>IFERROR(_xlfn.ISOWEEKNUM(ESS_DATA[[#This Row],[ETA for New Ark update]]),0)</f>
        <v>46</v>
      </c>
      <c r="BC192" s="741" t="str">
        <f>_xlfn.XLOOKUP(ESS_DATA[[#This Row],[PORT DESTINATION]],Table12[PORT DESTINATION],Table12[Cosco Line],,0)</f>
        <v>AEM</v>
      </c>
      <c r="BD192" s="741"/>
      <c r="BE192" s="752"/>
      <c r="BF192" s="752"/>
      <c r="BG192" s="752"/>
      <c r="BH192" s="752"/>
      <c r="BI192" s="752"/>
    </row>
    <row r="193" spans="1:61" s="753" customFormat="1" ht="15.75" customHeight="1">
      <c r="A193" s="738" t="s">
        <v>8354</v>
      </c>
      <c r="B193" s="739" t="s">
        <v>7814</v>
      </c>
      <c r="C193" s="739" t="str">
        <f>IFERROR(LEFT(ESS_DATA[[#This Row],[TCL REFERENCE]],FIND(".",ESS_DATA[[#This Row],[TCL REFERENCE]],1)-1),"Main Line")</f>
        <v>26SEP004</v>
      </c>
      <c r="D193" s="739" t="s">
        <v>63</v>
      </c>
      <c r="E193" s="740" t="s">
        <v>64</v>
      </c>
      <c r="F193" s="741" t="str" cm="1">
        <f t="array" ref="F193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Plan-SPES</v>
      </c>
      <c r="G193" s="739"/>
      <c r="H193" s="739"/>
      <c r="I193" s="742"/>
      <c r="J193" s="739"/>
      <c r="K193" s="739"/>
      <c r="L193" s="743"/>
      <c r="M193" s="744"/>
      <c r="N193" s="745" t="s">
        <v>7840</v>
      </c>
      <c r="O193" s="745" t="s">
        <v>8037</v>
      </c>
      <c r="P193" s="745" t="s">
        <v>7842</v>
      </c>
      <c r="Q193" s="746"/>
      <c r="R193" s="1026">
        <v>130</v>
      </c>
      <c r="S193" s="963"/>
      <c r="T193" s="739"/>
      <c r="U193" s="748">
        <f>ESS_DATA[[#This Row],[QUANTITY]]/260</f>
        <v>0.5</v>
      </c>
      <c r="V193" s="749" t="s">
        <v>7864</v>
      </c>
      <c r="W193" s="739" t="s">
        <v>8347</v>
      </c>
      <c r="X193" s="741" t="str">
        <f t="shared" ref="X193" si="10">IF(AL193&lt;&gt;"","COMPLETED",IF(AI193&lt;&gt;"","IN-TRANSIT",""))</f>
        <v>IN-TRANSIT</v>
      </c>
      <c r="Y193" s="933">
        <v>46279</v>
      </c>
      <c r="Z193" s="750">
        <v>46280</v>
      </c>
      <c r="AA193" s="751">
        <f>WEEKNUM(ESS_DATA[[#This Row],[Pick-Up Date]])</f>
        <v>38</v>
      </c>
      <c r="AB193" s="739" t="s">
        <v>8348</v>
      </c>
      <c r="AC193" s="739"/>
      <c r="AD193" s="739" t="s">
        <v>122</v>
      </c>
      <c r="AE193" s="739" t="s">
        <v>122</v>
      </c>
      <c r="AF193" s="889" t="s">
        <v>124</v>
      </c>
      <c r="AG193" s="750">
        <v>46288</v>
      </c>
      <c r="AH193" s="750">
        <v>46289</v>
      </c>
      <c r="AI193" s="750">
        <v>46289</v>
      </c>
      <c r="AJ193" s="750">
        <v>46324</v>
      </c>
      <c r="AK193" s="750">
        <v>46328</v>
      </c>
      <c r="AL193" s="750"/>
      <c r="AM193" s="740" t="s">
        <v>402</v>
      </c>
      <c r="AN193" s="750" t="s">
        <v>8349</v>
      </c>
      <c r="AO193" s="750" t="s">
        <v>80</v>
      </c>
      <c r="AP193" s="750" t="s">
        <v>8350</v>
      </c>
      <c r="AQ193" s="739" t="s">
        <v>8351</v>
      </c>
      <c r="AR193" s="739" t="s">
        <v>8351</v>
      </c>
      <c r="AS193" s="739">
        <f>ESS_DATA[[#This Row],[ETA On S/O]]-ESS_DATA[[#This Row],[ETD On S/O]]+1</f>
        <v>37</v>
      </c>
      <c r="AT193" s="739"/>
      <c r="AU193" s="750" cm="1">
        <f t="array" ref="AU19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46328</v>
      </c>
      <c r="AV19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93" s="14" t="str">
        <f>IF(ISERROR(ESS_DATA[[#This Row],[New Ark PO status]]),"",_xlfn.XLOOKUP(ESS_DATA[[#This Row],[SPTN-PVHK New Ark PO'#]],New_Ark_Data[Purchase order Number],New_Ark_Data[Estimated time of arrival],"",0))</f>
        <v/>
      </c>
      <c r="AX193" s="739">
        <f>IF(ESS_DATA[[#This Row],[New Ark PO Type]]="Offshore",0,IFERROR(VLOOKUP(ESS_DATA[[#This Row],[PORT OF LOADING]]&amp;ESS_DATA[[#This Row],[PORT DESTINATION]],LT_REF[],7,0),14))</f>
        <v>9</v>
      </c>
      <c r="AY193" s="750">
        <f>IFERROR(ESS_DATA[[#This Row],[ODP ETA Port]]+ESS_DATA[[#This Row],[Customs/Leg3 Assumption]],"n/a")</f>
        <v>46337</v>
      </c>
      <c r="AZ193" s="741">
        <f>YEAR(ESS_DATA[[#This Row],[ETA for New Ark update]])</f>
        <v>2026</v>
      </c>
      <c r="BA193" s="741">
        <f>MONTH(ESS_DATA[[#This Row],[ETA for New Ark update]])</f>
        <v>11</v>
      </c>
      <c r="BB193" s="741">
        <f>IFERROR(_xlfn.ISOWEEKNUM(ESS_DATA[[#This Row],[ETA for New Ark update]]),0)</f>
        <v>46</v>
      </c>
      <c r="BC193" s="741" t="str">
        <f>_xlfn.XLOOKUP(ESS_DATA[[#This Row],[PORT DESTINATION]],Table12[PORT DESTINATION],Table12[Cosco Line],,0)</f>
        <v>AEM</v>
      </c>
      <c r="BD193" s="741"/>
      <c r="BE193" s="752"/>
      <c r="BF193" s="752"/>
      <c r="BG193" s="752"/>
      <c r="BH193" s="752"/>
      <c r="BI193" s="752"/>
    </row>
    <row r="194" spans="1:61" s="753" customFormat="1" ht="15.75" customHeight="1">
      <c r="A194" s="738" t="s">
        <v>8355</v>
      </c>
      <c r="B194" s="739" t="s">
        <v>7814</v>
      </c>
      <c r="C194" s="739" t="str">
        <f>IFERROR(LEFT(ESS_DATA[[#This Row],[TCL REFERENCE]],FIND(".",ESS_DATA[[#This Row],[TCL REFERENCE]],1)-1),"Main Line")</f>
        <v>26SEP001</v>
      </c>
      <c r="D194" s="739" t="s">
        <v>63</v>
      </c>
      <c r="E194" s="740" t="s">
        <v>64</v>
      </c>
      <c r="F194" s="741" t="str" cm="1">
        <f t="array" ref="F194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194" s="739"/>
      <c r="H194" s="739"/>
      <c r="I194" s="742"/>
      <c r="J194" s="739"/>
      <c r="K194" s="739"/>
      <c r="L194" s="743"/>
      <c r="M194" s="744"/>
      <c r="N194" s="745" t="s">
        <v>7862</v>
      </c>
      <c r="O194" s="745" t="s">
        <v>7829</v>
      </c>
      <c r="P194" s="745" t="s">
        <v>7863</v>
      </c>
      <c r="Q194" s="746"/>
      <c r="R194" s="920">
        <v>18</v>
      </c>
      <c r="S194" s="963"/>
      <c r="T194" s="739"/>
      <c r="U194" s="748">
        <f>ESS_DATA[[#This Row],[QUANTITY]]/260</f>
        <v>6.9230769230769235E-2</v>
      </c>
      <c r="V194" s="749" t="s">
        <v>7873</v>
      </c>
      <c r="W194" s="739" t="s">
        <v>8347</v>
      </c>
      <c r="X194" s="741" t="str">
        <f>IF(AL194&lt;&gt;"","COMPLETED",IF(AI194&lt;&gt;"","IN-TRANSIT",""))</f>
        <v>IN-TRANSIT</v>
      </c>
      <c r="Y194" s="888">
        <v>46282</v>
      </c>
      <c r="Z194" s="750">
        <v>46284</v>
      </c>
      <c r="AA194" s="751">
        <f>WEEKNUM(ESS_DATA[[#This Row],[Pick-Up Date]])</f>
        <v>38</v>
      </c>
      <c r="AB194" s="1174" t="s">
        <v>8356</v>
      </c>
      <c r="AC194" s="739"/>
      <c r="AD194" s="739" t="s">
        <v>122</v>
      </c>
      <c r="AE194" s="739" t="s">
        <v>122</v>
      </c>
      <c r="AF194" s="739" t="s">
        <v>78</v>
      </c>
      <c r="AG194" s="750">
        <v>46290</v>
      </c>
      <c r="AH194" s="750">
        <v>46292</v>
      </c>
      <c r="AI194" s="750">
        <v>46292</v>
      </c>
      <c r="AJ194" s="750">
        <v>46342</v>
      </c>
      <c r="AK194" s="750">
        <v>46342</v>
      </c>
      <c r="AL194" s="750"/>
      <c r="AM194" s="740" t="s">
        <v>402</v>
      </c>
      <c r="AN194" s="750" t="s">
        <v>8357</v>
      </c>
      <c r="AO194" s="750" t="s">
        <v>80</v>
      </c>
      <c r="AP194" s="750" t="s">
        <v>8358</v>
      </c>
      <c r="AQ194" s="739" t="s">
        <v>8359</v>
      </c>
      <c r="AR194" s="739" t="s">
        <v>8359</v>
      </c>
      <c r="AS194" s="739">
        <f>ESS_DATA[[#This Row],[ETA On S/O]]-ESS_DATA[[#This Row],[ETD On S/O]]+1</f>
        <v>53</v>
      </c>
      <c r="AT194" s="739"/>
      <c r="AU194" s="750" cm="1">
        <f t="array" ref="AU19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46342</v>
      </c>
      <c r="AV194" s="750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94" s="750" t="str">
        <f>IF(ISERROR(ESS_DATA[[#This Row],[New Ark PO status]]),"",_xlfn.XLOOKUP(ESS_DATA[[#This Row],[SPTN-PVHK New Ark PO'#]],New_Ark_Data[Purchase order Number],New_Ark_Data[Estimated time of arrival],"",0))</f>
        <v/>
      </c>
      <c r="AX194" s="739">
        <f>IF(ESS_DATA[[#This Row],[New Ark PO Type]]="Offshore",0,IFERROR(VLOOKUP(ESS_DATA[[#This Row],[PORT OF LOADING]]&amp;ESS_DATA[[#This Row],[PORT DESTINATION]],LT_REF[],7,0),14))</f>
        <v>8</v>
      </c>
      <c r="AY194" s="750">
        <f>IFERROR(ESS_DATA[[#This Row],[ODP ETA Port]]+ESS_DATA[[#This Row],[Customs/Leg3 Assumption]],"n/a")</f>
        <v>46350</v>
      </c>
      <c r="AZ194" s="741">
        <f>YEAR(ESS_DATA[[#This Row],[ETA for New Ark update]])</f>
        <v>2026</v>
      </c>
      <c r="BA194" s="741">
        <f>MONTH(ESS_DATA[[#This Row],[ETA for New Ark update]])</f>
        <v>11</v>
      </c>
      <c r="BB194" s="741">
        <f>IFERROR(_xlfn.ISOWEEKNUM(ESS_DATA[[#This Row],[ETA for New Ark update]]),0)</f>
        <v>48</v>
      </c>
      <c r="BC194" s="741" t="str">
        <f>_xlfn.XLOOKUP(ESS_DATA[[#This Row],[PORT DESTINATION]],Table12[PORT DESTINATION],Table12[Cosco Line],,0)</f>
        <v>AEM</v>
      </c>
      <c r="BD194" s="741"/>
      <c r="BE194" s="752"/>
      <c r="BF194" s="752"/>
      <c r="BG194" s="752"/>
      <c r="BH194" s="752"/>
      <c r="BI194" s="752"/>
    </row>
    <row r="195" spans="1:61" s="753" customFormat="1" ht="15.75" customHeight="1">
      <c r="A195" s="738" t="s">
        <v>8360</v>
      </c>
      <c r="B195" s="739" t="s">
        <v>7814</v>
      </c>
      <c r="C195" s="739" t="str">
        <f>IFERROR(LEFT(ESS_DATA[[#This Row],[TCL REFERENCE]],FIND(".",ESS_DATA[[#This Row],[TCL REFERENCE]],1)-1),"Main Line")</f>
        <v>Main Line</v>
      </c>
      <c r="D195" s="739" t="s">
        <v>63</v>
      </c>
      <c r="E195" s="740" t="s">
        <v>64</v>
      </c>
      <c r="F195" s="741" t="str" cm="1">
        <f t="array" ref="F195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195" s="739"/>
      <c r="H195" s="739"/>
      <c r="I195" s="742"/>
      <c r="J195" s="739"/>
      <c r="K195" s="739"/>
      <c r="L195" s="743"/>
      <c r="M195" s="744"/>
      <c r="N195" s="745" t="s">
        <v>7862</v>
      </c>
      <c r="O195" s="745" t="s">
        <v>7829</v>
      </c>
      <c r="P195" s="745" t="s">
        <v>7863</v>
      </c>
      <c r="Q195" s="746"/>
      <c r="R195" s="920">
        <v>2</v>
      </c>
      <c r="S195" s="963"/>
      <c r="T195" s="739"/>
      <c r="U195" s="748">
        <f>ESS_DATA[[#This Row],[QUANTITY]]/260</f>
        <v>7.6923076923076927E-3</v>
      </c>
      <c r="V195" s="749" t="s">
        <v>7873</v>
      </c>
      <c r="W195" s="739" t="s">
        <v>8347</v>
      </c>
      <c r="X195" s="741" t="str">
        <f>IF(AL195&lt;&gt;"","COMPLETED",IF(AI196&lt;&gt;"","IN-TRANSIT",""))</f>
        <v>IN-TRANSIT</v>
      </c>
      <c r="Y195" s="888">
        <v>46282</v>
      </c>
      <c r="Z195" s="750">
        <v>46284</v>
      </c>
      <c r="AA195" s="751">
        <f>WEEKNUM(ESS_DATA[[#This Row],[Pick-Up Date]])</f>
        <v>38</v>
      </c>
      <c r="AB195" s="1174" t="s">
        <v>8356</v>
      </c>
      <c r="AC195" s="739"/>
      <c r="AD195" s="739" t="s">
        <v>122</v>
      </c>
      <c r="AE195" s="739" t="s">
        <v>122</v>
      </c>
      <c r="AF195" s="739" t="s">
        <v>78</v>
      </c>
      <c r="AG195" s="750">
        <v>46290</v>
      </c>
      <c r="AH195" s="750">
        <v>46292</v>
      </c>
      <c r="AI195" s="750">
        <v>46292</v>
      </c>
      <c r="AJ195" s="750">
        <v>46342</v>
      </c>
      <c r="AK195" s="750">
        <v>46342</v>
      </c>
      <c r="AL195" s="750"/>
      <c r="AM195" s="740" t="s">
        <v>402</v>
      </c>
      <c r="AN195" s="750" t="s">
        <v>8357</v>
      </c>
      <c r="AO195" s="750" t="s">
        <v>80</v>
      </c>
      <c r="AP195" s="750" t="s">
        <v>8358</v>
      </c>
      <c r="AQ195" s="739" t="s">
        <v>8359</v>
      </c>
      <c r="AR195" s="739" t="s">
        <v>8359</v>
      </c>
      <c r="AS195" s="739">
        <f>ESS_DATA[[#This Row],[ETA On S/O]]-ESS_DATA[[#This Row],[ETD On S/O]]+1</f>
        <v>53</v>
      </c>
      <c r="AT195" s="739"/>
      <c r="AU195" s="750" cm="1">
        <f t="array" ref="AU19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46342</v>
      </c>
      <c r="AV195" s="750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95" s="750" t="str">
        <f>IF(ISERROR(ESS_DATA[[#This Row],[New Ark PO status]]),"",_xlfn.XLOOKUP(ESS_DATA[[#This Row],[SPTN-PVHK New Ark PO'#]],New_Ark_Data[Purchase order Number],New_Ark_Data[Estimated time of arrival],"",0))</f>
        <v/>
      </c>
      <c r="AX195" s="739">
        <f>IF(ESS_DATA[[#This Row],[New Ark PO Type]]="Offshore",0,IFERROR(VLOOKUP(ESS_DATA[[#This Row],[PORT OF LOADING]]&amp;ESS_DATA[[#This Row],[PORT DESTINATION]],LT_REF[],7,0),14))</f>
        <v>8</v>
      </c>
      <c r="AY195" s="750">
        <f>IFERROR(ESS_DATA[[#This Row],[ODP ETA Port]]+ESS_DATA[[#This Row],[Customs/Leg3 Assumption]],"n/a")</f>
        <v>46350</v>
      </c>
      <c r="AZ195" s="741">
        <f>YEAR(ESS_DATA[[#This Row],[ETA for New Ark update]])</f>
        <v>2026</v>
      </c>
      <c r="BA195" s="741">
        <f>MONTH(ESS_DATA[[#This Row],[ETA for New Ark update]])</f>
        <v>11</v>
      </c>
      <c r="BB195" s="741">
        <f>IFERROR(_xlfn.ISOWEEKNUM(ESS_DATA[[#This Row],[ETA for New Ark update]]),0)</f>
        <v>48</v>
      </c>
      <c r="BC195" s="741" t="str">
        <f>_xlfn.XLOOKUP(ESS_DATA[[#This Row],[PORT DESTINATION]],Table12[PORT DESTINATION],Table12[Cosco Line],,0)</f>
        <v>AEM</v>
      </c>
      <c r="BD195" s="741"/>
      <c r="BE195" s="752"/>
      <c r="BF195" s="752"/>
      <c r="BG195" s="752"/>
      <c r="BH195" s="752"/>
      <c r="BI195" s="752"/>
    </row>
    <row r="196" spans="1:61" s="753" customFormat="1" ht="15" customHeight="1">
      <c r="A196" s="738" t="s">
        <v>8361</v>
      </c>
      <c r="B196" s="739" t="s">
        <v>7814</v>
      </c>
      <c r="C196" s="739" t="str">
        <f>IFERROR(LEFT(ESS_DATA[[#This Row],[TCL REFERENCE]],FIND(".",ESS_DATA[[#This Row],[TCL REFERENCE]],1)-1),"Main Line")</f>
        <v>26SEP002</v>
      </c>
      <c r="D196" s="739" t="s">
        <v>63</v>
      </c>
      <c r="E196" s="740" t="s">
        <v>64</v>
      </c>
      <c r="F196" s="741" t="str" cm="1">
        <f t="array" ref="F196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196" s="739"/>
      <c r="H196" s="739"/>
      <c r="I196" s="742"/>
      <c r="J196" s="739"/>
      <c r="K196" s="739"/>
      <c r="L196" s="743"/>
      <c r="M196" s="744"/>
      <c r="N196" s="745" t="s">
        <v>7828</v>
      </c>
      <c r="O196" s="745" t="s">
        <v>7829</v>
      </c>
      <c r="P196" s="745" t="s">
        <v>7830</v>
      </c>
      <c r="Q196" s="746"/>
      <c r="R196" s="920">
        <v>94</v>
      </c>
      <c r="S196" s="963"/>
      <c r="T196" s="739"/>
      <c r="U196" s="748">
        <f>ESS_DATA[[#This Row],[QUANTITY]]/260</f>
        <v>0.36153846153846153</v>
      </c>
      <c r="V196" s="749" t="s">
        <v>7873</v>
      </c>
      <c r="W196" s="739" t="s">
        <v>8347</v>
      </c>
      <c r="X196" s="741" t="str">
        <f t="shared" ref="X196:X203" si="11">IF(AL196&lt;&gt;"","COMPLETED",IF(AI196&lt;&gt;"","IN-TRANSIT",""))</f>
        <v>IN-TRANSIT</v>
      </c>
      <c r="Y196" s="888">
        <v>46282</v>
      </c>
      <c r="Z196" s="750">
        <v>46284</v>
      </c>
      <c r="AA196" s="751">
        <f>WEEKNUM(ESS_DATA[[#This Row],[Pick-Up Date]])</f>
        <v>38</v>
      </c>
      <c r="AB196" s="739" t="s">
        <v>8356</v>
      </c>
      <c r="AC196" s="739"/>
      <c r="AD196" s="739" t="s">
        <v>122</v>
      </c>
      <c r="AE196" s="739" t="s">
        <v>122</v>
      </c>
      <c r="AF196" s="739" t="s">
        <v>78</v>
      </c>
      <c r="AG196" s="750">
        <v>46290</v>
      </c>
      <c r="AH196" s="750">
        <v>46292</v>
      </c>
      <c r="AI196" s="750">
        <v>46292</v>
      </c>
      <c r="AJ196" s="750">
        <v>46342</v>
      </c>
      <c r="AK196" s="750">
        <v>46342</v>
      </c>
      <c r="AL196" s="750"/>
      <c r="AM196" s="740" t="s">
        <v>402</v>
      </c>
      <c r="AN196" s="750" t="s">
        <v>8357</v>
      </c>
      <c r="AO196" s="750" t="s">
        <v>80</v>
      </c>
      <c r="AP196" s="750" t="s">
        <v>8358</v>
      </c>
      <c r="AQ196" s="739" t="s">
        <v>8359</v>
      </c>
      <c r="AR196" s="739" t="s">
        <v>8359</v>
      </c>
      <c r="AS196" s="739">
        <f>ESS_DATA[[#This Row],[ETA On S/O]]-ESS_DATA[[#This Row],[ETD On S/O]]+1</f>
        <v>53</v>
      </c>
      <c r="AT196" s="739"/>
      <c r="AU196" s="750" cm="1">
        <f t="array" ref="AU19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46342</v>
      </c>
      <c r="AV196" s="750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96" s="750" t="str">
        <f>IF(ISERROR(ESS_DATA[[#This Row],[New Ark PO status]]),"",_xlfn.XLOOKUP(ESS_DATA[[#This Row],[SPTN-PVHK New Ark PO'#]],New_Ark_Data[Purchase order Number],New_Ark_Data[Estimated time of arrival],"",0))</f>
        <v/>
      </c>
      <c r="AX196" s="739">
        <f>IF(ESS_DATA[[#This Row],[New Ark PO Type]]="Offshore",0,IFERROR(VLOOKUP(ESS_DATA[[#This Row],[PORT OF LOADING]]&amp;ESS_DATA[[#This Row],[PORT DESTINATION]],LT_REF[],7,0),14))</f>
        <v>8</v>
      </c>
      <c r="AY196" s="750">
        <f>IFERROR(ESS_DATA[[#This Row],[ODP ETA Port]]+ESS_DATA[[#This Row],[Customs/Leg3 Assumption]],"n/a")</f>
        <v>46350</v>
      </c>
      <c r="AZ196" s="741">
        <f>YEAR(ESS_DATA[[#This Row],[ETA for New Ark update]])</f>
        <v>2026</v>
      </c>
      <c r="BA196" s="741">
        <f>MONTH(ESS_DATA[[#This Row],[ETA for New Ark update]])</f>
        <v>11</v>
      </c>
      <c r="BB196" s="741">
        <f>IFERROR(_xlfn.ISOWEEKNUM(ESS_DATA[[#This Row],[ETA for New Ark update]]),0)</f>
        <v>48</v>
      </c>
      <c r="BC196" s="741" t="str">
        <f>_xlfn.XLOOKUP(ESS_DATA[[#This Row],[PORT DESTINATION]],Table12[PORT DESTINATION],Table12[Cosco Line],,0)</f>
        <v>AEM</v>
      </c>
      <c r="BD196" s="741"/>
      <c r="BE196" s="752"/>
      <c r="BF196" s="752"/>
      <c r="BG196" s="752"/>
      <c r="BH196" s="752"/>
      <c r="BI196" s="752"/>
    </row>
    <row r="197" spans="1:61" s="753" customFormat="1" ht="15" customHeight="1">
      <c r="A197" s="738" t="s">
        <v>8362</v>
      </c>
      <c r="B197" s="739" t="s">
        <v>7814</v>
      </c>
      <c r="C197" s="739" t="str">
        <f>IFERROR(LEFT(ESS_DATA[[#This Row],[TCL REFERENCE]],FIND(".",ESS_DATA[[#This Row],[TCL REFERENCE]],1)-1),"Main Line")</f>
        <v>Main Line</v>
      </c>
      <c r="D197" s="739" t="s">
        <v>63</v>
      </c>
      <c r="E197" s="740" t="s">
        <v>64</v>
      </c>
      <c r="F197" s="741" t="str" cm="1">
        <f t="array" ref="F197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197" s="739"/>
      <c r="H197" s="739"/>
      <c r="I197" s="742"/>
      <c r="J197" s="739"/>
      <c r="K197" s="739"/>
      <c r="L197" s="743"/>
      <c r="M197" s="744"/>
      <c r="N197" s="745" t="s">
        <v>7828</v>
      </c>
      <c r="O197" s="745" t="s">
        <v>7829</v>
      </c>
      <c r="P197" s="745" t="s">
        <v>7830</v>
      </c>
      <c r="Q197" s="746"/>
      <c r="R197" s="920">
        <v>16</v>
      </c>
      <c r="S197" s="963"/>
      <c r="T197" s="739"/>
      <c r="U197" s="748">
        <f>ESS_DATA[[#This Row],[QUANTITY]]/260</f>
        <v>6.1538461538461542E-2</v>
      </c>
      <c r="V197" s="749" t="s">
        <v>7873</v>
      </c>
      <c r="W197" s="739" t="s">
        <v>8347</v>
      </c>
      <c r="X197" s="741" t="str">
        <f t="shared" si="11"/>
        <v>IN-TRANSIT</v>
      </c>
      <c r="Y197" s="888">
        <v>46282</v>
      </c>
      <c r="Z197" s="750">
        <v>46284</v>
      </c>
      <c r="AA197" s="751">
        <f>WEEKNUM(ESS_DATA[[#This Row],[Pick-Up Date]])</f>
        <v>38</v>
      </c>
      <c r="AB197" s="739" t="s">
        <v>8356</v>
      </c>
      <c r="AC197" s="739"/>
      <c r="AD197" s="739" t="s">
        <v>122</v>
      </c>
      <c r="AE197" s="739" t="s">
        <v>122</v>
      </c>
      <c r="AF197" s="739" t="s">
        <v>78</v>
      </c>
      <c r="AG197" s="750">
        <v>46290</v>
      </c>
      <c r="AH197" s="750">
        <v>46292</v>
      </c>
      <c r="AI197" s="750">
        <v>46292</v>
      </c>
      <c r="AJ197" s="750">
        <v>46342</v>
      </c>
      <c r="AK197" s="750">
        <v>46342</v>
      </c>
      <c r="AL197" s="750"/>
      <c r="AM197" s="740" t="s">
        <v>402</v>
      </c>
      <c r="AN197" s="750" t="s">
        <v>8357</v>
      </c>
      <c r="AO197" s="750" t="s">
        <v>80</v>
      </c>
      <c r="AP197" s="750" t="s">
        <v>8358</v>
      </c>
      <c r="AQ197" s="739" t="s">
        <v>8359</v>
      </c>
      <c r="AR197" s="739" t="s">
        <v>8359</v>
      </c>
      <c r="AS197" s="739">
        <f>ESS_DATA[[#This Row],[ETA On S/O]]-ESS_DATA[[#This Row],[ETD On S/O]]+1</f>
        <v>53</v>
      </c>
      <c r="AT197" s="739"/>
      <c r="AU197" s="750" cm="1">
        <f t="array" ref="AU19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46342</v>
      </c>
      <c r="AV197" s="750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97" s="750" t="str">
        <f>IF(ISERROR(ESS_DATA[[#This Row],[New Ark PO status]]),"",_xlfn.XLOOKUP(ESS_DATA[[#This Row],[SPTN-PVHK New Ark PO'#]],New_Ark_Data[Purchase order Number],New_Ark_Data[Estimated time of arrival],"",0))</f>
        <v/>
      </c>
      <c r="AX197" s="739">
        <f>IF(ESS_DATA[[#This Row],[New Ark PO Type]]="Offshore",0,IFERROR(VLOOKUP(ESS_DATA[[#This Row],[PORT OF LOADING]]&amp;ESS_DATA[[#This Row],[PORT DESTINATION]],LT_REF[],7,0),14))</f>
        <v>8</v>
      </c>
      <c r="AY197" s="750">
        <f>IFERROR(ESS_DATA[[#This Row],[ODP ETA Port]]+ESS_DATA[[#This Row],[Customs/Leg3 Assumption]],"n/a")</f>
        <v>46350</v>
      </c>
      <c r="AZ197" s="741">
        <f>YEAR(ESS_DATA[[#This Row],[ETA for New Ark update]])</f>
        <v>2026</v>
      </c>
      <c r="BA197" s="741">
        <f>MONTH(ESS_DATA[[#This Row],[ETA for New Ark update]])</f>
        <v>11</v>
      </c>
      <c r="BB197" s="741">
        <f>IFERROR(_xlfn.ISOWEEKNUM(ESS_DATA[[#This Row],[ETA for New Ark update]]),0)</f>
        <v>48</v>
      </c>
      <c r="BC197" s="741" t="str">
        <f>_xlfn.XLOOKUP(ESS_DATA[[#This Row],[PORT DESTINATION]],Table12[PORT DESTINATION],Table12[Cosco Line],,0)</f>
        <v>AEM</v>
      </c>
      <c r="BD197" s="741"/>
      <c r="BE197" s="752"/>
      <c r="BF197" s="752"/>
      <c r="BG197" s="752"/>
      <c r="BH197" s="752"/>
      <c r="BI197" s="752"/>
    </row>
    <row r="198" spans="1:61" s="753" customFormat="1" ht="15" customHeight="1">
      <c r="A198" s="738" t="s">
        <v>8363</v>
      </c>
      <c r="B198" s="739" t="s">
        <v>7814</v>
      </c>
      <c r="C198" s="739" t="str">
        <f>IFERROR(LEFT(ESS_DATA[[#This Row],[TCL REFERENCE]],FIND(".",ESS_DATA[[#This Row],[TCL REFERENCE]],1)-1),"Main Line")</f>
        <v>26SEP004</v>
      </c>
      <c r="D198" s="739" t="s">
        <v>63</v>
      </c>
      <c r="E198" s="740" t="s">
        <v>64</v>
      </c>
      <c r="F198" s="741" t="str" cm="1">
        <f t="array" ref="F198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198" s="739"/>
      <c r="H198" s="739"/>
      <c r="I198" s="742"/>
      <c r="J198" s="739"/>
      <c r="K198" s="739"/>
      <c r="L198" s="743"/>
      <c r="M198" s="744"/>
      <c r="N198" s="745" t="s">
        <v>7840</v>
      </c>
      <c r="O198" s="745" t="s">
        <v>8037</v>
      </c>
      <c r="P198" s="745" t="s">
        <v>7842</v>
      </c>
      <c r="Q198" s="746"/>
      <c r="R198" s="945">
        <v>111</v>
      </c>
      <c r="S198" s="963"/>
      <c r="T198" s="739"/>
      <c r="U198" s="748">
        <f>ESS_DATA[[#This Row],[QUANTITY]]/260</f>
        <v>0.42692307692307691</v>
      </c>
      <c r="V198" s="749" t="s">
        <v>7873</v>
      </c>
      <c r="W198" s="739" t="s">
        <v>8347</v>
      </c>
      <c r="X198" s="741" t="str">
        <f t="shared" si="11"/>
        <v>IN-TRANSIT</v>
      </c>
      <c r="Y198" s="888">
        <v>46282</v>
      </c>
      <c r="Z198" s="750">
        <v>46284</v>
      </c>
      <c r="AA198" s="751">
        <f>WEEKNUM(ESS_DATA[[#This Row],[Pick-Up Date]])</f>
        <v>38</v>
      </c>
      <c r="AB198" s="739" t="s">
        <v>8356</v>
      </c>
      <c r="AC198" s="739"/>
      <c r="AD198" s="739" t="s">
        <v>122</v>
      </c>
      <c r="AE198" s="739" t="s">
        <v>122</v>
      </c>
      <c r="AF198" s="739" t="s">
        <v>78</v>
      </c>
      <c r="AG198" s="750">
        <v>46290</v>
      </c>
      <c r="AH198" s="750">
        <v>46292</v>
      </c>
      <c r="AI198" s="750">
        <v>46292</v>
      </c>
      <c r="AJ198" s="750">
        <v>46342</v>
      </c>
      <c r="AK198" s="750">
        <v>46342</v>
      </c>
      <c r="AL198" s="750"/>
      <c r="AM198" s="740" t="s">
        <v>402</v>
      </c>
      <c r="AN198" s="750" t="s">
        <v>8357</v>
      </c>
      <c r="AO198" s="750" t="s">
        <v>80</v>
      </c>
      <c r="AP198" s="750" t="s">
        <v>8358</v>
      </c>
      <c r="AQ198" s="739" t="s">
        <v>8359</v>
      </c>
      <c r="AR198" s="739" t="s">
        <v>8359</v>
      </c>
      <c r="AS198" s="739">
        <f>ESS_DATA[[#This Row],[ETA On S/O]]-ESS_DATA[[#This Row],[ETD On S/O]]+1</f>
        <v>53</v>
      </c>
      <c r="AT198" s="739"/>
      <c r="AU198" s="750" cm="1">
        <f t="array" ref="AU19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46342</v>
      </c>
      <c r="AV198" s="750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98" s="750" t="str">
        <f>IF(ISERROR(ESS_DATA[[#This Row],[New Ark PO status]]),"",_xlfn.XLOOKUP(ESS_DATA[[#This Row],[SPTN-PVHK New Ark PO'#]],New_Ark_Data[Purchase order Number],New_Ark_Data[Estimated time of arrival],"",0))</f>
        <v/>
      </c>
      <c r="AX198" s="739">
        <f>IF(ESS_DATA[[#This Row],[New Ark PO Type]]="Offshore",0,IFERROR(VLOOKUP(ESS_DATA[[#This Row],[PORT OF LOADING]]&amp;ESS_DATA[[#This Row],[PORT DESTINATION]],LT_REF[],7,0),14))</f>
        <v>8</v>
      </c>
      <c r="AY198" s="750">
        <f>IFERROR(ESS_DATA[[#This Row],[ODP ETA Port]]+ESS_DATA[[#This Row],[Customs/Leg3 Assumption]],"n/a")</f>
        <v>46350</v>
      </c>
      <c r="AZ198" s="741">
        <f>YEAR(ESS_DATA[[#This Row],[ETA for New Ark update]])</f>
        <v>2026</v>
      </c>
      <c r="BA198" s="741">
        <f>MONTH(ESS_DATA[[#This Row],[ETA for New Ark update]])</f>
        <v>11</v>
      </c>
      <c r="BB198" s="741">
        <f>IFERROR(_xlfn.ISOWEEKNUM(ESS_DATA[[#This Row],[ETA for New Ark update]]),0)</f>
        <v>48</v>
      </c>
      <c r="BC198" s="741" t="str">
        <f>_xlfn.XLOOKUP(ESS_DATA[[#This Row],[PORT DESTINATION]],Table12[PORT DESTINATION],Table12[Cosco Line],,0)</f>
        <v>AEM</v>
      </c>
      <c r="BD198" s="741"/>
      <c r="BE198" s="752"/>
      <c r="BF198" s="752"/>
      <c r="BG198" s="752"/>
      <c r="BH198" s="752"/>
      <c r="BI198" s="752"/>
    </row>
    <row r="199" spans="1:61" s="753" customFormat="1" ht="15" customHeight="1">
      <c r="A199" s="738" t="s">
        <v>8364</v>
      </c>
      <c r="B199" s="739" t="s">
        <v>7814</v>
      </c>
      <c r="C199" s="739" t="str">
        <f>IFERROR(LEFT(ESS_DATA[[#This Row],[TCL REFERENCE]],FIND(".",ESS_DATA[[#This Row],[TCL REFERENCE]],1)-1),"Main Line")</f>
        <v>Main Line</v>
      </c>
      <c r="D199" s="739" t="s">
        <v>63</v>
      </c>
      <c r="E199" s="740" t="s">
        <v>64</v>
      </c>
      <c r="F199" s="741" t="str" cm="1">
        <f t="array" ref="F199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199" s="739"/>
      <c r="H199" s="739"/>
      <c r="I199" s="742"/>
      <c r="J199" s="739"/>
      <c r="K199" s="739"/>
      <c r="L199" s="743"/>
      <c r="M199" s="744"/>
      <c r="N199" s="745" t="s">
        <v>7840</v>
      </c>
      <c r="O199" s="745" t="s">
        <v>8037</v>
      </c>
      <c r="P199" s="745" t="s">
        <v>7842</v>
      </c>
      <c r="Q199" s="746"/>
      <c r="R199" s="1025">
        <v>19</v>
      </c>
      <c r="S199" s="963"/>
      <c r="T199" s="739"/>
      <c r="U199" s="748">
        <f>ESS_DATA[[#This Row],[QUANTITY]]/260</f>
        <v>7.3076923076923081E-2</v>
      </c>
      <c r="V199" s="749" t="s">
        <v>7873</v>
      </c>
      <c r="W199" s="739" t="s">
        <v>8347</v>
      </c>
      <c r="X199" s="741" t="str">
        <f t="shared" si="11"/>
        <v>IN-TRANSIT</v>
      </c>
      <c r="Y199" s="888">
        <v>46282</v>
      </c>
      <c r="Z199" s="750">
        <v>46284</v>
      </c>
      <c r="AA199" s="751">
        <f>WEEKNUM(ESS_DATA[[#This Row],[Pick-Up Date]])</f>
        <v>38</v>
      </c>
      <c r="AB199" s="739" t="s">
        <v>8356</v>
      </c>
      <c r="AC199" s="739"/>
      <c r="AD199" s="739" t="s">
        <v>122</v>
      </c>
      <c r="AE199" s="739" t="s">
        <v>122</v>
      </c>
      <c r="AF199" s="739" t="s">
        <v>78</v>
      </c>
      <c r="AG199" s="750">
        <v>46290</v>
      </c>
      <c r="AH199" s="750">
        <v>46292</v>
      </c>
      <c r="AI199" s="750">
        <v>46292</v>
      </c>
      <c r="AJ199" s="750">
        <v>46342</v>
      </c>
      <c r="AK199" s="750">
        <v>46342</v>
      </c>
      <c r="AL199" s="750"/>
      <c r="AM199" s="740" t="s">
        <v>402</v>
      </c>
      <c r="AN199" s="750" t="s">
        <v>8357</v>
      </c>
      <c r="AO199" s="750" t="s">
        <v>80</v>
      </c>
      <c r="AP199" s="750" t="s">
        <v>8358</v>
      </c>
      <c r="AQ199" s="739" t="s">
        <v>8359</v>
      </c>
      <c r="AR199" s="739" t="s">
        <v>8359</v>
      </c>
      <c r="AS199" s="739">
        <f>ESS_DATA[[#This Row],[ETA On S/O]]-ESS_DATA[[#This Row],[ETD On S/O]]+1</f>
        <v>53</v>
      </c>
      <c r="AT199" s="739"/>
      <c r="AU199" s="750" cm="1">
        <f t="array" ref="AU19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46342</v>
      </c>
      <c r="AV199" s="750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199" s="750" t="str">
        <f>IF(ISERROR(ESS_DATA[[#This Row],[New Ark PO status]]),"",_xlfn.XLOOKUP(ESS_DATA[[#This Row],[SPTN-PVHK New Ark PO'#]],New_Ark_Data[Purchase order Number],New_Ark_Data[Estimated time of arrival],"",0))</f>
        <v/>
      </c>
      <c r="AX199" s="739">
        <f>IF(ESS_DATA[[#This Row],[New Ark PO Type]]="Offshore",0,IFERROR(VLOOKUP(ESS_DATA[[#This Row],[PORT OF LOADING]]&amp;ESS_DATA[[#This Row],[PORT DESTINATION]],LT_REF[],7,0),14))</f>
        <v>8</v>
      </c>
      <c r="AY199" s="750">
        <f>IFERROR(ESS_DATA[[#This Row],[ODP ETA Port]]+ESS_DATA[[#This Row],[Customs/Leg3 Assumption]],"n/a")</f>
        <v>46350</v>
      </c>
      <c r="AZ199" s="741">
        <f>YEAR(ESS_DATA[[#This Row],[ETA for New Ark update]])</f>
        <v>2026</v>
      </c>
      <c r="BA199" s="741">
        <f>MONTH(ESS_DATA[[#This Row],[ETA for New Ark update]])</f>
        <v>11</v>
      </c>
      <c r="BB199" s="741">
        <f>IFERROR(_xlfn.ISOWEEKNUM(ESS_DATA[[#This Row],[ETA for New Ark update]]),0)</f>
        <v>48</v>
      </c>
      <c r="BC199" s="741" t="str">
        <f>_xlfn.XLOOKUP(ESS_DATA[[#This Row],[PORT DESTINATION]],Table12[PORT DESTINATION],Table12[Cosco Line],,0)</f>
        <v>AEM</v>
      </c>
      <c r="BD199" s="741"/>
      <c r="BE199" s="752"/>
      <c r="BF199" s="752"/>
      <c r="BG199" s="752"/>
      <c r="BH199" s="752"/>
      <c r="BI199" s="752"/>
    </row>
    <row r="200" spans="1:61" s="753" customFormat="1" ht="15" customHeight="1">
      <c r="A200" s="738" t="s">
        <v>8365</v>
      </c>
      <c r="B200" s="739" t="s">
        <v>7814</v>
      </c>
      <c r="C200" s="739" t="str">
        <f>IFERROR(LEFT(ESS_DATA[[#This Row],[TCL REFERENCE]],FIND(".",ESS_DATA[[#This Row],[TCL REFERENCE]],1)-1),"Main Line")</f>
        <v>Main Line</v>
      </c>
      <c r="D200" s="739" t="s">
        <v>63</v>
      </c>
      <c r="E200" s="740" t="s">
        <v>64</v>
      </c>
      <c r="F200" s="741" t="str" cm="1">
        <f t="array" ref="F200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00" s="739"/>
      <c r="H200" s="739"/>
      <c r="I200" s="742"/>
      <c r="J200" s="739"/>
      <c r="K200" s="739"/>
      <c r="L200" s="743"/>
      <c r="M200" s="744"/>
      <c r="N200" s="747" t="s">
        <v>7816</v>
      </c>
      <c r="O200" s="745" t="s">
        <v>7986</v>
      </c>
      <c r="P200" s="747" t="s">
        <v>7818</v>
      </c>
      <c r="Q200" s="746"/>
      <c r="R200" s="945">
        <v>180</v>
      </c>
      <c r="S200" s="963"/>
      <c r="T200" s="739"/>
      <c r="U200" s="748">
        <v>0</v>
      </c>
      <c r="V200" s="749" t="s">
        <v>7873</v>
      </c>
      <c r="W200" s="739" t="s">
        <v>8347</v>
      </c>
      <c r="X200" s="741" t="str">
        <f t="shared" si="11"/>
        <v>IN-TRANSIT</v>
      </c>
      <c r="Y200" s="888">
        <v>46282</v>
      </c>
      <c r="Z200" s="750">
        <v>46284</v>
      </c>
      <c r="AA200" s="751">
        <f>WEEKNUM(ESS_DATA[[#This Row],[Pick-Up Date]])</f>
        <v>38</v>
      </c>
      <c r="AB200" s="739" t="s">
        <v>8356</v>
      </c>
      <c r="AC200" s="739"/>
      <c r="AD200" s="739" t="s">
        <v>122</v>
      </c>
      <c r="AE200" s="739" t="s">
        <v>122</v>
      </c>
      <c r="AF200" s="739" t="s">
        <v>78</v>
      </c>
      <c r="AG200" s="750">
        <v>46290</v>
      </c>
      <c r="AH200" s="750">
        <v>46292</v>
      </c>
      <c r="AI200" s="750">
        <v>46292</v>
      </c>
      <c r="AJ200" s="750">
        <v>46342</v>
      </c>
      <c r="AK200" s="750">
        <v>46342</v>
      </c>
      <c r="AL200" s="750"/>
      <c r="AM200" s="740" t="s">
        <v>402</v>
      </c>
      <c r="AN200" s="750" t="s">
        <v>8357</v>
      </c>
      <c r="AO200" s="750" t="s">
        <v>80</v>
      </c>
      <c r="AP200" s="750" t="s">
        <v>8358</v>
      </c>
      <c r="AQ200" s="739" t="s">
        <v>8359</v>
      </c>
      <c r="AR200" s="739" t="s">
        <v>8359</v>
      </c>
      <c r="AS200" s="739">
        <f>ESS_DATA[[#This Row],[ETA On S/O]]-ESS_DATA[[#This Row],[ETD On S/O]]+1</f>
        <v>53</v>
      </c>
      <c r="AT200" s="739"/>
      <c r="AU200" s="750" cm="1">
        <f t="array" ref="AU20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46342</v>
      </c>
      <c r="AV20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00" s="14" t="str">
        <f>IF(ISERROR(ESS_DATA[[#This Row],[New Ark PO status]]),"",_xlfn.XLOOKUP(ESS_DATA[[#This Row],[SPTN-PVHK New Ark PO'#]],New_Ark_Data[Purchase order Number],New_Ark_Data[Estimated time of arrival],"",0))</f>
        <v/>
      </c>
      <c r="AX200" s="739">
        <f>IF(ESS_DATA[[#This Row],[New Ark PO Type]]="Offshore",0,IFERROR(VLOOKUP(ESS_DATA[[#This Row],[PORT OF LOADING]]&amp;ESS_DATA[[#This Row],[PORT DESTINATION]],LT_REF[],7,0),14))</f>
        <v>8</v>
      </c>
      <c r="AY200" s="750">
        <f>IFERROR(ESS_DATA[[#This Row],[ODP ETA Port]]+ESS_DATA[[#This Row],[Customs/Leg3 Assumption]],"n/a")</f>
        <v>46350</v>
      </c>
      <c r="AZ200" s="741">
        <f>YEAR(ESS_DATA[[#This Row],[ETA for New Ark update]])</f>
        <v>2026</v>
      </c>
      <c r="BA200" s="741">
        <f>MONTH(ESS_DATA[[#This Row],[ETA for New Ark update]])</f>
        <v>11</v>
      </c>
      <c r="BB200" s="741">
        <f>IFERROR(_xlfn.ISOWEEKNUM(ESS_DATA[[#This Row],[ETA for New Ark update]]),0)</f>
        <v>48</v>
      </c>
      <c r="BC200" s="741" t="str">
        <f>_xlfn.XLOOKUP(ESS_DATA[[#This Row],[PORT DESTINATION]],Table12[PORT DESTINATION],Table12[Cosco Line],,0)</f>
        <v>AEM</v>
      </c>
      <c r="BD200" s="741"/>
      <c r="BE200" s="752"/>
      <c r="BF200" s="752"/>
      <c r="BG200" s="752"/>
      <c r="BH200" s="752"/>
      <c r="BI200" s="752"/>
    </row>
    <row r="201" spans="1:61" s="753" customFormat="1" ht="13.5" customHeight="1">
      <c r="A201" s="738" t="s">
        <v>8366</v>
      </c>
      <c r="B201" s="739" t="s">
        <v>7814</v>
      </c>
      <c r="C201" s="739" t="str">
        <f>IFERROR(LEFT(ESS_DATA[[#This Row],[TCL REFERENCE]],FIND(".",ESS_DATA[[#This Row],[TCL REFERENCE]],1)-1),"Main Line")</f>
        <v>26SEP002</v>
      </c>
      <c r="D201" s="739" t="s">
        <v>63</v>
      </c>
      <c r="E201" s="740" t="s">
        <v>64</v>
      </c>
      <c r="F201" s="741" t="str" cm="1">
        <f t="array" ref="F201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01" s="739"/>
      <c r="H201" s="739"/>
      <c r="I201" s="742"/>
      <c r="J201" s="739"/>
      <c r="K201" s="739"/>
      <c r="L201" s="743"/>
      <c r="M201" s="744"/>
      <c r="N201" s="745" t="s">
        <v>7828</v>
      </c>
      <c r="O201" s="747" t="s">
        <v>7829</v>
      </c>
      <c r="P201" s="747" t="s">
        <v>7830</v>
      </c>
      <c r="Q201" s="746"/>
      <c r="R201" s="945">
        <v>130</v>
      </c>
      <c r="S201" s="963"/>
      <c r="T201" s="739"/>
      <c r="U201" s="748">
        <f>ESS_DATA[[#This Row],[QUANTITY]]/260</f>
        <v>0.5</v>
      </c>
      <c r="V201" s="749" t="s">
        <v>7877</v>
      </c>
      <c r="W201" s="934" t="s">
        <v>8367</v>
      </c>
      <c r="X201" s="947" t="str">
        <f t="shared" si="11"/>
        <v>IN-TRANSIT</v>
      </c>
      <c r="Y201" s="933">
        <v>46286</v>
      </c>
      <c r="Z201" s="750">
        <v>46284</v>
      </c>
      <c r="AA201" s="751">
        <f>WEEKNUM(ESS_DATA[[#This Row],[Pick-Up Date]])</f>
        <v>38</v>
      </c>
      <c r="AB201" s="739" t="s">
        <v>8356</v>
      </c>
      <c r="AC201" s="739"/>
      <c r="AD201" s="739" t="s">
        <v>122</v>
      </c>
      <c r="AE201" s="739" t="s">
        <v>122</v>
      </c>
      <c r="AF201" s="739" t="s">
        <v>78</v>
      </c>
      <c r="AG201" s="750">
        <v>46290</v>
      </c>
      <c r="AH201" s="750">
        <v>46292</v>
      </c>
      <c r="AI201" s="750">
        <v>46292</v>
      </c>
      <c r="AJ201" s="750">
        <v>46342</v>
      </c>
      <c r="AK201" s="750">
        <v>46342</v>
      </c>
      <c r="AL201" s="750"/>
      <c r="AM201" s="740" t="s">
        <v>402</v>
      </c>
      <c r="AN201" s="750" t="s">
        <v>8357</v>
      </c>
      <c r="AO201" s="750" t="s">
        <v>80</v>
      </c>
      <c r="AP201" s="750" t="s">
        <v>8358</v>
      </c>
      <c r="AQ201" s="739" t="s">
        <v>8359</v>
      </c>
      <c r="AR201" s="739" t="s">
        <v>8359</v>
      </c>
      <c r="AS201" s="739">
        <f>ESS_DATA[[#This Row],[ETA On S/O]]-ESS_DATA[[#This Row],[ETD On S/O]]+1</f>
        <v>53</v>
      </c>
      <c r="AT201" s="739"/>
      <c r="AU201" s="750" cm="1">
        <f t="array" ref="AU20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46342</v>
      </c>
      <c r="AV20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01" s="14" t="str">
        <f>IF(ISERROR(ESS_DATA[[#This Row],[New Ark PO status]]),"",_xlfn.XLOOKUP(ESS_DATA[[#This Row],[SPTN-PVHK New Ark PO'#]],New_Ark_Data[Purchase order Number],New_Ark_Data[Estimated time of arrival],"",0))</f>
        <v/>
      </c>
      <c r="AX201" s="739">
        <f>IF(ESS_DATA[[#This Row],[New Ark PO Type]]="Offshore",0,IFERROR(VLOOKUP(ESS_DATA[[#This Row],[PORT OF LOADING]]&amp;ESS_DATA[[#This Row],[PORT DESTINATION]],LT_REF[],7,0),14))</f>
        <v>8</v>
      </c>
      <c r="AY201" s="750">
        <f>IFERROR(ESS_DATA[[#This Row],[ODP ETA Port]]+ESS_DATA[[#This Row],[Customs/Leg3 Assumption]],"n/a")</f>
        <v>46350</v>
      </c>
      <c r="AZ201" s="741">
        <f>YEAR(ESS_DATA[[#This Row],[ETA for New Ark update]])</f>
        <v>2026</v>
      </c>
      <c r="BA201" s="741">
        <f>MONTH(ESS_DATA[[#This Row],[ETA for New Ark update]])</f>
        <v>11</v>
      </c>
      <c r="BB201" s="741">
        <f>IFERROR(_xlfn.ISOWEEKNUM(ESS_DATA[[#This Row],[ETA for New Ark update]]),0)</f>
        <v>48</v>
      </c>
      <c r="BC201" s="741" t="str">
        <f>_xlfn.XLOOKUP(ESS_DATA[[#This Row],[PORT DESTINATION]],Table12[PORT DESTINATION],Table12[Cosco Line],,0)</f>
        <v>AEM</v>
      </c>
      <c r="BD201" s="741"/>
      <c r="BE201" s="752"/>
      <c r="BF201" s="752"/>
      <c r="BG201" s="752"/>
      <c r="BH201" s="752"/>
      <c r="BI201" s="752"/>
    </row>
    <row r="202" spans="1:61" s="753" customFormat="1" ht="15" customHeight="1">
      <c r="A202" s="738" t="s">
        <v>8368</v>
      </c>
      <c r="B202" s="739" t="s">
        <v>7814</v>
      </c>
      <c r="C202" s="739" t="str">
        <f>IFERROR(LEFT(ESS_DATA[[#This Row],[TCL REFERENCE]],FIND(".",ESS_DATA[[#This Row],[TCL REFERENCE]],1)-1),"Main Line")</f>
        <v>26SEP004</v>
      </c>
      <c r="D202" s="739" t="s">
        <v>63</v>
      </c>
      <c r="E202" s="740" t="s">
        <v>64</v>
      </c>
      <c r="F202" s="741" t="str" cm="1">
        <f t="array" ref="F202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02" s="739"/>
      <c r="H202" s="739"/>
      <c r="I202" s="742"/>
      <c r="J202" s="739"/>
      <c r="K202" s="739"/>
      <c r="L202" s="743"/>
      <c r="M202" s="744"/>
      <c r="N202" s="1351" t="s">
        <v>7840</v>
      </c>
      <c r="O202" s="745" t="s">
        <v>8037</v>
      </c>
      <c r="P202" s="745" t="s">
        <v>7842</v>
      </c>
      <c r="Q202" s="1357"/>
      <c r="R202" s="945">
        <v>130</v>
      </c>
      <c r="S202" s="963"/>
      <c r="T202" s="739"/>
      <c r="U202" s="748">
        <f>ESS_DATA[[#This Row],[QUANTITY]]/260</f>
        <v>0.5</v>
      </c>
      <c r="V202" s="749" t="s">
        <v>7877</v>
      </c>
      <c r="W202" s="934" t="s">
        <v>8367</v>
      </c>
      <c r="X202" s="947" t="str">
        <f t="shared" si="11"/>
        <v>IN-TRANSIT</v>
      </c>
      <c r="Y202" s="933">
        <v>46286</v>
      </c>
      <c r="Z202" s="750">
        <v>46284</v>
      </c>
      <c r="AA202" s="751">
        <f>WEEKNUM(ESS_DATA[[#This Row],[Pick-Up Date]])</f>
        <v>38</v>
      </c>
      <c r="AB202" s="739" t="s">
        <v>8356</v>
      </c>
      <c r="AC202" s="739"/>
      <c r="AD202" s="739" t="s">
        <v>122</v>
      </c>
      <c r="AE202" s="739" t="s">
        <v>122</v>
      </c>
      <c r="AF202" s="739" t="s">
        <v>78</v>
      </c>
      <c r="AG202" s="750">
        <v>46290</v>
      </c>
      <c r="AH202" s="750">
        <v>46292</v>
      </c>
      <c r="AI202" s="750">
        <v>46292</v>
      </c>
      <c r="AJ202" s="750">
        <v>46342</v>
      </c>
      <c r="AK202" s="750">
        <v>46342</v>
      </c>
      <c r="AL202" s="750"/>
      <c r="AM202" s="740" t="s">
        <v>402</v>
      </c>
      <c r="AN202" s="750" t="s">
        <v>8357</v>
      </c>
      <c r="AO202" s="750" t="s">
        <v>80</v>
      </c>
      <c r="AP202" s="750" t="s">
        <v>8358</v>
      </c>
      <c r="AQ202" s="739" t="s">
        <v>8359</v>
      </c>
      <c r="AR202" s="739" t="s">
        <v>8359</v>
      </c>
      <c r="AS202" s="739">
        <f>ESS_DATA[[#This Row],[ETA On S/O]]-ESS_DATA[[#This Row],[ETD On S/O]]+1</f>
        <v>53</v>
      </c>
      <c r="AT202" s="739"/>
      <c r="AU202" s="750" cm="1">
        <f t="array" ref="AU20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46342</v>
      </c>
      <c r="AV20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02" s="14" t="str">
        <f>IF(ISERROR(ESS_DATA[[#This Row],[New Ark PO status]]),"",_xlfn.XLOOKUP(ESS_DATA[[#This Row],[SPTN-PVHK New Ark PO'#]],New_Ark_Data[Purchase order Number],New_Ark_Data[Estimated time of arrival],"",0))</f>
        <v/>
      </c>
      <c r="AX202" s="739">
        <f>IF(ESS_DATA[[#This Row],[New Ark PO Type]]="Offshore",0,IFERROR(VLOOKUP(ESS_DATA[[#This Row],[PORT OF LOADING]]&amp;ESS_DATA[[#This Row],[PORT DESTINATION]],LT_REF[],7,0),14))</f>
        <v>8</v>
      </c>
      <c r="AY202" s="750">
        <f>IFERROR(ESS_DATA[[#This Row],[ODP ETA Port]]+ESS_DATA[[#This Row],[Customs/Leg3 Assumption]],"n/a")</f>
        <v>46350</v>
      </c>
      <c r="AZ202" s="741">
        <f>YEAR(ESS_DATA[[#This Row],[ETA for New Ark update]])</f>
        <v>2026</v>
      </c>
      <c r="BA202" s="741">
        <f>MONTH(ESS_DATA[[#This Row],[ETA for New Ark update]])</f>
        <v>11</v>
      </c>
      <c r="BB202" s="741">
        <f>IFERROR(_xlfn.ISOWEEKNUM(ESS_DATA[[#This Row],[ETA for New Ark update]]),0)</f>
        <v>48</v>
      </c>
      <c r="BC202" s="741" t="str">
        <f>_xlfn.XLOOKUP(ESS_DATA[[#This Row],[PORT DESTINATION]],Table12[PORT DESTINATION],Table12[Cosco Line],,0)</f>
        <v>AEM</v>
      </c>
      <c r="BD202" s="741"/>
      <c r="BE202" s="752"/>
      <c r="BF202" s="752"/>
      <c r="BG202" s="752"/>
      <c r="BH202" s="752"/>
      <c r="BI202" s="752"/>
    </row>
    <row r="203" spans="1:61" s="753" customFormat="1" ht="15" customHeight="1">
      <c r="A203" s="738" t="s">
        <v>8369</v>
      </c>
      <c r="B203" s="739" t="s">
        <v>7814</v>
      </c>
      <c r="C203" s="739" t="str">
        <f>IFERROR(LEFT(ESS_DATA[[#This Row],[TCL REFERENCE]],FIND(".",ESS_DATA[[#This Row],[TCL REFERENCE]],1)-1),"Main Line")</f>
        <v>26SEP005</v>
      </c>
      <c r="D203" s="739" t="s">
        <v>63</v>
      </c>
      <c r="E203" s="740" t="s">
        <v>64</v>
      </c>
      <c r="F203" s="741" t="str" cm="1">
        <f t="array" ref="F203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03" s="739"/>
      <c r="H203" s="739"/>
      <c r="I203" s="742"/>
      <c r="J203" s="739"/>
      <c r="K203" s="739"/>
      <c r="L203" s="743"/>
      <c r="M203" s="744"/>
      <c r="N203" s="754" t="s">
        <v>8116</v>
      </c>
      <c r="O203" s="741" t="s">
        <v>7829</v>
      </c>
      <c r="P203" s="741" t="s">
        <v>8117</v>
      </c>
      <c r="Q203" s="1357"/>
      <c r="R203" s="920">
        <v>42</v>
      </c>
      <c r="S203" s="963"/>
      <c r="T203" s="739"/>
      <c r="U203" s="748">
        <f>ESS_DATA[[#This Row],[QUANTITY]]/304</f>
        <v>0.13815789473684212</v>
      </c>
      <c r="V203" s="749" t="s">
        <v>8057</v>
      </c>
      <c r="W203" s="934" t="s">
        <v>8367</v>
      </c>
      <c r="X203" s="947" t="str">
        <f t="shared" si="11"/>
        <v>IN-TRANSIT</v>
      </c>
      <c r="Y203" s="933">
        <v>46288</v>
      </c>
      <c r="Z203" s="750">
        <v>46288</v>
      </c>
      <c r="AA203" s="751">
        <f>WEEKNUM(ESS_DATA[[#This Row],[Pick-Up Date]])</f>
        <v>39</v>
      </c>
      <c r="AB203" s="739" t="s">
        <v>8370</v>
      </c>
      <c r="AC203" s="739"/>
      <c r="AD203" s="739" t="s">
        <v>122</v>
      </c>
      <c r="AE203" s="739" t="s">
        <v>122</v>
      </c>
      <c r="AF203" s="739" t="s">
        <v>78</v>
      </c>
      <c r="AG203" s="750">
        <v>46297</v>
      </c>
      <c r="AH203" s="750">
        <v>46299</v>
      </c>
      <c r="AI203" s="750">
        <v>46299</v>
      </c>
      <c r="AJ203" s="750">
        <v>46337</v>
      </c>
      <c r="AK203" s="750">
        <v>46344</v>
      </c>
      <c r="AL203" s="750"/>
      <c r="AM203" s="740" t="s">
        <v>402</v>
      </c>
      <c r="AN203" s="750" t="s">
        <v>7059</v>
      </c>
      <c r="AO203" s="750" t="s">
        <v>80</v>
      </c>
      <c r="AP203" s="750" t="s">
        <v>8371</v>
      </c>
      <c r="AQ203" s="739" t="s">
        <v>8372</v>
      </c>
      <c r="AR203" s="739" t="s">
        <v>8372</v>
      </c>
      <c r="AS203" s="739">
        <f>ESS_DATA[[#This Row],[ETA On S/O]]-ESS_DATA[[#This Row],[ETD On S/O]]+1</f>
        <v>41</v>
      </c>
      <c r="AT203" s="739"/>
      <c r="AU203" s="750" cm="1">
        <f t="array" ref="AU20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46344</v>
      </c>
      <c r="AV20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03" s="14" t="str">
        <f>IF(ISERROR(ESS_DATA[[#This Row],[New Ark PO status]]),"",_xlfn.XLOOKUP(ESS_DATA[[#This Row],[SPTN-PVHK New Ark PO'#]],New_Ark_Data[Purchase order Number],New_Ark_Data[Estimated time of arrival],"",0))</f>
        <v/>
      </c>
      <c r="AX203" s="739">
        <f>IF(ESS_DATA[[#This Row],[New Ark PO Type]]="Offshore",0,IFERROR(VLOOKUP(ESS_DATA[[#This Row],[PORT OF LOADING]]&amp;ESS_DATA[[#This Row],[PORT DESTINATION]],LT_REF[],7,0),14))</f>
        <v>8</v>
      </c>
      <c r="AY203" s="750">
        <f>IFERROR(ESS_DATA[[#This Row],[ODP ETA Port]]+ESS_DATA[[#This Row],[Customs/Leg3 Assumption]],"n/a")</f>
        <v>46352</v>
      </c>
      <c r="AZ203" s="741">
        <f>YEAR(ESS_DATA[[#This Row],[ETA for New Ark update]])</f>
        <v>2026</v>
      </c>
      <c r="BA203" s="741">
        <f>MONTH(ESS_DATA[[#This Row],[ETA for New Ark update]])</f>
        <v>11</v>
      </c>
      <c r="BB203" s="741">
        <f>IFERROR(_xlfn.ISOWEEKNUM(ESS_DATA[[#This Row],[ETA for New Ark update]]),0)</f>
        <v>48</v>
      </c>
      <c r="BC203" s="741" t="str">
        <f>_xlfn.XLOOKUP(ESS_DATA[[#This Row],[PORT DESTINATION]],Table12[PORT DESTINATION],Table12[Cosco Line],,0)</f>
        <v>AEM</v>
      </c>
      <c r="BD203" s="741"/>
      <c r="BE203" s="752"/>
      <c r="BF203" s="752"/>
      <c r="BG203" s="752"/>
      <c r="BH203" s="752"/>
      <c r="BI203" s="752"/>
    </row>
    <row r="204" spans="1:61" s="753" customFormat="1" ht="15.75" customHeight="1">
      <c r="A204" s="738" t="s">
        <v>8373</v>
      </c>
      <c r="B204" s="739" t="s">
        <v>7814</v>
      </c>
      <c r="C204" s="739" t="str">
        <f>IFERROR(LEFT(ESS_DATA[[#This Row],[TCL REFERENCE]],FIND(".",ESS_DATA[[#This Row],[TCL REFERENCE]],1)-1),"Main Line")</f>
        <v>Main Line</v>
      </c>
      <c r="D204" s="739" t="s">
        <v>63</v>
      </c>
      <c r="E204" s="740" t="s">
        <v>64</v>
      </c>
      <c r="F204" s="741" t="str" cm="1">
        <f t="array" ref="F204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04" s="739"/>
      <c r="H204" s="739"/>
      <c r="I204" s="742"/>
      <c r="J204" s="739"/>
      <c r="K204" s="739"/>
      <c r="L204" s="743"/>
      <c r="M204" s="744"/>
      <c r="N204" s="754" t="s">
        <v>8116</v>
      </c>
      <c r="O204" s="741" t="s">
        <v>7829</v>
      </c>
      <c r="P204" s="741" t="s">
        <v>8117</v>
      </c>
      <c r="Q204" s="1357"/>
      <c r="R204" s="920">
        <v>6</v>
      </c>
      <c r="S204" s="963"/>
      <c r="T204" s="739"/>
      <c r="U204" s="748">
        <f>ESS_DATA[[#This Row],[QUANTITY]]/304</f>
        <v>1.9736842105263157E-2</v>
      </c>
      <c r="V204" s="749" t="s">
        <v>8057</v>
      </c>
      <c r="W204" s="934" t="s">
        <v>8367</v>
      </c>
      <c r="X204" s="947" t="str">
        <f t="shared" ref="X204:X210" si="12">IF(AL204&lt;&gt;"","COMPLETED",IF(AI204&lt;&gt;"","IN-TRANSIT",""))</f>
        <v>IN-TRANSIT</v>
      </c>
      <c r="Y204" s="933">
        <v>46288</v>
      </c>
      <c r="Z204" s="750">
        <v>46288</v>
      </c>
      <c r="AA204" s="751">
        <f>WEEKNUM(ESS_DATA[[#This Row],[Pick-Up Date]])</f>
        <v>39</v>
      </c>
      <c r="AB204" s="739" t="s">
        <v>8370</v>
      </c>
      <c r="AC204" s="739"/>
      <c r="AD204" s="739" t="s">
        <v>122</v>
      </c>
      <c r="AE204" s="739" t="s">
        <v>122</v>
      </c>
      <c r="AF204" s="739" t="s">
        <v>78</v>
      </c>
      <c r="AG204" s="750">
        <v>46297</v>
      </c>
      <c r="AH204" s="750">
        <v>46299</v>
      </c>
      <c r="AI204" s="750">
        <v>46299</v>
      </c>
      <c r="AJ204" s="750">
        <v>46337</v>
      </c>
      <c r="AK204" s="750">
        <v>46344</v>
      </c>
      <c r="AL204" s="750"/>
      <c r="AM204" s="740" t="s">
        <v>402</v>
      </c>
      <c r="AN204" s="750" t="s">
        <v>7059</v>
      </c>
      <c r="AO204" s="750" t="s">
        <v>80</v>
      </c>
      <c r="AP204" s="750" t="s">
        <v>8371</v>
      </c>
      <c r="AQ204" s="739" t="s">
        <v>8372</v>
      </c>
      <c r="AR204" s="739" t="s">
        <v>8372</v>
      </c>
      <c r="AS204" s="739">
        <f>ESS_DATA[[#This Row],[ETA On S/O]]-ESS_DATA[[#This Row],[ETD On S/O]]+1</f>
        <v>41</v>
      </c>
      <c r="AT204" s="739"/>
      <c r="AU204" s="750" cm="1">
        <f t="array" ref="AU20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46344</v>
      </c>
      <c r="AV20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04" s="14" t="str">
        <f>IF(ISERROR(ESS_DATA[[#This Row],[New Ark PO status]]),"",_xlfn.XLOOKUP(ESS_DATA[[#This Row],[SPTN-PVHK New Ark PO'#]],New_Ark_Data[Purchase order Number],New_Ark_Data[Estimated time of arrival],"",0))</f>
        <v/>
      </c>
      <c r="AX204" s="739">
        <f>IF(ESS_DATA[[#This Row],[New Ark PO Type]]="Offshore",0,IFERROR(VLOOKUP(ESS_DATA[[#This Row],[PORT OF LOADING]]&amp;ESS_DATA[[#This Row],[PORT DESTINATION]],LT_REF[],7,0),14))</f>
        <v>8</v>
      </c>
      <c r="AY204" s="750">
        <f>IFERROR(ESS_DATA[[#This Row],[ODP ETA Port]]+ESS_DATA[[#This Row],[Customs/Leg3 Assumption]],"n/a")</f>
        <v>46352</v>
      </c>
      <c r="AZ204" s="741">
        <f>YEAR(ESS_DATA[[#This Row],[ETA for New Ark update]])</f>
        <v>2026</v>
      </c>
      <c r="BA204" s="741">
        <f>MONTH(ESS_DATA[[#This Row],[ETA for New Ark update]])</f>
        <v>11</v>
      </c>
      <c r="BB204" s="741">
        <f>IFERROR(_xlfn.ISOWEEKNUM(ESS_DATA[[#This Row],[ETA for New Ark update]]),0)</f>
        <v>48</v>
      </c>
      <c r="BC204" s="741" t="str">
        <f>_xlfn.XLOOKUP(ESS_DATA[[#This Row],[PORT DESTINATION]],Table12[PORT DESTINATION],Table12[Cosco Line],,0)</f>
        <v>AEM</v>
      </c>
      <c r="BD204" s="741"/>
      <c r="BE204" s="752"/>
      <c r="BF204" s="752"/>
      <c r="BG204" s="752"/>
      <c r="BH204" s="752"/>
      <c r="BI204" s="752"/>
    </row>
    <row r="205" spans="1:61" s="753" customFormat="1" ht="14.25" customHeight="1">
      <c r="A205" s="738" t="s">
        <v>8374</v>
      </c>
      <c r="B205" s="739" t="s">
        <v>7814</v>
      </c>
      <c r="C205" s="739" t="str">
        <f>IFERROR(LEFT(ESS_DATA[[#This Row],[TCL REFERENCE]],FIND(".",ESS_DATA[[#This Row],[TCL REFERENCE]],1)-1),"Main Line")</f>
        <v>Main Line</v>
      </c>
      <c r="D205" s="739" t="s">
        <v>63</v>
      </c>
      <c r="E205" s="740" t="s">
        <v>64</v>
      </c>
      <c r="F205" s="741" t="str" cm="1">
        <f t="array" ref="F205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05" s="739"/>
      <c r="H205" s="739"/>
      <c r="I205" s="742"/>
      <c r="J205" s="739"/>
      <c r="K205" s="739"/>
      <c r="L205" s="743"/>
      <c r="M205" s="744"/>
      <c r="N205" s="754" t="s">
        <v>8101</v>
      </c>
      <c r="O205" s="741" t="s">
        <v>7829</v>
      </c>
      <c r="P205" s="741" t="s">
        <v>8102</v>
      </c>
      <c r="Q205" s="1357"/>
      <c r="R205" s="920">
        <v>101</v>
      </c>
      <c r="S205" s="963"/>
      <c r="T205" s="739"/>
      <c r="U205" s="748">
        <f>ESS_DATA[[#This Row],[QUANTITY]]/304</f>
        <v>0.33223684210526316</v>
      </c>
      <c r="V205" s="749" t="s">
        <v>8057</v>
      </c>
      <c r="W205" s="934" t="s">
        <v>8367</v>
      </c>
      <c r="X205" s="947" t="str">
        <f>IF(AL205&lt;&gt;"","COMPLETED",IF(AI205&lt;&gt;"","IN-TRANSIT",""))</f>
        <v>IN-TRANSIT</v>
      </c>
      <c r="Y205" s="933">
        <v>46288</v>
      </c>
      <c r="Z205" s="750">
        <v>46288</v>
      </c>
      <c r="AA205" s="751">
        <f>WEEKNUM(ESS_DATA[[#This Row],[Pick-Up Date]])</f>
        <v>39</v>
      </c>
      <c r="AB205" s="739" t="s">
        <v>8370</v>
      </c>
      <c r="AC205" s="739"/>
      <c r="AD205" s="739" t="s">
        <v>122</v>
      </c>
      <c r="AE205" s="739" t="s">
        <v>122</v>
      </c>
      <c r="AF205" s="739" t="s">
        <v>78</v>
      </c>
      <c r="AG205" s="750">
        <v>46297</v>
      </c>
      <c r="AH205" s="750">
        <v>46299</v>
      </c>
      <c r="AI205" s="750">
        <v>46299</v>
      </c>
      <c r="AJ205" s="750">
        <v>46337</v>
      </c>
      <c r="AK205" s="750">
        <v>46344</v>
      </c>
      <c r="AL205" s="750"/>
      <c r="AM205" s="740" t="s">
        <v>402</v>
      </c>
      <c r="AN205" s="750" t="s">
        <v>7059</v>
      </c>
      <c r="AO205" s="750" t="s">
        <v>80</v>
      </c>
      <c r="AP205" s="750" t="s">
        <v>8371</v>
      </c>
      <c r="AQ205" s="739" t="s">
        <v>8372</v>
      </c>
      <c r="AR205" s="739" t="s">
        <v>8372</v>
      </c>
      <c r="AS205" s="739">
        <f>ESS_DATA[[#This Row],[ETA On S/O]]-ESS_DATA[[#This Row],[ETD On S/O]]+1</f>
        <v>41</v>
      </c>
      <c r="AT205" s="739"/>
      <c r="AU205" s="750" cm="1">
        <f t="array" ref="AU20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46344</v>
      </c>
      <c r="AV20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05" s="14" t="str">
        <f>IF(ISERROR(ESS_DATA[[#This Row],[New Ark PO status]]),"",_xlfn.XLOOKUP(ESS_DATA[[#This Row],[SPTN-PVHK New Ark PO'#]],New_Ark_Data[Purchase order Number],New_Ark_Data[Estimated time of arrival],"",0))</f>
        <v/>
      </c>
      <c r="AX205" s="739">
        <f>IF(ESS_DATA[[#This Row],[New Ark PO Type]]="Offshore",0,IFERROR(VLOOKUP(ESS_DATA[[#This Row],[PORT OF LOADING]]&amp;ESS_DATA[[#This Row],[PORT DESTINATION]],LT_REF[],7,0),14))</f>
        <v>8</v>
      </c>
      <c r="AY205" s="750">
        <f>IFERROR(ESS_DATA[[#This Row],[ODP ETA Port]]+ESS_DATA[[#This Row],[Customs/Leg3 Assumption]],"n/a")</f>
        <v>46352</v>
      </c>
      <c r="AZ205" s="741">
        <f>YEAR(ESS_DATA[[#This Row],[ETA for New Ark update]])</f>
        <v>2026</v>
      </c>
      <c r="BA205" s="741">
        <f>MONTH(ESS_DATA[[#This Row],[ETA for New Ark update]])</f>
        <v>11</v>
      </c>
      <c r="BB205" s="741">
        <f>IFERROR(_xlfn.ISOWEEKNUM(ESS_DATA[[#This Row],[ETA for New Ark update]]),0)</f>
        <v>48</v>
      </c>
      <c r="BC205" s="741" t="str">
        <f>_xlfn.XLOOKUP(ESS_DATA[[#This Row],[PORT DESTINATION]],Table12[PORT DESTINATION],Table12[Cosco Line],,0)</f>
        <v>AEM</v>
      </c>
      <c r="BD205" s="741"/>
      <c r="BE205" s="752"/>
      <c r="BF205" s="752"/>
      <c r="BG205" s="752"/>
      <c r="BH205" s="752"/>
      <c r="BI205" s="752"/>
    </row>
    <row r="206" spans="1:61" s="753" customFormat="1" ht="14.25" customHeight="1">
      <c r="A206" s="738" t="s">
        <v>8375</v>
      </c>
      <c r="B206" s="739" t="s">
        <v>7814</v>
      </c>
      <c r="C206" s="739" t="str">
        <f>IFERROR(LEFT(ESS_DATA[[#This Row],[TCL REFERENCE]],FIND(".",ESS_DATA[[#This Row],[TCL REFERENCE]],1)-1),"Main Line")</f>
        <v>Main Line</v>
      </c>
      <c r="D206" s="739" t="s">
        <v>63</v>
      </c>
      <c r="E206" s="740" t="s">
        <v>64</v>
      </c>
      <c r="F206" s="741" t="str" cm="1">
        <f t="array" ref="F206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06" s="739"/>
      <c r="H206" s="739"/>
      <c r="I206" s="742"/>
      <c r="J206" s="739"/>
      <c r="K206" s="739"/>
      <c r="L206" s="743"/>
      <c r="M206" s="744"/>
      <c r="N206" s="754" t="s">
        <v>8101</v>
      </c>
      <c r="O206" s="741" t="s">
        <v>7829</v>
      </c>
      <c r="P206" s="741" t="s">
        <v>8102</v>
      </c>
      <c r="Q206" s="1357"/>
      <c r="R206" s="920">
        <v>3</v>
      </c>
      <c r="S206" s="963"/>
      <c r="T206" s="739"/>
      <c r="U206" s="748">
        <f>ESS_DATA[[#This Row],[QUANTITY]]/304</f>
        <v>9.8684210526315784E-3</v>
      </c>
      <c r="V206" s="749" t="s">
        <v>8057</v>
      </c>
      <c r="W206" s="934" t="s">
        <v>8367</v>
      </c>
      <c r="X206" s="947" t="str">
        <f>IF(AL206&lt;&gt;"","COMPLETED",IF(AI206&lt;&gt;"","IN-TRANSIT",""))</f>
        <v>IN-TRANSIT</v>
      </c>
      <c r="Y206" s="933">
        <v>46288</v>
      </c>
      <c r="Z206" s="750">
        <v>46288</v>
      </c>
      <c r="AA206" s="751">
        <f>WEEKNUM(ESS_DATA[[#This Row],[Pick-Up Date]])</f>
        <v>39</v>
      </c>
      <c r="AB206" s="739" t="s">
        <v>8370</v>
      </c>
      <c r="AC206" s="739"/>
      <c r="AD206" s="739" t="s">
        <v>122</v>
      </c>
      <c r="AE206" s="739" t="s">
        <v>122</v>
      </c>
      <c r="AF206" s="739" t="s">
        <v>78</v>
      </c>
      <c r="AG206" s="750">
        <v>46297</v>
      </c>
      <c r="AH206" s="750">
        <v>46299</v>
      </c>
      <c r="AI206" s="750">
        <v>46299</v>
      </c>
      <c r="AJ206" s="750">
        <v>46337</v>
      </c>
      <c r="AK206" s="750">
        <v>46344</v>
      </c>
      <c r="AL206" s="750"/>
      <c r="AM206" s="740" t="s">
        <v>402</v>
      </c>
      <c r="AN206" s="750" t="s">
        <v>7059</v>
      </c>
      <c r="AO206" s="750" t="s">
        <v>80</v>
      </c>
      <c r="AP206" s="750" t="s">
        <v>8371</v>
      </c>
      <c r="AQ206" s="739" t="s">
        <v>8372</v>
      </c>
      <c r="AR206" s="739" t="s">
        <v>8372</v>
      </c>
      <c r="AS206" s="739">
        <f>ESS_DATA[[#This Row],[ETA On S/O]]-ESS_DATA[[#This Row],[ETD On S/O]]+1</f>
        <v>41</v>
      </c>
      <c r="AT206" s="739"/>
      <c r="AU206" s="750" cm="1">
        <f t="array" ref="AU20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46344</v>
      </c>
      <c r="AV20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06" s="14" t="str">
        <f>IF(ISERROR(ESS_DATA[[#This Row],[New Ark PO status]]),"",_xlfn.XLOOKUP(ESS_DATA[[#This Row],[SPTN-PVHK New Ark PO'#]],New_Ark_Data[Purchase order Number],New_Ark_Data[Estimated time of arrival],"",0))</f>
        <v/>
      </c>
      <c r="AX206" s="739">
        <f>IF(ESS_DATA[[#This Row],[New Ark PO Type]]="Offshore",0,IFERROR(VLOOKUP(ESS_DATA[[#This Row],[PORT OF LOADING]]&amp;ESS_DATA[[#This Row],[PORT DESTINATION]],LT_REF[],7,0),14))</f>
        <v>8</v>
      </c>
      <c r="AY206" s="750">
        <f>IFERROR(ESS_DATA[[#This Row],[ODP ETA Port]]+ESS_DATA[[#This Row],[Customs/Leg3 Assumption]],"n/a")</f>
        <v>46352</v>
      </c>
      <c r="AZ206" s="741">
        <f>YEAR(ESS_DATA[[#This Row],[ETA for New Ark update]])</f>
        <v>2026</v>
      </c>
      <c r="BA206" s="741">
        <f>MONTH(ESS_DATA[[#This Row],[ETA for New Ark update]])</f>
        <v>11</v>
      </c>
      <c r="BB206" s="741">
        <f>IFERROR(_xlfn.ISOWEEKNUM(ESS_DATA[[#This Row],[ETA for New Ark update]]),0)</f>
        <v>48</v>
      </c>
      <c r="BC206" s="741" t="str">
        <f>_xlfn.XLOOKUP(ESS_DATA[[#This Row],[PORT DESTINATION]],Table12[PORT DESTINATION],Table12[Cosco Line],,0)</f>
        <v>AEM</v>
      </c>
      <c r="BD206" s="741"/>
      <c r="BE206" s="752"/>
      <c r="BF206" s="752"/>
      <c r="BG206" s="752"/>
      <c r="BH206" s="752"/>
      <c r="BI206" s="752"/>
    </row>
    <row r="207" spans="1:61" s="753" customFormat="1" ht="13.5" customHeight="1">
      <c r="A207" s="738" t="s">
        <v>8376</v>
      </c>
      <c r="B207" s="739" t="s">
        <v>7814</v>
      </c>
      <c r="C207" s="739" t="str">
        <f>IFERROR(LEFT(ESS_DATA[[#This Row],[TCL REFERENCE]],FIND(".",ESS_DATA[[#This Row],[TCL REFERENCE]],1)-1),"Main Line")</f>
        <v>26SEP007</v>
      </c>
      <c r="D207" s="739" t="s">
        <v>63</v>
      </c>
      <c r="E207" s="740" t="s">
        <v>64</v>
      </c>
      <c r="F207" s="741" t="str" cm="1">
        <f t="array" ref="F207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07" s="739"/>
      <c r="H207" s="739"/>
      <c r="I207" s="742"/>
      <c r="J207" s="739"/>
      <c r="K207" s="739"/>
      <c r="L207" s="743"/>
      <c r="M207" s="744"/>
      <c r="N207" s="754" t="s">
        <v>8108</v>
      </c>
      <c r="O207" s="741" t="s">
        <v>8037</v>
      </c>
      <c r="P207" s="741" t="s">
        <v>8109</v>
      </c>
      <c r="Q207" s="1357"/>
      <c r="R207" s="945">
        <v>143</v>
      </c>
      <c r="S207" s="963"/>
      <c r="T207" s="739"/>
      <c r="U207" s="748">
        <f>ESS_DATA[[#This Row],[QUANTITY]]/304</f>
        <v>0.47039473684210525</v>
      </c>
      <c r="V207" s="749" t="s">
        <v>8057</v>
      </c>
      <c r="W207" s="934" t="s">
        <v>8367</v>
      </c>
      <c r="X207" s="947" t="str">
        <f t="shared" si="12"/>
        <v>IN-TRANSIT</v>
      </c>
      <c r="Y207" s="933">
        <v>46288</v>
      </c>
      <c r="Z207" s="750">
        <v>46288</v>
      </c>
      <c r="AA207" s="751">
        <f>WEEKNUM(ESS_DATA[[#This Row],[Pick-Up Date]])</f>
        <v>39</v>
      </c>
      <c r="AB207" s="739" t="s">
        <v>8370</v>
      </c>
      <c r="AC207" s="739"/>
      <c r="AD207" s="739" t="s">
        <v>122</v>
      </c>
      <c r="AE207" s="739" t="s">
        <v>122</v>
      </c>
      <c r="AF207" s="739" t="s">
        <v>78</v>
      </c>
      <c r="AG207" s="750">
        <v>46297</v>
      </c>
      <c r="AH207" s="750">
        <v>46299</v>
      </c>
      <c r="AI207" s="750">
        <v>46299</v>
      </c>
      <c r="AJ207" s="750">
        <v>46337</v>
      </c>
      <c r="AK207" s="750">
        <v>46344</v>
      </c>
      <c r="AL207" s="750"/>
      <c r="AM207" s="740" t="s">
        <v>402</v>
      </c>
      <c r="AN207" s="750" t="s">
        <v>7059</v>
      </c>
      <c r="AO207" s="750" t="s">
        <v>80</v>
      </c>
      <c r="AP207" s="750" t="s">
        <v>8371</v>
      </c>
      <c r="AQ207" s="739" t="s">
        <v>8372</v>
      </c>
      <c r="AR207" s="739" t="s">
        <v>8372</v>
      </c>
      <c r="AS207" s="739">
        <f>ESS_DATA[[#This Row],[ETA On S/O]]-ESS_DATA[[#This Row],[ETD On S/O]]+1</f>
        <v>41</v>
      </c>
      <c r="AT207" s="739"/>
      <c r="AU207" s="750" cm="1">
        <f t="array" ref="AU20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46344</v>
      </c>
      <c r="AV20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07" s="14" t="str">
        <f>IF(ISERROR(ESS_DATA[[#This Row],[New Ark PO status]]),"",_xlfn.XLOOKUP(ESS_DATA[[#This Row],[SPTN-PVHK New Ark PO'#]],New_Ark_Data[Purchase order Number],New_Ark_Data[Estimated time of arrival],"",0))</f>
        <v/>
      </c>
      <c r="AX207" s="739">
        <f>IF(ESS_DATA[[#This Row],[New Ark PO Type]]="Offshore",0,IFERROR(VLOOKUP(ESS_DATA[[#This Row],[PORT OF LOADING]]&amp;ESS_DATA[[#This Row],[PORT DESTINATION]],LT_REF[],7,0),14))</f>
        <v>8</v>
      </c>
      <c r="AY207" s="750">
        <f>IFERROR(ESS_DATA[[#This Row],[ODP ETA Port]]+ESS_DATA[[#This Row],[Customs/Leg3 Assumption]],"n/a")</f>
        <v>46352</v>
      </c>
      <c r="AZ207" s="741">
        <f>YEAR(ESS_DATA[[#This Row],[ETA for New Ark update]])</f>
        <v>2026</v>
      </c>
      <c r="BA207" s="741">
        <f>MONTH(ESS_DATA[[#This Row],[ETA for New Ark update]])</f>
        <v>11</v>
      </c>
      <c r="BB207" s="741">
        <f>IFERROR(_xlfn.ISOWEEKNUM(ESS_DATA[[#This Row],[ETA for New Ark update]]),0)</f>
        <v>48</v>
      </c>
      <c r="BC207" s="741" t="str">
        <f>_xlfn.XLOOKUP(ESS_DATA[[#This Row],[PORT DESTINATION]],Table12[PORT DESTINATION],Table12[Cosco Line],,0)</f>
        <v>AEM</v>
      </c>
      <c r="BD207" s="741"/>
      <c r="BE207" s="752"/>
      <c r="BF207" s="752"/>
      <c r="BG207" s="752"/>
      <c r="BH207" s="752"/>
      <c r="BI207" s="752"/>
    </row>
    <row r="208" spans="1:61" s="753" customFormat="1" ht="14.25" customHeight="1">
      <c r="A208" s="738" t="s">
        <v>8377</v>
      </c>
      <c r="B208" s="739" t="s">
        <v>7814</v>
      </c>
      <c r="C208" s="739" t="str">
        <f>IFERROR(LEFT(ESS_DATA[[#This Row],[TCL REFERENCE]],FIND(".",ESS_DATA[[#This Row],[TCL REFERENCE]],1)-1),"Main Line")</f>
        <v>Main Line</v>
      </c>
      <c r="D208" s="739" t="s">
        <v>63</v>
      </c>
      <c r="E208" s="740" t="s">
        <v>64</v>
      </c>
      <c r="F208" s="741" t="str" cm="1">
        <f t="array" ref="F208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08" s="739"/>
      <c r="H208" s="739"/>
      <c r="I208" s="742"/>
      <c r="J208" s="739"/>
      <c r="K208" s="739"/>
      <c r="L208" s="743"/>
      <c r="M208" s="744"/>
      <c r="N208" s="754" t="s">
        <v>8108</v>
      </c>
      <c r="O208" s="741" t="s">
        <v>8037</v>
      </c>
      <c r="P208" s="741" t="s">
        <v>8109</v>
      </c>
      <c r="Q208" s="1357"/>
      <c r="R208" s="945">
        <v>9</v>
      </c>
      <c r="S208" s="963"/>
      <c r="T208" s="739"/>
      <c r="U208" s="748">
        <f>ESS_DATA[[#This Row],[QUANTITY]]/304</f>
        <v>2.9605263157894735E-2</v>
      </c>
      <c r="V208" s="749" t="s">
        <v>8057</v>
      </c>
      <c r="W208" s="934" t="s">
        <v>8367</v>
      </c>
      <c r="X208" s="947" t="str">
        <f t="shared" si="12"/>
        <v>IN-TRANSIT</v>
      </c>
      <c r="Y208" s="933">
        <v>46288</v>
      </c>
      <c r="Z208" s="750">
        <v>46288</v>
      </c>
      <c r="AA208" s="751">
        <f>WEEKNUM(ESS_DATA[[#This Row],[Pick-Up Date]])</f>
        <v>39</v>
      </c>
      <c r="AB208" s="739" t="s">
        <v>8370</v>
      </c>
      <c r="AC208" s="739"/>
      <c r="AD208" s="739" t="s">
        <v>122</v>
      </c>
      <c r="AE208" s="739" t="s">
        <v>122</v>
      </c>
      <c r="AF208" s="739" t="s">
        <v>78</v>
      </c>
      <c r="AG208" s="750">
        <v>46297</v>
      </c>
      <c r="AH208" s="750">
        <v>46299</v>
      </c>
      <c r="AI208" s="750">
        <v>46299</v>
      </c>
      <c r="AJ208" s="750">
        <v>46337</v>
      </c>
      <c r="AK208" s="750">
        <v>46344</v>
      </c>
      <c r="AL208" s="750"/>
      <c r="AM208" s="740" t="s">
        <v>402</v>
      </c>
      <c r="AN208" s="750" t="s">
        <v>7059</v>
      </c>
      <c r="AO208" s="750" t="s">
        <v>80</v>
      </c>
      <c r="AP208" s="750" t="s">
        <v>8371</v>
      </c>
      <c r="AQ208" s="739" t="s">
        <v>8372</v>
      </c>
      <c r="AR208" s="739" t="s">
        <v>8372</v>
      </c>
      <c r="AS208" s="739">
        <f>ESS_DATA[[#This Row],[ETA On S/O]]-ESS_DATA[[#This Row],[ETD On S/O]]+1</f>
        <v>41</v>
      </c>
      <c r="AT208" s="739"/>
      <c r="AU208" s="750" cm="1">
        <f t="array" ref="AU20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46344</v>
      </c>
      <c r="AV20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08" s="14" t="str">
        <f>IF(ISERROR(ESS_DATA[[#This Row],[New Ark PO status]]),"",_xlfn.XLOOKUP(ESS_DATA[[#This Row],[SPTN-PVHK New Ark PO'#]],New_Ark_Data[Purchase order Number],New_Ark_Data[Estimated time of arrival],"",0))</f>
        <v/>
      </c>
      <c r="AX208" s="739">
        <f>IF(ESS_DATA[[#This Row],[New Ark PO Type]]="Offshore",0,IFERROR(VLOOKUP(ESS_DATA[[#This Row],[PORT OF LOADING]]&amp;ESS_DATA[[#This Row],[PORT DESTINATION]],LT_REF[],7,0),14))</f>
        <v>8</v>
      </c>
      <c r="AY208" s="750">
        <f>IFERROR(ESS_DATA[[#This Row],[ODP ETA Port]]+ESS_DATA[[#This Row],[Customs/Leg3 Assumption]],"n/a")</f>
        <v>46352</v>
      </c>
      <c r="AZ208" s="741">
        <f>YEAR(ESS_DATA[[#This Row],[ETA for New Ark update]])</f>
        <v>2026</v>
      </c>
      <c r="BA208" s="741">
        <f>MONTH(ESS_DATA[[#This Row],[ETA for New Ark update]])</f>
        <v>11</v>
      </c>
      <c r="BB208" s="741">
        <f>IFERROR(_xlfn.ISOWEEKNUM(ESS_DATA[[#This Row],[ETA for New Ark update]]),0)</f>
        <v>48</v>
      </c>
      <c r="BC208" s="741" t="str">
        <f>_xlfn.XLOOKUP(ESS_DATA[[#This Row],[PORT DESTINATION]],Table12[PORT DESTINATION],Table12[Cosco Line],,0)</f>
        <v>AEM</v>
      </c>
      <c r="BD208" s="741"/>
      <c r="BE208" s="752"/>
      <c r="BF208" s="752"/>
      <c r="BG208" s="752"/>
      <c r="BH208" s="752"/>
      <c r="BI208" s="752"/>
    </row>
    <row r="209" spans="1:61" s="753" customFormat="1" ht="14.25" customHeight="1">
      <c r="A209" s="738" t="s">
        <v>8378</v>
      </c>
      <c r="B209" s="739" t="s">
        <v>7814</v>
      </c>
      <c r="C209" s="739" t="str">
        <f>IFERROR(LEFT(ESS_DATA[[#This Row],[TCL REFERENCE]],FIND(".",ESS_DATA[[#This Row],[TCL REFERENCE]],1)-1),"Main Line")</f>
        <v>26SEP005</v>
      </c>
      <c r="D209" s="739" t="s">
        <v>63</v>
      </c>
      <c r="E209" s="740" t="s">
        <v>64</v>
      </c>
      <c r="F209" s="741" t="str" cm="1">
        <f t="array" ref="F209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09" s="739"/>
      <c r="H209" s="739"/>
      <c r="I209" s="742"/>
      <c r="J209" s="739"/>
      <c r="K209" s="739"/>
      <c r="L209" s="743"/>
      <c r="M209" s="744"/>
      <c r="N209" s="754" t="s">
        <v>8116</v>
      </c>
      <c r="O209" s="741" t="s">
        <v>7829</v>
      </c>
      <c r="P209" s="741" t="s">
        <v>8117</v>
      </c>
      <c r="Q209" s="1357"/>
      <c r="R209" s="945">
        <v>152</v>
      </c>
      <c r="S209" s="963"/>
      <c r="T209" s="739"/>
      <c r="U209" s="748">
        <f>ESS_DATA[[#This Row],[QUANTITY]]/304</f>
        <v>0.5</v>
      </c>
      <c r="V209" s="749" t="s">
        <v>8086</v>
      </c>
      <c r="W209" s="934" t="s">
        <v>8379</v>
      </c>
      <c r="X209" s="947" t="str">
        <f t="shared" si="12"/>
        <v>IN-TRANSIT</v>
      </c>
      <c r="Y209" s="933">
        <v>46294</v>
      </c>
      <c r="Z209" s="750">
        <v>46294</v>
      </c>
      <c r="AA209" s="751">
        <f>WEEKNUM(ESS_DATA[[#This Row],[Pick-Up Date]])</f>
        <v>40</v>
      </c>
      <c r="AB209" s="739" t="s">
        <v>8380</v>
      </c>
      <c r="AC209" s="739"/>
      <c r="AD209" s="739" t="s">
        <v>122</v>
      </c>
      <c r="AE209" s="739" t="s">
        <v>122</v>
      </c>
      <c r="AF209" s="739" t="s">
        <v>78</v>
      </c>
      <c r="AG209" s="750">
        <v>46301</v>
      </c>
      <c r="AH209" s="750">
        <v>46306</v>
      </c>
      <c r="AI209" s="750">
        <v>46306</v>
      </c>
      <c r="AJ209" s="750">
        <v>46344</v>
      </c>
      <c r="AK209" s="750">
        <v>46344</v>
      </c>
      <c r="AL209" s="750"/>
      <c r="AM209" s="740" t="s">
        <v>402</v>
      </c>
      <c r="AN209" s="750" t="s">
        <v>7080</v>
      </c>
      <c r="AO209" s="750" t="s">
        <v>80</v>
      </c>
      <c r="AP209" s="750" t="s">
        <v>8381</v>
      </c>
      <c r="AQ209" s="739" t="s">
        <v>8382</v>
      </c>
      <c r="AR209" s="739" t="s">
        <v>8382</v>
      </c>
      <c r="AS209" s="739">
        <f>ESS_DATA[[#This Row],[ETA On S/O]]-ESS_DATA[[#This Row],[ETD On S/O]]+1</f>
        <v>44</v>
      </c>
      <c r="AT209" s="739"/>
      <c r="AU209" s="750" cm="1">
        <f t="array" ref="AU20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46344</v>
      </c>
      <c r="AV20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09" s="14" t="str">
        <f>IF(ISERROR(ESS_DATA[[#This Row],[New Ark PO status]]),"",_xlfn.XLOOKUP(ESS_DATA[[#This Row],[SPTN-PVHK New Ark PO'#]],New_Ark_Data[Purchase order Number],New_Ark_Data[Estimated time of arrival],"",0))</f>
        <v/>
      </c>
      <c r="AX209" s="739">
        <f>IF(ESS_DATA[[#This Row],[New Ark PO Type]]="Offshore",0,IFERROR(VLOOKUP(ESS_DATA[[#This Row],[PORT OF LOADING]]&amp;ESS_DATA[[#This Row],[PORT DESTINATION]],LT_REF[],7,0),14))</f>
        <v>8</v>
      </c>
      <c r="AY209" s="750">
        <f>IFERROR(ESS_DATA[[#This Row],[ODP ETA Port]]+ESS_DATA[[#This Row],[Customs/Leg3 Assumption]],"n/a")</f>
        <v>46352</v>
      </c>
      <c r="AZ209" s="741">
        <f>YEAR(ESS_DATA[[#This Row],[ETA for New Ark update]])</f>
        <v>2026</v>
      </c>
      <c r="BA209" s="741">
        <f>MONTH(ESS_DATA[[#This Row],[ETA for New Ark update]])</f>
        <v>11</v>
      </c>
      <c r="BB209" s="741">
        <f>IFERROR(_xlfn.ISOWEEKNUM(ESS_DATA[[#This Row],[ETA for New Ark update]]),0)</f>
        <v>48</v>
      </c>
      <c r="BC209" s="741" t="str">
        <f>_xlfn.XLOOKUP(ESS_DATA[[#This Row],[PORT DESTINATION]],Table12[PORT DESTINATION],Table12[Cosco Line],,0)</f>
        <v>AEM</v>
      </c>
      <c r="BD209" s="741"/>
      <c r="BE209" s="752"/>
      <c r="BF209" s="752"/>
      <c r="BG209" s="752"/>
      <c r="BH209" s="752"/>
      <c r="BI209" s="752"/>
    </row>
    <row r="210" spans="1:61" s="753" customFormat="1" ht="14.25" customHeight="1">
      <c r="A210" s="738" t="s">
        <v>8383</v>
      </c>
      <c r="B210" s="739" t="s">
        <v>7814</v>
      </c>
      <c r="C210" s="739" t="str">
        <f>IFERROR(LEFT(ESS_DATA[[#This Row],[TCL REFERENCE]],FIND(".",ESS_DATA[[#This Row],[TCL REFERENCE]],1)-1),"Main Line")</f>
        <v>26SEP007</v>
      </c>
      <c r="D210" s="739" t="s">
        <v>63</v>
      </c>
      <c r="E210" s="740" t="s">
        <v>64</v>
      </c>
      <c r="F210" s="741" t="str" cm="1">
        <f t="array" ref="F210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10" s="739"/>
      <c r="H210" s="739"/>
      <c r="I210" s="742"/>
      <c r="J210" s="739"/>
      <c r="K210" s="739"/>
      <c r="L210" s="743"/>
      <c r="M210" s="744"/>
      <c r="N210" s="754" t="s">
        <v>8108</v>
      </c>
      <c r="O210" s="741" t="s">
        <v>8037</v>
      </c>
      <c r="P210" s="741" t="s">
        <v>8109</v>
      </c>
      <c r="Q210" s="1357"/>
      <c r="R210" s="945">
        <v>152</v>
      </c>
      <c r="S210" s="963"/>
      <c r="T210" s="739"/>
      <c r="U210" s="748">
        <f>ESS_DATA[[#This Row],[QUANTITY]]/304</f>
        <v>0.5</v>
      </c>
      <c r="V210" s="749" t="s">
        <v>8086</v>
      </c>
      <c r="W210" s="934" t="s">
        <v>8379</v>
      </c>
      <c r="X210" s="947" t="str">
        <f t="shared" si="12"/>
        <v>IN-TRANSIT</v>
      </c>
      <c r="Y210" s="933">
        <v>46294</v>
      </c>
      <c r="Z210" s="750">
        <v>46294</v>
      </c>
      <c r="AA210" s="751">
        <f>WEEKNUM(ESS_DATA[[#This Row],[Pick-Up Date]])</f>
        <v>40</v>
      </c>
      <c r="AB210" s="739" t="s">
        <v>8380</v>
      </c>
      <c r="AC210" s="739"/>
      <c r="AD210" s="739" t="s">
        <v>122</v>
      </c>
      <c r="AE210" s="739" t="s">
        <v>122</v>
      </c>
      <c r="AF210" s="739" t="s">
        <v>78</v>
      </c>
      <c r="AG210" s="750">
        <v>46301</v>
      </c>
      <c r="AH210" s="750">
        <v>46306</v>
      </c>
      <c r="AI210" s="750">
        <v>46306</v>
      </c>
      <c r="AJ210" s="750">
        <v>46344</v>
      </c>
      <c r="AK210" s="750">
        <v>46344</v>
      </c>
      <c r="AL210" s="750"/>
      <c r="AM210" s="740" t="s">
        <v>402</v>
      </c>
      <c r="AN210" s="750" t="s">
        <v>7080</v>
      </c>
      <c r="AO210" s="750" t="s">
        <v>80</v>
      </c>
      <c r="AP210" s="750" t="s">
        <v>8381</v>
      </c>
      <c r="AQ210" s="739" t="s">
        <v>8382</v>
      </c>
      <c r="AR210" s="739" t="s">
        <v>8382</v>
      </c>
      <c r="AS210" s="739">
        <f>ESS_DATA[[#This Row],[ETA On S/O]]-ESS_DATA[[#This Row],[ETD On S/O]]+1</f>
        <v>44</v>
      </c>
      <c r="AT210" s="739"/>
      <c r="AU210" s="750" cm="1">
        <f t="array" ref="AU21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46344</v>
      </c>
      <c r="AV21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10" s="14" t="str">
        <f>IF(ISERROR(ESS_DATA[[#This Row],[New Ark PO status]]),"",_xlfn.XLOOKUP(ESS_DATA[[#This Row],[SPTN-PVHK New Ark PO'#]],New_Ark_Data[Purchase order Number],New_Ark_Data[Estimated time of arrival],"",0))</f>
        <v/>
      </c>
      <c r="AX210" s="739">
        <f>IF(ESS_DATA[[#This Row],[New Ark PO Type]]="Offshore",0,IFERROR(VLOOKUP(ESS_DATA[[#This Row],[PORT OF LOADING]]&amp;ESS_DATA[[#This Row],[PORT DESTINATION]],LT_REF[],7,0),14))</f>
        <v>8</v>
      </c>
      <c r="AY210" s="750">
        <f>IFERROR(ESS_DATA[[#This Row],[ODP ETA Port]]+ESS_DATA[[#This Row],[Customs/Leg3 Assumption]],"n/a")</f>
        <v>46352</v>
      </c>
      <c r="AZ210" s="741">
        <f>YEAR(ESS_DATA[[#This Row],[ETA for New Ark update]])</f>
        <v>2026</v>
      </c>
      <c r="BA210" s="741">
        <f>MONTH(ESS_DATA[[#This Row],[ETA for New Ark update]])</f>
        <v>11</v>
      </c>
      <c r="BB210" s="741">
        <f>IFERROR(_xlfn.ISOWEEKNUM(ESS_DATA[[#This Row],[ETA for New Ark update]]),0)</f>
        <v>48</v>
      </c>
      <c r="BC210" s="741" t="str">
        <f>_xlfn.XLOOKUP(ESS_DATA[[#This Row],[PORT DESTINATION]],Table12[PORT DESTINATION],Table12[Cosco Line],,0)</f>
        <v>AEM</v>
      </c>
      <c r="BD210" s="741"/>
      <c r="BE210" s="752"/>
      <c r="BF210" s="752"/>
      <c r="BG210" s="752"/>
      <c r="BH210" s="752"/>
      <c r="BI210" s="752"/>
    </row>
    <row r="211" spans="1:61" s="753" customFormat="1" ht="13.5" customHeight="1">
      <c r="A211" s="738" t="s">
        <v>8384</v>
      </c>
      <c r="B211" s="739" t="s">
        <v>7814</v>
      </c>
      <c r="C211" s="739" t="str">
        <f>IFERROR(LEFT(ESS_DATA[[#This Row],[TCL REFERENCE]],FIND(".",ESS_DATA[[#This Row],[TCL REFERENCE]],1)-1),"Main Line")</f>
        <v>26SEP008</v>
      </c>
      <c r="D211" s="739" t="s">
        <v>63</v>
      </c>
      <c r="E211" s="740" t="s">
        <v>64</v>
      </c>
      <c r="F211" s="741" t="str" cm="1">
        <f t="array" ref="F211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Plan-SPNL</v>
      </c>
      <c r="G211" s="739"/>
      <c r="H211" s="739"/>
      <c r="I211" s="742"/>
      <c r="J211" s="739"/>
      <c r="K211" s="739"/>
      <c r="L211" s="743"/>
      <c r="M211" s="744"/>
      <c r="N211" s="1351" t="s">
        <v>7851</v>
      </c>
      <c r="O211" s="745" t="s">
        <v>7852</v>
      </c>
      <c r="P211" s="745" t="s">
        <v>7853</v>
      </c>
      <c r="Q211" s="1357"/>
      <c r="R211" s="922">
        <v>472</v>
      </c>
      <c r="S211" s="963"/>
      <c r="T211" s="739"/>
      <c r="U211" s="748">
        <f>ESS_DATA[[#This Row],[QUANTITY]]/276</f>
        <v>1.7101449275362319</v>
      </c>
      <c r="V211" s="749" t="s">
        <v>8385</v>
      </c>
      <c r="W211" s="889" t="s">
        <v>8386</v>
      </c>
      <c r="X211" s="741" t="str">
        <f>IF(AL211&lt;&gt;"","COMPLETED",IF(AI211&lt;&gt;"","IN-TRANSIT",""))</f>
        <v>IN-TRANSIT</v>
      </c>
      <c r="Y211" s="888">
        <v>46279</v>
      </c>
      <c r="Z211" s="750">
        <v>46285</v>
      </c>
      <c r="AA211" s="751">
        <f>WEEKNUM(ESS_DATA[[#This Row],[Pick-Up Date]])</f>
        <v>39</v>
      </c>
      <c r="AB211" s="739" t="s">
        <v>8387</v>
      </c>
      <c r="AC211" s="739"/>
      <c r="AD211" s="739" t="s">
        <v>122</v>
      </c>
      <c r="AE211" s="739" t="s">
        <v>122</v>
      </c>
      <c r="AF211" s="889" t="s">
        <v>105</v>
      </c>
      <c r="AG211" s="750">
        <v>46291</v>
      </c>
      <c r="AH211" s="750">
        <v>46298</v>
      </c>
      <c r="AI211" s="750">
        <v>46300</v>
      </c>
      <c r="AJ211" s="750">
        <v>46340</v>
      </c>
      <c r="AK211" s="750">
        <v>46340</v>
      </c>
      <c r="AL211" s="750"/>
      <c r="AM211" s="740" t="s">
        <v>402</v>
      </c>
      <c r="AN211" s="750" t="s">
        <v>8388</v>
      </c>
      <c r="AO211" s="750" t="s">
        <v>161</v>
      </c>
      <c r="AP211" s="750" t="s">
        <v>8389</v>
      </c>
      <c r="AQ211" s="739">
        <v>276584236</v>
      </c>
      <c r="AR211" s="739">
        <v>276584236</v>
      </c>
      <c r="AS211" s="739">
        <f>ESS_DATA[[#This Row],[ETA On S/O]]-ESS_DATA[[#This Row],[ETD On S/O]]+1</f>
        <v>50</v>
      </c>
      <c r="AT211" s="739"/>
      <c r="AU211" s="750" cm="1">
        <f t="array" ref="AU21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46340</v>
      </c>
      <c r="AV21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11" s="14" t="str">
        <f>IF(ISERROR(ESS_DATA[[#This Row],[New Ark PO status]]),"",_xlfn.XLOOKUP(ESS_DATA[[#This Row],[SPTN-PVHK New Ark PO'#]],New_Ark_Data[Purchase order Number],New_Ark_Data[Estimated time of arrival],"",0))</f>
        <v/>
      </c>
      <c r="AX211" s="739">
        <f>IF(ESS_DATA[[#This Row],[New Ark PO Type]]="Offshore",0,IFERROR(VLOOKUP(ESS_DATA[[#This Row],[PORT OF LOADING]]&amp;ESS_DATA[[#This Row],[PORT DESTINATION]],LT_REF[],7,0),14))</f>
        <v>7</v>
      </c>
      <c r="AY211" s="750">
        <f>IFERROR(ESS_DATA[[#This Row],[ODP ETA Port]]+ESS_DATA[[#This Row],[Customs/Leg3 Assumption]],"n/a")</f>
        <v>46347</v>
      </c>
      <c r="AZ211" s="741">
        <f>YEAR(ESS_DATA[[#This Row],[ETA for New Ark update]])</f>
        <v>2026</v>
      </c>
      <c r="BA211" s="741">
        <f>MONTH(ESS_DATA[[#This Row],[ETA for New Ark update]])</f>
        <v>11</v>
      </c>
      <c r="BB211" s="741">
        <f>IFERROR(_xlfn.ISOWEEKNUM(ESS_DATA[[#This Row],[ETA for New Ark update]]),0)</f>
        <v>47</v>
      </c>
      <c r="BC211" s="741" t="str">
        <f>_xlfn.XLOOKUP(ESS_DATA[[#This Row],[PORT DESTINATION]],Table12[PORT DESTINATION],Table12[Cosco Line],,0)</f>
        <v>AEU</v>
      </c>
      <c r="BD211" s="741"/>
      <c r="BE211" s="752"/>
      <c r="BF211" s="752"/>
      <c r="BG211" s="752"/>
      <c r="BH211" s="752"/>
      <c r="BI211" s="752"/>
    </row>
    <row r="212" spans="1:61" s="753" customFormat="1" ht="15" customHeight="1">
      <c r="A212" s="738" t="s">
        <v>8390</v>
      </c>
      <c r="B212" s="739" t="s">
        <v>7814</v>
      </c>
      <c r="C212" s="739" t="str">
        <f>IFERROR(LEFT(ESS_DATA[[#This Row],[TCL REFERENCE]],FIND(".",ESS_DATA[[#This Row],[TCL REFERENCE]],1)-1),"Main Line")</f>
        <v>Main Line</v>
      </c>
      <c r="D212" s="739" t="s">
        <v>63</v>
      </c>
      <c r="E212" s="740" t="s">
        <v>64</v>
      </c>
      <c r="F212" s="741" t="str" cm="1">
        <f t="array" ref="F212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Plan-SPNL</v>
      </c>
      <c r="G212" s="739"/>
      <c r="H212" s="739"/>
      <c r="I212" s="742"/>
      <c r="J212" s="739"/>
      <c r="K212" s="739"/>
      <c r="L212" s="743"/>
      <c r="M212" s="744"/>
      <c r="N212" s="1351" t="s">
        <v>7851</v>
      </c>
      <c r="O212" s="745" t="s">
        <v>7852</v>
      </c>
      <c r="P212" s="745" t="s">
        <v>7853</v>
      </c>
      <c r="Q212" s="738"/>
      <c r="R212" s="921">
        <v>80</v>
      </c>
      <c r="S212" s="963"/>
      <c r="T212" s="739"/>
      <c r="U212" s="748">
        <f>ESS_DATA[[#This Row],[QUANTITY]]/276</f>
        <v>0.28985507246376813</v>
      </c>
      <c r="V212" s="749" t="s">
        <v>8385</v>
      </c>
      <c r="W212" s="889" t="s">
        <v>8386</v>
      </c>
      <c r="X212" s="741" t="str">
        <f t="shared" si="8"/>
        <v>IN-TRANSIT</v>
      </c>
      <c r="Y212" s="888">
        <v>46279</v>
      </c>
      <c r="Z212" s="750">
        <v>46285</v>
      </c>
      <c r="AA212" s="751">
        <f>WEEKNUM(ESS_DATA[[#This Row],[Pick-Up Date]])</f>
        <v>39</v>
      </c>
      <c r="AB212" s="739" t="s">
        <v>8387</v>
      </c>
      <c r="AC212" s="739"/>
      <c r="AD212" s="739" t="s">
        <v>122</v>
      </c>
      <c r="AE212" s="739" t="s">
        <v>122</v>
      </c>
      <c r="AF212" s="889" t="s">
        <v>105</v>
      </c>
      <c r="AG212" s="750">
        <v>46291</v>
      </c>
      <c r="AH212" s="750">
        <v>46298</v>
      </c>
      <c r="AI212" s="750">
        <v>46300</v>
      </c>
      <c r="AJ212" s="750">
        <v>46340</v>
      </c>
      <c r="AK212" s="750">
        <v>46340</v>
      </c>
      <c r="AL212" s="750"/>
      <c r="AM212" s="740" t="s">
        <v>402</v>
      </c>
      <c r="AN212" s="750" t="s">
        <v>8388</v>
      </c>
      <c r="AO212" s="750" t="s">
        <v>161</v>
      </c>
      <c r="AP212" s="750" t="s">
        <v>8389</v>
      </c>
      <c r="AQ212" s="739">
        <v>276584236</v>
      </c>
      <c r="AR212" s="739">
        <v>276584236</v>
      </c>
      <c r="AS212" s="739">
        <f>ESS_DATA[[#This Row],[ETA On S/O]]-ESS_DATA[[#This Row],[ETD On S/O]]+1</f>
        <v>50</v>
      </c>
      <c r="AT212" s="739"/>
      <c r="AU212" s="750" cm="1">
        <f t="array" ref="AU21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46340</v>
      </c>
      <c r="AV21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12" s="14" t="str">
        <f>IF(ISERROR(ESS_DATA[[#This Row],[New Ark PO status]]),"",_xlfn.XLOOKUP(ESS_DATA[[#This Row],[SPTN-PVHK New Ark PO'#]],New_Ark_Data[Purchase order Number],New_Ark_Data[Estimated time of arrival],"",0))</f>
        <v/>
      </c>
      <c r="AX212" s="739">
        <f>IF(ESS_DATA[[#This Row],[New Ark PO Type]]="Offshore",0,IFERROR(VLOOKUP(ESS_DATA[[#This Row],[PORT OF LOADING]]&amp;ESS_DATA[[#This Row],[PORT DESTINATION]],LT_REF[],7,0),14))</f>
        <v>7</v>
      </c>
      <c r="AY212" s="750">
        <f>IFERROR(ESS_DATA[[#This Row],[ODP ETA Port]]+ESS_DATA[[#This Row],[Customs/Leg3 Assumption]],"n/a")</f>
        <v>46347</v>
      </c>
      <c r="AZ212" s="741">
        <f>YEAR(ESS_DATA[[#This Row],[ETA for New Ark update]])</f>
        <v>2026</v>
      </c>
      <c r="BA212" s="741">
        <f>MONTH(ESS_DATA[[#This Row],[ETA for New Ark update]])</f>
        <v>11</v>
      </c>
      <c r="BB212" s="741">
        <f>IFERROR(_xlfn.ISOWEEKNUM(ESS_DATA[[#This Row],[ETA for New Ark update]]),0)</f>
        <v>47</v>
      </c>
      <c r="BC212" s="741" t="str">
        <f>_xlfn.XLOOKUP(ESS_DATA[[#This Row],[PORT DESTINATION]],Table12[PORT DESTINATION],Table12[Cosco Line],,0)</f>
        <v>AEU</v>
      </c>
      <c r="BD212" s="741"/>
      <c r="BE212" s="752"/>
      <c r="BF212" s="752"/>
      <c r="BG212" s="752"/>
      <c r="BH212" s="752"/>
      <c r="BI212" s="752"/>
    </row>
    <row r="213" spans="1:61" s="753" customFormat="1" ht="15" customHeight="1">
      <c r="A213" s="738" t="s">
        <v>8391</v>
      </c>
      <c r="B213" s="739" t="s">
        <v>7814</v>
      </c>
      <c r="C213" s="739" t="str">
        <f>IFERROR(LEFT(ESS_DATA[[#This Row],[TCL REFERENCE]],FIND(".",ESS_DATA[[#This Row],[TCL REFERENCE]],1)-1),"Main Line")</f>
        <v>26SEP008</v>
      </c>
      <c r="D213" s="739" t="s">
        <v>63</v>
      </c>
      <c r="E213" s="740" t="s">
        <v>64</v>
      </c>
      <c r="F213" s="741" t="str" cm="1">
        <f t="array" ref="F213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Plan-SPES</v>
      </c>
      <c r="G213" s="739"/>
      <c r="H213" s="739"/>
      <c r="I213" s="742"/>
      <c r="J213" s="739"/>
      <c r="K213" s="739"/>
      <c r="L213" s="743"/>
      <c r="M213" s="744"/>
      <c r="N213" s="1351" t="s">
        <v>7851</v>
      </c>
      <c r="O213" s="745" t="s">
        <v>7852</v>
      </c>
      <c r="P213" s="745" t="s">
        <v>7853</v>
      </c>
      <c r="Q213" s="738"/>
      <c r="R213" s="945">
        <v>276</v>
      </c>
      <c r="S213" s="963"/>
      <c r="T213" s="739"/>
      <c r="U213" s="748">
        <f>ESS_DATA[[#This Row],[QUANTITY]]/276</f>
        <v>1</v>
      </c>
      <c r="V213" s="749" t="s">
        <v>8182</v>
      </c>
      <c r="W213" s="889" t="s">
        <v>8367</v>
      </c>
      <c r="X213" s="741" t="str">
        <f t="shared" si="8"/>
        <v>IN-TRANSIT</v>
      </c>
      <c r="Y213" s="888">
        <v>46287</v>
      </c>
      <c r="Z213" s="750">
        <v>46287</v>
      </c>
      <c r="AA213" s="751">
        <f>WEEKNUM(ESS_DATA[[#This Row],[Pick-Up Date]])</f>
        <v>39</v>
      </c>
      <c r="AB213" s="739" t="s">
        <v>8392</v>
      </c>
      <c r="AC213" s="739"/>
      <c r="AD213" s="739" t="s">
        <v>122</v>
      </c>
      <c r="AE213" s="739" t="s">
        <v>122</v>
      </c>
      <c r="AF213" s="889" t="s">
        <v>124</v>
      </c>
      <c r="AG213" s="750">
        <v>46300</v>
      </c>
      <c r="AH213" s="750">
        <v>46303</v>
      </c>
      <c r="AI213" s="750">
        <v>46303</v>
      </c>
      <c r="AJ213" s="750">
        <v>46327</v>
      </c>
      <c r="AK213" s="750">
        <v>46328</v>
      </c>
      <c r="AL213" s="750"/>
      <c r="AM213" s="740" t="s">
        <v>402</v>
      </c>
      <c r="AN213" s="750" t="s">
        <v>8393</v>
      </c>
      <c r="AO213" s="750" t="s">
        <v>161</v>
      </c>
      <c r="AP213" s="750" t="s">
        <v>8394</v>
      </c>
      <c r="AQ213" s="739">
        <v>276870378</v>
      </c>
      <c r="AR213" s="739">
        <v>276870378</v>
      </c>
      <c r="AS213" s="739">
        <f>ESS_DATA[[#This Row],[ETA On S/O]]-ESS_DATA[[#This Row],[ETD On S/O]]+1</f>
        <v>28</v>
      </c>
      <c r="AT213" s="739"/>
      <c r="AU213" s="750" cm="1">
        <f t="array" ref="AU21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46328</v>
      </c>
      <c r="AV21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13" s="14" t="str">
        <f>IF(ISERROR(ESS_DATA[[#This Row],[New Ark PO status]]),"",_xlfn.XLOOKUP(ESS_DATA[[#This Row],[SPTN-PVHK New Ark PO'#]],New_Ark_Data[Purchase order Number],New_Ark_Data[Estimated time of arrival],"",0))</f>
        <v/>
      </c>
      <c r="AX213" s="739">
        <f>IF(ESS_DATA[[#This Row],[New Ark PO Type]]="Offshore",0,IFERROR(VLOOKUP(ESS_DATA[[#This Row],[PORT OF LOADING]]&amp;ESS_DATA[[#This Row],[PORT DESTINATION]],LT_REF[],7,0),14))</f>
        <v>9</v>
      </c>
      <c r="AY213" s="750">
        <f>IFERROR(ESS_DATA[[#This Row],[ODP ETA Port]]+ESS_DATA[[#This Row],[Customs/Leg3 Assumption]],"n/a")</f>
        <v>46337</v>
      </c>
      <c r="AZ213" s="741">
        <f>YEAR(ESS_DATA[[#This Row],[ETA for New Ark update]])</f>
        <v>2026</v>
      </c>
      <c r="BA213" s="741">
        <f>MONTH(ESS_DATA[[#This Row],[ETA for New Ark update]])</f>
        <v>11</v>
      </c>
      <c r="BB213" s="741">
        <f>IFERROR(_xlfn.ISOWEEKNUM(ESS_DATA[[#This Row],[ETA for New Ark update]]),0)</f>
        <v>46</v>
      </c>
      <c r="BC213" s="741" t="str">
        <f>_xlfn.XLOOKUP(ESS_DATA[[#This Row],[PORT DESTINATION]],Table12[PORT DESTINATION],Table12[Cosco Line],,0)</f>
        <v>AEM</v>
      </c>
      <c r="BD213" s="741"/>
      <c r="BE213" s="752"/>
      <c r="BF213" s="752"/>
      <c r="BG213" s="752"/>
      <c r="BH213" s="752"/>
      <c r="BI213" s="752"/>
    </row>
    <row r="214" spans="1:61" s="753" customFormat="1" ht="15" customHeight="1">
      <c r="A214" s="738" t="s">
        <v>8330</v>
      </c>
      <c r="B214" s="739" t="s">
        <v>7814</v>
      </c>
      <c r="C214" s="739" t="str">
        <f>IFERROR(LEFT(ESS_DATA[[#This Row],[TCL REFERENCE]],FIND(".",ESS_DATA[[#This Row],[TCL REFERENCE]],1)-1),"Main Line")</f>
        <v>26SEP008</v>
      </c>
      <c r="D214" s="739" t="s">
        <v>63</v>
      </c>
      <c r="E214" s="740" t="s">
        <v>64</v>
      </c>
      <c r="F214" s="741" t="str" cm="1">
        <f t="array" ref="F214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14" s="739"/>
      <c r="H214" s="739"/>
      <c r="I214" s="742"/>
      <c r="J214" s="739"/>
      <c r="K214" s="739"/>
      <c r="L214" s="743"/>
      <c r="M214" s="744"/>
      <c r="N214" s="1351" t="s">
        <v>7851</v>
      </c>
      <c r="O214" s="745" t="s">
        <v>7852</v>
      </c>
      <c r="P214" s="745" t="s">
        <v>7853</v>
      </c>
      <c r="Q214" s="738"/>
      <c r="R214" s="742">
        <v>276</v>
      </c>
      <c r="S214" s="269"/>
      <c r="T214" s="31"/>
      <c r="U214" s="748">
        <f>ESS_DATA[[#This Row],[QUANTITY]]/276</f>
        <v>1</v>
      </c>
      <c r="V214" s="749" t="s">
        <v>8269</v>
      </c>
      <c r="W214" s="889" t="s">
        <v>8367</v>
      </c>
      <c r="X214" s="741" t="str">
        <f t="shared" si="8"/>
        <v>IN-TRANSIT</v>
      </c>
      <c r="Y214" s="888">
        <v>46287</v>
      </c>
      <c r="Z214" s="750">
        <v>46289</v>
      </c>
      <c r="AA214" s="751">
        <f>WEEKNUM(ESS_DATA[[#This Row],[Pick-Up Date]])</f>
        <v>39</v>
      </c>
      <c r="AB214" s="1174" t="s">
        <v>8395</v>
      </c>
      <c r="AC214" s="739"/>
      <c r="AD214" s="739" t="s">
        <v>122</v>
      </c>
      <c r="AE214" s="739" t="s">
        <v>122</v>
      </c>
      <c r="AF214" s="739" t="s">
        <v>78</v>
      </c>
      <c r="AG214" s="750">
        <v>46299</v>
      </c>
      <c r="AH214" s="750">
        <v>46321</v>
      </c>
      <c r="AI214" s="750">
        <v>46321</v>
      </c>
      <c r="AJ214" s="750">
        <v>46351</v>
      </c>
      <c r="AK214" s="750">
        <v>46351</v>
      </c>
      <c r="AL214" s="750"/>
      <c r="AM214" s="740" t="s">
        <v>402</v>
      </c>
      <c r="AN214" s="750" t="s">
        <v>8396</v>
      </c>
      <c r="AO214" s="750" t="s">
        <v>161</v>
      </c>
      <c r="AP214" s="750" t="s">
        <v>8397</v>
      </c>
      <c r="AQ214" s="739">
        <v>277022399</v>
      </c>
      <c r="AR214" s="739">
        <v>277022399</v>
      </c>
      <c r="AS214" s="739">
        <f>ESS_DATA[[#This Row],[ETA On S/O]]-ESS_DATA[[#This Row],[ETD On S/O]]+1</f>
        <v>53</v>
      </c>
      <c r="AT214" s="739"/>
      <c r="AU214" s="750" cm="1">
        <f t="array" ref="AU21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46351</v>
      </c>
      <c r="AV214" s="31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14" s="1031" t="str">
        <f>IF(ISERROR(ESS_DATA[[#This Row],[New Ark PO status]]),"",_xlfn.XLOOKUP(ESS_DATA[[#This Row],[SPTN-PVHK New Ark PO'#]],New_Ark_Data[Purchase order Number],New_Ark_Data[Estimated time of arrival],"",0))</f>
        <v/>
      </c>
      <c r="AX214" s="739">
        <f>IF(ESS_DATA[[#This Row],[New Ark PO Type]]="Offshore",0,IFERROR(VLOOKUP(ESS_DATA[[#This Row],[PORT OF LOADING]]&amp;ESS_DATA[[#This Row],[PORT DESTINATION]],LT_REF[],7,0),14))</f>
        <v>8</v>
      </c>
      <c r="AY214" s="30">
        <f>IFERROR(ESS_DATA[[#This Row],[ODP ETA Port]]+ESS_DATA[[#This Row],[Customs/Leg3 Assumption]],"n/a")</f>
        <v>46359</v>
      </c>
      <c r="AZ214" s="82">
        <f>YEAR(ESS_DATA[[#This Row],[ETA for New Ark update]])</f>
        <v>2026</v>
      </c>
      <c r="BA214" s="82">
        <f>MONTH(ESS_DATA[[#This Row],[ETA for New Ark update]])</f>
        <v>12</v>
      </c>
      <c r="BB214" s="82">
        <f>IFERROR(_xlfn.ISOWEEKNUM(ESS_DATA[[#This Row],[ETA for New Ark update]]),0)</f>
        <v>49</v>
      </c>
      <c r="BC214" s="82" t="str">
        <f>_xlfn.XLOOKUP(ESS_DATA[[#This Row],[PORT DESTINATION]],Table12[PORT DESTINATION],Table12[Cosco Line],,0)</f>
        <v>AEM</v>
      </c>
      <c r="BD214" s="82"/>
      <c r="BE214" s="752"/>
      <c r="BF214" s="752"/>
      <c r="BG214" s="752"/>
      <c r="BH214" s="752"/>
      <c r="BI214" s="752"/>
    </row>
    <row r="215" spans="1:61" s="753" customFormat="1" ht="15" customHeight="1">
      <c r="A215" s="738" t="s">
        <v>8398</v>
      </c>
      <c r="B215" s="739" t="s">
        <v>7814</v>
      </c>
      <c r="C215" s="739" t="str">
        <f>IFERROR(LEFT(ESS_DATA[[#This Row],[TCL REFERENCE]],FIND(".",ESS_DATA[[#This Row],[TCL REFERENCE]],1)-1),"Main Line")</f>
        <v>26SEP008</v>
      </c>
      <c r="D215" s="739" t="s">
        <v>63</v>
      </c>
      <c r="E215" s="740" t="s">
        <v>64</v>
      </c>
      <c r="F215" s="741" t="str" cm="1">
        <f t="array" ref="F215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15" s="739"/>
      <c r="H215" s="739"/>
      <c r="I215" s="742"/>
      <c r="J215" s="739"/>
      <c r="K215" s="739"/>
      <c r="L215" s="743"/>
      <c r="M215" s="744"/>
      <c r="N215" s="1351" t="s">
        <v>7851</v>
      </c>
      <c r="O215" s="745" t="s">
        <v>7852</v>
      </c>
      <c r="P215" s="745" t="s">
        <v>7853</v>
      </c>
      <c r="Q215" s="738"/>
      <c r="R215" s="945">
        <v>552</v>
      </c>
      <c r="S215" s="963"/>
      <c r="T215" s="739"/>
      <c r="U215" s="748">
        <f>ESS_DATA[[#This Row],[QUANTITY]]/276</f>
        <v>2</v>
      </c>
      <c r="V215" s="749" t="s">
        <v>8399</v>
      </c>
      <c r="W215" s="889" t="s">
        <v>8379</v>
      </c>
      <c r="X215" s="741" t="str">
        <f t="shared" si="8"/>
        <v>IN-TRANSIT</v>
      </c>
      <c r="Y215" s="888">
        <v>46293</v>
      </c>
      <c r="Z215" s="750">
        <v>46293</v>
      </c>
      <c r="AA215" s="751">
        <f>WEEKNUM(ESS_DATA[[#This Row],[Pick-Up Date]])</f>
        <v>40</v>
      </c>
      <c r="AB215" s="739" t="s">
        <v>8400</v>
      </c>
      <c r="AC215" s="739"/>
      <c r="AD215" s="739" t="s">
        <v>122</v>
      </c>
      <c r="AE215" s="739" t="s">
        <v>122</v>
      </c>
      <c r="AF215" s="739" t="s">
        <v>78</v>
      </c>
      <c r="AG215" s="750">
        <v>46303</v>
      </c>
      <c r="AH215" s="750">
        <v>46313</v>
      </c>
      <c r="AI215" s="750">
        <v>46313</v>
      </c>
      <c r="AJ215" s="750">
        <v>46358</v>
      </c>
      <c r="AK215" s="750">
        <v>46351</v>
      </c>
      <c r="AL215" s="750"/>
      <c r="AM215" s="740" t="s">
        <v>402</v>
      </c>
      <c r="AN215" s="750" t="s">
        <v>8401</v>
      </c>
      <c r="AO215" s="750" t="s">
        <v>161</v>
      </c>
      <c r="AP215" s="750" t="s">
        <v>8402</v>
      </c>
      <c r="AQ215" s="739">
        <v>277259035</v>
      </c>
      <c r="AR215" s="739">
        <v>277259035</v>
      </c>
      <c r="AS215" s="739">
        <f>ESS_DATA[[#This Row],[ETA On S/O]]-ESS_DATA[[#This Row],[ETD On S/O]]+1</f>
        <v>56</v>
      </c>
      <c r="AT215" s="739"/>
      <c r="AU215" s="750" cm="1">
        <f t="array" ref="AU21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46351</v>
      </c>
      <c r="AV21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15" s="14" t="str">
        <f>IF(ISERROR(ESS_DATA[[#This Row],[New Ark PO status]]),"",_xlfn.XLOOKUP(ESS_DATA[[#This Row],[SPTN-PVHK New Ark PO'#]],New_Ark_Data[Purchase order Number],New_Ark_Data[Estimated time of arrival],"",0))</f>
        <v/>
      </c>
      <c r="AX215" s="739">
        <f>IF(ESS_DATA[[#This Row],[New Ark PO Type]]="Offshore",0,IFERROR(VLOOKUP(ESS_DATA[[#This Row],[PORT OF LOADING]]&amp;ESS_DATA[[#This Row],[PORT DESTINATION]],LT_REF[],7,0),14))</f>
        <v>8</v>
      </c>
      <c r="AY215" s="750">
        <f>IFERROR(ESS_DATA[[#This Row],[ODP ETA Port]]+ESS_DATA[[#This Row],[Customs/Leg3 Assumption]],"n/a")</f>
        <v>46359</v>
      </c>
      <c r="AZ215" s="741">
        <f>YEAR(ESS_DATA[[#This Row],[ETA for New Ark update]])</f>
        <v>2026</v>
      </c>
      <c r="BA215" s="741">
        <f>MONTH(ESS_DATA[[#This Row],[ETA for New Ark update]])</f>
        <v>12</v>
      </c>
      <c r="BB215" s="741">
        <f>IFERROR(_xlfn.ISOWEEKNUM(ESS_DATA[[#This Row],[ETA for New Ark update]]),0)</f>
        <v>49</v>
      </c>
      <c r="BC215" s="741" t="str">
        <f>_xlfn.XLOOKUP(ESS_DATA[[#This Row],[PORT DESTINATION]],Table12[PORT DESTINATION],Table12[Cosco Line],,0)</f>
        <v>AEM</v>
      </c>
      <c r="BD215" s="741"/>
      <c r="BE215" s="752"/>
      <c r="BF215" s="752"/>
      <c r="BG215" s="752"/>
      <c r="BH215" s="752"/>
      <c r="BI215" s="752"/>
    </row>
    <row r="216" spans="1:61" s="753" customFormat="1" ht="15" customHeight="1">
      <c r="A216" s="738" t="s">
        <v>8403</v>
      </c>
      <c r="B216" s="739" t="s">
        <v>7814</v>
      </c>
      <c r="C216" s="739" t="str">
        <f>IFERROR(LEFT(ESS_DATA[[#This Row],[TCL REFERENCE]],FIND(".",ESS_DATA[[#This Row],[TCL REFERENCE]],1)-1),"Main Line")</f>
        <v>26SEP008</v>
      </c>
      <c r="D216" s="739" t="s">
        <v>63</v>
      </c>
      <c r="E216" s="740" t="s">
        <v>64</v>
      </c>
      <c r="F216" s="741" t="str" cm="1">
        <f t="array" ref="F216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16" s="739"/>
      <c r="H216" s="739"/>
      <c r="I216" s="742"/>
      <c r="J216" s="739"/>
      <c r="K216" s="739"/>
      <c r="L216" s="743"/>
      <c r="M216" s="744"/>
      <c r="N216" s="1351" t="s">
        <v>7851</v>
      </c>
      <c r="O216" s="745" t="s">
        <v>7852</v>
      </c>
      <c r="P216" s="745" t="s">
        <v>7853</v>
      </c>
      <c r="Q216" s="738"/>
      <c r="R216" s="945">
        <v>552</v>
      </c>
      <c r="S216" s="963"/>
      <c r="T216" s="739"/>
      <c r="U216" s="748">
        <f>ESS_DATA[[#This Row],[QUANTITY]]/276</f>
        <v>2</v>
      </c>
      <c r="V216" s="749" t="s">
        <v>8404</v>
      </c>
      <c r="W216" s="889" t="s">
        <v>8405</v>
      </c>
      <c r="X216" s="741" t="str">
        <f t="shared" si="8"/>
        <v>IN-TRANSIT</v>
      </c>
      <c r="Y216" s="888">
        <v>46304</v>
      </c>
      <c r="Z216" s="750">
        <v>46310</v>
      </c>
      <c r="AA216" s="751">
        <f>WEEKNUM(ESS_DATA[[#This Row],[Pick-Up Date]])</f>
        <v>42</v>
      </c>
      <c r="AB216" s="739" t="s">
        <v>8406</v>
      </c>
      <c r="AC216" s="739"/>
      <c r="AD216" s="739" t="s">
        <v>122</v>
      </c>
      <c r="AE216" s="739" t="s">
        <v>122</v>
      </c>
      <c r="AF216" s="739" t="s">
        <v>78</v>
      </c>
      <c r="AG216" s="750">
        <v>46313</v>
      </c>
      <c r="AH216" s="750">
        <v>46321</v>
      </c>
      <c r="AI216" s="750">
        <v>46321</v>
      </c>
      <c r="AJ216" s="750">
        <v>46358</v>
      </c>
      <c r="AK216" s="750">
        <v>46351</v>
      </c>
      <c r="AL216" s="750"/>
      <c r="AM216" s="740" t="s">
        <v>402</v>
      </c>
      <c r="AN216" s="750" t="s">
        <v>8396</v>
      </c>
      <c r="AO216" s="750" t="s">
        <v>161</v>
      </c>
      <c r="AP216" s="750" t="s">
        <v>8407</v>
      </c>
      <c r="AQ216" s="739">
        <v>277716563</v>
      </c>
      <c r="AR216" s="739">
        <v>277716563</v>
      </c>
      <c r="AS216" s="739">
        <f>ESS_DATA[[#This Row],[ETA On S/O]]-ESS_DATA[[#This Row],[ETD On S/O]]+1</f>
        <v>46</v>
      </c>
      <c r="AT216" s="739"/>
      <c r="AU216" s="750" cm="1">
        <f t="array" ref="AU21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46351</v>
      </c>
      <c r="AV21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16" s="14" t="str">
        <f>IF(ISERROR(ESS_DATA[[#This Row],[New Ark PO status]]),"",_xlfn.XLOOKUP(ESS_DATA[[#This Row],[SPTN-PVHK New Ark PO'#]],New_Ark_Data[Purchase order Number],New_Ark_Data[Estimated time of arrival],"",0))</f>
        <v/>
      </c>
      <c r="AX216" s="739">
        <f>IF(ESS_DATA[[#This Row],[New Ark PO Type]]="Offshore",0,IFERROR(VLOOKUP(ESS_DATA[[#This Row],[PORT OF LOADING]]&amp;ESS_DATA[[#This Row],[PORT DESTINATION]],LT_REF[],7,0),14))</f>
        <v>8</v>
      </c>
      <c r="AY216" s="750">
        <f>IFERROR(ESS_DATA[[#This Row],[ODP ETA Port]]+ESS_DATA[[#This Row],[Customs/Leg3 Assumption]],"n/a")</f>
        <v>46359</v>
      </c>
      <c r="AZ216" s="741">
        <f>YEAR(ESS_DATA[[#This Row],[ETA for New Ark update]])</f>
        <v>2026</v>
      </c>
      <c r="BA216" s="741">
        <f>MONTH(ESS_DATA[[#This Row],[ETA for New Ark update]])</f>
        <v>12</v>
      </c>
      <c r="BB216" s="741">
        <f>IFERROR(_xlfn.ISOWEEKNUM(ESS_DATA[[#This Row],[ETA for New Ark update]]),0)</f>
        <v>49</v>
      </c>
      <c r="BC216" s="741" t="str">
        <f>_xlfn.XLOOKUP(ESS_DATA[[#This Row],[PORT DESTINATION]],Table12[PORT DESTINATION],Table12[Cosco Line],,0)</f>
        <v>AEM</v>
      </c>
      <c r="BD216" s="741"/>
      <c r="BE216" s="752"/>
      <c r="BF216" s="752"/>
      <c r="BG216" s="752"/>
      <c r="BH216" s="752"/>
      <c r="BI216" s="752"/>
    </row>
    <row r="217" spans="1:61" s="753" customFormat="1" ht="15.75" customHeight="1">
      <c r="A217" s="738" t="s">
        <v>8408</v>
      </c>
      <c r="B217" s="739" t="s">
        <v>7814</v>
      </c>
      <c r="C217" s="739" t="str">
        <f>IFERROR(LEFT(ESS_DATA[[#This Row],[TCL REFERENCE]],FIND(".",ESS_DATA[[#This Row],[TCL REFERENCE]],1)-1),"Main Line")</f>
        <v>26SEP008</v>
      </c>
      <c r="D217" s="739" t="s">
        <v>63</v>
      </c>
      <c r="E217" s="740" t="s">
        <v>64</v>
      </c>
      <c r="F217" s="741" t="str" cm="1">
        <f t="array" ref="F217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17" s="739"/>
      <c r="H217" s="739"/>
      <c r="I217" s="742"/>
      <c r="J217" s="739"/>
      <c r="K217" s="739"/>
      <c r="L217" s="743"/>
      <c r="M217" s="744"/>
      <c r="N217" s="1351" t="s">
        <v>7851</v>
      </c>
      <c r="O217" s="745" t="s">
        <v>7852</v>
      </c>
      <c r="P217" s="745" t="s">
        <v>7853</v>
      </c>
      <c r="Q217" s="738"/>
      <c r="R217" s="946">
        <v>276</v>
      </c>
      <c r="S217" s="963"/>
      <c r="T217" s="739"/>
      <c r="U217" s="748">
        <f>ESS_DATA[[#This Row],[QUANTITY]]/276</f>
        <v>1</v>
      </c>
      <c r="V217" s="749" t="s">
        <v>8409</v>
      </c>
      <c r="W217" s="889" t="s">
        <v>8410</v>
      </c>
      <c r="X217" s="741" t="str">
        <f t="shared" si="8"/>
        <v>IN-TRANSIT</v>
      </c>
      <c r="Y217" s="888">
        <v>46307</v>
      </c>
      <c r="Z217" s="750">
        <v>46310</v>
      </c>
      <c r="AA217" s="751">
        <f>WEEKNUM(ESS_DATA[[#This Row],[Pick-Up Date]])</f>
        <v>42</v>
      </c>
      <c r="AB217" s="739" t="s">
        <v>8411</v>
      </c>
      <c r="AC217" s="739"/>
      <c r="AD217" s="739" t="s">
        <v>122</v>
      </c>
      <c r="AE217" s="739" t="s">
        <v>122</v>
      </c>
      <c r="AF217" s="739" t="s">
        <v>78</v>
      </c>
      <c r="AG217" s="750">
        <v>46316</v>
      </c>
      <c r="AH217" s="750">
        <v>46322</v>
      </c>
      <c r="AI217" s="750">
        <v>46323</v>
      </c>
      <c r="AJ217" s="750">
        <v>46365</v>
      </c>
      <c r="AK217" s="750">
        <v>46365</v>
      </c>
      <c r="AL217" s="750"/>
      <c r="AM217" s="740" t="s">
        <v>402</v>
      </c>
      <c r="AN217" s="750" t="s">
        <v>8412</v>
      </c>
      <c r="AO217" s="750" t="s">
        <v>161</v>
      </c>
      <c r="AP217" s="750" t="s">
        <v>8413</v>
      </c>
      <c r="AQ217" s="739">
        <v>277763518</v>
      </c>
      <c r="AR217" s="739">
        <v>277763518</v>
      </c>
      <c r="AS217" s="739">
        <f>ESS_DATA[[#This Row],[ETA On S/O]]-ESS_DATA[[#This Row],[ETD On S/O]]+1</f>
        <v>50</v>
      </c>
      <c r="AT217" s="739"/>
      <c r="AU217" s="750" cm="1">
        <f t="array" ref="AU21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46365</v>
      </c>
      <c r="AV21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17" s="14" t="str">
        <f>IF(ISERROR(ESS_DATA[[#This Row],[New Ark PO status]]),"",_xlfn.XLOOKUP(ESS_DATA[[#This Row],[SPTN-PVHK New Ark PO'#]],New_Ark_Data[Purchase order Number],New_Ark_Data[Estimated time of arrival],"",0))</f>
        <v/>
      </c>
      <c r="AX217" s="739">
        <f>IF(ESS_DATA[[#This Row],[New Ark PO Type]]="Offshore",0,IFERROR(VLOOKUP(ESS_DATA[[#This Row],[PORT OF LOADING]]&amp;ESS_DATA[[#This Row],[PORT DESTINATION]],LT_REF[],7,0),14))</f>
        <v>8</v>
      </c>
      <c r="AY217" s="750">
        <f>IFERROR(ESS_DATA[[#This Row],[ODP ETA Port]]+ESS_DATA[[#This Row],[Customs/Leg3 Assumption]],"n/a")</f>
        <v>46373</v>
      </c>
      <c r="AZ217" s="741">
        <f>YEAR(ESS_DATA[[#This Row],[ETA for New Ark update]])</f>
        <v>2026</v>
      </c>
      <c r="BA217" s="741">
        <f>MONTH(ESS_DATA[[#This Row],[ETA for New Ark update]])</f>
        <v>12</v>
      </c>
      <c r="BB217" s="741">
        <f>IFERROR(_xlfn.ISOWEEKNUM(ESS_DATA[[#This Row],[ETA for New Ark update]]),0)</f>
        <v>51</v>
      </c>
      <c r="BC217" s="741" t="str">
        <f>_xlfn.XLOOKUP(ESS_DATA[[#This Row],[PORT DESTINATION]],Table12[PORT DESTINATION],Table12[Cosco Line],,0)</f>
        <v>AEM</v>
      </c>
      <c r="BD217" s="741"/>
      <c r="BE217" s="752"/>
      <c r="BF217" s="752"/>
      <c r="BG217" s="752"/>
      <c r="BH217" s="752"/>
      <c r="BI217" s="752"/>
    </row>
    <row r="218" spans="1:61" s="613" customFormat="1" ht="15.75" customHeight="1">
      <c r="A218" s="351" t="s">
        <v>8365</v>
      </c>
      <c r="B218" s="340" t="s">
        <v>8304</v>
      </c>
      <c r="C218" s="340" t="str">
        <f>IFERROR(LEFT(ESS_DATA[[#This Row],[TCL REFERENCE]],FIND(".",ESS_DATA[[#This Row],[TCL REFERENCE]],1)-1),"Main Line")</f>
        <v>Main Line</v>
      </c>
      <c r="D218" s="340" t="s">
        <v>63</v>
      </c>
      <c r="E218" s="349" t="s">
        <v>64</v>
      </c>
      <c r="F218" s="343" t="str" cm="1">
        <f t="array" ref="F218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Plan-SPNL</v>
      </c>
      <c r="G218" s="340"/>
      <c r="H218" s="340"/>
      <c r="I218" s="344"/>
      <c r="J218" s="340"/>
      <c r="K218" s="340"/>
      <c r="L218" s="341"/>
      <c r="M218" s="342"/>
      <c r="N218" s="652" t="s">
        <v>8414</v>
      </c>
      <c r="O218" s="349" t="s">
        <v>7829</v>
      </c>
      <c r="P218" s="650" t="s">
        <v>8415</v>
      </c>
      <c r="Q218" s="1358"/>
      <c r="R218" s="344">
        <v>9</v>
      </c>
      <c r="S218" s="345"/>
      <c r="T218" s="340"/>
      <c r="U218" s="346">
        <f>ESS_DATA[[#This Row],[QUANTITY]]/144</f>
        <v>6.25E-2</v>
      </c>
      <c r="V218" s="612" t="s">
        <v>8416</v>
      </c>
      <c r="W218" s="340" t="s">
        <v>8367</v>
      </c>
      <c r="X218" s="343" t="str">
        <f>IF(AL218&lt;&gt;"","COMPLETED",IF(AI218&lt;&gt;"","IN-TRANSIT",""))</f>
        <v/>
      </c>
      <c r="Y218" s="347"/>
      <c r="Z218" s="347"/>
      <c r="AA218" s="348">
        <f>WEEKNUM(ESS_DATA[[#This Row],[Pick-Up Date]])</f>
        <v>0</v>
      </c>
      <c r="AB218" s="340"/>
      <c r="AC218" s="340"/>
      <c r="AD218" s="342" t="s">
        <v>288</v>
      </c>
      <c r="AE218" s="342" t="s">
        <v>288</v>
      </c>
      <c r="AF218" s="340" t="s">
        <v>105</v>
      </c>
      <c r="AG218" s="347"/>
      <c r="AH218" s="347"/>
      <c r="AI218" s="347"/>
      <c r="AJ218" s="347"/>
      <c r="AK218" s="347"/>
      <c r="AL218" s="347"/>
      <c r="AM218" s="349" t="s">
        <v>402</v>
      </c>
      <c r="AN218" s="347"/>
      <c r="AO218" s="347"/>
      <c r="AP218" s="347"/>
      <c r="AQ218" s="340"/>
      <c r="AR218" s="340"/>
      <c r="AS218" s="340">
        <f>ESS_DATA[[#This Row],[ETA On S/O]]-ESS_DATA[[#This Row],[ETD On S/O]]+1</f>
        <v>1</v>
      </c>
      <c r="AT218" s="340"/>
      <c r="AU218" s="347" cm="1">
        <f t="array" ref="AU21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46339</v>
      </c>
      <c r="AV218" s="340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18" s="1175" t="str">
        <f>IF(ISERROR(ESS_DATA[[#This Row],[New Ark PO status]]),"",_xlfn.XLOOKUP(ESS_DATA[[#This Row],[SPTN-PVHK New Ark PO'#]],New_Ark_Data[Purchase order Number],New_Ark_Data[Estimated time of arrival],"",0))</f>
        <v/>
      </c>
      <c r="AX218" s="340">
        <f>IF(ESS_DATA[[#This Row],[New Ark PO Type]]="Offshore",0,IFERROR(VLOOKUP(ESS_DATA[[#This Row],[PORT OF LOADING]]&amp;ESS_DATA[[#This Row],[PORT DESTINATION]],LT_REF[],7,0),14))</f>
        <v>7</v>
      </c>
      <c r="AY218" s="347">
        <f>IFERROR(ESS_DATA[[#This Row],[ODP ETA Port]]+ESS_DATA[[#This Row],[Customs/Leg3 Assumption]],"n/a")</f>
        <v>46346</v>
      </c>
      <c r="AZ218" s="343">
        <f>YEAR(ESS_DATA[[#This Row],[ETA for New Ark update]])</f>
        <v>2026</v>
      </c>
      <c r="BA218" s="343">
        <f>MONTH(ESS_DATA[[#This Row],[ETA for New Ark update]])</f>
        <v>11</v>
      </c>
      <c r="BB218" s="343">
        <f>IFERROR(_xlfn.ISOWEEKNUM(ESS_DATA[[#This Row],[ETA for New Ark update]]),0)</f>
        <v>47</v>
      </c>
      <c r="BC218" s="343" t="str">
        <f>_xlfn.XLOOKUP(ESS_DATA[[#This Row],[PORT DESTINATION]],Table12[PORT DESTINATION],Table12[Cosco Line],,0)</f>
        <v>AEU</v>
      </c>
      <c r="BD218" s="343"/>
      <c r="BE218" s="350"/>
      <c r="BF218" s="350"/>
      <c r="BG218" s="350"/>
      <c r="BH218" s="350"/>
      <c r="BI218" s="350"/>
    </row>
    <row r="219" spans="1:61" s="613" customFormat="1" ht="15.75" customHeight="1">
      <c r="A219" s="351" t="s">
        <v>8417</v>
      </c>
      <c r="B219" s="340" t="s">
        <v>8304</v>
      </c>
      <c r="C219" s="340" t="str">
        <f>IFERROR(LEFT(ESS_DATA[[#This Row],[TCL REFERENCE]],FIND(".",ESS_DATA[[#This Row],[TCL REFERENCE]],1)-1),"Main Line")</f>
        <v>Main Line</v>
      </c>
      <c r="D219" s="340" t="s">
        <v>63</v>
      </c>
      <c r="E219" s="349" t="s">
        <v>64</v>
      </c>
      <c r="F219" s="343" t="str" cm="1">
        <f t="array" ref="F219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Plan-SPNL</v>
      </c>
      <c r="G219" s="340"/>
      <c r="H219" s="340"/>
      <c r="I219" s="344"/>
      <c r="J219" s="340"/>
      <c r="K219" s="340"/>
      <c r="L219" s="341"/>
      <c r="M219" s="342"/>
      <c r="N219" s="652" t="s">
        <v>8418</v>
      </c>
      <c r="O219" s="349" t="s">
        <v>7829</v>
      </c>
      <c r="P219" s="650" t="s">
        <v>8419</v>
      </c>
      <c r="Q219" s="1191"/>
      <c r="R219" s="650">
        <v>18</v>
      </c>
      <c r="S219" s="345"/>
      <c r="T219" s="340"/>
      <c r="U219" s="346">
        <f>ESS_DATA[[#This Row],[QUANTITY]]/144</f>
        <v>0.125</v>
      </c>
      <c r="V219" s="612" t="s">
        <v>8416</v>
      </c>
      <c r="W219" s="340" t="s">
        <v>8367</v>
      </c>
      <c r="X219" s="343" t="str">
        <f>IF(AL219&lt;&gt;"","COMPLETED",IF(AI219&lt;&gt;"","IN-TRANSIT",""))</f>
        <v/>
      </c>
      <c r="Y219" s="347"/>
      <c r="Z219" s="347"/>
      <c r="AA219" s="348">
        <f>WEEKNUM(ESS_DATA[[#This Row],[Pick-Up Date]])</f>
        <v>0</v>
      </c>
      <c r="AB219" s="340"/>
      <c r="AC219" s="340"/>
      <c r="AD219" s="342" t="s">
        <v>288</v>
      </c>
      <c r="AE219" s="342" t="s">
        <v>288</v>
      </c>
      <c r="AF219" s="340" t="s">
        <v>105</v>
      </c>
      <c r="AG219" s="347"/>
      <c r="AH219" s="347"/>
      <c r="AI219" s="347"/>
      <c r="AJ219" s="347"/>
      <c r="AK219" s="347"/>
      <c r="AL219" s="347"/>
      <c r="AM219" s="349" t="s">
        <v>402</v>
      </c>
      <c r="AN219" s="347"/>
      <c r="AO219" s="347"/>
      <c r="AP219" s="347"/>
      <c r="AQ219" s="340"/>
      <c r="AR219" s="340"/>
      <c r="AS219" s="340">
        <f>ESS_DATA[[#This Row],[ETA On S/O]]-ESS_DATA[[#This Row],[ETD On S/O]]+1</f>
        <v>1</v>
      </c>
      <c r="AT219" s="340"/>
      <c r="AU219" s="347" cm="1">
        <f t="array" ref="AU21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46339</v>
      </c>
      <c r="AV21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19" s="14" t="str">
        <f>IF(ISERROR(ESS_DATA[[#This Row],[New Ark PO status]]),"",_xlfn.XLOOKUP(ESS_DATA[[#This Row],[SPTN-PVHK New Ark PO'#]],New_Ark_Data[Purchase order Number],New_Ark_Data[Estimated time of arrival],"",0))</f>
        <v/>
      </c>
      <c r="AX219" s="340">
        <f>IF(ESS_DATA[[#This Row],[New Ark PO Type]]="Offshore",0,IFERROR(VLOOKUP(ESS_DATA[[#This Row],[PORT OF LOADING]]&amp;ESS_DATA[[#This Row],[PORT DESTINATION]],LT_REF[],7,0),14))</f>
        <v>7</v>
      </c>
      <c r="AY219" s="347">
        <f>IFERROR(ESS_DATA[[#This Row],[ODP ETA Port]]+ESS_DATA[[#This Row],[Customs/Leg3 Assumption]],"n/a")</f>
        <v>46346</v>
      </c>
      <c r="AZ219" s="343">
        <f>YEAR(ESS_DATA[[#This Row],[ETA for New Ark update]])</f>
        <v>2026</v>
      </c>
      <c r="BA219" s="343">
        <f>MONTH(ESS_DATA[[#This Row],[ETA for New Ark update]])</f>
        <v>11</v>
      </c>
      <c r="BB219" s="343">
        <f>IFERROR(_xlfn.ISOWEEKNUM(ESS_DATA[[#This Row],[ETA for New Ark update]]),0)</f>
        <v>47</v>
      </c>
      <c r="BC219" s="343" t="str">
        <f>_xlfn.XLOOKUP(ESS_DATA[[#This Row],[PORT DESTINATION]],Table12[PORT DESTINATION],Table12[Cosco Line],,0)</f>
        <v>AEU</v>
      </c>
      <c r="BD219" s="343"/>
      <c r="BE219" s="350"/>
      <c r="BF219" s="350"/>
      <c r="BG219" s="350"/>
      <c r="BH219" s="350"/>
      <c r="BI219" s="350"/>
    </row>
    <row r="220" spans="1:61" s="613" customFormat="1" ht="15.75" customHeight="1">
      <c r="A220" s="351" t="s">
        <v>8420</v>
      </c>
      <c r="B220" s="340" t="s">
        <v>8304</v>
      </c>
      <c r="C220" s="340" t="str">
        <f>IFERROR(LEFT(ESS_DATA[[#This Row],[TCL REFERENCE]],FIND(".",ESS_DATA[[#This Row],[TCL REFERENCE]],1)-1),"Main Line")</f>
        <v>Main Line</v>
      </c>
      <c r="D220" s="340" t="s">
        <v>63</v>
      </c>
      <c r="E220" s="349" t="s">
        <v>64</v>
      </c>
      <c r="F220" s="343" t="str" cm="1">
        <f t="array" ref="F220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Plan-SPNL</v>
      </c>
      <c r="G220" s="340"/>
      <c r="H220" s="340"/>
      <c r="I220" s="344"/>
      <c r="J220" s="340"/>
      <c r="K220" s="340"/>
      <c r="L220" s="341"/>
      <c r="M220" s="342"/>
      <c r="N220" s="652" t="s">
        <v>8421</v>
      </c>
      <c r="O220" s="349" t="s">
        <v>7829</v>
      </c>
      <c r="P220" s="650" t="s">
        <v>8422</v>
      </c>
      <c r="Q220" s="1191"/>
      <c r="R220" s="650">
        <v>18</v>
      </c>
      <c r="S220" s="345"/>
      <c r="T220" s="340"/>
      <c r="U220" s="346">
        <f>ESS_DATA[[#This Row],[QUANTITY]]/144</f>
        <v>0.125</v>
      </c>
      <c r="V220" s="612" t="s">
        <v>8416</v>
      </c>
      <c r="W220" s="340" t="s">
        <v>8367</v>
      </c>
      <c r="X220" s="343" t="str">
        <f t="shared" ref="X220:X226" si="13">IF(AL220&lt;&gt;"","COMPLETED",IF(AI220&lt;&gt;"","IN-TRANSIT",""))</f>
        <v/>
      </c>
      <c r="Y220" s="347"/>
      <c r="Z220" s="347"/>
      <c r="AA220" s="348">
        <f>WEEKNUM(ESS_DATA[[#This Row],[Pick-Up Date]])</f>
        <v>0</v>
      </c>
      <c r="AB220" s="340"/>
      <c r="AC220" s="340"/>
      <c r="AD220" s="342" t="s">
        <v>288</v>
      </c>
      <c r="AE220" s="342" t="s">
        <v>288</v>
      </c>
      <c r="AF220" s="340" t="s">
        <v>105</v>
      </c>
      <c r="AG220" s="347"/>
      <c r="AH220" s="347"/>
      <c r="AI220" s="347"/>
      <c r="AJ220" s="347"/>
      <c r="AK220" s="347"/>
      <c r="AL220" s="347"/>
      <c r="AM220" s="349" t="s">
        <v>402</v>
      </c>
      <c r="AN220" s="347"/>
      <c r="AO220" s="347"/>
      <c r="AP220" s="347"/>
      <c r="AQ220" s="340"/>
      <c r="AR220" s="340"/>
      <c r="AS220" s="340">
        <f>ESS_DATA[[#This Row],[ETA On S/O]]-ESS_DATA[[#This Row],[ETD On S/O]]+1</f>
        <v>1</v>
      </c>
      <c r="AT220" s="340"/>
      <c r="AU220" s="347" cm="1">
        <f t="array" ref="AU22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46339</v>
      </c>
      <c r="AV22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20" s="14" t="str">
        <f>IF(ISERROR(ESS_DATA[[#This Row],[New Ark PO status]]),"",_xlfn.XLOOKUP(ESS_DATA[[#This Row],[SPTN-PVHK New Ark PO'#]],New_Ark_Data[Purchase order Number],New_Ark_Data[Estimated time of arrival],"",0))</f>
        <v/>
      </c>
      <c r="AX220" s="340">
        <f>IF(ESS_DATA[[#This Row],[New Ark PO Type]]="Offshore",0,IFERROR(VLOOKUP(ESS_DATA[[#This Row],[PORT OF LOADING]]&amp;ESS_DATA[[#This Row],[PORT DESTINATION]],LT_REF[],7,0),14))</f>
        <v>7</v>
      </c>
      <c r="AY220" s="347">
        <f>IFERROR(ESS_DATA[[#This Row],[ODP ETA Port]]+ESS_DATA[[#This Row],[Customs/Leg3 Assumption]],"n/a")</f>
        <v>46346</v>
      </c>
      <c r="AZ220" s="343">
        <f>YEAR(ESS_DATA[[#This Row],[ETA for New Ark update]])</f>
        <v>2026</v>
      </c>
      <c r="BA220" s="343">
        <f>MONTH(ESS_DATA[[#This Row],[ETA for New Ark update]])</f>
        <v>11</v>
      </c>
      <c r="BB220" s="343">
        <f>IFERROR(_xlfn.ISOWEEKNUM(ESS_DATA[[#This Row],[ETA for New Ark update]]),0)</f>
        <v>47</v>
      </c>
      <c r="BC220" s="343" t="str">
        <f>_xlfn.XLOOKUP(ESS_DATA[[#This Row],[PORT DESTINATION]],Table12[PORT DESTINATION],Table12[Cosco Line],,0)</f>
        <v>AEU</v>
      </c>
      <c r="BD220" s="343"/>
      <c r="BE220" s="350"/>
      <c r="BF220" s="350"/>
      <c r="BG220" s="350"/>
      <c r="BH220" s="350"/>
      <c r="BI220" s="350"/>
    </row>
    <row r="221" spans="1:61" s="613" customFormat="1" ht="18" customHeight="1">
      <c r="A221" s="351" t="s">
        <v>8423</v>
      </c>
      <c r="B221" s="340" t="s">
        <v>8304</v>
      </c>
      <c r="C221" s="340" t="str">
        <f>IFERROR(LEFT(ESS_DATA[[#This Row],[TCL REFERENCE]],FIND(".",ESS_DATA[[#This Row],[TCL REFERENCE]],1)-1),"Main Line")</f>
        <v>Main Line</v>
      </c>
      <c r="D221" s="340" t="s">
        <v>63</v>
      </c>
      <c r="E221" s="349" t="s">
        <v>64</v>
      </c>
      <c r="F221" s="343" t="str" cm="1">
        <f t="array" ref="F221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Plan-SPNL</v>
      </c>
      <c r="G221" s="340"/>
      <c r="H221" s="340"/>
      <c r="I221" s="344"/>
      <c r="J221" s="340"/>
      <c r="K221" s="340"/>
      <c r="L221" s="341"/>
      <c r="M221" s="342"/>
      <c r="N221" s="652" t="s">
        <v>8424</v>
      </c>
      <c r="O221" s="349" t="s">
        <v>8315</v>
      </c>
      <c r="P221" s="650" t="s">
        <v>8425</v>
      </c>
      <c r="Q221" s="1191"/>
      <c r="R221" s="650">
        <v>60</v>
      </c>
      <c r="S221" s="345"/>
      <c r="T221" s="340"/>
      <c r="U221" s="346">
        <f>ESS_DATA[[#This Row],[QUANTITY]]/144</f>
        <v>0.41666666666666669</v>
      </c>
      <c r="V221" s="612" t="s">
        <v>8416</v>
      </c>
      <c r="W221" s="340" t="s">
        <v>8367</v>
      </c>
      <c r="X221" s="343" t="str">
        <f t="shared" si="13"/>
        <v/>
      </c>
      <c r="Y221" s="347"/>
      <c r="Z221" s="347"/>
      <c r="AA221" s="348">
        <f>WEEKNUM(ESS_DATA[[#This Row],[Pick-Up Date]])</f>
        <v>0</v>
      </c>
      <c r="AB221" s="340"/>
      <c r="AC221" s="340"/>
      <c r="AD221" s="342" t="s">
        <v>288</v>
      </c>
      <c r="AE221" s="342" t="s">
        <v>288</v>
      </c>
      <c r="AF221" s="340" t="s">
        <v>105</v>
      </c>
      <c r="AG221" s="347"/>
      <c r="AH221" s="347"/>
      <c r="AI221" s="347"/>
      <c r="AJ221" s="347"/>
      <c r="AK221" s="347"/>
      <c r="AL221" s="347"/>
      <c r="AM221" s="349" t="s">
        <v>402</v>
      </c>
      <c r="AN221" s="347"/>
      <c r="AO221" s="347"/>
      <c r="AP221" s="347"/>
      <c r="AQ221" s="340"/>
      <c r="AR221" s="340"/>
      <c r="AS221" s="340">
        <f>ESS_DATA[[#This Row],[ETA On S/O]]-ESS_DATA[[#This Row],[ETD On S/O]]+1</f>
        <v>1</v>
      </c>
      <c r="AT221" s="340"/>
      <c r="AU221" s="347" cm="1">
        <f t="array" ref="AU22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46339</v>
      </c>
      <c r="AV22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21" s="14" t="str">
        <f>IF(ISERROR(ESS_DATA[[#This Row],[New Ark PO status]]),"",_xlfn.XLOOKUP(ESS_DATA[[#This Row],[SPTN-PVHK New Ark PO'#]],New_Ark_Data[Purchase order Number],New_Ark_Data[Estimated time of arrival],"",0))</f>
        <v/>
      </c>
      <c r="AX221" s="340">
        <f>IF(ESS_DATA[[#This Row],[New Ark PO Type]]="Offshore",0,IFERROR(VLOOKUP(ESS_DATA[[#This Row],[PORT OF LOADING]]&amp;ESS_DATA[[#This Row],[PORT DESTINATION]],LT_REF[],7,0),14))</f>
        <v>7</v>
      </c>
      <c r="AY221" s="347">
        <f>IFERROR(ESS_DATA[[#This Row],[ODP ETA Port]]+ESS_DATA[[#This Row],[Customs/Leg3 Assumption]],"n/a")</f>
        <v>46346</v>
      </c>
      <c r="AZ221" s="343">
        <f>YEAR(ESS_DATA[[#This Row],[ETA for New Ark update]])</f>
        <v>2026</v>
      </c>
      <c r="BA221" s="343">
        <f>MONTH(ESS_DATA[[#This Row],[ETA for New Ark update]])</f>
        <v>11</v>
      </c>
      <c r="BB221" s="343">
        <f>IFERROR(_xlfn.ISOWEEKNUM(ESS_DATA[[#This Row],[ETA for New Ark update]]),0)</f>
        <v>47</v>
      </c>
      <c r="BC221" s="343" t="str">
        <f>_xlfn.XLOOKUP(ESS_DATA[[#This Row],[PORT DESTINATION]],Table12[PORT DESTINATION],Table12[Cosco Line],,0)</f>
        <v>AEU</v>
      </c>
      <c r="BD221" s="343"/>
      <c r="BE221" s="350"/>
      <c r="BF221" s="350"/>
      <c r="BG221" s="350"/>
      <c r="BH221" s="350"/>
      <c r="BI221" s="350"/>
    </row>
    <row r="222" spans="1:61" s="613" customFormat="1" ht="18.75" customHeight="1">
      <c r="A222" s="351" t="s">
        <v>8426</v>
      </c>
      <c r="B222" s="340" t="s">
        <v>8304</v>
      </c>
      <c r="C222" s="340" t="str">
        <f>IFERROR(LEFT(ESS_DATA[[#This Row],[TCL REFERENCE]],FIND(".",ESS_DATA[[#This Row],[TCL REFERENCE]],1)-1),"Main Line")</f>
        <v>Main Line</v>
      </c>
      <c r="D222" s="340" t="s">
        <v>63</v>
      </c>
      <c r="E222" s="349" t="s">
        <v>64</v>
      </c>
      <c r="F222" s="343" t="str" cm="1">
        <f t="array" ref="F222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Plan-SPNL</v>
      </c>
      <c r="G222" s="340"/>
      <c r="H222" s="340"/>
      <c r="I222" s="344"/>
      <c r="J222" s="340"/>
      <c r="K222" s="340"/>
      <c r="L222" s="341"/>
      <c r="M222" s="342"/>
      <c r="N222" s="652" t="s">
        <v>8427</v>
      </c>
      <c r="O222" s="349" t="s">
        <v>8428</v>
      </c>
      <c r="P222" s="650" t="s">
        <v>8429</v>
      </c>
      <c r="Q222" s="1358"/>
      <c r="R222" s="650">
        <v>24</v>
      </c>
      <c r="S222" s="345"/>
      <c r="T222" s="340"/>
      <c r="U222" s="346">
        <f>ESS_DATA[[#This Row],[QUANTITY]]/144</f>
        <v>0.16666666666666666</v>
      </c>
      <c r="V222" s="612" t="s">
        <v>8416</v>
      </c>
      <c r="W222" s="340" t="s">
        <v>8367</v>
      </c>
      <c r="X222" s="343" t="str">
        <f t="shared" si="13"/>
        <v/>
      </c>
      <c r="Y222" s="347"/>
      <c r="Z222" s="347"/>
      <c r="AA222" s="348">
        <f>WEEKNUM(ESS_DATA[[#This Row],[Pick-Up Date]])</f>
        <v>0</v>
      </c>
      <c r="AB222" s="340"/>
      <c r="AC222" s="340"/>
      <c r="AD222" s="342" t="s">
        <v>288</v>
      </c>
      <c r="AE222" s="342" t="s">
        <v>288</v>
      </c>
      <c r="AF222" s="340" t="s">
        <v>105</v>
      </c>
      <c r="AG222" s="347"/>
      <c r="AH222" s="347"/>
      <c r="AI222" s="347"/>
      <c r="AJ222" s="347"/>
      <c r="AK222" s="347"/>
      <c r="AL222" s="347"/>
      <c r="AM222" s="349" t="s">
        <v>402</v>
      </c>
      <c r="AN222" s="347"/>
      <c r="AO222" s="347"/>
      <c r="AP222" s="347"/>
      <c r="AQ222" s="340"/>
      <c r="AR222" s="340"/>
      <c r="AS222" s="340">
        <f>ESS_DATA[[#This Row],[ETA On S/O]]-ESS_DATA[[#This Row],[ETD On S/O]]+1</f>
        <v>1</v>
      </c>
      <c r="AT222" s="340"/>
      <c r="AU222" s="347" cm="1">
        <f t="array" ref="AU22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46339</v>
      </c>
      <c r="AV22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22" s="14" t="str">
        <f>IF(ISERROR(ESS_DATA[[#This Row],[New Ark PO status]]),"",_xlfn.XLOOKUP(ESS_DATA[[#This Row],[SPTN-PVHK New Ark PO'#]],New_Ark_Data[Purchase order Number],New_Ark_Data[Estimated time of arrival],"",0))</f>
        <v/>
      </c>
      <c r="AX222" s="340">
        <f>IF(ESS_DATA[[#This Row],[New Ark PO Type]]="Offshore",0,IFERROR(VLOOKUP(ESS_DATA[[#This Row],[PORT OF LOADING]]&amp;ESS_DATA[[#This Row],[PORT DESTINATION]],LT_REF[],7,0),14))</f>
        <v>7</v>
      </c>
      <c r="AY222" s="347">
        <f>IFERROR(ESS_DATA[[#This Row],[ODP ETA Port]]+ESS_DATA[[#This Row],[Customs/Leg3 Assumption]],"n/a")</f>
        <v>46346</v>
      </c>
      <c r="AZ222" s="343">
        <f>YEAR(ESS_DATA[[#This Row],[ETA for New Ark update]])</f>
        <v>2026</v>
      </c>
      <c r="BA222" s="343">
        <f>MONTH(ESS_DATA[[#This Row],[ETA for New Ark update]])</f>
        <v>11</v>
      </c>
      <c r="BB222" s="343">
        <f>IFERROR(_xlfn.ISOWEEKNUM(ESS_DATA[[#This Row],[ETA for New Ark update]]),0)</f>
        <v>47</v>
      </c>
      <c r="BC222" s="343" t="str">
        <f>_xlfn.XLOOKUP(ESS_DATA[[#This Row],[PORT DESTINATION]],Table12[PORT DESTINATION],Table12[Cosco Line],,0)</f>
        <v>AEU</v>
      </c>
      <c r="BD222" s="343"/>
      <c r="BE222" s="350"/>
      <c r="BF222" s="350"/>
      <c r="BG222" s="350"/>
      <c r="BH222" s="350"/>
      <c r="BI222" s="350"/>
    </row>
    <row r="223" spans="1:61" s="613" customFormat="1" ht="18.75" customHeight="1">
      <c r="A223" s="351" t="s">
        <v>8430</v>
      </c>
      <c r="B223" s="340" t="s">
        <v>8431</v>
      </c>
      <c r="C223" s="340" t="str">
        <f>IFERROR(LEFT(ESS_DATA[[#This Row],[TCL REFERENCE]],FIND(".",ESS_DATA[[#This Row],[TCL REFERENCE]],1)-1),"Main Line")</f>
        <v>Main Line</v>
      </c>
      <c r="D223" s="340" t="s">
        <v>63</v>
      </c>
      <c r="E223" s="349" t="s">
        <v>64</v>
      </c>
      <c r="F223" s="343" t="str" cm="1">
        <f t="array" ref="F223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Plan-SPNL</v>
      </c>
      <c r="G223" s="340"/>
      <c r="H223" s="340"/>
      <c r="I223" s="344"/>
      <c r="J223" s="340"/>
      <c r="K223" s="340"/>
      <c r="L223" s="341"/>
      <c r="M223" s="342"/>
      <c r="N223" s="1352" t="s">
        <v>8432</v>
      </c>
      <c r="O223" s="349" t="s">
        <v>8433</v>
      </c>
      <c r="P223" s="343" t="s">
        <v>8434</v>
      </c>
      <c r="Q223" s="1191"/>
      <c r="R223" s="1165">
        <v>15</v>
      </c>
      <c r="S223" s="345"/>
      <c r="T223" s="340"/>
      <c r="U223" s="346">
        <f>ESS_DATA[[#This Row],[QUANTITY]]/144</f>
        <v>0.10416666666666667</v>
      </c>
      <c r="V223" s="612" t="s">
        <v>8416</v>
      </c>
      <c r="W223" s="340" t="s">
        <v>8367</v>
      </c>
      <c r="X223" s="343" t="str">
        <f>IF(AL223&lt;&gt;"","COMPLETED",IF(AI223&lt;&gt;"","IN-TRANSIT",""))</f>
        <v/>
      </c>
      <c r="Y223" s="347"/>
      <c r="Z223" s="347"/>
      <c r="AA223" s="348">
        <f>WEEKNUM(ESS_DATA[[#This Row],[Pick-Up Date]])</f>
        <v>0</v>
      </c>
      <c r="AB223" s="340"/>
      <c r="AC223" s="340"/>
      <c r="AD223" s="342" t="s">
        <v>288</v>
      </c>
      <c r="AE223" s="342" t="s">
        <v>288</v>
      </c>
      <c r="AF223" s="340" t="s">
        <v>105</v>
      </c>
      <c r="AG223" s="347"/>
      <c r="AH223" s="347"/>
      <c r="AI223" s="347"/>
      <c r="AJ223" s="347"/>
      <c r="AK223" s="347"/>
      <c r="AL223" s="347"/>
      <c r="AM223" s="349" t="s">
        <v>402</v>
      </c>
      <c r="AN223" s="347"/>
      <c r="AO223" s="347"/>
      <c r="AP223" s="347"/>
      <c r="AQ223" s="340"/>
      <c r="AR223" s="340"/>
      <c r="AS223" s="340">
        <f>ESS_DATA[[#This Row],[ETA On S/O]]-ESS_DATA[[#This Row],[ETD On S/O]]+1</f>
        <v>1</v>
      </c>
      <c r="AT223" s="340"/>
      <c r="AU223" s="347" cm="1">
        <f t="array" ref="AU22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46339</v>
      </c>
      <c r="AV223" s="340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23" s="1175" t="str">
        <f>IF(ISERROR(ESS_DATA[[#This Row],[New Ark PO status]]),"",_xlfn.XLOOKUP(ESS_DATA[[#This Row],[SPTN-PVHK New Ark PO'#]],New_Ark_Data[Purchase order Number],New_Ark_Data[Estimated time of arrival],"",0))</f>
        <v/>
      </c>
      <c r="AX223" s="340">
        <f>IF(ESS_DATA[[#This Row],[New Ark PO Type]]="Offshore",0,IFERROR(VLOOKUP(ESS_DATA[[#This Row],[PORT OF LOADING]]&amp;ESS_DATA[[#This Row],[PORT DESTINATION]],LT_REF[],7,0),14))</f>
        <v>7</v>
      </c>
      <c r="AY223" s="347">
        <f>IFERROR(ESS_DATA[[#This Row],[ODP ETA Port]]+ESS_DATA[[#This Row],[Customs/Leg3 Assumption]],"n/a")</f>
        <v>46346</v>
      </c>
      <c r="AZ223" s="343">
        <f>YEAR(ESS_DATA[[#This Row],[ETA for New Ark update]])</f>
        <v>2026</v>
      </c>
      <c r="BA223" s="343">
        <f>MONTH(ESS_DATA[[#This Row],[ETA for New Ark update]])</f>
        <v>11</v>
      </c>
      <c r="BB223" s="343">
        <f>IFERROR(_xlfn.ISOWEEKNUM(ESS_DATA[[#This Row],[ETA for New Ark update]]),0)</f>
        <v>47</v>
      </c>
      <c r="BC223" s="343" t="str">
        <f>_xlfn.XLOOKUP(ESS_DATA[[#This Row],[PORT DESTINATION]],Table12[PORT DESTINATION],Table12[Cosco Line],,0)</f>
        <v>AEU</v>
      </c>
      <c r="BD223" s="343"/>
      <c r="BE223" s="350"/>
      <c r="BF223" s="350"/>
      <c r="BG223" s="350"/>
      <c r="BH223" s="350"/>
      <c r="BI223" s="350"/>
    </row>
    <row r="224" spans="1:61" s="1103" customFormat="1" ht="18.75" customHeight="1">
      <c r="A224" s="1085" t="s">
        <v>8435</v>
      </c>
      <c r="B224" s="1086" t="s">
        <v>8431</v>
      </c>
      <c r="C224" s="1086" t="str">
        <f>IFERROR(LEFT(ESS_DATA[[#This Row],[TCL REFERENCE]],FIND(".",ESS_DATA[[#This Row],[TCL REFERENCE]],1)-1),"Main Line")</f>
        <v>Main Line</v>
      </c>
      <c r="D224" s="1087" t="s">
        <v>68</v>
      </c>
      <c r="E224" s="1087" t="s">
        <v>68</v>
      </c>
      <c r="F224" s="1087" t="s">
        <v>68</v>
      </c>
      <c r="G224" s="1086"/>
      <c r="H224" s="1086" t="s">
        <v>8019</v>
      </c>
      <c r="I224" s="1088"/>
      <c r="J224" s="1086"/>
      <c r="K224" s="1086"/>
      <c r="L224" s="1089"/>
      <c r="M224" s="1090"/>
      <c r="N224" s="1091" t="s">
        <v>8305</v>
      </c>
      <c r="O224" s="1092" t="s">
        <v>8306</v>
      </c>
      <c r="P224" s="1092" t="s">
        <v>8422</v>
      </c>
      <c r="Q224" s="1192"/>
      <c r="R224" s="1188">
        <v>54</v>
      </c>
      <c r="S224" s="269"/>
      <c r="T224" s="31"/>
      <c r="U224" s="1095">
        <f>ESS_DATA[[#This Row],[QUANTITY]]/124</f>
        <v>0.43548387096774194</v>
      </c>
      <c r="V224" s="1096" t="s">
        <v>8436</v>
      </c>
      <c r="W224" s="1086" t="s">
        <v>8437</v>
      </c>
      <c r="X224" s="1097" t="str">
        <f t="shared" si="13"/>
        <v>COMPLETED</v>
      </c>
      <c r="Y224" s="1098">
        <v>46263</v>
      </c>
      <c r="Z224" s="1098">
        <v>46275</v>
      </c>
      <c r="AA224" s="1099">
        <f>WEEKNUM(ESS_DATA[[#This Row],[Pick-Up Date]])</f>
        <v>37</v>
      </c>
      <c r="AB224" s="1086" t="s">
        <v>7553</v>
      </c>
      <c r="AC224" s="31"/>
      <c r="AD224" s="1090" t="s">
        <v>288</v>
      </c>
      <c r="AE224" s="1090" t="s">
        <v>8022</v>
      </c>
      <c r="AF224" s="1100" t="s">
        <v>7088</v>
      </c>
      <c r="AG224" s="1098">
        <v>46278</v>
      </c>
      <c r="AH224" s="1098">
        <v>46277</v>
      </c>
      <c r="AI224" s="1098">
        <v>46278</v>
      </c>
      <c r="AJ224" s="1098">
        <v>46282</v>
      </c>
      <c r="AK224" s="1098">
        <v>46285</v>
      </c>
      <c r="AL224" s="1098">
        <v>46285</v>
      </c>
      <c r="AM224" s="1101" t="s">
        <v>402</v>
      </c>
      <c r="AN224" s="1098" t="s">
        <v>8438</v>
      </c>
      <c r="AO224" s="1098" t="s">
        <v>161</v>
      </c>
      <c r="AP224" s="1098" t="s">
        <v>8439</v>
      </c>
      <c r="AQ224" s="1086" t="s">
        <v>8440</v>
      </c>
      <c r="AR224" s="1086" t="s">
        <v>8440</v>
      </c>
      <c r="AS224" s="1086">
        <f>ESS_DATA[[#This Row],[ETA On S/O]]-ESS_DATA[[#This Row],[ETD On S/O]]+1</f>
        <v>5</v>
      </c>
      <c r="AT224" s="1086"/>
      <c r="AU224" s="1098" cm="1">
        <f t="array" ref="AU22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46285</v>
      </c>
      <c r="AV224" s="1098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24" s="1098" t="str">
        <f>IF(ISERROR(ESS_DATA[[#This Row],[New Ark PO status]]),"",_xlfn.XLOOKUP(ESS_DATA[[#This Row],[SPTN-PVHK New Ark PO'#]],New_Ark_Data[Purchase order Number],New_Ark_Data[Estimated time of arrival],"",0))</f>
        <v/>
      </c>
      <c r="AX224" s="1086">
        <f>IF(ESS_DATA[[#This Row],[New Ark PO Type]]="Offshore",0,IFERROR(VLOOKUP(ESS_DATA[[#This Row],[PORT OF LOADING]]&amp;ESS_DATA[[#This Row],[PORT DESTINATION]],LT_REF[],7,0),14))</f>
        <v>14</v>
      </c>
      <c r="AY224" s="1098">
        <f>IFERROR(ESS_DATA[[#This Row],[ODP ETA Port]]+ESS_DATA[[#This Row],[Customs/Leg3 Assumption]],"n/a")</f>
        <v>46299</v>
      </c>
      <c r="AZ224" s="1097">
        <f>YEAR(ESS_DATA[[#This Row],[ETA for New Ark update]])</f>
        <v>2026</v>
      </c>
      <c r="BA224" s="1097">
        <f>MONTH(ESS_DATA[[#This Row],[ETA for New Ark update]])</f>
        <v>10</v>
      </c>
      <c r="BB224" s="1097">
        <f>IFERROR(_xlfn.ISOWEEKNUM(ESS_DATA[[#This Row],[ETA for New Ark update]]),0)</f>
        <v>40</v>
      </c>
      <c r="BC224" s="1097" t="str">
        <f>_xlfn.XLOOKUP(ESS_DATA[[#This Row],[PORT DESTINATION]],Table12[PORT DESTINATION],Table12[Cosco Line],,0)</f>
        <v>n/a</v>
      </c>
      <c r="BD224" s="1097"/>
      <c r="BE224" s="1102"/>
      <c r="BF224" s="1102"/>
      <c r="BG224" s="1102"/>
      <c r="BH224" s="1102"/>
      <c r="BI224" s="1102"/>
    </row>
    <row r="225" spans="1:61" s="1103" customFormat="1" ht="19.5" customHeight="1">
      <c r="A225" s="1085" t="s">
        <v>8441</v>
      </c>
      <c r="B225" s="1086" t="s">
        <v>8431</v>
      </c>
      <c r="C225" s="1086" t="str">
        <f>IFERROR(LEFT(ESS_DATA[[#This Row],[TCL REFERENCE]],FIND(".",ESS_DATA[[#This Row],[TCL REFERENCE]],1)-1),"Main Line")</f>
        <v>Main Line</v>
      </c>
      <c r="D225" s="1087" t="s">
        <v>68</v>
      </c>
      <c r="E225" s="1087" t="s">
        <v>68</v>
      </c>
      <c r="F225" s="1087" t="s">
        <v>68</v>
      </c>
      <c r="G225" s="1086"/>
      <c r="H225" s="1086" t="s">
        <v>8019</v>
      </c>
      <c r="I225" s="1088"/>
      <c r="J225" s="1086"/>
      <c r="K225" s="1086"/>
      <c r="L225" s="1089"/>
      <c r="M225" s="1090"/>
      <c r="N225" s="1091" t="s">
        <v>8314</v>
      </c>
      <c r="O225" s="1092" t="s">
        <v>8315</v>
      </c>
      <c r="P225" s="1093" t="s">
        <v>8425</v>
      </c>
      <c r="Q225" s="1192"/>
      <c r="R225" s="1189">
        <v>54</v>
      </c>
      <c r="S225" s="269"/>
      <c r="T225" s="31"/>
      <c r="U225" s="1095">
        <f>ESS_DATA[[#This Row],[QUANTITY]]/124</f>
        <v>0.43548387096774194</v>
      </c>
      <c r="V225" s="1096" t="s">
        <v>8436</v>
      </c>
      <c r="W225" s="1086" t="s">
        <v>8437</v>
      </c>
      <c r="X225" s="1097" t="str">
        <f t="shared" si="13"/>
        <v>COMPLETED</v>
      </c>
      <c r="Y225" s="1098">
        <v>46263</v>
      </c>
      <c r="Z225" s="1098">
        <v>46275</v>
      </c>
      <c r="AA225" s="1099">
        <f>WEEKNUM(ESS_DATA[[#This Row],[Pick-Up Date]])</f>
        <v>37</v>
      </c>
      <c r="AB225" s="1086" t="s">
        <v>7553</v>
      </c>
      <c r="AC225" s="31"/>
      <c r="AD225" s="1090" t="s">
        <v>288</v>
      </c>
      <c r="AE225" s="1090" t="s">
        <v>8022</v>
      </c>
      <c r="AF225" s="1100" t="s">
        <v>7088</v>
      </c>
      <c r="AG225" s="1098">
        <v>46278</v>
      </c>
      <c r="AH225" s="1098">
        <v>46277</v>
      </c>
      <c r="AI225" s="1098">
        <v>46278</v>
      </c>
      <c r="AJ225" s="1098">
        <v>46282</v>
      </c>
      <c r="AK225" s="1098">
        <v>46285</v>
      </c>
      <c r="AL225" s="1098">
        <v>46285</v>
      </c>
      <c r="AM225" s="1101" t="s">
        <v>402</v>
      </c>
      <c r="AN225" s="1098" t="s">
        <v>8438</v>
      </c>
      <c r="AO225" s="1098" t="s">
        <v>161</v>
      </c>
      <c r="AP225" s="1098" t="s">
        <v>8439</v>
      </c>
      <c r="AQ225" s="1086" t="s">
        <v>8440</v>
      </c>
      <c r="AR225" s="1086" t="s">
        <v>8440</v>
      </c>
      <c r="AS225" s="1086">
        <f>ESS_DATA[[#This Row],[ETA On S/O]]-ESS_DATA[[#This Row],[ETD On S/O]]+1</f>
        <v>5</v>
      </c>
      <c r="AT225" s="1086"/>
      <c r="AU225" s="1098" cm="1">
        <f t="array" ref="AU22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46285</v>
      </c>
      <c r="AV225" s="1098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25" s="1098" t="str">
        <f>IF(ISERROR(ESS_DATA[[#This Row],[New Ark PO status]]),"",_xlfn.XLOOKUP(ESS_DATA[[#This Row],[SPTN-PVHK New Ark PO'#]],New_Ark_Data[Purchase order Number],New_Ark_Data[Estimated time of arrival],"",0))</f>
        <v/>
      </c>
      <c r="AX225" s="1086">
        <f>IF(ESS_DATA[[#This Row],[New Ark PO Type]]="Offshore",0,IFERROR(VLOOKUP(ESS_DATA[[#This Row],[PORT OF LOADING]]&amp;ESS_DATA[[#This Row],[PORT DESTINATION]],LT_REF[],7,0),14))</f>
        <v>14</v>
      </c>
      <c r="AY225" s="1098">
        <f>IFERROR(ESS_DATA[[#This Row],[ODP ETA Port]]+ESS_DATA[[#This Row],[Customs/Leg3 Assumption]],"n/a")</f>
        <v>46299</v>
      </c>
      <c r="AZ225" s="1097">
        <f>YEAR(ESS_DATA[[#This Row],[ETA for New Ark update]])</f>
        <v>2026</v>
      </c>
      <c r="BA225" s="1097">
        <f>MONTH(ESS_DATA[[#This Row],[ETA for New Ark update]])</f>
        <v>10</v>
      </c>
      <c r="BB225" s="1097">
        <f>IFERROR(_xlfn.ISOWEEKNUM(ESS_DATA[[#This Row],[ETA for New Ark update]]),0)</f>
        <v>40</v>
      </c>
      <c r="BC225" s="1097" t="str">
        <f>_xlfn.XLOOKUP(ESS_DATA[[#This Row],[PORT DESTINATION]],Table12[PORT DESTINATION],Table12[Cosco Line],,0)</f>
        <v>n/a</v>
      </c>
      <c r="BD225" s="1097"/>
      <c r="BE225" s="1102"/>
      <c r="BF225" s="1102"/>
      <c r="BG225" s="1102"/>
      <c r="BH225" s="1102"/>
      <c r="BI225" s="1102"/>
    </row>
    <row r="226" spans="1:61" s="1103" customFormat="1" ht="19.5" customHeight="1">
      <c r="A226" s="1085" t="s">
        <v>8442</v>
      </c>
      <c r="B226" s="1086" t="s">
        <v>8431</v>
      </c>
      <c r="C226" s="1086" t="str">
        <f>IFERROR(LEFT(ESS_DATA[[#This Row],[TCL REFERENCE]],FIND(".",ESS_DATA[[#This Row],[TCL REFERENCE]],1)-1),"Main Line")</f>
        <v>Main Line</v>
      </c>
      <c r="D226" s="1087" t="s">
        <v>68</v>
      </c>
      <c r="E226" s="1087" t="s">
        <v>68</v>
      </c>
      <c r="F226" s="1087" t="s">
        <v>68</v>
      </c>
      <c r="G226" s="1086"/>
      <c r="H226" s="1086" t="s">
        <v>8019</v>
      </c>
      <c r="I226" s="1088"/>
      <c r="J226" s="1086"/>
      <c r="K226" s="1086"/>
      <c r="L226" s="1089"/>
      <c r="M226" s="1090"/>
      <c r="N226" s="1091" t="s">
        <v>8318</v>
      </c>
      <c r="O226" s="1092" t="s">
        <v>8319</v>
      </c>
      <c r="P226" s="1093" t="s">
        <v>8429</v>
      </c>
      <c r="Q226" s="1192"/>
      <c r="R226" s="1189">
        <v>16</v>
      </c>
      <c r="S226" s="269"/>
      <c r="T226" s="31"/>
      <c r="U226" s="1095">
        <f>ESS_DATA[[#This Row],[QUANTITY]]/124</f>
        <v>0.12903225806451613</v>
      </c>
      <c r="V226" s="1096" t="s">
        <v>8436</v>
      </c>
      <c r="W226" s="1086" t="s">
        <v>8437</v>
      </c>
      <c r="X226" s="1097" t="str">
        <f t="shared" si="13"/>
        <v>COMPLETED</v>
      </c>
      <c r="Y226" s="1098">
        <v>46263</v>
      </c>
      <c r="Z226" s="1098">
        <v>46275</v>
      </c>
      <c r="AA226" s="1099">
        <f>WEEKNUM(ESS_DATA[[#This Row],[Pick-Up Date]])</f>
        <v>37</v>
      </c>
      <c r="AB226" s="1086" t="s">
        <v>7553</v>
      </c>
      <c r="AC226" s="31"/>
      <c r="AD226" s="1090" t="s">
        <v>288</v>
      </c>
      <c r="AE226" s="1090" t="s">
        <v>8022</v>
      </c>
      <c r="AF226" s="1100" t="s">
        <v>7088</v>
      </c>
      <c r="AG226" s="1098">
        <v>46278</v>
      </c>
      <c r="AH226" s="1098">
        <v>46277</v>
      </c>
      <c r="AI226" s="1098">
        <v>46278</v>
      </c>
      <c r="AJ226" s="1098">
        <v>46282</v>
      </c>
      <c r="AK226" s="1098">
        <v>46285</v>
      </c>
      <c r="AL226" s="1098">
        <v>46285</v>
      </c>
      <c r="AM226" s="1101" t="s">
        <v>402</v>
      </c>
      <c r="AN226" s="1098" t="s">
        <v>8438</v>
      </c>
      <c r="AO226" s="1098" t="s">
        <v>161</v>
      </c>
      <c r="AP226" s="1098" t="s">
        <v>8439</v>
      </c>
      <c r="AQ226" s="1086" t="s">
        <v>8440</v>
      </c>
      <c r="AR226" s="1086" t="s">
        <v>8440</v>
      </c>
      <c r="AS226" s="1086">
        <f>ESS_DATA[[#This Row],[ETA On S/O]]-ESS_DATA[[#This Row],[ETD On S/O]]+1</f>
        <v>5</v>
      </c>
      <c r="AT226" s="1086"/>
      <c r="AU226" s="1098" cm="1">
        <f t="array" ref="AU22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46285</v>
      </c>
      <c r="AV226" s="1098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26" s="1098" t="str">
        <f>IF(ISERROR(ESS_DATA[[#This Row],[New Ark PO status]]),"",_xlfn.XLOOKUP(ESS_DATA[[#This Row],[SPTN-PVHK New Ark PO'#]],New_Ark_Data[Purchase order Number],New_Ark_Data[Estimated time of arrival],"",0))</f>
        <v/>
      </c>
      <c r="AX226" s="1086">
        <f>IF(ESS_DATA[[#This Row],[New Ark PO Type]]="Offshore",0,IFERROR(VLOOKUP(ESS_DATA[[#This Row],[PORT OF LOADING]]&amp;ESS_DATA[[#This Row],[PORT DESTINATION]],LT_REF[],7,0),14))</f>
        <v>14</v>
      </c>
      <c r="AY226" s="1098">
        <f>IFERROR(ESS_DATA[[#This Row],[ODP ETA Port]]+ESS_DATA[[#This Row],[Customs/Leg3 Assumption]],"n/a")</f>
        <v>46299</v>
      </c>
      <c r="AZ226" s="1097">
        <f>YEAR(ESS_DATA[[#This Row],[ETA for New Ark update]])</f>
        <v>2026</v>
      </c>
      <c r="BA226" s="1097">
        <f>MONTH(ESS_DATA[[#This Row],[ETA for New Ark update]])</f>
        <v>10</v>
      </c>
      <c r="BB226" s="1097">
        <f>IFERROR(_xlfn.ISOWEEKNUM(ESS_DATA[[#This Row],[ETA for New Ark update]]),0)</f>
        <v>40</v>
      </c>
      <c r="BC226" s="1097" t="str">
        <f>_xlfn.XLOOKUP(ESS_DATA[[#This Row],[PORT DESTINATION]],Table12[PORT DESTINATION],Table12[Cosco Line],,0)</f>
        <v>n/a</v>
      </c>
      <c r="BD226" s="1097"/>
      <c r="BE226" s="1102"/>
      <c r="BF226" s="1102"/>
      <c r="BG226" s="1102"/>
      <c r="BH226" s="1102"/>
      <c r="BI226" s="1102"/>
    </row>
    <row r="227" spans="1:61" s="1083" customFormat="1" ht="19.5" customHeight="1">
      <c r="A227" s="311" t="s">
        <v>8443</v>
      </c>
      <c r="B227" s="313" t="s">
        <v>8444</v>
      </c>
      <c r="C227" s="313" t="str">
        <f>IFERROR(LEFT(ESS_DATA[[#This Row],[TCL REFERENCE]],FIND(".",ESS_DATA[[#This Row],[TCL REFERENCE]],1)-1),"Main Line")</f>
        <v>Main Line</v>
      </c>
      <c r="D227" s="1149" t="s">
        <v>68</v>
      </c>
      <c r="E227" s="1149" t="s">
        <v>68</v>
      </c>
      <c r="F227" s="1149" t="s">
        <v>68</v>
      </c>
      <c r="G227" s="313"/>
      <c r="H227" s="316" t="s">
        <v>8019</v>
      </c>
      <c r="I227" s="1104"/>
      <c r="J227" s="313"/>
      <c r="K227" s="313"/>
      <c r="L227" s="314"/>
      <c r="M227" s="315"/>
      <c r="N227" s="1353" t="s">
        <v>8445</v>
      </c>
      <c r="O227" s="322" t="s">
        <v>7829</v>
      </c>
      <c r="P227" s="1105" t="s">
        <v>8446</v>
      </c>
      <c r="Q227" s="1359"/>
      <c r="R227" s="317">
        <v>84</v>
      </c>
      <c r="S227" s="269"/>
      <c r="T227" s="31"/>
      <c r="U227" s="324">
        <f>ESS_DATA[[#This Row],[QUANTITY]]/200</f>
        <v>0.42</v>
      </c>
      <c r="V227" s="408" t="s">
        <v>8447</v>
      </c>
      <c r="W227" s="313" t="s">
        <v>8448</v>
      </c>
      <c r="X227" s="316" t="str">
        <f t="shared" ref="X227:X243" si="14">IF(AL227&lt;&gt;"","COMPLETED",IF(AI227&lt;&gt;"","IN-TRANSIT",""))</f>
        <v/>
      </c>
      <c r="Y227" s="320">
        <v>46324</v>
      </c>
      <c r="Z227" s="320"/>
      <c r="AA227" s="321">
        <f>WEEKNUM(ESS_DATA[[#This Row],[Pick-Up Date]])</f>
        <v>0</v>
      </c>
      <c r="AB227" s="320" t="s">
        <v>8449</v>
      </c>
      <c r="AC227" s="31"/>
      <c r="AD227" s="313" t="s">
        <v>122</v>
      </c>
      <c r="AE227" s="313" t="s">
        <v>122</v>
      </c>
      <c r="AF227" s="313" t="s">
        <v>8450</v>
      </c>
      <c r="AG227" s="320"/>
      <c r="AH227" s="320"/>
      <c r="AI227" s="320"/>
      <c r="AJ227" s="320"/>
      <c r="AK227" s="320"/>
      <c r="AL227" s="320"/>
      <c r="AM227" s="322" t="s">
        <v>402</v>
      </c>
      <c r="AN227" s="320"/>
      <c r="AO227" s="320" t="s">
        <v>161</v>
      </c>
      <c r="AP227" s="320" t="s">
        <v>8449</v>
      </c>
      <c r="AQ227" s="313"/>
      <c r="AR227" s="313"/>
      <c r="AS227" s="313">
        <f>ESS_DATA[[#This Row],[ETA On S/O]]-ESS_DATA[[#This Row],[ETD On S/O]]+1</f>
        <v>1</v>
      </c>
      <c r="AT227" s="313"/>
      <c r="AU227" s="320" cm="1">
        <f t="array" ref="AU22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0</v>
      </c>
      <c r="AV227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27" s="1150" t="str">
        <f>IF(ISERROR(ESS_DATA[[#This Row],[New Ark PO status]]),"",_xlfn.XLOOKUP(ESS_DATA[[#This Row],[SPTN-PVHK New Ark PO'#]],New_Ark_Data[Purchase order Number],New_Ark_Data[Estimated time of arrival],"",0))</f>
        <v/>
      </c>
      <c r="AX227" s="313">
        <f>IF(ESS_DATA[[#This Row],[New Ark PO Type]]="Offshore",0,IFERROR(VLOOKUP(ESS_DATA[[#This Row],[PORT OF LOADING]]&amp;ESS_DATA[[#This Row],[PORT DESTINATION]],LT_REF[],7,0),14))</f>
        <v>14</v>
      </c>
      <c r="AY227" s="320">
        <f>IFERROR(ESS_DATA[[#This Row],[ODP ETA Port]]+ESS_DATA[[#This Row],[Customs/Leg3 Assumption]],"n/a")</f>
        <v>14</v>
      </c>
      <c r="AZ227" s="316">
        <f>YEAR(ESS_DATA[[#This Row],[ETA for New Ark update]])</f>
        <v>1900</v>
      </c>
      <c r="BA227" s="316">
        <f>MONTH(ESS_DATA[[#This Row],[ETA for New Ark update]])</f>
        <v>1</v>
      </c>
      <c r="BB227" s="316">
        <f>IFERROR(_xlfn.ISOWEEKNUM(ESS_DATA[[#This Row],[ETA for New Ark update]]),0)</f>
        <v>2</v>
      </c>
      <c r="BC227" s="316" t="e">
        <f>_xlfn.XLOOKUP(ESS_DATA[[#This Row],[PORT DESTINATION]],Table12[PORT DESTINATION],Table12[Cosco Line],,0)</f>
        <v>#N/A</v>
      </c>
      <c r="BD227" s="316"/>
      <c r="BE227" s="323"/>
      <c r="BF227" s="323"/>
      <c r="BG227" s="323"/>
      <c r="BH227" s="323"/>
      <c r="BI227" s="323"/>
    </row>
    <row r="228" spans="1:61" s="1083" customFormat="1" ht="19.5" customHeight="1">
      <c r="A228" s="311" t="s">
        <v>8451</v>
      </c>
      <c r="B228" s="313" t="s">
        <v>8444</v>
      </c>
      <c r="C228" s="313" t="str">
        <f>IFERROR(LEFT(ESS_DATA[[#This Row],[TCL REFERENCE]],FIND(".",ESS_DATA[[#This Row],[TCL REFERENCE]],1)-1),"Main Line")</f>
        <v>Main Line</v>
      </c>
      <c r="D228" s="1149" t="s">
        <v>68</v>
      </c>
      <c r="E228" s="1149" t="s">
        <v>68</v>
      </c>
      <c r="F228" s="1149" t="s">
        <v>68</v>
      </c>
      <c r="G228" s="313"/>
      <c r="H228" s="316" t="s">
        <v>8019</v>
      </c>
      <c r="I228" s="1104"/>
      <c r="J228" s="313"/>
      <c r="K228" s="313"/>
      <c r="L228" s="314"/>
      <c r="M228" s="315"/>
      <c r="N228" s="1353" t="s">
        <v>8452</v>
      </c>
      <c r="O228" s="322" t="s">
        <v>7829</v>
      </c>
      <c r="P228" s="1105" t="s">
        <v>8453</v>
      </c>
      <c r="Q228" s="407"/>
      <c r="R228" s="376">
        <v>16</v>
      </c>
      <c r="S228" s="269"/>
      <c r="T228" s="31"/>
      <c r="U228" s="324">
        <f>ESS_DATA[[#This Row],[QUANTITY]]/200</f>
        <v>0.08</v>
      </c>
      <c r="V228" s="408" t="s">
        <v>8447</v>
      </c>
      <c r="W228" s="313" t="s">
        <v>8448</v>
      </c>
      <c r="X228" s="316" t="str">
        <f t="shared" si="14"/>
        <v/>
      </c>
      <c r="Y228" s="320">
        <v>46324</v>
      </c>
      <c r="Z228" s="320"/>
      <c r="AA228" s="321">
        <f>WEEKNUM(ESS_DATA[[#This Row],[Pick-Up Date]])</f>
        <v>0</v>
      </c>
      <c r="AB228" s="320" t="s">
        <v>8449</v>
      </c>
      <c r="AC228" s="31"/>
      <c r="AD228" s="313" t="s">
        <v>122</v>
      </c>
      <c r="AE228" s="313" t="s">
        <v>122</v>
      </c>
      <c r="AF228" s="313" t="s">
        <v>8450</v>
      </c>
      <c r="AG228" s="320"/>
      <c r="AH228" s="320"/>
      <c r="AI228" s="320"/>
      <c r="AJ228" s="320"/>
      <c r="AK228" s="320"/>
      <c r="AL228" s="320"/>
      <c r="AM228" s="322" t="s">
        <v>402</v>
      </c>
      <c r="AN228" s="320"/>
      <c r="AO228" s="320" t="s">
        <v>161</v>
      </c>
      <c r="AP228" s="320" t="s">
        <v>8449</v>
      </c>
      <c r="AQ228" s="313"/>
      <c r="AR228" s="313"/>
      <c r="AS228" s="313">
        <f>ESS_DATA[[#This Row],[ETA On S/O]]-ESS_DATA[[#This Row],[ETD On S/O]]+1</f>
        <v>1</v>
      </c>
      <c r="AT228" s="313"/>
      <c r="AU228" s="320" cm="1">
        <f t="array" ref="AU22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0</v>
      </c>
      <c r="AV228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28" s="1150" t="str">
        <f>IF(ISERROR(ESS_DATA[[#This Row],[New Ark PO status]]),"",_xlfn.XLOOKUP(ESS_DATA[[#This Row],[SPTN-PVHK New Ark PO'#]],New_Ark_Data[Purchase order Number],New_Ark_Data[Estimated time of arrival],"",0))</f>
        <v/>
      </c>
      <c r="AX228" s="313">
        <f>IF(ESS_DATA[[#This Row],[New Ark PO Type]]="Offshore",0,IFERROR(VLOOKUP(ESS_DATA[[#This Row],[PORT OF LOADING]]&amp;ESS_DATA[[#This Row],[PORT DESTINATION]],LT_REF[],7,0),14))</f>
        <v>14</v>
      </c>
      <c r="AY228" s="320">
        <f>IFERROR(ESS_DATA[[#This Row],[ODP ETA Port]]+ESS_DATA[[#This Row],[Customs/Leg3 Assumption]],"n/a")</f>
        <v>14</v>
      </c>
      <c r="AZ228" s="316">
        <f>YEAR(ESS_DATA[[#This Row],[ETA for New Ark update]])</f>
        <v>1900</v>
      </c>
      <c r="BA228" s="316">
        <f>MONTH(ESS_DATA[[#This Row],[ETA for New Ark update]])</f>
        <v>1</v>
      </c>
      <c r="BB228" s="316">
        <f>IFERROR(_xlfn.ISOWEEKNUM(ESS_DATA[[#This Row],[ETA for New Ark update]]),0)</f>
        <v>2</v>
      </c>
      <c r="BC228" s="316" t="e">
        <f>_xlfn.XLOOKUP(ESS_DATA[[#This Row],[PORT DESTINATION]],Table12[PORT DESTINATION],Table12[Cosco Line],,0)</f>
        <v>#N/A</v>
      </c>
      <c r="BD228" s="316"/>
      <c r="BE228" s="323"/>
      <c r="BF228" s="323"/>
      <c r="BG228" s="323"/>
      <c r="BH228" s="323"/>
      <c r="BI228" s="323"/>
    </row>
    <row r="229" spans="1:61" s="1083" customFormat="1" ht="19.5" customHeight="1">
      <c r="A229" s="311" t="s">
        <v>8454</v>
      </c>
      <c r="B229" s="313" t="s">
        <v>8444</v>
      </c>
      <c r="C229" s="313" t="str">
        <f>IFERROR(LEFT(ESS_DATA[[#This Row],[TCL REFERENCE]],FIND(".",ESS_DATA[[#This Row],[TCL REFERENCE]],1)-1),"Main Line")</f>
        <v>Main Line</v>
      </c>
      <c r="D229" s="1149" t="s">
        <v>68</v>
      </c>
      <c r="E229" s="1149" t="s">
        <v>68</v>
      </c>
      <c r="F229" s="1149" t="s">
        <v>68</v>
      </c>
      <c r="G229" s="313"/>
      <c r="H229" s="316" t="s">
        <v>8019</v>
      </c>
      <c r="I229" s="1104"/>
      <c r="J229" s="313"/>
      <c r="K229" s="313"/>
      <c r="L229" s="314"/>
      <c r="M229" s="315"/>
      <c r="N229" s="1353" t="s">
        <v>8455</v>
      </c>
      <c r="O229" s="322" t="s">
        <v>7852</v>
      </c>
      <c r="P229" s="1105" t="s">
        <v>8456</v>
      </c>
      <c r="Q229" s="407"/>
      <c r="R229" s="376">
        <v>99</v>
      </c>
      <c r="S229" s="269"/>
      <c r="T229" s="31"/>
      <c r="U229" s="324">
        <f>ESS_DATA[[#This Row],[QUANTITY]]/200</f>
        <v>0.495</v>
      </c>
      <c r="V229" s="408" t="s">
        <v>8447</v>
      </c>
      <c r="W229" s="313" t="s">
        <v>8448</v>
      </c>
      <c r="X229" s="316" t="str">
        <f t="shared" si="14"/>
        <v/>
      </c>
      <c r="Y229" s="320">
        <v>46324</v>
      </c>
      <c r="Z229" s="320"/>
      <c r="AA229" s="321">
        <f>WEEKNUM(ESS_DATA[[#This Row],[Pick-Up Date]])</f>
        <v>0</v>
      </c>
      <c r="AB229" s="320" t="s">
        <v>8449</v>
      </c>
      <c r="AC229" s="31"/>
      <c r="AD229" s="313" t="s">
        <v>122</v>
      </c>
      <c r="AE229" s="313" t="s">
        <v>122</v>
      </c>
      <c r="AF229" s="313" t="s">
        <v>8450</v>
      </c>
      <c r="AG229" s="320"/>
      <c r="AH229" s="320"/>
      <c r="AI229" s="320"/>
      <c r="AJ229" s="320"/>
      <c r="AK229" s="320"/>
      <c r="AL229" s="320"/>
      <c r="AM229" s="322" t="s">
        <v>402</v>
      </c>
      <c r="AN229" s="320"/>
      <c r="AO229" s="320" t="s">
        <v>161</v>
      </c>
      <c r="AP229" s="320">
        <v>502</v>
      </c>
      <c r="AQ229" s="313"/>
      <c r="AR229" s="313"/>
      <c r="AS229" s="313">
        <f>ESS_DATA[[#This Row],[ETA On S/O]]-ESS_DATA[[#This Row],[ETD On S/O]]+1</f>
        <v>1</v>
      </c>
      <c r="AT229" s="313"/>
      <c r="AU229" s="320" cm="1">
        <f t="array" ref="AU22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0</v>
      </c>
      <c r="AV229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29" s="1150" t="str">
        <f>IF(ISERROR(ESS_DATA[[#This Row],[New Ark PO status]]),"",_xlfn.XLOOKUP(ESS_DATA[[#This Row],[SPTN-PVHK New Ark PO'#]],New_Ark_Data[Purchase order Number],New_Ark_Data[Estimated time of arrival],"",0))</f>
        <v/>
      </c>
      <c r="AX229" s="313">
        <f>IF(ESS_DATA[[#This Row],[New Ark PO Type]]="Offshore",0,IFERROR(VLOOKUP(ESS_DATA[[#This Row],[PORT OF LOADING]]&amp;ESS_DATA[[#This Row],[PORT DESTINATION]],LT_REF[],7,0),14))</f>
        <v>14</v>
      </c>
      <c r="AY229" s="320">
        <f>IFERROR(ESS_DATA[[#This Row],[ODP ETA Port]]+ESS_DATA[[#This Row],[Customs/Leg3 Assumption]],"n/a")</f>
        <v>14</v>
      </c>
      <c r="AZ229" s="316">
        <f>YEAR(ESS_DATA[[#This Row],[ETA for New Ark update]])</f>
        <v>1900</v>
      </c>
      <c r="BA229" s="316">
        <f>MONTH(ESS_DATA[[#This Row],[ETA for New Ark update]])</f>
        <v>1</v>
      </c>
      <c r="BB229" s="316">
        <f>IFERROR(_xlfn.ISOWEEKNUM(ESS_DATA[[#This Row],[ETA for New Ark update]]),0)</f>
        <v>2</v>
      </c>
      <c r="BC229" s="316" t="e">
        <f>_xlfn.XLOOKUP(ESS_DATA[[#This Row],[PORT DESTINATION]],Table12[PORT DESTINATION],Table12[Cosco Line],,0)</f>
        <v>#N/A</v>
      </c>
      <c r="BD229" s="316"/>
      <c r="BE229" s="323"/>
      <c r="BF229" s="323"/>
      <c r="BG229" s="323"/>
      <c r="BH229" s="323"/>
      <c r="BI229" s="323"/>
    </row>
    <row r="230" spans="1:61" s="1083" customFormat="1" ht="19.5" customHeight="1">
      <c r="A230" s="311" t="s">
        <v>8457</v>
      </c>
      <c r="B230" s="313" t="s">
        <v>8444</v>
      </c>
      <c r="C230" s="313" t="str">
        <f>IFERROR(LEFT(ESS_DATA[[#This Row],[TCL REFERENCE]],FIND(".",ESS_DATA[[#This Row],[TCL REFERENCE]],1)-1),"Main Line")</f>
        <v>Main Line</v>
      </c>
      <c r="D230" s="1149" t="s">
        <v>68</v>
      </c>
      <c r="E230" s="1149" t="s">
        <v>68</v>
      </c>
      <c r="F230" s="1149" t="s">
        <v>68</v>
      </c>
      <c r="G230" s="313"/>
      <c r="H230" s="312" t="s">
        <v>8019</v>
      </c>
      <c r="I230" s="1104"/>
      <c r="J230" s="313"/>
      <c r="K230" s="313"/>
      <c r="L230" s="314"/>
      <c r="M230" s="315"/>
      <c r="N230" s="1353" t="s">
        <v>8455</v>
      </c>
      <c r="O230" s="322" t="s">
        <v>7852</v>
      </c>
      <c r="P230" s="1105" t="s">
        <v>8456</v>
      </c>
      <c r="Q230" s="407"/>
      <c r="R230" s="317">
        <v>1</v>
      </c>
      <c r="S230" s="269"/>
      <c r="T230" s="31"/>
      <c r="U230" s="324">
        <f>ESS_DATA[[#This Row],[QUANTITY]]/200</f>
        <v>5.0000000000000001E-3</v>
      </c>
      <c r="V230" s="408" t="s">
        <v>8447</v>
      </c>
      <c r="W230" s="313" t="s">
        <v>8448</v>
      </c>
      <c r="X230" s="316" t="str">
        <f t="shared" si="14"/>
        <v/>
      </c>
      <c r="Y230" s="320">
        <v>46324</v>
      </c>
      <c r="Z230" s="320"/>
      <c r="AA230" s="321">
        <f>WEEKNUM(ESS_DATA[[#This Row],[Pick-Up Date]])</f>
        <v>0</v>
      </c>
      <c r="AB230" s="320" t="s">
        <v>8449</v>
      </c>
      <c r="AC230" s="31"/>
      <c r="AD230" s="313" t="s">
        <v>122</v>
      </c>
      <c r="AE230" s="313" t="s">
        <v>122</v>
      </c>
      <c r="AF230" s="313" t="s">
        <v>8450</v>
      </c>
      <c r="AG230" s="320"/>
      <c r="AH230" s="320"/>
      <c r="AI230" s="320"/>
      <c r="AJ230" s="320"/>
      <c r="AK230" s="320"/>
      <c r="AL230" s="320"/>
      <c r="AM230" s="322" t="s">
        <v>402</v>
      </c>
      <c r="AN230" s="320"/>
      <c r="AO230" s="320" t="s">
        <v>161</v>
      </c>
      <c r="AP230" s="320" t="s">
        <v>8449</v>
      </c>
      <c r="AQ230" s="313"/>
      <c r="AR230" s="313"/>
      <c r="AS230" s="313">
        <f>ESS_DATA[[#This Row],[ETA On S/O]]-ESS_DATA[[#This Row],[ETD On S/O]]+1</f>
        <v>1</v>
      </c>
      <c r="AT230" s="313"/>
      <c r="AU230" s="320" cm="1">
        <f t="array" ref="AU23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0</v>
      </c>
      <c r="AV230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30" s="1150" t="str">
        <f>IF(ISERROR(ESS_DATA[[#This Row],[New Ark PO status]]),"",_xlfn.XLOOKUP(ESS_DATA[[#This Row],[SPTN-PVHK New Ark PO'#]],New_Ark_Data[Purchase order Number],New_Ark_Data[Estimated time of arrival],"",0))</f>
        <v/>
      </c>
      <c r="AX230" s="313">
        <f>IF(ESS_DATA[[#This Row],[New Ark PO Type]]="Offshore",0,IFERROR(VLOOKUP(ESS_DATA[[#This Row],[PORT OF LOADING]]&amp;ESS_DATA[[#This Row],[PORT DESTINATION]],LT_REF[],7,0),14))</f>
        <v>14</v>
      </c>
      <c r="AY230" s="320">
        <f>IFERROR(ESS_DATA[[#This Row],[ODP ETA Port]]+ESS_DATA[[#This Row],[Customs/Leg3 Assumption]],"n/a")</f>
        <v>14</v>
      </c>
      <c r="AZ230" s="316">
        <f>YEAR(ESS_DATA[[#This Row],[ETA for New Ark update]])</f>
        <v>1900</v>
      </c>
      <c r="BA230" s="316">
        <f>MONTH(ESS_DATA[[#This Row],[ETA for New Ark update]])</f>
        <v>1</v>
      </c>
      <c r="BB230" s="316">
        <f>IFERROR(_xlfn.ISOWEEKNUM(ESS_DATA[[#This Row],[ETA for New Ark update]]),0)</f>
        <v>2</v>
      </c>
      <c r="BC230" s="316" t="e">
        <f>_xlfn.XLOOKUP(ESS_DATA[[#This Row],[PORT DESTINATION]],Table12[PORT DESTINATION],Table12[Cosco Line],,0)</f>
        <v>#N/A</v>
      </c>
      <c r="BD230" s="316"/>
      <c r="BE230" s="323"/>
      <c r="BF230" s="323"/>
      <c r="BG230" s="323"/>
      <c r="BH230" s="323"/>
      <c r="BI230" s="323"/>
    </row>
    <row r="231" spans="1:61" s="1103" customFormat="1" ht="16.5" customHeight="1">
      <c r="A231" s="1085" t="s">
        <v>8458</v>
      </c>
      <c r="B231" s="1086" t="s">
        <v>8304</v>
      </c>
      <c r="C231" s="1086" t="str">
        <f>IFERROR(LEFT(ESS_DATA[[#This Row],[TCL REFERENCE]],FIND(".",ESS_DATA[[#This Row],[TCL REFERENCE]],1)-1),"Main Line")</f>
        <v>Main Line</v>
      </c>
      <c r="D231" s="1156" t="s">
        <v>68</v>
      </c>
      <c r="E231" s="1087" t="s">
        <v>68</v>
      </c>
      <c r="F231" s="1087" t="s">
        <v>68</v>
      </c>
      <c r="G231" s="1086"/>
      <c r="H231" s="1097" t="s">
        <v>8019</v>
      </c>
      <c r="I231" s="1157"/>
      <c r="J231" s="1086"/>
      <c r="K231" s="1086"/>
      <c r="L231" s="1089"/>
      <c r="M231" s="1090"/>
      <c r="N231" s="1235" t="s">
        <v>8459</v>
      </c>
      <c r="O231" s="1101" t="s">
        <v>8460</v>
      </c>
      <c r="P231" s="1097" t="s">
        <v>8461</v>
      </c>
      <c r="Q231" s="1360"/>
      <c r="R231" s="1088">
        <v>8</v>
      </c>
      <c r="S231" s="1158"/>
      <c r="T231" s="1086"/>
      <c r="U231" s="1095">
        <f>ESS_DATA[[#This Row],[QUANTITY]]/8</f>
        <v>1</v>
      </c>
      <c r="V231" s="1096" t="s">
        <v>8462</v>
      </c>
      <c r="W231" s="1086" t="s">
        <v>8347</v>
      </c>
      <c r="X231" s="1097" t="str">
        <f t="shared" si="14"/>
        <v>COMPLETED</v>
      </c>
      <c r="Y231" s="1098">
        <v>46279</v>
      </c>
      <c r="Z231" s="1098">
        <v>46289</v>
      </c>
      <c r="AA231" s="1099">
        <f>WEEKNUM(ESS_DATA[[#This Row],[Pick-Up Date]])</f>
        <v>39</v>
      </c>
      <c r="AB231" s="1086" t="s">
        <v>8463</v>
      </c>
      <c r="AC231" s="1086"/>
      <c r="AD231" s="1086" t="s">
        <v>8464</v>
      </c>
      <c r="AE231" s="1086" t="s">
        <v>8464</v>
      </c>
      <c r="AF231" s="1086" t="s">
        <v>4790</v>
      </c>
      <c r="AG231" s="1098">
        <v>46295</v>
      </c>
      <c r="AH231" s="1098">
        <v>46295</v>
      </c>
      <c r="AI231" s="1098">
        <v>46295</v>
      </c>
      <c r="AJ231" s="1098">
        <v>46299</v>
      </c>
      <c r="AK231" s="1098">
        <v>46301</v>
      </c>
      <c r="AL231" s="1098">
        <v>46301</v>
      </c>
      <c r="AM231" s="1101" t="s">
        <v>402</v>
      </c>
      <c r="AN231" s="1098" t="s">
        <v>8465</v>
      </c>
      <c r="AO231" s="1098" t="s">
        <v>161</v>
      </c>
      <c r="AP231" s="1098" t="s">
        <v>8463</v>
      </c>
      <c r="AQ231" s="1086">
        <v>277328350</v>
      </c>
      <c r="AR231" s="1086">
        <v>277328350</v>
      </c>
      <c r="AS231" s="1086">
        <f>ESS_DATA[[#This Row],[ETA On S/O]]-ESS_DATA[[#This Row],[ETD On S/O]]+1</f>
        <v>5</v>
      </c>
      <c r="AT231" s="1086"/>
      <c r="AU231" s="1098" cm="1">
        <f t="array" ref="AU23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46301</v>
      </c>
      <c r="AV231" s="1086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31" s="1159" t="str">
        <f>IF(ISERROR(ESS_DATA[[#This Row],[New Ark PO status]]),"",_xlfn.XLOOKUP(ESS_DATA[[#This Row],[SPTN-PVHK New Ark PO'#]],New_Ark_Data[Purchase order Number],New_Ark_Data[Estimated time of arrival],"",0))</f>
        <v/>
      </c>
      <c r="AX231" s="1086">
        <f>IF(ESS_DATA[[#This Row],[New Ark PO Type]]="Offshore",0,IFERROR(VLOOKUP(ESS_DATA[[#This Row],[PORT OF LOADING]]&amp;ESS_DATA[[#This Row],[PORT DESTINATION]],LT_REF[],7,0),14))</f>
        <v>14</v>
      </c>
      <c r="AY231" s="1098">
        <f>IFERROR(ESS_DATA[[#This Row],[ODP ETA Port]]+ESS_DATA[[#This Row],[Customs/Leg3 Assumption]],"n/a")</f>
        <v>46315</v>
      </c>
      <c r="AZ231" s="1097">
        <f>YEAR(ESS_DATA[[#This Row],[ETA for New Ark update]])</f>
        <v>2026</v>
      </c>
      <c r="BA231" s="1097">
        <f>MONTH(ESS_DATA[[#This Row],[ETA for New Ark update]])</f>
        <v>10</v>
      </c>
      <c r="BB231" s="1097">
        <f>IFERROR(_xlfn.ISOWEEKNUM(ESS_DATA[[#This Row],[ETA for New Ark update]]),0)</f>
        <v>43</v>
      </c>
      <c r="BC231" s="1097" t="str">
        <f>_xlfn.XLOOKUP(ESS_DATA[[#This Row],[PORT DESTINATION]],Table12[PORT DESTINATION],Table12[Cosco Line],,0)</f>
        <v>n/a</v>
      </c>
      <c r="BD231" s="1097"/>
      <c r="BE231" s="1102"/>
      <c r="BF231" s="1102"/>
      <c r="BG231" s="1102"/>
      <c r="BH231" s="1102"/>
      <c r="BI231" s="1102"/>
    </row>
    <row r="232" spans="1:61" s="1103" customFormat="1" ht="16.5" customHeight="1">
      <c r="A232" s="1085" t="s">
        <v>8466</v>
      </c>
      <c r="B232" s="1086" t="s">
        <v>8304</v>
      </c>
      <c r="C232" s="1086" t="str">
        <f>IFERROR(LEFT(ESS_DATA[[#This Row],[TCL REFERENCE]],FIND(".",ESS_DATA[[#This Row],[TCL REFERENCE]],1)-1),"Main Line")</f>
        <v>Main Line</v>
      </c>
      <c r="D232" s="1156" t="s">
        <v>68</v>
      </c>
      <c r="E232" s="1087" t="s">
        <v>68</v>
      </c>
      <c r="F232" s="1087" t="s">
        <v>68</v>
      </c>
      <c r="G232" s="1086"/>
      <c r="H232" s="1097" t="s">
        <v>8019</v>
      </c>
      <c r="I232" s="1157"/>
      <c r="J232" s="1086"/>
      <c r="K232" s="1086"/>
      <c r="L232" s="1089"/>
      <c r="M232" s="1090"/>
      <c r="N232" s="1235" t="s">
        <v>8459</v>
      </c>
      <c r="O232" s="1101" t="s">
        <v>8460</v>
      </c>
      <c r="P232" s="1097" t="s">
        <v>8461</v>
      </c>
      <c r="Q232" s="1360"/>
      <c r="R232" s="1088">
        <v>8</v>
      </c>
      <c r="S232" s="1158"/>
      <c r="T232" s="1086"/>
      <c r="U232" s="1095">
        <f>ESS_DATA[[#This Row],[QUANTITY]]/8</f>
        <v>1</v>
      </c>
      <c r="V232" s="1096" t="s">
        <v>8308</v>
      </c>
      <c r="W232" s="1086" t="s">
        <v>8405</v>
      </c>
      <c r="X232" s="1097" t="str">
        <f t="shared" si="14"/>
        <v/>
      </c>
      <c r="Y232" s="1098">
        <v>46315</v>
      </c>
      <c r="Z232" s="1098">
        <v>46321</v>
      </c>
      <c r="AA232" s="1099">
        <f>WEEKNUM(ESS_DATA[[#This Row],[Pick-Up Date]])</f>
        <v>44</v>
      </c>
      <c r="AB232" s="1086" t="s">
        <v>8467</v>
      </c>
      <c r="AC232" s="1086"/>
      <c r="AD232" s="1086" t="s">
        <v>8464</v>
      </c>
      <c r="AE232" s="1086" t="s">
        <v>8464</v>
      </c>
      <c r="AF232" s="1086" t="s">
        <v>8468</v>
      </c>
      <c r="AG232" s="1098">
        <v>46318</v>
      </c>
      <c r="AH232" s="1098">
        <v>46325</v>
      </c>
      <c r="AI232" s="1098"/>
      <c r="AJ232" s="1098">
        <v>46325</v>
      </c>
      <c r="AK232" s="1098">
        <v>46332</v>
      </c>
      <c r="AL232" s="1098"/>
      <c r="AM232" s="1101" t="s">
        <v>402</v>
      </c>
      <c r="AN232" s="1098" t="s">
        <v>8469</v>
      </c>
      <c r="AO232" s="1098" t="s">
        <v>161</v>
      </c>
      <c r="AP232" s="1098" t="s">
        <v>8467</v>
      </c>
      <c r="AQ232" s="1086">
        <v>279061500</v>
      </c>
      <c r="AR232" s="1086">
        <v>279061500</v>
      </c>
      <c r="AS232" s="1086">
        <f>ESS_DATA[[#This Row],[ETA On S/O]]-ESS_DATA[[#This Row],[ETD On S/O]]+1</f>
        <v>8</v>
      </c>
      <c r="AT232" s="1086"/>
      <c r="AU232" s="1098" cm="1">
        <f t="array" ref="AU23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46332</v>
      </c>
      <c r="AV232" s="1086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32" s="1159" t="str">
        <f>IF(ISERROR(ESS_DATA[[#This Row],[New Ark PO status]]),"",_xlfn.XLOOKUP(ESS_DATA[[#This Row],[SPTN-PVHK New Ark PO'#]],New_Ark_Data[Purchase order Number],New_Ark_Data[Estimated time of arrival],"",0))</f>
        <v/>
      </c>
      <c r="AX232" s="1086">
        <f>IF(ESS_DATA[[#This Row],[New Ark PO Type]]="Offshore",0,IFERROR(VLOOKUP(ESS_DATA[[#This Row],[PORT OF LOADING]]&amp;ESS_DATA[[#This Row],[PORT DESTINATION]],LT_REF[],7,0),14))</f>
        <v>14</v>
      </c>
      <c r="AY232" s="1098">
        <f>IFERROR(ESS_DATA[[#This Row],[ODP ETA Port]]+ESS_DATA[[#This Row],[Customs/Leg3 Assumption]],"n/a")</f>
        <v>46346</v>
      </c>
      <c r="AZ232" s="1097">
        <f>YEAR(ESS_DATA[[#This Row],[ETA for New Ark update]])</f>
        <v>2026</v>
      </c>
      <c r="BA232" s="1097">
        <f>MONTH(ESS_DATA[[#This Row],[ETA for New Ark update]])</f>
        <v>11</v>
      </c>
      <c r="BB232" s="1097">
        <f>IFERROR(_xlfn.ISOWEEKNUM(ESS_DATA[[#This Row],[ETA for New Ark update]]),0)</f>
        <v>47</v>
      </c>
      <c r="BC232" s="1097" t="str">
        <f>_xlfn.XLOOKUP(ESS_DATA[[#This Row],[PORT DESTINATION]],Table12[PORT DESTINATION],Table12[Cosco Line],,0)</f>
        <v>n/a</v>
      </c>
      <c r="BD232" s="1097"/>
      <c r="BE232" s="1102"/>
      <c r="BF232" s="1102"/>
      <c r="BG232" s="1102"/>
      <c r="BH232" s="1102"/>
      <c r="BI232" s="1102"/>
    </row>
    <row r="233" spans="1:61" s="1103" customFormat="1" ht="16.5" customHeight="1">
      <c r="A233" s="1085" t="s">
        <v>8470</v>
      </c>
      <c r="B233" s="1086" t="s">
        <v>8304</v>
      </c>
      <c r="C233" s="1086" t="str">
        <f>IFERROR(LEFT(ESS_DATA[[#This Row],[TCL REFERENCE]],FIND(".",ESS_DATA[[#This Row],[TCL REFERENCE]],1)-1),"Main Line")</f>
        <v>Main Line</v>
      </c>
      <c r="D233" s="1156" t="s">
        <v>68</v>
      </c>
      <c r="E233" s="1087" t="s">
        <v>68</v>
      </c>
      <c r="F233" s="1087" t="s">
        <v>68</v>
      </c>
      <c r="G233" s="1086"/>
      <c r="H233" s="1097" t="s">
        <v>8019</v>
      </c>
      <c r="I233" s="1088"/>
      <c r="J233" s="1086"/>
      <c r="K233" s="1086"/>
      <c r="L233" s="1089"/>
      <c r="M233" s="1090"/>
      <c r="N233" s="1379" t="s">
        <v>8471</v>
      </c>
      <c r="O233" s="1101" t="s">
        <v>7829</v>
      </c>
      <c r="P233" s="1093" t="s">
        <v>8422</v>
      </c>
      <c r="Q233" s="1360"/>
      <c r="R233" s="1088">
        <v>72</v>
      </c>
      <c r="S233" s="1158"/>
      <c r="T233" s="1086"/>
      <c r="U233" s="1095">
        <f>ESS_DATA[[#This Row],[QUANTITY]]/120</f>
        <v>0.6</v>
      </c>
      <c r="V233" s="1096" t="s">
        <v>8472</v>
      </c>
      <c r="W233" s="1086" t="s">
        <v>8410</v>
      </c>
      <c r="X233" s="1097" t="str">
        <f t="shared" si="14"/>
        <v/>
      </c>
      <c r="Y233" s="1098">
        <v>46317</v>
      </c>
      <c r="Z233" s="1098">
        <v>46321</v>
      </c>
      <c r="AA233" s="1099">
        <f>WEEKNUM(ESS_DATA[[#This Row],[Pick-Up Date]])</f>
        <v>44</v>
      </c>
      <c r="AB233" s="1086" t="s">
        <v>8473</v>
      </c>
      <c r="AC233" s="1086"/>
      <c r="AD233" s="1086" t="s">
        <v>8464</v>
      </c>
      <c r="AE233" s="1086" t="s">
        <v>8464</v>
      </c>
      <c r="AF233" s="1086" t="s">
        <v>8468</v>
      </c>
      <c r="AG233" s="1098">
        <v>46323</v>
      </c>
      <c r="AH233" s="1098">
        <v>46325</v>
      </c>
      <c r="AI233" s="1098"/>
      <c r="AJ233" s="1098">
        <v>46327</v>
      </c>
      <c r="AK233" s="1098">
        <v>46332</v>
      </c>
      <c r="AL233" s="1098"/>
      <c r="AM233" s="1101" t="s">
        <v>402</v>
      </c>
      <c r="AN233" s="1098" t="s">
        <v>8469</v>
      </c>
      <c r="AO233" s="1098" t="s">
        <v>161</v>
      </c>
      <c r="AP233" s="1098" t="s">
        <v>8473</v>
      </c>
      <c r="AQ233" s="1086">
        <v>279119773</v>
      </c>
      <c r="AR233" s="1086">
        <v>279119773</v>
      </c>
      <c r="AS233" s="1086">
        <f>ESS_DATA[[#This Row],[ETA On S/O]]-ESS_DATA[[#This Row],[ETD On S/O]]+1</f>
        <v>5</v>
      </c>
      <c r="AT233" s="1086"/>
      <c r="AU233" s="1098" cm="1">
        <f t="array" ref="AU23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46332</v>
      </c>
      <c r="AV233" s="1086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33" s="1159" t="str">
        <f>IF(ISERROR(ESS_DATA[[#This Row],[New Ark PO status]]),"",_xlfn.XLOOKUP(ESS_DATA[[#This Row],[SPTN-PVHK New Ark PO'#]],New_Ark_Data[Purchase order Number],New_Ark_Data[Estimated time of arrival],"",0))</f>
        <v/>
      </c>
      <c r="AX233" s="1086">
        <f>IF(ESS_DATA[[#This Row],[New Ark PO Type]]="Offshore",0,IFERROR(VLOOKUP(ESS_DATA[[#This Row],[PORT OF LOADING]]&amp;ESS_DATA[[#This Row],[PORT DESTINATION]],LT_REF[],7,0),14))</f>
        <v>14</v>
      </c>
      <c r="AY233" s="1098">
        <f>IFERROR(ESS_DATA[[#This Row],[ODP ETA Port]]+ESS_DATA[[#This Row],[Customs/Leg3 Assumption]],"n/a")</f>
        <v>46346</v>
      </c>
      <c r="AZ233" s="1097">
        <f>YEAR(ESS_DATA[[#This Row],[ETA for New Ark update]])</f>
        <v>2026</v>
      </c>
      <c r="BA233" s="1097">
        <f>MONTH(ESS_DATA[[#This Row],[ETA for New Ark update]])</f>
        <v>11</v>
      </c>
      <c r="BB233" s="1097">
        <f>IFERROR(_xlfn.ISOWEEKNUM(ESS_DATA[[#This Row],[ETA for New Ark update]]),0)</f>
        <v>47</v>
      </c>
      <c r="BC233" s="1097" t="str">
        <f>_xlfn.XLOOKUP(ESS_DATA[[#This Row],[PORT DESTINATION]],Table12[PORT DESTINATION],Table12[Cosco Line],,0)</f>
        <v>n/a</v>
      </c>
      <c r="BD233" s="1097"/>
      <c r="BE233" s="1102"/>
      <c r="BF233" s="1102"/>
      <c r="BG233" s="1102"/>
      <c r="BH233" s="1102"/>
      <c r="BI233" s="1102"/>
    </row>
    <row r="234" spans="1:61" s="1103" customFormat="1" ht="16.5" customHeight="1">
      <c r="A234" s="1085" t="s">
        <v>8474</v>
      </c>
      <c r="B234" s="1086" t="s">
        <v>8431</v>
      </c>
      <c r="C234" s="1086" t="str">
        <f>IFERROR(LEFT(ESS_DATA[[#This Row],[TCL REFERENCE]],FIND(".",ESS_DATA[[#This Row],[TCL REFERENCE]],1)-1),"Main Line")</f>
        <v>Main Line</v>
      </c>
      <c r="D234" s="1156" t="s">
        <v>68</v>
      </c>
      <c r="E234" s="1087" t="s">
        <v>68</v>
      </c>
      <c r="F234" s="1087" t="s">
        <v>68</v>
      </c>
      <c r="G234" s="1086"/>
      <c r="H234" s="1097" t="s">
        <v>8019</v>
      </c>
      <c r="I234" s="1088"/>
      <c r="J234" s="1086"/>
      <c r="K234" s="1086"/>
      <c r="L234" s="1089"/>
      <c r="M234" s="1090"/>
      <c r="N234" s="1380" t="s">
        <v>8314</v>
      </c>
      <c r="O234" s="1092" t="s">
        <v>8315</v>
      </c>
      <c r="P234" s="1093" t="s">
        <v>8425</v>
      </c>
      <c r="Q234" s="1360"/>
      <c r="R234" s="1088">
        <v>48</v>
      </c>
      <c r="S234" s="1158"/>
      <c r="T234" s="1086"/>
      <c r="U234" s="1095">
        <f>ESS_DATA[[#This Row],[QUANTITY]]/120</f>
        <v>0.4</v>
      </c>
      <c r="V234" s="1096" t="s">
        <v>8472</v>
      </c>
      <c r="W234" s="1086" t="s">
        <v>8410</v>
      </c>
      <c r="X234" s="1097" t="str">
        <f t="shared" si="14"/>
        <v/>
      </c>
      <c r="Y234" s="1098">
        <v>46317</v>
      </c>
      <c r="Z234" s="1098">
        <v>46321</v>
      </c>
      <c r="AA234" s="1099">
        <f>WEEKNUM(ESS_DATA[[#This Row],[Pick-Up Date]])</f>
        <v>44</v>
      </c>
      <c r="AB234" s="1086" t="s">
        <v>8473</v>
      </c>
      <c r="AC234" s="1086"/>
      <c r="AD234" s="1086" t="s">
        <v>8464</v>
      </c>
      <c r="AE234" s="1086" t="s">
        <v>8464</v>
      </c>
      <c r="AF234" s="1086" t="s">
        <v>8468</v>
      </c>
      <c r="AG234" s="1098">
        <v>46323</v>
      </c>
      <c r="AH234" s="1098">
        <v>46325</v>
      </c>
      <c r="AI234" s="1098"/>
      <c r="AJ234" s="1098">
        <v>46327</v>
      </c>
      <c r="AK234" s="1098">
        <v>46332</v>
      </c>
      <c r="AL234" s="1098"/>
      <c r="AM234" s="1101" t="s">
        <v>402</v>
      </c>
      <c r="AN234" s="1098" t="s">
        <v>8469</v>
      </c>
      <c r="AO234" s="1098" t="s">
        <v>161</v>
      </c>
      <c r="AP234" s="1098" t="s">
        <v>8473</v>
      </c>
      <c r="AQ234" s="1086">
        <v>279119773</v>
      </c>
      <c r="AR234" s="1086">
        <v>279119773</v>
      </c>
      <c r="AS234" s="1086">
        <f>ESS_DATA[[#This Row],[ETA On S/O]]-ESS_DATA[[#This Row],[ETD On S/O]]+1</f>
        <v>5</v>
      </c>
      <c r="AT234" s="1086"/>
      <c r="AU234" s="1098" cm="1">
        <f t="array" ref="AU23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46332</v>
      </c>
      <c r="AV234" s="1086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34" s="1159" t="str">
        <f>IF(ISERROR(ESS_DATA[[#This Row],[New Ark PO status]]),"",_xlfn.XLOOKUP(ESS_DATA[[#This Row],[SPTN-PVHK New Ark PO'#]],New_Ark_Data[Purchase order Number],New_Ark_Data[Estimated time of arrival],"",0))</f>
        <v/>
      </c>
      <c r="AX234" s="1086">
        <f>IF(ESS_DATA[[#This Row],[New Ark PO Type]]="Offshore",0,IFERROR(VLOOKUP(ESS_DATA[[#This Row],[PORT OF LOADING]]&amp;ESS_DATA[[#This Row],[PORT DESTINATION]],LT_REF[],7,0),14))</f>
        <v>14</v>
      </c>
      <c r="AY234" s="1098">
        <f>IFERROR(ESS_DATA[[#This Row],[ODP ETA Port]]+ESS_DATA[[#This Row],[Customs/Leg3 Assumption]],"n/a")</f>
        <v>46346</v>
      </c>
      <c r="AZ234" s="1097">
        <f>YEAR(ESS_DATA[[#This Row],[ETA for New Ark update]])</f>
        <v>2026</v>
      </c>
      <c r="BA234" s="1097">
        <f>MONTH(ESS_DATA[[#This Row],[ETA for New Ark update]])</f>
        <v>11</v>
      </c>
      <c r="BB234" s="1097">
        <f>IFERROR(_xlfn.ISOWEEKNUM(ESS_DATA[[#This Row],[ETA for New Ark update]]),0)</f>
        <v>47</v>
      </c>
      <c r="BC234" s="1097" t="str">
        <f>_xlfn.XLOOKUP(ESS_DATA[[#This Row],[PORT DESTINATION]],Table12[PORT DESTINATION],Table12[Cosco Line],,0)</f>
        <v>n/a</v>
      </c>
      <c r="BD234" s="1097"/>
      <c r="BE234" s="1102"/>
      <c r="BF234" s="1102"/>
      <c r="BG234" s="1102"/>
      <c r="BH234" s="1102"/>
      <c r="BI234" s="1102"/>
    </row>
    <row r="235" spans="1:61" s="1103" customFormat="1" ht="16.5" customHeight="1">
      <c r="A235" s="1085" t="s">
        <v>8475</v>
      </c>
      <c r="B235" s="1086" t="s">
        <v>8304</v>
      </c>
      <c r="C235" s="1086" t="str">
        <f>IFERROR(LEFT(ESS_DATA[[#This Row],[TCL REFERENCE]],FIND(".",ESS_DATA[[#This Row],[TCL REFERENCE]],1)-1),"Main Line")</f>
        <v>Main Line</v>
      </c>
      <c r="D235" s="1156" t="s">
        <v>68</v>
      </c>
      <c r="E235" s="1087" t="s">
        <v>68</v>
      </c>
      <c r="F235" s="1087" t="s">
        <v>68</v>
      </c>
      <c r="G235" s="1086"/>
      <c r="H235" s="1097" t="s">
        <v>8019</v>
      </c>
      <c r="I235" s="1088"/>
      <c r="J235" s="1086"/>
      <c r="K235" s="1086"/>
      <c r="L235" s="1089"/>
      <c r="M235" s="1090"/>
      <c r="N235" s="1379" t="s">
        <v>8471</v>
      </c>
      <c r="O235" s="1101" t="s">
        <v>7829</v>
      </c>
      <c r="P235" s="1093" t="s">
        <v>8422</v>
      </c>
      <c r="Q235" s="1360"/>
      <c r="R235" s="1088">
        <v>36</v>
      </c>
      <c r="S235" s="1158"/>
      <c r="T235" s="1086"/>
      <c r="U235" s="1095">
        <f>ESS_DATA[[#This Row],[QUANTITY]]/130</f>
        <v>0.27692307692307694</v>
      </c>
      <c r="V235" s="1096" t="s">
        <v>8476</v>
      </c>
      <c r="W235" s="1086" t="s">
        <v>8410</v>
      </c>
      <c r="X235" s="1097" t="str">
        <f t="shared" si="14"/>
        <v/>
      </c>
      <c r="Y235" s="1098">
        <v>46319</v>
      </c>
      <c r="Z235" s="1098">
        <v>46325</v>
      </c>
      <c r="AA235" s="1099">
        <f>WEEKNUM(ESS_DATA[[#This Row],[Pick-Up Date]])</f>
        <v>44</v>
      </c>
      <c r="AB235" s="1086" t="s">
        <v>8477</v>
      </c>
      <c r="AC235" s="1086"/>
      <c r="AD235" s="1086" t="s">
        <v>8464</v>
      </c>
      <c r="AE235" s="1086" t="s">
        <v>8464</v>
      </c>
      <c r="AF235" s="1086" t="s">
        <v>8478</v>
      </c>
      <c r="AG235" s="1098">
        <v>46330</v>
      </c>
      <c r="AH235" s="1098">
        <v>46330</v>
      </c>
      <c r="AI235" s="1098"/>
      <c r="AJ235" s="1098">
        <v>46333</v>
      </c>
      <c r="AK235" s="1098">
        <v>46333</v>
      </c>
      <c r="AL235" s="1098"/>
      <c r="AM235" s="1101" t="s">
        <v>402</v>
      </c>
      <c r="AN235" s="1098" t="s">
        <v>8479</v>
      </c>
      <c r="AO235" s="1098" t="s">
        <v>161</v>
      </c>
      <c r="AP235" s="1098" t="s">
        <v>8477</v>
      </c>
      <c r="AQ235" s="1086">
        <v>279797139</v>
      </c>
      <c r="AR235" s="1086">
        <v>279797139</v>
      </c>
      <c r="AS235" s="1086">
        <f>ESS_DATA[[#This Row],[ETA On S/O]]-ESS_DATA[[#This Row],[ETD On S/O]]+1</f>
        <v>4</v>
      </c>
      <c r="AT235" s="1086"/>
      <c r="AU235" s="1098" cm="1">
        <f t="array" ref="AU23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46333</v>
      </c>
      <c r="AV235" s="1086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35" s="1159" t="str">
        <f>IF(ISERROR(ESS_DATA[[#This Row],[New Ark PO status]]),"",_xlfn.XLOOKUP(ESS_DATA[[#This Row],[SPTN-PVHK New Ark PO'#]],New_Ark_Data[Purchase order Number],New_Ark_Data[Estimated time of arrival],"",0))</f>
        <v/>
      </c>
      <c r="AX235" s="1086">
        <f>IF(ESS_DATA[[#This Row],[New Ark PO Type]]="Offshore",0,IFERROR(VLOOKUP(ESS_DATA[[#This Row],[PORT OF LOADING]]&amp;ESS_DATA[[#This Row],[PORT DESTINATION]],LT_REF[],7,0),14))</f>
        <v>14</v>
      </c>
      <c r="AY235" s="1098">
        <f>IFERROR(ESS_DATA[[#This Row],[ODP ETA Port]]+ESS_DATA[[#This Row],[Customs/Leg3 Assumption]],"n/a")</f>
        <v>46347</v>
      </c>
      <c r="AZ235" s="1097">
        <f>YEAR(ESS_DATA[[#This Row],[ETA for New Ark update]])</f>
        <v>2026</v>
      </c>
      <c r="BA235" s="1097">
        <f>MONTH(ESS_DATA[[#This Row],[ETA for New Ark update]])</f>
        <v>11</v>
      </c>
      <c r="BB235" s="1097">
        <f>IFERROR(_xlfn.ISOWEEKNUM(ESS_DATA[[#This Row],[ETA for New Ark update]]),0)</f>
        <v>47</v>
      </c>
      <c r="BC235" s="1097" t="e">
        <f>_xlfn.XLOOKUP(ESS_DATA[[#This Row],[PORT DESTINATION]],Table12[PORT DESTINATION],Table12[Cosco Line],,0)</f>
        <v>#N/A</v>
      </c>
      <c r="BD235" s="1097"/>
      <c r="BE235" s="1102"/>
      <c r="BF235" s="1102"/>
      <c r="BG235" s="1102"/>
      <c r="BH235" s="1102"/>
      <c r="BI235" s="1102"/>
    </row>
    <row r="236" spans="1:61" s="1103" customFormat="1" ht="16.5" customHeight="1">
      <c r="A236" s="1085" t="s">
        <v>8480</v>
      </c>
      <c r="B236" s="1086" t="s">
        <v>8431</v>
      </c>
      <c r="C236" s="1086" t="str">
        <f>IFERROR(LEFT(ESS_DATA[[#This Row],[TCL REFERENCE]],FIND(".",ESS_DATA[[#This Row],[TCL REFERENCE]],1)-1),"Main Line")</f>
        <v>Main Line</v>
      </c>
      <c r="D236" s="1156" t="s">
        <v>68</v>
      </c>
      <c r="E236" s="1087" t="s">
        <v>68</v>
      </c>
      <c r="F236" s="1087" t="s">
        <v>68</v>
      </c>
      <c r="G236" s="1086"/>
      <c r="H236" s="1097" t="s">
        <v>8019</v>
      </c>
      <c r="I236" s="1088"/>
      <c r="J236" s="1086"/>
      <c r="K236" s="1086"/>
      <c r="L236" s="1089"/>
      <c r="M236" s="1090"/>
      <c r="N236" s="1380" t="s">
        <v>8314</v>
      </c>
      <c r="O236" s="1092" t="s">
        <v>8315</v>
      </c>
      <c r="P236" s="1093" t="s">
        <v>8425</v>
      </c>
      <c r="Q236" s="1360"/>
      <c r="R236" s="1088">
        <v>36</v>
      </c>
      <c r="S236" s="1158"/>
      <c r="T236" s="1086"/>
      <c r="U236" s="1095">
        <f>ESS_DATA[[#This Row],[QUANTITY]]/130</f>
        <v>0.27692307692307694</v>
      </c>
      <c r="V236" s="1096" t="s">
        <v>8476</v>
      </c>
      <c r="W236" s="1086" t="s">
        <v>8410</v>
      </c>
      <c r="X236" s="1097" t="str">
        <f t="shared" si="14"/>
        <v/>
      </c>
      <c r="Y236" s="1098">
        <v>46319</v>
      </c>
      <c r="Z236" s="1098">
        <v>46325</v>
      </c>
      <c r="AA236" s="1099">
        <f>WEEKNUM(ESS_DATA[[#This Row],[Pick-Up Date]])</f>
        <v>44</v>
      </c>
      <c r="AB236" s="1086" t="s">
        <v>8477</v>
      </c>
      <c r="AC236" s="1086"/>
      <c r="AD236" s="1086" t="s">
        <v>8464</v>
      </c>
      <c r="AE236" s="1086" t="s">
        <v>8464</v>
      </c>
      <c r="AF236" s="1086" t="s">
        <v>8478</v>
      </c>
      <c r="AG236" s="1098">
        <v>46330</v>
      </c>
      <c r="AH236" s="1098">
        <v>46330</v>
      </c>
      <c r="AI236" s="1098"/>
      <c r="AJ236" s="1098">
        <v>46333</v>
      </c>
      <c r="AK236" s="1098">
        <v>46333</v>
      </c>
      <c r="AL236" s="1098"/>
      <c r="AM236" s="1101" t="s">
        <v>402</v>
      </c>
      <c r="AN236" s="1098" t="s">
        <v>8479</v>
      </c>
      <c r="AO236" s="1098" t="s">
        <v>161</v>
      </c>
      <c r="AP236" s="1098" t="s">
        <v>8477</v>
      </c>
      <c r="AQ236" s="1086">
        <v>279797139</v>
      </c>
      <c r="AR236" s="1086">
        <v>279797139</v>
      </c>
      <c r="AS236" s="1086">
        <f>ESS_DATA[[#This Row],[ETA On S/O]]-ESS_DATA[[#This Row],[ETD On S/O]]+1</f>
        <v>4</v>
      </c>
      <c r="AT236" s="1086"/>
      <c r="AU236" s="1098" cm="1">
        <f t="array" ref="AU23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46333</v>
      </c>
      <c r="AV236" s="1086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36" s="1159" t="str">
        <f>IF(ISERROR(ESS_DATA[[#This Row],[New Ark PO status]]),"",_xlfn.XLOOKUP(ESS_DATA[[#This Row],[SPTN-PVHK New Ark PO'#]],New_Ark_Data[Purchase order Number],New_Ark_Data[Estimated time of arrival],"",0))</f>
        <v/>
      </c>
      <c r="AX236" s="1086">
        <f>IF(ESS_DATA[[#This Row],[New Ark PO Type]]="Offshore",0,IFERROR(VLOOKUP(ESS_DATA[[#This Row],[PORT OF LOADING]]&amp;ESS_DATA[[#This Row],[PORT DESTINATION]],LT_REF[],7,0),14))</f>
        <v>14</v>
      </c>
      <c r="AY236" s="1098">
        <f>IFERROR(ESS_DATA[[#This Row],[ODP ETA Port]]+ESS_DATA[[#This Row],[Customs/Leg3 Assumption]],"n/a")</f>
        <v>46347</v>
      </c>
      <c r="AZ236" s="1097">
        <f>YEAR(ESS_DATA[[#This Row],[ETA for New Ark update]])</f>
        <v>2026</v>
      </c>
      <c r="BA236" s="1097">
        <f>MONTH(ESS_DATA[[#This Row],[ETA for New Ark update]])</f>
        <v>11</v>
      </c>
      <c r="BB236" s="1097">
        <f>IFERROR(_xlfn.ISOWEEKNUM(ESS_DATA[[#This Row],[ETA for New Ark update]]),0)</f>
        <v>47</v>
      </c>
      <c r="BC236" s="1097" t="e">
        <f>_xlfn.XLOOKUP(ESS_DATA[[#This Row],[PORT DESTINATION]],Table12[PORT DESTINATION],Table12[Cosco Line],,0)</f>
        <v>#N/A</v>
      </c>
      <c r="BD236" s="1097"/>
      <c r="BE236" s="1102"/>
      <c r="BF236" s="1102"/>
      <c r="BG236" s="1102"/>
      <c r="BH236" s="1102"/>
      <c r="BI236" s="1102"/>
    </row>
    <row r="237" spans="1:61" s="1103" customFormat="1" ht="16.5" customHeight="1">
      <c r="A237" s="1085" t="s">
        <v>8481</v>
      </c>
      <c r="B237" s="1086" t="s">
        <v>8431</v>
      </c>
      <c r="C237" s="1086" t="str">
        <f>IFERROR(LEFT(ESS_DATA[[#This Row],[TCL REFERENCE]],FIND(".",ESS_DATA[[#This Row],[TCL REFERENCE]],1)-1),"Main Line")</f>
        <v>Main Line</v>
      </c>
      <c r="D237" s="1156" t="s">
        <v>68</v>
      </c>
      <c r="E237" s="1224" t="s">
        <v>68</v>
      </c>
      <c r="F237" s="1224" t="s">
        <v>68</v>
      </c>
      <c r="G237" s="1086"/>
      <c r="H237" s="1094" t="s">
        <v>8019</v>
      </c>
      <c r="I237" s="1088"/>
      <c r="J237" s="1086"/>
      <c r="K237" s="1086"/>
      <c r="L237" s="1089"/>
      <c r="M237" s="1090"/>
      <c r="N237" s="1381" t="s">
        <v>8318</v>
      </c>
      <c r="O237" s="1092" t="s">
        <v>8319</v>
      </c>
      <c r="P237" s="1093" t="s">
        <v>8429</v>
      </c>
      <c r="Q237" s="1360"/>
      <c r="R237" s="1225">
        <v>36</v>
      </c>
      <c r="S237" s="1158"/>
      <c r="T237" s="1086"/>
      <c r="U237" s="1095">
        <f>ESS_DATA[[#This Row],[QUANTITY]]/130</f>
        <v>0.27692307692307694</v>
      </c>
      <c r="V237" s="1226" t="s">
        <v>8476</v>
      </c>
      <c r="W237" s="1086" t="s">
        <v>8410</v>
      </c>
      <c r="X237" s="1094" t="str">
        <f t="shared" si="14"/>
        <v/>
      </c>
      <c r="Y237" s="1098">
        <v>46319</v>
      </c>
      <c r="Z237" s="1098">
        <v>46325</v>
      </c>
      <c r="AA237" s="1099">
        <f>WEEKNUM(ESS_DATA[[#This Row],[Pick-Up Date]])</f>
        <v>44</v>
      </c>
      <c r="AB237" s="1086" t="s">
        <v>8477</v>
      </c>
      <c r="AC237" s="1086"/>
      <c r="AD237" s="1086" t="s">
        <v>8464</v>
      </c>
      <c r="AE237" s="1086" t="s">
        <v>8464</v>
      </c>
      <c r="AF237" s="1086" t="s">
        <v>8478</v>
      </c>
      <c r="AG237" s="1098">
        <v>46330</v>
      </c>
      <c r="AH237" s="1098">
        <v>46330</v>
      </c>
      <c r="AI237" s="1098"/>
      <c r="AJ237" s="1098">
        <v>46333</v>
      </c>
      <c r="AK237" s="1098">
        <v>46333</v>
      </c>
      <c r="AL237" s="1098"/>
      <c r="AM237" s="1227" t="s">
        <v>402</v>
      </c>
      <c r="AN237" s="1098" t="s">
        <v>8479</v>
      </c>
      <c r="AO237" s="1098" t="s">
        <v>161</v>
      </c>
      <c r="AP237" s="1098" t="s">
        <v>8477</v>
      </c>
      <c r="AQ237" s="1086">
        <v>279797139</v>
      </c>
      <c r="AR237" s="1086">
        <v>279797139</v>
      </c>
      <c r="AS237" s="1086">
        <f>ESS_DATA[[#This Row],[ETA On S/O]]-ESS_DATA[[#This Row],[ETD On S/O]]+1</f>
        <v>4</v>
      </c>
      <c r="AT237" s="1086"/>
      <c r="AU237" s="1098" cm="1">
        <f t="array" ref="AU23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46333</v>
      </c>
      <c r="AV237" s="1086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37" s="1159" t="str">
        <f>IF(ISERROR(ESS_DATA[[#This Row],[New Ark PO status]]),"",_xlfn.XLOOKUP(ESS_DATA[[#This Row],[SPTN-PVHK New Ark PO'#]],New_Ark_Data[Purchase order Number],New_Ark_Data[Estimated time of arrival],"",0))</f>
        <v/>
      </c>
      <c r="AX237" s="1086">
        <f>IF(ESS_DATA[[#This Row],[New Ark PO Type]]="Offshore",0,IFERROR(VLOOKUP(ESS_DATA[[#This Row],[PORT OF LOADING]]&amp;ESS_DATA[[#This Row],[PORT DESTINATION]],LT_REF[],7,0),14))</f>
        <v>14</v>
      </c>
      <c r="AY237" s="1098">
        <f>IFERROR(ESS_DATA[[#This Row],[ODP ETA Port]]+ESS_DATA[[#This Row],[Customs/Leg3 Assumption]],"n/a")</f>
        <v>46347</v>
      </c>
      <c r="AZ237" s="1094">
        <f>YEAR(ESS_DATA[[#This Row],[ETA for New Ark update]])</f>
        <v>2026</v>
      </c>
      <c r="BA237" s="1094">
        <f>MONTH(ESS_DATA[[#This Row],[ETA for New Ark update]])</f>
        <v>11</v>
      </c>
      <c r="BB237" s="1094">
        <f>IFERROR(_xlfn.ISOWEEKNUM(ESS_DATA[[#This Row],[ETA for New Ark update]]),0)</f>
        <v>47</v>
      </c>
      <c r="BC237" s="1094" t="e">
        <f>_xlfn.XLOOKUP(ESS_DATA[[#This Row],[PORT DESTINATION]],Table12[PORT DESTINATION],Table12[Cosco Line],,0)</f>
        <v>#N/A</v>
      </c>
      <c r="BD237" s="1094"/>
      <c r="BE237" s="1102"/>
      <c r="BF237" s="1102"/>
      <c r="BG237" s="1102"/>
      <c r="BH237" s="1102"/>
      <c r="BI237" s="1102"/>
    </row>
    <row r="238" spans="1:61" s="1223" customFormat="1" ht="16.5" customHeight="1">
      <c r="A238" s="1220" t="s">
        <v>8482</v>
      </c>
      <c r="B238" s="1097" t="s">
        <v>8431</v>
      </c>
      <c r="C238" s="1097" t="str">
        <f>IFERROR(LEFT(ESS_DATA[[#This Row],[TCL REFERENCE]],FIND(".",ESS_DATA[[#This Row],[TCL REFERENCE]],1)-1),"Main Line")</f>
        <v>Main Line</v>
      </c>
      <c r="D238" s="1087" t="s">
        <v>68</v>
      </c>
      <c r="E238" s="1087"/>
      <c r="F238" s="1087" t="s">
        <v>68</v>
      </c>
      <c r="G238" s="1097"/>
      <c r="H238" s="1097" t="s">
        <v>8019</v>
      </c>
      <c r="I238" s="260"/>
      <c r="J238" s="1215"/>
      <c r="K238" s="1215"/>
      <c r="L238" s="1216"/>
      <c r="M238" s="1217"/>
      <c r="N238" s="1355" t="s">
        <v>8483</v>
      </c>
      <c r="O238" s="1101" t="s">
        <v>8484</v>
      </c>
      <c r="P238" s="1233" t="s">
        <v>8485</v>
      </c>
      <c r="Q238" s="1361"/>
      <c r="R238" s="1219">
        <v>5</v>
      </c>
      <c r="S238" s="1218"/>
      <c r="T238" s="1215"/>
      <c r="U238" s="1095">
        <f>ESS_DATA[[#This Row],[QUANTITY]]/130</f>
        <v>3.8461538461538464E-2</v>
      </c>
      <c r="V238" s="1096" t="s">
        <v>8476</v>
      </c>
      <c r="W238" s="1086" t="s">
        <v>8410</v>
      </c>
      <c r="X238" s="1097" t="str">
        <f>IF(AL238&lt;&gt;"","COMPLETED",IF(AI238&lt;&gt;"","IN-TRANSIT",""))</f>
        <v/>
      </c>
      <c r="Y238" s="1098">
        <v>46319</v>
      </c>
      <c r="Z238" s="1098">
        <v>46325</v>
      </c>
      <c r="AA238" s="1219">
        <f>WEEKNUM(ESS_DATA[[#This Row],[Pick-Up Date]])</f>
        <v>44</v>
      </c>
      <c r="AB238" s="1220" t="s">
        <v>8477</v>
      </c>
      <c r="AC238" s="1282"/>
      <c r="AD238" s="1086" t="s">
        <v>8464</v>
      </c>
      <c r="AE238" s="1086" t="s">
        <v>8464</v>
      </c>
      <c r="AF238" s="1086" t="s">
        <v>8478</v>
      </c>
      <c r="AG238" s="1098">
        <v>46330</v>
      </c>
      <c r="AH238" s="1098">
        <v>46330</v>
      </c>
      <c r="AI238" s="1098"/>
      <c r="AJ238" s="1098">
        <v>46333</v>
      </c>
      <c r="AK238" s="1098">
        <v>46333</v>
      </c>
      <c r="AL238" s="1221"/>
      <c r="AM238" s="1227" t="s">
        <v>402</v>
      </c>
      <c r="AN238" s="1098" t="s">
        <v>8479</v>
      </c>
      <c r="AO238" s="1098" t="s">
        <v>161</v>
      </c>
      <c r="AP238" s="1098" t="s">
        <v>8477</v>
      </c>
      <c r="AQ238" s="1086">
        <v>279797139</v>
      </c>
      <c r="AR238" s="1086">
        <v>279797139</v>
      </c>
      <c r="AS238" s="1220">
        <f>ESS_DATA[[#This Row],[ETA On S/O]]-ESS_DATA[[#This Row],[ETD On S/O]]+1</f>
        <v>4</v>
      </c>
      <c r="AT238" s="1220"/>
      <c r="AU238" s="1101" cm="1">
        <f t="array" ref="AU23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46333</v>
      </c>
      <c r="AV238" s="1220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38" s="1222" t="str">
        <f>IF(ISERROR(ESS_DATA[[#This Row],[New Ark PO status]]),"",_xlfn.XLOOKUP(ESS_DATA[[#This Row],[SPTN-PVHK New Ark PO'#]],New_Ark_Data[Purchase order Number],New_Ark_Data[Estimated time of arrival],"",0))</f>
        <v/>
      </c>
      <c r="AX238" s="1097">
        <f>IF(ESS_DATA[[#This Row],[New Ark PO Type]]="Offshore",0,IFERROR(VLOOKUP(ESS_DATA[[#This Row],[PORT OF LOADING]]&amp;ESS_DATA[[#This Row],[PORT DESTINATION]],LT_REF[],7,0),14))</f>
        <v>14</v>
      </c>
      <c r="AY238" s="1221">
        <f>IFERROR(ESS_DATA[[#This Row],[ODP ETA Port]]+ESS_DATA[[#This Row],[Customs/Leg3 Assumption]],"n/a")</f>
        <v>46347</v>
      </c>
      <c r="AZ238" s="1220">
        <f>YEAR(ESS_DATA[[#This Row],[ETA for New Ark update]])</f>
        <v>2026</v>
      </c>
      <c r="BA238" s="1220">
        <f>MONTH(ESS_DATA[[#This Row],[ETA for New Ark update]])</f>
        <v>11</v>
      </c>
      <c r="BB238" s="1220">
        <f>IFERROR(_xlfn.ISOWEEKNUM(ESS_DATA[[#This Row],[ETA for New Ark update]]),0)</f>
        <v>47</v>
      </c>
      <c r="BC238" s="1220" t="e">
        <f>_xlfn.XLOOKUP(ESS_DATA[[#This Row],[PORT DESTINATION]],Table12[PORT DESTINATION],Table12[Cosco Line],,0)</f>
        <v>#N/A</v>
      </c>
      <c r="BD238" s="1220"/>
      <c r="BE238" s="1097"/>
      <c r="BF238" s="1097"/>
      <c r="BG238" s="1097"/>
      <c r="BH238" s="1097"/>
      <c r="BI238" s="1097"/>
    </row>
    <row r="239" spans="1:61" s="1223" customFormat="1" ht="16.5" customHeight="1">
      <c r="A239" s="1220" t="s">
        <v>8486</v>
      </c>
      <c r="B239" s="1097" t="s">
        <v>8431</v>
      </c>
      <c r="C239" s="1097" t="str">
        <f>IFERROR(LEFT(ESS_DATA[[#This Row],[TCL REFERENCE]],FIND(".",ESS_DATA[[#This Row],[TCL REFERENCE]],1)-1),"Main Line")</f>
        <v>Main Line</v>
      </c>
      <c r="D239" s="1087" t="s">
        <v>68</v>
      </c>
      <c r="E239" s="1087"/>
      <c r="F239" s="1087" t="s">
        <v>68</v>
      </c>
      <c r="G239" s="1097"/>
      <c r="H239" s="1097" t="s">
        <v>8019</v>
      </c>
      <c r="I239" s="260"/>
      <c r="J239" s="1215"/>
      <c r="K239" s="1215"/>
      <c r="L239" s="1216"/>
      <c r="M239" s="1217"/>
      <c r="N239" s="1355" t="s">
        <v>8487</v>
      </c>
      <c r="O239" s="1101" t="s">
        <v>8488</v>
      </c>
      <c r="P239" s="1233" t="s">
        <v>8489</v>
      </c>
      <c r="Q239" s="1361"/>
      <c r="R239" s="1219">
        <v>5</v>
      </c>
      <c r="S239" s="1218"/>
      <c r="T239" s="1215"/>
      <c r="U239" s="1095">
        <f>ESS_DATA[[#This Row],[QUANTITY]]/130</f>
        <v>3.8461538461538464E-2</v>
      </c>
      <c r="V239" s="1226" t="s">
        <v>8476</v>
      </c>
      <c r="W239" s="1086" t="s">
        <v>8410</v>
      </c>
      <c r="X239" s="1097" t="str">
        <f>IF(AL239&lt;&gt;"","COMPLETED",IF(AI239&lt;&gt;"","IN-TRANSIT",""))</f>
        <v/>
      </c>
      <c r="Y239" s="1098">
        <v>46319</v>
      </c>
      <c r="Z239" s="1098">
        <v>46325</v>
      </c>
      <c r="AA239" s="1219">
        <f>WEEKNUM(ESS_DATA[[#This Row],[Pick-Up Date]])</f>
        <v>44</v>
      </c>
      <c r="AB239" s="1220" t="s">
        <v>8477</v>
      </c>
      <c r="AC239" s="1282"/>
      <c r="AD239" s="1086" t="s">
        <v>8464</v>
      </c>
      <c r="AE239" s="1086" t="s">
        <v>8464</v>
      </c>
      <c r="AF239" s="1086" t="s">
        <v>8478</v>
      </c>
      <c r="AG239" s="1098">
        <v>46330</v>
      </c>
      <c r="AH239" s="1098">
        <v>46330</v>
      </c>
      <c r="AI239" s="1098"/>
      <c r="AJ239" s="1098">
        <v>46333</v>
      </c>
      <c r="AK239" s="1098">
        <v>46333</v>
      </c>
      <c r="AL239" s="1221"/>
      <c r="AM239" s="1227" t="s">
        <v>402</v>
      </c>
      <c r="AN239" s="1098" t="s">
        <v>8479</v>
      </c>
      <c r="AO239" s="1098" t="s">
        <v>161</v>
      </c>
      <c r="AP239" s="1098" t="s">
        <v>8477</v>
      </c>
      <c r="AQ239" s="1086">
        <v>279797139</v>
      </c>
      <c r="AR239" s="1086">
        <v>279797139</v>
      </c>
      <c r="AS239" s="1220">
        <f>ESS_DATA[[#This Row],[ETA On S/O]]-ESS_DATA[[#This Row],[ETD On S/O]]+1</f>
        <v>4</v>
      </c>
      <c r="AT239" s="1220"/>
      <c r="AU239" s="1101" cm="1">
        <f t="array" ref="AU23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46333</v>
      </c>
      <c r="AV239" s="1220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39" s="1222" t="str">
        <f>IF(ISERROR(ESS_DATA[[#This Row],[New Ark PO status]]),"",_xlfn.XLOOKUP(ESS_DATA[[#This Row],[SPTN-PVHK New Ark PO'#]],New_Ark_Data[Purchase order Number],New_Ark_Data[Estimated time of arrival],"",0))</f>
        <v/>
      </c>
      <c r="AX239" s="1097">
        <f>IF(ESS_DATA[[#This Row],[New Ark PO Type]]="Offshore",0,IFERROR(VLOOKUP(ESS_DATA[[#This Row],[PORT OF LOADING]]&amp;ESS_DATA[[#This Row],[PORT DESTINATION]],LT_REF[],7,0),14))</f>
        <v>14</v>
      </c>
      <c r="AY239" s="1221">
        <f>IFERROR(ESS_DATA[[#This Row],[ODP ETA Port]]+ESS_DATA[[#This Row],[Customs/Leg3 Assumption]],"n/a")</f>
        <v>46347</v>
      </c>
      <c r="AZ239" s="1220">
        <f>YEAR(ESS_DATA[[#This Row],[ETA for New Ark update]])</f>
        <v>2026</v>
      </c>
      <c r="BA239" s="1220">
        <f>MONTH(ESS_DATA[[#This Row],[ETA for New Ark update]])</f>
        <v>11</v>
      </c>
      <c r="BB239" s="1220">
        <f>IFERROR(_xlfn.ISOWEEKNUM(ESS_DATA[[#This Row],[ETA for New Ark update]]),0)</f>
        <v>47</v>
      </c>
      <c r="BC239" s="1220" t="e">
        <f>_xlfn.XLOOKUP(ESS_DATA[[#This Row],[PORT DESTINATION]],Table12[PORT DESTINATION],Table12[Cosco Line],,0)</f>
        <v>#N/A</v>
      </c>
      <c r="BD239" s="1220"/>
      <c r="BE239" s="1097"/>
      <c r="BF239" s="1097"/>
      <c r="BG239" s="1097"/>
      <c r="BH239" s="1097"/>
      <c r="BI239" s="1097"/>
    </row>
    <row r="240" spans="1:61" s="1345" customFormat="1" ht="16.5" customHeight="1">
      <c r="A240" s="1339" t="s">
        <v>8490</v>
      </c>
      <c r="B240" s="1094" t="s">
        <v>8431</v>
      </c>
      <c r="C240" s="1094" t="str">
        <f>IFERROR(LEFT(ESS_DATA[[#This Row],[TCL REFERENCE]],FIND(".",ESS_DATA[[#This Row],[TCL REFERENCE]],1)-1),"Main Line")</f>
        <v>Main Line</v>
      </c>
      <c r="D240" s="1224" t="s">
        <v>68</v>
      </c>
      <c r="E240" s="1224"/>
      <c r="F240" s="1224" t="s">
        <v>68</v>
      </c>
      <c r="G240" s="1094"/>
      <c r="H240" s="1094" t="s">
        <v>8019</v>
      </c>
      <c r="I240" s="597"/>
      <c r="J240" s="1215"/>
      <c r="K240" s="1215"/>
      <c r="L240" s="1216"/>
      <c r="M240" s="1217"/>
      <c r="N240" s="1356" t="s">
        <v>8491</v>
      </c>
      <c r="O240" s="1101" t="s">
        <v>8488</v>
      </c>
      <c r="P240" s="1233" t="s">
        <v>8492</v>
      </c>
      <c r="Q240" s="1362"/>
      <c r="R240" s="1340">
        <v>5</v>
      </c>
      <c r="S240" s="1218"/>
      <c r="T240" s="1215"/>
      <c r="U240" s="1095">
        <f>ESS_DATA[[#This Row],[QUANTITY]]/130</f>
        <v>3.8461538461538464E-2</v>
      </c>
      <c r="V240" s="1226" t="s">
        <v>8476</v>
      </c>
      <c r="W240" s="1086" t="s">
        <v>8410</v>
      </c>
      <c r="X240" s="1086" t="str">
        <f>IF(AL240&lt;&gt;"","COMPLETED",IF(AI240&lt;&gt;"","IN-TRANSIT",""))</f>
        <v/>
      </c>
      <c r="Y240" s="1098">
        <v>46319</v>
      </c>
      <c r="Z240" s="1227">
        <v>46325</v>
      </c>
      <c r="AA240" s="1341">
        <f>WEEKNUM(ESS_DATA[[#This Row],[Pick-Up Date]])</f>
        <v>44</v>
      </c>
      <c r="AB240" s="1339" t="s">
        <v>8477</v>
      </c>
      <c r="AC240" s="1282"/>
      <c r="AD240" s="1086" t="s">
        <v>8464</v>
      </c>
      <c r="AE240" s="1086" t="s">
        <v>8464</v>
      </c>
      <c r="AF240" s="1086" t="s">
        <v>8478</v>
      </c>
      <c r="AG240" s="1227">
        <v>46330</v>
      </c>
      <c r="AH240" s="1227">
        <v>46330</v>
      </c>
      <c r="AI240" s="1227"/>
      <c r="AJ240" s="1227">
        <v>46333</v>
      </c>
      <c r="AK240" s="1227">
        <v>46333</v>
      </c>
      <c r="AL240" s="1342"/>
      <c r="AM240" s="1227" t="s">
        <v>402</v>
      </c>
      <c r="AN240" s="1098" t="s">
        <v>8479</v>
      </c>
      <c r="AO240" s="1098" t="s">
        <v>161</v>
      </c>
      <c r="AP240" s="1098" t="s">
        <v>8477</v>
      </c>
      <c r="AQ240" s="1086">
        <v>279797139</v>
      </c>
      <c r="AR240" s="1086">
        <v>279797139</v>
      </c>
      <c r="AS240" s="1339">
        <f>ESS_DATA[[#This Row],[ETA On S/O]]-ESS_DATA[[#This Row],[ETD On S/O]]+1</f>
        <v>4</v>
      </c>
      <c r="AT240" s="1339"/>
      <c r="AU240" s="1227" cm="1">
        <f t="array" ref="AU24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46333</v>
      </c>
      <c r="AV240" s="1339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40" s="1343" t="str">
        <f>IF(ISERROR(ESS_DATA[[#This Row],[New Ark PO status]]),"",_xlfn.XLOOKUP(ESS_DATA[[#This Row],[SPTN-PVHK New Ark PO'#]],New_Ark_Data[Purchase order Number],New_Ark_Data[Estimated time of arrival],"",0))</f>
        <v/>
      </c>
      <c r="AX240" s="1094">
        <f>IF(ESS_DATA[[#This Row],[New Ark PO Type]]="Offshore",0,IFERROR(VLOOKUP(ESS_DATA[[#This Row],[PORT OF LOADING]]&amp;ESS_DATA[[#This Row],[PORT DESTINATION]],LT_REF[],7,0),14))</f>
        <v>14</v>
      </c>
      <c r="AY240" s="1344">
        <f>IFERROR(ESS_DATA[[#This Row],[ODP ETA Port]]+ESS_DATA[[#This Row],[Customs/Leg3 Assumption]],"n/a")</f>
        <v>46347</v>
      </c>
      <c r="AZ240" s="1339">
        <f>YEAR(ESS_DATA[[#This Row],[ETA for New Ark update]])</f>
        <v>2026</v>
      </c>
      <c r="BA240" s="1339">
        <f>MONTH(ESS_DATA[[#This Row],[ETA for New Ark update]])</f>
        <v>11</v>
      </c>
      <c r="BB240" s="1339">
        <f>IFERROR(_xlfn.ISOWEEKNUM(ESS_DATA[[#This Row],[ETA for New Ark update]]),0)</f>
        <v>47</v>
      </c>
      <c r="BC240" s="1339" t="e">
        <f>_xlfn.XLOOKUP(ESS_DATA[[#This Row],[PORT DESTINATION]],Table12[PORT DESTINATION],Table12[Cosco Line],,0)</f>
        <v>#N/A</v>
      </c>
      <c r="BD240" s="1339"/>
      <c r="BE240" s="1094"/>
      <c r="BF240" s="1094"/>
      <c r="BG240" s="1094"/>
      <c r="BH240" s="1094"/>
      <c r="BI240" s="1094"/>
    </row>
    <row r="241" spans="1:61" s="1223" customFormat="1" ht="16.5" customHeight="1">
      <c r="A241" s="1220" t="s">
        <v>8493</v>
      </c>
      <c r="B241" s="1220"/>
      <c r="C241" s="1220" t="str">
        <f>IFERROR(LEFT(ESS_DATA[[#This Row],[TCL REFERENCE]],FIND(".",ESS_DATA[[#This Row],[TCL REFERENCE]],1)-1),"Main Line")</f>
        <v>Main Line</v>
      </c>
      <c r="D241" s="1221"/>
      <c r="E241" s="1101"/>
      <c r="F241" s="1101"/>
      <c r="G241" s="1220"/>
      <c r="H241" s="1097"/>
      <c r="I241" s="1088"/>
      <c r="J241" s="1220"/>
      <c r="K241" s="1220"/>
      <c r="L241" s="1349"/>
      <c r="M241" s="1350"/>
      <c r="N241" s="1235" t="s">
        <v>8432</v>
      </c>
      <c r="O241" s="1101" t="s">
        <v>8494</v>
      </c>
      <c r="P241" s="1220" t="s">
        <v>8434</v>
      </c>
      <c r="Q241" s="1361"/>
      <c r="R241" s="1219">
        <v>7</v>
      </c>
      <c r="S241" s="1219"/>
      <c r="T241" s="1364"/>
      <c r="U241" s="1234">
        <f>ESS_DATA[[#This Row],[QUANTITY]]/130</f>
        <v>5.3846153846153849E-2</v>
      </c>
      <c r="V241" s="1096" t="s">
        <v>8476</v>
      </c>
      <c r="W241" s="1097" t="s">
        <v>8410</v>
      </c>
      <c r="X241" s="1097" t="str">
        <f>IF(AL241&lt;&gt;"","COMPLETED",IF(AI241&lt;&gt;"","IN-TRANSIT",""))</f>
        <v/>
      </c>
      <c r="Y241" s="1101">
        <v>46319</v>
      </c>
      <c r="Z241" s="1101">
        <v>46325</v>
      </c>
      <c r="AA241" s="1219">
        <f>WEEKNUM(ESS_DATA[[#This Row],[Pick-Up Date]])</f>
        <v>44</v>
      </c>
      <c r="AB241" s="1220" t="s">
        <v>8477</v>
      </c>
      <c r="AC241" s="1220"/>
      <c r="AD241" s="1097" t="s">
        <v>8464</v>
      </c>
      <c r="AE241" s="1097" t="s">
        <v>8464</v>
      </c>
      <c r="AF241" s="1097" t="s">
        <v>8478</v>
      </c>
      <c r="AG241" s="1101">
        <v>46330</v>
      </c>
      <c r="AH241" s="1101">
        <v>46330</v>
      </c>
      <c r="AI241" s="1221"/>
      <c r="AJ241" s="1101">
        <v>46333</v>
      </c>
      <c r="AK241" s="1354">
        <v>46333</v>
      </c>
      <c r="AL241" s="1221"/>
      <c r="AM241" s="1101" t="s">
        <v>402</v>
      </c>
      <c r="AN241" s="1101" t="s">
        <v>8479</v>
      </c>
      <c r="AO241" s="1101" t="s">
        <v>161</v>
      </c>
      <c r="AP241" s="1101" t="s">
        <v>8477</v>
      </c>
      <c r="AQ241" s="1097">
        <v>279797139</v>
      </c>
      <c r="AR241" s="1097">
        <v>279797139</v>
      </c>
      <c r="AS241" s="1361">
        <f>ESS_DATA[[#This Row],[ETA On S/O]]-ESS_DATA[[#This Row],[ETD On S/O]]+1</f>
        <v>4</v>
      </c>
      <c r="AT241" s="1220"/>
      <c r="AU241" s="1101" cm="1">
        <f t="array" ref="AU24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46333</v>
      </c>
      <c r="AV241" s="1220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41" s="1222" t="str">
        <f>IF(ISERROR(ESS_DATA[[#This Row],[New Ark PO status]]),"",_xlfn.XLOOKUP(ESS_DATA[[#This Row],[SPTN-PVHK New Ark PO'#]],New_Ark_Data[Purchase order Number],New_Ark_Data[Estimated time of arrival],"",0))</f>
        <v/>
      </c>
      <c r="AX241" s="1097">
        <f>IF(ESS_DATA[[#This Row],[New Ark PO Type]]="Offshore",0,IFERROR(VLOOKUP(ESS_DATA[[#This Row],[PORT OF LOADING]]&amp;ESS_DATA[[#This Row],[PORT DESTINATION]],LT_REF[],7,0),14))</f>
        <v>14</v>
      </c>
      <c r="AY241" s="1221">
        <f>IFERROR(ESS_DATA[[#This Row],[ODP ETA Port]]+ESS_DATA[[#This Row],[Customs/Leg3 Assumption]],"n/a")</f>
        <v>46347</v>
      </c>
      <c r="AZ241" s="1220">
        <f>YEAR(ESS_DATA[[#This Row],[ETA for New Ark update]])</f>
        <v>2026</v>
      </c>
      <c r="BA241" s="1220">
        <f>MONTH(ESS_DATA[[#This Row],[ETA for New Ark update]])</f>
        <v>11</v>
      </c>
      <c r="BB241" s="1220">
        <f>IFERROR(_xlfn.ISOWEEKNUM(ESS_DATA[[#This Row],[ETA for New Ark update]]),0)</f>
        <v>47</v>
      </c>
      <c r="BC241" s="1220" t="e">
        <f>_xlfn.XLOOKUP(ESS_DATA[[#This Row],[PORT DESTINATION]],Table12[PORT DESTINATION],Table12[Cosco Line],,0)</f>
        <v>#N/A</v>
      </c>
      <c r="BD241" s="1220"/>
      <c r="BE241" s="1097"/>
      <c r="BF241" s="1097"/>
      <c r="BG241" s="1097"/>
      <c r="BH241" s="1097"/>
      <c r="BI241" s="1097"/>
    </row>
    <row r="242" spans="1:61" s="613" customFormat="1" ht="16.5" customHeight="1">
      <c r="A242" s="350" t="s">
        <v>8495</v>
      </c>
      <c r="B242" s="1228" t="s">
        <v>8431</v>
      </c>
      <c r="C242" s="1228" t="str">
        <f>IFERROR(LEFT(ESS_DATA[[#This Row],[TCL REFERENCE]],FIND(".",ESS_DATA[[#This Row],[TCL REFERENCE]],1)-1),"Main Line")</f>
        <v>Main Line</v>
      </c>
      <c r="D242" s="1228" t="s">
        <v>63</v>
      </c>
      <c r="E242" s="1272" t="s">
        <v>64</v>
      </c>
      <c r="F242" s="1230" t="str" cm="1">
        <f t="array" ref="F242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Plan-SPNL</v>
      </c>
      <c r="G242" s="1228"/>
      <c r="H242" s="1228"/>
      <c r="I242" s="1283"/>
      <c r="J242" s="1228"/>
      <c r="K242" s="1228"/>
      <c r="L242" s="1346"/>
      <c r="M242" s="1347"/>
      <c r="N242" s="1230" t="s">
        <v>8459</v>
      </c>
      <c r="O242" s="1229" t="s">
        <v>8460</v>
      </c>
      <c r="P242" s="1228" t="s">
        <v>8461</v>
      </c>
      <c r="Q242" s="1231"/>
      <c r="R242" s="1283">
        <v>16</v>
      </c>
      <c r="S242" s="1348"/>
      <c r="T242" s="1228"/>
      <c r="U242" s="1363">
        <f>ESS_DATA[[#This Row],[QUANTITY]]/16</f>
        <v>1</v>
      </c>
      <c r="V242" s="612" t="s">
        <v>8496</v>
      </c>
      <c r="W242" s="343" t="s">
        <v>8405</v>
      </c>
      <c r="X242" s="343" t="str">
        <f t="shared" si="14"/>
        <v>IN-TRANSIT</v>
      </c>
      <c r="Y242" s="349">
        <v>46303</v>
      </c>
      <c r="Z242" s="349">
        <v>46307</v>
      </c>
      <c r="AA242" s="344">
        <f>WEEKNUM(ESS_DATA[[#This Row],[Pick-Up Date]])</f>
        <v>42</v>
      </c>
      <c r="AB242" s="343" t="s">
        <v>8497</v>
      </c>
      <c r="AC242" s="343"/>
      <c r="AD242" s="343" t="s">
        <v>288</v>
      </c>
      <c r="AE242" s="343" t="s">
        <v>288</v>
      </c>
      <c r="AF242" s="343" t="s">
        <v>105</v>
      </c>
      <c r="AG242" s="349">
        <v>46308</v>
      </c>
      <c r="AH242" s="349">
        <v>46314</v>
      </c>
      <c r="AI242" s="349">
        <v>46314</v>
      </c>
      <c r="AJ242" s="349">
        <v>46349</v>
      </c>
      <c r="AK242" s="652">
        <v>46347</v>
      </c>
      <c r="AL242" s="349"/>
      <c r="AM242" s="349" t="s">
        <v>402</v>
      </c>
      <c r="AN242" s="349" t="s">
        <v>8498</v>
      </c>
      <c r="AO242" s="349" t="s">
        <v>161</v>
      </c>
      <c r="AP242" s="349" t="s">
        <v>8499</v>
      </c>
      <c r="AQ242" s="343">
        <v>277702299</v>
      </c>
      <c r="AR242" s="343">
        <v>277702299</v>
      </c>
      <c r="AS242" s="350">
        <f>ESS_DATA[[#This Row],[ETA On S/O]]-ESS_DATA[[#This Row],[ETD On S/O]]+1</f>
        <v>42</v>
      </c>
      <c r="AT242" s="1228"/>
      <c r="AU242" s="1148" cm="1">
        <f t="array" ref="AU24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46347</v>
      </c>
      <c r="AV242" s="1228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42" s="1232" t="str">
        <f>IF(ISERROR(ESS_DATA[[#This Row],[New Ark PO status]]),"",_xlfn.XLOOKUP(ESS_DATA[[#This Row],[SPTN-PVHK New Ark PO'#]],New_Ark_Data[Purchase order Number],New_Ark_Data[Estimated time of arrival],"",0))</f>
        <v/>
      </c>
      <c r="AX242" s="1228">
        <f>IF(ESS_DATA[[#This Row],[New Ark PO Type]]="Offshore",0,IFERROR(VLOOKUP(ESS_DATA[[#This Row],[PORT OF LOADING]]&amp;ESS_DATA[[#This Row],[PORT DESTINATION]],LT_REF[],7,0),14))</f>
        <v>7</v>
      </c>
      <c r="AY242" s="1148">
        <f>IFERROR(ESS_DATA[[#This Row],[ODP ETA Port]]+ESS_DATA[[#This Row],[Customs/Leg3 Assumption]],"n/a")</f>
        <v>46354</v>
      </c>
      <c r="AZ242" s="1230">
        <f>YEAR(ESS_DATA[[#This Row],[ETA for New Ark update]])</f>
        <v>2026</v>
      </c>
      <c r="BA242" s="1230">
        <f>MONTH(ESS_DATA[[#This Row],[ETA for New Ark update]])</f>
        <v>11</v>
      </c>
      <c r="BB242" s="1230">
        <f>IFERROR(_xlfn.ISOWEEKNUM(ESS_DATA[[#This Row],[ETA for New Ark update]]),0)</f>
        <v>48</v>
      </c>
      <c r="BC242" s="1230" t="str">
        <f>_xlfn.XLOOKUP(ESS_DATA[[#This Row],[PORT DESTINATION]],Table12[PORT DESTINATION],Table12[Cosco Line],,0)</f>
        <v>AEU</v>
      </c>
      <c r="BD242" s="1230"/>
      <c r="BE242" s="350"/>
      <c r="BF242" s="350"/>
      <c r="BG242" s="350"/>
      <c r="BH242" s="350"/>
      <c r="BI242" s="350"/>
    </row>
    <row r="243" spans="1:61" s="613" customFormat="1" ht="16.5" customHeight="1">
      <c r="A243" s="351" t="s">
        <v>8500</v>
      </c>
      <c r="B243" s="340" t="s">
        <v>8431</v>
      </c>
      <c r="C243" s="340" t="str">
        <f>IFERROR(LEFT(ESS_DATA[[#This Row],[TCL REFERENCE]],FIND(".",ESS_DATA[[#This Row],[TCL REFERENCE]],1)-1),"Main Line")</f>
        <v>Main Line</v>
      </c>
      <c r="D243" s="340" t="s">
        <v>63</v>
      </c>
      <c r="E243" s="349" t="s">
        <v>64</v>
      </c>
      <c r="F243" s="349"/>
      <c r="G243" s="340"/>
      <c r="H243" s="343"/>
      <c r="I243" s="1165"/>
      <c r="J243" s="340"/>
      <c r="K243" s="340"/>
      <c r="L243" s="341"/>
      <c r="M243" s="342"/>
      <c r="N243" s="343" t="s">
        <v>8501</v>
      </c>
      <c r="O243" s="349" t="s">
        <v>8460</v>
      </c>
      <c r="P243" s="340" t="s">
        <v>8502</v>
      </c>
      <c r="Q243" s="339"/>
      <c r="R243" s="344">
        <v>5</v>
      </c>
      <c r="S243" s="345"/>
      <c r="T243" s="340"/>
      <c r="U243" s="1363"/>
      <c r="V243" s="612"/>
      <c r="W243" s="343"/>
      <c r="X243" s="343" t="str">
        <f t="shared" si="14"/>
        <v/>
      </c>
      <c r="Y243" s="349"/>
      <c r="Z243" s="349"/>
      <c r="AA243" s="344">
        <f>WEEKNUM(ESS_DATA[[#This Row],[Pick-Up Date]])</f>
        <v>0</v>
      </c>
      <c r="AB243" s="343"/>
      <c r="AC243" s="343"/>
      <c r="AD243" s="343"/>
      <c r="AE243" s="343"/>
      <c r="AF243" s="343"/>
      <c r="AG243" s="349"/>
      <c r="AH243" s="349"/>
      <c r="AI243" s="349"/>
      <c r="AJ243" s="349"/>
      <c r="AK243" s="349"/>
      <c r="AL243" s="1372"/>
      <c r="AM243" s="1229"/>
      <c r="AN243" s="1148"/>
      <c r="AO243" s="1148"/>
      <c r="AP243" s="1148"/>
      <c r="AQ243" s="1228"/>
      <c r="AR243" s="1228"/>
      <c r="AS243" s="340">
        <f>ESS_DATA[[#This Row],[ETA On S/O]]-ESS_DATA[[#This Row],[ETD On S/O]]+1</f>
        <v>1</v>
      </c>
      <c r="AT243" s="340"/>
      <c r="AU243" s="347" cm="1">
        <f t="array" ref="AU24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0</v>
      </c>
      <c r="AV243" s="340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43" s="1175" t="str">
        <f>IF(ISERROR(ESS_DATA[[#This Row],[New Ark PO status]]),"",_xlfn.XLOOKUP(ESS_DATA[[#This Row],[SPTN-PVHK New Ark PO'#]],New_Ark_Data[Purchase order Number],New_Ark_Data[Estimated time of arrival],"",0))</f>
        <v/>
      </c>
      <c r="AX243" s="340">
        <f>IF(ESS_DATA[[#This Row],[New Ark PO Type]]="Offshore",0,IFERROR(VLOOKUP(ESS_DATA[[#This Row],[PORT OF LOADING]]&amp;ESS_DATA[[#This Row],[PORT DESTINATION]],LT_REF[],7,0),14))</f>
        <v>14</v>
      </c>
      <c r="AY243" s="347">
        <f>IFERROR(ESS_DATA[[#This Row],[ODP ETA Port]]+ESS_DATA[[#This Row],[Customs/Leg3 Assumption]],"n/a")</f>
        <v>14</v>
      </c>
      <c r="AZ243" s="343">
        <f>YEAR(ESS_DATA[[#This Row],[ETA for New Ark update]])</f>
        <v>1900</v>
      </c>
      <c r="BA243" s="343">
        <f>MONTH(ESS_DATA[[#This Row],[ETA for New Ark update]])</f>
        <v>1</v>
      </c>
      <c r="BB243" s="343">
        <f>IFERROR(_xlfn.ISOWEEKNUM(ESS_DATA[[#This Row],[ETA for New Ark update]]),0)</f>
        <v>2</v>
      </c>
      <c r="BC243" s="343">
        <f>_xlfn.XLOOKUP(ESS_DATA[[#This Row],[PORT DESTINATION]],Table12[PORT DESTINATION],Table12[Cosco Line],,0)</f>
        <v>0</v>
      </c>
      <c r="BD243" s="343"/>
      <c r="BE243" s="350"/>
      <c r="BF243" s="350"/>
      <c r="BG243" s="350"/>
      <c r="BH243" s="350"/>
      <c r="BI243" s="350"/>
    </row>
    <row r="244" spans="1:61" s="886" customFormat="1" ht="15.75" customHeight="1">
      <c r="A244" s="325" t="s">
        <v>8503</v>
      </c>
      <c r="B244" s="327" t="s">
        <v>7814</v>
      </c>
      <c r="C244" s="327" t="str">
        <f>IFERROR(LEFT(ESS_DATA[[#This Row],[TCL REFERENCE]],FIND(".",ESS_DATA[[#This Row],[TCL REFERENCE]],1)-1),"Main Line")</f>
        <v>Main Line</v>
      </c>
      <c r="D244" s="327" t="s">
        <v>63</v>
      </c>
      <c r="E244" s="335" t="s">
        <v>64</v>
      </c>
      <c r="F244" s="326" t="str" cm="1">
        <f t="array" ref="F244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Plan-SPNL</v>
      </c>
      <c r="G244" s="327"/>
      <c r="H244" s="326"/>
      <c r="I244" s="1166"/>
      <c r="J244" s="327"/>
      <c r="K244" s="327"/>
      <c r="L244" s="328"/>
      <c r="M244" s="329"/>
      <c r="N244" s="885" t="s">
        <v>7862</v>
      </c>
      <c r="O244" s="885" t="s">
        <v>7829</v>
      </c>
      <c r="P244" s="885" t="s">
        <v>7863</v>
      </c>
      <c r="Q244" s="354"/>
      <c r="R244" s="331">
        <v>23</v>
      </c>
      <c r="S244" s="332"/>
      <c r="T244" s="327"/>
      <c r="U244" s="1365">
        <f>ESS_DATA[[#This Row],[QUANTITY]]/260</f>
        <v>8.8461538461538466E-2</v>
      </c>
      <c r="V244" s="1366" t="s">
        <v>7854</v>
      </c>
      <c r="W244" s="1367" t="s">
        <v>8367</v>
      </c>
      <c r="X244" s="1368" t="str">
        <f t="shared" ref="X244:X258" si="15">IF(AL244&lt;&gt;"","COMPLETED",IF(AI244&lt;&gt;"","IN-TRANSIT",""))</f>
        <v>IN-TRANSIT</v>
      </c>
      <c r="Y244" s="1369">
        <v>46286</v>
      </c>
      <c r="Z244" s="594">
        <v>46287</v>
      </c>
      <c r="AA244" s="1370">
        <f>WEEKNUM(ESS_DATA[[#This Row],[Pick-Up Date]])</f>
        <v>39</v>
      </c>
      <c r="AB244" s="1371" t="s">
        <v>8504</v>
      </c>
      <c r="AC244" s="336"/>
      <c r="AD244" s="1084" t="s">
        <v>122</v>
      </c>
      <c r="AE244" s="1084" t="s">
        <v>122</v>
      </c>
      <c r="AF244" s="1084" t="s">
        <v>105</v>
      </c>
      <c r="AG244" s="594">
        <v>46290</v>
      </c>
      <c r="AH244" s="594">
        <v>46294</v>
      </c>
      <c r="AI244" s="594">
        <v>46294</v>
      </c>
      <c r="AJ244" s="594">
        <v>46326</v>
      </c>
      <c r="AK244" s="594">
        <v>46338</v>
      </c>
      <c r="AL244" s="333"/>
      <c r="AM244" s="335" t="s">
        <v>402</v>
      </c>
      <c r="AN244" s="333" t="s">
        <v>6844</v>
      </c>
      <c r="AO244" s="333" t="s">
        <v>80</v>
      </c>
      <c r="AP244" s="333" t="s">
        <v>8505</v>
      </c>
      <c r="AQ244" s="327" t="s">
        <v>8506</v>
      </c>
      <c r="AR244" s="327" t="s">
        <v>8506</v>
      </c>
      <c r="AS244" s="327">
        <f>ESS_DATA[[#This Row],[ETA On S/O]]-ESS_DATA[[#This Row],[ETD On S/O]]+1</f>
        <v>37</v>
      </c>
      <c r="AT244" s="327"/>
      <c r="AU244" s="333" cm="1">
        <f t="array" ref="AU24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46338</v>
      </c>
      <c r="AV24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44" s="14" t="str">
        <f>IF(ISERROR(ESS_DATA[[#This Row],[New Ark PO status]]),"",_xlfn.XLOOKUP(ESS_DATA[[#This Row],[SPTN-PVHK New Ark PO'#]],New_Ark_Data[Purchase order Number],New_Ark_Data[Estimated time of arrival],"",0))</f>
        <v/>
      </c>
      <c r="AX244" s="327">
        <f>IF(ESS_DATA[[#This Row],[New Ark PO Type]]="Offshore",0,IFERROR(VLOOKUP(ESS_DATA[[#This Row],[PORT OF LOADING]]&amp;ESS_DATA[[#This Row],[PORT DESTINATION]],LT_REF[],7,0),14))</f>
        <v>7</v>
      </c>
      <c r="AY244" s="333">
        <f>IFERROR(ESS_DATA[[#This Row],[ODP ETA Port]]+ESS_DATA[[#This Row],[Customs/Leg3 Assumption]],"n/a")</f>
        <v>46345</v>
      </c>
      <c r="AZ244" s="326">
        <f>YEAR(ESS_DATA[[#This Row],[ETA for New Ark update]])</f>
        <v>2026</v>
      </c>
      <c r="BA244" s="326">
        <f>MONTH(ESS_DATA[[#This Row],[ETA for New Ark update]])</f>
        <v>11</v>
      </c>
      <c r="BB244" s="326">
        <f>IFERROR(_xlfn.ISOWEEKNUM(ESS_DATA[[#This Row],[ETA for New Ark update]]),0)</f>
        <v>47</v>
      </c>
      <c r="BC244" s="326" t="str">
        <f>_xlfn.XLOOKUP(ESS_DATA[[#This Row],[PORT DESTINATION]],Table12[PORT DESTINATION],Table12[Cosco Line],,0)</f>
        <v>AEU</v>
      </c>
      <c r="BD244" s="326"/>
      <c r="BE244" s="336"/>
      <c r="BF244" s="336"/>
      <c r="BG244" s="336"/>
      <c r="BH244" s="336"/>
      <c r="BI244" s="336"/>
    </row>
    <row r="245" spans="1:61" s="886" customFormat="1" ht="17.25" customHeight="1">
      <c r="A245" s="325" t="s">
        <v>8507</v>
      </c>
      <c r="B245" s="327" t="s">
        <v>7814</v>
      </c>
      <c r="C245" s="327" t="str">
        <f>IFERROR(LEFT(ESS_DATA[[#This Row],[TCL REFERENCE]],FIND(".",ESS_DATA[[#This Row],[TCL REFERENCE]],1)-1),"Main Line")</f>
        <v>Main Line</v>
      </c>
      <c r="D245" s="327" t="s">
        <v>63</v>
      </c>
      <c r="E245" s="335" t="s">
        <v>64</v>
      </c>
      <c r="F245" s="326" t="str" cm="1">
        <f t="array" ref="F245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Plan-SPNL</v>
      </c>
      <c r="G245" s="327"/>
      <c r="H245" s="1084"/>
      <c r="I245" s="331"/>
      <c r="J245" s="327"/>
      <c r="K245" s="327"/>
      <c r="L245" s="328"/>
      <c r="M245" s="329"/>
      <c r="N245" s="885" t="s">
        <v>7862</v>
      </c>
      <c r="O245" s="885" t="s">
        <v>7829</v>
      </c>
      <c r="P245" s="885" t="s">
        <v>7863</v>
      </c>
      <c r="Q245" s="354"/>
      <c r="R245" s="331">
        <v>1</v>
      </c>
      <c r="S245" s="332"/>
      <c r="T245" s="327"/>
      <c r="U245" s="337">
        <f>ESS_DATA[[#This Row],[QUANTITY]]/260</f>
        <v>3.8461538461538464E-3</v>
      </c>
      <c r="V245" s="368" t="s">
        <v>7854</v>
      </c>
      <c r="W245" s="541" t="s">
        <v>8367</v>
      </c>
      <c r="X245" s="326" t="str">
        <f t="shared" si="15"/>
        <v>IN-TRANSIT</v>
      </c>
      <c r="Y245" s="416">
        <v>46286</v>
      </c>
      <c r="Z245" s="333">
        <v>46287</v>
      </c>
      <c r="AA245" s="334">
        <f>WEEKNUM(ESS_DATA[[#This Row],[Pick-Up Date]])</f>
        <v>39</v>
      </c>
      <c r="AB245" s="885" t="s">
        <v>8504</v>
      </c>
      <c r="AC245" s="325"/>
      <c r="AD245" s="327" t="s">
        <v>122</v>
      </c>
      <c r="AE245" s="327" t="s">
        <v>122</v>
      </c>
      <c r="AF245" s="327" t="s">
        <v>105</v>
      </c>
      <c r="AG245" s="333">
        <v>46290</v>
      </c>
      <c r="AH245" s="333">
        <v>46294</v>
      </c>
      <c r="AI245" s="333">
        <v>46294</v>
      </c>
      <c r="AJ245" s="333">
        <v>46326</v>
      </c>
      <c r="AK245" s="333">
        <v>46338</v>
      </c>
      <c r="AL245" s="333"/>
      <c r="AM245" s="335" t="s">
        <v>402</v>
      </c>
      <c r="AN245" s="333" t="s">
        <v>6844</v>
      </c>
      <c r="AO245" s="333" t="s">
        <v>80</v>
      </c>
      <c r="AP245" s="333" t="s">
        <v>8505</v>
      </c>
      <c r="AQ245" s="327" t="s">
        <v>8506</v>
      </c>
      <c r="AR245" s="327" t="s">
        <v>8506</v>
      </c>
      <c r="AS245" s="327">
        <f>ESS_DATA[[#This Row],[ETA On S/O]]-ESS_DATA[[#This Row],[ETD On S/O]]+1</f>
        <v>37</v>
      </c>
      <c r="AT245" s="327"/>
      <c r="AU245" s="333" cm="1">
        <f t="array" ref="AU24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46338</v>
      </c>
      <c r="AV24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45" s="14" t="str">
        <f>IF(ISERROR(ESS_DATA[[#This Row],[New Ark PO status]]),"",_xlfn.XLOOKUP(ESS_DATA[[#This Row],[SPTN-PVHK New Ark PO'#]],New_Ark_Data[Purchase order Number],New_Ark_Data[Estimated time of arrival],"",0))</f>
        <v/>
      </c>
      <c r="AX245" s="327">
        <f>IF(ESS_DATA[[#This Row],[New Ark PO Type]]="Offshore",0,IFERROR(VLOOKUP(ESS_DATA[[#This Row],[PORT OF LOADING]]&amp;ESS_DATA[[#This Row],[PORT DESTINATION]],LT_REF[],7,0),14))</f>
        <v>7</v>
      </c>
      <c r="AY245" s="333">
        <f>IFERROR(ESS_DATA[[#This Row],[ODP ETA Port]]+ESS_DATA[[#This Row],[Customs/Leg3 Assumption]],"n/a")</f>
        <v>46345</v>
      </c>
      <c r="AZ245" s="326">
        <f>YEAR(ESS_DATA[[#This Row],[ETA for New Ark update]])</f>
        <v>2026</v>
      </c>
      <c r="BA245" s="326">
        <f>MONTH(ESS_DATA[[#This Row],[ETA for New Ark update]])</f>
        <v>11</v>
      </c>
      <c r="BB245" s="326">
        <f>IFERROR(_xlfn.ISOWEEKNUM(ESS_DATA[[#This Row],[ETA for New Ark update]]),0)</f>
        <v>47</v>
      </c>
      <c r="BC245" s="326" t="str">
        <f>_xlfn.XLOOKUP(ESS_DATA[[#This Row],[PORT DESTINATION]],Table12[PORT DESTINATION],Table12[Cosco Line],,0)</f>
        <v>AEU</v>
      </c>
      <c r="BD245" s="326"/>
      <c r="BE245" s="336"/>
      <c r="BF245" s="336"/>
      <c r="BG245" s="336"/>
      <c r="BH245" s="336"/>
      <c r="BI245" s="336"/>
    </row>
    <row r="246" spans="1:61" s="886" customFormat="1" ht="15.75" customHeight="1">
      <c r="A246" s="325" t="s">
        <v>8508</v>
      </c>
      <c r="B246" s="327" t="s">
        <v>7814</v>
      </c>
      <c r="C246" s="327" t="str">
        <f>IFERROR(LEFT(ESS_DATA[[#This Row],[TCL REFERENCE]],FIND(".",ESS_DATA[[#This Row],[TCL REFERENCE]],1)-1),"Main Line")</f>
        <v>26OCT002</v>
      </c>
      <c r="D246" s="327" t="s">
        <v>63</v>
      </c>
      <c r="E246" s="335" t="s">
        <v>64</v>
      </c>
      <c r="F246" s="326" t="str" cm="1">
        <f t="array" ref="F246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Plan-SPNL</v>
      </c>
      <c r="G246" s="327"/>
      <c r="H246" s="327"/>
      <c r="I246" s="331"/>
      <c r="J246" s="327"/>
      <c r="K246" s="327"/>
      <c r="L246" s="328"/>
      <c r="M246" s="329"/>
      <c r="N246" s="885" t="s">
        <v>7828</v>
      </c>
      <c r="O246" s="885" t="s">
        <v>7829</v>
      </c>
      <c r="P246" s="885" t="s">
        <v>7830</v>
      </c>
      <c r="Q246" s="354"/>
      <c r="R246" s="331">
        <v>66</v>
      </c>
      <c r="S246" s="332"/>
      <c r="T246" s="327"/>
      <c r="U246" s="337">
        <f>ESS_DATA[[#This Row],[QUANTITY]]/260</f>
        <v>0.25384615384615383</v>
      </c>
      <c r="V246" s="368" t="s">
        <v>7854</v>
      </c>
      <c r="W246" s="541" t="s">
        <v>8367</v>
      </c>
      <c r="X246" s="326" t="str">
        <f t="shared" si="15"/>
        <v>IN-TRANSIT</v>
      </c>
      <c r="Y246" s="416">
        <v>46286</v>
      </c>
      <c r="Z246" s="333">
        <v>46287</v>
      </c>
      <c r="AA246" s="334">
        <f>WEEKNUM(ESS_DATA[[#This Row],[Pick-Up Date]])</f>
        <v>39</v>
      </c>
      <c r="AB246" s="885" t="s">
        <v>8504</v>
      </c>
      <c r="AC246" s="325"/>
      <c r="AD246" s="327" t="s">
        <v>122</v>
      </c>
      <c r="AE246" s="327" t="s">
        <v>122</v>
      </c>
      <c r="AF246" s="327" t="s">
        <v>105</v>
      </c>
      <c r="AG246" s="333">
        <v>46290</v>
      </c>
      <c r="AH246" s="333">
        <v>46294</v>
      </c>
      <c r="AI246" s="333">
        <v>46294</v>
      </c>
      <c r="AJ246" s="333">
        <v>46326</v>
      </c>
      <c r="AK246" s="333">
        <v>46338</v>
      </c>
      <c r="AL246" s="333"/>
      <c r="AM246" s="335" t="s">
        <v>402</v>
      </c>
      <c r="AN246" s="333" t="s">
        <v>6844</v>
      </c>
      <c r="AO246" s="333" t="s">
        <v>80</v>
      </c>
      <c r="AP246" s="333" t="s">
        <v>8505</v>
      </c>
      <c r="AQ246" s="327" t="s">
        <v>8506</v>
      </c>
      <c r="AR246" s="327" t="s">
        <v>8506</v>
      </c>
      <c r="AS246" s="327">
        <f>ESS_DATA[[#This Row],[ETA On S/O]]-ESS_DATA[[#This Row],[ETD On S/O]]+1</f>
        <v>37</v>
      </c>
      <c r="AT246" s="327"/>
      <c r="AU246" s="333" cm="1">
        <f t="array" ref="AU24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46338</v>
      </c>
      <c r="AV24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46" s="14" t="str">
        <f>IF(ISERROR(ESS_DATA[[#This Row],[New Ark PO status]]),"",_xlfn.XLOOKUP(ESS_DATA[[#This Row],[SPTN-PVHK New Ark PO'#]],New_Ark_Data[Purchase order Number],New_Ark_Data[Estimated time of arrival],"",0))</f>
        <v/>
      </c>
      <c r="AX246" s="327">
        <f>IF(ESS_DATA[[#This Row],[New Ark PO Type]]="Offshore",0,IFERROR(VLOOKUP(ESS_DATA[[#This Row],[PORT OF LOADING]]&amp;ESS_DATA[[#This Row],[PORT DESTINATION]],LT_REF[],7,0),14))</f>
        <v>7</v>
      </c>
      <c r="AY246" s="333">
        <f>IFERROR(ESS_DATA[[#This Row],[ODP ETA Port]]+ESS_DATA[[#This Row],[Customs/Leg3 Assumption]],"n/a")</f>
        <v>46345</v>
      </c>
      <c r="AZ246" s="326">
        <f>YEAR(ESS_DATA[[#This Row],[ETA for New Ark update]])</f>
        <v>2026</v>
      </c>
      <c r="BA246" s="326">
        <f>MONTH(ESS_DATA[[#This Row],[ETA for New Ark update]])</f>
        <v>11</v>
      </c>
      <c r="BB246" s="326">
        <f>IFERROR(_xlfn.ISOWEEKNUM(ESS_DATA[[#This Row],[ETA for New Ark update]]),0)</f>
        <v>47</v>
      </c>
      <c r="BC246" s="326" t="str">
        <f>_xlfn.XLOOKUP(ESS_DATA[[#This Row],[PORT DESTINATION]],Table12[PORT DESTINATION],Table12[Cosco Line],,0)</f>
        <v>AEU</v>
      </c>
      <c r="BD246" s="326"/>
      <c r="BE246" s="336"/>
      <c r="BF246" s="336"/>
      <c r="BG246" s="336"/>
      <c r="BH246" s="336"/>
      <c r="BI246" s="336"/>
    </row>
    <row r="247" spans="1:61" s="886" customFormat="1" ht="16.5" customHeight="1">
      <c r="A247" s="325" t="s">
        <v>8509</v>
      </c>
      <c r="B247" s="327" t="s">
        <v>7814</v>
      </c>
      <c r="C247" s="327" t="str">
        <f>IFERROR(LEFT(ESS_DATA[[#This Row],[TCL REFERENCE]],FIND(".",ESS_DATA[[#This Row],[TCL REFERENCE]],1)-1),"Main Line")</f>
        <v>Main Line</v>
      </c>
      <c r="D247" s="327" t="s">
        <v>63</v>
      </c>
      <c r="E247" s="335" t="s">
        <v>64</v>
      </c>
      <c r="F247" s="326" t="str" cm="1">
        <f t="array" ref="F247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Plan-SPNL</v>
      </c>
      <c r="G247" s="327"/>
      <c r="H247" s="327"/>
      <c r="I247" s="331"/>
      <c r="J247" s="327"/>
      <c r="K247" s="327"/>
      <c r="L247" s="328"/>
      <c r="M247" s="329"/>
      <c r="N247" s="885" t="s">
        <v>7828</v>
      </c>
      <c r="O247" s="885" t="s">
        <v>7829</v>
      </c>
      <c r="P247" s="885" t="s">
        <v>7830</v>
      </c>
      <c r="Q247" s="354"/>
      <c r="R247" s="331">
        <v>10</v>
      </c>
      <c r="S247" s="332"/>
      <c r="T247" s="327"/>
      <c r="U247" s="337">
        <f>ESS_DATA[[#This Row],[QUANTITY]]/260</f>
        <v>3.8461538461538464E-2</v>
      </c>
      <c r="V247" s="368" t="s">
        <v>7854</v>
      </c>
      <c r="W247" s="541" t="s">
        <v>8367</v>
      </c>
      <c r="X247" s="326" t="str">
        <f t="shared" si="15"/>
        <v>IN-TRANSIT</v>
      </c>
      <c r="Y247" s="416">
        <v>46286</v>
      </c>
      <c r="Z247" s="333">
        <v>46287</v>
      </c>
      <c r="AA247" s="334">
        <f>WEEKNUM(ESS_DATA[[#This Row],[Pick-Up Date]])</f>
        <v>39</v>
      </c>
      <c r="AB247" s="885" t="s">
        <v>8504</v>
      </c>
      <c r="AC247" s="325"/>
      <c r="AD247" s="327" t="s">
        <v>122</v>
      </c>
      <c r="AE247" s="327" t="s">
        <v>122</v>
      </c>
      <c r="AF247" s="327" t="s">
        <v>105</v>
      </c>
      <c r="AG247" s="333">
        <v>46290</v>
      </c>
      <c r="AH247" s="333">
        <v>46294</v>
      </c>
      <c r="AI247" s="333">
        <v>46294</v>
      </c>
      <c r="AJ247" s="333">
        <v>46326</v>
      </c>
      <c r="AK247" s="333">
        <v>46338</v>
      </c>
      <c r="AL247" s="333"/>
      <c r="AM247" s="335" t="s">
        <v>402</v>
      </c>
      <c r="AN247" s="333" t="s">
        <v>6844</v>
      </c>
      <c r="AO247" s="333" t="s">
        <v>80</v>
      </c>
      <c r="AP247" s="333" t="s">
        <v>8505</v>
      </c>
      <c r="AQ247" s="327" t="s">
        <v>8506</v>
      </c>
      <c r="AR247" s="327" t="s">
        <v>8506</v>
      </c>
      <c r="AS247" s="327">
        <f>ESS_DATA[[#This Row],[ETA On S/O]]-ESS_DATA[[#This Row],[ETD On S/O]]+1</f>
        <v>37</v>
      </c>
      <c r="AT247" s="327"/>
      <c r="AU247" s="333" cm="1">
        <f t="array" ref="AU24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46338</v>
      </c>
      <c r="AV24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47" s="14" t="str">
        <f>IF(ISERROR(ESS_DATA[[#This Row],[New Ark PO status]]),"",_xlfn.XLOOKUP(ESS_DATA[[#This Row],[SPTN-PVHK New Ark PO'#]],New_Ark_Data[Purchase order Number],New_Ark_Data[Estimated time of arrival],"",0))</f>
        <v/>
      </c>
      <c r="AX247" s="327">
        <f>IF(ESS_DATA[[#This Row],[New Ark PO Type]]="Offshore",0,IFERROR(VLOOKUP(ESS_DATA[[#This Row],[PORT OF LOADING]]&amp;ESS_DATA[[#This Row],[PORT DESTINATION]],LT_REF[],7,0),14))</f>
        <v>7</v>
      </c>
      <c r="AY247" s="333">
        <f>IFERROR(ESS_DATA[[#This Row],[ODP ETA Port]]+ESS_DATA[[#This Row],[Customs/Leg3 Assumption]],"n/a")</f>
        <v>46345</v>
      </c>
      <c r="AZ247" s="326">
        <f>YEAR(ESS_DATA[[#This Row],[ETA for New Ark update]])</f>
        <v>2026</v>
      </c>
      <c r="BA247" s="326">
        <f>MONTH(ESS_DATA[[#This Row],[ETA for New Ark update]])</f>
        <v>11</v>
      </c>
      <c r="BB247" s="326">
        <f>IFERROR(_xlfn.ISOWEEKNUM(ESS_DATA[[#This Row],[ETA for New Ark update]]),0)</f>
        <v>47</v>
      </c>
      <c r="BC247" s="326" t="str">
        <f>_xlfn.XLOOKUP(ESS_DATA[[#This Row],[PORT DESTINATION]],Table12[PORT DESTINATION],Table12[Cosco Line],,0)</f>
        <v>AEU</v>
      </c>
      <c r="BD247" s="326"/>
      <c r="BE247" s="336"/>
      <c r="BF247" s="336"/>
      <c r="BG247" s="336"/>
      <c r="BH247" s="336"/>
      <c r="BI247" s="336"/>
    </row>
    <row r="248" spans="1:61" s="886" customFormat="1" ht="17.25" customHeight="1">
      <c r="A248" s="325" t="s">
        <v>8510</v>
      </c>
      <c r="B248" s="327" t="s">
        <v>7814</v>
      </c>
      <c r="C248" s="327" t="str">
        <f>IFERROR(LEFT(ESS_DATA[[#This Row],[TCL REFERENCE]],FIND(".",ESS_DATA[[#This Row],[TCL REFERENCE]],1)-1),"Main Line")</f>
        <v>Main Line</v>
      </c>
      <c r="D248" s="327" t="s">
        <v>63</v>
      </c>
      <c r="E248" s="335" t="s">
        <v>64</v>
      </c>
      <c r="F248" s="326" t="str" cm="1">
        <f t="array" ref="F248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Plan-SPNL</v>
      </c>
      <c r="G248" s="327"/>
      <c r="H248" s="327"/>
      <c r="I248" s="331"/>
      <c r="J248" s="327"/>
      <c r="K248" s="327"/>
      <c r="L248" s="328"/>
      <c r="M248" s="329"/>
      <c r="N248" s="885" t="s">
        <v>7837</v>
      </c>
      <c r="O248" s="885" t="s">
        <v>7829</v>
      </c>
      <c r="P248" s="885" t="s">
        <v>7838</v>
      </c>
      <c r="Q248" s="354"/>
      <c r="R248" s="331">
        <v>29</v>
      </c>
      <c r="S248" s="332"/>
      <c r="T248" s="327"/>
      <c r="U248" s="337">
        <f>ESS_DATA[[#This Row],[QUANTITY]]/260</f>
        <v>0.11153846153846154</v>
      </c>
      <c r="V248" s="368" t="s">
        <v>7854</v>
      </c>
      <c r="W248" s="541" t="s">
        <v>8367</v>
      </c>
      <c r="X248" s="326" t="str">
        <f t="shared" si="15"/>
        <v>IN-TRANSIT</v>
      </c>
      <c r="Y248" s="416">
        <v>46286</v>
      </c>
      <c r="Z248" s="333">
        <v>46287</v>
      </c>
      <c r="AA248" s="334">
        <f>WEEKNUM(ESS_DATA[[#This Row],[Pick-Up Date]])</f>
        <v>39</v>
      </c>
      <c r="AB248" s="885" t="s">
        <v>8504</v>
      </c>
      <c r="AC248" s="325"/>
      <c r="AD248" s="327" t="s">
        <v>122</v>
      </c>
      <c r="AE248" s="327" t="s">
        <v>122</v>
      </c>
      <c r="AF248" s="327" t="s">
        <v>105</v>
      </c>
      <c r="AG248" s="333">
        <v>46290</v>
      </c>
      <c r="AH248" s="333">
        <v>46294</v>
      </c>
      <c r="AI248" s="333">
        <v>46294</v>
      </c>
      <c r="AJ248" s="333">
        <v>46326</v>
      </c>
      <c r="AK248" s="333">
        <v>46338</v>
      </c>
      <c r="AL248" s="333"/>
      <c r="AM248" s="335" t="s">
        <v>402</v>
      </c>
      <c r="AN248" s="333" t="s">
        <v>6844</v>
      </c>
      <c r="AO248" s="333" t="s">
        <v>80</v>
      </c>
      <c r="AP248" s="333" t="s">
        <v>8505</v>
      </c>
      <c r="AQ248" s="327" t="s">
        <v>8506</v>
      </c>
      <c r="AR248" s="327" t="s">
        <v>8506</v>
      </c>
      <c r="AS248" s="327">
        <f>ESS_DATA[[#This Row],[ETA On S/O]]-ESS_DATA[[#This Row],[ETD On S/O]]+1</f>
        <v>37</v>
      </c>
      <c r="AT248" s="327"/>
      <c r="AU248" s="333" cm="1">
        <f t="array" ref="AU24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46338</v>
      </c>
      <c r="AV24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48" s="14" t="str">
        <f>IF(ISERROR(ESS_DATA[[#This Row],[New Ark PO status]]),"",_xlfn.XLOOKUP(ESS_DATA[[#This Row],[SPTN-PVHK New Ark PO'#]],New_Ark_Data[Purchase order Number],New_Ark_Data[Estimated time of arrival],"",0))</f>
        <v/>
      </c>
      <c r="AX248" s="327">
        <f>IF(ESS_DATA[[#This Row],[New Ark PO Type]]="Offshore",0,IFERROR(VLOOKUP(ESS_DATA[[#This Row],[PORT OF LOADING]]&amp;ESS_DATA[[#This Row],[PORT DESTINATION]],LT_REF[],7,0),14))</f>
        <v>7</v>
      </c>
      <c r="AY248" s="333">
        <f>IFERROR(ESS_DATA[[#This Row],[ODP ETA Port]]+ESS_DATA[[#This Row],[Customs/Leg3 Assumption]],"n/a")</f>
        <v>46345</v>
      </c>
      <c r="AZ248" s="326">
        <f>YEAR(ESS_DATA[[#This Row],[ETA for New Ark update]])</f>
        <v>2026</v>
      </c>
      <c r="BA248" s="326">
        <f>MONTH(ESS_DATA[[#This Row],[ETA for New Ark update]])</f>
        <v>11</v>
      </c>
      <c r="BB248" s="326">
        <f>IFERROR(_xlfn.ISOWEEKNUM(ESS_DATA[[#This Row],[ETA for New Ark update]]),0)</f>
        <v>47</v>
      </c>
      <c r="BC248" s="326" t="str">
        <f>_xlfn.XLOOKUP(ESS_DATA[[#This Row],[PORT DESTINATION]],Table12[PORT DESTINATION],Table12[Cosco Line],,0)</f>
        <v>AEU</v>
      </c>
      <c r="BD248" s="326"/>
      <c r="BE248" s="336"/>
      <c r="BF248" s="336"/>
      <c r="BG248" s="336"/>
      <c r="BH248" s="336"/>
      <c r="BI248" s="336"/>
    </row>
    <row r="249" spans="1:61" s="886" customFormat="1" ht="14.25" customHeight="1">
      <c r="A249" s="325" t="s">
        <v>8511</v>
      </c>
      <c r="B249" s="327" t="s">
        <v>7814</v>
      </c>
      <c r="C249" s="327" t="str">
        <f>IFERROR(LEFT(ESS_DATA[[#This Row],[TCL REFERENCE]],FIND(".",ESS_DATA[[#This Row],[TCL REFERENCE]],1)-1),"Main Line")</f>
        <v>Main Line</v>
      </c>
      <c r="D249" s="327" t="s">
        <v>63</v>
      </c>
      <c r="E249" s="335" t="s">
        <v>64</v>
      </c>
      <c r="F249" s="326" t="str" cm="1">
        <f t="array" ref="F249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Plan-SPNL</v>
      </c>
      <c r="G249" s="327"/>
      <c r="H249" s="327"/>
      <c r="I249" s="331"/>
      <c r="J249" s="327"/>
      <c r="K249" s="327"/>
      <c r="L249" s="328"/>
      <c r="M249" s="329"/>
      <c r="N249" s="885" t="s">
        <v>7837</v>
      </c>
      <c r="O249" s="885" t="s">
        <v>7829</v>
      </c>
      <c r="P249" s="885" t="s">
        <v>7838</v>
      </c>
      <c r="Q249" s="354"/>
      <c r="R249" s="331">
        <v>1</v>
      </c>
      <c r="S249" s="332"/>
      <c r="T249" s="327"/>
      <c r="U249" s="337">
        <f>ESS_DATA[[#This Row],[QUANTITY]]/260</f>
        <v>3.8461538461538464E-3</v>
      </c>
      <c r="V249" s="368" t="s">
        <v>7854</v>
      </c>
      <c r="W249" s="541" t="s">
        <v>8367</v>
      </c>
      <c r="X249" s="326" t="str">
        <f t="shared" si="15"/>
        <v>IN-TRANSIT</v>
      </c>
      <c r="Y249" s="416">
        <v>46286</v>
      </c>
      <c r="Z249" s="333">
        <v>46287</v>
      </c>
      <c r="AA249" s="334">
        <f>WEEKNUM(ESS_DATA[[#This Row],[Pick-Up Date]])</f>
        <v>39</v>
      </c>
      <c r="AB249" s="885" t="s">
        <v>8504</v>
      </c>
      <c r="AC249" s="325"/>
      <c r="AD249" s="327" t="s">
        <v>122</v>
      </c>
      <c r="AE249" s="327" t="s">
        <v>122</v>
      </c>
      <c r="AF249" s="327" t="s">
        <v>105</v>
      </c>
      <c r="AG249" s="333">
        <v>46290</v>
      </c>
      <c r="AH249" s="333">
        <v>46294</v>
      </c>
      <c r="AI249" s="333">
        <v>46294</v>
      </c>
      <c r="AJ249" s="333">
        <v>46326</v>
      </c>
      <c r="AK249" s="333">
        <v>46338</v>
      </c>
      <c r="AL249" s="333"/>
      <c r="AM249" s="335" t="s">
        <v>402</v>
      </c>
      <c r="AN249" s="333" t="s">
        <v>6844</v>
      </c>
      <c r="AO249" s="333" t="s">
        <v>80</v>
      </c>
      <c r="AP249" s="333" t="s">
        <v>8505</v>
      </c>
      <c r="AQ249" s="327" t="s">
        <v>8506</v>
      </c>
      <c r="AR249" s="327" t="s">
        <v>8506</v>
      </c>
      <c r="AS249" s="327">
        <f>ESS_DATA[[#This Row],[ETA On S/O]]-ESS_DATA[[#This Row],[ETD On S/O]]+1</f>
        <v>37</v>
      </c>
      <c r="AT249" s="327"/>
      <c r="AU249" s="333" cm="1">
        <f t="array" ref="AU24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46338</v>
      </c>
      <c r="AV24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49" s="14" t="str">
        <f>IF(ISERROR(ESS_DATA[[#This Row],[New Ark PO status]]),"",_xlfn.XLOOKUP(ESS_DATA[[#This Row],[SPTN-PVHK New Ark PO'#]],New_Ark_Data[Purchase order Number],New_Ark_Data[Estimated time of arrival],"",0))</f>
        <v/>
      </c>
      <c r="AX249" s="327">
        <f>IF(ESS_DATA[[#This Row],[New Ark PO Type]]="Offshore",0,IFERROR(VLOOKUP(ESS_DATA[[#This Row],[PORT OF LOADING]]&amp;ESS_DATA[[#This Row],[PORT DESTINATION]],LT_REF[],7,0),14))</f>
        <v>7</v>
      </c>
      <c r="AY249" s="333">
        <f>IFERROR(ESS_DATA[[#This Row],[ODP ETA Port]]+ESS_DATA[[#This Row],[Customs/Leg3 Assumption]],"n/a")</f>
        <v>46345</v>
      </c>
      <c r="AZ249" s="326">
        <f>YEAR(ESS_DATA[[#This Row],[ETA for New Ark update]])</f>
        <v>2026</v>
      </c>
      <c r="BA249" s="326">
        <f>MONTH(ESS_DATA[[#This Row],[ETA for New Ark update]])</f>
        <v>11</v>
      </c>
      <c r="BB249" s="326">
        <f>IFERROR(_xlfn.ISOWEEKNUM(ESS_DATA[[#This Row],[ETA for New Ark update]]),0)</f>
        <v>47</v>
      </c>
      <c r="BC249" s="326" t="str">
        <f>_xlfn.XLOOKUP(ESS_DATA[[#This Row],[PORT DESTINATION]],Table12[PORT DESTINATION],Table12[Cosco Line],,0)</f>
        <v>AEU</v>
      </c>
      <c r="BD249" s="326"/>
      <c r="BE249" s="336"/>
      <c r="BF249" s="336"/>
      <c r="BG249" s="336"/>
      <c r="BH249" s="336"/>
      <c r="BI249" s="336"/>
    </row>
    <row r="250" spans="1:61" s="886" customFormat="1" ht="15.75" customHeight="1">
      <c r="A250" s="325" t="s">
        <v>8512</v>
      </c>
      <c r="B250" s="327" t="s">
        <v>7814</v>
      </c>
      <c r="C250" s="327" t="str">
        <f>IFERROR(LEFT(ESS_DATA[[#This Row],[TCL REFERENCE]],FIND(".",ESS_DATA[[#This Row],[TCL REFERENCE]],1)-1),"Main Line")</f>
        <v>26OCT004</v>
      </c>
      <c r="D250" s="327" t="s">
        <v>63</v>
      </c>
      <c r="E250" s="335" t="s">
        <v>64</v>
      </c>
      <c r="F250" s="326" t="str" cm="1">
        <f t="array" ref="F250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Plan-SPNL</v>
      </c>
      <c r="G250" s="327"/>
      <c r="H250" s="327"/>
      <c r="I250" s="331"/>
      <c r="J250" s="327"/>
      <c r="K250" s="327"/>
      <c r="L250" s="328"/>
      <c r="M250" s="329"/>
      <c r="N250" s="885" t="s">
        <v>7840</v>
      </c>
      <c r="O250" s="885" t="s">
        <v>8037</v>
      </c>
      <c r="P250" s="885" t="s">
        <v>7842</v>
      </c>
      <c r="Q250" s="354"/>
      <c r="R250" s="331">
        <v>119</v>
      </c>
      <c r="S250" s="332"/>
      <c r="T250" s="327"/>
      <c r="U250" s="337">
        <f>ESS_DATA[[#This Row],[QUANTITY]]/260</f>
        <v>0.45769230769230768</v>
      </c>
      <c r="V250" s="368" t="s">
        <v>7854</v>
      </c>
      <c r="W250" s="541" t="s">
        <v>8367</v>
      </c>
      <c r="X250" s="326" t="str">
        <f t="shared" si="15"/>
        <v>IN-TRANSIT</v>
      </c>
      <c r="Y250" s="416">
        <v>46286</v>
      </c>
      <c r="Z250" s="333">
        <v>46287</v>
      </c>
      <c r="AA250" s="334">
        <f>WEEKNUM(ESS_DATA[[#This Row],[Pick-Up Date]])</f>
        <v>39</v>
      </c>
      <c r="AB250" s="885" t="s">
        <v>8504</v>
      </c>
      <c r="AC250" s="325"/>
      <c r="AD250" s="327" t="s">
        <v>122</v>
      </c>
      <c r="AE250" s="327" t="s">
        <v>122</v>
      </c>
      <c r="AF250" s="327" t="s">
        <v>105</v>
      </c>
      <c r="AG250" s="333">
        <v>46290</v>
      </c>
      <c r="AH250" s="333">
        <v>46294</v>
      </c>
      <c r="AI250" s="333">
        <v>46294</v>
      </c>
      <c r="AJ250" s="333">
        <v>46326</v>
      </c>
      <c r="AK250" s="333">
        <v>46338</v>
      </c>
      <c r="AL250" s="333"/>
      <c r="AM250" s="335" t="s">
        <v>402</v>
      </c>
      <c r="AN250" s="333" t="s">
        <v>6844</v>
      </c>
      <c r="AO250" s="333" t="s">
        <v>80</v>
      </c>
      <c r="AP250" s="333" t="s">
        <v>8505</v>
      </c>
      <c r="AQ250" s="327" t="s">
        <v>8506</v>
      </c>
      <c r="AR250" s="327" t="s">
        <v>8506</v>
      </c>
      <c r="AS250" s="327">
        <f>ESS_DATA[[#This Row],[ETA On S/O]]-ESS_DATA[[#This Row],[ETD On S/O]]+1</f>
        <v>37</v>
      </c>
      <c r="AT250" s="327"/>
      <c r="AU250" s="333" cm="1">
        <f t="array" ref="AU25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46338</v>
      </c>
      <c r="AV25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50" s="14" t="str">
        <f>IF(ISERROR(ESS_DATA[[#This Row],[New Ark PO status]]),"",_xlfn.XLOOKUP(ESS_DATA[[#This Row],[SPTN-PVHK New Ark PO'#]],New_Ark_Data[Purchase order Number],New_Ark_Data[Estimated time of arrival],"",0))</f>
        <v/>
      </c>
      <c r="AX250" s="327">
        <f>IF(ESS_DATA[[#This Row],[New Ark PO Type]]="Offshore",0,IFERROR(VLOOKUP(ESS_DATA[[#This Row],[PORT OF LOADING]]&amp;ESS_DATA[[#This Row],[PORT DESTINATION]],LT_REF[],7,0),14))</f>
        <v>7</v>
      </c>
      <c r="AY250" s="333">
        <f>IFERROR(ESS_DATA[[#This Row],[ODP ETA Port]]+ESS_DATA[[#This Row],[Customs/Leg3 Assumption]],"n/a")</f>
        <v>46345</v>
      </c>
      <c r="AZ250" s="326">
        <f>YEAR(ESS_DATA[[#This Row],[ETA for New Ark update]])</f>
        <v>2026</v>
      </c>
      <c r="BA250" s="326">
        <f>MONTH(ESS_DATA[[#This Row],[ETA for New Ark update]])</f>
        <v>11</v>
      </c>
      <c r="BB250" s="326">
        <f>IFERROR(_xlfn.ISOWEEKNUM(ESS_DATA[[#This Row],[ETA for New Ark update]]),0)</f>
        <v>47</v>
      </c>
      <c r="BC250" s="326" t="str">
        <f>_xlfn.XLOOKUP(ESS_DATA[[#This Row],[PORT DESTINATION]],Table12[PORT DESTINATION],Table12[Cosco Line],,0)</f>
        <v>AEU</v>
      </c>
      <c r="BD250" s="326"/>
      <c r="BE250" s="336"/>
      <c r="BF250" s="336"/>
      <c r="BG250" s="336"/>
      <c r="BH250" s="336"/>
      <c r="BI250" s="336"/>
    </row>
    <row r="251" spans="1:61" s="886" customFormat="1" ht="17.25" customHeight="1">
      <c r="A251" s="325" t="s">
        <v>8513</v>
      </c>
      <c r="B251" s="327" t="s">
        <v>7814</v>
      </c>
      <c r="C251" s="327" t="str">
        <f>IFERROR(LEFT(ESS_DATA[[#This Row],[TCL REFERENCE]],FIND(".",ESS_DATA[[#This Row],[TCL REFERENCE]],1)-1),"Main Line")</f>
        <v>Main Line</v>
      </c>
      <c r="D251" s="327" t="s">
        <v>63</v>
      </c>
      <c r="E251" s="335" t="s">
        <v>64</v>
      </c>
      <c r="F251" s="326" t="str" cm="1">
        <f t="array" ref="F251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Plan-SPNL</v>
      </c>
      <c r="G251" s="327"/>
      <c r="H251" s="327"/>
      <c r="I251" s="331"/>
      <c r="J251" s="327"/>
      <c r="K251" s="327"/>
      <c r="L251" s="328"/>
      <c r="M251" s="329"/>
      <c r="N251" s="885" t="s">
        <v>7840</v>
      </c>
      <c r="O251" s="885" t="s">
        <v>8037</v>
      </c>
      <c r="P251" s="885" t="s">
        <v>7842</v>
      </c>
      <c r="Q251" s="354"/>
      <c r="R251" s="331">
        <v>11</v>
      </c>
      <c r="S251" s="332"/>
      <c r="T251" s="327"/>
      <c r="U251" s="337">
        <f>ESS_DATA[[#This Row],[QUANTITY]]/260</f>
        <v>4.230769230769231E-2</v>
      </c>
      <c r="V251" s="368" t="s">
        <v>7854</v>
      </c>
      <c r="W251" s="541" t="s">
        <v>8367</v>
      </c>
      <c r="X251" s="326" t="str">
        <f t="shared" si="15"/>
        <v>IN-TRANSIT</v>
      </c>
      <c r="Y251" s="416">
        <v>46286</v>
      </c>
      <c r="Z251" s="333">
        <v>46287</v>
      </c>
      <c r="AA251" s="334">
        <f>WEEKNUM(ESS_DATA[[#This Row],[Pick-Up Date]])</f>
        <v>39</v>
      </c>
      <c r="AB251" s="885" t="s">
        <v>8504</v>
      </c>
      <c r="AC251" s="325"/>
      <c r="AD251" s="327" t="s">
        <v>122</v>
      </c>
      <c r="AE251" s="327" t="s">
        <v>122</v>
      </c>
      <c r="AF251" s="327" t="s">
        <v>105</v>
      </c>
      <c r="AG251" s="333">
        <v>46290</v>
      </c>
      <c r="AH251" s="333">
        <v>46294</v>
      </c>
      <c r="AI251" s="333">
        <v>46294</v>
      </c>
      <c r="AJ251" s="333">
        <v>46326</v>
      </c>
      <c r="AK251" s="333">
        <v>46338</v>
      </c>
      <c r="AL251" s="333"/>
      <c r="AM251" s="335" t="s">
        <v>402</v>
      </c>
      <c r="AN251" s="333" t="s">
        <v>6844</v>
      </c>
      <c r="AO251" s="333" t="s">
        <v>80</v>
      </c>
      <c r="AP251" s="333" t="s">
        <v>8505</v>
      </c>
      <c r="AQ251" s="327" t="s">
        <v>8506</v>
      </c>
      <c r="AR251" s="327" t="s">
        <v>8506</v>
      </c>
      <c r="AS251" s="327">
        <f>ESS_DATA[[#This Row],[ETA On S/O]]-ESS_DATA[[#This Row],[ETD On S/O]]+1</f>
        <v>37</v>
      </c>
      <c r="AT251" s="327"/>
      <c r="AU251" s="333" cm="1">
        <f t="array" ref="AU25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46338</v>
      </c>
      <c r="AV25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51" s="14" t="str">
        <f>IF(ISERROR(ESS_DATA[[#This Row],[New Ark PO status]]),"",_xlfn.XLOOKUP(ESS_DATA[[#This Row],[SPTN-PVHK New Ark PO'#]],New_Ark_Data[Purchase order Number],New_Ark_Data[Estimated time of arrival],"",0))</f>
        <v/>
      </c>
      <c r="AX251" s="327">
        <f>IF(ESS_DATA[[#This Row],[New Ark PO Type]]="Offshore",0,IFERROR(VLOOKUP(ESS_DATA[[#This Row],[PORT OF LOADING]]&amp;ESS_DATA[[#This Row],[PORT DESTINATION]],LT_REF[],7,0),14))</f>
        <v>7</v>
      </c>
      <c r="AY251" s="333">
        <f>IFERROR(ESS_DATA[[#This Row],[ODP ETA Port]]+ESS_DATA[[#This Row],[Customs/Leg3 Assumption]],"n/a")</f>
        <v>46345</v>
      </c>
      <c r="AZ251" s="326">
        <f>YEAR(ESS_DATA[[#This Row],[ETA for New Ark update]])</f>
        <v>2026</v>
      </c>
      <c r="BA251" s="326">
        <f>MONTH(ESS_DATA[[#This Row],[ETA for New Ark update]])</f>
        <v>11</v>
      </c>
      <c r="BB251" s="326">
        <f>IFERROR(_xlfn.ISOWEEKNUM(ESS_DATA[[#This Row],[ETA for New Ark update]]),0)</f>
        <v>47</v>
      </c>
      <c r="BC251" s="326" t="str">
        <f>_xlfn.XLOOKUP(ESS_DATA[[#This Row],[PORT DESTINATION]],Table12[PORT DESTINATION],Table12[Cosco Line],,0)</f>
        <v>AEU</v>
      </c>
      <c r="BD251" s="326"/>
      <c r="BE251" s="336"/>
      <c r="BF251" s="336"/>
      <c r="BG251" s="336"/>
      <c r="BH251" s="336"/>
      <c r="BI251" s="336"/>
    </row>
    <row r="252" spans="1:61" s="886" customFormat="1" ht="17.25" customHeight="1">
      <c r="A252" s="325" t="s">
        <v>8514</v>
      </c>
      <c r="B252" s="327" t="s">
        <v>7814</v>
      </c>
      <c r="C252" s="327" t="str">
        <f>IFERROR(LEFT(ESS_DATA[[#This Row],[TCL REFERENCE]],FIND(".",ESS_DATA[[#This Row],[TCL REFERENCE]],1)-1),"Main Line")</f>
        <v>Main Line</v>
      </c>
      <c r="D252" s="327" t="s">
        <v>63</v>
      </c>
      <c r="E252" s="335" t="s">
        <v>64</v>
      </c>
      <c r="F252" s="326" t="str" cm="1">
        <f t="array" ref="F252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Plan-SPIT</v>
      </c>
      <c r="G252" s="327"/>
      <c r="H252" s="327"/>
      <c r="I252" s="326"/>
      <c r="J252" s="327"/>
      <c r="K252" s="327"/>
      <c r="L252" s="328"/>
      <c r="M252" s="329"/>
      <c r="N252" s="887" t="s">
        <v>7816</v>
      </c>
      <c r="O252" s="885" t="s">
        <v>7986</v>
      </c>
      <c r="P252" s="887" t="s">
        <v>7818</v>
      </c>
      <c r="Q252" s="354"/>
      <c r="R252" s="402">
        <v>108</v>
      </c>
      <c r="S252" s="332"/>
      <c r="T252" s="327"/>
      <c r="U252" s="337">
        <f>ESS_DATA[[#This Row],[QUANTITY]]/130</f>
        <v>0.83076923076923082</v>
      </c>
      <c r="V252" s="368" t="s">
        <v>7860</v>
      </c>
      <c r="W252" s="541" t="s">
        <v>8410</v>
      </c>
      <c r="X252" s="327"/>
      <c r="Y252" s="416">
        <v>46307</v>
      </c>
      <c r="Z252" s="333">
        <v>46311</v>
      </c>
      <c r="AA252" s="334">
        <f>WEEKNUM(ESS_DATA[[#This Row],[Pick-Up Date]])</f>
        <v>42</v>
      </c>
      <c r="AB252" s="1284" t="s">
        <v>8515</v>
      </c>
      <c r="AC252" s="327"/>
      <c r="AD252" s="327" t="s">
        <v>122</v>
      </c>
      <c r="AE252" s="327" t="s">
        <v>122</v>
      </c>
      <c r="AF252" s="41" t="s">
        <v>314</v>
      </c>
      <c r="AG252" s="333">
        <v>46318</v>
      </c>
      <c r="AH252" s="333">
        <v>46321</v>
      </c>
      <c r="AI252" s="333">
        <v>46323</v>
      </c>
      <c r="AJ252" s="333">
        <v>46365</v>
      </c>
      <c r="AK252" s="333">
        <v>46365</v>
      </c>
      <c r="AL252" s="333"/>
      <c r="AM252" s="335" t="s">
        <v>402</v>
      </c>
      <c r="AN252" s="333" t="s">
        <v>8516</v>
      </c>
      <c r="AO252" s="333" t="s">
        <v>80</v>
      </c>
      <c r="AP252" s="333" t="s">
        <v>8517</v>
      </c>
      <c r="AQ252" s="327" t="s">
        <v>8518</v>
      </c>
      <c r="AR252" s="327" t="s">
        <v>8518</v>
      </c>
      <c r="AS252" s="327">
        <f>ESS_DATA[[#This Row],[ETA On S/O]]-ESS_DATA[[#This Row],[ETD On S/O]]+1</f>
        <v>48</v>
      </c>
      <c r="AT252" s="327"/>
      <c r="AU252" s="333"/>
      <c r="AV252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52" s="14" t="str">
        <f>IF(ISERROR(ESS_DATA[[#This Row],[New Ark PO status]]),"",_xlfn.XLOOKUP(ESS_DATA[[#This Row],[SPTN-PVHK New Ark PO'#]],New_Ark_Data[Purchase order Number],New_Ark_Data[Estimated time of arrival],"",0))</f>
        <v/>
      </c>
      <c r="AX252" s="327"/>
      <c r="AY252" s="333"/>
      <c r="AZ252" s="326"/>
      <c r="BA252" s="326"/>
      <c r="BB252" s="326"/>
      <c r="BC252" s="326"/>
      <c r="BD252" s="326"/>
      <c r="BE252" s="336"/>
      <c r="BF252" s="336"/>
      <c r="BG252" s="336"/>
      <c r="BH252" s="336"/>
      <c r="BI252" s="336"/>
    </row>
    <row r="253" spans="1:61" s="886" customFormat="1" ht="17.25" customHeight="1">
      <c r="A253" s="325" t="s">
        <v>8519</v>
      </c>
      <c r="B253" s="327" t="s">
        <v>7814</v>
      </c>
      <c r="C253" s="327" t="str">
        <f>IFERROR(LEFT(ESS_DATA[[#This Row],[TCL REFERENCE]],FIND(".",ESS_DATA[[#This Row],[TCL REFERENCE]],1)-1),"Main Line")</f>
        <v>26OCT002</v>
      </c>
      <c r="D253" s="327" t="s">
        <v>63</v>
      </c>
      <c r="E253" s="335" t="s">
        <v>64</v>
      </c>
      <c r="F253" s="326" t="str" cm="1">
        <f t="array" ref="F253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Plan-SPIT</v>
      </c>
      <c r="G253" s="327"/>
      <c r="H253" s="327"/>
      <c r="I253" s="331"/>
      <c r="J253" s="327"/>
      <c r="K253" s="327"/>
      <c r="L253" s="328"/>
      <c r="M253" s="329"/>
      <c r="N253" s="885" t="s">
        <v>7828</v>
      </c>
      <c r="O253" s="885" t="s">
        <v>7829</v>
      </c>
      <c r="P253" s="885" t="s">
        <v>7830</v>
      </c>
      <c r="Q253" s="354"/>
      <c r="R253" s="331">
        <v>130</v>
      </c>
      <c r="S253" s="332"/>
      <c r="T253" s="327"/>
      <c r="U253" s="337">
        <f>ESS_DATA[[#This Row],[QUANTITY]]/260</f>
        <v>0.5</v>
      </c>
      <c r="V253" s="368" t="s">
        <v>7860</v>
      </c>
      <c r="W253" s="327" t="s">
        <v>8410</v>
      </c>
      <c r="X253" s="326" t="str">
        <f t="shared" ref="X253:X254" si="16">IF(AL253&lt;&gt;"","COMPLETED",IF(AI253&lt;&gt;"","IN-TRANSIT",""))</f>
        <v>IN-TRANSIT</v>
      </c>
      <c r="Y253" s="416">
        <v>46307</v>
      </c>
      <c r="Z253" s="333">
        <v>46311</v>
      </c>
      <c r="AA253" s="334">
        <f>WEEKNUM(ESS_DATA[[#This Row],[Pick-Up Date]])</f>
        <v>42</v>
      </c>
      <c r="AB253" s="1284" t="s">
        <v>8515</v>
      </c>
      <c r="AC253" s="327"/>
      <c r="AD253" s="327" t="s">
        <v>122</v>
      </c>
      <c r="AE253" s="327" t="s">
        <v>122</v>
      </c>
      <c r="AF253" s="41" t="s">
        <v>314</v>
      </c>
      <c r="AG253" s="333">
        <v>46318</v>
      </c>
      <c r="AH253" s="333">
        <v>46321</v>
      </c>
      <c r="AI253" s="333">
        <v>46323</v>
      </c>
      <c r="AJ253" s="333">
        <v>46365</v>
      </c>
      <c r="AK253" s="333">
        <v>46365</v>
      </c>
      <c r="AL253" s="333"/>
      <c r="AM253" s="335" t="s">
        <v>402</v>
      </c>
      <c r="AN253" s="333" t="s">
        <v>8516</v>
      </c>
      <c r="AO253" s="333" t="s">
        <v>80</v>
      </c>
      <c r="AP253" s="333" t="s">
        <v>8517</v>
      </c>
      <c r="AQ253" s="327" t="s">
        <v>8518</v>
      </c>
      <c r="AR253" s="327" t="s">
        <v>8518</v>
      </c>
      <c r="AS253" s="327">
        <f>ESS_DATA[[#This Row],[ETA On S/O]]-ESS_DATA[[#This Row],[ETD On S/O]]+1</f>
        <v>48</v>
      </c>
      <c r="AT253" s="327"/>
      <c r="AU253" s="333" cm="1">
        <f t="array" ref="AU25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46365</v>
      </c>
      <c r="AV253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53" s="14" t="str">
        <f>IF(ISERROR(ESS_DATA[[#This Row],[New Ark PO status]]),"",_xlfn.XLOOKUP(ESS_DATA[[#This Row],[SPTN-PVHK New Ark PO'#]],New_Ark_Data[Purchase order Number],New_Ark_Data[Estimated time of arrival],"",0))</f>
        <v/>
      </c>
      <c r="AX253" s="327">
        <f>IF(ESS_DATA[[#This Row],[New Ark PO Type]]="Offshore",0,IFERROR(VLOOKUP(ESS_DATA[[#This Row],[PORT OF LOADING]]&amp;ESS_DATA[[#This Row],[PORT DESTINATION]],LT_REF[],7,0),14))</f>
        <v>10</v>
      </c>
      <c r="AY253" s="333">
        <f>IFERROR(ESS_DATA[[#This Row],[ODP ETA Port]]+ESS_DATA[[#This Row],[Customs/Leg3 Assumption]],"n/a")</f>
        <v>46375</v>
      </c>
      <c r="AZ253" s="326">
        <f>YEAR(ESS_DATA[[#This Row],[ETA for New Ark update]])</f>
        <v>2026</v>
      </c>
      <c r="BA253" s="326">
        <f>MONTH(ESS_DATA[[#This Row],[ETA for New Ark update]])</f>
        <v>12</v>
      </c>
      <c r="BB253" s="326">
        <f>IFERROR(_xlfn.ISOWEEKNUM(ESS_DATA[[#This Row],[ETA for New Ark update]]),0)</f>
        <v>51</v>
      </c>
      <c r="BC253" s="326" t="str">
        <f>_xlfn.XLOOKUP(ESS_DATA[[#This Row],[PORT DESTINATION]],Table12[PORT DESTINATION],Table12[Cosco Line],,0)</f>
        <v>AEM</v>
      </c>
      <c r="BD253" s="326"/>
      <c r="BE253" s="336"/>
      <c r="BF253" s="336"/>
      <c r="BG253" s="336"/>
      <c r="BH253" s="336"/>
      <c r="BI253" s="336"/>
    </row>
    <row r="254" spans="1:61" s="886" customFormat="1" ht="17.25" customHeight="1">
      <c r="A254" s="325" t="s">
        <v>8520</v>
      </c>
      <c r="B254" s="327" t="s">
        <v>7814</v>
      </c>
      <c r="C254" s="327" t="str">
        <f>IFERROR(LEFT(ESS_DATA[[#This Row],[TCL REFERENCE]],FIND(".",ESS_DATA[[#This Row],[TCL REFERENCE]],1)-1),"Main Line")</f>
        <v>26OCT004</v>
      </c>
      <c r="D254" s="327" t="s">
        <v>63</v>
      </c>
      <c r="E254" s="335" t="s">
        <v>64</v>
      </c>
      <c r="F254" s="326" t="str" cm="1">
        <f t="array" ref="F254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Plan-SPIT</v>
      </c>
      <c r="G254" s="327"/>
      <c r="H254" s="327"/>
      <c r="I254" s="331"/>
      <c r="J254" s="327"/>
      <c r="K254" s="327"/>
      <c r="L254" s="328"/>
      <c r="M254" s="329"/>
      <c r="N254" s="885" t="s">
        <v>7840</v>
      </c>
      <c r="O254" s="885" t="s">
        <v>8037</v>
      </c>
      <c r="P254" s="885" t="s">
        <v>7842</v>
      </c>
      <c r="Q254" s="354"/>
      <c r="R254" s="331">
        <v>130</v>
      </c>
      <c r="S254" s="332"/>
      <c r="T254" s="327"/>
      <c r="U254" s="337">
        <f>ESS_DATA[[#This Row],[QUANTITY]]/260</f>
        <v>0.5</v>
      </c>
      <c r="V254" s="368" t="s">
        <v>7860</v>
      </c>
      <c r="W254" s="327" t="s">
        <v>8410</v>
      </c>
      <c r="X254" s="326" t="str">
        <f t="shared" si="16"/>
        <v>IN-TRANSIT</v>
      </c>
      <c r="Y254" s="416">
        <v>46307</v>
      </c>
      <c r="Z254" s="333">
        <v>46311</v>
      </c>
      <c r="AA254" s="334">
        <f>WEEKNUM(ESS_DATA[[#This Row],[Pick-Up Date]])</f>
        <v>42</v>
      </c>
      <c r="AB254" s="1284" t="s">
        <v>8515</v>
      </c>
      <c r="AC254" s="327"/>
      <c r="AD254" s="327" t="s">
        <v>122</v>
      </c>
      <c r="AE254" s="327" t="s">
        <v>122</v>
      </c>
      <c r="AF254" s="41" t="s">
        <v>314</v>
      </c>
      <c r="AG254" s="333">
        <v>46318</v>
      </c>
      <c r="AH254" s="333">
        <v>46321</v>
      </c>
      <c r="AI254" s="333">
        <v>46323</v>
      </c>
      <c r="AJ254" s="333">
        <v>46365</v>
      </c>
      <c r="AK254" s="333">
        <v>46365</v>
      </c>
      <c r="AL254" s="333"/>
      <c r="AM254" s="335" t="s">
        <v>402</v>
      </c>
      <c r="AN254" s="333" t="s">
        <v>8516</v>
      </c>
      <c r="AO254" s="333" t="s">
        <v>80</v>
      </c>
      <c r="AP254" s="333" t="s">
        <v>8517</v>
      </c>
      <c r="AQ254" s="327" t="s">
        <v>8518</v>
      </c>
      <c r="AR254" s="327" t="s">
        <v>8518</v>
      </c>
      <c r="AS254" s="327">
        <f>ESS_DATA[[#This Row],[ETA On S/O]]-ESS_DATA[[#This Row],[ETD On S/O]]+1</f>
        <v>48</v>
      </c>
      <c r="AT254" s="327"/>
      <c r="AU254" s="333" cm="1">
        <f t="array" ref="AU25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46365</v>
      </c>
      <c r="AV254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54" s="14" t="str">
        <f>IF(ISERROR(ESS_DATA[[#This Row],[New Ark PO status]]),"",_xlfn.XLOOKUP(ESS_DATA[[#This Row],[SPTN-PVHK New Ark PO'#]],New_Ark_Data[Purchase order Number],New_Ark_Data[Estimated time of arrival],"",0))</f>
        <v/>
      </c>
      <c r="AX254" s="327">
        <f>IF(ESS_DATA[[#This Row],[New Ark PO Type]]="Offshore",0,IFERROR(VLOOKUP(ESS_DATA[[#This Row],[PORT OF LOADING]]&amp;ESS_DATA[[#This Row],[PORT DESTINATION]],LT_REF[],7,0),14))</f>
        <v>10</v>
      </c>
      <c r="AY254" s="333">
        <f>IFERROR(ESS_DATA[[#This Row],[ODP ETA Port]]+ESS_DATA[[#This Row],[Customs/Leg3 Assumption]],"n/a")</f>
        <v>46375</v>
      </c>
      <c r="AZ254" s="326">
        <f>YEAR(ESS_DATA[[#This Row],[ETA for New Ark update]])</f>
        <v>2026</v>
      </c>
      <c r="BA254" s="326">
        <f>MONTH(ESS_DATA[[#This Row],[ETA for New Ark update]])</f>
        <v>12</v>
      </c>
      <c r="BB254" s="326">
        <f>IFERROR(_xlfn.ISOWEEKNUM(ESS_DATA[[#This Row],[ETA for New Ark update]]),0)</f>
        <v>51</v>
      </c>
      <c r="BC254" s="326" t="str">
        <f>_xlfn.XLOOKUP(ESS_DATA[[#This Row],[PORT DESTINATION]],Table12[PORT DESTINATION],Table12[Cosco Line],,0)</f>
        <v>AEM</v>
      </c>
      <c r="BD254" s="326"/>
      <c r="BE254" s="336"/>
      <c r="BF254" s="336"/>
      <c r="BG254" s="336"/>
      <c r="BH254" s="336"/>
      <c r="BI254" s="336"/>
    </row>
    <row r="255" spans="1:61" s="886" customFormat="1" ht="17.25" customHeight="1">
      <c r="A255" s="325" t="s">
        <v>8521</v>
      </c>
      <c r="B255" s="327" t="s">
        <v>7814</v>
      </c>
      <c r="C255" s="327" t="str">
        <f>IFERROR(LEFT(ESS_DATA[[#This Row],[TCL REFERENCE]],FIND(".",ESS_DATA[[#This Row],[TCL REFERENCE]],1)-1),"Main Line")</f>
        <v>26OCT002</v>
      </c>
      <c r="D255" s="327" t="s">
        <v>63</v>
      </c>
      <c r="E255" s="335" t="s">
        <v>64</v>
      </c>
      <c r="F255" s="326" t="str" cm="1">
        <f t="array" ref="F255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Plan-SPIT</v>
      </c>
      <c r="G255" s="327"/>
      <c r="H255" s="327"/>
      <c r="I255" s="331"/>
      <c r="J255" s="327"/>
      <c r="K255" s="327"/>
      <c r="L255" s="328"/>
      <c r="M255" s="329"/>
      <c r="N255" s="885" t="s">
        <v>7828</v>
      </c>
      <c r="O255" s="885" t="s">
        <v>7829</v>
      </c>
      <c r="P255" s="885" t="s">
        <v>7830</v>
      </c>
      <c r="Q255" s="354"/>
      <c r="R255" s="331">
        <v>130</v>
      </c>
      <c r="S255" s="332"/>
      <c r="T255" s="327"/>
      <c r="U255" s="337">
        <f>ESS_DATA[[#This Row],[QUANTITY]]/260</f>
        <v>0.5</v>
      </c>
      <c r="V255" s="368" t="s">
        <v>7864</v>
      </c>
      <c r="W255" s="327" t="s">
        <v>8410</v>
      </c>
      <c r="X255" s="326" t="str">
        <f t="shared" ref="X255:X256" si="17">IF(AL255&lt;&gt;"","COMPLETED",IF(AI255&lt;&gt;"","IN-TRANSIT",""))</f>
        <v>IN-TRANSIT</v>
      </c>
      <c r="Y255" s="416">
        <v>46307</v>
      </c>
      <c r="Z255" s="333">
        <v>46311</v>
      </c>
      <c r="AA255" s="334">
        <f>WEEKNUM(ESS_DATA[[#This Row],[Pick-Up Date]])</f>
        <v>42</v>
      </c>
      <c r="AB255" s="1284" t="s">
        <v>8515</v>
      </c>
      <c r="AC255" s="327"/>
      <c r="AD255" s="327" t="s">
        <v>122</v>
      </c>
      <c r="AE255" s="327" t="s">
        <v>122</v>
      </c>
      <c r="AF255" s="41" t="s">
        <v>314</v>
      </c>
      <c r="AG255" s="333">
        <v>46318</v>
      </c>
      <c r="AH255" s="333">
        <v>46321</v>
      </c>
      <c r="AI255" s="333">
        <v>46323</v>
      </c>
      <c r="AJ255" s="333">
        <v>46365</v>
      </c>
      <c r="AK255" s="333">
        <v>46365</v>
      </c>
      <c r="AL255" s="333"/>
      <c r="AM255" s="335" t="s">
        <v>402</v>
      </c>
      <c r="AN255" s="333" t="s">
        <v>8516</v>
      </c>
      <c r="AO255" s="333" t="s">
        <v>80</v>
      </c>
      <c r="AP255" s="333" t="s">
        <v>8517</v>
      </c>
      <c r="AQ255" s="327" t="s">
        <v>8518</v>
      </c>
      <c r="AR255" s="327" t="s">
        <v>8518</v>
      </c>
      <c r="AS255" s="327">
        <f>ESS_DATA[[#This Row],[ETA On S/O]]-ESS_DATA[[#This Row],[ETD On S/O]]+1</f>
        <v>48</v>
      </c>
      <c r="AT255" s="327"/>
      <c r="AU255" s="333" cm="1">
        <f t="array" ref="AU25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46365</v>
      </c>
      <c r="AV255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55" s="14" t="str">
        <f>IF(ISERROR(ESS_DATA[[#This Row],[New Ark PO status]]),"",_xlfn.XLOOKUP(ESS_DATA[[#This Row],[SPTN-PVHK New Ark PO'#]],New_Ark_Data[Purchase order Number],New_Ark_Data[Estimated time of arrival],"",0))</f>
        <v/>
      </c>
      <c r="AX255" s="327">
        <f>IF(ESS_DATA[[#This Row],[New Ark PO Type]]="Offshore",0,IFERROR(VLOOKUP(ESS_DATA[[#This Row],[PORT OF LOADING]]&amp;ESS_DATA[[#This Row],[PORT DESTINATION]],LT_REF[],7,0),14))</f>
        <v>10</v>
      </c>
      <c r="AY255" s="333">
        <f>IFERROR(ESS_DATA[[#This Row],[ODP ETA Port]]+ESS_DATA[[#This Row],[Customs/Leg3 Assumption]],"n/a")</f>
        <v>46375</v>
      </c>
      <c r="AZ255" s="326">
        <f>YEAR(ESS_DATA[[#This Row],[ETA for New Ark update]])</f>
        <v>2026</v>
      </c>
      <c r="BA255" s="326">
        <f>MONTH(ESS_DATA[[#This Row],[ETA for New Ark update]])</f>
        <v>12</v>
      </c>
      <c r="BB255" s="326">
        <f>IFERROR(_xlfn.ISOWEEKNUM(ESS_DATA[[#This Row],[ETA for New Ark update]]),0)</f>
        <v>51</v>
      </c>
      <c r="BC255" s="326" t="str">
        <f>_xlfn.XLOOKUP(ESS_DATA[[#This Row],[PORT DESTINATION]],Table12[PORT DESTINATION],Table12[Cosco Line],,0)</f>
        <v>AEM</v>
      </c>
      <c r="BD255" s="326"/>
      <c r="BE255" s="336"/>
      <c r="BF255" s="336"/>
      <c r="BG255" s="336"/>
      <c r="BH255" s="336"/>
      <c r="BI255" s="336"/>
    </row>
    <row r="256" spans="1:61" s="886" customFormat="1" ht="17.25" customHeight="1">
      <c r="A256" s="325" t="s">
        <v>8522</v>
      </c>
      <c r="B256" s="327" t="s">
        <v>7814</v>
      </c>
      <c r="C256" s="327" t="str">
        <f>IFERROR(LEFT(ESS_DATA[[#This Row],[TCL REFERENCE]],FIND(".",ESS_DATA[[#This Row],[TCL REFERENCE]],1)-1),"Main Line")</f>
        <v>26OCT004</v>
      </c>
      <c r="D256" s="327" t="s">
        <v>63</v>
      </c>
      <c r="E256" s="335" t="s">
        <v>64</v>
      </c>
      <c r="F256" s="326" t="str" cm="1">
        <f t="array" ref="F256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Plan-SPIT</v>
      </c>
      <c r="G256" s="327"/>
      <c r="H256" s="327"/>
      <c r="I256" s="331"/>
      <c r="J256" s="327"/>
      <c r="K256" s="327"/>
      <c r="L256" s="328"/>
      <c r="M256" s="329"/>
      <c r="N256" s="885" t="s">
        <v>7840</v>
      </c>
      <c r="O256" s="885" t="s">
        <v>8037</v>
      </c>
      <c r="P256" s="885" t="s">
        <v>7842</v>
      </c>
      <c r="Q256" s="354"/>
      <c r="R256" s="331">
        <v>130</v>
      </c>
      <c r="S256" s="332"/>
      <c r="T256" s="327"/>
      <c r="U256" s="337">
        <f>ESS_DATA[[#This Row],[QUANTITY]]/260</f>
        <v>0.5</v>
      </c>
      <c r="V256" s="368" t="s">
        <v>7864</v>
      </c>
      <c r="W256" s="327" t="s">
        <v>8410</v>
      </c>
      <c r="X256" s="326" t="str">
        <f t="shared" si="17"/>
        <v>IN-TRANSIT</v>
      </c>
      <c r="Y256" s="416">
        <v>46307</v>
      </c>
      <c r="Z256" s="333">
        <v>46311</v>
      </c>
      <c r="AA256" s="334">
        <f>WEEKNUM(ESS_DATA[[#This Row],[Pick-Up Date]])</f>
        <v>42</v>
      </c>
      <c r="AB256" s="1284" t="s">
        <v>8515</v>
      </c>
      <c r="AC256" s="327"/>
      <c r="AD256" s="327" t="s">
        <v>122</v>
      </c>
      <c r="AE256" s="327" t="s">
        <v>122</v>
      </c>
      <c r="AF256" s="41" t="s">
        <v>314</v>
      </c>
      <c r="AG256" s="333">
        <v>46318</v>
      </c>
      <c r="AH256" s="333">
        <v>46321</v>
      </c>
      <c r="AI256" s="333">
        <v>46323</v>
      </c>
      <c r="AJ256" s="333">
        <v>46365</v>
      </c>
      <c r="AK256" s="333">
        <v>46365</v>
      </c>
      <c r="AL256" s="333"/>
      <c r="AM256" s="335" t="s">
        <v>402</v>
      </c>
      <c r="AN256" s="333" t="s">
        <v>8516</v>
      </c>
      <c r="AO256" s="333" t="s">
        <v>80</v>
      </c>
      <c r="AP256" s="333" t="s">
        <v>8517</v>
      </c>
      <c r="AQ256" s="327" t="s">
        <v>8518</v>
      </c>
      <c r="AR256" s="327" t="s">
        <v>8518</v>
      </c>
      <c r="AS256" s="327">
        <f>ESS_DATA[[#This Row],[ETA On S/O]]-ESS_DATA[[#This Row],[ETD On S/O]]+1</f>
        <v>48</v>
      </c>
      <c r="AT256" s="327"/>
      <c r="AU256" s="333" cm="1">
        <f t="array" ref="AU25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46365</v>
      </c>
      <c r="AV25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56" s="14" t="str">
        <f>IF(ISERROR(ESS_DATA[[#This Row],[New Ark PO status]]),"",_xlfn.XLOOKUP(ESS_DATA[[#This Row],[SPTN-PVHK New Ark PO'#]],New_Ark_Data[Purchase order Number],New_Ark_Data[Estimated time of arrival],"",0))</f>
        <v/>
      </c>
      <c r="AX256" s="327">
        <f>IF(ESS_DATA[[#This Row],[New Ark PO Type]]="Offshore",0,IFERROR(VLOOKUP(ESS_DATA[[#This Row],[PORT OF LOADING]]&amp;ESS_DATA[[#This Row],[PORT DESTINATION]],LT_REF[],7,0),14))</f>
        <v>10</v>
      </c>
      <c r="AY256" s="333">
        <f>IFERROR(ESS_DATA[[#This Row],[ODP ETA Port]]+ESS_DATA[[#This Row],[Customs/Leg3 Assumption]],"n/a")</f>
        <v>46375</v>
      </c>
      <c r="AZ256" s="326">
        <f>YEAR(ESS_DATA[[#This Row],[ETA for New Ark update]])</f>
        <v>2026</v>
      </c>
      <c r="BA256" s="326">
        <f>MONTH(ESS_DATA[[#This Row],[ETA for New Ark update]])</f>
        <v>12</v>
      </c>
      <c r="BB256" s="326">
        <f>IFERROR(_xlfn.ISOWEEKNUM(ESS_DATA[[#This Row],[ETA for New Ark update]]),0)</f>
        <v>51</v>
      </c>
      <c r="BC256" s="326" t="str">
        <f>_xlfn.XLOOKUP(ESS_DATA[[#This Row],[PORT DESTINATION]],Table12[PORT DESTINATION],Table12[Cosco Line],,0)</f>
        <v>AEM</v>
      </c>
      <c r="BD256" s="326"/>
      <c r="BE256" s="336"/>
      <c r="BF256" s="336"/>
      <c r="BG256" s="336"/>
      <c r="BH256" s="336"/>
      <c r="BI256" s="336"/>
    </row>
    <row r="257" spans="1:61" s="886" customFormat="1" ht="16.5" customHeight="1">
      <c r="A257" s="325" t="s">
        <v>8523</v>
      </c>
      <c r="B257" s="327" t="s">
        <v>7814</v>
      </c>
      <c r="C257" s="327" t="str">
        <f>IFERROR(LEFT(ESS_DATA[[#This Row],[TCL REFERENCE]],FIND(".",ESS_DATA[[#This Row],[TCL REFERENCE]],1)-1),"Main Line")</f>
        <v>26OCT005</v>
      </c>
      <c r="D257" s="327" t="s">
        <v>63</v>
      </c>
      <c r="E257" s="335" t="s">
        <v>64</v>
      </c>
      <c r="F257" s="326" t="str" cm="1">
        <f t="array" ref="F257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Plan-SPIT</v>
      </c>
      <c r="G257" s="327"/>
      <c r="H257" s="327"/>
      <c r="I257" s="331"/>
      <c r="J257" s="327"/>
      <c r="K257" s="327"/>
      <c r="L257" s="328"/>
      <c r="M257" s="329"/>
      <c r="N257" s="885" t="s">
        <v>7851</v>
      </c>
      <c r="O257" s="885" t="s">
        <v>7852</v>
      </c>
      <c r="P257" s="885" t="s">
        <v>7853</v>
      </c>
      <c r="Q257" s="354"/>
      <c r="R257" s="331">
        <v>520</v>
      </c>
      <c r="S257" s="332"/>
      <c r="T257" s="327"/>
      <c r="U257" s="337">
        <f>ESS_DATA[[#This Row],[QUANTITY]]/276</f>
        <v>1.8840579710144927</v>
      </c>
      <c r="V257" s="368" t="s">
        <v>8050</v>
      </c>
      <c r="W257" s="327" t="s">
        <v>8410</v>
      </c>
      <c r="X257" s="326" t="str">
        <f t="shared" si="15"/>
        <v>IN-TRANSIT</v>
      </c>
      <c r="Y257" s="333">
        <v>46312</v>
      </c>
      <c r="Z257" s="333">
        <v>46313</v>
      </c>
      <c r="AA257" s="334">
        <f>WEEKNUM(ESS_DATA[[#This Row],[Pick-Up Date]])</f>
        <v>43</v>
      </c>
      <c r="AB257" s="1284" t="s">
        <v>8524</v>
      </c>
      <c r="AC257" s="327"/>
      <c r="AD257" s="327" t="s">
        <v>122</v>
      </c>
      <c r="AE257" s="327" t="s">
        <v>122</v>
      </c>
      <c r="AF257" s="41" t="s">
        <v>314</v>
      </c>
      <c r="AG257" s="333">
        <v>46315</v>
      </c>
      <c r="AH257" s="333">
        <v>46322</v>
      </c>
      <c r="AI257" s="333">
        <v>46323</v>
      </c>
      <c r="AJ257" s="333">
        <v>46358</v>
      </c>
      <c r="AK257" s="333">
        <v>46358</v>
      </c>
      <c r="AL257" s="333"/>
      <c r="AM257" s="335" t="s">
        <v>402</v>
      </c>
      <c r="AN257" s="333" t="s">
        <v>8525</v>
      </c>
      <c r="AO257" s="333" t="s">
        <v>161</v>
      </c>
      <c r="AP257" s="333" t="s">
        <v>8526</v>
      </c>
      <c r="AQ257" s="327">
        <v>277778182</v>
      </c>
      <c r="AR257" s="327">
        <v>277778182</v>
      </c>
      <c r="AS257" s="327">
        <f>ESS_DATA[[#This Row],[ETA On S/O]]-ESS_DATA[[#This Row],[ETD On S/O]]+1</f>
        <v>44</v>
      </c>
      <c r="AT257" s="327"/>
      <c r="AU257" s="333" cm="1">
        <f t="array" ref="AU25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46358</v>
      </c>
      <c r="AV25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57" s="14" t="str">
        <f>IF(ISERROR(ESS_DATA[[#This Row],[New Ark PO status]]),"",_xlfn.XLOOKUP(ESS_DATA[[#This Row],[SPTN-PVHK New Ark PO'#]],New_Ark_Data[Purchase order Number],New_Ark_Data[Estimated time of arrival],"",0))</f>
        <v/>
      </c>
      <c r="AX257" s="327">
        <f>IF(ESS_DATA[[#This Row],[New Ark PO Type]]="Offshore",0,IFERROR(VLOOKUP(ESS_DATA[[#This Row],[PORT OF LOADING]]&amp;ESS_DATA[[#This Row],[PORT DESTINATION]],LT_REF[],7,0),14))</f>
        <v>10</v>
      </c>
      <c r="AY257" s="333">
        <f>IFERROR(ESS_DATA[[#This Row],[ODP ETA Port]]+ESS_DATA[[#This Row],[Customs/Leg3 Assumption]],"n/a")</f>
        <v>46368</v>
      </c>
      <c r="AZ257" s="326">
        <f>YEAR(ESS_DATA[[#This Row],[ETA for New Ark update]])</f>
        <v>2026</v>
      </c>
      <c r="BA257" s="326">
        <f>MONTH(ESS_DATA[[#This Row],[ETA for New Ark update]])</f>
        <v>12</v>
      </c>
      <c r="BB257" s="326">
        <f>IFERROR(_xlfn.ISOWEEKNUM(ESS_DATA[[#This Row],[ETA for New Ark update]]),0)</f>
        <v>50</v>
      </c>
      <c r="BC257" s="326" t="str">
        <f>_xlfn.XLOOKUP(ESS_DATA[[#This Row],[PORT DESTINATION]],Table12[PORT DESTINATION],Table12[Cosco Line],,0)</f>
        <v>AEM</v>
      </c>
      <c r="BD257" s="326"/>
      <c r="BE257" s="336"/>
      <c r="BF257" s="336"/>
      <c r="BG257" s="336"/>
      <c r="BH257" s="336"/>
      <c r="BI257" s="336"/>
    </row>
    <row r="258" spans="1:61" s="886" customFormat="1" ht="16.5" customHeight="1">
      <c r="A258" s="325" t="s">
        <v>8527</v>
      </c>
      <c r="B258" s="327" t="s">
        <v>7814</v>
      </c>
      <c r="C258" s="327" t="str">
        <f>IFERROR(LEFT(ESS_DATA[[#This Row],[TCL REFERENCE]],FIND(".",ESS_DATA[[#This Row],[TCL REFERENCE]],1)-1),"Main Line")</f>
        <v>Main Line</v>
      </c>
      <c r="D258" s="327" t="s">
        <v>63</v>
      </c>
      <c r="E258" s="335" t="s">
        <v>64</v>
      </c>
      <c r="F258" s="326" t="str" cm="1">
        <f t="array" ref="F258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Plan-SPIT</v>
      </c>
      <c r="G258" s="327"/>
      <c r="H258" s="327"/>
      <c r="I258" s="331"/>
      <c r="J258" s="327"/>
      <c r="K258" s="327"/>
      <c r="L258" s="328"/>
      <c r="M258" s="329"/>
      <c r="N258" s="885" t="s">
        <v>7851</v>
      </c>
      <c r="O258" s="885" t="s">
        <v>7852</v>
      </c>
      <c r="P258" s="885" t="s">
        <v>7853</v>
      </c>
      <c r="Q258" s="354"/>
      <c r="R258" s="331">
        <v>32</v>
      </c>
      <c r="S258" s="332"/>
      <c r="T258" s="327"/>
      <c r="U258" s="337">
        <f>ESS_DATA[[#This Row],[QUANTITY]]/276</f>
        <v>0.11594202898550725</v>
      </c>
      <c r="V258" s="368" t="s">
        <v>8050</v>
      </c>
      <c r="W258" s="327" t="s">
        <v>8410</v>
      </c>
      <c r="X258" s="326" t="str">
        <f t="shared" si="15"/>
        <v>IN-TRANSIT</v>
      </c>
      <c r="Y258" s="333">
        <v>46312</v>
      </c>
      <c r="Z258" s="333">
        <v>46313</v>
      </c>
      <c r="AA258" s="334">
        <f>WEEKNUM(ESS_DATA[[#This Row],[Pick-Up Date]])</f>
        <v>43</v>
      </c>
      <c r="AB258" s="1284" t="s">
        <v>8524</v>
      </c>
      <c r="AC258" s="327"/>
      <c r="AD258" s="327" t="s">
        <v>122</v>
      </c>
      <c r="AE258" s="327" t="s">
        <v>122</v>
      </c>
      <c r="AF258" s="41" t="s">
        <v>314</v>
      </c>
      <c r="AG258" s="333">
        <v>46315</v>
      </c>
      <c r="AH258" s="333">
        <v>46322</v>
      </c>
      <c r="AI258" s="333">
        <v>46323</v>
      </c>
      <c r="AJ258" s="333">
        <v>46358</v>
      </c>
      <c r="AK258" s="333">
        <v>46358</v>
      </c>
      <c r="AL258" s="333"/>
      <c r="AM258" s="335" t="s">
        <v>402</v>
      </c>
      <c r="AN258" s="333" t="s">
        <v>8525</v>
      </c>
      <c r="AO258" s="333" t="s">
        <v>161</v>
      </c>
      <c r="AP258" s="333" t="s">
        <v>8526</v>
      </c>
      <c r="AQ258" s="327">
        <v>277778182</v>
      </c>
      <c r="AR258" s="327">
        <v>277778182</v>
      </c>
      <c r="AS258" s="327">
        <f>ESS_DATA[[#This Row],[ETA On S/O]]-ESS_DATA[[#This Row],[ETD On S/O]]+1</f>
        <v>44</v>
      </c>
      <c r="AT258" s="327"/>
      <c r="AU258" s="333" cm="1">
        <f t="array" ref="AU25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46358</v>
      </c>
      <c r="AV25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58" s="14" t="str">
        <f>IF(ISERROR(ESS_DATA[[#This Row],[New Ark PO status]]),"",_xlfn.XLOOKUP(ESS_DATA[[#This Row],[SPTN-PVHK New Ark PO'#]],New_Ark_Data[Purchase order Number],New_Ark_Data[Estimated time of arrival],"",0))</f>
        <v/>
      </c>
      <c r="AX258" s="327">
        <f>IF(ESS_DATA[[#This Row],[New Ark PO Type]]="Offshore",0,IFERROR(VLOOKUP(ESS_DATA[[#This Row],[PORT OF LOADING]]&amp;ESS_DATA[[#This Row],[PORT DESTINATION]],LT_REF[],7,0),14))</f>
        <v>10</v>
      </c>
      <c r="AY258" s="333">
        <f>IFERROR(ESS_DATA[[#This Row],[ODP ETA Port]]+ESS_DATA[[#This Row],[Customs/Leg3 Assumption]],"n/a")</f>
        <v>46368</v>
      </c>
      <c r="AZ258" s="326">
        <f>YEAR(ESS_DATA[[#This Row],[ETA for New Ark update]])</f>
        <v>2026</v>
      </c>
      <c r="BA258" s="326">
        <f>MONTH(ESS_DATA[[#This Row],[ETA for New Ark update]])</f>
        <v>12</v>
      </c>
      <c r="BB258" s="326">
        <f>IFERROR(_xlfn.ISOWEEKNUM(ESS_DATA[[#This Row],[ETA for New Ark update]]),0)</f>
        <v>50</v>
      </c>
      <c r="BC258" s="326" t="str">
        <f>_xlfn.XLOOKUP(ESS_DATA[[#This Row],[PORT DESTINATION]],Table12[PORT DESTINATION],Table12[Cosco Line],,0)</f>
        <v>AEM</v>
      </c>
      <c r="BD258" s="326"/>
      <c r="BE258" s="336"/>
      <c r="BF258" s="336"/>
      <c r="BG258" s="336"/>
      <c r="BH258" s="336"/>
      <c r="BI258" s="336"/>
    </row>
    <row r="259" spans="1:61" s="886" customFormat="1" ht="16.5" customHeight="1">
      <c r="A259" s="325" t="s">
        <v>8528</v>
      </c>
      <c r="B259" s="327" t="s">
        <v>7814</v>
      </c>
      <c r="C259" s="327" t="str">
        <f>IFERROR(LEFT(ESS_DATA[[#This Row],[TCL REFERENCE]],FIND(".",ESS_DATA[[#This Row],[TCL REFERENCE]],1)-1),"Main Line")</f>
        <v>26OCT005</v>
      </c>
      <c r="D259" s="327" t="s">
        <v>63</v>
      </c>
      <c r="E259" s="335" t="s">
        <v>64</v>
      </c>
      <c r="F259" s="326" t="str" cm="1">
        <f t="array" ref="F259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Plan-SPIT</v>
      </c>
      <c r="G259" s="327"/>
      <c r="H259" s="327"/>
      <c r="I259" s="331"/>
      <c r="J259" s="327"/>
      <c r="K259" s="327"/>
      <c r="L259" s="328"/>
      <c r="M259" s="329"/>
      <c r="N259" s="885" t="s">
        <v>7851</v>
      </c>
      <c r="O259" s="885" t="s">
        <v>7852</v>
      </c>
      <c r="P259" s="885" t="s">
        <v>7853</v>
      </c>
      <c r="Q259" s="354"/>
      <c r="R259" s="331">
        <v>276</v>
      </c>
      <c r="S259" s="332"/>
      <c r="T259" s="327"/>
      <c r="U259" s="337">
        <f>ESS_DATA[[#This Row],[QUANTITY]]/276</f>
        <v>1</v>
      </c>
      <c r="V259" s="368" t="s">
        <v>8057</v>
      </c>
      <c r="W259" s="327" t="s">
        <v>8529</v>
      </c>
      <c r="X259" s="326" t="str">
        <f t="shared" ref="X259" si="18">IF(AL259&lt;&gt;"","COMPLETED",IF(AI259&lt;&gt;"","IN-TRANSIT",""))</f>
        <v/>
      </c>
      <c r="Y259" s="333">
        <v>46317</v>
      </c>
      <c r="Z259" s="333">
        <v>46321</v>
      </c>
      <c r="AA259" s="334">
        <f>WEEKNUM(ESS_DATA[[#This Row],[Pick-Up Date]])</f>
        <v>44</v>
      </c>
      <c r="AB259" s="327"/>
      <c r="AC259" s="327"/>
      <c r="AD259" s="327" t="s">
        <v>122</v>
      </c>
      <c r="AE259" s="327" t="s">
        <v>122</v>
      </c>
      <c r="AF259" s="41" t="s">
        <v>314</v>
      </c>
      <c r="AG259" s="333">
        <v>46327</v>
      </c>
      <c r="AH259" s="333">
        <v>46331</v>
      </c>
      <c r="AI259" s="333"/>
      <c r="AJ259" s="333">
        <v>46372</v>
      </c>
      <c r="AK259" s="333">
        <v>46372</v>
      </c>
      <c r="AL259" s="333"/>
      <c r="AM259" s="335" t="s">
        <v>402</v>
      </c>
      <c r="AN259" s="333" t="s">
        <v>8530</v>
      </c>
      <c r="AO259" s="333" t="s">
        <v>161</v>
      </c>
      <c r="AP259" s="333" t="s">
        <v>8531</v>
      </c>
      <c r="AQ259" s="327">
        <v>279562037</v>
      </c>
      <c r="AR259" s="327">
        <v>279562037</v>
      </c>
      <c r="AS259" s="327">
        <f>ESS_DATA[[#This Row],[ETA On S/O]]-ESS_DATA[[#This Row],[ETD On S/O]]+1</f>
        <v>46</v>
      </c>
      <c r="AT259" s="327"/>
      <c r="AU259" s="333" cm="1">
        <f t="array" ref="AU25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46372</v>
      </c>
      <c r="AV25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59" s="14" t="str">
        <f>IF(ISERROR(ESS_DATA[[#This Row],[New Ark PO status]]),"",_xlfn.XLOOKUP(ESS_DATA[[#This Row],[SPTN-PVHK New Ark PO'#]],New_Ark_Data[Purchase order Number],New_Ark_Data[Estimated time of arrival],"",0))</f>
        <v/>
      </c>
      <c r="AX259" s="327">
        <f>IF(ESS_DATA[[#This Row],[New Ark PO Type]]="Offshore",0,IFERROR(VLOOKUP(ESS_DATA[[#This Row],[PORT OF LOADING]]&amp;ESS_DATA[[#This Row],[PORT DESTINATION]],LT_REF[],7,0),14))</f>
        <v>10</v>
      </c>
      <c r="AY259" s="333">
        <f>IFERROR(ESS_DATA[[#This Row],[ODP ETA Port]]+ESS_DATA[[#This Row],[Customs/Leg3 Assumption]],"n/a")</f>
        <v>46382</v>
      </c>
      <c r="AZ259" s="326">
        <f>YEAR(ESS_DATA[[#This Row],[ETA for New Ark update]])</f>
        <v>2026</v>
      </c>
      <c r="BA259" s="326">
        <f>MONTH(ESS_DATA[[#This Row],[ETA for New Ark update]])</f>
        <v>12</v>
      </c>
      <c r="BB259" s="326">
        <f>IFERROR(_xlfn.ISOWEEKNUM(ESS_DATA[[#This Row],[ETA for New Ark update]]),0)</f>
        <v>52</v>
      </c>
      <c r="BC259" s="326" t="str">
        <f>_xlfn.XLOOKUP(ESS_DATA[[#This Row],[PORT DESTINATION]],Table12[PORT DESTINATION],Table12[Cosco Line],,0)</f>
        <v>AEM</v>
      </c>
      <c r="BD259" s="326"/>
      <c r="BE259" s="336"/>
      <c r="BF259" s="336"/>
      <c r="BG259" s="336"/>
      <c r="BH259" s="336"/>
      <c r="BI259" s="336"/>
    </row>
    <row r="260" spans="1:61" s="886" customFormat="1" ht="16.5" customHeight="1">
      <c r="A260" s="325" t="s">
        <v>8532</v>
      </c>
      <c r="B260" s="327" t="s">
        <v>7814</v>
      </c>
      <c r="C260" s="327" t="str">
        <f>IFERROR(LEFT(ESS_DATA[[#This Row],[TCL REFERENCE]],FIND(".",ESS_DATA[[#This Row],[TCL REFERENCE]],1)-1),"Main Line")</f>
        <v>26OCT005</v>
      </c>
      <c r="D260" s="327" t="s">
        <v>63</v>
      </c>
      <c r="E260" s="335" t="s">
        <v>64</v>
      </c>
      <c r="F260" s="326" t="str" cm="1">
        <f t="array" ref="F260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Plan-SPIT</v>
      </c>
      <c r="G260" s="327"/>
      <c r="H260" s="327"/>
      <c r="I260" s="331"/>
      <c r="J260" s="327"/>
      <c r="K260" s="327"/>
      <c r="L260" s="328"/>
      <c r="M260" s="329"/>
      <c r="N260" s="885" t="s">
        <v>7851</v>
      </c>
      <c r="O260" s="885" t="s">
        <v>7852</v>
      </c>
      <c r="P260" s="885" t="s">
        <v>7853</v>
      </c>
      <c r="Q260" s="354"/>
      <c r="R260" s="331">
        <v>276</v>
      </c>
      <c r="S260" s="332"/>
      <c r="T260" s="327"/>
      <c r="U260" s="337">
        <f>ESS_DATA[[#This Row],[QUANTITY]]/276</f>
        <v>1</v>
      </c>
      <c r="V260" s="368" t="s">
        <v>8086</v>
      </c>
      <c r="W260" s="327" t="s">
        <v>8529</v>
      </c>
      <c r="X260" s="326" t="str">
        <f>IF(AL260&lt;&gt;"","COMPLETED",IF(AI260&lt;&gt;"","IN-TRANSIT",""))</f>
        <v/>
      </c>
      <c r="Y260" s="333">
        <v>46317</v>
      </c>
      <c r="Z260" s="333">
        <v>46321</v>
      </c>
      <c r="AA260" s="334">
        <f>WEEKNUM(ESS_DATA[[#This Row],[Pick-Up Date]])</f>
        <v>44</v>
      </c>
      <c r="AB260" s="327"/>
      <c r="AC260" s="327"/>
      <c r="AD260" s="327" t="s">
        <v>122</v>
      </c>
      <c r="AE260" s="327" t="s">
        <v>122</v>
      </c>
      <c r="AF260" s="41" t="s">
        <v>314</v>
      </c>
      <c r="AG260" s="333">
        <v>46327</v>
      </c>
      <c r="AH260" s="333">
        <v>46331</v>
      </c>
      <c r="AI260" s="333"/>
      <c r="AJ260" s="333">
        <v>46372</v>
      </c>
      <c r="AK260" s="333">
        <v>46372</v>
      </c>
      <c r="AL260" s="333"/>
      <c r="AM260" s="335" t="s">
        <v>402</v>
      </c>
      <c r="AN260" s="333" t="s">
        <v>8530</v>
      </c>
      <c r="AO260" s="333" t="s">
        <v>161</v>
      </c>
      <c r="AP260" s="333" t="s">
        <v>8531</v>
      </c>
      <c r="AQ260" s="327">
        <v>279562037</v>
      </c>
      <c r="AR260" s="327">
        <v>279562037</v>
      </c>
      <c r="AS260" s="327">
        <f>ESS_DATA[[#This Row],[ETA On S/O]]-ESS_DATA[[#This Row],[ETD On S/O]]+1</f>
        <v>46</v>
      </c>
      <c r="AT260" s="327"/>
      <c r="AU260" s="333" cm="1">
        <f t="array" ref="AU26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46372</v>
      </c>
      <c r="AV260" s="32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60" s="1176" t="str">
        <f>IF(ISERROR(ESS_DATA[[#This Row],[New Ark PO status]]),"",_xlfn.XLOOKUP(ESS_DATA[[#This Row],[SPTN-PVHK New Ark PO'#]],New_Ark_Data[Purchase order Number],New_Ark_Data[Estimated time of arrival],"",0))</f>
        <v/>
      </c>
      <c r="AX260" s="327">
        <f>IF(ESS_DATA[[#This Row],[New Ark PO Type]]="Offshore",0,IFERROR(VLOOKUP(ESS_DATA[[#This Row],[PORT OF LOADING]]&amp;ESS_DATA[[#This Row],[PORT DESTINATION]],LT_REF[],7,0),14))</f>
        <v>10</v>
      </c>
      <c r="AY260" s="333">
        <f>IFERROR(ESS_DATA[[#This Row],[ODP ETA Port]]+ESS_DATA[[#This Row],[Customs/Leg3 Assumption]],"n/a")</f>
        <v>46382</v>
      </c>
      <c r="AZ260" s="326">
        <f>YEAR(ESS_DATA[[#This Row],[ETA for New Ark update]])</f>
        <v>2026</v>
      </c>
      <c r="BA260" s="326">
        <f>MONTH(ESS_DATA[[#This Row],[ETA for New Ark update]])</f>
        <v>12</v>
      </c>
      <c r="BB260" s="326">
        <f>IFERROR(_xlfn.ISOWEEKNUM(ESS_DATA[[#This Row],[ETA for New Ark update]]),0)</f>
        <v>52</v>
      </c>
      <c r="BC260" s="326" t="str">
        <f>_xlfn.XLOOKUP(ESS_DATA[[#This Row],[PORT DESTINATION]],Table12[PORT DESTINATION],Table12[Cosco Line],,0)</f>
        <v>AEM</v>
      </c>
      <c r="BD260" s="326"/>
      <c r="BE260" s="336"/>
      <c r="BF260" s="336"/>
      <c r="BG260" s="336"/>
      <c r="BH260" s="336"/>
      <c r="BI260" s="336"/>
    </row>
    <row r="261" spans="1:61" s="613" customFormat="1" ht="16.5" customHeight="1">
      <c r="A261" s="1325" t="s">
        <v>8533</v>
      </c>
      <c r="B261" s="1326"/>
      <c r="C261" s="1326" t="str">
        <f>IFERROR(LEFT(ESS_DATA[[#This Row],[TCL REFERENCE]],FIND(".",ESS_DATA[[#This Row],[TCL REFERENCE]],1)-1),"Main Line")</f>
        <v>Main Line</v>
      </c>
      <c r="D261" s="1334" t="s">
        <v>68</v>
      </c>
      <c r="E261" s="1334" t="s">
        <v>68</v>
      </c>
      <c r="F261" s="1334" t="s">
        <v>68</v>
      </c>
      <c r="G261" s="1326"/>
      <c r="H261" s="340" t="s">
        <v>8019</v>
      </c>
      <c r="I261" s="344"/>
      <c r="J261" s="1326"/>
      <c r="K261" s="1326"/>
      <c r="L261" s="1335"/>
      <c r="M261" s="1334"/>
      <c r="N261" s="1327" t="s">
        <v>8459</v>
      </c>
      <c r="O261" s="349" t="s">
        <v>8460</v>
      </c>
      <c r="P261" s="1328" t="s">
        <v>8534</v>
      </c>
      <c r="Q261" s="1337"/>
      <c r="R261" s="1328">
        <v>7</v>
      </c>
      <c r="S261" s="1338"/>
      <c r="T261" s="1326"/>
      <c r="U261" s="1329">
        <f>ESS_DATA[[#This Row],[QUANTITY]]/18</f>
        <v>0.3888888888888889</v>
      </c>
      <c r="V261" s="612" t="s">
        <v>8099</v>
      </c>
      <c r="W261" s="1326"/>
      <c r="X261" s="343" t="str">
        <f>IF(AL261&lt;&gt;"","COMPLETED",IF(AI261&lt;&gt;"","IN-TRANSIT",""))</f>
        <v/>
      </c>
      <c r="Y261" s="1330"/>
      <c r="Z261" s="1330"/>
      <c r="AA261" s="1331">
        <f>WEEKNUM(ESS_DATA[[#This Row],[Pick-Up Date]])</f>
        <v>0</v>
      </c>
      <c r="AB261" s="1326"/>
      <c r="AC261" s="1326"/>
      <c r="AD261" s="1326" t="s">
        <v>288</v>
      </c>
      <c r="AE261" s="340" t="s">
        <v>288</v>
      </c>
      <c r="AF261" s="1326" t="s">
        <v>8535</v>
      </c>
      <c r="AG261" s="1330"/>
      <c r="AH261" s="1330"/>
      <c r="AI261" s="1330"/>
      <c r="AJ261" s="1330"/>
      <c r="AK261" s="1330"/>
      <c r="AL261" s="1330"/>
      <c r="AM261" s="1336" t="s">
        <v>156</v>
      </c>
      <c r="AN261" s="1330"/>
      <c r="AO261" s="1330"/>
      <c r="AP261" s="1330"/>
      <c r="AQ261" s="1326"/>
      <c r="AR261" s="1326"/>
      <c r="AS261" s="1326">
        <f>ESS_DATA[[#This Row],[ETA On S/O]]-ESS_DATA[[#This Row],[ETD On S/O]]+1</f>
        <v>1</v>
      </c>
      <c r="AT261" s="1326"/>
      <c r="AU261" s="347" cm="1">
        <f t="array" ref="AU26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0</v>
      </c>
      <c r="AV261" s="1326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61" s="1332" t="str">
        <f>IF(ISERROR(ESS_DATA[[#This Row],[New Ark PO status]]),"",_xlfn.XLOOKUP(ESS_DATA[[#This Row],[SPTN-PVHK New Ark PO'#]],New_Ark_Data[Purchase order Number],New_Ark_Data[Estimated time of arrival],"",0))</f>
        <v/>
      </c>
      <c r="AX261" s="340">
        <f>IF(ESS_DATA[[#This Row],[New Ark PO Type]]="Offshore",0,IFERROR(VLOOKUP(ESS_DATA[[#This Row],[PORT OF LOADING]]&amp;ESS_DATA[[#This Row],[PORT DESTINATION]],LT_REF[],7,0),14))</f>
        <v>14</v>
      </c>
      <c r="AY261" s="1330">
        <f>IFERROR(ESS_DATA[[#This Row],[ODP ETA Port]]+ESS_DATA[[#This Row],[Customs/Leg3 Assumption]],"n/a")</f>
        <v>14</v>
      </c>
      <c r="AZ261" s="1333">
        <f>YEAR(ESS_DATA[[#This Row],[ETA for New Ark update]])</f>
        <v>1900</v>
      </c>
      <c r="BA261" s="1333">
        <f>MONTH(ESS_DATA[[#This Row],[ETA for New Ark update]])</f>
        <v>1</v>
      </c>
      <c r="BB261" s="1333">
        <f>IFERROR(_xlfn.ISOWEEKNUM(ESS_DATA[[#This Row],[ETA for New Ark update]]),0)</f>
        <v>2</v>
      </c>
      <c r="BC261" s="1333" t="e">
        <f>_xlfn.XLOOKUP(ESS_DATA[[#This Row],[PORT DESTINATION]],Table12[PORT DESTINATION],Table12[Cosco Line],,0)</f>
        <v>#N/A</v>
      </c>
      <c r="BD261" s="1333"/>
      <c r="BE261" s="350"/>
      <c r="BF261" s="350"/>
      <c r="BG261" s="350"/>
      <c r="BH261" s="350"/>
      <c r="BI261" s="350"/>
    </row>
    <row r="262" spans="1:61" s="613" customFormat="1" ht="16.5" customHeight="1">
      <c r="A262" s="1325" t="s">
        <v>8536</v>
      </c>
      <c r="B262" s="1326"/>
      <c r="C262" s="1326" t="str">
        <f>IFERROR(LEFT(ESS_DATA[[#This Row],[TCL REFERENCE]],FIND(".",ESS_DATA[[#This Row],[TCL REFERENCE]],1)-1),"Main Line")</f>
        <v>Main Line</v>
      </c>
      <c r="D262" s="1334" t="s">
        <v>68</v>
      </c>
      <c r="E262" s="1334" t="s">
        <v>68</v>
      </c>
      <c r="F262" s="1334" t="s">
        <v>68</v>
      </c>
      <c r="G262" s="1326"/>
      <c r="H262" s="340" t="s">
        <v>8019</v>
      </c>
      <c r="I262" s="344"/>
      <c r="J262" s="1326"/>
      <c r="K262" s="1326"/>
      <c r="L262" s="1335"/>
      <c r="M262" s="1334"/>
      <c r="N262" s="1327" t="s">
        <v>8537</v>
      </c>
      <c r="O262" s="349" t="s">
        <v>8538</v>
      </c>
      <c r="P262" s="1328" t="s">
        <v>8539</v>
      </c>
      <c r="Q262" s="1337"/>
      <c r="R262" s="1328">
        <v>1</v>
      </c>
      <c r="S262" s="1338"/>
      <c r="T262" s="1326"/>
      <c r="U262" s="1329">
        <f>ESS_DATA[[#This Row],[QUANTITY]]/18</f>
        <v>5.5555555555555552E-2</v>
      </c>
      <c r="V262" s="612" t="s">
        <v>8099</v>
      </c>
      <c r="W262" s="1326"/>
      <c r="X262" s="343" t="str">
        <f t="shared" ref="X262:X263" si="19">IF(AL262&lt;&gt;"","COMPLETED",IF(AI262&lt;&gt;"","IN-TRANSIT",""))</f>
        <v/>
      </c>
      <c r="Y262" s="1330"/>
      <c r="Z262" s="1330"/>
      <c r="AA262" s="1331">
        <f>WEEKNUM(ESS_DATA[[#This Row],[Pick-Up Date]])</f>
        <v>0</v>
      </c>
      <c r="AB262" s="1326"/>
      <c r="AC262" s="1326"/>
      <c r="AD262" s="1326" t="s">
        <v>288</v>
      </c>
      <c r="AE262" s="340" t="s">
        <v>288</v>
      </c>
      <c r="AF262" s="1326" t="s">
        <v>8535</v>
      </c>
      <c r="AG262" s="1330"/>
      <c r="AH262" s="1330"/>
      <c r="AI262" s="1330"/>
      <c r="AJ262" s="1330"/>
      <c r="AK262" s="1330"/>
      <c r="AL262" s="1330"/>
      <c r="AM262" s="1336" t="s">
        <v>156</v>
      </c>
      <c r="AN262" s="1330"/>
      <c r="AO262" s="1330"/>
      <c r="AP262" s="1330"/>
      <c r="AQ262" s="1326"/>
      <c r="AR262" s="1326"/>
      <c r="AS262" s="1326">
        <f>ESS_DATA[[#This Row],[ETA On S/O]]-ESS_DATA[[#This Row],[ETD On S/O]]+1</f>
        <v>1</v>
      </c>
      <c r="AT262" s="1326"/>
      <c r="AU262" s="347" cm="1">
        <f t="array" ref="AU26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0</v>
      </c>
      <c r="AV262" s="1326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62" s="1332" t="str">
        <f>IF(ISERROR(ESS_DATA[[#This Row],[New Ark PO status]]),"",_xlfn.XLOOKUP(ESS_DATA[[#This Row],[SPTN-PVHK New Ark PO'#]],New_Ark_Data[Purchase order Number],New_Ark_Data[Estimated time of arrival],"",0))</f>
        <v/>
      </c>
      <c r="AX262" s="340">
        <f>IF(ESS_DATA[[#This Row],[New Ark PO Type]]="Offshore",0,IFERROR(VLOOKUP(ESS_DATA[[#This Row],[PORT OF LOADING]]&amp;ESS_DATA[[#This Row],[PORT DESTINATION]],LT_REF[],7,0),14))</f>
        <v>14</v>
      </c>
      <c r="AY262" s="1330">
        <f>IFERROR(ESS_DATA[[#This Row],[ODP ETA Port]]+ESS_DATA[[#This Row],[Customs/Leg3 Assumption]],"n/a")</f>
        <v>14</v>
      </c>
      <c r="AZ262" s="1333">
        <f>YEAR(ESS_DATA[[#This Row],[ETA for New Ark update]])</f>
        <v>1900</v>
      </c>
      <c r="BA262" s="1333">
        <f>MONTH(ESS_DATA[[#This Row],[ETA for New Ark update]])</f>
        <v>1</v>
      </c>
      <c r="BB262" s="1333">
        <f>IFERROR(_xlfn.ISOWEEKNUM(ESS_DATA[[#This Row],[ETA for New Ark update]]),0)</f>
        <v>2</v>
      </c>
      <c r="BC262" s="1333" t="e">
        <f>_xlfn.XLOOKUP(ESS_DATA[[#This Row],[PORT DESTINATION]],Table12[PORT DESTINATION],Table12[Cosco Line],,0)</f>
        <v>#N/A</v>
      </c>
      <c r="BD262" s="1333"/>
      <c r="BE262" s="350"/>
      <c r="BF262" s="350"/>
      <c r="BG262" s="350"/>
      <c r="BH262" s="350"/>
      <c r="BI262" s="350"/>
    </row>
    <row r="263" spans="1:61" s="613" customFormat="1" ht="16.5" customHeight="1">
      <c r="A263" s="1325" t="s">
        <v>8540</v>
      </c>
      <c r="B263" s="1326"/>
      <c r="C263" s="1326" t="str">
        <f>IFERROR(LEFT(ESS_DATA[[#This Row],[TCL REFERENCE]],FIND(".",ESS_DATA[[#This Row],[TCL REFERENCE]],1)-1),"Main Line")</f>
        <v>Main Line</v>
      </c>
      <c r="D263" s="1334" t="s">
        <v>68</v>
      </c>
      <c r="E263" s="1334" t="s">
        <v>68</v>
      </c>
      <c r="F263" s="1334" t="s">
        <v>68</v>
      </c>
      <c r="G263" s="1326"/>
      <c r="H263" s="340" t="s">
        <v>8019</v>
      </c>
      <c r="I263" s="344"/>
      <c r="J263" s="1326"/>
      <c r="K263" s="1326"/>
      <c r="L263" s="1335"/>
      <c r="M263" s="1334"/>
      <c r="N263" s="1327" t="s">
        <v>8459</v>
      </c>
      <c r="O263" s="349" t="s">
        <v>8460</v>
      </c>
      <c r="P263" s="1328" t="s">
        <v>8534</v>
      </c>
      <c r="Q263" s="1337"/>
      <c r="R263" s="1328">
        <v>3</v>
      </c>
      <c r="S263" s="1338"/>
      <c r="T263" s="1326"/>
      <c r="U263" s="1329">
        <f>ESS_DATA[[#This Row],[QUANTITY]]/18</f>
        <v>0.16666666666666666</v>
      </c>
      <c r="V263" s="612" t="s">
        <v>8099</v>
      </c>
      <c r="W263" s="1326"/>
      <c r="X263" s="343" t="str">
        <f t="shared" si="19"/>
        <v/>
      </c>
      <c r="Y263" s="1330"/>
      <c r="Z263" s="1330"/>
      <c r="AA263" s="1331">
        <f>WEEKNUM(ESS_DATA[[#This Row],[Pick-Up Date]])</f>
        <v>0</v>
      </c>
      <c r="AB263" s="1326"/>
      <c r="AC263" s="1326"/>
      <c r="AD263" s="1326" t="s">
        <v>288</v>
      </c>
      <c r="AE263" s="340" t="s">
        <v>288</v>
      </c>
      <c r="AF263" s="1326" t="s">
        <v>8535</v>
      </c>
      <c r="AG263" s="1330"/>
      <c r="AH263" s="1330"/>
      <c r="AI263" s="1330"/>
      <c r="AJ263" s="1330"/>
      <c r="AK263" s="1330"/>
      <c r="AL263" s="1330"/>
      <c r="AM263" s="1336" t="s">
        <v>156</v>
      </c>
      <c r="AN263" s="1330"/>
      <c r="AO263" s="1330"/>
      <c r="AP263" s="1330"/>
      <c r="AQ263" s="1326"/>
      <c r="AR263" s="1326"/>
      <c r="AS263" s="1326">
        <f>ESS_DATA[[#This Row],[ETA On S/O]]-ESS_DATA[[#This Row],[ETD On S/O]]+1</f>
        <v>1</v>
      </c>
      <c r="AT263" s="1326"/>
      <c r="AU263" s="347" cm="1">
        <f t="array" ref="AU26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0</v>
      </c>
      <c r="AV263" s="1326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63" s="1332" t="str">
        <f>IF(ISERROR(ESS_DATA[[#This Row],[New Ark PO status]]),"",_xlfn.XLOOKUP(ESS_DATA[[#This Row],[SPTN-PVHK New Ark PO'#]],New_Ark_Data[Purchase order Number],New_Ark_Data[Estimated time of arrival],"",0))</f>
        <v/>
      </c>
      <c r="AX263" s="340">
        <f>IF(ESS_DATA[[#This Row],[New Ark PO Type]]="Offshore",0,IFERROR(VLOOKUP(ESS_DATA[[#This Row],[PORT OF LOADING]]&amp;ESS_DATA[[#This Row],[PORT DESTINATION]],LT_REF[],7,0),14))</f>
        <v>14</v>
      </c>
      <c r="AY263" s="1330">
        <f>IFERROR(ESS_DATA[[#This Row],[ODP ETA Port]]+ESS_DATA[[#This Row],[Customs/Leg3 Assumption]],"n/a")</f>
        <v>14</v>
      </c>
      <c r="AZ263" s="1333">
        <f>YEAR(ESS_DATA[[#This Row],[ETA for New Ark update]])</f>
        <v>1900</v>
      </c>
      <c r="BA263" s="1333">
        <f>MONTH(ESS_DATA[[#This Row],[ETA for New Ark update]])</f>
        <v>1</v>
      </c>
      <c r="BB263" s="1333">
        <f>IFERROR(_xlfn.ISOWEEKNUM(ESS_DATA[[#This Row],[ETA for New Ark update]]),0)</f>
        <v>2</v>
      </c>
      <c r="BC263" s="1333" t="e">
        <f>_xlfn.XLOOKUP(ESS_DATA[[#This Row],[PORT DESTINATION]],Table12[PORT DESTINATION],Table12[Cosco Line],,0)</f>
        <v>#N/A</v>
      </c>
      <c r="BD263" s="1333"/>
      <c r="BE263" s="350"/>
      <c r="BF263" s="350"/>
      <c r="BG263" s="350"/>
      <c r="BH263" s="350"/>
      <c r="BI263" s="350"/>
    </row>
    <row r="264" spans="1:61" s="613" customFormat="1" ht="16.5" customHeight="1">
      <c r="A264" s="1325" t="s">
        <v>8541</v>
      </c>
      <c r="B264" s="1326"/>
      <c r="C264" s="1326" t="str">
        <f>IFERROR(LEFT(ESS_DATA[[#This Row],[TCL REFERENCE]],FIND(".",ESS_DATA[[#This Row],[TCL REFERENCE]],1)-1),"Main Line")</f>
        <v>Main Line</v>
      </c>
      <c r="D264" s="1334" t="s">
        <v>68</v>
      </c>
      <c r="E264" s="1334" t="s">
        <v>68</v>
      </c>
      <c r="F264" s="1334" t="s">
        <v>68</v>
      </c>
      <c r="G264" s="1326"/>
      <c r="H264" s="340" t="s">
        <v>8019</v>
      </c>
      <c r="I264" s="344"/>
      <c r="J264" s="1326"/>
      <c r="K264" s="1326"/>
      <c r="L264" s="1335"/>
      <c r="M264" s="1334"/>
      <c r="N264" s="1327" t="s">
        <v>8542</v>
      </c>
      <c r="O264" s="349" t="s">
        <v>8460</v>
      </c>
      <c r="P264" s="1328" t="s">
        <v>8543</v>
      </c>
      <c r="Q264" s="1337"/>
      <c r="R264" s="1328">
        <v>4</v>
      </c>
      <c r="S264" s="1338"/>
      <c r="T264" s="1326"/>
      <c r="U264" s="1329">
        <f>ESS_DATA[[#This Row],[QUANTITY]]/18</f>
        <v>0.22222222222222221</v>
      </c>
      <c r="V264" s="612" t="s">
        <v>8099</v>
      </c>
      <c r="W264" s="1326"/>
      <c r="X264" s="343" t="str">
        <f t="shared" ref="X264:X265" si="20">IF(AL264&lt;&gt;"","COMPLETED",IF(AI264&lt;&gt;"","IN-TRANSIT",""))</f>
        <v/>
      </c>
      <c r="Y264" s="1330"/>
      <c r="Z264" s="1330"/>
      <c r="AA264" s="1331">
        <f>WEEKNUM(ESS_DATA[[#This Row],[Pick-Up Date]])</f>
        <v>0</v>
      </c>
      <c r="AB264" s="1326"/>
      <c r="AC264" s="1326"/>
      <c r="AD264" s="1326" t="s">
        <v>288</v>
      </c>
      <c r="AE264" s="340" t="s">
        <v>288</v>
      </c>
      <c r="AF264" s="1326" t="s">
        <v>8535</v>
      </c>
      <c r="AG264" s="1330"/>
      <c r="AH264" s="1330"/>
      <c r="AI264" s="1330"/>
      <c r="AJ264" s="1330"/>
      <c r="AK264" s="1330"/>
      <c r="AL264" s="1330"/>
      <c r="AM264" s="1336" t="s">
        <v>156</v>
      </c>
      <c r="AN264" s="1330"/>
      <c r="AO264" s="1330"/>
      <c r="AP264" s="1330"/>
      <c r="AQ264" s="1326"/>
      <c r="AR264" s="1326"/>
      <c r="AS264" s="1326">
        <f>ESS_DATA[[#This Row],[ETA On S/O]]-ESS_DATA[[#This Row],[ETD On S/O]]+1</f>
        <v>1</v>
      </c>
      <c r="AT264" s="1326"/>
      <c r="AU264" s="347" cm="1">
        <f t="array" ref="AU26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0</v>
      </c>
      <c r="AV264" s="1326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64" s="1332" t="str">
        <f>IF(ISERROR(ESS_DATA[[#This Row],[New Ark PO status]]),"",_xlfn.XLOOKUP(ESS_DATA[[#This Row],[SPTN-PVHK New Ark PO'#]],New_Ark_Data[Purchase order Number],New_Ark_Data[Estimated time of arrival],"",0))</f>
        <v/>
      </c>
      <c r="AX264" s="340">
        <f>IF(ESS_DATA[[#This Row],[New Ark PO Type]]="Offshore",0,IFERROR(VLOOKUP(ESS_DATA[[#This Row],[PORT OF LOADING]]&amp;ESS_DATA[[#This Row],[PORT DESTINATION]],LT_REF[],7,0),14))</f>
        <v>14</v>
      </c>
      <c r="AY264" s="1330">
        <f>IFERROR(ESS_DATA[[#This Row],[ODP ETA Port]]+ESS_DATA[[#This Row],[Customs/Leg3 Assumption]],"n/a")</f>
        <v>14</v>
      </c>
      <c r="AZ264" s="1333">
        <f>YEAR(ESS_DATA[[#This Row],[ETA for New Ark update]])</f>
        <v>1900</v>
      </c>
      <c r="BA264" s="1333">
        <f>MONTH(ESS_DATA[[#This Row],[ETA for New Ark update]])</f>
        <v>1</v>
      </c>
      <c r="BB264" s="1333">
        <f>IFERROR(_xlfn.ISOWEEKNUM(ESS_DATA[[#This Row],[ETA for New Ark update]]),0)</f>
        <v>2</v>
      </c>
      <c r="BC264" s="1333" t="e">
        <f>_xlfn.XLOOKUP(ESS_DATA[[#This Row],[PORT DESTINATION]],Table12[PORT DESTINATION],Table12[Cosco Line],,0)</f>
        <v>#N/A</v>
      </c>
      <c r="BD264" s="1333"/>
      <c r="BE264" s="350"/>
      <c r="BF264" s="350"/>
      <c r="BG264" s="350"/>
      <c r="BH264" s="350"/>
      <c r="BI264" s="350"/>
    </row>
    <row r="265" spans="1:61" s="613" customFormat="1" ht="16.5" customHeight="1">
      <c r="A265" s="1325" t="s">
        <v>8544</v>
      </c>
      <c r="B265" s="1326"/>
      <c r="C265" s="1326" t="str">
        <f>IFERROR(LEFT(ESS_DATA[[#This Row],[TCL REFERENCE]],FIND(".",ESS_DATA[[#This Row],[TCL REFERENCE]],1)-1),"Main Line")</f>
        <v>Main Line</v>
      </c>
      <c r="D265" s="1334" t="s">
        <v>68</v>
      </c>
      <c r="E265" s="1334" t="s">
        <v>68</v>
      </c>
      <c r="F265" s="1334" t="s">
        <v>68</v>
      </c>
      <c r="G265" s="1326"/>
      <c r="H265" s="340" t="s">
        <v>8019</v>
      </c>
      <c r="I265" s="344"/>
      <c r="J265" s="1326"/>
      <c r="K265" s="1326"/>
      <c r="L265" s="1335"/>
      <c r="M265" s="1334"/>
      <c r="N265" s="1327" t="s">
        <v>8545</v>
      </c>
      <c r="O265" s="349" t="s">
        <v>7829</v>
      </c>
      <c r="P265" s="1328" t="s">
        <v>8546</v>
      </c>
      <c r="Q265" s="1337"/>
      <c r="R265" s="1328">
        <v>1</v>
      </c>
      <c r="S265" s="1338"/>
      <c r="T265" s="1326"/>
      <c r="U265" s="1329">
        <f>ESS_DATA[[#This Row],[QUANTITY]]/18</f>
        <v>5.5555555555555552E-2</v>
      </c>
      <c r="V265" s="612" t="s">
        <v>8099</v>
      </c>
      <c r="W265" s="1326"/>
      <c r="X265" s="343" t="str">
        <f t="shared" si="20"/>
        <v/>
      </c>
      <c r="Y265" s="1330"/>
      <c r="Z265" s="1330"/>
      <c r="AA265" s="1331">
        <f>WEEKNUM(ESS_DATA[[#This Row],[Pick-Up Date]])</f>
        <v>0</v>
      </c>
      <c r="AB265" s="1326"/>
      <c r="AC265" s="1326"/>
      <c r="AD265" s="1326" t="s">
        <v>288</v>
      </c>
      <c r="AE265" s="340" t="s">
        <v>288</v>
      </c>
      <c r="AF265" s="1326" t="s">
        <v>8535</v>
      </c>
      <c r="AG265" s="1330"/>
      <c r="AH265" s="1330"/>
      <c r="AI265" s="1330"/>
      <c r="AJ265" s="1330"/>
      <c r="AK265" s="1330"/>
      <c r="AL265" s="1330"/>
      <c r="AM265" s="1336" t="s">
        <v>156</v>
      </c>
      <c r="AN265" s="1330"/>
      <c r="AO265" s="1330"/>
      <c r="AP265" s="1330"/>
      <c r="AQ265" s="1326"/>
      <c r="AR265" s="1326"/>
      <c r="AS265" s="1326">
        <f>ESS_DATA[[#This Row],[ETA On S/O]]-ESS_DATA[[#This Row],[ETD On S/O]]+1</f>
        <v>1</v>
      </c>
      <c r="AT265" s="1326"/>
      <c r="AU265" s="347" cm="1">
        <f t="array" ref="AU26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0</v>
      </c>
      <c r="AV265" s="1326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65" s="1332" t="str">
        <f>IF(ISERROR(ESS_DATA[[#This Row],[New Ark PO status]]),"",_xlfn.XLOOKUP(ESS_DATA[[#This Row],[SPTN-PVHK New Ark PO'#]],New_Ark_Data[Purchase order Number],New_Ark_Data[Estimated time of arrival],"",0))</f>
        <v/>
      </c>
      <c r="AX265" s="340">
        <f>IF(ESS_DATA[[#This Row],[New Ark PO Type]]="Offshore",0,IFERROR(VLOOKUP(ESS_DATA[[#This Row],[PORT OF LOADING]]&amp;ESS_DATA[[#This Row],[PORT DESTINATION]],LT_REF[],7,0),14))</f>
        <v>14</v>
      </c>
      <c r="AY265" s="1330">
        <f>IFERROR(ESS_DATA[[#This Row],[ODP ETA Port]]+ESS_DATA[[#This Row],[Customs/Leg3 Assumption]],"n/a")</f>
        <v>14</v>
      </c>
      <c r="AZ265" s="1333">
        <f>YEAR(ESS_DATA[[#This Row],[ETA for New Ark update]])</f>
        <v>1900</v>
      </c>
      <c r="BA265" s="1333">
        <f>MONTH(ESS_DATA[[#This Row],[ETA for New Ark update]])</f>
        <v>1</v>
      </c>
      <c r="BB265" s="1333">
        <f>IFERROR(_xlfn.ISOWEEKNUM(ESS_DATA[[#This Row],[ETA for New Ark update]]),0)</f>
        <v>2</v>
      </c>
      <c r="BC265" s="1333" t="e">
        <f>_xlfn.XLOOKUP(ESS_DATA[[#This Row],[PORT DESTINATION]],Table12[PORT DESTINATION],Table12[Cosco Line],,0)</f>
        <v>#N/A</v>
      </c>
      <c r="BD265" s="1333"/>
      <c r="BE265" s="350"/>
      <c r="BF265" s="350"/>
      <c r="BG265" s="350"/>
      <c r="BH265" s="350"/>
      <c r="BI265" s="350"/>
    </row>
    <row r="266" spans="1:61" s="613" customFormat="1" ht="16.5" customHeight="1">
      <c r="A266" s="1325" t="s">
        <v>8547</v>
      </c>
      <c r="B266" s="1326"/>
      <c r="C266" s="1326" t="str">
        <f>IFERROR(LEFT(ESS_DATA[[#This Row],[TCL REFERENCE]],FIND(".",ESS_DATA[[#This Row],[TCL REFERENCE]],1)-1),"Main Line")</f>
        <v>Main Line</v>
      </c>
      <c r="D266" s="1334" t="s">
        <v>68</v>
      </c>
      <c r="E266" s="1334" t="s">
        <v>68</v>
      </c>
      <c r="F266" s="1334" t="s">
        <v>68</v>
      </c>
      <c r="G266" s="1326"/>
      <c r="H266" s="340" t="s">
        <v>8019</v>
      </c>
      <c r="I266" s="344"/>
      <c r="J266" s="1326"/>
      <c r="K266" s="1326"/>
      <c r="L266" s="1335"/>
      <c r="M266" s="1334"/>
      <c r="N266" s="1327" t="s">
        <v>8548</v>
      </c>
      <c r="O266" s="349" t="s">
        <v>7852</v>
      </c>
      <c r="P266" s="1328" t="s">
        <v>8549</v>
      </c>
      <c r="Q266" s="1337"/>
      <c r="R266" s="1328">
        <v>1</v>
      </c>
      <c r="S266" s="1338"/>
      <c r="T266" s="1326"/>
      <c r="U266" s="1329">
        <f>ESS_DATA[[#This Row],[QUANTITY]]/18</f>
        <v>5.5555555555555552E-2</v>
      </c>
      <c r="V266" s="612" t="s">
        <v>8099</v>
      </c>
      <c r="W266" s="1326"/>
      <c r="X266" s="343" t="str">
        <f>IF(AL266&lt;&gt;"","COMPLETED",IF(AI266&lt;&gt;"","IN-TRANSIT",""))</f>
        <v/>
      </c>
      <c r="Y266" s="1330"/>
      <c r="Z266" s="1330"/>
      <c r="AA266" s="1331">
        <f>WEEKNUM(ESS_DATA[[#This Row],[Pick-Up Date]])</f>
        <v>0</v>
      </c>
      <c r="AB266" s="1326"/>
      <c r="AC266" s="1326"/>
      <c r="AD266" s="1326" t="s">
        <v>288</v>
      </c>
      <c r="AE266" s="340" t="s">
        <v>288</v>
      </c>
      <c r="AF266" s="1326" t="s">
        <v>8535</v>
      </c>
      <c r="AG266" s="1330"/>
      <c r="AH266" s="1330"/>
      <c r="AI266" s="1330"/>
      <c r="AJ266" s="1330"/>
      <c r="AK266" s="1330"/>
      <c r="AL266" s="1330"/>
      <c r="AM266" s="1336" t="s">
        <v>156</v>
      </c>
      <c r="AN266" s="1330"/>
      <c r="AO266" s="1330"/>
      <c r="AP266" s="1330"/>
      <c r="AQ266" s="1326"/>
      <c r="AR266" s="1326"/>
      <c r="AS266" s="1326">
        <f>ESS_DATA[[#This Row],[ETA On S/O]]-ESS_DATA[[#This Row],[ETD On S/O]]+1</f>
        <v>1</v>
      </c>
      <c r="AT266" s="1326"/>
      <c r="AU266" s="347" cm="1">
        <f t="array" ref="AU26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0</v>
      </c>
      <c r="AV266" s="1326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66" s="1332" t="str">
        <f>IF(ISERROR(ESS_DATA[[#This Row],[New Ark PO status]]),"",_xlfn.XLOOKUP(ESS_DATA[[#This Row],[SPTN-PVHK New Ark PO'#]],New_Ark_Data[Purchase order Number],New_Ark_Data[Estimated time of arrival],"",0))</f>
        <v/>
      </c>
      <c r="AX266" s="340">
        <f>IF(ESS_DATA[[#This Row],[New Ark PO Type]]="Offshore",0,IFERROR(VLOOKUP(ESS_DATA[[#This Row],[PORT OF LOADING]]&amp;ESS_DATA[[#This Row],[PORT DESTINATION]],LT_REF[],7,0),14))</f>
        <v>14</v>
      </c>
      <c r="AY266" s="1330">
        <f>IFERROR(ESS_DATA[[#This Row],[ODP ETA Port]]+ESS_DATA[[#This Row],[Customs/Leg3 Assumption]],"n/a")</f>
        <v>14</v>
      </c>
      <c r="AZ266" s="1333">
        <f>YEAR(ESS_DATA[[#This Row],[ETA for New Ark update]])</f>
        <v>1900</v>
      </c>
      <c r="BA266" s="1333">
        <f>MONTH(ESS_DATA[[#This Row],[ETA for New Ark update]])</f>
        <v>1</v>
      </c>
      <c r="BB266" s="1333">
        <f>IFERROR(_xlfn.ISOWEEKNUM(ESS_DATA[[#This Row],[ETA for New Ark update]]),0)</f>
        <v>2</v>
      </c>
      <c r="BC266" s="1333" t="e">
        <f>_xlfn.XLOOKUP(ESS_DATA[[#This Row],[PORT DESTINATION]],Table12[PORT DESTINATION],Table12[Cosco Line],,0)</f>
        <v>#N/A</v>
      </c>
      <c r="BD266" s="1333"/>
      <c r="BE266" s="350"/>
      <c r="BF266" s="350"/>
      <c r="BG266" s="350"/>
      <c r="BH266" s="350"/>
      <c r="BI266" s="350"/>
    </row>
    <row r="267" spans="1:61" s="613" customFormat="1" ht="16.5" customHeight="1">
      <c r="A267" s="1325" t="s">
        <v>8550</v>
      </c>
      <c r="B267" s="1326"/>
      <c r="C267" s="1326" t="str">
        <f>IFERROR(LEFT(ESS_DATA[[#This Row],[TCL REFERENCE]],FIND(".",ESS_DATA[[#This Row],[TCL REFERENCE]],1)-1),"Main Line")</f>
        <v>Main Line</v>
      </c>
      <c r="D267" s="1334" t="s">
        <v>68</v>
      </c>
      <c r="E267" s="1334" t="s">
        <v>68</v>
      </c>
      <c r="F267" s="1334" t="s">
        <v>68</v>
      </c>
      <c r="G267" s="1326"/>
      <c r="H267" s="340" t="s">
        <v>8019</v>
      </c>
      <c r="I267" s="344"/>
      <c r="J267" s="1326"/>
      <c r="K267" s="1326"/>
      <c r="L267" s="1335"/>
      <c r="M267" s="1334"/>
      <c r="N267" s="1327" t="s">
        <v>8551</v>
      </c>
      <c r="O267" s="349" t="s">
        <v>7852</v>
      </c>
      <c r="P267" s="1328" t="s">
        <v>8552</v>
      </c>
      <c r="Q267" s="1337"/>
      <c r="R267" s="1328">
        <v>1</v>
      </c>
      <c r="S267" s="1338"/>
      <c r="T267" s="1326"/>
      <c r="U267" s="1329">
        <f>ESS_DATA[[#This Row],[QUANTITY]]/18</f>
        <v>5.5555555555555552E-2</v>
      </c>
      <c r="V267" s="612" t="s">
        <v>8099</v>
      </c>
      <c r="W267" s="1326"/>
      <c r="X267" s="343" t="str">
        <f>IF(AL267&lt;&gt;"","COMPLETED",IF(AI267&lt;&gt;"","IN-TRANSIT",""))</f>
        <v/>
      </c>
      <c r="Y267" s="1330"/>
      <c r="Z267" s="1330"/>
      <c r="AA267" s="1331">
        <f>WEEKNUM(ESS_DATA[[#This Row],[Pick-Up Date]])</f>
        <v>0</v>
      </c>
      <c r="AB267" s="1326"/>
      <c r="AC267" s="1326"/>
      <c r="AD267" s="1326" t="s">
        <v>288</v>
      </c>
      <c r="AE267" s="340" t="s">
        <v>288</v>
      </c>
      <c r="AF267" s="1326" t="s">
        <v>8535</v>
      </c>
      <c r="AG267" s="1330"/>
      <c r="AH267" s="1330"/>
      <c r="AI267" s="1330"/>
      <c r="AJ267" s="1330"/>
      <c r="AK267" s="1330"/>
      <c r="AL267" s="1330"/>
      <c r="AM267" s="1336" t="s">
        <v>156</v>
      </c>
      <c r="AN267" s="1330"/>
      <c r="AO267" s="1330"/>
      <c r="AP267" s="1330"/>
      <c r="AQ267" s="1326"/>
      <c r="AR267" s="1326"/>
      <c r="AS267" s="1326">
        <f>ESS_DATA[[#This Row],[ETA On S/O]]-ESS_DATA[[#This Row],[ETD On S/O]]+1</f>
        <v>1</v>
      </c>
      <c r="AT267" s="1326"/>
      <c r="AU267" s="347" cm="1">
        <f t="array" ref="AU26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0</v>
      </c>
      <c r="AV267" s="1326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67" s="1332" t="str">
        <f>IF(ISERROR(ESS_DATA[[#This Row],[New Ark PO status]]),"",_xlfn.XLOOKUP(ESS_DATA[[#This Row],[SPTN-PVHK New Ark PO'#]],New_Ark_Data[Purchase order Number],New_Ark_Data[Estimated time of arrival],"",0))</f>
        <v/>
      </c>
      <c r="AX267" s="340">
        <f>IF(ESS_DATA[[#This Row],[New Ark PO Type]]="Offshore",0,IFERROR(VLOOKUP(ESS_DATA[[#This Row],[PORT OF LOADING]]&amp;ESS_DATA[[#This Row],[PORT DESTINATION]],LT_REF[],7,0),14))</f>
        <v>14</v>
      </c>
      <c r="AY267" s="1330">
        <f>IFERROR(ESS_DATA[[#This Row],[ODP ETA Port]]+ESS_DATA[[#This Row],[Customs/Leg3 Assumption]],"n/a")</f>
        <v>14</v>
      </c>
      <c r="AZ267" s="1333">
        <f>YEAR(ESS_DATA[[#This Row],[ETA for New Ark update]])</f>
        <v>1900</v>
      </c>
      <c r="BA267" s="1333">
        <f>MONTH(ESS_DATA[[#This Row],[ETA for New Ark update]])</f>
        <v>1</v>
      </c>
      <c r="BB267" s="1333">
        <f>IFERROR(_xlfn.ISOWEEKNUM(ESS_DATA[[#This Row],[ETA for New Ark update]]),0)</f>
        <v>2</v>
      </c>
      <c r="BC267" s="1333" t="e">
        <f>_xlfn.XLOOKUP(ESS_DATA[[#This Row],[PORT DESTINATION]],Table12[PORT DESTINATION],Table12[Cosco Line],,0)</f>
        <v>#N/A</v>
      </c>
      <c r="BD267" s="1333"/>
      <c r="BE267" s="350"/>
      <c r="BF267" s="350"/>
      <c r="BG267" s="350"/>
      <c r="BH267" s="350"/>
      <c r="BI267" s="350"/>
    </row>
    <row r="268" spans="1:61" s="1083" customFormat="1" ht="16.5" customHeight="1">
      <c r="A268" s="311" t="s">
        <v>8553</v>
      </c>
      <c r="B268" s="313" t="s">
        <v>7814</v>
      </c>
      <c r="C268" s="313" t="str">
        <f>IFERROR(LEFT(ESS_DATA[[#This Row],[TCL REFERENCE]],FIND(".",ESS_DATA[[#This Row],[TCL REFERENCE]],1)-1),"Main Line")</f>
        <v>26NOV002</v>
      </c>
      <c r="D268" s="313" t="s">
        <v>63</v>
      </c>
      <c r="E268" s="322" t="s">
        <v>64</v>
      </c>
      <c r="F268" s="316" t="s">
        <v>65</v>
      </c>
      <c r="G268" s="313"/>
      <c r="H268" s="313"/>
      <c r="I268" s="317"/>
      <c r="J268" s="313"/>
      <c r="K268" s="313"/>
      <c r="L268" s="314"/>
      <c r="M268" s="315"/>
      <c r="N268" s="1082" t="s">
        <v>7828</v>
      </c>
      <c r="O268" s="1082" t="s">
        <v>7829</v>
      </c>
      <c r="P268" s="1082" t="s">
        <v>7830</v>
      </c>
      <c r="Q268" s="312"/>
      <c r="R268" s="317">
        <v>22</v>
      </c>
      <c r="S268" s="318"/>
      <c r="T268" s="313"/>
      <c r="U268" s="324">
        <f>ESS_DATA[[#This Row],[QUANTITY]]/260</f>
        <v>8.461538461538462E-2</v>
      </c>
      <c r="V268" s="408" t="s">
        <v>7854</v>
      </c>
      <c r="W268" s="374" t="s">
        <v>8529</v>
      </c>
      <c r="X268" s="316" t="str">
        <f t="shared" ref="X268:X269" si="21">IF(AL268&lt;&gt;"","COMPLETED",IF(AI268&lt;&gt;"","IN-TRANSIT",""))</f>
        <v/>
      </c>
      <c r="Y268" s="688">
        <v>46315</v>
      </c>
      <c r="Z268" s="320">
        <v>46324</v>
      </c>
      <c r="AA268" s="321">
        <f>WEEKNUM(ESS_DATA[[#This Row],[Pick-Up Date]])</f>
        <v>44</v>
      </c>
      <c r="AB268" s="313"/>
      <c r="AC268" s="313"/>
      <c r="AD268" s="313" t="s">
        <v>122</v>
      </c>
      <c r="AE268" s="313" t="s">
        <v>122</v>
      </c>
      <c r="AF268" s="313" t="s">
        <v>78</v>
      </c>
      <c r="AG268" s="320">
        <v>46332</v>
      </c>
      <c r="AH268" s="320"/>
      <c r="AI268" s="320"/>
      <c r="AJ268" s="320">
        <v>46384</v>
      </c>
      <c r="AK268" s="320"/>
      <c r="AL268" s="320"/>
      <c r="AM268" s="322" t="s">
        <v>402</v>
      </c>
      <c r="AN268" s="320" t="s">
        <v>7416</v>
      </c>
      <c r="AO268" s="320" t="s">
        <v>80</v>
      </c>
      <c r="AP268" s="320"/>
      <c r="AQ268" s="313" t="s">
        <v>8554</v>
      </c>
      <c r="AR268" s="313" t="s">
        <v>8554</v>
      </c>
      <c r="AS268" s="313">
        <f>ESS_DATA[[#This Row],[ETA On S/O]]-ESS_DATA[[#This Row],[ETD On S/O]]+1</f>
        <v>53</v>
      </c>
      <c r="AT268" s="313"/>
      <c r="AU268" s="320" cm="1">
        <f t="array" ref="AU26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46384</v>
      </c>
      <c r="AV268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68" s="1150" t="str">
        <f>IF(ISERROR(ESS_DATA[[#This Row],[New Ark PO status]]),"",_xlfn.XLOOKUP(ESS_DATA[[#This Row],[SPTN-PVHK New Ark PO'#]],New_Ark_Data[Purchase order Number],New_Ark_Data[Estimated time of arrival],"",0))</f>
        <v/>
      </c>
      <c r="AX268" s="313">
        <f>IF(ESS_DATA[[#This Row],[New Ark PO Type]]="Offshore",0,IFERROR(VLOOKUP(ESS_DATA[[#This Row],[PORT OF LOADING]]&amp;ESS_DATA[[#This Row],[PORT DESTINATION]],LT_REF[],7,0),14))</f>
        <v>8</v>
      </c>
      <c r="AY268" s="320">
        <f>IFERROR(ESS_DATA[[#This Row],[ODP ETA Port]]+ESS_DATA[[#This Row],[Customs/Leg3 Assumption]],"n/a")</f>
        <v>46392</v>
      </c>
      <c r="AZ268" s="316">
        <f>YEAR(ESS_DATA[[#This Row],[ETA for New Ark update]])</f>
        <v>2027</v>
      </c>
      <c r="BA268" s="316">
        <f>MONTH(ESS_DATA[[#This Row],[ETA for New Ark update]])</f>
        <v>1</v>
      </c>
      <c r="BB268" s="316">
        <f>IFERROR(_xlfn.ISOWEEKNUM(ESS_DATA[[#This Row],[ETA for New Ark update]]),0)</f>
        <v>1</v>
      </c>
      <c r="BC268" s="316" t="str">
        <f>_xlfn.XLOOKUP(ESS_DATA[[#This Row],[PORT DESTINATION]],Table12[PORT DESTINATION],Table12[Cosco Line],,0)</f>
        <v>AEM</v>
      </c>
      <c r="BD268" s="316"/>
      <c r="BE268" s="323"/>
      <c r="BF268" s="323"/>
      <c r="BG268" s="323"/>
      <c r="BH268" s="323"/>
      <c r="BI268" s="323"/>
    </row>
    <row r="269" spans="1:61" s="1083" customFormat="1" ht="16.5" customHeight="1">
      <c r="A269" s="311" t="s">
        <v>8555</v>
      </c>
      <c r="B269" s="313" t="s">
        <v>7814</v>
      </c>
      <c r="C269" s="313" t="str">
        <f>IFERROR(LEFT(ESS_DATA[[#This Row],[TCL REFERENCE]],FIND(".",ESS_DATA[[#This Row],[TCL REFERENCE]],1)-1),"Main Line")</f>
        <v>Main Line</v>
      </c>
      <c r="D269" s="313" t="s">
        <v>63</v>
      </c>
      <c r="E269" s="322" t="s">
        <v>64</v>
      </c>
      <c r="F269" s="316" t="str" cm="1">
        <f t="array" ref="F269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69" s="313"/>
      <c r="H269" s="313"/>
      <c r="I269" s="317"/>
      <c r="J269" s="313"/>
      <c r="K269" s="313"/>
      <c r="L269" s="314"/>
      <c r="M269" s="315"/>
      <c r="N269" s="1082" t="s">
        <v>7828</v>
      </c>
      <c r="O269" s="1082" t="s">
        <v>7829</v>
      </c>
      <c r="P269" s="1082" t="s">
        <v>7830</v>
      </c>
      <c r="Q269" s="312"/>
      <c r="R269" s="317">
        <v>28</v>
      </c>
      <c r="S269" s="318"/>
      <c r="T269" s="313"/>
      <c r="U269" s="324">
        <f>ESS_DATA[[#This Row],[QUANTITY]]/260</f>
        <v>0.1076923076923077</v>
      </c>
      <c r="V269" s="408" t="s">
        <v>7854</v>
      </c>
      <c r="W269" s="374" t="s">
        <v>8529</v>
      </c>
      <c r="X269" s="316" t="str">
        <f t="shared" si="21"/>
        <v/>
      </c>
      <c r="Y269" s="688">
        <v>46315</v>
      </c>
      <c r="Z269" s="320">
        <v>46324</v>
      </c>
      <c r="AA269" s="321">
        <f>WEEKNUM(ESS_DATA[[#This Row],[Pick-Up Date]])</f>
        <v>44</v>
      </c>
      <c r="AB269" s="313"/>
      <c r="AC269" s="313"/>
      <c r="AD269" s="313" t="s">
        <v>122</v>
      </c>
      <c r="AE269" s="313" t="s">
        <v>122</v>
      </c>
      <c r="AF269" s="313" t="s">
        <v>78</v>
      </c>
      <c r="AG269" s="320">
        <v>46332</v>
      </c>
      <c r="AH269" s="320"/>
      <c r="AI269" s="320"/>
      <c r="AJ269" s="320">
        <v>46384</v>
      </c>
      <c r="AK269" s="320"/>
      <c r="AL269" s="320"/>
      <c r="AM269" s="322" t="s">
        <v>402</v>
      </c>
      <c r="AN269" s="320" t="s">
        <v>7416</v>
      </c>
      <c r="AO269" s="320" t="s">
        <v>80</v>
      </c>
      <c r="AP269" s="320"/>
      <c r="AQ269" s="313" t="s">
        <v>8554</v>
      </c>
      <c r="AR269" s="313" t="s">
        <v>8554</v>
      </c>
      <c r="AS269" s="313">
        <f>ESS_DATA[[#This Row],[ETA On S/O]]-ESS_DATA[[#This Row],[ETD On S/O]]+1</f>
        <v>53</v>
      </c>
      <c r="AT269" s="313"/>
      <c r="AU269" s="320" cm="1">
        <f t="array" ref="AU26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46384</v>
      </c>
      <c r="AV269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69" s="1150" t="str">
        <f>IF(ISERROR(ESS_DATA[[#This Row],[New Ark PO status]]),"",_xlfn.XLOOKUP(ESS_DATA[[#This Row],[SPTN-PVHK New Ark PO'#]],New_Ark_Data[Purchase order Number],New_Ark_Data[Estimated time of arrival],"",0))</f>
        <v/>
      </c>
      <c r="AX269" s="313">
        <f>IF(ESS_DATA[[#This Row],[New Ark PO Type]]="Offshore",0,IFERROR(VLOOKUP(ESS_DATA[[#This Row],[PORT OF LOADING]]&amp;ESS_DATA[[#This Row],[PORT DESTINATION]],LT_REF[],7,0),14))</f>
        <v>8</v>
      </c>
      <c r="AY269" s="320">
        <f>IFERROR(ESS_DATA[[#This Row],[ODP ETA Port]]+ESS_DATA[[#This Row],[Customs/Leg3 Assumption]],"n/a")</f>
        <v>46392</v>
      </c>
      <c r="AZ269" s="316">
        <f>YEAR(ESS_DATA[[#This Row],[ETA for New Ark update]])</f>
        <v>2027</v>
      </c>
      <c r="BA269" s="316">
        <f>MONTH(ESS_DATA[[#This Row],[ETA for New Ark update]])</f>
        <v>1</v>
      </c>
      <c r="BB269" s="316">
        <f>IFERROR(_xlfn.ISOWEEKNUM(ESS_DATA[[#This Row],[ETA for New Ark update]]),0)</f>
        <v>1</v>
      </c>
      <c r="BC269" s="316" t="str">
        <f>_xlfn.XLOOKUP(ESS_DATA[[#This Row],[PORT DESTINATION]],Table12[PORT DESTINATION],Table12[Cosco Line],,0)</f>
        <v>AEM</v>
      </c>
      <c r="BD269" s="316"/>
      <c r="BE269" s="323"/>
      <c r="BF269" s="323"/>
      <c r="BG269" s="323"/>
      <c r="BH269" s="323"/>
      <c r="BI269" s="323"/>
    </row>
    <row r="270" spans="1:61" s="1083" customFormat="1" ht="16.5" customHeight="1">
      <c r="A270" s="311" t="s">
        <v>8556</v>
      </c>
      <c r="B270" s="313" t="s">
        <v>7814</v>
      </c>
      <c r="C270" s="313" t="str">
        <f>IFERROR(LEFT(ESS_DATA[[#This Row],[TCL REFERENCE]],FIND(".",ESS_DATA[[#This Row],[TCL REFERENCE]],1)-1),"Main Line")</f>
        <v>Main Line</v>
      </c>
      <c r="D270" s="313" t="s">
        <v>63</v>
      </c>
      <c r="E270" s="322" t="s">
        <v>64</v>
      </c>
      <c r="F270" s="316" t="s">
        <v>65</v>
      </c>
      <c r="G270" s="313"/>
      <c r="H270" s="313"/>
      <c r="I270" s="317"/>
      <c r="J270" s="313"/>
      <c r="K270" s="313"/>
      <c r="L270" s="314"/>
      <c r="M270" s="315"/>
      <c r="N270" s="1082" t="s">
        <v>7837</v>
      </c>
      <c r="O270" s="1082" t="s">
        <v>7829</v>
      </c>
      <c r="P270" s="1082" t="s">
        <v>7838</v>
      </c>
      <c r="Q270" s="312"/>
      <c r="R270" s="317">
        <v>78</v>
      </c>
      <c r="S270" s="318"/>
      <c r="T270" s="313"/>
      <c r="U270" s="324">
        <f>ESS_DATA[[#This Row],[QUANTITY]]/260</f>
        <v>0.3</v>
      </c>
      <c r="V270" s="408" t="s">
        <v>7854</v>
      </c>
      <c r="W270" s="374" t="s">
        <v>8529</v>
      </c>
      <c r="X270" s="316" t="str">
        <f t="shared" ref="X270:X272" si="22">IF(AL270&lt;&gt;"","COMPLETED",IF(AI270&lt;&gt;"","IN-TRANSIT",""))</f>
        <v/>
      </c>
      <c r="Y270" s="688">
        <v>46315</v>
      </c>
      <c r="Z270" s="320">
        <v>46324</v>
      </c>
      <c r="AA270" s="321">
        <f>WEEKNUM(ESS_DATA[[#This Row],[Pick-Up Date]])</f>
        <v>44</v>
      </c>
      <c r="AB270" s="313"/>
      <c r="AC270" s="313"/>
      <c r="AD270" s="313" t="s">
        <v>122</v>
      </c>
      <c r="AE270" s="313" t="s">
        <v>122</v>
      </c>
      <c r="AF270" s="313" t="s">
        <v>78</v>
      </c>
      <c r="AG270" s="320">
        <v>46332</v>
      </c>
      <c r="AH270" s="320"/>
      <c r="AI270" s="320"/>
      <c r="AJ270" s="320">
        <v>46384</v>
      </c>
      <c r="AK270" s="320"/>
      <c r="AL270" s="320"/>
      <c r="AM270" s="322" t="s">
        <v>402</v>
      </c>
      <c r="AN270" s="320" t="s">
        <v>7416</v>
      </c>
      <c r="AO270" s="320" t="s">
        <v>80</v>
      </c>
      <c r="AP270" s="320"/>
      <c r="AQ270" s="313" t="s">
        <v>8554</v>
      </c>
      <c r="AR270" s="313" t="s">
        <v>8554</v>
      </c>
      <c r="AS270" s="313">
        <f>ESS_DATA[[#This Row],[ETA On S/O]]-ESS_DATA[[#This Row],[ETD On S/O]]+1</f>
        <v>53</v>
      </c>
      <c r="AT270" s="313"/>
      <c r="AU270" s="320" cm="1">
        <f t="array" ref="AU27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46384</v>
      </c>
      <c r="AV270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70" s="1150" t="str">
        <f>IF(ISERROR(ESS_DATA[[#This Row],[New Ark PO status]]),"",_xlfn.XLOOKUP(ESS_DATA[[#This Row],[SPTN-PVHK New Ark PO'#]],New_Ark_Data[Purchase order Number],New_Ark_Data[Estimated time of arrival],"",0))</f>
        <v/>
      </c>
      <c r="AX270" s="313">
        <f>IF(ESS_DATA[[#This Row],[New Ark PO Type]]="Offshore",0,IFERROR(VLOOKUP(ESS_DATA[[#This Row],[PORT OF LOADING]]&amp;ESS_DATA[[#This Row],[PORT DESTINATION]],LT_REF[],7,0),14))</f>
        <v>8</v>
      </c>
      <c r="AY270" s="320">
        <f>IFERROR(ESS_DATA[[#This Row],[ODP ETA Port]]+ESS_DATA[[#This Row],[Customs/Leg3 Assumption]],"n/a")</f>
        <v>46392</v>
      </c>
      <c r="AZ270" s="316">
        <f>YEAR(ESS_DATA[[#This Row],[ETA for New Ark update]])</f>
        <v>2027</v>
      </c>
      <c r="BA270" s="316">
        <f>MONTH(ESS_DATA[[#This Row],[ETA for New Ark update]])</f>
        <v>1</v>
      </c>
      <c r="BB270" s="316">
        <f>IFERROR(_xlfn.ISOWEEKNUM(ESS_DATA[[#This Row],[ETA for New Ark update]]),0)</f>
        <v>1</v>
      </c>
      <c r="BC270" s="316" t="str">
        <f>_xlfn.XLOOKUP(ESS_DATA[[#This Row],[PORT DESTINATION]],Table12[PORT DESTINATION],Table12[Cosco Line],,0)</f>
        <v>AEM</v>
      </c>
      <c r="BD270" s="316"/>
      <c r="BE270" s="323"/>
      <c r="BF270" s="323"/>
      <c r="BG270" s="323"/>
      <c r="BH270" s="323"/>
      <c r="BI270" s="323"/>
    </row>
    <row r="271" spans="1:61" s="1083" customFormat="1" ht="16.5" customHeight="1">
      <c r="A271" s="311" t="s">
        <v>8557</v>
      </c>
      <c r="B271" s="313" t="s">
        <v>7814</v>
      </c>
      <c r="C271" s="313" t="str">
        <f>IFERROR(LEFT(ESS_DATA[[#This Row],[TCL REFERENCE]],FIND(".",ESS_DATA[[#This Row],[TCL REFERENCE]],1)-1),"Main Line")</f>
        <v>Main Line</v>
      </c>
      <c r="D271" s="313" t="s">
        <v>63</v>
      </c>
      <c r="E271" s="316" t="s">
        <v>64</v>
      </c>
      <c r="F271" s="316" t="s">
        <v>65</v>
      </c>
      <c r="G271" s="313"/>
      <c r="H271" s="313"/>
      <c r="I271" s="317"/>
      <c r="J271" s="313"/>
      <c r="K271" s="313"/>
      <c r="L271" s="314"/>
      <c r="M271" s="315"/>
      <c r="N271" s="1082" t="s">
        <v>7837</v>
      </c>
      <c r="O271" s="1082" t="s">
        <v>7829</v>
      </c>
      <c r="P271" s="1082" t="s">
        <v>7838</v>
      </c>
      <c r="Q271" s="312"/>
      <c r="R271" s="317">
        <v>2</v>
      </c>
      <c r="S271" s="318"/>
      <c r="T271" s="313"/>
      <c r="U271" s="324">
        <f>ESS_DATA[[#This Row],[QUANTITY]]/260</f>
        <v>7.6923076923076927E-3</v>
      </c>
      <c r="V271" s="408" t="s">
        <v>7854</v>
      </c>
      <c r="W271" s="374" t="s">
        <v>8529</v>
      </c>
      <c r="X271" s="316" t="str">
        <f t="shared" si="22"/>
        <v/>
      </c>
      <c r="Y271" s="688">
        <v>46315</v>
      </c>
      <c r="Z271" s="320">
        <v>46324</v>
      </c>
      <c r="AA271" s="321">
        <f>WEEKNUM(ESS_DATA[[#This Row],[Pick-Up Date]])</f>
        <v>44</v>
      </c>
      <c r="AB271" s="313"/>
      <c r="AC271" s="313"/>
      <c r="AD271" s="313" t="s">
        <v>122</v>
      </c>
      <c r="AE271" s="313" t="s">
        <v>122</v>
      </c>
      <c r="AF271" s="313" t="s">
        <v>78</v>
      </c>
      <c r="AG271" s="320">
        <v>46332</v>
      </c>
      <c r="AH271" s="320"/>
      <c r="AI271" s="320"/>
      <c r="AJ271" s="320">
        <v>46384</v>
      </c>
      <c r="AK271" s="320"/>
      <c r="AL271" s="320"/>
      <c r="AM271" s="322" t="s">
        <v>402</v>
      </c>
      <c r="AN271" s="320" t="s">
        <v>7416</v>
      </c>
      <c r="AO271" s="320" t="s">
        <v>80</v>
      </c>
      <c r="AP271" s="320"/>
      <c r="AQ271" s="313" t="s">
        <v>8554</v>
      </c>
      <c r="AR271" s="313" t="s">
        <v>8554</v>
      </c>
      <c r="AS271" s="313">
        <f>ESS_DATA[[#This Row],[ETA On S/O]]-ESS_DATA[[#This Row],[ETD On S/O]]+1</f>
        <v>53</v>
      </c>
      <c r="AT271" s="313"/>
      <c r="AU271" s="320" cm="1">
        <f t="array" ref="AU27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46384</v>
      </c>
      <c r="AV271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71" s="1150" t="str">
        <f>IF(ISERROR(ESS_DATA[[#This Row],[New Ark PO status]]),"",_xlfn.XLOOKUP(ESS_DATA[[#This Row],[SPTN-PVHK New Ark PO'#]],New_Ark_Data[Purchase order Number],New_Ark_Data[Estimated time of arrival],"",0))</f>
        <v/>
      </c>
      <c r="AX271" s="313">
        <f>IF(ESS_DATA[[#This Row],[New Ark PO Type]]="Offshore",0,IFERROR(VLOOKUP(ESS_DATA[[#This Row],[PORT OF LOADING]]&amp;ESS_DATA[[#This Row],[PORT DESTINATION]],LT_REF[],7,0),14))</f>
        <v>8</v>
      </c>
      <c r="AY271" s="320">
        <f>IFERROR(ESS_DATA[[#This Row],[ODP ETA Port]]+ESS_DATA[[#This Row],[Customs/Leg3 Assumption]],"n/a")</f>
        <v>46392</v>
      </c>
      <c r="AZ271" s="316">
        <f>YEAR(ESS_DATA[[#This Row],[ETA for New Ark update]])</f>
        <v>2027</v>
      </c>
      <c r="BA271" s="316">
        <f>MONTH(ESS_DATA[[#This Row],[ETA for New Ark update]])</f>
        <v>1</v>
      </c>
      <c r="BB271" s="316">
        <f>IFERROR(_xlfn.ISOWEEKNUM(ESS_DATA[[#This Row],[ETA for New Ark update]]),0)</f>
        <v>1</v>
      </c>
      <c r="BC271" s="316" t="str">
        <f>_xlfn.XLOOKUP(ESS_DATA[[#This Row],[PORT DESTINATION]],Table12[PORT DESTINATION],Table12[Cosco Line],,0)</f>
        <v>AEM</v>
      </c>
      <c r="BD271" s="316"/>
      <c r="BE271" s="323"/>
      <c r="BF271" s="323"/>
      <c r="BG271" s="323"/>
      <c r="BH271" s="323"/>
      <c r="BI271" s="323"/>
    </row>
    <row r="272" spans="1:61" s="1083" customFormat="1" ht="16.5" customHeight="1">
      <c r="A272" s="311" t="s">
        <v>8558</v>
      </c>
      <c r="B272" s="313" t="s">
        <v>7814</v>
      </c>
      <c r="C272" s="313" t="str">
        <f>IFERROR(LEFT(ESS_DATA[[#This Row],[TCL REFERENCE]],FIND(".",ESS_DATA[[#This Row],[TCL REFERENCE]],1)-1),"Main Line")</f>
        <v>26NOV004</v>
      </c>
      <c r="D272" s="313" t="s">
        <v>63</v>
      </c>
      <c r="E272" s="316" t="s">
        <v>64</v>
      </c>
      <c r="F272" s="316" t="s">
        <v>65</v>
      </c>
      <c r="G272" s="313"/>
      <c r="H272" s="313"/>
      <c r="I272" s="317"/>
      <c r="J272" s="313"/>
      <c r="K272" s="313"/>
      <c r="L272" s="314"/>
      <c r="M272" s="315"/>
      <c r="N272" s="1082" t="s">
        <v>7840</v>
      </c>
      <c r="O272" s="1082" t="s">
        <v>8037</v>
      </c>
      <c r="P272" s="1082" t="s">
        <v>7842</v>
      </c>
      <c r="Q272" s="312"/>
      <c r="R272" s="317">
        <v>96</v>
      </c>
      <c r="S272" s="318"/>
      <c r="T272" s="313"/>
      <c r="U272" s="324">
        <f>ESS_DATA[[#This Row],[QUANTITY]]/260</f>
        <v>0.36923076923076925</v>
      </c>
      <c r="V272" s="408" t="s">
        <v>7854</v>
      </c>
      <c r="W272" s="374" t="s">
        <v>8529</v>
      </c>
      <c r="X272" s="316" t="str">
        <f t="shared" si="22"/>
        <v/>
      </c>
      <c r="Y272" s="688">
        <v>46315</v>
      </c>
      <c r="Z272" s="320">
        <v>46324</v>
      </c>
      <c r="AA272" s="321">
        <f>WEEKNUM(ESS_DATA[[#This Row],[Pick-Up Date]])</f>
        <v>44</v>
      </c>
      <c r="AB272" s="313"/>
      <c r="AC272" s="313"/>
      <c r="AD272" s="313" t="s">
        <v>122</v>
      </c>
      <c r="AE272" s="313" t="s">
        <v>122</v>
      </c>
      <c r="AF272" s="313" t="s">
        <v>78</v>
      </c>
      <c r="AG272" s="320">
        <v>46332</v>
      </c>
      <c r="AH272" s="320"/>
      <c r="AI272" s="320"/>
      <c r="AJ272" s="320">
        <v>46384</v>
      </c>
      <c r="AK272" s="320"/>
      <c r="AL272" s="320"/>
      <c r="AM272" s="322" t="s">
        <v>402</v>
      </c>
      <c r="AN272" s="320" t="s">
        <v>7416</v>
      </c>
      <c r="AO272" s="320" t="s">
        <v>80</v>
      </c>
      <c r="AP272" s="320"/>
      <c r="AQ272" s="313" t="s">
        <v>8554</v>
      </c>
      <c r="AR272" s="313" t="s">
        <v>8554</v>
      </c>
      <c r="AS272" s="313">
        <f>ESS_DATA[[#This Row],[ETA On S/O]]-ESS_DATA[[#This Row],[ETD On S/O]]+1</f>
        <v>53</v>
      </c>
      <c r="AT272" s="313"/>
      <c r="AU272" s="320" cm="1">
        <f t="array" ref="AU27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46384</v>
      </c>
      <c r="AV272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72" s="1150" t="str">
        <f>IF(ISERROR(ESS_DATA[[#This Row],[New Ark PO status]]),"",_xlfn.XLOOKUP(ESS_DATA[[#This Row],[SPTN-PVHK New Ark PO'#]],New_Ark_Data[Purchase order Number],New_Ark_Data[Estimated time of arrival],"",0))</f>
        <v/>
      </c>
      <c r="AX272" s="313">
        <f>IF(ESS_DATA[[#This Row],[New Ark PO Type]]="Offshore",0,IFERROR(VLOOKUP(ESS_DATA[[#This Row],[PORT OF LOADING]]&amp;ESS_DATA[[#This Row],[PORT DESTINATION]],LT_REF[],7,0),14))</f>
        <v>8</v>
      </c>
      <c r="AY272" s="320">
        <f>IFERROR(ESS_DATA[[#This Row],[ODP ETA Port]]+ESS_DATA[[#This Row],[Customs/Leg3 Assumption]],"n/a")</f>
        <v>46392</v>
      </c>
      <c r="AZ272" s="316">
        <f>YEAR(ESS_DATA[[#This Row],[ETA for New Ark update]])</f>
        <v>2027</v>
      </c>
      <c r="BA272" s="316">
        <f>MONTH(ESS_DATA[[#This Row],[ETA for New Ark update]])</f>
        <v>1</v>
      </c>
      <c r="BB272" s="316">
        <f>IFERROR(_xlfn.ISOWEEKNUM(ESS_DATA[[#This Row],[ETA for New Ark update]]),0)</f>
        <v>1</v>
      </c>
      <c r="BC272" s="316" t="str">
        <f>_xlfn.XLOOKUP(ESS_DATA[[#This Row],[PORT DESTINATION]],Table12[PORT DESTINATION],Table12[Cosco Line],,0)</f>
        <v>AEM</v>
      </c>
      <c r="BD272" s="316"/>
      <c r="BE272" s="323"/>
      <c r="BF272" s="323"/>
      <c r="BG272" s="323"/>
      <c r="BH272" s="323"/>
      <c r="BI272" s="323"/>
    </row>
    <row r="273" spans="1:61" s="1083" customFormat="1" ht="16.5" customHeight="1">
      <c r="A273" s="311" t="s">
        <v>8559</v>
      </c>
      <c r="B273" s="313" t="s">
        <v>7814</v>
      </c>
      <c r="C273" s="313" t="str">
        <f>IFERROR(LEFT(ESS_DATA[[#This Row],[TCL REFERENCE]],FIND(".",ESS_DATA[[#This Row],[TCL REFERENCE]],1)-1),"Main Line")</f>
        <v>Main Line</v>
      </c>
      <c r="D273" s="313" t="s">
        <v>63</v>
      </c>
      <c r="E273" s="316" t="s">
        <v>64</v>
      </c>
      <c r="F273" s="316" t="s">
        <v>65</v>
      </c>
      <c r="G273" s="313"/>
      <c r="H273" s="313"/>
      <c r="I273" s="317"/>
      <c r="J273" s="313"/>
      <c r="K273" s="313"/>
      <c r="L273" s="314"/>
      <c r="M273" s="315"/>
      <c r="N273" s="1082" t="s">
        <v>7840</v>
      </c>
      <c r="O273" s="1082" t="s">
        <v>8037</v>
      </c>
      <c r="P273" s="1082" t="s">
        <v>7842</v>
      </c>
      <c r="Q273" s="312"/>
      <c r="R273" s="317">
        <v>34</v>
      </c>
      <c r="S273" s="318"/>
      <c r="T273" s="313"/>
      <c r="U273" s="324">
        <f>ESS_DATA[[#This Row],[QUANTITY]]/260</f>
        <v>0.13076923076923078</v>
      </c>
      <c r="V273" s="408" t="s">
        <v>7854</v>
      </c>
      <c r="W273" s="374" t="s">
        <v>8529</v>
      </c>
      <c r="X273" s="316" t="str">
        <f t="shared" ref="X273" si="23">IF(AL273&lt;&gt;"","COMPLETED",IF(AI273&lt;&gt;"","IN-TRANSIT",""))</f>
        <v/>
      </c>
      <c r="Y273" s="688">
        <v>46315</v>
      </c>
      <c r="Z273" s="320">
        <v>46324</v>
      </c>
      <c r="AA273" s="321">
        <f>WEEKNUM(ESS_DATA[[#This Row],[Pick-Up Date]])</f>
        <v>44</v>
      </c>
      <c r="AB273" s="313"/>
      <c r="AC273" s="313"/>
      <c r="AD273" s="313" t="s">
        <v>122</v>
      </c>
      <c r="AE273" s="313" t="s">
        <v>122</v>
      </c>
      <c r="AF273" s="313" t="s">
        <v>78</v>
      </c>
      <c r="AG273" s="320">
        <v>46332</v>
      </c>
      <c r="AH273" s="320"/>
      <c r="AI273" s="320"/>
      <c r="AJ273" s="320">
        <v>46384</v>
      </c>
      <c r="AK273" s="320"/>
      <c r="AL273" s="320"/>
      <c r="AM273" s="322" t="s">
        <v>402</v>
      </c>
      <c r="AN273" s="320" t="s">
        <v>7416</v>
      </c>
      <c r="AO273" s="320" t="s">
        <v>80</v>
      </c>
      <c r="AP273" s="320"/>
      <c r="AQ273" s="313" t="s">
        <v>8554</v>
      </c>
      <c r="AR273" s="313" t="s">
        <v>8554</v>
      </c>
      <c r="AS273" s="313">
        <f>ESS_DATA[[#This Row],[ETA On S/O]]-ESS_DATA[[#This Row],[ETD On S/O]]+1</f>
        <v>53</v>
      </c>
      <c r="AT273" s="313"/>
      <c r="AU273" s="320" cm="1">
        <f t="array" ref="AU27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46384</v>
      </c>
      <c r="AV273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73" s="1150" t="str">
        <f>IF(ISERROR(ESS_DATA[[#This Row],[New Ark PO status]]),"",_xlfn.XLOOKUP(ESS_DATA[[#This Row],[SPTN-PVHK New Ark PO'#]],New_Ark_Data[Purchase order Number],New_Ark_Data[Estimated time of arrival],"",0))</f>
        <v/>
      </c>
      <c r="AX273" s="313">
        <f>IF(ESS_DATA[[#This Row],[New Ark PO Type]]="Offshore",0,IFERROR(VLOOKUP(ESS_DATA[[#This Row],[PORT OF LOADING]]&amp;ESS_DATA[[#This Row],[PORT DESTINATION]],LT_REF[],7,0),14))</f>
        <v>8</v>
      </c>
      <c r="AY273" s="320">
        <f>IFERROR(ESS_DATA[[#This Row],[ODP ETA Port]]+ESS_DATA[[#This Row],[Customs/Leg3 Assumption]],"n/a")</f>
        <v>46392</v>
      </c>
      <c r="AZ273" s="316">
        <f>YEAR(ESS_DATA[[#This Row],[ETA for New Ark update]])</f>
        <v>2027</v>
      </c>
      <c r="BA273" s="316">
        <f>MONTH(ESS_DATA[[#This Row],[ETA for New Ark update]])</f>
        <v>1</v>
      </c>
      <c r="BB273" s="316">
        <f>IFERROR(_xlfn.ISOWEEKNUM(ESS_DATA[[#This Row],[ETA for New Ark update]]),0)</f>
        <v>1</v>
      </c>
      <c r="BC273" s="316" t="str">
        <f>_xlfn.XLOOKUP(ESS_DATA[[#This Row],[PORT DESTINATION]],Table12[PORT DESTINATION],Table12[Cosco Line],,0)</f>
        <v>AEM</v>
      </c>
      <c r="BD273" s="316"/>
      <c r="BE273" s="323"/>
      <c r="BF273" s="323"/>
      <c r="BG273" s="323"/>
      <c r="BH273" s="323"/>
      <c r="BI273" s="323"/>
    </row>
    <row r="274" spans="1:61" s="1083" customFormat="1" ht="16.5" customHeight="1">
      <c r="A274" s="311" t="s">
        <v>8560</v>
      </c>
      <c r="B274" s="313" t="s">
        <v>7814</v>
      </c>
      <c r="C274" s="313" t="str">
        <f>IFERROR(LEFT(ESS_DATA[[#This Row],[TCL REFERENCE]],FIND(".",ESS_DATA[[#This Row],[TCL REFERENCE]],1)-1),"Main Line")</f>
        <v>26NOV002</v>
      </c>
      <c r="D274" s="313" t="s">
        <v>63</v>
      </c>
      <c r="E274" s="316" t="s">
        <v>64</v>
      </c>
      <c r="F274" s="316" t="str" cm="1">
        <f t="array" ref="F274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74" s="313"/>
      <c r="H274" s="313"/>
      <c r="I274" s="317"/>
      <c r="J274" s="313"/>
      <c r="K274" s="313"/>
      <c r="L274" s="314"/>
      <c r="M274" s="315"/>
      <c r="N274" s="1082" t="s">
        <v>7828</v>
      </c>
      <c r="O274" s="1082" t="s">
        <v>7829</v>
      </c>
      <c r="P274" s="1082" t="s">
        <v>7830</v>
      </c>
      <c r="Q274" s="312"/>
      <c r="R274" s="317">
        <v>130</v>
      </c>
      <c r="S274" s="318"/>
      <c r="T274" s="313"/>
      <c r="U274" s="324">
        <f>ESS_DATA[[#This Row],[QUANTITY]]/260</f>
        <v>0.5</v>
      </c>
      <c r="V274" s="408" t="s">
        <v>8057</v>
      </c>
      <c r="W274" s="313" t="s">
        <v>8448</v>
      </c>
      <c r="X274" s="316" t="str">
        <f>IF(AL274&lt;&gt;"","COMPLETED",IF(AI274&lt;&gt;"","IN-TRANSIT",""))</f>
        <v/>
      </c>
      <c r="Y274" s="320">
        <v>46325</v>
      </c>
      <c r="Z274" s="320">
        <v>46324</v>
      </c>
      <c r="AA274" s="321">
        <f>WEEKNUM(ESS_DATA[[#This Row],[Pick-Up Date]])</f>
        <v>44</v>
      </c>
      <c r="AB274" s="313"/>
      <c r="AC274" s="313"/>
      <c r="AD274" s="313" t="s">
        <v>122</v>
      </c>
      <c r="AE274" s="313" t="s">
        <v>122</v>
      </c>
      <c r="AF274" s="313" t="s">
        <v>78</v>
      </c>
      <c r="AG274" s="320">
        <v>46332</v>
      </c>
      <c r="AH274" s="320"/>
      <c r="AI274" s="320"/>
      <c r="AJ274" s="320">
        <v>46384</v>
      </c>
      <c r="AK274" s="320"/>
      <c r="AL274" s="320"/>
      <c r="AM274" s="322" t="s">
        <v>402</v>
      </c>
      <c r="AN274" s="320" t="s">
        <v>7416</v>
      </c>
      <c r="AO274" s="320" t="s">
        <v>80</v>
      </c>
      <c r="AP274" s="320"/>
      <c r="AQ274" s="313" t="s">
        <v>8554</v>
      </c>
      <c r="AR274" s="313" t="s">
        <v>8554</v>
      </c>
      <c r="AS274" s="313">
        <f>ESS_DATA[[#This Row],[ETA On S/O]]-ESS_DATA[[#This Row],[ETD On S/O]]+1</f>
        <v>53</v>
      </c>
      <c r="AT274" s="313"/>
      <c r="AU274" s="320" cm="1">
        <f t="array" ref="AU27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46384</v>
      </c>
      <c r="AV274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74" s="1150" t="str">
        <f>IF(ISERROR(ESS_DATA[[#This Row],[New Ark PO status]]),"",_xlfn.XLOOKUP(ESS_DATA[[#This Row],[SPTN-PVHK New Ark PO'#]],New_Ark_Data[Purchase order Number],New_Ark_Data[Estimated time of arrival],"",0))</f>
        <v/>
      </c>
      <c r="AX274" s="313">
        <f>IF(ESS_DATA[[#This Row],[New Ark PO Type]]="Offshore",0,IFERROR(VLOOKUP(ESS_DATA[[#This Row],[PORT OF LOADING]]&amp;ESS_DATA[[#This Row],[PORT DESTINATION]],LT_REF[],7,0),14))</f>
        <v>8</v>
      </c>
      <c r="AY274" s="320">
        <f>IFERROR(ESS_DATA[[#This Row],[ODP ETA Port]]+ESS_DATA[[#This Row],[Customs/Leg3 Assumption]],"n/a")</f>
        <v>46392</v>
      </c>
      <c r="AZ274" s="316">
        <f>YEAR(ESS_DATA[[#This Row],[ETA for New Ark update]])</f>
        <v>2027</v>
      </c>
      <c r="BA274" s="316">
        <f>MONTH(ESS_DATA[[#This Row],[ETA for New Ark update]])</f>
        <v>1</v>
      </c>
      <c r="BB274" s="316">
        <f>IFERROR(_xlfn.ISOWEEKNUM(ESS_DATA[[#This Row],[ETA for New Ark update]]),0)</f>
        <v>1</v>
      </c>
      <c r="BC274" s="316" t="str">
        <f>_xlfn.XLOOKUP(ESS_DATA[[#This Row],[PORT DESTINATION]],Table12[PORT DESTINATION],Table12[Cosco Line],,0)</f>
        <v>AEM</v>
      </c>
      <c r="BD274" s="316"/>
      <c r="BE274" s="323"/>
      <c r="BF274" s="323"/>
      <c r="BG274" s="323"/>
      <c r="BH274" s="323"/>
      <c r="BI274" s="323"/>
    </row>
    <row r="275" spans="1:61" s="1083" customFormat="1" ht="16.5" customHeight="1">
      <c r="A275" s="311" t="s">
        <v>8561</v>
      </c>
      <c r="B275" s="313" t="s">
        <v>7814</v>
      </c>
      <c r="C275" s="313" t="str">
        <f>IFERROR(LEFT(ESS_DATA[[#This Row],[TCL REFERENCE]],FIND(".",ESS_DATA[[#This Row],[TCL REFERENCE]],1)-1),"Main Line")</f>
        <v>26NOV004</v>
      </c>
      <c r="D275" s="313" t="s">
        <v>63</v>
      </c>
      <c r="E275" s="316" t="s">
        <v>64</v>
      </c>
      <c r="F275" s="316" t="str" cm="1">
        <f t="array" ref="F275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75" s="313"/>
      <c r="H275" s="313"/>
      <c r="I275" s="317"/>
      <c r="J275" s="313"/>
      <c r="K275" s="313"/>
      <c r="L275" s="314"/>
      <c r="M275" s="315"/>
      <c r="N275" s="1082" t="s">
        <v>7840</v>
      </c>
      <c r="O275" s="1082" t="s">
        <v>8037</v>
      </c>
      <c r="P275" s="1082" t="s">
        <v>7842</v>
      </c>
      <c r="Q275" s="312"/>
      <c r="R275" s="317">
        <v>130</v>
      </c>
      <c r="S275" s="318"/>
      <c r="T275" s="313"/>
      <c r="U275" s="324">
        <f>ESS_DATA[[#This Row],[QUANTITY]]/260</f>
        <v>0.5</v>
      </c>
      <c r="V275" s="408" t="s">
        <v>8057</v>
      </c>
      <c r="W275" s="313" t="s">
        <v>8448</v>
      </c>
      <c r="X275" s="316" t="str">
        <f>IF(AL275&lt;&gt;"","COMPLETED",IF(AI275&lt;&gt;"","IN-TRANSIT",""))</f>
        <v/>
      </c>
      <c r="Y275" s="320">
        <v>46325</v>
      </c>
      <c r="Z275" s="320">
        <v>46324</v>
      </c>
      <c r="AA275" s="321">
        <f>WEEKNUM(ESS_DATA[[#This Row],[Pick-Up Date]])</f>
        <v>44</v>
      </c>
      <c r="AB275" s="313"/>
      <c r="AC275" s="313"/>
      <c r="AD275" s="313" t="s">
        <v>122</v>
      </c>
      <c r="AE275" s="313" t="s">
        <v>122</v>
      </c>
      <c r="AF275" s="313" t="s">
        <v>78</v>
      </c>
      <c r="AG275" s="320">
        <v>46332</v>
      </c>
      <c r="AH275" s="320"/>
      <c r="AI275" s="320"/>
      <c r="AJ275" s="320">
        <v>46384</v>
      </c>
      <c r="AK275" s="320"/>
      <c r="AL275" s="320"/>
      <c r="AM275" s="322" t="s">
        <v>402</v>
      </c>
      <c r="AN275" s="320" t="s">
        <v>7416</v>
      </c>
      <c r="AO275" s="320" t="s">
        <v>80</v>
      </c>
      <c r="AP275" s="320"/>
      <c r="AQ275" s="313" t="s">
        <v>8554</v>
      </c>
      <c r="AR275" s="313" t="s">
        <v>8554</v>
      </c>
      <c r="AS275" s="313">
        <f>ESS_DATA[[#This Row],[ETA On S/O]]-ESS_DATA[[#This Row],[ETD On S/O]]+1</f>
        <v>53</v>
      </c>
      <c r="AT275" s="313"/>
      <c r="AU275" s="320" cm="1">
        <f t="array" ref="AU27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46384</v>
      </c>
      <c r="AV275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75" s="1150" t="str">
        <f>IF(ISERROR(ESS_DATA[[#This Row],[New Ark PO status]]),"",_xlfn.XLOOKUP(ESS_DATA[[#This Row],[SPTN-PVHK New Ark PO'#]],New_Ark_Data[Purchase order Number],New_Ark_Data[Estimated time of arrival],"",0))</f>
        <v/>
      </c>
      <c r="AX275" s="313">
        <f>IF(ESS_DATA[[#This Row],[New Ark PO Type]]="Offshore",0,IFERROR(VLOOKUP(ESS_DATA[[#This Row],[PORT OF LOADING]]&amp;ESS_DATA[[#This Row],[PORT DESTINATION]],LT_REF[],7,0),14))</f>
        <v>8</v>
      </c>
      <c r="AY275" s="320">
        <f>IFERROR(ESS_DATA[[#This Row],[ODP ETA Port]]+ESS_DATA[[#This Row],[Customs/Leg3 Assumption]],"n/a")</f>
        <v>46392</v>
      </c>
      <c r="AZ275" s="316">
        <f>YEAR(ESS_DATA[[#This Row],[ETA for New Ark update]])</f>
        <v>2027</v>
      </c>
      <c r="BA275" s="316">
        <f>MONTH(ESS_DATA[[#This Row],[ETA for New Ark update]])</f>
        <v>1</v>
      </c>
      <c r="BB275" s="316">
        <f>IFERROR(_xlfn.ISOWEEKNUM(ESS_DATA[[#This Row],[ETA for New Ark update]]),0)</f>
        <v>1</v>
      </c>
      <c r="BC275" s="316" t="str">
        <f>_xlfn.XLOOKUP(ESS_DATA[[#This Row],[PORT DESTINATION]],Table12[PORT DESTINATION],Table12[Cosco Line],,0)</f>
        <v>AEM</v>
      </c>
      <c r="BD275" s="316"/>
      <c r="BE275" s="323"/>
      <c r="BF275" s="323"/>
      <c r="BG275" s="323"/>
      <c r="BH275" s="323"/>
      <c r="BI275" s="323"/>
    </row>
    <row r="276" spans="1:61" s="1083" customFormat="1" ht="16.5" customHeight="1">
      <c r="A276" s="311" t="s">
        <v>8562</v>
      </c>
      <c r="B276" s="313" t="s">
        <v>7814</v>
      </c>
      <c r="C276" s="313" t="str">
        <f>IFERROR(LEFT(ESS_DATA[[#This Row],[TCL REFERENCE]],FIND(".",ESS_DATA[[#This Row],[TCL REFERENCE]],1)-1),"Main Line")</f>
        <v>Main Line</v>
      </c>
      <c r="D276" s="313" t="s">
        <v>63</v>
      </c>
      <c r="E276" s="316" t="s">
        <v>64</v>
      </c>
      <c r="F276" s="316" t="s">
        <v>100</v>
      </c>
      <c r="G276" s="313"/>
      <c r="H276" s="313"/>
      <c r="I276" s="317"/>
      <c r="J276" s="313"/>
      <c r="K276" s="313"/>
      <c r="L276" s="314"/>
      <c r="M276" s="315"/>
      <c r="N276" s="1082" t="s">
        <v>7862</v>
      </c>
      <c r="O276" s="1082" t="s">
        <v>7829</v>
      </c>
      <c r="P276" s="1082" t="s">
        <v>7863</v>
      </c>
      <c r="Q276" s="312"/>
      <c r="R276" s="317">
        <v>126</v>
      </c>
      <c r="S276" s="318"/>
      <c r="T276" s="313"/>
      <c r="U276" s="324">
        <f>ESS_DATA[[#This Row],[QUANTITY]]/260</f>
        <v>0.48461538461538461</v>
      </c>
      <c r="V276" s="408" t="s">
        <v>7860</v>
      </c>
      <c r="W276" s="374" t="s">
        <v>8448</v>
      </c>
      <c r="X276" s="316" t="str">
        <f>IF(AL276&lt;&gt;"","COMPLETED",IF(AI276&lt;&gt;"","IN-TRANSIT",""))</f>
        <v/>
      </c>
      <c r="Y276" s="688">
        <v>46321</v>
      </c>
      <c r="Z276" s="320"/>
      <c r="AA276" s="321">
        <f>WEEKNUM(ESS_DATA[[#This Row],[Pick-Up Date]])</f>
        <v>0</v>
      </c>
      <c r="AB276" s="313"/>
      <c r="AC276" s="313"/>
      <c r="AD276" s="313" t="s">
        <v>122</v>
      </c>
      <c r="AE276" s="313" t="s">
        <v>122</v>
      </c>
      <c r="AF276" s="313" t="s">
        <v>105</v>
      </c>
      <c r="AG276" s="320"/>
      <c r="AH276" s="320"/>
      <c r="AI276" s="320"/>
      <c r="AJ276" s="320"/>
      <c r="AK276" s="320"/>
      <c r="AL276" s="320"/>
      <c r="AM276" s="322" t="s">
        <v>402</v>
      </c>
      <c r="AN276" s="320"/>
      <c r="AO276" s="320"/>
      <c r="AP276" s="320"/>
      <c r="AQ276" s="313"/>
      <c r="AR276" s="313"/>
      <c r="AS276" s="313">
        <f>ESS_DATA[[#This Row],[ETA On S/O]]-ESS_DATA[[#This Row],[ETD On S/O]]+1</f>
        <v>1</v>
      </c>
      <c r="AT276" s="313"/>
      <c r="AU276" s="320" cm="1">
        <f t="array" ref="AU27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46381</v>
      </c>
      <c r="AV276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76" s="1150" t="str">
        <f>IF(ISERROR(ESS_DATA[[#This Row],[New Ark PO status]]),"",_xlfn.XLOOKUP(ESS_DATA[[#This Row],[SPTN-PVHK New Ark PO'#]],New_Ark_Data[Purchase order Number],New_Ark_Data[Estimated time of arrival],"",0))</f>
        <v/>
      </c>
      <c r="AX276" s="313">
        <f>IF(ESS_DATA[[#This Row],[New Ark PO Type]]="Offshore",0,IFERROR(VLOOKUP(ESS_DATA[[#This Row],[PORT OF LOADING]]&amp;ESS_DATA[[#This Row],[PORT DESTINATION]],LT_REF[],7,0),14))</f>
        <v>7</v>
      </c>
      <c r="AY276" s="320">
        <f>IFERROR(ESS_DATA[[#This Row],[ODP ETA Port]]+ESS_DATA[[#This Row],[Customs/Leg3 Assumption]],"n/a")</f>
        <v>46388</v>
      </c>
      <c r="AZ276" s="316">
        <f>YEAR(ESS_DATA[[#This Row],[ETA for New Ark update]])</f>
        <v>2027</v>
      </c>
      <c r="BA276" s="316">
        <f>MONTH(ESS_DATA[[#This Row],[ETA for New Ark update]])</f>
        <v>1</v>
      </c>
      <c r="BB276" s="316">
        <f>IFERROR(_xlfn.ISOWEEKNUM(ESS_DATA[[#This Row],[ETA for New Ark update]]),0)</f>
        <v>53</v>
      </c>
      <c r="BC276" s="316" t="str">
        <f>_xlfn.XLOOKUP(ESS_DATA[[#This Row],[PORT DESTINATION]],Table12[PORT DESTINATION],Table12[Cosco Line],,0)</f>
        <v>AEU</v>
      </c>
      <c r="BD276" s="316"/>
      <c r="BE276" s="323"/>
      <c r="BF276" s="323"/>
      <c r="BG276" s="323"/>
      <c r="BH276" s="323"/>
      <c r="BI276" s="323"/>
    </row>
    <row r="277" spans="1:61" s="1083" customFormat="1" ht="16.5" customHeight="1">
      <c r="A277" s="311" t="s">
        <v>8563</v>
      </c>
      <c r="B277" s="313" t="s">
        <v>7814</v>
      </c>
      <c r="C277" s="313" t="str">
        <f>IFERROR(LEFT(ESS_DATA[[#This Row],[TCL REFERENCE]],FIND(".",ESS_DATA[[#This Row],[TCL REFERENCE]],1)-1),"Main Line")</f>
        <v>Main Line</v>
      </c>
      <c r="D277" s="313" t="s">
        <v>63</v>
      </c>
      <c r="E277" s="316" t="s">
        <v>64</v>
      </c>
      <c r="F277" s="316" t="s">
        <v>100</v>
      </c>
      <c r="G277" s="313"/>
      <c r="H277" s="313"/>
      <c r="I277" s="317"/>
      <c r="J277" s="313"/>
      <c r="K277" s="313"/>
      <c r="L277" s="314"/>
      <c r="M277" s="315"/>
      <c r="N277" s="1082" t="s">
        <v>7862</v>
      </c>
      <c r="O277" s="1082" t="s">
        <v>7829</v>
      </c>
      <c r="P277" s="1082" t="s">
        <v>7863</v>
      </c>
      <c r="Q277" s="312"/>
      <c r="R277" s="317">
        <v>4</v>
      </c>
      <c r="S277" s="318"/>
      <c r="T277" s="313"/>
      <c r="U277" s="324">
        <f>ESS_DATA[[#This Row],[QUANTITY]]/260</f>
        <v>1.5384615384615385E-2</v>
      </c>
      <c r="V277" s="408" t="s">
        <v>7860</v>
      </c>
      <c r="W277" s="374" t="s">
        <v>8448</v>
      </c>
      <c r="X277" s="316" t="str">
        <f t="shared" ref="X277" si="24">IF(AL277&lt;&gt;"","COMPLETED",IF(AI277&lt;&gt;"","IN-TRANSIT",""))</f>
        <v/>
      </c>
      <c r="Y277" s="688">
        <v>46321</v>
      </c>
      <c r="Z277" s="320"/>
      <c r="AA277" s="321">
        <f>WEEKNUM(ESS_DATA[[#This Row],[Pick-Up Date]])</f>
        <v>0</v>
      </c>
      <c r="AB277" s="313"/>
      <c r="AC277" s="313"/>
      <c r="AD277" s="313" t="s">
        <v>122</v>
      </c>
      <c r="AE277" s="313" t="s">
        <v>122</v>
      </c>
      <c r="AF277" s="313" t="s">
        <v>105</v>
      </c>
      <c r="AG277" s="320"/>
      <c r="AH277" s="320"/>
      <c r="AI277" s="320"/>
      <c r="AJ277" s="320"/>
      <c r="AK277" s="320"/>
      <c r="AL277" s="320"/>
      <c r="AM277" s="322" t="s">
        <v>402</v>
      </c>
      <c r="AN277" s="320"/>
      <c r="AO277" s="320"/>
      <c r="AP277" s="320"/>
      <c r="AQ277" s="313"/>
      <c r="AR277" s="313"/>
      <c r="AS277" s="313">
        <f>ESS_DATA[[#This Row],[ETA On S/O]]-ESS_DATA[[#This Row],[ETD On S/O]]+1</f>
        <v>1</v>
      </c>
      <c r="AT277" s="313"/>
      <c r="AU277" s="320" cm="1">
        <f t="array" ref="AU27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46381</v>
      </c>
      <c r="AV277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77" s="1150" t="str">
        <f>IF(ISERROR(ESS_DATA[[#This Row],[New Ark PO status]]),"",_xlfn.XLOOKUP(ESS_DATA[[#This Row],[SPTN-PVHK New Ark PO'#]],New_Ark_Data[Purchase order Number],New_Ark_Data[Estimated time of arrival],"",0))</f>
        <v/>
      </c>
      <c r="AX277" s="313">
        <f>IF(ESS_DATA[[#This Row],[New Ark PO Type]]="Offshore",0,IFERROR(VLOOKUP(ESS_DATA[[#This Row],[PORT OF LOADING]]&amp;ESS_DATA[[#This Row],[PORT DESTINATION]],LT_REF[],7,0),14))</f>
        <v>7</v>
      </c>
      <c r="AY277" s="320">
        <f>IFERROR(ESS_DATA[[#This Row],[ODP ETA Port]]+ESS_DATA[[#This Row],[Customs/Leg3 Assumption]],"n/a")</f>
        <v>46388</v>
      </c>
      <c r="AZ277" s="316">
        <f>YEAR(ESS_DATA[[#This Row],[ETA for New Ark update]])</f>
        <v>2027</v>
      </c>
      <c r="BA277" s="316">
        <f>MONTH(ESS_DATA[[#This Row],[ETA for New Ark update]])</f>
        <v>1</v>
      </c>
      <c r="BB277" s="316">
        <f>IFERROR(_xlfn.ISOWEEKNUM(ESS_DATA[[#This Row],[ETA for New Ark update]]),0)</f>
        <v>53</v>
      </c>
      <c r="BC277" s="316" t="str">
        <f>_xlfn.XLOOKUP(ESS_DATA[[#This Row],[PORT DESTINATION]],Table12[PORT DESTINATION],Table12[Cosco Line],,0)</f>
        <v>AEU</v>
      </c>
      <c r="BD277" s="316"/>
      <c r="BE277" s="323"/>
      <c r="BF277" s="323"/>
      <c r="BG277" s="323"/>
      <c r="BH277" s="323"/>
      <c r="BI277" s="323"/>
    </row>
    <row r="278" spans="1:61" s="1083" customFormat="1" ht="16.5" customHeight="1">
      <c r="A278" s="311" t="s">
        <v>8564</v>
      </c>
      <c r="B278" s="313" t="s">
        <v>7814</v>
      </c>
      <c r="C278" s="313" t="str">
        <f>IFERROR(LEFT(ESS_DATA[[#This Row],[TCL REFERENCE]],FIND(".",ESS_DATA[[#This Row],[TCL REFERENCE]],1)-1),"Main Line")</f>
        <v>26NOV004</v>
      </c>
      <c r="D278" s="313" t="s">
        <v>63</v>
      </c>
      <c r="E278" s="316" t="s">
        <v>64</v>
      </c>
      <c r="F278" s="316" t="str" cm="1">
        <f t="array" ref="F278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Plan-SPNL</v>
      </c>
      <c r="G278" s="313"/>
      <c r="H278" s="313"/>
      <c r="I278" s="317"/>
      <c r="J278" s="313"/>
      <c r="K278" s="313"/>
      <c r="L278" s="314"/>
      <c r="M278" s="315"/>
      <c r="N278" s="1082" t="s">
        <v>7840</v>
      </c>
      <c r="O278" s="1082" t="s">
        <v>8037</v>
      </c>
      <c r="P278" s="1082" t="s">
        <v>7842</v>
      </c>
      <c r="Q278" s="312"/>
      <c r="R278" s="317">
        <v>130</v>
      </c>
      <c r="S278" s="318"/>
      <c r="T278" s="313"/>
      <c r="U278" s="324">
        <f>ESS_DATA[[#This Row],[QUANTITY]]/260</f>
        <v>0.5</v>
      </c>
      <c r="V278" s="408" t="s">
        <v>7860</v>
      </c>
      <c r="W278" s="374" t="s">
        <v>8448</v>
      </c>
      <c r="X278" s="316" t="str">
        <f t="shared" ref="X278:X284" si="25">IF(AL278&lt;&gt;"","COMPLETED",IF(AI278&lt;&gt;"","IN-TRANSIT",""))</f>
        <v/>
      </c>
      <c r="Y278" s="688">
        <v>46321</v>
      </c>
      <c r="Z278" s="320"/>
      <c r="AA278" s="321">
        <f>WEEKNUM(ESS_DATA[[#This Row],[Pick-Up Date]])</f>
        <v>0</v>
      </c>
      <c r="AB278" s="313"/>
      <c r="AC278" s="313"/>
      <c r="AD278" s="313" t="s">
        <v>122</v>
      </c>
      <c r="AE278" s="313" t="s">
        <v>122</v>
      </c>
      <c r="AF278" s="313" t="s">
        <v>105</v>
      </c>
      <c r="AG278" s="320"/>
      <c r="AH278" s="320"/>
      <c r="AI278" s="320"/>
      <c r="AJ278" s="320"/>
      <c r="AK278" s="320"/>
      <c r="AL278" s="320"/>
      <c r="AM278" s="322" t="s">
        <v>402</v>
      </c>
      <c r="AN278" s="320"/>
      <c r="AO278" s="320"/>
      <c r="AP278" s="320"/>
      <c r="AQ278" s="313"/>
      <c r="AR278" s="313"/>
      <c r="AS278" s="313">
        <f>ESS_DATA[[#This Row],[ETA On S/O]]-ESS_DATA[[#This Row],[ETD On S/O]]+1</f>
        <v>1</v>
      </c>
      <c r="AT278" s="313"/>
      <c r="AU278" s="320" cm="1">
        <f t="array" ref="AU27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46381</v>
      </c>
      <c r="AV278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78" s="1150" t="str">
        <f>IF(ISERROR(ESS_DATA[[#This Row],[New Ark PO status]]),"",_xlfn.XLOOKUP(ESS_DATA[[#This Row],[SPTN-PVHK New Ark PO'#]],New_Ark_Data[Purchase order Number],New_Ark_Data[Estimated time of arrival],"",0))</f>
        <v/>
      </c>
      <c r="AX278" s="313">
        <f>IF(ESS_DATA[[#This Row],[New Ark PO Type]]="Offshore",0,IFERROR(VLOOKUP(ESS_DATA[[#This Row],[PORT OF LOADING]]&amp;ESS_DATA[[#This Row],[PORT DESTINATION]],LT_REF[],7,0),14))</f>
        <v>7</v>
      </c>
      <c r="AY278" s="320">
        <f>IFERROR(ESS_DATA[[#This Row],[ODP ETA Port]]+ESS_DATA[[#This Row],[Customs/Leg3 Assumption]],"n/a")</f>
        <v>46388</v>
      </c>
      <c r="AZ278" s="316">
        <f>YEAR(ESS_DATA[[#This Row],[ETA for New Ark update]])</f>
        <v>2027</v>
      </c>
      <c r="BA278" s="316">
        <f>MONTH(ESS_DATA[[#This Row],[ETA for New Ark update]])</f>
        <v>1</v>
      </c>
      <c r="BB278" s="316">
        <f>IFERROR(_xlfn.ISOWEEKNUM(ESS_DATA[[#This Row],[ETA for New Ark update]]),0)</f>
        <v>53</v>
      </c>
      <c r="BC278" s="316" t="str">
        <f>_xlfn.XLOOKUP(ESS_DATA[[#This Row],[PORT DESTINATION]],Table12[PORT DESTINATION],Table12[Cosco Line],,0)</f>
        <v>AEU</v>
      </c>
      <c r="BD278" s="316"/>
      <c r="BE278" s="323"/>
      <c r="BF278" s="323"/>
      <c r="BG278" s="323"/>
      <c r="BH278" s="323"/>
      <c r="BI278" s="323"/>
    </row>
    <row r="279" spans="1:61" s="1083" customFormat="1" ht="16.5" customHeight="1">
      <c r="A279" s="311" t="s">
        <v>8565</v>
      </c>
      <c r="B279" s="313" t="s">
        <v>7814</v>
      </c>
      <c r="C279" s="313" t="str">
        <f>IFERROR(LEFT(ESS_DATA[[#This Row],[TCL REFERENCE]],FIND(".",ESS_DATA[[#This Row],[TCL REFERENCE]],1)-1),"Main Line")</f>
        <v>26NOV002</v>
      </c>
      <c r="D279" s="313" t="s">
        <v>63</v>
      </c>
      <c r="E279" s="316" t="s">
        <v>64</v>
      </c>
      <c r="F279" s="316" t="str" cm="1">
        <f t="array" ref="F279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Plan-SPIT</v>
      </c>
      <c r="G279" s="313"/>
      <c r="H279" s="313"/>
      <c r="I279" s="317"/>
      <c r="J279" s="313"/>
      <c r="K279" s="313"/>
      <c r="L279" s="314"/>
      <c r="M279" s="315"/>
      <c r="N279" s="1082" t="s">
        <v>7828</v>
      </c>
      <c r="O279" s="1082" t="s">
        <v>7829</v>
      </c>
      <c r="P279" s="1082" t="s">
        <v>7830</v>
      </c>
      <c r="Q279" s="312"/>
      <c r="R279" s="317">
        <v>130</v>
      </c>
      <c r="S279" s="318"/>
      <c r="T279" s="313"/>
      <c r="U279" s="324">
        <f>ESS_DATA[[#This Row],[QUANTITY]]/260</f>
        <v>0.5</v>
      </c>
      <c r="V279" s="408" t="s">
        <v>7864</v>
      </c>
      <c r="W279" s="313" t="s">
        <v>8529</v>
      </c>
      <c r="X279" s="316" t="str">
        <f t="shared" si="25"/>
        <v/>
      </c>
      <c r="Y279" s="688">
        <v>46315</v>
      </c>
      <c r="Z279" s="320">
        <v>46321</v>
      </c>
      <c r="AA279" s="321">
        <f>WEEKNUM(ESS_DATA[[#This Row],[Pick-Up Date]])</f>
        <v>44</v>
      </c>
      <c r="AB279" s="313"/>
      <c r="AC279" s="313"/>
      <c r="AD279" s="313" t="s">
        <v>122</v>
      </c>
      <c r="AE279" s="313" t="s">
        <v>122</v>
      </c>
      <c r="AF279" s="41" t="s">
        <v>314</v>
      </c>
      <c r="AG279" s="320">
        <v>46329</v>
      </c>
      <c r="AH279" s="320"/>
      <c r="AI279" s="320"/>
      <c r="AJ279" s="320">
        <v>46372</v>
      </c>
      <c r="AK279" s="320"/>
      <c r="AL279" s="320"/>
      <c r="AM279" s="322" t="s">
        <v>402</v>
      </c>
      <c r="AN279" s="320" t="s">
        <v>7321</v>
      </c>
      <c r="AO279" s="320" t="s">
        <v>80</v>
      </c>
      <c r="AP279" s="320" t="s">
        <v>8566</v>
      </c>
      <c r="AQ279" s="313" t="s">
        <v>8567</v>
      </c>
      <c r="AR279" s="313" t="s">
        <v>8567</v>
      </c>
      <c r="AS279" s="313">
        <f>ESS_DATA[[#This Row],[ETA On S/O]]-ESS_DATA[[#This Row],[ETD On S/O]]+1</f>
        <v>44</v>
      </c>
      <c r="AT279" s="313"/>
      <c r="AU279" s="320" cm="1">
        <f t="array" ref="AU27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46372</v>
      </c>
      <c r="AV279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79" s="1150" t="str">
        <f>IF(ISERROR(ESS_DATA[[#This Row],[New Ark PO status]]),"",_xlfn.XLOOKUP(ESS_DATA[[#This Row],[SPTN-PVHK New Ark PO'#]],New_Ark_Data[Purchase order Number],New_Ark_Data[Estimated time of arrival],"",0))</f>
        <v/>
      </c>
      <c r="AX279" s="313">
        <f>IF(ESS_DATA[[#This Row],[New Ark PO Type]]="Offshore",0,IFERROR(VLOOKUP(ESS_DATA[[#This Row],[PORT OF LOADING]]&amp;ESS_DATA[[#This Row],[PORT DESTINATION]],LT_REF[],7,0),14))</f>
        <v>10</v>
      </c>
      <c r="AY279" s="320">
        <f>IFERROR(ESS_DATA[[#This Row],[ODP ETA Port]]+ESS_DATA[[#This Row],[Customs/Leg3 Assumption]],"n/a")</f>
        <v>46382</v>
      </c>
      <c r="AZ279" s="316">
        <f>YEAR(ESS_DATA[[#This Row],[ETA for New Ark update]])</f>
        <v>2026</v>
      </c>
      <c r="BA279" s="316">
        <f>MONTH(ESS_DATA[[#This Row],[ETA for New Ark update]])</f>
        <v>12</v>
      </c>
      <c r="BB279" s="316">
        <f>IFERROR(_xlfn.ISOWEEKNUM(ESS_DATA[[#This Row],[ETA for New Ark update]]),0)</f>
        <v>52</v>
      </c>
      <c r="BC279" s="316" t="str">
        <f>_xlfn.XLOOKUP(ESS_DATA[[#This Row],[PORT DESTINATION]],Table12[PORT DESTINATION],Table12[Cosco Line],,0)</f>
        <v>AEM</v>
      </c>
      <c r="BD279" s="316"/>
      <c r="BE279" s="323"/>
      <c r="BF279" s="323"/>
      <c r="BG279" s="323"/>
      <c r="BH279" s="323"/>
      <c r="BI279" s="323"/>
    </row>
    <row r="280" spans="1:61" s="1083" customFormat="1" ht="16.5" customHeight="1">
      <c r="A280" s="311" t="s">
        <v>8568</v>
      </c>
      <c r="B280" s="313" t="s">
        <v>7814</v>
      </c>
      <c r="C280" s="313" t="str">
        <f>IFERROR(LEFT(ESS_DATA[[#This Row],[TCL REFERENCE]],FIND(".",ESS_DATA[[#This Row],[TCL REFERENCE]],1)-1),"Main Line")</f>
        <v>26NOV004</v>
      </c>
      <c r="D280" s="313" t="s">
        <v>63</v>
      </c>
      <c r="E280" s="316" t="s">
        <v>64</v>
      </c>
      <c r="F280" s="316" t="str" cm="1">
        <f t="array" ref="F280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Plan-SPIT</v>
      </c>
      <c r="G280" s="313"/>
      <c r="H280" s="313"/>
      <c r="I280" s="317"/>
      <c r="J280" s="313"/>
      <c r="K280" s="313"/>
      <c r="L280" s="314"/>
      <c r="M280" s="315"/>
      <c r="N280" s="1082" t="s">
        <v>7840</v>
      </c>
      <c r="O280" s="1082" t="s">
        <v>8037</v>
      </c>
      <c r="P280" s="1082" t="s">
        <v>7842</v>
      </c>
      <c r="Q280" s="312"/>
      <c r="R280" s="317">
        <v>130</v>
      </c>
      <c r="S280" s="318"/>
      <c r="T280" s="313"/>
      <c r="U280" s="324">
        <f>ESS_DATA[[#This Row],[QUANTITY]]/260</f>
        <v>0.5</v>
      </c>
      <c r="V280" s="408" t="s">
        <v>7864</v>
      </c>
      <c r="W280" s="313" t="s">
        <v>8529</v>
      </c>
      <c r="X280" s="316" t="str">
        <f t="shared" si="25"/>
        <v/>
      </c>
      <c r="Y280" s="688">
        <v>46315</v>
      </c>
      <c r="Z280" s="320">
        <v>46321</v>
      </c>
      <c r="AA280" s="321">
        <f>WEEKNUM(ESS_DATA[[#This Row],[Pick-Up Date]])</f>
        <v>44</v>
      </c>
      <c r="AB280" s="313"/>
      <c r="AC280" s="313"/>
      <c r="AD280" s="313" t="s">
        <v>122</v>
      </c>
      <c r="AE280" s="313" t="s">
        <v>122</v>
      </c>
      <c r="AF280" s="41" t="s">
        <v>314</v>
      </c>
      <c r="AG280" s="320">
        <v>46329</v>
      </c>
      <c r="AH280" s="320"/>
      <c r="AI280" s="320"/>
      <c r="AJ280" s="320">
        <v>46372</v>
      </c>
      <c r="AK280" s="320"/>
      <c r="AL280" s="320"/>
      <c r="AM280" s="322" t="s">
        <v>402</v>
      </c>
      <c r="AN280" s="320" t="s">
        <v>7321</v>
      </c>
      <c r="AO280" s="320" t="s">
        <v>80</v>
      </c>
      <c r="AP280" s="320" t="s">
        <v>8566</v>
      </c>
      <c r="AQ280" s="313" t="s">
        <v>8567</v>
      </c>
      <c r="AR280" s="313" t="s">
        <v>8567</v>
      </c>
      <c r="AS280" s="313">
        <f>ESS_DATA[[#This Row],[ETA On S/O]]-ESS_DATA[[#This Row],[ETD On S/O]]+1</f>
        <v>44</v>
      </c>
      <c r="AT280" s="313"/>
      <c r="AU280" s="320" cm="1">
        <f t="array" ref="AU28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46372</v>
      </c>
      <c r="AV280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80" s="1150" t="str">
        <f>IF(ISERROR(ESS_DATA[[#This Row],[New Ark PO status]]),"",_xlfn.XLOOKUP(ESS_DATA[[#This Row],[SPTN-PVHK New Ark PO'#]],New_Ark_Data[Purchase order Number],New_Ark_Data[Estimated time of arrival],"",0))</f>
        <v/>
      </c>
      <c r="AX280" s="313">
        <f>IF(ESS_DATA[[#This Row],[New Ark PO Type]]="Offshore",0,IFERROR(VLOOKUP(ESS_DATA[[#This Row],[PORT OF LOADING]]&amp;ESS_DATA[[#This Row],[PORT DESTINATION]],LT_REF[],7,0),14))</f>
        <v>10</v>
      </c>
      <c r="AY280" s="320">
        <f>IFERROR(ESS_DATA[[#This Row],[ODP ETA Port]]+ESS_DATA[[#This Row],[Customs/Leg3 Assumption]],"n/a")</f>
        <v>46382</v>
      </c>
      <c r="AZ280" s="316">
        <f>YEAR(ESS_DATA[[#This Row],[ETA for New Ark update]])</f>
        <v>2026</v>
      </c>
      <c r="BA280" s="316">
        <f>MONTH(ESS_DATA[[#This Row],[ETA for New Ark update]])</f>
        <v>12</v>
      </c>
      <c r="BB280" s="316">
        <f>IFERROR(_xlfn.ISOWEEKNUM(ESS_DATA[[#This Row],[ETA for New Ark update]]),0)</f>
        <v>52</v>
      </c>
      <c r="BC280" s="316" t="str">
        <f>_xlfn.XLOOKUP(ESS_DATA[[#This Row],[PORT DESTINATION]],Table12[PORT DESTINATION],Table12[Cosco Line],,0)</f>
        <v>AEM</v>
      </c>
      <c r="BD280" s="316"/>
      <c r="BE280" s="323"/>
      <c r="BF280" s="323"/>
      <c r="BG280" s="323"/>
      <c r="BH280" s="323"/>
      <c r="BI280" s="323"/>
    </row>
    <row r="281" spans="1:61" s="1083" customFormat="1" ht="16.5" customHeight="1">
      <c r="A281" s="311" t="s">
        <v>8569</v>
      </c>
      <c r="B281" s="313" t="s">
        <v>7814</v>
      </c>
      <c r="C281" s="313" t="str">
        <f>IFERROR(LEFT(ESS_DATA[[#This Row],[TCL REFERENCE]],FIND(".",ESS_DATA[[#This Row],[TCL REFERENCE]],1)-1),"Main Line")</f>
        <v>26NOV002</v>
      </c>
      <c r="D281" s="313" t="s">
        <v>63</v>
      </c>
      <c r="E281" s="316" t="s">
        <v>64</v>
      </c>
      <c r="F281" s="316" t="str" cm="1">
        <f t="array" ref="F281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Plan-SPIT</v>
      </c>
      <c r="G281" s="313"/>
      <c r="H281" s="313"/>
      <c r="I281" s="317"/>
      <c r="J281" s="313"/>
      <c r="K281" s="313"/>
      <c r="L281" s="314"/>
      <c r="M281" s="315"/>
      <c r="N281" s="1082" t="s">
        <v>7828</v>
      </c>
      <c r="O281" s="1082" t="s">
        <v>7829</v>
      </c>
      <c r="P281" s="1082" t="s">
        <v>7830</v>
      </c>
      <c r="Q281" s="312"/>
      <c r="R281" s="317">
        <v>130</v>
      </c>
      <c r="S281" s="318"/>
      <c r="T281" s="313"/>
      <c r="U281" s="324">
        <f>ESS_DATA[[#This Row],[QUANTITY]]/260</f>
        <v>0.5</v>
      </c>
      <c r="V281" s="408" t="s">
        <v>7873</v>
      </c>
      <c r="W281" s="374" t="s">
        <v>8448</v>
      </c>
      <c r="X281" s="316" t="str">
        <f t="shared" si="25"/>
        <v/>
      </c>
      <c r="Y281" s="688">
        <v>46321</v>
      </c>
      <c r="Z281" s="320">
        <v>46325</v>
      </c>
      <c r="AA281" s="321">
        <f>WEEKNUM(ESS_DATA[[#This Row],[Pick-Up Date]])</f>
        <v>44</v>
      </c>
      <c r="AB281" s="313"/>
      <c r="AC281" s="313"/>
      <c r="AD281" s="313" t="s">
        <v>122</v>
      </c>
      <c r="AE281" s="313" t="s">
        <v>122</v>
      </c>
      <c r="AF281" s="41" t="s">
        <v>314</v>
      </c>
      <c r="AG281" s="320">
        <v>46339</v>
      </c>
      <c r="AH281" s="320"/>
      <c r="AI281" s="320"/>
      <c r="AJ281" s="320">
        <v>46386</v>
      </c>
      <c r="AK281" s="320"/>
      <c r="AL281" s="320"/>
      <c r="AM281" s="322" t="s">
        <v>402</v>
      </c>
      <c r="AN281" s="320" t="s">
        <v>8570</v>
      </c>
      <c r="AO281" s="320" t="s">
        <v>80</v>
      </c>
      <c r="AP281" s="320"/>
      <c r="AQ281" s="313" t="s">
        <v>8571</v>
      </c>
      <c r="AR281" s="313" t="s">
        <v>8571</v>
      </c>
      <c r="AS281" s="313">
        <f>ESS_DATA[[#This Row],[ETA On S/O]]-ESS_DATA[[#This Row],[ETD On S/O]]+1</f>
        <v>48</v>
      </c>
      <c r="AT281" s="313"/>
      <c r="AU281" s="320" cm="1">
        <f t="array" ref="AU28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46386</v>
      </c>
      <c r="AV281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81" s="1150" t="str">
        <f>IF(ISERROR(ESS_DATA[[#This Row],[New Ark PO status]]),"",_xlfn.XLOOKUP(ESS_DATA[[#This Row],[SPTN-PVHK New Ark PO'#]],New_Ark_Data[Purchase order Number],New_Ark_Data[Estimated time of arrival],"",0))</f>
        <v/>
      </c>
      <c r="AX281" s="313">
        <f>IF(ESS_DATA[[#This Row],[New Ark PO Type]]="Offshore",0,IFERROR(VLOOKUP(ESS_DATA[[#This Row],[PORT OF LOADING]]&amp;ESS_DATA[[#This Row],[PORT DESTINATION]],LT_REF[],7,0),14))</f>
        <v>10</v>
      </c>
      <c r="AY281" s="320">
        <f>IFERROR(ESS_DATA[[#This Row],[ODP ETA Port]]+ESS_DATA[[#This Row],[Customs/Leg3 Assumption]],"n/a")</f>
        <v>46396</v>
      </c>
      <c r="AZ281" s="316">
        <f>YEAR(ESS_DATA[[#This Row],[ETA for New Ark update]])</f>
        <v>2027</v>
      </c>
      <c r="BA281" s="316">
        <f>MONTH(ESS_DATA[[#This Row],[ETA for New Ark update]])</f>
        <v>1</v>
      </c>
      <c r="BB281" s="316">
        <f>IFERROR(_xlfn.ISOWEEKNUM(ESS_DATA[[#This Row],[ETA for New Ark update]]),0)</f>
        <v>1</v>
      </c>
      <c r="BC281" s="316" t="str">
        <f>_xlfn.XLOOKUP(ESS_DATA[[#This Row],[PORT DESTINATION]],Table12[PORT DESTINATION],Table12[Cosco Line],,0)</f>
        <v>AEM</v>
      </c>
      <c r="BD281" s="316"/>
      <c r="BE281" s="323"/>
      <c r="BF281" s="323"/>
      <c r="BG281" s="323"/>
      <c r="BH281" s="323"/>
      <c r="BI281" s="323"/>
    </row>
    <row r="282" spans="1:61" s="1083" customFormat="1" ht="16.5" customHeight="1">
      <c r="A282" s="311" t="s">
        <v>8572</v>
      </c>
      <c r="B282" s="313" t="s">
        <v>7814</v>
      </c>
      <c r="C282" s="313" t="str">
        <f>IFERROR(LEFT(ESS_DATA[[#This Row],[TCL REFERENCE]],FIND(".",ESS_DATA[[#This Row],[TCL REFERENCE]],1)-1),"Main Line")</f>
        <v>26NOV004</v>
      </c>
      <c r="D282" s="313" t="s">
        <v>63</v>
      </c>
      <c r="E282" s="316" t="s">
        <v>64</v>
      </c>
      <c r="F282" s="316" t="str" cm="1">
        <f t="array" ref="F282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Plan-SPIT</v>
      </c>
      <c r="G282" s="313"/>
      <c r="H282" s="313"/>
      <c r="I282" s="317"/>
      <c r="J282" s="313"/>
      <c r="K282" s="313"/>
      <c r="L282" s="314"/>
      <c r="M282" s="315"/>
      <c r="N282" s="1082" t="s">
        <v>7840</v>
      </c>
      <c r="O282" s="1082" t="s">
        <v>8037</v>
      </c>
      <c r="P282" s="1082" t="s">
        <v>7842</v>
      </c>
      <c r="Q282" s="312"/>
      <c r="R282" s="317">
        <v>130</v>
      </c>
      <c r="S282" s="318"/>
      <c r="T282" s="313"/>
      <c r="U282" s="324">
        <f>ESS_DATA[[#This Row],[QUANTITY]]/260</f>
        <v>0.5</v>
      </c>
      <c r="V282" s="408" t="s">
        <v>7873</v>
      </c>
      <c r="W282" s="374" t="s">
        <v>8448</v>
      </c>
      <c r="X282" s="316" t="str">
        <f t="shared" si="25"/>
        <v/>
      </c>
      <c r="Y282" s="688">
        <v>46321</v>
      </c>
      <c r="Z282" s="320">
        <v>46325</v>
      </c>
      <c r="AA282" s="321">
        <f>WEEKNUM(ESS_DATA[[#This Row],[Pick-Up Date]])</f>
        <v>44</v>
      </c>
      <c r="AB282" s="313"/>
      <c r="AC282" s="313"/>
      <c r="AD282" s="313" t="s">
        <v>122</v>
      </c>
      <c r="AE282" s="313" t="s">
        <v>122</v>
      </c>
      <c r="AF282" s="41" t="s">
        <v>314</v>
      </c>
      <c r="AG282" s="320">
        <v>46339</v>
      </c>
      <c r="AH282" s="320"/>
      <c r="AI282" s="320"/>
      <c r="AJ282" s="320">
        <v>46386</v>
      </c>
      <c r="AK282" s="320"/>
      <c r="AL282" s="320"/>
      <c r="AM282" s="322" t="s">
        <v>402</v>
      </c>
      <c r="AN282" s="320" t="s">
        <v>8570</v>
      </c>
      <c r="AO282" s="320" t="s">
        <v>80</v>
      </c>
      <c r="AP282" s="320"/>
      <c r="AQ282" s="313" t="s">
        <v>8571</v>
      </c>
      <c r="AR282" s="313" t="s">
        <v>8571</v>
      </c>
      <c r="AS282" s="313">
        <f>ESS_DATA[[#This Row],[ETA On S/O]]-ESS_DATA[[#This Row],[ETD On S/O]]+1</f>
        <v>48</v>
      </c>
      <c r="AT282" s="313"/>
      <c r="AU282" s="320" cm="1">
        <f t="array" ref="AU28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46386</v>
      </c>
      <c r="AV282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82" s="1150" t="str">
        <f>IF(ISERROR(ESS_DATA[[#This Row],[New Ark PO status]]),"",_xlfn.XLOOKUP(ESS_DATA[[#This Row],[SPTN-PVHK New Ark PO'#]],New_Ark_Data[Purchase order Number],New_Ark_Data[Estimated time of arrival],"",0))</f>
        <v/>
      </c>
      <c r="AX282" s="313">
        <f>IF(ESS_DATA[[#This Row],[New Ark PO Type]]="Offshore",0,IFERROR(VLOOKUP(ESS_DATA[[#This Row],[PORT OF LOADING]]&amp;ESS_DATA[[#This Row],[PORT DESTINATION]],LT_REF[],7,0),14))</f>
        <v>10</v>
      </c>
      <c r="AY282" s="320">
        <f>IFERROR(ESS_DATA[[#This Row],[ODP ETA Port]]+ESS_DATA[[#This Row],[Customs/Leg3 Assumption]],"n/a")</f>
        <v>46396</v>
      </c>
      <c r="AZ282" s="316">
        <f>YEAR(ESS_DATA[[#This Row],[ETA for New Ark update]])</f>
        <v>2027</v>
      </c>
      <c r="BA282" s="316">
        <f>MONTH(ESS_DATA[[#This Row],[ETA for New Ark update]])</f>
        <v>1</v>
      </c>
      <c r="BB282" s="316">
        <f>IFERROR(_xlfn.ISOWEEKNUM(ESS_DATA[[#This Row],[ETA for New Ark update]]),0)</f>
        <v>1</v>
      </c>
      <c r="BC282" s="316" t="str">
        <f>_xlfn.XLOOKUP(ESS_DATA[[#This Row],[PORT DESTINATION]],Table12[PORT DESTINATION],Table12[Cosco Line],,0)</f>
        <v>AEM</v>
      </c>
      <c r="BD282" s="316"/>
      <c r="BE282" s="323"/>
      <c r="BF282" s="323"/>
      <c r="BG282" s="323"/>
      <c r="BH282" s="323"/>
      <c r="BI282" s="323"/>
    </row>
    <row r="283" spans="1:61" s="1083" customFormat="1" ht="16.5" customHeight="1">
      <c r="A283" s="311" t="s">
        <v>8573</v>
      </c>
      <c r="B283" s="313" t="s">
        <v>7814</v>
      </c>
      <c r="C283" s="313" t="str">
        <f>IFERROR(LEFT(ESS_DATA[[#This Row],[TCL REFERENCE]],FIND(".",ESS_DATA[[#This Row],[TCL REFERENCE]],1)-1),"Main Line")</f>
        <v>26NOV002</v>
      </c>
      <c r="D283" s="313" t="s">
        <v>63</v>
      </c>
      <c r="E283" s="316" t="s">
        <v>64</v>
      </c>
      <c r="F283" s="316" t="str" cm="1">
        <f t="array" ref="F283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Plan-SPIT</v>
      </c>
      <c r="G283" s="313"/>
      <c r="H283" s="313"/>
      <c r="I283" s="317"/>
      <c r="J283" s="313"/>
      <c r="K283" s="313"/>
      <c r="L283" s="314"/>
      <c r="M283" s="315"/>
      <c r="N283" s="1082" t="s">
        <v>7828</v>
      </c>
      <c r="O283" s="1082" t="s">
        <v>7829</v>
      </c>
      <c r="P283" s="1082" t="s">
        <v>7830</v>
      </c>
      <c r="Q283" s="312"/>
      <c r="R283" s="317">
        <v>130</v>
      </c>
      <c r="S283" s="318"/>
      <c r="T283" s="313"/>
      <c r="U283" s="324">
        <f>ESS_DATA[[#This Row],[QUANTITY]]/260</f>
        <v>0.5</v>
      </c>
      <c r="V283" s="408" t="s">
        <v>7877</v>
      </c>
      <c r="W283" s="313" t="s">
        <v>8448</v>
      </c>
      <c r="X283" s="316" t="str">
        <f t="shared" si="25"/>
        <v/>
      </c>
      <c r="Y283" s="320">
        <v>46325</v>
      </c>
      <c r="Z283" s="320">
        <v>46325</v>
      </c>
      <c r="AA283" s="321">
        <f>WEEKNUM(ESS_DATA[[#This Row],[Pick-Up Date]])</f>
        <v>44</v>
      </c>
      <c r="AB283" s="313"/>
      <c r="AC283" s="313"/>
      <c r="AD283" s="313" t="s">
        <v>122</v>
      </c>
      <c r="AE283" s="313" t="s">
        <v>122</v>
      </c>
      <c r="AF283" s="41" t="s">
        <v>314</v>
      </c>
      <c r="AG283" s="320">
        <v>46339</v>
      </c>
      <c r="AH283" s="320"/>
      <c r="AI283" s="320"/>
      <c r="AJ283" s="320">
        <v>46386</v>
      </c>
      <c r="AK283" s="320"/>
      <c r="AL283" s="320"/>
      <c r="AM283" s="322" t="s">
        <v>402</v>
      </c>
      <c r="AN283" s="320" t="s">
        <v>8570</v>
      </c>
      <c r="AO283" s="320" t="s">
        <v>80</v>
      </c>
      <c r="AP283" s="320"/>
      <c r="AQ283" s="313" t="s">
        <v>8571</v>
      </c>
      <c r="AR283" s="313" t="s">
        <v>8571</v>
      </c>
      <c r="AS283" s="313">
        <f>ESS_DATA[[#This Row],[ETA On S/O]]-ESS_DATA[[#This Row],[ETD On S/O]]+1</f>
        <v>48</v>
      </c>
      <c r="AT283" s="313"/>
      <c r="AU283" s="320" cm="1">
        <f t="array" ref="AU28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46386</v>
      </c>
      <c r="AV283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83" s="1150" t="str">
        <f>IF(ISERROR(ESS_DATA[[#This Row],[New Ark PO status]]),"",_xlfn.XLOOKUP(ESS_DATA[[#This Row],[SPTN-PVHK New Ark PO'#]],New_Ark_Data[Purchase order Number],New_Ark_Data[Estimated time of arrival],"",0))</f>
        <v/>
      </c>
      <c r="AX283" s="313">
        <f>IF(ESS_DATA[[#This Row],[New Ark PO Type]]="Offshore",0,IFERROR(VLOOKUP(ESS_DATA[[#This Row],[PORT OF LOADING]]&amp;ESS_DATA[[#This Row],[PORT DESTINATION]],LT_REF[],7,0),14))</f>
        <v>10</v>
      </c>
      <c r="AY283" s="320">
        <f>IFERROR(ESS_DATA[[#This Row],[ODP ETA Port]]+ESS_DATA[[#This Row],[Customs/Leg3 Assumption]],"n/a")</f>
        <v>46396</v>
      </c>
      <c r="AZ283" s="316">
        <f>YEAR(ESS_DATA[[#This Row],[ETA for New Ark update]])</f>
        <v>2027</v>
      </c>
      <c r="BA283" s="316">
        <f>MONTH(ESS_DATA[[#This Row],[ETA for New Ark update]])</f>
        <v>1</v>
      </c>
      <c r="BB283" s="316">
        <f>IFERROR(_xlfn.ISOWEEKNUM(ESS_DATA[[#This Row],[ETA for New Ark update]]),0)</f>
        <v>1</v>
      </c>
      <c r="BC283" s="316" t="str">
        <f>_xlfn.XLOOKUP(ESS_DATA[[#This Row],[PORT DESTINATION]],Table12[PORT DESTINATION],Table12[Cosco Line],,0)</f>
        <v>AEM</v>
      </c>
      <c r="BD283" s="316"/>
      <c r="BE283" s="323"/>
      <c r="BF283" s="323"/>
      <c r="BG283" s="323"/>
      <c r="BH283" s="323"/>
      <c r="BI283" s="323"/>
    </row>
    <row r="284" spans="1:61" s="1083" customFormat="1" ht="16.5" customHeight="1">
      <c r="A284" s="311" t="s">
        <v>8574</v>
      </c>
      <c r="B284" s="313" t="s">
        <v>7814</v>
      </c>
      <c r="C284" s="313" t="str">
        <f>IFERROR(LEFT(ESS_DATA[[#This Row],[TCL REFERENCE]],FIND(".",ESS_DATA[[#This Row],[TCL REFERENCE]],1)-1),"Main Line")</f>
        <v>26NOV004</v>
      </c>
      <c r="D284" s="313" t="s">
        <v>63</v>
      </c>
      <c r="E284" s="316" t="s">
        <v>64</v>
      </c>
      <c r="F284" s="316" t="str" cm="1">
        <f t="array" ref="F284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Plan-SPIT</v>
      </c>
      <c r="G284" s="313"/>
      <c r="H284" s="313"/>
      <c r="I284" s="317"/>
      <c r="J284" s="313"/>
      <c r="K284" s="313"/>
      <c r="L284" s="314"/>
      <c r="M284" s="315"/>
      <c r="N284" s="1082" t="s">
        <v>7840</v>
      </c>
      <c r="O284" s="1082" t="s">
        <v>8037</v>
      </c>
      <c r="P284" s="1082" t="s">
        <v>7842</v>
      </c>
      <c r="Q284" s="312"/>
      <c r="R284" s="317">
        <v>130</v>
      </c>
      <c r="S284" s="318"/>
      <c r="T284" s="313"/>
      <c r="U284" s="324">
        <f>ESS_DATA[[#This Row],[QUANTITY]]/260</f>
        <v>0.5</v>
      </c>
      <c r="V284" s="408" t="s">
        <v>7877</v>
      </c>
      <c r="W284" s="313" t="s">
        <v>8448</v>
      </c>
      <c r="X284" s="316" t="str">
        <f t="shared" si="25"/>
        <v/>
      </c>
      <c r="Y284" s="320">
        <v>46325</v>
      </c>
      <c r="Z284" s="320">
        <v>46325</v>
      </c>
      <c r="AA284" s="321">
        <f>WEEKNUM(ESS_DATA[[#This Row],[Pick-Up Date]])</f>
        <v>44</v>
      </c>
      <c r="AB284" s="313"/>
      <c r="AC284" s="313"/>
      <c r="AD284" s="313" t="s">
        <v>122</v>
      </c>
      <c r="AE284" s="313" t="s">
        <v>122</v>
      </c>
      <c r="AF284" s="41" t="s">
        <v>314</v>
      </c>
      <c r="AG284" s="320">
        <v>46339</v>
      </c>
      <c r="AH284" s="320"/>
      <c r="AI284" s="320"/>
      <c r="AJ284" s="320">
        <v>46386</v>
      </c>
      <c r="AK284" s="320"/>
      <c r="AL284" s="320"/>
      <c r="AM284" s="322" t="s">
        <v>402</v>
      </c>
      <c r="AN284" s="320" t="s">
        <v>8570</v>
      </c>
      <c r="AO284" s="320" t="s">
        <v>80</v>
      </c>
      <c r="AP284" s="320"/>
      <c r="AQ284" s="313" t="s">
        <v>8571</v>
      </c>
      <c r="AR284" s="313" t="s">
        <v>8571</v>
      </c>
      <c r="AS284" s="313">
        <f>ESS_DATA[[#This Row],[ETA On S/O]]-ESS_DATA[[#This Row],[ETD On S/O]]+1</f>
        <v>48</v>
      </c>
      <c r="AT284" s="313"/>
      <c r="AU284" s="320" cm="1">
        <f t="array" ref="AU28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46386</v>
      </c>
      <c r="AV284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84" s="1150" t="str">
        <f>IF(ISERROR(ESS_DATA[[#This Row],[New Ark PO status]]),"",_xlfn.XLOOKUP(ESS_DATA[[#This Row],[SPTN-PVHK New Ark PO'#]],New_Ark_Data[Purchase order Number],New_Ark_Data[Estimated time of arrival],"",0))</f>
        <v/>
      </c>
      <c r="AX284" s="313">
        <f>IF(ESS_DATA[[#This Row],[New Ark PO Type]]="Offshore",0,IFERROR(VLOOKUP(ESS_DATA[[#This Row],[PORT OF LOADING]]&amp;ESS_DATA[[#This Row],[PORT DESTINATION]],LT_REF[],7,0),14))</f>
        <v>10</v>
      </c>
      <c r="AY284" s="320">
        <f>IFERROR(ESS_DATA[[#This Row],[ODP ETA Port]]+ESS_DATA[[#This Row],[Customs/Leg3 Assumption]],"n/a")</f>
        <v>46396</v>
      </c>
      <c r="AZ284" s="316">
        <f>YEAR(ESS_DATA[[#This Row],[ETA for New Ark update]])</f>
        <v>2027</v>
      </c>
      <c r="BA284" s="316">
        <f>MONTH(ESS_DATA[[#This Row],[ETA for New Ark update]])</f>
        <v>1</v>
      </c>
      <c r="BB284" s="316">
        <f>IFERROR(_xlfn.ISOWEEKNUM(ESS_DATA[[#This Row],[ETA for New Ark update]]),0)</f>
        <v>1</v>
      </c>
      <c r="BC284" s="316" t="str">
        <f>_xlfn.XLOOKUP(ESS_DATA[[#This Row],[PORT DESTINATION]],Table12[PORT DESTINATION],Table12[Cosco Line],,0)</f>
        <v>AEM</v>
      </c>
      <c r="BD284" s="316"/>
      <c r="BE284" s="323"/>
      <c r="BF284" s="323"/>
      <c r="BG284" s="323"/>
      <c r="BH284" s="323"/>
      <c r="BI284" s="323"/>
    </row>
    <row r="285" spans="1:61" s="1083" customFormat="1" ht="16.5" customHeight="1">
      <c r="A285" s="311" t="s">
        <v>8575</v>
      </c>
      <c r="B285" s="313" t="s">
        <v>7814</v>
      </c>
      <c r="C285" s="313" t="str">
        <f>IFERROR(LEFT(ESS_DATA[[#This Row],[TCL REFERENCE]],FIND(".",ESS_DATA[[#This Row],[TCL REFERENCE]],1)-1),"Main Line")</f>
        <v>26NOV002</v>
      </c>
      <c r="D285" s="313" t="s">
        <v>63</v>
      </c>
      <c r="E285" s="316" t="s">
        <v>64</v>
      </c>
      <c r="F285" s="316" t="str" cm="1">
        <f t="array" ref="F285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85" s="313"/>
      <c r="H285" s="313"/>
      <c r="I285" s="317"/>
      <c r="J285" s="313"/>
      <c r="K285" s="313"/>
      <c r="L285" s="314"/>
      <c r="M285" s="315"/>
      <c r="N285" s="1082" t="s">
        <v>7828</v>
      </c>
      <c r="O285" s="1082" t="s">
        <v>7829</v>
      </c>
      <c r="P285" s="1082" t="s">
        <v>7830</v>
      </c>
      <c r="Q285" s="312"/>
      <c r="R285" s="317">
        <v>130</v>
      </c>
      <c r="S285" s="318"/>
      <c r="T285" s="313"/>
      <c r="U285" s="324">
        <f>ESS_DATA[[#This Row],[QUANTITY]]/260</f>
        <v>0.5</v>
      </c>
      <c r="V285" s="408" t="s">
        <v>8086</v>
      </c>
      <c r="W285" s="313" t="s">
        <v>8576</v>
      </c>
      <c r="X285" s="316" t="str">
        <f t="shared" ref="X285:X286" si="26">IF(AL285&lt;&gt;"","COMPLETED",IF(AI285&lt;&gt;"","IN-TRANSIT",""))</f>
        <v/>
      </c>
      <c r="Y285" s="320">
        <v>46332</v>
      </c>
      <c r="Z285" s="320"/>
      <c r="AA285" s="321">
        <f>WEEKNUM(ESS_DATA[[#This Row],[Pick-Up Date]])</f>
        <v>0</v>
      </c>
      <c r="AB285" s="313"/>
      <c r="AC285" s="313"/>
      <c r="AD285" s="313" t="s">
        <v>122</v>
      </c>
      <c r="AE285" s="313" t="s">
        <v>122</v>
      </c>
      <c r="AF285" s="313" t="s">
        <v>78</v>
      </c>
      <c r="AG285" s="320">
        <v>46339</v>
      </c>
      <c r="AH285" s="320"/>
      <c r="AI285" s="320"/>
      <c r="AJ285" s="320">
        <v>46026</v>
      </c>
      <c r="AK285" s="320"/>
      <c r="AL285" s="320"/>
      <c r="AM285" s="322" t="s">
        <v>402</v>
      </c>
      <c r="AN285" s="320" t="s">
        <v>8570</v>
      </c>
      <c r="AO285" s="320" t="s">
        <v>80</v>
      </c>
      <c r="AP285" s="320"/>
      <c r="AQ285" s="313" t="s">
        <v>8577</v>
      </c>
      <c r="AR285" s="313" t="s">
        <v>8577</v>
      </c>
      <c r="AS285" s="313">
        <f>ESS_DATA[[#This Row],[ETA On S/O]]-ESS_DATA[[#This Row],[ETD On S/O]]+1</f>
        <v>-312</v>
      </c>
      <c r="AT285" s="313"/>
      <c r="AU285" s="320" cm="1">
        <f t="array" ref="AU28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46026</v>
      </c>
      <c r="AV285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85" s="1150" t="str">
        <f>IF(ISERROR(ESS_DATA[[#This Row],[New Ark PO status]]),"",_xlfn.XLOOKUP(ESS_DATA[[#This Row],[SPTN-PVHK New Ark PO'#]],New_Ark_Data[Purchase order Number],New_Ark_Data[Estimated time of arrival],"",0))</f>
        <v/>
      </c>
      <c r="AX285" s="313">
        <f>IF(ESS_DATA[[#This Row],[New Ark PO Type]]="Offshore",0,IFERROR(VLOOKUP(ESS_DATA[[#This Row],[PORT OF LOADING]]&amp;ESS_DATA[[#This Row],[PORT DESTINATION]],LT_REF[],7,0),14))</f>
        <v>8</v>
      </c>
      <c r="AY285" s="320">
        <f>IFERROR(ESS_DATA[[#This Row],[ODP ETA Port]]+ESS_DATA[[#This Row],[Customs/Leg3 Assumption]],"n/a")</f>
        <v>46034</v>
      </c>
      <c r="AZ285" s="316">
        <f>YEAR(ESS_DATA[[#This Row],[ETA for New Ark update]])</f>
        <v>2026</v>
      </c>
      <c r="BA285" s="316">
        <f>MONTH(ESS_DATA[[#This Row],[ETA for New Ark update]])</f>
        <v>1</v>
      </c>
      <c r="BB285" s="316">
        <f>IFERROR(_xlfn.ISOWEEKNUM(ESS_DATA[[#This Row],[ETA for New Ark update]]),0)</f>
        <v>3</v>
      </c>
      <c r="BC285" s="316" t="str">
        <f>_xlfn.XLOOKUP(ESS_DATA[[#This Row],[PORT DESTINATION]],Table12[PORT DESTINATION],Table12[Cosco Line],,0)</f>
        <v>AEM</v>
      </c>
      <c r="BD285" s="316"/>
      <c r="BE285" s="323"/>
      <c r="BF285" s="323"/>
      <c r="BG285" s="323"/>
      <c r="BH285" s="323"/>
      <c r="BI285" s="323"/>
    </row>
    <row r="286" spans="1:61" s="1083" customFormat="1" ht="16.5" customHeight="1">
      <c r="A286" s="311" t="s">
        <v>8578</v>
      </c>
      <c r="B286" s="313" t="s">
        <v>7814</v>
      </c>
      <c r="C286" s="313" t="str">
        <f>IFERROR(LEFT(ESS_DATA[[#This Row],[TCL REFERENCE]],FIND(".",ESS_DATA[[#This Row],[TCL REFERENCE]],1)-1),"Main Line")</f>
        <v>26NOV004</v>
      </c>
      <c r="D286" s="313" t="s">
        <v>63</v>
      </c>
      <c r="E286" s="316" t="s">
        <v>64</v>
      </c>
      <c r="F286" s="316" t="str" cm="1">
        <f t="array" ref="F286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86" s="313"/>
      <c r="H286" s="313"/>
      <c r="I286" s="317"/>
      <c r="J286" s="313"/>
      <c r="K286" s="313"/>
      <c r="L286" s="314"/>
      <c r="M286" s="315"/>
      <c r="N286" s="1082" t="s">
        <v>7840</v>
      </c>
      <c r="O286" s="1082" t="s">
        <v>8037</v>
      </c>
      <c r="P286" s="1082" t="s">
        <v>7842</v>
      </c>
      <c r="Q286" s="312"/>
      <c r="R286" s="317">
        <v>130</v>
      </c>
      <c r="S286" s="318"/>
      <c r="T286" s="313"/>
      <c r="U286" s="324">
        <f>ESS_DATA[[#This Row],[QUANTITY]]/260</f>
        <v>0.5</v>
      </c>
      <c r="V286" s="408" t="s">
        <v>8086</v>
      </c>
      <c r="W286" s="313" t="s">
        <v>8576</v>
      </c>
      <c r="X286" s="316" t="str">
        <f t="shared" si="26"/>
        <v/>
      </c>
      <c r="Y286" s="320">
        <v>46332</v>
      </c>
      <c r="Z286" s="320"/>
      <c r="AA286" s="321">
        <f>WEEKNUM(ESS_DATA[[#This Row],[Pick-Up Date]])</f>
        <v>0</v>
      </c>
      <c r="AB286" s="313"/>
      <c r="AC286" s="313"/>
      <c r="AD286" s="313" t="s">
        <v>122</v>
      </c>
      <c r="AE286" s="313" t="s">
        <v>122</v>
      </c>
      <c r="AF286" s="313" t="s">
        <v>78</v>
      </c>
      <c r="AG286" s="320">
        <v>46339</v>
      </c>
      <c r="AH286" s="320"/>
      <c r="AI286" s="320"/>
      <c r="AJ286" s="320">
        <v>46026</v>
      </c>
      <c r="AK286" s="320"/>
      <c r="AL286" s="320"/>
      <c r="AM286" s="322" t="s">
        <v>402</v>
      </c>
      <c r="AN286" s="320" t="s">
        <v>8570</v>
      </c>
      <c r="AO286" s="320" t="s">
        <v>80</v>
      </c>
      <c r="AP286" s="320"/>
      <c r="AQ286" s="313" t="s">
        <v>8577</v>
      </c>
      <c r="AR286" s="313" t="s">
        <v>8577</v>
      </c>
      <c r="AS286" s="313">
        <f>ESS_DATA[[#This Row],[ETA On S/O]]-ESS_DATA[[#This Row],[ETD On S/O]]+1</f>
        <v>-312</v>
      </c>
      <c r="AT286" s="313"/>
      <c r="AU286" s="320" cm="1">
        <f t="array" ref="AU28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46026</v>
      </c>
      <c r="AV286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86" s="1150" t="str">
        <f>IF(ISERROR(ESS_DATA[[#This Row],[New Ark PO status]]),"",_xlfn.XLOOKUP(ESS_DATA[[#This Row],[SPTN-PVHK New Ark PO'#]],New_Ark_Data[Purchase order Number],New_Ark_Data[Estimated time of arrival],"",0))</f>
        <v/>
      </c>
      <c r="AX286" s="313">
        <f>IF(ESS_DATA[[#This Row],[New Ark PO Type]]="Offshore",0,IFERROR(VLOOKUP(ESS_DATA[[#This Row],[PORT OF LOADING]]&amp;ESS_DATA[[#This Row],[PORT DESTINATION]],LT_REF[],7,0),14))</f>
        <v>8</v>
      </c>
      <c r="AY286" s="320">
        <f>IFERROR(ESS_DATA[[#This Row],[ODP ETA Port]]+ESS_DATA[[#This Row],[Customs/Leg3 Assumption]],"n/a")</f>
        <v>46034</v>
      </c>
      <c r="AZ286" s="316">
        <f>YEAR(ESS_DATA[[#This Row],[ETA for New Ark update]])</f>
        <v>2026</v>
      </c>
      <c r="BA286" s="316">
        <f>MONTH(ESS_DATA[[#This Row],[ETA for New Ark update]])</f>
        <v>1</v>
      </c>
      <c r="BB286" s="316">
        <f>IFERROR(_xlfn.ISOWEEKNUM(ESS_DATA[[#This Row],[ETA for New Ark update]]),0)</f>
        <v>3</v>
      </c>
      <c r="BC286" s="316" t="str">
        <f>_xlfn.XLOOKUP(ESS_DATA[[#This Row],[PORT DESTINATION]],Table12[PORT DESTINATION],Table12[Cosco Line],,0)</f>
        <v>AEM</v>
      </c>
      <c r="BD286" s="316"/>
      <c r="BE286" s="323"/>
      <c r="BF286" s="323"/>
      <c r="BG286" s="323"/>
      <c r="BH286" s="323"/>
      <c r="BI286" s="323"/>
    </row>
    <row r="287" spans="1:61" s="1083" customFormat="1" ht="16.5" customHeight="1">
      <c r="A287" s="311" t="s">
        <v>8579</v>
      </c>
      <c r="B287" s="313" t="s">
        <v>7814</v>
      </c>
      <c r="C287" s="313" t="str">
        <f>IFERROR(LEFT(ESS_DATA[[#This Row],[TCL REFERENCE]],FIND(".",ESS_DATA[[#This Row],[TCL REFERENCE]],1)-1),"Main Line")</f>
        <v>26NOV002</v>
      </c>
      <c r="D287" s="313" t="s">
        <v>63</v>
      </c>
      <c r="E287" s="316" t="s">
        <v>64</v>
      </c>
      <c r="F287" s="316" t="str" cm="1">
        <f t="array" ref="F287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87" s="313"/>
      <c r="H287" s="313"/>
      <c r="I287" s="317"/>
      <c r="J287" s="313"/>
      <c r="K287" s="313"/>
      <c r="L287" s="314"/>
      <c r="M287" s="315"/>
      <c r="N287" s="1082" t="s">
        <v>7828</v>
      </c>
      <c r="O287" s="1082" t="s">
        <v>7829</v>
      </c>
      <c r="P287" s="1082" t="s">
        <v>7830</v>
      </c>
      <c r="Q287" s="312"/>
      <c r="R287" s="317">
        <v>130</v>
      </c>
      <c r="S287" s="318"/>
      <c r="T287" s="313"/>
      <c r="U287" s="324">
        <f>ESS_DATA[[#This Row],[QUANTITY]]/260</f>
        <v>0.5</v>
      </c>
      <c r="V287" s="408" t="s">
        <v>8099</v>
      </c>
      <c r="W287" s="313" t="s">
        <v>8576</v>
      </c>
      <c r="X287" s="316" t="str">
        <f t="shared" ref="X287:X288" si="27">IF(AL287&lt;&gt;"","COMPLETED",IF(AI287&lt;&gt;"","IN-TRANSIT",""))</f>
        <v/>
      </c>
      <c r="Y287" s="320">
        <v>46332</v>
      </c>
      <c r="Z287" s="320"/>
      <c r="AA287" s="321">
        <f>WEEKNUM(ESS_DATA[[#This Row],[Pick-Up Date]])</f>
        <v>0</v>
      </c>
      <c r="AB287" s="313"/>
      <c r="AC287" s="313"/>
      <c r="AD287" s="313" t="s">
        <v>122</v>
      </c>
      <c r="AE287" s="313" t="s">
        <v>122</v>
      </c>
      <c r="AF287" s="313" t="s">
        <v>78</v>
      </c>
      <c r="AG287" s="320"/>
      <c r="AH287" s="320"/>
      <c r="AI287" s="320"/>
      <c r="AJ287" s="320"/>
      <c r="AK287" s="320"/>
      <c r="AL287" s="320"/>
      <c r="AM287" s="322" t="s">
        <v>402</v>
      </c>
      <c r="AN287" s="320"/>
      <c r="AO287" s="320"/>
      <c r="AP287" s="320"/>
      <c r="AQ287" s="313"/>
      <c r="AR287" s="313"/>
      <c r="AS287" s="313">
        <f>ESS_DATA[[#This Row],[ETA On S/O]]-ESS_DATA[[#This Row],[ETD On S/O]]+1</f>
        <v>1</v>
      </c>
      <c r="AT287" s="313"/>
      <c r="AU287" s="320" cm="1">
        <f t="array" ref="AU28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46392</v>
      </c>
      <c r="AV287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87" s="1150" t="str">
        <f>IF(ISERROR(ESS_DATA[[#This Row],[New Ark PO status]]),"",_xlfn.XLOOKUP(ESS_DATA[[#This Row],[SPTN-PVHK New Ark PO'#]],New_Ark_Data[Purchase order Number],New_Ark_Data[Estimated time of arrival],"",0))</f>
        <v/>
      </c>
      <c r="AX287" s="313">
        <f>IF(ESS_DATA[[#This Row],[New Ark PO Type]]="Offshore",0,IFERROR(VLOOKUP(ESS_DATA[[#This Row],[PORT OF LOADING]]&amp;ESS_DATA[[#This Row],[PORT DESTINATION]],LT_REF[],7,0),14))</f>
        <v>8</v>
      </c>
      <c r="AY287" s="320">
        <f>IFERROR(ESS_DATA[[#This Row],[ODP ETA Port]]+ESS_DATA[[#This Row],[Customs/Leg3 Assumption]],"n/a")</f>
        <v>46400</v>
      </c>
      <c r="AZ287" s="316">
        <f>YEAR(ESS_DATA[[#This Row],[ETA for New Ark update]])</f>
        <v>2027</v>
      </c>
      <c r="BA287" s="316">
        <f>MONTH(ESS_DATA[[#This Row],[ETA for New Ark update]])</f>
        <v>1</v>
      </c>
      <c r="BB287" s="316">
        <f>IFERROR(_xlfn.ISOWEEKNUM(ESS_DATA[[#This Row],[ETA for New Ark update]]),0)</f>
        <v>2</v>
      </c>
      <c r="BC287" s="316" t="str">
        <f>_xlfn.XLOOKUP(ESS_DATA[[#This Row],[PORT DESTINATION]],Table12[PORT DESTINATION],Table12[Cosco Line],,0)</f>
        <v>AEM</v>
      </c>
      <c r="BD287" s="316"/>
      <c r="BE287" s="323"/>
      <c r="BF287" s="323"/>
      <c r="BG287" s="323"/>
      <c r="BH287" s="323"/>
      <c r="BI287" s="323"/>
    </row>
    <row r="288" spans="1:61" s="1083" customFormat="1" ht="16.5" customHeight="1">
      <c r="A288" s="311" t="s">
        <v>8580</v>
      </c>
      <c r="B288" s="313" t="s">
        <v>7814</v>
      </c>
      <c r="C288" s="313" t="str">
        <f>IFERROR(LEFT(ESS_DATA[[#This Row],[TCL REFERENCE]],FIND(".",ESS_DATA[[#This Row],[TCL REFERENCE]],1)-1),"Main Line")</f>
        <v>26NOV004</v>
      </c>
      <c r="D288" s="313" t="s">
        <v>63</v>
      </c>
      <c r="E288" s="316" t="s">
        <v>64</v>
      </c>
      <c r="F288" s="316" t="str" cm="1">
        <f t="array" ref="F288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Plan-SPTN</v>
      </c>
      <c r="G288" s="313"/>
      <c r="H288" s="313"/>
      <c r="I288" s="317"/>
      <c r="J288" s="313"/>
      <c r="K288" s="313"/>
      <c r="L288" s="314"/>
      <c r="M288" s="315"/>
      <c r="N288" s="1082" t="s">
        <v>7840</v>
      </c>
      <c r="O288" s="1082" t="s">
        <v>8037</v>
      </c>
      <c r="P288" s="1082" t="s">
        <v>7842</v>
      </c>
      <c r="Q288" s="312"/>
      <c r="R288" s="317">
        <v>130</v>
      </c>
      <c r="S288" s="318"/>
      <c r="T288" s="313"/>
      <c r="U288" s="324">
        <f>ESS_DATA[[#This Row],[QUANTITY]]/260</f>
        <v>0.5</v>
      </c>
      <c r="V288" s="408" t="s">
        <v>8099</v>
      </c>
      <c r="W288" s="313" t="s">
        <v>8576</v>
      </c>
      <c r="X288" s="316" t="str">
        <f t="shared" si="27"/>
        <v/>
      </c>
      <c r="Y288" s="320">
        <v>46332</v>
      </c>
      <c r="Z288" s="320"/>
      <c r="AA288" s="321">
        <f>WEEKNUM(ESS_DATA[[#This Row],[Pick-Up Date]])</f>
        <v>0</v>
      </c>
      <c r="AB288" s="313"/>
      <c r="AC288" s="313"/>
      <c r="AD288" s="313" t="s">
        <v>122</v>
      </c>
      <c r="AE288" s="313" t="s">
        <v>122</v>
      </c>
      <c r="AF288" s="313" t="s">
        <v>78</v>
      </c>
      <c r="AG288" s="320"/>
      <c r="AH288" s="320"/>
      <c r="AI288" s="320"/>
      <c r="AJ288" s="320"/>
      <c r="AK288" s="320"/>
      <c r="AL288" s="320"/>
      <c r="AM288" s="322" t="s">
        <v>402</v>
      </c>
      <c r="AN288" s="320"/>
      <c r="AO288" s="320"/>
      <c r="AP288" s="320"/>
      <c r="AQ288" s="313"/>
      <c r="AR288" s="313"/>
      <c r="AS288" s="313">
        <f>ESS_DATA[[#This Row],[ETA On S/O]]-ESS_DATA[[#This Row],[ETD On S/O]]+1</f>
        <v>1</v>
      </c>
      <c r="AT288" s="313"/>
      <c r="AU288" s="320" cm="1">
        <f t="array" ref="AU28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46392</v>
      </c>
      <c r="AV288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88" s="1150" t="str">
        <f>IF(ISERROR(ESS_DATA[[#This Row],[New Ark PO status]]),"",_xlfn.XLOOKUP(ESS_DATA[[#This Row],[SPTN-PVHK New Ark PO'#]],New_Ark_Data[Purchase order Number],New_Ark_Data[Estimated time of arrival],"",0))</f>
        <v/>
      </c>
      <c r="AX288" s="313">
        <f>IF(ESS_DATA[[#This Row],[New Ark PO Type]]="Offshore",0,IFERROR(VLOOKUP(ESS_DATA[[#This Row],[PORT OF LOADING]]&amp;ESS_DATA[[#This Row],[PORT DESTINATION]],LT_REF[],7,0),14))</f>
        <v>8</v>
      </c>
      <c r="AY288" s="320">
        <f>IFERROR(ESS_DATA[[#This Row],[ODP ETA Port]]+ESS_DATA[[#This Row],[Customs/Leg3 Assumption]],"n/a")</f>
        <v>46400</v>
      </c>
      <c r="AZ288" s="316">
        <f>YEAR(ESS_DATA[[#This Row],[ETA for New Ark update]])</f>
        <v>2027</v>
      </c>
      <c r="BA288" s="316">
        <f>MONTH(ESS_DATA[[#This Row],[ETA for New Ark update]])</f>
        <v>1</v>
      </c>
      <c r="BB288" s="316">
        <f>IFERROR(_xlfn.ISOWEEKNUM(ESS_DATA[[#This Row],[ETA for New Ark update]]),0)</f>
        <v>2</v>
      </c>
      <c r="BC288" s="316" t="str">
        <f>_xlfn.XLOOKUP(ESS_DATA[[#This Row],[PORT DESTINATION]],Table12[PORT DESTINATION],Table12[Cosco Line],,0)</f>
        <v>AEM</v>
      </c>
      <c r="BD288" s="316"/>
      <c r="BE288" s="323"/>
      <c r="BF288" s="323"/>
      <c r="BG288" s="323"/>
      <c r="BH288" s="323"/>
      <c r="BI288" s="323"/>
    </row>
    <row r="289" spans="1:61" s="1083" customFormat="1" ht="16.5" customHeight="1">
      <c r="A289" s="311" t="s">
        <v>8581</v>
      </c>
      <c r="B289" s="313" t="s">
        <v>7814</v>
      </c>
      <c r="C289" s="313" t="str">
        <f>IFERROR(LEFT(ESS_DATA[[#This Row],[TCL REFERENCE]],FIND(".",ESS_DATA[[#This Row],[TCL REFERENCE]],1)-1),"Main Line")</f>
        <v>26NOV002</v>
      </c>
      <c r="D289" s="313" t="s">
        <v>63</v>
      </c>
      <c r="E289" s="316" t="s">
        <v>64</v>
      </c>
      <c r="F289" s="316" t="str" cm="1">
        <f t="array" ref="F289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Plan-SPIT</v>
      </c>
      <c r="G289" s="313"/>
      <c r="H289" s="313"/>
      <c r="I289" s="317"/>
      <c r="J289" s="313"/>
      <c r="K289" s="313"/>
      <c r="L289" s="314"/>
      <c r="M289" s="315"/>
      <c r="N289" s="1082" t="s">
        <v>7828</v>
      </c>
      <c r="O289" s="1082" t="s">
        <v>7829</v>
      </c>
      <c r="P289" s="1082" t="s">
        <v>7830</v>
      </c>
      <c r="Q289" s="312"/>
      <c r="R289" s="317">
        <v>130</v>
      </c>
      <c r="S289" s="318"/>
      <c r="T289" s="313"/>
      <c r="U289" s="324">
        <f>ESS_DATA[[#This Row],[QUANTITY]]/260</f>
        <v>0.5</v>
      </c>
      <c r="V289" s="408" t="s">
        <v>8176</v>
      </c>
      <c r="W289" s="313" t="s">
        <v>8582</v>
      </c>
      <c r="X289" s="316" t="str">
        <f t="shared" ref="X289:X290" si="28">IF(AL289&lt;&gt;"","COMPLETED",IF(AI289&lt;&gt;"","IN-TRANSIT",""))</f>
        <v/>
      </c>
      <c r="Y289" s="320">
        <v>46339</v>
      </c>
      <c r="Z289" s="320"/>
      <c r="AA289" s="321">
        <f>WEEKNUM(ESS_DATA[[#This Row],[Pick-Up Date]])</f>
        <v>0</v>
      </c>
      <c r="AB289" s="313"/>
      <c r="AC289" s="313"/>
      <c r="AD289" s="313" t="s">
        <v>122</v>
      </c>
      <c r="AE289" s="313" t="s">
        <v>122</v>
      </c>
      <c r="AF289" s="41" t="s">
        <v>314</v>
      </c>
      <c r="AG289" s="320"/>
      <c r="AH289" s="320"/>
      <c r="AI289" s="320"/>
      <c r="AJ289" s="320"/>
      <c r="AK289" s="320"/>
      <c r="AL289" s="320"/>
      <c r="AM289" s="322" t="s">
        <v>402</v>
      </c>
      <c r="AN289" s="320"/>
      <c r="AO289" s="320"/>
      <c r="AP289" s="320"/>
      <c r="AQ289" s="313"/>
      <c r="AR289" s="313"/>
      <c r="AS289" s="313">
        <f>ESS_DATA[[#This Row],[ETA On S/O]]-ESS_DATA[[#This Row],[ETD On S/O]]+1</f>
        <v>1</v>
      </c>
      <c r="AT289" s="313"/>
      <c r="AU289" s="320" cm="1">
        <f t="array" ref="AU28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46399</v>
      </c>
      <c r="AV289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89" s="1150" t="str">
        <f>IF(ISERROR(ESS_DATA[[#This Row],[New Ark PO status]]),"",_xlfn.XLOOKUP(ESS_DATA[[#This Row],[SPTN-PVHK New Ark PO'#]],New_Ark_Data[Purchase order Number],New_Ark_Data[Estimated time of arrival],"",0))</f>
        <v/>
      </c>
      <c r="AX289" s="313">
        <f>IF(ESS_DATA[[#This Row],[New Ark PO Type]]="Offshore",0,IFERROR(VLOOKUP(ESS_DATA[[#This Row],[PORT OF LOADING]]&amp;ESS_DATA[[#This Row],[PORT DESTINATION]],LT_REF[],7,0),14))</f>
        <v>10</v>
      </c>
      <c r="AY289" s="320">
        <f>IFERROR(ESS_DATA[[#This Row],[ODP ETA Port]]+ESS_DATA[[#This Row],[Customs/Leg3 Assumption]],"n/a")</f>
        <v>46409</v>
      </c>
      <c r="AZ289" s="316">
        <f>YEAR(ESS_DATA[[#This Row],[ETA for New Ark update]])</f>
        <v>2027</v>
      </c>
      <c r="BA289" s="316">
        <f>MONTH(ESS_DATA[[#This Row],[ETA for New Ark update]])</f>
        <v>1</v>
      </c>
      <c r="BB289" s="316">
        <f>IFERROR(_xlfn.ISOWEEKNUM(ESS_DATA[[#This Row],[ETA for New Ark update]]),0)</f>
        <v>3</v>
      </c>
      <c r="BC289" s="316" t="str">
        <f>_xlfn.XLOOKUP(ESS_DATA[[#This Row],[PORT DESTINATION]],Table12[PORT DESTINATION],Table12[Cosco Line],,0)</f>
        <v>AEM</v>
      </c>
      <c r="BD289" s="316"/>
      <c r="BE289" s="323"/>
      <c r="BF289" s="323"/>
      <c r="BG289" s="323"/>
      <c r="BH289" s="323"/>
      <c r="BI289" s="323" t="s">
        <v>4362</v>
      </c>
    </row>
    <row r="290" spans="1:61" s="1083" customFormat="1" ht="16.5" customHeight="1">
      <c r="A290" s="311" t="s">
        <v>8583</v>
      </c>
      <c r="B290" s="313" t="s">
        <v>7814</v>
      </c>
      <c r="C290" s="313" t="str">
        <f>IFERROR(LEFT(ESS_DATA[[#This Row],[TCL REFERENCE]],FIND(".",ESS_DATA[[#This Row],[TCL REFERENCE]],1)-1),"Main Line")</f>
        <v>26NOV004</v>
      </c>
      <c r="D290" s="313" t="s">
        <v>63</v>
      </c>
      <c r="E290" s="316" t="s">
        <v>64</v>
      </c>
      <c r="F290" s="316" t="str" cm="1">
        <f t="array" ref="F290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Plan-SPIT</v>
      </c>
      <c r="G290" s="313"/>
      <c r="H290" s="313"/>
      <c r="I290" s="317"/>
      <c r="J290" s="313"/>
      <c r="K290" s="313"/>
      <c r="L290" s="314"/>
      <c r="M290" s="315"/>
      <c r="N290" s="1082" t="s">
        <v>7840</v>
      </c>
      <c r="O290" s="1082" t="s">
        <v>8037</v>
      </c>
      <c r="P290" s="1082" t="s">
        <v>7842</v>
      </c>
      <c r="Q290" s="312"/>
      <c r="R290" s="317">
        <v>130</v>
      </c>
      <c r="S290" s="318"/>
      <c r="T290" s="313"/>
      <c r="U290" s="324">
        <f>ESS_DATA[[#This Row],[QUANTITY]]/260</f>
        <v>0.5</v>
      </c>
      <c r="V290" s="408" t="s">
        <v>8176</v>
      </c>
      <c r="W290" s="313" t="s">
        <v>8582</v>
      </c>
      <c r="X290" s="316" t="str">
        <f t="shared" si="28"/>
        <v/>
      </c>
      <c r="Y290" s="320">
        <v>46339</v>
      </c>
      <c r="Z290" s="320"/>
      <c r="AA290" s="321">
        <f>WEEKNUM(ESS_DATA[[#This Row],[Pick-Up Date]])</f>
        <v>0</v>
      </c>
      <c r="AB290" s="313"/>
      <c r="AC290" s="313"/>
      <c r="AD290" s="313" t="s">
        <v>122</v>
      </c>
      <c r="AE290" s="313" t="s">
        <v>122</v>
      </c>
      <c r="AF290" s="41" t="s">
        <v>314</v>
      </c>
      <c r="AG290" s="320"/>
      <c r="AH290" s="320"/>
      <c r="AI290" s="320"/>
      <c r="AJ290" s="320"/>
      <c r="AK290" s="320"/>
      <c r="AL290" s="320"/>
      <c r="AM290" s="322" t="s">
        <v>402</v>
      </c>
      <c r="AN290" s="320"/>
      <c r="AO290" s="320"/>
      <c r="AP290" s="320"/>
      <c r="AQ290" s="313"/>
      <c r="AR290" s="313"/>
      <c r="AS290" s="313">
        <f>ESS_DATA[[#This Row],[ETA On S/O]]-ESS_DATA[[#This Row],[ETD On S/O]]+1</f>
        <v>1</v>
      </c>
      <c r="AT290" s="313"/>
      <c r="AU290" s="320" cm="1">
        <f t="array" ref="AU29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46399</v>
      </c>
      <c r="AV290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90" s="1150" t="str">
        <f>IF(ISERROR(ESS_DATA[[#This Row],[New Ark PO status]]),"",_xlfn.XLOOKUP(ESS_DATA[[#This Row],[SPTN-PVHK New Ark PO'#]],New_Ark_Data[Purchase order Number],New_Ark_Data[Estimated time of arrival],"",0))</f>
        <v/>
      </c>
      <c r="AX290" s="313">
        <f>IF(ESS_DATA[[#This Row],[New Ark PO Type]]="Offshore",0,IFERROR(VLOOKUP(ESS_DATA[[#This Row],[PORT OF LOADING]]&amp;ESS_DATA[[#This Row],[PORT DESTINATION]],LT_REF[],7,0),14))</f>
        <v>10</v>
      </c>
      <c r="AY290" s="320">
        <f>IFERROR(ESS_DATA[[#This Row],[ODP ETA Port]]+ESS_DATA[[#This Row],[Customs/Leg3 Assumption]],"n/a")</f>
        <v>46409</v>
      </c>
      <c r="AZ290" s="316">
        <f>YEAR(ESS_DATA[[#This Row],[ETA for New Ark update]])</f>
        <v>2027</v>
      </c>
      <c r="BA290" s="316">
        <f>MONTH(ESS_DATA[[#This Row],[ETA for New Ark update]])</f>
        <v>1</v>
      </c>
      <c r="BB290" s="316">
        <f>IFERROR(_xlfn.ISOWEEKNUM(ESS_DATA[[#This Row],[ETA for New Ark update]]),0)</f>
        <v>3</v>
      </c>
      <c r="BC290" s="316" t="str">
        <f>_xlfn.XLOOKUP(ESS_DATA[[#This Row],[PORT DESTINATION]],Table12[PORT DESTINATION],Table12[Cosco Line],,0)</f>
        <v>AEM</v>
      </c>
      <c r="BD290" s="316"/>
      <c r="BE290" s="323"/>
      <c r="BF290" s="323"/>
      <c r="BG290" s="323"/>
      <c r="BH290" s="323"/>
      <c r="BI290" s="323"/>
    </row>
    <row r="291" spans="1:61" s="1083" customFormat="1" ht="16.5" customHeight="1">
      <c r="A291" s="311" t="s">
        <v>8584</v>
      </c>
      <c r="B291" s="313" t="s">
        <v>7814</v>
      </c>
      <c r="C291" s="313" t="str">
        <f>IFERROR(LEFT(ESS_DATA[[#This Row],[TCL REFERENCE]],FIND(".",ESS_DATA[[#This Row],[TCL REFERENCE]],1)-1),"Main Line")</f>
        <v>26NOV005</v>
      </c>
      <c r="D291" s="313" t="s">
        <v>63</v>
      </c>
      <c r="E291" s="316" t="s">
        <v>64</v>
      </c>
      <c r="F291" s="316" t="str" cm="1">
        <f t="array" ref="F291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Plan-SPIT</v>
      </c>
      <c r="G291" s="313"/>
      <c r="H291" s="313"/>
      <c r="I291" s="317"/>
      <c r="J291" s="313"/>
      <c r="K291" s="313"/>
      <c r="L291" s="314"/>
      <c r="M291" s="315"/>
      <c r="N291" s="1082" t="s">
        <v>7851</v>
      </c>
      <c r="O291" s="1082" t="s">
        <v>7852</v>
      </c>
      <c r="P291" s="1082" t="s">
        <v>7853</v>
      </c>
      <c r="Q291" s="312"/>
      <c r="R291" s="317">
        <v>528</v>
      </c>
      <c r="S291" s="318"/>
      <c r="T291" s="313"/>
      <c r="U291" s="324">
        <f>ESS_DATA[[#This Row],[QUANTITY]]/276</f>
        <v>1.9130434782608696</v>
      </c>
      <c r="V291" s="408" t="s">
        <v>8585</v>
      </c>
      <c r="W291" s="374" t="s">
        <v>8576</v>
      </c>
      <c r="X291" s="316" t="str">
        <f t="shared" ref="X291:X292" si="29">IF(AL291&lt;&gt;"","COMPLETED",IF(AI291&lt;&gt;"","IN-TRANSIT",""))</f>
        <v/>
      </c>
      <c r="Y291" s="688">
        <v>46330</v>
      </c>
      <c r="Z291" s="320"/>
      <c r="AA291" s="321">
        <f>WEEKNUM(ESS_DATA[[#This Row],[Pick-Up Date]])</f>
        <v>0</v>
      </c>
      <c r="AB291" s="313"/>
      <c r="AC291" s="313"/>
      <c r="AD291" s="313" t="s">
        <v>122</v>
      </c>
      <c r="AE291" s="313" t="s">
        <v>122</v>
      </c>
      <c r="AF291" s="41" t="s">
        <v>314</v>
      </c>
      <c r="AG291" s="320">
        <v>46336</v>
      </c>
      <c r="AH291" s="320"/>
      <c r="AI291" s="320"/>
      <c r="AJ291" s="320">
        <v>46379</v>
      </c>
      <c r="AK291" s="320"/>
      <c r="AL291" s="320"/>
      <c r="AM291" s="322" t="s">
        <v>402</v>
      </c>
      <c r="AN291" s="320" t="s">
        <v>8586</v>
      </c>
      <c r="AO291" s="320" t="s">
        <v>161</v>
      </c>
      <c r="AP291" s="320" t="s">
        <v>8587</v>
      </c>
      <c r="AQ291" s="313">
        <v>280259174</v>
      </c>
      <c r="AR291" s="313">
        <v>280259174</v>
      </c>
      <c r="AS291" s="313">
        <f>ESS_DATA[[#This Row],[ETA On S/O]]-ESS_DATA[[#This Row],[ETD On S/O]]+1</f>
        <v>44</v>
      </c>
      <c r="AT291" s="313"/>
      <c r="AU291" s="320" cm="1">
        <f t="array" ref="AU29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46379</v>
      </c>
      <c r="AV291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91" s="1150" t="str">
        <f>IF(ISERROR(ESS_DATA[[#This Row],[New Ark PO status]]),"",_xlfn.XLOOKUP(ESS_DATA[[#This Row],[SPTN-PVHK New Ark PO'#]],New_Ark_Data[Purchase order Number],New_Ark_Data[Estimated time of arrival],"",0))</f>
        <v/>
      </c>
      <c r="AX291" s="313">
        <f>IF(ESS_DATA[[#This Row],[New Ark PO Type]]="Offshore",0,IFERROR(VLOOKUP(ESS_DATA[[#This Row],[PORT OF LOADING]]&amp;ESS_DATA[[#This Row],[PORT DESTINATION]],LT_REF[],7,0),14))</f>
        <v>10</v>
      </c>
      <c r="AY291" s="320">
        <f>IFERROR(ESS_DATA[[#This Row],[ODP ETA Port]]+ESS_DATA[[#This Row],[Customs/Leg3 Assumption]],"n/a")</f>
        <v>46389</v>
      </c>
      <c r="AZ291" s="316">
        <f>YEAR(ESS_DATA[[#This Row],[ETA for New Ark update]])</f>
        <v>2027</v>
      </c>
      <c r="BA291" s="316">
        <f>MONTH(ESS_DATA[[#This Row],[ETA for New Ark update]])</f>
        <v>1</v>
      </c>
      <c r="BB291" s="316">
        <f>IFERROR(_xlfn.ISOWEEKNUM(ESS_DATA[[#This Row],[ETA for New Ark update]]),0)</f>
        <v>53</v>
      </c>
      <c r="BC291" s="316" t="str">
        <f>_xlfn.XLOOKUP(ESS_DATA[[#This Row],[PORT DESTINATION]],Table12[PORT DESTINATION],Table12[Cosco Line],,0)</f>
        <v>AEM</v>
      </c>
      <c r="BD291" s="316"/>
      <c r="BE291" s="323"/>
      <c r="BF291" s="323"/>
      <c r="BG291" s="323"/>
      <c r="BH291" s="323"/>
      <c r="BI291" s="323"/>
    </row>
    <row r="292" spans="1:61" s="1083" customFormat="1" ht="16.5" customHeight="1">
      <c r="A292" s="311" t="s">
        <v>8588</v>
      </c>
      <c r="B292" s="313" t="s">
        <v>7814</v>
      </c>
      <c r="C292" s="313" t="str">
        <f>IFERROR(LEFT(ESS_DATA[[#This Row],[TCL REFERENCE]],FIND(".",ESS_DATA[[#This Row],[TCL REFERENCE]],1)-1),"Main Line")</f>
        <v>Main Line</v>
      </c>
      <c r="D292" s="313" t="s">
        <v>63</v>
      </c>
      <c r="E292" s="316" t="s">
        <v>64</v>
      </c>
      <c r="F292" s="316" t="str" cm="1">
        <f t="array" ref="F292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Plan-SPIT</v>
      </c>
      <c r="G292" s="313"/>
      <c r="H292" s="313"/>
      <c r="I292" s="317"/>
      <c r="J292" s="313"/>
      <c r="K292" s="313"/>
      <c r="L292" s="314"/>
      <c r="M292" s="315"/>
      <c r="N292" s="1082" t="s">
        <v>7851</v>
      </c>
      <c r="O292" s="1082" t="s">
        <v>7852</v>
      </c>
      <c r="P292" s="1082" t="s">
        <v>7853</v>
      </c>
      <c r="Q292" s="312"/>
      <c r="R292" s="317">
        <v>24</v>
      </c>
      <c r="S292" s="318"/>
      <c r="T292" s="313"/>
      <c r="U292" s="324">
        <f>ESS_DATA[[#This Row],[QUANTITY]]/276</f>
        <v>8.6956521739130432E-2</v>
      </c>
      <c r="V292" s="408" t="s">
        <v>8585</v>
      </c>
      <c r="W292" s="374" t="s">
        <v>8576</v>
      </c>
      <c r="X292" s="316" t="str">
        <f t="shared" si="29"/>
        <v/>
      </c>
      <c r="Y292" s="688">
        <v>46330</v>
      </c>
      <c r="Z292" s="320"/>
      <c r="AA292" s="321">
        <f>WEEKNUM(ESS_DATA[[#This Row],[Pick-Up Date]])</f>
        <v>0</v>
      </c>
      <c r="AB292" s="313"/>
      <c r="AC292" s="313"/>
      <c r="AD292" s="313" t="s">
        <v>122</v>
      </c>
      <c r="AE292" s="313" t="s">
        <v>122</v>
      </c>
      <c r="AF292" s="41" t="s">
        <v>314</v>
      </c>
      <c r="AG292" s="320">
        <v>46336</v>
      </c>
      <c r="AH292" s="320"/>
      <c r="AI292" s="320"/>
      <c r="AJ292" s="320">
        <v>46379</v>
      </c>
      <c r="AK292" s="320"/>
      <c r="AL292" s="320"/>
      <c r="AM292" s="322" t="s">
        <v>402</v>
      </c>
      <c r="AN292" s="320" t="s">
        <v>8586</v>
      </c>
      <c r="AO292" s="320" t="s">
        <v>161</v>
      </c>
      <c r="AP292" s="320" t="s">
        <v>8587</v>
      </c>
      <c r="AQ292" s="313">
        <v>280259174</v>
      </c>
      <c r="AR292" s="313">
        <v>280259174</v>
      </c>
      <c r="AS292" s="313">
        <f>ESS_DATA[[#This Row],[ETA On S/O]]-ESS_DATA[[#This Row],[ETD On S/O]]+1</f>
        <v>44</v>
      </c>
      <c r="AT292" s="313"/>
      <c r="AU292" s="320" cm="1">
        <f t="array" ref="AU292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46379</v>
      </c>
      <c r="AV292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92" s="1150" t="str">
        <f>IF(ISERROR(ESS_DATA[[#This Row],[New Ark PO status]]),"",_xlfn.XLOOKUP(ESS_DATA[[#This Row],[SPTN-PVHK New Ark PO'#]],New_Ark_Data[Purchase order Number],New_Ark_Data[Estimated time of arrival],"",0))</f>
        <v/>
      </c>
      <c r="AX292" s="313">
        <f>IF(ESS_DATA[[#This Row],[New Ark PO Type]]="Offshore",0,IFERROR(VLOOKUP(ESS_DATA[[#This Row],[PORT OF LOADING]]&amp;ESS_DATA[[#This Row],[PORT DESTINATION]],LT_REF[],7,0),14))</f>
        <v>10</v>
      </c>
      <c r="AY292" s="320">
        <f>IFERROR(ESS_DATA[[#This Row],[ODP ETA Port]]+ESS_DATA[[#This Row],[Customs/Leg3 Assumption]],"n/a")</f>
        <v>46389</v>
      </c>
      <c r="AZ292" s="316">
        <f>YEAR(ESS_DATA[[#This Row],[ETA for New Ark update]])</f>
        <v>2027</v>
      </c>
      <c r="BA292" s="316">
        <f>MONTH(ESS_DATA[[#This Row],[ETA for New Ark update]])</f>
        <v>1</v>
      </c>
      <c r="BB292" s="316">
        <f>IFERROR(_xlfn.ISOWEEKNUM(ESS_DATA[[#This Row],[ETA for New Ark update]]),0)</f>
        <v>53</v>
      </c>
      <c r="BC292" s="316" t="str">
        <f>_xlfn.XLOOKUP(ESS_DATA[[#This Row],[PORT DESTINATION]],Table12[PORT DESTINATION],Table12[Cosco Line],,0)</f>
        <v>AEM</v>
      </c>
      <c r="BD292" s="316"/>
      <c r="BE292" s="323"/>
      <c r="BF292" s="323"/>
      <c r="BG292" s="323"/>
      <c r="BH292" s="323"/>
      <c r="BI292" s="323"/>
    </row>
    <row r="293" spans="1:61" s="1083" customFormat="1" ht="16.5" customHeight="1">
      <c r="A293" s="311" t="s">
        <v>8589</v>
      </c>
      <c r="B293" s="313" t="s">
        <v>7814</v>
      </c>
      <c r="C293" s="313" t="str">
        <f>IFERROR(LEFT(ESS_DATA[[#This Row],[TCL REFERENCE]],FIND(".",ESS_DATA[[#This Row],[TCL REFERENCE]],1)-1),"Main Line")</f>
        <v>26NOV005</v>
      </c>
      <c r="D293" s="313" t="s">
        <v>63</v>
      </c>
      <c r="E293" s="316" t="s">
        <v>64</v>
      </c>
      <c r="F293" s="316" t="str" cm="1">
        <f t="array" ref="F293">_xlfn.IFS(ESS_DATA[[#This Row],[New Ark PO Type]]="n/a","n/a",ESS_DATA[[#This Row],[New Ark PO Type]]="Offshore","SPTN Offstore in Transit WH",TRUE,_xlfn.XLOOKUP(ESS_DATA[[#This Row],[PORT DESTINATION]],LT_REF[PORT DESTINATION],LT_REF[New Ark WH],,0))</f>
        <v>Arrival Plan-SPNL</v>
      </c>
      <c r="G293" s="313"/>
      <c r="H293" s="313"/>
      <c r="I293" s="317"/>
      <c r="J293" s="313"/>
      <c r="K293" s="313"/>
      <c r="L293" s="314"/>
      <c r="M293" s="315"/>
      <c r="N293" s="1082" t="s">
        <v>7851</v>
      </c>
      <c r="O293" s="1082" t="s">
        <v>7852</v>
      </c>
      <c r="P293" s="1082" t="s">
        <v>7853</v>
      </c>
      <c r="Q293" s="312"/>
      <c r="R293" s="317">
        <v>276</v>
      </c>
      <c r="S293" s="318"/>
      <c r="T293" s="313"/>
      <c r="U293" s="324">
        <f>ESS_DATA[[#This Row],[QUANTITY]]/276</f>
        <v>1</v>
      </c>
      <c r="V293" s="408" t="s">
        <v>8275</v>
      </c>
      <c r="W293" s="374" t="s">
        <v>8582</v>
      </c>
      <c r="X293" s="316" t="str">
        <f>IF(AL293&lt;&gt;"","COMPLETED",IF(AI293&lt;&gt;"","IN-TRANSIT",""))</f>
        <v/>
      </c>
      <c r="Y293" s="688">
        <v>46335</v>
      </c>
      <c r="Z293" s="320"/>
      <c r="AA293" s="321">
        <f>WEEKNUM(ESS_DATA[[#This Row],[Pick-Up Date]])</f>
        <v>0</v>
      </c>
      <c r="AB293" s="313"/>
      <c r="AC293" s="313"/>
      <c r="AD293" s="313" t="s">
        <v>122</v>
      </c>
      <c r="AE293" s="313" t="s">
        <v>122</v>
      </c>
      <c r="AF293" s="313" t="s">
        <v>105</v>
      </c>
      <c r="AG293" s="320"/>
      <c r="AH293" s="320"/>
      <c r="AI293" s="320"/>
      <c r="AJ293" s="320"/>
      <c r="AK293" s="320"/>
      <c r="AL293" s="320"/>
      <c r="AM293" s="322" t="s">
        <v>402</v>
      </c>
      <c r="AN293" s="320"/>
      <c r="AO293" s="320" t="s">
        <v>161</v>
      </c>
      <c r="AP293" s="320" t="s">
        <v>8590</v>
      </c>
      <c r="AQ293" s="313"/>
      <c r="AR293" s="313"/>
      <c r="AS293" s="313">
        <f>ESS_DATA[[#This Row],[ETA On S/O]]-ESS_DATA[[#This Row],[ETD On S/O]]+1</f>
        <v>1</v>
      </c>
      <c r="AT293" s="313"/>
      <c r="AU293" s="320" cm="1">
        <f t="array" ref="AU293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46395</v>
      </c>
      <c r="AV293" s="313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93" s="1150" t="str">
        <f>IF(ISERROR(ESS_DATA[[#This Row],[New Ark PO status]]),"",_xlfn.XLOOKUP(ESS_DATA[[#This Row],[SPTN-PVHK New Ark PO'#]],New_Ark_Data[Purchase order Number],New_Ark_Data[Estimated time of arrival],"",0))</f>
        <v/>
      </c>
      <c r="AX293" s="313">
        <f>IF(ESS_DATA[[#This Row],[New Ark PO Type]]="Offshore",0,IFERROR(VLOOKUP(ESS_DATA[[#This Row],[PORT OF LOADING]]&amp;ESS_DATA[[#This Row],[PORT DESTINATION]],LT_REF[],7,0),14))</f>
        <v>7</v>
      </c>
      <c r="AY293" s="320">
        <f>IFERROR(ESS_DATA[[#This Row],[ODP ETA Port]]+ESS_DATA[[#This Row],[Customs/Leg3 Assumption]],"n/a")</f>
        <v>46402</v>
      </c>
      <c r="AZ293" s="316">
        <f>YEAR(ESS_DATA[[#This Row],[ETA for New Ark update]])</f>
        <v>2027</v>
      </c>
      <c r="BA293" s="316">
        <f>MONTH(ESS_DATA[[#This Row],[ETA for New Ark update]])</f>
        <v>1</v>
      </c>
      <c r="BB293" s="316">
        <f>IFERROR(_xlfn.ISOWEEKNUM(ESS_DATA[[#This Row],[ETA for New Ark update]]),0)</f>
        <v>2</v>
      </c>
      <c r="BC293" s="316" t="str">
        <f>_xlfn.XLOOKUP(ESS_DATA[[#This Row],[PORT DESTINATION]],Table12[PORT DESTINATION],Table12[Cosco Line],,0)</f>
        <v>AEU</v>
      </c>
      <c r="BD293" s="316"/>
      <c r="BE293" s="323"/>
      <c r="BF293" s="323"/>
      <c r="BG293" s="323"/>
      <c r="BH293" s="323"/>
      <c r="BI293" s="323"/>
    </row>
    <row r="294" spans="1:61" s="886" customFormat="1" ht="16.5" customHeight="1">
      <c r="A294" s="33"/>
      <c r="B294" s="31"/>
      <c r="C294" s="31"/>
      <c r="D294" s="31"/>
      <c r="E294" s="162"/>
      <c r="F294" s="82"/>
      <c r="G294" s="31"/>
      <c r="H294" s="31"/>
      <c r="I294" s="163"/>
      <c r="J294" s="31"/>
      <c r="K294" s="31"/>
      <c r="L294" s="268"/>
      <c r="M294" s="212"/>
      <c r="N294" s="82"/>
      <c r="O294" s="162"/>
      <c r="P294" s="31"/>
      <c r="Q294" s="165"/>
      <c r="R294" s="163"/>
      <c r="S294" s="269"/>
      <c r="T294" s="31"/>
      <c r="U294" s="270"/>
      <c r="V294" s="372"/>
      <c r="W294" s="31"/>
      <c r="X294" s="82" t="str">
        <f>IF(AL294&lt;&gt;"","COMPLETED",IF(AI294&lt;&gt;"","IN-TRANSIT",""))</f>
        <v/>
      </c>
      <c r="Y294" s="30"/>
      <c r="Z294" s="30"/>
      <c r="AA294" s="166">
        <f>WEEKNUM(ESS_DATA[[#This Row],[Pick-Up Date]])</f>
        <v>0</v>
      </c>
      <c r="AB294" s="31"/>
      <c r="AC294" s="31"/>
      <c r="AD294" s="31"/>
      <c r="AE294" s="31"/>
      <c r="AF294" s="31"/>
      <c r="AG294" s="30"/>
      <c r="AH294" s="30"/>
      <c r="AI294" s="30"/>
      <c r="AJ294" s="30"/>
      <c r="AK294" s="30"/>
      <c r="AL294" s="30"/>
      <c r="AM294" s="162"/>
      <c r="AN294" s="30"/>
      <c r="AO294" s="30"/>
      <c r="AP294" s="30"/>
      <c r="AQ294" s="31"/>
      <c r="AR294" s="31"/>
      <c r="AS294" s="31">
        <f>ESS_DATA[[#This Row],[ETA On S/O]]-ESS_DATA[[#This Row],[ETD On S/O]]+1</f>
        <v>1</v>
      </c>
      <c r="AT294" s="31"/>
      <c r="AU294" s="347" cm="1">
        <f t="array" ref="AU294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0</v>
      </c>
      <c r="AV294" s="31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94" s="1031" t="str">
        <f>IF(ISERROR(ESS_DATA[[#This Row],[New Ark PO status]]),"",_xlfn.XLOOKUP(ESS_DATA[[#This Row],[SPTN-PVHK New Ark PO'#]],New_Ark_Data[Purchase order Number],New_Ark_Data[Estimated time of arrival],"",0))</f>
        <v/>
      </c>
      <c r="AX294" s="327">
        <f>IF(ESS_DATA[[#This Row],[New Ark PO Type]]="Offshore",0,IFERROR(VLOOKUP(ESS_DATA[[#This Row],[PORT OF LOADING]]&amp;ESS_DATA[[#This Row],[PORT DESTINATION]],LT_REF[],7,0),14))</f>
        <v>14</v>
      </c>
      <c r="AY294" s="30">
        <f>IFERROR(ESS_DATA[[#This Row],[ODP ETA Port]]+ESS_DATA[[#This Row],[Customs/Leg3 Assumption]],"n/a")</f>
        <v>14</v>
      </c>
      <c r="AZ294" s="82">
        <f>YEAR(ESS_DATA[[#This Row],[ETA for New Ark update]])</f>
        <v>1900</v>
      </c>
      <c r="BA294" s="82">
        <f>MONTH(ESS_DATA[[#This Row],[ETA for New Ark update]])</f>
        <v>1</v>
      </c>
      <c r="BB294" s="82">
        <f>IFERROR(_xlfn.ISOWEEKNUM(ESS_DATA[[#This Row],[ETA for New Ark update]]),0)</f>
        <v>2</v>
      </c>
      <c r="BC294" s="82">
        <f>_xlfn.XLOOKUP(ESS_DATA[[#This Row],[PORT DESTINATION]],Table12[PORT DESTINATION],Table12[Cosco Line],,0)</f>
        <v>0</v>
      </c>
      <c r="BD294" s="82"/>
      <c r="BE294" s="336"/>
      <c r="BF294" s="336"/>
      <c r="BG294" s="336"/>
      <c r="BH294" s="336"/>
      <c r="BI294" s="336"/>
    </row>
    <row r="295" spans="1:61" s="886" customFormat="1" ht="16.5" customHeight="1">
      <c r="A295" s="33"/>
      <c r="B295" s="31"/>
      <c r="C295" s="31"/>
      <c r="D295" s="31"/>
      <c r="E295" s="162"/>
      <c r="F295" s="82"/>
      <c r="G295" s="31"/>
      <c r="H295" s="31"/>
      <c r="I295" s="163"/>
      <c r="J295" s="31"/>
      <c r="K295" s="31"/>
      <c r="L295" s="268"/>
      <c r="M295" s="212"/>
      <c r="N295" s="82"/>
      <c r="O295" s="162"/>
      <c r="P295" s="31"/>
      <c r="Q295" s="165"/>
      <c r="R295" s="163"/>
      <c r="S295" s="269"/>
      <c r="T295" s="31"/>
      <c r="U295" s="270"/>
      <c r="V295" s="372"/>
      <c r="W295" s="31"/>
      <c r="X295" s="82" t="str">
        <f>IF(AL295&lt;&gt;"","COMPLETED",IF(AI295&lt;&gt;"","IN-TRANSIT",""))</f>
        <v/>
      </c>
      <c r="Y295" s="30"/>
      <c r="Z295" s="30"/>
      <c r="AA295" s="166">
        <f>WEEKNUM(ESS_DATA[[#This Row],[Pick-Up Date]])</f>
        <v>0</v>
      </c>
      <c r="AB295" s="31"/>
      <c r="AC295" s="31"/>
      <c r="AD295" s="31"/>
      <c r="AE295" s="31"/>
      <c r="AF295" s="31"/>
      <c r="AG295" s="30"/>
      <c r="AH295" s="30"/>
      <c r="AI295" s="30"/>
      <c r="AJ295" s="30"/>
      <c r="AK295" s="30"/>
      <c r="AL295" s="30"/>
      <c r="AM295" s="162"/>
      <c r="AN295" s="30"/>
      <c r="AO295" s="30"/>
      <c r="AP295" s="30"/>
      <c r="AQ295" s="31"/>
      <c r="AR295" s="31"/>
      <c r="AS295" s="31">
        <f>ESS_DATA[[#This Row],[ETA On S/O]]-ESS_DATA[[#This Row],[ETD On S/O]]+1</f>
        <v>1</v>
      </c>
      <c r="AT295" s="31"/>
      <c r="AU295" s="347" cm="1">
        <f t="array" ref="AU295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0</v>
      </c>
      <c r="AV295" s="31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95" s="1031" t="str">
        <f>IF(ISERROR(ESS_DATA[[#This Row],[New Ark PO status]]),"",_xlfn.XLOOKUP(ESS_DATA[[#This Row],[SPTN-PVHK New Ark PO'#]],New_Ark_Data[Purchase order Number],New_Ark_Data[Estimated time of arrival],"",0))</f>
        <v/>
      </c>
      <c r="AX295" s="327">
        <f>IF(ESS_DATA[[#This Row],[New Ark PO Type]]="Offshore",0,IFERROR(VLOOKUP(ESS_DATA[[#This Row],[PORT OF LOADING]]&amp;ESS_DATA[[#This Row],[PORT DESTINATION]],LT_REF[],7,0),14))</f>
        <v>14</v>
      </c>
      <c r="AY295" s="30">
        <f>IFERROR(ESS_DATA[[#This Row],[ODP ETA Port]]+ESS_DATA[[#This Row],[Customs/Leg3 Assumption]],"n/a")</f>
        <v>14</v>
      </c>
      <c r="AZ295" s="82">
        <f>YEAR(ESS_DATA[[#This Row],[ETA for New Ark update]])</f>
        <v>1900</v>
      </c>
      <c r="BA295" s="82">
        <f>MONTH(ESS_DATA[[#This Row],[ETA for New Ark update]])</f>
        <v>1</v>
      </c>
      <c r="BB295" s="82">
        <f>IFERROR(_xlfn.ISOWEEKNUM(ESS_DATA[[#This Row],[ETA for New Ark update]]),0)</f>
        <v>2</v>
      </c>
      <c r="BC295" s="82">
        <f>_xlfn.XLOOKUP(ESS_DATA[[#This Row],[PORT DESTINATION]],Table12[PORT DESTINATION],Table12[Cosco Line],,0)</f>
        <v>0</v>
      </c>
      <c r="BD295" s="82"/>
      <c r="BE295" s="336"/>
      <c r="BF295" s="336"/>
      <c r="BG295" s="336"/>
      <c r="BH295" s="336"/>
      <c r="BI295" s="336"/>
    </row>
    <row r="296" spans="1:61" s="949" customFormat="1" ht="16.5" customHeight="1">
      <c r="A296" s="33"/>
      <c r="B296" s="31"/>
      <c r="C296" s="31"/>
      <c r="D296" s="31"/>
      <c r="E296" s="162"/>
      <c r="F296" s="82"/>
      <c r="G296" s="31"/>
      <c r="H296" s="31"/>
      <c r="I296" s="163"/>
      <c r="J296" s="31"/>
      <c r="K296" s="31"/>
      <c r="L296" s="268"/>
      <c r="M296" s="212"/>
      <c r="N296" s="31"/>
      <c r="O296" s="162"/>
      <c r="P296" s="31"/>
      <c r="Q296" s="165"/>
      <c r="R296" s="163"/>
      <c r="S296" s="269"/>
      <c r="T296" s="31"/>
      <c r="U296" s="270"/>
      <c r="V296" s="372"/>
      <c r="W296" s="31"/>
      <c r="X296" s="82" t="str">
        <f>IF(AL296&lt;&gt;"","COMPLETED",IF(AI296&lt;&gt;"","IN-TRANSIT",""))</f>
        <v/>
      </c>
      <c r="Y296" s="30"/>
      <c r="Z296" s="30"/>
      <c r="AA296" s="166">
        <f>WEEKNUM(ESS_DATA[[#This Row],[Pick-Up Date]])</f>
        <v>0</v>
      </c>
      <c r="AB296" s="31"/>
      <c r="AC296" s="31"/>
      <c r="AD296" s="31"/>
      <c r="AE296" s="31"/>
      <c r="AF296" s="31"/>
      <c r="AG296" s="30"/>
      <c r="AH296" s="30"/>
      <c r="AI296" s="30"/>
      <c r="AJ296" s="30"/>
      <c r="AK296" s="30"/>
      <c r="AL296" s="30"/>
      <c r="AM296" s="162"/>
      <c r="AN296" s="30"/>
      <c r="AO296" s="30"/>
      <c r="AP296" s="30"/>
      <c r="AQ296" s="31"/>
      <c r="AR296" s="31"/>
      <c r="AS296" s="31">
        <f>ESS_DATA[[#This Row],[ETA On S/O]]-ESS_DATA[[#This Row],[ETD On S/O]]+1</f>
        <v>1</v>
      </c>
      <c r="AT296" s="31"/>
      <c r="AU296" s="30" cm="1">
        <f t="array" ref="AU296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0</v>
      </c>
      <c r="AV296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96" s="14" t="str">
        <f>IF(ISERROR(ESS_DATA[[#This Row],[New Ark PO status]]),"",_xlfn.XLOOKUP(ESS_DATA[[#This Row],[SPTN-PVHK New Ark PO'#]],New_Ark_Data[Purchase order Number],New_Ark_Data[Estimated time of arrival],"",0))</f>
        <v/>
      </c>
      <c r="AX296" s="31">
        <f>IF(ESS_DATA[[#This Row],[New Ark PO Type]]="Offshore",0,IFERROR(VLOOKUP(ESS_DATA[[#This Row],[PORT OF LOADING]]&amp;ESS_DATA[[#This Row],[PORT DESTINATION]],LT_REF[],7,0),14))</f>
        <v>14</v>
      </c>
      <c r="AY296" s="30">
        <f>IFERROR(ESS_DATA[[#This Row],[ODP ETA Port]]+ESS_DATA[[#This Row],[Customs/Leg3 Assumption]],"n/a")</f>
        <v>14</v>
      </c>
      <c r="AZ296" s="82">
        <f>YEAR(ESS_DATA[[#This Row],[ETA for New Ark update]])</f>
        <v>1900</v>
      </c>
      <c r="BA296" s="82">
        <f>MONTH(ESS_DATA[[#This Row],[ETA for New Ark update]])</f>
        <v>1</v>
      </c>
      <c r="BB296" s="82">
        <f>IFERROR(_xlfn.ISOWEEKNUM(ESS_DATA[[#This Row],[ETA for New Ark update]]),0)</f>
        <v>2</v>
      </c>
      <c r="BC296" s="82">
        <f>_xlfn.XLOOKUP(ESS_DATA[[#This Row],[PORT DESTINATION]],Table12[PORT DESTINATION],Table12[Cosco Line],,0)</f>
        <v>0</v>
      </c>
      <c r="BD296" s="82"/>
      <c r="BE296" s="32"/>
      <c r="BF296" s="32"/>
      <c r="BG296" s="32"/>
      <c r="BH296" s="32"/>
      <c r="BI296" s="32"/>
    </row>
    <row r="297" spans="1:61" s="23" customFormat="1" ht="10">
      <c r="A297" s="33"/>
      <c r="B297" s="31"/>
      <c r="C297" s="31"/>
      <c r="D297" s="31"/>
      <c r="E297" s="82"/>
      <c r="F297" s="741"/>
      <c r="G297" s="31"/>
      <c r="H297" s="31"/>
      <c r="I297" s="31"/>
      <c r="J297" s="31"/>
      <c r="K297" s="31"/>
      <c r="L297" s="268"/>
      <c r="M297" s="212"/>
      <c r="N297" s="82"/>
      <c r="O297" s="395"/>
      <c r="P297" s="82"/>
      <c r="Q297" s="273"/>
      <c r="R297" s="163"/>
      <c r="S297" s="269"/>
      <c r="T297" s="31"/>
      <c r="U297" s="270"/>
      <c r="V297" s="372"/>
      <c r="W297" s="31"/>
      <c r="X297" s="31" t="str">
        <f t="shared" ref="X297:X301" si="30">IF(AL297&lt;&gt;"","COMPLETED",IF(AI297&lt;&gt;"","IN-TRANSIT",""))</f>
        <v/>
      </c>
      <c r="Y297" s="34"/>
      <c r="Z297" s="30"/>
      <c r="AA297" s="166"/>
      <c r="AB297" s="31"/>
      <c r="AC297" s="31"/>
      <c r="AD297" s="31"/>
      <c r="AE297" s="31"/>
      <c r="AF297" s="31"/>
      <c r="AG297" s="30"/>
      <c r="AH297" s="30"/>
      <c r="AI297" s="30"/>
      <c r="AJ297" s="30"/>
      <c r="AK297" s="30"/>
      <c r="AL297" s="30"/>
      <c r="AM297" s="162"/>
      <c r="AN297" s="30"/>
      <c r="AO297" s="30"/>
      <c r="AP297" s="30"/>
      <c r="AQ297" s="31"/>
      <c r="AR297" s="31"/>
      <c r="AS297" s="31">
        <f>ESS_DATA[[#This Row],[ETA On S/O]]-ESS_DATA[[#This Row],[ETD On S/O]]+1</f>
        <v>1</v>
      </c>
      <c r="AT297" s="31"/>
      <c r="AU297" s="347" cm="1">
        <f t="array" ref="AU297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0</v>
      </c>
      <c r="AV297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97" s="14" t="str">
        <f>IF(ISERROR(ESS_DATA[[#This Row],[New Ark PO status]]),"",_xlfn.XLOOKUP(ESS_DATA[[#This Row],[SPTN-PVHK New Ark PO'#]],New_Ark_Data[Purchase order Number],New_Ark_Data[Estimated time of arrival],"",0))</f>
        <v/>
      </c>
      <c r="AX297" s="12">
        <f>IF(ESS_DATA[[#This Row],[New Ark PO Type]]="Offshore",0,IFERROR(VLOOKUP(ESS_DATA[[#This Row],[PORT OF LOADING]]&amp;ESS_DATA[[#This Row],[PORT DESTINATION]],LT_REF[],7,0),14))</f>
        <v>14</v>
      </c>
      <c r="AY297" s="14">
        <f>IFERROR(ESS_DATA[[#This Row],[ODP ETA Port]]+ESS_DATA[[#This Row],[Customs/Leg3 Assumption]],"n/a")</f>
        <v>14</v>
      </c>
      <c r="AZ297" s="82">
        <f>YEAR(ESS_DATA[[#This Row],[ETA for New Ark update]])</f>
        <v>1900</v>
      </c>
      <c r="BA297" s="82">
        <f>MONTH(ESS_DATA[[#This Row],[ETA for New Ark update]])</f>
        <v>1</v>
      </c>
      <c r="BB297" s="82">
        <f>IFERROR(_xlfn.ISOWEEKNUM(ESS_DATA[[#This Row],[ETA for New Ark update]]),0)</f>
        <v>2</v>
      </c>
      <c r="BC297" s="82">
        <f>_xlfn.XLOOKUP(ESS_DATA[[#This Row],[PORT DESTINATION]],Table12[PORT DESTINATION],Table12[Cosco Line],,0)</f>
        <v>0</v>
      </c>
      <c r="BD297" s="82"/>
    </row>
    <row r="298" spans="1:61" s="23" customFormat="1" ht="10">
      <c r="A298" s="82">
        <v>202509</v>
      </c>
      <c r="B298" s="293"/>
      <c r="C298" s="82"/>
      <c r="D298" s="82"/>
      <c r="E298" s="160" t="s">
        <v>68</v>
      </c>
      <c r="F298" s="160" t="s">
        <v>68</v>
      </c>
      <c r="G298" s="82"/>
      <c r="H298" s="12"/>
      <c r="I298" s="82"/>
      <c r="J298" s="82" t="s">
        <v>949</v>
      </c>
      <c r="K298" s="82"/>
      <c r="L298" s="79"/>
      <c r="M298" s="218"/>
      <c r="N298" s="147" t="s">
        <v>8591</v>
      </c>
      <c r="O298" s="147" t="s">
        <v>8592</v>
      </c>
      <c r="P298" s="147" t="s">
        <v>8593</v>
      </c>
      <c r="Q298" s="160">
        <v>5000</v>
      </c>
      <c r="R298" s="163">
        <v>131</v>
      </c>
      <c r="S298" s="260"/>
      <c r="T298" s="82"/>
      <c r="U298" s="299"/>
      <c r="V298" s="372"/>
      <c r="W298" s="147" t="s">
        <v>68</v>
      </c>
      <c r="X298" s="147" t="str">
        <f t="shared" si="30"/>
        <v/>
      </c>
      <c r="Y298" s="161"/>
      <c r="Z298" s="162"/>
      <c r="AA298" s="163">
        <f>WEEKNUM(ESS_DATA[[#This Row],[Pick-Up Date]])</f>
        <v>0</v>
      </c>
      <c r="AB298" s="82"/>
      <c r="AC298" s="82"/>
      <c r="AD298" s="147" t="s">
        <v>122</v>
      </c>
      <c r="AE298" s="12" t="s">
        <v>123</v>
      </c>
      <c r="AF298" s="31"/>
      <c r="AG298" s="162"/>
      <c r="AH298" s="162"/>
      <c r="AI298" s="162"/>
      <c r="AJ298" s="162"/>
      <c r="AK298" s="162"/>
      <c r="AL298" s="162"/>
      <c r="AM298" s="162"/>
      <c r="AN298" s="162"/>
      <c r="AO298" s="162"/>
      <c r="AP298" s="162"/>
      <c r="AQ298" s="82"/>
      <c r="AR298" s="82"/>
      <c r="AS298" s="82">
        <f>ESS_DATA[[#This Row],[ETA On S/O]]-ESS_DATA[[#This Row],[ETD On S/O]]+1</f>
        <v>1</v>
      </c>
      <c r="AT298" s="82"/>
      <c r="AU298" s="347" cm="1">
        <f t="array" ref="AU298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0</v>
      </c>
      <c r="AV298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98" s="14" t="str">
        <f>IF(ISERROR(ESS_DATA[[#This Row],[New Ark PO status]]),"",_xlfn.XLOOKUP(ESS_DATA[[#This Row],[SPTN-PVHK New Ark PO'#]],New_Ark_Data[Purchase order Number],New_Ark_Data[Estimated time of arrival],"",0))</f>
        <v/>
      </c>
      <c r="AX298" s="12">
        <f>IF(ESS_DATA[[#This Row],[New Ark PO Type]]="Offshore",0,IFERROR(VLOOKUP(ESS_DATA[[#This Row],[PORT OF LOADING]]&amp;ESS_DATA[[#This Row],[PORT DESTINATION]],LT_REF[],7,0),14))</f>
        <v>14</v>
      </c>
      <c r="AY298" s="14">
        <f>IFERROR(ESS_DATA[[#This Row],[ODP ETA Port]]+ESS_DATA[[#This Row],[Customs/Leg3 Assumption]],"n/a")</f>
        <v>14</v>
      </c>
      <c r="AZ298" s="82">
        <f>YEAR(ESS_DATA[[#This Row],[ETA for New Ark update]])</f>
        <v>1900</v>
      </c>
      <c r="BA298" s="82">
        <f>MONTH(ESS_DATA[[#This Row],[ETA for New Ark update]])</f>
        <v>1</v>
      </c>
      <c r="BB298" s="82">
        <f>IFERROR(_xlfn.ISOWEEKNUM(ESS_DATA[[#This Row],[ETA for New Ark update]]),0)</f>
        <v>2</v>
      </c>
      <c r="BC298" s="82">
        <f>_xlfn.XLOOKUP(ESS_DATA[[#This Row],[PORT DESTINATION]],Table12[PORT DESTINATION],Table12[Cosco Line],,0)</f>
        <v>0</v>
      </c>
      <c r="BD298" s="82"/>
    </row>
    <row r="299" spans="1:61" s="23" customFormat="1" ht="10">
      <c r="A299" s="82">
        <v>202509</v>
      </c>
      <c r="B299" s="216"/>
      <c r="C299" s="82"/>
      <c r="D299" s="82"/>
      <c r="E299" s="160" t="s">
        <v>68</v>
      </c>
      <c r="F299" s="160" t="s">
        <v>68</v>
      </c>
      <c r="G299" s="82"/>
      <c r="H299" s="12"/>
      <c r="I299" s="82"/>
      <c r="J299" s="82" t="s">
        <v>949</v>
      </c>
      <c r="K299" s="82"/>
      <c r="L299" s="79"/>
      <c r="M299" s="218"/>
      <c r="N299" s="147" t="s">
        <v>8594</v>
      </c>
      <c r="O299" s="147" t="s">
        <v>8592</v>
      </c>
      <c r="P299" s="147" t="s">
        <v>8595</v>
      </c>
      <c r="Q299" s="160">
        <v>12000</v>
      </c>
      <c r="R299" s="163">
        <v>100</v>
      </c>
      <c r="S299" s="260"/>
      <c r="T299" s="82"/>
      <c r="U299" s="299"/>
      <c r="V299" s="372"/>
      <c r="W299" s="147" t="s">
        <v>68</v>
      </c>
      <c r="X299" s="147" t="str">
        <f t="shared" si="30"/>
        <v/>
      </c>
      <c r="Y299" s="161"/>
      <c r="Z299" s="162"/>
      <c r="AA299" s="163">
        <f>WEEKNUM(ESS_DATA[[#This Row],[Pick-Up Date]])</f>
        <v>0</v>
      </c>
      <c r="AB299" s="82"/>
      <c r="AC299" s="82"/>
      <c r="AD299" s="147" t="s">
        <v>122</v>
      </c>
      <c r="AE299" s="12" t="s">
        <v>123</v>
      </c>
      <c r="AF299" s="31"/>
      <c r="AG299" s="162"/>
      <c r="AH299" s="162"/>
      <c r="AI299" s="162"/>
      <c r="AJ299" s="162"/>
      <c r="AK299" s="162"/>
      <c r="AL299" s="162"/>
      <c r="AM299" s="162"/>
      <c r="AN299" s="162"/>
      <c r="AO299" s="162"/>
      <c r="AP299" s="162"/>
      <c r="AQ299" s="82"/>
      <c r="AR299" s="82"/>
      <c r="AS299" s="82">
        <f>ESS_DATA[[#This Row],[ETA On S/O]]-ESS_DATA[[#This Row],[ETD On S/O]]+1</f>
        <v>1</v>
      </c>
      <c r="AT299" s="82"/>
      <c r="AU299" s="347" cm="1">
        <f t="array" ref="AU299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0</v>
      </c>
      <c r="AV299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299" s="14" t="str">
        <f>IF(ISERROR(ESS_DATA[[#This Row],[New Ark PO status]]),"",_xlfn.XLOOKUP(ESS_DATA[[#This Row],[SPTN-PVHK New Ark PO'#]],New_Ark_Data[Purchase order Number],New_Ark_Data[Estimated time of arrival],"",0))</f>
        <v/>
      </c>
      <c r="AX299" s="12">
        <f>IF(ESS_DATA[[#This Row],[New Ark PO Type]]="Offshore",0,IFERROR(VLOOKUP(ESS_DATA[[#This Row],[PORT OF LOADING]]&amp;ESS_DATA[[#This Row],[PORT DESTINATION]],LT_REF[],7,0),14))</f>
        <v>14</v>
      </c>
      <c r="AY299" s="14">
        <f>IFERROR(ESS_DATA[[#This Row],[ODP ETA Port]]+ESS_DATA[[#This Row],[Customs/Leg3 Assumption]],"n/a")</f>
        <v>14</v>
      </c>
      <c r="AZ299" s="82">
        <f>YEAR(ESS_DATA[[#This Row],[ETA for New Ark update]])</f>
        <v>1900</v>
      </c>
      <c r="BA299" s="82">
        <f>MONTH(ESS_DATA[[#This Row],[ETA for New Ark update]])</f>
        <v>1</v>
      </c>
      <c r="BB299" s="82">
        <f>IFERROR(_xlfn.ISOWEEKNUM(ESS_DATA[[#This Row],[ETA for New Ark update]]),0)</f>
        <v>2</v>
      </c>
      <c r="BC299" s="82">
        <f>_xlfn.XLOOKUP(ESS_DATA[[#This Row],[PORT DESTINATION]],Table12[PORT DESTINATION],Table12[Cosco Line],,0)</f>
        <v>0</v>
      </c>
      <c r="BD299" s="82"/>
    </row>
    <row r="300" spans="1:61" s="23" customFormat="1" ht="10">
      <c r="A300" s="82" t="s">
        <v>8596</v>
      </c>
      <c r="B300" s="216"/>
      <c r="C300" s="82" t="str">
        <f>IFERROR(LEFT(ESS_DATA[[#This Row],[TCL REFERENCE]],FIND(".",ESS_DATA[[#This Row],[TCL REFERENCE]],1)-1),"Main Line")</f>
        <v>Main Line</v>
      </c>
      <c r="D300" s="82"/>
      <c r="E300" s="160" t="s">
        <v>68</v>
      </c>
      <c r="F300" s="160" t="s">
        <v>68</v>
      </c>
      <c r="G300" s="82"/>
      <c r="H300" s="12"/>
      <c r="I300" s="82"/>
      <c r="J300" s="82" t="s">
        <v>949</v>
      </c>
      <c r="K300" s="82"/>
      <c r="L300" s="79"/>
      <c r="M300" s="218"/>
      <c r="N300" s="147" t="s">
        <v>8597</v>
      </c>
      <c r="O300" s="147" t="s">
        <v>8598</v>
      </c>
      <c r="P300" s="147" t="s">
        <v>8599</v>
      </c>
      <c r="Q300" s="160"/>
      <c r="R300" s="163">
        <v>36</v>
      </c>
      <c r="S300" s="260"/>
      <c r="T300" s="82"/>
      <c r="U300" s="299"/>
      <c r="V300" s="372"/>
      <c r="W300" s="147" t="s">
        <v>68</v>
      </c>
      <c r="X300" s="147" t="str">
        <f t="shared" si="30"/>
        <v/>
      </c>
      <c r="Y300" s="161"/>
      <c r="Z300" s="162"/>
      <c r="AA300" s="163">
        <f>WEEKNUM(ESS_DATA[[#This Row],[Pick-Up Date]])</f>
        <v>0</v>
      </c>
      <c r="AB300" s="82"/>
      <c r="AC300" s="82"/>
      <c r="AD300" s="147" t="s">
        <v>122</v>
      </c>
      <c r="AE300" s="12" t="s">
        <v>123</v>
      </c>
      <c r="AF300" s="31"/>
      <c r="AG300" s="162"/>
      <c r="AH300" s="162"/>
      <c r="AI300" s="162"/>
      <c r="AJ300" s="162"/>
      <c r="AK300" s="162"/>
      <c r="AL300" s="162"/>
      <c r="AM300" s="162"/>
      <c r="AN300" s="162"/>
      <c r="AO300" s="162"/>
      <c r="AP300" s="162"/>
      <c r="AQ300" s="82"/>
      <c r="AR300" s="82"/>
      <c r="AS300" s="82">
        <f>ESS_DATA[[#This Row],[ETA On S/O]]-ESS_DATA[[#This Row],[ETD On S/O]]+1</f>
        <v>1</v>
      </c>
      <c r="AT300" s="82"/>
      <c r="AU300" s="347" cm="1">
        <f t="array" ref="AU300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0</v>
      </c>
      <c r="AV300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300" s="14" t="str">
        <f>IF(ISERROR(ESS_DATA[[#This Row],[New Ark PO status]]),"",_xlfn.XLOOKUP(ESS_DATA[[#This Row],[SPTN-PVHK New Ark PO'#]],New_Ark_Data[Purchase order Number],New_Ark_Data[Estimated time of arrival],"",0))</f>
        <v/>
      </c>
      <c r="AX300" s="12">
        <f>IF(ESS_DATA[[#This Row],[New Ark PO Type]]="Offshore",0,IFERROR(VLOOKUP(ESS_DATA[[#This Row],[PORT OF LOADING]]&amp;ESS_DATA[[#This Row],[PORT DESTINATION]],LT_REF[],7,0),14))</f>
        <v>14</v>
      </c>
      <c r="AY300" s="14">
        <f>IFERROR(ESS_DATA[[#This Row],[ODP ETA Port]]+ESS_DATA[[#This Row],[Customs/Leg3 Assumption]],"n/a")</f>
        <v>14</v>
      </c>
      <c r="AZ300" s="82">
        <f>YEAR(ESS_DATA[[#This Row],[ETA for New Ark update]])</f>
        <v>1900</v>
      </c>
      <c r="BA300" s="82">
        <f>MONTH(ESS_DATA[[#This Row],[ETA for New Ark update]])</f>
        <v>1</v>
      </c>
      <c r="BB300" s="82">
        <f>IFERROR(_xlfn.ISOWEEKNUM(ESS_DATA[[#This Row],[ETA for New Ark update]]),0)</f>
        <v>2</v>
      </c>
      <c r="BC300" s="82">
        <f>_xlfn.XLOOKUP(ESS_DATA[[#This Row],[PORT DESTINATION]],Table12[PORT DESTINATION],Table12[Cosco Line],,0)</f>
        <v>0</v>
      </c>
      <c r="BD300" s="82"/>
    </row>
    <row r="301" spans="1:61" s="23" customFormat="1" ht="10">
      <c r="A301" s="82" t="s">
        <v>8596</v>
      </c>
      <c r="B301" s="216"/>
      <c r="C301" s="82" t="str">
        <f>IFERROR(LEFT(ESS_DATA[[#This Row],[TCL REFERENCE]],FIND(".",ESS_DATA[[#This Row],[TCL REFERENCE]],1)-1),"Main Line")</f>
        <v>Main Line</v>
      </c>
      <c r="D301" s="82"/>
      <c r="E301" s="160" t="s">
        <v>68</v>
      </c>
      <c r="F301" s="160" t="s">
        <v>68</v>
      </c>
      <c r="G301" s="82"/>
      <c r="H301" s="12"/>
      <c r="I301" s="82"/>
      <c r="J301" s="82" t="s">
        <v>949</v>
      </c>
      <c r="K301" s="82"/>
      <c r="L301" s="79"/>
      <c r="M301" s="218"/>
      <c r="N301" s="147" t="s">
        <v>8600</v>
      </c>
      <c r="O301" s="147" t="s">
        <v>8598</v>
      </c>
      <c r="P301" s="147" t="s">
        <v>8601</v>
      </c>
      <c r="Q301" s="160"/>
      <c r="R301" s="163">
        <v>52</v>
      </c>
      <c r="S301" s="260"/>
      <c r="T301" s="82"/>
      <c r="U301" s="299"/>
      <c r="V301" s="372"/>
      <c r="W301" s="147" t="s">
        <v>68</v>
      </c>
      <c r="X301" s="147" t="str">
        <f t="shared" si="30"/>
        <v/>
      </c>
      <c r="Y301" s="161"/>
      <c r="Z301" s="162"/>
      <c r="AA301" s="163">
        <f>WEEKNUM(ESS_DATA[[#This Row],[Pick-Up Date]])</f>
        <v>0</v>
      </c>
      <c r="AB301" s="82"/>
      <c r="AC301" s="82"/>
      <c r="AD301" s="147" t="s">
        <v>122</v>
      </c>
      <c r="AE301" s="12" t="s">
        <v>123</v>
      </c>
      <c r="AF301" s="31"/>
      <c r="AG301" s="162"/>
      <c r="AH301" s="162"/>
      <c r="AI301" s="162"/>
      <c r="AJ301" s="162"/>
      <c r="AK301" s="162"/>
      <c r="AL301" s="162"/>
      <c r="AM301" s="162"/>
      <c r="AN301" s="162"/>
      <c r="AO301" s="162"/>
      <c r="AP301" s="162"/>
      <c r="AQ301" s="82"/>
      <c r="AR301" s="82"/>
      <c r="AS301" s="82">
        <f>ESS_DATA[[#This Row],[ETA On S/O]]-ESS_DATA[[#This Row],[ETD On S/O]]+1</f>
        <v>1</v>
      </c>
      <c r="AT301" s="82"/>
      <c r="AU301" s="347" cm="1">
        <f t="array" ref="AU301">IFERROR(_xlfn.IFS(ESS_DATA[[#This Row],[ATA PORT]]&lt;&gt;"",ESS_DATA[[#This Row],[ATA PORT]],ESS_DATA[[#This Row],[ETA Update]]&lt;&gt;"",ESS_DATA[[#This Row],[ETA Update]],ESS_DATA[[#This Row],[ETA On S/O]]&lt;&gt;"",ESS_DATA[[#This Row],[ETA On S/O]],ESS_DATA[[#This Row],[TCL-HK PO INCOTERM Requested]]="FOB","n/a",ESS_DATA[[#This Row],[TCL-HK PO INCOTERM Requested]]="n/a","n/a",ESS_DATA[[#This Row],[STATUS]]&lt;&gt;"PO FIRM",VLOOKUP(ESS_DATA[[#This Row],[STATUS]],'Assumption ATP'!$B$4:$C$54,2,0)+VLOOKUP(ESS_DATA[[#This Row],[PORT OF LOADING]]&amp;ESS_DATA[[#This Row],[PORT DESTINATION]],LT_REF[],5,0),TRUE,date_end_horizon),0)</f>
        <v>0</v>
      </c>
      <c r="AV301" s="347" t="str">
        <f>IF(COUNTIF(New_Ark_Data[Purchase order Number],ESS_DATA[[#This Row],[SPTN-PVHK New Ark PO'#]])=0,"-",_xlfn.XLOOKUP(ESS_DATA[[#This Row],[SPTN-PVHK New Ark PO'#]],New_Ark_Data[Purchase order Number],New_Ark_Data[Status],,0)&amp;"-"&amp;_xlfn.XLOOKUP(ESS_DATA[[#This Row],[SPTN-PVHK New Ark PO'#]],New_Ark_Data[Purchase order Number],New_Ark_Data[Approval Status],,0))</f>
        <v>-</v>
      </c>
      <c r="AW301" s="14" t="str">
        <f>IF(ISERROR(ESS_DATA[[#This Row],[New Ark PO status]]),"",_xlfn.XLOOKUP(ESS_DATA[[#This Row],[SPTN-PVHK New Ark PO'#]],New_Ark_Data[Purchase order Number],New_Ark_Data[Estimated time of arrival],"",0))</f>
        <v/>
      </c>
      <c r="AX301" s="12">
        <f>IF(ESS_DATA[[#This Row],[New Ark PO Type]]="Offshore",0,IFERROR(VLOOKUP(ESS_DATA[[#This Row],[PORT OF LOADING]]&amp;ESS_DATA[[#This Row],[PORT DESTINATION]],LT_REF[],7,0),14))</f>
        <v>14</v>
      </c>
      <c r="AY301" s="14">
        <f>IFERROR(ESS_DATA[[#This Row],[ODP ETA Port]]+ESS_DATA[[#This Row],[Customs/Leg3 Assumption]],"n/a")</f>
        <v>14</v>
      </c>
      <c r="AZ301" s="82">
        <f>YEAR(ESS_DATA[[#This Row],[ETA for New Ark update]])</f>
        <v>1900</v>
      </c>
      <c r="BA301" s="82">
        <f>MONTH(ESS_DATA[[#This Row],[ETA for New Ark update]])</f>
        <v>1</v>
      </c>
      <c r="BB301" s="82">
        <f>IFERROR(_xlfn.ISOWEEKNUM(ESS_DATA[[#This Row],[ETA for New Ark update]]),0)</f>
        <v>2</v>
      </c>
      <c r="BC301" s="82">
        <f>_xlfn.XLOOKUP(ESS_DATA[[#This Row],[PORT DESTINATION]],Table12[PORT DESTINATION],Table12[Cosco Line],,0)</f>
        <v>0</v>
      </c>
      <c r="BD301" s="165"/>
    </row>
    <row r="302" spans="1:61" s="23" customFormat="1" ht="11.25" customHeight="1">
      <c r="A302" s="5"/>
      <c r="B302"/>
      <c r="C302" s="5"/>
      <c r="F302" s="5"/>
      <c r="H302" s="5"/>
      <c r="I302" s="5"/>
      <c r="J302" s="5"/>
      <c r="L302"/>
      <c r="M302" s="5"/>
      <c r="N302" s="5"/>
      <c r="O302" s="6"/>
      <c r="P302" s="5"/>
      <c r="Q302" s="5"/>
      <c r="R302" s="5"/>
      <c r="S302" s="5"/>
      <c r="T302" s="5"/>
      <c r="U302" s="5"/>
      <c r="V302" s="5"/>
      <c r="W302" s="5"/>
      <c r="X302" s="5"/>
      <c r="Y302" s="373"/>
      <c r="Z302" s="301"/>
      <c r="AA302" s="5"/>
      <c r="AB302" s="5"/>
      <c r="AC302" s="5"/>
      <c r="AD302" s="6"/>
      <c r="AE302" s="6"/>
      <c r="AF302" s="6"/>
      <c r="AG302" s="6"/>
      <c r="AH302" s="8"/>
      <c r="AI302" s="9"/>
      <c r="AJ302" s="9"/>
      <c r="AK302" s="5"/>
      <c r="AL302" s="5"/>
      <c r="AM302" s="5"/>
      <c r="AN302" s="5"/>
      <c r="AO302" s="7"/>
      <c r="AP302" s="10"/>
      <c r="AQ302" s="10"/>
      <c r="AR302" s="7"/>
      <c r="AS302" s="32"/>
      <c r="AT302" s="32"/>
      <c r="AU302" s="5"/>
      <c r="AV302" s="5"/>
      <c r="AW302" s="5"/>
      <c r="AX302" s="5"/>
      <c r="AY302" s="5"/>
      <c r="AZ302" s="5"/>
      <c r="BA302" s="5"/>
    </row>
    <row r="303" spans="1:61" s="23" customFormat="1" ht="11.25" customHeight="1">
      <c r="A303" s="5"/>
      <c r="B303"/>
      <c r="C303" s="5"/>
      <c r="F303" s="5"/>
      <c r="H303" s="5"/>
      <c r="I303" s="5"/>
      <c r="J303" s="5"/>
      <c r="L303"/>
      <c r="M303" s="5"/>
      <c r="N303" s="5"/>
      <c r="O303" s="6"/>
      <c r="P303" s="5"/>
      <c r="Q303" s="5"/>
      <c r="R303" s="5"/>
      <c r="S303" s="5"/>
      <c r="T303" s="5"/>
      <c r="U303" s="5"/>
      <c r="V303" s="5"/>
      <c r="W303" s="5"/>
      <c r="X303" s="5"/>
      <c r="Y303" s="373"/>
      <c r="Z303" s="301"/>
      <c r="AA303" s="5"/>
      <c r="AB303" s="5"/>
      <c r="AC303" s="5"/>
      <c r="AD303" s="6"/>
      <c r="AE303" s="6"/>
      <c r="AF303" s="6"/>
      <c r="AG303" s="6"/>
      <c r="AH303" s="8"/>
      <c r="AI303" s="9"/>
      <c r="AJ303" s="9"/>
      <c r="AK303" s="5"/>
      <c r="AL303" s="5"/>
      <c r="AM303" s="5"/>
      <c r="AN303" s="5"/>
      <c r="AO303" s="7"/>
      <c r="AP303" s="10"/>
      <c r="AQ303" s="10"/>
      <c r="AR303" s="7"/>
      <c r="AS303" s="32"/>
      <c r="AT303" s="32"/>
      <c r="AU303" s="5"/>
      <c r="AV303" s="5"/>
      <c r="AW303" s="5"/>
      <c r="AX303" s="5"/>
      <c r="AY303" s="5"/>
      <c r="AZ303" s="5"/>
      <c r="BA303" s="5"/>
    </row>
    <row r="304" spans="1:61" s="23" customFormat="1" ht="11.25" customHeight="1">
      <c r="A304" s="5"/>
      <c r="B304"/>
      <c r="C304" s="5"/>
      <c r="F304" s="5"/>
      <c r="H304" s="5"/>
      <c r="I304" s="5"/>
      <c r="J304" s="5"/>
      <c r="L304"/>
      <c r="M304" s="5"/>
      <c r="N304" s="5"/>
      <c r="O304" s="6"/>
      <c r="P304" s="5"/>
      <c r="Q304" s="5"/>
      <c r="R304" s="5"/>
      <c r="S304" s="5"/>
      <c r="T304" s="5"/>
      <c r="U304" s="5"/>
      <c r="V304" s="5"/>
      <c r="W304" s="5"/>
      <c r="X304" s="5"/>
      <c r="Y304" s="373"/>
      <c r="Z304" s="301"/>
      <c r="AA304" s="5"/>
      <c r="AB304" s="5"/>
      <c r="AC304" s="5"/>
      <c r="AD304" s="6"/>
      <c r="AE304" s="6"/>
      <c r="AF304" s="6"/>
      <c r="AG304" s="6"/>
      <c r="AH304" s="8"/>
      <c r="AI304" s="9"/>
      <c r="AJ304" s="9"/>
      <c r="AK304" s="5"/>
      <c r="AL304" s="5"/>
      <c r="AM304" s="5"/>
      <c r="AN304" s="5"/>
      <c r="AO304" s="7"/>
      <c r="AP304" s="10"/>
      <c r="AQ304" s="10"/>
      <c r="AR304" s="7"/>
      <c r="AS304" s="32"/>
      <c r="AT304" s="32"/>
      <c r="AU304" s="5"/>
      <c r="AV304" s="5"/>
      <c r="AW304" s="5"/>
      <c r="AX304" s="5"/>
      <c r="AY304" s="5"/>
      <c r="AZ304" s="5"/>
      <c r="BA304" s="5"/>
    </row>
    <row r="305" spans="1:53" s="23" customFormat="1" ht="11.25" customHeight="1">
      <c r="A305" s="5"/>
      <c r="B305"/>
      <c r="C305" s="5"/>
      <c r="F305" s="5"/>
      <c r="H305" s="5"/>
      <c r="I305" s="5"/>
      <c r="J305" s="5"/>
      <c r="L305"/>
      <c r="M305" s="5"/>
      <c r="N305" s="5"/>
      <c r="O305" s="6"/>
      <c r="P305" s="5"/>
      <c r="Q305" s="5"/>
      <c r="R305" s="5"/>
      <c r="S305" s="5"/>
      <c r="T305" s="5"/>
      <c r="U305" s="5"/>
      <c r="V305" s="5"/>
      <c r="W305" s="5"/>
      <c r="X305" s="5"/>
      <c r="Y305" s="373"/>
      <c r="Z305" s="301"/>
      <c r="AA305" s="5"/>
      <c r="AB305" s="5"/>
      <c r="AC305" s="5"/>
      <c r="AD305" s="6"/>
      <c r="AE305" s="6"/>
      <c r="AF305" s="6"/>
      <c r="AG305" s="6"/>
      <c r="AH305" s="8"/>
      <c r="AI305" s="9"/>
      <c r="AJ305" s="9"/>
      <c r="AK305" s="5"/>
      <c r="AL305" s="5"/>
      <c r="AM305" s="5"/>
      <c r="AN305" s="5"/>
      <c r="AO305" s="7"/>
      <c r="AP305" s="10"/>
      <c r="AQ305" s="10"/>
      <c r="AR305" s="7"/>
      <c r="AS305" s="32"/>
      <c r="AT305" s="32"/>
      <c r="AU305" s="5"/>
      <c r="AV305" s="5"/>
      <c r="AW305" s="5"/>
      <c r="AX305" s="5"/>
      <c r="AY305" s="5"/>
      <c r="AZ305" s="5"/>
      <c r="BA305" s="5"/>
    </row>
    <row r="306" spans="1:53" s="23" customFormat="1" ht="13">
      <c r="A306" s="5"/>
      <c r="B306"/>
      <c r="C306" s="5"/>
      <c r="F306" s="5"/>
      <c r="H306" s="5"/>
      <c r="I306" s="5"/>
      <c r="J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373"/>
      <c r="Z306" s="301"/>
      <c r="AA306" s="5"/>
      <c r="AB306" s="5"/>
      <c r="AC306" s="5"/>
      <c r="AD306" s="6"/>
      <c r="AE306" s="6"/>
      <c r="AF306" s="6"/>
      <c r="AG306" s="6"/>
      <c r="AH306" s="8"/>
      <c r="AI306" s="9"/>
      <c r="AJ306" s="9"/>
      <c r="AK306" s="5"/>
      <c r="AL306" s="5"/>
      <c r="AM306" s="5"/>
      <c r="AN306" s="5"/>
      <c r="AO306" s="7"/>
      <c r="AP306" s="10"/>
      <c r="AQ306" s="10"/>
      <c r="AR306" s="7"/>
      <c r="AS306" s="32"/>
      <c r="AT306" s="32"/>
      <c r="AU306" s="5"/>
      <c r="AV306" s="5"/>
      <c r="AW306" s="5"/>
      <c r="AX306" s="5"/>
      <c r="AY306" s="5"/>
      <c r="AZ306" s="5"/>
      <c r="BA306" s="5"/>
    </row>
    <row r="307" spans="1:53" s="23" customFormat="1" ht="13">
      <c r="A307" s="5"/>
      <c r="B307"/>
      <c r="C307" s="5"/>
      <c r="F307" s="5"/>
      <c r="H307" s="5"/>
      <c r="I307" s="5"/>
      <c r="J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373"/>
      <c r="Z307" s="301"/>
      <c r="AA307" s="5"/>
      <c r="AB307" s="5"/>
      <c r="AC307" s="5"/>
      <c r="AD307" s="6"/>
      <c r="AE307" s="6"/>
      <c r="AF307" s="6"/>
      <c r="AG307" s="6"/>
      <c r="AH307" s="8"/>
      <c r="AI307" s="9"/>
      <c r="AJ307" s="9"/>
      <c r="AK307" s="5"/>
      <c r="AL307" s="5"/>
      <c r="AM307" s="5"/>
      <c r="AN307" s="5"/>
      <c r="AO307" s="7"/>
      <c r="AP307" s="10"/>
      <c r="AQ307" s="10"/>
      <c r="AR307" s="7"/>
      <c r="AS307" s="32"/>
      <c r="AT307" s="32"/>
      <c r="AU307" s="5"/>
      <c r="AV307" s="5"/>
      <c r="AW307" s="5"/>
      <c r="AX307" s="5"/>
      <c r="AY307" s="5"/>
      <c r="AZ307" s="5"/>
      <c r="BA307" s="5"/>
    </row>
    <row r="308" spans="1:53" s="23" customFormat="1" ht="13">
      <c r="A308" s="5"/>
      <c r="B308"/>
      <c r="C308" s="5"/>
      <c r="F308" s="5"/>
      <c r="H308" s="5"/>
      <c r="I308" s="5"/>
      <c r="J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373"/>
      <c r="Z308" s="301"/>
      <c r="AA308" s="5"/>
      <c r="AB308" s="5"/>
      <c r="AC308" s="5"/>
      <c r="AD308" s="6"/>
      <c r="AE308" s="6"/>
      <c r="AF308" s="6"/>
      <c r="AG308" s="6"/>
      <c r="AH308" s="8"/>
      <c r="AI308" s="9"/>
      <c r="AJ308" s="9"/>
      <c r="AK308" s="5"/>
      <c r="AL308" s="5"/>
      <c r="AM308" s="5"/>
      <c r="AN308" s="5"/>
      <c r="AO308" s="7"/>
      <c r="AP308" s="10"/>
      <c r="AQ308" s="10"/>
      <c r="AR308" s="7"/>
      <c r="AS308" s="32"/>
      <c r="AT308" s="32"/>
      <c r="AU308" s="5"/>
      <c r="AV308" s="5"/>
      <c r="AW308" s="5"/>
      <c r="AX308" s="5"/>
      <c r="AY308" s="5"/>
      <c r="AZ308" s="5"/>
      <c r="BA308" s="5"/>
    </row>
    <row r="309" spans="1:53" s="23" customFormat="1" ht="13">
      <c r="A309" s="5"/>
      <c r="B309"/>
      <c r="C309" s="5"/>
      <c r="F309" s="5"/>
      <c r="H309" s="5"/>
      <c r="I309" s="5"/>
      <c r="J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373"/>
      <c r="Z309" s="301"/>
      <c r="AA309" s="5"/>
      <c r="AB309" s="5"/>
      <c r="AC309" s="5"/>
      <c r="AD309" s="6"/>
      <c r="AE309" s="6"/>
      <c r="AF309" s="6"/>
      <c r="AG309" s="6"/>
      <c r="AH309" s="8"/>
      <c r="AI309" s="9"/>
      <c r="AJ309" s="9"/>
      <c r="AK309" s="5"/>
      <c r="AL309" s="5"/>
      <c r="AM309" s="5"/>
      <c r="AN309" s="5"/>
      <c r="AO309" s="7"/>
      <c r="AP309" s="10"/>
      <c r="AQ309" s="10"/>
      <c r="AR309" s="7"/>
      <c r="AS309" s="32"/>
      <c r="AT309" s="32"/>
      <c r="AU309" s="5"/>
      <c r="AV309" s="5"/>
      <c r="AW309" s="5"/>
      <c r="AX309" s="5"/>
      <c r="AY309" s="5"/>
      <c r="AZ309" s="5"/>
      <c r="BA309" s="5"/>
    </row>
    <row r="310" spans="1:53" s="23" customFormat="1" ht="13">
      <c r="A310" s="5"/>
      <c r="B310"/>
      <c r="C310" s="5"/>
      <c r="F310" s="5"/>
      <c r="H310" s="5"/>
      <c r="I310" s="5"/>
      <c r="J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373"/>
      <c r="Z310" s="301"/>
      <c r="AA310" s="5"/>
      <c r="AB310" s="5"/>
      <c r="AC310" s="5"/>
      <c r="AD310" s="6"/>
      <c r="AE310" s="6"/>
      <c r="AF310" s="6"/>
      <c r="AG310" s="6"/>
      <c r="AH310" s="8"/>
      <c r="AI310" s="9"/>
      <c r="AJ310" s="9"/>
      <c r="AK310" s="5"/>
      <c r="AL310" s="5"/>
      <c r="AM310" s="5"/>
      <c r="AN310" s="5"/>
      <c r="AO310" s="7"/>
      <c r="AP310" s="10"/>
      <c r="AQ310" s="10"/>
      <c r="AR310" s="7"/>
      <c r="AS310" s="32"/>
      <c r="AT310" s="32"/>
      <c r="AU310" s="5"/>
      <c r="AV310" s="5"/>
      <c r="AW310" s="5"/>
      <c r="AX310" s="5"/>
      <c r="AY310" s="5"/>
      <c r="AZ310" s="5"/>
      <c r="BA310" s="5"/>
    </row>
    <row r="311" spans="1:53" s="23" customFormat="1" ht="11.25" customHeight="1">
      <c r="A311" s="5"/>
      <c r="B311"/>
      <c r="C311" s="5"/>
      <c r="F311" s="5"/>
      <c r="H311" s="5"/>
      <c r="I311" s="5"/>
      <c r="J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373"/>
      <c r="Z311" s="301"/>
      <c r="AA311" s="5"/>
      <c r="AB311" s="5"/>
      <c r="AC311" s="5"/>
      <c r="AD311" s="6"/>
      <c r="AE311" s="6"/>
      <c r="AF311" s="6"/>
      <c r="AG311" s="6"/>
      <c r="AH311" s="8"/>
      <c r="AI311" s="9"/>
      <c r="AJ311" s="9"/>
      <c r="AK311" s="5"/>
      <c r="AL311" s="5"/>
      <c r="AM311" s="5"/>
      <c r="AN311" s="5"/>
      <c r="AO311" s="7"/>
      <c r="AP311" s="10"/>
      <c r="AQ311" s="10"/>
      <c r="AR311" s="7"/>
      <c r="AS311" s="32"/>
      <c r="AT311" s="32"/>
      <c r="AU311" s="5"/>
      <c r="AV311" s="5"/>
      <c r="AW311" s="5"/>
      <c r="AX311" s="5"/>
      <c r="AY311" s="5"/>
      <c r="AZ311" s="5"/>
      <c r="BA311" s="5"/>
    </row>
    <row r="312" spans="1:53" s="23" customFormat="1" ht="13">
      <c r="A312" s="5"/>
      <c r="B312"/>
      <c r="C312" s="5"/>
      <c r="F312" s="5"/>
      <c r="H312" s="5"/>
      <c r="I312" s="5"/>
      <c r="J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373"/>
      <c r="Z312" s="301"/>
      <c r="AA312" s="5"/>
      <c r="AB312" s="5"/>
      <c r="AC312" s="5"/>
      <c r="AD312" s="6"/>
      <c r="AE312" s="6"/>
      <c r="AF312" s="6"/>
      <c r="AG312" s="6"/>
      <c r="AH312" s="8"/>
      <c r="AI312" s="9"/>
      <c r="AJ312" s="9"/>
      <c r="AK312" s="5"/>
      <c r="AL312" s="5"/>
      <c r="AM312" s="5"/>
      <c r="AN312" s="5"/>
      <c r="AO312" s="7"/>
      <c r="AP312" s="10"/>
      <c r="AQ312" s="10"/>
      <c r="AR312" s="7"/>
      <c r="AS312" s="32"/>
      <c r="AT312" s="32"/>
      <c r="AU312" s="5"/>
      <c r="AV312" s="5"/>
      <c r="AW312" s="5"/>
      <c r="AX312" s="5"/>
      <c r="AY312" s="5"/>
      <c r="AZ312" s="5"/>
      <c r="BA312" s="5"/>
    </row>
    <row r="313" spans="1:53" s="23" customFormat="1" ht="13">
      <c r="A313" s="5"/>
      <c r="B313"/>
      <c r="C313" s="5"/>
      <c r="F313" s="5"/>
      <c r="H313" s="5"/>
      <c r="I313" s="5"/>
      <c r="J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373"/>
      <c r="Z313" s="301"/>
      <c r="AA313" s="5"/>
      <c r="AB313" s="5"/>
      <c r="AC313" s="5"/>
      <c r="AD313" s="6"/>
      <c r="AE313" s="6"/>
      <c r="AF313" s="6"/>
      <c r="AG313" s="6"/>
      <c r="AH313" s="8"/>
      <c r="AI313" s="9"/>
      <c r="AJ313" s="9"/>
      <c r="AK313" s="5"/>
      <c r="AL313" s="5"/>
      <c r="AM313" s="5"/>
      <c r="AN313" s="5"/>
      <c r="AO313" s="7"/>
      <c r="AP313" s="10"/>
      <c r="AQ313" s="10"/>
      <c r="AR313" s="7"/>
      <c r="AS313" s="32"/>
      <c r="AT313" s="32"/>
      <c r="AU313" s="5"/>
      <c r="AV313" s="5"/>
      <c r="AW313" s="5"/>
      <c r="AX313" s="5"/>
      <c r="AY313" s="5"/>
      <c r="AZ313" s="5"/>
      <c r="BA313" s="5"/>
    </row>
    <row r="314" spans="1:53" s="23" customFormat="1" ht="11.25" customHeight="1">
      <c r="A314" s="5"/>
      <c r="B314"/>
      <c r="C314" s="5"/>
      <c r="F314" s="5"/>
      <c r="H314" s="5"/>
      <c r="I314" s="5"/>
      <c r="J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373"/>
      <c r="Z314" s="301"/>
      <c r="AA314" s="5"/>
      <c r="AB314" s="5"/>
      <c r="AC314" s="5"/>
      <c r="AD314" s="6"/>
      <c r="AE314" s="6"/>
      <c r="AF314" s="6"/>
      <c r="AG314" s="6"/>
      <c r="AH314" s="8"/>
      <c r="AI314" s="9"/>
      <c r="AJ314" s="9"/>
      <c r="AK314" s="5"/>
      <c r="AL314" s="5"/>
      <c r="AM314" s="5"/>
      <c r="AN314" s="5"/>
      <c r="AO314" s="7"/>
      <c r="AP314" s="10"/>
      <c r="AQ314" s="10"/>
      <c r="AR314" s="7"/>
      <c r="AS314" s="32"/>
      <c r="AT314" s="32"/>
      <c r="AU314" s="5"/>
      <c r="AV314" s="5"/>
      <c r="AW314" s="5"/>
      <c r="AX314" s="5"/>
      <c r="AY314" s="5"/>
      <c r="AZ314" s="5"/>
      <c r="BA314" s="5"/>
    </row>
    <row r="315" spans="1:53" s="23" customFormat="1" ht="10">
      <c r="I315" s="5"/>
      <c r="L315" s="5"/>
      <c r="M315" s="5"/>
      <c r="N315" s="5"/>
      <c r="O315" s="5"/>
      <c r="P315" s="5"/>
      <c r="Q315" s="5"/>
      <c r="R315" s="5"/>
      <c r="S315" s="5"/>
      <c r="Y315" s="155"/>
    </row>
    <row r="316" spans="1:53" s="23" customFormat="1" ht="10">
      <c r="I316" s="5"/>
      <c r="L316" s="5"/>
      <c r="M316" s="5"/>
      <c r="N316" s="5"/>
      <c r="O316" s="5"/>
      <c r="P316" s="5"/>
      <c r="Q316" s="5"/>
      <c r="R316" s="5"/>
      <c r="S316" s="5"/>
      <c r="Y316" s="155"/>
    </row>
    <row r="317" spans="1:53" s="23" customFormat="1" ht="10">
      <c r="I317" s="5"/>
      <c r="L317" s="5"/>
      <c r="M317" s="5"/>
      <c r="N317" s="5"/>
      <c r="O317" s="5"/>
      <c r="P317" s="5"/>
      <c r="Q317" s="5"/>
      <c r="R317" s="5"/>
      <c r="S317" s="5"/>
      <c r="Y317" s="155"/>
    </row>
    <row r="318" spans="1:53" s="23" customFormat="1" ht="10">
      <c r="I318" s="5"/>
      <c r="L318" s="5"/>
      <c r="M318" s="5"/>
      <c r="N318" s="5"/>
      <c r="O318" s="5"/>
      <c r="P318" s="5"/>
      <c r="Q318" s="5"/>
      <c r="R318" s="5"/>
      <c r="S318" s="5"/>
      <c r="Y318" s="155"/>
    </row>
    <row r="319" spans="1:53" s="23" customFormat="1" ht="10">
      <c r="I319" s="5"/>
      <c r="L319" s="5"/>
      <c r="M319" s="5"/>
      <c r="N319" s="5"/>
      <c r="O319" s="5"/>
      <c r="P319" s="5"/>
      <c r="Q319" s="5"/>
      <c r="R319" s="5"/>
      <c r="S319" s="5"/>
      <c r="Y319" s="155"/>
    </row>
    <row r="320" spans="1:53" s="23" customFormat="1" ht="10">
      <c r="I320" s="5"/>
      <c r="L320" s="5"/>
      <c r="M320" s="5"/>
      <c r="N320" s="5"/>
      <c r="O320" s="5"/>
      <c r="P320" s="5"/>
      <c r="Q320" s="5"/>
      <c r="R320" s="5"/>
      <c r="S320" s="5"/>
      <c r="Y320" s="155"/>
    </row>
    <row r="321" spans="9:25" s="23" customFormat="1" ht="11.25" customHeight="1">
      <c r="I321" s="5"/>
      <c r="L321" s="5"/>
      <c r="M321" s="5"/>
      <c r="N321" s="5"/>
      <c r="O321" s="5"/>
      <c r="P321" s="5"/>
      <c r="Q321" s="5"/>
      <c r="R321" s="5"/>
      <c r="S321" s="5"/>
      <c r="Y321" s="155"/>
    </row>
    <row r="322" spans="9:25" s="23" customFormat="1" ht="11.25" customHeight="1">
      <c r="I322" s="5"/>
      <c r="L322" s="5"/>
      <c r="M322" s="5"/>
      <c r="N322" s="5"/>
      <c r="O322" s="5"/>
      <c r="P322" s="5"/>
      <c r="Q322" s="5"/>
      <c r="R322" s="5"/>
      <c r="S322" s="5"/>
      <c r="Y322" s="155"/>
    </row>
    <row r="323" spans="9:25" s="23" customFormat="1" ht="11.25" customHeight="1">
      <c r="I323" s="5"/>
      <c r="L323" s="5"/>
      <c r="M323" s="5"/>
      <c r="N323" s="5"/>
      <c r="O323" s="5"/>
      <c r="P323" s="5"/>
      <c r="Q323" s="5"/>
      <c r="R323" s="5"/>
      <c r="S323" s="5"/>
      <c r="Y323" s="155"/>
    </row>
    <row r="324" spans="9:25" s="23" customFormat="1" ht="10">
      <c r="I324" s="5"/>
      <c r="L324" s="5"/>
      <c r="M324" s="5"/>
      <c r="N324" s="5"/>
      <c r="O324" s="5"/>
      <c r="P324" s="5"/>
      <c r="Q324" s="5"/>
      <c r="R324" s="5"/>
      <c r="S324" s="5"/>
      <c r="Y324" s="155"/>
    </row>
    <row r="325" spans="9:25" s="23" customFormat="1" ht="10">
      <c r="I325" s="5"/>
      <c r="L325" s="5"/>
      <c r="M325" s="5"/>
      <c r="N325" s="5"/>
      <c r="O325" s="5"/>
      <c r="P325" s="5"/>
      <c r="Q325" s="5"/>
      <c r="R325" s="5"/>
      <c r="S325" s="5"/>
      <c r="Y325" s="155"/>
    </row>
    <row r="326" spans="9:25" s="23" customFormat="1" ht="11.25" customHeight="1">
      <c r="I326" s="5"/>
      <c r="L326" s="5"/>
      <c r="M326" s="5"/>
      <c r="N326" s="5"/>
      <c r="O326" s="5"/>
      <c r="P326" s="5"/>
      <c r="Q326" s="5"/>
      <c r="R326" s="5"/>
      <c r="S326" s="5"/>
      <c r="Y326" s="155"/>
    </row>
    <row r="327" spans="9:25" s="23" customFormat="1" ht="10">
      <c r="I327" s="5"/>
      <c r="L327" s="5"/>
      <c r="M327" s="5"/>
      <c r="N327" s="5"/>
      <c r="O327" s="5"/>
      <c r="P327" s="5"/>
      <c r="Q327" s="5"/>
      <c r="R327" s="5"/>
      <c r="S327" s="5"/>
      <c r="Y327" s="155"/>
    </row>
    <row r="328" spans="9:25" s="23" customFormat="1" ht="10">
      <c r="I328" s="5"/>
      <c r="L328" s="5"/>
      <c r="M328" s="5"/>
      <c r="N328" s="5"/>
      <c r="O328" s="5"/>
      <c r="P328" s="5"/>
      <c r="Q328" s="5"/>
      <c r="R328" s="5"/>
      <c r="S328" s="5"/>
      <c r="Y328" s="155"/>
    </row>
    <row r="329" spans="9:25" s="23" customFormat="1" ht="10">
      <c r="I329" s="5"/>
      <c r="L329" s="5"/>
      <c r="M329" s="5"/>
      <c r="N329" s="5"/>
      <c r="O329" s="5"/>
      <c r="P329" s="5"/>
      <c r="Q329" s="5"/>
      <c r="R329" s="5"/>
      <c r="S329" s="5"/>
      <c r="Y329" s="155"/>
    </row>
    <row r="330" spans="9:25" s="23" customFormat="1" ht="10">
      <c r="I330" s="5"/>
      <c r="L330" s="5"/>
      <c r="M330" s="5"/>
      <c r="N330" s="5"/>
      <c r="O330" s="5"/>
      <c r="P330" s="5"/>
      <c r="Q330" s="5"/>
      <c r="R330" s="5"/>
      <c r="S330" s="5"/>
      <c r="Y330" s="155"/>
    </row>
    <row r="331" spans="9:25" s="23" customFormat="1" ht="10">
      <c r="I331" s="5"/>
      <c r="L331" s="5"/>
      <c r="M331" s="5"/>
      <c r="N331" s="5"/>
      <c r="O331" s="5"/>
      <c r="P331" s="5"/>
      <c r="Q331" s="5"/>
      <c r="R331" s="5"/>
      <c r="S331" s="5"/>
      <c r="Y331" s="155"/>
    </row>
    <row r="332" spans="9:25" s="23" customFormat="1" ht="10">
      <c r="I332" s="5"/>
      <c r="L332" s="5"/>
      <c r="M332" s="5"/>
      <c r="N332" s="5"/>
      <c r="O332" s="5"/>
      <c r="P332" s="5"/>
      <c r="Q332" s="5"/>
      <c r="R332" s="5"/>
      <c r="S332" s="5"/>
      <c r="Y332" s="155"/>
    </row>
    <row r="333" spans="9:25" s="23" customFormat="1" ht="10">
      <c r="I333" s="5"/>
      <c r="L333" s="5"/>
      <c r="M333" s="5"/>
      <c r="N333" s="5"/>
      <c r="O333" s="5"/>
      <c r="P333" s="5"/>
      <c r="Q333" s="5"/>
      <c r="R333" s="5"/>
      <c r="S333" s="5"/>
      <c r="Y333" s="155"/>
    </row>
    <row r="334" spans="9:25" s="23" customFormat="1" ht="10">
      <c r="I334" s="5"/>
      <c r="L334" s="5"/>
      <c r="M334" s="5"/>
      <c r="N334" s="5"/>
      <c r="O334" s="5"/>
      <c r="P334" s="5"/>
      <c r="Q334" s="5"/>
      <c r="R334" s="5"/>
      <c r="S334" s="5"/>
      <c r="Y334" s="155"/>
    </row>
    <row r="335" spans="9:25" s="23" customFormat="1" ht="11.25" customHeight="1">
      <c r="I335" s="5"/>
      <c r="L335" s="5"/>
      <c r="M335" s="5"/>
      <c r="N335" s="5"/>
      <c r="O335" s="5"/>
      <c r="P335" s="5"/>
      <c r="Q335" s="5"/>
      <c r="R335" s="5"/>
      <c r="S335" s="5"/>
      <c r="Y335" s="155"/>
    </row>
    <row r="336" spans="9:25" s="23" customFormat="1" ht="10">
      <c r="I336" s="5"/>
      <c r="L336" s="5"/>
      <c r="M336" s="5"/>
      <c r="N336" s="5"/>
      <c r="O336" s="5"/>
      <c r="P336" s="5"/>
      <c r="Q336" s="5"/>
      <c r="R336" s="5"/>
      <c r="S336" s="5"/>
      <c r="Y336" s="155"/>
    </row>
    <row r="337" spans="7:25" s="23" customFormat="1" ht="10">
      <c r="I337" s="5"/>
      <c r="L337" s="5"/>
      <c r="M337" s="5"/>
      <c r="N337" s="5"/>
      <c r="O337" s="5"/>
      <c r="P337" s="5"/>
      <c r="Q337" s="5"/>
      <c r="R337" s="5"/>
      <c r="S337" s="5"/>
      <c r="Y337" s="155"/>
    </row>
    <row r="338" spans="7:25" s="23" customFormat="1" ht="11.25" customHeight="1">
      <c r="I338" s="5"/>
      <c r="L338" s="5"/>
      <c r="M338" s="5"/>
      <c r="N338" s="5"/>
      <c r="O338" s="5"/>
      <c r="P338" s="5"/>
      <c r="Q338" s="5"/>
      <c r="R338" s="5"/>
      <c r="S338" s="5"/>
      <c r="Y338" s="155"/>
    </row>
    <row r="339" spans="7:25" s="23" customFormat="1" ht="10">
      <c r="I339" s="5"/>
      <c r="L339" s="5"/>
      <c r="M339" s="5"/>
      <c r="N339" s="5"/>
      <c r="O339" s="5"/>
      <c r="P339" s="5"/>
      <c r="Q339" s="5"/>
      <c r="R339" s="5"/>
      <c r="S339" s="5"/>
      <c r="Y339" s="155"/>
    </row>
    <row r="340" spans="7:25" s="23" customFormat="1" ht="10">
      <c r="I340" s="5"/>
      <c r="L340" s="5"/>
      <c r="M340" s="5"/>
      <c r="N340" s="5"/>
      <c r="O340" s="5"/>
      <c r="P340" s="5"/>
      <c r="Q340" s="5"/>
      <c r="R340" s="5"/>
      <c r="S340" s="5"/>
      <c r="Y340" s="155"/>
    </row>
    <row r="341" spans="7:25" s="23" customFormat="1" ht="10">
      <c r="I341" s="5"/>
      <c r="L341" s="5"/>
      <c r="M341" s="5"/>
      <c r="N341" s="5"/>
      <c r="O341" s="5"/>
      <c r="P341" s="5"/>
      <c r="Q341" s="5"/>
      <c r="R341" s="5"/>
      <c r="S341" s="5"/>
      <c r="Y341" s="155"/>
    </row>
    <row r="342" spans="7:25" s="23" customFormat="1" ht="10">
      <c r="I342" s="5"/>
      <c r="L342" s="5"/>
      <c r="M342" s="5"/>
      <c r="N342" s="5"/>
      <c r="O342" s="5"/>
      <c r="P342" s="5"/>
      <c r="Q342" s="5"/>
      <c r="R342" s="5"/>
      <c r="S342" s="5"/>
      <c r="Y342" s="155"/>
    </row>
    <row r="343" spans="7:25" s="23" customFormat="1" ht="10">
      <c r="I343" s="5"/>
      <c r="L343" s="5"/>
      <c r="M343" s="5"/>
      <c r="N343" s="5"/>
      <c r="O343" s="5"/>
      <c r="P343" s="5"/>
      <c r="Q343" s="5"/>
      <c r="R343" s="5"/>
      <c r="S343" s="5"/>
      <c r="Y343" s="155"/>
    </row>
    <row r="344" spans="7:25" s="23" customFormat="1" ht="10">
      <c r="I344" s="5"/>
      <c r="L344" s="5"/>
      <c r="M344" s="5"/>
      <c r="N344" s="5"/>
      <c r="O344" s="5"/>
      <c r="P344" s="5"/>
      <c r="Q344" s="5"/>
      <c r="R344" s="5"/>
      <c r="S344" s="5"/>
      <c r="Y344" s="155"/>
    </row>
    <row r="345" spans="7:25" s="23" customFormat="1" ht="11.25" customHeight="1">
      <c r="I345" s="5"/>
      <c r="L345" s="5"/>
      <c r="M345" s="5"/>
      <c r="N345" s="5"/>
      <c r="O345" s="5"/>
      <c r="P345" s="5"/>
      <c r="Q345" s="5"/>
      <c r="R345" s="5"/>
      <c r="S345" s="5"/>
      <c r="Y345" s="155"/>
    </row>
    <row r="346" spans="7:25" s="23" customFormat="1" ht="11.25" customHeight="1">
      <c r="I346" s="5"/>
      <c r="L346" s="5"/>
      <c r="M346" s="5"/>
      <c r="N346" s="5"/>
      <c r="O346" s="5"/>
      <c r="P346" s="5"/>
      <c r="Q346" s="5"/>
      <c r="R346" s="5"/>
      <c r="S346" s="5"/>
      <c r="Y346" s="155"/>
    </row>
    <row r="347" spans="7:25" s="23" customFormat="1" ht="11.25" customHeight="1">
      <c r="I347" s="5"/>
      <c r="L347" s="5"/>
      <c r="M347" s="5"/>
      <c r="N347" s="5"/>
      <c r="O347" s="5"/>
      <c r="P347" s="5"/>
      <c r="Q347" s="5"/>
      <c r="R347" s="5"/>
      <c r="S347" s="5"/>
      <c r="Y347" s="155"/>
    </row>
    <row r="348" spans="7:25" s="23" customFormat="1" ht="10">
      <c r="I348" s="5"/>
      <c r="L348" s="5"/>
      <c r="M348" s="5"/>
      <c r="N348" s="5"/>
      <c r="O348" s="5"/>
      <c r="P348" s="5"/>
      <c r="Q348" s="5"/>
      <c r="R348" s="5"/>
      <c r="S348" s="5"/>
      <c r="Y348" s="155"/>
    </row>
    <row r="349" spans="7:25" s="23" customFormat="1" ht="10">
      <c r="I349" s="5"/>
      <c r="L349" s="5"/>
      <c r="M349" s="5"/>
      <c r="N349" s="5"/>
      <c r="O349" s="5"/>
      <c r="P349" s="5"/>
      <c r="Q349" s="5"/>
      <c r="R349" s="5"/>
      <c r="S349" s="5"/>
      <c r="Y349" s="155"/>
    </row>
    <row r="350" spans="7:25" s="23" customFormat="1" ht="10">
      <c r="I350" s="5"/>
      <c r="L350" s="5"/>
      <c r="M350" s="5"/>
      <c r="N350" s="5"/>
      <c r="O350" s="5"/>
      <c r="P350" s="5"/>
      <c r="Q350" s="5"/>
      <c r="R350" s="5"/>
      <c r="S350" s="5"/>
      <c r="Y350" s="155"/>
    </row>
    <row r="351" spans="7:25" s="23" customFormat="1" ht="10">
      <c r="I351" s="5"/>
      <c r="L351" s="5"/>
      <c r="M351" s="5"/>
      <c r="N351" s="5"/>
      <c r="O351" s="5"/>
      <c r="P351" s="5"/>
      <c r="Q351" s="5"/>
      <c r="R351" s="5"/>
      <c r="S351" s="5"/>
      <c r="Y351" s="155"/>
    </row>
    <row r="352" spans="7:25" ht="11.25" customHeight="1">
      <c r="G352" s="21"/>
      <c r="K352" s="21"/>
      <c r="L352" s="5"/>
      <c r="O352" s="5"/>
    </row>
    <row r="353" spans="7:15" ht="11.25" customHeight="1">
      <c r="G353" s="21"/>
      <c r="K353" s="21"/>
      <c r="L353" s="5"/>
      <c r="O353" s="5"/>
    </row>
  </sheetData>
  <sheetProtection formatCells="0" formatColumns="0" insertColumns="0" insertRows="0"/>
  <phoneticPr fontId="0" type="noConversion"/>
  <conditionalFormatting sqref="A1">
    <cfRule type="duplicateValues" dxfId="61" priority="3"/>
  </conditionalFormatting>
  <conditionalFormatting sqref="A297:A301 A2:A142">
    <cfRule type="duplicateValues" dxfId="60" priority="4821"/>
  </conditionalFormatting>
  <conditionalFormatting sqref="M1:N170 M174:N217 M218:M222 M223:N226 M227:M233 M234:N234 M235 M236:N237 M238:M243 M244:N301">
    <cfRule type="cellIs" dxfId="59" priority="1" operator="equal">
      <formula>"No"</formula>
    </cfRule>
    <cfRule type="cellIs" dxfId="58" priority="2" operator="equal">
      <formula>"Yes"</formula>
    </cfRule>
  </conditionalFormatting>
  <conditionalFormatting sqref="N302:N1048576">
    <cfRule type="cellIs" dxfId="57" priority="10" operator="equal">
      <formula>"Yes"</formula>
    </cfRule>
    <cfRule type="cellIs" dxfId="56" priority="11" operator="equal">
      <formula>"No"</formula>
    </cfRule>
  </conditionalFormatting>
  <dataValidations count="1">
    <dataValidation allowBlank="1" showInputMessage="1" showErrorMessage="1" sqref="AX140:BE145 AV302:BA703 BB302:XFD907 BE143:XFD145 BF140:XFD142 R297 H128:H131 G132:H139 B180:G183 A1:N1 I2:N49 G2:I58 K51:L53 J129:J131 G132:J132 H59:N127 H128:J128 K128:N139 J133:J139 I128:I139 L171:N173 G59:G131 B174:N174 A2:F139 Z14:Z15 S33:U49 Q31:Q49 W50:X50 W24:Z49 W54:X58 AP51:AR53 Q53 AS50:AT58 AD50:AE58 O24:O27 AB51 W51:AA53 AC51:AC53 M50:N58 AG59:AT89 W87:AA87 AS90:AT107 AB90:AB103 V14:V49 U28:U30 W14:Y23 Q146:Q161 AU1:AU107 Q30:T30 Q21:U27 R31:U32 Q88:AA89 Q59:AA86 Q87:T87 Q51:V51 W167:X170 S146:T170 Q167:Q170 F167:F170 H167:N170 G167:G173 B167:E173 AS108:AU145 B146:N165 Q166:T166 Q99:T145 P21:P23 A166:N166 A140:N145 W186:AA284 AB171 K297:N297 G252:I252 AB142:AB148 N1:O23 P28:T29 P14:U20 P23:R23 N27:P30 AB166 W90:AA166 AX1:XFD139 F298:F301 W294 X294:AC295 W296:AC297 Q180:AA183 Y167:AA173 G297:J301 A297:A301 S174:T179 B175:F179 J175:N179 Q174:Q179 N180:N217 N222:N226 N234 F224:F241 F243 Q171:X173 N236:N237 AG51:AN53 G175:G251 W174:AE179 AC180:AE183 W184:AE185 P1:AE13 AG1:AT49 AC59:AE173 AA14:AE49 AG90:AR145 S184:T297 Q184:Q297 B180:E301 AV1:AW284 AX146:XFD284 J180:M284 AD285:AE301 J285:N296 N244:N284 G253:G296 W285:AC293 AG146:AM297 AB259:AB284 AS285:XFD301 F261:F267 AC186:AE284 AB209:AB243 AN146:AU284 AF1:AF1048576 AN285:AR297" xr:uid="{FC0F2238-D14D-4429-B993-9E241C2030AF}"/>
  </dataValidations>
  <pageMargins left="0.7" right="0.7" top="0.75" bottom="0.75" header="0.3" footer="0.3"/>
  <pageSetup orientation="portrait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CB05-9010-4ECD-A6B4-E0265FEA6D43}">
  <sheetPr>
    <tabColor rgb="FFEBCDF7"/>
  </sheetPr>
  <dimension ref="B4:D21"/>
  <sheetViews>
    <sheetView workbookViewId="0">
      <selection activeCell="D23" sqref="D23"/>
    </sheetView>
  </sheetViews>
  <sheetFormatPr defaultColWidth="9" defaultRowHeight="12" customHeight="1"/>
  <cols>
    <col min="2" max="2" width="12.59765625" customWidth="1"/>
    <col min="3" max="3" width="40.3984375" customWidth="1"/>
    <col min="4" max="4" width="88.8984375" bestFit="1" customWidth="1"/>
  </cols>
  <sheetData>
    <row r="4" spans="2:4" ht="13">
      <c r="B4" s="417" t="s">
        <v>42</v>
      </c>
      <c r="C4" s="417" t="s">
        <v>8602</v>
      </c>
      <c r="D4" s="417" t="s">
        <v>8603</v>
      </c>
    </row>
    <row r="5" spans="2:4" ht="19.5" customHeight="1">
      <c r="B5" s="1488" t="s">
        <v>80</v>
      </c>
      <c r="C5" s="1489" t="s">
        <v>5740</v>
      </c>
      <c r="D5" s="1488" t="s">
        <v>8604</v>
      </c>
    </row>
    <row r="6" spans="2:4" ht="19.5" customHeight="1">
      <c r="B6" s="1488" t="s">
        <v>8605</v>
      </c>
      <c r="C6" s="1489">
        <v>274946111</v>
      </c>
      <c r="D6" s="1488" t="s">
        <v>8606</v>
      </c>
    </row>
    <row r="7" spans="2:4" ht="19.5" customHeight="1">
      <c r="B7" s="1488" t="s">
        <v>8607</v>
      </c>
      <c r="C7" s="1489" t="s">
        <v>5806</v>
      </c>
      <c r="D7" s="1488" t="s">
        <v>8608</v>
      </c>
    </row>
    <row r="8" spans="2:4" ht="19.5" customHeight="1">
      <c r="B8" s="1488" t="s">
        <v>8609</v>
      </c>
      <c r="C8" s="1489" t="s">
        <v>8610</v>
      </c>
      <c r="D8" s="1488" t="s">
        <v>8611</v>
      </c>
    </row>
    <row r="9" spans="2:4" ht="19.5" customHeight="1">
      <c r="B9" s="1488" t="s">
        <v>8612</v>
      </c>
      <c r="C9" s="1489" t="s">
        <v>5764</v>
      </c>
      <c r="D9" s="1488" t="s">
        <v>8613</v>
      </c>
    </row>
    <row r="10" spans="2:4" ht="19.5" customHeight="1">
      <c r="B10" s="1488" t="s">
        <v>8614</v>
      </c>
      <c r="C10" s="1489" t="s">
        <v>8615</v>
      </c>
      <c r="D10" s="1490" t="s">
        <v>8616</v>
      </c>
    </row>
    <row r="11" spans="2:4" ht="30" customHeight="1">
      <c r="B11" s="1489" t="s">
        <v>8617</v>
      </c>
      <c r="C11" s="1491" t="s">
        <v>8618</v>
      </c>
      <c r="D11" s="1492" t="s">
        <v>8619</v>
      </c>
    </row>
    <row r="12" spans="2:4" ht="50.25" customHeight="1">
      <c r="B12" s="1488" t="s">
        <v>8620</v>
      </c>
      <c r="C12" s="1493" t="s">
        <v>8621</v>
      </c>
      <c r="D12" s="1123" t="s">
        <v>8622</v>
      </c>
    </row>
    <row r="13" spans="2:4" ht="22.5" customHeight="1">
      <c r="B13" s="1488" t="s">
        <v>8623</v>
      </c>
      <c r="C13" s="1489"/>
      <c r="D13" s="1488" t="s">
        <v>8624</v>
      </c>
    </row>
    <row r="14" spans="2:4" ht="16.5" customHeight="1">
      <c r="B14" s="1488"/>
      <c r="C14" s="1488"/>
      <c r="D14" s="1122"/>
    </row>
    <row r="15" spans="2:4" ht="16.5" customHeight="1">
      <c r="B15" s="1488"/>
      <c r="C15" s="1488"/>
      <c r="D15" s="1488"/>
    </row>
    <row r="16" spans="2:4" ht="13">
      <c r="B16" s="1488"/>
      <c r="C16" s="1488"/>
      <c r="D16" s="1488"/>
    </row>
    <row r="17" spans="2:4" ht="13">
      <c r="B17" s="1488"/>
      <c r="C17" s="1488"/>
      <c r="D17" s="1488"/>
    </row>
    <row r="18" spans="2:4" ht="13">
      <c r="B18" s="1488"/>
      <c r="C18" s="1488"/>
      <c r="D18" s="1488"/>
    </row>
    <row r="19" spans="2:4" ht="13">
      <c r="B19" s="1488"/>
      <c r="C19" s="1488"/>
      <c r="D19" s="1488"/>
    </row>
    <row r="20" spans="2:4" ht="13">
      <c r="B20" s="1488"/>
      <c r="C20" s="1488"/>
      <c r="D20" s="1488"/>
    </row>
    <row r="21" spans="2:4" ht="13"/>
  </sheetData>
  <protectedRanges>
    <protectedRange sqref="B4:D4" name="PV_Data"/>
    <protectedRange sqref="B5:C5" name="PV_Data_1"/>
    <protectedRange sqref="C11" name="PV_Data_2"/>
    <protectedRange sqref="C9" name="PV_Data_3"/>
  </protectedRanges>
  <phoneticPr fontId="64" type="noConversion"/>
  <dataValidations count="1">
    <dataValidation allowBlank="1" showInputMessage="1" showErrorMessage="1" sqref="B4:C5 D4 C9 C11" xr:uid="{1BAA5E2B-C6AF-406D-941B-BC20F1F43DD8}"/>
  </dataValidations>
  <hyperlinks>
    <hyperlink ref="D6" r:id="rId1" xr:uid="{65FCC60D-A740-44D2-92E7-271951283754}"/>
    <hyperlink ref="D7" r:id="rId2" xr:uid="{ECF3425B-FDE6-4E9D-BC49-241E666BF7A0}"/>
    <hyperlink ref="D13" r:id="rId3" xr:uid="{B0BC7377-CBF7-40BE-8461-2636A3F1EED2}"/>
    <hyperlink ref="D8" r:id="rId4" xr:uid="{220D86CD-38F5-46C1-A873-1B4904F2DD01}"/>
    <hyperlink ref="D11" r:id="rId5" xr:uid="{62E04404-474C-4151-94FC-542DCCA09C45}"/>
    <hyperlink ref="D9" r:id="rId6" xr:uid="{78201BA5-B618-4D60-A35A-BAEB7E2BC92C}"/>
    <hyperlink ref="D10" r:id="rId7" xr:uid="{D4392F43-22FA-4ED8-BE4F-81BAFB01C2EA}"/>
    <hyperlink ref="D12" r:id="rId8" xr:uid="{1F6E62E8-C727-437B-8BA9-87A378282AA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BE94-F9C4-410A-8FE1-A844BB1222F4}">
  <sheetPr codeName="Sheet13">
    <tabColor rgb="FFF7BABA"/>
  </sheetPr>
  <dimension ref="A1:AI146"/>
  <sheetViews>
    <sheetView zoomScale="85" zoomScaleNormal="85" workbookViewId="0">
      <selection activeCell="B140" sqref="B140"/>
    </sheetView>
  </sheetViews>
  <sheetFormatPr defaultColWidth="9" defaultRowHeight="13"/>
  <cols>
    <col min="1" max="1" width="12.59765625" customWidth="1"/>
    <col min="2" max="2" width="59.8984375" style="228" customWidth="1"/>
    <col min="3" max="3" width="24.8984375" customWidth="1"/>
    <col min="4" max="4" width="30.8984375" customWidth="1"/>
    <col min="5" max="5" width="12.8984375" customWidth="1"/>
    <col min="6" max="6" width="19.59765625" customWidth="1"/>
    <col min="7" max="7" width="18.09765625" bestFit="1" customWidth="1"/>
    <col min="8" max="8" width="26.09765625" customWidth="1"/>
    <col min="9" max="9" width="5.09765625" customWidth="1"/>
    <col min="10" max="10" width="9.8984375" customWidth="1"/>
    <col min="11" max="11" width="13.3984375" bestFit="1" customWidth="1"/>
    <col min="12" max="12" width="12.09765625" bestFit="1" customWidth="1"/>
    <col min="13" max="13" width="12.09765625" customWidth="1"/>
    <col min="14" max="14" width="8" bestFit="1" customWidth="1"/>
    <col min="15" max="15" width="11.3984375" bestFit="1" customWidth="1"/>
    <col min="16" max="16" width="7.09765625" bestFit="1" customWidth="1"/>
    <col min="17" max="17" width="10.59765625" bestFit="1" customWidth="1"/>
    <col min="18" max="18" width="14" bestFit="1" customWidth="1"/>
    <col min="19" max="19" width="16.09765625" customWidth="1"/>
  </cols>
  <sheetData>
    <row r="1" spans="1:20" ht="42">
      <c r="A1" s="230" t="s">
        <v>8625</v>
      </c>
      <c r="B1" s="231" t="s">
        <v>8626</v>
      </c>
      <c r="C1" s="42" t="s">
        <v>8627</v>
      </c>
      <c r="D1" s="42" t="s">
        <v>8628</v>
      </c>
      <c r="E1" s="43" t="s">
        <v>8629</v>
      </c>
      <c r="F1" s="44" t="s">
        <v>8630</v>
      </c>
      <c r="G1" s="44" t="s">
        <v>8631</v>
      </c>
      <c r="H1" s="44" t="s">
        <v>8632</v>
      </c>
      <c r="I1" s="44" t="s">
        <v>8633</v>
      </c>
      <c r="J1" s="45" t="s">
        <v>8634</v>
      </c>
      <c r="K1" s="45" t="s">
        <v>15</v>
      </c>
      <c r="L1" s="45" t="s">
        <v>2456</v>
      </c>
      <c r="M1" s="45" t="s">
        <v>2457</v>
      </c>
      <c r="N1" s="45" t="s">
        <v>19</v>
      </c>
      <c r="O1" s="45" t="s">
        <v>20</v>
      </c>
      <c r="P1" s="45" t="s">
        <v>21</v>
      </c>
      <c r="Q1" s="45" t="s">
        <v>22</v>
      </c>
      <c r="R1" s="45" t="s">
        <v>23</v>
      </c>
    </row>
    <row r="2" spans="1:20">
      <c r="A2" s="179"/>
      <c r="B2" s="263" t="s">
        <v>2493</v>
      </c>
      <c r="C2" s="229" t="s">
        <v>8635</v>
      </c>
      <c r="D2" s="229"/>
      <c r="E2" s="180" t="s">
        <v>402</v>
      </c>
      <c r="F2" s="180" t="s">
        <v>8636</v>
      </c>
      <c r="G2" s="180" t="s">
        <v>8637</v>
      </c>
      <c r="H2" s="180" t="s">
        <v>888</v>
      </c>
      <c r="I2" s="180"/>
      <c r="J2" s="16"/>
      <c r="K2" s="16"/>
      <c r="L2" s="16"/>
      <c r="M2" s="16"/>
      <c r="N2" s="16"/>
      <c r="O2" s="16"/>
      <c r="P2" s="16"/>
      <c r="Q2" s="16"/>
      <c r="R2" s="16"/>
    </row>
    <row r="3" spans="1:20">
      <c r="J3" s="16"/>
      <c r="K3" s="16"/>
      <c r="L3" s="16"/>
      <c r="M3" s="16"/>
      <c r="N3" s="16"/>
      <c r="O3" s="16"/>
      <c r="P3" s="16"/>
      <c r="Q3" s="16"/>
      <c r="R3" s="16"/>
    </row>
    <row r="4" spans="1:20">
      <c r="J4" s="16"/>
      <c r="K4" s="16"/>
      <c r="L4" s="16"/>
      <c r="M4" s="16"/>
      <c r="N4" s="16"/>
      <c r="O4" s="16"/>
      <c r="P4" s="16"/>
      <c r="Q4" s="16"/>
      <c r="R4" s="16"/>
    </row>
    <row r="8" spans="1:20">
      <c r="A8" s="179"/>
      <c r="B8" s="264" t="s">
        <v>2493</v>
      </c>
      <c r="C8" s="186" t="s">
        <v>594</v>
      </c>
      <c r="D8" s="186"/>
      <c r="E8" s="180"/>
      <c r="F8" s="187" t="s">
        <v>8638</v>
      </c>
      <c r="G8" s="180" t="s">
        <v>8637</v>
      </c>
      <c r="H8" s="13" t="s">
        <v>124</v>
      </c>
      <c r="I8" s="179"/>
      <c r="J8" s="12" t="s">
        <v>70</v>
      </c>
      <c r="K8" s="12" t="s">
        <v>102</v>
      </c>
      <c r="L8" s="12">
        <v>554245</v>
      </c>
      <c r="M8" s="12" t="s">
        <v>103</v>
      </c>
      <c r="N8" s="12">
        <v>620</v>
      </c>
      <c r="O8" s="12">
        <v>1440</v>
      </c>
      <c r="P8" s="12" t="s">
        <v>8639</v>
      </c>
      <c r="Q8" s="12">
        <v>40</v>
      </c>
      <c r="R8" s="12">
        <v>2</v>
      </c>
      <c r="S8">
        <v>1</v>
      </c>
      <c r="T8" t="s">
        <v>8640</v>
      </c>
    </row>
    <row r="9" spans="1:20">
      <c r="A9" s="179"/>
      <c r="B9" s="264" t="s">
        <v>2493</v>
      </c>
      <c r="C9" s="186" t="s">
        <v>594</v>
      </c>
      <c r="D9" s="186"/>
      <c r="E9" s="180"/>
      <c r="F9" s="187"/>
      <c r="G9" s="180" t="s">
        <v>8637</v>
      </c>
      <c r="H9" s="13" t="s">
        <v>124</v>
      </c>
      <c r="I9" s="179"/>
      <c r="J9" s="12" t="s">
        <v>132</v>
      </c>
      <c r="K9" s="12" t="s">
        <v>2884</v>
      </c>
      <c r="L9" s="12">
        <v>555076</v>
      </c>
      <c r="M9" s="12" t="s">
        <v>1300</v>
      </c>
      <c r="N9" s="12">
        <v>720</v>
      </c>
      <c r="O9" s="12">
        <v>2970</v>
      </c>
      <c r="P9" s="12">
        <f>N9*O9/1000000</f>
        <v>2.1383999999999999</v>
      </c>
      <c r="Q9" s="12">
        <f>O9/33</f>
        <v>90</v>
      </c>
      <c r="R9" s="12">
        <f>O9/594</f>
        <v>5</v>
      </c>
      <c r="S9">
        <v>2</v>
      </c>
      <c r="T9" t="s">
        <v>8641</v>
      </c>
    </row>
    <row r="10" spans="1:20">
      <c r="A10" s="179"/>
      <c r="B10" s="264" t="s">
        <v>8642</v>
      </c>
      <c r="C10" s="186" t="s">
        <v>594</v>
      </c>
      <c r="D10" s="186"/>
      <c r="E10" s="180"/>
      <c r="F10" s="187"/>
      <c r="G10" s="180" t="s">
        <v>8637</v>
      </c>
      <c r="H10" s="13" t="s">
        <v>124</v>
      </c>
      <c r="I10" s="179"/>
      <c r="J10" s="12" t="s">
        <v>132</v>
      </c>
      <c r="K10" s="12" t="s">
        <v>1905</v>
      </c>
      <c r="L10" s="12">
        <v>554547</v>
      </c>
      <c r="M10" s="12" t="s">
        <v>1906</v>
      </c>
      <c r="N10" s="12">
        <v>555</v>
      </c>
      <c r="O10" s="12">
        <v>3300</v>
      </c>
      <c r="P10" s="12">
        <f>N10*O10/1000000</f>
        <v>1.8314999999999999</v>
      </c>
      <c r="Q10" s="12">
        <f>O10/33</f>
        <v>100</v>
      </c>
      <c r="R10" s="12">
        <f>O10/660</f>
        <v>5</v>
      </c>
      <c r="S10">
        <v>3</v>
      </c>
      <c r="T10" t="s">
        <v>8643</v>
      </c>
    </row>
    <row r="11" spans="1:20">
      <c r="A11" s="179"/>
      <c r="B11" s="264" t="s">
        <v>2493</v>
      </c>
      <c r="C11" s="186" t="s">
        <v>8644</v>
      </c>
      <c r="D11" s="186"/>
      <c r="E11" s="180" t="s">
        <v>8645</v>
      </c>
      <c r="F11" s="188" t="s">
        <v>8646</v>
      </c>
      <c r="G11" s="180" t="s">
        <v>8647</v>
      </c>
      <c r="H11" s="13" t="s">
        <v>456</v>
      </c>
      <c r="I11" s="179"/>
      <c r="J11" s="11" t="s">
        <v>132</v>
      </c>
      <c r="K11" s="12" t="s">
        <v>189</v>
      </c>
      <c r="L11" s="18">
        <v>555536</v>
      </c>
      <c r="M11" s="18" t="s">
        <v>190</v>
      </c>
      <c r="N11" s="18">
        <v>465</v>
      </c>
      <c r="O11" s="18">
        <v>4320</v>
      </c>
      <c r="P11" s="18">
        <f>N11*O11/1000000</f>
        <v>2.0087999999999999</v>
      </c>
      <c r="Q11" s="18">
        <f>O11/36</f>
        <v>120</v>
      </c>
      <c r="R11" s="18">
        <f>O11/864</f>
        <v>5</v>
      </c>
    </row>
    <row r="12" spans="1:20">
      <c r="A12" s="179"/>
      <c r="B12" s="264" t="s">
        <v>8648</v>
      </c>
      <c r="C12" s="186" t="s">
        <v>8644</v>
      </c>
      <c r="D12" s="186"/>
      <c r="E12" s="180" t="s">
        <v>8645</v>
      </c>
      <c r="F12" s="189" t="s">
        <v>8649</v>
      </c>
      <c r="G12" s="190" t="s">
        <v>8647</v>
      </c>
      <c r="H12" s="190" t="s">
        <v>456</v>
      </c>
      <c r="I12" s="187"/>
      <c r="J12" s="186" t="s">
        <v>132</v>
      </c>
      <c r="K12" s="170" t="s">
        <v>189</v>
      </c>
      <c r="L12" s="181">
        <v>555536</v>
      </c>
      <c r="M12" s="181" t="s">
        <v>190</v>
      </c>
      <c r="N12" s="181">
        <v>465</v>
      </c>
      <c r="O12" s="181">
        <v>3456</v>
      </c>
      <c r="P12" s="181">
        <f>N12*O12/1000000</f>
        <v>1.60704</v>
      </c>
      <c r="Q12" s="181">
        <f>O12/36</f>
        <v>96</v>
      </c>
      <c r="R12" s="181">
        <f>O12/864</f>
        <v>4</v>
      </c>
    </row>
    <row r="16" spans="1:20">
      <c r="A16" s="179"/>
      <c r="B16" s="263" t="s">
        <v>8650</v>
      </c>
      <c r="C16" s="147" t="s">
        <v>8651</v>
      </c>
      <c r="D16" s="147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</row>
    <row r="17" spans="1:18">
      <c r="A17" s="179"/>
      <c r="B17" s="263" t="s">
        <v>2493</v>
      </c>
      <c r="C17" s="147" t="s">
        <v>8652</v>
      </c>
      <c r="D17" s="147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</row>
    <row r="20" spans="1:18">
      <c r="A20" s="179"/>
      <c r="B20" s="232" t="s">
        <v>2493</v>
      </c>
      <c r="C20" s="147" t="s">
        <v>8635</v>
      </c>
      <c r="D20" s="147"/>
      <c r="E20" s="180" t="s">
        <v>402</v>
      </c>
      <c r="F20" s="180" t="s">
        <v>8653</v>
      </c>
      <c r="G20" s="180" t="s">
        <v>8637</v>
      </c>
      <c r="H20" s="180" t="s">
        <v>888</v>
      </c>
      <c r="I20" s="179"/>
      <c r="J20" s="186" t="s">
        <v>132</v>
      </c>
      <c r="K20" s="82" t="s">
        <v>133</v>
      </c>
      <c r="L20" s="82"/>
      <c r="M20" s="164" t="s">
        <v>134</v>
      </c>
      <c r="N20" s="181">
        <v>720</v>
      </c>
      <c r="O20" s="181">
        <v>1782</v>
      </c>
      <c r="P20" s="181">
        <f>PV_DATA[[#This Row],[WATT]]*PV_DATA[[#This Row],[QUANTITY]]/1000000</f>
        <v>1.8</v>
      </c>
      <c r="Q20" s="181">
        <f>PV_DATA[[#This Row],[QUANTITY]]/PV_DATA[[#This Row],[Qty/Pallet]]</f>
        <v>80</v>
      </c>
      <c r="R20" s="181">
        <f>PV_DATA[[#This Row],[QUANTITY]]/PV_DATA[[#This Row],[Qty/CT]]</f>
        <v>4</v>
      </c>
    </row>
    <row r="21" spans="1:18">
      <c r="B21" s="265"/>
    </row>
    <row r="22" spans="1:18">
      <c r="A22" s="233">
        <v>46055</v>
      </c>
      <c r="B22" s="263" t="s">
        <v>8654</v>
      </c>
      <c r="C22" s="147" t="s">
        <v>1401</v>
      </c>
      <c r="D22" s="147"/>
      <c r="E22" s="180" t="s">
        <v>156</v>
      </c>
      <c r="F22" s="180" t="s">
        <v>8655</v>
      </c>
      <c r="G22" s="180"/>
      <c r="H22" s="147"/>
      <c r="I22" s="180"/>
      <c r="J22" s="147"/>
      <c r="K22" s="180"/>
      <c r="L22" s="147"/>
      <c r="M22" s="180"/>
      <c r="N22" s="147"/>
      <c r="O22" s="180"/>
      <c r="P22" s="147"/>
      <c r="Q22" s="180"/>
      <c r="R22" s="147"/>
    </row>
    <row r="24" spans="1:18">
      <c r="A24" s="233">
        <v>46055</v>
      </c>
      <c r="B24" s="263" t="s">
        <v>8656</v>
      </c>
      <c r="C24" s="147" t="s">
        <v>8657</v>
      </c>
      <c r="D24" s="147"/>
      <c r="E24" s="180" t="s">
        <v>8658</v>
      </c>
      <c r="F24" s="180" t="s">
        <v>8659</v>
      </c>
      <c r="G24" s="180" t="s">
        <v>8660</v>
      </c>
      <c r="H24" s="147" t="s">
        <v>8661</v>
      </c>
      <c r="I24" s="180"/>
      <c r="J24" s="147"/>
      <c r="K24" s="180"/>
      <c r="L24" s="147"/>
      <c r="M24" s="180"/>
      <c r="N24" s="147"/>
      <c r="O24" s="180"/>
      <c r="P24" s="147"/>
      <c r="Q24" s="180"/>
      <c r="R24" s="147"/>
    </row>
    <row r="26" spans="1:18">
      <c r="A26" s="233">
        <v>46058</v>
      </c>
      <c r="B26" s="263" t="s">
        <v>8662</v>
      </c>
      <c r="C26" s="147" t="s">
        <v>538</v>
      </c>
      <c r="D26" s="147"/>
      <c r="E26" s="180" t="s">
        <v>8663</v>
      </c>
      <c r="F26" s="180" t="s">
        <v>8664</v>
      </c>
      <c r="G26" s="180" t="s">
        <v>8637</v>
      </c>
      <c r="H26" s="180" t="s">
        <v>541</v>
      </c>
      <c r="I26" s="179"/>
    </row>
    <row r="27" spans="1:18">
      <c r="A27" s="180"/>
      <c r="B27" s="263" t="s">
        <v>8662</v>
      </c>
      <c r="C27" s="180"/>
      <c r="D27" s="180"/>
      <c r="E27" s="180"/>
      <c r="F27" s="180" t="s">
        <v>8665</v>
      </c>
      <c r="G27" s="180" t="s">
        <v>8666</v>
      </c>
      <c r="H27" s="180"/>
      <c r="I27" s="179"/>
    </row>
    <row r="28" spans="1:18">
      <c r="A28" s="180"/>
      <c r="B28" s="263" t="s">
        <v>8662</v>
      </c>
      <c r="C28" s="180"/>
      <c r="D28" s="180"/>
      <c r="E28" s="180"/>
      <c r="F28" s="180" t="s">
        <v>8667</v>
      </c>
      <c r="G28" s="180"/>
      <c r="H28" s="180"/>
      <c r="I28" s="179"/>
    </row>
    <row r="33" spans="1:19">
      <c r="A33" s="233">
        <v>46058</v>
      </c>
      <c r="B33" s="266" t="s">
        <v>8668</v>
      </c>
      <c r="C33" s="147" t="s">
        <v>8669</v>
      </c>
      <c r="D33" s="147"/>
      <c r="E33" s="180" t="s">
        <v>402</v>
      </c>
      <c r="F33" s="180" t="s">
        <v>8670</v>
      </c>
      <c r="G33" s="180"/>
      <c r="H33" s="180" t="s">
        <v>8661</v>
      </c>
      <c r="I33" s="179"/>
      <c r="J33" s="160" t="s">
        <v>713</v>
      </c>
      <c r="K33" s="160" t="s">
        <v>1628</v>
      </c>
      <c r="L33" s="160"/>
      <c r="M33" s="181" t="s">
        <v>1629</v>
      </c>
      <c r="N33" s="234">
        <v>630</v>
      </c>
      <c r="O33" s="234">
        <v>108</v>
      </c>
      <c r="P33" s="82">
        <f>PV_DATA[[#This Row],[WATT]]*PV_DATA[[#This Row],[QUANTITY]]/1000000</f>
        <v>1.3593599999999999</v>
      </c>
      <c r="Q33" s="203">
        <f>PV_DATA[[#This Row],[QUANTITY]]/PV_DATA[[#This Row],[Qty/Pallet]]</f>
        <v>59</v>
      </c>
      <c r="R33" s="203">
        <f>PV_DATA[[#This Row],[QUANTITY]]/PV_DATA[[#This Row],[Qty/CT]]</f>
        <v>3.6875</v>
      </c>
    </row>
    <row r="34" spans="1:19">
      <c r="A34" s="233">
        <v>46058</v>
      </c>
      <c r="B34" s="266" t="s">
        <v>8671</v>
      </c>
      <c r="C34" s="147" t="s">
        <v>8672</v>
      </c>
      <c r="D34" s="147"/>
      <c r="E34" s="180" t="s">
        <v>402</v>
      </c>
      <c r="F34" s="180" t="s">
        <v>8670</v>
      </c>
      <c r="G34" s="180"/>
      <c r="H34" s="180" t="s">
        <v>8661</v>
      </c>
      <c r="I34" s="179"/>
      <c r="J34" s="160" t="s">
        <v>713</v>
      </c>
      <c r="K34" s="160" t="s">
        <v>714</v>
      </c>
      <c r="L34" s="160"/>
      <c r="M34" s="181" t="s">
        <v>1173</v>
      </c>
      <c r="N34" s="234">
        <v>625</v>
      </c>
      <c r="O34" s="234">
        <v>36</v>
      </c>
      <c r="P34" s="82">
        <v>2.2499999999999999E-2</v>
      </c>
      <c r="Q34" s="203">
        <v>1</v>
      </c>
      <c r="R34" s="203">
        <v>6.25E-2</v>
      </c>
    </row>
    <row r="36" spans="1:19">
      <c r="A36" s="233">
        <v>46063</v>
      </c>
      <c r="B36" s="263" t="s">
        <v>8673</v>
      </c>
      <c r="C36" s="147" t="s">
        <v>883</v>
      </c>
      <c r="D36" s="147"/>
      <c r="E36" s="180" t="s">
        <v>402</v>
      </c>
      <c r="F36" s="180" t="s">
        <v>8674</v>
      </c>
      <c r="G36" s="180" t="s">
        <v>8637</v>
      </c>
      <c r="H36" s="180" t="s">
        <v>888</v>
      </c>
      <c r="I36" s="180"/>
      <c r="J36" s="160" t="s">
        <v>70</v>
      </c>
      <c r="K36" s="160" t="s">
        <v>885</v>
      </c>
      <c r="L36" s="160"/>
      <c r="M36" s="181" t="s">
        <v>886</v>
      </c>
      <c r="N36" s="234">
        <v>615</v>
      </c>
      <c r="O36" s="234" cm="1">
        <f t="array" ref="O36">2880-fx_qty</f>
        <v>2880</v>
      </c>
      <c r="P36" s="82">
        <f>PV_DATA[[#This Row],[WATT]]*PV_DATA[[#This Row],[QUANTITY]]/1000000</f>
        <v>0.44252000000000002</v>
      </c>
      <c r="Q36" s="203">
        <f>PV_DATA[[#This Row],[QUANTITY]]/PV_DATA[[#This Row],[Qty/Pallet]]</f>
        <v>26</v>
      </c>
      <c r="R36" s="203">
        <f>PV_DATA[[#This Row],[QUANTITY]]/PV_DATA[[#This Row],[Qty/CT]]</f>
        <v>1</v>
      </c>
      <c r="S36" s="160" t="s">
        <v>7631</v>
      </c>
    </row>
    <row r="39" spans="1:19" ht="39">
      <c r="A39" s="233">
        <v>46077</v>
      </c>
      <c r="B39" s="267" t="s">
        <v>8675</v>
      </c>
      <c r="C39" s="147" t="s">
        <v>8676</v>
      </c>
      <c r="D39" s="147"/>
      <c r="E39" s="147" t="s">
        <v>402</v>
      </c>
      <c r="F39" s="180" t="s">
        <v>8677</v>
      </c>
      <c r="G39" s="180" t="s">
        <v>8637</v>
      </c>
      <c r="H39" s="180" t="s">
        <v>8678</v>
      </c>
    </row>
    <row r="41" spans="1:19">
      <c r="A41" s="233">
        <v>46078</v>
      </c>
      <c r="B41" s="263" t="s">
        <v>8679</v>
      </c>
      <c r="C41" s="147" t="s">
        <v>8680</v>
      </c>
      <c r="D41" s="147"/>
      <c r="E41" s="147" t="s">
        <v>402</v>
      </c>
      <c r="F41" s="180" t="s">
        <v>8681</v>
      </c>
    </row>
    <row r="56" spans="1:35" ht="40.5">
      <c r="A56" s="233">
        <v>46078</v>
      </c>
      <c r="B56" s="267" t="s">
        <v>8682</v>
      </c>
      <c r="C56" s="147" t="s">
        <v>8683</v>
      </c>
      <c r="D56" s="147" t="s">
        <v>8684</v>
      </c>
      <c r="E56" s="147" t="s">
        <v>8645</v>
      </c>
      <c r="F56" s="274" t="s">
        <v>8685</v>
      </c>
      <c r="G56" s="180" t="s">
        <v>8666</v>
      </c>
      <c r="H56" s="180" t="s">
        <v>8678</v>
      </c>
      <c r="I56" s="180"/>
      <c r="J56" s="160" t="s">
        <v>132</v>
      </c>
      <c r="K56" s="160" t="s">
        <v>133</v>
      </c>
      <c r="L56" s="160"/>
      <c r="M56" s="181" t="s">
        <v>134</v>
      </c>
      <c r="N56" s="234">
        <v>720</v>
      </c>
      <c r="O56" s="234">
        <f>594*7</f>
        <v>4158</v>
      </c>
      <c r="P56" s="82">
        <f>PV_DATA[[#This Row],[WATT]]*PV_DATA[[#This Row],[QUANTITY]]/1000000</f>
        <v>1.2052799999999999</v>
      </c>
      <c r="Q56" s="203">
        <f>PV_DATA[[#This Row],[QUANTITY]]/PV_DATA[[#This Row],[Qty/Pallet]]</f>
        <v>72</v>
      </c>
      <c r="R56" s="203">
        <f>PV_DATA[[#This Row],[QUANTITY]]/PV_DATA[[#This Row],[Qty/CT]]</f>
        <v>3</v>
      </c>
    </row>
    <row r="58" spans="1:35" ht="50.5">
      <c r="A58" s="233">
        <v>46079</v>
      </c>
      <c r="B58" s="267" t="s">
        <v>8686</v>
      </c>
      <c r="C58" s="147" t="s">
        <v>8687</v>
      </c>
      <c r="D58" s="147"/>
      <c r="E58" s="147" t="s">
        <v>8645</v>
      </c>
      <c r="F58" s="252" t="s">
        <v>8688</v>
      </c>
      <c r="G58" s="180" t="s">
        <v>8666</v>
      </c>
      <c r="H58" s="180" t="s">
        <v>8678</v>
      </c>
      <c r="I58" s="180"/>
      <c r="J58" s="160"/>
      <c r="K58" s="160"/>
      <c r="L58" s="160"/>
      <c r="M58" s="181"/>
      <c r="N58" s="234"/>
      <c r="O58" s="234"/>
      <c r="P58" s="82"/>
      <c r="Q58" s="203"/>
      <c r="R58" s="203"/>
    </row>
    <row r="60" spans="1:35">
      <c r="A60" s="233">
        <v>46079</v>
      </c>
      <c r="B60" s="263" t="s">
        <v>8689</v>
      </c>
      <c r="C60" s="147" t="s">
        <v>8690</v>
      </c>
      <c r="D60" s="147"/>
      <c r="E60" s="147" t="s">
        <v>402</v>
      </c>
      <c r="F60" s="180" t="s">
        <v>8691</v>
      </c>
      <c r="G60" s="180" t="s">
        <v>8666</v>
      </c>
      <c r="H60" s="180" t="s">
        <v>8678</v>
      </c>
      <c r="I60" s="180"/>
      <c r="J60" s="160"/>
      <c r="K60" s="160"/>
      <c r="L60" s="160"/>
      <c r="M60" s="181"/>
      <c r="N60" s="234"/>
      <c r="O60" s="234"/>
      <c r="P60" s="82"/>
      <c r="Q60" s="203"/>
      <c r="R60" s="203"/>
    </row>
    <row r="62" spans="1:35">
      <c r="A62" s="233">
        <v>46091</v>
      </c>
      <c r="B62" s="263" t="s">
        <v>8692</v>
      </c>
      <c r="C62" s="147" t="s">
        <v>8693</v>
      </c>
      <c r="D62" s="147"/>
      <c r="E62" s="147" t="s">
        <v>8694</v>
      </c>
      <c r="F62" s="180" t="s">
        <v>8695</v>
      </c>
      <c r="G62" s="180" t="s">
        <v>8637</v>
      </c>
      <c r="H62" s="180" t="s">
        <v>888</v>
      </c>
      <c r="I62" s="180"/>
      <c r="J62" s="170" t="s">
        <v>70</v>
      </c>
      <c r="K62" s="170" t="s">
        <v>1151</v>
      </c>
      <c r="L62" s="170"/>
      <c r="M62" s="170" t="s">
        <v>421</v>
      </c>
      <c r="N62" s="281">
        <v>505</v>
      </c>
      <c r="O62" s="281">
        <v>4320</v>
      </c>
      <c r="P62" s="170">
        <v>2.1816</v>
      </c>
      <c r="Q62" s="198">
        <v>120</v>
      </c>
      <c r="R62" s="282">
        <v>5</v>
      </c>
    </row>
    <row r="63" spans="1:35" ht="14">
      <c r="E63" s="280" t="s">
        <v>8696</v>
      </c>
    </row>
    <row r="64" spans="1:35">
      <c r="A64" s="233">
        <v>46092</v>
      </c>
      <c r="B64" s="263"/>
      <c r="C64" s="147" t="s">
        <v>8697</v>
      </c>
      <c r="D64" s="147"/>
      <c r="E64" s="147"/>
      <c r="F64" s="180" t="s">
        <v>8698</v>
      </c>
      <c r="G64" s="180" t="s">
        <v>8637</v>
      </c>
      <c r="H64" s="158" t="s">
        <v>1756</v>
      </c>
      <c r="I64" s="275" t="s">
        <v>1757</v>
      </c>
      <c r="J64" s="240" t="str">
        <f>IFERROR(LEFT(PV_DATA[[#This Row],[TCL REFERENCE]],FIND(".",PV_DATA[[#This Row],[TCL REFERENCE]],1)-1),"Main Line")</f>
        <v>DEC018</v>
      </c>
      <c r="K64" s="158" t="s">
        <v>63</v>
      </c>
      <c r="L64" s="157" t="s">
        <v>144</v>
      </c>
      <c r="M64" s="158" t="s">
        <v>1758</v>
      </c>
      <c r="N64" s="158" t="s">
        <v>689</v>
      </c>
      <c r="O64" s="158"/>
      <c r="P64" s="157"/>
      <c r="Q64" s="238" t="s">
        <v>8699</v>
      </c>
      <c r="R64" s="185">
        <v>46090</v>
      </c>
      <c r="S64" s="158" t="str" cm="1">
        <f t="array" aca="1" ref="S64" ca="1">_xlfn.IFS(LEFT(PV_DATA[[#This Row],[SPTN-PVHK New Ark PO'#]],4)="POPV","Check Availability in New Ark",PV_DATA[[#This Row],[STATUS]]="COMPLETED","Not Available",AND(LEFT(PV_DATA[[#This Row],[ALLOCATION Planning]],8)&lt;&gt;"Local WH",PV_DATA[[#This Row],[ALLOCATION Planning]]&lt;&gt;""),"Allocated",OR(PV_DATA[[#This Row],[ETD On S/O
]]&lt;&gt;"",PV_DATA[[#This Row],[Pick-Up Date]]&lt;&gt;""),"Available - Intransit",PV_DATA[[#This Row],[Factory Available Date]]&gt;TODAY(),"Available - Future Production",PV_DATA[[#This Row],[STATUS]]&lt;&gt;"PO FIRM","Available - Shipment planned",PV_DATA[[#This Row],[QUANTITY]]=0,"exclude",TRUE,"Available - China")</f>
        <v>Check Availability in New Ark</v>
      </c>
      <c r="T64" s="158" t="s">
        <v>70</v>
      </c>
      <c r="U64" s="158" t="s">
        <v>71</v>
      </c>
      <c r="V64" s="158"/>
      <c r="W64" s="158" t="s">
        <v>72</v>
      </c>
      <c r="X64" s="210">
        <v>500</v>
      </c>
      <c r="Y64" s="210">
        <v>13824</v>
      </c>
      <c r="Z64" s="158">
        <v>6.9119999999999999</v>
      </c>
      <c r="AA64" s="202">
        <v>384</v>
      </c>
      <c r="AB64" s="257">
        <v>16</v>
      </c>
      <c r="AC64" s="158" t="s">
        <v>8700</v>
      </c>
      <c r="AD64" s="279" t="s">
        <v>1760</v>
      </c>
      <c r="AE64" s="159"/>
      <c r="AF64" s="272">
        <f>IF(PV_DATA[[#This Row],[Pick-Up Date]]&lt;&gt;"",_xlfn.ISOWEEKNUM(PV_DATA[[#This Row],[Pick-Up Date]]),"")</f>
        <v>3</v>
      </c>
      <c r="AG64" s="158"/>
      <c r="AH64" s="275" t="s">
        <v>1757</v>
      </c>
      <c r="AI64" s="158" t="s">
        <v>888</v>
      </c>
    </row>
    <row r="65" spans="1:35">
      <c r="H65" s="240" t="s">
        <v>2027</v>
      </c>
      <c r="I65" s="277" t="s">
        <v>1757</v>
      </c>
      <c r="J65" s="240" t="str">
        <f>IFERROR(LEFT(PV_DATA[[#This Row],[TCL REFERENCE]],FIND(".",PV_DATA[[#This Row],[TCL REFERENCE]],1)-1),"Main Line")</f>
        <v>DEC021</v>
      </c>
      <c r="K65" s="240" t="s">
        <v>63</v>
      </c>
      <c r="L65" s="250" t="s">
        <v>144</v>
      </c>
      <c r="M65" s="240" t="s">
        <v>1758</v>
      </c>
      <c r="N65" s="240" t="s">
        <v>689</v>
      </c>
      <c r="O65" s="240"/>
      <c r="P65" s="250"/>
      <c r="Q65" s="283" t="s">
        <v>8699</v>
      </c>
      <c r="R65" s="284">
        <v>46090</v>
      </c>
      <c r="S65" s="158" t="str" cm="1">
        <f t="array" aca="1" ref="S65" ca="1">_xlfn.IFS(LEFT(PV_DATA[[#This Row],[SPTN-PVHK New Ark PO'#]],4)="POPV","Check Availability in New Ark",PV_DATA[[#This Row],[STATUS]]="COMPLETED","Not Available",AND(LEFT(PV_DATA[[#This Row],[ALLOCATION Planning]],8)&lt;&gt;"Local WH",PV_DATA[[#This Row],[ALLOCATION Planning]]&lt;&gt;""),"Allocated",OR(PV_DATA[[#This Row],[ETD On S/O
]]&lt;&gt;"",PV_DATA[[#This Row],[Pick-Up Date]]&lt;&gt;""),"Available - Intransit",PV_DATA[[#This Row],[Factory Available Date]]&gt;TODAY(),"Available - Future Production",PV_DATA[[#This Row],[STATUS]]&lt;&gt;"PO FIRM","Available - Shipment planned",PV_DATA[[#This Row],[QUANTITY]]=0,"exclude",TRUE,"Available - China")</f>
        <v>Check Availability in New Ark</v>
      </c>
      <c r="T65" s="240" t="s">
        <v>70</v>
      </c>
      <c r="U65" s="240" t="s">
        <v>71</v>
      </c>
      <c r="V65" s="240"/>
      <c r="W65" s="240" t="s">
        <v>72</v>
      </c>
      <c r="X65" s="241">
        <v>500</v>
      </c>
      <c r="Y65" s="241">
        <v>3456</v>
      </c>
      <c r="Z65" s="240">
        <v>1.728</v>
      </c>
      <c r="AA65" s="271">
        <v>96</v>
      </c>
      <c r="AB65" s="276">
        <v>4</v>
      </c>
      <c r="AC65" s="240" t="s">
        <v>8700</v>
      </c>
      <c r="AD65" s="279" t="s">
        <v>2029</v>
      </c>
      <c r="AE65" s="242"/>
      <c r="AF65" s="251">
        <f>IF(PV_DATA[[#This Row],[Pick-Up Date]]&lt;&gt;"",_xlfn.ISOWEEKNUM(PV_DATA[[#This Row],[Pick-Up Date]]),"")</f>
        <v>4</v>
      </c>
      <c r="AG65" s="240"/>
      <c r="AH65" s="277" t="s">
        <v>1757</v>
      </c>
      <c r="AI65" s="240" t="s">
        <v>888</v>
      </c>
    </row>
    <row r="66" spans="1:35">
      <c r="A66" s="233">
        <v>46092</v>
      </c>
      <c r="B66" s="263"/>
      <c r="C66" s="147" t="s">
        <v>589</v>
      </c>
      <c r="D66" s="147"/>
      <c r="E66" s="147"/>
      <c r="F66" s="180" t="s">
        <v>8701</v>
      </c>
    </row>
    <row r="69" spans="1:35" ht="14">
      <c r="A69" s="233">
        <v>46299</v>
      </c>
      <c r="B69" s="263"/>
      <c r="C69" s="147" t="s">
        <v>8702</v>
      </c>
      <c r="D69" s="280" t="s">
        <v>8703</v>
      </c>
    </row>
    <row r="70" spans="1:35" ht="14">
      <c r="C70" s="228"/>
      <c r="D70" s="280" t="s">
        <v>8704</v>
      </c>
    </row>
    <row r="71" spans="1:35" ht="14">
      <c r="C71" s="228"/>
      <c r="D71" s="280" t="s">
        <v>8705</v>
      </c>
    </row>
    <row r="72" spans="1:35" ht="14">
      <c r="C72" s="228"/>
      <c r="D72" s="280" t="s">
        <v>8706</v>
      </c>
    </row>
    <row r="73" spans="1:35" ht="14">
      <c r="C73" s="228"/>
      <c r="D73" s="280" t="s">
        <v>8707</v>
      </c>
    </row>
    <row r="74" spans="1:35" ht="14">
      <c r="C74" s="228"/>
      <c r="D74" s="280" t="s">
        <v>8708</v>
      </c>
    </row>
    <row r="75" spans="1:35" ht="14">
      <c r="C75" s="280" t="s">
        <v>8696</v>
      </c>
    </row>
    <row r="79" spans="1:35">
      <c r="A79" s="233">
        <v>46136</v>
      </c>
      <c r="B79" s="263" t="s">
        <v>8709</v>
      </c>
      <c r="C79" s="147" t="s">
        <v>8710</v>
      </c>
      <c r="D79" s="147" t="s">
        <v>8711</v>
      </c>
    </row>
    <row r="80" spans="1:35">
      <c r="C80" s="147" t="s">
        <v>8712</v>
      </c>
      <c r="D80" s="147" t="s">
        <v>8713</v>
      </c>
    </row>
    <row r="81" spans="1:6">
      <c r="B81" s="352"/>
      <c r="C81" s="228"/>
      <c r="D81" s="147" t="s">
        <v>8714</v>
      </c>
    </row>
    <row r="82" spans="1:6">
      <c r="B82" s="352"/>
      <c r="C82" s="228"/>
      <c r="D82" s="147" t="s">
        <v>8715</v>
      </c>
    </row>
    <row r="83" spans="1:6">
      <c r="B83" s="352"/>
      <c r="C83" s="228"/>
      <c r="D83" s="23"/>
    </row>
    <row r="84" spans="1:6">
      <c r="B84" s="352"/>
    </row>
    <row r="85" spans="1:6">
      <c r="B85" s="352"/>
    </row>
    <row r="86" spans="1:6">
      <c r="B86" s="352"/>
    </row>
    <row r="87" spans="1:6">
      <c r="B87" s="352"/>
    </row>
    <row r="88" spans="1:6">
      <c r="A88" s="233">
        <v>46147</v>
      </c>
      <c r="B88" s="364" t="s">
        <v>8716</v>
      </c>
      <c r="C88" s="147" t="s">
        <v>8717</v>
      </c>
      <c r="D88" s="355">
        <v>1</v>
      </c>
      <c r="E88" s="356" t="s">
        <v>8718</v>
      </c>
      <c r="F88" s="179"/>
    </row>
    <row r="89" spans="1:6">
      <c r="B89" s="352"/>
      <c r="D89" s="355">
        <v>2</v>
      </c>
      <c r="E89" s="356" t="s">
        <v>8719</v>
      </c>
      <c r="F89" s="179"/>
    </row>
    <row r="90" spans="1:6">
      <c r="B90" s="352"/>
      <c r="D90" s="355">
        <v>3</v>
      </c>
      <c r="E90" s="356" t="s">
        <v>8720</v>
      </c>
      <c r="F90" s="179"/>
    </row>
    <row r="91" spans="1:6">
      <c r="B91" s="352"/>
      <c r="D91" s="355">
        <v>4</v>
      </c>
      <c r="E91" s="356" t="s">
        <v>8721</v>
      </c>
      <c r="F91" s="179"/>
    </row>
    <row r="92" spans="1:6">
      <c r="B92" s="352"/>
      <c r="D92" s="355">
        <v>5</v>
      </c>
      <c r="E92" s="356" t="s">
        <v>8722</v>
      </c>
      <c r="F92" s="179"/>
    </row>
    <row r="93" spans="1:6">
      <c r="B93" s="352"/>
      <c r="D93" s="355">
        <v>6</v>
      </c>
      <c r="E93" s="356" t="s">
        <v>8723</v>
      </c>
      <c r="F93" s="179"/>
    </row>
    <row r="94" spans="1:6">
      <c r="B94" s="352"/>
    </row>
    <row r="95" spans="1:6">
      <c r="B95" s="352"/>
      <c r="D95" s="355">
        <v>7</v>
      </c>
      <c r="E95" s="356" t="s">
        <v>8724</v>
      </c>
      <c r="F95" s="179"/>
    </row>
    <row r="96" spans="1:6" ht="14">
      <c r="B96" s="352"/>
      <c r="E96" s="280" t="s">
        <v>8696</v>
      </c>
    </row>
    <row r="97" spans="1:4">
      <c r="B97" s="352"/>
    </row>
    <row r="98" spans="1:4">
      <c r="B98" s="352"/>
    </row>
    <row r="99" spans="1:4">
      <c r="A99" s="233">
        <v>46153</v>
      </c>
      <c r="B99" s="113" t="s">
        <v>8725</v>
      </c>
      <c r="C99" s="147" t="s">
        <v>8726</v>
      </c>
      <c r="D99" s="147" t="s">
        <v>8727</v>
      </c>
    </row>
    <row r="100" spans="1:4">
      <c r="B100" s="352"/>
      <c r="D100" s="147" t="s">
        <v>4779</v>
      </c>
    </row>
    <row r="101" spans="1:4">
      <c r="B101" s="352"/>
      <c r="D101" s="147" t="s">
        <v>8728</v>
      </c>
    </row>
    <row r="102" spans="1:4">
      <c r="B102" s="352"/>
    </row>
    <row r="103" spans="1:4">
      <c r="B103" s="352"/>
    </row>
    <row r="104" spans="1:4">
      <c r="B104" s="352"/>
    </row>
    <row r="105" spans="1:4">
      <c r="B105" s="352"/>
    </row>
    <row r="106" spans="1:4">
      <c r="A106" s="233">
        <v>46153</v>
      </c>
      <c r="B106" s="113" t="s">
        <v>8729</v>
      </c>
      <c r="C106" s="147" t="s">
        <v>538</v>
      </c>
      <c r="D106" s="147" t="s">
        <v>8730</v>
      </c>
    </row>
    <row r="107" spans="1:4">
      <c r="B107" s="352"/>
      <c r="D107" s="147" t="s">
        <v>8731</v>
      </c>
    </row>
    <row r="108" spans="1:4" ht="14">
      <c r="B108" s="352"/>
      <c r="D108" s="280"/>
    </row>
    <row r="109" spans="1:4">
      <c r="A109" s="233">
        <v>46153</v>
      </c>
      <c r="B109" s="113" t="s">
        <v>8732</v>
      </c>
      <c r="C109" s="147" t="s">
        <v>8733</v>
      </c>
      <c r="D109" s="147" t="s">
        <v>8696</v>
      </c>
    </row>
    <row r="110" spans="1:4">
      <c r="B110" s="352"/>
      <c r="D110" s="147" t="s">
        <v>8734</v>
      </c>
    </row>
    <row r="111" spans="1:4">
      <c r="B111" s="352"/>
      <c r="D111" s="147" t="s">
        <v>8735</v>
      </c>
    </row>
    <row r="112" spans="1:4">
      <c r="D112" s="147" t="s">
        <v>8736</v>
      </c>
    </row>
    <row r="113" spans="1:13" ht="14">
      <c r="D113" s="280"/>
    </row>
    <row r="114" spans="1:13" ht="14">
      <c r="D114" s="280"/>
    </row>
    <row r="115" spans="1:13" ht="14">
      <c r="D115" s="280"/>
    </row>
    <row r="116" spans="1:13">
      <c r="A116" s="233">
        <v>46164</v>
      </c>
      <c r="B116" s="113"/>
      <c r="C116" s="147" t="s">
        <v>8737</v>
      </c>
      <c r="D116" s="389" t="s">
        <v>8738</v>
      </c>
      <c r="E116" s="390" t="s">
        <v>8739</v>
      </c>
      <c r="F116" s="390" t="s">
        <v>8740</v>
      </c>
      <c r="G116" s="390" t="s">
        <v>8741</v>
      </c>
      <c r="H116" s="390" t="s">
        <v>2457</v>
      </c>
      <c r="I116" s="390" t="s">
        <v>19</v>
      </c>
      <c r="J116" s="390" t="s">
        <v>20</v>
      </c>
      <c r="K116" s="390" t="s">
        <v>8742</v>
      </c>
      <c r="L116" s="390" t="s">
        <v>8743</v>
      </c>
      <c r="M116" s="390" t="s">
        <v>8744</v>
      </c>
    </row>
    <row r="117" spans="1:13">
      <c r="C117" s="400" t="s">
        <v>8745</v>
      </c>
      <c r="D117" s="391" t="s">
        <v>2671</v>
      </c>
      <c r="E117" s="392" t="s">
        <v>8746</v>
      </c>
      <c r="F117" s="393" t="s">
        <v>5367</v>
      </c>
      <c r="G117" s="392" t="s">
        <v>706</v>
      </c>
      <c r="H117" s="392" t="s">
        <v>8747</v>
      </c>
      <c r="I117" s="392">
        <v>500</v>
      </c>
      <c r="J117" s="392">
        <v>864</v>
      </c>
      <c r="K117" s="392">
        <v>1</v>
      </c>
      <c r="L117" s="394">
        <v>46237</v>
      </c>
      <c r="M117" s="392" t="s">
        <v>146</v>
      </c>
    </row>
    <row r="118" spans="1:13">
      <c r="D118" s="391" t="s">
        <v>2671</v>
      </c>
      <c r="E118" s="392" t="s">
        <v>8748</v>
      </c>
      <c r="F118" s="392" t="s">
        <v>5377</v>
      </c>
      <c r="G118" s="392" t="s">
        <v>706</v>
      </c>
      <c r="H118" s="392" t="s">
        <v>8747</v>
      </c>
      <c r="I118" s="392">
        <v>500</v>
      </c>
      <c r="J118" s="392">
        <v>864</v>
      </c>
      <c r="K118" s="392">
        <v>1</v>
      </c>
      <c r="L118" s="394">
        <v>46239</v>
      </c>
      <c r="M118" s="392" t="s">
        <v>146</v>
      </c>
    </row>
    <row r="119" spans="1:13">
      <c r="D119" s="391" t="s">
        <v>2671</v>
      </c>
      <c r="E119" s="392" t="s">
        <v>8749</v>
      </c>
      <c r="F119" s="392" t="s">
        <v>5477</v>
      </c>
      <c r="G119" s="392" t="s">
        <v>706</v>
      </c>
      <c r="H119" s="392" t="s">
        <v>8747</v>
      </c>
      <c r="I119" s="392">
        <v>500</v>
      </c>
      <c r="J119" s="392">
        <v>864</v>
      </c>
      <c r="K119" s="392">
        <v>1</v>
      </c>
      <c r="L119" s="394">
        <v>46241</v>
      </c>
      <c r="M119" s="392" t="s">
        <v>146</v>
      </c>
    </row>
    <row r="120" spans="1:13">
      <c r="D120" s="391" t="s">
        <v>2671</v>
      </c>
      <c r="E120" s="392" t="s">
        <v>8750</v>
      </c>
      <c r="F120" s="392" t="s">
        <v>5483</v>
      </c>
      <c r="G120" s="392" t="s">
        <v>706</v>
      </c>
      <c r="H120" s="392" t="s">
        <v>8747</v>
      </c>
      <c r="I120" s="392">
        <v>500</v>
      </c>
      <c r="J120" s="392">
        <v>864</v>
      </c>
      <c r="K120" s="392">
        <v>1</v>
      </c>
      <c r="L120" s="394">
        <v>46258</v>
      </c>
      <c r="M120" s="392" t="s">
        <v>146</v>
      </c>
    </row>
    <row r="121" spans="1:13">
      <c r="D121" s="391" t="s">
        <v>2671</v>
      </c>
      <c r="E121" s="392" t="s">
        <v>8751</v>
      </c>
      <c r="F121" s="392" t="s">
        <v>5486</v>
      </c>
      <c r="G121" s="392" t="s">
        <v>706</v>
      </c>
      <c r="H121" s="392" t="s">
        <v>8747</v>
      </c>
      <c r="I121" s="392">
        <v>500</v>
      </c>
      <c r="J121" s="392">
        <v>864</v>
      </c>
      <c r="K121" s="392">
        <v>1</v>
      </c>
      <c r="L121" s="394">
        <v>46258</v>
      </c>
      <c r="M121" s="392" t="s">
        <v>146</v>
      </c>
    </row>
    <row r="122" spans="1:13">
      <c r="D122" s="391" t="s">
        <v>2671</v>
      </c>
      <c r="E122" s="392" t="s">
        <v>8752</v>
      </c>
      <c r="F122" s="392" t="s">
        <v>5372</v>
      </c>
      <c r="G122" s="392" t="s">
        <v>706</v>
      </c>
      <c r="H122" s="392" t="s">
        <v>8747</v>
      </c>
      <c r="I122" s="392">
        <v>500</v>
      </c>
      <c r="J122" s="392">
        <v>864</v>
      </c>
      <c r="K122" s="392">
        <v>1</v>
      </c>
      <c r="L122" s="394">
        <v>46260</v>
      </c>
      <c r="M122" s="392" t="s">
        <v>146</v>
      </c>
    </row>
    <row r="123" spans="1:13">
      <c r="D123" s="391" t="s">
        <v>2671</v>
      </c>
      <c r="E123" s="392" t="s">
        <v>8753</v>
      </c>
      <c r="F123" s="392" t="s">
        <v>5489</v>
      </c>
      <c r="G123" s="392" t="s">
        <v>706</v>
      </c>
      <c r="H123" s="392" t="s">
        <v>8747</v>
      </c>
      <c r="I123" s="392">
        <v>500</v>
      </c>
      <c r="J123" s="392">
        <v>864</v>
      </c>
      <c r="K123" s="392">
        <v>1</v>
      </c>
      <c r="L123" s="394">
        <v>46262</v>
      </c>
      <c r="M123" s="392" t="s">
        <v>146</v>
      </c>
    </row>
    <row r="124" spans="1:13">
      <c r="D124" s="391" t="s">
        <v>2671</v>
      </c>
      <c r="E124" s="392" t="s">
        <v>8754</v>
      </c>
      <c r="F124" s="392" t="s">
        <v>5329</v>
      </c>
      <c r="G124" s="392" t="s">
        <v>706</v>
      </c>
      <c r="H124" s="392" t="s">
        <v>8747</v>
      </c>
      <c r="I124" s="392">
        <v>500</v>
      </c>
      <c r="J124" s="392">
        <v>864</v>
      </c>
      <c r="K124" s="392">
        <v>1</v>
      </c>
      <c r="L124" s="394">
        <v>46237</v>
      </c>
      <c r="M124" s="392" t="s">
        <v>146</v>
      </c>
    </row>
    <row r="129" spans="1:4">
      <c r="A129" s="233">
        <v>46168</v>
      </c>
      <c r="B129" s="113" t="s">
        <v>8755</v>
      </c>
      <c r="C129" s="147" t="s">
        <v>8756</v>
      </c>
      <c r="D129" s="147" t="s">
        <v>8757</v>
      </c>
    </row>
    <row r="133" spans="1:4">
      <c r="A133" s="233">
        <v>46170</v>
      </c>
      <c r="B133" s="113"/>
      <c r="C133" s="147" t="s">
        <v>8758</v>
      </c>
      <c r="D133" s="147" t="s">
        <v>8759</v>
      </c>
    </row>
    <row r="136" spans="1:4">
      <c r="A136" s="233">
        <v>46175</v>
      </c>
      <c r="B136" s="113" t="s">
        <v>8760</v>
      </c>
      <c r="C136" s="147" t="s">
        <v>8702</v>
      </c>
      <c r="D136" s="147" t="s">
        <v>8761</v>
      </c>
    </row>
    <row r="139" spans="1:4">
      <c r="A139" s="233">
        <v>46175</v>
      </c>
      <c r="B139" s="113"/>
      <c r="C139" s="147" t="s">
        <v>8762</v>
      </c>
      <c r="D139" s="147" t="s">
        <v>8763</v>
      </c>
    </row>
    <row r="140" spans="1:4">
      <c r="C140" s="228"/>
      <c r="D140" s="147" t="s">
        <v>8764</v>
      </c>
    </row>
    <row r="143" spans="1:4">
      <c r="A143" s="233">
        <v>46177</v>
      </c>
      <c r="B143" s="113"/>
      <c r="C143" s="147" t="s">
        <v>8765</v>
      </c>
      <c r="D143" s="147" t="s">
        <v>8766</v>
      </c>
    </row>
    <row r="146" spans="1:4">
      <c r="A146" s="233">
        <v>46177</v>
      </c>
      <c r="B146" s="113"/>
      <c r="C146" s="147"/>
      <c r="D146" s="147" t="s">
        <v>8767</v>
      </c>
    </row>
  </sheetData>
  <protectedRanges>
    <protectedRange sqref="K20:N20" name="PV_Data"/>
    <protectedRange sqref="O20:R20" name="PV_Data_2"/>
    <protectedRange sqref="J33:R33 O34" name="PV_Data_1"/>
    <protectedRange sqref="J34:N34 P34:R34" name="PV_Data_4"/>
    <protectedRange sqref="J36:K36" name="PV_Data_3"/>
    <protectedRange sqref="M36:S36" name="PV_Data_6"/>
    <protectedRange sqref="J56:R56 J58:R58 J60:R60 L62" name="PV_Data_5"/>
    <protectedRange sqref="J62:K62" name="PV_Data_9"/>
    <protectedRange sqref="M62:R62" name="PV_Data_10"/>
    <protectedRange sqref="H64:L65" name="PV_Data_7"/>
    <protectedRange sqref="M64:AD65" name="PV_Data_12"/>
    <protectedRange sqref="AE64:AG65" name="PV_Data_13"/>
    <protectedRange sqref="AH64:AI65" name="PV_Data_14"/>
    <protectedRange sqref="D99:D100" name="PV_Data_8"/>
    <protectedRange sqref="D101" name="PV_Data_11"/>
  </protectedRanges>
  <phoneticPr fontId="64" type="noConversion"/>
  <conditionalFormatting sqref="H64:H65">
    <cfRule type="duplicateValues" dxfId="55" priority="4"/>
  </conditionalFormatting>
  <conditionalFormatting sqref="Q64:Q65">
    <cfRule type="cellIs" dxfId="54" priority="2" operator="equal">
      <formula>"Yes"</formula>
    </cfRule>
    <cfRule type="cellIs" dxfId="53" priority="3" operator="equal">
      <formula>"No"</formula>
    </cfRule>
  </conditionalFormatting>
  <dataValidations count="2">
    <dataValidation allowBlank="1" showInputMessage="1" showErrorMessage="1" sqref="J1:R4 I1:I2 A1:H1 N11:R12 L11:L12 G8:G12 J8:N8 J9:R10 C20:D20 F20:G20 G26:G28 F2:G2 C2:D2 G33:G34 G36 G39 J56:R56 J36:K36 M36:S36 J58:R58 J60:R60 J62:R62 H64:K65 M64:AI65 D99:D100" xr:uid="{39987855-514D-4F3B-8E47-B37ACD458F82}"/>
    <dataValidation type="list" allowBlank="1" showInputMessage="1" showErrorMessage="1" sqref="L64:L65" xr:uid="{2D31015B-B2D6-4F5A-A587-93F1DC51D558}">
      <formula1>"Internal,Offshore,n/a"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0AF3-8D4F-47FF-9E51-926DE527CFA8}">
  <sheetPr>
    <tabColor theme="7" tint="0.79998168889431442"/>
  </sheetPr>
  <dimension ref="A1:J1656"/>
  <sheetViews>
    <sheetView zoomScale="85" zoomScaleNormal="85" workbookViewId="0">
      <selection activeCell="J1" sqref="J1"/>
    </sheetView>
  </sheetViews>
  <sheetFormatPr defaultColWidth="9" defaultRowHeight="13"/>
  <cols>
    <col min="1" max="1" width="26.8984375" bestFit="1" customWidth="1"/>
    <col min="2" max="2" width="25.8984375" customWidth="1"/>
    <col min="3" max="3" width="18.09765625" bestFit="1" customWidth="1"/>
    <col min="4" max="4" width="30.09765625" customWidth="1"/>
    <col min="5" max="5" width="26.8984375" customWidth="1"/>
    <col min="6" max="6" width="11.3984375" bestFit="1" customWidth="1"/>
    <col min="7" max="7" width="25.09765625" customWidth="1"/>
    <col min="8" max="8" width="16" bestFit="1" customWidth="1"/>
    <col min="9" max="9" width="14.3984375" bestFit="1" customWidth="1"/>
    <col min="10" max="10" width="98" bestFit="1" customWidth="1"/>
  </cols>
  <sheetData>
    <row r="1" spans="1:10" ht="17.5">
      <c r="A1" s="220" t="s">
        <v>8768</v>
      </c>
      <c r="B1" s="221">
        <v>46261</v>
      </c>
    </row>
    <row r="3" spans="1:10" ht="35">
      <c r="B3" s="48" t="s">
        <v>8769</v>
      </c>
      <c r="C3" s="1494" t="s">
        <v>8770</v>
      </c>
      <c r="D3" s="48" t="s">
        <v>8771</v>
      </c>
      <c r="E3" s="1494" t="s">
        <v>8772</v>
      </c>
      <c r="F3" s="1494" t="s">
        <v>8773</v>
      </c>
      <c r="G3" s="1494" t="s">
        <v>8774</v>
      </c>
      <c r="H3" s="48" t="s">
        <v>8775</v>
      </c>
      <c r="I3" s="285" t="s">
        <v>8776</v>
      </c>
      <c r="J3" s="1076" t="s">
        <v>8777</v>
      </c>
    </row>
    <row r="4" spans="1:10" ht="14.5">
      <c r="B4" s="47" t="s">
        <v>8778</v>
      </c>
      <c r="C4" s="47" t="s">
        <v>8779</v>
      </c>
      <c r="D4" s="47" t="s">
        <v>8780</v>
      </c>
      <c r="E4" s="47"/>
      <c r="F4" s="47" t="s">
        <v>8781</v>
      </c>
      <c r="G4" s="195">
        <v>46305</v>
      </c>
      <c r="H4" s="47" t="s">
        <v>8782</v>
      </c>
      <c r="I4" s="47" t="s">
        <v>8783</v>
      </c>
      <c r="J4" s="47" t="s">
        <v>5912</v>
      </c>
    </row>
    <row r="5" spans="1:10" ht="14.5">
      <c r="B5" s="47" t="s">
        <v>8784</v>
      </c>
      <c r="C5" s="47" t="s">
        <v>8779</v>
      </c>
      <c r="D5" s="47" t="s">
        <v>8780</v>
      </c>
      <c r="E5" s="47"/>
      <c r="F5" s="47" t="s">
        <v>8781</v>
      </c>
      <c r="G5" s="195">
        <v>46276</v>
      </c>
      <c r="H5" s="47" t="s">
        <v>8782</v>
      </c>
      <c r="I5" s="47" t="s">
        <v>8783</v>
      </c>
      <c r="J5" s="47" t="s">
        <v>5910</v>
      </c>
    </row>
    <row r="6" spans="1:10" ht="14.5">
      <c r="B6" s="47" t="s">
        <v>5902</v>
      </c>
      <c r="C6" s="47" t="s">
        <v>8779</v>
      </c>
      <c r="D6" s="47" t="s">
        <v>8785</v>
      </c>
      <c r="E6" s="47"/>
      <c r="F6" s="47" t="s">
        <v>8781</v>
      </c>
      <c r="G6" s="195">
        <v>46276</v>
      </c>
      <c r="H6" s="47" t="s">
        <v>8782</v>
      </c>
      <c r="I6" s="47" t="s">
        <v>8783</v>
      </c>
      <c r="J6" s="47" t="s">
        <v>5899</v>
      </c>
    </row>
    <row r="7" spans="1:10" ht="14.5">
      <c r="B7" s="47" t="s">
        <v>6546</v>
      </c>
      <c r="C7" s="47" t="s">
        <v>64</v>
      </c>
      <c r="D7" s="47" t="s">
        <v>8786</v>
      </c>
      <c r="E7" s="47" t="s">
        <v>6544</v>
      </c>
      <c r="F7" s="47" t="s">
        <v>8781</v>
      </c>
      <c r="G7" s="195">
        <v>46329</v>
      </c>
      <c r="H7" s="47" t="s">
        <v>8787</v>
      </c>
      <c r="I7" s="47" t="s">
        <v>8783</v>
      </c>
      <c r="J7" s="47" t="s">
        <v>6544</v>
      </c>
    </row>
    <row r="8" spans="1:10" ht="14.5">
      <c r="B8" s="47" t="s">
        <v>6606</v>
      </c>
      <c r="C8" s="47" t="s">
        <v>64</v>
      </c>
      <c r="D8" s="47" t="s">
        <v>8788</v>
      </c>
      <c r="E8" s="47" t="s">
        <v>6605</v>
      </c>
      <c r="F8" s="47" t="s">
        <v>8781</v>
      </c>
      <c r="G8" s="195">
        <v>46342</v>
      </c>
      <c r="H8" s="47" t="s">
        <v>8787</v>
      </c>
      <c r="I8" s="47" t="s">
        <v>8783</v>
      </c>
      <c r="J8" s="47" t="s">
        <v>6605</v>
      </c>
    </row>
    <row r="9" spans="1:10" ht="14.5">
      <c r="B9" s="47" t="s">
        <v>6571</v>
      </c>
      <c r="C9" s="47" t="s">
        <v>64</v>
      </c>
      <c r="D9" s="47" t="s">
        <v>8789</v>
      </c>
      <c r="E9" s="47" t="s">
        <v>6570</v>
      </c>
      <c r="F9" s="47" t="s">
        <v>8781</v>
      </c>
      <c r="G9" s="195">
        <v>46314</v>
      </c>
      <c r="H9" s="47" t="s">
        <v>8787</v>
      </c>
      <c r="I9" s="47" t="s">
        <v>8783</v>
      </c>
      <c r="J9" s="47" t="s">
        <v>6570</v>
      </c>
    </row>
    <row r="10" spans="1:10" ht="14.5">
      <c r="B10" s="47" t="s">
        <v>6340</v>
      </c>
      <c r="C10" s="47" t="s">
        <v>64</v>
      </c>
      <c r="D10" s="47" t="s">
        <v>8790</v>
      </c>
      <c r="E10" s="47" t="s">
        <v>6338</v>
      </c>
      <c r="F10" s="47" t="s">
        <v>8781</v>
      </c>
      <c r="G10" s="195">
        <v>46314</v>
      </c>
      <c r="H10" s="47" t="s">
        <v>8787</v>
      </c>
      <c r="I10" s="47" t="s">
        <v>8783</v>
      </c>
      <c r="J10" s="47" t="s">
        <v>6338</v>
      </c>
    </row>
    <row r="11" spans="1:10" ht="14.5">
      <c r="B11" s="47" t="s">
        <v>6334</v>
      </c>
      <c r="C11" s="47" t="s">
        <v>8779</v>
      </c>
      <c r="D11" s="47" t="s">
        <v>8791</v>
      </c>
      <c r="E11" s="47" t="s">
        <v>6330</v>
      </c>
      <c r="F11" s="47" t="s">
        <v>8781</v>
      </c>
      <c r="G11" s="195">
        <v>46307</v>
      </c>
      <c r="H11" s="47" t="s">
        <v>8782</v>
      </c>
      <c r="I11" s="47" t="s">
        <v>8783</v>
      </c>
      <c r="J11" s="47" t="s">
        <v>6330</v>
      </c>
    </row>
    <row r="12" spans="1:10" ht="14.5">
      <c r="B12" s="47" t="s">
        <v>6601</v>
      </c>
      <c r="C12" s="47" t="s">
        <v>64</v>
      </c>
      <c r="D12" s="47" t="s">
        <v>8792</v>
      </c>
      <c r="E12" s="47" t="s">
        <v>6600</v>
      </c>
      <c r="F12" s="47" t="s">
        <v>8781</v>
      </c>
      <c r="G12" s="195">
        <v>46342</v>
      </c>
      <c r="H12" s="47" t="s">
        <v>8787</v>
      </c>
      <c r="I12" s="47" t="s">
        <v>8783</v>
      </c>
      <c r="J12" s="47" t="s">
        <v>6600</v>
      </c>
    </row>
    <row r="13" spans="1:10" ht="14.5">
      <c r="B13" s="47" t="s">
        <v>6593</v>
      </c>
      <c r="C13" s="47" t="s">
        <v>64</v>
      </c>
      <c r="D13" s="47" t="s">
        <v>8793</v>
      </c>
      <c r="E13" s="47" t="s">
        <v>6591</v>
      </c>
      <c r="F13" s="47" t="s">
        <v>8781</v>
      </c>
      <c r="G13" s="195">
        <v>46343</v>
      </c>
      <c r="H13" s="47" t="s">
        <v>8787</v>
      </c>
      <c r="I13" s="47" t="s">
        <v>8783</v>
      </c>
      <c r="J13" s="47" t="s">
        <v>6591</v>
      </c>
    </row>
    <row r="14" spans="1:10" ht="14.5">
      <c r="B14" s="47" t="s">
        <v>6597</v>
      </c>
      <c r="C14" s="47" t="s">
        <v>64</v>
      </c>
      <c r="D14" s="47" t="s">
        <v>8794</v>
      </c>
      <c r="E14" s="47" t="s">
        <v>6596</v>
      </c>
      <c r="F14" s="47" t="s">
        <v>8781</v>
      </c>
      <c r="G14" s="195">
        <v>46346</v>
      </c>
      <c r="H14" s="47" t="s">
        <v>8787</v>
      </c>
      <c r="I14" s="47" t="s">
        <v>8783</v>
      </c>
      <c r="J14" s="47" t="s">
        <v>6596</v>
      </c>
    </row>
    <row r="15" spans="1:10" ht="14.5">
      <c r="B15" s="47" t="s">
        <v>6541</v>
      </c>
      <c r="C15" s="47" t="s">
        <v>64</v>
      </c>
      <c r="D15" s="47" t="s">
        <v>8795</v>
      </c>
      <c r="E15" s="47" t="s">
        <v>6540</v>
      </c>
      <c r="F15" s="47" t="s">
        <v>8781</v>
      </c>
      <c r="G15" s="195">
        <v>46329</v>
      </c>
      <c r="H15" s="47" t="s">
        <v>8787</v>
      </c>
      <c r="I15" s="47" t="s">
        <v>8783</v>
      </c>
      <c r="J15" s="47" t="s">
        <v>6540</v>
      </c>
    </row>
    <row r="16" spans="1:10" ht="14.5">
      <c r="B16" s="47" t="s">
        <v>6518</v>
      </c>
      <c r="C16" s="47" t="s">
        <v>8779</v>
      </c>
      <c r="D16" s="47" t="s">
        <v>8796</v>
      </c>
      <c r="E16" s="47" t="s">
        <v>6515</v>
      </c>
      <c r="F16" s="47" t="s">
        <v>8781</v>
      </c>
      <c r="G16" s="195">
        <v>46314</v>
      </c>
      <c r="H16" s="47" t="s">
        <v>8782</v>
      </c>
      <c r="I16" s="47" t="s">
        <v>8783</v>
      </c>
      <c r="J16" s="47" t="s">
        <v>6515</v>
      </c>
    </row>
    <row r="17" spans="2:10" ht="14.5">
      <c r="B17" s="47" t="s">
        <v>8797</v>
      </c>
      <c r="C17" s="47" t="s">
        <v>8779</v>
      </c>
      <c r="D17" s="47" t="s">
        <v>8798</v>
      </c>
      <c r="E17" s="47" t="s">
        <v>6347</v>
      </c>
      <c r="F17" s="47" t="s">
        <v>8781</v>
      </c>
      <c r="G17" s="195">
        <v>46311</v>
      </c>
      <c r="H17" s="47" t="s">
        <v>8782</v>
      </c>
      <c r="I17" s="47" t="s">
        <v>8783</v>
      </c>
      <c r="J17" s="47" t="s">
        <v>6347</v>
      </c>
    </row>
    <row r="18" spans="2:10" ht="14.5">
      <c r="B18" s="47" t="s">
        <v>6586</v>
      </c>
      <c r="C18" s="47" t="s">
        <v>64</v>
      </c>
      <c r="D18" s="47" t="s">
        <v>8799</v>
      </c>
      <c r="E18" s="47" t="s">
        <v>6585</v>
      </c>
      <c r="F18" s="47" t="s">
        <v>8781</v>
      </c>
      <c r="G18" s="195">
        <v>46321</v>
      </c>
      <c r="H18" s="47" t="s">
        <v>8787</v>
      </c>
      <c r="I18" s="47" t="s">
        <v>8783</v>
      </c>
      <c r="J18" s="47" t="s">
        <v>6585</v>
      </c>
    </row>
    <row r="19" spans="2:10" ht="14.5">
      <c r="B19" s="1002" t="s">
        <v>6576</v>
      </c>
      <c r="C19" s="1002" t="s">
        <v>64</v>
      </c>
      <c r="D19" s="1002" t="s">
        <v>8800</v>
      </c>
      <c r="E19" s="1002" t="s">
        <v>6575</v>
      </c>
      <c r="F19" s="1002" t="s">
        <v>8781</v>
      </c>
      <c r="G19" s="1003">
        <v>46317</v>
      </c>
      <c r="H19" s="1002" t="s">
        <v>8787</v>
      </c>
      <c r="I19" s="1002" t="s">
        <v>8783</v>
      </c>
      <c r="J19" s="1002" t="s">
        <v>6575</v>
      </c>
    </row>
    <row r="20" spans="2:10" ht="14.5">
      <c r="B20" s="47" t="s">
        <v>6581</v>
      </c>
      <c r="C20" s="47" t="s">
        <v>64</v>
      </c>
      <c r="D20" s="47" t="s">
        <v>8801</v>
      </c>
      <c r="E20" s="47" t="s">
        <v>6580</v>
      </c>
      <c r="F20" s="47" t="s">
        <v>8781</v>
      </c>
      <c r="G20" s="195">
        <v>46321</v>
      </c>
      <c r="H20" s="47" t="s">
        <v>8787</v>
      </c>
      <c r="I20" s="47" t="s">
        <v>8783</v>
      </c>
      <c r="J20" s="47" t="s">
        <v>6580</v>
      </c>
    </row>
    <row r="21" spans="2:10" ht="14.5">
      <c r="B21" s="47" t="s">
        <v>6548</v>
      </c>
      <c r="C21" s="47" t="s">
        <v>64</v>
      </c>
      <c r="D21" s="47" t="s">
        <v>8802</v>
      </c>
      <c r="E21" s="47" t="s">
        <v>6547</v>
      </c>
      <c r="F21" s="47" t="s">
        <v>8781</v>
      </c>
      <c r="G21" s="195">
        <v>46311</v>
      </c>
      <c r="H21" s="47" t="s">
        <v>8787</v>
      </c>
      <c r="I21" s="47" t="s">
        <v>8783</v>
      </c>
      <c r="J21" s="47" t="s">
        <v>6547</v>
      </c>
    </row>
    <row r="22" spans="2:10" ht="14.5">
      <c r="B22" s="47" t="s">
        <v>6528</v>
      </c>
      <c r="C22" s="47" t="s">
        <v>64</v>
      </c>
      <c r="D22" s="47" t="s">
        <v>8803</v>
      </c>
      <c r="E22" s="47" t="s">
        <v>6527</v>
      </c>
      <c r="F22" s="47" t="s">
        <v>8781</v>
      </c>
      <c r="G22" s="195">
        <v>46317</v>
      </c>
      <c r="H22" s="47" t="s">
        <v>8787</v>
      </c>
      <c r="I22" s="47" t="s">
        <v>8783</v>
      </c>
      <c r="J22" s="47" t="s">
        <v>6527</v>
      </c>
    </row>
    <row r="23" spans="2:10" ht="14.5">
      <c r="B23" s="47" t="s">
        <v>6453</v>
      </c>
      <c r="C23" s="47" t="s">
        <v>64</v>
      </c>
      <c r="D23" s="47" t="s">
        <v>8804</v>
      </c>
      <c r="E23" s="47" t="s">
        <v>6452</v>
      </c>
      <c r="F23" s="47" t="s">
        <v>8781</v>
      </c>
      <c r="G23" s="195">
        <v>46314</v>
      </c>
      <c r="H23" s="47" t="s">
        <v>8787</v>
      </c>
      <c r="I23" s="47" t="s">
        <v>8783</v>
      </c>
      <c r="J23" s="47" t="s">
        <v>6452</v>
      </c>
    </row>
    <row r="24" spans="2:10" ht="14.5">
      <c r="B24" s="47" t="s">
        <v>6382</v>
      </c>
      <c r="C24" s="47" t="s">
        <v>8779</v>
      </c>
      <c r="D24" s="47" t="s">
        <v>8805</v>
      </c>
      <c r="E24" s="47" t="s">
        <v>6381</v>
      </c>
      <c r="F24" s="47" t="s">
        <v>8781</v>
      </c>
      <c r="G24" s="195">
        <v>46304</v>
      </c>
      <c r="H24" s="47" t="s">
        <v>8782</v>
      </c>
      <c r="I24" s="47" t="s">
        <v>8783</v>
      </c>
      <c r="J24" s="47" t="s">
        <v>6381</v>
      </c>
    </row>
    <row r="25" spans="2:10" ht="14.5">
      <c r="B25" s="47" t="s">
        <v>6565</v>
      </c>
      <c r="C25" s="47" t="s">
        <v>8779</v>
      </c>
      <c r="D25" s="47" t="s">
        <v>8806</v>
      </c>
      <c r="E25" s="47" t="s">
        <v>6564</v>
      </c>
      <c r="F25" s="47" t="s">
        <v>8781</v>
      </c>
      <c r="G25" s="195">
        <v>46309</v>
      </c>
      <c r="H25" s="47" t="s">
        <v>8782</v>
      </c>
      <c r="I25" s="47" t="s">
        <v>8783</v>
      </c>
      <c r="J25" s="47" t="s">
        <v>6564</v>
      </c>
    </row>
    <row r="26" spans="2:10" ht="14.5">
      <c r="B26" s="47" t="s">
        <v>6457</v>
      </c>
      <c r="C26" s="47" t="s">
        <v>64</v>
      </c>
      <c r="D26" s="47" t="s">
        <v>8807</v>
      </c>
      <c r="E26" s="47" t="s">
        <v>6456</v>
      </c>
      <c r="F26" s="47" t="s">
        <v>8781</v>
      </c>
      <c r="G26" s="195">
        <v>46311</v>
      </c>
      <c r="H26" s="47" t="s">
        <v>8787</v>
      </c>
      <c r="I26" s="47" t="s">
        <v>8783</v>
      </c>
      <c r="J26" s="47" t="s">
        <v>6456</v>
      </c>
    </row>
    <row r="27" spans="2:10" ht="14.25" customHeight="1">
      <c r="B27" s="47" t="s">
        <v>6524</v>
      </c>
      <c r="C27" s="47" t="s">
        <v>64</v>
      </c>
      <c r="D27" s="47" t="s">
        <v>8808</v>
      </c>
      <c r="E27" s="47" t="s">
        <v>6523</v>
      </c>
      <c r="F27" s="47" t="s">
        <v>8781</v>
      </c>
      <c r="G27" s="195">
        <v>46329</v>
      </c>
      <c r="H27" s="47" t="s">
        <v>8787</v>
      </c>
      <c r="I27" s="47" t="s">
        <v>8783</v>
      </c>
      <c r="J27" s="47" t="s">
        <v>6523</v>
      </c>
    </row>
    <row r="28" spans="2:10" ht="14.5">
      <c r="B28" s="47" t="s">
        <v>6065</v>
      </c>
      <c r="C28" s="47" t="s">
        <v>8779</v>
      </c>
      <c r="D28" s="47" t="s">
        <v>8809</v>
      </c>
      <c r="E28" s="47"/>
      <c r="F28" s="47" t="s">
        <v>8781</v>
      </c>
      <c r="G28" s="195">
        <v>46300</v>
      </c>
      <c r="H28" s="47" t="s">
        <v>8782</v>
      </c>
      <c r="I28" s="47" t="s">
        <v>8783</v>
      </c>
      <c r="J28" s="47" t="s">
        <v>8810</v>
      </c>
    </row>
    <row r="29" spans="2:10" ht="14.5">
      <c r="B29" s="47" t="s">
        <v>6286</v>
      </c>
      <c r="C29" s="47" t="s">
        <v>8779</v>
      </c>
      <c r="D29" s="47" t="s">
        <v>8811</v>
      </c>
      <c r="E29" s="47" t="s">
        <v>6284</v>
      </c>
      <c r="F29" s="47" t="s">
        <v>8781</v>
      </c>
      <c r="G29" s="195">
        <v>46304</v>
      </c>
      <c r="H29" s="47" t="s">
        <v>8782</v>
      </c>
      <c r="I29" s="47" t="s">
        <v>8783</v>
      </c>
      <c r="J29" s="47" t="s">
        <v>6284</v>
      </c>
    </row>
    <row r="30" spans="2:10" ht="14.5">
      <c r="B30" s="47" t="s">
        <v>6471</v>
      </c>
      <c r="C30" s="47" t="s">
        <v>8779</v>
      </c>
      <c r="D30" s="47" t="s">
        <v>8812</v>
      </c>
      <c r="E30" s="47" t="s">
        <v>6469</v>
      </c>
      <c r="F30" s="47" t="s">
        <v>8781</v>
      </c>
      <c r="G30" s="195">
        <v>46302</v>
      </c>
      <c r="H30" s="47" t="s">
        <v>8782</v>
      </c>
      <c r="I30" s="47" t="s">
        <v>8783</v>
      </c>
      <c r="J30" s="47" t="s">
        <v>6469</v>
      </c>
    </row>
    <row r="31" spans="2:10" ht="14.5">
      <c r="B31" s="47" t="s">
        <v>6494</v>
      </c>
      <c r="C31" s="47" t="s">
        <v>8779</v>
      </c>
      <c r="D31" s="47" t="s">
        <v>8813</v>
      </c>
      <c r="E31" s="47" t="s">
        <v>6491</v>
      </c>
      <c r="F31" s="47" t="s">
        <v>8781</v>
      </c>
      <c r="G31" s="195">
        <v>46305</v>
      </c>
      <c r="H31" s="47" t="s">
        <v>8782</v>
      </c>
      <c r="I31" s="47" t="s">
        <v>8783</v>
      </c>
      <c r="J31" s="47" t="s">
        <v>6491</v>
      </c>
    </row>
    <row r="32" spans="2:10" ht="14.5">
      <c r="B32" s="47" t="s">
        <v>6487</v>
      </c>
      <c r="C32" s="47" t="s">
        <v>8779</v>
      </c>
      <c r="D32" s="47" t="s">
        <v>8814</v>
      </c>
      <c r="E32" s="47" t="s">
        <v>6486</v>
      </c>
      <c r="F32" s="47" t="s">
        <v>8781</v>
      </c>
      <c r="G32" s="195">
        <v>46305</v>
      </c>
      <c r="H32" s="47" t="s">
        <v>8782</v>
      </c>
      <c r="I32" s="47" t="s">
        <v>8783</v>
      </c>
      <c r="J32" s="47" t="s">
        <v>6486</v>
      </c>
    </row>
    <row r="33" spans="2:10" ht="14.5">
      <c r="B33" s="47" t="s">
        <v>6483</v>
      </c>
      <c r="C33" s="47" t="s">
        <v>8779</v>
      </c>
      <c r="D33" s="47" t="s">
        <v>8815</v>
      </c>
      <c r="E33" s="47" t="s">
        <v>6482</v>
      </c>
      <c r="F33" s="47" t="s">
        <v>8781</v>
      </c>
      <c r="G33" s="195">
        <v>46305</v>
      </c>
      <c r="H33" s="47" t="s">
        <v>8782</v>
      </c>
      <c r="I33" s="47" t="s">
        <v>8783</v>
      </c>
      <c r="J33" s="47" t="s">
        <v>6482</v>
      </c>
    </row>
    <row r="34" spans="2:10" ht="14.5">
      <c r="B34" s="47" t="s">
        <v>6480</v>
      </c>
      <c r="C34" s="47" t="s">
        <v>8779</v>
      </c>
      <c r="D34" s="47" t="s">
        <v>8816</v>
      </c>
      <c r="E34" s="47" t="s">
        <v>6479</v>
      </c>
      <c r="F34" s="47" t="s">
        <v>8781</v>
      </c>
      <c r="G34" s="195">
        <v>46305</v>
      </c>
      <c r="H34" s="47" t="s">
        <v>8782</v>
      </c>
      <c r="I34" s="47" t="s">
        <v>8783</v>
      </c>
      <c r="J34" s="47" t="s">
        <v>6479</v>
      </c>
    </row>
    <row r="35" spans="2:10" ht="14.5">
      <c r="B35" s="47" t="s">
        <v>6475</v>
      </c>
      <c r="C35" s="47" t="s">
        <v>8779</v>
      </c>
      <c r="D35" s="47" t="s">
        <v>8817</v>
      </c>
      <c r="E35" s="47" t="s">
        <v>6474</v>
      </c>
      <c r="F35" s="47" t="s">
        <v>8781</v>
      </c>
      <c r="G35" s="195">
        <v>46305</v>
      </c>
      <c r="H35" s="47" t="s">
        <v>8782</v>
      </c>
      <c r="I35" s="47" t="s">
        <v>8783</v>
      </c>
      <c r="J35" s="47" t="s">
        <v>6474</v>
      </c>
    </row>
    <row r="36" spans="2:10" ht="14.5">
      <c r="B36" s="47" t="s">
        <v>6466</v>
      </c>
      <c r="C36" s="47" t="s">
        <v>8779</v>
      </c>
      <c r="D36" s="47" t="s">
        <v>8818</v>
      </c>
      <c r="E36" s="47" t="s">
        <v>6465</v>
      </c>
      <c r="F36" s="47" t="s">
        <v>8781</v>
      </c>
      <c r="G36" s="195">
        <v>46303</v>
      </c>
      <c r="H36" s="47" t="s">
        <v>8782</v>
      </c>
      <c r="I36" s="47" t="s">
        <v>8783</v>
      </c>
      <c r="J36" s="47" t="s">
        <v>6465</v>
      </c>
    </row>
    <row r="37" spans="2:10" ht="14.5">
      <c r="B37" s="47" t="s">
        <v>6462</v>
      </c>
      <c r="C37" s="47" t="s">
        <v>8779</v>
      </c>
      <c r="D37" s="47" t="s">
        <v>8819</v>
      </c>
      <c r="E37" s="47" t="s">
        <v>6461</v>
      </c>
      <c r="F37" s="47" t="s">
        <v>8781</v>
      </c>
      <c r="G37" s="195">
        <v>46305</v>
      </c>
      <c r="H37" s="47" t="s">
        <v>8782</v>
      </c>
      <c r="I37" s="47" t="s">
        <v>8783</v>
      </c>
      <c r="J37" s="47" t="s">
        <v>6461</v>
      </c>
    </row>
    <row r="38" spans="2:10" ht="14.5">
      <c r="B38" s="47" t="s">
        <v>6448</v>
      </c>
      <c r="C38" s="47" t="s">
        <v>8779</v>
      </c>
      <c r="D38" s="47" t="s">
        <v>8820</v>
      </c>
      <c r="E38" s="47" t="s">
        <v>6445</v>
      </c>
      <c r="F38" s="47" t="s">
        <v>8781</v>
      </c>
      <c r="G38" s="195">
        <v>46313</v>
      </c>
      <c r="H38" s="47" t="s">
        <v>8782</v>
      </c>
      <c r="I38" s="47" t="s">
        <v>8783</v>
      </c>
      <c r="J38" s="47" t="s">
        <v>6445</v>
      </c>
    </row>
    <row r="39" spans="2:10" ht="14.5">
      <c r="B39" s="47" t="s">
        <v>6293</v>
      </c>
      <c r="C39" s="47" t="s">
        <v>64</v>
      </c>
      <c r="D39" s="47" t="s">
        <v>8821</v>
      </c>
      <c r="E39" s="47" t="s">
        <v>6290</v>
      </c>
      <c r="F39" s="47" t="s">
        <v>8781</v>
      </c>
      <c r="G39" s="195">
        <v>46310</v>
      </c>
      <c r="H39" s="47" t="s">
        <v>8787</v>
      </c>
      <c r="I39" s="47" t="s">
        <v>8783</v>
      </c>
      <c r="J39" s="47" t="s">
        <v>6290</v>
      </c>
    </row>
    <row r="40" spans="2:10" ht="14.5">
      <c r="B40" s="47" t="s">
        <v>6092</v>
      </c>
      <c r="C40" s="47" t="s">
        <v>64</v>
      </c>
      <c r="D40" s="47" t="s">
        <v>8822</v>
      </c>
      <c r="E40" s="47" t="s">
        <v>6091</v>
      </c>
      <c r="F40" s="47" t="s">
        <v>8781</v>
      </c>
      <c r="G40" s="195">
        <v>46310</v>
      </c>
      <c r="H40" s="47" t="s">
        <v>8787</v>
      </c>
      <c r="I40" s="47" t="s">
        <v>8783</v>
      </c>
      <c r="J40" s="47" t="s">
        <v>6091</v>
      </c>
    </row>
    <row r="41" spans="2:10" ht="14.5">
      <c r="B41" s="47" t="s">
        <v>6588</v>
      </c>
      <c r="C41" s="47" t="s">
        <v>8779</v>
      </c>
      <c r="D41" s="47" t="s">
        <v>8823</v>
      </c>
      <c r="E41" s="47" t="s">
        <v>6587</v>
      </c>
      <c r="F41" s="47" t="s">
        <v>8781</v>
      </c>
      <c r="G41" s="195">
        <v>46323</v>
      </c>
      <c r="H41" s="47" t="s">
        <v>8782</v>
      </c>
      <c r="I41" s="47" t="s">
        <v>8783</v>
      </c>
      <c r="J41" s="47"/>
    </row>
    <row r="42" spans="2:10" ht="14.5">
      <c r="B42" s="47" t="s">
        <v>6496</v>
      </c>
      <c r="C42" s="47" t="s">
        <v>64</v>
      </c>
      <c r="D42" s="47" t="s">
        <v>8824</v>
      </c>
      <c r="E42" s="47" t="s">
        <v>6495</v>
      </c>
      <c r="F42" s="47" t="s">
        <v>8781</v>
      </c>
      <c r="G42" s="195">
        <v>46312</v>
      </c>
      <c r="H42" s="47" t="s">
        <v>8787</v>
      </c>
      <c r="I42" s="47" t="s">
        <v>8783</v>
      </c>
      <c r="J42" s="47" t="s">
        <v>6495</v>
      </c>
    </row>
    <row r="43" spans="2:10" ht="14.5">
      <c r="B43" s="47" t="s">
        <v>6296</v>
      </c>
      <c r="C43" s="47" t="s">
        <v>64</v>
      </c>
      <c r="D43" s="47" t="s">
        <v>8825</v>
      </c>
      <c r="E43" s="47" t="s">
        <v>6295</v>
      </c>
      <c r="F43" s="47" t="s">
        <v>8781</v>
      </c>
      <c r="G43" s="195">
        <v>46310</v>
      </c>
      <c r="H43" s="47" t="s">
        <v>8787</v>
      </c>
      <c r="I43" s="47" t="s">
        <v>8783</v>
      </c>
      <c r="J43" s="47" t="s">
        <v>6295</v>
      </c>
    </row>
    <row r="44" spans="2:10" ht="14.5">
      <c r="B44" s="47" t="s">
        <v>6096</v>
      </c>
      <c r="C44" s="47" t="s">
        <v>64</v>
      </c>
      <c r="D44" s="47" t="s">
        <v>8826</v>
      </c>
      <c r="E44" s="47" t="s">
        <v>6095</v>
      </c>
      <c r="F44" s="47" t="s">
        <v>8781</v>
      </c>
      <c r="G44" s="195">
        <v>46310</v>
      </c>
      <c r="H44" s="47" t="s">
        <v>8787</v>
      </c>
      <c r="I44" s="47" t="s">
        <v>8783</v>
      </c>
      <c r="J44" s="47" t="s">
        <v>6095</v>
      </c>
    </row>
    <row r="45" spans="2:10" ht="14.5">
      <c r="B45" s="47" t="s">
        <v>8299</v>
      </c>
      <c r="C45" s="47" t="s">
        <v>64</v>
      </c>
      <c r="D45" s="47" t="s">
        <v>8827</v>
      </c>
      <c r="E45" s="47" t="s">
        <v>8828</v>
      </c>
      <c r="F45" s="47" t="s">
        <v>8829</v>
      </c>
      <c r="G45" s="195">
        <v>46312</v>
      </c>
      <c r="H45" s="47" t="s">
        <v>8787</v>
      </c>
      <c r="I45" s="47" t="s">
        <v>8783</v>
      </c>
      <c r="J45" s="47" t="s">
        <v>8292</v>
      </c>
    </row>
    <row r="46" spans="2:10" ht="14.5">
      <c r="B46" s="47" t="s">
        <v>8232</v>
      </c>
      <c r="C46" s="47" t="s">
        <v>64</v>
      </c>
      <c r="D46" s="47" t="s">
        <v>8830</v>
      </c>
      <c r="E46" s="47" t="s">
        <v>8831</v>
      </c>
      <c r="F46" s="47" t="s">
        <v>8829</v>
      </c>
      <c r="G46" s="195">
        <v>46310</v>
      </c>
      <c r="H46" s="47" t="s">
        <v>8787</v>
      </c>
      <c r="I46" s="47" t="s">
        <v>8783</v>
      </c>
      <c r="J46" s="47" t="s">
        <v>8832</v>
      </c>
    </row>
    <row r="47" spans="2:10" ht="14.5">
      <c r="B47" s="47" t="s">
        <v>8833</v>
      </c>
      <c r="C47" s="47" t="s">
        <v>64</v>
      </c>
      <c r="D47" s="47" t="s">
        <v>8834</v>
      </c>
      <c r="E47" s="47" t="s">
        <v>8835</v>
      </c>
      <c r="F47" s="47" t="s">
        <v>8781</v>
      </c>
      <c r="G47" s="195">
        <v>46269</v>
      </c>
      <c r="H47" s="47" t="s">
        <v>8782</v>
      </c>
      <c r="I47" s="47" t="s">
        <v>8783</v>
      </c>
      <c r="J47" s="47" t="s">
        <v>8836</v>
      </c>
    </row>
    <row r="48" spans="2:10" ht="14.5">
      <c r="B48" s="47" t="s">
        <v>8243</v>
      </c>
      <c r="C48" s="47" t="s">
        <v>64</v>
      </c>
      <c r="D48" s="47" t="s">
        <v>8837</v>
      </c>
      <c r="E48" s="47" t="s">
        <v>8838</v>
      </c>
      <c r="F48" s="47" t="s">
        <v>8829</v>
      </c>
      <c r="G48" s="195">
        <v>46317</v>
      </c>
      <c r="H48" s="47" t="s">
        <v>8787</v>
      </c>
      <c r="I48" s="47" t="s">
        <v>8783</v>
      </c>
      <c r="J48" s="47" t="s">
        <v>8839</v>
      </c>
    </row>
    <row r="49" spans="2:10" ht="14.5">
      <c r="B49" s="47" t="s">
        <v>8257</v>
      </c>
      <c r="C49" s="47" t="s">
        <v>64</v>
      </c>
      <c r="D49" s="47" t="s">
        <v>8840</v>
      </c>
      <c r="E49" s="47" t="s">
        <v>8841</v>
      </c>
      <c r="F49" s="47" t="s">
        <v>8829</v>
      </c>
      <c r="G49" s="195">
        <v>46322</v>
      </c>
      <c r="H49" s="47" t="s">
        <v>8787</v>
      </c>
      <c r="I49" s="47" t="s">
        <v>8783</v>
      </c>
      <c r="J49" s="47" t="s">
        <v>8842</v>
      </c>
    </row>
    <row r="50" spans="2:10" ht="14.5">
      <c r="B50" s="47" t="s">
        <v>8228</v>
      </c>
      <c r="C50" s="47" t="s">
        <v>64</v>
      </c>
      <c r="D50" s="47" t="s">
        <v>8843</v>
      </c>
      <c r="E50" s="47" t="s">
        <v>8844</v>
      </c>
      <c r="F50" s="47" t="s">
        <v>8829</v>
      </c>
      <c r="G50" s="195">
        <v>46310</v>
      </c>
      <c r="H50" s="47" t="s">
        <v>8787</v>
      </c>
      <c r="I50" s="47" t="s">
        <v>8783</v>
      </c>
      <c r="J50" s="47" t="s">
        <v>8225</v>
      </c>
    </row>
    <row r="51" spans="2:10" ht="14.5">
      <c r="B51" s="47" t="s">
        <v>6364</v>
      </c>
      <c r="C51" s="47" t="s">
        <v>8779</v>
      </c>
      <c r="D51" s="47" t="s">
        <v>8845</v>
      </c>
      <c r="E51" s="47" t="s">
        <v>6363</v>
      </c>
      <c r="F51" s="47" t="s">
        <v>8781</v>
      </c>
      <c r="G51" s="195">
        <v>46296</v>
      </c>
      <c r="H51" s="47" t="s">
        <v>8782</v>
      </c>
      <c r="I51" s="47" t="s">
        <v>8783</v>
      </c>
      <c r="J51" s="47" t="s">
        <v>6363</v>
      </c>
    </row>
    <row r="52" spans="2:10" ht="14.5">
      <c r="B52" s="47" t="s">
        <v>6373</v>
      </c>
      <c r="C52" s="47" t="s">
        <v>8779</v>
      </c>
      <c r="D52" s="47" t="s">
        <v>8846</v>
      </c>
      <c r="E52" s="47" t="s">
        <v>6372</v>
      </c>
      <c r="F52" s="47" t="s">
        <v>8781</v>
      </c>
      <c r="G52" s="195">
        <v>46296</v>
      </c>
      <c r="H52" s="47" t="s">
        <v>8782</v>
      </c>
      <c r="I52" s="47" t="s">
        <v>8783</v>
      </c>
      <c r="J52" s="47" t="s">
        <v>6372</v>
      </c>
    </row>
    <row r="53" spans="2:10" ht="14.5">
      <c r="B53" s="47" t="s">
        <v>6378</v>
      </c>
      <c r="C53" s="47" t="s">
        <v>8779</v>
      </c>
      <c r="D53" s="47" t="s">
        <v>8847</v>
      </c>
      <c r="E53" s="47" t="s">
        <v>6377</v>
      </c>
      <c r="F53" s="47" t="s">
        <v>8781</v>
      </c>
      <c r="G53" s="195">
        <v>46296</v>
      </c>
      <c r="H53" s="47" t="s">
        <v>8782</v>
      </c>
      <c r="I53" s="47" t="s">
        <v>8783</v>
      </c>
      <c r="J53" s="47" t="s">
        <v>6377</v>
      </c>
    </row>
    <row r="54" spans="2:10" ht="14.5">
      <c r="B54" s="47" t="s">
        <v>6369</v>
      </c>
      <c r="C54" s="47" t="s">
        <v>8779</v>
      </c>
      <c r="D54" s="47" t="s">
        <v>8848</v>
      </c>
      <c r="E54" s="47" t="s">
        <v>6368</v>
      </c>
      <c r="F54" s="47" t="s">
        <v>8781</v>
      </c>
      <c r="G54" s="195">
        <v>46297</v>
      </c>
      <c r="H54" s="47" t="s">
        <v>8782</v>
      </c>
      <c r="I54" s="47" t="s">
        <v>8783</v>
      </c>
      <c r="J54" s="47" t="s">
        <v>6368</v>
      </c>
    </row>
    <row r="55" spans="2:10" ht="14.5">
      <c r="B55" s="47" t="s">
        <v>6213</v>
      </c>
      <c r="C55" s="47" t="s">
        <v>8779</v>
      </c>
      <c r="D55" s="47" t="s">
        <v>8849</v>
      </c>
      <c r="E55" s="47" t="s">
        <v>6209</v>
      </c>
      <c r="F55" s="47" t="s">
        <v>8781</v>
      </c>
      <c r="G55" s="195">
        <v>46304</v>
      </c>
      <c r="H55" s="47" t="s">
        <v>8782</v>
      </c>
      <c r="I55" s="47" t="s">
        <v>8783</v>
      </c>
      <c r="J55" s="47" t="s">
        <v>6209</v>
      </c>
    </row>
    <row r="56" spans="2:10" ht="14.5">
      <c r="B56" s="47" t="s">
        <v>6426</v>
      </c>
      <c r="C56" s="47" t="s">
        <v>64</v>
      </c>
      <c r="D56" s="47" t="s">
        <v>8850</v>
      </c>
      <c r="E56" s="47" t="s">
        <v>6423</v>
      </c>
      <c r="F56" s="47" t="s">
        <v>8781</v>
      </c>
      <c r="G56" s="195">
        <v>46328</v>
      </c>
      <c r="H56" s="47" t="s">
        <v>8787</v>
      </c>
      <c r="I56" s="47" t="s">
        <v>8783</v>
      </c>
      <c r="J56" s="47" t="s">
        <v>6423</v>
      </c>
    </row>
    <row r="57" spans="2:10" ht="14.5">
      <c r="B57" s="47" t="s">
        <v>6089</v>
      </c>
      <c r="C57" s="47" t="s">
        <v>64</v>
      </c>
      <c r="D57" s="47" t="s">
        <v>8851</v>
      </c>
      <c r="E57" s="47" t="s">
        <v>6088</v>
      </c>
      <c r="F57" s="47" t="s">
        <v>8781</v>
      </c>
      <c r="G57" s="195">
        <v>46310</v>
      </c>
      <c r="H57" s="47" t="s">
        <v>8787</v>
      </c>
      <c r="I57" s="47" t="s">
        <v>8783</v>
      </c>
      <c r="J57" s="47" t="s">
        <v>6088</v>
      </c>
    </row>
    <row r="58" spans="2:10" ht="14.5">
      <c r="B58" s="47" t="s">
        <v>6298</v>
      </c>
      <c r="C58" s="47" t="s">
        <v>64</v>
      </c>
      <c r="D58" s="47" t="s">
        <v>8852</v>
      </c>
      <c r="E58" s="47" t="s">
        <v>6297</v>
      </c>
      <c r="F58" s="47" t="s">
        <v>8781</v>
      </c>
      <c r="G58" s="195">
        <v>46326</v>
      </c>
      <c r="H58" s="47" t="s">
        <v>8787</v>
      </c>
      <c r="I58" s="47" t="s">
        <v>8783</v>
      </c>
      <c r="J58" s="47" t="s">
        <v>6297</v>
      </c>
    </row>
    <row r="59" spans="2:10" ht="14.5">
      <c r="B59" s="47" t="s">
        <v>6302</v>
      </c>
      <c r="C59" s="47" t="s">
        <v>64</v>
      </c>
      <c r="D59" s="47" t="s">
        <v>8853</v>
      </c>
      <c r="E59" s="47" t="s">
        <v>6301</v>
      </c>
      <c r="F59" s="47" t="s">
        <v>8781</v>
      </c>
      <c r="G59" s="195">
        <v>46326</v>
      </c>
      <c r="H59" s="47" t="s">
        <v>8787</v>
      </c>
      <c r="I59" s="47" t="s">
        <v>8783</v>
      </c>
      <c r="J59" s="47" t="s">
        <v>6301</v>
      </c>
    </row>
    <row r="60" spans="2:10" ht="14.5">
      <c r="B60" s="47" t="s">
        <v>6052</v>
      </c>
      <c r="C60" s="47" t="s">
        <v>64</v>
      </c>
      <c r="D60" s="47" t="s">
        <v>8854</v>
      </c>
      <c r="E60" s="47" t="s">
        <v>6051</v>
      </c>
      <c r="F60" s="47" t="s">
        <v>8781</v>
      </c>
      <c r="G60" s="195">
        <v>46302</v>
      </c>
      <c r="H60" s="47" t="s">
        <v>8787</v>
      </c>
      <c r="I60" s="47" t="s">
        <v>8783</v>
      </c>
      <c r="J60" s="47" t="s">
        <v>6051</v>
      </c>
    </row>
    <row r="61" spans="2:10" ht="14.5">
      <c r="B61" s="47" t="s">
        <v>6251</v>
      </c>
      <c r="C61" s="47" t="s">
        <v>64</v>
      </c>
      <c r="D61" s="47" t="s">
        <v>8855</v>
      </c>
      <c r="E61" s="47" t="s">
        <v>6250</v>
      </c>
      <c r="F61" s="47" t="s">
        <v>8781</v>
      </c>
      <c r="G61" s="195">
        <v>46305</v>
      </c>
      <c r="H61" s="47" t="s">
        <v>8787</v>
      </c>
      <c r="I61" s="47" t="s">
        <v>8783</v>
      </c>
      <c r="J61" s="47" t="s">
        <v>6250</v>
      </c>
    </row>
    <row r="62" spans="2:10" ht="14.5">
      <c r="B62" s="47" t="s">
        <v>6044</v>
      </c>
      <c r="C62" s="47" t="s">
        <v>64</v>
      </c>
      <c r="D62" s="47" t="s">
        <v>8856</v>
      </c>
      <c r="E62" s="47" t="s">
        <v>6043</v>
      </c>
      <c r="F62" s="47" t="s">
        <v>8781</v>
      </c>
      <c r="G62" s="195">
        <v>46302</v>
      </c>
      <c r="H62" s="47" t="s">
        <v>8787</v>
      </c>
      <c r="I62" s="47" t="s">
        <v>8783</v>
      </c>
      <c r="J62" s="47" t="s">
        <v>6043</v>
      </c>
    </row>
    <row r="63" spans="2:10" ht="14.5">
      <c r="B63" s="47" t="s">
        <v>6049</v>
      </c>
      <c r="C63" s="47" t="s">
        <v>64</v>
      </c>
      <c r="D63" s="47" t="s">
        <v>8857</v>
      </c>
      <c r="E63" s="47" t="s">
        <v>6048</v>
      </c>
      <c r="F63" s="47" t="s">
        <v>8781</v>
      </c>
      <c r="G63" s="195">
        <v>46302</v>
      </c>
      <c r="H63" s="47" t="s">
        <v>8787</v>
      </c>
      <c r="I63" s="47" t="s">
        <v>8783</v>
      </c>
      <c r="J63" s="47" t="s">
        <v>6048</v>
      </c>
    </row>
    <row r="64" spans="2:10" ht="14.5">
      <c r="B64" s="47" t="s">
        <v>6280</v>
      </c>
      <c r="C64" s="47" t="s">
        <v>64</v>
      </c>
      <c r="D64" s="47" t="s">
        <v>8858</v>
      </c>
      <c r="E64" s="47" t="s">
        <v>6279</v>
      </c>
      <c r="F64" s="47" t="s">
        <v>8781</v>
      </c>
      <c r="G64" s="195">
        <v>46322</v>
      </c>
      <c r="H64" s="47" t="s">
        <v>8787</v>
      </c>
      <c r="I64" s="47" t="s">
        <v>8783</v>
      </c>
      <c r="J64" s="47" t="s">
        <v>6279</v>
      </c>
    </row>
    <row r="65" spans="2:10" ht="14.5">
      <c r="B65" s="47" t="s">
        <v>6087</v>
      </c>
      <c r="C65" s="47" t="s">
        <v>64</v>
      </c>
      <c r="D65" s="47" t="s">
        <v>8859</v>
      </c>
      <c r="E65" s="47" t="s">
        <v>6086</v>
      </c>
      <c r="F65" s="47" t="s">
        <v>8781</v>
      </c>
      <c r="G65" s="195">
        <v>46310</v>
      </c>
      <c r="H65" s="47" t="s">
        <v>8787</v>
      </c>
      <c r="I65" s="47" t="s">
        <v>8783</v>
      </c>
      <c r="J65" s="47" t="s">
        <v>6086</v>
      </c>
    </row>
    <row r="66" spans="2:10" ht="14.5">
      <c r="B66" s="47" t="s">
        <v>6083</v>
      </c>
      <c r="C66" s="47" t="s">
        <v>64</v>
      </c>
      <c r="D66" s="47" t="s">
        <v>8860</v>
      </c>
      <c r="E66" s="47" t="s">
        <v>6082</v>
      </c>
      <c r="F66" s="47" t="s">
        <v>8781</v>
      </c>
      <c r="G66" s="195">
        <v>46310</v>
      </c>
      <c r="H66" s="47" t="s">
        <v>8787</v>
      </c>
      <c r="I66" s="47" t="s">
        <v>8783</v>
      </c>
      <c r="J66" s="47" t="s">
        <v>6082</v>
      </c>
    </row>
    <row r="67" spans="2:10" ht="14.5">
      <c r="B67" s="47" t="s">
        <v>6256</v>
      </c>
      <c r="C67" s="47" t="s">
        <v>64</v>
      </c>
      <c r="D67" s="47" t="s">
        <v>8861</v>
      </c>
      <c r="E67" s="47" t="s">
        <v>6255</v>
      </c>
      <c r="F67" s="47" t="s">
        <v>8781</v>
      </c>
      <c r="G67" s="195">
        <v>46304</v>
      </c>
      <c r="H67" s="47" t="s">
        <v>8787</v>
      </c>
      <c r="I67" s="47" t="s">
        <v>8783</v>
      </c>
      <c r="J67" s="47" t="s">
        <v>6255</v>
      </c>
    </row>
    <row r="68" spans="2:10" ht="14.5">
      <c r="B68" s="47" t="s">
        <v>6304</v>
      </c>
      <c r="C68" s="47" t="s">
        <v>64</v>
      </c>
      <c r="D68" s="47" t="s">
        <v>8862</v>
      </c>
      <c r="E68" s="47" t="s">
        <v>6303</v>
      </c>
      <c r="F68" s="47" t="s">
        <v>8781</v>
      </c>
      <c r="G68" s="195">
        <v>46325</v>
      </c>
      <c r="H68" s="47" t="s">
        <v>8787</v>
      </c>
      <c r="I68" s="47" t="s">
        <v>8783</v>
      </c>
      <c r="J68" s="47" t="s">
        <v>6303</v>
      </c>
    </row>
    <row r="69" spans="2:10" ht="14.5">
      <c r="B69" s="47" t="s">
        <v>6059</v>
      </c>
      <c r="C69" s="47" t="s">
        <v>64</v>
      </c>
      <c r="D69" s="47" t="s">
        <v>8863</v>
      </c>
      <c r="E69" s="47" t="s">
        <v>6058</v>
      </c>
      <c r="F69" s="47" t="s">
        <v>8781</v>
      </c>
      <c r="G69" s="195">
        <v>46269</v>
      </c>
      <c r="H69" s="47" t="s">
        <v>8787</v>
      </c>
      <c r="I69" s="47" t="s">
        <v>8783</v>
      </c>
      <c r="J69" s="47" t="s">
        <v>6058</v>
      </c>
    </row>
    <row r="70" spans="2:10" ht="14.5">
      <c r="B70" s="47" t="s">
        <v>6055</v>
      </c>
      <c r="C70" s="47" t="s">
        <v>64</v>
      </c>
      <c r="D70" s="47" t="s">
        <v>8864</v>
      </c>
      <c r="E70" s="47" t="s">
        <v>6054</v>
      </c>
      <c r="F70" s="47" t="s">
        <v>8781</v>
      </c>
      <c r="G70" s="195">
        <v>46300</v>
      </c>
      <c r="H70" s="47" t="s">
        <v>8787</v>
      </c>
      <c r="I70" s="47" t="s">
        <v>8783</v>
      </c>
      <c r="J70" s="47" t="s">
        <v>6054</v>
      </c>
    </row>
    <row r="71" spans="2:10" ht="14.5">
      <c r="B71" s="47" t="s">
        <v>6180</v>
      </c>
      <c r="C71" s="47" t="s">
        <v>64</v>
      </c>
      <c r="D71" s="47" t="s">
        <v>8865</v>
      </c>
      <c r="E71" s="47" t="s">
        <v>6179</v>
      </c>
      <c r="F71" s="47" t="s">
        <v>8781</v>
      </c>
      <c r="G71" s="195">
        <v>46312</v>
      </c>
      <c r="H71" s="47" t="s">
        <v>8787</v>
      </c>
      <c r="I71" s="47" t="s">
        <v>8783</v>
      </c>
      <c r="J71" s="47" t="s">
        <v>6179</v>
      </c>
    </row>
    <row r="72" spans="2:10" ht="14.5">
      <c r="B72" s="47" t="s">
        <v>8236</v>
      </c>
      <c r="C72" s="47" t="s">
        <v>64</v>
      </c>
      <c r="D72" s="47" t="s">
        <v>8866</v>
      </c>
      <c r="E72" s="47" t="s">
        <v>8867</v>
      </c>
      <c r="F72" s="47" t="s">
        <v>8829</v>
      </c>
      <c r="G72" s="195">
        <v>46296</v>
      </c>
      <c r="H72" s="47" t="s">
        <v>8787</v>
      </c>
      <c r="I72" s="47" t="s">
        <v>8783</v>
      </c>
      <c r="J72" s="47" t="s">
        <v>8868</v>
      </c>
    </row>
    <row r="73" spans="2:10" ht="14.5">
      <c r="B73" s="47" t="s">
        <v>6442</v>
      </c>
      <c r="C73" s="47" t="s">
        <v>64</v>
      </c>
      <c r="D73" s="47" t="s">
        <v>8869</v>
      </c>
      <c r="E73" s="47" t="s">
        <v>6441</v>
      </c>
      <c r="F73" s="47" t="s">
        <v>8781</v>
      </c>
      <c r="G73" s="195">
        <v>46321</v>
      </c>
      <c r="H73" s="47" t="s">
        <v>8787</v>
      </c>
      <c r="I73" s="47" t="s">
        <v>8783</v>
      </c>
      <c r="J73" s="47" t="s">
        <v>6441</v>
      </c>
    </row>
    <row r="74" spans="2:10" ht="14.5">
      <c r="B74" s="47" t="s">
        <v>6206</v>
      </c>
      <c r="C74" s="47" t="s">
        <v>64</v>
      </c>
      <c r="D74" s="47" t="s">
        <v>8870</v>
      </c>
      <c r="E74" s="47" t="s">
        <v>6204</v>
      </c>
      <c r="F74" s="47" t="s">
        <v>8781</v>
      </c>
      <c r="G74" s="195">
        <v>46328</v>
      </c>
      <c r="H74" s="47" t="s">
        <v>8787</v>
      </c>
      <c r="I74" s="47" t="s">
        <v>8783</v>
      </c>
      <c r="J74" s="47" t="s">
        <v>6204</v>
      </c>
    </row>
    <row r="75" spans="2:10" ht="14.5">
      <c r="B75" s="47" t="s">
        <v>6404</v>
      </c>
      <c r="C75" s="47" t="s">
        <v>64</v>
      </c>
      <c r="D75" s="47" t="s">
        <v>8871</v>
      </c>
      <c r="E75" s="47" t="s">
        <v>6402</v>
      </c>
      <c r="F75" s="47" t="s">
        <v>8781</v>
      </c>
      <c r="G75" s="195">
        <v>46318</v>
      </c>
      <c r="H75" s="47" t="s">
        <v>8787</v>
      </c>
      <c r="I75" s="47" t="s">
        <v>8783</v>
      </c>
      <c r="J75" s="47" t="s">
        <v>6402</v>
      </c>
    </row>
    <row r="76" spans="2:10" ht="14.5">
      <c r="B76" s="47" t="s">
        <v>6401</v>
      </c>
      <c r="C76" s="47" t="s">
        <v>64</v>
      </c>
      <c r="D76" s="47" t="s">
        <v>8872</v>
      </c>
      <c r="E76" s="47" t="s">
        <v>6399</v>
      </c>
      <c r="F76" s="47" t="s">
        <v>8781</v>
      </c>
      <c r="G76" s="195">
        <v>46318</v>
      </c>
      <c r="H76" s="47" t="s">
        <v>8787</v>
      </c>
      <c r="I76" s="47" t="s">
        <v>8783</v>
      </c>
      <c r="J76" s="47" t="s">
        <v>6399</v>
      </c>
    </row>
    <row r="77" spans="2:10" ht="14.5">
      <c r="B77" s="47" t="s">
        <v>6221</v>
      </c>
      <c r="C77" s="47" t="s">
        <v>64</v>
      </c>
      <c r="D77" s="47" t="s">
        <v>8873</v>
      </c>
      <c r="E77" s="47" t="s">
        <v>8874</v>
      </c>
      <c r="F77" s="47" t="s">
        <v>8781</v>
      </c>
      <c r="G77" s="195">
        <v>46306</v>
      </c>
      <c r="H77" s="47" t="s">
        <v>8787</v>
      </c>
      <c r="I77" s="47" t="s">
        <v>8783</v>
      </c>
      <c r="J77" s="47" t="s">
        <v>8874</v>
      </c>
    </row>
    <row r="78" spans="2:10" ht="14.5">
      <c r="B78" s="47" t="s">
        <v>6227</v>
      </c>
      <c r="C78" s="47" t="s">
        <v>64</v>
      </c>
      <c r="D78" s="47" t="s">
        <v>8875</v>
      </c>
      <c r="E78" s="47" t="s">
        <v>6225</v>
      </c>
      <c r="F78" s="47" t="s">
        <v>8781</v>
      </c>
      <c r="G78" s="195">
        <v>46306</v>
      </c>
      <c r="H78" s="47" t="s">
        <v>8787</v>
      </c>
      <c r="I78" s="47" t="s">
        <v>8783</v>
      </c>
      <c r="J78" s="47" t="s">
        <v>6225</v>
      </c>
    </row>
    <row r="79" spans="2:10" ht="14.5">
      <c r="B79" s="47" t="s">
        <v>6269</v>
      </c>
      <c r="C79" s="47" t="s">
        <v>64</v>
      </c>
      <c r="D79" s="47" t="s">
        <v>8876</v>
      </c>
      <c r="E79" s="47" t="s">
        <v>6268</v>
      </c>
      <c r="F79" s="47" t="s">
        <v>8781</v>
      </c>
      <c r="G79" s="195">
        <v>46305</v>
      </c>
      <c r="H79" s="47" t="s">
        <v>8787</v>
      </c>
      <c r="I79" s="47" t="s">
        <v>8783</v>
      </c>
      <c r="J79" s="47" t="s">
        <v>6268</v>
      </c>
    </row>
    <row r="80" spans="2:10" ht="14.5">
      <c r="B80" s="47" t="s">
        <v>6266</v>
      </c>
      <c r="C80" s="47" t="s">
        <v>64</v>
      </c>
      <c r="D80" s="47" t="s">
        <v>8877</v>
      </c>
      <c r="E80" s="47" t="s">
        <v>6265</v>
      </c>
      <c r="F80" s="47" t="s">
        <v>8781</v>
      </c>
      <c r="G80" s="195">
        <v>46305</v>
      </c>
      <c r="H80" s="47" t="s">
        <v>8787</v>
      </c>
      <c r="I80" s="47" t="s">
        <v>8783</v>
      </c>
      <c r="J80" s="47" t="s">
        <v>6265</v>
      </c>
    </row>
    <row r="81" spans="2:10" ht="14.5">
      <c r="B81" s="47" t="s">
        <v>6395</v>
      </c>
      <c r="C81" s="47" t="s">
        <v>64</v>
      </c>
      <c r="D81" s="47" t="s">
        <v>8878</v>
      </c>
      <c r="E81" s="47" t="s">
        <v>6394</v>
      </c>
      <c r="F81" s="47" t="s">
        <v>8781</v>
      </c>
      <c r="G81" s="195">
        <v>46318</v>
      </c>
      <c r="H81" s="47" t="s">
        <v>8787</v>
      </c>
      <c r="I81" s="47" t="s">
        <v>8783</v>
      </c>
      <c r="J81" s="47" t="s">
        <v>6394</v>
      </c>
    </row>
    <row r="82" spans="2:10" ht="14.5">
      <c r="B82" s="47" t="s">
        <v>6235</v>
      </c>
      <c r="C82" s="47" t="s">
        <v>8779</v>
      </c>
      <c r="D82" s="47" t="s">
        <v>8879</v>
      </c>
      <c r="E82" s="47" t="s">
        <v>6233</v>
      </c>
      <c r="F82" s="47" t="s">
        <v>8781</v>
      </c>
      <c r="G82" s="195">
        <v>46294</v>
      </c>
      <c r="H82" s="47" t="s">
        <v>8782</v>
      </c>
      <c r="I82" s="47" t="s">
        <v>8783</v>
      </c>
      <c r="J82" s="47" t="s">
        <v>6233</v>
      </c>
    </row>
    <row r="83" spans="2:10" ht="14.5">
      <c r="B83" s="47" t="s">
        <v>6264</v>
      </c>
      <c r="C83" s="47" t="s">
        <v>64</v>
      </c>
      <c r="D83" s="47" t="s">
        <v>8880</v>
      </c>
      <c r="E83" s="47" t="s">
        <v>6263</v>
      </c>
      <c r="F83" s="47" t="s">
        <v>8781</v>
      </c>
      <c r="G83" s="195">
        <v>46305</v>
      </c>
      <c r="H83" s="47" t="s">
        <v>8787</v>
      </c>
      <c r="I83" s="47" t="s">
        <v>8783</v>
      </c>
      <c r="J83" s="47" t="s">
        <v>6263</v>
      </c>
    </row>
    <row r="84" spans="2:10" ht="14.5">
      <c r="B84" s="47" t="s">
        <v>6413</v>
      </c>
      <c r="C84" s="47" t="s">
        <v>64</v>
      </c>
      <c r="D84" s="47" t="s">
        <v>8881</v>
      </c>
      <c r="E84" s="47" t="s">
        <v>6412</v>
      </c>
      <c r="F84" s="47" t="s">
        <v>8781</v>
      </c>
      <c r="G84" s="195">
        <v>46329</v>
      </c>
      <c r="H84" s="47" t="s">
        <v>8787</v>
      </c>
      <c r="I84" s="47" t="s">
        <v>8783</v>
      </c>
      <c r="J84" s="47" t="s">
        <v>6412</v>
      </c>
    </row>
    <row r="85" spans="2:10" ht="14.5">
      <c r="B85" s="47" t="s">
        <v>6189</v>
      </c>
      <c r="C85" s="47" t="s">
        <v>64</v>
      </c>
      <c r="D85" s="47" t="s">
        <v>8882</v>
      </c>
      <c r="E85" s="47" t="s">
        <v>6188</v>
      </c>
      <c r="F85" s="47" t="s">
        <v>8781</v>
      </c>
      <c r="G85" s="195">
        <v>46311</v>
      </c>
      <c r="H85" s="47" t="s">
        <v>8787</v>
      </c>
      <c r="I85" s="47" t="s">
        <v>8783</v>
      </c>
      <c r="J85" s="47" t="s">
        <v>6188</v>
      </c>
    </row>
    <row r="86" spans="2:10" ht="14.5">
      <c r="B86" s="47" t="s">
        <v>6232</v>
      </c>
      <c r="C86" s="47" t="s">
        <v>64</v>
      </c>
      <c r="D86" s="47" t="s">
        <v>8883</v>
      </c>
      <c r="E86" s="47" t="s">
        <v>6231</v>
      </c>
      <c r="F86" s="47" t="s">
        <v>8781</v>
      </c>
      <c r="G86" s="195">
        <v>46306</v>
      </c>
      <c r="H86" s="47" t="s">
        <v>8787</v>
      </c>
      <c r="I86" s="47" t="s">
        <v>8783</v>
      </c>
      <c r="J86" s="47" t="s">
        <v>6231</v>
      </c>
    </row>
    <row r="87" spans="2:10" ht="14.5">
      <c r="B87" s="47" t="s">
        <v>6230</v>
      </c>
      <c r="C87" s="47" t="s">
        <v>64</v>
      </c>
      <c r="D87" s="47" t="s">
        <v>8884</v>
      </c>
      <c r="E87" s="47" t="s">
        <v>6228</v>
      </c>
      <c r="F87" s="47" t="s">
        <v>8781</v>
      </c>
      <c r="G87" s="195">
        <v>46306</v>
      </c>
      <c r="H87" s="47" t="s">
        <v>8787</v>
      </c>
      <c r="I87" s="47" t="s">
        <v>8783</v>
      </c>
      <c r="J87" s="47" t="s">
        <v>6228</v>
      </c>
    </row>
    <row r="88" spans="2:10" ht="14.5">
      <c r="B88" s="47" t="s">
        <v>5738</v>
      </c>
      <c r="C88" s="47" t="s">
        <v>64</v>
      </c>
      <c r="D88" s="47" t="s">
        <v>8885</v>
      </c>
      <c r="E88" s="47" t="s">
        <v>5737</v>
      </c>
      <c r="F88" s="47" t="s">
        <v>8781</v>
      </c>
      <c r="G88" s="195">
        <v>46322</v>
      </c>
      <c r="H88" s="47" t="s">
        <v>8787</v>
      </c>
      <c r="I88" s="47" t="s">
        <v>8783</v>
      </c>
      <c r="J88" s="47" t="s">
        <v>5737</v>
      </c>
    </row>
    <row r="89" spans="2:10" ht="14.5">
      <c r="B89" s="47" t="s">
        <v>6239</v>
      </c>
      <c r="C89" s="47" t="s">
        <v>8779</v>
      </c>
      <c r="D89" s="47" t="s">
        <v>8886</v>
      </c>
      <c r="E89" s="47" t="s">
        <v>6238</v>
      </c>
      <c r="F89" s="47" t="s">
        <v>8781</v>
      </c>
      <c r="G89" s="195">
        <v>46305</v>
      </c>
      <c r="H89" s="47" t="s">
        <v>8782</v>
      </c>
      <c r="I89" s="47" t="s">
        <v>8783</v>
      </c>
      <c r="J89" s="47" t="s">
        <v>6238</v>
      </c>
    </row>
    <row r="90" spans="2:10" ht="14.5">
      <c r="B90" s="47" t="s">
        <v>6391</v>
      </c>
      <c r="C90" s="47" t="s">
        <v>64</v>
      </c>
      <c r="D90" s="47" t="s">
        <v>8887</v>
      </c>
      <c r="E90" s="47" t="s">
        <v>6390</v>
      </c>
      <c r="F90" s="47" t="s">
        <v>8781</v>
      </c>
      <c r="G90" s="195">
        <v>46310</v>
      </c>
      <c r="H90" s="47" t="s">
        <v>8787</v>
      </c>
      <c r="I90" s="47" t="s">
        <v>8783</v>
      </c>
      <c r="J90" s="47" t="s">
        <v>6390</v>
      </c>
    </row>
    <row r="91" spans="2:10" ht="14.5">
      <c r="B91" s="47" t="s">
        <v>6259</v>
      </c>
      <c r="C91" s="47" t="s">
        <v>64</v>
      </c>
      <c r="D91" s="47" t="s">
        <v>8888</v>
      </c>
      <c r="E91" s="47" t="s">
        <v>6258</v>
      </c>
      <c r="F91" s="47" t="s">
        <v>8781</v>
      </c>
      <c r="G91" s="195">
        <v>46305</v>
      </c>
      <c r="H91" s="47" t="s">
        <v>8787</v>
      </c>
      <c r="I91" s="47" t="s">
        <v>8783</v>
      </c>
      <c r="J91" s="47" t="s">
        <v>6258</v>
      </c>
    </row>
    <row r="92" spans="2:10" ht="14.5">
      <c r="B92" s="47" t="s">
        <v>6417</v>
      </c>
      <c r="C92" s="47" t="s">
        <v>64</v>
      </c>
      <c r="D92" s="47" t="s">
        <v>8889</v>
      </c>
      <c r="E92" s="47" t="s">
        <v>6416</v>
      </c>
      <c r="F92" s="47" t="s">
        <v>8781</v>
      </c>
      <c r="G92" s="195">
        <v>46329</v>
      </c>
      <c r="H92" s="47" t="s">
        <v>8787</v>
      </c>
      <c r="I92" s="47" t="s">
        <v>8783</v>
      </c>
      <c r="J92" s="47" t="s">
        <v>6416</v>
      </c>
    </row>
    <row r="93" spans="2:10" ht="14.5">
      <c r="B93" s="47" t="s">
        <v>6191</v>
      </c>
      <c r="C93" s="47" t="s">
        <v>64</v>
      </c>
      <c r="D93" s="47" t="s">
        <v>8890</v>
      </c>
      <c r="E93" s="47" t="s">
        <v>6190</v>
      </c>
      <c r="F93" s="47" t="s">
        <v>8781</v>
      </c>
      <c r="G93" s="195">
        <v>46328</v>
      </c>
      <c r="H93" s="47" t="s">
        <v>8787</v>
      </c>
      <c r="I93" s="47" t="s">
        <v>8783</v>
      </c>
      <c r="J93" s="47" t="s">
        <v>6190</v>
      </c>
    </row>
    <row r="94" spans="2:10" ht="14.5">
      <c r="B94" s="47" t="s">
        <v>5746</v>
      </c>
      <c r="C94" s="47" t="s">
        <v>64</v>
      </c>
      <c r="D94" s="47" t="s">
        <v>8891</v>
      </c>
      <c r="E94" s="47" t="s">
        <v>5743</v>
      </c>
      <c r="F94" s="47" t="s">
        <v>8781</v>
      </c>
      <c r="G94" s="195">
        <v>46322</v>
      </c>
      <c r="H94" s="47" t="s">
        <v>8787</v>
      </c>
      <c r="I94" s="47" t="s">
        <v>8783</v>
      </c>
      <c r="J94" s="47" t="s">
        <v>5743</v>
      </c>
    </row>
    <row r="95" spans="2:10" ht="14.5">
      <c r="B95" s="47" t="s">
        <v>6386</v>
      </c>
      <c r="C95" s="47" t="s">
        <v>64</v>
      </c>
      <c r="D95" s="47" t="s">
        <v>8892</v>
      </c>
      <c r="E95" s="47" t="s">
        <v>6385</v>
      </c>
      <c r="F95" s="47" t="s">
        <v>8781</v>
      </c>
      <c r="G95" s="195">
        <v>46310</v>
      </c>
      <c r="H95" s="47" t="s">
        <v>8787</v>
      </c>
      <c r="I95" s="47" t="s">
        <v>8783</v>
      </c>
      <c r="J95" s="47" t="s">
        <v>6385</v>
      </c>
    </row>
    <row r="96" spans="2:10" ht="14.5">
      <c r="B96" s="47" t="s">
        <v>6017</v>
      </c>
      <c r="C96" s="47" t="s">
        <v>64</v>
      </c>
      <c r="D96" s="47" t="s">
        <v>8893</v>
      </c>
      <c r="E96" s="47" t="s">
        <v>6016</v>
      </c>
      <c r="F96" s="47" t="s">
        <v>8781</v>
      </c>
      <c r="G96" s="195">
        <v>46311</v>
      </c>
      <c r="H96" s="47" t="s">
        <v>8787</v>
      </c>
      <c r="I96" s="47" t="s">
        <v>8783</v>
      </c>
      <c r="J96" s="47" t="s">
        <v>6016</v>
      </c>
    </row>
    <row r="97" spans="2:10" ht="14.5">
      <c r="B97" s="47" t="s">
        <v>6201</v>
      </c>
      <c r="C97" s="47" t="s">
        <v>64</v>
      </c>
      <c r="D97" s="47" t="s">
        <v>8894</v>
      </c>
      <c r="E97" s="47" t="s">
        <v>6200</v>
      </c>
      <c r="F97" s="47" t="s">
        <v>8781</v>
      </c>
      <c r="G97" s="195">
        <v>46328</v>
      </c>
      <c r="H97" s="47" t="s">
        <v>8787</v>
      </c>
      <c r="I97" s="47" t="s">
        <v>8783</v>
      </c>
      <c r="J97" s="47" t="s">
        <v>6200</v>
      </c>
    </row>
    <row r="98" spans="2:10" ht="14.5">
      <c r="B98" s="47" t="s">
        <v>6432</v>
      </c>
      <c r="C98" s="47" t="s">
        <v>64</v>
      </c>
      <c r="D98" s="47" t="s">
        <v>8895</v>
      </c>
      <c r="E98" s="47" t="s">
        <v>6430</v>
      </c>
      <c r="F98" s="47" t="s">
        <v>8781</v>
      </c>
      <c r="G98" s="195">
        <v>46336</v>
      </c>
      <c r="H98" s="47" t="s">
        <v>8787</v>
      </c>
      <c r="I98" s="47" t="s">
        <v>8783</v>
      </c>
      <c r="J98" s="47" t="s">
        <v>6430</v>
      </c>
    </row>
    <row r="99" spans="2:10" ht="14.5">
      <c r="B99" s="47" t="s">
        <v>6021</v>
      </c>
      <c r="C99" s="47" t="s">
        <v>64</v>
      </c>
      <c r="D99" s="47" t="s">
        <v>8896</v>
      </c>
      <c r="E99" s="47" t="s">
        <v>6020</v>
      </c>
      <c r="F99" s="47" t="s">
        <v>8781</v>
      </c>
      <c r="G99" s="195">
        <v>46303</v>
      </c>
      <c r="H99" s="47" t="s">
        <v>8787</v>
      </c>
      <c r="I99" s="47" t="s">
        <v>8783</v>
      </c>
      <c r="J99" s="47" t="s">
        <v>6020</v>
      </c>
    </row>
    <row r="100" spans="2:10" ht="14.5">
      <c r="B100" s="47" t="s">
        <v>5733</v>
      </c>
      <c r="C100" s="47" t="s">
        <v>64</v>
      </c>
      <c r="D100" s="47" t="s">
        <v>8897</v>
      </c>
      <c r="E100" s="47" t="s">
        <v>5732</v>
      </c>
      <c r="F100" s="47" t="s">
        <v>8781</v>
      </c>
      <c r="G100" s="195">
        <v>46321</v>
      </c>
      <c r="H100" s="47" t="s">
        <v>8787</v>
      </c>
      <c r="I100" s="47" t="s">
        <v>8783</v>
      </c>
      <c r="J100" s="47" t="s">
        <v>5732</v>
      </c>
    </row>
    <row r="101" spans="2:10" ht="14.5">
      <c r="B101" s="47" t="s">
        <v>6081</v>
      </c>
      <c r="C101" s="47" t="s">
        <v>64</v>
      </c>
      <c r="D101" s="47" t="s">
        <v>8898</v>
      </c>
      <c r="E101" s="47" t="s">
        <v>6080</v>
      </c>
      <c r="F101" s="47" t="s">
        <v>8781</v>
      </c>
      <c r="G101" s="195">
        <v>46316</v>
      </c>
      <c r="H101" s="47" t="s">
        <v>8787</v>
      </c>
      <c r="I101" s="47" t="s">
        <v>8783</v>
      </c>
      <c r="J101" s="47" t="s">
        <v>6080</v>
      </c>
    </row>
    <row r="102" spans="2:10" ht="14.5">
      <c r="B102" s="47" t="s">
        <v>5742</v>
      </c>
      <c r="C102" s="47" t="s">
        <v>64</v>
      </c>
      <c r="D102" s="47" t="s">
        <v>8899</v>
      </c>
      <c r="E102" s="47" t="s">
        <v>5741</v>
      </c>
      <c r="F102" s="47" t="s">
        <v>8781</v>
      </c>
      <c r="G102" s="195">
        <v>46322</v>
      </c>
      <c r="H102" s="47" t="s">
        <v>8787</v>
      </c>
      <c r="I102" s="47" t="s">
        <v>8783</v>
      </c>
      <c r="J102" s="47" t="s">
        <v>5741</v>
      </c>
    </row>
    <row r="103" spans="2:10" ht="14.5">
      <c r="B103" s="47" t="s">
        <v>6106</v>
      </c>
      <c r="C103" s="47" t="s">
        <v>64</v>
      </c>
      <c r="D103" s="47" t="s">
        <v>8900</v>
      </c>
      <c r="E103" s="47" t="s">
        <v>6105</v>
      </c>
      <c r="F103" s="47" t="s">
        <v>8781</v>
      </c>
      <c r="G103" s="195">
        <v>46321</v>
      </c>
      <c r="H103" s="47" t="s">
        <v>8787</v>
      </c>
      <c r="I103" s="47" t="s">
        <v>8783</v>
      </c>
      <c r="J103" s="47" t="s">
        <v>6105</v>
      </c>
    </row>
    <row r="104" spans="2:10" ht="14.5">
      <c r="B104" s="47" t="s">
        <v>6141</v>
      </c>
      <c r="C104" s="47" t="s">
        <v>64</v>
      </c>
      <c r="D104" s="47" t="s">
        <v>8901</v>
      </c>
      <c r="E104" s="47" t="s">
        <v>6140</v>
      </c>
      <c r="F104" s="47" t="s">
        <v>8781</v>
      </c>
      <c r="G104" s="195">
        <v>46310</v>
      </c>
      <c r="H104" s="47" t="s">
        <v>8787</v>
      </c>
      <c r="I104" s="47" t="s">
        <v>8783</v>
      </c>
      <c r="J104" s="47" t="s">
        <v>6140</v>
      </c>
    </row>
    <row r="105" spans="2:10" ht="14.5">
      <c r="B105" s="47" t="s">
        <v>6306</v>
      </c>
      <c r="C105" s="47" t="s">
        <v>64</v>
      </c>
      <c r="D105" s="47" t="s">
        <v>8902</v>
      </c>
      <c r="E105" s="47" t="s">
        <v>6305</v>
      </c>
      <c r="F105" s="47" t="s">
        <v>8781</v>
      </c>
      <c r="G105" s="195">
        <v>46321</v>
      </c>
      <c r="H105" s="47" t="s">
        <v>8787</v>
      </c>
      <c r="I105" s="47" t="s">
        <v>8783</v>
      </c>
      <c r="J105" s="47" t="s">
        <v>6305</v>
      </c>
    </row>
    <row r="106" spans="2:10" ht="14.5">
      <c r="B106" s="47" t="s">
        <v>6344</v>
      </c>
      <c r="C106" s="47" t="s">
        <v>64</v>
      </c>
      <c r="D106" s="47" t="s">
        <v>8903</v>
      </c>
      <c r="E106" s="47" t="s">
        <v>6343</v>
      </c>
      <c r="F106" s="47" t="s">
        <v>8781</v>
      </c>
      <c r="G106" s="195">
        <v>46310</v>
      </c>
      <c r="H106" s="47" t="s">
        <v>8787</v>
      </c>
      <c r="I106" s="47" t="s">
        <v>8783</v>
      </c>
      <c r="J106" s="47" t="s">
        <v>6343</v>
      </c>
    </row>
    <row r="107" spans="2:10" ht="14.5">
      <c r="B107" s="47" t="s">
        <v>6272</v>
      </c>
      <c r="C107" s="47" t="s">
        <v>8779</v>
      </c>
      <c r="D107" s="47" t="s">
        <v>8904</v>
      </c>
      <c r="E107" s="47" t="s">
        <v>6270</v>
      </c>
      <c r="F107" s="47" t="s">
        <v>8781</v>
      </c>
      <c r="G107" s="195">
        <v>46298</v>
      </c>
      <c r="H107" s="47" t="s">
        <v>8782</v>
      </c>
      <c r="I107" s="47" t="s">
        <v>8783</v>
      </c>
      <c r="J107" s="47" t="s">
        <v>6270</v>
      </c>
    </row>
    <row r="108" spans="2:10" ht="14.5">
      <c r="B108" s="47" t="s">
        <v>6393</v>
      </c>
      <c r="C108" s="47" t="s">
        <v>64</v>
      </c>
      <c r="D108" s="47" t="s">
        <v>8905</v>
      </c>
      <c r="E108" s="47" t="s">
        <v>6392</v>
      </c>
      <c r="F108" s="47" t="s">
        <v>8781</v>
      </c>
      <c r="G108" s="195">
        <v>46310</v>
      </c>
      <c r="H108" s="47" t="s">
        <v>8787</v>
      </c>
      <c r="I108" s="47" t="s">
        <v>8783</v>
      </c>
      <c r="J108" s="47" t="s">
        <v>6392</v>
      </c>
    </row>
    <row r="109" spans="2:10" ht="14.5">
      <c r="B109" s="47" t="s">
        <v>6184</v>
      </c>
      <c r="C109" s="47" t="s">
        <v>64</v>
      </c>
      <c r="D109" s="47" t="s">
        <v>8906</v>
      </c>
      <c r="E109" s="47" t="s">
        <v>6183</v>
      </c>
      <c r="F109" s="47" t="s">
        <v>8781</v>
      </c>
      <c r="G109" s="195">
        <v>46305</v>
      </c>
      <c r="H109" s="47" t="s">
        <v>8787</v>
      </c>
      <c r="I109" s="47" t="s">
        <v>8783</v>
      </c>
      <c r="J109" s="47"/>
    </row>
    <row r="110" spans="2:10" ht="14.5">
      <c r="B110" s="47" t="s">
        <v>6195</v>
      </c>
      <c r="C110" s="47" t="s">
        <v>64</v>
      </c>
      <c r="D110" s="47" t="s">
        <v>8907</v>
      </c>
      <c r="E110" s="47" t="s">
        <v>6194</v>
      </c>
      <c r="F110" s="47" t="s">
        <v>8781</v>
      </c>
      <c r="G110" s="195">
        <v>46328</v>
      </c>
      <c r="H110" s="47" t="s">
        <v>8787</v>
      </c>
      <c r="I110" s="47" t="s">
        <v>8783</v>
      </c>
      <c r="J110" s="47" t="s">
        <v>6194</v>
      </c>
    </row>
    <row r="111" spans="2:10" ht="14.5">
      <c r="B111" s="47" t="s">
        <v>5954</v>
      </c>
      <c r="C111" s="47" t="s">
        <v>64</v>
      </c>
      <c r="D111" s="47" t="s">
        <v>8908</v>
      </c>
      <c r="E111" s="47" t="s">
        <v>5951</v>
      </c>
      <c r="F111" s="47" t="s">
        <v>8781</v>
      </c>
      <c r="G111" s="195">
        <v>46309</v>
      </c>
      <c r="H111" s="47" t="s">
        <v>8787</v>
      </c>
      <c r="I111" s="47" t="s">
        <v>8783</v>
      </c>
      <c r="J111" s="47" t="s">
        <v>5951</v>
      </c>
    </row>
    <row r="112" spans="2:10" ht="14.5">
      <c r="B112" s="47" t="s">
        <v>6098</v>
      </c>
      <c r="C112" s="47" t="s">
        <v>64</v>
      </c>
      <c r="D112" s="47" t="s">
        <v>8909</v>
      </c>
      <c r="E112" s="47" t="s">
        <v>6097</v>
      </c>
      <c r="F112" s="47" t="s">
        <v>8781</v>
      </c>
      <c r="G112" s="195">
        <v>46320</v>
      </c>
      <c r="H112" s="47" t="s">
        <v>8787</v>
      </c>
      <c r="I112" s="47" t="s">
        <v>8783</v>
      </c>
      <c r="J112" s="47" t="s">
        <v>6097</v>
      </c>
    </row>
    <row r="113" spans="2:10" ht="14.5">
      <c r="B113" s="47" t="s">
        <v>6104</v>
      </c>
      <c r="C113" s="47" t="s">
        <v>64</v>
      </c>
      <c r="D113" s="47" t="s">
        <v>8910</v>
      </c>
      <c r="E113" s="47" t="s">
        <v>6103</v>
      </c>
      <c r="F113" s="47" t="s">
        <v>8781</v>
      </c>
      <c r="G113" s="195">
        <v>46320</v>
      </c>
      <c r="H113" s="47" t="s">
        <v>8787</v>
      </c>
      <c r="I113" s="47" t="s">
        <v>8783</v>
      </c>
      <c r="J113" s="47" t="s">
        <v>6103</v>
      </c>
    </row>
    <row r="114" spans="2:10" ht="14.5">
      <c r="B114" s="47" t="s">
        <v>6102</v>
      </c>
      <c r="C114" s="47" t="s">
        <v>64</v>
      </c>
      <c r="D114" s="47" t="s">
        <v>8911</v>
      </c>
      <c r="E114" s="47" t="s">
        <v>6101</v>
      </c>
      <c r="F114" s="47" t="s">
        <v>8781</v>
      </c>
      <c r="G114" s="195">
        <v>46320</v>
      </c>
      <c r="H114" s="47" t="s">
        <v>8787</v>
      </c>
      <c r="I114" s="47" t="s">
        <v>8783</v>
      </c>
      <c r="J114" s="47" t="s">
        <v>6101</v>
      </c>
    </row>
    <row r="115" spans="2:10" ht="14.5">
      <c r="B115" s="47" t="s">
        <v>6197</v>
      </c>
      <c r="C115" s="47" t="s">
        <v>64</v>
      </c>
      <c r="D115" s="47" t="s">
        <v>8912</v>
      </c>
      <c r="E115" s="47" t="s">
        <v>6196</v>
      </c>
      <c r="F115" s="47" t="s">
        <v>8781</v>
      </c>
      <c r="G115" s="195">
        <v>46328</v>
      </c>
      <c r="H115" s="47" t="s">
        <v>8787</v>
      </c>
      <c r="I115" s="47" t="s">
        <v>8783</v>
      </c>
      <c r="J115" s="47" t="s">
        <v>6196</v>
      </c>
    </row>
    <row r="116" spans="2:10" ht="14.5">
      <c r="B116" s="47" t="s">
        <v>5956</v>
      </c>
      <c r="C116" s="47" t="s">
        <v>64</v>
      </c>
      <c r="D116" s="47" t="s">
        <v>8913</v>
      </c>
      <c r="E116" s="47" t="s">
        <v>5955</v>
      </c>
      <c r="F116" s="47" t="s">
        <v>8781</v>
      </c>
      <c r="G116" s="195">
        <v>46309</v>
      </c>
      <c r="H116" s="47" t="s">
        <v>8787</v>
      </c>
      <c r="I116" s="47" t="s">
        <v>8783</v>
      </c>
      <c r="J116" s="47" t="s">
        <v>5955</v>
      </c>
    </row>
    <row r="117" spans="2:10" ht="14.5">
      <c r="B117" s="47" t="s">
        <v>6277</v>
      </c>
      <c r="C117" s="47" t="s">
        <v>8779</v>
      </c>
      <c r="D117" s="47" t="s">
        <v>8914</v>
      </c>
      <c r="E117" s="47" t="s">
        <v>6275</v>
      </c>
      <c r="F117" s="47" t="s">
        <v>8781</v>
      </c>
      <c r="G117" s="195">
        <v>46298</v>
      </c>
      <c r="H117" s="47" t="s">
        <v>8782</v>
      </c>
      <c r="I117" s="47" t="s">
        <v>8783</v>
      </c>
      <c r="J117" s="47" t="s">
        <v>6275</v>
      </c>
    </row>
    <row r="118" spans="2:10" ht="14.5">
      <c r="B118" s="47" t="s">
        <v>6076</v>
      </c>
      <c r="C118" s="47" t="s">
        <v>64</v>
      </c>
      <c r="D118" s="47" t="s">
        <v>8915</v>
      </c>
      <c r="E118" s="47" t="s">
        <v>6075</v>
      </c>
      <c r="F118" s="47" t="s">
        <v>8781</v>
      </c>
      <c r="G118" s="195">
        <v>46316</v>
      </c>
      <c r="H118" s="47" t="s">
        <v>8787</v>
      </c>
      <c r="I118" s="47" t="s">
        <v>8783</v>
      </c>
      <c r="J118" s="47" t="s">
        <v>6075</v>
      </c>
    </row>
    <row r="119" spans="2:10" ht="14.5">
      <c r="B119" s="47" t="s">
        <v>5948</v>
      </c>
      <c r="C119" s="47" t="s">
        <v>64</v>
      </c>
      <c r="D119" s="47" t="s">
        <v>8916</v>
      </c>
      <c r="E119" s="47" t="s">
        <v>5947</v>
      </c>
      <c r="F119" s="47" t="s">
        <v>8781</v>
      </c>
      <c r="G119" s="195">
        <v>46309</v>
      </c>
      <c r="H119" s="47" t="s">
        <v>8787</v>
      </c>
      <c r="I119" s="47" t="s">
        <v>8783</v>
      </c>
      <c r="J119" s="47" t="s">
        <v>5947</v>
      </c>
    </row>
    <row r="120" spans="2:10" ht="14.5">
      <c r="B120" s="47" t="s">
        <v>6420</v>
      </c>
      <c r="C120" s="47" t="s">
        <v>8779</v>
      </c>
      <c r="D120" s="47" t="s">
        <v>8917</v>
      </c>
      <c r="E120" s="47" t="s">
        <v>6418</v>
      </c>
      <c r="F120" s="47" t="s">
        <v>8781</v>
      </c>
      <c r="G120" s="195">
        <v>46316</v>
      </c>
      <c r="H120" s="47" t="s">
        <v>8782</v>
      </c>
      <c r="I120" s="47" t="s">
        <v>8783</v>
      </c>
      <c r="J120" s="47" t="s">
        <v>6418</v>
      </c>
    </row>
    <row r="121" spans="2:10" ht="14.5">
      <c r="B121" s="47" t="s">
        <v>6247</v>
      </c>
      <c r="C121" s="47" t="s">
        <v>8779</v>
      </c>
      <c r="D121" s="47" t="s">
        <v>8918</v>
      </c>
      <c r="E121" s="47" t="s">
        <v>6243</v>
      </c>
      <c r="F121" s="47" t="s">
        <v>8781</v>
      </c>
      <c r="G121" s="195">
        <v>46305</v>
      </c>
      <c r="H121" s="47" t="s">
        <v>8782</v>
      </c>
      <c r="I121" s="47" t="s">
        <v>8783</v>
      </c>
      <c r="J121" s="47" t="s">
        <v>6243</v>
      </c>
    </row>
    <row r="122" spans="2:10" ht="14.5">
      <c r="B122" s="47" t="s">
        <v>6014</v>
      </c>
      <c r="C122" s="47" t="s">
        <v>8779</v>
      </c>
      <c r="D122" s="47" t="s">
        <v>8919</v>
      </c>
      <c r="E122" s="47" t="s">
        <v>6013</v>
      </c>
      <c r="F122" s="47" t="s">
        <v>8781</v>
      </c>
      <c r="G122" s="195">
        <v>46287</v>
      </c>
      <c r="H122" s="47" t="s">
        <v>8782</v>
      </c>
      <c r="I122" s="47" t="s">
        <v>8783</v>
      </c>
      <c r="J122" s="47" t="s">
        <v>6013</v>
      </c>
    </row>
    <row r="123" spans="2:10" ht="14.5">
      <c r="B123" s="47" t="s">
        <v>5349</v>
      </c>
      <c r="C123" s="47" t="s">
        <v>64</v>
      </c>
      <c r="D123" s="47" t="s">
        <v>8920</v>
      </c>
      <c r="E123" s="47"/>
      <c r="F123" s="47" t="s">
        <v>8781</v>
      </c>
      <c r="G123" s="195">
        <v>46267</v>
      </c>
      <c r="H123" s="47" t="s">
        <v>8787</v>
      </c>
      <c r="I123" s="47" t="s">
        <v>8783</v>
      </c>
      <c r="J123" s="47" t="s">
        <v>8921</v>
      </c>
    </row>
    <row r="124" spans="2:10" ht="14.5">
      <c r="B124" s="47" t="s">
        <v>6145</v>
      </c>
      <c r="C124" s="47" t="s">
        <v>64</v>
      </c>
      <c r="D124" s="47" t="s">
        <v>8922</v>
      </c>
      <c r="E124" s="47" t="s">
        <v>6144</v>
      </c>
      <c r="F124" s="47" t="s">
        <v>8781</v>
      </c>
      <c r="G124" s="195">
        <v>46303</v>
      </c>
      <c r="H124" s="47" t="s">
        <v>8787</v>
      </c>
      <c r="I124" s="47" t="s">
        <v>8783</v>
      </c>
      <c r="J124" s="47" t="s">
        <v>6144</v>
      </c>
    </row>
    <row r="125" spans="2:10" ht="14.5">
      <c r="B125" s="47" t="s">
        <v>6002</v>
      </c>
      <c r="C125" s="47" t="s">
        <v>64</v>
      </c>
      <c r="D125" s="47" t="s">
        <v>8923</v>
      </c>
      <c r="E125" s="47" t="s">
        <v>6001</v>
      </c>
      <c r="F125" s="47" t="s">
        <v>8781</v>
      </c>
      <c r="G125" s="195">
        <v>46309</v>
      </c>
      <c r="H125" s="47" t="s">
        <v>8787</v>
      </c>
      <c r="I125" s="47" t="s">
        <v>8783</v>
      </c>
      <c r="J125" s="47" t="s">
        <v>6001</v>
      </c>
    </row>
    <row r="126" spans="2:10" ht="14.5">
      <c r="B126" s="47" t="s">
        <v>5863</v>
      </c>
      <c r="C126" s="47" t="s">
        <v>64</v>
      </c>
      <c r="D126" s="47" t="s">
        <v>8924</v>
      </c>
      <c r="E126" s="47" t="s">
        <v>5858</v>
      </c>
      <c r="F126" s="47" t="s">
        <v>8781</v>
      </c>
      <c r="G126" s="195">
        <v>46303</v>
      </c>
      <c r="H126" s="47" t="s">
        <v>8787</v>
      </c>
      <c r="I126" s="47" t="s">
        <v>8783</v>
      </c>
      <c r="J126" s="47" t="s">
        <v>5858</v>
      </c>
    </row>
    <row r="127" spans="2:10" ht="14.5">
      <c r="B127" s="47" t="s">
        <v>5938</v>
      </c>
      <c r="C127" s="47" t="s">
        <v>8779</v>
      </c>
      <c r="D127" s="47" t="s">
        <v>8925</v>
      </c>
      <c r="E127" s="47" t="s">
        <v>5937</v>
      </c>
      <c r="F127" s="47" t="s">
        <v>8781</v>
      </c>
      <c r="G127" s="195">
        <v>46282</v>
      </c>
      <c r="H127" s="47" t="s">
        <v>8782</v>
      </c>
      <c r="I127" s="47" t="s">
        <v>8783</v>
      </c>
      <c r="J127" s="47" t="s">
        <v>5937</v>
      </c>
    </row>
    <row r="128" spans="2:10" ht="14.5">
      <c r="B128" s="47" t="s">
        <v>6032</v>
      </c>
      <c r="C128" s="47" t="s">
        <v>64</v>
      </c>
      <c r="D128" s="47" t="s">
        <v>8926</v>
      </c>
      <c r="E128" s="47" t="s">
        <v>6030</v>
      </c>
      <c r="F128" s="47" t="s">
        <v>8781</v>
      </c>
      <c r="G128" s="195">
        <v>46303</v>
      </c>
      <c r="H128" s="47" t="s">
        <v>8787</v>
      </c>
      <c r="I128" s="47" t="s">
        <v>8783</v>
      </c>
      <c r="J128" s="47" t="s">
        <v>6030</v>
      </c>
    </row>
    <row r="129" spans="2:10" ht="14.5">
      <c r="B129" s="47" t="s">
        <v>6042</v>
      </c>
      <c r="C129" s="47" t="s">
        <v>64</v>
      </c>
      <c r="D129" s="47" t="s">
        <v>8927</v>
      </c>
      <c r="E129" s="47" t="s">
        <v>6041</v>
      </c>
      <c r="F129" s="47" t="s">
        <v>8781</v>
      </c>
      <c r="G129" s="195">
        <v>46300</v>
      </c>
      <c r="H129" s="47" t="s">
        <v>8787</v>
      </c>
      <c r="I129" s="47" t="s">
        <v>8783</v>
      </c>
      <c r="J129" s="47" t="s">
        <v>6041</v>
      </c>
    </row>
    <row r="130" spans="2:10" ht="14.5">
      <c r="B130" s="47" t="s">
        <v>5846</v>
      </c>
      <c r="C130" s="47" t="s">
        <v>8779</v>
      </c>
      <c r="D130" s="47" t="s">
        <v>8928</v>
      </c>
      <c r="E130" s="47" t="s">
        <v>5845</v>
      </c>
      <c r="F130" s="47" t="s">
        <v>8781</v>
      </c>
      <c r="G130" s="195">
        <v>46315</v>
      </c>
      <c r="H130" s="47" t="s">
        <v>8782</v>
      </c>
      <c r="I130" s="47" t="s">
        <v>8783</v>
      </c>
      <c r="J130" s="47" t="s">
        <v>5845</v>
      </c>
    </row>
    <row r="131" spans="2:10" ht="14.5">
      <c r="B131" s="47" t="s">
        <v>8929</v>
      </c>
      <c r="C131" s="47" t="s">
        <v>64</v>
      </c>
      <c r="D131" s="47" t="s">
        <v>8809</v>
      </c>
      <c r="E131" s="47" t="s">
        <v>6064</v>
      </c>
      <c r="F131" s="47" t="s">
        <v>8781</v>
      </c>
      <c r="G131" s="195">
        <v>46300</v>
      </c>
      <c r="H131" s="47" t="s">
        <v>8930</v>
      </c>
      <c r="I131" s="47" t="s">
        <v>8783</v>
      </c>
      <c r="J131" s="47" t="s">
        <v>6064</v>
      </c>
    </row>
    <row r="132" spans="2:10" ht="14.5">
      <c r="B132" s="47" t="s">
        <v>6061</v>
      </c>
      <c r="C132" s="47" t="s">
        <v>64</v>
      </c>
      <c r="D132" s="47" t="s">
        <v>8931</v>
      </c>
      <c r="E132" s="47" t="s">
        <v>6060</v>
      </c>
      <c r="F132" s="47" t="s">
        <v>8781</v>
      </c>
      <c r="G132" s="195">
        <v>46300</v>
      </c>
      <c r="H132" s="47" t="s">
        <v>8787</v>
      </c>
      <c r="I132" s="47" t="s">
        <v>8783</v>
      </c>
      <c r="J132" s="47" t="s">
        <v>6060</v>
      </c>
    </row>
    <row r="133" spans="2:10" ht="14.5">
      <c r="B133" s="47" t="s">
        <v>6040</v>
      </c>
      <c r="C133" s="47" t="s">
        <v>64</v>
      </c>
      <c r="D133" s="47" t="s">
        <v>8932</v>
      </c>
      <c r="E133" s="47" t="s">
        <v>6039</v>
      </c>
      <c r="F133" s="47" t="s">
        <v>8781</v>
      </c>
      <c r="G133" s="195">
        <v>46300</v>
      </c>
      <c r="H133" s="47" t="s">
        <v>8787</v>
      </c>
      <c r="I133" s="47" t="s">
        <v>8783</v>
      </c>
      <c r="J133" s="47" t="s">
        <v>6039</v>
      </c>
    </row>
    <row r="134" spans="2:10" ht="14.5">
      <c r="B134" s="47" t="s">
        <v>6036</v>
      </c>
      <c r="C134" s="47" t="s">
        <v>64</v>
      </c>
      <c r="D134" s="47" t="s">
        <v>8933</v>
      </c>
      <c r="E134" s="47" t="s">
        <v>6035</v>
      </c>
      <c r="F134" s="47" t="s">
        <v>8781</v>
      </c>
      <c r="G134" s="195">
        <v>46300</v>
      </c>
      <c r="H134" s="47" t="s">
        <v>8787</v>
      </c>
      <c r="I134" s="47" t="s">
        <v>8783</v>
      </c>
      <c r="J134" s="47" t="s">
        <v>6035</v>
      </c>
    </row>
    <row r="135" spans="2:10" ht="14.5">
      <c r="B135" s="47" t="s">
        <v>6354</v>
      </c>
      <c r="C135" s="47" t="s">
        <v>8779</v>
      </c>
      <c r="D135" s="47" t="s">
        <v>8934</v>
      </c>
      <c r="E135" s="47" t="s">
        <v>6353</v>
      </c>
      <c r="F135" s="47" t="s">
        <v>8781</v>
      </c>
      <c r="G135" s="195">
        <v>46295</v>
      </c>
      <c r="H135" s="47" t="s">
        <v>8782</v>
      </c>
      <c r="I135" s="47" t="s">
        <v>8783</v>
      </c>
      <c r="J135" s="47" t="s">
        <v>6353</v>
      </c>
    </row>
    <row r="136" spans="2:10" ht="14.5">
      <c r="B136" s="47" t="s">
        <v>5995</v>
      </c>
      <c r="C136" s="47" t="s">
        <v>64</v>
      </c>
      <c r="D136" s="47" t="s">
        <v>8935</v>
      </c>
      <c r="E136" s="47" t="s">
        <v>5994</v>
      </c>
      <c r="F136" s="47" t="s">
        <v>8781</v>
      </c>
      <c r="G136" s="195">
        <v>46309</v>
      </c>
      <c r="H136" s="47" t="s">
        <v>8787</v>
      </c>
      <c r="I136" s="47" t="s">
        <v>8783</v>
      </c>
      <c r="J136" s="47" t="s">
        <v>5994</v>
      </c>
    </row>
    <row r="137" spans="2:10" ht="14.5">
      <c r="B137" s="47" t="s">
        <v>6000</v>
      </c>
      <c r="C137" s="47" t="s">
        <v>64</v>
      </c>
      <c r="D137" s="47" t="s">
        <v>8936</v>
      </c>
      <c r="E137" s="47" t="s">
        <v>5999</v>
      </c>
      <c r="F137" s="47" t="s">
        <v>8781</v>
      </c>
      <c r="G137" s="195">
        <v>46309</v>
      </c>
      <c r="H137" s="47" t="s">
        <v>8787</v>
      </c>
      <c r="I137" s="47" t="s">
        <v>8783</v>
      </c>
      <c r="J137" s="47" t="s">
        <v>5999</v>
      </c>
    </row>
    <row r="138" spans="2:10" ht="14.5">
      <c r="B138" s="47" t="s">
        <v>6155</v>
      </c>
      <c r="C138" s="47" t="s">
        <v>64</v>
      </c>
      <c r="D138" s="47" t="s">
        <v>8937</v>
      </c>
      <c r="E138" s="47" t="s">
        <v>6154</v>
      </c>
      <c r="F138" s="47" t="s">
        <v>8781</v>
      </c>
      <c r="G138" s="195">
        <v>46311</v>
      </c>
      <c r="H138" s="47" t="s">
        <v>8787</v>
      </c>
      <c r="I138" s="47" t="s">
        <v>8783</v>
      </c>
      <c r="J138" s="47" t="s">
        <v>6154</v>
      </c>
    </row>
    <row r="139" spans="2:10" ht="14.5">
      <c r="B139" s="47" t="s">
        <v>6005</v>
      </c>
      <c r="C139" s="47" t="s">
        <v>64</v>
      </c>
      <c r="D139" s="47" t="s">
        <v>8938</v>
      </c>
      <c r="E139" s="47" t="s">
        <v>6004</v>
      </c>
      <c r="F139" s="47" t="s">
        <v>8781</v>
      </c>
      <c r="G139" s="195">
        <v>46309</v>
      </c>
      <c r="H139" s="47" t="s">
        <v>8787</v>
      </c>
      <c r="I139" s="47" t="s">
        <v>8783</v>
      </c>
      <c r="J139" s="47" t="s">
        <v>6004</v>
      </c>
    </row>
    <row r="140" spans="2:10" ht="14.5">
      <c r="B140" s="47" t="s">
        <v>6160</v>
      </c>
      <c r="C140" s="47" t="s">
        <v>64</v>
      </c>
      <c r="D140" s="47" t="s">
        <v>8939</v>
      </c>
      <c r="E140" s="47" t="s">
        <v>6159</v>
      </c>
      <c r="F140" s="47" t="s">
        <v>8781</v>
      </c>
      <c r="G140" s="195">
        <v>46305</v>
      </c>
      <c r="H140" s="47" t="s">
        <v>8787</v>
      </c>
      <c r="I140" s="47" t="s">
        <v>8783</v>
      </c>
      <c r="J140" s="47" t="s">
        <v>6159</v>
      </c>
    </row>
    <row r="141" spans="2:10" ht="14.5">
      <c r="B141" s="47" t="s">
        <v>6165</v>
      </c>
      <c r="C141" s="47" t="s">
        <v>64</v>
      </c>
      <c r="D141" s="47" t="s">
        <v>8940</v>
      </c>
      <c r="E141" s="47" t="s">
        <v>6164</v>
      </c>
      <c r="F141" s="47" t="s">
        <v>8781</v>
      </c>
      <c r="G141" s="195">
        <v>46305</v>
      </c>
      <c r="H141" s="47" t="s">
        <v>8787</v>
      </c>
      <c r="I141" s="47" t="s">
        <v>8783</v>
      </c>
      <c r="J141" s="47" t="s">
        <v>6164</v>
      </c>
    </row>
    <row r="142" spans="2:10" ht="14.5">
      <c r="B142" s="47" t="s">
        <v>6167</v>
      </c>
      <c r="C142" s="47" t="s">
        <v>64</v>
      </c>
      <c r="D142" s="47" t="s">
        <v>8941</v>
      </c>
      <c r="E142" s="47" t="s">
        <v>6166</v>
      </c>
      <c r="F142" s="47" t="s">
        <v>8781</v>
      </c>
      <c r="G142" s="195">
        <v>46305</v>
      </c>
      <c r="H142" s="47" t="s">
        <v>8787</v>
      </c>
      <c r="I142" s="47" t="s">
        <v>8783</v>
      </c>
      <c r="J142" s="47" t="s">
        <v>6166</v>
      </c>
    </row>
    <row r="143" spans="2:10" ht="14.5">
      <c r="B143" s="47" t="s">
        <v>6178</v>
      </c>
      <c r="C143" s="47" t="s">
        <v>64</v>
      </c>
      <c r="D143" s="47" t="s">
        <v>8942</v>
      </c>
      <c r="E143" s="47" t="s">
        <v>6177</v>
      </c>
      <c r="F143" s="47" t="s">
        <v>8781</v>
      </c>
      <c r="G143" s="195">
        <v>46312</v>
      </c>
      <c r="H143" s="47" t="s">
        <v>8787</v>
      </c>
      <c r="I143" s="47" t="s">
        <v>8783</v>
      </c>
      <c r="J143" s="47" t="s">
        <v>6177</v>
      </c>
    </row>
    <row r="144" spans="2:10" ht="14.5">
      <c r="B144" s="47" t="s">
        <v>6116</v>
      </c>
      <c r="C144" s="47" t="s">
        <v>64</v>
      </c>
      <c r="D144" s="47" t="s">
        <v>8943</v>
      </c>
      <c r="E144" s="47" t="s">
        <v>6114</v>
      </c>
      <c r="F144" s="47" t="s">
        <v>8781</v>
      </c>
      <c r="G144" s="195">
        <v>46309</v>
      </c>
      <c r="H144" s="47" t="s">
        <v>8787</v>
      </c>
      <c r="I144" s="47" t="s">
        <v>8783</v>
      </c>
      <c r="J144" s="47" t="s">
        <v>6114</v>
      </c>
    </row>
    <row r="145" spans="2:10" ht="14.5">
      <c r="B145" s="47" t="s">
        <v>6123</v>
      </c>
      <c r="C145" s="47" t="s">
        <v>64</v>
      </c>
      <c r="D145" s="47" t="s">
        <v>8944</v>
      </c>
      <c r="E145" s="47" t="s">
        <v>6121</v>
      </c>
      <c r="F145" s="47" t="s">
        <v>8781</v>
      </c>
      <c r="G145" s="195">
        <v>46309</v>
      </c>
      <c r="H145" s="47" t="s">
        <v>8787</v>
      </c>
      <c r="I145" s="47" t="s">
        <v>8783</v>
      </c>
      <c r="J145" s="47" t="s">
        <v>6121</v>
      </c>
    </row>
    <row r="146" spans="2:10" ht="14.5">
      <c r="B146" s="47" t="s">
        <v>6125</v>
      </c>
      <c r="C146" s="47" t="s">
        <v>64</v>
      </c>
      <c r="D146" s="47" t="s">
        <v>8945</v>
      </c>
      <c r="E146" s="47" t="s">
        <v>6124</v>
      </c>
      <c r="F146" s="47" t="s">
        <v>8781</v>
      </c>
      <c r="G146" s="195">
        <v>46309</v>
      </c>
      <c r="H146" s="47" t="s">
        <v>8787</v>
      </c>
      <c r="I146" s="47" t="s">
        <v>8783</v>
      </c>
      <c r="J146" s="47" t="s">
        <v>6124</v>
      </c>
    </row>
    <row r="147" spans="2:10" ht="14.5">
      <c r="B147" s="47" t="s">
        <v>6127</v>
      </c>
      <c r="C147" s="47" t="s">
        <v>64</v>
      </c>
      <c r="D147" s="47" t="s">
        <v>8946</v>
      </c>
      <c r="E147" s="47" t="s">
        <v>6126</v>
      </c>
      <c r="F147" s="47" t="s">
        <v>8781</v>
      </c>
      <c r="G147" s="195">
        <v>46309</v>
      </c>
      <c r="H147" s="47" t="s">
        <v>8787</v>
      </c>
      <c r="I147" s="47" t="s">
        <v>8783</v>
      </c>
      <c r="J147" s="47" t="s">
        <v>6126</v>
      </c>
    </row>
    <row r="148" spans="2:10" ht="14.5">
      <c r="B148" s="47" t="s">
        <v>6131</v>
      </c>
      <c r="C148" s="47" t="s">
        <v>64</v>
      </c>
      <c r="D148" s="47" t="s">
        <v>8947</v>
      </c>
      <c r="E148" s="47" t="s">
        <v>6130</v>
      </c>
      <c r="F148" s="47" t="s">
        <v>8781</v>
      </c>
      <c r="G148" s="195">
        <v>46309</v>
      </c>
      <c r="H148" s="47" t="s">
        <v>8787</v>
      </c>
      <c r="I148" s="47" t="s">
        <v>8783</v>
      </c>
      <c r="J148" s="47" t="s">
        <v>6130</v>
      </c>
    </row>
    <row r="149" spans="2:10" ht="14.5">
      <c r="B149" s="47" t="s">
        <v>6134</v>
      </c>
      <c r="C149" s="47" t="s">
        <v>64</v>
      </c>
      <c r="D149" s="47" t="s">
        <v>8948</v>
      </c>
      <c r="E149" s="47" t="s">
        <v>6132</v>
      </c>
      <c r="F149" s="47" t="s">
        <v>8781</v>
      </c>
      <c r="G149" s="195">
        <v>46309</v>
      </c>
      <c r="H149" s="47" t="s">
        <v>8787</v>
      </c>
      <c r="I149" s="47" t="s">
        <v>8783</v>
      </c>
      <c r="J149" s="47" t="s">
        <v>6132</v>
      </c>
    </row>
    <row r="150" spans="2:10" ht="14.5">
      <c r="B150" s="47" t="s">
        <v>6437</v>
      </c>
      <c r="C150" s="47" t="s">
        <v>64</v>
      </c>
      <c r="D150" s="47" t="s">
        <v>8949</v>
      </c>
      <c r="E150" s="47" t="s">
        <v>6436</v>
      </c>
      <c r="F150" s="47" t="s">
        <v>8781</v>
      </c>
      <c r="G150" s="195">
        <v>46304</v>
      </c>
      <c r="H150" s="47" t="s">
        <v>8787</v>
      </c>
      <c r="I150" s="47" t="s">
        <v>8783</v>
      </c>
      <c r="J150" s="47" t="s">
        <v>6436</v>
      </c>
    </row>
    <row r="151" spans="2:10" ht="14.5">
      <c r="B151" s="47" t="s">
        <v>6172</v>
      </c>
      <c r="C151" s="47" t="s">
        <v>64</v>
      </c>
      <c r="D151" s="47" t="s">
        <v>8950</v>
      </c>
      <c r="E151" s="47" t="s">
        <v>6171</v>
      </c>
      <c r="F151" s="47" t="s">
        <v>8781</v>
      </c>
      <c r="G151" s="195">
        <v>46312</v>
      </c>
      <c r="H151" s="47" t="s">
        <v>8787</v>
      </c>
      <c r="I151" s="47" t="s">
        <v>8783</v>
      </c>
      <c r="J151" s="47" t="s">
        <v>6171</v>
      </c>
    </row>
    <row r="152" spans="2:10" ht="14.5">
      <c r="B152" s="47" t="s">
        <v>6406</v>
      </c>
      <c r="C152" s="47" t="s">
        <v>64</v>
      </c>
      <c r="D152" s="47" t="s">
        <v>8951</v>
      </c>
      <c r="E152" s="47" t="s">
        <v>6405</v>
      </c>
      <c r="F152" s="47" t="s">
        <v>8781</v>
      </c>
      <c r="G152" s="195">
        <v>46312</v>
      </c>
      <c r="H152" s="47" t="s">
        <v>8787</v>
      </c>
      <c r="I152" s="47" t="s">
        <v>8783</v>
      </c>
      <c r="J152" s="47" t="s">
        <v>6405</v>
      </c>
    </row>
    <row r="153" spans="2:10" ht="14.5">
      <c r="B153" s="47" t="s">
        <v>6150</v>
      </c>
      <c r="C153" s="47" t="s">
        <v>64</v>
      </c>
      <c r="D153" s="47" t="s">
        <v>8952</v>
      </c>
      <c r="E153" s="47" t="s">
        <v>6149</v>
      </c>
      <c r="F153" s="47" t="s">
        <v>8781</v>
      </c>
      <c r="G153" s="195">
        <v>46321</v>
      </c>
      <c r="H153" s="47" t="s">
        <v>8787</v>
      </c>
      <c r="I153" s="47" t="s">
        <v>8783</v>
      </c>
      <c r="J153" s="47" t="s">
        <v>6149</v>
      </c>
    </row>
    <row r="154" spans="2:10" ht="14.5">
      <c r="B154" s="47" t="s">
        <v>6182</v>
      </c>
      <c r="C154" s="47" t="s">
        <v>64</v>
      </c>
      <c r="D154" s="47" t="s">
        <v>8953</v>
      </c>
      <c r="E154" s="47" t="s">
        <v>6181</v>
      </c>
      <c r="F154" s="47" t="s">
        <v>8781</v>
      </c>
      <c r="G154" s="195">
        <v>46312</v>
      </c>
      <c r="H154" s="47" t="s">
        <v>8787</v>
      </c>
      <c r="I154" s="47" t="s">
        <v>8783</v>
      </c>
      <c r="J154" s="47" t="s">
        <v>6181</v>
      </c>
    </row>
    <row r="155" spans="2:10" ht="14.5">
      <c r="B155" s="47" t="s">
        <v>6411</v>
      </c>
      <c r="C155" s="47" t="s">
        <v>64</v>
      </c>
      <c r="D155" s="47" t="s">
        <v>8954</v>
      </c>
      <c r="E155" s="47" t="s">
        <v>6410</v>
      </c>
      <c r="F155" s="47" t="s">
        <v>8781</v>
      </c>
      <c r="G155" s="195">
        <v>46312</v>
      </c>
      <c r="H155" s="47" t="s">
        <v>8787</v>
      </c>
      <c r="I155" s="47" t="s">
        <v>8783</v>
      </c>
      <c r="J155" s="47" t="s">
        <v>6410</v>
      </c>
    </row>
    <row r="156" spans="2:10" ht="14.5">
      <c r="B156" s="47" t="s">
        <v>6136</v>
      </c>
      <c r="C156" s="47" t="s">
        <v>64</v>
      </c>
      <c r="D156" s="47" t="s">
        <v>8955</v>
      </c>
      <c r="E156" s="47" t="s">
        <v>6135</v>
      </c>
      <c r="F156" s="47" t="s">
        <v>8781</v>
      </c>
      <c r="G156" s="195">
        <v>46314</v>
      </c>
      <c r="H156" s="47" t="s">
        <v>8787</v>
      </c>
      <c r="I156" s="47" t="s">
        <v>8783</v>
      </c>
      <c r="J156" s="47" t="s">
        <v>6135</v>
      </c>
    </row>
    <row r="157" spans="2:10" ht="14.5">
      <c r="B157" s="47" t="s">
        <v>5853</v>
      </c>
      <c r="C157" s="47" t="s">
        <v>8779</v>
      </c>
      <c r="D157" s="47" t="s">
        <v>8956</v>
      </c>
      <c r="E157" s="47" t="s">
        <v>5851</v>
      </c>
      <c r="F157" s="47" t="s">
        <v>8781</v>
      </c>
      <c r="G157" s="195">
        <v>46296</v>
      </c>
      <c r="H157" s="47" t="s">
        <v>8782</v>
      </c>
      <c r="I157" s="47" t="s">
        <v>8783</v>
      </c>
      <c r="J157" s="47" t="s">
        <v>5851</v>
      </c>
    </row>
    <row r="158" spans="2:10" ht="14.5">
      <c r="B158" s="47" t="s">
        <v>6074</v>
      </c>
      <c r="C158" s="47" t="s">
        <v>64</v>
      </c>
      <c r="D158" s="47" t="s">
        <v>8957</v>
      </c>
      <c r="E158" s="47" t="s">
        <v>6073</v>
      </c>
      <c r="F158" s="47" t="s">
        <v>8781</v>
      </c>
      <c r="G158" s="195">
        <v>46302</v>
      </c>
      <c r="H158" s="47" t="s">
        <v>8787</v>
      </c>
      <c r="I158" s="47" t="s">
        <v>8783</v>
      </c>
      <c r="J158" s="47" t="s">
        <v>6073</v>
      </c>
    </row>
    <row r="159" spans="2:10" ht="14.5">
      <c r="B159" s="47" t="s">
        <v>6170</v>
      </c>
      <c r="C159" s="47" t="s">
        <v>64</v>
      </c>
      <c r="D159" s="47" t="s">
        <v>8958</v>
      </c>
      <c r="E159" s="47" t="s">
        <v>6168</v>
      </c>
      <c r="F159" s="47" t="s">
        <v>8781</v>
      </c>
      <c r="G159" s="195">
        <v>46305</v>
      </c>
      <c r="H159" s="47" t="s">
        <v>8787</v>
      </c>
      <c r="I159" s="47" t="s">
        <v>8783</v>
      </c>
      <c r="J159" s="47" t="s">
        <v>6168</v>
      </c>
    </row>
    <row r="160" spans="2:10" ht="14.5">
      <c r="B160" s="47" t="s">
        <v>6069</v>
      </c>
      <c r="C160" s="47" t="s">
        <v>64</v>
      </c>
      <c r="D160" s="47" t="s">
        <v>8959</v>
      </c>
      <c r="E160" s="47" t="s">
        <v>6068</v>
      </c>
      <c r="F160" s="47" t="s">
        <v>8781</v>
      </c>
      <c r="G160" s="195">
        <v>46302</v>
      </c>
      <c r="H160" s="47" t="s">
        <v>8787</v>
      </c>
      <c r="I160" s="47" t="s">
        <v>8783</v>
      </c>
      <c r="J160" s="47" t="s">
        <v>6068</v>
      </c>
    </row>
    <row r="161" spans="2:10" ht="14.5">
      <c r="B161" s="47" t="s">
        <v>5933</v>
      </c>
      <c r="C161" s="47" t="s">
        <v>64</v>
      </c>
      <c r="D161" s="47" t="s">
        <v>8960</v>
      </c>
      <c r="E161" s="47" t="s">
        <v>5932</v>
      </c>
      <c r="F161" s="47" t="s">
        <v>8781</v>
      </c>
      <c r="G161" s="195">
        <v>46302</v>
      </c>
      <c r="H161" s="47" t="s">
        <v>8787</v>
      </c>
      <c r="I161" s="47" t="s">
        <v>8783</v>
      </c>
      <c r="J161" s="47" t="s">
        <v>5932</v>
      </c>
    </row>
    <row r="162" spans="2:10" ht="14.5">
      <c r="B162" s="47" t="s">
        <v>6113</v>
      </c>
      <c r="C162" s="47" t="s">
        <v>64</v>
      </c>
      <c r="D162" s="47" t="s">
        <v>8961</v>
      </c>
      <c r="E162" s="47" t="s">
        <v>6112</v>
      </c>
      <c r="F162" s="47" t="s">
        <v>8781</v>
      </c>
      <c r="G162" s="195">
        <v>46315</v>
      </c>
      <c r="H162" s="47" t="s">
        <v>8787</v>
      </c>
      <c r="I162" s="47" t="s">
        <v>8783</v>
      </c>
      <c r="J162" s="47" t="s">
        <v>6112</v>
      </c>
    </row>
    <row r="163" spans="2:10" ht="14.5">
      <c r="B163" s="47" t="s">
        <v>6034</v>
      </c>
      <c r="C163" s="47" t="s">
        <v>64</v>
      </c>
      <c r="D163" s="47" t="s">
        <v>8962</v>
      </c>
      <c r="E163" s="47" t="s">
        <v>6033</v>
      </c>
      <c r="F163" s="47" t="s">
        <v>8781</v>
      </c>
      <c r="G163" s="195">
        <v>46303</v>
      </c>
      <c r="H163" s="47" t="s">
        <v>8787</v>
      </c>
      <c r="I163" s="47" t="s">
        <v>8783</v>
      </c>
      <c r="J163" s="47" t="s">
        <v>6033</v>
      </c>
    </row>
    <row r="164" spans="2:10" ht="14.5">
      <c r="B164" s="47" t="s">
        <v>6108</v>
      </c>
      <c r="C164" s="47" t="s">
        <v>64</v>
      </c>
      <c r="D164" s="47" t="s">
        <v>8963</v>
      </c>
      <c r="E164" s="47" t="s">
        <v>6107</v>
      </c>
      <c r="F164" s="47" t="s">
        <v>8781</v>
      </c>
      <c r="G164" s="195">
        <v>46315</v>
      </c>
      <c r="H164" s="47" t="s">
        <v>8787</v>
      </c>
      <c r="I164" s="47" t="s">
        <v>8783</v>
      </c>
      <c r="J164" s="47" t="s">
        <v>6107</v>
      </c>
    </row>
    <row r="165" spans="2:10" ht="14.5">
      <c r="B165" s="47" t="s">
        <v>6026</v>
      </c>
      <c r="C165" s="47" t="s">
        <v>64</v>
      </c>
      <c r="D165" s="47" t="s">
        <v>8964</v>
      </c>
      <c r="E165" s="47" t="s">
        <v>6025</v>
      </c>
      <c r="F165" s="47" t="s">
        <v>8781</v>
      </c>
      <c r="G165" s="195">
        <v>46303</v>
      </c>
      <c r="H165" s="47" t="s">
        <v>8787</v>
      </c>
      <c r="I165" s="47" t="s">
        <v>8783</v>
      </c>
      <c r="J165" s="47" t="s">
        <v>6025</v>
      </c>
    </row>
    <row r="166" spans="2:10" ht="14.5">
      <c r="B166" s="47" t="s">
        <v>8210</v>
      </c>
      <c r="C166" s="47" t="s">
        <v>64</v>
      </c>
      <c r="D166" s="47" t="s">
        <v>8965</v>
      </c>
      <c r="E166" s="47" t="s">
        <v>8966</v>
      </c>
      <c r="F166" s="47" t="s">
        <v>8829</v>
      </c>
      <c r="G166" s="195">
        <v>46303</v>
      </c>
      <c r="H166" s="47" t="s">
        <v>8787</v>
      </c>
      <c r="I166" s="47" t="s">
        <v>8783</v>
      </c>
      <c r="J166" s="47" t="s">
        <v>8967</v>
      </c>
    </row>
    <row r="167" spans="2:10" ht="14.5">
      <c r="B167" s="47" t="s">
        <v>8200</v>
      </c>
      <c r="C167" s="47" t="s">
        <v>64</v>
      </c>
      <c r="D167" s="47" t="s">
        <v>8968</v>
      </c>
      <c r="E167" s="47" t="s">
        <v>8969</v>
      </c>
      <c r="F167" s="47" t="s">
        <v>8829</v>
      </c>
      <c r="G167" s="195">
        <v>46295</v>
      </c>
      <c r="H167" s="47" t="s">
        <v>8787</v>
      </c>
      <c r="I167" s="47" t="s">
        <v>8783</v>
      </c>
      <c r="J167" s="47" t="s">
        <v>8970</v>
      </c>
    </row>
    <row r="168" spans="2:10" ht="14.5">
      <c r="B168" s="47" t="s">
        <v>8220</v>
      </c>
      <c r="C168" s="47" t="s">
        <v>64</v>
      </c>
      <c r="D168" s="47" t="s">
        <v>8971</v>
      </c>
      <c r="E168" s="47" t="s">
        <v>8972</v>
      </c>
      <c r="F168" s="47" t="s">
        <v>8829</v>
      </c>
      <c r="G168" s="195">
        <v>46303</v>
      </c>
      <c r="H168" s="47" t="s">
        <v>8787</v>
      </c>
      <c r="I168" s="47" t="s">
        <v>8783</v>
      </c>
      <c r="J168" s="47" t="s">
        <v>8973</v>
      </c>
    </row>
    <row r="169" spans="2:10" ht="14.5">
      <c r="B169" s="47" t="s">
        <v>5785</v>
      </c>
      <c r="C169" s="47" t="s">
        <v>8779</v>
      </c>
      <c r="D169" s="47" t="s">
        <v>8974</v>
      </c>
      <c r="E169" s="47" t="s">
        <v>5782</v>
      </c>
      <c r="F169" s="47" t="s">
        <v>8781</v>
      </c>
      <c r="G169" s="195">
        <v>46279</v>
      </c>
      <c r="H169" s="47" t="s">
        <v>8782</v>
      </c>
      <c r="I169" s="47" t="s">
        <v>8783</v>
      </c>
      <c r="J169" s="47" t="s">
        <v>8975</v>
      </c>
    </row>
    <row r="170" spans="2:10" ht="14.5">
      <c r="B170" s="47" t="s">
        <v>5779</v>
      </c>
      <c r="C170" s="47" t="s">
        <v>64</v>
      </c>
      <c r="D170" s="47" t="s">
        <v>8976</v>
      </c>
      <c r="E170" s="47" t="s">
        <v>5778</v>
      </c>
      <c r="F170" s="47" t="s">
        <v>8781</v>
      </c>
      <c r="G170" s="195">
        <v>46296</v>
      </c>
      <c r="H170" s="47" t="s">
        <v>8787</v>
      </c>
      <c r="I170" s="47" t="s">
        <v>8783</v>
      </c>
      <c r="J170" s="47" t="s">
        <v>5778</v>
      </c>
    </row>
    <row r="171" spans="2:10" ht="14.5">
      <c r="B171" s="47" t="s">
        <v>5753</v>
      </c>
      <c r="C171" s="47" t="s">
        <v>64</v>
      </c>
      <c r="D171" s="47" t="s">
        <v>8977</v>
      </c>
      <c r="E171" s="47" t="s">
        <v>5752</v>
      </c>
      <c r="F171" s="47" t="s">
        <v>8781</v>
      </c>
      <c r="G171" s="195">
        <v>46303</v>
      </c>
      <c r="H171" s="47" t="s">
        <v>8787</v>
      </c>
      <c r="I171" s="47" t="s">
        <v>8783</v>
      </c>
      <c r="J171" s="47" t="s">
        <v>5752</v>
      </c>
    </row>
    <row r="172" spans="2:10" ht="14.5">
      <c r="B172" s="47" t="s">
        <v>5977</v>
      </c>
      <c r="C172" s="47" t="s">
        <v>64</v>
      </c>
      <c r="D172" s="47" t="s">
        <v>8978</v>
      </c>
      <c r="E172" s="47" t="s">
        <v>5976</v>
      </c>
      <c r="F172" s="47" t="s">
        <v>8781</v>
      </c>
      <c r="G172" s="195">
        <v>46303</v>
      </c>
      <c r="H172" s="47" t="s">
        <v>8787</v>
      </c>
      <c r="I172" s="47" t="s">
        <v>8783</v>
      </c>
      <c r="J172" s="47" t="s">
        <v>5976</v>
      </c>
    </row>
    <row r="173" spans="2:10" ht="14.5">
      <c r="B173" s="47" t="s">
        <v>5973</v>
      </c>
      <c r="C173" s="47" t="s">
        <v>64</v>
      </c>
      <c r="D173" s="47" t="s">
        <v>8979</v>
      </c>
      <c r="E173" s="47" t="s">
        <v>5972</v>
      </c>
      <c r="F173" s="47" t="s">
        <v>8781</v>
      </c>
      <c r="G173" s="195">
        <v>46303</v>
      </c>
      <c r="H173" s="47" t="s">
        <v>8787</v>
      </c>
      <c r="I173" s="47" t="s">
        <v>8783</v>
      </c>
      <c r="J173" s="47" t="s">
        <v>5972</v>
      </c>
    </row>
    <row r="174" spans="2:10" ht="14.5">
      <c r="B174" s="47" t="s">
        <v>8980</v>
      </c>
      <c r="C174" s="47" t="s">
        <v>64</v>
      </c>
      <c r="D174" s="47" t="s">
        <v>8780</v>
      </c>
      <c r="E174" s="47" t="s">
        <v>5910</v>
      </c>
      <c r="F174" s="47" t="s">
        <v>8781</v>
      </c>
      <c r="G174" s="195">
        <v>46295</v>
      </c>
      <c r="H174" s="47" t="s">
        <v>8787</v>
      </c>
      <c r="I174" s="47" t="s">
        <v>8783</v>
      </c>
      <c r="J174" s="47" t="s">
        <v>5910</v>
      </c>
    </row>
    <row r="175" spans="2:10" ht="14.5">
      <c r="B175" s="47" t="s">
        <v>8981</v>
      </c>
      <c r="C175" s="47" t="s">
        <v>64</v>
      </c>
      <c r="D175" s="47" t="s">
        <v>8785</v>
      </c>
      <c r="E175" s="47" t="s">
        <v>5899</v>
      </c>
      <c r="F175" s="47" t="s">
        <v>8781</v>
      </c>
      <c r="G175" s="195">
        <v>46295</v>
      </c>
      <c r="H175" s="47" t="s">
        <v>8787</v>
      </c>
      <c r="I175" s="47" t="s">
        <v>8783</v>
      </c>
      <c r="J175" s="47" t="s">
        <v>5899</v>
      </c>
    </row>
    <row r="176" spans="2:10" ht="14.5">
      <c r="B176" s="47" t="s">
        <v>5969</v>
      </c>
      <c r="C176" s="47" t="s">
        <v>64</v>
      </c>
      <c r="D176" s="47" t="s">
        <v>8982</v>
      </c>
      <c r="E176" s="47" t="s">
        <v>5968</v>
      </c>
      <c r="F176" s="47" t="s">
        <v>8781</v>
      </c>
      <c r="G176" s="195">
        <v>46331</v>
      </c>
      <c r="H176" s="47" t="s">
        <v>8787</v>
      </c>
      <c r="I176" s="47" t="s">
        <v>8783</v>
      </c>
      <c r="J176" s="47" t="s">
        <v>5968</v>
      </c>
    </row>
    <row r="177" spans="2:10" ht="14.5">
      <c r="B177" s="47" t="s">
        <v>5876</v>
      </c>
      <c r="C177" s="47" t="s">
        <v>64</v>
      </c>
      <c r="D177" s="47" t="s">
        <v>8983</v>
      </c>
      <c r="E177" s="47" t="s">
        <v>5875</v>
      </c>
      <c r="F177" s="47" t="s">
        <v>8781</v>
      </c>
      <c r="G177" s="195">
        <v>46300</v>
      </c>
      <c r="H177" s="47" t="s">
        <v>8787</v>
      </c>
      <c r="I177" s="47" t="s">
        <v>8783</v>
      </c>
      <c r="J177" s="47" t="s">
        <v>5875</v>
      </c>
    </row>
    <row r="178" spans="2:10" ht="14.5">
      <c r="B178" s="47" t="s">
        <v>5981</v>
      </c>
      <c r="C178" s="47" t="s">
        <v>64</v>
      </c>
      <c r="D178" s="47" t="s">
        <v>8984</v>
      </c>
      <c r="E178" s="47" t="s">
        <v>5980</v>
      </c>
      <c r="F178" s="47" t="s">
        <v>8781</v>
      </c>
      <c r="G178" s="195">
        <v>46303</v>
      </c>
      <c r="H178" s="47" t="s">
        <v>8787</v>
      </c>
      <c r="I178" s="47" t="s">
        <v>8783</v>
      </c>
      <c r="J178" s="47" t="s">
        <v>5980</v>
      </c>
    </row>
    <row r="179" spans="2:10" ht="14.5">
      <c r="B179" s="47" t="s">
        <v>5929</v>
      </c>
      <c r="C179" s="47" t="s">
        <v>64</v>
      </c>
      <c r="D179" s="47" t="s">
        <v>8985</v>
      </c>
      <c r="E179" s="47" t="s">
        <v>5928</v>
      </c>
      <c r="F179" s="47" t="s">
        <v>8781</v>
      </c>
      <c r="G179" s="195">
        <v>46309</v>
      </c>
      <c r="H179" s="47" t="s">
        <v>8787</v>
      </c>
      <c r="I179" s="47" t="s">
        <v>8783</v>
      </c>
      <c r="J179" s="47" t="s">
        <v>5928</v>
      </c>
    </row>
    <row r="180" spans="2:10" ht="14.5">
      <c r="B180" s="47" t="s">
        <v>5868</v>
      </c>
      <c r="C180" s="47" t="s">
        <v>64</v>
      </c>
      <c r="D180" s="47" t="s">
        <v>8986</v>
      </c>
      <c r="E180" s="47" t="s">
        <v>5867</v>
      </c>
      <c r="F180" s="47" t="s">
        <v>8781</v>
      </c>
      <c r="G180" s="195">
        <v>46300</v>
      </c>
      <c r="H180" s="47" t="s">
        <v>8787</v>
      </c>
      <c r="I180" s="47" t="s">
        <v>8783</v>
      </c>
      <c r="J180" s="47" t="s">
        <v>5867</v>
      </c>
    </row>
    <row r="181" spans="2:10" ht="14.5">
      <c r="B181" s="47" t="s">
        <v>5965</v>
      </c>
      <c r="C181" s="47" t="s">
        <v>64</v>
      </c>
      <c r="D181" s="47" t="s">
        <v>8987</v>
      </c>
      <c r="E181" s="47" t="s">
        <v>5964</v>
      </c>
      <c r="F181" s="47" t="s">
        <v>8781</v>
      </c>
      <c r="G181" s="195">
        <v>46321</v>
      </c>
      <c r="H181" s="47" t="s">
        <v>8787</v>
      </c>
      <c r="I181" s="47" t="s">
        <v>8783</v>
      </c>
      <c r="J181" s="47" t="s">
        <v>5964</v>
      </c>
    </row>
    <row r="182" spans="2:10" ht="14.5">
      <c r="B182" s="47" t="s">
        <v>5891</v>
      </c>
      <c r="C182" s="47" t="s">
        <v>64</v>
      </c>
      <c r="D182" s="47" t="s">
        <v>8988</v>
      </c>
      <c r="E182" s="47" t="s">
        <v>5890</v>
      </c>
      <c r="F182" s="47" t="s">
        <v>8781</v>
      </c>
      <c r="G182" s="195">
        <v>46300</v>
      </c>
      <c r="H182" s="47" t="s">
        <v>8787</v>
      </c>
      <c r="I182" s="47" t="s">
        <v>8783</v>
      </c>
      <c r="J182" s="47" t="s">
        <v>5890</v>
      </c>
    </row>
    <row r="183" spans="2:10" ht="14.5">
      <c r="B183" s="47" t="s">
        <v>5960</v>
      </c>
      <c r="C183" s="47" t="s">
        <v>64</v>
      </c>
      <c r="D183" s="47" t="s">
        <v>8989</v>
      </c>
      <c r="E183" s="47" t="s">
        <v>5959</v>
      </c>
      <c r="F183" s="47" t="s">
        <v>8781</v>
      </c>
      <c r="G183" s="195">
        <v>46342</v>
      </c>
      <c r="H183" s="47" t="s">
        <v>8787</v>
      </c>
      <c r="I183" s="47" t="s">
        <v>8783</v>
      </c>
      <c r="J183" s="47" t="s">
        <v>5959</v>
      </c>
    </row>
    <row r="184" spans="2:10" ht="14.5">
      <c r="B184" s="47" t="s">
        <v>5893</v>
      </c>
      <c r="C184" s="47" t="s">
        <v>64</v>
      </c>
      <c r="D184" s="47" t="s">
        <v>8990</v>
      </c>
      <c r="E184" s="47" t="s">
        <v>5892</v>
      </c>
      <c r="F184" s="47" t="s">
        <v>8781</v>
      </c>
      <c r="G184" s="195">
        <v>46288</v>
      </c>
      <c r="H184" s="47" t="s">
        <v>8787</v>
      </c>
      <c r="I184" s="47" t="s">
        <v>8783</v>
      </c>
      <c r="J184" s="47"/>
    </row>
    <row r="185" spans="2:10" ht="14.5">
      <c r="B185" s="47" t="s">
        <v>5884</v>
      </c>
      <c r="C185" s="47" t="s">
        <v>64</v>
      </c>
      <c r="D185" s="47" t="s">
        <v>8991</v>
      </c>
      <c r="E185" s="47" t="s">
        <v>5880</v>
      </c>
      <c r="F185" s="47" t="s">
        <v>8781</v>
      </c>
      <c r="G185" s="195">
        <v>46288</v>
      </c>
      <c r="H185" s="47" t="s">
        <v>8787</v>
      </c>
      <c r="I185" s="47" t="s">
        <v>8783</v>
      </c>
      <c r="J185" s="47"/>
    </row>
    <row r="186" spans="2:10" ht="14.5">
      <c r="B186" s="47" t="s">
        <v>5879</v>
      </c>
      <c r="C186" s="47" t="s">
        <v>64</v>
      </c>
      <c r="D186" s="47" t="s">
        <v>8992</v>
      </c>
      <c r="E186" s="47" t="s">
        <v>5877</v>
      </c>
      <c r="F186" s="47" t="s">
        <v>8781</v>
      </c>
      <c r="G186" s="195">
        <v>46300</v>
      </c>
      <c r="H186" s="47" t="s">
        <v>8787</v>
      </c>
      <c r="I186" s="47" t="s">
        <v>8783</v>
      </c>
      <c r="J186" s="47" t="s">
        <v>5877</v>
      </c>
    </row>
    <row r="187" spans="2:10" ht="14.5">
      <c r="B187" s="47" t="s">
        <v>5986</v>
      </c>
      <c r="C187" s="47" t="s">
        <v>64</v>
      </c>
      <c r="D187" s="47" t="s">
        <v>8993</v>
      </c>
      <c r="E187" s="47" t="s">
        <v>5984</v>
      </c>
      <c r="F187" s="47" t="s">
        <v>8781</v>
      </c>
      <c r="G187" s="195">
        <v>46300</v>
      </c>
      <c r="H187" s="47" t="s">
        <v>8787</v>
      </c>
      <c r="I187" s="47" t="s">
        <v>8783</v>
      </c>
      <c r="J187" s="47" t="s">
        <v>5984</v>
      </c>
    </row>
    <row r="188" spans="2:10" ht="14.5">
      <c r="B188" s="47" t="s">
        <v>5925</v>
      </c>
      <c r="C188" s="47" t="s">
        <v>64</v>
      </c>
      <c r="D188" s="47" t="s">
        <v>8994</v>
      </c>
      <c r="E188" s="47" t="s">
        <v>5923</v>
      </c>
      <c r="F188" s="47" t="s">
        <v>8781</v>
      </c>
      <c r="G188" s="195">
        <v>46309</v>
      </c>
      <c r="H188" s="47" t="s">
        <v>8787</v>
      </c>
      <c r="I188" s="47" t="s">
        <v>8783</v>
      </c>
      <c r="J188" s="47" t="s">
        <v>5923</v>
      </c>
    </row>
    <row r="189" spans="2:10" ht="14.5">
      <c r="B189" s="47" t="s">
        <v>5931</v>
      </c>
      <c r="C189" s="47" t="s">
        <v>64</v>
      </c>
      <c r="D189" s="47" t="s">
        <v>8995</v>
      </c>
      <c r="E189" s="47" t="s">
        <v>5930</v>
      </c>
      <c r="F189" s="47" t="s">
        <v>8781</v>
      </c>
      <c r="G189" s="195">
        <v>46309</v>
      </c>
      <c r="H189" s="47" t="s">
        <v>8787</v>
      </c>
      <c r="I189" s="47" t="s">
        <v>8783</v>
      </c>
      <c r="J189" s="47" t="s">
        <v>5930</v>
      </c>
    </row>
    <row r="190" spans="2:10" ht="14.5">
      <c r="B190" s="47" t="s">
        <v>5990</v>
      </c>
      <c r="C190" s="47" t="s">
        <v>64</v>
      </c>
      <c r="D190" s="47" t="s">
        <v>8996</v>
      </c>
      <c r="E190" s="47" t="s">
        <v>5989</v>
      </c>
      <c r="F190" s="47" t="s">
        <v>8781</v>
      </c>
      <c r="G190" s="195">
        <v>46296</v>
      </c>
      <c r="H190" s="47" t="s">
        <v>8787</v>
      </c>
      <c r="I190" s="47" t="s">
        <v>8783</v>
      </c>
      <c r="J190" s="47" t="s">
        <v>5989</v>
      </c>
    </row>
    <row r="191" spans="2:10" ht="14.5">
      <c r="B191" s="47" t="s">
        <v>5760</v>
      </c>
      <c r="C191" s="47" t="s">
        <v>64</v>
      </c>
      <c r="D191" s="47" t="s">
        <v>8997</v>
      </c>
      <c r="E191" s="47" t="s">
        <v>5757</v>
      </c>
      <c r="F191" s="47" t="s">
        <v>8781</v>
      </c>
      <c r="G191" s="195">
        <v>46290</v>
      </c>
      <c r="H191" s="47" t="s">
        <v>8787</v>
      </c>
      <c r="I191" s="47" t="s">
        <v>8783</v>
      </c>
      <c r="J191" s="47"/>
    </row>
    <row r="192" spans="2:10" ht="14.5">
      <c r="B192" s="47" t="s">
        <v>5943</v>
      </c>
      <c r="C192" s="47" t="s">
        <v>64</v>
      </c>
      <c r="D192" s="47" t="s">
        <v>8998</v>
      </c>
      <c r="E192" s="47" t="s">
        <v>5941</v>
      </c>
      <c r="F192" s="47" t="s">
        <v>8781</v>
      </c>
      <c r="G192" s="195">
        <v>46300</v>
      </c>
      <c r="H192" s="47" t="s">
        <v>8787</v>
      </c>
      <c r="I192" s="47" t="s">
        <v>8783</v>
      </c>
      <c r="J192" s="47" t="s">
        <v>5941</v>
      </c>
    </row>
    <row r="193" spans="2:10" ht="14.5">
      <c r="B193" s="47" t="s">
        <v>5898</v>
      </c>
      <c r="C193" s="47" t="s">
        <v>64</v>
      </c>
      <c r="D193" s="47" t="s">
        <v>8999</v>
      </c>
      <c r="E193" s="47" t="s">
        <v>9000</v>
      </c>
      <c r="F193" s="47" t="s">
        <v>8781</v>
      </c>
      <c r="G193" s="195">
        <v>46309</v>
      </c>
      <c r="H193" s="47" t="s">
        <v>8787</v>
      </c>
      <c r="I193" s="47" t="s">
        <v>8783</v>
      </c>
      <c r="J193" s="47" t="s">
        <v>9000</v>
      </c>
    </row>
    <row r="194" spans="2:10" ht="14.5">
      <c r="B194" s="47" t="s">
        <v>5886</v>
      </c>
      <c r="C194" s="47" t="s">
        <v>64</v>
      </c>
      <c r="D194" s="47" t="s">
        <v>9001</v>
      </c>
      <c r="E194" s="47" t="s">
        <v>5885</v>
      </c>
      <c r="F194" s="47" t="s">
        <v>8781</v>
      </c>
      <c r="G194" s="195">
        <v>46300</v>
      </c>
      <c r="H194" s="47" t="s">
        <v>8787</v>
      </c>
      <c r="I194" s="47" t="s">
        <v>8783</v>
      </c>
      <c r="J194" s="47" t="s">
        <v>5885</v>
      </c>
    </row>
    <row r="195" spans="2:10" ht="14.5">
      <c r="B195" s="47" t="s">
        <v>5872</v>
      </c>
      <c r="C195" s="47" t="s">
        <v>64</v>
      </c>
      <c r="D195" s="47" t="s">
        <v>9002</v>
      </c>
      <c r="E195" s="47" t="s">
        <v>5871</v>
      </c>
      <c r="F195" s="47" t="s">
        <v>8781</v>
      </c>
      <c r="G195" s="195">
        <v>46300</v>
      </c>
      <c r="H195" s="47" t="s">
        <v>8787</v>
      </c>
      <c r="I195" s="47" t="s">
        <v>8783</v>
      </c>
      <c r="J195" s="47" t="s">
        <v>5871</v>
      </c>
    </row>
    <row r="196" spans="2:10" ht="14.5">
      <c r="B196" s="47" t="s">
        <v>5766</v>
      </c>
      <c r="C196" s="47" t="s">
        <v>64</v>
      </c>
      <c r="D196" s="47" t="s">
        <v>9003</v>
      </c>
      <c r="E196" s="47" t="s">
        <v>5765</v>
      </c>
      <c r="F196" s="47" t="s">
        <v>8781</v>
      </c>
      <c r="G196" s="363">
        <v>46290</v>
      </c>
      <c r="H196" s="47" t="s">
        <v>8787</v>
      </c>
      <c r="I196" s="47" t="s">
        <v>8783</v>
      </c>
      <c r="J196" s="47" t="s">
        <v>5765</v>
      </c>
    </row>
    <row r="197" spans="2:10" ht="14.5">
      <c r="B197" s="47" t="s">
        <v>5660</v>
      </c>
      <c r="C197" s="47" t="s">
        <v>64</v>
      </c>
      <c r="D197" s="47" t="s">
        <v>9004</v>
      </c>
      <c r="E197" s="47" t="s">
        <v>5658</v>
      </c>
      <c r="F197" s="47" t="s">
        <v>8781</v>
      </c>
      <c r="G197" s="363">
        <v>46294</v>
      </c>
      <c r="H197" s="47" t="s">
        <v>8787</v>
      </c>
      <c r="I197" s="47" t="s">
        <v>8783</v>
      </c>
      <c r="J197" s="47" t="s">
        <v>5658</v>
      </c>
    </row>
    <row r="198" spans="2:10" ht="14.5">
      <c r="B198" s="47" t="s">
        <v>5842</v>
      </c>
      <c r="C198" s="47" t="s">
        <v>64</v>
      </c>
      <c r="D198" s="47" t="s">
        <v>9005</v>
      </c>
      <c r="E198" s="47" t="s">
        <v>5841</v>
      </c>
      <c r="F198" s="47" t="s">
        <v>8781</v>
      </c>
      <c r="G198" s="363">
        <v>46315</v>
      </c>
      <c r="H198" s="47" t="s">
        <v>8787</v>
      </c>
      <c r="I198" s="47" t="s">
        <v>8783</v>
      </c>
      <c r="J198" s="47" t="s">
        <v>5841</v>
      </c>
    </row>
    <row r="199" spans="2:10" ht="14.5">
      <c r="B199" s="47" t="s">
        <v>5838</v>
      </c>
      <c r="C199" s="47" t="s">
        <v>64</v>
      </c>
      <c r="D199" s="47" t="s">
        <v>9006</v>
      </c>
      <c r="E199" s="47" t="s">
        <v>5837</v>
      </c>
      <c r="F199" s="47" t="s">
        <v>8781</v>
      </c>
      <c r="G199" s="363">
        <v>46314</v>
      </c>
      <c r="H199" s="47" t="s">
        <v>8787</v>
      </c>
      <c r="I199" s="47" t="s">
        <v>8783</v>
      </c>
      <c r="J199" s="47" t="s">
        <v>5837</v>
      </c>
    </row>
    <row r="200" spans="2:10" ht="14.5">
      <c r="B200" s="47" t="s">
        <v>5828</v>
      </c>
      <c r="C200" s="47" t="s">
        <v>64</v>
      </c>
      <c r="D200" s="47" t="s">
        <v>9007</v>
      </c>
      <c r="E200" s="47" t="s">
        <v>5827</v>
      </c>
      <c r="F200" s="47" t="s">
        <v>8781</v>
      </c>
      <c r="G200" s="363">
        <v>46300</v>
      </c>
      <c r="H200" s="47" t="s">
        <v>8787</v>
      </c>
      <c r="I200" s="47" t="s">
        <v>8783</v>
      </c>
      <c r="J200" s="47" t="s">
        <v>5827</v>
      </c>
    </row>
    <row r="201" spans="2:10" ht="14.5">
      <c r="B201" s="47" t="s">
        <v>5748</v>
      </c>
      <c r="C201" s="47" t="s">
        <v>64</v>
      </c>
      <c r="D201" s="47" t="s">
        <v>9008</v>
      </c>
      <c r="E201" s="47" t="s">
        <v>5747</v>
      </c>
      <c r="F201" s="47" t="s">
        <v>8781</v>
      </c>
      <c r="G201" s="363">
        <v>46289</v>
      </c>
      <c r="H201" s="47" t="s">
        <v>8787</v>
      </c>
      <c r="I201" s="47" t="s">
        <v>8783</v>
      </c>
      <c r="J201" s="47"/>
    </row>
    <row r="202" spans="2:10" ht="14.5">
      <c r="B202" s="47" t="s">
        <v>5696</v>
      </c>
      <c r="C202" s="47" t="s">
        <v>64</v>
      </c>
      <c r="D202" s="47" t="s">
        <v>9009</v>
      </c>
      <c r="E202" s="47" t="s">
        <v>5695</v>
      </c>
      <c r="F202" s="47" t="s">
        <v>8781</v>
      </c>
      <c r="G202" s="363">
        <v>46283</v>
      </c>
      <c r="H202" s="47" t="s">
        <v>8787</v>
      </c>
      <c r="I202" s="47" t="s">
        <v>8783</v>
      </c>
      <c r="J202" s="47"/>
    </row>
    <row r="203" spans="2:10" ht="14.5">
      <c r="B203" s="47" t="s">
        <v>5554</v>
      </c>
      <c r="C203" s="47" t="s">
        <v>64</v>
      </c>
      <c r="D203" s="47" t="s">
        <v>9010</v>
      </c>
      <c r="E203" s="47" t="s">
        <v>5551</v>
      </c>
      <c r="F203" s="47" t="s">
        <v>8781</v>
      </c>
      <c r="G203" s="363">
        <v>46300</v>
      </c>
      <c r="H203" s="47" t="s">
        <v>8787</v>
      </c>
      <c r="I203" s="47" t="s">
        <v>8783</v>
      </c>
      <c r="J203" s="47" t="s">
        <v>5551</v>
      </c>
    </row>
    <row r="204" spans="2:10" ht="14.5">
      <c r="B204" s="47" t="s">
        <v>5834</v>
      </c>
      <c r="C204" s="47" t="s">
        <v>64</v>
      </c>
      <c r="D204" s="47" t="s">
        <v>9011</v>
      </c>
      <c r="E204" s="47" t="s">
        <v>5833</v>
      </c>
      <c r="F204" s="47" t="s">
        <v>8781</v>
      </c>
      <c r="G204" s="363">
        <v>46309</v>
      </c>
      <c r="H204" s="47" t="s">
        <v>8787</v>
      </c>
      <c r="I204" s="47" t="s">
        <v>8783</v>
      </c>
      <c r="J204" s="47" t="s">
        <v>5833</v>
      </c>
    </row>
    <row r="205" spans="2:10" ht="14.5">
      <c r="B205" s="47" t="s">
        <v>5721</v>
      </c>
      <c r="C205" s="47" t="s">
        <v>64</v>
      </c>
      <c r="D205" s="47" t="s">
        <v>9012</v>
      </c>
      <c r="E205" s="47" t="s">
        <v>5720</v>
      </c>
      <c r="F205" s="47" t="s">
        <v>8781</v>
      </c>
      <c r="G205" s="363">
        <v>46293</v>
      </c>
      <c r="H205" s="47" t="s">
        <v>8787</v>
      </c>
      <c r="I205" s="47" t="s">
        <v>8783</v>
      </c>
      <c r="J205" s="47" t="s">
        <v>5720</v>
      </c>
    </row>
    <row r="206" spans="2:10" ht="14.5">
      <c r="B206" s="47" t="s">
        <v>5698</v>
      </c>
      <c r="C206" s="47" t="s">
        <v>64</v>
      </c>
      <c r="D206" s="47" t="s">
        <v>9013</v>
      </c>
      <c r="E206" s="47" t="s">
        <v>5697</v>
      </c>
      <c r="F206" s="47" t="s">
        <v>8781</v>
      </c>
      <c r="G206" s="363">
        <v>46290</v>
      </c>
      <c r="H206" s="47" t="s">
        <v>8787</v>
      </c>
      <c r="I206" s="47" t="s">
        <v>8783</v>
      </c>
      <c r="J206" s="47" t="s">
        <v>5697</v>
      </c>
    </row>
    <row r="207" spans="2:10" ht="14.5">
      <c r="B207" s="47" t="s">
        <v>5726</v>
      </c>
      <c r="C207" s="47" t="s">
        <v>64</v>
      </c>
      <c r="D207" s="47" t="s">
        <v>9014</v>
      </c>
      <c r="E207" s="47" t="s">
        <v>5724</v>
      </c>
      <c r="F207" s="47" t="s">
        <v>8781</v>
      </c>
      <c r="G207" s="363">
        <v>46296</v>
      </c>
      <c r="H207" s="47" t="s">
        <v>8787</v>
      </c>
      <c r="I207" s="47" t="s">
        <v>8783</v>
      </c>
      <c r="J207" s="47" t="s">
        <v>5724</v>
      </c>
    </row>
    <row r="208" spans="2:10" ht="14.5">
      <c r="B208" s="47" t="s">
        <v>5612</v>
      </c>
      <c r="C208" s="47" t="s">
        <v>64</v>
      </c>
      <c r="D208" s="47" t="s">
        <v>9015</v>
      </c>
      <c r="E208" s="47" t="s">
        <v>5611</v>
      </c>
      <c r="F208" s="47" t="s">
        <v>8781</v>
      </c>
      <c r="G208" s="363">
        <v>46287</v>
      </c>
      <c r="H208" s="47" t="s">
        <v>8787</v>
      </c>
      <c r="I208" s="47" t="s">
        <v>8783</v>
      </c>
      <c r="J208" s="47" t="s">
        <v>5611</v>
      </c>
    </row>
    <row r="209" spans="2:10" ht="14.5">
      <c r="B209" s="47" t="s">
        <v>5694</v>
      </c>
      <c r="C209" s="47" t="s">
        <v>64</v>
      </c>
      <c r="D209" s="47" t="s">
        <v>9016</v>
      </c>
      <c r="E209" s="47" t="s">
        <v>5693</v>
      </c>
      <c r="F209" s="47" t="s">
        <v>8781</v>
      </c>
      <c r="G209" s="363">
        <v>46290</v>
      </c>
      <c r="H209" s="47" t="s">
        <v>8787</v>
      </c>
      <c r="I209" s="47" t="s">
        <v>8783</v>
      </c>
      <c r="J209" s="47" t="s">
        <v>5693</v>
      </c>
    </row>
    <row r="210" spans="2:10" ht="14.5">
      <c r="B210" s="47" t="s">
        <v>5830</v>
      </c>
      <c r="C210" s="47" t="s">
        <v>64</v>
      </c>
      <c r="D210" s="47" t="s">
        <v>9017</v>
      </c>
      <c r="E210" s="47" t="s">
        <v>5829</v>
      </c>
      <c r="F210" s="47" t="s">
        <v>8781</v>
      </c>
      <c r="G210" s="363">
        <v>46324</v>
      </c>
      <c r="H210" s="47" t="s">
        <v>8787</v>
      </c>
      <c r="I210" s="47" t="s">
        <v>8783</v>
      </c>
      <c r="J210" s="47" t="s">
        <v>5829</v>
      </c>
    </row>
    <row r="211" spans="2:10" ht="14.5">
      <c r="B211" s="47" t="s">
        <v>5649</v>
      </c>
      <c r="C211" s="47" t="s">
        <v>64</v>
      </c>
      <c r="D211" s="47" t="s">
        <v>9018</v>
      </c>
      <c r="E211" s="47" t="s">
        <v>5648</v>
      </c>
      <c r="F211" s="47" t="s">
        <v>8781</v>
      </c>
      <c r="G211" s="363">
        <v>46321</v>
      </c>
      <c r="H211" s="47" t="s">
        <v>8787</v>
      </c>
      <c r="I211" s="47" t="s">
        <v>8783</v>
      </c>
      <c r="J211" s="47" t="s">
        <v>5648</v>
      </c>
    </row>
    <row r="212" spans="2:10" ht="14.5">
      <c r="B212" s="47" t="s">
        <v>5645</v>
      </c>
      <c r="C212" s="47" t="s">
        <v>64</v>
      </c>
      <c r="D212" s="47" t="s">
        <v>9019</v>
      </c>
      <c r="E212" s="47" t="s">
        <v>5644</v>
      </c>
      <c r="F212" s="47" t="s">
        <v>8781</v>
      </c>
      <c r="G212" s="363">
        <v>46297</v>
      </c>
      <c r="H212" s="47" t="s">
        <v>8787</v>
      </c>
      <c r="I212" s="47" t="s">
        <v>8783</v>
      </c>
      <c r="J212" s="47" t="s">
        <v>5644</v>
      </c>
    </row>
    <row r="213" spans="2:10" ht="14.5">
      <c r="B213" s="47" t="s">
        <v>5607</v>
      </c>
      <c r="C213" s="47" t="s">
        <v>64</v>
      </c>
      <c r="D213" s="47" t="s">
        <v>9020</v>
      </c>
      <c r="E213" s="47" t="s">
        <v>5605</v>
      </c>
      <c r="F213" s="47" t="s">
        <v>8781</v>
      </c>
      <c r="G213" s="363">
        <v>46287</v>
      </c>
      <c r="H213" s="47" t="s">
        <v>8787</v>
      </c>
      <c r="I213" s="47" t="s">
        <v>8783</v>
      </c>
      <c r="J213" s="47" t="s">
        <v>5605</v>
      </c>
    </row>
    <row r="214" spans="2:10" ht="14.5">
      <c r="B214" s="47" t="s">
        <v>5768</v>
      </c>
      <c r="C214" s="47" t="s">
        <v>64</v>
      </c>
      <c r="D214" s="47" t="s">
        <v>9021</v>
      </c>
      <c r="E214" s="47" t="s">
        <v>5767</v>
      </c>
      <c r="F214" s="47" t="s">
        <v>8781</v>
      </c>
      <c r="G214" s="363">
        <v>46290</v>
      </c>
      <c r="H214" s="47" t="s">
        <v>8787</v>
      </c>
      <c r="I214" s="47" t="s">
        <v>8783</v>
      </c>
      <c r="J214" s="47" t="s">
        <v>5767</v>
      </c>
    </row>
    <row r="215" spans="2:10" ht="14.5">
      <c r="B215" s="47" t="s">
        <v>5774</v>
      </c>
      <c r="C215" s="47" t="s">
        <v>64</v>
      </c>
      <c r="D215" s="47" t="s">
        <v>9022</v>
      </c>
      <c r="E215" s="47" t="s">
        <v>5773</v>
      </c>
      <c r="F215" s="47" t="s">
        <v>8781</v>
      </c>
      <c r="G215" s="363">
        <v>46295</v>
      </c>
      <c r="H215" s="47" t="s">
        <v>8787</v>
      </c>
      <c r="I215" s="47" t="s">
        <v>8783</v>
      </c>
      <c r="J215" s="47" t="s">
        <v>5773</v>
      </c>
    </row>
    <row r="216" spans="2:10" ht="14.5">
      <c r="B216" s="47" t="s">
        <v>5677</v>
      </c>
      <c r="C216" s="47" t="s">
        <v>64</v>
      </c>
      <c r="D216" s="47" t="s">
        <v>9023</v>
      </c>
      <c r="E216" s="47" t="s">
        <v>5674</v>
      </c>
      <c r="F216" s="47" t="s">
        <v>8781</v>
      </c>
      <c r="G216" s="363">
        <v>46288</v>
      </c>
      <c r="H216" s="47" t="s">
        <v>8787</v>
      </c>
      <c r="I216" s="47" t="s">
        <v>8783</v>
      </c>
      <c r="J216" s="47" t="s">
        <v>5674</v>
      </c>
    </row>
    <row r="217" spans="2:10" ht="14.5">
      <c r="B217" s="47" t="s">
        <v>5713</v>
      </c>
      <c r="C217" s="47" t="s">
        <v>8779</v>
      </c>
      <c r="D217" s="47" t="s">
        <v>9024</v>
      </c>
      <c r="E217" s="47" t="s">
        <v>5712</v>
      </c>
      <c r="F217" s="47" t="s">
        <v>8781</v>
      </c>
      <c r="G217" s="363">
        <v>46280</v>
      </c>
      <c r="H217" s="47" t="s">
        <v>8782</v>
      </c>
      <c r="I217" s="47" t="s">
        <v>8783</v>
      </c>
      <c r="J217" s="47" t="s">
        <v>5712</v>
      </c>
    </row>
    <row r="218" spans="2:10" ht="14.5">
      <c r="B218" s="47" t="s">
        <v>5918</v>
      </c>
      <c r="C218" s="47" t="s">
        <v>8779</v>
      </c>
      <c r="D218" s="47" t="s">
        <v>9025</v>
      </c>
      <c r="E218" s="47" t="s">
        <v>5917</v>
      </c>
      <c r="F218" s="47" t="s">
        <v>8781</v>
      </c>
      <c r="G218" s="363">
        <v>46274</v>
      </c>
      <c r="H218" s="47" t="s">
        <v>8782</v>
      </c>
      <c r="I218" s="47" t="s">
        <v>8783</v>
      </c>
      <c r="J218" s="47" t="s">
        <v>5917</v>
      </c>
    </row>
    <row r="219" spans="2:10" ht="14.5">
      <c r="B219" s="47" t="s">
        <v>5908</v>
      </c>
      <c r="C219" s="47" t="s">
        <v>64</v>
      </c>
      <c r="D219" s="47" t="s">
        <v>9026</v>
      </c>
      <c r="E219" s="47" t="s">
        <v>5906</v>
      </c>
      <c r="F219" s="47" t="s">
        <v>8781</v>
      </c>
      <c r="G219" s="363">
        <v>46295</v>
      </c>
      <c r="H219" s="47" t="s">
        <v>8787</v>
      </c>
      <c r="I219" s="47" t="s">
        <v>8783</v>
      </c>
      <c r="J219" s="47" t="s">
        <v>5906</v>
      </c>
    </row>
    <row r="220" spans="2:10" ht="14.5">
      <c r="B220" s="47" t="s">
        <v>5922</v>
      </c>
      <c r="C220" s="47" t="s">
        <v>8779</v>
      </c>
      <c r="D220" s="47" t="s">
        <v>9027</v>
      </c>
      <c r="E220" s="47" t="s">
        <v>5921</v>
      </c>
      <c r="F220" s="47" t="s">
        <v>8781</v>
      </c>
      <c r="G220" s="363">
        <v>46274</v>
      </c>
      <c r="H220" s="47" t="s">
        <v>8782</v>
      </c>
      <c r="I220" s="47" t="s">
        <v>8783</v>
      </c>
      <c r="J220" s="47" t="s">
        <v>5921</v>
      </c>
    </row>
    <row r="221" spans="2:10" ht="14.5">
      <c r="B221" s="47" t="s">
        <v>5808</v>
      </c>
      <c r="C221" s="47" t="s">
        <v>64</v>
      </c>
      <c r="D221" s="47" t="s">
        <v>9028</v>
      </c>
      <c r="E221" s="47" t="s">
        <v>5807</v>
      </c>
      <c r="F221" s="47" t="s">
        <v>8781</v>
      </c>
      <c r="G221" s="363">
        <v>46308</v>
      </c>
      <c r="H221" s="47" t="s">
        <v>8787</v>
      </c>
      <c r="I221" s="47" t="s">
        <v>8783</v>
      </c>
      <c r="J221" s="47" t="s">
        <v>5807</v>
      </c>
    </row>
    <row r="222" spans="2:10" ht="14.5">
      <c r="B222" s="47" t="s">
        <v>5824</v>
      </c>
      <c r="C222" s="47" t="s">
        <v>64</v>
      </c>
      <c r="D222" s="47" t="s">
        <v>9029</v>
      </c>
      <c r="E222" s="47" t="s">
        <v>5823</v>
      </c>
      <c r="F222" s="47" t="s">
        <v>8781</v>
      </c>
      <c r="G222" s="363">
        <v>46300</v>
      </c>
      <c r="H222" s="47" t="s">
        <v>8787</v>
      </c>
      <c r="I222" s="47" t="s">
        <v>8783</v>
      </c>
      <c r="J222" s="47" t="s">
        <v>5823</v>
      </c>
    </row>
    <row r="223" spans="2:10" ht="14.5">
      <c r="B223" s="47" t="s">
        <v>5770</v>
      </c>
      <c r="C223" s="47" t="s">
        <v>64</v>
      </c>
      <c r="D223" s="47" t="s">
        <v>9030</v>
      </c>
      <c r="E223" s="47" t="s">
        <v>5769</v>
      </c>
      <c r="F223" s="47" t="s">
        <v>8781</v>
      </c>
      <c r="G223" s="363">
        <v>46293</v>
      </c>
      <c r="H223" s="47" t="s">
        <v>8787</v>
      </c>
      <c r="I223" s="47" t="s">
        <v>8783</v>
      </c>
      <c r="J223" s="47" t="s">
        <v>5769</v>
      </c>
    </row>
    <row r="224" spans="2:10" ht="14.5">
      <c r="B224" s="47" t="s">
        <v>5813</v>
      </c>
      <c r="C224" s="47" t="s">
        <v>64</v>
      </c>
      <c r="D224" s="47" t="s">
        <v>9031</v>
      </c>
      <c r="E224" s="47" t="s">
        <v>5812</v>
      </c>
      <c r="F224" s="47" t="s">
        <v>8781</v>
      </c>
      <c r="G224" s="363">
        <v>46308</v>
      </c>
      <c r="H224" s="47" t="s">
        <v>8787</v>
      </c>
      <c r="I224" s="47" t="s">
        <v>8783</v>
      </c>
      <c r="J224" s="47" t="s">
        <v>5812</v>
      </c>
    </row>
    <row r="225" spans="2:10" ht="14.5">
      <c r="B225" s="47" t="s">
        <v>5682</v>
      </c>
      <c r="C225" s="47" t="s">
        <v>64</v>
      </c>
      <c r="D225" s="47" t="s">
        <v>9032</v>
      </c>
      <c r="E225" s="47" t="s">
        <v>5681</v>
      </c>
      <c r="F225" s="47" t="s">
        <v>8781</v>
      </c>
      <c r="G225" s="363">
        <v>46288</v>
      </c>
      <c r="H225" s="47" t="s">
        <v>8787</v>
      </c>
      <c r="I225" s="47" t="s">
        <v>8783</v>
      </c>
      <c r="J225" s="47" t="s">
        <v>5681</v>
      </c>
    </row>
    <row r="226" spans="2:10" ht="14.5">
      <c r="B226" s="47" t="s">
        <v>5731</v>
      </c>
      <c r="C226" s="47" t="s">
        <v>64</v>
      </c>
      <c r="D226" s="47" t="s">
        <v>9033</v>
      </c>
      <c r="E226" s="47" t="s">
        <v>5730</v>
      </c>
      <c r="F226" s="47" t="s">
        <v>8781</v>
      </c>
      <c r="G226" s="363">
        <v>46296</v>
      </c>
      <c r="H226" s="47" t="s">
        <v>8787</v>
      </c>
      <c r="I226" s="47" t="s">
        <v>8783</v>
      </c>
      <c r="J226" s="47" t="s">
        <v>5730</v>
      </c>
    </row>
    <row r="227" spans="2:10" ht="14.5">
      <c r="B227" s="47" t="s">
        <v>5702</v>
      </c>
      <c r="C227" s="47" t="s">
        <v>64</v>
      </c>
      <c r="D227" s="47" t="s">
        <v>9034</v>
      </c>
      <c r="E227" s="47" t="s">
        <v>5701</v>
      </c>
      <c r="F227" s="47" t="s">
        <v>8781</v>
      </c>
      <c r="G227" s="363">
        <v>46290</v>
      </c>
      <c r="H227" s="47" t="s">
        <v>8787</v>
      </c>
      <c r="I227" s="47" t="s">
        <v>8783</v>
      </c>
      <c r="J227" s="47" t="s">
        <v>5701</v>
      </c>
    </row>
    <row r="228" spans="2:10" ht="14.5">
      <c r="B228" s="47" t="s">
        <v>5686</v>
      </c>
      <c r="C228" s="47" t="s">
        <v>64</v>
      </c>
      <c r="D228" s="47" t="s">
        <v>9035</v>
      </c>
      <c r="E228" s="47" t="s">
        <v>5685</v>
      </c>
      <c r="F228" s="47" t="s">
        <v>8781</v>
      </c>
      <c r="G228" s="363">
        <v>46288</v>
      </c>
      <c r="H228" s="47" t="s">
        <v>8787</v>
      </c>
      <c r="I228" s="47" t="s">
        <v>8783</v>
      </c>
      <c r="J228" s="47" t="s">
        <v>5685</v>
      </c>
    </row>
    <row r="229" spans="2:10" ht="14.5">
      <c r="B229" s="47" t="s">
        <v>5688</v>
      </c>
      <c r="C229" s="47" t="s">
        <v>64</v>
      </c>
      <c r="D229" s="47" t="s">
        <v>9036</v>
      </c>
      <c r="E229" s="47" t="s">
        <v>5687</v>
      </c>
      <c r="F229" s="47" t="s">
        <v>8781</v>
      </c>
      <c r="G229" s="363">
        <v>46290</v>
      </c>
      <c r="H229" s="47" t="s">
        <v>8787</v>
      </c>
      <c r="I229" s="47" t="s">
        <v>8783</v>
      </c>
      <c r="J229" s="47" t="s">
        <v>5687</v>
      </c>
    </row>
    <row r="230" spans="2:10" ht="14.5">
      <c r="B230" s="47" t="s">
        <v>5527</v>
      </c>
      <c r="C230" s="47" t="s">
        <v>64</v>
      </c>
      <c r="D230" s="47" t="s">
        <v>9037</v>
      </c>
      <c r="E230" s="47" t="s">
        <v>5526</v>
      </c>
      <c r="F230" s="47" t="s">
        <v>8781</v>
      </c>
      <c r="G230" s="363">
        <v>46293</v>
      </c>
      <c r="H230" s="47" t="s">
        <v>8787</v>
      </c>
      <c r="I230" s="47" t="s">
        <v>8783</v>
      </c>
      <c r="J230" s="47" t="s">
        <v>5526</v>
      </c>
    </row>
    <row r="231" spans="2:10" ht="14.5">
      <c r="B231" s="47" t="s">
        <v>5700</v>
      </c>
      <c r="C231" s="47" t="s">
        <v>64</v>
      </c>
      <c r="D231" s="47" t="s">
        <v>9038</v>
      </c>
      <c r="E231" s="47" t="s">
        <v>5699</v>
      </c>
      <c r="F231" s="47" t="s">
        <v>8781</v>
      </c>
      <c r="G231" s="363">
        <v>46283</v>
      </c>
      <c r="H231" s="47" t="s">
        <v>8787</v>
      </c>
      <c r="I231" s="47" t="s">
        <v>8783</v>
      </c>
      <c r="J231" s="47"/>
    </row>
    <row r="232" spans="2:10" ht="14.5">
      <c r="B232" s="47" t="s">
        <v>5795</v>
      </c>
      <c r="C232" s="47" t="s">
        <v>8779</v>
      </c>
      <c r="D232" s="47" t="s">
        <v>9039</v>
      </c>
      <c r="E232" s="47" t="s">
        <v>5791</v>
      </c>
      <c r="F232" s="47" t="s">
        <v>8781</v>
      </c>
      <c r="G232" s="363">
        <v>46307</v>
      </c>
      <c r="H232" s="47" t="s">
        <v>8782</v>
      </c>
      <c r="I232" s="47" t="s">
        <v>8783</v>
      </c>
      <c r="J232" s="47" t="s">
        <v>5791</v>
      </c>
    </row>
    <row r="233" spans="2:10" ht="14.5">
      <c r="B233" s="47" t="s">
        <v>5802</v>
      </c>
      <c r="C233" s="47" t="s">
        <v>8779</v>
      </c>
      <c r="D233" s="47" t="s">
        <v>9040</v>
      </c>
      <c r="E233" s="47" t="s">
        <v>5800</v>
      </c>
      <c r="F233" s="47" t="s">
        <v>8781</v>
      </c>
      <c r="G233" s="363">
        <v>46294</v>
      </c>
      <c r="H233" s="47" t="s">
        <v>8782</v>
      </c>
      <c r="I233" s="47" t="s">
        <v>8783</v>
      </c>
      <c r="J233" s="47" t="s">
        <v>5800</v>
      </c>
    </row>
    <row r="234" spans="2:10" ht="14.5">
      <c r="B234" s="47" t="s">
        <v>5717</v>
      </c>
      <c r="C234" s="47" t="s">
        <v>8779</v>
      </c>
      <c r="D234" s="47" t="s">
        <v>9041</v>
      </c>
      <c r="E234" s="47" t="s">
        <v>5716</v>
      </c>
      <c r="F234" s="47" t="s">
        <v>8781</v>
      </c>
      <c r="G234" s="363">
        <v>46274</v>
      </c>
      <c r="H234" s="47" t="s">
        <v>8782</v>
      </c>
      <c r="I234" s="47" t="s">
        <v>8783</v>
      </c>
      <c r="J234" s="47" t="s">
        <v>5716</v>
      </c>
    </row>
    <row r="235" spans="2:10" ht="14.5">
      <c r="B235" s="47" t="s">
        <v>5817</v>
      </c>
      <c r="C235" s="47" t="s">
        <v>64</v>
      </c>
      <c r="D235" s="47" t="s">
        <v>9042</v>
      </c>
      <c r="E235" s="47" t="s">
        <v>5816</v>
      </c>
      <c r="F235" s="47" t="s">
        <v>8781</v>
      </c>
      <c r="G235" s="363">
        <v>46293</v>
      </c>
      <c r="H235" s="47" t="s">
        <v>8787</v>
      </c>
      <c r="I235" s="47" t="s">
        <v>8783</v>
      </c>
      <c r="J235" s="47" t="s">
        <v>5816</v>
      </c>
    </row>
    <row r="236" spans="2:10" ht="14.5">
      <c r="B236" s="47" t="s">
        <v>5822</v>
      </c>
      <c r="C236" s="47" t="s">
        <v>64</v>
      </c>
      <c r="D236" s="47" t="s">
        <v>9043</v>
      </c>
      <c r="E236" s="47" t="s">
        <v>5821</v>
      </c>
      <c r="F236" s="47" t="s">
        <v>8781</v>
      </c>
      <c r="G236" s="363">
        <v>46293</v>
      </c>
      <c r="H236" s="47" t="s">
        <v>8787</v>
      </c>
      <c r="I236" s="47" t="s">
        <v>8783</v>
      </c>
      <c r="J236" s="47" t="s">
        <v>5821</v>
      </c>
    </row>
    <row r="237" spans="2:10" ht="14.5">
      <c r="B237" s="47" t="s">
        <v>5709</v>
      </c>
      <c r="C237" s="47" t="s">
        <v>8779</v>
      </c>
      <c r="D237" s="47" t="s">
        <v>9044</v>
      </c>
      <c r="E237" s="47" t="s">
        <v>5708</v>
      </c>
      <c r="F237" s="47" t="s">
        <v>8781</v>
      </c>
      <c r="G237" s="363">
        <v>46276</v>
      </c>
      <c r="H237" s="47" t="s">
        <v>8782</v>
      </c>
      <c r="I237" s="47" t="s">
        <v>8783</v>
      </c>
      <c r="J237" s="47" t="s">
        <v>5708</v>
      </c>
    </row>
    <row r="238" spans="2:10" ht="14.5">
      <c r="B238" s="47" t="s">
        <v>5704</v>
      </c>
      <c r="C238" s="47" t="s">
        <v>8779</v>
      </c>
      <c r="D238" s="47" t="s">
        <v>9045</v>
      </c>
      <c r="E238" s="47" t="s">
        <v>5703</v>
      </c>
      <c r="F238" s="47" t="s">
        <v>8781</v>
      </c>
      <c r="G238" s="363">
        <v>46277</v>
      </c>
      <c r="H238" s="47" t="s">
        <v>8782</v>
      </c>
      <c r="I238" s="47" t="s">
        <v>8783</v>
      </c>
      <c r="J238" s="47"/>
    </row>
    <row r="239" spans="2:10" ht="14.5">
      <c r="B239" s="47" t="s">
        <v>5711</v>
      </c>
      <c r="C239" s="47" t="s">
        <v>8779</v>
      </c>
      <c r="D239" s="47" t="s">
        <v>9046</v>
      </c>
      <c r="E239" s="47" t="s">
        <v>5710</v>
      </c>
      <c r="F239" s="47" t="s">
        <v>8781</v>
      </c>
      <c r="G239" s="363">
        <v>46277</v>
      </c>
      <c r="H239" s="47" t="s">
        <v>8782</v>
      </c>
      <c r="I239" s="47" t="s">
        <v>8783</v>
      </c>
      <c r="J239" s="47"/>
    </row>
    <row r="240" spans="2:10" ht="14.5">
      <c r="B240" s="47" t="s">
        <v>5640</v>
      </c>
      <c r="C240" s="47" t="s">
        <v>64</v>
      </c>
      <c r="D240" s="47" t="s">
        <v>9047</v>
      </c>
      <c r="E240" s="47" t="s">
        <v>5638</v>
      </c>
      <c r="F240" s="47" t="s">
        <v>8781</v>
      </c>
      <c r="G240" s="363">
        <v>46288</v>
      </c>
      <c r="H240" s="47" t="s">
        <v>8787</v>
      </c>
      <c r="I240" s="47" t="s">
        <v>8783</v>
      </c>
      <c r="J240" s="47" t="s">
        <v>5638</v>
      </c>
    </row>
    <row r="241" spans="2:10" ht="14.5">
      <c r="B241" s="47" t="s">
        <v>5614</v>
      </c>
      <c r="C241" s="47" t="s">
        <v>8779</v>
      </c>
      <c r="D241" s="47" t="s">
        <v>9048</v>
      </c>
      <c r="E241" s="47" t="s">
        <v>5613</v>
      </c>
      <c r="F241" s="47" t="s">
        <v>8781</v>
      </c>
      <c r="G241" s="363">
        <v>46276</v>
      </c>
      <c r="H241" s="47" t="s">
        <v>8782</v>
      </c>
      <c r="I241" s="47" t="s">
        <v>8783</v>
      </c>
      <c r="J241" s="47"/>
    </row>
    <row r="242" spans="2:10" ht="14.5">
      <c r="B242" s="47" t="s">
        <v>8185</v>
      </c>
      <c r="C242" s="47" t="s">
        <v>64</v>
      </c>
      <c r="D242" s="47" t="s">
        <v>9049</v>
      </c>
      <c r="E242" s="47" t="s">
        <v>9050</v>
      </c>
      <c r="F242" s="47" t="s">
        <v>8829</v>
      </c>
      <c r="G242" s="363">
        <v>46279</v>
      </c>
      <c r="H242" s="47" t="s">
        <v>8787</v>
      </c>
      <c r="I242" s="47" t="s">
        <v>8783</v>
      </c>
      <c r="J242" s="47" t="s">
        <v>9051</v>
      </c>
    </row>
    <row r="243" spans="2:10" ht="14.5">
      <c r="B243" s="47" t="s">
        <v>8177</v>
      </c>
      <c r="C243" s="47" t="s">
        <v>64</v>
      </c>
      <c r="D243" s="47" t="s">
        <v>9052</v>
      </c>
      <c r="E243" s="47" t="s">
        <v>9053</v>
      </c>
      <c r="F243" s="47" t="s">
        <v>8829</v>
      </c>
      <c r="G243" s="363">
        <v>46295</v>
      </c>
      <c r="H243" s="47" t="s">
        <v>8787</v>
      </c>
      <c r="I243" s="47" t="s">
        <v>8783</v>
      </c>
      <c r="J243" s="47" t="s">
        <v>9054</v>
      </c>
    </row>
    <row r="244" spans="2:10" ht="14.5">
      <c r="B244" s="47" t="s">
        <v>8172</v>
      </c>
      <c r="C244" s="47" t="s">
        <v>64</v>
      </c>
      <c r="D244" s="47" t="s">
        <v>9055</v>
      </c>
      <c r="E244" s="47" t="s">
        <v>9056</v>
      </c>
      <c r="F244" s="47" t="s">
        <v>8829</v>
      </c>
      <c r="G244" s="363">
        <v>46275</v>
      </c>
      <c r="H244" s="47" t="s">
        <v>8787</v>
      </c>
      <c r="I244" s="47" t="s">
        <v>8783</v>
      </c>
      <c r="J244" s="47" t="s">
        <v>8171</v>
      </c>
    </row>
    <row r="245" spans="2:10" ht="14.5">
      <c r="B245" s="47" t="s">
        <v>8168</v>
      </c>
      <c r="C245" s="47" t="s">
        <v>64</v>
      </c>
      <c r="D245" s="47" t="s">
        <v>9057</v>
      </c>
      <c r="E245" s="47" t="s">
        <v>9058</v>
      </c>
      <c r="F245" s="47" t="s">
        <v>8829</v>
      </c>
      <c r="G245" s="363">
        <v>46290</v>
      </c>
      <c r="H245" s="47" t="s">
        <v>8787</v>
      </c>
      <c r="I245" s="47" t="s">
        <v>8783</v>
      </c>
      <c r="J245" s="47" t="s">
        <v>8167</v>
      </c>
    </row>
    <row r="246" spans="2:10" ht="14.5">
      <c r="B246" s="47" t="s">
        <v>5573</v>
      </c>
      <c r="C246" s="47" t="s">
        <v>64</v>
      </c>
      <c r="D246" s="47" t="s">
        <v>9059</v>
      </c>
      <c r="E246" s="47" t="s">
        <v>5572</v>
      </c>
      <c r="F246" s="47" t="s">
        <v>8781</v>
      </c>
      <c r="G246" s="363">
        <v>46294</v>
      </c>
      <c r="H246" s="47" t="s">
        <v>8787</v>
      </c>
      <c r="I246" s="47" t="s">
        <v>8783</v>
      </c>
      <c r="J246" s="47" t="s">
        <v>5572</v>
      </c>
    </row>
    <row r="247" spans="2:10" ht="14.5">
      <c r="B247" s="47" t="s">
        <v>5569</v>
      </c>
      <c r="C247" s="47" t="s">
        <v>64</v>
      </c>
      <c r="D247" s="47" t="s">
        <v>9060</v>
      </c>
      <c r="E247" s="47" t="s">
        <v>5567</v>
      </c>
      <c r="F247" s="47" t="s">
        <v>8781</v>
      </c>
      <c r="G247" s="363">
        <v>46294</v>
      </c>
      <c r="H247" s="47" t="s">
        <v>8787</v>
      </c>
      <c r="I247" s="47" t="s">
        <v>8783</v>
      </c>
      <c r="J247" s="47" t="s">
        <v>5567</v>
      </c>
    </row>
    <row r="248" spans="2:10" ht="14.5">
      <c r="B248" s="47" t="s">
        <v>5669</v>
      </c>
      <c r="C248" s="47" t="s">
        <v>64</v>
      </c>
      <c r="D248" s="47" t="s">
        <v>9061</v>
      </c>
      <c r="E248" s="47" t="s">
        <v>5668</v>
      </c>
      <c r="F248" s="47" t="s">
        <v>8781</v>
      </c>
      <c r="G248" s="363">
        <v>46293</v>
      </c>
      <c r="H248" s="47" t="s">
        <v>8787</v>
      </c>
      <c r="I248" s="47" t="s">
        <v>8783</v>
      </c>
      <c r="J248" s="47" t="s">
        <v>5668</v>
      </c>
    </row>
    <row r="249" spans="2:10" ht="14.5">
      <c r="B249" s="47" t="s">
        <v>5618</v>
      </c>
      <c r="C249" s="47" t="s">
        <v>64</v>
      </c>
      <c r="D249" s="47" t="s">
        <v>9062</v>
      </c>
      <c r="E249" s="47" t="s">
        <v>5617</v>
      </c>
      <c r="F249" s="47" t="s">
        <v>8781</v>
      </c>
      <c r="G249" s="363">
        <v>46282</v>
      </c>
      <c r="H249" s="47" t="s">
        <v>8787</v>
      </c>
      <c r="I249" s="47" t="s">
        <v>8783</v>
      </c>
      <c r="J249" s="47" t="s">
        <v>5617</v>
      </c>
    </row>
    <row r="250" spans="2:10" ht="14.5">
      <c r="B250" s="47" t="s">
        <v>5547</v>
      </c>
      <c r="C250" s="47" t="s">
        <v>64</v>
      </c>
      <c r="D250" s="47" t="s">
        <v>9063</v>
      </c>
      <c r="E250" s="47" t="s">
        <v>5546</v>
      </c>
      <c r="F250" s="47" t="s">
        <v>8781</v>
      </c>
      <c r="G250" s="363">
        <v>46297</v>
      </c>
      <c r="H250" s="47" t="s">
        <v>8787</v>
      </c>
      <c r="I250" s="47" t="s">
        <v>8783</v>
      </c>
      <c r="J250" s="47" t="s">
        <v>5546</v>
      </c>
    </row>
    <row r="251" spans="2:10" ht="14.5">
      <c r="B251" s="47" t="s">
        <v>5543</v>
      </c>
      <c r="C251" s="47" t="s">
        <v>64</v>
      </c>
      <c r="D251" s="47" t="s">
        <v>9064</v>
      </c>
      <c r="E251" s="47" t="s">
        <v>5541</v>
      </c>
      <c r="F251" s="47" t="s">
        <v>8781</v>
      </c>
      <c r="G251" s="363">
        <v>46297</v>
      </c>
      <c r="H251" s="47" t="s">
        <v>8787</v>
      </c>
      <c r="I251" s="47" t="s">
        <v>8783</v>
      </c>
      <c r="J251" s="47" t="s">
        <v>5541</v>
      </c>
    </row>
    <row r="252" spans="2:10" ht="14.5">
      <c r="B252" s="47" t="s">
        <v>5396</v>
      </c>
      <c r="C252" s="47" t="s">
        <v>64</v>
      </c>
      <c r="D252" s="47" t="s">
        <v>9065</v>
      </c>
      <c r="E252" s="47" t="s">
        <v>5394</v>
      </c>
      <c r="F252" s="47" t="s">
        <v>8781</v>
      </c>
      <c r="G252" s="363">
        <v>46279</v>
      </c>
      <c r="H252" s="47" t="s">
        <v>8787</v>
      </c>
      <c r="I252" s="47" t="s">
        <v>8783</v>
      </c>
      <c r="J252" s="47" t="s">
        <v>5394</v>
      </c>
    </row>
    <row r="253" spans="2:10" ht="14.5">
      <c r="B253" s="47" t="s">
        <v>5538</v>
      </c>
      <c r="C253" s="47" t="s">
        <v>64</v>
      </c>
      <c r="D253" s="47" t="s">
        <v>9066</v>
      </c>
      <c r="E253" s="47" t="s">
        <v>5537</v>
      </c>
      <c r="F253" s="47" t="s">
        <v>8781</v>
      </c>
      <c r="G253" s="363">
        <v>46297</v>
      </c>
      <c r="H253" s="47" t="s">
        <v>8787</v>
      </c>
      <c r="I253" s="47" t="s">
        <v>8783</v>
      </c>
      <c r="J253" s="47" t="s">
        <v>5537</v>
      </c>
    </row>
    <row r="254" spans="2:10" ht="14.5">
      <c r="B254" s="47" t="s">
        <v>5654</v>
      </c>
      <c r="C254" s="47" t="s">
        <v>64</v>
      </c>
      <c r="D254" s="47" t="s">
        <v>9067</v>
      </c>
      <c r="E254" s="47" t="s">
        <v>5653</v>
      </c>
      <c r="F254" s="47" t="s">
        <v>8781</v>
      </c>
      <c r="G254" s="363">
        <v>46293</v>
      </c>
      <c r="H254" s="47" t="s">
        <v>8787</v>
      </c>
      <c r="I254" s="47" t="s">
        <v>8783</v>
      </c>
      <c r="J254" s="47" t="s">
        <v>5653</v>
      </c>
    </row>
    <row r="255" spans="2:10" ht="14.5">
      <c r="B255" s="47" t="s">
        <v>5673</v>
      </c>
      <c r="C255" s="47" t="s">
        <v>64</v>
      </c>
      <c r="D255" s="47" t="s">
        <v>9068</v>
      </c>
      <c r="E255" s="47" t="s">
        <v>5672</v>
      </c>
      <c r="F255" s="47" t="s">
        <v>8781</v>
      </c>
      <c r="G255" s="363">
        <v>46293</v>
      </c>
      <c r="H255" s="47" t="s">
        <v>8787</v>
      </c>
      <c r="I255" s="47" t="s">
        <v>8783</v>
      </c>
      <c r="J255" s="47" t="s">
        <v>5672</v>
      </c>
    </row>
    <row r="256" spans="2:10" ht="14.5">
      <c r="B256" s="47" t="s">
        <v>5628</v>
      </c>
      <c r="C256" s="47" t="s">
        <v>64</v>
      </c>
      <c r="D256" s="47" t="s">
        <v>9069</v>
      </c>
      <c r="E256" s="47" t="s">
        <v>5627</v>
      </c>
      <c r="F256" s="47" t="s">
        <v>8781</v>
      </c>
      <c r="G256" s="363">
        <v>46283</v>
      </c>
      <c r="H256" s="47" t="s">
        <v>8787</v>
      </c>
      <c r="I256" s="47" t="s">
        <v>8783</v>
      </c>
      <c r="J256" s="47" t="s">
        <v>5627</v>
      </c>
    </row>
    <row r="257" spans="2:10" ht="14.5">
      <c r="B257" s="47" t="s">
        <v>5637</v>
      </c>
      <c r="C257" s="47" t="s">
        <v>64</v>
      </c>
      <c r="D257" s="47" t="s">
        <v>9070</v>
      </c>
      <c r="E257" s="47" t="s">
        <v>5636</v>
      </c>
      <c r="F257" s="47" t="s">
        <v>8781</v>
      </c>
      <c r="G257" s="363">
        <v>46286</v>
      </c>
      <c r="H257" s="47" t="s">
        <v>8787</v>
      </c>
      <c r="I257" s="47" t="s">
        <v>8783</v>
      </c>
      <c r="J257" s="47" t="s">
        <v>5636</v>
      </c>
    </row>
    <row r="258" spans="2:10" ht="14.5">
      <c r="B258" s="47" t="s">
        <v>5515</v>
      </c>
      <c r="C258" s="47" t="s">
        <v>64</v>
      </c>
      <c r="D258" s="47" t="s">
        <v>9071</v>
      </c>
      <c r="E258" s="47" t="s">
        <v>5514</v>
      </c>
      <c r="F258" s="47" t="s">
        <v>8781</v>
      </c>
      <c r="G258" s="363">
        <v>46288</v>
      </c>
      <c r="H258" s="47" t="s">
        <v>8787</v>
      </c>
      <c r="I258" s="47" t="s">
        <v>8783</v>
      </c>
      <c r="J258" s="47" t="s">
        <v>5514</v>
      </c>
    </row>
    <row r="259" spans="2:10" ht="14.5">
      <c r="B259" s="47" t="s">
        <v>5540</v>
      </c>
      <c r="C259" s="47" t="s">
        <v>64</v>
      </c>
      <c r="D259" s="47" t="s">
        <v>9072</v>
      </c>
      <c r="E259" s="47" t="s">
        <v>5539</v>
      </c>
      <c r="F259" s="47" t="s">
        <v>8781</v>
      </c>
      <c r="G259" s="363">
        <v>46297</v>
      </c>
      <c r="H259" s="47" t="s">
        <v>8787</v>
      </c>
      <c r="I259" s="47" t="s">
        <v>8783</v>
      </c>
      <c r="J259" s="47" t="s">
        <v>5539</v>
      </c>
    </row>
    <row r="260" spans="2:10" ht="14.5">
      <c r="B260" s="47" t="s">
        <v>5597</v>
      </c>
      <c r="C260" s="47" t="s">
        <v>64</v>
      </c>
      <c r="D260" s="47" t="s">
        <v>9073</v>
      </c>
      <c r="E260" s="47" t="s">
        <v>5596</v>
      </c>
      <c r="F260" s="47" t="s">
        <v>8781</v>
      </c>
      <c r="G260" s="363">
        <v>46279</v>
      </c>
      <c r="H260" s="47" t="s">
        <v>8787</v>
      </c>
      <c r="I260" s="47" t="s">
        <v>8783</v>
      </c>
      <c r="J260" s="47" t="s">
        <v>5596</v>
      </c>
    </row>
    <row r="261" spans="2:10" ht="14.5">
      <c r="B261" s="47" t="s">
        <v>5602</v>
      </c>
      <c r="C261" s="47" t="s">
        <v>64</v>
      </c>
      <c r="D261" s="47" t="s">
        <v>9074</v>
      </c>
      <c r="E261" s="47" t="s">
        <v>5601</v>
      </c>
      <c r="F261" s="47" t="s">
        <v>8781</v>
      </c>
      <c r="G261" s="363">
        <v>46279</v>
      </c>
      <c r="H261" s="47" t="s">
        <v>8787</v>
      </c>
      <c r="I261" s="47" t="s">
        <v>8783</v>
      </c>
      <c r="J261" s="47" t="s">
        <v>5601</v>
      </c>
    </row>
    <row r="262" spans="2:10" ht="14.5">
      <c r="B262" s="47" t="s">
        <v>5604</v>
      </c>
      <c r="C262" s="47" t="s">
        <v>64</v>
      </c>
      <c r="D262" s="47" t="s">
        <v>9075</v>
      </c>
      <c r="E262" s="47" t="s">
        <v>5603</v>
      </c>
      <c r="F262" s="47" t="s">
        <v>8781</v>
      </c>
      <c r="G262" s="363">
        <v>46279</v>
      </c>
      <c r="H262" s="47" t="s">
        <v>8787</v>
      </c>
      <c r="I262" s="47" t="s">
        <v>8783</v>
      </c>
      <c r="J262" s="47" t="s">
        <v>5603</v>
      </c>
    </row>
    <row r="263" spans="2:10" ht="14.5">
      <c r="B263" s="47" t="s">
        <v>5624</v>
      </c>
      <c r="C263" s="47" t="s">
        <v>64</v>
      </c>
      <c r="D263" s="47" t="s">
        <v>9076</v>
      </c>
      <c r="E263" s="47" t="s">
        <v>5622</v>
      </c>
      <c r="F263" s="47" t="s">
        <v>8781</v>
      </c>
      <c r="G263" s="363">
        <v>46288</v>
      </c>
      <c r="H263" s="47" t="s">
        <v>8787</v>
      </c>
      <c r="I263" s="47" t="s">
        <v>8783</v>
      </c>
      <c r="J263" s="47" t="s">
        <v>5622</v>
      </c>
    </row>
    <row r="264" spans="2:10" ht="14.5">
      <c r="B264" s="47" t="s">
        <v>5632</v>
      </c>
      <c r="C264" s="47" t="s">
        <v>64</v>
      </c>
      <c r="D264" s="47" t="s">
        <v>9077</v>
      </c>
      <c r="E264" s="47" t="s">
        <v>5631</v>
      </c>
      <c r="F264" s="47" t="s">
        <v>8781</v>
      </c>
      <c r="G264" s="363">
        <v>46286</v>
      </c>
      <c r="H264" s="47" t="s">
        <v>8787</v>
      </c>
      <c r="I264" s="47" t="s">
        <v>8783</v>
      </c>
      <c r="J264" s="47" t="s">
        <v>5631</v>
      </c>
    </row>
    <row r="265" spans="2:10" ht="14.5">
      <c r="B265" s="47" t="s">
        <v>5533</v>
      </c>
      <c r="C265" s="47" t="s">
        <v>64</v>
      </c>
      <c r="D265" s="47" t="s">
        <v>9078</v>
      </c>
      <c r="E265" s="47" t="s">
        <v>5531</v>
      </c>
      <c r="F265" s="47" t="s">
        <v>8781</v>
      </c>
      <c r="G265" s="363">
        <v>46297</v>
      </c>
      <c r="H265" s="47" t="s">
        <v>8787</v>
      </c>
      <c r="I265" s="47" t="s">
        <v>8783</v>
      </c>
      <c r="J265" s="47" t="s">
        <v>5531</v>
      </c>
    </row>
    <row r="266" spans="2:10" ht="14.5">
      <c r="B266" s="47" t="s">
        <v>5550</v>
      </c>
      <c r="C266" s="47" t="s">
        <v>64</v>
      </c>
      <c r="D266" s="47" t="s">
        <v>9079</v>
      </c>
      <c r="E266" s="47" t="s">
        <v>5548</v>
      </c>
      <c r="F266" s="47" t="s">
        <v>8781</v>
      </c>
      <c r="G266" s="363">
        <v>46297</v>
      </c>
      <c r="H266" s="47" t="s">
        <v>8787</v>
      </c>
      <c r="I266" s="47" t="s">
        <v>8783</v>
      </c>
      <c r="J266" s="47" t="s">
        <v>5548</v>
      </c>
    </row>
    <row r="267" spans="2:10" ht="14.5">
      <c r="B267" s="47" t="s">
        <v>5665</v>
      </c>
      <c r="C267" s="47" t="s">
        <v>64</v>
      </c>
      <c r="D267" s="47" t="s">
        <v>9080</v>
      </c>
      <c r="E267" s="47" t="s">
        <v>5663</v>
      </c>
      <c r="F267" s="47" t="s">
        <v>8781</v>
      </c>
      <c r="G267" s="363">
        <v>46668</v>
      </c>
      <c r="H267" s="47" t="s">
        <v>8787</v>
      </c>
      <c r="I267" s="47" t="s">
        <v>8783</v>
      </c>
      <c r="J267" s="47" t="s">
        <v>5663</v>
      </c>
    </row>
    <row r="268" spans="2:10" ht="14.5">
      <c r="B268" s="47" t="s">
        <v>4854</v>
      </c>
      <c r="C268" s="47" t="s">
        <v>64</v>
      </c>
      <c r="D268" s="47" t="s">
        <v>9081</v>
      </c>
      <c r="E268" s="47"/>
      <c r="F268" s="47" t="s">
        <v>8781</v>
      </c>
      <c r="G268" s="363">
        <v>46238</v>
      </c>
      <c r="H268" s="47" t="s">
        <v>8782</v>
      </c>
      <c r="I268" s="47" t="s">
        <v>8783</v>
      </c>
      <c r="J268" s="47" t="s">
        <v>9082</v>
      </c>
    </row>
    <row r="269" spans="2:10" ht="14.5">
      <c r="B269" s="47" t="s">
        <v>4977</v>
      </c>
      <c r="C269" s="47" t="s">
        <v>8779</v>
      </c>
      <c r="D269" s="47" t="s">
        <v>9083</v>
      </c>
      <c r="E269" s="47"/>
      <c r="F269" s="47" t="s">
        <v>8781</v>
      </c>
      <c r="G269" s="363">
        <v>46246</v>
      </c>
      <c r="H269" s="47" t="s">
        <v>8782</v>
      </c>
      <c r="I269" s="47" t="s">
        <v>8783</v>
      </c>
      <c r="J269" s="47" t="s">
        <v>9084</v>
      </c>
    </row>
    <row r="270" spans="2:10" ht="14.5">
      <c r="B270" s="47" t="s">
        <v>4971</v>
      </c>
      <c r="C270" s="47" t="s">
        <v>64</v>
      </c>
      <c r="D270" s="47" t="s">
        <v>9083</v>
      </c>
      <c r="E270" s="47"/>
      <c r="F270" s="47" t="s">
        <v>8781</v>
      </c>
      <c r="G270" s="363">
        <v>46246</v>
      </c>
      <c r="H270" s="47" t="s">
        <v>8782</v>
      </c>
      <c r="I270" s="47" t="s">
        <v>8783</v>
      </c>
      <c r="J270" s="47" t="s">
        <v>9085</v>
      </c>
    </row>
    <row r="271" spans="2:10" ht="14.5">
      <c r="B271" s="47" t="s">
        <v>5412</v>
      </c>
      <c r="C271" s="47" t="s">
        <v>8779</v>
      </c>
      <c r="D271" s="47" t="s">
        <v>9086</v>
      </c>
      <c r="E271" s="47" t="s">
        <v>5407</v>
      </c>
      <c r="F271" s="47" t="s">
        <v>8781</v>
      </c>
      <c r="G271" s="363">
        <v>46262</v>
      </c>
      <c r="H271" s="47" t="s">
        <v>8782</v>
      </c>
      <c r="I271" s="47" t="s">
        <v>8783</v>
      </c>
      <c r="J271" s="47" t="s">
        <v>5407</v>
      </c>
    </row>
    <row r="272" spans="2:10" ht="14.5">
      <c r="B272" s="47" t="s">
        <v>5566</v>
      </c>
      <c r="C272" s="47" t="s">
        <v>8779</v>
      </c>
      <c r="D272" s="47" t="s">
        <v>9087</v>
      </c>
      <c r="E272" s="47" t="s">
        <v>5563</v>
      </c>
      <c r="F272" s="47" t="s">
        <v>8781</v>
      </c>
      <c r="G272" s="363">
        <v>46268</v>
      </c>
      <c r="H272" s="47" t="s">
        <v>8782</v>
      </c>
      <c r="I272" s="47" t="s">
        <v>8783</v>
      </c>
      <c r="J272" s="47" t="s">
        <v>5563</v>
      </c>
    </row>
    <row r="273" spans="2:10" ht="14.5">
      <c r="B273" s="47" t="s">
        <v>5559</v>
      </c>
      <c r="C273" s="47" t="s">
        <v>8779</v>
      </c>
      <c r="D273" s="47" t="s">
        <v>9088</v>
      </c>
      <c r="E273" s="47" t="s">
        <v>5557</v>
      </c>
      <c r="F273" s="47" t="s">
        <v>8781</v>
      </c>
      <c r="G273" s="363">
        <v>46268</v>
      </c>
      <c r="H273" s="47" t="s">
        <v>8782</v>
      </c>
      <c r="I273" s="47" t="s">
        <v>8783</v>
      </c>
      <c r="J273" s="47" t="s">
        <v>5557</v>
      </c>
    </row>
    <row r="274" spans="2:10" ht="14.5">
      <c r="B274" s="47" t="s">
        <v>5404</v>
      </c>
      <c r="C274" s="47" t="s">
        <v>8779</v>
      </c>
      <c r="D274" s="47" t="s">
        <v>9089</v>
      </c>
      <c r="E274" s="47" t="s">
        <v>5400</v>
      </c>
      <c r="F274" s="47" t="s">
        <v>8781</v>
      </c>
      <c r="G274" s="363">
        <v>46262</v>
      </c>
      <c r="H274" s="47" t="s">
        <v>8782</v>
      </c>
      <c r="I274" s="47" t="s">
        <v>8783</v>
      </c>
      <c r="J274" s="47" t="s">
        <v>5400</v>
      </c>
    </row>
    <row r="275" spans="2:10" ht="14.5">
      <c r="B275" s="47" t="s">
        <v>5032</v>
      </c>
      <c r="C275" s="47" t="s">
        <v>64</v>
      </c>
      <c r="D275" s="47" t="s">
        <v>9090</v>
      </c>
      <c r="E275" s="47"/>
      <c r="F275" s="47" t="s">
        <v>8781</v>
      </c>
      <c r="G275" s="363">
        <v>46283</v>
      </c>
      <c r="H275" s="47" t="s">
        <v>8787</v>
      </c>
      <c r="I275" s="47" t="s">
        <v>8783</v>
      </c>
      <c r="J275" s="47" t="s">
        <v>9091</v>
      </c>
    </row>
    <row r="276" spans="2:10" ht="14.5">
      <c r="B276" s="47" t="s">
        <v>5028</v>
      </c>
      <c r="C276" s="47" t="s">
        <v>64</v>
      </c>
      <c r="D276" s="47" t="s">
        <v>9092</v>
      </c>
      <c r="E276" s="47"/>
      <c r="F276" s="47" t="s">
        <v>8781</v>
      </c>
      <c r="G276" s="363">
        <v>46272</v>
      </c>
      <c r="H276" s="47" t="s">
        <v>8782</v>
      </c>
      <c r="I276" s="47" t="s">
        <v>8783</v>
      </c>
      <c r="J276" s="47" t="s">
        <v>9093</v>
      </c>
    </row>
    <row r="277" spans="2:10" ht="14.5">
      <c r="B277" s="47" t="s">
        <v>4839</v>
      </c>
      <c r="C277" s="47" t="s">
        <v>64</v>
      </c>
      <c r="D277" s="47" t="s">
        <v>9094</v>
      </c>
      <c r="E277" s="47"/>
      <c r="F277" s="47" t="s">
        <v>8781</v>
      </c>
      <c r="G277" s="363">
        <v>46265</v>
      </c>
      <c r="H277" s="47" t="s">
        <v>8782</v>
      </c>
      <c r="I277" s="47" t="s">
        <v>8783</v>
      </c>
      <c r="J277" s="47" t="s">
        <v>9095</v>
      </c>
    </row>
    <row r="278" spans="2:10" ht="14.5">
      <c r="B278" s="47" t="s">
        <v>8135</v>
      </c>
      <c r="C278" s="47" t="s">
        <v>64</v>
      </c>
      <c r="D278" s="47" t="s">
        <v>9096</v>
      </c>
      <c r="E278" s="47" t="s">
        <v>9097</v>
      </c>
      <c r="F278" s="47" t="s">
        <v>8829</v>
      </c>
      <c r="G278" s="363">
        <v>46268</v>
      </c>
      <c r="H278" s="47" t="s">
        <v>8782</v>
      </c>
      <c r="I278" s="47" t="s">
        <v>8783</v>
      </c>
      <c r="J278" s="47" t="s">
        <v>9098</v>
      </c>
    </row>
    <row r="279" spans="2:10" ht="14.5">
      <c r="B279" s="47" t="s">
        <v>8157</v>
      </c>
      <c r="C279" s="47" t="s">
        <v>64</v>
      </c>
      <c r="D279" s="47" t="s">
        <v>9099</v>
      </c>
      <c r="E279" s="47" t="s">
        <v>9100</v>
      </c>
      <c r="F279" s="47" t="s">
        <v>8829</v>
      </c>
      <c r="G279" s="363">
        <v>46288</v>
      </c>
      <c r="H279" s="47" t="s">
        <v>8787</v>
      </c>
      <c r="I279" s="47" t="s">
        <v>8783</v>
      </c>
      <c r="J279" s="47" t="s">
        <v>9101</v>
      </c>
    </row>
    <row r="280" spans="2:10" ht="14.5">
      <c r="B280" s="47" t="s">
        <v>8163</v>
      </c>
      <c r="C280" s="47" t="s">
        <v>64</v>
      </c>
      <c r="D280" s="47" t="s">
        <v>9102</v>
      </c>
      <c r="E280" s="47" t="s">
        <v>9103</v>
      </c>
      <c r="F280" s="47" t="s">
        <v>8829</v>
      </c>
      <c r="G280" s="363">
        <v>46283</v>
      </c>
      <c r="H280" s="47" t="s">
        <v>8787</v>
      </c>
      <c r="I280" s="47" t="s">
        <v>8783</v>
      </c>
      <c r="J280" s="47" t="s">
        <v>9104</v>
      </c>
    </row>
    <row r="281" spans="2:10" ht="14.5">
      <c r="B281" s="47" t="s">
        <v>8140</v>
      </c>
      <c r="C281" s="47" t="s">
        <v>64</v>
      </c>
      <c r="D281" s="47" t="s">
        <v>9105</v>
      </c>
      <c r="E281" s="47" t="s">
        <v>9106</v>
      </c>
      <c r="F281" s="47" t="s">
        <v>8829</v>
      </c>
      <c r="G281" s="363">
        <v>46279</v>
      </c>
      <c r="H281" s="47" t="s">
        <v>8787</v>
      </c>
      <c r="I281" s="47" t="s">
        <v>8783</v>
      </c>
      <c r="J281" s="47" t="s">
        <v>9107</v>
      </c>
    </row>
    <row r="282" spans="2:10" ht="14.5">
      <c r="B282" s="47" t="s">
        <v>5507</v>
      </c>
      <c r="C282" s="47" t="s">
        <v>64</v>
      </c>
      <c r="D282" s="47" t="s">
        <v>9108</v>
      </c>
      <c r="E282" s="47" t="s">
        <v>5504</v>
      </c>
      <c r="F282" s="47" t="s">
        <v>8781</v>
      </c>
      <c r="G282" s="363">
        <v>46290</v>
      </c>
      <c r="H282" s="47" t="s">
        <v>8787</v>
      </c>
      <c r="I282" s="47" t="s">
        <v>8783</v>
      </c>
      <c r="J282" s="47" t="s">
        <v>5504</v>
      </c>
    </row>
    <row r="283" spans="2:10" ht="14.5">
      <c r="B283" s="47" t="s">
        <v>5593</v>
      </c>
      <c r="C283" s="47" t="s">
        <v>64</v>
      </c>
      <c r="D283" s="47" t="s">
        <v>9109</v>
      </c>
      <c r="E283" s="47" t="s">
        <v>5591</v>
      </c>
      <c r="F283" s="47" t="s">
        <v>8781</v>
      </c>
      <c r="G283" s="363">
        <v>46304</v>
      </c>
      <c r="H283" s="47" t="s">
        <v>8787</v>
      </c>
      <c r="I283" s="47" t="s">
        <v>8783</v>
      </c>
      <c r="J283" s="47" t="s">
        <v>5591</v>
      </c>
    </row>
    <row r="284" spans="2:10" ht="14.5">
      <c r="B284" s="47" t="s">
        <v>5510</v>
      </c>
      <c r="C284" s="47" t="s">
        <v>64</v>
      </c>
      <c r="D284" s="47" t="s">
        <v>9110</v>
      </c>
      <c r="E284" s="47" t="s">
        <v>5509</v>
      </c>
      <c r="F284" s="47" t="s">
        <v>8781</v>
      </c>
      <c r="G284" s="363">
        <v>46288</v>
      </c>
      <c r="H284" s="47" t="s">
        <v>8787</v>
      </c>
      <c r="I284" s="47" t="s">
        <v>8783</v>
      </c>
      <c r="J284" s="47" t="s">
        <v>5509</v>
      </c>
    </row>
    <row r="285" spans="2:10" ht="14.5">
      <c r="B285" s="47" t="s">
        <v>5449</v>
      </c>
      <c r="C285" s="47" t="s">
        <v>64</v>
      </c>
      <c r="D285" s="47" t="s">
        <v>9111</v>
      </c>
      <c r="E285" s="47" t="s">
        <v>5447</v>
      </c>
      <c r="F285" s="47" t="s">
        <v>8781</v>
      </c>
      <c r="G285" s="363">
        <v>46290</v>
      </c>
      <c r="H285" s="47" t="s">
        <v>8787</v>
      </c>
      <c r="I285" s="47" t="s">
        <v>8783</v>
      </c>
      <c r="J285" s="47" t="s">
        <v>5447</v>
      </c>
    </row>
    <row r="286" spans="2:10" ht="14.5">
      <c r="B286" s="47" t="s">
        <v>5454</v>
      </c>
      <c r="C286" s="47" t="s">
        <v>64</v>
      </c>
      <c r="D286" s="47" t="s">
        <v>9112</v>
      </c>
      <c r="E286" s="47" t="s">
        <v>5453</v>
      </c>
      <c r="F286" s="47" t="s">
        <v>8781</v>
      </c>
      <c r="G286" s="363">
        <v>46290</v>
      </c>
      <c r="H286" s="47" t="s">
        <v>8787</v>
      </c>
      <c r="I286" s="47" t="s">
        <v>8783</v>
      </c>
      <c r="J286" s="47" t="s">
        <v>5453</v>
      </c>
    </row>
    <row r="287" spans="2:10" ht="14.5">
      <c r="B287" s="47" t="s">
        <v>5520</v>
      </c>
      <c r="C287" s="47" t="s">
        <v>64</v>
      </c>
      <c r="D287" s="47" t="s">
        <v>9113</v>
      </c>
      <c r="E287" s="47" t="s">
        <v>5518</v>
      </c>
      <c r="F287" s="47" t="s">
        <v>8781</v>
      </c>
      <c r="G287" s="363">
        <v>46282</v>
      </c>
      <c r="H287" s="47" t="s">
        <v>8787</v>
      </c>
      <c r="I287" s="47" t="s">
        <v>8783</v>
      </c>
      <c r="J287" s="47"/>
    </row>
    <row r="288" spans="2:10" ht="14.5">
      <c r="B288" s="47" t="s">
        <v>5525</v>
      </c>
      <c r="C288" s="47" t="s">
        <v>64</v>
      </c>
      <c r="D288" s="47" t="s">
        <v>9114</v>
      </c>
      <c r="E288" s="47" t="s">
        <v>5524</v>
      </c>
      <c r="F288" s="47" t="s">
        <v>8781</v>
      </c>
      <c r="G288" s="363">
        <v>46282</v>
      </c>
      <c r="H288" s="47" t="s">
        <v>8787</v>
      </c>
      <c r="I288" s="47" t="s">
        <v>8783</v>
      </c>
      <c r="J288" s="47" t="s">
        <v>5524</v>
      </c>
    </row>
    <row r="289" spans="2:10" ht="14.5">
      <c r="B289" s="47" t="s">
        <v>5586</v>
      </c>
      <c r="C289" s="47" t="s">
        <v>64</v>
      </c>
      <c r="D289" s="47" t="s">
        <v>9115</v>
      </c>
      <c r="E289" s="47" t="s">
        <v>5585</v>
      </c>
      <c r="F289" s="47" t="s">
        <v>8781</v>
      </c>
      <c r="G289" s="363">
        <v>46283</v>
      </c>
      <c r="H289" s="47" t="s">
        <v>8787</v>
      </c>
      <c r="I289" s="47" t="s">
        <v>8783</v>
      </c>
      <c r="J289" s="47" t="s">
        <v>5585</v>
      </c>
    </row>
    <row r="290" spans="2:10" ht="14.5">
      <c r="B290" s="47" t="s">
        <v>5590</v>
      </c>
      <c r="C290" s="47" t="s">
        <v>64</v>
      </c>
      <c r="D290" s="47" t="s">
        <v>9116</v>
      </c>
      <c r="E290" s="47" t="s">
        <v>5589</v>
      </c>
      <c r="F290" s="47" t="s">
        <v>8781</v>
      </c>
      <c r="G290" s="363">
        <v>46283</v>
      </c>
      <c r="H290" s="47" t="s">
        <v>8787</v>
      </c>
      <c r="I290" s="47" t="s">
        <v>8783</v>
      </c>
      <c r="J290" s="47" t="s">
        <v>5589</v>
      </c>
    </row>
    <row r="291" spans="2:10" ht="14.5">
      <c r="B291" s="47" t="s">
        <v>5434</v>
      </c>
      <c r="C291" s="47" t="s">
        <v>64</v>
      </c>
      <c r="D291" s="47" t="s">
        <v>9117</v>
      </c>
      <c r="E291" s="47" t="s">
        <v>5433</v>
      </c>
      <c r="F291" s="47" t="s">
        <v>8781</v>
      </c>
      <c r="G291" s="363">
        <v>46279</v>
      </c>
      <c r="H291" s="47" t="s">
        <v>8787</v>
      </c>
      <c r="I291" s="47" t="s">
        <v>8783</v>
      </c>
      <c r="J291" s="47" t="s">
        <v>5433</v>
      </c>
    </row>
    <row r="292" spans="2:10" ht="14.5">
      <c r="B292" s="47" t="s">
        <v>5440</v>
      </c>
      <c r="C292" s="47" t="s">
        <v>64</v>
      </c>
      <c r="D292" s="47" t="s">
        <v>9118</v>
      </c>
      <c r="E292" s="47" t="s">
        <v>5439</v>
      </c>
      <c r="F292" s="47" t="s">
        <v>8781</v>
      </c>
      <c r="G292" s="363">
        <v>46279</v>
      </c>
      <c r="H292" s="47" t="s">
        <v>8787</v>
      </c>
      <c r="I292" s="47" t="s">
        <v>8783</v>
      </c>
      <c r="J292" s="47" t="s">
        <v>5439</v>
      </c>
    </row>
    <row r="293" spans="2:10" ht="14.5">
      <c r="B293" s="47" t="s">
        <v>5446</v>
      </c>
      <c r="C293" s="47" t="s">
        <v>64</v>
      </c>
      <c r="D293" s="47" t="s">
        <v>9119</v>
      </c>
      <c r="E293" s="47" t="s">
        <v>5445</v>
      </c>
      <c r="F293" s="47" t="s">
        <v>8781</v>
      </c>
      <c r="G293" s="363">
        <v>46279</v>
      </c>
      <c r="H293" s="47" t="s">
        <v>8787</v>
      </c>
      <c r="I293" s="47" t="s">
        <v>8783</v>
      </c>
      <c r="J293" s="47" t="s">
        <v>5445</v>
      </c>
    </row>
    <row r="294" spans="2:10" ht="14.5">
      <c r="B294" s="47" t="s">
        <v>5460</v>
      </c>
      <c r="C294" s="47" t="s">
        <v>64</v>
      </c>
      <c r="D294" s="47" t="s">
        <v>9120</v>
      </c>
      <c r="E294" s="47" t="s">
        <v>5459</v>
      </c>
      <c r="F294" s="47" t="s">
        <v>8781</v>
      </c>
      <c r="G294" s="363">
        <v>46290</v>
      </c>
      <c r="H294" s="47" t="s">
        <v>8787</v>
      </c>
      <c r="I294" s="47" t="s">
        <v>8783</v>
      </c>
      <c r="J294" s="47" t="s">
        <v>5459</v>
      </c>
    </row>
    <row r="295" spans="2:10" ht="14.5">
      <c r="B295" s="47" t="s">
        <v>5465</v>
      </c>
      <c r="C295" s="47" t="s">
        <v>8779</v>
      </c>
      <c r="D295" s="47" t="s">
        <v>9121</v>
      </c>
      <c r="E295" s="47" t="s">
        <v>5463</v>
      </c>
      <c r="F295" s="47" t="s">
        <v>8781</v>
      </c>
      <c r="G295" s="363">
        <v>46272</v>
      </c>
      <c r="H295" s="47" t="s">
        <v>8782</v>
      </c>
      <c r="I295" s="47" t="s">
        <v>8783</v>
      </c>
      <c r="J295" s="47" t="s">
        <v>5463</v>
      </c>
    </row>
    <row r="296" spans="2:10" ht="14.5">
      <c r="B296" s="47" t="s">
        <v>5470</v>
      </c>
      <c r="C296" s="47" t="s">
        <v>8779</v>
      </c>
      <c r="D296" s="47" t="s">
        <v>9122</v>
      </c>
      <c r="E296" s="47" t="s">
        <v>5468</v>
      </c>
      <c r="F296" s="47" t="s">
        <v>8781</v>
      </c>
      <c r="G296" s="363">
        <v>46272</v>
      </c>
      <c r="H296" s="47" t="s">
        <v>8782</v>
      </c>
      <c r="I296" s="47" t="s">
        <v>8783</v>
      </c>
      <c r="J296" s="47" t="s">
        <v>5468</v>
      </c>
    </row>
    <row r="297" spans="2:10" ht="14.5">
      <c r="B297" s="47" t="s">
        <v>5456</v>
      </c>
      <c r="C297" s="47" t="s">
        <v>64</v>
      </c>
      <c r="D297" s="47" t="s">
        <v>9123</v>
      </c>
      <c r="E297" s="47" t="s">
        <v>5455</v>
      </c>
      <c r="F297" s="47" t="s">
        <v>8781</v>
      </c>
      <c r="G297" s="363">
        <v>46290</v>
      </c>
      <c r="H297" s="47" t="s">
        <v>8787</v>
      </c>
      <c r="I297" s="47" t="s">
        <v>8783</v>
      </c>
      <c r="J297" s="47" t="s">
        <v>5455</v>
      </c>
    </row>
    <row r="298" spans="2:10" ht="14.5">
      <c r="B298" s="47" t="s">
        <v>5462</v>
      </c>
      <c r="C298" s="47" t="s">
        <v>64</v>
      </c>
      <c r="D298" s="47" t="s">
        <v>9124</v>
      </c>
      <c r="E298" s="47" t="s">
        <v>5461</v>
      </c>
      <c r="F298" s="47" t="s">
        <v>8781</v>
      </c>
      <c r="G298" s="363">
        <v>46290</v>
      </c>
      <c r="H298" s="47" t="s">
        <v>8787</v>
      </c>
      <c r="I298" s="47" t="s">
        <v>8783</v>
      </c>
      <c r="J298" s="47" t="s">
        <v>5461</v>
      </c>
    </row>
    <row r="299" spans="2:10" ht="14.5">
      <c r="B299" s="47" t="s">
        <v>5575</v>
      </c>
      <c r="C299" s="47" t="s">
        <v>64</v>
      </c>
      <c r="D299" s="47" t="s">
        <v>9125</v>
      </c>
      <c r="E299" s="47" t="s">
        <v>5574</v>
      </c>
      <c r="F299" s="47" t="s">
        <v>8781</v>
      </c>
      <c r="G299" s="363">
        <v>46314</v>
      </c>
      <c r="H299" s="47" t="s">
        <v>8787</v>
      </c>
      <c r="I299" s="47" t="s">
        <v>8783</v>
      </c>
      <c r="J299" s="47" t="s">
        <v>5574</v>
      </c>
    </row>
    <row r="300" spans="2:10" ht="14.5">
      <c r="B300" s="47" t="s">
        <v>5580</v>
      </c>
      <c r="C300" s="47" t="s">
        <v>64</v>
      </c>
      <c r="D300" s="47" t="s">
        <v>9126</v>
      </c>
      <c r="E300" s="47" t="s">
        <v>5579</v>
      </c>
      <c r="F300" s="47" t="s">
        <v>8781</v>
      </c>
      <c r="G300" s="363">
        <v>46314</v>
      </c>
      <c r="H300" s="47" t="s">
        <v>8787</v>
      </c>
      <c r="I300" s="47" t="s">
        <v>8783</v>
      </c>
      <c r="J300" s="47" t="s">
        <v>5579</v>
      </c>
    </row>
    <row r="301" spans="2:10" ht="14.5">
      <c r="B301" s="47" t="s">
        <v>5584</v>
      </c>
      <c r="C301" s="47" t="s">
        <v>64</v>
      </c>
      <c r="D301" s="47" t="s">
        <v>9127</v>
      </c>
      <c r="E301" s="47" t="s">
        <v>5583</v>
      </c>
      <c r="F301" s="47" t="s">
        <v>8781</v>
      </c>
      <c r="G301" s="363">
        <v>46314</v>
      </c>
      <c r="H301" s="47" t="s">
        <v>8787</v>
      </c>
      <c r="I301" s="47" t="s">
        <v>8783</v>
      </c>
      <c r="J301" s="47" t="s">
        <v>5583</v>
      </c>
    </row>
    <row r="302" spans="2:10" ht="14.5">
      <c r="B302" s="47" t="s">
        <v>5422</v>
      </c>
      <c r="C302" s="47" t="s">
        <v>8779</v>
      </c>
      <c r="D302" s="47" t="s">
        <v>9128</v>
      </c>
      <c r="E302" s="47" t="s">
        <v>5421</v>
      </c>
      <c r="F302" s="47" t="s">
        <v>8781</v>
      </c>
      <c r="G302" s="363">
        <v>46253</v>
      </c>
      <c r="H302" s="47" t="s">
        <v>8782</v>
      </c>
      <c r="I302" s="47" t="s">
        <v>8783</v>
      </c>
      <c r="J302" s="47" t="s">
        <v>5421</v>
      </c>
    </row>
    <row r="303" spans="2:10" ht="14.5">
      <c r="B303" s="47" t="s">
        <v>5417</v>
      </c>
      <c r="C303" s="47" t="s">
        <v>8779</v>
      </c>
      <c r="D303" s="47" t="s">
        <v>9129</v>
      </c>
      <c r="E303" s="47" t="s">
        <v>5415</v>
      </c>
      <c r="F303" s="47" t="s">
        <v>8781</v>
      </c>
      <c r="G303" s="363">
        <v>46253</v>
      </c>
      <c r="H303" s="47" t="s">
        <v>8782</v>
      </c>
      <c r="I303" s="47" t="s">
        <v>8783</v>
      </c>
      <c r="J303" s="47" t="s">
        <v>5415</v>
      </c>
    </row>
    <row r="304" spans="2:10" ht="14.5">
      <c r="B304" s="47" t="s">
        <v>9130</v>
      </c>
      <c r="C304" s="47" t="s">
        <v>8779</v>
      </c>
      <c r="D304" s="47" t="s">
        <v>8920</v>
      </c>
      <c r="E304" s="47" t="s">
        <v>9131</v>
      </c>
      <c r="F304" s="47" t="s">
        <v>8781</v>
      </c>
      <c r="G304" s="363">
        <v>46254</v>
      </c>
      <c r="H304" s="47" t="s">
        <v>8782</v>
      </c>
      <c r="I304" s="47" t="s">
        <v>8783</v>
      </c>
      <c r="J304" s="47" t="s">
        <v>9131</v>
      </c>
    </row>
    <row r="305" spans="2:10" ht="14.5">
      <c r="B305" s="47" t="s">
        <v>5432</v>
      </c>
      <c r="C305" s="47" t="s">
        <v>64</v>
      </c>
      <c r="D305" s="47" t="s">
        <v>9132</v>
      </c>
      <c r="E305" s="47" t="s">
        <v>5430</v>
      </c>
      <c r="F305" s="47" t="s">
        <v>8781</v>
      </c>
      <c r="G305" s="363">
        <v>46286</v>
      </c>
      <c r="H305" s="47" t="s">
        <v>8787</v>
      </c>
      <c r="I305" s="47" t="s">
        <v>8783</v>
      </c>
      <c r="J305" s="47" t="s">
        <v>5430</v>
      </c>
    </row>
    <row r="306" spans="2:10" ht="14.5">
      <c r="B306" s="47" t="s">
        <v>5323</v>
      </c>
      <c r="C306" s="47" t="s">
        <v>64</v>
      </c>
      <c r="D306" s="47" t="s">
        <v>9133</v>
      </c>
      <c r="E306" s="47" t="s">
        <v>5322</v>
      </c>
      <c r="F306" s="47" t="s">
        <v>8781</v>
      </c>
      <c r="G306" s="363">
        <v>46290</v>
      </c>
      <c r="H306" s="47" t="s">
        <v>8787</v>
      </c>
      <c r="I306" s="47" t="s">
        <v>8783</v>
      </c>
      <c r="J306" s="47" t="s">
        <v>5322</v>
      </c>
    </row>
    <row r="307" spans="2:10" ht="14.5">
      <c r="B307" s="47" t="s">
        <v>5325</v>
      </c>
      <c r="C307" s="47" t="s">
        <v>64</v>
      </c>
      <c r="D307" s="47" t="s">
        <v>9134</v>
      </c>
      <c r="E307" s="47" t="s">
        <v>5324</v>
      </c>
      <c r="F307" s="47" t="s">
        <v>8781</v>
      </c>
      <c r="G307" s="363">
        <v>46290</v>
      </c>
      <c r="H307" s="47" t="s">
        <v>8787</v>
      </c>
      <c r="I307" s="47" t="s">
        <v>8783</v>
      </c>
      <c r="J307" s="47" t="s">
        <v>5324</v>
      </c>
    </row>
    <row r="308" spans="2:10" ht="14.5">
      <c r="B308" s="47" t="s">
        <v>5308</v>
      </c>
      <c r="C308" s="47" t="s">
        <v>64</v>
      </c>
      <c r="D308" s="47" t="s">
        <v>9135</v>
      </c>
      <c r="E308" s="47" t="s">
        <v>5306</v>
      </c>
      <c r="F308" s="47" t="s">
        <v>8781</v>
      </c>
      <c r="G308" s="363">
        <v>46288</v>
      </c>
      <c r="H308" s="47" t="s">
        <v>8787</v>
      </c>
      <c r="I308" s="47" t="s">
        <v>8783</v>
      </c>
      <c r="J308" s="47" t="s">
        <v>5306</v>
      </c>
    </row>
    <row r="309" spans="2:10" ht="14.5">
      <c r="B309" s="47" t="s">
        <v>5317</v>
      </c>
      <c r="C309" s="47" t="s">
        <v>64</v>
      </c>
      <c r="D309" s="47" t="s">
        <v>9136</v>
      </c>
      <c r="E309" s="47" t="s">
        <v>5315</v>
      </c>
      <c r="F309" s="47" t="s">
        <v>8781</v>
      </c>
      <c r="G309" s="363">
        <v>46290</v>
      </c>
      <c r="H309" s="47" t="s">
        <v>8787</v>
      </c>
      <c r="I309" s="47" t="s">
        <v>8783</v>
      </c>
      <c r="J309" s="47" t="s">
        <v>5315</v>
      </c>
    </row>
    <row r="310" spans="2:10" ht="14.5">
      <c r="B310" s="47" t="s">
        <v>5314</v>
      </c>
      <c r="C310" s="47" t="s">
        <v>64</v>
      </c>
      <c r="D310" s="47" t="s">
        <v>9137</v>
      </c>
      <c r="E310" s="47" t="s">
        <v>5312</v>
      </c>
      <c r="F310" s="47" t="s">
        <v>8781</v>
      </c>
      <c r="G310" s="363">
        <v>46288</v>
      </c>
      <c r="H310" s="47" t="s">
        <v>8787</v>
      </c>
      <c r="I310" s="47" t="s">
        <v>8783</v>
      </c>
      <c r="J310" s="47" t="s">
        <v>5312</v>
      </c>
    </row>
    <row r="311" spans="2:10" ht="14.5">
      <c r="B311" s="357" t="s">
        <v>5429</v>
      </c>
      <c r="C311" s="47" t="s">
        <v>64</v>
      </c>
      <c r="D311" s="47" t="s">
        <v>9138</v>
      </c>
      <c r="E311" s="47" t="s">
        <v>5428</v>
      </c>
      <c r="F311" s="47" t="s">
        <v>8781</v>
      </c>
      <c r="G311" s="363">
        <v>46286</v>
      </c>
      <c r="H311" s="47" t="s">
        <v>8787</v>
      </c>
      <c r="I311" s="47" t="s">
        <v>8783</v>
      </c>
      <c r="J311" s="47" t="s">
        <v>5428</v>
      </c>
    </row>
    <row r="312" spans="2:10" ht="14.5">
      <c r="B312" s="358" t="s">
        <v>5424</v>
      </c>
      <c r="C312" s="47" t="s">
        <v>64</v>
      </c>
      <c r="D312" s="47" t="s">
        <v>9139</v>
      </c>
      <c r="E312" s="47" t="s">
        <v>5423</v>
      </c>
      <c r="F312" s="47" t="s">
        <v>8781</v>
      </c>
      <c r="G312" s="363">
        <v>46286</v>
      </c>
      <c r="H312" s="47" t="s">
        <v>8787</v>
      </c>
      <c r="I312" s="47" t="s">
        <v>8783</v>
      </c>
      <c r="J312" s="47" t="s">
        <v>5423</v>
      </c>
    </row>
    <row r="313" spans="2:10" ht="14.5">
      <c r="B313" s="47" t="s">
        <v>5321</v>
      </c>
      <c r="C313" s="47" t="s">
        <v>64</v>
      </c>
      <c r="D313" s="47" t="s">
        <v>9140</v>
      </c>
      <c r="E313" s="47" t="s">
        <v>5320</v>
      </c>
      <c r="F313" s="47" t="s">
        <v>8781</v>
      </c>
      <c r="G313" s="363">
        <v>46290</v>
      </c>
      <c r="H313" s="47" t="s">
        <v>8787</v>
      </c>
      <c r="I313" s="47" t="s">
        <v>8783</v>
      </c>
      <c r="J313" s="47" t="s">
        <v>5320</v>
      </c>
    </row>
    <row r="314" spans="2:10" ht="14.5">
      <c r="B314" s="47" t="s">
        <v>5383</v>
      </c>
      <c r="C314" s="47" t="s">
        <v>8779</v>
      </c>
      <c r="D314" s="47" t="s">
        <v>9141</v>
      </c>
      <c r="E314" s="47" t="s">
        <v>5381</v>
      </c>
      <c r="F314" s="47" t="s">
        <v>8781</v>
      </c>
      <c r="G314" s="363">
        <v>46267</v>
      </c>
      <c r="H314" s="47" t="s">
        <v>8782</v>
      </c>
      <c r="I314" s="47" t="s">
        <v>8783</v>
      </c>
      <c r="J314" s="47" t="s">
        <v>5381</v>
      </c>
    </row>
    <row r="315" spans="2:10" ht="14.5">
      <c r="B315" s="47" t="s">
        <v>5501</v>
      </c>
      <c r="C315" s="47" t="s">
        <v>64</v>
      </c>
      <c r="D315" s="47" t="s">
        <v>9142</v>
      </c>
      <c r="E315" s="47" t="s">
        <v>5500</v>
      </c>
      <c r="F315" s="47" t="s">
        <v>8781</v>
      </c>
      <c r="G315" s="363">
        <v>46279</v>
      </c>
      <c r="H315" s="47" t="s">
        <v>8787</v>
      </c>
      <c r="I315" s="47" t="s">
        <v>8783</v>
      </c>
      <c r="J315" s="47" t="s">
        <v>5500</v>
      </c>
    </row>
    <row r="316" spans="2:10" ht="14.5">
      <c r="B316" s="47" t="s">
        <v>5331</v>
      </c>
      <c r="C316" s="47" t="s">
        <v>8779</v>
      </c>
      <c r="D316" s="47" t="s">
        <v>9143</v>
      </c>
      <c r="E316" s="47" t="s">
        <v>5326</v>
      </c>
      <c r="F316" s="47" t="s">
        <v>8781</v>
      </c>
      <c r="G316" s="363">
        <v>46265</v>
      </c>
      <c r="H316" s="47" t="s">
        <v>8782</v>
      </c>
      <c r="I316" s="47" t="s">
        <v>8783</v>
      </c>
      <c r="J316" s="47" t="s">
        <v>5326</v>
      </c>
    </row>
    <row r="317" spans="2:10" ht="14.5">
      <c r="B317" s="47" t="s">
        <v>5472</v>
      </c>
      <c r="C317" s="47" t="s">
        <v>8779</v>
      </c>
      <c r="D317" s="47" t="s">
        <v>9144</v>
      </c>
      <c r="E317" s="47" t="s">
        <v>5471</v>
      </c>
      <c r="F317" s="47" t="s">
        <v>8781</v>
      </c>
      <c r="G317" s="363">
        <v>46260</v>
      </c>
      <c r="H317" s="47" t="s">
        <v>8782</v>
      </c>
      <c r="I317" s="47" t="s">
        <v>8783</v>
      </c>
      <c r="J317" s="47" t="s">
        <v>5471</v>
      </c>
    </row>
    <row r="318" spans="2:10" ht="14.5">
      <c r="B318" s="47" t="s">
        <v>5478</v>
      </c>
      <c r="C318" s="47" t="s">
        <v>8779</v>
      </c>
      <c r="D318" s="47" t="s">
        <v>9145</v>
      </c>
      <c r="E318" s="47" t="s">
        <v>5476</v>
      </c>
      <c r="F318" s="47" t="s">
        <v>8781</v>
      </c>
      <c r="G318" s="363">
        <v>46260</v>
      </c>
      <c r="H318" s="47" t="s">
        <v>8782</v>
      </c>
      <c r="I318" s="47" t="s">
        <v>8783</v>
      </c>
      <c r="J318" s="47" t="s">
        <v>5476</v>
      </c>
    </row>
    <row r="319" spans="2:10" ht="14.5">
      <c r="B319" s="47" t="s">
        <v>5484</v>
      </c>
      <c r="C319" s="47" t="s">
        <v>8779</v>
      </c>
      <c r="D319" s="47" t="s">
        <v>9146</v>
      </c>
      <c r="E319" s="47" t="s">
        <v>5482</v>
      </c>
      <c r="F319" s="47" t="s">
        <v>8781</v>
      </c>
      <c r="G319" s="363">
        <v>46260</v>
      </c>
      <c r="H319" s="47" t="s">
        <v>8782</v>
      </c>
      <c r="I319" s="47" t="s">
        <v>8783</v>
      </c>
      <c r="J319" s="47" t="s">
        <v>5482</v>
      </c>
    </row>
    <row r="320" spans="2:10" ht="14.5">
      <c r="B320" s="47" t="s">
        <v>5487</v>
      </c>
      <c r="C320" s="47" t="s">
        <v>8779</v>
      </c>
      <c r="D320" s="47" t="s">
        <v>9147</v>
      </c>
      <c r="E320" s="47" t="s">
        <v>5485</v>
      </c>
      <c r="F320" s="47" t="s">
        <v>8781</v>
      </c>
      <c r="G320" s="363">
        <v>46260</v>
      </c>
      <c r="H320" s="47" t="s">
        <v>8782</v>
      </c>
      <c r="I320" s="47" t="s">
        <v>8783</v>
      </c>
      <c r="J320" s="47" t="s">
        <v>5485</v>
      </c>
    </row>
    <row r="321" spans="2:10" ht="14.5">
      <c r="B321" s="47" t="s">
        <v>5490</v>
      </c>
      <c r="C321" s="47" t="s">
        <v>8779</v>
      </c>
      <c r="D321" s="47" t="s">
        <v>9148</v>
      </c>
      <c r="E321" s="47" t="s">
        <v>5488</v>
      </c>
      <c r="F321" s="47" t="s">
        <v>8781</v>
      </c>
      <c r="G321" s="363">
        <v>46260</v>
      </c>
      <c r="H321" s="47" t="s">
        <v>8782</v>
      </c>
      <c r="I321" s="47" t="s">
        <v>8783</v>
      </c>
      <c r="J321" s="47" t="s">
        <v>5488</v>
      </c>
    </row>
    <row r="322" spans="2:10" ht="14.5">
      <c r="B322" s="47" t="s">
        <v>5492</v>
      </c>
      <c r="C322" s="47" t="s">
        <v>64</v>
      </c>
      <c r="D322" s="47" t="s">
        <v>9149</v>
      </c>
      <c r="E322" s="47" t="s">
        <v>5491</v>
      </c>
      <c r="F322" s="47" t="s">
        <v>8781</v>
      </c>
      <c r="G322" s="363">
        <v>46300</v>
      </c>
      <c r="H322" s="47" t="s">
        <v>8787</v>
      </c>
      <c r="I322" s="47" t="s">
        <v>8783</v>
      </c>
      <c r="J322" s="47" t="s">
        <v>5491</v>
      </c>
    </row>
    <row r="323" spans="2:10" ht="14.5">
      <c r="B323" s="47" t="s">
        <v>5497</v>
      </c>
      <c r="C323" s="47" t="s">
        <v>64</v>
      </c>
      <c r="D323" s="47" t="s">
        <v>9150</v>
      </c>
      <c r="E323" s="47" t="s">
        <v>5496</v>
      </c>
      <c r="F323" s="47" t="s">
        <v>8781</v>
      </c>
      <c r="G323" s="363">
        <v>46295</v>
      </c>
      <c r="H323" s="47" t="s">
        <v>8787</v>
      </c>
      <c r="I323" s="47" t="s">
        <v>8783</v>
      </c>
      <c r="J323" s="47" t="s">
        <v>5496</v>
      </c>
    </row>
    <row r="324" spans="2:10" ht="14.5">
      <c r="B324" s="47" t="s">
        <v>5391</v>
      </c>
      <c r="C324" s="47" t="s">
        <v>64</v>
      </c>
      <c r="D324" s="47" t="s">
        <v>9151</v>
      </c>
      <c r="E324" s="47" t="s">
        <v>5387</v>
      </c>
      <c r="F324" s="47" t="s">
        <v>8781</v>
      </c>
      <c r="G324" s="363">
        <v>46267</v>
      </c>
      <c r="H324" s="47" t="s">
        <v>8782</v>
      </c>
      <c r="I324" s="47" t="s">
        <v>8783</v>
      </c>
      <c r="J324" s="47" t="s">
        <v>5387</v>
      </c>
    </row>
    <row r="325" spans="2:10" ht="14.5">
      <c r="B325" s="47" t="s">
        <v>5357</v>
      </c>
      <c r="C325" s="47" t="s">
        <v>64</v>
      </c>
      <c r="D325" s="47" t="s">
        <v>9152</v>
      </c>
      <c r="E325" s="47" t="s">
        <v>5353</v>
      </c>
      <c r="F325" s="47" t="s">
        <v>8781</v>
      </c>
      <c r="G325" s="363">
        <v>46307</v>
      </c>
      <c r="H325" s="47" t="s">
        <v>8787</v>
      </c>
      <c r="I325" s="47" t="s">
        <v>8783</v>
      </c>
      <c r="J325" s="47" t="s">
        <v>5353</v>
      </c>
    </row>
    <row r="326" spans="2:10" ht="14.5">
      <c r="B326" s="47" t="s">
        <v>5363</v>
      </c>
      <c r="C326" s="47" t="s">
        <v>8779</v>
      </c>
      <c r="D326" s="47" t="s">
        <v>9153</v>
      </c>
      <c r="E326" s="47" t="s">
        <v>5361</v>
      </c>
      <c r="F326" s="47" t="s">
        <v>8781</v>
      </c>
      <c r="G326" s="363">
        <v>46279</v>
      </c>
      <c r="H326" s="47" t="s">
        <v>8782</v>
      </c>
      <c r="I326" s="47" t="s">
        <v>8783</v>
      </c>
      <c r="J326" s="47"/>
    </row>
    <row r="327" spans="2:10" ht="14.5">
      <c r="B327" s="47" t="s">
        <v>5336</v>
      </c>
      <c r="C327" s="47" t="s">
        <v>64</v>
      </c>
      <c r="D327" s="47" t="s">
        <v>9154</v>
      </c>
      <c r="E327" s="47" t="s">
        <v>5334</v>
      </c>
      <c r="F327" s="47" t="s">
        <v>8781</v>
      </c>
      <c r="G327" s="363">
        <v>46286</v>
      </c>
      <c r="H327" s="47" t="s">
        <v>8787</v>
      </c>
      <c r="I327" s="47" t="s">
        <v>8783</v>
      </c>
      <c r="J327" s="47" t="s">
        <v>5334</v>
      </c>
    </row>
    <row r="328" spans="2:10" ht="14.5">
      <c r="B328" s="47" t="s">
        <v>5341</v>
      </c>
      <c r="C328" s="47" t="s">
        <v>64</v>
      </c>
      <c r="D328" s="47" t="s">
        <v>9155</v>
      </c>
      <c r="E328" s="47" t="s">
        <v>5340</v>
      </c>
      <c r="F328" s="47" t="s">
        <v>8781</v>
      </c>
      <c r="G328" s="363">
        <v>46286</v>
      </c>
      <c r="H328" s="47" t="s">
        <v>8787</v>
      </c>
      <c r="I328" s="47" t="s">
        <v>8783</v>
      </c>
      <c r="J328" s="47" t="s">
        <v>5340</v>
      </c>
    </row>
    <row r="329" spans="2:10" ht="14.5">
      <c r="B329" s="47" t="s">
        <v>5368</v>
      </c>
      <c r="C329" s="47" t="s">
        <v>8779</v>
      </c>
      <c r="D329" s="47" t="s">
        <v>9156</v>
      </c>
      <c r="E329" s="47" t="s">
        <v>5366</v>
      </c>
      <c r="F329" s="47" t="s">
        <v>8781</v>
      </c>
      <c r="G329" s="363">
        <v>46279</v>
      </c>
      <c r="H329" s="47" t="s">
        <v>8782</v>
      </c>
      <c r="I329" s="47" t="s">
        <v>8783</v>
      </c>
      <c r="J329" s="47" t="s">
        <v>5366</v>
      </c>
    </row>
    <row r="330" spans="2:10" ht="14.5">
      <c r="B330" s="47" t="s">
        <v>5378</v>
      </c>
      <c r="C330" s="47" t="s">
        <v>8779</v>
      </c>
      <c r="D330" s="47" t="s">
        <v>9157</v>
      </c>
      <c r="E330" s="47" t="s">
        <v>5376</v>
      </c>
      <c r="F330" s="47" t="s">
        <v>8781</v>
      </c>
      <c r="G330" s="363">
        <v>46274</v>
      </c>
      <c r="H330" s="47" t="s">
        <v>8782</v>
      </c>
      <c r="I330" s="47" t="s">
        <v>8783</v>
      </c>
      <c r="J330" s="47" t="s">
        <v>5376</v>
      </c>
    </row>
    <row r="331" spans="2:10" ht="14.5">
      <c r="B331" s="47" t="s">
        <v>5373</v>
      </c>
      <c r="C331" s="47" t="s">
        <v>8779</v>
      </c>
      <c r="D331" s="47" t="s">
        <v>9158</v>
      </c>
      <c r="E331" s="47" t="s">
        <v>5371</v>
      </c>
      <c r="F331" s="47" t="s">
        <v>8781</v>
      </c>
      <c r="G331" s="363">
        <v>46274</v>
      </c>
      <c r="H331" s="47" t="s">
        <v>8782</v>
      </c>
      <c r="I331" s="47" t="s">
        <v>8783</v>
      </c>
      <c r="J331" s="47" t="s">
        <v>5371</v>
      </c>
    </row>
    <row r="332" spans="2:10" ht="14.5">
      <c r="B332" s="47" t="s">
        <v>8103</v>
      </c>
      <c r="C332" s="47" t="s">
        <v>64</v>
      </c>
      <c r="D332" s="47" t="s">
        <v>9159</v>
      </c>
      <c r="E332" s="47" t="s">
        <v>9160</v>
      </c>
      <c r="F332" s="47" t="s">
        <v>8829</v>
      </c>
      <c r="G332" s="363">
        <v>46248</v>
      </c>
      <c r="H332" s="47" t="s">
        <v>8782</v>
      </c>
      <c r="I332" s="47" t="s">
        <v>8783</v>
      </c>
      <c r="J332" s="47" t="s">
        <v>9161</v>
      </c>
    </row>
    <row r="333" spans="2:10" ht="14.5">
      <c r="B333" s="47" t="s">
        <v>8112</v>
      </c>
      <c r="C333" s="47" t="s">
        <v>64</v>
      </c>
      <c r="D333" s="47" t="s">
        <v>9162</v>
      </c>
      <c r="E333" s="47" t="s">
        <v>9163</v>
      </c>
      <c r="F333" s="47" t="s">
        <v>8829</v>
      </c>
      <c r="G333" s="363">
        <v>46255</v>
      </c>
      <c r="H333" s="47" t="s">
        <v>8782</v>
      </c>
      <c r="I333" s="47" t="s">
        <v>8783</v>
      </c>
      <c r="J333" s="47" t="s">
        <v>9164</v>
      </c>
    </row>
    <row r="334" spans="2:10" ht="14.5">
      <c r="B334" s="47" t="s">
        <v>4665</v>
      </c>
      <c r="C334" s="47" t="s">
        <v>64</v>
      </c>
      <c r="D334" s="47" t="s">
        <v>9165</v>
      </c>
      <c r="E334" s="47"/>
      <c r="F334" s="47" t="s">
        <v>8781</v>
      </c>
      <c r="G334" s="363">
        <v>46215</v>
      </c>
      <c r="H334" s="47" t="s">
        <v>8782</v>
      </c>
      <c r="I334" s="47" t="s">
        <v>8783</v>
      </c>
      <c r="J334" s="47" t="s">
        <v>9166</v>
      </c>
    </row>
    <row r="335" spans="2:10" ht="14.5">
      <c r="B335" s="47" t="s">
        <v>4663</v>
      </c>
      <c r="C335" s="47" t="s">
        <v>64</v>
      </c>
      <c r="D335" s="47" t="s">
        <v>9167</v>
      </c>
      <c r="E335" s="47"/>
      <c r="F335" s="47" t="s">
        <v>8781</v>
      </c>
      <c r="G335" s="363">
        <v>46218</v>
      </c>
      <c r="H335" s="47" t="s">
        <v>8782</v>
      </c>
      <c r="I335" s="47" t="s">
        <v>8783</v>
      </c>
      <c r="J335" s="47" t="s">
        <v>9168</v>
      </c>
    </row>
    <row r="336" spans="2:10" ht="14.5">
      <c r="B336" s="47" t="s">
        <v>4658</v>
      </c>
      <c r="C336" s="47" t="s">
        <v>64</v>
      </c>
      <c r="D336" s="47" t="s">
        <v>9169</v>
      </c>
      <c r="E336" s="47"/>
      <c r="F336" s="47" t="s">
        <v>8781</v>
      </c>
      <c r="G336" s="363">
        <v>46218</v>
      </c>
      <c r="H336" s="47" t="s">
        <v>8782</v>
      </c>
      <c r="I336" s="47" t="s">
        <v>8783</v>
      </c>
      <c r="J336" s="47" t="s">
        <v>9170</v>
      </c>
    </row>
    <row r="337" spans="2:10" ht="14.5">
      <c r="B337" s="47" t="s">
        <v>4568</v>
      </c>
      <c r="C337" s="47" t="s">
        <v>8779</v>
      </c>
      <c r="D337" s="47" t="s">
        <v>9171</v>
      </c>
      <c r="E337" s="47"/>
      <c r="F337" s="47" t="s">
        <v>8781</v>
      </c>
      <c r="G337" s="363">
        <v>46244</v>
      </c>
      <c r="H337" s="47" t="s">
        <v>8782</v>
      </c>
      <c r="I337" s="47" t="s">
        <v>8783</v>
      </c>
      <c r="J337" s="47" t="s">
        <v>9172</v>
      </c>
    </row>
    <row r="338" spans="2:10" ht="14.5">
      <c r="B338" s="47" t="s">
        <v>4562</v>
      </c>
      <c r="C338" s="47" t="s">
        <v>8779</v>
      </c>
      <c r="D338" s="47" t="s">
        <v>9173</v>
      </c>
      <c r="E338" s="47"/>
      <c r="F338" s="47" t="s">
        <v>8781</v>
      </c>
      <c r="G338" s="363">
        <v>46244</v>
      </c>
      <c r="H338" s="47" t="s">
        <v>8782</v>
      </c>
      <c r="I338" s="47" t="s">
        <v>8783</v>
      </c>
      <c r="J338" s="47" t="s">
        <v>9174</v>
      </c>
    </row>
    <row r="339" spans="2:10" ht="14.5">
      <c r="B339" s="47" t="s">
        <v>2385</v>
      </c>
      <c r="C339" s="47" t="s">
        <v>8779</v>
      </c>
      <c r="D339" s="47" t="s">
        <v>9175</v>
      </c>
      <c r="E339" s="47"/>
      <c r="F339" s="47" t="s">
        <v>8781</v>
      </c>
      <c r="G339" s="363">
        <v>46223</v>
      </c>
      <c r="H339" s="47" t="s">
        <v>8782</v>
      </c>
      <c r="I339" s="47" t="s">
        <v>8783</v>
      </c>
      <c r="J339" s="47" t="s">
        <v>9176</v>
      </c>
    </row>
    <row r="340" spans="2:10" ht="14.5">
      <c r="B340" s="47" t="s">
        <v>2378</v>
      </c>
      <c r="C340" s="47" t="s">
        <v>64</v>
      </c>
      <c r="D340" s="47" t="s">
        <v>9175</v>
      </c>
      <c r="E340" s="47"/>
      <c r="F340" s="47" t="s">
        <v>8781</v>
      </c>
      <c r="G340" s="363">
        <v>46223</v>
      </c>
      <c r="H340" s="47" t="s">
        <v>8782</v>
      </c>
      <c r="I340" s="47" t="s">
        <v>8783</v>
      </c>
      <c r="J340" s="47" t="s">
        <v>9176</v>
      </c>
    </row>
    <row r="341" spans="2:10" ht="14.5">
      <c r="B341" s="47" t="s">
        <v>9177</v>
      </c>
      <c r="C341" s="47" t="s">
        <v>8779</v>
      </c>
      <c r="D341" s="47" t="s">
        <v>9178</v>
      </c>
      <c r="E341" s="47" t="s">
        <v>5275</v>
      </c>
      <c r="F341" s="47" t="s">
        <v>8781</v>
      </c>
      <c r="G341" s="363">
        <v>46269</v>
      </c>
      <c r="H341" s="47" t="s">
        <v>8782</v>
      </c>
      <c r="I341" s="47" t="s">
        <v>8783</v>
      </c>
      <c r="J341" s="47"/>
    </row>
    <row r="342" spans="2:10" ht="14.5">
      <c r="B342" s="47" t="s">
        <v>5235</v>
      </c>
      <c r="C342" s="47" t="s">
        <v>64</v>
      </c>
      <c r="D342" s="47" t="s">
        <v>9179</v>
      </c>
      <c r="E342" s="47" t="s">
        <v>5234</v>
      </c>
      <c r="F342" s="47" t="s">
        <v>8781</v>
      </c>
      <c r="G342" s="363">
        <v>46283</v>
      </c>
      <c r="H342" s="47" t="s">
        <v>8787</v>
      </c>
      <c r="I342" s="47" t="s">
        <v>8783</v>
      </c>
      <c r="J342" s="47" t="s">
        <v>5234</v>
      </c>
    </row>
    <row r="343" spans="2:10" ht="14.5">
      <c r="B343" s="47" t="s">
        <v>5286</v>
      </c>
      <c r="C343" s="47" t="s">
        <v>8779</v>
      </c>
      <c r="D343" s="47" t="s">
        <v>9180</v>
      </c>
      <c r="E343" s="47" t="s">
        <v>5284</v>
      </c>
      <c r="F343" s="47" t="s">
        <v>8781</v>
      </c>
      <c r="G343" s="363">
        <v>46260</v>
      </c>
      <c r="H343" s="47" t="s">
        <v>8782</v>
      </c>
      <c r="I343" s="47" t="s">
        <v>8783</v>
      </c>
      <c r="J343" s="47"/>
    </row>
    <row r="344" spans="2:10" ht="14.5">
      <c r="B344" s="47" t="s">
        <v>5233</v>
      </c>
      <c r="C344" s="47" t="s">
        <v>64</v>
      </c>
      <c r="D344" s="47" t="s">
        <v>9181</v>
      </c>
      <c r="E344" s="47" t="s">
        <v>5231</v>
      </c>
      <c r="F344" s="47" t="s">
        <v>8781</v>
      </c>
      <c r="G344" s="363">
        <v>46283</v>
      </c>
      <c r="H344" s="47" t="s">
        <v>8787</v>
      </c>
      <c r="I344" s="47" t="s">
        <v>8783</v>
      </c>
      <c r="J344" s="47" t="s">
        <v>5231</v>
      </c>
    </row>
    <row r="345" spans="2:10" ht="14.5">
      <c r="B345" s="47" t="s">
        <v>5226</v>
      </c>
      <c r="C345" s="47" t="s">
        <v>64</v>
      </c>
      <c r="D345" s="47" t="s">
        <v>9182</v>
      </c>
      <c r="E345" s="47" t="s">
        <v>5225</v>
      </c>
      <c r="F345" s="47" t="s">
        <v>8781</v>
      </c>
      <c r="G345" s="363">
        <v>46283</v>
      </c>
      <c r="H345" s="47" t="s">
        <v>8787</v>
      </c>
      <c r="I345" s="47" t="s">
        <v>8783</v>
      </c>
      <c r="J345" s="47" t="s">
        <v>5225</v>
      </c>
    </row>
    <row r="346" spans="2:10" ht="14.5">
      <c r="B346" s="47" t="s">
        <v>5295</v>
      </c>
      <c r="C346" s="47" t="s">
        <v>8779</v>
      </c>
      <c r="D346" s="47" t="s">
        <v>9183</v>
      </c>
      <c r="E346" s="47" t="s">
        <v>5294</v>
      </c>
      <c r="F346" s="47" t="s">
        <v>8781</v>
      </c>
      <c r="G346" s="363">
        <v>46245</v>
      </c>
      <c r="H346" s="47" t="s">
        <v>8782</v>
      </c>
      <c r="I346" s="47" t="s">
        <v>8783</v>
      </c>
      <c r="J346" s="47"/>
    </row>
    <row r="347" spans="2:10" ht="14.5">
      <c r="B347" s="47" t="s">
        <v>5187</v>
      </c>
      <c r="C347" s="47" t="s">
        <v>8779</v>
      </c>
      <c r="D347" s="47" t="s">
        <v>9184</v>
      </c>
      <c r="E347" s="47" t="s">
        <v>5186</v>
      </c>
      <c r="F347" s="47" t="s">
        <v>8781</v>
      </c>
      <c r="G347" s="363">
        <v>46238</v>
      </c>
      <c r="H347" s="47" t="s">
        <v>8782</v>
      </c>
      <c r="I347" s="47" t="s">
        <v>8783</v>
      </c>
      <c r="J347" s="47"/>
    </row>
    <row r="348" spans="2:10" ht="14.5">
      <c r="B348" s="47" t="s">
        <v>5302</v>
      </c>
      <c r="C348" s="47" t="s">
        <v>8779</v>
      </c>
      <c r="D348" s="47" t="s">
        <v>9185</v>
      </c>
      <c r="E348" s="47" t="s">
        <v>5301</v>
      </c>
      <c r="F348" s="47" t="s">
        <v>8781</v>
      </c>
      <c r="G348" s="363">
        <v>46246</v>
      </c>
      <c r="H348" s="47" t="s">
        <v>8782</v>
      </c>
      <c r="I348" s="47" t="s">
        <v>8783</v>
      </c>
      <c r="J348" s="47"/>
    </row>
    <row r="349" spans="2:10" ht="14.5">
      <c r="B349" s="47" t="s">
        <v>5297</v>
      </c>
      <c r="C349" s="47" t="s">
        <v>8779</v>
      </c>
      <c r="D349" s="47" t="s">
        <v>9186</v>
      </c>
      <c r="E349" s="47" t="s">
        <v>5296</v>
      </c>
      <c r="F349" s="47" t="s">
        <v>8781</v>
      </c>
      <c r="G349" s="363">
        <v>46256</v>
      </c>
      <c r="H349" s="47" t="s">
        <v>8782</v>
      </c>
      <c r="I349" s="47" t="s">
        <v>8783</v>
      </c>
      <c r="J349" s="47"/>
    </row>
    <row r="350" spans="2:10" ht="14.5">
      <c r="B350" s="47" t="s">
        <v>5291</v>
      </c>
      <c r="C350" s="47" t="s">
        <v>8779</v>
      </c>
      <c r="D350" s="47" t="s">
        <v>9187</v>
      </c>
      <c r="E350" s="47" t="s">
        <v>5290</v>
      </c>
      <c r="F350" s="47" t="s">
        <v>8781</v>
      </c>
      <c r="G350" s="363">
        <v>46245</v>
      </c>
      <c r="H350" s="47" t="s">
        <v>8782</v>
      </c>
      <c r="I350" s="47" t="s">
        <v>8783</v>
      </c>
      <c r="J350" s="47"/>
    </row>
    <row r="351" spans="2:10" ht="14.5">
      <c r="B351" s="47" t="s">
        <v>5256</v>
      </c>
      <c r="C351" s="47" t="s">
        <v>64</v>
      </c>
      <c r="D351" s="47" t="s">
        <v>9188</v>
      </c>
      <c r="E351" s="47" t="s">
        <v>5255</v>
      </c>
      <c r="F351" s="47" t="s">
        <v>8781</v>
      </c>
      <c r="G351" s="363">
        <v>46286</v>
      </c>
      <c r="H351" s="47" t="s">
        <v>8787</v>
      </c>
      <c r="I351" s="47" t="s">
        <v>8783</v>
      </c>
      <c r="J351" s="47" t="s">
        <v>5255</v>
      </c>
    </row>
    <row r="352" spans="2:10" ht="14.5">
      <c r="B352" s="47" t="s">
        <v>9189</v>
      </c>
      <c r="C352" s="47" t="s">
        <v>8779</v>
      </c>
      <c r="D352" s="47" t="s">
        <v>9190</v>
      </c>
      <c r="E352" s="47" t="s">
        <v>5275</v>
      </c>
      <c r="F352" s="47" t="s">
        <v>8781</v>
      </c>
      <c r="G352" s="363">
        <v>46269</v>
      </c>
      <c r="H352" s="47" t="s">
        <v>8782</v>
      </c>
      <c r="I352" s="47" t="s">
        <v>8783</v>
      </c>
      <c r="J352" s="47" t="s">
        <v>5275</v>
      </c>
    </row>
    <row r="353" spans="2:10" ht="14.5">
      <c r="B353" s="47" t="s">
        <v>5252</v>
      </c>
      <c r="C353" s="47" t="s">
        <v>64</v>
      </c>
      <c r="D353" s="47" t="s">
        <v>9191</v>
      </c>
      <c r="E353" s="47" t="s">
        <v>5251</v>
      </c>
      <c r="F353" s="47" t="s">
        <v>8781</v>
      </c>
      <c r="G353" s="363">
        <v>46276</v>
      </c>
      <c r="H353" s="47" t="s">
        <v>8782</v>
      </c>
      <c r="I353" s="47" t="s">
        <v>8783</v>
      </c>
      <c r="J353" s="47" t="s">
        <v>5251</v>
      </c>
    </row>
    <row r="354" spans="2:10" ht="14.5">
      <c r="B354" s="47" t="s">
        <v>5228</v>
      </c>
      <c r="C354" s="47" t="s">
        <v>64</v>
      </c>
      <c r="D354" s="47" t="s">
        <v>9192</v>
      </c>
      <c r="E354" s="47" t="s">
        <v>5227</v>
      </c>
      <c r="F354" s="47" t="s">
        <v>8781</v>
      </c>
      <c r="G354" s="363">
        <v>46283</v>
      </c>
      <c r="H354" s="47" t="s">
        <v>8787</v>
      </c>
      <c r="I354" s="47" t="s">
        <v>8783</v>
      </c>
      <c r="J354" s="47" t="s">
        <v>5227</v>
      </c>
    </row>
    <row r="355" spans="2:10" ht="14.5">
      <c r="B355" s="47" t="s">
        <v>5214</v>
      </c>
      <c r="C355" s="47" t="s">
        <v>64</v>
      </c>
      <c r="D355" s="362" t="s">
        <v>9193</v>
      </c>
      <c r="E355" s="362" t="s">
        <v>5211</v>
      </c>
      <c r="F355" s="47" t="s">
        <v>8781</v>
      </c>
      <c r="G355" s="363">
        <v>46283</v>
      </c>
      <c r="H355" s="47" t="s">
        <v>8787</v>
      </c>
      <c r="I355" s="47" t="s">
        <v>8783</v>
      </c>
      <c r="J355" s="47" t="s">
        <v>5211</v>
      </c>
    </row>
    <row r="356" spans="2:10" ht="14.5">
      <c r="B356" s="47" t="s">
        <v>5219</v>
      </c>
      <c r="C356" s="47" t="s">
        <v>64</v>
      </c>
      <c r="D356" s="47" t="s">
        <v>9194</v>
      </c>
      <c r="E356" s="47" t="s">
        <v>5218</v>
      </c>
      <c r="F356" s="47" t="s">
        <v>8781</v>
      </c>
      <c r="G356" s="363">
        <v>46283</v>
      </c>
      <c r="H356" s="47" t="s">
        <v>8787</v>
      </c>
      <c r="I356" s="47" t="s">
        <v>8783</v>
      </c>
      <c r="J356" s="47" t="s">
        <v>5218</v>
      </c>
    </row>
    <row r="357" spans="2:10" ht="14.5">
      <c r="B357" s="47" t="s">
        <v>5222</v>
      </c>
      <c r="C357" s="47" t="s">
        <v>64</v>
      </c>
      <c r="D357" s="47" t="s">
        <v>9195</v>
      </c>
      <c r="E357" s="47" t="s">
        <v>5221</v>
      </c>
      <c r="F357" s="47" t="s">
        <v>8781</v>
      </c>
      <c r="G357" s="363">
        <v>46283</v>
      </c>
      <c r="H357" s="47" t="s">
        <v>8787</v>
      </c>
      <c r="I357" s="47" t="s">
        <v>8783</v>
      </c>
      <c r="J357" s="47" t="s">
        <v>5221</v>
      </c>
    </row>
    <row r="358" spans="2:10" ht="14.5">
      <c r="B358" s="47" t="s">
        <v>2294</v>
      </c>
      <c r="C358" s="47" t="s">
        <v>64</v>
      </c>
      <c r="D358" s="47" t="s">
        <v>9196</v>
      </c>
      <c r="E358" s="47"/>
      <c r="F358" s="47" t="s">
        <v>8781</v>
      </c>
      <c r="G358" s="363">
        <v>46213</v>
      </c>
      <c r="H358" s="47" t="s">
        <v>8782</v>
      </c>
      <c r="I358" s="47" t="s">
        <v>8783</v>
      </c>
      <c r="J358" s="47" t="s">
        <v>9197</v>
      </c>
    </row>
    <row r="359" spans="2:10" ht="14.5">
      <c r="B359" s="47" t="s">
        <v>2289</v>
      </c>
      <c r="C359" s="47" t="s">
        <v>8779</v>
      </c>
      <c r="D359" s="47" t="s">
        <v>9196</v>
      </c>
      <c r="E359" s="47"/>
      <c r="F359" s="47" t="s">
        <v>8781</v>
      </c>
      <c r="G359" s="363">
        <v>46213</v>
      </c>
      <c r="H359" s="47" t="s">
        <v>8782</v>
      </c>
      <c r="I359" s="47" t="s">
        <v>8783</v>
      </c>
      <c r="J359" s="47" t="s">
        <v>9198</v>
      </c>
    </row>
    <row r="360" spans="2:10" ht="14.5">
      <c r="B360" s="47" t="s">
        <v>5101</v>
      </c>
      <c r="C360" s="47" t="s">
        <v>64</v>
      </c>
      <c r="D360" s="47" t="s">
        <v>9199</v>
      </c>
      <c r="E360" s="47" t="s">
        <v>5098</v>
      </c>
      <c r="F360" s="47" t="s">
        <v>8781</v>
      </c>
      <c r="G360" s="363">
        <v>46272</v>
      </c>
      <c r="H360" s="47" t="s">
        <v>8782</v>
      </c>
      <c r="I360" s="47" t="s">
        <v>8783</v>
      </c>
      <c r="J360" s="47" t="s">
        <v>5098</v>
      </c>
    </row>
    <row r="361" spans="2:10" ht="14.5">
      <c r="B361" s="47" t="s">
        <v>5272</v>
      </c>
      <c r="C361" s="47" t="s">
        <v>64</v>
      </c>
      <c r="D361" s="47" t="s">
        <v>9200</v>
      </c>
      <c r="E361" s="47" t="s">
        <v>5271</v>
      </c>
      <c r="F361" s="47" t="s">
        <v>8781</v>
      </c>
      <c r="G361" s="363">
        <v>46288</v>
      </c>
      <c r="H361" s="47" t="s">
        <v>8787</v>
      </c>
      <c r="I361" s="47" t="s">
        <v>8783</v>
      </c>
      <c r="J361" s="47" t="s">
        <v>5271</v>
      </c>
    </row>
    <row r="362" spans="2:10" ht="14.5">
      <c r="B362" s="47" t="s">
        <v>5268</v>
      </c>
      <c r="C362" s="47" t="s">
        <v>64</v>
      </c>
      <c r="D362" s="47" t="s">
        <v>9201</v>
      </c>
      <c r="E362" s="47" t="s">
        <v>5266</v>
      </c>
      <c r="F362" s="47" t="s">
        <v>8781</v>
      </c>
      <c r="G362" s="363">
        <v>46297</v>
      </c>
      <c r="H362" s="47" t="s">
        <v>8787</v>
      </c>
      <c r="I362" s="47" t="s">
        <v>8783</v>
      </c>
      <c r="J362" s="47" t="s">
        <v>5266</v>
      </c>
    </row>
    <row r="363" spans="2:10" ht="14.5">
      <c r="B363" s="47" t="s">
        <v>5265</v>
      </c>
      <c r="C363" s="47" t="s">
        <v>64</v>
      </c>
      <c r="D363" s="47" t="s">
        <v>9202</v>
      </c>
      <c r="E363" s="47" t="s">
        <v>5264</v>
      </c>
      <c r="F363" s="47" t="s">
        <v>8781</v>
      </c>
      <c r="G363" s="363">
        <v>46272</v>
      </c>
      <c r="H363" s="47" t="s">
        <v>8782</v>
      </c>
      <c r="I363" s="47" t="s">
        <v>8783</v>
      </c>
      <c r="J363" s="47" t="s">
        <v>5264</v>
      </c>
    </row>
    <row r="364" spans="2:10" ht="14.5">
      <c r="B364" s="47" t="s">
        <v>5250</v>
      </c>
      <c r="C364" s="47" t="s">
        <v>64</v>
      </c>
      <c r="D364" s="47" t="s">
        <v>9203</v>
      </c>
      <c r="E364" s="47" t="s">
        <v>5249</v>
      </c>
      <c r="F364" s="47" t="s">
        <v>8781</v>
      </c>
      <c r="G364" s="363">
        <v>46300</v>
      </c>
      <c r="H364" s="47" t="s">
        <v>8787</v>
      </c>
      <c r="I364" s="47" t="s">
        <v>8783</v>
      </c>
      <c r="J364" s="47" t="s">
        <v>5249</v>
      </c>
    </row>
    <row r="365" spans="2:10" ht="14.5">
      <c r="B365" s="47" t="s">
        <v>9204</v>
      </c>
      <c r="C365" s="47" t="s">
        <v>64</v>
      </c>
      <c r="D365" s="47" t="s">
        <v>9205</v>
      </c>
      <c r="E365" s="47" t="s">
        <v>5259</v>
      </c>
      <c r="F365" s="47" t="s">
        <v>8781</v>
      </c>
      <c r="G365" s="363">
        <v>46272</v>
      </c>
      <c r="H365" s="47" t="s">
        <v>8782</v>
      </c>
      <c r="I365" s="47" t="s">
        <v>8783</v>
      </c>
      <c r="J365" s="47" t="s">
        <v>5259</v>
      </c>
    </row>
    <row r="366" spans="2:10" ht="14.5">
      <c r="B366" s="47" t="s">
        <v>5205</v>
      </c>
      <c r="C366" s="47" t="s">
        <v>64</v>
      </c>
      <c r="D366" s="47" t="s">
        <v>9206</v>
      </c>
      <c r="E366" s="47" t="s">
        <v>5203</v>
      </c>
      <c r="F366" s="47" t="s">
        <v>8781</v>
      </c>
      <c r="G366" s="363">
        <v>46267</v>
      </c>
      <c r="H366" s="47" t="s">
        <v>8782</v>
      </c>
      <c r="I366" s="47" t="s">
        <v>8783</v>
      </c>
      <c r="J366" s="47" t="s">
        <v>5203</v>
      </c>
    </row>
    <row r="367" spans="2:10" ht="14.5">
      <c r="B367" s="47" t="s">
        <v>5042</v>
      </c>
      <c r="C367" s="47" t="s">
        <v>64</v>
      </c>
      <c r="D367" s="47" t="s">
        <v>9207</v>
      </c>
      <c r="E367" s="47" t="s">
        <v>5040</v>
      </c>
      <c r="F367" s="47" t="s">
        <v>8781</v>
      </c>
      <c r="G367" s="363">
        <v>46260</v>
      </c>
      <c r="H367" s="47" t="s">
        <v>8782</v>
      </c>
      <c r="I367" s="47" t="s">
        <v>8783</v>
      </c>
      <c r="J367" s="47" t="s">
        <v>5040</v>
      </c>
    </row>
    <row r="368" spans="2:10" ht="14.5">
      <c r="B368" s="47" t="s">
        <v>5048</v>
      </c>
      <c r="C368" s="47" t="s">
        <v>64</v>
      </c>
      <c r="D368" s="47" t="s">
        <v>9208</v>
      </c>
      <c r="E368" s="47" t="s">
        <v>5046</v>
      </c>
      <c r="F368" s="47" t="s">
        <v>8781</v>
      </c>
      <c r="G368" s="363">
        <v>46260</v>
      </c>
      <c r="H368" s="47" t="s">
        <v>8782</v>
      </c>
      <c r="I368" s="47" t="s">
        <v>8783</v>
      </c>
      <c r="J368" s="47" t="s">
        <v>5046</v>
      </c>
    </row>
    <row r="369" spans="2:10" ht="14.5">
      <c r="B369" s="47" t="s">
        <v>9209</v>
      </c>
      <c r="C369" s="47" t="s">
        <v>64</v>
      </c>
      <c r="D369" s="47" t="s">
        <v>9210</v>
      </c>
      <c r="E369" s="47" t="s">
        <v>5104</v>
      </c>
      <c r="F369" s="47" t="s">
        <v>8781</v>
      </c>
      <c r="G369" s="363">
        <v>46272</v>
      </c>
      <c r="H369" s="47" t="s">
        <v>8782</v>
      </c>
      <c r="I369" s="47" t="s">
        <v>8783</v>
      </c>
      <c r="J369" s="47" t="s">
        <v>5104</v>
      </c>
    </row>
    <row r="370" spans="2:10" ht="14.5">
      <c r="B370" s="47" t="s">
        <v>9211</v>
      </c>
      <c r="C370" s="47" t="s">
        <v>64</v>
      </c>
      <c r="D370" s="47" t="s">
        <v>9212</v>
      </c>
      <c r="E370" s="47" t="s">
        <v>5108</v>
      </c>
      <c r="F370" s="47" t="s">
        <v>8781</v>
      </c>
      <c r="G370" s="363">
        <v>46272</v>
      </c>
      <c r="H370" s="47" t="s">
        <v>8782</v>
      </c>
      <c r="I370" s="47" t="s">
        <v>8783</v>
      </c>
      <c r="J370" s="47" t="s">
        <v>5108</v>
      </c>
    </row>
    <row r="371" spans="2:10" ht="14.5">
      <c r="B371" s="47" t="s">
        <v>5112</v>
      </c>
      <c r="C371" s="47" t="s">
        <v>64</v>
      </c>
      <c r="D371" s="47" t="s">
        <v>9213</v>
      </c>
      <c r="E371" s="47" t="s">
        <v>5110</v>
      </c>
      <c r="F371" s="47" t="s">
        <v>8781</v>
      </c>
      <c r="G371" s="363">
        <v>46272</v>
      </c>
      <c r="H371" s="47" t="s">
        <v>8782</v>
      </c>
      <c r="I371" s="47" t="s">
        <v>8783</v>
      </c>
      <c r="J371" s="47" t="s">
        <v>5110</v>
      </c>
    </row>
    <row r="372" spans="2:10" ht="14.5">
      <c r="B372" s="47" t="s">
        <v>9214</v>
      </c>
      <c r="C372" s="47" t="s">
        <v>64</v>
      </c>
      <c r="D372" s="47" t="s">
        <v>9215</v>
      </c>
      <c r="E372" s="47" t="s">
        <v>5120</v>
      </c>
      <c r="F372" s="47" t="s">
        <v>8781</v>
      </c>
      <c r="G372" s="363">
        <v>46279</v>
      </c>
      <c r="H372" s="47" t="s">
        <v>8787</v>
      </c>
      <c r="I372" s="47" t="s">
        <v>8783</v>
      </c>
      <c r="J372" s="47" t="s">
        <v>5120</v>
      </c>
    </row>
    <row r="373" spans="2:10" ht="14.5">
      <c r="B373" s="47" t="s">
        <v>9216</v>
      </c>
      <c r="C373" s="47" t="s">
        <v>64</v>
      </c>
      <c r="D373" s="47" t="s">
        <v>9217</v>
      </c>
      <c r="E373" s="47" t="s">
        <v>5125</v>
      </c>
      <c r="F373" s="47" t="s">
        <v>8781</v>
      </c>
      <c r="G373" s="363">
        <v>46279</v>
      </c>
      <c r="H373" s="47" t="s">
        <v>8787</v>
      </c>
      <c r="I373" s="47" t="s">
        <v>8783</v>
      </c>
      <c r="J373" s="47" t="s">
        <v>5125</v>
      </c>
    </row>
    <row r="374" spans="2:10" ht="14.5">
      <c r="B374" s="47" t="s">
        <v>5166</v>
      </c>
      <c r="C374" s="47" t="s">
        <v>8779</v>
      </c>
      <c r="D374" s="47" t="s">
        <v>9218</v>
      </c>
      <c r="E374" s="47" t="s">
        <v>5164</v>
      </c>
      <c r="F374" s="47" t="s">
        <v>8781</v>
      </c>
      <c r="G374" s="363">
        <v>46249</v>
      </c>
      <c r="H374" s="47" t="s">
        <v>8782</v>
      </c>
      <c r="I374" s="47" t="s">
        <v>8783</v>
      </c>
      <c r="J374" s="47"/>
    </row>
    <row r="375" spans="2:10" ht="14.5">
      <c r="B375" s="47" t="s">
        <v>5158</v>
      </c>
      <c r="C375" s="47" t="s">
        <v>8779</v>
      </c>
      <c r="D375" s="47" t="s">
        <v>9219</v>
      </c>
      <c r="E375" s="47" t="s">
        <v>5155</v>
      </c>
      <c r="F375" s="47" t="s">
        <v>8781</v>
      </c>
      <c r="G375" s="363">
        <v>46257</v>
      </c>
      <c r="H375" s="47" t="s">
        <v>8782</v>
      </c>
      <c r="I375" s="47" t="s">
        <v>8783</v>
      </c>
      <c r="J375" s="47"/>
    </row>
    <row r="376" spans="2:10" ht="14.5">
      <c r="B376" s="47" t="s">
        <v>5172</v>
      </c>
      <c r="C376" s="47" t="s">
        <v>64</v>
      </c>
      <c r="D376" s="47" t="s">
        <v>9220</v>
      </c>
      <c r="E376" s="47" t="s">
        <v>5171</v>
      </c>
      <c r="F376" s="47" t="s">
        <v>8781</v>
      </c>
      <c r="G376" s="363">
        <v>46269</v>
      </c>
      <c r="H376" s="47" t="s">
        <v>8782</v>
      </c>
      <c r="I376" s="47" t="s">
        <v>8783</v>
      </c>
      <c r="J376" s="47" t="s">
        <v>5171</v>
      </c>
    </row>
    <row r="377" spans="2:10" ht="14.5">
      <c r="B377" s="47" t="s">
        <v>5178</v>
      </c>
      <c r="C377" s="47" t="s">
        <v>64</v>
      </c>
      <c r="D377" s="47" t="s">
        <v>9221</v>
      </c>
      <c r="E377" s="47" t="s">
        <v>5176</v>
      </c>
      <c r="F377" s="47" t="s">
        <v>8781</v>
      </c>
      <c r="G377" s="363">
        <v>46269</v>
      </c>
      <c r="H377" s="47" t="s">
        <v>8782</v>
      </c>
      <c r="I377" s="47" t="s">
        <v>8783</v>
      </c>
      <c r="J377" s="47" t="s">
        <v>5176</v>
      </c>
    </row>
    <row r="378" spans="2:10" ht="14.5">
      <c r="B378" s="47" t="s">
        <v>5183</v>
      </c>
      <c r="C378" s="47" t="s">
        <v>8779</v>
      </c>
      <c r="D378" s="47" t="s">
        <v>9222</v>
      </c>
      <c r="E378" s="47" t="s">
        <v>5181</v>
      </c>
      <c r="F378" s="47" t="s">
        <v>8781</v>
      </c>
      <c r="G378" s="363">
        <v>46238</v>
      </c>
      <c r="H378" s="47" t="s">
        <v>8782</v>
      </c>
      <c r="I378" s="47" t="s">
        <v>8783</v>
      </c>
      <c r="J378" s="47"/>
    </row>
    <row r="379" spans="2:10" ht="14.5">
      <c r="B379" s="47" t="s">
        <v>5189</v>
      </c>
      <c r="C379" s="47" t="s">
        <v>8779</v>
      </c>
      <c r="D379" s="47" t="s">
        <v>9223</v>
      </c>
      <c r="E379" s="47" t="s">
        <v>5188</v>
      </c>
      <c r="F379" s="47" t="s">
        <v>8781</v>
      </c>
      <c r="G379" s="363">
        <v>46239</v>
      </c>
      <c r="H379" s="47" t="s">
        <v>8782</v>
      </c>
      <c r="I379" s="47" t="s">
        <v>8783</v>
      </c>
      <c r="J379" s="47"/>
    </row>
    <row r="380" spans="2:10" ht="14.5">
      <c r="B380" s="47" t="s">
        <v>5194</v>
      </c>
      <c r="C380" s="47" t="s">
        <v>8779</v>
      </c>
      <c r="D380" s="47" t="s">
        <v>9224</v>
      </c>
      <c r="E380" s="47" t="s">
        <v>5193</v>
      </c>
      <c r="F380" s="47" t="s">
        <v>8781</v>
      </c>
      <c r="G380" s="363">
        <v>46249</v>
      </c>
      <c r="H380" s="47" t="s">
        <v>8782</v>
      </c>
      <c r="I380" s="47" t="s">
        <v>8783</v>
      </c>
      <c r="J380" s="47"/>
    </row>
    <row r="381" spans="2:10" ht="14.5">
      <c r="B381" s="47" t="s">
        <v>5198</v>
      </c>
      <c r="C381" s="47" t="s">
        <v>8779</v>
      </c>
      <c r="D381" s="47" t="s">
        <v>9225</v>
      </c>
      <c r="E381" s="47" t="s">
        <v>5197</v>
      </c>
      <c r="F381" s="47" t="s">
        <v>8781</v>
      </c>
      <c r="G381" s="363">
        <v>46249</v>
      </c>
      <c r="H381" s="47" t="s">
        <v>8782</v>
      </c>
      <c r="I381" s="47" t="s">
        <v>8783</v>
      </c>
      <c r="J381" s="47"/>
    </row>
    <row r="382" spans="2:10" ht="14.5">
      <c r="B382" s="47" t="s">
        <v>5200</v>
      </c>
      <c r="C382" s="47" t="s">
        <v>8779</v>
      </c>
      <c r="D382" s="47" t="s">
        <v>9226</v>
      </c>
      <c r="E382" s="47" t="s">
        <v>5199</v>
      </c>
      <c r="F382" s="47" t="s">
        <v>8781</v>
      </c>
      <c r="G382" s="363">
        <v>46238</v>
      </c>
      <c r="H382" s="47" t="s">
        <v>8782</v>
      </c>
      <c r="I382" s="47" t="s">
        <v>8783</v>
      </c>
      <c r="J382" s="47"/>
    </row>
    <row r="383" spans="2:10" ht="14.5">
      <c r="B383" s="47" t="s">
        <v>5210</v>
      </c>
      <c r="C383" s="47" t="s">
        <v>64</v>
      </c>
      <c r="D383" s="47" t="s">
        <v>9227</v>
      </c>
      <c r="E383" s="47" t="s">
        <v>5209</v>
      </c>
      <c r="F383" s="47" t="s">
        <v>8781</v>
      </c>
      <c r="G383" s="363">
        <v>46267</v>
      </c>
      <c r="H383" s="47" t="s">
        <v>8782</v>
      </c>
      <c r="I383" s="47" t="s">
        <v>8783</v>
      </c>
      <c r="J383" s="47" t="s">
        <v>5209</v>
      </c>
    </row>
    <row r="384" spans="2:10" ht="14.5">
      <c r="B384" s="47" t="s">
        <v>5242</v>
      </c>
      <c r="C384" s="47" t="s">
        <v>64</v>
      </c>
      <c r="D384" s="47" t="s">
        <v>9228</v>
      </c>
      <c r="E384" s="47" t="s">
        <v>5241</v>
      </c>
      <c r="F384" s="47" t="s">
        <v>8781</v>
      </c>
      <c r="G384" s="363">
        <v>46272</v>
      </c>
      <c r="H384" s="47" t="s">
        <v>8782</v>
      </c>
      <c r="I384" s="47" t="s">
        <v>8783</v>
      </c>
      <c r="J384" s="47" t="s">
        <v>5241</v>
      </c>
    </row>
    <row r="385" spans="2:10" ht="14.5">
      <c r="B385" s="47" t="s">
        <v>5237</v>
      </c>
      <c r="C385" s="47" t="s">
        <v>64</v>
      </c>
      <c r="D385" s="47" t="s">
        <v>9229</v>
      </c>
      <c r="E385" s="47" t="s">
        <v>5236</v>
      </c>
      <c r="F385" s="47" t="s">
        <v>8781</v>
      </c>
      <c r="G385" s="363">
        <v>46272</v>
      </c>
      <c r="H385" s="47" t="s">
        <v>8782</v>
      </c>
      <c r="I385" s="47" t="s">
        <v>8783</v>
      </c>
      <c r="J385" s="47" t="s">
        <v>5236</v>
      </c>
    </row>
    <row r="386" spans="2:10" ht="14.5">
      <c r="B386" s="47" t="s">
        <v>5244</v>
      </c>
      <c r="C386" s="47" t="s">
        <v>64</v>
      </c>
      <c r="D386" s="47" t="s">
        <v>9230</v>
      </c>
      <c r="E386" s="47" t="s">
        <v>5243</v>
      </c>
      <c r="F386" s="47" t="s">
        <v>8781</v>
      </c>
      <c r="G386" s="363">
        <v>46272</v>
      </c>
      <c r="H386" s="47" t="s">
        <v>8782</v>
      </c>
      <c r="I386" s="47" t="s">
        <v>8783</v>
      </c>
      <c r="J386" s="47" t="s">
        <v>5243</v>
      </c>
    </row>
    <row r="387" spans="2:10" ht="14.5">
      <c r="B387" s="47" t="s">
        <v>5246</v>
      </c>
      <c r="C387" s="47" t="s">
        <v>64</v>
      </c>
      <c r="D387" s="47" t="s">
        <v>9231</v>
      </c>
      <c r="E387" s="47" t="s">
        <v>5245</v>
      </c>
      <c r="F387" s="47" t="s">
        <v>8781</v>
      </c>
      <c r="G387" s="363">
        <v>46300</v>
      </c>
      <c r="H387" s="47" t="s">
        <v>8787</v>
      </c>
      <c r="I387" s="47" t="s">
        <v>8783</v>
      </c>
      <c r="J387" s="47" t="s">
        <v>5245</v>
      </c>
    </row>
    <row r="388" spans="2:10" ht="14.5">
      <c r="B388" s="47" t="s">
        <v>9232</v>
      </c>
      <c r="C388" s="47" t="s">
        <v>64</v>
      </c>
      <c r="D388" s="47" t="s">
        <v>9081</v>
      </c>
      <c r="E388" s="47"/>
      <c r="F388" s="47" t="s">
        <v>8781</v>
      </c>
      <c r="G388" s="363">
        <v>46233</v>
      </c>
      <c r="H388" s="47" t="s">
        <v>8930</v>
      </c>
      <c r="I388" s="47" t="s">
        <v>8783</v>
      </c>
      <c r="J388" s="47" t="s">
        <v>9233</v>
      </c>
    </row>
    <row r="389" spans="2:10" ht="14.5">
      <c r="B389" s="47" t="s">
        <v>4872</v>
      </c>
      <c r="C389" s="47" t="s">
        <v>8779</v>
      </c>
      <c r="D389" s="47" t="s">
        <v>9234</v>
      </c>
      <c r="E389" s="47" t="s">
        <v>4869</v>
      </c>
      <c r="F389" s="47" t="s">
        <v>8781</v>
      </c>
      <c r="G389" s="363">
        <v>46251</v>
      </c>
      <c r="H389" s="47" t="s">
        <v>8782</v>
      </c>
      <c r="I389" s="47" t="s">
        <v>8783</v>
      </c>
      <c r="J389" s="47" t="s">
        <v>4869</v>
      </c>
    </row>
    <row r="390" spans="2:10" ht="14.5">
      <c r="B390" s="47" t="s">
        <v>4876</v>
      </c>
      <c r="C390" s="47" t="s">
        <v>64</v>
      </c>
      <c r="D390" s="47" t="s">
        <v>9235</v>
      </c>
      <c r="E390" s="47" t="s">
        <v>4875</v>
      </c>
      <c r="F390" s="47" t="s">
        <v>8781</v>
      </c>
      <c r="G390" s="363">
        <v>46262</v>
      </c>
      <c r="H390" s="47" t="s">
        <v>8782</v>
      </c>
      <c r="I390" s="47" t="s">
        <v>8783</v>
      </c>
      <c r="J390" s="47" t="s">
        <v>4875</v>
      </c>
    </row>
    <row r="391" spans="2:10" ht="14.5">
      <c r="B391" s="47" t="s">
        <v>4904</v>
      </c>
      <c r="C391" s="47" t="s">
        <v>64</v>
      </c>
      <c r="D391" s="47" t="s">
        <v>9236</v>
      </c>
      <c r="E391" s="47" t="s">
        <v>4902</v>
      </c>
      <c r="F391" s="47" t="s">
        <v>8781</v>
      </c>
      <c r="G391" s="363">
        <v>46258</v>
      </c>
      <c r="H391" s="47" t="s">
        <v>8782</v>
      </c>
      <c r="I391" s="47" t="s">
        <v>8783</v>
      </c>
      <c r="J391" s="47" t="s">
        <v>4902</v>
      </c>
    </row>
    <row r="392" spans="2:10" ht="14.5">
      <c r="B392" s="47" t="s">
        <v>4909</v>
      </c>
      <c r="C392" s="47" t="s">
        <v>64</v>
      </c>
      <c r="D392" s="47" t="s">
        <v>9237</v>
      </c>
      <c r="E392" s="47" t="s">
        <v>4908</v>
      </c>
      <c r="F392" s="47" t="s">
        <v>8781</v>
      </c>
      <c r="G392" s="363">
        <v>46258</v>
      </c>
      <c r="H392" s="47" t="s">
        <v>8782</v>
      </c>
      <c r="I392" s="47" t="s">
        <v>8783</v>
      </c>
      <c r="J392" s="47" t="s">
        <v>4908</v>
      </c>
    </row>
    <row r="393" spans="2:10" ht="14.5">
      <c r="B393" s="47" t="s">
        <v>5011</v>
      </c>
      <c r="C393" s="47" t="s">
        <v>8779</v>
      </c>
      <c r="D393" s="47" t="s">
        <v>9238</v>
      </c>
      <c r="E393" s="47" t="s">
        <v>5010</v>
      </c>
      <c r="F393" s="47" t="s">
        <v>8781</v>
      </c>
      <c r="G393" s="363">
        <v>46238</v>
      </c>
      <c r="H393" s="47" t="s">
        <v>8782</v>
      </c>
      <c r="I393" s="47" t="s">
        <v>8783</v>
      </c>
      <c r="J393" s="47" t="s">
        <v>5010</v>
      </c>
    </row>
    <row r="394" spans="2:10" ht="14.5">
      <c r="B394" s="47" t="s">
        <v>9239</v>
      </c>
      <c r="C394" s="47" t="s">
        <v>64</v>
      </c>
      <c r="D394" s="47" t="s">
        <v>9165</v>
      </c>
      <c r="E394" s="47"/>
      <c r="F394" s="47" t="s">
        <v>8781</v>
      </c>
      <c r="G394" s="363">
        <v>46204</v>
      </c>
      <c r="H394" s="47" t="s">
        <v>8930</v>
      </c>
      <c r="I394" s="47" t="s">
        <v>8783</v>
      </c>
      <c r="J394" s="47" t="s">
        <v>9240</v>
      </c>
    </row>
    <row r="395" spans="2:10" ht="14.5">
      <c r="B395" s="47" t="s">
        <v>9241</v>
      </c>
      <c r="C395" s="47" t="s">
        <v>64</v>
      </c>
      <c r="D395" s="47" t="s">
        <v>9167</v>
      </c>
      <c r="E395" s="47"/>
      <c r="F395" s="47" t="s">
        <v>8781</v>
      </c>
      <c r="G395" s="363">
        <v>46204</v>
      </c>
      <c r="H395" s="47" t="s">
        <v>8930</v>
      </c>
      <c r="I395" s="47" t="s">
        <v>8783</v>
      </c>
      <c r="J395" s="47" t="s">
        <v>9242</v>
      </c>
    </row>
    <row r="396" spans="2:10" ht="14.5">
      <c r="B396" s="47" t="s">
        <v>9243</v>
      </c>
      <c r="C396" s="47" t="s">
        <v>64</v>
      </c>
      <c r="D396" s="47" t="s">
        <v>9169</v>
      </c>
      <c r="E396" s="47"/>
      <c r="F396" s="47" t="s">
        <v>8781</v>
      </c>
      <c r="G396" s="363">
        <v>46204</v>
      </c>
      <c r="H396" s="47" t="s">
        <v>8930</v>
      </c>
      <c r="I396" s="47" t="s">
        <v>8783</v>
      </c>
      <c r="J396" s="47" t="s">
        <v>9244</v>
      </c>
    </row>
    <row r="397" spans="2:10" ht="14.5">
      <c r="B397" s="47" t="s">
        <v>5052</v>
      </c>
      <c r="C397" s="47" t="s">
        <v>8779</v>
      </c>
      <c r="D397" s="47" t="s">
        <v>9245</v>
      </c>
      <c r="E397" s="47" t="s">
        <v>5049</v>
      </c>
      <c r="F397" s="47" t="s">
        <v>8781</v>
      </c>
      <c r="G397" s="363">
        <v>46232</v>
      </c>
      <c r="H397" s="47" t="s">
        <v>8782</v>
      </c>
      <c r="I397" s="47" t="s">
        <v>8783</v>
      </c>
      <c r="J397" s="47" t="s">
        <v>5049</v>
      </c>
    </row>
    <row r="398" spans="2:10" ht="14.5">
      <c r="B398" s="47" t="s">
        <v>5152</v>
      </c>
      <c r="C398" s="47" t="s">
        <v>64</v>
      </c>
      <c r="D398" s="47" t="s">
        <v>9246</v>
      </c>
      <c r="E398" s="47" t="s">
        <v>5151</v>
      </c>
      <c r="F398" s="47" t="s">
        <v>8781</v>
      </c>
      <c r="G398" s="363">
        <v>46286</v>
      </c>
      <c r="H398" s="47" t="s">
        <v>8787</v>
      </c>
      <c r="I398" s="47" t="s">
        <v>8783</v>
      </c>
      <c r="J398" s="47" t="s">
        <v>5151</v>
      </c>
    </row>
    <row r="399" spans="2:10" ht="14.5">
      <c r="B399" s="47" t="s">
        <v>5148</v>
      </c>
      <c r="C399" s="47" t="s">
        <v>64</v>
      </c>
      <c r="D399" s="47" t="s">
        <v>9247</v>
      </c>
      <c r="E399" s="47" t="s">
        <v>5146</v>
      </c>
      <c r="F399" s="47" t="s">
        <v>8781</v>
      </c>
      <c r="G399" s="363">
        <v>46267</v>
      </c>
      <c r="H399" s="47" t="s">
        <v>8782</v>
      </c>
      <c r="I399" s="47" t="s">
        <v>8783</v>
      </c>
      <c r="J399" s="47" t="s">
        <v>5146</v>
      </c>
    </row>
    <row r="400" spans="2:10" ht="14.5">
      <c r="B400" s="47" t="s">
        <v>5143</v>
      </c>
      <c r="C400" s="47" t="s">
        <v>64</v>
      </c>
      <c r="D400" s="47" t="s">
        <v>9248</v>
      </c>
      <c r="E400" s="47" t="s">
        <v>5142</v>
      </c>
      <c r="F400" s="47" t="s">
        <v>8781</v>
      </c>
      <c r="G400" s="363">
        <v>46289</v>
      </c>
      <c r="H400" s="47" t="s">
        <v>8787</v>
      </c>
      <c r="I400" s="47" t="s">
        <v>8783</v>
      </c>
      <c r="J400" s="47" t="s">
        <v>5142</v>
      </c>
    </row>
    <row r="401" spans="2:10" ht="14.5">
      <c r="B401" s="47" t="s">
        <v>5139</v>
      </c>
      <c r="C401" s="47" t="s">
        <v>64</v>
      </c>
      <c r="D401" s="47" t="s">
        <v>9249</v>
      </c>
      <c r="E401" s="47" t="s">
        <v>5138</v>
      </c>
      <c r="F401" s="47" t="s">
        <v>8781</v>
      </c>
      <c r="G401" s="363">
        <v>46290</v>
      </c>
      <c r="H401" s="47" t="s">
        <v>8787</v>
      </c>
      <c r="I401" s="47" t="s">
        <v>8783</v>
      </c>
      <c r="J401" s="47" t="s">
        <v>5138</v>
      </c>
    </row>
    <row r="402" spans="2:10" ht="14.5">
      <c r="B402" s="47" t="s">
        <v>4931</v>
      </c>
      <c r="C402" s="47" t="s">
        <v>64</v>
      </c>
      <c r="D402" s="47" t="s">
        <v>9250</v>
      </c>
      <c r="E402" s="47" t="s">
        <v>4929</v>
      </c>
      <c r="F402" s="47" t="s">
        <v>8781</v>
      </c>
      <c r="G402" s="363">
        <v>46245</v>
      </c>
      <c r="H402" s="47" t="s">
        <v>8782</v>
      </c>
      <c r="I402" s="47" t="s">
        <v>8783</v>
      </c>
      <c r="J402" s="47" t="s">
        <v>4929</v>
      </c>
    </row>
    <row r="403" spans="2:10" ht="14.5">
      <c r="B403" s="47" t="s">
        <v>5135</v>
      </c>
      <c r="C403" s="47" t="s">
        <v>64</v>
      </c>
      <c r="D403" s="47" t="s">
        <v>9251</v>
      </c>
      <c r="E403" s="47" t="s">
        <v>5133</v>
      </c>
      <c r="F403" s="47" t="s">
        <v>8781</v>
      </c>
      <c r="G403" s="363">
        <v>46259</v>
      </c>
      <c r="H403" s="47" t="s">
        <v>8782</v>
      </c>
      <c r="I403" s="47" t="s">
        <v>8783</v>
      </c>
      <c r="J403" s="47" t="s">
        <v>5133</v>
      </c>
    </row>
    <row r="404" spans="2:10" ht="14.5">
      <c r="B404" s="47" t="s">
        <v>4981</v>
      </c>
      <c r="C404" s="47" t="s">
        <v>64</v>
      </c>
      <c r="D404" s="47" t="s">
        <v>9252</v>
      </c>
      <c r="E404" s="47" t="s">
        <v>4980</v>
      </c>
      <c r="F404" s="47" t="s">
        <v>8781</v>
      </c>
      <c r="G404" s="363">
        <v>46265</v>
      </c>
      <c r="H404" s="47" t="s">
        <v>8782</v>
      </c>
      <c r="I404" s="47" t="s">
        <v>8783</v>
      </c>
      <c r="J404" s="47" t="s">
        <v>4980</v>
      </c>
    </row>
    <row r="405" spans="2:10" ht="14.5">
      <c r="B405" s="47" t="s">
        <v>5002</v>
      </c>
      <c r="C405" s="47" t="s">
        <v>64</v>
      </c>
      <c r="D405" s="47" t="s">
        <v>9253</v>
      </c>
      <c r="E405" s="47" t="s">
        <v>5001</v>
      </c>
      <c r="F405" s="47" t="s">
        <v>8781</v>
      </c>
      <c r="G405" s="363">
        <v>46273</v>
      </c>
      <c r="H405" s="47" t="s">
        <v>8787</v>
      </c>
      <c r="I405" s="47" t="s">
        <v>8783</v>
      </c>
      <c r="J405" s="47" t="s">
        <v>5001</v>
      </c>
    </row>
    <row r="406" spans="2:10" ht="14.5">
      <c r="B406" s="47" t="s">
        <v>4987</v>
      </c>
      <c r="C406" s="47" t="s">
        <v>64</v>
      </c>
      <c r="D406" s="47" t="s">
        <v>9254</v>
      </c>
      <c r="E406" s="47" t="s">
        <v>4985</v>
      </c>
      <c r="F406" s="47" t="s">
        <v>8781</v>
      </c>
      <c r="G406" s="363">
        <v>46265</v>
      </c>
      <c r="H406" s="47" t="s">
        <v>8782</v>
      </c>
      <c r="I406" s="47" t="s">
        <v>8783</v>
      </c>
      <c r="J406" s="47" t="s">
        <v>4985</v>
      </c>
    </row>
    <row r="407" spans="2:10" ht="14.5">
      <c r="B407" s="47" t="s">
        <v>5007</v>
      </c>
      <c r="C407" s="47" t="s">
        <v>64</v>
      </c>
      <c r="D407" s="47" t="s">
        <v>9255</v>
      </c>
      <c r="E407" s="47" t="s">
        <v>5006</v>
      </c>
      <c r="F407" s="47" t="s">
        <v>8781</v>
      </c>
      <c r="G407" s="363">
        <v>46283</v>
      </c>
      <c r="H407" s="47" t="s">
        <v>8787</v>
      </c>
      <c r="I407" s="47" t="s">
        <v>8783</v>
      </c>
      <c r="J407" s="47" t="s">
        <v>5006</v>
      </c>
    </row>
    <row r="408" spans="2:10" ht="14.5">
      <c r="B408" s="47" t="s">
        <v>9256</v>
      </c>
      <c r="C408" s="47" t="s">
        <v>8779</v>
      </c>
      <c r="D408" s="47" t="s">
        <v>9092</v>
      </c>
      <c r="E408" s="47" t="s">
        <v>5026</v>
      </c>
      <c r="F408" s="47" t="s">
        <v>8781</v>
      </c>
      <c r="G408" s="363">
        <v>46248</v>
      </c>
      <c r="H408" s="47" t="s">
        <v>8782</v>
      </c>
      <c r="I408" s="47" t="s">
        <v>8783</v>
      </c>
      <c r="J408" s="47" t="s">
        <v>5026</v>
      </c>
    </row>
    <row r="409" spans="2:10" ht="14.5">
      <c r="B409" s="47" t="s">
        <v>5060</v>
      </c>
      <c r="C409" s="47" t="s">
        <v>8779</v>
      </c>
      <c r="D409" s="47" t="s">
        <v>9257</v>
      </c>
      <c r="E409" s="47" t="s">
        <v>5058</v>
      </c>
      <c r="F409" s="47" t="s">
        <v>8781</v>
      </c>
      <c r="G409" s="363">
        <v>46237</v>
      </c>
      <c r="H409" s="47" t="s">
        <v>8782</v>
      </c>
      <c r="I409" s="47" t="s">
        <v>8783</v>
      </c>
      <c r="J409" s="47" t="s">
        <v>5058</v>
      </c>
    </row>
    <row r="410" spans="2:10" ht="14.5">
      <c r="B410" s="47" t="s">
        <v>5057</v>
      </c>
      <c r="C410" s="47" t="s">
        <v>8779</v>
      </c>
      <c r="D410" s="47" t="s">
        <v>9258</v>
      </c>
      <c r="E410" s="47" t="s">
        <v>5055</v>
      </c>
      <c r="F410" s="47" t="s">
        <v>8781</v>
      </c>
      <c r="G410" s="363">
        <v>46232</v>
      </c>
      <c r="H410" s="47" t="s">
        <v>8782</v>
      </c>
      <c r="I410" s="47" t="s">
        <v>8783</v>
      </c>
      <c r="J410" s="47" t="s">
        <v>5055</v>
      </c>
    </row>
    <row r="411" spans="2:10" ht="14.5">
      <c r="B411" s="47" t="s">
        <v>5068</v>
      </c>
      <c r="C411" s="47" t="s">
        <v>8779</v>
      </c>
      <c r="D411" s="47" t="s">
        <v>9259</v>
      </c>
      <c r="E411" s="47" t="s">
        <v>5064</v>
      </c>
      <c r="F411" s="47" t="s">
        <v>8781</v>
      </c>
      <c r="G411" s="363">
        <v>46232</v>
      </c>
      <c r="H411" s="47" t="s">
        <v>8782</v>
      </c>
      <c r="I411" s="47" t="s">
        <v>8783</v>
      </c>
      <c r="J411" s="47" t="s">
        <v>5064</v>
      </c>
    </row>
    <row r="412" spans="2:10" ht="14.5">
      <c r="B412" s="47" t="s">
        <v>5073</v>
      </c>
      <c r="C412" s="47" t="s">
        <v>8779</v>
      </c>
      <c r="D412" s="47" t="s">
        <v>9260</v>
      </c>
      <c r="E412" s="47" t="s">
        <v>5072</v>
      </c>
      <c r="F412" s="47" t="s">
        <v>8781</v>
      </c>
      <c r="G412" s="363">
        <v>46232</v>
      </c>
      <c r="H412" s="47" t="s">
        <v>8782</v>
      </c>
      <c r="I412" s="47" t="s">
        <v>8783</v>
      </c>
      <c r="J412" s="47" t="s">
        <v>5072</v>
      </c>
    </row>
    <row r="413" spans="2:10" ht="14.5">
      <c r="B413" s="47" t="s">
        <v>5076</v>
      </c>
      <c r="C413" s="47" t="s">
        <v>8779</v>
      </c>
      <c r="D413" s="47" t="s">
        <v>9261</v>
      </c>
      <c r="E413" s="47" t="s">
        <v>5074</v>
      </c>
      <c r="F413" s="47" t="s">
        <v>8781</v>
      </c>
      <c r="G413" s="363">
        <v>46232</v>
      </c>
      <c r="H413" s="47" t="s">
        <v>8782</v>
      </c>
      <c r="I413" s="47" t="s">
        <v>8783</v>
      </c>
      <c r="J413" s="47" t="s">
        <v>5074</v>
      </c>
    </row>
    <row r="414" spans="2:10" ht="14.5">
      <c r="B414" s="47" t="s">
        <v>5081</v>
      </c>
      <c r="C414" s="47" t="s">
        <v>8779</v>
      </c>
      <c r="D414" s="47" t="s">
        <v>9262</v>
      </c>
      <c r="E414" s="47" t="s">
        <v>5080</v>
      </c>
      <c r="F414" s="47" t="s">
        <v>8781</v>
      </c>
      <c r="G414" s="363">
        <v>46244</v>
      </c>
      <c r="H414" s="47" t="s">
        <v>8782</v>
      </c>
      <c r="I414" s="47" t="s">
        <v>8783</v>
      </c>
      <c r="J414" s="47" t="s">
        <v>5080</v>
      </c>
    </row>
    <row r="415" spans="2:10" ht="14.5">
      <c r="B415" s="47" t="s">
        <v>5086</v>
      </c>
      <c r="C415" s="47" t="s">
        <v>64</v>
      </c>
      <c r="D415" s="47" t="s">
        <v>9263</v>
      </c>
      <c r="E415" s="47" t="s">
        <v>5085</v>
      </c>
      <c r="F415" s="47" t="s">
        <v>8781</v>
      </c>
      <c r="G415" s="363">
        <v>46254</v>
      </c>
      <c r="H415" s="47" t="s">
        <v>8782</v>
      </c>
      <c r="I415" s="47" t="s">
        <v>8783</v>
      </c>
      <c r="J415" s="47" t="s">
        <v>5085</v>
      </c>
    </row>
    <row r="416" spans="2:10" ht="14.5">
      <c r="B416" s="47" t="s">
        <v>5092</v>
      </c>
      <c r="C416" s="47" t="s">
        <v>64</v>
      </c>
      <c r="D416" s="47" t="s">
        <v>9264</v>
      </c>
      <c r="E416" s="47" t="s">
        <v>5090</v>
      </c>
      <c r="F416" s="47" t="s">
        <v>8781</v>
      </c>
      <c r="G416" s="363">
        <v>46254</v>
      </c>
      <c r="H416" s="47" t="s">
        <v>8782</v>
      </c>
      <c r="I416" s="47" t="s">
        <v>8783</v>
      </c>
      <c r="J416" s="47" t="s">
        <v>5090</v>
      </c>
    </row>
    <row r="417" spans="2:10" ht="14.5">
      <c r="B417" s="47" t="s">
        <v>5094</v>
      </c>
      <c r="C417" s="47" t="s">
        <v>64</v>
      </c>
      <c r="D417" s="47" t="s">
        <v>9265</v>
      </c>
      <c r="E417" s="47" t="s">
        <v>5093</v>
      </c>
      <c r="F417" s="47" t="s">
        <v>8781</v>
      </c>
      <c r="G417" s="363">
        <v>46272</v>
      </c>
      <c r="H417" s="47" t="s">
        <v>8782</v>
      </c>
      <c r="I417" s="47" t="s">
        <v>8783</v>
      </c>
      <c r="J417" s="47" t="s">
        <v>5093</v>
      </c>
    </row>
    <row r="418" spans="2:10" ht="14.5">
      <c r="B418" s="47" t="s">
        <v>5117</v>
      </c>
      <c r="C418" s="47" t="s">
        <v>64</v>
      </c>
      <c r="D418" s="47" t="s">
        <v>9266</v>
      </c>
      <c r="E418" s="47" t="s">
        <v>5115</v>
      </c>
      <c r="F418" s="47" t="s">
        <v>8781</v>
      </c>
      <c r="G418" s="363">
        <v>46272</v>
      </c>
      <c r="H418" s="47" t="s">
        <v>8782</v>
      </c>
      <c r="I418" s="47" t="s">
        <v>8783</v>
      </c>
      <c r="J418" s="47" t="s">
        <v>5115</v>
      </c>
    </row>
    <row r="419" spans="2:10" ht="14.5">
      <c r="B419" s="47" t="s">
        <v>5129</v>
      </c>
      <c r="C419" s="47" t="s">
        <v>64</v>
      </c>
      <c r="D419" s="47" t="s">
        <v>9267</v>
      </c>
      <c r="E419" s="47" t="s">
        <v>5128</v>
      </c>
      <c r="F419" s="47" t="s">
        <v>8781</v>
      </c>
      <c r="G419" s="363">
        <v>46276</v>
      </c>
      <c r="H419" s="47" t="s">
        <v>8782</v>
      </c>
      <c r="I419" s="47" t="s">
        <v>8783</v>
      </c>
      <c r="J419" s="47" t="s">
        <v>5128</v>
      </c>
    </row>
    <row r="420" spans="2:10" ht="14.5">
      <c r="B420" s="47" t="s">
        <v>8062</v>
      </c>
      <c r="C420" s="47" t="s">
        <v>64</v>
      </c>
      <c r="D420" s="47" t="s">
        <v>9268</v>
      </c>
      <c r="E420" s="47" t="s">
        <v>9269</v>
      </c>
      <c r="F420" s="47" t="s">
        <v>8829</v>
      </c>
      <c r="G420" s="363">
        <v>46230</v>
      </c>
      <c r="H420" s="47" t="s">
        <v>8782</v>
      </c>
      <c r="I420" s="47" t="s">
        <v>8783</v>
      </c>
      <c r="J420" s="47" t="s">
        <v>9270</v>
      </c>
    </row>
    <row r="421" spans="2:10" ht="14.5">
      <c r="B421" s="47" t="s">
        <v>8072</v>
      </c>
      <c r="C421" s="47" t="s">
        <v>64</v>
      </c>
      <c r="D421" s="47" t="s">
        <v>9271</v>
      </c>
      <c r="E421" s="47" t="s">
        <v>9272</v>
      </c>
      <c r="F421" s="47" t="s">
        <v>8829</v>
      </c>
      <c r="G421" s="363">
        <v>46237</v>
      </c>
      <c r="H421" s="47" t="s">
        <v>8782</v>
      </c>
      <c r="I421" s="47" t="s">
        <v>8783</v>
      </c>
      <c r="J421" s="47" t="s">
        <v>8070</v>
      </c>
    </row>
    <row r="422" spans="2:10" ht="14.5">
      <c r="B422" s="47" t="s">
        <v>8076</v>
      </c>
      <c r="C422" s="47" t="s">
        <v>64</v>
      </c>
      <c r="D422" s="47" t="s">
        <v>9273</v>
      </c>
      <c r="E422" s="47" t="s">
        <v>9274</v>
      </c>
      <c r="F422" s="47" t="s">
        <v>8829</v>
      </c>
      <c r="G422" s="363">
        <v>46247</v>
      </c>
      <c r="H422" s="47" t="s">
        <v>8782</v>
      </c>
      <c r="I422" s="47" t="s">
        <v>8783</v>
      </c>
      <c r="J422" s="47" t="s">
        <v>8075</v>
      </c>
    </row>
    <row r="423" spans="2:10" ht="14.5">
      <c r="B423" s="47" t="s">
        <v>8080</v>
      </c>
      <c r="C423" s="47" t="s">
        <v>64</v>
      </c>
      <c r="D423" s="47" t="s">
        <v>9275</v>
      </c>
      <c r="E423" s="47" t="s">
        <v>9276</v>
      </c>
      <c r="F423" s="47" t="s">
        <v>8829</v>
      </c>
      <c r="G423" s="363">
        <v>46244</v>
      </c>
      <c r="H423" s="47" t="s">
        <v>8782</v>
      </c>
      <c r="I423" s="47" t="s">
        <v>8783</v>
      </c>
      <c r="J423" s="47" t="s">
        <v>9277</v>
      </c>
    </row>
    <row r="424" spans="2:10" ht="14.5">
      <c r="B424" s="47" t="s">
        <v>8087</v>
      </c>
      <c r="C424" s="47" t="s">
        <v>64</v>
      </c>
      <c r="D424" s="47" t="s">
        <v>9278</v>
      </c>
      <c r="E424" s="47" t="s">
        <v>9279</v>
      </c>
      <c r="F424" s="47" t="s">
        <v>8829</v>
      </c>
      <c r="G424" s="363">
        <v>46244</v>
      </c>
      <c r="H424" s="47" t="s">
        <v>8782</v>
      </c>
      <c r="I424" s="47" t="s">
        <v>8783</v>
      </c>
      <c r="J424" s="47" t="s">
        <v>9280</v>
      </c>
    </row>
    <row r="425" spans="2:10" ht="14.5">
      <c r="B425" s="47" t="s">
        <v>4955</v>
      </c>
      <c r="C425" s="47" t="s">
        <v>8779</v>
      </c>
      <c r="D425" s="47" t="s">
        <v>9281</v>
      </c>
      <c r="E425" s="47" t="s">
        <v>4954</v>
      </c>
      <c r="F425" s="47" t="s">
        <v>8781</v>
      </c>
      <c r="G425" s="363">
        <v>46225</v>
      </c>
      <c r="H425" s="47" t="s">
        <v>8782</v>
      </c>
      <c r="I425" s="47" t="s">
        <v>8783</v>
      </c>
      <c r="J425" s="47" t="s">
        <v>4954</v>
      </c>
    </row>
    <row r="426" spans="2:10" ht="14.5">
      <c r="B426" s="47" t="s">
        <v>4959</v>
      </c>
      <c r="C426" s="47" t="s">
        <v>8779</v>
      </c>
      <c r="D426" s="47" t="s">
        <v>9282</v>
      </c>
      <c r="E426" s="47" t="s">
        <v>4958</v>
      </c>
      <c r="F426" s="47" t="s">
        <v>8781</v>
      </c>
      <c r="G426" s="363">
        <v>46225</v>
      </c>
      <c r="H426" s="47" t="s">
        <v>8782</v>
      </c>
      <c r="I426" s="47" t="s">
        <v>8783</v>
      </c>
      <c r="J426" s="47" t="s">
        <v>4958</v>
      </c>
    </row>
    <row r="427" spans="2:10" ht="14.5">
      <c r="B427" s="47" t="s">
        <v>4963</v>
      </c>
      <c r="C427" s="47" t="s">
        <v>8779</v>
      </c>
      <c r="D427" s="47" t="s">
        <v>9283</v>
      </c>
      <c r="E427" s="47" t="s">
        <v>4962</v>
      </c>
      <c r="F427" s="47" t="s">
        <v>8781</v>
      </c>
      <c r="G427" s="363">
        <v>46225</v>
      </c>
      <c r="H427" s="47" t="s">
        <v>8782</v>
      </c>
      <c r="I427" s="47" t="s">
        <v>8783</v>
      </c>
      <c r="J427" s="47" t="s">
        <v>4962</v>
      </c>
    </row>
    <row r="428" spans="2:10" ht="14.5">
      <c r="B428" s="47" t="s">
        <v>5000</v>
      </c>
      <c r="C428" s="47" t="s">
        <v>64</v>
      </c>
      <c r="D428" s="47" t="s">
        <v>9284</v>
      </c>
      <c r="E428" s="47" t="s">
        <v>4998</v>
      </c>
      <c r="F428" s="47" t="s">
        <v>8781</v>
      </c>
      <c r="G428" s="363">
        <v>46268</v>
      </c>
      <c r="H428" s="47" t="s">
        <v>8782</v>
      </c>
      <c r="I428" s="47" t="s">
        <v>8783</v>
      </c>
      <c r="J428" s="47" t="s">
        <v>4998</v>
      </c>
    </row>
    <row r="429" spans="2:10" ht="14.5">
      <c r="B429" s="47" t="s">
        <v>9285</v>
      </c>
      <c r="C429" s="47" t="s">
        <v>8779</v>
      </c>
      <c r="D429" s="47" t="s">
        <v>9090</v>
      </c>
      <c r="E429" s="47" t="s">
        <v>5031</v>
      </c>
      <c r="F429" s="47" t="s">
        <v>8781</v>
      </c>
      <c r="G429" s="363">
        <v>46255</v>
      </c>
      <c r="H429" s="47" t="s">
        <v>8782</v>
      </c>
      <c r="I429" s="47" t="s">
        <v>8783</v>
      </c>
      <c r="J429" s="47" t="s">
        <v>5031</v>
      </c>
    </row>
    <row r="430" spans="2:10" ht="14.5">
      <c r="B430" s="47" t="s">
        <v>5023</v>
      </c>
      <c r="C430" s="47" t="s">
        <v>64</v>
      </c>
      <c r="D430" s="47" t="s">
        <v>9286</v>
      </c>
      <c r="E430" s="47" t="s">
        <v>5022</v>
      </c>
      <c r="F430" s="47" t="s">
        <v>8781</v>
      </c>
      <c r="G430" s="363">
        <v>46253</v>
      </c>
      <c r="H430" s="47" t="s">
        <v>8782</v>
      </c>
      <c r="I430" s="47" t="s">
        <v>8783</v>
      </c>
      <c r="J430" s="47" t="s">
        <v>5022</v>
      </c>
    </row>
    <row r="431" spans="2:10" ht="14.5">
      <c r="B431" s="47" t="s">
        <v>5019</v>
      </c>
      <c r="C431" s="47" t="s">
        <v>8779</v>
      </c>
      <c r="D431" s="47" t="s">
        <v>9287</v>
      </c>
      <c r="E431" s="47" t="s">
        <v>5018</v>
      </c>
      <c r="F431" s="47" t="s">
        <v>8781</v>
      </c>
      <c r="G431" s="363">
        <v>46232</v>
      </c>
      <c r="H431" s="47" t="s">
        <v>8782</v>
      </c>
      <c r="I431" s="47" t="s">
        <v>8783</v>
      </c>
      <c r="J431" s="47" t="s">
        <v>5018</v>
      </c>
    </row>
    <row r="432" spans="2:10" ht="14.5">
      <c r="B432" s="47" t="s">
        <v>5015</v>
      </c>
      <c r="C432" s="47" t="s">
        <v>64</v>
      </c>
      <c r="D432" s="47" t="s">
        <v>9288</v>
      </c>
      <c r="E432" s="47" t="s">
        <v>5014</v>
      </c>
      <c r="F432" s="47" t="s">
        <v>8781</v>
      </c>
      <c r="G432" s="363">
        <v>46258</v>
      </c>
      <c r="H432" s="47" t="s">
        <v>8782</v>
      </c>
      <c r="I432" s="47" t="s">
        <v>8783</v>
      </c>
      <c r="J432" s="47" t="s">
        <v>5014</v>
      </c>
    </row>
    <row r="433" spans="2:10" ht="14.5">
      <c r="B433" s="47" t="s">
        <v>4755</v>
      </c>
      <c r="C433" s="47" t="s">
        <v>64</v>
      </c>
      <c r="D433" s="47" t="s">
        <v>9289</v>
      </c>
      <c r="E433" s="47" t="s">
        <v>4754</v>
      </c>
      <c r="F433" s="47" t="s">
        <v>8781</v>
      </c>
      <c r="G433" s="363">
        <v>46267</v>
      </c>
      <c r="H433" s="47" t="s">
        <v>8782</v>
      </c>
      <c r="I433" s="47" t="s">
        <v>8783</v>
      </c>
      <c r="J433" s="47" t="s">
        <v>4754</v>
      </c>
    </row>
    <row r="434" spans="2:10" ht="14.5">
      <c r="B434" s="47" t="s">
        <v>4936</v>
      </c>
      <c r="C434" s="47" t="s">
        <v>64</v>
      </c>
      <c r="D434" s="47" t="s">
        <v>9290</v>
      </c>
      <c r="E434" s="47" t="s">
        <v>4935</v>
      </c>
      <c r="F434" s="47" t="s">
        <v>8781</v>
      </c>
      <c r="G434" s="363">
        <v>46245</v>
      </c>
      <c r="H434" s="47" t="s">
        <v>8782</v>
      </c>
      <c r="I434" s="47" t="s">
        <v>8783</v>
      </c>
      <c r="J434" s="47" t="s">
        <v>4935</v>
      </c>
    </row>
    <row r="435" spans="2:10" ht="14.5">
      <c r="B435" s="47" t="s">
        <v>4945</v>
      </c>
      <c r="C435" s="47" t="s">
        <v>8779</v>
      </c>
      <c r="D435" s="47" t="s">
        <v>9291</v>
      </c>
      <c r="E435" s="47" t="s">
        <v>4944</v>
      </c>
      <c r="F435" s="47" t="s">
        <v>8781</v>
      </c>
      <c r="G435" s="363">
        <v>46237</v>
      </c>
      <c r="H435" s="47" t="s">
        <v>8782</v>
      </c>
      <c r="I435" s="47" t="s">
        <v>8783</v>
      </c>
      <c r="J435" s="47" t="s">
        <v>4944</v>
      </c>
    </row>
    <row r="436" spans="2:10" ht="14.5">
      <c r="B436" s="47" t="s">
        <v>4940</v>
      </c>
      <c r="C436" s="47" t="s">
        <v>8779</v>
      </c>
      <c r="D436" s="47" t="s">
        <v>9292</v>
      </c>
      <c r="E436" s="47" t="s">
        <v>4939</v>
      </c>
      <c r="F436" s="47" t="s">
        <v>8781</v>
      </c>
      <c r="G436" s="363">
        <v>46226</v>
      </c>
      <c r="H436" s="47" t="s">
        <v>8782</v>
      </c>
      <c r="I436" s="47" t="s">
        <v>8783</v>
      </c>
      <c r="J436" s="47" t="s">
        <v>4939</v>
      </c>
    </row>
    <row r="437" spans="2:10" ht="14.5">
      <c r="B437" s="47" t="s">
        <v>4950</v>
      </c>
      <c r="C437" s="47" t="s">
        <v>8779</v>
      </c>
      <c r="D437" s="47" t="s">
        <v>9293</v>
      </c>
      <c r="E437" s="47" t="s">
        <v>4949</v>
      </c>
      <c r="F437" s="47" t="s">
        <v>8781</v>
      </c>
      <c r="G437" s="363">
        <v>46225</v>
      </c>
      <c r="H437" s="47" t="s">
        <v>8782</v>
      </c>
      <c r="I437" s="47" t="s">
        <v>8783</v>
      </c>
      <c r="J437" s="47" t="s">
        <v>4949</v>
      </c>
    </row>
    <row r="438" spans="2:10" ht="14.5">
      <c r="B438" s="47" t="s">
        <v>4965</v>
      </c>
      <c r="C438" s="47" t="s">
        <v>64</v>
      </c>
      <c r="D438" s="47" t="s">
        <v>9294</v>
      </c>
      <c r="E438" s="47" t="s">
        <v>4964</v>
      </c>
      <c r="F438" s="47" t="s">
        <v>8781</v>
      </c>
      <c r="G438" s="363">
        <v>46246</v>
      </c>
      <c r="H438" s="47" t="s">
        <v>8782</v>
      </c>
      <c r="I438" s="47" t="s">
        <v>8783</v>
      </c>
      <c r="J438" s="47" t="s">
        <v>4964</v>
      </c>
    </row>
    <row r="439" spans="2:10" ht="14.5">
      <c r="B439" s="47" t="s">
        <v>9295</v>
      </c>
      <c r="C439" s="47" t="s">
        <v>64</v>
      </c>
      <c r="D439" s="47" t="s">
        <v>9083</v>
      </c>
      <c r="E439" s="47" t="s">
        <v>4969</v>
      </c>
      <c r="F439" s="47" t="s">
        <v>8781</v>
      </c>
      <c r="G439" s="363">
        <v>46246</v>
      </c>
      <c r="H439" s="47" t="s">
        <v>8930</v>
      </c>
      <c r="I439" s="47" t="s">
        <v>8783</v>
      </c>
      <c r="J439" s="47" t="s">
        <v>4969</v>
      </c>
    </row>
    <row r="440" spans="2:10" ht="14.5">
      <c r="B440" s="47" t="s">
        <v>9296</v>
      </c>
      <c r="C440" s="47" t="s">
        <v>64</v>
      </c>
      <c r="D440" s="47" t="s">
        <v>9297</v>
      </c>
      <c r="E440" s="47" t="s">
        <v>4994</v>
      </c>
      <c r="F440" s="47" t="s">
        <v>8781</v>
      </c>
      <c r="G440" s="363">
        <v>46268</v>
      </c>
      <c r="H440" s="47" t="s">
        <v>8782</v>
      </c>
      <c r="I440" s="47" t="s">
        <v>8783</v>
      </c>
      <c r="J440" s="47" t="s">
        <v>4994</v>
      </c>
    </row>
    <row r="441" spans="2:10" ht="14.5">
      <c r="B441" s="47" t="s">
        <v>4990</v>
      </c>
      <c r="C441" s="47" t="s">
        <v>64</v>
      </c>
      <c r="D441" s="47" t="s">
        <v>9298</v>
      </c>
      <c r="E441" s="47" t="s">
        <v>4988</v>
      </c>
      <c r="F441" s="47" t="s">
        <v>8781</v>
      </c>
      <c r="G441" s="363">
        <v>46268</v>
      </c>
      <c r="H441" s="47" t="s">
        <v>8782</v>
      </c>
      <c r="I441" s="47" t="s">
        <v>8783</v>
      </c>
      <c r="J441" s="47" t="s">
        <v>4988</v>
      </c>
    </row>
    <row r="442" spans="2:10" ht="14.5">
      <c r="B442" s="47" t="s">
        <v>4832</v>
      </c>
      <c r="C442" s="47" t="s">
        <v>64</v>
      </c>
      <c r="D442" s="47" t="s">
        <v>9299</v>
      </c>
      <c r="E442" s="47" t="s">
        <v>4831</v>
      </c>
      <c r="F442" s="47" t="s">
        <v>8781</v>
      </c>
      <c r="G442" s="363">
        <v>46268</v>
      </c>
      <c r="H442" s="47" t="s">
        <v>8782</v>
      </c>
      <c r="I442" s="47" t="s">
        <v>8783</v>
      </c>
      <c r="J442" s="47" t="s">
        <v>4831</v>
      </c>
    </row>
    <row r="443" spans="2:10" ht="14.5">
      <c r="B443" s="47" t="s">
        <v>4865</v>
      </c>
      <c r="C443" s="47" t="s">
        <v>8779</v>
      </c>
      <c r="D443" s="47" t="s">
        <v>9300</v>
      </c>
      <c r="E443" s="47" t="s">
        <v>4863</v>
      </c>
      <c r="F443" s="47" t="s">
        <v>8781</v>
      </c>
      <c r="G443" s="363">
        <v>46238</v>
      </c>
      <c r="H443" s="47" t="s">
        <v>8782</v>
      </c>
      <c r="I443" s="47" t="s">
        <v>8783</v>
      </c>
      <c r="J443" s="47"/>
    </row>
    <row r="444" spans="2:10" ht="14.5">
      <c r="B444" s="47" t="s">
        <v>4859</v>
      </c>
      <c r="C444" s="47" t="s">
        <v>8779</v>
      </c>
      <c r="D444" s="47" t="s">
        <v>9301</v>
      </c>
      <c r="E444" s="47" t="s">
        <v>4857</v>
      </c>
      <c r="F444" s="47" t="s">
        <v>8781</v>
      </c>
      <c r="G444" s="363">
        <v>46240</v>
      </c>
      <c r="H444" s="47" t="s">
        <v>8782</v>
      </c>
      <c r="I444" s="47" t="s">
        <v>8783</v>
      </c>
      <c r="J444" s="47" t="s">
        <v>4857</v>
      </c>
    </row>
    <row r="445" spans="2:10" ht="14.5">
      <c r="B445" s="47" t="s">
        <v>4926</v>
      </c>
      <c r="C445" s="47" t="s">
        <v>8779</v>
      </c>
      <c r="D445" s="47" t="s">
        <v>9302</v>
      </c>
      <c r="E445" s="47" t="s">
        <v>4925</v>
      </c>
      <c r="F445" s="47" t="s">
        <v>8781</v>
      </c>
      <c r="G445" s="363">
        <v>46240</v>
      </c>
      <c r="H445" s="47" t="s">
        <v>8782</v>
      </c>
      <c r="I445" s="47" t="s">
        <v>8783</v>
      </c>
      <c r="J445" s="47" t="s">
        <v>4925</v>
      </c>
    </row>
    <row r="446" spans="2:10" ht="14.5">
      <c r="B446" s="47" t="s">
        <v>4892</v>
      </c>
      <c r="C446" s="47" t="s">
        <v>8779</v>
      </c>
      <c r="D446" s="47" t="s">
        <v>9303</v>
      </c>
      <c r="E446" s="47" t="s">
        <v>4890</v>
      </c>
      <c r="F446" s="47" t="s">
        <v>8781</v>
      </c>
      <c r="G446" s="363">
        <v>46235</v>
      </c>
      <c r="H446" s="47" t="s">
        <v>8782</v>
      </c>
      <c r="I446" s="47" t="s">
        <v>8783</v>
      </c>
      <c r="J446" s="47" t="s">
        <v>4890</v>
      </c>
    </row>
    <row r="447" spans="2:10" ht="14.5">
      <c r="B447" s="47" t="s">
        <v>9304</v>
      </c>
      <c r="C447" s="47" t="s">
        <v>8779</v>
      </c>
      <c r="D447" s="47" t="s">
        <v>9081</v>
      </c>
      <c r="E447" s="47" t="s">
        <v>4853</v>
      </c>
      <c r="F447" s="47" t="s">
        <v>8781</v>
      </c>
      <c r="G447" s="363">
        <v>46218</v>
      </c>
      <c r="H447" s="47" t="s">
        <v>8930</v>
      </c>
      <c r="I447" s="47" t="s">
        <v>8783</v>
      </c>
      <c r="J447" s="47"/>
    </row>
    <row r="448" spans="2:10" ht="14.5">
      <c r="B448" s="47" t="s">
        <v>4852</v>
      </c>
      <c r="C448" s="47" t="s">
        <v>64</v>
      </c>
      <c r="D448" s="47" t="s">
        <v>9305</v>
      </c>
      <c r="E448" s="47" t="s">
        <v>4851</v>
      </c>
      <c r="F448" s="47" t="s">
        <v>8781</v>
      </c>
      <c r="G448" s="363">
        <v>46265</v>
      </c>
      <c r="H448" s="47" t="s">
        <v>8782</v>
      </c>
      <c r="I448" s="47" t="s">
        <v>8783</v>
      </c>
      <c r="J448" s="47" t="s">
        <v>4851</v>
      </c>
    </row>
    <row r="449" spans="2:10" ht="14.5">
      <c r="B449" s="47" t="s">
        <v>4848</v>
      </c>
      <c r="C449" s="47" t="s">
        <v>64</v>
      </c>
      <c r="D449" s="47" t="s">
        <v>9306</v>
      </c>
      <c r="E449" s="47" t="s">
        <v>4847</v>
      </c>
      <c r="F449" s="47" t="s">
        <v>8781</v>
      </c>
      <c r="G449" s="363">
        <v>46265</v>
      </c>
      <c r="H449" s="47" t="s">
        <v>8782</v>
      </c>
      <c r="I449" s="47" t="s">
        <v>8783</v>
      </c>
      <c r="J449" s="47" t="s">
        <v>4847</v>
      </c>
    </row>
    <row r="450" spans="2:10" ht="14.5">
      <c r="B450" s="47" t="s">
        <v>4714</v>
      </c>
      <c r="C450" s="47" t="s">
        <v>64</v>
      </c>
      <c r="D450" s="47" t="s">
        <v>9307</v>
      </c>
      <c r="E450" s="47" t="s">
        <v>4713</v>
      </c>
      <c r="F450" s="47" t="s">
        <v>8781</v>
      </c>
      <c r="G450" s="363">
        <v>46232</v>
      </c>
      <c r="H450" s="47" t="s">
        <v>8782</v>
      </c>
      <c r="I450" s="47" t="s">
        <v>8783</v>
      </c>
      <c r="J450" s="47" t="s">
        <v>4713</v>
      </c>
    </row>
    <row r="451" spans="2:10" ht="14.5">
      <c r="B451" s="47" t="s">
        <v>4716</v>
      </c>
      <c r="C451" s="47" t="s">
        <v>8779</v>
      </c>
      <c r="D451" s="47" t="s">
        <v>9308</v>
      </c>
      <c r="E451" s="47" t="s">
        <v>4715</v>
      </c>
      <c r="F451" s="47" t="s">
        <v>8781</v>
      </c>
      <c r="G451" s="363">
        <v>46214</v>
      </c>
      <c r="H451" s="47" t="s">
        <v>8782</v>
      </c>
      <c r="I451" s="47" t="s">
        <v>8783</v>
      </c>
      <c r="J451" s="47" t="s">
        <v>4715</v>
      </c>
    </row>
    <row r="452" spans="2:10" ht="14.5">
      <c r="B452" s="47" t="s">
        <v>4726</v>
      </c>
      <c r="C452" s="47" t="s">
        <v>64</v>
      </c>
      <c r="D452" s="47" t="s">
        <v>9309</v>
      </c>
      <c r="E452" s="47" t="s">
        <v>4725</v>
      </c>
      <c r="F452" s="47" t="s">
        <v>8781</v>
      </c>
      <c r="G452" s="363">
        <v>46241</v>
      </c>
      <c r="H452" s="47" t="s">
        <v>8782</v>
      </c>
      <c r="I452" s="47" t="s">
        <v>8783</v>
      </c>
      <c r="J452" s="47" t="s">
        <v>4725</v>
      </c>
    </row>
    <row r="453" spans="2:10" ht="14.5">
      <c r="B453" s="47" t="s">
        <v>4731</v>
      </c>
      <c r="C453" s="47" t="s">
        <v>64</v>
      </c>
      <c r="D453" s="47" t="s">
        <v>9310</v>
      </c>
      <c r="E453" s="47" t="s">
        <v>4730</v>
      </c>
      <c r="F453" s="47" t="s">
        <v>8781</v>
      </c>
      <c r="G453" s="363">
        <v>46241</v>
      </c>
      <c r="H453" s="47" t="s">
        <v>8782</v>
      </c>
      <c r="I453" s="47" t="s">
        <v>8783</v>
      </c>
      <c r="J453" s="47" t="s">
        <v>4730</v>
      </c>
    </row>
    <row r="454" spans="2:10" ht="14.5">
      <c r="B454" s="47" t="s">
        <v>4782</v>
      </c>
      <c r="C454" s="47" t="s">
        <v>8779</v>
      </c>
      <c r="D454" s="47" t="s">
        <v>9311</v>
      </c>
      <c r="E454" s="47" t="s">
        <v>4779</v>
      </c>
      <c r="F454" s="47" t="s">
        <v>8781</v>
      </c>
      <c r="G454" s="363">
        <v>46237</v>
      </c>
      <c r="H454" s="47" t="s">
        <v>8782</v>
      </c>
      <c r="I454" s="47" t="s">
        <v>8783</v>
      </c>
      <c r="J454" s="47" t="s">
        <v>4779</v>
      </c>
    </row>
    <row r="455" spans="2:10" ht="14.5">
      <c r="B455" s="47" t="s">
        <v>4733</v>
      </c>
      <c r="C455" s="47" t="s">
        <v>64</v>
      </c>
      <c r="D455" s="47" t="s">
        <v>9312</v>
      </c>
      <c r="E455" s="47" t="s">
        <v>4732</v>
      </c>
      <c r="F455" s="47" t="s">
        <v>8781</v>
      </c>
      <c r="G455" s="363">
        <v>46248</v>
      </c>
      <c r="H455" s="47" t="s">
        <v>8782</v>
      </c>
      <c r="I455" s="47" t="s">
        <v>8783</v>
      </c>
      <c r="J455" s="47" t="s">
        <v>4732</v>
      </c>
    </row>
    <row r="456" spans="2:10" ht="14.5">
      <c r="B456" s="47" t="s">
        <v>4744</v>
      </c>
      <c r="C456" s="47" t="s">
        <v>64</v>
      </c>
      <c r="D456" s="47" t="s">
        <v>9313</v>
      </c>
      <c r="E456" s="47" t="s">
        <v>4742</v>
      </c>
      <c r="F456" s="47" t="s">
        <v>8781</v>
      </c>
      <c r="G456" s="363">
        <v>46246</v>
      </c>
      <c r="H456" s="47" t="s">
        <v>8782</v>
      </c>
      <c r="I456" s="47" t="s">
        <v>8783</v>
      </c>
      <c r="J456" s="47" t="s">
        <v>4742</v>
      </c>
    </row>
    <row r="457" spans="2:10" ht="14.5">
      <c r="B457" s="47" t="s">
        <v>4796</v>
      </c>
      <c r="C457" s="47" t="s">
        <v>64</v>
      </c>
      <c r="D457" s="47" t="s">
        <v>9314</v>
      </c>
      <c r="E457" s="47" t="s">
        <v>4794</v>
      </c>
      <c r="F457" s="47" t="s">
        <v>8781</v>
      </c>
      <c r="G457" s="363">
        <v>46238</v>
      </c>
      <c r="H457" s="47" t="s">
        <v>8782</v>
      </c>
      <c r="I457" s="47" t="s">
        <v>8783</v>
      </c>
      <c r="J457" s="47" t="s">
        <v>4794</v>
      </c>
    </row>
    <row r="458" spans="2:10" ht="14.5">
      <c r="B458" s="47" t="s">
        <v>4809</v>
      </c>
      <c r="C458" s="47" t="s">
        <v>8779</v>
      </c>
      <c r="D458" s="47" t="s">
        <v>9315</v>
      </c>
      <c r="E458" s="47" t="s">
        <v>4808</v>
      </c>
      <c r="F458" s="47" t="s">
        <v>8781</v>
      </c>
      <c r="G458" s="363">
        <v>46233</v>
      </c>
      <c r="H458" s="47" t="s">
        <v>8782</v>
      </c>
      <c r="I458" s="47" t="s">
        <v>8783</v>
      </c>
      <c r="J458" s="47" t="s">
        <v>4808</v>
      </c>
    </row>
    <row r="459" spans="2:10" ht="14.5">
      <c r="B459" s="47" t="s">
        <v>4801</v>
      </c>
      <c r="C459" s="47" t="s">
        <v>8779</v>
      </c>
      <c r="D459" s="47" t="s">
        <v>9316</v>
      </c>
      <c r="E459" s="47" t="s">
        <v>4800</v>
      </c>
      <c r="F459" s="47" t="s">
        <v>8781</v>
      </c>
      <c r="G459" s="363">
        <v>46217</v>
      </c>
      <c r="H459" s="47" t="s">
        <v>8782</v>
      </c>
      <c r="I459" s="47" t="s">
        <v>8783</v>
      </c>
      <c r="J459" s="47" t="s">
        <v>4800</v>
      </c>
    </row>
    <row r="460" spans="2:10" ht="14.5">
      <c r="B460" s="47" t="s">
        <v>4805</v>
      </c>
      <c r="C460" s="47" t="s">
        <v>8779</v>
      </c>
      <c r="D460" s="47" t="s">
        <v>9317</v>
      </c>
      <c r="E460" s="47" t="s">
        <v>4804</v>
      </c>
      <c r="F460" s="47" t="s">
        <v>8781</v>
      </c>
      <c r="G460" s="363">
        <v>46217</v>
      </c>
      <c r="H460" s="47" t="s">
        <v>8782</v>
      </c>
      <c r="I460" s="47" t="s">
        <v>8783</v>
      </c>
      <c r="J460" s="47" t="s">
        <v>4804</v>
      </c>
    </row>
    <row r="461" spans="2:10" ht="14.5">
      <c r="B461" s="47" t="s">
        <v>4899</v>
      </c>
      <c r="C461" s="47" t="s">
        <v>8779</v>
      </c>
      <c r="D461" s="47" t="s">
        <v>9318</v>
      </c>
      <c r="E461" s="47" t="s">
        <v>4896</v>
      </c>
      <c r="F461" s="47" t="s">
        <v>8781</v>
      </c>
      <c r="G461" s="363">
        <v>46226</v>
      </c>
      <c r="H461" s="47" t="s">
        <v>8782</v>
      </c>
      <c r="I461" s="47" t="s">
        <v>8783</v>
      </c>
      <c r="J461" s="47" t="s">
        <v>4896</v>
      </c>
    </row>
    <row r="462" spans="2:10" ht="14.5">
      <c r="B462" s="47" t="s">
        <v>4921</v>
      </c>
      <c r="C462" s="47" t="s">
        <v>8779</v>
      </c>
      <c r="D462" s="47" t="s">
        <v>9319</v>
      </c>
      <c r="E462" s="47" t="s">
        <v>4919</v>
      </c>
      <c r="F462" s="47" t="s">
        <v>8781</v>
      </c>
      <c r="G462" s="363">
        <v>46239</v>
      </c>
      <c r="H462" s="47" t="s">
        <v>8782</v>
      </c>
      <c r="I462" s="47" t="s">
        <v>8783</v>
      </c>
      <c r="J462" s="47" t="s">
        <v>4919</v>
      </c>
    </row>
    <row r="463" spans="2:10" ht="14.5">
      <c r="B463" s="47" t="s">
        <v>4916</v>
      </c>
      <c r="C463" s="47" t="s">
        <v>64</v>
      </c>
      <c r="D463" s="47" t="s">
        <v>9320</v>
      </c>
      <c r="E463" s="47" t="s">
        <v>4915</v>
      </c>
      <c r="F463" s="47" t="s">
        <v>8781</v>
      </c>
      <c r="G463" s="363">
        <v>46267</v>
      </c>
      <c r="H463" s="47" t="s">
        <v>8782</v>
      </c>
      <c r="I463" s="47" t="s">
        <v>8783</v>
      </c>
      <c r="J463" s="47" t="s">
        <v>4915</v>
      </c>
    </row>
    <row r="464" spans="2:10" ht="14.5">
      <c r="B464" s="47" t="s">
        <v>4912</v>
      </c>
      <c r="C464" s="47" t="s">
        <v>64</v>
      </c>
      <c r="D464" s="47" t="s">
        <v>9321</v>
      </c>
      <c r="E464" s="47" t="s">
        <v>4910</v>
      </c>
      <c r="F464" s="47" t="s">
        <v>8781</v>
      </c>
      <c r="G464" s="363">
        <v>46272</v>
      </c>
      <c r="H464" s="47" t="s">
        <v>8782</v>
      </c>
      <c r="I464" s="47" t="s">
        <v>8783</v>
      </c>
      <c r="J464" s="47" t="s">
        <v>4910</v>
      </c>
    </row>
    <row r="465" spans="2:10" ht="14.5">
      <c r="B465" s="47" t="s">
        <v>9322</v>
      </c>
      <c r="C465" s="47" t="s">
        <v>8779</v>
      </c>
      <c r="D465" s="47" t="s">
        <v>9094</v>
      </c>
      <c r="E465" s="47" t="s">
        <v>4836</v>
      </c>
      <c r="F465" s="47" t="s">
        <v>8781</v>
      </c>
      <c r="G465" s="363">
        <v>46240</v>
      </c>
      <c r="H465" s="47" t="s">
        <v>8930</v>
      </c>
      <c r="I465" s="47" t="s">
        <v>8783</v>
      </c>
      <c r="J465" s="47"/>
    </row>
    <row r="466" spans="2:10" ht="14.5">
      <c r="B466" s="47" t="s">
        <v>4844</v>
      </c>
      <c r="C466" s="47" t="s">
        <v>64</v>
      </c>
      <c r="D466" s="47" t="s">
        <v>9323</v>
      </c>
      <c r="E466" s="47" t="s">
        <v>4842</v>
      </c>
      <c r="F466" s="47" t="s">
        <v>8781</v>
      </c>
      <c r="G466" s="363">
        <v>46265</v>
      </c>
      <c r="H466" s="47" t="s">
        <v>8782</v>
      </c>
      <c r="I466" s="47" t="s">
        <v>8783</v>
      </c>
      <c r="J466" s="47" t="s">
        <v>4842</v>
      </c>
    </row>
    <row r="467" spans="2:10" ht="14.5">
      <c r="B467" s="47" t="s">
        <v>4830</v>
      </c>
      <c r="C467" s="47" t="s">
        <v>64</v>
      </c>
      <c r="D467" s="47" t="s">
        <v>9324</v>
      </c>
      <c r="E467" s="47" t="s">
        <v>4828</v>
      </c>
      <c r="F467" s="47" t="s">
        <v>8781</v>
      </c>
      <c r="G467" s="363">
        <v>46253</v>
      </c>
      <c r="H467" s="47" t="s">
        <v>8782</v>
      </c>
      <c r="I467" s="47" t="s">
        <v>8783</v>
      </c>
      <c r="J467" s="47" t="s">
        <v>4828</v>
      </c>
    </row>
    <row r="468" spans="2:10" ht="14.5">
      <c r="B468" s="47" t="s">
        <v>4815</v>
      </c>
      <c r="C468" s="47" t="s">
        <v>64</v>
      </c>
      <c r="D468" s="47" t="s">
        <v>9325</v>
      </c>
      <c r="E468" s="47" t="s">
        <v>4813</v>
      </c>
      <c r="F468" s="47" t="s">
        <v>8781</v>
      </c>
      <c r="G468" s="363">
        <v>46259</v>
      </c>
      <c r="H468" s="47" t="s">
        <v>8782</v>
      </c>
      <c r="I468" s="47" t="s">
        <v>8783</v>
      </c>
      <c r="J468" s="47" t="s">
        <v>4813</v>
      </c>
    </row>
    <row r="469" spans="2:10" ht="14.5">
      <c r="B469" s="47" t="s">
        <v>4825</v>
      </c>
      <c r="C469" s="47" t="s">
        <v>64</v>
      </c>
      <c r="D469" s="47" t="s">
        <v>9326</v>
      </c>
      <c r="E469" s="47" t="s">
        <v>4824</v>
      </c>
      <c r="F469" s="47" t="s">
        <v>8781</v>
      </c>
      <c r="G469" s="363">
        <v>46253</v>
      </c>
      <c r="H469" s="47" t="s">
        <v>8782</v>
      </c>
      <c r="I469" s="47" t="s">
        <v>8783</v>
      </c>
      <c r="J469" s="47" t="s">
        <v>4824</v>
      </c>
    </row>
    <row r="470" spans="2:10" ht="14.5">
      <c r="B470" s="47" t="s">
        <v>4820</v>
      </c>
      <c r="C470" s="47" t="s">
        <v>64</v>
      </c>
      <c r="D470" s="47" t="s">
        <v>9327</v>
      </c>
      <c r="E470" s="47" t="s">
        <v>4819</v>
      </c>
      <c r="F470" s="47" t="s">
        <v>8781</v>
      </c>
      <c r="G470" s="363">
        <v>46246</v>
      </c>
      <c r="H470" s="47" t="s">
        <v>8782</v>
      </c>
      <c r="I470" s="47" t="s">
        <v>8783</v>
      </c>
      <c r="J470" s="47" t="s">
        <v>4819</v>
      </c>
    </row>
    <row r="471" spans="2:10" ht="14.5">
      <c r="B471" s="47" t="s">
        <v>4889</v>
      </c>
      <c r="C471" s="47" t="s">
        <v>8779</v>
      </c>
      <c r="D471" s="47" t="s">
        <v>9328</v>
      </c>
      <c r="E471" s="47" t="s">
        <v>4886</v>
      </c>
      <c r="F471" s="47" t="s">
        <v>8781</v>
      </c>
      <c r="G471" s="363">
        <v>46238</v>
      </c>
      <c r="H471" s="47" t="s">
        <v>8782</v>
      </c>
      <c r="I471" s="47" t="s">
        <v>8783</v>
      </c>
      <c r="J471" s="47" t="s">
        <v>4886</v>
      </c>
    </row>
    <row r="472" spans="2:10" ht="14.5">
      <c r="B472" s="47" t="s">
        <v>4883</v>
      </c>
      <c r="C472" s="47" t="s">
        <v>8779</v>
      </c>
      <c r="D472" s="47" t="s">
        <v>9329</v>
      </c>
      <c r="E472" s="47" t="s">
        <v>4880</v>
      </c>
      <c r="F472" s="47" t="s">
        <v>8781</v>
      </c>
      <c r="G472" s="363">
        <v>46238</v>
      </c>
      <c r="H472" s="47" t="s">
        <v>8782</v>
      </c>
      <c r="I472" s="47" t="s">
        <v>8783</v>
      </c>
      <c r="J472" s="47"/>
    </row>
    <row r="473" spans="2:10" ht="14.5">
      <c r="B473" s="47" t="s">
        <v>9330</v>
      </c>
      <c r="C473" s="47" t="s">
        <v>64</v>
      </c>
      <c r="D473" s="47" t="s">
        <v>9331</v>
      </c>
      <c r="E473" s="47"/>
      <c r="F473" s="47" t="s">
        <v>8781</v>
      </c>
      <c r="G473" s="363">
        <v>46353</v>
      </c>
      <c r="H473" s="47" t="s">
        <v>9332</v>
      </c>
      <c r="I473" s="47" t="s">
        <v>8783</v>
      </c>
      <c r="J473" s="47" t="s">
        <v>9333</v>
      </c>
    </row>
    <row r="474" spans="2:10" ht="14.5">
      <c r="B474" s="47" t="s">
        <v>9334</v>
      </c>
      <c r="C474" s="47" t="s">
        <v>64</v>
      </c>
      <c r="D474" s="47" t="s">
        <v>9335</v>
      </c>
      <c r="E474" s="47"/>
      <c r="F474" s="47" t="s">
        <v>8781</v>
      </c>
      <c r="G474" s="363">
        <v>46325</v>
      </c>
      <c r="H474" s="47" t="s">
        <v>9332</v>
      </c>
      <c r="I474" s="47" t="s">
        <v>8783</v>
      </c>
      <c r="J474" s="47" t="s">
        <v>9333</v>
      </c>
    </row>
    <row r="475" spans="2:10" ht="14.5">
      <c r="B475" s="47" t="s">
        <v>9336</v>
      </c>
      <c r="C475" s="47" t="s">
        <v>64</v>
      </c>
      <c r="D475" s="47" t="s">
        <v>9337</v>
      </c>
      <c r="E475" s="47"/>
      <c r="F475" s="47" t="s">
        <v>8781</v>
      </c>
      <c r="G475" s="363">
        <v>46290</v>
      </c>
      <c r="H475" s="47" t="s">
        <v>9332</v>
      </c>
      <c r="I475" s="47" t="s">
        <v>8783</v>
      </c>
      <c r="J475" s="47" t="s">
        <v>9333</v>
      </c>
    </row>
    <row r="476" spans="2:10" ht="14.5">
      <c r="B476" s="47" t="s">
        <v>9338</v>
      </c>
      <c r="C476" s="47" t="s">
        <v>64</v>
      </c>
      <c r="D476" s="47" t="s">
        <v>9339</v>
      </c>
      <c r="E476" s="47"/>
      <c r="F476" s="47" t="s">
        <v>8781</v>
      </c>
      <c r="G476" s="363">
        <v>46262</v>
      </c>
      <c r="H476" s="47" t="s">
        <v>9332</v>
      </c>
      <c r="I476" s="47" t="s">
        <v>8783</v>
      </c>
      <c r="J476" s="47" t="s">
        <v>9333</v>
      </c>
    </row>
    <row r="477" spans="2:10" ht="14.5">
      <c r="B477" s="47" t="s">
        <v>9340</v>
      </c>
      <c r="C477" s="47" t="s">
        <v>64</v>
      </c>
      <c r="D477" s="47" t="s">
        <v>9341</v>
      </c>
      <c r="E477" s="47"/>
      <c r="F477" s="47" t="s">
        <v>8781</v>
      </c>
      <c r="G477" s="363">
        <v>46248</v>
      </c>
      <c r="H477" s="47" t="s">
        <v>9332</v>
      </c>
      <c r="I477" s="47" t="s">
        <v>8783</v>
      </c>
      <c r="J477" s="47" t="s">
        <v>9333</v>
      </c>
    </row>
    <row r="478" spans="2:10" ht="14.5">
      <c r="B478" s="47" t="s">
        <v>9342</v>
      </c>
      <c r="C478" s="47" t="s">
        <v>64</v>
      </c>
      <c r="D478" s="47" t="s">
        <v>9343</v>
      </c>
      <c r="E478" s="47"/>
      <c r="F478" s="47" t="s">
        <v>8781</v>
      </c>
      <c r="G478" s="363">
        <v>46234</v>
      </c>
      <c r="H478" s="47" t="s">
        <v>9332</v>
      </c>
      <c r="I478" s="47" t="s">
        <v>8783</v>
      </c>
      <c r="J478" s="47" t="s">
        <v>9333</v>
      </c>
    </row>
    <row r="479" spans="2:10" ht="14.5">
      <c r="B479" s="47" t="s">
        <v>4710</v>
      </c>
      <c r="C479" s="47" t="s">
        <v>64</v>
      </c>
      <c r="D479" s="47" t="s">
        <v>9344</v>
      </c>
      <c r="E479" s="47" t="s">
        <v>4708</v>
      </c>
      <c r="F479" s="47" t="s">
        <v>8781</v>
      </c>
      <c r="G479" s="363">
        <v>46232</v>
      </c>
      <c r="H479" s="47" t="s">
        <v>8782</v>
      </c>
      <c r="I479" s="47" t="s">
        <v>8783</v>
      </c>
      <c r="J479" s="47" t="s">
        <v>4708</v>
      </c>
    </row>
    <row r="480" spans="2:10" ht="14.5">
      <c r="B480" s="47" t="s">
        <v>4746</v>
      </c>
      <c r="C480" s="47" t="s">
        <v>8779</v>
      </c>
      <c r="D480" s="47" t="s">
        <v>9345</v>
      </c>
      <c r="E480" s="47" t="s">
        <v>4745</v>
      </c>
      <c r="F480" s="47" t="s">
        <v>8781</v>
      </c>
      <c r="G480" s="363">
        <v>46219</v>
      </c>
      <c r="H480" s="47" t="s">
        <v>8782</v>
      </c>
      <c r="I480" s="47" t="s">
        <v>8783</v>
      </c>
      <c r="J480" s="47" t="s">
        <v>4745</v>
      </c>
    </row>
    <row r="481" spans="2:10" ht="14.5">
      <c r="B481" s="47" t="s">
        <v>4751</v>
      </c>
      <c r="C481" s="47" t="s">
        <v>64</v>
      </c>
      <c r="D481" s="47" t="s">
        <v>9346</v>
      </c>
      <c r="E481" s="47" t="s">
        <v>4750</v>
      </c>
      <c r="F481" s="47" t="s">
        <v>8781</v>
      </c>
      <c r="G481" s="363">
        <v>46233</v>
      </c>
      <c r="H481" s="47" t="s">
        <v>8782</v>
      </c>
      <c r="I481" s="47" t="s">
        <v>8783</v>
      </c>
      <c r="J481" s="47" t="s">
        <v>4750</v>
      </c>
    </row>
    <row r="482" spans="2:10" ht="14.5">
      <c r="B482" s="47" t="s">
        <v>4760</v>
      </c>
      <c r="C482" s="47" t="s">
        <v>64</v>
      </c>
      <c r="D482" s="47" t="s">
        <v>9347</v>
      </c>
      <c r="E482" s="47" t="s">
        <v>4759</v>
      </c>
      <c r="F482" s="47" t="s">
        <v>8781</v>
      </c>
      <c r="G482" s="363">
        <v>46237</v>
      </c>
      <c r="H482" s="47" t="s">
        <v>8782</v>
      </c>
      <c r="I482" s="47" t="s">
        <v>8783</v>
      </c>
      <c r="J482" s="47" t="s">
        <v>4759</v>
      </c>
    </row>
    <row r="483" spans="2:10" ht="14.5">
      <c r="B483" s="47" t="s">
        <v>4767</v>
      </c>
      <c r="C483" s="47" t="s">
        <v>64</v>
      </c>
      <c r="D483" s="47" t="s">
        <v>9348</v>
      </c>
      <c r="E483" s="47" t="s">
        <v>4766</v>
      </c>
      <c r="F483" s="47" t="s">
        <v>8781</v>
      </c>
      <c r="G483" s="363">
        <v>46247</v>
      </c>
      <c r="H483" s="47" t="s">
        <v>8782</v>
      </c>
      <c r="I483" s="47" t="s">
        <v>8783</v>
      </c>
      <c r="J483" s="47" t="s">
        <v>4766</v>
      </c>
    </row>
    <row r="484" spans="2:10" ht="14.5">
      <c r="B484" s="47" t="s">
        <v>4765</v>
      </c>
      <c r="C484" s="47" t="s">
        <v>64</v>
      </c>
      <c r="D484" s="47" t="s">
        <v>9349</v>
      </c>
      <c r="E484" s="47" t="s">
        <v>4764</v>
      </c>
      <c r="F484" s="47" t="s">
        <v>8781</v>
      </c>
      <c r="G484" s="363">
        <v>46237</v>
      </c>
      <c r="H484" s="47" t="s">
        <v>8782</v>
      </c>
      <c r="I484" s="47" t="s">
        <v>8783</v>
      </c>
      <c r="J484" s="47" t="s">
        <v>4764</v>
      </c>
    </row>
    <row r="485" spans="2:10" ht="14.5">
      <c r="B485" s="47" t="s">
        <v>4771</v>
      </c>
      <c r="C485" s="47" t="s">
        <v>64</v>
      </c>
      <c r="D485" s="47" t="s">
        <v>9350</v>
      </c>
      <c r="E485" s="47" t="s">
        <v>4770</v>
      </c>
      <c r="F485" s="47" t="s">
        <v>8781</v>
      </c>
      <c r="G485" s="363">
        <v>46274</v>
      </c>
      <c r="H485" s="47" t="s">
        <v>8782</v>
      </c>
      <c r="I485" s="47" t="s">
        <v>8783</v>
      </c>
      <c r="J485" s="47" t="s">
        <v>4770</v>
      </c>
    </row>
    <row r="486" spans="2:10" ht="14.5">
      <c r="B486" s="47" t="s">
        <v>4776</v>
      </c>
      <c r="C486" s="47" t="s">
        <v>8779</v>
      </c>
      <c r="D486" s="47" t="s">
        <v>9351</v>
      </c>
      <c r="E486" s="47" t="s">
        <v>4774</v>
      </c>
      <c r="F486" s="47" t="s">
        <v>8781</v>
      </c>
      <c r="G486" s="363">
        <v>46232</v>
      </c>
      <c r="H486" s="47" t="s">
        <v>8782</v>
      </c>
      <c r="I486" s="47" t="s">
        <v>8783</v>
      </c>
      <c r="J486" s="47" t="s">
        <v>4774</v>
      </c>
    </row>
    <row r="487" spans="2:10" ht="14.5">
      <c r="B487" s="47" t="s">
        <v>4721</v>
      </c>
      <c r="C487" s="47" t="s">
        <v>64</v>
      </c>
      <c r="D487" s="47" t="s">
        <v>9352</v>
      </c>
      <c r="E487" s="47" t="s">
        <v>4719</v>
      </c>
      <c r="F487" s="47" t="s">
        <v>8781</v>
      </c>
      <c r="G487" s="363">
        <v>46237</v>
      </c>
      <c r="H487" s="47" t="s">
        <v>8782</v>
      </c>
      <c r="I487" s="47" t="s">
        <v>8783</v>
      </c>
      <c r="J487" s="47" t="s">
        <v>4719</v>
      </c>
    </row>
    <row r="488" spans="2:10" ht="14.5">
      <c r="B488" s="47" t="s">
        <v>4739</v>
      </c>
      <c r="C488" s="47" t="s">
        <v>64</v>
      </c>
      <c r="D488" s="47" t="s">
        <v>9353</v>
      </c>
      <c r="E488" s="47" t="s">
        <v>4737</v>
      </c>
      <c r="F488" s="47" t="s">
        <v>8781</v>
      </c>
      <c r="G488" s="363">
        <v>46246</v>
      </c>
      <c r="H488" s="47" t="s">
        <v>8782</v>
      </c>
      <c r="I488" s="47" t="s">
        <v>8783</v>
      </c>
      <c r="J488" s="47" t="s">
        <v>4737</v>
      </c>
    </row>
    <row r="489" spans="2:10" ht="14.5">
      <c r="B489" s="47" t="s">
        <v>9354</v>
      </c>
      <c r="C489" s="47" t="s">
        <v>64</v>
      </c>
      <c r="D489" s="47" t="s">
        <v>9355</v>
      </c>
      <c r="E489" s="47"/>
      <c r="F489" s="47" t="s">
        <v>8781</v>
      </c>
      <c r="G489" s="363">
        <v>46318</v>
      </c>
      <c r="H489" s="47" t="s">
        <v>9332</v>
      </c>
      <c r="I489" s="47" t="s">
        <v>8783</v>
      </c>
      <c r="J489" s="47" t="s">
        <v>9356</v>
      </c>
    </row>
    <row r="490" spans="2:10" ht="14.5">
      <c r="B490" s="47" t="s">
        <v>9357</v>
      </c>
      <c r="C490" s="47" t="s">
        <v>64</v>
      </c>
      <c r="D490" s="47" t="s">
        <v>9358</v>
      </c>
      <c r="E490" s="47"/>
      <c r="F490" s="47" t="s">
        <v>8781</v>
      </c>
      <c r="G490" s="363">
        <v>46290</v>
      </c>
      <c r="H490" s="47" t="s">
        <v>9332</v>
      </c>
      <c r="I490" s="47" t="s">
        <v>8783</v>
      </c>
      <c r="J490" s="47" t="s">
        <v>9356</v>
      </c>
    </row>
    <row r="491" spans="2:10" ht="14.5">
      <c r="B491" s="47" t="s">
        <v>9359</v>
      </c>
      <c r="C491" s="47" t="s">
        <v>64</v>
      </c>
      <c r="D491" s="47" t="s">
        <v>9360</v>
      </c>
      <c r="E491" s="47"/>
      <c r="F491" s="47" t="s">
        <v>8781</v>
      </c>
      <c r="G491" s="363">
        <v>46262</v>
      </c>
      <c r="H491" s="47" t="s">
        <v>9332</v>
      </c>
      <c r="I491" s="47" t="s">
        <v>8783</v>
      </c>
      <c r="J491" s="47" t="s">
        <v>9356</v>
      </c>
    </row>
    <row r="492" spans="2:10" ht="14.5">
      <c r="B492" s="47" t="s">
        <v>9361</v>
      </c>
      <c r="C492" s="47" t="s">
        <v>64</v>
      </c>
      <c r="D492" s="47" t="s">
        <v>9362</v>
      </c>
      <c r="E492" s="47"/>
      <c r="F492" s="47" t="s">
        <v>8781</v>
      </c>
      <c r="G492" s="363">
        <v>46234</v>
      </c>
      <c r="H492" s="47" t="s">
        <v>9332</v>
      </c>
      <c r="I492" s="47" t="s">
        <v>8783</v>
      </c>
      <c r="J492" s="47" t="s">
        <v>9363</v>
      </c>
    </row>
    <row r="493" spans="2:10" ht="14.5">
      <c r="B493" s="47" t="s">
        <v>4617</v>
      </c>
      <c r="C493" s="47" t="s">
        <v>8779</v>
      </c>
      <c r="D493" s="47" t="s">
        <v>9364</v>
      </c>
      <c r="E493" s="47" t="s">
        <v>4616</v>
      </c>
      <c r="F493" s="47" t="s">
        <v>8781</v>
      </c>
      <c r="G493" s="363">
        <v>46223</v>
      </c>
      <c r="H493" s="47" t="s">
        <v>8782</v>
      </c>
      <c r="I493" s="47" t="s">
        <v>8783</v>
      </c>
      <c r="J493" s="47" t="s">
        <v>4616</v>
      </c>
    </row>
    <row r="494" spans="2:10" ht="14.5">
      <c r="B494" s="47" t="s">
        <v>4622</v>
      </c>
      <c r="C494" s="47" t="s">
        <v>8779</v>
      </c>
      <c r="D494" s="47" t="s">
        <v>9365</v>
      </c>
      <c r="E494" s="47" t="s">
        <v>4621</v>
      </c>
      <c r="F494" s="47" t="s">
        <v>8781</v>
      </c>
      <c r="G494" s="363">
        <v>46223</v>
      </c>
      <c r="H494" s="47" t="s">
        <v>8782</v>
      </c>
      <c r="I494" s="47" t="s">
        <v>8783</v>
      </c>
      <c r="J494" s="47" t="s">
        <v>4621</v>
      </c>
    </row>
    <row r="495" spans="2:10" ht="14.5">
      <c r="B495" s="47" t="s">
        <v>4626</v>
      </c>
      <c r="C495" s="47" t="s">
        <v>8779</v>
      </c>
      <c r="D495" s="47" t="s">
        <v>9366</v>
      </c>
      <c r="E495" s="47" t="s">
        <v>4625</v>
      </c>
      <c r="F495" s="47" t="s">
        <v>8781</v>
      </c>
      <c r="G495" s="363">
        <v>46223</v>
      </c>
      <c r="H495" s="47" t="s">
        <v>8782</v>
      </c>
      <c r="I495" s="47" t="s">
        <v>8783</v>
      </c>
      <c r="J495" s="47" t="s">
        <v>4625</v>
      </c>
    </row>
    <row r="496" spans="2:10" ht="14.5">
      <c r="B496" s="47" t="s">
        <v>4631</v>
      </c>
      <c r="C496" s="47" t="s">
        <v>8779</v>
      </c>
      <c r="D496" s="47" t="s">
        <v>9367</v>
      </c>
      <c r="E496" s="47" t="s">
        <v>4627</v>
      </c>
      <c r="F496" s="47" t="s">
        <v>8781</v>
      </c>
      <c r="G496" s="363">
        <v>46226</v>
      </c>
      <c r="H496" s="47" t="s">
        <v>8782</v>
      </c>
      <c r="I496" s="47" t="s">
        <v>8783</v>
      </c>
      <c r="J496" s="47" t="s">
        <v>4627</v>
      </c>
    </row>
    <row r="497" spans="2:10" ht="14.5">
      <c r="B497" s="47" t="s">
        <v>4636</v>
      </c>
      <c r="C497" s="47" t="s">
        <v>64</v>
      </c>
      <c r="D497" s="47" t="s">
        <v>9368</v>
      </c>
      <c r="E497" s="47" t="s">
        <v>4634</v>
      </c>
      <c r="F497" s="47" t="s">
        <v>8781</v>
      </c>
      <c r="G497" s="363">
        <v>46239</v>
      </c>
      <c r="H497" s="47" t="s">
        <v>8782</v>
      </c>
      <c r="I497" s="47" t="s">
        <v>8783</v>
      </c>
      <c r="J497" s="47" t="s">
        <v>4634</v>
      </c>
    </row>
    <row r="498" spans="2:10" ht="14.5">
      <c r="B498" s="47" t="s">
        <v>4641</v>
      </c>
      <c r="C498" s="47" t="s">
        <v>64</v>
      </c>
      <c r="D498" s="47" t="s">
        <v>9369</v>
      </c>
      <c r="E498" s="47" t="s">
        <v>4640</v>
      </c>
      <c r="F498" s="47" t="s">
        <v>8781</v>
      </c>
      <c r="G498" s="363">
        <v>46239</v>
      </c>
      <c r="H498" s="47" t="s">
        <v>8782</v>
      </c>
      <c r="I498" s="47" t="s">
        <v>8783</v>
      </c>
      <c r="J498" s="47" t="s">
        <v>4640</v>
      </c>
    </row>
    <row r="499" spans="2:10" ht="14.5">
      <c r="B499" s="47" t="s">
        <v>4643</v>
      </c>
      <c r="C499" s="47" t="s">
        <v>64</v>
      </c>
      <c r="D499" s="47" t="s">
        <v>9370</v>
      </c>
      <c r="E499" s="47" t="s">
        <v>4642</v>
      </c>
      <c r="F499" s="47" t="s">
        <v>8781</v>
      </c>
      <c r="G499" s="363">
        <v>46241</v>
      </c>
      <c r="H499" s="47" t="s">
        <v>8782</v>
      </c>
      <c r="I499" s="47" t="s">
        <v>8783</v>
      </c>
      <c r="J499" s="47" t="s">
        <v>4642</v>
      </c>
    </row>
    <row r="500" spans="2:10" ht="14.5">
      <c r="B500" s="47" t="s">
        <v>4647</v>
      </c>
      <c r="C500" s="47" t="s">
        <v>64</v>
      </c>
      <c r="D500" s="47" t="s">
        <v>9371</v>
      </c>
      <c r="E500" s="47" t="s">
        <v>4646</v>
      </c>
      <c r="F500" s="47" t="s">
        <v>8781</v>
      </c>
      <c r="G500" s="363">
        <v>46241</v>
      </c>
      <c r="H500" s="47" t="s">
        <v>8782</v>
      </c>
      <c r="I500" s="47" t="s">
        <v>8783</v>
      </c>
      <c r="J500" s="47" t="s">
        <v>4646</v>
      </c>
    </row>
    <row r="501" spans="2:10" ht="14.5">
      <c r="B501" s="47" t="s">
        <v>4649</v>
      </c>
      <c r="C501" s="47" t="s">
        <v>64</v>
      </c>
      <c r="D501" s="47" t="s">
        <v>9372</v>
      </c>
      <c r="E501" s="47" t="s">
        <v>4648</v>
      </c>
      <c r="F501" s="47" t="s">
        <v>8781</v>
      </c>
      <c r="G501" s="363">
        <v>46241</v>
      </c>
      <c r="H501" s="47" t="s">
        <v>8782</v>
      </c>
      <c r="I501" s="47" t="s">
        <v>8783</v>
      </c>
      <c r="J501" s="47" t="s">
        <v>4648</v>
      </c>
    </row>
    <row r="502" spans="2:10" ht="14.5">
      <c r="B502" s="47" t="s">
        <v>9373</v>
      </c>
      <c r="C502" s="47" t="s">
        <v>64</v>
      </c>
      <c r="D502" s="47" t="s">
        <v>9374</v>
      </c>
      <c r="E502" s="47"/>
      <c r="F502" s="47" t="s">
        <v>8829</v>
      </c>
      <c r="G502" s="363">
        <v>46174</v>
      </c>
      <c r="H502" s="47" t="s">
        <v>8782</v>
      </c>
      <c r="I502" s="47" t="s">
        <v>8783</v>
      </c>
      <c r="J502" s="47" t="s">
        <v>9375</v>
      </c>
    </row>
    <row r="503" spans="2:10" ht="14.5">
      <c r="B503" s="47" t="s">
        <v>9376</v>
      </c>
      <c r="C503" s="47" t="s">
        <v>64</v>
      </c>
      <c r="D503" s="47" t="s">
        <v>9377</v>
      </c>
      <c r="E503" s="47" t="s">
        <v>9378</v>
      </c>
      <c r="F503" s="47" t="s">
        <v>8781</v>
      </c>
      <c r="G503" s="363">
        <v>46174</v>
      </c>
      <c r="H503" s="47" t="s">
        <v>8782</v>
      </c>
      <c r="I503" s="47" t="s">
        <v>8783</v>
      </c>
      <c r="J503" s="47" t="s">
        <v>9379</v>
      </c>
    </row>
    <row r="504" spans="2:10" ht="14.5">
      <c r="B504" s="47" t="s">
        <v>4705</v>
      </c>
      <c r="C504" s="47" t="s">
        <v>8779</v>
      </c>
      <c r="D504" s="47" t="s">
        <v>9380</v>
      </c>
      <c r="E504" s="47" t="s">
        <v>4702</v>
      </c>
      <c r="F504" s="47" t="s">
        <v>8781</v>
      </c>
      <c r="G504" s="363">
        <v>46226</v>
      </c>
      <c r="H504" s="47" t="s">
        <v>8782</v>
      </c>
      <c r="I504" s="47" t="s">
        <v>8783</v>
      </c>
      <c r="J504" s="47" t="s">
        <v>4702</v>
      </c>
    </row>
    <row r="505" spans="2:10" ht="14.5">
      <c r="B505" s="47" t="s">
        <v>4699</v>
      </c>
      <c r="C505" s="47" t="s">
        <v>64</v>
      </c>
      <c r="D505" s="47" t="s">
        <v>9381</v>
      </c>
      <c r="E505" s="47" t="s">
        <v>4698</v>
      </c>
      <c r="F505" s="47" t="s">
        <v>8781</v>
      </c>
      <c r="G505" s="363">
        <v>46238</v>
      </c>
      <c r="H505" s="47" t="s">
        <v>8782</v>
      </c>
      <c r="I505" s="47" t="s">
        <v>8783</v>
      </c>
      <c r="J505" s="47" t="s">
        <v>4698</v>
      </c>
    </row>
    <row r="506" spans="2:10" ht="14.5">
      <c r="B506" s="47" t="s">
        <v>4695</v>
      </c>
      <c r="C506" s="47" t="s">
        <v>64</v>
      </c>
      <c r="D506" s="47" t="s">
        <v>9382</v>
      </c>
      <c r="E506" s="47" t="s">
        <v>4693</v>
      </c>
      <c r="F506" s="47" t="s">
        <v>8781</v>
      </c>
      <c r="G506" s="363">
        <v>46247</v>
      </c>
      <c r="H506" s="47" t="s">
        <v>8782</v>
      </c>
      <c r="I506" s="47" t="s">
        <v>8783</v>
      </c>
      <c r="J506" s="47" t="s">
        <v>4693</v>
      </c>
    </row>
    <row r="507" spans="2:10" ht="14.5">
      <c r="B507" s="47" t="s">
        <v>4690</v>
      </c>
      <c r="C507" s="47" t="s">
        <v>64</v>
      </c>
      <c r="D507" s="47" t="s">
        <v>9383</v>
      </c>
      <c r="E507" s="47" t="s">
        <v>4689</v>
      </c>
      <c r="F507" s="47" t="s">
        <v>8781</v>
      </c>
      <c r="G507" s="363">
        <v>46246</v>
      </c>
      <c r="H507" s="47" t="s">
        <v>8782</v>
      </c>
      <c r="I507" s="47" t="s">
        <v>8783</v>
      </c>
      <c r="J507" s="47" t="s">
        <v>4689</v>
      </c>
    </row>
    <row r="508" spans="2:10" ht="14.5">
      <c r="B508" s="47" t="s">
        <v>4684</v>
      </c>
      <c r="C508" s="47" t="s">
        <v>8779</v>
      </c>
      <c r="D508" s="47" t="s">
        <v>9384</v>
      </c>
      <c r="E508" s="47" t="s">
        <v>4682</v>
      </c>
      <c r="F508" s="47" t="s">
        <v>8781</v>
      </c>
      <c r="G508" s="363">
        <v>46206</v>
      </c>
      <c r="H508" s="47" t="s">
        <v>8782</v>
      </c>
      <c r="I508" s="47" t="s">
        <v>8783</v>
      </c>
      <c r="J508" s="47" t="s">
        <v>4682</v>
      </c>
    </row>
    <row r="509" spans="2:10" ht="14.5">
      <c r="B509" s="47" t="s">
        <v>4678</v>
      </c>
      <c r="C509" s="47" t="s">
        <v>64</v>
      </c>
      <c r="D509" s="47" t="s">
        <v>9385</v>
      </c>
      <c r="E509" s="47" t="s">
        <v>4676</v>
      </c>
      <c r="F509" s="47" t="s">
        <v>8781</v>
      </c>
      <c r="G509" s="363">
        <v>46230</v>
      </c>
      <c r="H509" s="47" t="s">
        <v>8782</v>
      </c>
      <c r="I509" s="47" t="s">
        <v>8783</v>
      </c>
      <c r="J509" s="47" t="s">
        <v>4676</v>
      </c>
    </row>
    <row r="510" spans="2:10" ht="14.5">
      <c r="B510" s="47" t="s">
        <v>4675</v>
      </c>
      <c r="C510" s="47" t="s">
        <v>64</v>
      </c>
      <c r="D510" s="47" t="s">
        <v>9386</v>
      </c>
      <c r="E510" s="47" t="s">
        <v>4674</v>
      </c>
      <c r="F510" s="47" t="s">
        <v>8781</v>
      </c>
      <c r="G510" s="363">
        <v>46230</v>
      </c>
      <c r="H510" s="47" t="s">
        <v>8782</v>
      </c>
      <c r="I510" s="47" t="s">
        <v>8783</v>
      </c>
      <c r="J510" s="47" t="s">
        <v>4674</v>
      </c>
    </row>
    <row r="511" spans="2:10" ht="14.5">
      <c r="B511" s="47" t="s">
        <v>4652</v>
      </c>
      <c r="C511" s="47" t="s">
        <v>8779</v>
      </c>
      <c r="D511" s="47" t="s">
        <v>9387</v>
      </c>
      <c r="E511" s="47" t="s">
        <v>4650</v>
      </c>
      <c r="F511" s="47" t="s">
        <v>8781</v>
      </c>
      <c r="G511" s="363">
        <v>46204</v>
      </c>
      <c r="H511" s="47" t="s">
        <v>8782</v>
      </c>
      <c r="I511" s="47" t="s">
        <v>8783</v>
      </c>
      <c r="J511" s="47" t="s">
        <v>4650</v>
      </c>
    </row>
    <row r="512" spans="2:10" ht="14.5">
      <c r="B512" s="47" t="s">
        <v>9388</v>
      </c>
      <c r="C512" s="47" t="s">
        <v>8779</v>
      </c>
      <c r="D512" s="47" t="s">
        <v>9169</v>
      </c>
      <c r="E512" s="47" t="s">
        <v>4656</v>
      </c>
      <c r="F512" s="47" t="s">
        <v>8781</v>
      </c>
      <c r="G512" s="363">
        <v>46204</v>
      </c>
      <c r="H512" s="47" t="s">
        <v>8930</v>
      </c>
      <c r="I512" s="47" t="s">
        <v>8783</v>
      </c>
      <c r="J512" s="47" t="s">
        <v>4656</v>
      </c>
    </row>
    <row r="513" spans="2:10" ht="14.5">
      <c r="B513" s="47" t="s">
        <v>4615</v>
      </c>
      <c r="C513" s="47" t="s">
        <v>8779</v>
      </c>
      <c r="D513" s="47" t="s">
        <v>9389</v>
      </c>
      <c r="E513" s="47" t="s">
        <v>4614</v>
      </c>
      <c r="F513" s="47" t="s">
        <v>8781</v>
      </c>
      <c r="G513" s="363">
        <v>46204</v>
      </c>
      <c r="H513" s="47" t="s">
        <v>8782</v>
      </c>
      <c r="I513" s="47" t="s">
        <v>8783</v>
      </c>
      <c r="J513" s="47" t="s">
        <v>4614</v>
      </c>
    </row>
    <row r="514" spans="2:10" ht="14.5">
      <c r="B514" s="47" t="s">
        <v>4610</v>
      </c>
      <c r="C514" s="47" t="s">
        <v>8779</v>
      </c>
      <c r="D514" s="47" t="s">
        <v>9390</v>
      </c>
      <c r="E514" s="47" t="s">
        <v>4609</v>
      </c>
      <c r="F514" s="47" t="s">
        <v>8781</v>
      </c>
      <c r="G514" s="363">
        <v>46204</v>
      </c>
      <c r="H514" s="47" t="s">
        <v>8782</v>
      </c>
      <c r="I514" s="47" t="s">
        <v>8783</v>
      </c>
      <c r="J514" s="47" t="s">
        <v>4609</v>
      </c>
    </row>
    <row r="515" spans="2:10" ht="14.5">
      <c r="B515" s="47" t="s">
        <v>4608</v>
      </c>
      <c r="C515" s="47" t="s">
        <v>8779</v>
      </c>
      <c r="D515" s="47" t="s">
        <v>9391</v>
      </c>
      <c r="E515" s="47" t="s">
        <v>4605</v>
      </c>
      <c r="F515" s="47" t="s">
        <v>8781</v>
      </c>
      <c r="G515" s="363">
        <v>46203</v>
      </c>
      <c r="H515" s="47" t="s">
        <v>8782</v>
      </c>
      <c r="I515" s="47" t="s">
        <v>8783</v>
      </c>
      <c r="J515" s="47"/>
    </row>
    <row r="516" spans="2:10" ht="14.5">
      <c r="B516" s="47" t="s">
        <v>4602</v>
      </c>
      <c r="C516" s="47" t="s">
        <v>8779</v>
      </c>
      <c r="D516" s="47" t="s">
        <v>9392</v>
      </c>
      <c r="E516" s="47" t="s">
        <v>4599</v>
      </c>
      <c r="F516" s="47" t="s">
        <v>8781</v>
      </c>
      <c r="G516" s="363">
        <v>46203</v>
      </c>
      <c r="H516" s="47" t="s">
        <v>8782</v>
      </c>
      <c r="I516" s="47" t="s">
        <v>8783</v>
      </c>
      <c r="J516" s="47"/>
    </row>
    <row r="517" spans="2:10" ht="14.5">
      <c r="B517" s="47" t="s">
        <v>4598</v>
      </c>
      <c r="C517" s="47" t="s">
        <v>64</v>
      </c>
      <c r="D517" s="47" t="s">
        <v>9393</v>
      </c>
      <c r="E517" s="47" t="s">
        <v>4597</v>
      </c>
      <c r="F517" s="47" t="s">
        <v>8781</v>
      </c>
      <c r="G517" s="363">
        <v>46225</v>
      </c>
      <c r="H517" s="47" t="s">
        <v>8782</v>
      </c>
      <c r="I517" s="47" t="s">
        <v>8783</v>
      </c>
      <c r="J517" s="47" t="s">
        <v>4597</v>
      </c>
    </row>
    <row r="518" spans="2:10" ht="14.5">
      <c r="B518" s="47" t="s">
        <v>4589</v>
      </c>
      <c r="C518" s="47" t="s">
        <v>64</v>
      </c>
      <c r="D518" s="47" t="s">
        <v>9394</v>
      </c>
      <c r="E518" s="47" t="s">
        <v>4586</v>
      </c>
      <c r="F518" s="47" t="s">
        <v>8781</v>
      </c>
      <c r="G518" s="363">
        <v>46223</v>
      </c>
      <c r="H518" s="47" t="s">
        <v>8782</v>
      </c>
      <c r="I518" s="47" t="s">
        <v>8783</v>
      </c>
      <c r="J518" s="47" t="s">
        <v>4586</v>
      </c>
    </row>
    <row r="519" spans="2:10" ht="14.5">
      <c r="B519" s="47" t="s">
        <v>4594</v>
      </c>
      <c r="C519" s="47" t="s">
        <v>64</v>
      </c>
      <c r="D519" s="47" t="s">
        <v>9395</v>
      </c>
      <c r="E519" s="47" t="s">
        <v>4593</v>
      </c>
      <c r="F519" s="47" t="s">
        <v>8781</v>
      </c>
      <c r="G519" s="363">
        <v>46225</v>
      </c>
      <c r="H519" s="47" t="s">
        <v>8782</v>
      </c>
      <c r="I519" s="47" t="s">
        <v>8783</v>
      </c>
      <c r="J519" s="47" t="s">
        <v>4593</v>
      </c>
    </row>
    <row r="520" spans="2:10" ht="14.5">
      <c r="B520" s="47" t="s">
        <v>4585</v>
      </c>
      <c r="C520" s="47" t="s">
        <v>64</v>
      </c>
      <c r="D520" s="47" t="s">
        <v>9396</v>
      </c>
      <c r="E520" s="47" t="s">
        <v>4584</v>
      </c>
      <c r="F520" s="47" t="s">
        <v>8781</v>
      </c>
      <c r="G520" s="363">
        <v>46248</v>
      </c>
      <c r="H520" s="47" t="s">
        <v>8782</v>
      </c>
      <c r="I520" s="47" t="s">
        <v>8783</v>
      </c>
      <c r="J520" s="47" t="s">
        <v>4584</v>
      </c>
    </row>
    <row r="521" spans="2:10" ht="14.5">
      <c r="B521" s="47" t="s">
        <v>4579</v>
      </c>
      <c r="C521" s="47" t="s">
        <v>64</v>
      </c>
      <c r="D521" s="47" t="s">
        <v>9397</v>
      </c>
      <c r="E521" s="47" t="s">
        <v>4578</v>
      </c>
      <c r="F521" s="47" t="s">
        <v>8781</v>
      </c>
      <c r="G521" s="363">
        <v>46248</v>
      </c>
      <c r="H521" s="47" t="s">
        <v>8782</v>
      </c>
      <c r="I521" s="47" t="s">
        <v>8783</v>
      </c>
      <c r="J521" s="47" t="s">
        <v>4578</v>
      </c>
    </row>
    <row r="522" spans="2:10" ht="14.5">
      <c r="B522" s="47" t="s">
        <v>9398</v>
      </c>
      <c r="C522" s="47" t="s">
        <v>8779</v>
      </c>
      <c r="D522" s="47" t="s">
        <v>9167</v>
      </c>
      <c r="E522" s="47" t="s">
        <v>4661</v>
      </c>
      <c r="F522" s="47" t="s">
        <v>8781</v>
      </c>
      <c r="G522" s="363">
        <v>46204</v>
      </c>
      <c r="H522" s="47" t="s">
        <v>8930</v>
      </c>
      <c r="I522" s="47" t="s">
        <v>8783</v>
      </c>
      <c r="J522" s="47" t="s">
        <v>4661</v>
      </c>
    </row>
    <row r="523" spans="2:10" ht="14.5">
      <c r="B523" s="47" t="s">
        <v>4671</v>
      </c>
      <c r="C523" s="47" t="s">
        <v>64</v>
      </c>
      <c r="D523" s="47" t="s">
        <v>9399</v>
      </c>
      <c r="E523" s="47" t="s">
        <v>4670</v>
      </c>
      <c r="F523" s="47" t="s">
        <v>8781</v>
      </c>
      <c r="G523" s="363">
        <v>46230</v>
      </c>
      <c r="H523" s="47" t="s">
        <v>8782</v>
      </c>
      <c r="I523" s="47" t="s">
        <v>8783</v>
      </c>
      <c r="J523" s="47" t="s">
        <v>4670</v>
      </c>
    </row>
    <row r="524" spans="2:10" ht="14.5">
      <c r="B524" s="47" t="s">
        <v>4523</v>
      </c>
      <c r="C524" s="47" t="s">
        <v>64</v>
      </c>
      <c r="D524" s="47" t="s">
        <v>9400</v>
      </c>
      <c r="E524" s="47" t="s">
        <v>4522</v>
      </c>
      <c r="F524" s="47" t="s">
        <v>8781</v>
      </c>
      <c r="G524" s="363">
        <v>46232</v>
      </c>
      <c r="H524" s="47" t="s">
        <v>8782</v>
      </c>
      <c r="I524" s="47" t="s">
        <v>8783</v>
      </c>
      <c r="J524" s="47" t="s">
        <v>4522</v>
      </c>
    </row>
    <row r="525" spans="2:10" ht="14.5">
      <c r="B525" s="47" t="s">
        <v>4667</v>
      </c>
      <c r="C525" s="47" t="s">
        <v>8779</v>
      </c>
      <c r="D525" s="47" t="s">
        <v>9401</v>
      </c>
      <c r="E525" s="47" t="s">
        <v>4666</v>
      </c>
      <c r="F525" s="47" t="s">
        <v>8781</v>
      </c>
      <c r="G525" s="363">
        <v>46225</v>
      </c>
      <c r="H525" s="47" t="s">
        <v>8782</v>
      </c>
      <c r="I525" s="47" t="s">
        <v>8783</v>
      </c>
      <c r="J525" s="47" t="s">
        <v>4666</v>
      </c>
    </row>
    <row r="526" spans="2:10" ht="14.5">
      <c r="B526" s="47" t="s">
        <v>9402</v>
      </c>
      <c r="C526" s="47" t="s">
        <v>8779</v>
      </c>
      <c r="D526" s="47" t="s">
        <v>9165</v>
      </c>
      <c r="E526" s="47" t="s">
        <v>4664</v>
      </c>
      <c r="F526" s="47" t="s">
        <v>8781</v>
      </c>
      <c r="G526" s="363">
        <v>46204</v>
      </c>
      <c r="H526" s="47" t="s">
        <v>8930</v>
      </c>
      <c r="I526" s="47" t="s">
        <v>8783</v>
      </c>
      <c r="J526" s="47" t="s">
        <v>4664</v>
      </c>
    </row>
    <row r="527" spans="2:10" ht="14.5">
      <c r="B527" s="47" t="s">
        <v>4508</v>
      </c>
      <c r="C527" s="47" t="s">
        <v>64</v>
      </c>
      <c r="D527" s="47" t="s">
        <v>9403</v>
      </c>
      <c r="E527" s="47" t="s">
        <v>4507</v>
      </c>
      <c r="F527" s="47" t="s">
        <v>8781</v>
      </c>
      <c r="G527" s="363">
        <v>46230</v>
      </c>
      <c r="H527" s="47" t="s">
        <v>8782</v>
      </c>
      <c r="I527" s="47" t="s">
        <v>8783</v>
      </c>
      <c r="J527" s="47" t="s">
        <v>4507</v>
      </c>
    </row>
    <row r="528" spans="2:10" ht="14.5">
      <c r="B528" s="47" t="s">
        <v>4503</v>
      </c>
      <c r="C528" s="47" t="s">
        <v>64</v>
      </c>
      <c r="D528" s="47" t="s">
        <v>9404</v>
      </c>
      <c r="E528" s="47" t="s">
        <v>4501</v>
      </c>
      <c r="F528" s="47" t="s">
        <v>8781</v>
      </c>
      <c r="G528" s="363">
        <v>46230</v>
      </c>
      <c r="H528" s="47" t="s">
        <v>8782</v>
      </c>
      <c r="I528" s="47" t="s">
        <v>8783</v>
      </c>
      <c r="J528" s="47" t="s">
        <v>4501</v>
      </c>
    </row>
    <row r="529" spans="2:10" ht="14.5">
      <c r="B529" s="47" t="s">
        <v>8028</v>
      </c>
      <c r="C529" s="47" t="s">
        <v>64</v>
      </c>
      <c r="D529" s="47" t="s">
        <v>9405</v>
      </c>
      <c r="E529" s="47" t="s">
        <v>9406</v>
      </c>
      <c r="F529" s="47" t="s">
        <v>8829</v>
      </c>
      <c r="G529" s="363">
        <v>46216</v>
      </c>
      <c r="H529" s="47" t="s">
        <v>8782</v>
      </c>
      <c r="I529" s="47" t="s">
        <v>8783</v>
      </c>
      <c r="J529" s="47" t="s">
        <v>9407</v>
      </c>
    </row>
    <row r="530" spans="2:10" ht="14.5">
      <c r="B530" s="47" t="s">
        <v>8042</v>
      </c>
      <c r="C530" s="47" t="s">
        <v>64</v>
      </c>
      <c r="D530" s="47" t="s">
        <v>9408</v>
      </c>
      <c r="E530" s="47" t="s">
        <v>9409</v>
      </c>
      <c r="F530" s="47" t="s">
        <v>8829</v>
      </c>
      <c r="G530" s="363">
        <v>46211</v>
      </c>
      <c r="H530" s="47" t="s">
        <v>8782</v>
      </c>
      <c r="I530" s="47" t="s">
        <v>8783</v>
      </c>
      <c r="J530" s="47" t="s">
        <v>9410</v>
      </c>
    </row>
    <row r="531" spans="2:10" ht="14.5">
      <c r="B531" s="47" t="s">
        <v>8051</v>
      </c>
      <c r="C531" s="47" t="s">
        <v>64</v>
      </c>
      <c r="D531" s="47" t="s">
        <v>9411</v>
      </c>
      <c r="E531" s="47" t="s">
        <v>9412</v>
      </c>
      <c r="F531" s="47" t="s">
        <v>8829</v>
      </c>
      <c r="G531" s="363">
        <v>46220</v>
      </c>
      <c r="H531" s="47" t="s">
        <v>8782</v>
      </c>
      <c r="I531" s="47" t="s">
        <v>8783</v>
      </c>
      <c r="J531" s="47" t="s">
        <v>9413</v>
      </c>
    </row>
    <row r="532" spans="2:10" ht="14.5">
      <c r="B532" s="47" t="s">
        <v>4517</v>
      </c>
      <c r="C532" s="47" t="s">
        <v>64</v>
      </c>
      <c r="D532" s="47" t="s">
        <v>9414</v>
      </c>
      <c r="E532" s="47" t="s">
        <v>4515</v>
      </c>
      <c r="F532" s="47" t="s">
        <v>8781</v>
      </c>
      <c r="G532" s="363">
        <v>46220</v>
      </c>
      <c r="H532" s="47" t="s">
        <v>8782</v>
      </c>
      <c r="I532" s="47" t="s">
        <v>8783</v>
      </c>
      <c r="J532" s="47" t="s">
        <v>4515</v>
      </c>
    </row>
    <row r="533" spans="2:10" ht="14.5">
      <c r="B533" s="47" t="s">
        <v>2429</v>
      </c>
      <c r="C533" s="47" t="s">
        <v>64</v>
      </c>
      <c r="D533" s="47" t="s">
        <v>9415</v>
      </c>
      <c r="E533" s="47" t="s">
        <v>2427</v>
      </c>
      <c r="F533" s="47" t="s">
        <v>8781</v>
      </c>
      <c r="G533" s="363">
        <v>46226</v>
      </c>
      <c r="H533" s="47" t="s">
        <v>8787</v>
      </c>
      <c r="I533" s="47" t="s">
        <v>8783</v>
      </c>
      <c r="J533" s="47" t="s">
        <v>2427</v>
      </c>
    </row>
    <row r="534" spans="2:10" ht="14.5">
      <c r="B534" s="47" t="s">
        <v>2436</v>
      </c>
      <c r="C534" s="47" t="s">
        <v>64</v>
      </c>
      <c r="D534" s="47" t="s">
        <v>9416</v>
      </c>
      <c r="E534" s="47" t="s">
        <v>2435</v>
      </c>
      <c r="F534" s="47" t="s">
        <v>8781</v>
      </c>
      <c r="G534" s="363">
        <v>46226</v>
      </c>
      <c r="H534" s="47" t="s">
        <v>8782</v>
      </c>
      <c r="I534" s="47" t="s">
        <v>8783</v>
      </c>
      <c r="J534" s="47" t="s">
        <v>2435</v>
      </c>
    </row>
    <row r="535" spans="2:10" ht="14.5">
      <c r="B535" s="47" t="s">
        <v>2417</v>
      </c>
      <c r="C535" s="47" t="s">
        <v>64</v>
      </c>
      <c r="D535" s="47" t="s">
        <v>9417</v>
      </c>
      <c r="E535" s="47" t="s">
        <v>2414</v>
      </c>
      <c r="F535" s="47" t="s">
        <v>8781</v>
      </c>
      <c r="G535" s="363">
        <v>46227</v>
      </c>
      <c r="H535" s="47" t="s">
        <v>8782</v>
      </c>
      <c r="I535" s="47" t="s">
        <v>8783</v>
      </c>
      <c r="J535" s="47" t="s">
        <v>2414</v>
      </c>
    </row>
    <row r="536" spans="2:10" ht="14.5">
      <c r="B536" s="47" t="s">
        <v>4575</v>
      </c>
      <c r="C536" s="47" t="s">
        <v>64</v>
      </c>
      <c r="D536" s="47" t="s">
        <v>9418</v>
      </c>
      <c r="E536" s="47" t="s">
        <v>4574</v>
      </c>
      <c r="F536" s="47" t="s">
        <v>8781</v>
      </c>
      <c r="G536" s="363">
        <v>46233</v>
      </c>
      <c r="H536" s="47" t="s">
        <v>8782</v>
      </c>
      <c r="I536" s="47" t="s">
        <v>8783</v>
      </c>
      <c r="J536" s="47" t="s">
        <v>4574</v>
      </c>
    </row>
    <row r="537" spans="2:10" ht="14.5">
      <c r="B537" s="47" t="s">
        <v>4571</v>
      </c>
      <c r="C537" s="47" t="s">
        <v>64</v>
      </c>
      <c r="D537" s="47" t="s">
        <v>9419</v>
      </c>
      <c r="E537" s="47" t="s">
        <v>4569</v>
      </c>
      <c r="F537" s="47" t="s">
        <v>8781</v>
      </c>
      <c r="G537" s="363">
        <v>46234</v>
      </c>
      <c r="H537" s="47" t="s">
        <v>8782</v>
      </c>
      <c r="I537" s="47" t="s">
        <v>8783</v>
      </c>
      <c r="J537" s="47" t="s">
        <v>4569</v>
      </c>
    </row>
    <row r="538" spans="2:10" ht="14.5">
      <c r="B538" s="47" t="s">
        <v>9420</v>
      </c>
      <c r="C538" s="47" t="s">
        <v>64</v>
      </c>
      <c r="D538" s="47" t="s">
        <v>9171</v>
      </c>
      <c r="E538" s="47" t="s">
        <v>4565</v>
      </c>
      <c r="F538" s="47" t="s">
        <v>8781</v>
      </c>
      <c r="G538" s="363">
        <v>46244</v>
      </c>
      <c r="H538" s="47" t="s">
        <v>8930</v>
      </c>
      <c r="I538" s="47" t="s">
        <v>8783</v>
      </c>
      <c r="J538" s="47" t="s">
        <v>4565</v>
      </c>
    </row>
    <row r="539" spans="2:10" ht="14.5">
      <c r="B539" s="47" t="s">
        <v>4552</v>
      </c>
      <c r="C539" s="47" t="s">
        <v>64</v>
      </c>
      <c r="D539" s="47" t="s">
        <v>9421</v>
      </c>
      <c r="E539" s="47" t="s">
        <v>4550</v>
      </c>
      <c r="F539" s="47" t="s">
        <v>8781</v>
      </c>
      <c r="G539" s="363">
        <v>46225</v>
      </c>
      <c r="H539" s="47" t="s">
        <v>8782</v>
      </c>
      <c r="I539" s="47" t="s">
        <v>8783</v>
      </c>
      <c r="J539" s="47" t="s">
        <v>4550</v>
      </c>
    </row>
    <row r="540" spans="2:10" ht="14.5">
      <c r="B540" s="47" t="s">
        <v>4556</v>
      </c>
      <c r="C540" s="47" t="s">
        <v>8779</v>
      </c>
      <c r="D540" s="47" t="s">
        <v>9422</v>
      </c>
      <c r="E540" s="47" t="s">
        <v>4553</v>
      </c>
      <c r="F540" s="47" t="s">
        <v>8781</v>
      </c>
      <c r="G540" s="363">
        <v>46225</v>
      </c>
      <c r="H540" s="47" t="s">
        <v>8782</v>
      </c>
      <c r="I540" s="47" t="s">
        <v>8783</v>
      </c>
      <c r="J540" s="47" t="s">
        <v>4553</v>
      </c>
    </row>
    <row r="541" spans="2:10" ht="14.5">
      <c r="B541" s="47" t="s">
        <v>4547</v>
      </c>
      <c r="C541" s="47" t="s">
        <v>64</v>
      </c>
      <c r="D541" s="47" t="s">
        <v>9423</v>
      </c>
      <c r="E541" s="47" t="s">
        <v>4546</v>
      </c>
      <c r="F541" s="47" t="s">
        <v>8781</v>
      </c>
      <c r="G541" s="363">
        <v>46225</v>
      </c>
      <c r="H541" s="47" t="s">
        <v>8782</v>
      </c>
      <c r="I541" s="47" t="s">
        <v>8783</v>
      </c>
      <c r="J541" s="47" t="s">
        <v>4546</v>
      </c>
    </row>
    <row r="542" spans="2:10" ht="14.5">
      <c r="B542" s="47" t="s">
        <v>4542</v>
      </c>
      <c r="C542" s="47" t="s">
        <v>64</v>
      </c>
      <c r="D542" s="47" t="s">
        <v>9424</v>
      </c>
      <c r="E542" s="47" t="s">
        <v>4539</v>
      </c>
      <c r="F542" s="47" t="s">
        <v>8781</v>
      </c>
      <c r="G542" s="363">
        <v>46230</v>
      </c>
      <c r="H542" s="47" t="s">
        <v>8782</v>
      </c>
      <c r="I542" s="47" t="s">
        <v>8783</v>
      </c>
      <c r="J542" s="47" t="s">
        <v>4539</v>
      </c>
    </row>
    <row r="543" spans="2:10" ht="14.5">
      <c r="B543" s="47" t="s">
        <v>4536</v>
      </c>
      <c r="C543" s="47" t="s">
        <v>64</v>
      </c>
      <c r="D543" s="47" t="s">
        <v>9425</v>
      </c>
      <c r="E543" s="47" t="s">
        <v>4535</v>
      </c>
      <c r="F543" s="47" t="s">
        <v>8781</v>
      </c>
      <c r="G543" s="363">
        <v>46219</v>
      </c>
      <c r="H543" s="47" t="s">
        <v>8782</v>
      </c>
      <c r="I543" s="47" t="s">
        <v>8783</v>
      </c>
      <c r="J543" s="47" t="s">
        <v>4535</v>
      </c>
    </row>
    <row r="544" spans="2:10" ht="14.5">
      <c r="B544" s="47" t="s">
        <v>4531</v>
      </c>
      <c r="C544" s="47" t="s">
        <v>8779</v>
      </c>
      <c r="D544" s="47" t="s">
        <v>9426</v>
      </c>
      <c r="E544" s="47" t="s">
        <v>4526</v>
      </c>
      <c r="F544" s="47" t="s">
        <v>8781</v>
      </c>
      <c r="G544" s="363">
        <v>46205</v>
      </c>
      <c r="H544" s="47" t="s">
        <v>8782</v>
      </c>
      <c r="I544" s="47" t="s">
        <v>8783</v>
      </c>
      <c r="J544" s="47" t="s">
        <v>4526</v>
      </c>
    </row>
    <row r="545" spans="2:10" ht="14.5">
      <c r="B545" s="47" t="s">
        <v>4519</v>
      </c>
      <c r="C545" s="47" t="s">
        <v>64</v>
      </c>
      <c r="D545" s="47" t="s">
        <v>9427</v>
      </c>
      <c r="E545" s="47" t="s">
        <v>4518</v>
      </c>
      <c r="F545" s="47" t="s">
        <v>8781</v>
      </c>
      <c r="G545" s="363">
        <v>46232</v>
      </c>
      <c r="H545" s="47" t="s">
        <v>8782</v>
      </c>
      <c r="I545" s="47" t="s">
        <v>8783</v>
      </c>
      <c r="J545" s="47" t="s">
        <v>4518</v>
      </c>
    </row>
    <row r="546" spans="2:10" ht="14.5">
      <c r="B546" s="47" t="s">
        <v>4511</v>
      </c>
      <c r="C546" s="47" t="s">
        <v>64</v>
      </c>
      <c r="D546" s="47" t="s">
        <v>9428</v>
      </c>
      <c r="E546" s="47" t="s">
        <v>4509</v>
      </c>
      <c r="F546" s="47" t="s">
        <v>8781</v>
      </c>
      <c r="G546" s="363">
        <v>46220</v>
      </c>
      <c r="H546" s="47" t="s">
        <v>8782</v>
      </c>
      <c r="I546" s="47" t="s">
        <v>8783</v>
      </c>
      <c r="J546" s="47" t="s">
        <v>4509</v>
      </c>
    </row>
    <row r="547" spans="2:10" ht="14.5">
      <c r="B547" s="47" t="s">
        <v>9429</v>
      </c>
      <c r="C547" s="47" t="s">
        <v>64</v>
      </c>
      <c r="D547" s="47" t="s">
        <v>9173</v>
      </c>
      <c r="E547" s="47" t="s">
        <v>4559</v>
      </c>
      <c r="F547" s="47" t="s">
        <v>8781</v>
      </c>
      <c r="G547" s="363">
        <v>46244</v>
      </c>
      <c r="H547" s="47" t="s">
        <v>8930</v>
      </c>
      <c r="I547" s="47" t="s">
        <v>8783</v>
      </c>
      <c r="J547" s="47" t="s">
        <v>4559</v>
      </c>
    </row>
    <row r="548" spans="2:10" ht="14.5">
      <c r="B548" s="47" t="s">
        <v>4498</v>
      </c>
      <c r="C548" s="47" t="s">
        <v>64</v>
      </c>
      <c r="D548" s="47" t="s">
        <v>9430</v>
      </c>
      <c r="E548" s="47" t="s">
        <v>4494</v>
      </c>
      <c r="F548" s="47" t="s">
        <v>8781</v>
      </c>
      <c r="G548" s="363">
        <v>46217</v>
      </c>
      <c r="H548" s="47" t="s">
        <v>8782</v>
      </c>
      <c r="I548" s="47" t="s">
        <v>8783</v>
      </c>
      <c r="J548" s="47" t="s">
        <v>4494</v>
      </c>
    </row>
    <row r="549" spans="2:10" ht="14.5">
      <c r="B549" s="47" t="s">
        <v>4490</v>
      </c>
      <c r="C549" s="47" t="s">
        <v>64</v>
      </c>
      <c r="D549" s="47" t="s">
        <v>9431</v>
      </c>
      <c r="E549" s="47" t="s">
        <v>4489</v>
      </c>
      <c r="F549" s="47" t="s">
        <v>8781</v>
      </c>
      <c r="G549" s="363">
        <v>46225</v>
      </c>
      <c r="H549" s="47" t="s">
        <v>8782</v>
      </c>
      <c r="I549" s="47" t="s">
        <v>8783</v>
      </c>
      <c r="J549" s="47" t="s">
        <v>4489</v>
      </c>
    </row>
    <row r="550" spans="2:10" ht="14.5">
      <c r="B550" s="47" t="s">
        <v>4488</v>
      </c>
      <c r="C550" s="47" t="s">
        <v>64</v>
      </c>
      <c r="D550" s="47" t="s">
        <v>9432</v>
      </c>
      <c r="E550" s="47" t="s">
        <v>4487</v>
      </c>
      <c r="F550" s="47" t="s">
        <v>8781</v>
      </c>
      <c r="G550" s="363">
        <v>46217</v>
      </c>
      <c r="H550" s="47" t="s">
        <v>8782</v>
      </c>
      <c r="I550" s="47" t="s">
        <v>8783</v>
      </c>
      <c r="J550" s="47" t="s">
        <v>4487</v>
      </c>
    </row>
    <row r="551" spans="2:10" ht="14.5">
      <c r="B551" s="47" t="s">
        <v>4484</v>
      </c>
      <c r="C551" s="47" t="s">
        <v>64</v>
      </c>
      <c r="D551" s="47" t="s">
        <v>9433</v>
      </c>
      <c r="E551" s="47" t="s">
        <v>4482</v>
      </c>
      <c r="F551" s="47" t="s">
        <v>8781</v>
      </c>
      <c r="G551" s="363">
        <v>46217</v>
      </c>
      <c r="H551" s="47" t="s">
        <v>8782</v>
      </c>
      <c r="I551" s="47" t="s">
        <v>8783</v>
      </c>
      <c r="J551" s="47" t="s">
        <v>4482</v>
      </c>
    </row>
    <row r="552" spans="2:10" ht="14.5">
      <c r="B552" s="47" t="s">
        <v>4478</v>
      </c>
      <c r="C552" s="47" t="s">
        <v>64</v>
      </c>
      <c r="D552" s="47" t="s">
        <v>9434</v>
      </c>
      <c r="E552" s="47" t="s">
        <v>4477</v>
      </c>
      <c r="F552" s="47" t="s">
        <v>8781</v>
      </c>
      <c r="G552" s="363">
        <v>46217</v>
      </c>
      <c r="H552" s="47" t="s">
        <v>8782</v>
      </c>
      <c r="I552" s="47" t="s">
        <v>8783</v>
      </c>
      <c r="J552" s="47" t="s">
        <v>4477</v>
      </c>
    </row>
    <row r="553" spans="2:10" ht="14.5">
      <c r="B553" s="47" t="s">
        <v>4473</v>
      </c>
      <c r="C553" s="47" t="s">
        <v>64</v>
      </c>
      <c r="D553" s="47" t="s">
        <v>9435</v>
      </c>
      <c r="E553" s="47" t="s">
        <v>4472</v>
      </c>
      <c r="F553" s="47" t="s">
        <v>8781</v>
      </c>
      <c r="G553" s="363">
        <v>46216</v>
      </c>
      <c r="H553" s="47" t="s">
        <v>8782</v>
      </c>
      <c r="I553" s="47" t="s">
        <v>8783</v>
      </c>
      <c r="J553" s="47" t="s">
        <v>4472</v>
      </c>
    </row>
    <row r="554" spans="2:10" ht="14.5">
      <c r="B554" s="47" t="s">
        <v>4468</v>
      </c>
      <c r="C554" s="47" t="s">
        <v>64</v>
      </c>
      <c r="D554" s="47" t="s">
        <v>9436</v>
      </c>
      <c r="E554" s="47" t="s">
        <v>4467</v>
      </c>
      <c r="F554" s="47" t="s">
        <v>8781</v>
      </c>
      <c r="G554" s="363">
        <v>46239</v>
      </c>
      <c r="H554" s="47" t="s">
        <v>8782</v>
      </c>
      <c r="I554" s="47" t="s">
        <v>8783</v>
      </c>
      <c r="J554" s="47" t="s">
        <v>4467</v>
      </c>
    </row>
    <row r="555" spans="2:10" ht="14.5">
      <c r="B555" s="47" t="s">
        <v>4466</v>
      </c>
      <c r="C555" s="47" t="s">
        <v>64</v>
      </c>
      <c r="D555" s="47" t="s">
        <v>9437</v>
      </c>
      <c r="E555" s="47" t="s">
        <v>4465</v>
      </c>
      <c r="F555" s="47" t="s">
        <v>8781</v>
      </c>
      <c r="G555" s="363">
        <v>46239</v>
      </c>
      <c r="H555" s="47" t="s">
        <v>8782</v>
      </c>
      <c r="I555" s="47" t="s">
        <v>8783</v>
      </c>
      <c r="J555" s="47" t="s">
        <v>4465</v>
      </c>
    </row>
    <row r="556" spans="2:10" ht="14.5">
      <c r="B556" s="47" t="s">
        <v>4460</v>
      </c>
      <c r="C556" s="47" t="s">
        <v>64</v>
      </c>
      <c r="D556" s="47" t="s">
        <v>9438</v>
      </c>
      <c r="E556" s="47" t="s">
        <v>4458</v>
      </c>
      <c r="F556" s="47" t="s">
        <v>8781</v>
      </c>
      <c r="G556" s="363">
        <v>46239</v>
      </c>
      <c r="H556" s="47" t="s">
        <v>8782</v>
      </c>
      <c r="I556" s="47" t="s">
        <v>8783</v>
      </c>
      <c r="J556" s="47" t="s">
        <v>4458</v>
      </c>
    </row>
    <row r="557" spans="2:10" ht="14.5">
      <c r="B557" s="47" t="s">
        <v>1388</v>
      </c>
      <c r="C557" s="47" t="s">
        <v>64</v>
      </c>
      <c r="D557" s="47" t="s">
        <v>9439</v>
      </c>
      <c r="E557" s="47"/>
      <c r="F557" s="47" t="s">
        <v>8781</v>
      </c>
      <c r="G557" s="363">
        <v>46154</v>
      </c>
      <c r="H557" s="47" t="s">
        <v>8782</v>
      </c>
      <c r="I557" s="47" t="s">
        <v>8783</v>
      </c>
      <c r="J557" s="47" t="s">
        <v>9440</v>
      </c>
    </row>
    <row r="558" spans="2:10" ht="14.5">
      <c r="B558" s="47" t="s">
        <v>2130</v>
      </c>
      <c r="C558" s="47" t="s">
        <v>8779</v>
      </c>
      <c r="D558" s="47" t="s">
        <v>9441</v>
      </c>
      <c r="E558" s="47"/>
      <c r="F558" s="47" t="s">
        <v>8781</v>
      </c>
      <c r="G558" s="363">
        <v>46178</v>
      </c>
      <c r="H558" s="47" t="s">
        <v>8782</v>
      </c>
      <c r="I558" s="47" t="s">
        <v>8783</v>
      </c>
      <c r="J558" s="47" t="s">
        <v>9442</v>
      </c>
    </row>
    <row r="559" spans="2:10" ht="14.5">
      <c r="B559" s="47" t="s">
        <v>2126</v>
      </c>
      <c r="C559" s="47" t="s">
        <v>8779</v>
      </c>
      <c r="D559" s="47" t="s">
        <v>9443</v>
      </c>
      <c r="E559" s="47"/>
      <c r="F559" s="47" t="s">
        <v>8781</v>
      </c>
      <c r="G559" s="363">
        <v>46178</v>
      </c>
      <c r="H559" s="47" t="s">
        <v>8782</v>
      </c>
      <c r="I559" s="47" t="s">
        <v>8783</v>
      </c>
      <c r="J559" s="47" t="s">
        <v>9444</v>
      </c>
    </row>
    <row r="560" spans="2:10" ht="14.5">
      <c r="B560" s="47" t="s">
        <v>2119</v>
      </c>
      <c r="C560" s="47" t="s">
        <v>64</v>
      </c>
      <c r="D560" s="47" t="s">
        <v>9443</v>
      </c>
      <c r="E560" s="47"/>
      <c r="F560" s="47" t="s">
        <v>8781</v>
      </c>
      <c r="G560" s="363">
        <v>46195</v>
      </c>
      <c r="H560" s="47" t="s">
        <v>8782</v>
      </c>
      <c r="I560" s="47" t="s">
        <v>8783</v>
      </c>
      <c r="J560" s="47" t="s">
        <v>9444</v>
      </c>
    </row>
    <row r="561" spans="2:10" ht="14.5">
      <c r="B561" s="47" t="s">
        <v>2446</v>
      </c>
      <c r="C561" s="47" t="s">
        <v>64</v>
      </c>
      <c r="D561" s="47" t="s">
        <v>9445</v>
      </c>
      <c r="E561" s="47" t="s">
        <v>2444</v>
      </c>
      <c r="F561" s="47" t="s">
        <v>8781</v>
      </c>
      <c r="G561" s="363">
        <v>46219</v>
      </c>
      <c r="H561" s="47" t="s">
        <v>8782</v>
      </c>
      <c r="I561" s="47" t="s">
        <v>8783</v>
      </c>
      <c r="J561" s="47" t="s">
        <v>2444</v>
      </c>
    </row>
    <row r="562" spans="2:10" ht="14.5">
      <c r="B562" s="47" t="s">
        <v>2440</v>
      </c>
      <c r="C562" s="47" t="s">
        <v>64</v>
      </c>
      <c r="D562" s="47" t="s">
        <v>9446</v>
      </c>
      <c r="E562" s="47" t="s">
        <v>2437</v>
      </c>
      <c r="F562" s="47" t="s">
        <v>8781</v>
      </c>
      <c r="G562" s="363">
        <v>46219</v>
      </c>
      <c r="H562" s="47" t="s">
        <v>8782</v>
      </c>
      <c r="I562" s="47" t="s">
        <v>8783</v>
      </c>
      <c r="J562" s="47" t="s">
        <v>2437</v>
      </c>
    </row>
    <row r="563" spans="2:10" ht="14.5">
      <c r="B563" s="47" t="s">
        <v>2448</v>
      </c>
      <c r="C563" s="47" t="s">
        <v>64</v>
      </c>
      <c r="D563" s="47" t="s">
        <v>9447</v>
      </c>
      <c r="E563" s="47" t="s">
        <v>2447</v>
      </c>
      <c r="F563" s="47" t="s">
        <v>8781</v>
      </c>
      <c r="G563" s="363">
        <v>46217</v>
      </c>
      <c r="H563" s="47" t="s">
        <v>8782</v>
      </c>
      <c r="I563" s="47" t="s">
        <v>8783</v>
      </c>
      <c r="J563" s="47" t="s">
        <v>2447</v>
      </c>
    </row>
    <row r="564" spans="2:10" ht="14.5">
      <c r="B564" s="47" t="s">
        <v>4447</v>
      </c>
      <c r="C564" s="47" t="s">
        <v>64</v>
      </c>
      <c r="D564" s="47" t="s">
        <v>9448</v>
      </c>
      <c r="E564" s="47" t="s">
        <v>4446</v>
      </c>
      <c r="F564" s="47" t="s">
        <v>8781</v>
      </c>
      <c r="G564" s="363">
        <v>46225</v>
      </c>
      <c r="H564" s="47" t="s">
        <v>8782</v>
      </c>
      <c r="I564" s="47" t="s">
        <v>8783</v>
      </c>
      <c r="J564" s="47" t="s">
        <v>4446</v>
      </c>
    </row>
    <row r="565" spans="2:10" ht="14.5">
      <c r="B565" s="47" t="s">
        <v>4439</v>
      </c>
      <c r="C565" s="47" t="s">
        <v>64</v>
      </c>
      <c r="D565" s="47" t="s">
        <v>9449</v>
      </c>
      <c r="E565" s="47" t="s">
        <v>4438</v>
      </c>
      <c r="F565" s="47" t="s">
        <v>8781</v>
      </c>
      <c r="G565" s="363">
        <v>46217</v>
      </c>
      <c r="H565" s="47" t="s">
        <v>8782</v>
      </c>
      <c r="I565" s="47" t="s">
        <v>8783</v>
      </c>
      <c r="J565" s="47" t="s">
        <v>4438</v>
      </c>
    </row>
    <row r="566" spans="2:10" ht="14.5">
      <c r="B566" s="47" t="s">
        <v>4443</v>
      </c>
      <c r="C566" s="47" t="s">
        <v>64</v>
      </c>
      <c r="D566" s="47" t="s">
        <v>9450</v>
      </c>
      <c r="E566" s="47" t="s">
        <v>4442</v>
      </c>
      <c r="F566" s="47" t="s">
        <v>8781</v>
      </c>
      <c r="G566" s="363">
        <v>46230</v>
      </c>
      <c r="H566" s="47" t="s">
        <v>8782</v>
      </c>
      <c r="I566" s="47" t="s">
        <v>8783</v>
      </c>
      <c r="J566" s="47" t="s">
        <v>4442</v>
      </c>
    </row>
    <row r="567" spans="2:10" ht="14.5">
      <c r="B567" s="47" t="s">
        <v>4451</v>
      </c>
      <c r="C567" s="47" t="s">
        <v>64</v>
      </c>
      <c r="D567" s="47" t="s">
        <v>9451</v>
      </c>
      <c r="E567" s="47" t="s">
        <v>4450</v>
      </c>
      <c r="F567" s="47" t="s">
        <v>8781</v>
      </c>
      <c r="G567" s="363">
        <v>46218</v>
      </c>
      <c r="H567" s="47" t="s">
        <v>8782</v>
      </c>
      <c r="I567" s="47" t="s">
        <v>8783</v>
      </c>
      <c r="J567" s="47" t="s">
        <v>4450</v>
      </c>
    </row>
    <row r="568" spans="2:10" ht="14.5">
      <c r="B568" s="47" t="s">
        <v>2409</v>
      </c>
      <c r="C568" s="47" t="s">
        <v>8779</v>
      </c>
      <c r="D568" s="47" t="s">
        <v>9452</v>
      </c>
      <c r="E568" s="47" t="s">
        <v>2407</v>
      </c>
      <c r="F568" s="47" t="s">
        <v>8781</v>
      </c>
      <c r="G568" s="363">
        <v>46191</v>
      </c>
      <c r="H568" s="47" t="s">
        <v>8782</v>
      </c>
      <c r="I568" s="47" t="s">
        <v>8783</v>
      </c>
      <c r="J568" s="47" t="s">
        <v>2407</v>
      </c>
    </row>
    <row r="569" spans="2:10" ht="14.5">
      <c r="B569" s="47" t="s">
        <v>2424</v>
      </c>
      <c r="C569" s="47" t="s">
        <v>64</v>
      </c>
      <c r="D569" s="47" t="s">
        <v>9453</v>
      </c>
      <c r="E569" s="47" t="s">
        <v>2421</v>
      </c>
      <c r="F569" s="47" t="s">
        <v>8781</v>
      </c>
      <c r="G569" s="363">
        <v>46211</v>
      </c>
      <c r="H569" s="47" t="s">
        <v>8782</v>
      </c>
      <c r="I569" s="47" t="s">
        <v>8783</v>
      </c>
      <c r="J569" s="47" t="s">
        <v>2421</v>
      </c>
    </row>
    <row r="570" spans="2:10" ht="14.5">
      <c r="B570" s="47" t="s">
        <v>4434</v>
      </c>
      <c r="C570" s="47" t="s">
        <v>64</v>
      </c>
      <c r="D570" s="47" t="s">
        <v>9454</v>
      </c>
      <c r="E570" s="47" t="s">
        <v>4433</v>
      </c>
      <c r="F570" s="47" t="s">
        <v>8781</v>
      </c>
      <c r="G570" s="363">
        <v>46223</v>
      </c>
      <c r="H570" s="47" t="s">
        <v>8782</v>
      </c>
      <c r="I570" s="47" t="s">
        <v>8783</v>
      </c>
      <c r="J570" s="47" t="s">
        <v>4433</v>
      </c>
    </row>
    <row r="571" spans="2:10" ht="14.5">
      <c r="B571" s="47" t="s">
        <v>4455</v>
      </c>
      <c r="C571" s="47" t="s">
        <v>64</v>
      </c>
      <c r="D571" s="47" t="s">
        <v>9455</v>
      </c>
      <c r="E571" s="47" t="s">
        <v>4454</v>
      </c>
      <c r="F571" s="47" t="s">
        <v>8781</v>
      </c>
      <c r="G571" s="363">
        <v>46218</v>
      </c>
      <c r="H571" s="47" t="s">
        <v>8782</v>
      </c>
      <c r="I571" s="47" t="s">
        <v>8783</v>
      </c>
      <c r="J571" s="47" t="s">
        <v>4454</v>
      </c>
    </row>
    <row r="572" spans="2:10" ht="14.5">
      <c r="B572" s="47" t="s">
        <v>7995</v>
      </c>
      <c r="C572" s="47" t="s">
        <v>64</v>
      </c>
      <c r="D572" s="47" t="s">
        <v>9456</v>
      </c>
      <c r="E572" s="47" t="s">
        <v>9457</v>
      </c>
      <c r="F572" s="47" t="s">
        <v>8829</v>
      </c>
      <c r="G572" s="363">
        <v>46196</v>
      </c>
      <c r="H572" s="47" t="s">
        <v>8782</v>
      </c>
      <c r="I572" s="47" t="s">
        <v>8783</v>
      </c>
      <c r="J572" s="47" t="s">
        <v>7993</v>
      </c>
    </row>
    <row r="573" spans="2:10" ht="14.5">
      <c r="B573" s="47" t="s">
        <v>9458</v>
      </c>
      <c r="C573" s="47" t="s">
        <v>64</v>
      </c>
      <c r="D573" s="47" t="s">
        <v>9459</v>
      </c>
      <c r="E573" s="47" t="s">
        <v>9460</v>
      </c>
      <c r="F573" s="47" t="s">
        <v>8829</v>
      </c>
      <c r="G573" s="363">
        <v>46191</v>
      </c>
      <c r="H573" s="47" t="s">
        <v>8782</v>
      </c>
      <c r="I573" s="47" t="s">
        <v>8783</v>
      </c>
      <c r="J573" s="47" t="s">
        <v>7999</v>
      </c>
    </row>
    <row r="574" spans="2:10" ht="14.5">
      <c r="B574" s="47" t="s">
        <v>2311</v>
      </c>
      <c r="C574" s="47" t="s">
        <v>64</v>
      </c>
      <c r="D574" s="47" t="s">
        <v>9461</v>
      </c>
      <c r="E574" s="47" t="s">
        <v>2310</v>
      </c>
      <c r="F574" s="47" t="s">
        <v>8781</v>
      </c>
      <c r="G574" s="363">
        <v>46231</v>
      </c>
      <c r="H574" s="47" t="s">
        <v>8782</v>
      </c>
      <c r="I574" s="47" t="s">
        <v>8783</v>
      </c>
      <c r="J574" s="47" t="s">
        <v>2310</v>
      </c>
    </row>
    <row r="575" spans="2:10" ht="14.5">
      <c r="B575" s="47" t="s">
        <v>2317</v>
      </c>
      <c r="C575" s="47" t="s">
        <v>64</v>
      </c>
      <c r="D575" s="47" t="s">
        <v>9462</v>
      </c>
      <c r="E575" s="47" t="s">
        <v>2316</v>
      </c>
      <c r="F575" s="47" t="s">
        <v>8781</v>
      </c>
      <c r="G575" s="363">
        <v>46231</v>
      </c>
      <c r="H575" s="47" t="s">
        <v>8782</v>
      </c>
      <c r="I575" s="47" t="s">
        <v>8783</v>
      </c>
      <c r="J575" s="47" t="s">
        <v>2316</v>
      </c>
    </row>
    <row r="576" spans="2:10" ht="14.5">
      <c r="B576" s="47" t="s">
        <v>2320</v>
      </c>
      <c r="C576" s="47" t="s">
        <v>64</v>
      </c>
      <c r="D576" s="47" t="s">
        <v>9463</v>
      </c>
      <c r="E576" s="47" t="s">
        <v>2318</v>
      </c>
      <c r="F576" s="47" t="s">
        <v>8781</v>
      </c>
      <c r="G576" s="363">
        <v>46198</v>
      </c>
      <c r="H576" s="47" t="s">
        <v>8782</v>
      </c>
      <c r="I576" s="47" t="s">
        <v>8783</v>
      </c>
      <c r="J576" s="47" t="s">
        <v>2318</v>
      </c>
    </row>
    <row r="577" spans="2:10" ht="14.5">
      <c r="B577" s="47" t="s">
        <v>2324</v>
      </c>
      <c r="C577" s="47" t="s">
        <v>64</v>
      </c>
      <c r="D577" s="47" t="s">
        <v>9464</v>
      </c>
      <c r="E577" s="47" t="s">
        <v>1016</v>
      </c>
      <c r="F577" s="47" t="s">
        <v>8781</v>
      </c>
      <c r="G577" s="363">
        <v>46213</v>
      </c>
      <c r="H577" s="47" t="s">
        <v>8782</v>
      </c>
      <c r="I577" s="47" t="s">
        <v>8783</v>
      </c>
      <c r="J577" s="47" t="s">
        <v>1016</v>
      </c>
    </row>
    <row r="578" spans="2:10" ht="14.5">
      <c r="B578" s="47" t="s">
        <v>2329</v>
      </c>
      <c r="C578" s="47" t="s">
        <v>64</v>
      </c>
      <c r="D578" s="47" t="s">
        <v>9465</v>
      </c>
      <c r="E578" s="47" t="s">
        <v>2327</v>
      </c>
      <c r="F578" s="47" t="s">
        <v>8781</v>
      </c>
      <c r="G578" s="363">
        <v>46213</v>
      </c>
      <c r="H578" s="47" t="s">
        <v>8782</v>
      </c>
      <c r="I578" s="47" t="s">
        <v>8783</v>
      </c>
      <c r="J578" s="47" t="s">
        <v>2327</v>
      </c>
    </row>
    <row r="579" spans="2:10" ht="14.5">
      <c r="B579" s="47" t="s">
        <v>2344</v>
      </c>
      <c r="C579" s="47" t="s">
        <v>64</v>
      </c>
      <c r="D579" s="47" t="s">
        <v>9466</v>
      </c>
      <c r="E579" s="47" t="s">
        <v>2342</v>
      </c>
      <c r="F579" s="47" t="s">
        <v>8781</v>
      </c>
      <c r="G579" s="363">
        <v>46209</v>
      </c>
      <c r="H579" s="47" t="s">
        <v>8782</v>
      </c>
      <c r="I579" s="47" t="s">
        <v>8783</v>
      </c>
      <c r="J579" s="47" t="s">
        <v>2342</v>
      </c>
    </row>
    <row r="580" spans="2:10" ht="14.5">
      <c r="B580" s="47" t="s">
        <v>2333</v>
      </c>
      <c r="C580" s="47" t="s">
        <v>64</v>
      </c>
      <c r="D580" s="47" t="s">
        <v>9467</v>
      </c>
      <c r="E580" s="47" t="s">
        <v>2332</v>
      </c>
      <c r="F580" s="47" t="s">
        <v>8781</v>
      </c>
      <c r="G580" s="363">
        <v>46213</v>
      </c>
      <c r="H580" s="47" t="s">
        <v>8782</v>
      </c>
      <c r="I580" s="47" t="s">
        <v>8783</v>
      </c>
      <c r="J580" s="47" t="s">
        <v>2332</v>
      </c>
    </row>
    <row r="581" spans="2:10" ht="14.5">
      <c r="B581" s="47" t="s">
        <v>2358</v>
      </c>
      <c r="C581" s="47" t="s">
        <v>64</v>
      </c>
      <c r="D581" s="47" t="s">
        <v>9468</v>
      </c>
      <c r="E581" s="47" t="s">
        <v>2356</v>
      </c>
      <c r="F581" s="47" t="s">
        <v>8781</v>
      </c>
      <c r="G581" s="363">
        <v>46219</v>
      </c>
      <c r="H581" s="47" t="s">
        <v>8782</v>
      </c>
      <c r="I581" s="47" t="s">
        <v>8783</v>
      </c>
      <c r="J581" s="47" t="s">
        <v>2356</v>
      </c>
    </row>
    <row r="582" spans="2:10" ht="14.5">
      <c r="B582" s="47" t="s">
        <v>2363</v>
      </c>
      <c r="C582" s="47" t="s">
        <v>64</v>
      </c>
      <c r="D582" s="47" t="s">
        <v>9469</v>
      </c>
      <c r="E582" s="47" t="s">
        <v>2362</v>
      </c>
      <c r="F582" s="47" t="s">
        <v>8781</v>
      </c>
      <c r="G582" s="363">
        <v>46206</v>
      </c>
      <c r="H582" s="47" t="s">
        <v>8782</v>
      </c>
      <c r="I582" s="47" t="s">
        <v>8783</v>
      </c>
      <c r="J582" s="47" t="s">
        <v>2362</v>
      </c>
    </row>
    <row r="583" spans="2:10" ht="14.5">
      <c r="B583" s="47" t="s">
        <v>2390</v>
      </c>
      <c r="C583" s="47" t="s">
        <v>8779</v>
      </c>
      <c r="D583" s="47" t="s">
        <v>9470</v>
      </c>
      <c r="E583" s="47" t="s">
        <v>2387</v>
      </c>
      <c r="F583" s="47" t="s">
        <v>8781</v>
      </c>
      <c r="G583" s="363">
        <v>46204</v>
      </c>
      <c r="H583" s="47" t="s">
        <v>8782</v>
      </c>
      <c r="I583" s="47" t="s">
        <v>8783</v>
      </c>
      <c r="J583" s="47" t="s">
        <v>2387</v>
      </c>
    </row>
    <row r="584" spans="2:10" ht="14.5">
      <c r="B584" s="47" t="s">
        <v>2367</v>
      </c>
      <c r="C584" s="47" t="s">
        <v>64</v>
      </c>
      <c r="D584" s="47" t="s">
        <v>9471</v>
      </c>
      <c r="E584" s="47" t="s">
        <v>2366</v>
      </c>
      <c r="F584" s="47" t="s">
        <v>8781</v>
      </c>
      <c r="G584" s="363">
        <v>46216</v>
      </c>
      <c r="H584" s="47" t="s">
        <v>8782</v>
      </c>
      <c r="I584" s="47" t="s">
        <v>8783</v>
      </c>
      <c r="J584" s="47" t="s">
        <v>9472</v>
      </c>
    </row>
    <row r="585" spans="2:10" ht="14.5">
      <c r="B585" s="47" t="s">
        <v>9473</v>
      </c>
      <c r="C585" s="47" t="s">
        <v>64</v>
      </c>
      <c r="D585" s="47" t="s">
        <v>9175</v>
      </c>
      <c r="E585" s="47" t="s">
        <v>9474</v>
      </c>
      <c r="F585" s="47" t="s">
        <v>8781</v>
      </c>
      <c r="G585" s="363">
        <v>46223</v>
      </c>
      <c r="H585" s="47" t="s">
        <v>8930</v>
      </c>
      <c r="I585" s="47" t="s">
        <v>8783</v>
      </c>
      <c r="J585" s="47" t="s">
        <v>9474</v>
      </c>
    </row>
    <row r="586" spans="2:10" ht="14.5">
      <c r="B586" s="47" t="s">
        <v>2374</v>
      </c>
      <c r="C586" s="47" t="s">
        <v>64</v>
      </c>
      <c r="D586" s="47" t="s">
        <v>9475</v>
      </c>
      <c r="E586" s="47" t="s">
        <v>2371</v>
      </c>
      <c r="F586" s="47" t="s">
        <v>8781</v>
      </c>
      <c r="G586" s="363">
        <v>46211</v>
      </c>
      <c r="H586" s="47" t="s">
        <v>8782</v>
      </c>
      <c r="I586" s="47" t="s">
        <v>8783</v>
      </c>
      <c r="J586" s="47" t="s">
        <v>2371</v>
      </c>
    </row>
    <row r="587" spans="2:10" ht="14.5">
      <c r="B587" s="47" t="s">
        <v>2300</v>
      </c>
      <c r="C587" s="47" t="s">
        <v>64</v>
      </c>
      <c r="D587" s="47" t="s">
        <v>9476</v>
      </c>
      <c r="E587" s="47" t="s">
        <v>2296</v>
      </c>
      <c r="F587" s="47" t="s">
        <v>8781</v>
      </c>
      <c r="G587" s="363">
        <v>46231</v>
      </c>
      <c r="H587" s="47" t="s">
        <v>8782</v>
      </c>
      <c r="I587" s="47" t="s">
        <v>8783</v>
      </c>
      <c r="J587" s="47" t="s">
        <v>2296</v>
      </c>
    </row>
    <row r="588" spans="2:10" ht="14.5">
      <c r="B588" s="47" t="s">
        <v>2309</v>
      </c>
      <c r="C588" s="47" t="s">
        <v>64</v>
      </c>
      <c r="D588" s="47" t="s">
        <v>9477</v>
      </c>
      <c r="E588" s="47" t="s">
        <v>2306</v>
      </c>
      <c r="F588" s="47" t="s">
        <v>8781</v>
      </c>
      <c r="G588" s="363">
        <v>46231</v>
      </c>
      <c r="H588" s="47" t="s">
        <v>8782</v>
      </c>
      <c r="I588" s="47" t="s">
        <v>8783</v>
      </c>
      <c r="J588" s="47" t="s">
        <v>2306</v>
      </c>
    </row>
    <row r="589" spans="2:10" ht="14.5">
      <c r="B589" s="47" t="s">
        <v>2335</v>
      </c>
      <c r="C589" s="47" t="s">
        <v>64</v>
      </c>
      <c r="D589" s="47" t="s">
        <v>9478</v>
      </c>
      <c r="E589" s="47" t="s">
        <v>2334</v>
      </c>
      <c r="F589" s="47" t="s">
        <v>8781</v>
      </c>
      <c r="G589" s="363">
        <v>46213</v>
      </c>
      <c r="H589" s="47" t="s">
        <v>8782</v>
      </c>
      <c r="I589" s="47" t="s">
        <v>8783</v>
      </c>
      <c r="J589" s="47" t="s">
        <v>2334</v>
      </c>
    </row>
    <row r="590" spans="2:10" ht="14.5">
      <c r="B590" s="47" t="s">
        <v>2341</v>
      </c>
      <c r="C590" s="47" t="s">
        <v>64</v>
      </c>
      <c r="D590" s="47" t="s">
        <v>9479</v>
      </c>
      <c r="E590" s="47" t="s">
        <v>2340</v>
      </c>
      <c r="F590" s="47" t="s">
        <v>8781</v>
      </c>
      <c r="G590" s="363">
        <v>46213</v>
      </c>
      <c r="H590" s="47" t="s">
        <v>8782</v>
      </c>
      <c r="I590" s="47" t="s">
        <v>8783</v>
      </c>
      <c r="J590" s="47" t="s">
        <v>2340</v>
      </c>
    </row>
    <row r="591" spans="2:10" ht="14.5">
      <c r="B591" s="47" t="s">
        <v>2339</v>
      </c>
      <c r="C591" s="47" t="s">
        <v>64</v>
      </c>
      <c r="D591" s="47" t="s">
        <v>9480</v>
      </c>
      <c r="E591" s="47" t="s">
        <v>2338</v>
      </c>
      <c r="F591" s="47" t="s">
        <v>8781</v>
      </c>
      <c r="G591" s="363">
        <v>46213</v>
      </c>
      <c r="H591" s="47" t="s">
        <v>8782</v>
      </c>
      <c r="I591" s="47" t="s">
        <v>8783</v>
      </c>
      <c r="J591" s="47" t="s">
        <v>2338</v>
      </c>
    </row>
    <row r="592" spans="2:10" ht="14.5">
      <c r="B592" s="47" t="s">
        <v>2350</v>
      </c>
      <c r="C592" s="47" t="s">
        <v>64</v>
      </c>
      <c r="D592" s="47" t="s">
        <v>9481</v>
      </c>
      <c r="E592" s="47" t="s">
        <v>2348</v>
      </c>
      <c r="F592" s="47" t="s">
        <v>8781</v>
      </c>
      <c r="G592" s="363">
        <v>46212</v>
      </c>
      <c r="H592" s="47" t="s">
        <v>8782</v>
      </c>
      <c r="I592" s="47" t="s">
        <v>8783</v>
      </c>
      <c r="J592" s="47" t="s">
        <v>2348</v>
      </c>
    </row>
    <row r="593" spans="2:10" ht="14.5">
      <c r="B593" s="47" t="s">
        <v>2355</v>
      </c>
      <c r="C593" s="47" t="s">
        <v>64</v>
      </c>
      <c r="D593" s="47" t="s">
        <v>9482</v>
      </c>
      <c r="E593" s="47" t="s">
        <v>2354</v>
      </c>
      <c r="F593" s="47" t="s">
        <v>8781</v>
      </c>
      <c r="G593" s="363">
        <v>46212</v>
      </c>
      <c r="H593" s="47" t="s">
        <v>8782</v>
      </c>
      <c r="I593" s="47" t="s">
        <v>8783</v>
      </c>
      <c r="J593" s="47" t="s">
        <v>2354</v>
      </c>
    </row>
    <row r="594" spans="2:10" ht="14.5">
      <c r="B594" s="47" t="s">
        <v>2397</v>
      </c>
      <c r="C594" s="47" t="s">
        <v>8779</v>
      </c>
      <c r="D594" s="47" t="s">
        <v>9483</v>
      </c>
      <c r="E594" s="47" t="s">
        <v>2393</v>
      </c>
      <c r="F594" s="47" t="s">
        <v>8781</v>
      </c>
      <c r="G594" s="363">
        <v>46203</v>
      </c>
      <c r="H594" s="47" t="s">
        <v>8782</v>
      </c>
      <c r="I594" s="47" t="s">
        <v>8783</v>
      </c>
      <c r="J594" s="47" t="s">
        <v>2393</v>
      </c>
    </row>
    <row r="595" spans="2:10" ht="14.5">
      <c r="B595" s="47" t="s">
        <v>2403</v>
      </c>
      <c r="C595" s="47" t="s">
        <v>8779</v>
      </c>
      <c r="D595" s="47" t="s">
        <v>9484</v>
      </c>
      <c r="E595" s="47" t="s">
        <v>2402</v>
      </c>
      <c r="F595" s="47" t="s">
        <v>8781</v>
      </c>
      <c r="G595" s="363">
        <v>46203</v>
      </c>
      <c r="H595" s="47" t="s">
        <v>8782</v>
      </c>
      <c r="I595" s="47" t="s">
        <v>8783</v>
      </c>
      <c r="J595" s="47" t="s">
        <v>2402</v>
      </c>
    </row>
    <row r="596" spans="2:10" ht="14.5">
      <c r="B596" s="47" t="s">
        <v>9485</v>
      </c>
      <c r="C596" s="47" t="s">
        <v>64</v>
      </c>
      <c r="D596" s="47" t="s">
        <v>9486</v>
      </c>
      <c r="E596" s="47" t="s">
        <v>9487</v>
      </c>
      <c r="F596" s="47" t="s">
        <v>8829</v>
      </c>
      <c r="G596" s="363">
        <v>46173</v>
      </c>
      <c r="H596" s="47" t="s">
        <v>8782</v>
      </c>
      <c r="I596" s="47" t="s">
        <v>8783</v>
      </c>
      <c r="J596" s="47" t="s">
        <v>9487</v>
      </c>
    </row>
    <row r="597" spans="2:10" ht="14.5">
      <c r="B597" s="47" t="s">
        <v>2060</v>
      </c>
      <c r="C597" s="47" t="s">
        <v>8779</v>
      </c>
      <c r="D597" s="47" t="s">
        <v>9488</v>
      </c>
      <c r="E597" s="47"/>
      <c r="F597" s="47" t="s">
        <v>8781</v>
      </c>
      <c r="G597" s="363">
        <v>46184</v>
      </c>
      <c r="H597" s="47" t="s">
        <v>8782</v>
      </c>
      <c r="I597" s="47" t="s">
        <v>8783</v>
      </c>
      <c r="J597" s="47" t="s">
        <v>9489</v>
      </c>
    </row>
    <row r="598" spans="2:10" ht="14.5">
      <c r="B598" s="47" t="s">
        <v>2055</v>
      </c>
      <c r="C598" s="47" t="s">
        <v>8779</v>
      </c>
      <c r="D598" s="47" t="s">
        <v>9490</v>
      </c>
      <c r="E598" s="47"/>
      <c r="F598" s="47" t="s">
        <v>8781</v>
      </c>
      <c r="G598" s="363">
        <v>46168</v>
      </c>
      <c r="H598" s="47" t="s">
        <v>8782</v>
      </c>
      <c r="I598" s="47" t="s">
        <v>8783</v>
      </c>
      <c r="J598" s="47" t="s">
        <v>9491</v>
      </c>
    </row>
    <row r="599" spans="2:10" ht="14.5">
      <c r="B599" s="47" t="s">
        <v>1874</v>
      </c>
      <c r="C599" s="47" t="s">
        <v>64</v>
      </c>
      <c r="D599" s="47" t="s">
        <v>9492</v>
      </c>
      <c r="E599" s="47"/>
      <c r="F599" s="47" t="s">
        <v>8781</v>
      </c>
      <c r="G599" s="363">
        <v>46173</v>
      </c>
      <c r="H599" s="47" t="s">
        <v>8782</v>
      </c>
      <c r="I599" s="47" t="s">
        <v>8783</v>
      </c>
      <c r="J599" s="47" t="s">
        <v>9493</v>
      </c>
    </row>
    <row r="600" spans="2:10" ht="14.5">
      <c r="B600" s="47" t="s">
        <v>1872</v>
      </c>
      <c r="C600" s="47" t="s">
        <v>8779</v>
      </c>
      <c r="D600" s="47" t="s">
        <v>9492</v>
      </c>
      <c r="E600" s="47"/>
      <c r="F600" s="47" t="s">
        <v>8781</v>
      </c>
      <c r="G600" s="363">
        <v>46167</v>
      </c>
      <c r="H600" s="47" t="s">
        <v>8782</v>
      </c>
      <c r="I600" s="47" t="s">
        <v>8783</v>
      </c>
      <c r="J600" s="47" t="s">
        <v>9494</v>
      </c>
    </row>
    <row r="601" spans="2:10" ht="14.5">
      <c r="B601" s="47" t="s">
        <v>1869</v>
      </c>
      <c r="C601" s="47" t="s">
        <v>8779</v>
      </c>
      <c r="D601" s="47" t="s">
        <v>9495</v>
      </c>
      <c r="E601" s="47"/>
      <c r="F601" s="47" t="s">
        <v>8781</v>
      </c>
      <c r="G601" s="363">
        <v>46139</v>
      </c>
      <c r="H601" s="47" t="s">
        <v>8782</v>
      </c>
      <c r="I601" s="47" t="s">
        <v>8783</v>
      </c>
      <c r="J601" s="47" t="s">
        <v>9496</v>
      </c>
    </row>
    <row r="602" spans="2:10" ht="14.5">
      <c r="B602" s="47" t="s">
        <v>1277</v>
      </c>
      <c r="C602" s="47" t="s">
        <v>8779</v>
      </c>
      <c r="D602" s="47" t="s">
        <v>9439</v>
      </c>
      <c r="E602" s="47"/>
      <c r="F602" s="47" t="s">
        <v>8781</v>
      </c>
      <c r="G602" s="363">
        <v>46146</v>
      </c>
      <c r="H602" s="47" t="s">
        <v>8782</v>
      </c>
      <c r="I602" s="47" t="s">
        <v>8783</v>
      </c>
      <c r="J602" s="47" t="s">
        <v>9497</v>
      </c>
    </row>
    <row r="603" spans="2:10" ht="14.5">
      <c r="B603" s="47" t="s">
        <v>1265</v>
      </c>
      <c r="C603" s="47" t="s">
        <v>8779</v>
      </c>
      <c r="D603" s="47" t="s">
        <v>9498</v>
      </c>
      <c r="E603" s="47"/>
      <c r="F603" s="47" t="s">
        <v>8781</v>
      </c>
      <c r="G603" s="363">
        <v>46146</v>
      </c>
      <c r="H603" s="47" t="s">
        <v>8782</v>
      </c>
      <c r="I603" s="47" t="s">
        <v>8783</v>
      </c>
      <c r="J603" s="47" t="s">
        <v>9499</v>
      </c>
    </row>
    <row r="604" spans="2:10" ht="14.5">
      <c r="B604" s="47" t="s">
        <v>1457</v>
      </c>
      <c r="C604" s="47" t="s">
        <v>8779</v>
      </c>
      <c r="D604" s="47" t="s">
        <v>9500</v>
      </c>
      <c r="E604" s="47"/>
      <c r="F604" s="47" t="s">
        <v>8781</v>
      </c>
      <c r="G604" s="363">
        <v>46164</v>
      </c>
      <c r="H604" s="47" t="s">
        <v>8782</v>
      </c>
      <c r="I604" s="47" t="s">
        <v>8783</v>
      </c>
      <c r="J604" s="47" t="s">
        <v>9501</v>
      </c>
    </row>
    <row r="605" spans="2:10" ht="14.5">
      <c r="B605" s="47" t="s">
        <v>1452</v>
      </c>
      <c r="C605" s="47" t="s">
        <v>8779</v>
      </c>
      <c r="D605" s="47" t="s">
        <v>9502</v>
      </c>
      <c r="E605" s="47"/>
      <c r="F605" s="47" t="s">
        <v>8781</v>
      </c>
      <c r="G605" s="363">
        <v>46139</v>
      </c>
      <c r="H605" s="47" t="s">
        <v>8782</v>
      </c>
      <c r="I605" s="47" t="s">
        <v>8783</v>
      </c>
      <c r="J605" s="47" t="s">
        <v>9503</v>
      </c>
    </row>
    <row r="606" spans="2:10" ht="14.5">
      <c r="B606" s="47" t="s">
        <v>2213</v>
      </c>
      <c r="C606" s="47" t="s">
        <v>64</v>
      </c>
      <c r="D606" s="47" t="s">
        <v>9504</v>
      </c>
      <c r="E606" s="47" t="s">
        <v>2211</v>
      </c>
      <c r="F606" s="47" t="s">
        <v>8781</v>
      </c>
      <c r="G606" s="363">
        <v>46199</v>
      </c>
      <c r="H606" s="47" t="s">
        <v>8782</v>
      </c>
      <c r="I606" s="47" t="s">
        <v>8783</v>
      </c>
      <c r="J606" s="47" t="s">
        <v>2211</v>
      </c>
    </row>
    <row r="607" spans="2:10" ht="14.5">
      <c r="B607" s="47" t="s">
        <v>2217</v>
      </c>
      <c r="C607" s="47" t="s">
        <v>64</v>
      </c>
      <c r="D607" s="47" t="s">
        <v>9505</v>
      </c>
      <c r="E607" s="47" t="s">
        <v>2216</v>
      </c>
      <c r="F607" s="47" t="s">
        <v>8781</v>
      </c>
      <c r="G607" s="363">
        <v>46212</v>
      </c>
      <c r="H607" s="47" t="s">
        <v>8782</v>
      </c>
      <c r="I607" s="47" t="s">
        <v>8783</v>
      </c>
      <c r="J607" s="47" t="s">
        <v>2216</v>
      </c>
    </row>
    <row r="608" spans="2:10" ht="14.5">
      <c r="B608" s="47" t="s">
        <v>2222</v>
      </c>
      <c r="C608" s="47" t="s">
        <v>64</v>
      </c>
      <c r="D608" s="47" t="s">
        <v>9506</v>
      </c>
      <c r="E608" s="47" t="s">
        <v>2221</v>
      </c>
      <c r="F608" s="47" t="s">
        <v>8781</v>
      </c>
      <c r="G608" s="363">
        <v>46191</v>
      </c>
      <c r="H608" s="47" t="s">
        <v>8782</v>
      </c>
      <c r="I608" s="47" t="s">
        <v>8783</v>
      </c>
      <c r="J608" s="47" t="s">
        <v>2221</v>
      </c>
    </row>
    <row r="609" spans="2:10" ht="14.5">
      <c r="B609" s="47" t="s">
        <v>1848</v>
      </c>
      <c r="C609" s="47" t="s">
        <v>64</v>
      </c>
      <c r="D609" s="47" t="s">
        <v>9507</v>
      </c>
      <c r="E609" s="47"/>
      <c r="F609" s="47" t="s">
        <v>8781</v>
      </c>
      <c r="G609" s="363">
        <v>46196</v>
      </c>
      <c r="H609" s="47" t="s">
        <v>8782</v>
      </c>
      <c r="I609" s="47" t="s">
        <v>8783</v>
      </c>
      <c r="J609" s="47" t="s">
        <v>9508</v>
      </c>
    </row>
    <row r="610" spans="2:10" ht="14.5">
      <c r="B610" s="47" t="s">
        <v>2184</v>
      </c>
      <c r="C610" s="47" t="s">
        <v>64</v>
      </c>
      <c r="D610" s="47" t="s">
        <v>9509</v>
      </c>
      <c r="E610" s="47" t="s">
        <v>2182</v>
      </c>
      <c r="F610" s="47" t="s">
        <v>8781</v>
      </c>
      <c r="G610" s="363">
        <v>46192</v>
      </c>
      <c r="H610" s="47" t="s">
        <v>8782</v>
      </c>
      <c r="I610" s="47" t="s">
        <v>8783</v>
      </c>
      <c r="J610" s="47" t="s">
        <v>2182</v>
      </c>
    </row>
    <row r="611" spans="2:10" ht="14.5">
      <c r="B611" s="47" t="s">
        <v>2188</v>
      </c>
      <c r="C611" s="47" t="s">
        <v>64</v>
      </c>
      <c r="D611" s="47" t="s">
        <v>9510</v>
      </c>
      <c r="E611" s="47" t="s">
        <v>2187</v>
      </c>
      <c r="F611" s="47" t="s">
        <v>8781</v>
      </c>
      <c r="G611" s="363">
        <v>46192</v>
      </c>
      <c r="H611" s="47" t="s">
        <v>8782</v>
      </c>
      <c r="I611" s="47" t="s">
        <v>8783</v>
      </c>
      <c r="J611" s="47" t="s">
        <v>2187</v>
      </c>
    </row>
    <row r="612" spans="2:10" ht="14.5">
      <c r="B612" s="47" t="s">
        <v>2231</v>
      </c>
      <c r="C612" s="47" t="s">
        <v>64</v>
      </c>
      <c r="D612" s="47" t="s">
        <v>9511</v>
      </c>
      <c r="E612" s="47" t="s">
        <v>2230</v>
      </c>
      <c r="F612" s="47" t="s">
        <v>8781</v>
      </c>
      <c r="G612" s="363">
        <v>46209</v>
      </c>
      <c r="H612" s="47" t="s">
        <v>8782</v>
      </c>
      <c r="I612" s="47" t="s">
        <v>8783</v>
      </c>
      <c r="J612" s="47" t="s">
        <v>2239</v>
      </c>
    </row>
    <row r="613" spans="2:10" ht="14.5">
      <c r="B613" s="47" t="s">
        <v>2236</v>
      </c>
      <c r="C613" s="47" t="s">
        <v>64</v>
      </c>
      <c r="D613" s="47" t="s">
        <v>9512</v>
      </c>
      <c r="E613" s="47" t="s">
        <v>2235</v>
      </c>
      <c r="F613" s="47" t="s">
        <v>8781</v>
      </c>
      <c r="G613" s="363">
        <v>46210</v>
      </c>
      <c r="H613" s="47" t="s">
        <v>8782</v>
      </c>
      <c r="I613" s="47" t="s">
        <v>8783</v>
      </c>
      <c r="J613" s="47" t="s">
        <v>2235</v>
      </c>
    </row>
    <row r="614" spans="2:10" ht="14.5">
      <c r="B614" s="47" t="s">
        <v>2240</v>
      </c>
      <c r="C614" s="47" t="s">
        <v>64</v>
      </c>
      <c r="D614" s="47" t="s">
        <v>9513</v>
      </c>
      <c r="E614" s="47" t="s">
        <v>2239</v>
      </c>
      <c r="F614" s="47" t="s">
        <v>8781</v>
      </c>
      <c r="G614" s="363">
        <v>46210</v>
      </c>
      <c r="H614" s="47" t="s">
        <v>8782</v>
      </c>
      <c r="I614" s="47" t="s">
        <v>8783</v>
      </c>
      <c r="J614" s="47" t="s">
        <v>2239</v>
      </c>
    </row>
    <row r="615" spans="2:10" ht="14.5">
      <c r="B615" s="47" t="s">
        <v>2238</v>
      </c>
      <c r="C615" s="47" t="s">
        <v>64</v>
      </c>
      <c r="D615" s="47" t="s">
        <v>9514</v>
      </c>
      <c r="E615" s="47" t="s">
        <v>2237</v>
      </c>
      <c r="F615" s="47" t="s">
        <v>8781</v>
      </c>
      <c r="G615" s="363">
        <v>46210</v>
      </c>
      <c r="H615" s="47" t="s">
        <v>8782</v>
      </c>
      <c r="I615" s="47" t="s">
        <v>8783</v>
      </c>
      <c r="J615" s="47" t="s">
        <v>2237</v>
      </c>
    </row>
    <row r="616" spans="2:10" ht="14.5">
      <c r="B616" s="47" t="s">
        <v>2242</v>
      </c>
      <c r="C616" s="47" t="s">
        <v>64</v>
      </c>
      <c r="D616" s="47" t="s">
        <v>9515</v>
      </c>
      <c r="E616" s="47" t="s">
        <v>2241</v>
      </c>
      <c r="F616" s="47" t="s">
        <v>8781</v>
      </c>
      <c r="G616" s="363">
        <v>46210</v>
      </c>
      <c r="H616" s="47" t="s">
        <v>8782</v>
      </c>
      <c r="I616" s="47" t="s">
        <v>8783</v>
      </c>
      <c r="J616" s="47" t="s">
        <v>2241</v>
      </c>
    </row>
    <row r="617" spans="2:10" ht="14.5">
      <c r="B617" s="47" t="s">
        <v>2244</v>
      </c>
      <c r="C617" s="47" t="s">
        <v>64</v>
      </c>
      <c r="D617" s="47" t="s">
        <v>9516</v>
      </c>
      <c r="E617" s="47" t="s">
        <v>2243</v>
      </c>
      <c r="F617" s="47" t="s">
        <v>8781</v>
      </c>
      <c r="G617" s="363">
        <v>46210</v>
      </c>
      <c r="H617" s="47" t="s">
        <v>8782</v>
      </c>
      <c r="I617" s="47" t="s">
        <v>8783</v>
      </c>
      <c r="J617" s="47" t="s">
        <v>2243</v>
      </c>
    </row>
    <row r="618" spans="2:10" ht="14.5">
      <c r="B618" s="47" t="s">
        <v>9517</v>
      </c>
      <c r="C618" s="47" t="s">
        <v>64</v>
      </c>
      <c r="D618" s="47" t="s">
        <v>9196</v>
      </c>
      <c r="E618" s="47" t="s">
        <v>2286</v>
      </c>
      <c r="F618" s="47" t="s">
        <v>8781</v>
      </c>
      <c r="G618" s="363">
        <v>46212</v>
      </c>
      <c r="H618" s="47" t="s">
        <v>8930</v>
      </c>
      <c r="I618" s="47" t="s">
        <v>8783</v>
      </c>
      <c r="J618" s="47" t="s">
        <v>9518</v>
      </c>
    </row>
    <row r="619" spans="2:10" ht="14.5">
      <c r="B619" s="47" t="s">
        <v>2280</v>
      </c>
      <c r="C619" s="47" t="s">
        <v>64</v>
      </c>
      <c r="D619" s="47" t="s">
        <v>9519</v>
      </c>
      <c r="E619" s="47" t="s">
        <v>2279</v>
      </c>
      <c r="F619" s="47" t="s">
        <v>8781</v>
      </c>
      <c r="G619" s="363">
        <v>46213</v>
      </c>
      <c r="H619" s="47" t="s">
        <v>8782</v>
      </c>
      <c r="I619" s="47" t="s">
        <v>8783</v>
      </c>
      <c r="J619" s="47" t="s">
        <v>2279</v>
      </c>
    </row>
    <row r="620" spans="2:10" ht="14.5">
      <c r="B620" s="47" t="s">
        <v>2270</v>
      </c>
      <c r="C620" s="47" t="s">
        <v>64</v>
      </c>
      <c r="D620" s="47" t="s">
        <v>9520</v>
      </c>
      <c r="E620" s="47" t="s">
        <v>2267</v>
      </c>
      <c r="F620" s="47" t="s">
        <v>8781</v>
      </c>
      <c r="G620" s="363">
        <v>46202</v>
      </c>
      <c r="H620" s="47" t="s">
        <v>8782</v>
      </c>
      <c r="I620" s="47" t="s">
        <v>8783</v>
      </c>
      <c r="J620" s="47" t="s">
        <v>2267</v>
      </c>
    </row>
    <row r="621" spans="2:10" ht="14.5">
      <c r="B621" s="47" t="s">
        <v>2276</v>
      </c>
      <c r="C621" s="47" t="s">
        <v>64</v>
      </c>
      <c r="D621" s="47" t="s">
        <v>9521</v>
      </c>
      <c r="E621" s="47" t="s">
        <v>2274</v>
      </c>
      <c r="F621" s="47" t="s">
        <v>8781</v>
      </c>
      <c r="G621" s="363">
        <v>46203</v>
      </c>
      <c r="H621" s="47" t="s">
        <v>8782</v>
      </c>
      <c r="I621" s="47" t="s">
        <v>8783</v>
      </c>
      <c r="J621" s="47" t="s">
        <v>2274</v>
      </c>
    </row>
    <row r="622" spans="2:10" ht="14.5">
      <c r="B622" s="47" t="s">
        <v>2246</v>
      </c>
      <c r="C622" s="47" t="s">
        <v>64</v>
      </c>
      <c r="D622" s="47" t="s">
        <v>9522</v>
      </c>
      <c r="E622" s="47" t="s">
        <v>2245</v>
      </c>
      <c r="F622" s="47" t="s">
        <v>8781</v>
      </c>
      <c r="G622" s="363">
        <v>46204</v>
      </c>
      <c r="H622" s="47" t="s">
        <v>8782</v>
      </c>
      <c r="I622" s="47" t="s">
        <v>8783</v>
      </c>
      <c r="J622" s="47" t="s">
        <v>2245</v>
      </c>
    </row>
    <row r="623" spans="2:10" ht="14.5">
      <c r="B623" s="47" t="s">
        <v>2254</v>
      </c>
      <c r="C623" s="47" t="s">
        <v>8779</v>
      </c>
      <c r="D623" s="47" t="s">
        <v>9523</v>
      </c>
      <c r="E623" s="47" t="s">
        <v>2251</v>
      </c>
      <c r="F623" s="47" t="s">
        <v>8781</v>
      </c>
      <c r="G623" s="363">
        <v>46178</v>
      </c>
      <c r="H623" s="47" t="s">
        <v>8782</v>
      </c>
      <c r="I623" s="47" t="s">
        <v>8783</v>
      </c>
      <c r="J623" s="47" t="s">
        <v>2251</v>
      </c>
    </row>
    <row r="624" spans="2:10" ht="14.5">
      <c r="B624" s="47" t="s">
        <v>2262</v>
      </c>
      <c r="C624" s="47" t="s">
        <v>64</v>
      </c>
      <c r="D624" s="47" t="s">
        <v>9524</v>
      </c>
      <c r="E624" s="47" t="s">
        <v>2259</v>
      </c>
      <c r="F624" s="47" t="s">
        <v>8781</v>
      </c>
      <c r="G624" s="363">
        <v>46206</v>
      </c>
      <c r="H624" s="47" t="s">
        <v>8782</v>
      </c>
      <c r="I624" s="47" t="s">
        <v>8783</v>
      </c>
      <c r="J624" s="47" t="s">
        <v>2259</v>
      </c>
    </row>
    <row r="625" spans="2:10" ht="14.5">
      <c r="B625" s="47" t="s">
        <v>2226</v>
      </c>
      <c r="C625" s="47" t="s">
        <v>64</v>
      </c>
      <c r="D625" s="47" t="s">
        <v>9525</v>
      </c>
      <c r="E625" s="47" t="s">
        <v>2225</v>
      </c>
      <c r="F625" s="47" t="s">
        <v>8781</v>
      </c>
      <c r="G625" s="363">
        <v>46220</v>
      </c>
      <c r="H625" s="47" t="s">
        <v>8782</v>
      </c>
      <c r="I625" s="47" t="s">
        <v>8783</v>
      </c>
      <c r="J625" s="47" t="s">
        <v>2225</v>
      </c>
    </row>
    <row r="626" spans="2:10" ht="14.5">
      <c r="B626" s="47" t="s">
        <v>2192</v>
      </c>
      <c r="C626" s="47" t="s">
        <v>64</v>
      </c>
      <c r="D626" s="47" t="s">
        <v>9526</v>
      </c>
      <c r="E626" s="47" t="s">
        <v>2189</v>
      </c>
      <c r="F626" s="47" t="s">
        <v>8781</v>
      </c>
      <c r="G626" s="363">
        <v>46203</v>
      </c>
      <c r="H626" s="47" t="s">
        <v>8782</v>
      </c>
      <c r="I626" s="47" t="s">
        <v>8783</v>
      </c>
      <c r="J626" s="47" t="s">
        <v>2189</v>
      </c>
    </row>
    <row r="627" spans="2:10" ht="14.5">
      <c r="B627" s="47" t="s">
        <v>2196</v>
      </c>
      <c r="C627" s="47" t="s">
        <v>64</v>
      </c>
      <c r="D627" s="47" t="s">
        <v>9527</v>
      </c>
      <c r="E627" s="47" t="s">
        <v>2195</v>
      </c>
      <c r="F627" s="47" t="s">
        <v>8781</v>
      </c>
      <c r="G627" s="363">
        <v>46205</v>
      </c>
      <c r="H627" s="47" t="s">
        <v>8782</v>
      </c>
      <c r="I627" s="47" t="s">
        <v>8783</v>
      </c>
      <c r="J627" s="47" t="s">
        <v>2195</v>
      </c>
    </row>
    <row r="628" spans="2:10" ht="14.5">
      <c r="B628" s="47" t="s">
        <v>2202</v>
      </c>
      <c r="C628" s="47" t="s">
        <v>64</v>
      </c>
      <c r="D628" s="47" t="s">
        <v>9528</v>
      </c>
      <c r="E628" s="47" t="s">
        <v>2200</v>
      </c>
      <c r="F628" s="47" t="s">
        <v>8781</v>
      </c>
      <c r="G628" s="363">
        <v>46204</v>
      </c>
      <c r="H628" s="47" t="s">
        <v>8782</v>
      </c>
      <c r="I628" s="47" t="s">
        <v>8783</v>
      </c>
      <c r="J628" s="47" t="s">
        <v>2200</v>
      </c>
    </row>
    <row r="629" spans="2:10" ht="14.5">
      <c r="B629" s="47" t="s">
        <v>2210</v>
      </c>
      <c r="C629" s="47" t="s">
        <v>64</v>
      </c>
      <c r="D629" s="47" t="s">
        <v>9529</v>
      </c>
      <c r="E629" s="47" t="s">
        <v>2208</v>
      </c>
      <c r="F629" s="47" t="s">
        <v>8781</v>
      </c>
      <c r="G629" s="363">
        <v>46204</v>
      </c>
      <c r="H629" s="47" t="s">
        <v>8782</v>
      </c>
      <c r="I629" s="47" t="s">
        <v>8783</v>
      </c>
      <c r="J629" s="47" t="s">
        <v>2208</v>
      </c>
    </row>
    <row r="630" spans="2:10" ht="14.5">
      <c r="B630" s="47" t="s">
        <v>2207</v>
      </c>
      <c r="C630" s="47" t="s">
        <v>64</v>
      </c>
      <c r="D630" s="47" t="s">
        <v>9530</v>
      </c>
      <c r="E630" s="47" t="s">
        <v>2206</v>
      </c>
      <c r="F630" s="47" t="s">
        <v>8781</v>
      </c>
      <c r="G630" s="363">
        <v>46204</v>
      </c>
      <c r="H630" s="47" t="s">
        <v>8782</v>
      </c>
      <c r="I630" s="47" t="s">
        <v>8783</v>
      </c>
      <c r="J630" s="47" t="s">
        <v>2206</v>
      </c>
    </row>
    <row r="631" spans="2:10" ht="14.5">
      <c r="B631" s="47" t="s">
        <v>9531</v>
      </c>
      <c r="C631" s="47" t="s">
        <v>64</v>
      </c>
      <c r="D631" s="47" t="s">
        <v>9532</v>
      </c>
      <c r="E631" s="47" t="s">
        <v>9533</v>
      </c>
      <c r="F631" s="47" t="s">
        <v>8829</v>
      </c>
      <c r="G631" s="363">
        <v>46202</v>
      </c>
      <c r="H631" s="47" t="s">
        <v>8782</v>
      </c>
      <c r="I631" s="47" t="s">
        <v>8783</v>
      </c>
      <c r="J631" s="47" t="s">
        <v>9533</v>
      </c>
    </row>
    <row r="632" spans="2:10" ht="14.5">
      <c r="B632" s="47" t="s">
        <v>9534</v>
      </c>
      <c r="C632" s="47" t="s">
        <v>64</v>
      </c>
      <c r="D632" s="47" t="s">
        <v>9535</v>
      </c>
      <c r="E632" s="47" t="s">
        <v>9536</v>
      </c>
      <c r="F632" s="47" t="s">
        <v>8781</v>
      </c>
      <c r="G632" s="363">
        <v>46188</v>
      </c>
      <c r="H632" s="47" t="s">
        <v>8782</v>
      </c>
      <c r="I632" s="47" t="s">
        <v>8783</v>
      </c>
      <c r="J632" s="47" t="s">
        <v>9536</v>
      </c>
    </row>
    <row r="633" spans="2:10" ht="14.5">
      <c r="B633" s="47" t="s">
        <v>2153</v>
      </c>
      <c r="C633" s="47" t="s">
        <v>64</v>
      </c>
      <c r="D633" s="47" t="s">
        <v>9537</v>
      </c>
      <c r="E633" s="47" t="s">
        <v>2149</v>
      </c>
      <c r="F633" s="47" t="s">
        <v>8781</v>
      </c>
      <c r="G633" s="363">
        <v>46205</v>
      </c>
      <c r="H633" s="47" t="s">
        <v>8782</v>
      </c>
      <c r="I633" s="47" t="s">
        <v>8783</v>
      </c>
      <c r="J633" s="47" t="s">
        <v>2149</v>
      </c>
    </row>
    <row r="634" spans="2:10" ht="14.5">
      <c r="B634" s="47" t="s">
        <v>2158</v>
      </c>
      <c r="C634" s="47" t="s">
        <v>64</v>
      </c>
      <c r="D634" s="47" t="s">
        <v>9538</v>
      </c>
      <c r="E634" s="47" t="s">
        <v>2157</v>
      </c>
      <c r="F634" s="47" t="s">
        <v>8781</v>
      </c>
      <c r="G634" s="363">
        <v>46205</v>
      </c>
      <c r="H634" s="47" t="s">
        <v>8782</v>
      </c>
      <c r="I634" s="47" t="s">
        <v>8783</v>
      </c>
      <c r="J634" s="47" t="s">
        <v>2157</v>
      </c>
    </row>
    <row r="635" spans="2:10" ht="14.5">
      <c r="B635" s="47" t="s">
        <v>7989</v>
      </c>
      <c r="C635" s="47" t="s">
        <v>64</v>
      </c>
      <c r="D635" s="47" t="s">
        <v>9539</v>
      </c>
      <c r="E635" s="47" t="s">
        <v>9540</v>
      </c>
      <c r="F635" s="47" t="s">
        <v>8829</v>
      </c>
      <c r="G635" s="363">
        <v>46150</v>
      </c>
      <c r="H635" s="47" t="s">
        <v>8782</v>
      </c>
      <c r="I635" s="47" t="s">
        <v>8783</v>
      </c>
      <c r="J635" s="47" t="s">
        <v>7984</v>
      </c>
    </row>
    <row r="636" spans="2:10" ht="14.5">
      <c r="B636" s="47" t="s">
        <v>1159</v>
      </c>
      <c r="C636" s="47" t="s">
        <v>8779</v>
      </c>
      <c r="D636" s="47" t="s">
        <v>9541</v>
      </c>
      <c r="E636" s="47"/>
      <c r="F636" s="47" t="s">
        <v>8781</v>
      </c>
      <c r="G636" s="363">
        <v>46153</v>
      </c>
      <c r="H636" s="47" t="s">
        <v>8782</v>
      </c>
      <c r="I636" s="47" t="s">
        <v>8783</v>
      </c>
      <c r="J636" s="47" t="s">
        <v>9542</v>
      </c>
    </row>
    <row r="637" spans="2:10" ht="14.5">
      <c r="B637" s="47" t="s">
        <v>2173</v>
      </c>
      <c r="C637" s="47" t="s">
        <v>64</v>
      </c>
      <c r="D637" s="47" t="s">
        <v>9543</v>
      </c>
      <c r="E637" s="47" t="s">
        <v>2171</v>
      </c>
      <c r="F637" s="47" t="s">
        <v>8781</v>
      </c>
      <c r="G637" s="363">
        <v>46216</v>
      </c>
      <c r="H637" s="47" t="s">
        <v>8782</v>
      </c>
      <c r="I637" s="47" t="s">
        <v>8783</v>
      </c>
      <c r="J637" s="47" t="s">
        <v>2171</v>
      </c>
    </row>
    <row r="638" spans="2:10" ht="14.5">
      <c r="B638" s="47" t="s">
        <v>2103</v>
      </c>
      <c r="C638" s="47" t="s">
        <v>64</v>
      </c>
      <c r="D638" s="47" t="s">
        <v>9544</v>
      </c>
      <c r="E638" s="47" t="s">
        <v>2102</v>
      </c>
      <c r="F638" s="47" t="s">
        <v>8781</v>
      </c>
      <c r="G638" s="363">
        <v>46209</v>
      </c>
      <c r="H638" s="47" t="s">
        <v>8782</v>
      </c>
      <c r="I638" s="47" t="s">
        <v>8783</v>
      </c>
      <c r="J638" s="47" t="s">
        <v>2102</v>
      </c>
    </row>
    <row r="639" spans="2:10" ht="14.5">
      <c r="B639" s="47" t="s">
        <v>2098</v>
      </c>
      <c r="C639" s="47" t="s">
        <v>64</v>
      </c>
      <c r="D639" s="47" t="s">
        <v>9545</v>
      </c>
      <c r="E639" s="47" t="s">
        <v>2097</v>
      </c>
      <c r="F639" s="47" t="s">
        <v>8781</v>
      </c>
      <c r="G639" s="363">
        <v>46210</v>
      </c>
      <c r="H639" s="47" t="s">
        <v>8782</v>
      </c>
      <c r="I639" s="47" t="s">
        <v>8783</v>
      </c>
      <c r="J639" s="47" t="s">
        <v>2097</v>
      </c>
    </row>
    <row r="640" spans="2:10" ht="14.5">
      <c r="B640" s="47" t="s">
        <v>255</v>
      </c>
      <c r="C640" s="47" t="s">
        <v>8779</v>
      </c>
      <c r="D640" s="47" t="s">
        <v>9546</v>
      </c>
      <c r="E640" s="47"/>
      <c r="F640" s="47" t="s">
        <v>8781</v>
      </c>
      <c r="G640" s="363">
        <v>46146</v>
      </c>
      <c r="H640" s="47" t="s">
        <v>8782</v>
      </c>
      <c r="I640" s="47" t="s">
        <v>8783</v>
      </c>
      <c r="J640" s="47" t="s">
        <v>9547</v>
      </c>
    </row>
    <row r="641" spans="2:10" ht="14.5">
      <c r="B641" s="47" t="s">
        <v>1272</v>
      </c>
      <c r="C641" s="47" t="s">
        <v>8779</v>
      </c>
      <c r="D641" s="47" t="s">
        <v>9546</v>
      </c>
      <c r="E641" s="47"/>
      <c r="F641" s="47" t="s">
        <v>8781</v>
      </c>
      <c r="G641" s="363">
        <v>46146</v>
      </c>
      <c r="H641" s="47" t="s">
        <v>8782</v>
      </c>
      <c r="I641" s="47" t="s">
        <v>8783</v>
      </c>
      <c r="J641" s="47" t="s">
        <v>9547</v>
      </c>
    </row>
    <row r="642" spans="2:10" ht="14.5">
      <c r="B642" s="47" t="s">
        <v>1383</v>
      </c>
      <c r="C642" s="47" t="s">
        <v>8779</v>
      </c>
      <c r="D642" s="47" t="s">
        <v>9498</v>
      </c>
      <c r="E642" s="47"/>
      <c r="F642" s="47" t="s">
        <v>8781</v>
      </c>
      <c r="G642" s="363">
        <v>46146</v>
      </c>
      <c r="H642" s="47" t="s">
        <v>8782</v>
      </c>
      <c r="I642" s="47" t="s">
        <v>8783</v>
      </c>
      <c r="J642" s="47" t="s">
        <v>9548</v>
      </c>
    </row>
    <row r="643" spans="2:10" ht="14.5">
      <c r="B643" s="47" t="s">
        <v>1282</v>
      </c>
      <c r="C643" s="47" t="s">
        <v>8779</v>
      </c>
      <c r="D643" s="47" t="s">
        <v>9439</v>
      </c>
      <c r="E643" s="47"/>
      <c r="F643" s="47" t="s">
        <v>8781</v>
      </c>
      <c r="G643" s="363">
        <v>46146</v>
      </c>
      <c r="H643" s="47" t="s">
        <v>8782</v>
      </c>
      <c r="I643" s="47" t="s">
        <v>8783</v>
      </c>
      <c r="J643" s="47" t="s">
        <v>9549</v>
      </c>
    </row>
    <row r="644" spans="2:10" ht="14.5">
      <c r="B644" s="47" t="s">
        <v>9550</v>
      </c>
      <c r="C644" s="47" t="s">
        <v>8779</v>
      </c>
      <c r="D644" s="47" t="s">
        <v>9439</v>
      </c>
      <c r="E644" s="47"/>
      <c r="F644" s="47" t="s">
        <v>8781</v>
      </c>
      <c r="G644" s="363">
        <v>46146</v>
      </c>
      <c r="H644" s="47" t="s">
        <v>8930</v>
      </c>
      <c r="I644" s="47" t="s">
        <v>8783</v>
      </c>
      <c r="J644" s="47" t="s">
        <v>9549</v>
      </c>
    </row>
    <row r="645" spans="2:10" ht="14.5">
      <c r="B645" s="47" t="s">
        <v>1152</v>
      </c>
      <c r="C645" s="47" t="s">
        <v>64</v>
      </c>
      <c r="D645" s="47"/>
      <c r="E645" s="47"/>
      <c r="F645" s="47" t="s">
        <v>8781</v>
      </c>
      <c r="G645" s="363">
        <v>46153</v>
      </c>
      <c r="H645" s="47" t="s">
        <v>8782</v>
      </c>
      <c r="I645" s="47" t="s">
        <v>8783</v>
      </c>
      <c r="J645" s="47" t="s">
        <v>9542</v>
      </c>
    </row>
    <row r="646" spans="2:10" ht="14.5">
      <c r="B646" s="47" t="s">
        <v>2105</v>
      </c>
      <c r="C646" s="47" t="s">
        <v>64</v>
      </c>
      <c r="D646" s="47" t="s">
        <v>9551</v>
      </c>
      <c r="E646" s="47" t="s">
        <v>2104</v>
      </c>
      <c r="F646" s="47" t="s">
        <v>8781</v>
      </c>
      <c r="G646" s="363">
        <v>46203</v>
      </c>
      <c r="H646" s="47" t="s">
        <v>8782</v>
      </c>
      <c r="I646" s="47" t="s">
        <v>8783</v>
      </c>
      <c r="J646" s="47" t="s">
        <v>2104</v>
      </c>
    </row>
    <row r="647" spans="2:10" ht="14.5">
      <c r="B647" s="47" t="s">
        <v>2110</v>
      </c>
      <c r="C647" s="47" t="s">
        <v>64</v>
      </c>
      <c r="D647" s="47" t="s">
        <v>9552</v>
      </c>
      <c r="E647" s="47" t="s">
        <v>2109</v>
      </c>
      <c r="F647" s="47" t="s">
        <v>8781</v>
      </c>
      <c r="G647" s="363">
        <v>46203</v>
      </c>
      <c r="H647" s="47" t="s">
        <v>8782</v>
      </c>
      <c r="I647" s="47" t="s">
        <v>8783</v>
      </c>
      <c r="J647" s="47" t="s">
        <v>2109</v>
      </c>
    </row>
    <row r="648" spans="2:10" ht="14.5">
      <c r="B648" s="47" t="s">
        <v>2112</v>
      </c>
      <c r="C648" s="47" t="s">
        <v>8779</v>
      </c>
      <c r="D648" s="47" t="s">
        <v>9553</v>
      </c>
      <c r="E648" s="47" t="s">
        <v>2111</v>
      </c>
      <c r="F648" s="47" t="s">
        <v>8781</v>
      </c>
      <c r="G648" s="363">
        <v>46192</v>
      </c>
      <c r="H648" s="47" t="s">
        <v>8782</v>
      </c>
      <c r="I648" s="47" t="s">
        <v>8783</v>
      </c>
      <c r="J648" s="47" t="s">
        <v>2111</v>
      </c>
    </row>
    <row r="649" spans="2:10" ht="14.5">
      <c r="B649" s="47" t="s">
        <v>2117</v>
      </c>
      <c r="C649" s="47" t="s">
        <v>8779</v>
      </c>
      <c r="D649" s="47" t="s">
        <v>9554</v>
      </c>
      <c r="E649" s="47" t="s">
        <v>2116</v>
      </c>
      <c r="F649" s="47" t="s">
        <v>8781</v>
      </c>
      <c r="G649" s="363">
        <v>46192</v>
      </c>
      <c r="H649" s="47" t="s">
        <v>8782</v>
      </c>
      <c r="I649" s="47" t="s">
        <v>8783</v>
      </c>
      <c r="J649" s="47" t="s">
        <v>2116</v>
      </c>
    </row>
    <row r="650" spans="2:10" ht="14.5">
      <c r="B650" s="47" t="s">
        <v>9555</v>
      </c>
      <c r="C650" s="47" t="s">
        <v>64</v>
      </c>
      <c r="D650" s="47" t="s">
        <v>9441</v>
      </c>
      <c r="E650" s="47" t="s">
        <v>2129</v>
      </c>
      <c r="F650" s="47" t="s">
        <v>8781</v>
      </c>
      <c r="G650" s="363">
        <v>46179</v>
      </c>
      <c r="H650" s="47" t="s">
        <v>9332</v>
      </c>
      <c r="I650" s="47" t="s">
        <v>8783</v>
      </c>
      <c r="J650" s="47" t="s">
        <v>2129</v>
      </c>
    </row>
    <row r="651" spans="2:10" ht="14.5">
      <c r="B651" s="47" t="s">
        <v>9556</v>
      </c>
      <c r="C651" s="47" t="s">
        <v>64</v>
      </c>
      <c r="D651" s="47" t="s">
        <v>9443</v>
      </c>
      <c r="E651" s="47" t="s">
        <v>9557</v>
      </c>
      <c r="F651" s="47" t="s">
        <v>8781</v>
      </c>
      <c r="G651" s="363">
        <v>46179</v>
      </c>
      <c r="H651" s="47" t="s">
        <v>9332</v>
      </c>
      <c r="I651" s="47" t="s">
        <v>8783</v>
      </c>
      <c r="J651" s="47" t="s">
        <v>9557</v>
      </c>
    </row>
    <row r="652" spans="2:10" ht="14.5">
      <c r="B652" s="47" t="s">
        <v>2137</v>
      </c>
      <c r="C652" s="47" t="s">
        <v>64</v>
      </c>
      <c r="D652" s="47" t="s">
        <v>9558</v>
      </c>
      <c r="E652" s="47" t="s">
        <v>2131</v>
      </c>
      <c r="F652" s="47" t="s">
        <v>8781</v>
      </c>
      <c r="G652" s="363">
        <v>46189</v>
      </c>
      <c r="H652" s="47" t="s">
        <v>8782</v>
      </c>
      <c r="I652" s="47" t="s">
        <v>8783</v>
      </c>
      <c r="J652" s="47" t="s">
        <v>2131</v>
      </c>
    </row>
    <row r="653" spans="2:10" ht="14.5">
      <c r="B653" s="47" t="s">
        <v>2142</v>
      </c>
      <c r="C653" s="47" t="s">
        <v>64</v>
      </c>
      <c r="D653" s="47" t="s">
        <v>9559</v>
      </c>
      <c r="E653" s="47" t="s">
        <v>2141</v>
      </c>
      <c r="F653" s="47" t="s">
        <v>8781</v>
      </c>
      <c r="G653" s="363">
        <v>46196</v>
      </c>
      <c r="H653" s="47" t="s">
        <v>8782</v>
      </c>
      <c r="I653" s="47" t="s">
        <v>8783</v>
      </c>
      <c r="J653" s="47" t="s">
        <v>2141</v>
      </c>
    </row>
    <row r="654" spans="2:10" ht="14.5">
      <c r="B654" s="47" t="s">
        <v>2148</v>
      </c>
      <c r="C654" s="47" t="s">
        <v>64</v>
      </c>
      <c r="D654" s="47" t="s">
        <v>9560</v>
      </c>
      <c r="E654" s="47" t="s">
        <v>2146</v>
      </c>
      <c r="F654" s="47" t="s">
        <v>8781</v>
      </c>
      <c r="G654" s="363">
        <v>46196</v>
      </c>
      <c r="H654" s="47" t="s">
        <v>8782</v>
      </c>
      <c r="I654" s="47" t="s">
        <v>8783</v>
      </c>
      <c r="J654" s="47" t="s">
        <v>2146</v>
      </c>
    </row>
    <row r="655" spans="2:10" ht="14.5">
      <c r="B655" s="47" t="s">
        <v>2161</v>
      </c>
      <c r="C655" s="47" t="s">
        <v>64</v>
      </c>
      <c r="D655" s="47" t="s">
        <v>9561</v>
      </c>
      <c r="E655" s="47" t="s">
        <v>2160</v>
      </c>
      <c r="F655" s="47" t="s">
        <v>8781</v>
      </c>
      <c r="G655" s="363">
        <v>46204</v>
      </c>
      <c r="H655" s="47" t="s">
        <v>8782</v>
      </c>
      <c r="I655" s="47" t="s">
        <v>8783</v>
      </c>
      <c r="J655" s="47" t="s">
        <v>2160</v>
      </c>
    </row>
    <row r="656" spans="2:10" ht="14.5">
      <c r="B656" s="47" t="s">
        <v>2165</v>
      </c>
      <c r="C656" s="47" t="s">
        <v>64</v>
      </c>
      <c r="D656" s="47" t="s">
        <v>9562</v>
      </c>
      <c r="E656" s="47" t="s">
        <v>2164</v>
      </c>
      <c r="F656" s="47" t="s">
        <v>8781</v>
      </c>
      <c r="G656" s="363">
        <v>46204</v>
      </c>
      <c r="H656" s="47" t="s">
        <v>8782</v>
      </c>
      <c r="I656" s="47" t="s">
        <v>8783</v>
      </c>
      <c r="J656" s="47" t="s">
        <v>2164</v>
      </c>
    </row>
    <row r="657" spans="2:10" ht="14.5">
      <c r="B657" s="47" t="s">
        <v>2178</v>
      </c>
      <c r="C657" s="47" t="s">
        <v>64</v>
      </c>
      <c r="D657" s="47" t="s">
        <v>9563</v>
      </c>
      <c r="E657" s="47" t="s">
        <v>2177</v>
      </c>
      <c r="F657" s="47" t="s">
        <v>8781</v>
      </c>
      <c r="G657" s="363">
        <v>46197</v>
      </c>
      <c r="H657" s="47" t="s">
        <v>8782</v>
      </c>
      <c r="I657" s="47" t="s">
        <v>8783</v>
      </c>
      <c r="J657" s="47" t="s">
        <v>2177</v>
      </c>
    </row>
    <row r="658" spans="2:10" ht="14.5">
      <c r="B658" s="47" t="s">
        <v>2167</v>
      </c>
      <c r="C658" s="47" t="s">
        <v>64</v>
      </c>
      <c r="D658" s="47" t="s">
        <v>9564</v>
      </c>
      <c r="E658" s="47" t="s">
        <v>2166</v>
      </c>
      <c r="F658" s="47" t="s">
        <v>8781</v>
      </c>
      <c r="G658" s="363">
        <v>46198</v>
      </c>
      <c r="H658" s="47" t="s">
        <v>8782</v>
      </c>
      <c r="I658" s="47" t="s">
        <v>8783</v>
      </c>
      <c r="J658" s="47" t="s">
        <v>2166</v>
      </c>
    </row>
    <row r="659" spans="2:10" ht="14.5">
      <c r="B659" s="47" t="s">
        <v>1992</v>
      </c>
      <c r="C659" s="47" t="s">
        <v>64</v>
      </c>
      <c r="D659" s="47" t="s">
        <v>9565</v>
      </c>
      <c r="E659" s="47"/>
      <c r="F659" s="47" t="s">
        <v>8781</v>
      </c>
      <c r="G659" s="363">
        <v>46178</v>
      </c>
      <c r="H659" s="47" t="s">
        <v>8782</v>
      </c>
      <c r="I659" s="47" t="s">
        <v>8783</v>
      </c>
      <c r="J659" s="47" t="s">
        <v>9566</v>
      </c>
    </row>
    <row r="660" spans="2:10" ht="14.5">
      <c r="B660" s="47" t="s">
        <v>2083</v>
      </c>
      <c r="C660" s="47" t="s">
        <v>64</v>
      </c>
      <c r="D660" s="47" t="s">
        <v>9567</v>
      </c>
      <c r="E660" s="47" t="s">
        <v>2081</v>
      </c>
      <c r="F660" s="47" t="s">
        <v>8781</v>
      </c>
      <c r="G660" s="363">
        <v>46189</v>
      </c>
      <c r="H660" s="47" t="s">
        <v>8782</v>
      </c>
      <c r="I660" s="47" t="s">
        <v>8783</v>
      </c>
      <c r="J660" s="47" t="s">
        <v>2081</v>
      </c>
    </row>
    <row r="661" spans="2:10" ht="14.5">
      <c r="B661" s="47" t="s">
        <v>2089</v>
      </c>
      <c r="C661" s="47" t="s">
        <v>64</v>
      </c>
      <c r="D661" s="47" t="s">
        <v>9568</v>
      </c>
      <c r="E661" s="47" t="s">
        <v>2086</v>
      </c>
      <c r="F661" s="47" t="s">
        <v>8781</v>
      </c>
      <c r="G661" s="363">
        <v>46206</v>
      </c>
      <c r="H661" s="47" t="s">
        <v>8782</v>
      </c>
      <c r="I661" s="47" t="s">
        <v>8783</v>
      </c>
      <c r="J661" s="47" t="s">
        <v>2086</v>
      </c>
    </row>
    <row r="662" spans="2:10" ht="14.5">
      <c r="B662" s="47" t="s">
        <v>2094</v>
      </c>
      <c r="C662" s="47" t="s">
        <v>64</v>
      </c>
      <c r="D662" s="47" t="s">
        <v>9569</v>
      </c>
      <c r="E662" s="47" t="s">
        <v>2093</v>
      </c>
      <c r="F662" s="47" t="s">
        <v>8781</v>
      </c>
      <c r="G662" s="363">
        <v>46189</v>
      </c>
      <c r="H662" s="47" t="s">
        <v>8782</v>
      </c>
      <c r="I662" s="47" t="s">
        <v>8783</v>
      </c>
      <c r="J662" s="47" t="s">
        <v>2093</v>
      </c>
    </row>
    <row r="663" spans="2:10" ht="14.5">
      <c r="B663" s="47" t="s">
        <v>2044</v>
      </c>
      <c r="C663" s="47" t="s">
        <v>64</v>
      </c>
      <c r="D663" s="47" t="s">
        <v>9570</v>
      </c>
      <c r="E663" s="47" t="s">
        <v>2043</v>
      </c>
      <c r="F663" s="47" t="s">
        <v>8781</v>
      </c>
      <c r="G663" s="363">
        <v>46181</v>
      </c>
      <c r="H663" s="47" t="s">
        <v>8782</v>
      </c>
      <c r="I663" s="47" t="s">
        <v>8783</v>
      </c>
      <c r="J663" s="47" t="s">
        <v>2043</v>
      </c>
    </row>
    <row r="664" spans="2:10" ht="14.5">
      <c r="B664" s="47" t="s">
        <v>2078</v>
      </c>
      <c r="C664" s="47" t="s">
        <v>64</v>
      </c>
      <c r="D664" s="47" t="s">
        <v>9571</v>
      </c>
      <c r="E664" s="47" t="s">
        <v>2076</v>
      </c>
      <c r="F664" s="47" t="s">
        <v>8781</v>
      </c>
      <c r="G664" s="363">
        <v>46190</v>
      </c>
      <c r="H664" s="47" t="s">
        <v>8782</v>
      </c>
      <c r="I664" s="47" t="s">
        <v>8783</v>
      </c>
      <c r="J664" s="47" t="s">
        <v>2076</v>
      </c>
    </row>
    <row r="665" spans="2:10" ht="14.5">
      <c r="B665" s="47" t="s">
        <v>2039</v>
      </c>
      <c r="C665" s="47" t="s">
        <v>64</v>
      </c>
      <c r="D665" s="47" t="s">
        <v>9572</v>
      </c>
      <c r="E665" s="47" t="s">
        <v>2037</v>
      </c>
      <c r="F665" s="47" t="s">
        <v>8781</v>
      </c>
      <c r="G665" s="363">
        <v>46192</v>
      </c>
      <c r="H665" s="47" t="s">
        <v>8782</v>
      </c>
      <c r="I665" s="47" t="s">
        <v>8783</v>
      </c>
      <c r="J665" s="47" t="s">
        <v>2037</v>
      </c>
    </row>
    <row r="666" spans="2:10" ht="14.5">
      <c r="B666" s="47" t="s">
        <v>2032</v>
      </c>
      <c r="C666" s="47" t="s">
        <v>64</v>
      </c>
      <c r="D666" s="47" t="s">
        <v>9573</v>
      </c>
      <c r="E666" s="47" t="s">
        <v>2031</v>
      </c>
      <c r="F666" s="47" t="s">
        <v>8781</v>
      </c>
      <c r="G666" s="363">
        <v>46192</v>
      </c>
      <c r="H666" s="47" t="s">
        <v>8782</v>
      </c>
      <c r="I666" s="47" t="s">
        <v>8783</v>
      </c>
      <c r="J666" s="47" t="s">
        <v>2031</v>
      </c>
    </row>
    <row r="667" spans="2:10" ht="14.5">
      <c r="B667" s="47" t="s">
        <v>2049</v>
      </c>
      <c r="C667" s="47" t="s">
        <v>8779</v>
      </c>
      <c r="D667" s="47" t="s">
        <v>9574</v>
      </c>
      <c r="E667" s="47" t="s">
        <v>2048</v>
      </c>
      <c r="F667" s="47" t="s">
        <v>8781</v>
      </c>
      <c r="G667" s="363">
        <v>46177</v>
      </c>
      <c r="H667" s="47" t="s">
        <v>8782</v>
      </c>
      <c r="I667" s="47" t="s">
        <v>8783</v>
      </c>
      <c r="J667" s="47" t="s">
        <v>2048</v>
      </c>
    </row>
    <row r="668" spans="2:10" ht="14.5">
      <c r="B668" s="47" t="s">
        <v>9575</v>
      </c>
      <c r="C668" s="47" t="s">
        <v>64</v>
      </c>
      <c r="D668" s="47" t="s">
        <v>9490</v>
      </c>
      <c r="E668" s="47" t="s">
        <v>2052</v>
      </c>
      <c r="F668" s="47" t="s">
        <v>8781</v>
      </c>
      <c r="G668" s="363">
        <v>46168</v>
      </c>
      <c r="H668" s="47" t="s">
        <v>8930</v>
      </c>
      <c r="I668" s="47" t="s">
        <v>8783</v>
      </c>
      <c r="J668" s="47" t="s">
        <v>2052</v>
      </c>
    </row>
    <row r="669" spans="2:10" ht="14.5">
      <c r="B669" s="47" t="s">
        <v>9576</v>
      </c>
      <c r="C669" s="47" t="s">
        <v>64</v>
      </c>
      <c r="D669" s="47" t="s">
        <v>9488</v>
      </c>
      <c r="E669" s="47" t="s">
        <v>2059</v>
      </c>
      <c r="F669" s="47" t="s">
        <v>8781</v>
      </c>
      <c r="G669" s="363">
        <v>46184</v>
      </c>
      <c r="H669" s="47" t="s">
        <v>8930</v>
      </c>
      <c r="I669" s="47" t="s">
        <v>8783</v>
      </c>
      <c r="J669" s="47" t="s">
        <v>2059</v>
      </c>
    </row>
    <row r="670" spans="2:10" ht="14.5">
      <c r="B670" s="47" t="s">
        <v>1998</v>
      </c>
      <c r="C670" s="47" t="s">
        <v>64</v>
      </c>
      <c r="D670" s="47" t="s">
        <v>9577</v>
      </c>
      <c r="E670" s="47" t="s">
        <v>1996</v>
      </c>
      <c r="F670" s="47" t="s">
        <v>8781</v>
      </c>
      <c r="G670" s="363">
        <v>46202</v>
      </c>
      <c r="H670" s="47" t="s">
        <v>8782</v>
      </c>
      <c r="I670" s="47" t="s">
        <v>8783</v>
      </c>
      <c r="J670" s="47" t="s">
        <v>1996</v>
      </c>
    </row>
    <row r="671" spans="2:10" ht="14.5">
      <c r="B671" s="47" t="s">
        <v>2064</v>
      </c>
      <c r="C671" s="47" t="s">
        <v>64</v>
      </c>
      <c r="D671" s="47" t="s">
        <v>9578</v>
      </c>
      <c r="E671" s="47" t="s">
        <v>2063</v>
      </c>
      <c r="F671" s="47" t="s">
        <v>8781</v>
      </c>
      <c r="G671" s="363">
        <v>46181</v>
      </c>
      <c r="H671" s="47" t="s">
        <v>8782</v>
      </c>
      <c r="I671" s="47" t="s">
        <v>8783</v>
      </c>
      <c r="J671" s="47" t="s">
        <v>2063</v>
      </c>
    </row>
    <row r="672" spans="2:10" ht="14.5">
      <c r="B672" s="47" t="s">
        <v>2069</v>
      </c>
      <c r="C672" s="47" t="s">
        <v>64</v>
      </c>
      <c r="D672" s="47" t="s">
        <v>9579</v>
      </c>
      <c r="E672" s="47" t="s">
        <v>2068</v>
      </c>
      <c r="F672" s="47" t="s">
        <v>8781</v>
      </c>
      <c r="G672" s="363">
        <v>46181</v>
      </c>
      <c r="H672" s="47" t="s">
        <v>8782</v>
      </c>
      <c r="I672" s="47" t="s">
        <v>8783</v>
      </c>
      <c r="J672" s="47" t="s">
        <v>2068</v>
      </c>
    </row>
    <row r="673" spans="2:10" ht="14.5">
      <c r="B673" s="47" t="s">
        <v>2025</v>
      </c>
      <c r="C673" s="47" t="s">
        <v>8779</v>
      </c>
      <c r="D673" s="47" t="s">
        <v>9580</v>
      </c>
      <c r="E673" s="47" t="s">
        <v>2023</v>
      </c>
      <c r="F673" s="47" t="s">
        <v>8781</v>
      </c>
      <c r="G673" s="363">
        <v>46195</v>
      </c>
      <c r="H673" s="47" t="s">
        <v>8782</v>
      </c>
      <c r="I673" s="47" t="s">
        <v>8783</v>
      </c>
      <c r="J673" s="47" t="s">
        <v>2023</v>
      </c>
    </row>
    <row r="674" spans="2:10" ht="14.5">
      <c r="B674" s="47" t="s">
        <v>2030</v>
      </c>
      <c r="C674" s="47" t="s">
        <v>8779</v>
      </c>
      <c r="D674" s="47" t="s">
        <v>9581</v>
      </c>
      <c r="E674" s="47" t="s">
        <v>2027</v>
      </c>
      <c r="F674" s="47" t="s">
        <v>8781</v>
      </c>
      <c r="G674" s="363">
        <v>46195</v>
      </c>
      <c r="H674" s="47" t="s">
        <v>8782</v>
      </c>
      <c r="I674" s="47" t="s">
        <v>8783</v>
      </c>
      <c r="J674" s="47" t="s">
        <v>2027</v>
      </c>
    </row>
    <row r="675" spans="2:10" ht="14.5">
      <c r="B675" s="47" t="s">
        <v>2018</v>
      </c>
      <c r="C675" s="47" t="s">
        <v>8779</v>
      </c>
      <c r="D675" s="47" t="s">
        <v>9582</v>
      </c>
      <c r="E675" s="47" t="s">
        <v>2017</v>
      </c>
      <c r="F675" s="47" t="s">
        <v>8781</v>
      </c>
      <c r="G675" s="363">
        <v>46195</v>
      </c>
      <c r="H675" s="47" t="s">
        <v>8782</v>
      </c>
      <c r="I675" s="47" t="s">
        <v>8783</v>
      </c>
      <c r="J675" s="47" t="s">
        <v>2017</v>
      </c>
    </row>
    <row r="676" spans="2:10" ht="14.5">
      <c r="B676" s="47" t="s">
        <v>2072</v>
      </c>
      <c r="C676" s="47" t="s">
        <v>8779</v>
      </c>
      <c r="D676" s="47" t="s">
        <v>9583</v>
      </c>
      <c r="E676" s="47" t="s">
        <v>1893</v>
      </c>
      <c r="F676" s="47" t="s">
        <v>8781</v>
      </c>
      <c r="G676" s="363">
        <v>46191</v>
      </c>
      <c r="H676" s="47" t="s">
        <v>8782</v>
      </c>
      <c r="I676" s="47" t="s">
        <v>8783</v>
      </c>
      <c r="J676" s="47" t="s">
        <v>1893</v>
      </c>
    </row>
    <row r="677" spans="2:10" ht="14.5">
      <c r="B677" s="47" t="s">
        <v>1971</v>
      </c>
      <c r="C677" s="47" t="s">
        <v>8779</v>
      </c>
      <c r="D677" s="47" t="s">
        <v>9584</v>
      </c>
      <c r="E677" s="47" t="s">
        <v>1970</v>
      </c>
      <c r="F677" s="47" t="s">
        <v>8781</v>
      </c>
      <c r="G677" s="363">
        <v>46157</v>
      </c>
      <c r="H677" s="47" t="s">
        <v>8782</v>
      </c>
      <c r="I677" s="47" t="s">
        <v>8783</v>
      </c>
      <c r="J677" s="47" t="s">
        <v>1970</v>
      </c>
    </row>
    <row r="678" spans="2:10" ht="14.5">
      <c r="B678" s="47" t="s">
        <v>1969</v>
      </c>
      <c r="C678" s="47" t="s">
        <v>8779</v>
      </c>
      <c r="D678" s="47" t="s">
        <v>9585</v>
      </c>
      <c r="E678" s="47" t="s">
        <v>1968</v>
      </c>
      <c r="F678" s="47" t="s">
        <v>8781</v>
      </c>
      <c r="G678" s="363">
        <v>46168</v>
      </c>
      <c r="H678" s="47" t="s">
        <v>8782</v>
      </c>
      <c r="I678" s="47" t="s">
        <v>8783</v>
      </c>
      <c r="J678" s="47" t="s">
        <v>1968</v>
      </c>
    </row>
    <row r="679" spans="2:10" ht="14.5">
      <c r="B679" s="47" t="s">
        <v>1943</v>
      </c>
      <c r="C679" s="47" t="s">
        <v>8779</v>
      </c>
      <c r="D679" s="47" t="s">
        <v>9586</v>
      </c>
      <c r="E679" s="47" t="s">
        <v>1942</v>
      </c>
      <c r="F679" s="47" t="s">
        <v>8781</v>
      </c>
      <c r="G679" s="363">
        <v>46183</v>
      </c>
      <c r="H679" s="47" t="s">
        <v>8782</v>
      </c>
      <c r="I679" s="47" t="s">
        <v>8783</v>
      </c>
      <c r="J679" s="47" t="s">
        <v>1942</v>
      </c>
    </row>
    <row r="680" spans="2:10" ht="14.5">
      <c r="B680" s="47" t="s">
        <v>1965</v>
      </c>
      <c r="C680" s="47" t="s">
        <v>8779</v>
      </c>
      <c r="D680" s="47" t="s">
        <v>9587</v>
      </c>
      <c r="E680" s="47" t="s">
        <v>1963</v>
      </c>
      <c r="F680" s="47" t="s">
        <v>8781</v>
      </c>
      <c r="G680" s="363">
        <v>46154</v>
      </c>
      <c r="H680" s="47" t="s">
        <v>8782</v>
      </c>
      <c r="I680" s="47" t="s">
        <v>8783</v>
      </c>
      <c r="J680" s="47" t="s">
        <v>1963</v>
      </c>
    </row>
    <row r="681" spans="2:10" ht="14.5">
      <c r="B681" s="47" t="s">
        <v>1959</v>
      </c>
      <c r="C681" s="47" t="s">
        <v>8779</v>
      </c>
      <c r="D681" s="47" t="s">
        <v>9588</v>
      </c>
      <c r="E681" s="47" t="s">
        <v>1956</v>
      </c>
      <c r="F681" s="47" t="s">
        <v>8781</v>
      </c>
      <c r="G681" s="363">
        <v>46154</v>
      </c>
      <c r="H681" s="47" t="s">
        <v>8782</v>
      </c>
      <c r="I681" s="47" t="s">
        <v>8783</v>
      </c>
      <c r="J681" s="47" t="s">
        <v>1956</v>
      </c>
    </row>
    <row r="682" spans="2:10" ht="14.5">
      <c r="B682" s="47" t="s">
        <v>1948</v>
      </c>
      <c r="C682" s="47" t="s">
        <v>64</v>
      </c>
      <c r="D682" s="47" t="s">
        <v>9589</v>
      </c>
      <c r="E682" s="47" t="s">
        <v>1947</v>
      </c>
      <c r="F682" s="47" t="s">
        <v>8781</v>
      </c>
      <c r="G682" s="363">
        <v>46181</v>
      </c>
      <c r="H682" s="47" t="s">
        <v>8782</v>
      </c>
      <c r="I682" s="47" t="s">
        <v>8783</v>
      </c>
      <c r="J682" s="47" t="s">
        <v>1947</v>
      </c>
    </row>
    <row r="683" spans="2:10" ht="14.5">
      <c r="B683" s="47" t="s">
        <v>2005</v>
      </c>
      <c r="C683" s="47" t="s">
        <v>64</v>
      </c>
      <c r="D683" s="47" t="s">
        <v>9590</v>
      </c>
      <c r="E683" s="47" t="s">
        <v>2003</v>
      </c>
      <c r="F683" s="47" t="s">
        <v>8781</v>
      </c>
      <c r="G683" s="363">
        <v>46188</v>
      </c>
      <c r="H683" s="47" t="s">
        <v>8782</v>
      </c>
      <c r="I683" s="47" t="s">
        <v>8783</v>
      </c>
      <c r="J683" s="47" t="s">
        <v>2003</v>
      </c>
    </row>
    <row r="684" spans="2:10" ht="14.5">
      <c r="B684" s="47" t="s">
        <v>2010</v>
      </c>
      <c r="C684" s="47" t="s">
        <v>64</v>
      </c>
      <c r="D684" s="47" t="s">
        <v>9591</v>
      </c>
      <c r="E684" s="47" t="s">
        <v>2009</v>
      </c>
      <c r="F684" s="47" t="s">
        <v>8781</v>
      </c>
      <c r="G684" s="363">
        <v>46192</v>
      </c>
      <c r="H684" s="47" t="s">
        <v>8782</v>
      </c>
      <c r="I684" s="47" t="s">
        <v>8783</v>
      </c>
      <c r="J684" s="47" t="s">
        <v>2009</v>
      </c>
    </row>
    <row r="685" spans="2:10" ht="14.5">
      <c r="B685" s="47" t="s">
        <v>2014</v>
      </c>
      <c r="C685" s="47" t="s">
        <v>64</v>
      </c>
      <c r="D685" s="47" t="s">
        <v>9592</v>
      </c>
      <c r="E685" s="47" t="s">
        <v>2013</v>
      </c>
      <c r="F685" s="47" t="s">
        <v>8781</v>
      </c>
      <c r="G685" s="363">
        <v>46184</v>
      </c>
      <c r="H685" s="47" t="s">
        <v>8782</v>
      </c>
      <c r="I685" s="47" t="s">
        <v>8783</v>
      </c>
      <c r="J685" s="47" t="s">
        <v>2013</v>
      </c>
    </row>
    <row r="686" spans="2:10" ht="14.5">
      <c r="B686" s="47" t="s">
        <v>1953</v>
      </c>
      <c r="C686" s="47" t="s">
        <v>8779</v>
      </c>
      <c r="D686" s="47" t="s">
        <v>9593</v>
      </c>
      <c r="E686" s="47" t="s">
        <v>1952</v>
      </c>
      <c r="F686" s="47" t="s">
        <v>8781</v>
      </c>
      <c r="G686" s="363">
        <v>46155</v>
      </c>
      <c r="H686" s="47" t="s">
        <v>8782</v>
      </c>
      <c r="I686" s="47" t="s">
        <v>8783</v>
      </c>
      <c r="J686" s="47" t="s">
        <v>1952</v>
      </c>
    </row>
    <row r="687" spans="2:10" ht="14.5">
      <c r="B687" s="47" t="s">
        <v>1979</v>
      </c>
      <c r="C687" s="47" t="s">
        <v>64</v>
      </c>
      <c r="D687" s="47" t="s">
        <v>9594</v>
      </c>
      <c r="E687" s="47" t="s">
        <v>1975</v>
      </c>
      <c r="F687" s="47" t="s">
        <v>8781</v>
      </c>
      <c r="G687" s="363">
        <v>46183</v>
      </c>
      <c r="H687" s="47" t="s">
        <v>8782</v>
      </c>
      <c r="I687" s="47" t="s">
        <v>8783</v>
      </c>
      <c r="J687" s="47" t="s">
        <v>1975</v>
      </c>
    </row>
    <row r="688" spans="2:10" ht="14.5">
      <c r="B688" s="47" t="s">
        <v>1987</v>
      </c>
      <c r="C688" s="47" t="s">
        <v>64</v>
      </c>
      <c r="D688" s="47" t="s">
        <v>9595</v>
      </c>
      <c r="E688" s="47" t="s">
        <v>1985</v>
      </c>
      <c r="F688" s="47" t="s">
        <v>8781</v>
      </c>
      <c r="G688" s="363">
        <v>46183</v>
      </c>
      <c r="H688" s="47" t="s">
        <v>8782</v>
      </c>
      <c r="I688" s="47" t="s">
        <v>8783</v>
      </c>
      <c r="J688" s="47" t="s">
        <v>1985</v>
      </c>
    </row>
    <row r="689" spans="2:10" ht="14.5">
      <c r="B689" s="47" t="s">
        <v>1984</v>
      </c>
      <c r="C689" s="47" t="s">
        <v>64</v>
      </c>
      <c r="D689" s="47" t="s">
        <v>9596</v>
      </c>
      <c r="E689" s="47" t="s">
        <v>1983</v>
      </c>
      <c r="F689" s="47" t="s">
        <v>8781</v>
      </c>
      <c r="G689" s="363">
        <v>46183</v>
      </c>
      <c r="H689" s="47" t="s">
        <v>8782</v>
      </c>
      <c r="I689" s="47" t="s">
        <v>8783</v>
      </c>
      <c r="J689" s="47" t="s">
        <v>1983</v>
      </c>
    </row>
    <row r="690" spans="2:10" ht="14.5">
      <c r="B690" s="47" t="s">
        <v>1724</v>
      </c>
      <c r="C690" s="47" t="s">
        <v>64</v>
      </c>
      <c r="D690" s="47" t="s">
        <v>9597</v>
      </c>
      <c r="E690" s="47" t="s">
        <v>1723</v>
      </c>
      <c r="F690" s="47" t="s">
        <v>8781</v>
      </c>
      <c r="G690" s="363">
        <v>46176</v>
      </c>
      <c r="H690" s="47" t="s">
        <v>8782</v>
      </c>
      <c r="I690" s="47" t="s">
        <v>8783</v>
      </c>
      <c r="J690" s="47" t="s">
        <v>1723</v>
      </c>
    </row>
    <row r="691" spans="2:10" ht="14.5">
      <c r="B691" s="47" t="s">
        <v>1776</v>
      </c>
      <c r="C691" s="47" t="s">
        <v>64</v>
      </c>
      <c r="D691" s="47" t="s">
        <v>9598</v>
      </c>
      <c r="E691" s="47" t="s">
        <v>1775</v>
      </c>
      <c r="F691" s="47" t="s">
        <v>8781</v>
      </c>
      <c r="G691" s="363">
        <v>46176</v>
      </c>
      <c r="H691" s="47" t="s">
        <v>8782</v>
      </c>
      <c r="I691" s="47" t="s">
        <v>8783</v>
      </c>
      <c r="J691" s="47" t="s">
        <v>1775</v>
      </c>
    </row>
    <row r="692" spans="2:10" ht="14.5">
      <c r="B692" s="47" t="s">
        <v>1732</v>
      </c>
      <c r="C692" s="47" t="s">
        <v>64</v>
      </c>
      <c r="D692" s="47" t="s">
        <v>9599</v>
      </c>
      <c r="E692" s="47" t="s">
        <v>1728</v>
      </c>
      <c r="F692" s="47" t="s">
        <v>8781</v>
      </c>
      <c r="G692" s="363">
        <v>46176</v>
      </c>
      <c r="H692" s="47" t="s">
        <v>8782</v>
      </c>
      <c r="I692" s="47" t="s">
        <v>8783</v>
      </c>
      <c r="J692" s="47" t="s">
        <v>1728</v>
      </c>
    </row>
    <row r="693" spans="2:10" ht="14.5">
      <c r="B693" s="47" t="s">
        <v>871</v>
      </c>
      <c r="C693" s="47" t="s">
        <v>8779</v>
      </c>
      <c r="D693" s="47" t="s">
        <v>9600</v>
      </c>
      <c r="E693" s="47"/>
      <c r="F693" s="47" t="s">
        <v>8781</v>
      </c>
      <c r="G693" s="363">
        <v>46174</v>
      </c>
      <c r="H693" s="47" t="s">
        <v>8782</v>
      </c>
      <c r="I693" s="47" t="s">
        <v>8783</v>
      </c>
      <c r="J693" s="47" t="s">
        <v>9601</v>
      </c>
    </row>
    <row r="694" spans="2:10" ht="14.5">
      <c r="B694" s="47" t="s">
        <v>877</v>
      </c>
      <c r="C694" s="47" t="s">
        <v>64</v>
      </c>
      <c r="D694" s="47" t="s">
        <v>9600</v>
      </c>
      <c r="E694" s="47"/>
      <c r="F694" s="47" t="s">
        <v>8781</v>
      </c>
      <c r="G694" s="363">
        <v>46177</v>
      </c>
      <c r="H694" s="47" t="s">
        <v>8782</v>
      </c>
      <c r="I694" s="47" t="s">
        <v>8783</v>
      </c>
      <c r="J694" s="47" t="s">
        <v>9602</v>
      </c>
    </row>
    <row r="695" spans="2:10" ht="14.5">
      <c r="B695" s="47" t="s">
        <v>1600</v>
      </c>
      <c r="C695" s="47" t="s">
        <v>8779</v>
      </c>
      <c r="D695" s="47" t="s">
        <v>9603</v>
      </c>
      <c r="E695" s="47"/>
      <c r="F695" s="47" t="s">
        <v>8781</v>
      </c>
      <c r="G695" s="363">
        <v>46161</v>
      </c>
      <c r="H695" s="47" t="s">
        <v>8782</v>
      </c>
      <c r="I695" s="47" t="s">
        <v>8783</v>
      </c>
      <c r="J695" s="47" t="s">
        <v>9604</v>
      </c>
    </row>
    <row r="696" spans="2:10" ht="14.5">
      <c r="B696" s="47" t="s">
        <v>1605</v>
      </c>
      <c r="C696" s="47" t="s">
        <v>64</v>
      </c>
      <c r="D696" s="47" t="s">
        <v>9603</v>
      </c>
      <c r="E696" s="47"/>
      <c r="F696" s="47" t="s">
        <v>8781</v>
      </c>
      <c r="G696" s="363">
        <v>46160</v>
      </c>
      <c r="H696" s="47" t="s">
        <v>8782</v>
      </c>
      <c r="I696" s="47" t="s">
        <v>8783</v>
      </c>
      <c r="J696" s="47" t="s">
        <v>9605</v>
      </c>
    </row>
    <row r="697" spans="2:10" ht="14.5">
      <c r="B697" s="47" t="s">
        <v>586</v>
      </c>
      <c r="C697" s="47" t="s">
        <v>64</v>
      </c>
      <c r="D697" s="47" t="s">
        <v>9606</v>
      </c>
      <c r="E697" s="47"/>
      <c r="F697" s="47" t="s">
        <v>8781</v>
      </c>
      <c r="G697" s="363">
        <v>46132</v>
      </c>
      <c r="H697" s="47" t="s">
        <v>8782</v>
      </c>
      <c r="I697" s="47" t="s">
        <v>8783</v>
      </c>
      <c r="J697" s="47" t="s">
        <v>9607</v>
      </c>
    </row>
    <row r="698" spans="2:10" ht="14.5">
      <c r="B698" s="47" t="s">
        <v>591</v>
      </c>
      <c r="C698" s="47" t="s">
        <v>64</v>
      </c>
      <c r="D698" s="47" t="s">
        <v>9608</v>
      </c>
      <c r="E698" s="47"/>
      <c r="F698" s="47" t="s">
        <v>8781</v>
      </c>
      <c r="G698" s="363">
        <v>46133</v>
      </c>
      <c r="H698" s="47" t="s">
        <v>8782</v>
      </c>
      <c r="I698" s="47" t="s">
        <v>8783</v>
      </c>
      <c r="J698" s="47" t="s">
        <v>9609</v>
      </c>
    </row>
    <row r="699" spans="2:10" ht="14.5">
      <c r="B699" s="47" t="s">
        <v>1884</v>
      </c>
      <c r="C699" s="47" t="s">
        <v>8779</v>
      </c>
      <c r="D699" s="47" t="s">
        <v>9610</v>
      </c>
      <c r="E699" s="47" t="s">
        <v>1881</v>
      </c>
      <c r="F699" s="47" t="s">
        <v>8781</v>
      </c>
      <c r="G699" s="363">
        <v>46185</v>
      </c>
      <c r="H699" s="47" t="s">
        <v>8782</v>
      </c>
      <c r="I699" s="47" t="s">
        <v>8783</v>
      </c>
      <c r="J699" s="47" t="s">
        <v>1881</v>
      </c>
    </row>
    <row r="700" spans="2:10" ht="14.5">
      <c r="B700" s="47" t="s">
        <v>1890</v>
      </c>
      <c r="C700" s="47" t="s">
        <v>8779</v>
      </c>
      <c r="D700" s="47" t="s">
        <v>9611</v>
      </c>
      <c r="E700" s="47" t="s">
        <v>1887</v>
      </c>
      <c r="F700" s="47" t="s">
        <v>8781</v>
      </c>
      <c r="G700" s="363">
        <v>46185</v>
      </c>
      <c r="H700" s="47" t="s">
        <v>8782</v>
      </c>
      <c r="I700" s="47" t="s">
        <v>8783</v>
      </c>
      <c r="J700" s="47" t="s">
        <v>1887</v>
      </c>
    </row>
    <row r="701" spans="2:10" ht="14.5">
      <c r="B701" s="47" t="s">
        <v>1919</v>
      </c>
      <c r="C701" s="47" t="s">
        <v>8779</v>
      </c>
      <c r="D701" s="47" t="s">
        <v>9612</v>
      </c>
      <c r="E701" s="47" t="s">
        <v>1918</v>
      </c>
      <c r="F701" s="47" t="s">
        <v>8781</v>
      </c>
      <c r="G701" s="363">
        <v>46170</v>
      </c>
      <c r="H701" s="47" t="s">
        <v>8782</v>
      </c>
      <c r="I701" s="47" t="s">
        <v>8783</v>
      </c>
      <c r="J701" s="47" t="s">
        <v>1918</v>
      </c>
    </row>
    <row r="702" spans="2:10" ht="14.5">
      <c r="B702" s="47" t="s">
        <v>1897</v>
      </c>
      <c r="C702" s="47" t="s">
        <v>8779</v>
      </c>
      <c r="D702" s="47" t="s">
        <v>9613</v>
      </c>
      <c r="E702" s="47" t="s">
        <v>1892</v>
      </c>
      <c r="F702" s="47" t="s">
        <v>8781</v>
      </c>
      <c r="G702" s="363">
        <v>46170</v>
      </c>
      <c r="H702" s="47" t="s">
        <v>8782</v>
      </c>
      <c r="I702" s="47" t="s">
        <v>8783</v>
      </c>
      <c r="J702" s="47" t="s">
        <v>1892</v>
      </c>
    </row>
    <row r="703" spans="2:10" ht="14.5">
      <c r="B703" s="47" t="s">
        <v>1915</v>
      </c>
      <c r="C703" s="47" t="s">
        <v>8779</v>
      </c>
      <c r="D703" s="47" t="s">
        <v>9614</v>
      </c>
      <c r="E703" s="47" t="s">
        <v>1911</v>
      </c>
      <c r="F703" s="47" t="s">
        <v>8781</v>
      </c>
      <c r="G703" s="363">
        <v>46177</v>
      </c>
      <c r="H703" s="47" t="s">
        <v>8782</v>
      </c>
      <c r="I703" s="47" t="s">
        <v>8783</v>
      </c>
      <c r="J703" s="47" t="s">
        <v>1911</v>
      </c>
    </row>
    <row r="704" spans="2:10" ht="14.5">
      <c r="B704" s="47" t="s">
        <v>1908</v>
      </c>
      <c r="C704" s="47" t="s">
        <v>8779</v>
      </c>
      <c r="D704" s="47" t="s">
        <v>9615</v>
      </c>
      <c r="E704" s="47" t="s">
        <v>1901</v>
      </c>
      <c r="F704" s="47" t="s">
        <v>8781</v>
      </c>
      <c r="G704" s="363">
        <v>46177</v>
      </c>
      <c r="H704" s="47" t="s">
        <v>8782</v>
      </c>
      <c r="I704" s="47" t="s">
        <v>8783</v>
      </c>
      <c r="J704" s="47" t="s">
        <v>1901</v>
      </c>
    </row>
    <row r="705" spans="2:10" ht="14.5">
      <c r="B705" s="47" t="s">
        <v>1855</v>
      </c>
      <c r="C705" s="47" t="s">
        <v>8779</v>
      </c>
      <c r="D705" s="47" t="s">
        <v>9616</v>
      </c>
      <c r="E705" s="47" t="s">
        <v>1853</v>
      </c>
      <c r="F705" s="47" t="s">
        <v>8781</v>
      </c>
      <c r="G705" s="363">
        <v>46164</v>
      </c>
      <c r="H705" s="47" t="s">
        <v>8782</v>
      </c>
      <c r="I705" s="47" t="s">
        <v>8783</v>
      </c>
      <c r="J705" s="47" t="s">
        <v>1853</v>
      </c>
    </row>
    <row r="706" spans="2:10" ht="14.5">
      <c r="B706" s="47" t="s">
        <v>1761</v>
      </c>
      <c r="C706" s="47" t="s">
        <v>8779</v>
      </c>
      <c r="D706" s="47" t="s">
        <v>9617</v>
      </c>
      <c r="E706" s="47" t="s">
        <v>1756</v>
      </c>
      <c r="F706" s="47" t="s">
        <v>8781</v>
      </c>
      <c r="G706" s="363">
        <v>46176</v>
      </c>
      <c r="H706" s="47" t="s">
        <v>8782</v>
      </c>
      <c r="I706" s="47" t="s">
        <v>8783</v>
      </c>
      <c r="J706" s="47" t="s">
        <v>1756</v>
      </c>
    </row>
    <row r="707" spans="2:10" ht="14.5">
      <c r="B707" s="47" t="s">
        <v>1859</v>
      </c>
      <c r="C707" s="47" t="s">
        <v>8779</v>
      </c>
      <c r="D707" s="47" t="s">
        <v>9618</v>
      </c>
      <c r="E707" s="47" t="s">
        <v>1858</v>
      </c>
      <c r="F707" s="47" t="s">
        <v>8781</v>
      </c>
      <c r="G707" s="363">
        <v>46161</v>
      </c>
      <c r="H707" s="47" t="s">
        <v>8782</v>
      </c>
      <c r="I707" s="47" t="s">
        <v>8783</v>
      </c>
      <c r="J707" s="47" t="s">
        <v>1858</v>
      </c>
    </row>
    <row r="708" spans="2:10" ht="14.5">
      <c r="B708" s="47" t="s">
        <v>1927</v>
      </c>
      <c r="C708" s="47" t="s">
        <v>8779</v>
      </c>
      <c r="D708" s="47" t="s">
        <v>9619</v>
      </c>
      <c r="E708" s="47" t="s">
        <v>1923</v>
      </c>
      <c r="F708" s="47" t="s">
        <v>8781</v>
      </c>
      <c r="G708" s="363">
        <v>46185</v>
      </c>
      <c r="H708" s="47" t="s">
        <v>8782</v>
      </c>
      <c r="I708" s="47" t="s">
        <v>8783</v>
      </c>
      <c r="J708" s="47" t="s">
        <v>1923</v>
      </c>
    </row>
    <row r="709" spans="2:10" ht="14.5">
      <c r="B709" s="47" t="s">
        <v>1932</v>
      </c>
      <c r="C709" s="47" t="s">
        <v>8779</v>
      </c>
      <c r="D709" s="47" t="s">
        <v>9620</v>
      </c>
      <c r="E709" s="47" t="s">
        <v>1931</v>
      </c>
      <c r="F709" s="47" t="s">
        <v>8781</v>
      </c>
      <c r="G709" s="363">
        <v>46185</v>
      </c>
      <c r="H709" s="47" t="s">
        <v>8782</v>
      </c>
      <c r="I709" s="47" t="s">
        <v>8783</v>
      </c>
      <c r="J709" s="47" t="s">
        <v>1931</v>
      </c>
    </row>
    <row r="710" spans="2:10" ht="14.5">
      <c r="B710" s="47" t="s">
        <v>1934</v>
      </c>
      <c r="C710" s="47" t="s">
        <v>64</v>
      </c>
      <c r="D710" s="47" t="s">
        <v>9621</v>
      </c>
      <c r="E710" s="47" t="s">
        <v>1933</v>
      </c>
      <c r="F710" s="47" t="s">
        <v>8781</v>
      </c>
      <c r="G710" s="363">
        <v>46205</v>
      </c>
      <c r="H710" s="47" t="s">
        <v>8782</v>
      </c>
      <c r="I710" s="47" t="s">
        <v>8783</v>
      </c>
      <c r="J710" s="47" t="s">
        <v>1933</v>
      </c>
    </row>
    <row r="711" spans="2:10" ht="14.5">
      <c r="B711" s="47" t="s">
        <v>1941</v>
      </c>
      <c r="C711" s="47" t="s">
        <v>64</v>
      </c>
      <c r="D711" s="47" t="s">
        <v>9622</v>
      </c>
      <c r="E711" s="47" t="s">
        <v>1939</v>
      </c>
      <c r="F711" s="47" t="s">
        <v>8781</v>
      </c>
      <c r="G711" s="363">
        <v>46205</v>
      </c>
      <c r="H711" s="47" t="s">
        <v>8782</v>
      </c>
      <c r="I711" s="47" t="s">
        <v>8783</v>
      </c>
      <c r="J711" s="47" t="s">
        <v>1939</v>
      </c>
    </row>
    <row r="712" spans="2:10" ht="14.5">
      <c r="B712" s="47" t="s">
        <v>1877</v>
      </c>
      <c r="C712" s="47" t="s">
        <v>64</v>
      </c>
      <c r="D712" s="47" t="s">
        <v>9623</v>
      </c>
      <c r="E712" s="47" t="s">
        <v>1875</v>
      </c>
      <c r="F712" s="47" t="s">
        <v>8781</v>
      </c>
      <c r="G712" s="363">
        <v>46170</v>
      </c>
      <c r="H712" s="47" t="s">
        <v>8782</v>
      </c>
      <c r="I712" s="47" t="s">
        <v>8783</v>
      </c>
      <c r="J712" s="47" t="s">
        <v>1875</v>
      </c>
    </row>
    <row r="713" spans="2:10" ht="14.5">
      <c r="B713" s="47" t="s">
        <v>9624</v>
      </c>
      <c r="C713" s="47" t="s">
        <v>64</v>
      </c>
      <c r="D713" s="47" t="s">
        <v>9492</v>
      </c>
      <c r="E713" s="47" t="s">
        <v>9625</v>
      </c>
      <c r="F713" s="47" t="s">
        <v>8781</v>
      </c>
      <c r="G713" s="363">
        <v>46167</v>
      </c>
      <c r="H713" s="47" t="s">
        <v>8930</v>
      </c>
      <c r="I713" s="47" t="s">
        <v>8783</v>
      </c>
      <c r="J713" s="47" t="s">
        <v>9625</v>
      </c>
    </row>
    <row r="714" spans="2:10" ht="14.5">
      <c r="B714" s="47" t="s">
        <v>1863</v>
      </c>
      <c r="C714" s="47" t="s">
        <v>64</v>
      </c>
      <c r="D714" s="47" t="s">
        <v>9626</v>
      </c>
      <c r="E714" s="47" t="s">
        <v>1862</v>
      </c>
      <c r="F714" s="47" t="s">
        <v>8781</v>
      </c>
      <c r="G714" s="363">
        <v>46167</v>
      </c>
      <c r="H714" s="47" t="s">
        <v>8782</v>
      </c>
      <c r="I714" s="47" t="s">
        <v>8783</v>
      </c>
      <c r="J714" s="47" t="s">
        <v>1862</v>
      </c>
    </row>
    <row r="715" spans="2:10" ht="14.5">
      <c r="B715" s="47" t="s">
        <v>9627</v>
      </c>
      <c r="C715" s="47" t="s">
        <v>64</v>
      </c>
      <c r="D715" s="47" t="s">
        <v>9495</v>
      </c>
      <c r="E715" s="47" t="s">
        <v>1867</v>
      </c>
      <c r="F715" s="47" t="s">
        <v>8781</v>
      </c>
      <c r="G715" s="363">
        <v>46167</v>
      </c>
      <c r="H715" s="47" t="s">
        <v>8930</v>
      </c>
      <c r="I715" s="47" t="s">
        <v>8783</v>
      </c>
      <c r="J715" s="47" t="s">
        <v>1867</v>
      </c>
    </row>
    <row r="716" spans="2:10" ht="14.5">
      <c r="B716" s="47" t="s">
        <v>1827</v>
      </c>
      <c r="C716" s="47" t="s">
        <v>8779</v>
      </c>
      <c r="D716" s="47" t="s">
        <v>9628</v>
      </c>
      <c r="E716" s="47" t="s">
        <v>1825</v>
      </c>
      <c r="F716" s="47" t="s">
        <v>8781</v>
      </c>
      <c r="G716" s="363">
        <v>46164</v>
      </c>
      <c r="H716" s="47" t="s">
        <v>8782</v>
      </c>
      <c r="I716" s="47" t="s">
        <v>8783</v>
      </c>
      <c r="J716" s="47" t="s">
        <v>1825</v>
      </c>
    </row>
    <row r="717" spans="2:10" ht="14.5">
      <c r="B717" s="47" t="s">
        <v>1818</v>
      </c>
      <c r="C717" s="47" t="s">
        <v>8779</v>
      </c>
      <c r="D717" s="47" t="s">
        <v>9629</v>
      </c>
      <c r="E717" s="47" t="s">
        <v>1816</v>
      </c>
      <c r="F717" s="47" t="s">
        <v>8781</v>
      </c>
      <c r="G717" s="363">
        <v>46161</v>
      </c>
      <c r="H717" s="47" t="s">
        <v>8782</v>
      </c>
      <c r="I717" s="47" t="s">
        <v>8783</v>
      </c>
      <c r="J717" s="47" t="s">
        <v>1816</v>
      </c>
    </row>
    <row r="718" spans="2:10" ht="14.5">
      <c r="B718" s="47" t="s">
        <v>1824</v>
      </c>
      <c r="C718" s="47" t="s">
        <v>8779</v>
      </c>
      <c r="D718" s="47" t="s">
        <v>9630</v>
      </c>
      <c r="E718" s="47" t="s">
        <v>1822</v>
      </c>
      <c r="F718" s="47" t="s">
        <v>8781</v>
      </c>
      <c r="G718" s="363">
        <v>46161</v>
      </c>
      <c r="H718" s="47" t="s">
        <v>8782</v>
      </c>
      <c r="I718" s="47" t="s">
        <v>8783</v>
      </c>
      <c r="J718" s="47" t="s">
        <v>1822</v>
      </c>
    </row>
    <row r="719" spans="2:10" ht="14.5">
      <c r="B719" s="47" t="s">
        <v>1743</v>
      </c>
      <c r="C719" s="47" t="s">
        <v>64</v>
      </c>
      <c r="D719" s="47" t="s">
        <v>9631</v>
      </c>
      <c r="E719" s="47" t="s">
        <v>1742</v>
      </c>
      <c r="F719" s="47" t="s">
        <v>8781</v>
      </c>
      <c r="G719" s="363">
        <v>46161</v>
      </c>
      <c r="H719" s="47" t="s">
        <v>8782</v>
      </c>
      <c r="I719" s="47" t="s">
        <v>8783</v>
      </c>
      <c r="J719" s="47" t="s">
        <v>1742</v>
      </c>
    </row>
    <row r="720" spans="2:10" ht="14.5">
      <c r="B720" s="47" t="s">
        <v>1741</v>
      </c>
      <c r="C720" s="47" t="s">
        <v>64</v>
      </c>
      <c r="D720" s="47" t="s">
        <v>9632</v>
      </c>
      <c r="E720" s="47" t="s">
        <v>1740</v>
      </c>
      <c r="F720" s="47" t="s">
        <v>8781</v>
      </c>
      <c r="G720" s="363">
        <v>46161</v>
      </c>
      <c r="H720" s="47" t="s">
        <v>8782</v>
      </c>
      <c r="I720" s="47" t="s">
        <v>8783</v>
      </c>
      <c r="J720" s="47" t="s">
        <v>1740</v>
      </c>
    </row>
    <row r="721" spans="2:10" ht="14.5">
      <c r="B721" s="47" t="s">
        <v>1746</v>
      </c>
      <c r="C721" s="47" t="s">
        <v>64</v>
      </c>
      <c r="D721" s="47" t="s">
        <v>9633</v>
      </c>
      <c r="E721" s="47" t="s">
        <v>1744</v>
      </c>
      <c r="F721" s="47" t="s">
        <v>8781</v>
      </c>
      <c r="G721" s="363">
        <v>46161</v>
      </c>
      <c r="H721" s="47" t="s">
        <v>8782</v>
      </c>
      <c r="I721" s="47" t="s">
        <v>8783</v>
      </c>
      <c r="J721" s="47" t="s">
        <v>1744</v>
      </c>
    </row>
    <row r="722" spans="2:10" ht="14.5">
      <c r="B722" s="47" t="s">
        <v>1748</v>
      </c>
      <c r="C722" s="47" t="s">
        <v>64</v>
      </c>
      <c r="D722" s="47" t="s">
        <v>9634</v>
      </c>
      <c r="E722" s="47" t="s">
        <v>1445</v>
      </c>
      <c r="F722" s="47" t="s">
        <v>8781</v>
      </c>
      <c r="G722" s="363">
        <v>46161</v>
      </c>
      <c r="H722" s="47" t="s">
        <v>8782</v>
      </c>
      <c r="I722" s="47" t="s">
        <v>8783</v>
      </c>
      <c r="J722" s="47" t="s">
        <v>1445</v>
      </c>
    </row>
    <row r="723" spans="2:10" ht="14.5">
      <c r="B723" s="47" t="s">
        <v>929</v>
      </c>
      <c r="C723" s="47" t="s">
        <v>64</v>
      </c>
      <c r="D723" s="47" t="s">
        <v>9635</v>
      </c>
      <c r="E723" s="47" t="s">
        <v>584</v>
      </c>
      <c r="F723" s="47" t="s">
        <v>8781</v>
      </c>
      <c r="G723" s="363">
        <v>46173</v>
      </c>
      <c r="H723" s="47" t="s">
        <v>8782</v>
      </c>
      <c r="I723" s="47" t="s">
        <v>8783</v>
      </c>
      <c r="J723" s="47" t="s">
        <v>584</v>
      </c>
    </row>
    <row r="724" spans="2:10" ht="14.5">
      <c r="B724" s="47" t="s">
        <v>934</v>
      </c>
      <c r="C724" s="47" t="s">
        <v>64</v>
      </c>
      <c r="D724" s="47" t="s">
        <v>9636</v>
      </c>
      <c r="E724" s="47" t="s">
        <v>401</v>
      </c>
      <c r="F724" s="47" t="s">
        <v>8781</v>
      </c>
      <c r="G724" s="363">
        <v>46173</v>
      </c>
      <c r="H724" s="47" t="s">
        <v>8782</v>
      </c>
      <c r="I724" s="47" t="s">
        <v>8783</v>
      </c>
      <c r="J724" s="47" t="s">
        <v>401</v>
      </c>
    </row>
    <row r="725" spans="2:10" ht="14.5">
      <c r="B725" s="47" t="s">
        <v>1751</v>
      </c>
      <c r="C725" s="47" t="s">
        <v>8779</v>
      </c>
      <c r="D725" s="47" t="s">
        <v>9637</v>
      </c>
      <c r="E725" s="47" t="s">
        <v>1749</v>
      </c>
      <c r="F725" s="47" t="s">
        <v>8781</v>
      </c>
      <c r="G725" s="363">
        <v>46163</v>
      </c>
      <c r="H725" s="47" t="s">
        <v>8782</v>
      </c>
      <c r="I725" s="47" t="s">
        <v>8783</v>
      </c>
      <c r="J725" s="47" t="s">
        <v>1749</v>
      </c>
    </row>
    <row r="726" spans="2:10" ht="14.5">
      <c r="B726" s="47" t="s">
        <v>1736</v>
      </c>
      <c r="C726" s="47" t="s">
        <v>64</v>
      </c>
      <c r="D726" s="47" t="s">
        <v>9638</v>
      </c>
      <c r="E726" s="47" t="s">
        <v>1733</v>
      </c>
      <c r="F726" s="47" t="s">
        <v>8781</v>
      </c>
      <c r="G726" s="363">
        <v>46161</v>
      </c>
      <c r="H726" s="47" t="s">
        <v>8782</v>
      </c>
      <c r="I726" s="47" t="s">
        <v>8783</v>
      </c>
      <c r="J726" s="47" t="s">
        <v>1733</v>
      </c>
    </row>
    <row r="727" spans="2:10" ht="14.5">
      <c r="B727" s="47" t="s">
        <v>1738</v>
      </c>
      <c r="C727" s="47" t="s">
        <v>64</v>
      </c>
      <c r="D727" s="47" t="s">
        <v>9639</v>
      </c>
      <c r="E727" s="47" t="s">
        <v>1737</v>
      </c>
      <c r="F727" s="47" t="s">
        <v>8781</v>
      </c>
      <c r="G727" s="363">
        <v>46161</v>
      </c>
      <c r="H727" s="47" t="s">
        <v>8782</v>
      </c>
      <c r="I727" s="47" t="s">
        <v>8783</v>
      </c>
      <c r="J727" s="47" t="s">
        <v>1737</v>
      </c>
    </row>
    <row r="728" spans="2:10" ht="14.5">
      <c r="B728" s="47" t="s">
        <v>1844</v>
      </c>
      <c r="C728" s="47" t="s">
        <v>64</v>
      </c>
      <c r="D728" s="47" t="s">
        <v>9507</v>
      </c>
      <c r="E728" s="47"/>
      <c r="F728" s="47" t="s">
        <v>8781</v>
      </c>
      <c r="G728" s="363">
        <v>46195</v>
      </c>
      <c r="H728" s="47" t="s">
        <v>8782</v>
      </c>
      <c r="I728" s="47" t="s">
        <v>8783</v>
      </c>
      <c r="J728" s="47" t="s">
        <v>9640</v>
      </c>
    </row>
    <row r="729" spans="2:10" ht="14.5">
      <c r="B729" s="47" t="s">
        <v>9641</v>
      </c>
      <c r="C729" s="47" t="s">
        <v>8779</v>
      </c>
      <c r="D729" s="47" t="s">
        <v>9507</v>
      </c>
      <c r="E729" s="47"/>
      <c r="F729" s="47" t="s">
        <v>8781</v>
      </c>
      <c r="G729" s="363">
        <v>46175</v>
      </c>
      <c r="H729" s="47" t="s">
        <v>8930</v>
      </c>
      <c r="I729" s="47" t="s">
        <v>8783</v>
      </c>
      <c r="J729" s="47" t="s">
        <v>2009</v>
      </c>
    </row>
    <row r="730" spans="2:10" ht="14.5">
      <c r="B730" s="47" t="s">
        <v>1850</v>
      </c>
      <c r="C730" s="47" t="s">
        <v>64</v>
      </c>
      <c r="D730" s="47" t="s">
        <v>9642</v>
      </c>
      <c r="E730" s="47" t="s">
        <v>1849</v>
      </c>
      <c r="F730" s="47" t="s">
        <v>8781</v>
      </c>
      <c r="G730" s="363">
        <v>46178</v>
      </c>
      <c r="H730" s="47" t="s">
        <v>8782</v>
      </c>
      <c r="I730" s="47" t="s">
        <v>8783</v>
      </c>
      <c r="J730" s="47" t="s">
        <v>1849</v>
      </c>
    </row>
    <row r="731" spans="2:10" ht="14.5">
      <c r="B731" s="47" t="s">
        <v>936</v>
      </c>
      <c r="C731" s="47" t="s">
        <v>64</v>
      </c>
      <c r="D731" s="47" t="s">
        <v>9643</v>
      </c>
      <c r="E731" s="47" t="s">
        <v>935</v>
      </c>
      <c r="F731" s="47" t="s">
        <v>8781</v>
      </c>
      <c r="G731" s="363">
        <v>46171</v>
      </c>
      <c r="H731" s="47" t="s">
        <v>8782</v>
      </c>
      <c r="I731" s="47" t="s">
        <v>8783</v>
      </c>
      <c r="J731" s="47" t="s">
        <v>935</v>
      </c>
    </row>
    <row r="732" spans="2:10" ht="14.5">
      <c r="B732" s="47" t="s">
        <v>1642</v>
      </c>
      <c r="C732" s="47" t="s">
        <v>64</v>
      </c>
      <c r="D732" s="47" t="s">
        <v>9644</v>
      </c>
      <c r="E732" s="47" t="s">
        <v>1641</v>
      </c>
      <c r="F732" s="47" t="s">
        <v>8781</v>
      </c>
      <c r="G732" s="363">
        <v>46171</v>
      </c>
      <c r="H732" s="47" t="s">
        <v>8782</v>
      </c>
      <c r="I732" s="47" t="s">
        <v>8783</v>
      </c>
      <c r="J732" s="47" t="s">
        <v>1641</v>
      </c>
    </row>
    <row r="733" spans="2:10" ht="14.5">
      <c r="B733" s="47" t="s">
        <v>1840</v>
      </c>
      <c r="C733" s="47" t="s">
        <v>64</v>
      </c>
      <c r="D733" s="47" t="s">
        <v>9645</v>
      </c>
      <c r="E733" s="47" t="s">
        <v>1837</v>
      </c>
      <c r="F733" s="47" t="s">
        <v>8781</v>
      </c>
      <c r="G733" s="363">
        <v>46176</v>
      </c>
      <c r="H733" s="47" t="s">
        <v>8782</v>
      </c>
      <c r="I733" s="47" t="s">
        <v>8783</v>
      </c>
      <c r="J733" s="47" t="s">
        <v>1837</v>
      </c>
    </row>
    <row r="734" spans="2:10" ht="14.5">
      <c r="B734" s="47" t="s">
        <v>1648</v>
      </c>
      <c r="C734" s="47" t="s">
        <v>64</v>
      </c>
      <c r="D734" s="47" t="s">
        <v>9646</v>
      </c>
      <c r="E734" s="47" t="s">
        <v>1647</v>
      </c>
      <c r="F734" s="47" t="s">
        <v>8781</v>
      </c>
      <c r="G734" s="363">
        <v>46160</v>
      </c>
      <c r="H734" s="47" t="s">
        <v>8782</v>
      </c>
      <c r="I734" s="47" t="s">
        <v>8783</v>
      </c>
      <c r="J734" s="47" t="s">
        <v>1647</v>
      </c>
    </row>
    <row r="735" spans="2:10" ht="14.5">
      <c r="B735" s="47" t="s">
        <v>1652</v>
      </c>
      <c r="C735" s="47" t="s">
        <v>64</v>
      </c>
      <c r="D735" s="47" t="s">
        <v>9647</v>
      </c>
      <c r="E735" s="47" t="s">
        <v>1651</v>
      </c>
      <c r="F735" s="47" t="s">
        <v>8781</v>
      </c>
      <c r="G735" s="363">
        <v>46160</v>
      </c>
      <c r="H735" s="47" t="s">
        <v>8782</v>
      </c>
      <c r="I735" s="47" t="s">
        <v>8783</v>
      </c>
      <c r="J735" s="47" t="s">
        <v>1651</v>
      </c>
    </row>
    <row r="736" spans="2:10" ht="14.5">
      <c r="B736" s="47" t="s">
        <v>1833</v>
      </c>
      <c r="C736" s="47" t="s">
        <v>64</v>
      </c>
      <c r="D736" s="47" t="s">
        <v>9648</v>
      </c>
      <c r="E736" s="47" t="s">
        <v>1831</v>
      </c>
      <c r="F736" s="47" t="s">
        <v>8781</v>
      </c>
      <c r="G736" s="363">
        <v>46167</v>
      </c>
      <c r="H736" s="47" t="s">
        <v>8782</v>
      </c>
      <c r="I736" s="47" t="s">
        <v>8783</v>
      </c>
      <c r="J736" s="47" t="s">
        <v>1831</v>
      </c>
    </row>
    <row r="737" spans="2:10" ht="14.5">
      <c r="B737" s="47" t="s">
        <v>1655</v>
      </c>
      <c r="C737" s="47" t="s">
        <v>64</v>
      </c>
      <c r="D737" s="47" t="s">
        <v>9649</v>
      </c>
      <c r="E737" s="47" t="s">
        <v>1653</v>
      </c>
      <c r="F737" s="47" t="s">
        <v>8781</v>
      </c>
      <c r="G737" s="363">
        <v>46160</v>
      </c>
      <c r="H737" s="47" t="s">
        <v>8782</v>
      </c>
      <c r="I737" s="47" t="s">
        <v>8783</v>
      </c>
      <c r="J737" s="47" t="s">
        <v>1653</v>
      </c>
    </row>
    <row r="738" spans="2:10" ht="14.5">
      <c r="B738" s="47" t="s">
        <v>1815</v>
      </c>
      <c r="C738" s="47" t="s">
        <v>8779</v>
      </c>
      <c r="D738" s="47" t="s">
        <v>9650</v>
      </c>
      <c r="E738" s="47" t="s">
        <v>1813</v>
      </c>
      <c r="F738" s="47" t="s">
        <v>8781</v>
      </c>
      <c r="G738" s="363">
        <v>46153</v>
      </c>
      <c r="H738" s="47" t="s">
        <v>8782</v>
      </c>
      <c r="I738" s="47" t="s">
        <v>8783</v>
      </c>
      <c r="J738" s="47" t="s">
        <v>1813</v>
      </c>
    </row>
    <row r="739" spans="2:10" ht="14.5">
      <c r="B739" s="47" t="s">
        <v>1657</v>
      </c>
      <c r="C739" s="47" t="s">
        <v>64</v>
      </c>
      <c r="D739" s="47" t="s">
        <v>9651</v>
      </c>
      <c r="E739" s="47" t="s">
        <v>1656</v>
      </c>
      <c r="F739" s="47" t="s">
        <v>8781</v>
      </c>
      <c r="G739" s="363">
        <v>46164</v>
      </c>
      <c r="H739" s="47" t="s">
        <v>8782</v>
      </c>
      <c r="I739" s="47" t="s">
        <v>8783</v>
      </c>
      <c r="J739" s="47" t="s">
        <v>1656</v>
      </c>
    </row>
    <row r="740" spans="2:10" ht="14.5">
      <c r="B740" s="47" t="s">
        <v>1661</v>
      </c>
      <c r="C740" s="47" t="s">
        <v>64</v>
      </c>
      <c r="D740" s="47" t="s">
        <v>9652</v>
      </c>
      <c r="E740" s="47" t="s">
        <v>1660</v>
      </c>
      <c r="F740" s="47" t="s">
        <v>8781</v>
      </c>
      <c r="G740" s="363">
        <v>46169</v>
      </c>
      <c r="H740" s="47" t="s">
        <v>8782</v>
      </c>
      <c r="I740" s="47" t="s">
        <v>8783</v>
      </c>
      <c r="J740" s="47" t="s">
        <v>1660</v>
      </c>
    </row>
    <row r="741" spans="2:10" ht="14.5">
      <c r="B741" s="47" t="s">
        <v>1671</v>
      </c>
      <c r="C741" s="47" t="s">
        <v>64</v>
      </c>
      <c r="D741" s="47" t="s">
        <v>9653</v>
      </c>
      <c r="E741" s="47" t="s">
        <v>1670</v>
      </c>
      <c r="F741" s="47" t="s">
        <v>8781</v>
      </c>
      <c r="G741" s="363">
        <v>46154</v>
      </c>
      <c r="H741" s="47" t="s">
        <v>8782</v>
      </c>
      <c r="I741" s="47" t="s">
        <v>8783</v>
      </c>
      <c r="J741" s="47" t="s">
        <v>1670</v>
      </c>
    </row>
    <row r="742" spans="2:10" ht="14.5">
      <c r="B742" s="47" t="s">
        <v>1665</v>
      </c>
      <c r="C742" s="47" t="s">
        <v>64</v>
      </c>
      <c r="D742" s="47" t="s">
        <v>9654</v>
      </c>
      <c r="E742" s="47" t="s">
        <v>1664</v>
      </c>
      <c r="F742" s="47" t="s">
        <v>8781</v>
      </c>
      <c r="G742" s="363">
        <v>46154</v>
      </c>
      <c r="H742" s="47" t="s">
        <v>8782</v>
      </c>
      <c r="I742" s="47" t="s">
        <v>8783</v>
      </c>
      <c r="J742" s="47" t="s">
        <v>1664</v>
      </c>
    </row>
    <row r="743" spans="2:10" ht="14.5">
      <c r="B743" s="47" t="s">
        <v>1673</v>
      </c>
      <c r="C743" s="47" t="s">
        <v>64</v>
      </c>
      <c r="D743" s="47" t="s">
        <v>9655</v>
      </c>
      <c r="E743" s="47" t="s">
        <v>1672</v>
      </c>
      <c r="F743" s="47" t="s">
        <v>8781</v>
      </c>
      <c r="G743" s="363">
        <v>46154</v>
      </c>
      <c r="H743" s="47" t="s">
        <v>8782</v>
      </c>
      <c r="I743" s="47" t="s">
        <v>8783</v>
      </c>
      <c r="J743" s="47" t="s">
        <v>1672</v>
      </c>
    </row>
    <row r="744" spans="2:10" ht="14.5">
      <c r="B744" s="47" t="s">
        <v>1691</v>
      </c>
      <c r="C744" s="47" t="s">
        <v>64</v>
      </c>
      <c r="D744" s="47" t="s">
        <v>9656</v>
      </c>
      <c r="E744" s="47" t="s">
        <v>1690</v>
      </c>
      <c r="F744" s="47" t="s">
        <v>8781</v>
      </c>
      <c r="G744" s="363">
        <v>46171</v>
      </c>
      <c r="H744" s="47" t="s">
        <v>8782</v>
      </c>
      <c r="I744" s="47" t="s">
        <v>8783</v>
      </c>
      <c r="J744" s="47" t="s">
        <v>1690</v>
      </c>
    </row>
    <row r="745" spans="2:10" ht="14.5">
      <c r="B745" s="47" t="s">
        <v>1810</v>
      </c>
      <c r="C745" s="47" t="s">
        <v>8779</v>
      </c>
      <c r="D745" s="47" t="s">
        <v>9657</v>
      </c>
      <c r="E745" s="47" t="s">
        <v>1801</v>
      </c>
      <c r="F745" s="47" t="s">
        <v>8781</v>
      </c>
      <c r="G745" s="363">
        <v>46153</v>
      </c>
      <c r="H745" s="47" t="s">
        <v>8782</v>
      </c>
      <c r="I745" s="47" t="s">
        <v>8783</v>
      </c>
      <c r="J745" s="47" t="s">
        <v>1801</v>
      </c>
    </row>
    <row r="746" spans="2:10" ht="14.5">
      <c r="B746" s="47" t="s">
        <v>1694</v>
      </c>
      <c r="C746" s="47" t="s">
        <v>64</v>
      </c>
      <c r="D746" s="47" t="s">
        <v>9658</v>
      </c>
      <c r="E746" s="47" t="s">
        <v>1679</v>
      </c>
      <c r="F746" s="47" t="s">
        <v>8781</v>
      </c>
      <c r="G746" s="363">
        <v>46171</v>
      </c>
      <c r="H746" s="47" t="s">
        <v>8782</v>
      </c>
      <c r="I746" s="47" t="s">
        <v>8783</v>
      </c>
      <c r="J746" s="47" t="s">
        <v>1679</v>
      </c>
    </row>
    <row r="747" spans="2:10" ht="14.5">
      <c r="B747" s="47" t="s">
        <v>1698</v>
      </c>
      <c r="C747" s="47" t="s">
        <v>64</v>
      </c>
      <c r="D747" s="47" t="s">
        <v>9659</v>
      </c>
      <c r="E747" s="47" t="s">
        <v>1697</v>
      </c>
      <c r="F747" s="47" t="s">
        <v>8781</v>
      </c>
      <c r="G747" s="363">
        <v>46171</v>
      </c>
      <c r="H747" s="47" t="s">
        <v>8782</v>
      </c>
      <c r="I747" s="47" t="s">
        <v>8783</v>
      </c>
      <c r="J747" s="47" t="s">
        <v>1697</v>
      </c>
    </row>
    <row r="748" spans="2:10" ht="14.5">
      <c r="B748" s="47" t="s">
        <v>1703</v>
      </c>
      <c r="C748" s="47" t="s">
        <v>64</v>
      </c>
      <c r="D748" s="47" t="s">
        <v>9660</v>
      </c>
      <c r="E748" s="47" t="s">
        <v>1701</v>
      </c>
      <c r="F748" s="47" t="s">
        <v>8781</v>
      </c>
      <c r="G748" s="363">
        <v>46171</v>
      </c>
      <c r="H748" s="47" t="s">
        <v>8782</v>
      </c>
      <c r="I748" s="47" t="s">
        <v>8783</v>
      </c>
      <c r="J748" s="47" t="s">
        <v>1701</v>
      </c>
    </row>
    <row r="749" spans="2:10" ht="14.5">
      <c r="B749" s="47" t="s">
        <v>1705</v>
      </c>
      <c r="C749" s="47" t="s">
        <v>64</v>
      </c>
      <c r="D749" s="47" t="s">
        <v>9661</v>
      </c>
      <c r="E749" s="47" t="s">
        <v>1704</v>
      </c>
      <c r="F749" s="47" t="s">
        <v>8781</v>
      </c>
      <c r="G749" s="363">
        <v>46171</v>
      </c>
      <c r="H749" s="47" t="s">
        <v>8782</v>
      </c>
      <c r="I749" s="47" t="s">
        <v>8783</v>
      </c>
      <c r="J749" s="47" t="s">
        <v>1704</v>
      </c>
    </row>
    <row r="750" spans="2:10" ht="14.5">
      <c r="B750" s="47" t="s">
        <v>1708</v>
      </c>
      <c r="C750" s="47" t="s">
        <v>64</v>
      </c>
      <c r="D750" s="47" t="s">
        <v>9662</v>
      </c>
      <c r="E750" s="47" t="s">
        <v>1706</v>
      </c>
      <c r="F750" s="47" t="s">
        <v>8781</v>
      </c>
      <c r="G750" s="363">
        <v>46169</v>
      </c>
      <c r="H750" s="47" t="s">
        <v>8782</v>
      </c>
      <c r="I750" s="47" t="s">
        <v>8783</v>
      </c>
      <c r="J750" s="47" t="s">
        <v>1706</v>
      </c>
    </row>
    <row r="751" spans="2:10" ht="14.5">
      <c r="B751" s="47" t="s">
        <v>1800</v>
      </c>
      <c r="C751" s="47" t="s">
        <v>64</v>
      </c>
      <c r="D751" s="47" t="s">
        <v>9663</v>
      </c>
      <c r="E751" s="47" t="s">
        <v>1799</v>
      </c>
      <c r="F751" s="47" t="s">
        <v>8781</v>
      </c>
      <c r="G751" s="363">
        <v>46156</v>
      </c>
      <c r="H751" s="47" t="s">
        <v>8782</v>
      </c>
      <c r="I751" s="47" t="s">
        <v>8783</v>
      </c>
      <c r="J751" s="47" t="s">
        <v>1799</v>
      </c>
    </row>
    <row r="752" spans="2:10" ht="14.5">
      <c r="B752" s="47" t="s">
        <v>1710</v>
      </c>
      <c r="C752" s="47" t="s">
        <v>64</v>
      </c>
      <c r="D752" s="47" t="s">
        <v>9664</v>
      </c>
      <c r="E752" s="47" t="s">
        <v>1709</v>
      </c>
      <c r="F752" s="47" t="s">
        <v>8781</v>
      </c>
      <c r="G752" s="363">
        <v>46171</v>
      </c>
      <c r="H752" s="47" t="s">
        <v>8782</v>
      </c>
      <c r="I752" s="47" t="s">
        <v>8783</v>
      </c>
      <c r="J752" s="47" t="s">
        <v>1709</v>
      </c>
    </row>
    <row r="753" spans="2:10" ht="14.5">
      <c r="B753" s="47" t="s">
        <v>1795</v>
      </c>
      <c r="C753" s="47" t="s">
        <v>64</v>
      </c>
      <c r="D753" s="47" t="s">
        <v>9665</v>
      </c>
      <c r="E753" s="47" t="s">
        <v>1793</v>
      </c>
      <c r="F753" s="47" t="s">
        <v>8781</v>
      </c>
      <c r="G753" s="363">
        <v>46164</v>
      </c>
      <c r="H753" s="47" t="s">
        <v>8782</v>
      </c>
      <c r="I753" s="47" t="s">
        <v>8783</v>
      </c>
      <c r="J753" s="47" t="s">
        <v>1793</v>
      </c>
    </row>
    <row r="754" spans="2:10" ht="14.5">
      <c r="B754" s="47" t="s">
        <v>1714</v>
      </c>
      <c r="C754" s="47" t="s">
        <v>64</v>
      </c>
      <c r="D754" s="47" t="s">
        <v>9666</v>
      </c>
      <c r="E754" s="47" t="s">
        <v>1713</v>
      </c>
      <c r="F754" s="47" t="s">
        <v>8781</v>
      </c>
      <c r="G754" s="363">
        <v>46171</v>
      </c>
      <c r="H754" s="47" t="s">
        <v>8782</v>
      </c>
      <c r="I754" s="47" t="s">
        <v>8783</v>
      </c>
      <c r="J754" s="47" t="s">
        <v>1713</v>
      </c>
    </row>
    <row r="755" spans="2:10" ht="14.5">
      <c r="B755" s="47" t="s">
        <v>1716</v>
      </c>
      <c r="C755" s="47" t="s">
        <v>64</v>
      </c>
      <c r="D755" s="47" t="s">
        <v>9667</v>
      </c>
      <c r="E755" s="47" t="s">
        <v>1715</v>
      </c>
      <c r="F755" s="47" t="s">
        <v>8781</v>
      </c>
      <c r="G755" s="363">
        <v>46171</v>
      </c>
      <c r="H755" s="47" t="s">
        <v>8782</v>
      </c>
      <c r="I755" s="47" t="s">
        <v>8783</v>
      </c>
      <c r="J755" s="47" t="s">
        <v>1715</v>
      </c>
    </row>
    <row r="756" spans="2:10" ht="14.5">
      <c r="B756" s="47" t="s">
        <v>1789</v>
      </c>
      <c r="C756" s="47" t="s">
        <v>64</v>
      </c>
      <c r="D756" s="47" t="s">
        <v>9668</v>
      </c>
      <c r="E756" s="47" t="s">
        <v>1787</v>
      </c>
      <c r="F756" s="47" t="s">
        <v>8781</v>
      </c>
      <c r="G756" s="363">
        <v>46156</v>
      </c>
      <c r="H756" s="47" t="s">
        <v>8782</v>
      </c>
      <c r="I756" s="47" t="s">
        <v>8783</v>
      </c>
      <c r="J756" s="47" t="s">
        <v>1787</v>
      </c>
    </row>
    <row r="757" spans="2:10" ht="14.5">
      <c r="B757" s="47" t="s">
        <v>1718</v>
      </c>
      <c r="C757" s="47" t="s">
        <v>64</v>
      </c>
      <c r="D757" s="47" t="s">
        <v>9669</v>
      </c>
      <c r="E757" s="47" t="s">
        <v>1717</v>
      </c>
      <c r="F757" s="47" t="s">
        <v>8781</v>
      </c>
      <c r="G757" s="363">
        <v>46171</v>
      </c>
      <c r="H757" s="47" t="s">
        <v>8782</v>
      </c>
      <c r="I757" s="47" t="s">
        <v>8783</v>
      </c>
      <c r="J757" s="47" t="s">
        <v>1717</v>
      </c>
    </row>
    <row r="758" spans="2:10" ht="14.5">
      <c r="B758" s="47" t="s">
        <v>1769</v>
      </c>
      <c r="C758" s="47" t="s">
        <v>64</v>
      </c>
      <c r="D758" s="47" t="s">
        <v>9670</v>
      </c>
      <c r="E758" s="47" t="s">
        <v>1766</v>
      </c>
      <c r="F758" s="47" t="s">
        <v>8781</v>
      </c>
      <c r="G758" s="363">
        <v>46160</v>
      </c>
      <c r="H758" s="47" t="s">
        <v>8782</v>
      </c>
      <c r="I758" s="47" t="s">
        <v>8783</v>
      </c>
      <c r="J758" s="47" t="s">
        <v>1766</v>
      </c>
    </row>
    <row r="759" spans="2:10" ht="14.5">
      <c r="B759" s="47" t="s">
        <v>1786</v>
      </c>
      <c r="C759" s="47" t="s">
        <v>64</v>
      </c>
      <c r="D759" s="47" t="s">
        <v>9671</v>
      </c>
      <c r="E759" s="47" t="s">
        <v>1785</v>
      </c>
      <c r="F759" s="47" t="s">
        <v>8781</v>
      </c>
      <c r="G759" s="363">
        <v>46164</v>
      </c>
      <c r="H759" s="47" t="s">
        <v>8782</v>
      </c>
      <c r="I759" s="47" t="s">
        <v>8783</v>
      </c>
      <c r="J759" s="47" t="s">
        <v>1785</v>
      </c>
    </row>
    <row r="760" spans="2:10" ht="14.5">
      <c r="B760" s="47" t="s">
        <v>1774</v>
      </c>
      <c r="C760" s="47" t="s">
        <v>64</v>
      </c>
      <c r="D760" s="47" t="s">
        <v>9672</v>
      </c>
      <c r="E760" s="47" t="s">
        <v>1772</v>
      </c>
      <c r="F760" s="47" t="s">
        <v>8781</v>
      </c>
      <c r="G760" s="363">
        <v>46160</v>
      </c>
      <c r="H760" s="47" t="s">
        <v>8782</v>
      </c>
      <c r="I760" s="47" t="s">
        <v>8783</v>
      </c>
      <c r="J760" s="47" t="s">
        <v>1772</v>
      </c>
    </row>
    <row r="761" spans="2:10" ht="14.5">
      <c r="B761" s="47" t="s">
        <v>1781</v>
      </c>
      <c r="C761" s="47" t="s">
        <v>64</v>
      </c>
      <c r="D761" s="47" t="s">
        <v>9673</v>
      </c>
      <c r="E761" s="47" t="s">
        <v>1779</v>
      </c>
      <c r="F761" s="47" t="s">
        <v>8781</v>
      </c>
      <c r="G761" s="363">
        <v>46164</v>
      </c>
      <c r="H761" s="47" t="s">
        <v>8782</v>
      </c>
      <c r="I761" s="47" t="s">
        <v>8783</v>
      </c>
      <c r="J761" s="47" t="s">
        <v>1779</v>
      </c>
    </row>
    <row r="762" spans="2:10" ht="14.5">
      <c r="B762" s="47" t="s">
        <v>1689</v>
      </c>
      <c r="C762" s="47" t="s">
        <v>64</v>
      </c>
      <c r="D762" s="47" t="s">
        <v>9674</v>
      </c>
      <c r="E762" s="47" t="s">
        <v>1688</v>
      </c>
      <c r="F762" s="47" t="s">
        <v>8781</v>
      </c>
      <c r="G762" s="363">
        <v>46156</v>
      </c>
      <c r="H762" s="47" t="s">
        <v>8782</v>
      </c>
      <c r="I762" s="47" t="s">
        <v>8783</v>
      </c>
      <c r="J762" s="47" t="s">
        <v>1688</v>
      </c>
    </row>
    <row r="763" spans="2:10" ht="14.5">
      <c r="B763" s="47" t="s">
        <v>1683</v>
      </c>
      <c r="C763" s="47" t="s">
        <v>64</v>
      </c>
      <c r="D763" s="47" t="s">
        <v>9675</v>
      </c>
      <c r="E763" s="47" t="s">
        <v>1678</v>
      </c>
      <c r="F763" s="47" t="s">
        <v>8781</v>
      </c>
      <c r="G763" s="363">
        <v>46156</v>
      </c>
      <c r="H763" s="47" t="s">
        <v>8782</v>
      </c>
      <c r="I763" s="47" t="s">
        <v>8783</v>
      </c>
      <c r="J763" s="47" t="s">
        <v>1678</v>
      </c>
    </row>
    <row r="764" spans="2:10" ht="14.5">
      <c r="B764" s="47" t="s">
        <v>1589</v>
      </c>
      <c r="C764" s="47" t="s">
        <v>64</v>
      </c>
      <c r="D764" s="47" t="s">
        <v>9676</v>
      </c>
      <c r="E764" s="47" t="s">
        <v>1587</v>
      </c>
      <c r="F764" s="47" t="s">
        <v>8781</v>
      </c>
      <c r="G764" s="363">
        <v>46163</v>
      </c>
      <c r="H764" s="47" t="s">
        <v>8782</v>
      </c>
      <c r="I764" s="47" t="s">
        <v>8783</v>
      </c>
      <c r="J764" s="47" t="s">
        <v>1587</v>
      </c>
    </row>
    <row r="765" spans="2:10" ht="14.5">
      <c r="B765" s="47" t="s">
        <v>1416</v>
      </c>
      <c r="C765" s="47" t="s">
        <v>8779</v>
      </c>
      <c r="D765" s="47" t="s">
        <v>9677</v>
      </c>
      <c r="E765" s="47" t="s">
        <v>1415</v>
      </c>
      <c r="F765" s="47" t="s">
        <v>8781</v>
      </c>
      <c r="G765" s="363">
        <v>46168</v>
      </c>
      <c r="H765" s="47" t="s">
        <v>8782</v>
      </c>
      <c r="I765" s="47" t="s">
        <v>8783</v>
      </c>
      <c r="J765" s="47" t="s">
        <v>1415</v>
      </c>
    </row>
    <row r="766" spans="2:10" ht="14.5">
      <c r="B766" s="47" t="s">
        <v>1422</v>
      </c>
      <c r="C766" s="47" t="s">
        <v>8779</v>
      </c>
      <c r="D766" s="47" t="s">
        <v>9678</v>
      </c>
      <c r="E766" s="47" t="s">
        <v>1421</v>
      </c>
      <c r="F766" s="47" t="s">
        <v>8781</v>
      </c>
      <c r="G766" s="363">
        <v>46168</v>
      </c>
      <c r="H766" s="47" t="s">
        <v>8782</v>
      </c>
      <c r="I766" s="47" t="s">
        <v>8783</v>
      </c>
      <c r="J766" s="47" t="s">
        <v>1421</v>
      </c>
    </row>
    <row r="767" spans="2:10" ht="14.5">
      <c r="B767" s="47" t="s">
        <v>1485</v>
      </c>
      <c r="C767" s="47" t="s">
        <v>64</v>
      </c>
      <c r="D767" s="47" t="s">
        <v>9679</v>
      </c>
      <c r="E767" s="47" t="s">
        <v>1481</v>
      </c>
      <c r="F767" s="47" t="s">
        <v>8781</v>
      </c>
      <c r="G767" s="363">
        <v>46169</v>
      </c>
      <c r="H767" s="47" t="s">
        <v>8782</v>
      </c>
      <c r="I767" s="47" t="s">
        <v>8783</v>
      </c>
      <c r="J767" s="47" t="s">
        <v>1481</v>
      </c>
    </row>
    <row r="768" spans="2:10" ht="14.5">
      <c r="B768" s="47" t="s">
        <v>1578</v>
      </c>
      <c r="C768" s="47" t="s">
        <v>64</v>
      </c>
      <c r="D768" s="47" t="s">
        <v>9680</v>
      </c>
      <c r="E768" s="47" t="s">
        <v>1576</v>
      </c>
      <c r="F768" s="47" t="s">
        <v>8781</v>
      </c>
      <c r="G768" s="363">
        <v>46176</v>
      </c>
      <c r="H768" s="47" t="s">
        <v>8782</v>
      </c>
      <c r="I768" s="47" t="s">
        <v>8783</v>
      </c>
      <c r="J768" s="47" t="s">
        <v>1576</v>
      </c>
    </row>
    <row r="769" spans="2:10" ht="14.5">
      <c r="B769" s="47" t="s">
        <v>1586</v>
      </c>
      <c r="C769" s="47" t="s">
        <v>64</v>
      </c>
      <c r="D769" s="47" t="s">
        <v>9681</v>
      </c>
      <c r="E769" s="47" t="s">
        <v>1582</v>
      </c>
      <c r="F769" s="47" t="s">
        <v>8781</v>
      </c>
      <c r="G769" s="363">
        <v>46176</v>
      </c>
      <c r="H769" s="47" t="s">
        <v>8782</v>
      </c>
      <c r="I769" s="47" t="s">
        <v>8783</v>
      </c>
      <c r="J769" s="47" t="s">
        <v>1582</v>
      </c>
    </row>
    <row r="770" spans="2:10" ht="14.5">
      <c r="B770" s="47" t="s">
        <v>1640</v>
      </c>
      <c r="C770" s="47" t="s">
        <v>64</v>
      </c>
      <c r="D770" s="47" t="s">
        <v>9682</v>
      </c>
      <c r="E770" s="47" t="s">
        <v>1639</v>
      </c>
      <c r="F770" s="47" t="s">
        <v>8781</v>
      </c>
      <c r="G770" s="363">
        <v>46171</v>
      </c>
      <c r="H770" s="47" t="s">
        <v>8782</v>
      </c>
      <c r="I770" s="47" t="s">
        <v>8783</v>
      </c>
      <c r="J770" s="47" t="s">
        <v>1639</v>
      </c>
    </row>
    <row r="771" spans="2:10" ht="14.5">
      <c r="B771" s="47" t="s">
        <v>924</v>
      </c>
      <c r="C771" s="47" t="s">
        <v>64</v>
      </c>
      <c r="D771" s="47" t="s">
        <v>9683</v>
      </c>
      <c r="E771" s="47" t="s">
        <v>921</v>
      </c>
      <c r="F771" s="47" t="s">
        <v>8781</v>
      </c>
      <c r="G771" s="363">
        <v>46171</v>
      </c>
      <c r="H771" s="47" t="s">
        <v>8782</v>
      </c>
      <c r="I771" s="47" t="s">
        <v>8783</v>
      </c>
      <c r="J771" s="47" t="s">
        <v>921</v>
      </c>
    </row>
    <row r="772" spans="2:10" ht="14.5">
      <c r="B772" s="47" t="s">
        <v>1524</v>
      </c>
      <c r="C772" s="47" t="s">
        <v>64</v>
      </c>
      <c r="D772" s="47" t="s">
        <v>9684</v>
      </c>
      <c r="E772" s="47" t="s">
        <v>1518</v>
      </c>
      <c r="F772" s="47" t="s">
        <v>8781</v>
      </c>
      <c r="G772" s="363">
        <v>46176</v>
      </c>
      <c r="H772" s="47" t="s">
        <v>8782</v>
      </c>
      <c r="I772" s="47" t="s">
        <v>8783</v>
      </c>
      <c r="J772" s="47" t="s">
        <v>1518</v>
      </c>
    </row>
    <row r="773" spans="2:10" ht="14.5">
      <c r="B773" s="47" t="s">
        <v>1535</v>
      </c>
      <c r="C773" s="47" t="s">
        <v>64</v>
      </c>
      <c r="D773" s="47" t="s">
        <v>9685</v>
      </c>
      <c r="E773" s="47" t="s">
        <v>1530</v>
      </c>
      <c r="F773" s="47" t="s">
        <v>8781</v>
      </c>
      <c r="G773" s="363">
        <v>46175</v>
      </c>
      <c r="H773" s="47" t="s">
        <v>8782</v>
      </c>
      <c r="I773" s="47" t="s">
        <v>8783</v>
      </c>
      <c r="J773" s="47" t="s">
        <v>1530</v>
      </c>
    </row>
    <row r="774" spans="2:10" ht="14.5">
      <c r="B774" s="47" t="s">
        <v>1636</v>
      </c>
      <c r="C774" s="47" t="s">
        <v>64</v>
      </c>
      <c r="D774" s="47" t="s">
        <v>9686</v>
      </c>
      <c r="E774" s="47" t="s">
        <v>1634</v>
      </c>
      <c r="F774" s="47" t="s">
        <v>8781</v>
      </c>
      <c r="G774" s="363">
        <v>46154</v>
      </c>
      <c r="H774" s="47" t="s">
        <v>8782</v>
      </c>
      <c r="I774" s="47" t="s">
        <v>8783</v>
      </c>
      <c r="J774" s="47" t="s">
        <v>1634</v>
      </c>
    </row>
    <row r="775" spans="2:10" ht="14.5">
      <c r="B775" s="47" t="s">
        <v>1638</v>
      </c>
      <c r="C775" s="47" t="s">
        <v>64</v>
      </c>
      <c r="D775" s="47" t="s">
        <v>9687</v>
      </c>
      <c r="E775" s="47" t="s">
        <v>1637</v>
      </c>
      <c r="F775" s="47" t="s">
        <v>8781</v>
      </c>
      <c r="G775" s="363">
        <v>46154</v>
      </c>
      <c r="H775" s="47" t="s">
        <v>8782</v>
      </c>
      <c r="I775" s="47" t="s">
        <v>8783</v>
      </c>
      <c r="J775" s="47" t="s">
        <v>1637</v>
      </c>
    </row>
    <row r="776" spans="2:10" ht="14.5">
      <c r="B776" s="47" t="s">
        <v>1630</v>
      </c>
      <c r="C776" s="47" t="s">
        <v>64</v>
      </c>
      <c r="D776" s="47" t="s">
        <v>9688</v>
      </c>
      <c r="E776" s="47" t="s">
        <v>1626</v>
      </c>
      <c r="F776" s="47" t="s">
        <v>8781</v>
      </c>
      <c r="G776" s="363">
        <v>46154</v>
      </c>
      <c r="H776" s="47" t="s">
        <v>8782</v>
      </c>
      <c r="I776" s="47" t="s">
        <v>8783</v>
      </c>
      <c r="J776" s="47" t="s">
        <v>1626</v>
      </c>
    </row>
    <row r="777" spans="2:10" ht="14.5">
      <c r="B777" s="47" t="s">
        <v>1555</v>
      </c>
      <c r="C777" s="47" t="s">
        <v>64</v>
      </c>
      <c r="D777" s="47" t="s">
        <v>9689</v>
      </c>
      <c r="E777" s="47" t="s">
        <v>1554</v>
      </c>
      <c r="F777" s="47" t="s">
        <v>8781</v>
      </c>
      <c r="G777" s="363">
        <v>46169</v>
      </c>
      <c r="H777" s="47" t="s">
        <v>8782</v>
      </c>
      <c r="I777" s="47" t="s">
        <v>8783</v>
      </c>
      <c r="J777" s="47" t="s">
        <v>1554</v>
      </c>
    </row>
    <row r="778" spans="2:10" ht="14.5">
      <c r="B778" s="47" t="s">
        <v>1623</v>
      </c>
      <c r="C778" s="47" t="s">
        <v>64</v>
      </c>
      <c r="D778" s="47" t="s">
        <v>9690</v>
      </c>
      <c r="E778" s="47" t="s">
        <v>1621</v>
      </c>
      <c r="F778" s="47" t="s">
        <v>8781</v>
      </c>
      <c r="G778" s="363">
        <v>46164</v>
      </c>
      <c r="H778" s="47" t="s">
        <v>8782</v>
      </c>
      <c r="I778" s="47" t="s">
        <v>8783</v>
      </c>
      <c r="J778" s="47" t="s">
        <v>1621</v>
      </c>
    </row>
    <row r="779" spans="2:10" ht="14.5">
      <c r="B779" s="47" t="s">
        <v>1572</v>
      </c>
      <c r="C779" s="47" t="s">
        <v>64</v>
      </c>
      <c r="D779" s="47" t="s">
        <v>9691</v>
      </c>
      <c r="E779" s="47" t="s">
        <v>1565</v>
      </c>
      <c r="F779" s="47" t="s">
        <v>8781</v>
      </c>
      <c r="G779" s="363">
        <v>46176</v>
      </c>
      <c r="H779" s="47" t="s">
        <v>8782</v>
      </c>
      <c r="I779" s="47" t="s">
        <v>8783</v>
      </c>
      <c r="J779" s="47" t="s">
        <v>1565</v>
      </c>
    </row>
    <row r="780" spans="2:10" ht="14.5">
      <c r="B780" s="47" t="s">
        <v>1560</v>
      </c>
      <c r="C780" s="47" t="s">
        <v>64</v>
      </c>
      <c r="D780" s="47" t="s">
        <v>9692</v>
      </c>
      <c r="E780" s="47" t="s">
        <v>1558</v>
      </c>
      <c r="F780" s="47" t="s">
        <v>8781</v>
      </c>
      <c r="G780" s="363">
        <v>46171</v>
      </c>
      <c r="H780" s="47" t="s">
        <v>8782</v>
      </c>
      <c r="I780" s="47" t="s">
        <v>8783</v>
      </c>
      <c r="J780" s="47" t="s">
        <v>1558</v>
      </c>
    </row>
    <row r="781" spans="2:10" ht="14.5">
      <c r="B781" s="47" t="s">
        <v>1595</v>
      </c>
      <c r="C781" s="47" t="s">
        <v>64</v>
      </c>
      <c r="D781" s="47" t="s">
        <v>9693</v>
      </c>
      <c r="E781" s="47" t="s">
        <v>1592</v>
      </c>
      <c r="F781" s="47" t="s">
        <v>8781</v>
      </c>
      <c r="G781" s="363">
        <v>46158</v>
      </c>
      <c r="H781" s="47" t="s">
        <v>8782</v>
      </c>
      <c r="I781" s="47" t="s">
        <v>8783</v>
      </c>
      <c r="J781" s="47" t="s">
        <v>1592</v>
      </c>
    </row>
    <row r="782" spans="2:10" ht="14.5">
      <c r="B782" s="47" t="s">
        <v>9694</v>
      </c>
      <c r="C782" s="47" t="s">
        <v>64</v>
      </c>
      <c r="D782" s="47" t="s">
        <v>9603</v>
      </c>
      <c r="E782" s="47" t="s">
        <v>9695</v>
      </c>
      <c r="F782" s="47" t="s">
        <v>8781</v>
      </c>
      <c r="G782" s="363">
        <v>46161</v>
      </c>
      <c r="H782" s="47" t="s">
        <v>8930</v>
      </c>
      <c r="I782" s="47" t="s">
        <v>8783</v>
      </c>
      <c r="J782" s="47" t="s">
        <v>9695</v>
      </c>
    </row>
    <row r="783" spans="2:10" ht="14.5">
      <c r="B783" s="47" t="s">
        <v>1611</v>
      </c>
      <c r="C783" s="47" t="s">
        <v>64</v>
      </c>
      <c r="D783" s="47" t="s">
        <v>9696</v>
      </c>
      <c r="E783" s="47" t="s">
        <v>1610</v>
      </c>
      <c r="F783" s="47" t="s">
        <v>8781</v>
      </c>
      <c r="G783" s="363">
        <v>46164</v>
      </c>
      <c r="H783" s="47" t="s">
        <v>8782</v>
      </c>
      <c r="I783" s="47" t="s">
        <v>8783</v>
      </c>
      <c r="J783" s="47" t="s">
        <v>1610</v>
      </c>
    </row>
    <row r="784" spans="2:10" ht="14.5">
      <c r="B784" s="47" t="s">
        <v>1609</v>
      </c>
      <c r="C784" s="47" t="s">
        <v>64</v>
      </c>
      <c r="D784" s="47" t="s">
        <v>9697</v>
      </c>
      <c r="E784" s="47" t="s">
        <v>1607</v>
      </c>
      <c r="F784" s="47" t="s">
        <v>8781</v>
      </c>
      <c r="G784" s="363">
        <v>46158</v>
      </c>
      <c r="H784" s="47" t="s">
        <v>8782</v>
      </c>
      <c r="I784" s="47" t="s">
        <v>8783</v>
      </c>
      <c r="J784" s="47" t="s">
        <v>1607</v>
      </c>
    </row>
    <row r="785" spans="2:10" ht="14.5">
      <c r="B785" s="47" t="s">
        <v>1403</v>
      </c>
      <c r="C785" s="47" t="s">
        <v>8779</v>
      </c>
      <c r="D785" s="47" t="s">
        <v>9698</v>
      </c>
      <c r="E785" s="47" t="s">
        <v>1399</v>
      </c>
      <c r="F785" s="47" t="s">
        <v>8781</v>
      </c>
      <c r="G785" s="363">
        <v>46160</v>
      </c>
      <c r="H785" s="47" t="s">
        <v>8782</v>
      </c>
      <c r="I785" s="47" t="s">
        <v>8783</v>
      </c>
      <c r="J785" s="47" t="s">
        <v>1399</v>
      </c>
    </row>
    <row r="786" spans="2:10" ht="14.5">
      <c r="B786" s="47" t="s">
        <v>1539</v>
      </c>
      <c r="C786" s="47" t="s">
        <v>8779</v>
      </c>
      <c r="D786" s="47" t="s">
        <v>9699</v>
      </c>
      <c r="E786" s="47" t="s">
        <v>1536</v>
      </c>
      <c r="F786" s="47" t="s">
        <v>8781</v>
      </c>
      <c r="G786" s="363">
        <v>46178</v>
      </c>
      <c r="H786" s="47" t="s">
        <v>8782</v>
      </c>
      <c r="I786" s="47" t="s">
        <v>8783</v>
      </c>
      <c r="J786" s="47" t="s">
        <v>1536</v>
      </c>
    </row>
    <row r="787" spans="2:10" ht="14.5">
      <c r="B787" s="47" t="s">
        <v>1411</v>
      </c>
      <c r="C787" s="47" t="s">
        <v>8779</v>
      </c>
      <c r="D787" s="47" t="s">
        <v>9700</v>
      </c>
      <c r="E787" s="47" t="s">
        <v>1409</v>
      </c>
      <c r="F787" s="47" t="s">
        <v>8781</v>
      </c>
      <c r="G787" s="363">
        <v>46160</v>
      </c>
      <c r="H787" s="47" t="s">
        <v>8782</v>
      </c>
      <c r="I787" s="47" t="s">
        <v>8783</v>
      </c>
      <c r="J787" s="47" t="s">
        <v>1409</v>
      </c>
    </row>
    <row r="788" spans="2:10" ht="14.5">
      <c r="B788" s="47" t="s">
        <v>1545</v>
      </c>
      <c r="C788" s="47" t="s">
        <v>8779</v>
      </c>
      <c r="D788" s="47" t="s">
        <v>9701</v>
      </c>
      <c r="E788" s="47" t="s">
        <v>1543</v>
      </c>
      <c r="F788" s="47" t="s">
        <v>8781</v>
      </c>
      <c r="G788" s="363">
        <v>46178</v>
      </c>
      <c r="H788" s="47" t="s">
        <v>8782</v>
      </c>
      <c r="I788" s="47" t="s">
        <v>8783</v>
      </c>
      <c r="J788" s="47" t="s">
        <v>1543</v>
      </c>
    </row>
    <row r="789" spans="2:10" ht="14.5">
      <c r="B789" s="47" t="s">
        <v>1549</v>
      </c>
      <c r="C789" s="47" t="s">
        <v>8779</v>
      </c>
      <c r="D789" s="47" t="s">
        <v>9702</v>
      </c>
      <c r="E789" s="47" t="s">
        <v>1547</v>
      </c>
      <c r="F789" s="47" t="s">
        <v>8781</v>
      </c>
      <c r="G789" s="363">
        <v>46178</v>
      </c>
      <c r="H789" s="47" t="s">
        <v>8782</v>
      </c>
      <c r="I789" s="47" t="s">
        <v>8783</v>
      </c>
      <c r="J789" s="47" t="s">
        <v>1547</v>
      </c>
    </row>
    <row r="790" spans="2:10" ht="14.5">
      <c r="B790" s="47" t="s">
        <v>1616</v>
      </c>
      <c r="C790" s="47" t="s">
        <v>8779</v>
      </c>
      <c r="D790" s="47" t="s">
        <v>9703</v>
      </c>
      <c r="E790" s="47" t="s">
        <v>1614</v>
      </c>
      <c r="F790" s="47" t="s">
        <v>8781</v>
      </c>
      <c r="G790" s="363">
        <v>46182</v>
      </c>
      <c r="H790" s="47" t="s">
        <v>8782</v>
      </c>
      <c r="I790" s="47" t="s">
        <v>8783</v>
      </c>
      <c r="J790" s="47" t="s">
        <v>1614</v>
      </c>
    </row>
    <row r="791" spans="2:10" ht="14.5">
      <c r="B791" s="47" t="s">
        <v>1431</v>
      </c>
      <c r="C791" s="47" t="s">
        <v>64</v>
      </c>
      <c r="D791" s="47" t="s">
        <v>9704</v>
      </c>
      <c r="E791" s="47" t="s">
        <v>1426</v>
      </c>
      <c r="F791" s="47" t="s">
        <v>8781</v>
      </c>
      <c r="G791" s="363">
        <v>46153</v>
      </c>
      <c r="H791" s="47" t="s">
        <v>8782</v>
      </c>
      <c r="I791" s="47" t="s">
        <v>8783</v>
      </c>
      <c r="J791" s="47" t="s">
        <v>1426</v>
      </c>
    </row>
    <row r="792" spans="2:10" ht="14.5">
      <c r="B792" s="47" t="s">
        <v>1436</v>
      </c>
      <c r="C792" s="47" t="s">
        <v>64</v>
      </c>
      <c r="D792" s="47" t="s">
        <v>9705</v>
      </c>
      <c r="E792" s="47" t="s">
        <v>1435</v>
      </c>
      <c r="F792" s="47" t="s">
        <v>8781</v>
      </c>
      <c r="G792" s="363">
        <v>46153</v>
      </c>
      <c r="H792" s="47" t="s">
        <v>8782</v>
      </c>
      <c r="I792" s="47" t="s">
        <v>8783</v>
      </c>
      <c r="J792" s="47" t="s">
        <v>1435</v>
      </c>
    </row>
    <row r="793" spans="2:10" ht="14.5">
      <c r="B793" s="47" t="s">
        <v>1438</v>
      </c>
      <c r="C793" s="47" t="s">
        <v>64</v>
      </c>
      <c r="D793" s="47" t="s">
        <v>9706</v>
      </c>
      <c r="E793" s="47" t="s">
        <v>1437</v>
      </c>
      <c r="F793" s="47" t="s">
        <v>8781</v>
      </c>
      <c r="G793" s="363">
        <v>46153</v>
      </c>
      <c r="H793" s="47" t="s">
        <v>8782</v>
      </c>
      <c r="I793" s="47" t="s">
        <v>8783</v>
      </c>
      <c r="J793" s="47" t="s">
        <v>1437</v>
      </c>
    </row>
    <row r="794" spans="2:10" ht="14.5">
      <c r="B794" s="47" t="s">
        <v>1441</v>
      </c>
      <c r="C794" s="47" t="s">
        <v>64</v>
      </c>
      <c r="D794" s="47" t="s">
        <v>9707</v>
      </c>
      <c r="E794" s="47" t="s">
        <v>1439</v>
      </c>
      <c r="F794" s="47" t="s">
        <v>8781</v>
      </c>
      <c r="G794" s="363">
        <v>46164</v>
      </c>
      <c r="H794" s="47" t="s">
        <v>8782</v>
      </c>
      <c r="I794" s="47" t="s">
        <v>8783</v>
      </c>
      <c r="J794" s="47" t="s">
        <v>1439</v>
      </c>
    </row>
    <row r="795" spans="2:10" ht="14.5">
      <c r="B795" s="47" t="s">
        <v>1447</v>
      </c>
      <c r="C795" s="47" t="s">
        <v>64</v>
      </c>
      <c r="D795" s="47" t="s">
        <v>9708</v>
      </c>
      <c r="E795" s="47" t="s">
        <v>1444</v>
      </c>
      <c r="F795" s="47" t="s">
        <v>8781</v>
      </c>
      <c r="G795" s="363">
        <v>46164</v>
      </c>
      <c r="H795" s="47" t="s">
        <v>8782</v>
      </c>
      <c r="I795" s="47" t="s">
        <v>8783</v>
      </c>
      <c r="J795" s="47" t="s">
        <v>1444</v>
      </c>
    </row>
    <row r="796" spans="2:10" ht="14.5">
      <c r="B796" s="47" t="s">
        <v>9709</v>
      </c>
      <c r="C796" s="47" t="s">
        <v>64</v>
      </c>
      <c r="D796" s="47" t="s">
        <v>9502</v>
      </c>
      <c r="E796" s="47" t="s">
        <v>1448</v>
      </c>
      <c r="F796" s="47" t="s">
        <v>8781</v>
      </c>
      <c r="G796" s="363">
        <v>46164</v>
      </c>
      <c r="H796" s="47" t="s">
        <v>8930</v>
      </c>
      <c r="I796" s="47" t="s">
        <v>8783</v>
      </c>
      <c r="J796" s="47" t="s">
        <v>1448</v>
      </c>
    </row>
    <row r="797" spans="2:10" ht="14.5">
      <c r="B797" s="47" t="s">
        <v>913</v>
      </c>
      <c r="C797" s="47" t="s">
        <v>64</v>
      </c>
      <c r="D797" s="47" t="s">
        <v>9710</v>
      </c>
      <c r="E797" s="47" t="s">
        <v>911</v>
      </c>
      <c r="F797" s="47" t="s">
        <v>8781</v>
      </c>
      <c r="G797" s="363">
        <v>46163</v>
      </c>
      <c r="H797" s="47" t="s">
        <v>8782</v>
      </c>
      <c r="I797" s="47" t="s">
        <v>8783</v>
      </c>
      <c r="J797" s="47" t="s">
        <v>911</v>
      </c>
    </row>
    <row r="798" spans="2:10" ht="14.5">
      <c r="B798" s="47" t="s">
        <v>9711</v>
      </c>
      <c r="C798" s="47" t="s">
        <v>64</v>
      </c>
      <c r="D798" s="47" t="s">
        <v>9500</v>
      </c>
      <c r="E798" s="47" t="s">
        <v>1455</v>
      </c>
      <c r="F798" s="47" t="s">
        <v>8781</v>
      </c>
      <c r="G798" s="363">
        <v>46164</v>
      </c>
      <c r="H798" s="47" t="s">
        <v>8930</v>
      </c>
      <c r="I798" s="47" t="s">
        <v>8783</v>
      </c>
      <c r="J798" s="47" t="s">
        <v>1455</v>
      </c>
    </row>
    <row r="799" spans="2:10" ht="14.5">
      <c r="B799" s="47" t="s">
        <v>1462</v>
      </c>
      <c r="C799" s="47" t="s">
        <v>64</v>
      </c>
      <c r="D799" s="47" t="s">
        <v>9712</v>
      </c>
      <c r="E799" s="47" t="s">
        <v>1458</v>
      </c>
      <c r="F799" s="47" t="s">
        <v>8781</v>
      </c>
      <c r="G799" s="363">
        <v>46164</v>
      </c>
      <c r="H799" s="47" t="s">
        <v>8782</v>
      </c>
      <c r="I799" s="47" t="s">
        <v>8783</v>
      </c>
      <c r="J799" s="47" t="s">
        <v>1458</v>
      </c>
    </row>
    <row r="800" spans="2:10" ht="14.5">
      <c r="B800" s="47" t="s">
        <v>918</v>
      </c>
      <c r="C800" s="47" t="s">
        <v>64</v>
      </c>
      <c r="D800" s="47" t="s">
        <v>9713</v>
      </c>
      <c r="E800" s="47" t="s">
        <v>916</v>
      </c>
      <c r="F800" s="47" t="s">
        <v>8781</v>
      </c>
      <c r="G800" s="363">
        <v>46164</v>
      </c>
      <c r="H800" s="47" t="s">
        <v>8782</v>
      </c>
      <c r="I800" s="47" t="s">
        <v>8783</v>
      </c>
      <c r="J800" s="47" t="s">
        <v>916</v>
      </c>
    </row>
    <row r="801" spans="2:10" ht="14.5">
      <c r="B801" s="47" t="s">
        <v>1466</v>
      </c>
      <c r="C801" s="47" t="s">
        <v>64</v>
      </c>
      <c r="D801" s="47" t="s">
        <v>9714</v>
      </c>
      <c r="E801" s="47" t="s">
        <v>1465</v>
      </c>
      <c r="F801" s="47" t="s">
        <v>8781</v>
      </c>
      <c r="G801" s="363">
        <v>46164</v>
      </c>
      <c r="H801" s="47" t="s">
        <v>8782</v>
      </c>
      <c r="I801" s="47" t="s">
        <v>8783</v>
      </c>
      <c r="J801" s="47" t="s">
        <v>1465</v>
      </c>
    </row>
    <row r="802" spans="2:10" ht="14.5">
      <c r="B802" s="47" t="s">
        <v>1470</v>
      </c>
      <c r="C802" s="47" t="s">
        <v>64</v>
      </c>
      <c r="D802" s="47" t="s">
        <v>9715</v>
      </c>
      <c r="E802" s="47" t="s">
        <v>1469</v>
      </c>
      <c r="F802" s="47" t="s">
        <v>8781</v>
      </c>
      <c r="G802" s="363">
        <v>46164</v>
      </c>
      <c r="H802" s="47" t="s">
        <v>8782</v>
      </c>
      <c r="I802" s="47" t="s">
        <v>8783</v>
      </c>
      <c r="J802" s="47" t="s">
        <v>1469</v>
      </c>
    </row>
    <row r="803" spans="2:10" ht="14.5">
      <c r="B803" s="47" t="s">
        <v>1468</v>
      </c>
      <c r="C803" s="47" t="s">
        <v>64</v>
      </c>
      <c r="D803" s="47" t="s">
        <v>9716</v>
      </c>
      <c r="E803" s="47" t="s">
        <v>1467</v>
      </c>
      <c r="F803" s="47" t="s">
        <v>8781</v>
      </c>
      <c r="G803" s="363">
        <v>46164</v>
      </c>
      <c r="H803" s="47" t="s">
        <v>8782</v>
      </c>
      <c r="I803" s="47" t="s">
        <v>8783</v>
      </c>
      <c r="J803" s="47" t="s">
        <v>1467</v>
      </c>
    </row>
    <row r="804" spans="2:10" ht="14.5">
      <c r="B804" s="47" t="s">
        <v>1478</v>
      </c>
      <c r="C804" s="47" t="s">
        <v>64</v>
      </c>
      <c r="D804" s="47" t="s">
        <v>9717</v>
      </c>
      <c r="E804" s="47" t="s">
        <v>1476</v>
      </c>
      <c r="F804" s="47" t="s">
        <v>8781</v>
      </c>
      <c r="G804" s="363">
        <v>46164</v>
      </c>
      <c r="H804" s="47" t="s">
        <v>8782</v>
      </c>
      <c r="I804" s="47" t="s">
        <v>8783</v>
      </c>
      <c r="J804" s="47" t="s">
        <v>1476</v>
      </c>
    </row>
    <row r="805" spans="2:10" ht="14.5">
      <c r="B805" s="47" t="s">
        <v>1473</v>
      </c>
      <c r="C805" s="47" t="s">
        <v>64</v>
      </c>
      <c r="D805" s="47" t="s">
        <v>9718</v>
      </c>
      <c r="E805" s="47" t="s">
        <v>1471</v>
      </c>
      <c r="F805" s="47" t="s">
        <v>8781</v>
      </c>
      <c r="G805" s="363">
        <v>46164</v>
      </c>
      <c r="H805" s="47" t="s">
        <v>8782</v>
      </c>
      <c r="I805" s="47" t="s">
        <v>8783</v>
      </c>
      <c r="J805" s="47" t="s">
        <v>1471</v>
      </c>
    </row>
    <row r="806" spans="2:10" ht="14.5">
      <c r="B806" s="47" t="s">
        <v>1496</v>
      </c>
      <c r="C806" s="47" t="s">
        <v>64</v>
      </c>
      <c r="D806" s="47" t="s">
        <v>9719</v>
      </c>
      <c r="E806" s="47" t="s">
        <v>1495</v>
      </c>
      <c r="F806" s="47" t="s">
        <v>8781</v>
      </c>
      <c r="G806" s="363">
        <v>46160</v>
      </c>
      <c r="H806" s="47" t="s">
        <v>8782</v>
      </c>
      <c r="I806" s="47" t="s">
        <v>8783</v>
      </c>
      <c r="J806" s="47" t="s">
        <v>1495</v>
      </c>
    </row>
    <row r="807" spans="2:10" ht="14.5">
      <c r="B807" s="47" t="s">
        <v>1501</v>
      </c>
      <c r="C807" s="47" t="s">
        <v>64</v>
      </c>
      <c r="D807" s="47" t="s">
        <v>9720</v>
      </c>
      <c r="E807" s="47" t="s">
        <v>1499</v>
      </c>
      <c r="F807" s="47" t="s">
        <v>8781</v>
      </c>
      <c r="G807" s="363">
        <v>46160</v>
      </c>
      <c r="H807" s="47" t="s">
        <v>8782</v>
      </c>
      <c r="I807" s="47" t="s">
        <v>8783</v>
      </c>
      <c r="J807" s="47" t="s">
        <v>1499</v>
      </c>
    </row>
    <row r="808" spans="2:10" ht="14.5">
      <c r="B808" s="47" t="s">
        <v>1502</v>
      </c>
      <c r="C808" s="47" t="s">
        <v>64</v>
      </c>
      <c r="D808" s="47" t="s">
        <v>9721</v>
      </c>
      <c r="E808" s="47" t="s">
        <v>1482</v>
      </c>
      <c r="F808" s="47" t="s">
        <v>8781</v>
      </c>
      <c r="G808" s="363">
        <v>46160</v>
      </c>
      <c r="H808" s="47" t="s">
        <v>8782</v>
      </c>
      <c r="I808" s="47" t="s">
        <v>8783</v>
      </c>
      <c r="J808" s="47" t="s">
        <v>1482</v>
      </c>
    </row>
    <row r="809" spans="2:10" ht="14.5">
      <c r="B809" s="47" t="s">
        <v>1505</v>
      </c>
      <c r="C809" s="47" t="s">
        <v>64</v>
      </c>
      <c r="D809" s="47" t="s">
        <v>9722</v>
      </c>
      <c r="E809" s="47" t="s">
        <v>1503</v>
      </c>
      <c r="F809" s="47" t="s">
        <v>8781</v>
      </c>
      <c r="G809" s="363">
        <v>46160</v>
      </c>
      <c r="H809" s="47" t="s">
        <v>8782</v>
      </c>
      <c r="I809" s="47" t="s">
        <v>8783</v>
      </c>
      <c r="J809" s="47" t="s">
        <v>1503</v>
      </c>
    </row>
    <row r="810" spans="2:10" ht="14.5">
      <c r="B810" s="47" t="s">
        <v>1507</v>
      </c>
      <c r="C810" s="47" t="s">
        <v>64</v>
      </c>
      <c r="D810" s="47" t="s">
        <v>9723</v>
      </c>
      <c r="E810" s="47" t="s">
        <v>1506</v>
      </c>
      <c r="F810" s="47" t="s">
        <v>8781</v>
      </c>
      <c r="G810" s="363">
        <v>46171</v>
      </c>
      <c r="H810" s="47" t="s">
        <v>8782</v>
      </c>
      <c r="I810" s="47" t="s">
        <v>8783</v>
      </c>
      <c r="J810" s="47" t="s">
        <v>1506</v>
      </c>
    </row>
    <row r="811" spans="2:10" ht="14.5">
      <c r="B811" s="47" t="s">
        <v>1512</v>
      </c>
      <c r="C811" s="47" t="s">
        <v>64</v>
      </c>
      <c r="D811" s="47" t="s">
        <v>9724</v>
      </c>
      <c r="E811" s="47" t="s">
        <v>1511</v>
      </c>
      <c r="F811" s="47" t="s">
        <v>8781</v>
      </c>
      <c r="G811" s="363">
        <v>46171</v>
      </c>
      <c r="H811" s="47" t="s">
        <v>8782</v>
      </c>
      <c r="I811" s="47" t="s">
        <v>8783</v>
      </c>
      <c r="J811" s="47" t="s">
        <v>1511</v>
      </c>
    </row>
    <row r="812" spans="2:10" ht="14.5">
      <c r="B812" s="47" t="s">
        <v>1515</v>
      </c>
      <c r="C812" s="47" t="s">
        <v>64</v>
      </c>
      <c r="D812" s="47" t="s">
        <v>9725</v>
      </c>
      <c r="E812" s="47" t="s">
        <v>1513</v>
      </c>
      <c r="F812" s="47" t="s">
        <v>8781</v>
      </c>
      <c r="G812" s="363">
        <v>46176</v>
      </c>
      <c r="H812" s="47" t="s">
        <v>8782</v>
      </c>
      <c r="I812" s="47" t="s">
        <v>8783</v>
      </c>
      <c r="J812" s="47" t="s">
        <v>1513</v>
      </c>
    </row>
    <row r="813" spans="2:10" ht="14.5">
      <c r="B813" s="47" t="s">
        <v>1492</v>
      </c>
      <c r="C813" s="47" t="s">
        <v>64</v>
      </c>
      <c r="D813" s="47" t="s">
        <v>9726</v>
      </c>
      <c r="E813" s="47" t="s">
        <v>1489</v>
      </c>
      <c r="F813" s="47" t="s">
        <v>8781</v>
      </c>
      <c r="G813" s="363">
        <v>46156</v>
      </c>
      <c r="H813" s="47" t="s">
        <v>8782</v>
      </c>
      <c r="I813" s="47" t="s">
        <v>8783</v>
      </c>
      <c r="J813" s="47" t="s">
        <v>1489</v>
      </c>
    </row>
    <row r="814" spans="2:10" ht="14.5">
      <c r="B814" s="47" t="s">
        <v>7980</v>
      </c>
      <c r="C814" s="47" t="s">
        <v>64</v>
      </c>
      <c r="D814" s="47" t="s">
        <v>9727</v>
      </c>
      <c r="E814" s="47" t="s">
        <v>9728</v>
      </c>
      <c r="F814" s="47" t="s">
        <v>8829</v>
      </c>
      <c r="G814" s="363">
        <v>46132</v>
      </c>
      <c r="H814" s="47" t="s">
        <v>8782</v>
      </c>
      <c r="I814" s="47" t="s">
        <v>8783</v>
      </c>
      <c r="J814" s="47" t="s">
        <v>7974</v>
      </c>
    </row>
    <row r="815" spans="2:10" ht="14.5">
      <c r="B815" s="47" t="s">
        <v>1336</v>
      </c>
      <c r="C815" s="47" t="s">
        <v>64</v>
      </c>
      <c r="D815" s="47" t="s">
        <v>9729</v>
      </c>
      <c r="E815" s="47" t="s">
        <v>1332</v>
      </c>
      <c r="F815" s="47" t="s">
        <v>8781</v>
      </c>
      <c r="G815" s="363">
        <v>46160</v>
      </c>
      <c r="H815" s="47" t="s">
        <v>8782</v>
      </c>
      <c r="I815" s="47" t="s">
        <v>8783</v>
      </c>
      <c r="J815" s="47" t="s">
        <v>1332</v>
      </c>
    </row>
    <row r="816" spans="2:10" ht="14.5">
      <c r="B816" s="47" t="s">
        <v>1223</v>
      </c>
      <c r="C816" s="47" t="s">
        <v>64</v>
      </c>
      <c r="D816" s="47" t="s">
        <v>9730</v>
      </c>
      <c r="E816" s="47" t="s">
        <v>1219</v>
      </c>
      <c r="F816" s="47" t="s">
        <v>8781</v>
      </c>
      <c r="G816" s="363">
        <v>46160</v>
      </c>
      <c r="H816" s="47" t="s">
        <v>8782</v>
      </c>
      <c r="I816" s="47" t="s">
        <v>8783</v>
      </c>
      <c r="J816" s="47" t="s">
        <v>1219</v>
      </c>
    </row>
    <row r="817" spans="2:10" ht="14.5">
      <c r="B817" s="47" t="s">
        <v>1230</v>
      </c>
      <c r="C817" s="47" t="s">
        <v>64</v>
      </c>
      <c r="D817" s="47" t="s">
        <v>9731</v>
      </c>
      <c r="E817" s="47" t="s">
        <v>1227</v>
      </c>
      <c r="F817" s="47" t="s">
        <v>8781</v>
      </c>
      <c r="G817" s="363">
        <v>46160</v>
      </c>
      <c r="H817" s="47" t="s">
        <v>8782</v>
      </c>
      <c r="I817" s="47" t="s">
        <v>8783</v>
      </c>
      <c r="J817" s="47" t="s">
        <v>1227</v>
      </c>
    </row>
    <row r="818" spans="2:10" ht="14.5">
      <c r="B818" s="47" t="s">
        <v>1301</v>
      </c>
      <c r="C818" s="47" t="s">
        <v>8779</v>
      </c>
      <c r="D818" s="47" t="s">
        <v>9732</v>
      </c>
      <c r="E818" s="47" t="s">
        <v>1297</v>
      </c>
      <c r="F818" s="47" t="s">
        <v>8781</v>
      </c>
      <c r="G818" s="363">
        <v>46155</v>
      </c>
      <c r="H818" s="47" t="s">
        <v>8782</v>
      </c>
      <c r="I818" s="47" t="s">
        <v>8783</v>
      </c>
      <c r="J818" s="47" t="s">
        <v>1297</v>
      </c>
    </row>
    <row r="819" spans="2:10" ht="14.5">
      <c r="B819" s="47" t="s">
        <v>1306</v>
      </c>
      <c r="C819" s="47" t="s">
        <v>64</v>
      </c>
      <c r="D819" s="47" t="s">
        <v>9733</v>
      </c>
      <c r="E819" s="47" t="s">
        <v>1305</v>
      </c>
      <c r="F819" s="47" t="s">
        <v>8781</v>
      </c>
      <c r="G819" s="363">
        <v>46163</v>
      </c>
      <c r="H819" s="47" t="s">
        <v>8782</v>
      </c>
      <c r="I819" s="47" t="s">
        <v>8783</v>
      </c>
      <c r="J819" s="47" t="s">
        <v>1305</v>
      </c>
    </row>
    <row r="820" spans="2:10" ht="14.5">
      <c r="B820" s="47" t="s">
        <v>1328</v>
      </c>
      <c r="C820" s="47" t="s">
        <v>64</v>
      </c>
      <c r="D820" s="47" t="s">
        <v>9734</v>
      </c>
      <c r="E820" s="47" t="s">
        <v>1325</v>
      </c>
      <c r="F820" s="47" t="s">
        <v>8781</v>
      </c>
      <c r="G820" s="363">
        <v>46160</v>
      </c>
      <c r="H820" s="47" t="s">
        <v>8782</v>
      </c>
      <c r="I820" s="47" t="s">
        <v>8783</v>
      </c>
      <c r="J820" s="47" t="s">
        <v>1325</v>
      </c>
    </row>
    <row r="821" spans="2:10" ht="14.5">
      <c r="B821" s="47" t="s">
        <v>1338</v>
      </c>
      <c r="C821" s="47" t="s">
        <v>64</v>
      </c>
      <c r="D821" s="47" t="s">
        <v>9735</v>
      </c>
      <c r="E821" s="47" t="s">
        <v>1337</v>
      </c>
      <c r="F821" s="47" t="s">
        <v>8781</v>
      </c>
      <c r="G821" s="363">
        <v>46160</v>
      </c>
      <c r="H821" s="47" t="s">
        <v>8782</v>
      </c>
      <c r="I821" s="47" t="s">
        <v>8783</v>
      </c>
      <c r="J821" s="47" t="s">
        <v>1337</v>
      </c>
    </row>
    <row r="822" spans="2:10" ht="14.5">
      <c r="B822" s="47" t="s">
        <v>1343</v>
      </c>
      <c r="C822" s="47" t="s">
        <v>64</v>
      </c>
      <c r="D822" s="47" t="s">
        <v>9736</v>
      </c>
      <c r="E822" s="47" t="s">
        <v>1341</v>
      </c>
      <c r="F822" s="47" t="s">
        <v>8781</v>
      </c>
      <c r="G822" s="363">
        <v>46162</v>
      </c>
      <c r="H822" s="47" t="s">
        <v>8782</v>
      </c>
      <c r="I822" s="47" t="s">
        <v>8783</v>
      </c>
      <c r="J822" s="47" t="s">
        <v>1341</v>
      </c>
    </row>
    <row r="823" spans="2:10" ht="14.5">
      <c r="B823" s="47" t="s">
        <v>1349</v>
      </c>
      <c r="C823" s="47" t="s">
        <v>8779</v>
      </c>
      <c r="D823" s="47" t="s">
        <v>9737</v>
      </c>
      <c r="E823" s="47" t="s">
        <v>1346</v>
      </c>
      <c r="F823" s="47" t="s">
        <v>8781</v>
      </c>
      <c r="G823" s="363">
        <v>46168</v>
      </c>
      <c r="H823" s="47" t="s">
        <v>8782</v>
      </c>
      <c r="I823" s="47" t="s">
        <v>8783</v>
      </c>
      <c r="J823" s="47" t="s">
        <v>1346</v>
      </c>
    </row>
    <row r="824" spans="2:10" ht="14.5">
      <c r="B824" s="47" t="s">
        <v>1357</v>
      </c>
      <c r="C824" s="47" t="s">
        <v>8779</v>
      </c>
      <c r="D824" s="47" t="s">
        <v>9738</v>
      </c>
      <c r="E824" s="47" t="s">
        <v>1354</v>
      </c>
      <c r="F824" s="47" t="s">
        <v>8781</v>
      </c>
      <c r="G824" s="363">
        <v>46168</v>
      </c>
      <c r="H824" s="47" t="s">
        <v>8782</v>
      </c>
      <c r="I824" s="47" t="s">
        <v>8783</v>
      </c>
      <c r="J824" s="47" t="s">
        <v>1354</v>
      </c>
    </row>
    <row r="825" spans="2:10" ht="14.5">
      <c r="B825" s="47" t="s">
        <v>1391</v>
      </c>
      <c r="C825" s="47" t="s">
        <v>64</v>
      </c>
      <c r="D825" s="47" t="s">
        <v>9739</v>
      </c>
      <c r="E825" s="47" t="s">
        <v>1390</v>
      </c>
      <c r="F825" s="47" t="s">
        <v>8781</v>
      </c>
      <c r="G825" s="363">
        <v>46153</v>
      </c>
      <c r="H825" s="47" t="s">
        <v>8782</v>
      </c>
      <c r="I825" s="47" t="s">
        <v>8783</v>
      </c>
      <c r="J825" s="47" t="s">
        <v>1390</v>
      </c>
    </row>
    <row r="826" spans="2:10" ht="14.5">
      <c r="B826" s="47" t="s">
        <v>1211</v>
      </c>
      <c r="C826" s="47" t="s">
        <v>64</v>
      </c>
      <c r="D826" s="47" t="s">
        <v>9740</v>
      </c>
      <c r="E826" s="47" t="s">
        <v>1210</v>
      </c>
      <c r="F826" s="47" t="s">
        <v>8781</v>
      </c>
      <c r="G826" s="363">
        <v>46150</v>
      </c>
      <c r="H826" s="47" t="s">
        <v>8782</v>
      </c>
      <c r="I826" s="47" t="s">
        <v>8783</v>
      </c>
      <c r="J826" s="47" t="s">
        <v>1210</v>
      </c>
    </row>
    <row r="827" spans="2:10" ht="14.5">
      <c r="B827" s="47" t="s">
        <v>1216</v>
      </c>
      <c r="C827" s="47" t="s">
        <v>64</v>
      </c>
      <c r="D827" s="47" t="s">
        <v>9741</v>
      </c>
      <c r="E827" s="47" t="s">
        <v>1215</v>
      </c>
      <c r="F827" s="47" t="s">
        <v>8781</v>
      </c>
      <c r="G827" s="363">
        <v>46163</v>
      </c>
      <c r="H827" s="47" t="s">
        <v>8782</v>
      </c>
      <c r="I827" s="47" t="s">
        <v>8783</v>
      </c>
      <c r="J827" s="47" t="s">
        <v>1215</v>
      </c>
    </row>
    <row r="828" spans="2:10" ht="14.5">
      <c r="B828" s="47" t="s">
        <v>9742</v>
      </c>
      <c r="C828" s="47" t="s">
        <v>64</v>
      </c>
      <c r="D828" s="47" t="s">
        <v>9546</v>
      </c>
      <c r="E828" s="47" t="s">
        <v>9743</v>
      </c>
      <c r="F828" s="47" t="s">
        <v>8781</v>
      </c>
      <c r="G828" s="363">
        <v>46146</v>
      </c>
      <c r="H828" s="47" t="s">
        <v>8930</v>
      </c>
      <c r="I828" s="47" t="s">
        <v>8783</v>
      </c>
      <c r="J828" s="47" t="s">
        <v>9743</v>
      </c>
    </row>
    <row r="829" spans="2:10" ht="14.5">
      <c r="B829" s="47" t="s">
        <v>1218</v>
      </c>
      <c r="C829" s="47" t="s">
        <v>64</v>
      </c>
      <c r="D829" s="47" t="s">
        <v>9744</v>
      </c>
      <c r="E829" s="47" t="s">
        <v>1217</v>
      </c>
      <c r="F829" s="47" t="s">
        <v>8781</v>
      </c>
      <c r="G829" s="363">
        <v>46163</v>
      </c>
      <c r="H829" s="47" t="s">
        <v>8782</v>
      </c>
      <c r="I829" s="47" t="s">
        <v>8783</v>
      </c>
      <c r="J829" s="47" t="s">
        <v>1217</v>
      </c>
    </row>
    <row r="830" spans="2:10" ht="14.5">
      <c r="B830" s="47" t="s">
        <v>1293</v>
      </c>
      <c r="C830" s="47" t="s">
        <v>64</v>
      </c>
      <c r="D830" s="47" t="s">
        <v>9745</v>
      </c>
      <c r="E830" s="47" t="s">
        <v>1291</v>
      </c>
      <c r="F830" s="47" t="s">
        <v>8781</v>
      </c>
      <c r="G830" s="363">
        <v>46174</v>
      </c>
      <c r="H830" s="47" t="s">
        <v>8782</v>
      </c>
      <c r="I830" s="47" t="s">
        <v>8783</v>
      </c>
      <c r="J830" s="47" t="s">
        <v>1291</v>
      </c>
    </row>
    <row r="831" spans="2:10" ht="14.5">
      <c r="B831" s="47" t="s">
        <v>1288</v>
      </c>
      <c r="C831" s="47" t="s">
        <v>64</v>
      </c>
      <c r="D831" s="47" t="s">
        <v>9746</v>
      </c>
      <c r="E831" s="47" t="s">
        <v>1285</v>
      </c>
      <c r="F831" s="47" t="s">
        <v>8781</v>
      </c>
      <c r="G831" s="363">
        <v>46174</v>
      </c>
      <c r="H831" s="47" t="s">
        <v>8782</v>
      </c>
      <c r="I831" s="47" t="s">
        <v>8783</v>
      </c>
      <c r="J831" s="47" t="s">
        <v>1285</v>
      </c>
    </row>
    <row r="832" spans="2:10" ht="14.5">
      <c r="B832" s="47" t="s">
        <v>1295</v>
      </c>
      <c r="C832" s="47" t="s">
        <v>64</v>
      </c>
      <c r="D832" s="47" t="s">
        <v>9747</v>
      </c>
      <c r="E832" s="47" t="s">
        <v>1294</v>
      </c>
      <c r="F832" s="47" t="s">
        <v>8781</v>
      </c>
      <c r="G832" s="363">
        <v>46174</v>
      </c>
      <c r="H832" s="47" t="s">
        <v>8782</v>
      </c>
      <c r="I832" s="47" t="s">
        <v>8783</v>
      </c>
      <c r="J832" s="47" t="s">
        <v>1294</v>
      </c>
    </row>
    <row r="833" spans="2:10" ht="14.5">
      <c r="B833" s="47" t="s">
        <v>1312</v>
      </c>
      <c r="C833" s="47" t="s">
        <v>64</v>
      </c>
      <c r="D833" s="47" t="s">
        <v>9748</v>
      </c>
      <c r="E833" s="47" t="s">
        <v>1309</v>
      </c>
      <c r="F833" s="47" t="s">
        <v>8781</v>
      </c>
      <c r="G833" s="363">
        <v>46150</v>
      </c>
      <c r="H833" s="47" t="s">
        <v>8782</v>
      </c>
      <c r="I833" s="47" t="s">
        <v>8783</v>
      </c>
      <c r="J833" s="47" t="s">
        <v>1309</v>
      </c>
    </row>
    <row r="834" spans="2:10" ht="14.5">
      <c r="B834" s="47" t="s">
        <v>1316</v>
      </c>
      <c r="C834" s="47" t="s">
        <v>64</v>
      </c>
      <c r="D834" s="47" t="s">
        <v>9749</v>
      </c>
      <c r="E834" s="47" t="s">
        <v>1315</v>
      </c>
      <c r="F834" s="47" t="s">
        <v>8781</v>
      </c>
      <c r="G834" s="363">
        <v>46150</v>
      </c>
      <c r="H834" s="47" t="s">
        <v>8782</v>
      </c>
      <c r="I834" s="47" t="s">
        <v>8783</v>
      </c>
      <c r="J834" s="47" t="s">
        <v>1315</v>
      </c>
    </row>
    <row r="835" spans="2:10" ht="14.5">
      <c r="B835" s="47" t="s">
        <v>1320</v>
      </c>
      <c r="C835" s="47" t="s">
        <v>64</v>
      </c>
      <c r="D835" s="47" t="s">
        <v>9750</v>
      </c>
      <c r="E835" s="47" t="s">
        <v>1317</v>
      </c>
      <c r="F835" s="47" t="s">
        <v>8781</v>
      </c>
      <c r="G835" s="363">
        <v>46150</v>
      </c>
      <c r="H835" s="47" t="s">
        <v>8782</v>
      </c>
      <c r="I835" s="47" t="s">
        <v>8783</v>
      </c>
      <c r="J835" s="47" t="s">
        <v>1317</v>
      </c>
    </row>
    <row r="836" spans="2:10" ht="14.5">
      <c r="B836" s="47" t="s">
        <v>1322</v>
      </c>
      <c r="C836" s="47" t="s">
        <v>64</v>
      </c>
      <c r="D836" s="47" t="s">
        <v>9751</v>
      </c>
      <c r="E836" s="47" t="s">
        <v>1321</v>
      </c>
      <c r="F836" s="47" t="s">
        <v>8781</v>
      </c>
      <c r="G836" s="363">
        <v>46150</v>
      </c>
      <c r="H836" s="47" t="s">
        <v>8782</v>
      </c>
      <c r="I836" s="47" t="s">
        <v>8783</v>
      </c>
      <c r="J836" s="47" t="s">
        <v>1321</v>
      </c>
    </row>
    <row r="837" spans="2:10" ht="14.5">
      <c r="B837" s="47" t="s">
        <v>1359</v>
      </c>
      <c r="C837" s="47" t="s">
        <v>64</v>
      </c>
      <c r="D837" s="47" t="s">
        <v>9752</v>
      </c>
      <c r="E837" s="47" t="s">
        <v>1358</v>
      </c>
      <c r="F837" s="47" t="s">
        <v>8781</v>
      </c>
      <c r="G837" s="363">
        <v>46163</v>
      </c>
      <c r="H837" s="47" t="s">
        <v>8782</v>
      </c>
      <c r="I837" s="47" t="s">
        <v>8783</v>
      </c>
      <c r="J837" s="47" t="s">
        <v>1358</v>
      </c>
    </row>
    <row r="838" spans="2:10" ht="14.5">
      <c r="B838" s="47" t="s">
        <v>1364</v>
      </c>
      <c r="C838" s="47" t="s">
        <v>64</v>
      </c>
      <c r="D838" s="47" t="s">
        <v>9753</v>
      </c>
      <c r="E838" s="47" t="s">
        <v>1362</v>
      </c>
      <c r="F838" s="47" t="s">
        <v>8781</v>
      </c>
      <c r="G838" s="363">
        <v>46163</v>
      </c>
      <c r="H838" s="47" t="s">
        <v>8782</v>
      </c>
      <c r="I838" s="47" t="s">
        <v>8783</v>
      </c>
      <c r="J838" s="47" t="s">
        <v>1362</v>
      </c>
    </row>
    <row r="839" spans="2:10" ht="14.5">
      <c r="B839" s="47" t="s">
        <v>1369</v>
      </c>
      <c r="C839" s="47" t="s">
        <v>64</v>
      </c>
      <c r="D839" s="47" t="s">
        <v>9754</v>
      </c>
      <c r="E839" s="47" t="s">
        <v>1367</v>
      </c>
      <c r="F839" s="47" t="s">
        <v>8781</v>
      </c>
      <c r="G839" s="363">
        <v>46163</v>
      </c>
      <c r="H839" s="47" t="s">
        <v>8782</v>
      </c>
      <c r="I839" s="47" t="s">
        <v>8783</v>
      </c>
      <c r="J839" s="47" t="s">
        <v>1367</v>
      </c>
    </row>
    <row r="840" spans="2:10" ht="14.5">
      <c r="B840" s="47" t="s">
        <v>1372</v>
      </c>
      <c r="C840" s="47" t="s">
        <v>64</v>
      </c>
      <c r="D840" s="47" t="s">
        <v>9755</v>
      </c>
      <c r="E840" s="47" t="s">
        <v>1370</v>
      </c>
      <c r="F840" s="47" t="s">
        <v>8781</v>
      </c>
      <c r="G840" s="363">
        <v>46163</v>
      </c>
      <c r="H840" s="47" t="s">
        <v>8782</v>
      </c>
      <c r="I840" s="47" t="s">
        <v>8783</v>
      </c>
      <c r="J840" s="47" t="s">
        <v>1370</v>
      </c>
    </row>
    <row r="841" spans="2:10" ht="14.5">
      <c r="B841" s="47" t="s">
        <v>1374</v>
      </c>
      <c r="C841" s="47" t="s">
        <v>64</v>
      </c>
      <c r="D841" s="47" t="s">
        <v>9756</v>
      </c>
      <c r="E841" s="47" t="s">
        <v>1373</v>
      </c>
      <c r="F841" s="47" t="s">
        <v>8781</v>
      </c>
      <c r="G841" s="363">
        <v>46163</v>
      </c>
      <c r="H841" s="47" t="s">
        <v>8782</v>
      </c>
      <c r="I841" s="47" t="s">
        <v>8783</v>
      </c>
      <c r="J841" s="47" t="s">
        <v>1373</v>
      </c>
    </row>
    <row r="842" spans="2:10" ht="14.5">
      <c r="B842" s="47" t="s">
        <v>1377</v>
      </c>
      <c r="C842" s="47" t="s">
        <v>64</v>
      </c>
      <c r="D842" s="47" t="s">
        <v>9757</v>
      </c>
      <c r="E842" s="47" t="s">
        <v>1375</v>
      </c>
      <c r="F842" s="47" t="s">
        <v>8781</v>
      </c>
      <c r="G842" s="363">
        <v>46163</v>
      </c>
      <c r="H842" s="47" t="s">
        <v>8782</v>
      </c>
      <c r="I842" s="47" t="s">
        <v>8783</v>
      </c>
      <c r="J842" s="47" t="s">
        <v>1375</v>
      </c>
    </row>
    <row r="843" spans="2:10" ht="14.5">
      <c r="B843" s="47" t="s">
        <v>9758</v>
      </c>
      <c r="C843" s="47" t="s">
        <v>64</v>
      </c>
      <c r="D843" s="47" t="s">
        <v>9439</v>
      </c>
      <c r="E843" s="47" t="s">
        <v>9759</v>
      </c>
      <c r="F843" s="47" t="s">
        <v>8781</v>
      </c>
      <c r="G843" s="363">
        <v>46146</v>
      </c>
      <c r="H843" s="47" t="s">
        <v>8930</v>
      </c>
      <c r="I843" s="47" t="s">
        <v>8783</v>
      </c>
      <c r="J843" s="47" t="s">
        <v>9759</v>
      </c>
    </row>
    <row r="844" spans="2:10" ht="14.5">
      <c r="B844" s="47" t="s">
        <v>1396</v>
      </c>
      <c r="C844" s="47" t="s">
        <v>64</v>
      </c>
      <c r="D844" s="47" t="s">
        <v>9760</v>
      </c>
      <c r="E844" s="47" t="s">
        <v>1394</v>
      </c>
      <c r="F844" s="47" t="s">
        <v>8781</v>
      </c>
      <c r="G844" s="363">
        <v>46199</v>
      </c>
      <c r="H844" s="47" t="s">
        <v>8782</v>
      </c>
      <c r="I844" s="47" t="s">
        <v>8783</v>
      </c>
      <c r="J844" s="47" t="s">
        <v>1394</v>
      </c>
    </row>
    <row r="845" spans="2:10" ht="14.5">
      <c r="B845" s="47" t="s">
        <v>887</v>
      </c>
      <c r="C845" s="47" t="s">
        <v>8779</v>
      </c>
      <c r="D845" s="47" t="s">
        <v>9761</v>
      </c>
      <c r="E845" s="47" t="s">
        <v>880</v>
      </c>
      <c r="F845" s="47" t="s">
        <v>8781</v>
      </c>
      <c r="G845" s="363">
        <v>46162</v>
      </c>
      <c r="H845" s="47" t="s">
        <v>8782</v>
      </c>
      <c r="I845" s="47" t="s">
        <v>8783</v>
      </c>
      <c r="J845" s="47" t="s">
        <v>880</v>
      </c>
    </row>
    <row r="846" spans="2:10" ht="14.5">
      <c r="B846" s="47" t="s">
        <v>904</v>
      </c>
      <c r="C846" s="47" t="s">
        <v>64</v>
      </c>
      <c r="D846" s="47" t="s">
        <v>9762</v>
      </c>
      <c r="E846" s="47" t="s">
        <v>902</v>
      </c>
      <c r="F846" s="47" t="s">
        <v>8781</v>
      </c>
      <c r="G846" s="363">
        <v>46163</v>
      </c>
      <c r="H846" s="47" t="s">
        <v>8782</v>
      </c>
      <c r="I846" s="47" t="s">
        <v>8783</v>
      </c>
      <c r="J846" s="47" t="s">
        <v>902</v>
      </c>
    </row>
    <row r="847" spans="2:10" ht="14.5">
      <c r="B847" s="47" t="s">
        <v>908</v>
      </c>
      <c r="C847" s="47" t="s">
        <v>64</v>
      </c>
      <c r="D847" s="47" t="s">
        <v>9763</v>
      </c>
      <c r="E847" s="47" t="s">
        <v>907</v>
      </c>
      <c r="F847" s="47" t="s">
        <v>8781</v>
      </c>
      <c r="G847" s="363">
        <v>46163</v>
      </c>
      <c r="H847" s="47" t="s">
        <v>8782</v>
      </c>
      <c r="I847" s="47" t="s">
        <v>8783</v>
      </c>
      <c r="J847" s="47" t="s">
        <v>907</v>
      </c>
    </row>
    <row r="848" spans="2:10" ht="14.5">
      <c r="B848" s="47" t="s">
        <v>1188</v>
      </c>
      <c r="C848" s="47" t="s">
        <v>64</v>
      </c>
      <c r="D848" s="47" t="s">
        <v>9764</v>
      </c>
      <c r="E848" s="47" t="s">
        <v>1182</v>
      </c>
      <c r="F848" s="47" t="s">
        <v>8781</v>
      </c>
      <c r="G848" s="363">
        <v>46149</v>
      </c>
      <c r="H848" s="47" t="s">
        <v>8782</v>
      </c>
      <c r="I848" s="47" t="s">
        <v>8783</v>
      </c>
      <c r="J848" s="47" t="s">
        <v>1182</v>
      </c>
    </row>
    <row r="849" spans="2:10" ht="14.5">
      <c r="B849" s="47" t="s">
        <v>1193</v>
      </c>
      <c r="C849" s="47" t="s">
        <v>64</v>
      </c>
      <c r="D849" s="47" t="s">
        <v>9765</v>
      </c>
      <c r="E849" s="47" t="s">
        <v>1192</v>
      </c>
      <c r="F849" s="47" t="s">
        <v>8781</v>
      </c>
      <c r="G849" s="363">
        <v>46150</v>
      </c>
      <c r="H849" s="47" t="s">
        <v>8782</v>
      </c>
      <c r="I849" s="47" t="s">
        <v>8783</v>
      </c>
      <c r="J849" s="47" t="s">
        <v>1192</v>
      </c>
    </row>
    <row r="850" spans="2:10" ht="14.5">
      <c r="B850" s="47" t="s">
        <v>1198</v>
      </c>
      <c r="C850" s="47" t="s">
        <v>64</v>
      </c>
      <c r="D850" s="47" t="s">
        <v>9766</v>
      </c>
      <c r="E850" s="47" t="s">
        <v>1196</v>
      </c>
      <c r="F850" s="47" t="s">
        <v>8781</v>
      </c>
      <c r="G850" s="363">
        <v>46150</v>
      </c>
      <c r="H850" s="47" t="s">
        <v>8782</v>
      </c>
      <c r="I850" s="47" t="s">
        <v>8783</v>
      </c>
      <c r="J850" s="47" t="s">
        <v>1196</v>
      </c>
    </row>
    <row r="851" spans="2:10" ht="14.5">
      <c r="B851" s="47" t="s">
        <v>1201</v>
      </c>
      <c r="C851" s="47" t="s">
        <v>64</v>
      </c>
      <c r="D851" s="47" t="s">
        <v>9767</v>
      </c>
      <c r="E851" s="47" t="s">
        <v>1200</v>
      </c>
      <c r="F851" s="47" t="s">
        <v>8781</v>
      </c>
      <c r="G851" s="363">
        <v>46150</v>
      </c>
      <c r="H851" s="47" t="s">
        <v>8782</v>
      </c>
      <c r="I851" s="47" t="s">
        <v>8783</v>
      </c>
      <c r="J851" s="47" t="s">
        <v>1200</v>
      </c>
    </row>
    <row r="852" spans="2:10" ht="14.5">
      <c r="B852" s="47" t="s">
        <v>1204</v>
      </c>
      <c r="C852" s="47" t="s">
        <v>64</v>
      </c>
      <c r="D852" s="47" t="s">
        <v>9768</v>
      </c>
      <c r="E852" s="47" t="s">
        <v>1202</v>
      </c>
      <c r="F852" s="47" t="s">
        <v>8781</v>
      </c>
      <c r="G852" s="363">
        <v>46146</v>
      </c>
      <c r="H852" s="47" t="s">
        <v>8782</v>
      </c>
      <c r="I852" s="47" t="s">
        <v>8783</v>
      </c>
      <c r="J852" s="47" t="s">
        <v>1202</v>
      </c>
    </row>
    <row r="853" spans="2:10" ht="14.5">
      <c r="B853" s="47" t="s">
        <v>893</v>
      </c>
      <c r="C853" s="47" t="s">
        <v>64</v>
      </c>
      <c r="D853" s="47" t="s">
        <v>9769</v>
      </c>
      <c r="E853" s="47" t="s">
        <v>892</v>
      </c>
      <c r="F853" s="47" t="s">
        <v>8781</v>
      </c>
      <c r="G853" s="363">
        <v>46139</v>
      </c>
      <c r="H853" s="47" t="s">
        <v>8782</v>
      </c>
      <c r="I853" s="47" t="s">
        <v>8783</v>
      </c>
      <c r="J853" s="47" t="s">
        <v>892</v>
      </c>
    </row>
    <row r="854" spans="2:10" ht="14.5">
      <c r="B854" s="47" t="s">
        <v>898</v>
      </c>
      <c r="C854" s="47" t="s">
        <v>64</v>
      </c>
      <c r="D854" s="47" t="s">
        <v>9770</v>
      </c>
      <c r="E854" s="47" t="s">
        <v>897</v>
      </c>
      <c r="F854" s="47" t="s">
        <v>8781</v>
      </c>
      <c r="G854" s="363">
        <v>46133</v>
      </c>
      <c r="H854" s="47" t="s">
        <v>8782</v>
      </c>
      <c r="I854" s="47" t="s">
        <v>8783</v>
      </c>
      <c r="J854" s="47" t="s">
        <v>897</v>
      </c>
    </row>
    <row r="855" spans="2:10" ht="14.5">
      <c r="B855" s="47" t="s">
        <v>1209</v>
      </c>
      <c r="C855" s="47" t="s">
        <v>64</v>
      </c>
      <c r="D855" s="47" t="s">
        <v>9771</v>
      </c>
      <c r="E855" s="47" t="s">
        <v>1208</v>
      </c>
      <c r="F855" s="47" t="s">
        <v>8781</v>
      </c>
      <c r="G855" s="363">
        <v>46133</v>
      </c>
      <c r="H855" s="47" t="s">
        <v>8782</v>
      </c>
      <c r="I855" s="47" t="s">
        <v>8783</v>
      </c>
      <c r="J855" s="47" t="s">
        <v>1208</v>
      </c>
    </row>
    <row r="856" spans="2:10" ht="14.5">
      <c r="B856" s="47" t="s">
        <v>1241</v>
      </c>
      <c r="C856" s="47" t="s">
        <v>8779</v>
      </c>
      <c r="D856" s="47" t="s">
        <v>9772</v>
      </c>
      <c r="E856" s="47" t="s">
        <v>1240</v>
      </c>
      <c r="F856" s="47" t="s">
        <v>8781</v>
      </c>
      <c r="G856" s="363">
        <v>46168</v>
      </c>
      <c r="H856" s="47" t="s">
        <v>8782</v>
      </c>
      <c r="I856" s="47" t="s">
        <v>8783</v>
      </c>
      <c r="J856" s="47" t="s">
        <v>1240</v>
      </c>
    </row>
    <row r="857" spans="2:10" ht="14.5">
      <c r="B857" s="47" t="s">
        <v>1236</v>
      </c>
      <c r="C857" s="47" t="s">
        <v>8779</v>
      </c>
      <c r="D857" s="47" t="s">
        <v>9773</v>
      </c>
      <c r="E857" s="47" t="s">
        <v>1231</v>
      </c>
      <c r="F857" s="47" t="s">
        <v>8781</v>
      </c>
      <c r="G857" s="363">
        <v>46168</v>
      </c>
      <c r="H857" s="47" t="s">
        <v>8782</v>
      </c>
      <c r="I857" s="47" t="s">
        <v>8783</v>
      </c>
      <c r="J857" s="47" t="s">
        <v>1231</v>
      </c>
    </row>
    <row r="858" spans="2:10" ht="14.5">
      <c r="B858" s="47" t="s">
        <v>1245</v>
      </c>
      <c r="C858" s="47" t="s">
        <v>8779</v>
      </c>
      <c r="D858" s="47" t="s">
        <v>9774</v>
      </c>
      <c r="E858" s="47" t="s">
        <v>1244</v>
      </c>
      <c r="F858" s="47" t="s">
        <v>8781</v>
      </c>
      <c r="G858" s="363">
        <v>46168</v>
      </c>
      <c r="H858" s="47" t="s">
        <v>8782</v>
      </c>
      <c r="I858" s="47" t="s">
        <v>8783</v>
      </c>
      <c r="J858" s="47" t="s">
        <v>1244</v>
      </c>
    </row>
    <row r="859" spans="2:10" ht="14.5">
      <c r="B859" s="47" t="s">
        <v>1243</v>
      </c>
      <c r="C859" s="47" t="s">
        <v>8779</v>
      </c>
      <c r="D859" s="47" t="s">
        <v>9775</v>
      </c>
      <c r="E859" s="47" t="s">
        <v>1242</v>
      </c>
      <c r="F859" s="47" t="s">
        <v>8781</v>
      </c>
      <c r="G859" s="363">
        <v>46168</v>
      </c>
      <c r="H859" s="47" t="s">
        <v>8782</v>
      </c>
      <c r="I859" s="47" t="s">
        <v>8783</v>
      </c>
      <c r="J859" s="47" t="s">
        <v>1242</v>
      </c>
    </row>
    <row r="860" spans="2:10" ht="14.5">
      <c r="B860" s="47" t="s">
        <v>1248</v>
      </c>
      <c r="C860" s="47" t="s">
        <v>8779</v>
      </c>
      <c r="D860" s="47" t="s">
        <v>9776</v>
      </c>
      <c r="E860" s="47" t="s">
        <v>1246</v>
      </c>
      <c r="F860" s="47" t="s">
        <v>8781</v>
      </c>
      <c r="G860" s="363">
        <v>46168</v>
      </c>
      <c r="H860" s="47" t="s">
        <v>8782</v>
      </c>
      <c r="I860" s="47" t="s">
        <v>8783</v>
      </c>
      <c r="J860" s="47" t="s">
        <v>1246</v>
      </c>
    </row>
    <row r="861" spans="2:10" ht="14.5">
      <c r="B861" s="47" t="s">
        <v>1256</v>
      </c>
      <c r="C861" s="47" t="s">
        <v>8779</v>
      </c>
      <c r="D861" s="47" t="s">
        <v>9777</v>
      </c>
      <c r="E861" s="47" t="s">
        <v>1253</v>
      </c>
      <c r="F861" s="47" t="s">
        <v>8781</v>
      </c>
      <c r="G861" s="363">
        <v>46168</v>
      </c>
      <c r="H861" s="47" t="s">
        <v>8782</v>
      </c>
      <c r="I861" s="47" t="s">
        <v>8783</v>
      </c>
      <c r="J861" s="47" t="s">
        <v>1253</v>
      </c>
    </row>
    <row r="862" spans="2:10" ht="14.5">
      <c r="B862" s="47" t="s">
        <v>1252</v>
      </c>
      <c r="C862" s="47" t="s">
        <v>8779</v>
      </c>
      <c r="D862" s="47" t="s">
        <v>9778</v>
      </c>
      <c r="E862" s="47" t="s">
        <v>1249</v>
      </c>
      <c r="F862" s="47" t="s">
        <v>8781</v>
      </c>
      <c r="G862" s="363">
        <v>46168</v>
      </c>
      <c r="H862" s="47" t="s">
        <v>8782</v>
      </c>
      <c r="I862" s="47" t="s">
        <v>8783</v>
      </c>
      <c r="J862" s="47" t="s">
        <v>1249</v>
      </c>
    </row>
    <row r="863" spans="2:10" ht="14.5">
      <c r="B863" s="47" t="s">
        <v>1260</v>
      </c>
      <c r="C863" s="47" t="s">
        <v>8779</v>
      </c>
      <c r="D863" s="47" t="s">
        <v>9779</v>
      </c>
      <c r="E863" s="47" t="s">
        <v>1257</v>
      </c>
      <c r="F863" s="47" t="s">
        <v>8781</v>
      </c>
      <c r="G863" s="363">
        <v>46168</v>
      </c>
      <c r="H863" s="47" t="s">
        <v>8782</v>
      </c>
      <c r="I863" s="47" t="s">
        <v>8783</v>
      </c>
      <c r="J863" s="47" t="s">
        <v>1257</v>
      </c>
    </row>
    <row r="864" spans="2:10" ht="14.5">
      <c r="B864" s="47" t="s">
        <v>7892</v>
      </c>
      <c r="C864" s="47" t="s">
        <v>64</v>
      </c>
      <c r="D864" s="47"/>
      <c r="E864" s="47"/>
      <c r="F864" s="47" t="s">
        <v>8829</v>
      </c>
      <c r="G864" s="363">
        <v>46128</v>
      </c>
      <c r="H864" s="47" t="s">
        <v>8782</v>
      </c>
      <c r="I864" s="47" t="s">
        <v>8783</v>
      </c>
      <c r="J864" s="47" t="s">
        <v>9780</v>
      </c>
    </row>
    <row r="865" spans="2:10" ht="14.5">
      <c r="B865" s="47" t="s">
        <v>1133</v>
      </c>
      <c r="C865" s="47" t="s">
        <v>64</v>
      </c>
      <c r="D865" s="47" t="s">
        <v>9781</v>
      </c>
      <c r="E865" s="47" t="s">
        <v>1131</v>
      </c>
      <c r="F865" s="47" t="s">
        <v>8781</v>
      </c>
      <c r="G865" s="363">
        <v>46163</v>
      </c>
      <c r="H865" s="47" t="s">
        <v>8782</v>
      </c>
      <c r="I865" s="47" t="s">
        <v>8783</v>
      </c>
      <c r="J865" s="47" t="s">
        <v>1131</v>
      </c>
    </row>
    <row r="866" spans="2:10" ht="14.5">
      <c r="B866" s="47" t="s">
        <v>1140</v>
      </c>
      <c r="C866" s="47" t="s">
        <v>8779</v>
      </c>
      <c r="D866" s="47" t="s">
        <v>9782</v>
      </c>
      <c r="E866" s="47" t="s">
        <v>1136</v>
      </c>
      <c r="F866" s="47" t="s">
        <v>8781</v>
      </c>
      <c r="G866" s="363">
        <v>46140</v>
      </c>
      <c r="H866" s="47" t="s">
        <v>8782</v>
      </c>
      <c r="I866" s="47" t="s">
        <v>8783</v>
      </c>
      <c r="J866" s="47" t="s">
        <v>1136</v>
      </c>
    </row>
    <row r="867" spans="2:10" ht="14.5">
      <c r="B867" s="47" t="s">
        <v>9783</v>
      </c>
      <c r="C867" s="47" t="s">
        <v>64</v>
      </c>
      <c r="D867" s="47" t="s">
        <v>9541</v>
      </c>
      <c r="E867" s="47" t="s">
        <v>9784</v>
      </c>
      <c r="F867" s="47" t="s">
        <v>8781</v>
      </c>
      <c r="G867" s="363">
        <v>46153</v>
      </c>
      <c r="H867" s="47" t="s">
        <v>8930</v>
      </c>
      <c r="I867" s="47" t="s">
        <v>8783</v>
      </c>
      <c r="J867" s="47" t="s">
        <v>9784</v>
      </c>
    </row>
    <row r="868" spans="2:10" ht="14.5">
      <c r="B868" s="47" t="s">
        <v>1145</v>
      </c>
      <c r="C868" s="47" t="s">
        <v>64</v>
      </c>
      <c r="D868" s="47" t="s">
        <v>9785</v>
      </c>
      <c r="E868" s="47" t="s">
        <v>1143</v>
      </c>
      <c r="F868" s="47" t="s">
        <v>8781</v>
      </c>
      <c r="G868" s="363">
        <v>46163</v>
      </c>
      <c r="H868" s="47" t="s">
        <v>8782</v>
      </c>
      <c r="I868" s="47" t="s">
        <v>8783</v>
      </c>
      <c r="J868" s="47" t="s">
        <v>1143</v>
      </c>
    </row>
    <row r="869" spans="2:10" ht="14.5">
      <c r="B869" s="47" t="s">
        <v>1167</v>
      </c>
      <c r="C869" s="47" t="s">
        <v>64</v>
      </c>
      <c r="D869" s="47" t="s">
        <v>9786</v>
      </c>
      <c r="E869" s="47" t="s">
        <v>1161</v>
      </c>
      <c r="F869" s="47" t="s">
        <v>8781</v>
      </c>
      <c r="G869" s="363">
        <v>46153</v>
      </c>
      <c r="H869" s="47" t="s">
        <v>8782</v>
      </c>
      <c r="I869" s="47" t="s">
        <v>8783</v>
      </c>
      <c r="J869" s="47" t="s">
        <v>1161</v>
      </c>
    </row>
    <row r="870" spans="2:10" ht="14.5">
      <c r="B870" s="47" t="s">
        <v>1174</v>
      </c>
      <c r="C870" s="47" t="s">
        <v>64</v>
      </c>
      <c r="D870" s="47" t="s">
        <v>9787</v>
      </c>
      <c r="E870" s="47" t="s">
        <v>1171</v>
      </c>
      <c r="F870" s="47" t="s">
        <v>8781</v>
      </c>
      <c r="G870" s="363">
        <v>46153</v>
      </c>
      <c r="H870" s="47" t="s">
        <v>8782</v>
      </c>
      <c r="I870" s="47" t="s">
        <v>8783</v>
      </c>
      <c r="J870" s="47" t="s">
        <v>1171</v>
      </c>
    </row>
    <row r="871" spans="2:10" ht="14.5">
      <c r="B871" s="47" t="s">
        <v>1178</v>
      </c>
      <c r="C871" s="47" t="s">
        <v>64</v>
      </c>
      <c r="D871" s="47" t="s">
        <v>9788</v>
      </c>
      <c r="E871" s="47" t="s">
        <v>1175</v>
      </c>
      <c r="F871" s="47" t="s">
        <v>8781</v>
      </c>
      <c r="G871" s="363">
        <v>46153</v>
      </c>
      <c r="H871" s="47" t="s">
        <v>8782</v>
      </c>
      <c r="I871" s="47" t="s">
        <v>8783</v>
      </c>
      <c r="J871" s="47" t="s">
        <v>1175</v>
      </c>
    </row>
    <row r="872" spans="2:10" ht="14.5">
      <c r="B872" s="47" t="s">
        <v>1179</v>
      </c>
      <c r="C872" s="47" t="s">
        <v>64</v>
      </c>
      <c r="D872" s="47" t="s">
        <v>9789</v>
      </c>
      <c r="E872" s="47" t="s">
        <v>1176</v>
      </c>
      <c r="F872" s="47" t="s">
        <v>8781</v>
      </c>
      <c r="G872" s="363">
        <v>46153</v>
      </c>
      <c r="H872" s="47" t="s">
        <v>8782</v>
      </c>
      <c r="I872" s="47" t="s">
        <v>8783</v>
      </c>
      <c r="J872" s="47" t="s">
        <v>1176</v>
      </c>
    </row>
    <row r="873" spans="2:10" ht="14.5">
      <c r="B873" s="47" t="s">
        <v>879</v>
      </c>
      <c r="C873" s="47" t="s">
        <v>64</v>
      </c>
      <c r="D873" s="47" t="s">
        <v>9790</v>
      </c>
      <c r="E873" s="47" t="s">
        <v>62</v>
      </c>
      <c r="F873" s="47" t="s">
        <v>8781</v>
      </c>
      <c r="G873" s="363">
        <v>46181</v>
      </c>
      <c r="H873" s="47" t="s">
        <v>8782</v>
      </c>
      <c r="I873" s="47" t="s">
        <v>8783</v>
      </c>
      <c r="J873" s="47" t="s">
        <v>62</v>
      </c>
    </row>
    <row r="874" spans="2:10" ht="14.5">
      <c r="B874" s="47" t="s">
        <v>9791</v>
      </c>
      <c r="C874" s="47" t="s">
        <v>64</v>
      </c>
      <c r="D874" s="47" t="s">
        <v>9600</v>
      </c>
      <c r="E874" s="47" t="s">
        <v>577</v>
      </c>
      <c r="F874" s="47" t="s">
        <v>8781</v>
      </c>
      <c r="G874" s="363">
        <v>46181</v>
      </c>
      <c r="H874" s="47" t="s">
        <v>8930</v>
      </c>
      <c r="I874" s="47" t="s">
        <v>8783</v>
      </c>
      <c r="J874" s="47" t="s">
        <v>577</v>
      </c>
    </row>
    <row r="875" spans="2:10" ht="14.5">
      <c r="B875" s="47" t="s">
        <v>1125</v>
      </c>
      <c r="C875" s="47" t="s">
        <v>8779</v>
      </c>
      <c r="D875" s="47" t="s">
        <v>9792</v>
      </c>
      <c r="E875" s="47" t="s">
        <v>1123</v>
      </c>
      <c r="F875" s="47" t="s">
        <v>8781</v>
      </c>
      <c r="G875" s="363">
        <v>46142</v>
      </c>
      <c r="H875" s="47" t="s">
        <v>8782</v>
      </c>
      <c r="I875" s="47" t="s">
        <v>8783</v>
      </c>
      <c r="J875" s="47" t="s">
        <v>1123</v>
      </c>
    </row>
    <row r="876" spans="2:10" ht="14.5">
      <c r="B876" s="47" t="s">
        <v>1130</v>
      </c>
      <c r="C876" s="47" t="s">
        <v>8779</v>
      </c>
      <c r="D876" s="47" t="s">
        <v>9793</v>
      </c>
      <c r="E876" s="47" t="s">
        <v>1129</v>
      </c>
      <c r="F876" s="47" t="s">
        <v>8781</v>
      </c>
      <c r="G876" s="363">
        <v>46142</v>
      </c>
      <c r="H876" s="47" t="s">
        <v>8782</v>
      </c>
      <c r="I876" s="47" t="s">
        <v>8783</v>
      </c>
      <c r="J876" s="47" t="s">
        <v>1129</v>
      </c>
    </row>
    <row r="877" spans="2:10" ht="14.5">
      <c r="B877" s="47" t="s">
        <v>1092</v>
      </c>
      <c r="C877" s="47" t="s">
        <v>64</v>
      </c>
      <c r="D877" s="47" t="s">
        <v>9794</v>
      </c>
      <c r="E877" s="47" t="s">
        <v>1090</v>
      </c>
      <c r="F877" s="47" t="s">
        <v>8781</v>
      </c>
      <c r="G877" s="363">
        <v>46132</v>
      </c>
      <c r="H877" s="47" t="s">
        <v>8782</v>
      </c>
      <c r="I877" s="47" t="s">
        <v>8783</v>
      </c>
      <c r="J877" s="47" t="s">
        <v>1090</v>
      </c>
    </row>
    <row r="878" spans="2:10" ht="14.5">
      <c r="B878" s="47" t="s">
        <v>1097</v>
      </c>
      <c r="C878" s="47" t="s">
        <v>64</v>
      </c>
      <c r="D878" s="47" t="s">
        <v>9795</v>
      </c>
      <c r="E878" s="47" t="s">
        <v>1095</v>
      </c>
      <c r="F878" s="47" t="s">
        <v>8781</v>
      </c>
      <c r="G878" s="363">
        <v>46132</v>
      </c>
      <c r="H878" s="47" t="s">
        <v>8782</v>
      </c>
      <c r="I878" s="47" t="s">
        <v>8783</v>
      </c>
      <c r="J878" s="47" t="s">
        <v>1095</v>
      </c>
    </row>
    <row r="879" spans="2:10" ht="14.5">
      <c r="B879" s="47" t="s">
        <v>1106</v>
      </c>
      <c r="C879" s="47" t="s">
        <v>64</v>
      </c>
      <c r="D879" s="47" t="s">
        <v>9796</v>
      </c>
      <c r="E879" s="47" t="s">
        <v>1102</v>
      </c>
      <c r="F879" s="47" t="s">
        <v>8781</v>
      </c>
      <c r="G879" s="363">
        <v>46132</v>
      </c>
      <c r="H879" s="47" t="s">
        <v>8782</v>
      </c>
      <c r="I879" s="47" t="s">
        <v>8783</v>
      </c>
      <c r="J879" s="47" t="s">
        <v>1102</v>
      </c>
    </row>
    <row r="880" spans="2:10" ht="14.5">
      <c r="B880" s="47" t="s">
        <v>1099</v>
      </c>
      <c r="C880" s="47" t="s">
        <v>64</v>
      </c>
      <c r="D880" s="47" t="s">
        <v>9797</v>
      </c>
      <c r="E880" s="47" t="s">
        <v>1098</v>
      </c>
      <c r="F880" s="47" t="s">
        <v>8781</v>
      </c>
      <c r="G880" s="363">
        <v>46132</v>
      </c>
      <c r="H880" s="47" t="s">
        <v>8782</v>
      </c>
      <c r="I880" s="47" t="s">
        <v>8783</v>
      </c>
      <c r="J880" s="47" t="s">
        <v>1098</v>
      </c>
    </row>
    <row r="881" spans="2:10" ht="14.5">
      <c r="B881" s="47" t="s">
        <v>1110</v>
      </c>
      <c r="C881" s="47" t="s">
        <v>64</v>
      </c>
      <c r="D881" s="47" t="s">
        <v>9798</v>
      </c>
      <c r="E881" s="47" t="s">
        <v>1107</v>
      </c>
      <c r="F881" s="47" t="s">
        <v>8781</v>
      </c>
      <c r="G881" s="363">
        <v>46132</v>
      </c>
      <c r="H881" s="47" t="s">
        <v>8782</v>
      </c>
      <c r="I881" s="47" t="s">
        <v>8783</v>
      </c>
      <c r="J881" s="47" t="s">
        <v>1107</v>
      </c>
    </row>
    <row r="882" spans="2:10" ht="14.5">
      <c r="B882" s="47" t="s">
        <v>1114</v>
      </c>
      <c r="C882" s="47" t="s">
        <v>64</v>
      </c>
      <c r="D882" s="47" t="s">
        <v>9799</v>
      </c>
      <c r="E882" s="47" t="s">
        <v>1111</v>
      </c>
      <c r="F882" s="47" t="s">
        <v>8781</v>
      </c>
      <c r="G882" s="363">
        <v>46132</v>
      </c>
      <c r="H882" s="47" t="s">
        <v>8782</v>
      </c>
      <c r="I882" s="47" t="s">
        <v>8783</v>
      </c>
      <c r="J882" s="47" t="s">
        <v>1111</v>
      </c>
    </row>
    <row r="883" spans="2:10" ht="14.5">
      <c r="B883" s="47" t="s">
        <v>1118</v>
      </c>
      <c r="C883" s="47" t="s">
        <v>64</v>
      </c>
      <c r="D883" s="47" t="s">
        <v>9800</v>
      </c>
      <c r="E883" s="47" t="s">
        <v>1117</v>
      </c>
      <c r="F883" s="47" t="s">
        <v>8781</v>
      </c>
      <c r="G883" s="363">
        <v>46139</v>
      </c>
      <c r="H883" s="47" t="s">
        <v>8782</v>
      </c>
      <c r="I883" s="47" t="s">
        <v>8783</v>
      </c>
      <c r="J883" s="47" t="s">
        <v>1117</v>
      </c>
    </row>
    <row r="884" spans="2:10" ht="14.5">
      <c r="B884" s="47" t="s">
        <v>509</v>
      </c>
      <c r="C884" s="47" t="s">
        <v>64</v>
      </c>
      <c r="D884" s="47" t="s">
        <v>9801</v>
      </c>
      <c r="E884" s="47" t="s">
        <v>508</v>
      </c>
      <c r="F884" s="47" t="s">
        <v>8781</v>
      </c>
      <c r="G884" s="363">
        <v>46120</v>
      </c>
      <c r="H884" s="47" t="s">
        <v>8782</v>
      </c>
      <c r="I884" s="47" t="s">
        <v>8783</v>
      </c>
      <c r="J884" s="47" t="s">
        <v>508</v>
      </c>
    </row>
    <row r="885" spans="2:10" ht="14.5">
      <c r="B885" s="47" t="s">
        <v>1120</v>
      </c>
      <c r="C885" s="47" t="s">
        <v>64</v>
      </c>
      <c r="D885" s="47" t="s">
        <v>9802</v>
      </c>
      <c r="E885" s="47" t="s">
        <v>1119</v>
      </c>
      <c r="F885" s="47" t="s">
        <v>8781</v>
      </c>
      <c r="G885" s="363">
        <v>46150</v>
      </c>
      <c r="H885" s="47" t="s">
        <v>8782</v>
      </c>
      <c r="I885" s="47" t="s">
        <v>8783</v>
      </c>
      <c r="J885" s="47" t="s">
        <v>1119</v>
      </c>
    </row>
    <row r="886" spans="2:10" ht="14.5">
      <c r="B886" s="47" t="s">
        <v>513</v>
      </c>
      <c r="C886" s="47" t="s">
        <v>64</v>
      </c>
      <c r="D886" s="47" t="s">
        <v>9803</v>
      </c>
      <c r="E886" s="47" t="s">
        <v>512</v>
      </c>
      <c r="F886" s="47" t="s">
        <v>8781</v>
      </c>
      <c r="G886" s="363">
        <v>46120</v>
      </c>
      <c r="H886" s="47" t="s">
        <v>8782</v>
      </c>
      <c r="I886" s="47" t="s">
        <v>8783</v>
      </c>
      <c r="J886" s="47" t="s">
        <v>512</v>
      </c>
    </row>
    <row r="887" spans="2:10" ht="14.5">
      <c r="B887" s="47" t="s">
        <v>656</v>
      </c>
      <c r="C887" s="47" t="s">
        <v>64</v>
      </c>
      <c r="D887" s="47" t="s">
        <v>9804</v>
      </c>
      <c r="E887" s="47" t="s">
        <v>461</v>
      </c>
      <c r="F887" s="47" t="s">
        <v>8781</v>
      </c>
      <c r="G887" s="363">
        <v>46132</v>
      </c>
      <c r="H887" s="47" t="s">
        <v>8782</v>
      </c>
      <c r="I887" s="47" t="s">
        <v>8783</v>
      </c>
      <c r="J887" s="47" t="s">
        <v>461</v>
      </c>
    </row>
    <row r="888" spans="2:10" ht="14.5">
      <c r="B888" s="47" t="s">
        <v>9805</v>
      </c>
      <c r="C888" s="47" t="s">
        <v>64</v>
      </c>
      <c r="D888" s="47" t="s">
        <v>9606</v>
      </c>
      <c r="E888" s="47" t="s">
        <v>583</v>
      </c>
      <c r="F888" s="47" t="s">
        <v>8781</v>
      </c>
      <c r="G888" s="363">
        <v>46129</v>
      </c>
      <c r="H888" s="47" t="s">
        <v>8930</v>
      </c>
      <c r="I888" s="47" t="s">
        <v>8783</v>
      </c>
      <c r="J888" s="47" t="s">
        <v>583</v>
      </c>
    </row>
    <row r="889" spans="2:10" ht="14.5">
      <c r="B889" s="47" t="s">
        <v>9806</v>
      </c>
      <c r="C889" s="47" t="s">
        <v>64</v>
      </c>
      <c r="D889" s="47" t="s">
        <v>9608</v>
      </c>
      <c r="E889" s="47" t="s">
        <v>590</v>
      </c>
      <c r="F889" s="47" t="s">
        <v>8781</v>
      </c>
      <c r="G889" s="363">
        <v>46129</v>
      </c>
      <c r="H889" s="47" t="s">
        <v>8930</v>
      </c>
      <c r="I889" s="47" t="s">
        <v>8783</v>
      </c>
      <c r="J889" s="47" t="s">
        <v>590</v>
      </c>
    </row>
    <row r="890" spans="2:10" ht="14.5">
      <c r="B890" s="47" t="s">
        <v>862</v>
      </c>
      <c r="C890" s="47" t="s">
        <v>64</v>
      </c>
      <c r="D890" s="47" t="s">
        <v>9807</v>
      </c>
      <c r="E890" s="47" t="s">
        <v>858</v>
      </c>
      <c r="F890" s="47" t="s">
        <v>8781</v>
      </c>
      <c r="G890" s="363">
        <v>46171</v>
      </c>
      <c r="H890" s="47" t="s">
        <v>8782</v>
      </c>
      <c r="I890" s="47" t="s">
        <v>8783</v>
      </c>
      <c r="J890" s="47" t="s">
        <v>858</v>
      </c>
    </row>
    <row r="891" spans="2:10" ht="14.5">
      <c r="B891" s="47" t="s">
        <v>866</v>
      </c>
      <c r="C891" s="47" t="s">
        <v>64</v>
      </c>
      <c r="D891" s="47" t="s">
        <v>9808</v>
      </c>
      <c r="E891" s="47" t="s">
        <v>780</v>
      </c>
      <c r="F891" s="47" t="s">
        <v>8781</v>
      </c>
      <c r="G891" s="363">
        <v>46171</v>
      </c>
      <c r="H891" s="47" t="s">
        <v>8782</v>
      </c>
      <c r="I891" s="47" t="s">
        <v>8783</v>
      </c>
      <c r="J891" s="47" t="s">
        <v>780</v>
      </c>
    </row>
    <row r="892" spans="2:10" ht="14.5">
      <c r="B892" s="47" t="s">
        <v>1083</v>
      </c>
      <c r="C892" s="47" t="s">
        <v>8779</v>
      </c>
      <c r="D892" s="47" t="s">
        <v>9809</v>
      </c>
      <c r="E892" s="47" t="s">
        <v>1079</v>
      </c>
      <c r="F892" s="47" t="s">
        <v>8781</v>
      </c>
      <c r="G892" s="363">
        <v>46153</v>
      </c>
      <c r="H892" s="47" t="s">
        <v>8782</v>
      </c>
      <c r="I892" s="47" t="s">
        <v>8783</v>
      </c>
      <c r="J892" s="47" t="s">
        <v>1079</v>
      </c>
    </row>
    <row r="893" spans="2:10" ht="14.5">
      <c r="B893" s="47" t="s">
        <v>1089</v>
      </c>
      <c r="C893" s="47" t="s">
        <v>8779</v>
      </c>
      <c r="D893" s="47" t="s">
        <v>9810</v>
      </c>
      <c r="E893" s="47" t="s">
        <v>1088</v>
      </c>
      <c r="F893" s="47" t="s">
        <v>8781</v>
      </c>
      <c r="G893" s="363">
        <v>46153</v>
      </c>
      <c r="H893" s="47" t="s">
        <v>8782</v>
      </c>
      <c r="I893" s="47" t="s">
        <v>8783</v>
      </c>
      <c r="J893" s="47" t="s">
        <v>1088</v>
      </c>
    </row>
    <row r="894" spans="2:10" ht="14.5">
      <c r="B894" s="47" t="s">
        <v>1059</v>
      </c>
      <c r="C894" s="47" t="s">
        <v>64</v>
      </c>
      <c r="D894" s="47" t="s">
        <v>9811</v>
      </c>
      <c r="E894" s="47" t="s">
        <v>1058</v>
      </c>
      <c r="F894" s="47" t="s">
        <v>8781</v>
      </c>
      <c r="G894" s="363">
        <v>46147</v>
      </c>
      <c r="H894" s="47" t="s">
        <v>8782</v>
      </c>
      <c r="I894" s="47" t="s">
        <v>8783</v>
      </c>
      <c r="J894" s="47" t="s">
        <v>1058</v>
      </c>
    </row>
    <row r="895" spans="2:10" ht="14.5">
      <c r="B895" s="47" t="s">
        <v>1064</v>
      </c>
      <c r="C895" s="47" t="s">
        <v>64</v>
      </c>
      <c r="D895" s="47" t="s">
        <v>9812</v>
      </c>
      <c r="E895" s="47" t="s">
        <v>1060</v>
      </c>
      <c r="F895" s="47" t="s">
        <v>8781</v>
      </c>
      <c r="G895" s="363">
        <v>46126</v>
      </c>
      <c r="H895" s="47" t="s">
        <v>8782</v>
      </c>
      <c r="I895" s="47" t="s">
        <v>8783</v>
      </c>
      <c r="J895" s="47" t="s">
        <v>1060</v>
      </c>
    </row>
    <row r="896" spans="2:10" ht="14.5">
      <c r="B896" s="47" t="s">
        <v>1069</v>
      </c>
      <c r="C896" s="47" t="s">
        <v>64</v>
      </c>
      <c r="D896" s="47" t="s">
        <v>9813</v>
      </c>
      <c r="E896" s="47" t="s">
        <v>1068</v>
      </c>
      <c r="F896" s="47" t="s">
        <v>8781</v>
      </c>
      <c r="G896" s="363">
        <v>46132</v>
      </c>
      <c r="H896" s="47" t="s">
        <v>8782</v>
      </c>
      <c r="I896" s="47" t="s">
        <v>8783</v>
      </c>
      <c r="J896" s="47" t="s">
        <v>1068</v>
      </c>
    </row>
    <row r="897" spans="2:10" ht="14.5">
      <c r="B897" s="47" t="s">
        <v>833</v>
      </c>
      <c r="C897" s="47" t="s">
        <v>64</v>
      </c>
      <c r="D897" s="47" t="s">
        <v>9814</v>
      </c>
      <c r="E897" s="47" t="s">
        <v>832</v>
      </c>
      <c r="F897" s="47" t="s">
        <v>8781</v>
      </c>
      <c r="G897" s="363">
        <v>46133</v>
      </c>
      <c r="H897" s="47" t="s">
        <v>8782</v>
      </c>
      <c r="I897" s="47" t="s">
        <v>8783</v>
      </c>
      <c r="J897" s="47" t="s">
        <v>832</v>
      </c>
    </row>
    <row r="898" spans="2:10" ht="14.5">
      <c r="B898" s="47" t="s">
        <v>1078</v>
      </c>
      <c r="C898" s="47" t="s">
        <v>8779</v>
      </c>
      <c r="D898" s="47" t="s">
        <v>9815</v>
      </c>
      <c r="E898" s="47" t="s">
        <v>1076</v>
      </c>
      <c r="F898" s="47" t="s">
        <v>8781</v>
      </c>
      <c r="G898" s="363">
        <v>46155</v>
      </c>
      <c r="H898" s="47" t="s">
        <v>8782</v>
      </c>
      <c r="I898" s="47" t="s">
        <v>8783</v>
      </c>
      <c r="J898" s="47" t="s">
        <v>1076</v>
      </c>
    </row>
    <row r="899" spans="2:10" ht="14.5">
      <c r="B899" s="47" t="s">
        <v>843</v>
      </c>
      <c r="C899" s="47" t="s">
        <v>8779</v>
      </c>
      <c r="D899" s="47" t="s">
        <v>9816</v>
      </c>
      <c r="E899" s="47" t="s">
        <v>837</v>
      </c>
      <c r="F899" s="47" t="s">
        <v>8781</v>
      </c>
      <c r="G899" s="363">
        <v>46135</v>
      </c>
      <c r="H899" s="47" t="s">
        <v>8782</v>
      </c>
      <c r="I899" s="47" t="s">
        <v>8783</v>
      </c>
      <c r="J899" s="47" t="s">
        <v>837</v>
      </c>
    </row>
    <row r="900" spans="2:10" ht="14.5">
      <c r="B900" s="47" t="s">
        <v>1073</v>
      </c>
      <c r="C900" s="47" t="s">
        <v>8779</v>
      </c>
      <c r="D900" s="47" t="s">
        <v>9817</v>
      </c>
      <c r="E900" s="47" t="s">
        <v>1072</v>
      </c>
      <c r="F900" s="47" t="s">
        <v>8781</v>
      </c>
      <c r="G900" s="363">
        <v>46155</v>
      </c>
      <c r="H900" s="47" t="s">
        <v>8782</v>
      </c>
      <c r="I900" s="47" t="s">
        <v>8783</v>
      </c>
      <c r="J900" s="47" t="s">
        <v>1072</v>
      </c>
    </row>
    <row r="901" spans="2:10" ht="14.5">
      <c r="B901" s="47" t="s">
        <v>849</v>
      </c>
      <c r="C901" s="47" t="s">
        <v>64</v>
      </c>
      <c r="D901" s="47" t="s">
        <v>9818</v>
      </c>
      <c r="E901" s="47" t="s">
        <v>847</v>
      </c>
      <c r="F901" s="47" t="s">
        <v>8781</v>
      </c>
      <c r="G901" s="363">
        <v>46150</v>
      </c>
      <c r="H901" s="47" t="s">
        <v>8782</v>
      </c>
      <c r="I901" s="47" t="s">
        <v>8783</v>
      </c>
      <c r="J901" s="47" t="s">
        <v>847</v>
      </c>
    </row>
    <row r="902" spans="2:10" ht="14.5">
      <c r="B902" s="47" t="s">
        <v>854</v>
      </c>
      <c r="C902" s="47" t="s">
        <v>64</v>
      </c>
      <c r="D902" s="47" t="s">
        <v>9819</v>
      </c>
      <c r="E902" s="47" t="s">
        <v>688</v>
      </c>
      <c r="F902" s="47" t="s">
        <v>8781</v>
      </c>
      <c r="G902" s="363">
        <v>46150</v>
      </c>
      <c r="H902" s="47" t="s">
        <v>8782</v>
      </c>
      <c r="I902" s="47" t="s">
        <v>8783</v>
      </c>
      <c r="J902" s="47" t="s">
        <v>688</v>
      </c>
    </row>
    <row r="903" spans="2:10" ht="14.5">
      <c r="B903" s="47" t="s">
        <v>857</v>
      </c>
      <c r="C903" s="47" t="s">
        <v>64</v>
      </c>
      <c r="D903" s="47" t="s">
        <v>9820</v>
      </c>
      <c r="E903" s="47" t="s">
        <v>855</v>
      </c>
      <c r="F903" s="47" t="s">
        <v>8781</v>
      </c>
      <c r="G903" s="363">
        <v>46150</v>
      </c>
      <c r="H903" s="47" t="s">
        <v>8782</v>
      </c>
      <c r="I903" s="47" t="s">
        <v>8783</v>
      </c>
      <c r="J903" s="47" t="s">
        <v>855</v>
      </c>
    </row>
    <row r="904" spans="2:10" ht="14.5">
      <c r="B904" s="47" t="s">
        <v>382</v>
      </c>
      <c r="C904" s="47" t="s">
        <v>64</v>
      </c>
      <c r="D904" s="47" t="s">
        <v>9821</v>
      </c>
      <c r="E904" s="47" t="s">
        <v>381</v>
      </c>
      <c r="F904" s="47" t="s">
        <v>8781</v>
      </c>
      <c r="G904" s="363">
        <v>46115</v>
      </c>
      <c r="H904" s="47" t="s">
        <v>8782</v>
      </c>
      <c r="I904" s="47" t="s">
        <v>8783</v>
      </c>
      <c r="J904" s="47" t="s">
        <v>381</v>
      </c>
    </row>
    <row r="905" spans="2:10" ht="14.5">
      <c r="B905" s="47" t="s">
        <v>388</v>
      </c>
      <c r="C905" s="47" t="s">
        <v>64</v>
      </c>
      <c r="D905" s="47" t="s">
        <v>9822</v>
      </c>
      <c r="E905" s="47" t="s">
        <v>386</v>
      </c>
      <c r="F905" s="47" t="s">
        <v>8781</v>
      </c>
      <c r="G905" s="363">
        <v>46115</v>
      </c>
      <c r="H905" s="47" t="s">
        <v>8782</v>
      </c>
      <c r="I905" s="47" t="s">
        <v>8783</v>
      </c>
      <c r="J905" s="47" t="s">
        <v>386</v>
      </c>
    </row>
    <row r="906" spans="2:10" ht="14.5">
      <c r="B906" s="47" t="s">
        <v>390</v>
      </c>
      <c r="C906" s="47" t="s">
        <v>64</v>
      </c>
      <c r="D906" s="47" t="s">
        <v>9823</v>
      </c>
      <c r="E906" s="47" t="s">
        <v>389</v>
      </c>
      <c r="F906" s="47" t="s">
        <v>8781</v>
      </c>
      <c r="G906" s="363">
        <v>46115</v>
      </c>
      <c r="H906" s="47" t="s">
        <v>8782</v>
      </c>
      <c r="I906" s="47" t="s">
        <v>8783</v>
      </c>
      <c r="J906" s="47" t="s">
        <v>389</v>
      </c>
    </row>
    <row r="907" spans="2:10" ht="14.5">
      <c r="B907" s="47" t="s">
        <v>828</v>
      </c>
      <c r="C907" s="47" t="s">
        <v>64</v>
      </c>
      <c r="D907" s="47" t="s">
        <v>9824</v>
      </c>
      <c r="E907" s="47" t="s">
        <v>827</v>
      </c>
      <c r="F907" s="47" t="s">
        <v>8781</v>
      </c>
      <c r="G907" s="363">
        <v>46147</v>
      </c>
      <c r="H907" s="47" t="s">
        <v>8782</v>
      </c>
      <c r="I907" s="47" t="s">
        <v>8783</v>
      </c>
      <c r="J907" s="47" t="s">
        <v>827</v>
      </c>
    </row>
    <row r="908" spans="2:10" ht="14.5">
      <c r="B908" s="47" t="s">
        <v>501</v>
      </c>
      <c r="C908" s="47" t="s">
        <v>64</v>
      </c>
      <c r="D908" s="47" t="s">
        <v>9825</v>
      </c>
      <c r="E908" s="47" t="s">
        <v>500</v>
      </c>
      <c r="F908" s="47" t="s">
        <v>8781</v>
      </c>
      <c r="G908" s="363">
        <v>46120</v>
      </c>
      <c r="H908" s="47" t="s">
        <v>8782</v>
      </c>
      <c r="I908" s="47" t="s">
        <v>8783</v>
      </c>
      <c r="J908" s="47" t="s">
        <v>500</v>
      </c>
    </row>
    <row r="909" spans="2:10" ht="14.5">
      <c r="B909" s="47" t="s">
        <v>507</v>
      </c>
      <c r="C909" s="47" t="s">
        <v>64</v>
      </c>
      <c r="D909" s="47" t="s">
        <v>9826</v>
      </c>
      <c r="E909" s="47" t="s">
        <v>506</v>
      </c>
      <c r="F909" s="47" t="s">
        <v>8781</v>
      </c>
      <c r="G909" s="363">
        <v>46120</v>
      </c>
      <c r="H909" s="47" t="s">
        <v>8782</v>
      </c>
      <c r="I909" s="47" t="s">
        <v>8783</v>
      </c>
      <c r="J909" s="47" t="s">
        <v>506</v>
      </c>
    </row>
    <row r="910" spans="2:10" ht="14.5">
      <c r="B910" s="47" t="s">
        <v>1057</v>
      </c>
      <c r="C910" s="47" t="s">
        <v>64</v>
      </c>
      <c r="D910" s="47" t="s">
        <v>9827</v>
      </c>
      <c r="E910" s="47" t="s">
        <v>1056</v>
      </c>
      <c r="F910" s="47" t="s">
        <v>8781</v>
      </c>
      <c r="G910" s="363">
        <v>46147</v>
      </c>
      <c r="H910" s="47" t="s">
        <v>8782</v>
      </c>
      <c r="I910" s="47" t="s">
        <v>8783</v>
      </c>
      <c r="J910" s="47" t="s">
        <v>1056</v>
      </c>
    </row>
    <row r="911" spans="2:10" ht="14.5">
      <c r="B911" s="47" t="s">
        <v>823</v>
      </c>
      <c r="C911" s="47" t="s">
        <v>64</v>
      </c>
      <c r="D911" s="47" t="s">
        <v>9828</v>
      </c>
      <c r="E911" s="47" t="s">
        <v>821</v>
      </c>
      <c r="F911" s="47" t="s">
        <v>8781</v>
      </c>
      <c r="G911" s="363">
        <v>46127</v>
      </c>
      <c r="H911" s="47" t="s">
        <v>8782</v>
      </c>
      <c r="I911" s="47" t="s">
        <v>8783</v>
      </c>
      <c r="J911" s="47" t="s">
        <v>821</v>
      </c>
    </row>
    <row r="912" spans="2:10" ht="14.5">
      <c r="B912" s="47" t="s">
        <v>505</v>
      </c>
      <c r="C912" s="47" t="s">
        <v>64</v>
      </c>
      <c r="D912" s="47" t="s">
        <v>9829</v>
      </c>
      <c r="E912" s="47" t="s">
        <v>504</v>
      </c>
      <c r="F912" s="47" t="s">
        <v>8781</v>
      </c>
      <c r="G912" s="363">
        <v>46120</v>
      </c>
      <c r="H912" s="47" t="s">
        <v>8782</v>
      </c>
      <c r="I912" s="47" t="s">
        <v>8783</v>
      </c>
      <c r="J912" s="47" t="s">
        <v>504</v>
      </c>
    </row>
    <row r="913" spans="2:10" ht="14.5">
      <c r="B913" s="47" t="s">
        <v>1034</v>
      </c>
      <c r="C913" s="47" t="s">
        <v>8779</v>
      </c>
      <c r="D913" s="47" t="s">
        <v>9830</v>
      </c>
      <c r="E913" s="47" t="s">
        <v>1028</v>
      </c>
      <c r="F913" s="47" t="s">
        <v>8781</v>
      </c>
      <c r="G913" s="363">
        <v>46134</v>
      </c>
      <c r="H913" s="47" t="s">
        <v>8782</v>
      </c>
      <c r="I913" s="47" t="s">
        <v>8783</v>
      </c>
      <c r="J913" s="47" t="s">
        <v>1028</v>
      </c>
    </row>
    <row r="914" spans="2:10" ht="14.5">
      <c r="B914" s="47" t="s">
        <v>1048</v>
      </c>
      <c r="C914" s="47" t="s">
        <v>64</v>
      </c>
      <c r="D914" s="47" t="s">
        <v>9831</v>
      </c>
      <c r="E914" s="47" t="s">
        <v>1045</v>
      </c>
      <c r="F914" s="47" t="s">
        <v>8781</v>
      </c>
      <c r="G914" s="363">
        <v>46134</v>
      </c>
      <c r="H914" s="47" t="s">
        <v>8782</v>
      </c>
      <c r="I914" s="47" t="s">
        <v>8783</v>
      </c>
      <c r="J914" s="47" t="s">
        <v>1045</v>
      </c>
    </row>
    <row r="915" spans="2:10" ht="14.5">
      <c r="B915" s="47" t="s">
        <v>1053</v>
      </c>
      <c r="C915" s="47" t="s">
        <v>64</v>
      </c>
      <c r="D915" s="47" t="s">
        <v>9832</v>
      </c>
      <c r="E915" s="47" t="s">
        <v>1052</v>
      </c>
      <c r="F915" s="47" t="s">
        <v>8781</v>
      </c>
      <c r="G915" s="363">
        <v>46147</v>
      </c>
      <c r="H915" s="47" t="s">
        <v>8782</v>
      </c>
      <c r="I915" s="47" t="s">
        <v>8783</v>
      </c>
      <c r="J915" s="47" t="s">
        <v>1052</v>
      </c>
    </row>
    <row r="916" spans="2:10" ht="14.5">
      <c r="B916" s="47" t="s">
        <v>1039</v>
      </c>
      <c r="C916" s="47" t="s">
        <v>8779</v>
      </c>
      <c r="D916" s="47" t="s">
        <v>9833</v>
      </c>
      <c r="E916" s="47" t="s">
        <v>1038</v>
      </c>
      <c r="F916" s="47" t="s">
        <v>8781</v>
      </c>
      <c r="G916" s="363">
        <v>46134</v>
      </c>
      <c r="H916" s="47" t="s">
        <v>8782</v>
      </c>
      <c r="I916" s="47" t="s">
        <v>8783</v>
      </c>
      <c r="J916" s="47" t="s">
        <v>1038</v>
      </c>
    </row>
    <row r="917" spans="2:10" ht="14.5">
      <c r="B917" s="47" t="s">
        <v>1044</v>
      </c>
      <c r="C917" s="47" t="s">
        <v>8779</v>
      </c>
      <c r="D917" s="47" t="s">
        <v>9834</v>
      </c>
      <c r="E917" s="47" t="s">
        <v>1042</v>
      </c>
      <c r="F917" s="47" t="s">
        <v>8781</v>
      </c>
      <c r="G917" s="363">
        <v>46134</v>
      </c>
      <c r="H917" s="47" t="s">
        <v>8782</v>
      </c>
      <c r="I917" s="47" t="s">
        <v>8783</v>
      </c>
      <c r="J917" s="47" t="s">
        <v>1042</v>
      </c>
    </row>
    <row r="918" spans="2:10" ht="14.5">
      <c r="B918" s="47" t="s">
        <v>1041</v>
      </c>
      <c r="C918" s="47" t="s">
        <v>8779</v>
      </c>
      <c r="D918" s="47" t="s">
        <v>9835</v>
      </c>
      <c r="E918" s="47" t="s">
        <v>1040</v>
      </c>
      <c r="F918" s="47" t="s">
        <v>8781</v>
      </c>
      <c r="G918" s="363">
        <v>46134</v>
      </c>
      <c r="H918" s="47" t="s">
        <v>8782</v>
      </c>
      <c r="I918" s="47" t="s">
        <v>8783</v>
      </c>
      <c r="J918" s="47" t="s">
        <v>1040</v>
      </c>
    </row>
    <row r="919" spans="2:10" ht="14.5">
      <c r="B919" s="47" t="s">
        <v>4144</v>
      </c>
      <c r="C919" s="47" t="s">
        <v>64</v>
      </c>
      <c r="D919" s="47"/>
      <c r="E919" s="47"/>
      <c r="F919" s="47" t="s">
        <v>8781</v>
      </c>
      <c r="G919" s="363">
        <v>46090</v>
      </c>
      <c r="H919" s="47" t="s">
        <v>8782</v>
      </c>
      <c r="I919" s="47" t="s">
        <v>8783</v>
      </c>
      <c r="J919" s="47" t="s">
        <v>9836</v>
      </c>
    </row>
    <row r="920" spans="2:10" ht="14.5">
      <c r="B920" s="47" t="s">
        <v>4142</v>
      </c>
      <c r="C920" s="47" t="s">
        <v>64</v>
      </c>
      <c r="D920" s="47"/>
      <c r="E920" s="47"/>
      <c r="F920" s="47" t="s">
        <v>8781</v>
      </c>
      <c r="G920" s="363">
        <v>46090</v>
      </c>
      <c r="H920" s="47" t="s">
        <v>8782</v>
      </c>
      <c r="I920" s="47" t="s">
        <v>8783</v>
      </c>
      <c r="J920" s="47" t="s">
        <v>9837</v>
      </c>
    </row>
    <row r="921" spans="2:10" ht="14.5">
      <c r="B921" s="47" t="s">
        <v>4140</v>
      </c>
      <c r="C921" s="47" t="s">
        <v>64</v>
      </c>
      <c r="D921" s="47"/>
      <c r="E921" s="47"/>
      <c r="F921" s="47" t="s">
        <v>8781</v>
      </c>
      <c r="G921" s="363">
        <v>46090</v>
      </c>
      <c r="H921" s="47" t="s">
        <v>8782</v>
      </c>
      <c r="I921" s="47" t="s">
        <v>8783</v>
      </c>
      <c r="J921" s="47" t="s">
        <v>9838</v>
      </c>
    </row>
    <row r="922" spans="2:10" ht="14.5">
      <c r="B922" s="47" t="s">
        <v>4135</v>
      </c>
      <c r="C922" s="47" t="s">
        <v>64</v>
      </c>
      <c r="D922" s="47"/>
      <c r="E922" s="47"/>
      <c r="F922" s="47" t="s">
        <v>8781</v>
      </c>
      <c r="G922" s="363">
        <v>46090</v>
      </c>
      <c r="H922" s="47" t="s">
        <v>8782</v>
      </c>
      <c r="I922" s="47" t="s">
        <v>8783</v>
      </c>
      <c r="J922" s="47" t="s">
        <v>9839</v>
      </c>
    </row>
    <row r="923" spans="2:10" ht="14.5">
      <c r="B923" s="47" t="s">
        <v>135</v>
      </c>
      <c r="C923" s="47" t="s">
        <v>64</v>
      </c>
      <c r="D923" s="47"/>
      <c r="E923" s="47"/>
      <c r="F923" s="47" t="s">
        <v>8781</v>
      </c>
      <c r="G923" s="363">
        <v>46112</v>
      </c>
      <c r="H923" s="47" t="s">
        <v>8782</v>
      </c>
      <c r="I923" s="47" t="s">
        <v>8783</v>
      </c>
      <c r="J923" s="47" t="s">
        <v>9840</v>
      </c>
    </row>
    <row r="924" spans="2:10" ht="14.5">
      <c r="B924" s="47" t="s">
        <v>191</v>
      </c>
      <c r="C924" s="47" t="s">
        <v>64</v>
      </c>
      <c r="D924" s="47"/>
      <c r="E924" s="47"/>
      <c r="F924" s="47" t="s">
        <v>8781</v>
      </c>
      <c r="G924" s="363">
        <v>46112</v>
      </c>
      <c r="H924" s="47" t="s">
        <v>8782</v>
      </c>
      <c r="I924" s="47" t="s">
        <v>8783</v>
      </c>
      <c r="J924" s="47" t="s">
        <v>9841</v>
      </c>
    </row>
    <row r="925" spans="2:10" ht="14.5">
      <c r="B925" s="47" t="s">
        <v>182</v>
      </c>
      <c r="C925" s="47" t="s">
        <v>64</v>
      </c>
      <c r="D925" s="47"/>
      <c r="E925" s="47"/>
      <c r="F925" s="47" t="s">
        <v>8781</v>
      </c>
      <c r="G925" s="363">
        <v>46112</v>
      </c>
      <c r="H925" s="47" t="s">
        <v>8782</v>
      </c>
      <c r="I925" s="47" t="s">
        <v>8783</v>
      </c>
      <c r="J925" s="47" t="s">
        <v>9842</v>
      </c>
    </row>
    <row r="926" spans="2:10" ht="14.5">
      <c r="B926" s="47" t="s">
        <v>251</v>
      </c>
      <c r="C926" s="47" t="s">
        <v>64</v>
      </c>
      <c r="D926" s="47"/>
      <c r="E926" s="47"/>
      <c r="F926" s="47" t="s">
        <v>8781</v>
      </c>
      <c r="G926" s="363">
        <v>46097</v>
      </c>
      <c r="H926" s="47" t="s">
        <v>8782</v>
      </c>
      <c r="I926" s="47" t="s">
        <v>8783</v>
      </c>
      <c r="J926" s="47" t="s">
        <v>9843</v>
      </c>
    </row>
    <row r="927" spans="2:10" ht="14.5">
      <c r="B927" s="47" t="s">
        <v>164</v>
      </c>
      <c r="C927" s="47" t="s">
        <v>64</v>
      </c>
      <c r="D927" s="47"/>
      <c r="E927" s="47"/>
      <c r="F927" s="47" t="s">
        <v>8781</v>
      </c>
      <c r="G927" s="363">
        <v>46125</v>
      </c>
      <c r="H927" s="47" t="s">
        <v>8782</v>
      </c>
      <c r="I927" s="47" t="s">
        <v>8783</v>
      </c>
      <c r="J927" s="47" t="s">
        <v>9844</v>
      </c>
    </row>
    <row r="928" spans="2:10" ht="14.5">
      <c r="B928" s="47" t="s">
        <v>104</v>
      </c>
      <c r="C928" s="47" t="s">
        <v>64</v>
      </c>
      <c r="D928" s="47"/>
      <c r="E928" s="47"/>
      <c r="F928" s="47" t="s">
        <v>8781</v>
      </c>
      <c r="G928" s="363">
        <v>46125</v>
      </c>
      <c r="H928" s="47" t="s">
        <v>8782</v>
      </c>
      <c r="I928" s="47" t="s">
        <v>8783</v>
      </c>
      <c r="J928" s="47" t="s">
        <v>9845</v>
      </c>
    </row>
    <row r="929" spans="2:10" ht="14.5">
      <c r="B929" s="47" t="s">
        <v>9846</v>
      </c>
      <c r="C929" s="47" t="s">
        <v>64</v>
      </c>
      <c r="D929" s="47" t="s">
        <v>9847</v>
      </c>
      <c r="E929" s="47"/>
      <c r="F929" s="47" t="s">
        <v>8829</v>
      </c>
      <c r="G929" s="363">
        <v>46128</v>
      </c>
      <c r="H929" s="47" t="s">
        <v>8930</v>
      </c>
      <c r="I929" s="47" t="s">
        <v>8783</v>
      </c>
      <c r="J929" s="47" t="s">
        <v>9848</v>
      </c>
    </row>
    <row r="930" spans="2:10" ht="14.5">
      <c r="B930" s="47" t="s">
        <v>139</v>
      </c>
      <c r="C930" s="47" t="s">
        <v>64</v>
      </c>
      <c r="D930" s="47" t="s">
        <v>9849</v>
      </c>
      <c r="E930" s="47"/>
      <c r="F930" s="47" t="s">
        <v>8781</v>
      </c>
      <c r="G930" s="363">
        <v>46104</v>
      </c>
      <c r="H930" s="47" t="s">
        <v>8782</v>
      </c>
      <c r="I930" s="47" t="s">
        <v>8783</v>
      </c>
      <c r="J930" s="47" t="s">
        <v>9850</v>
      </c>
    </row>
    <row r="931" spans="2:10" ht="14.5">
      <c r="B931" s="47" t="s">
        <v>9851</v>
      </c>
      <c r="C931" s="47" t="s">
        <v>64</v>
      </c>
      <c r="D931" s="47" t="s">
        <v>9852</v>
      </c>
      <c r="E931" s="47"/>
      <c r="F931" s="47" t="s">
        <v>8781</v>
      </c>
      <c r="G931" s="363">
        <v>46125</v>
      </c>
      <c r="H931" s="47" t="s">
        <v>8782</v>
      </c>
      <c r="I931" s="47" t="s">
        <v>8783</v>
      </c>
      <c r="J931" s="47" t="s">
        <v>9853</v>
      </c>
    </row>
    <row r="932" spans="2:10" ht="14.5">
      <c r="B932" s="47" t="s">
        <v>259</v>
      </c>
      <c r="C932" s="47" t="s">
        <v>64</v>
      </c>
      <c r="D932" s="47" t="s">
        <v>9854</v>
      </c>
      <c r="E932" s="47"/>
      <c r="F932" s="47" t="s">
        <v>8781</v>
      </c>
      <c r="G932" s="363">
        <v>46125</v>
      </c>
      <c r="H932" s="47" t="s">
        <v>8782</v>
      </c>
      <c r="I932" s="47" t="s">
        <v>8783</v>
      </c>
      <c r="J932" s="47" t="s">
        <v>9855</v>
      </c>
    </row>
    <row r="933" spans="2:10" ht="14.5">
      <c r="B933" s="47" t="s">
        <v>173</v>
      </c>
      <c r="C933" s="47" t="s">
        <v>64</v>
      </c>
      <c r="D933" s="47" t="s">
        <v>9856</v>
      </c>
      <c r="E933" s="47"/>
      <c r="F933" s="47" t="s">
        <v>8781</v>
      </c>
      <c r="G933" s="363">
        <v>46125</v>
      </c>
      <c r="H933" s="47" t="s">
        <v>8782</v>
      </c>
      <c r="I933" s="47" t="s">
        <v>8783</v>
      </c>
      <c r="J933" s="47" t="s">
        <v>9857</v>
      </c>
    </row>
    <row r="934" spans="2:10" ht="14.5">
      <c r="B934" s="47" t="s">
        <v>324</v>
      </c>
      <c r="C934" s="47" t="s">
        <v>64</v>
      </c>
      <c r="D934" s="47" t="s">
        <v>9858</v>
      </c>
      <c r="E934" s="47" t="s">
        <v>323</v>
      </c>
      <c r="F934" s="47" t="s">
        <v>8781</v>
      </c>
      <c r="G934" s="363">
        <v>46125</v>
      </c>
      <c r="H934" s="47" t="s">
        <v>8782</v>
      </c>
      <c r="I934" s="47" t="s">
        <v>8783</v>
      </c>
      <c r="J934" s="47" t="s">
        <v>323</v>
      </c>
    </row>
    <row r="935" spans="2:10" ht="14.5">
      <c r="B935" s="47" t="s">
        <v>392</v>
      </c>
      <c r="C935" s="47" t="s">
        <v>64</v>
      </c>
      <c r="D935" s="47" t="s">
        <v>9859</v>
      </c>
      <c r="E935" s="47" t="s">
        <v>391</v>
      </c>
      <c r="F935" s="47" t="s">
        <v>8781</v>
      </c>
      <c r="G935" s="363">
        <v>46129</v>
      </c>
      <c r="H935" s="47" t="s">
        <v>8782</v>
      </c>
      <c r="I935" s="47" t="s">
        <v>8783</v>
      </c>
      <c r="J935" s="47" t="s">
        <v>391</v>
      </c>
    </row>
    <row r="936" spans="2:10" ht="14.5">
      <c r="B936" s="47" t="s">
        <v>484</v>
      </c>
      <c r="C936" s="47" t="s">
        <v>64</v>
      </c>
      <c r="D936" s="47" t="s">
        <v>9860</v>
      </c>
      <c r="E936" s="47" t="s">
        <v>482</v>
      </c>
      <c r="F936" s="47" t="s">
        <v>8781</v>
      </c>
      <c r="G936" s="363">
        <v>46132</v>
      </c>
      <c r="H936" s="47" t="s">
        <v>8782</v>
      </c>
      <c r="I936" s="47" t="s">
        <v>8783</v>
      </c>
      <c r="J936" s="47" t="s">
        <v>482</v>
      </c>
    </row>
    <row r="937" spans="2:10" ht="14.5">
      <c r="B937" s="47" t="s">
        <v>491</v>
      </c>
      <c r="C937" s="47" t="s">
        <v>64</v>
      </c>
      <c r="D937" s="47" t="s">
        <v>9861</v>
      </c>
      <c r="E937" s="47" t="s">
        <v>490</v>
      </c>
      <c r="F937" s="47" t="s">
        <v>8781</v>
      </c>
      <c r="G937" s="363">
        <v>46125</v>
      </c>
      <c r="H937" s="47" t="s">
        <v>8782</v>
      </c>
      <c r="I937" s="47" t="s">
        <v>8783</v>
      </c>
      <c r="J937" s="47" t="s">
        <v>490</v>
      </c>
    </row>
    <row r="938" spans="2:10" ht="14.5">
      <c r="B938" s="47" t="s">
        <v>495</v>
      </c>
      <c r="C938" s="47" t="s">
        <v>64</v>
      </c>
      <c r="D938" s="47" t="s">
        <v>9862</v>
      </c>
      <c r="E938" s="47" t="s">
        <v>494</v>
      </c>
      <c r="F938" s="47" t="s">
        <v>8781</v>
      </c>
      <c r="G938" s="363">
        <v>46125</v>
      </c>
      <c r="H938" s="47" t="s">
        <v>8782</v>
      </c>
      <c r="I938" s="47" t="s">
        <v>8783</v>
      </c>
      <c r="J938" s="47" t="s">
        <v>494</v>
      </c>
    </row>
    <row r="939" spans="2:10" ht="14.5">
      <c r="B939" s="47" t="s">
        <v>489</v>
      </c>
      <c r="C939" s="47" t="s">
        <v>64</v>
      </c>
      <c r="D939" s="47" t="s">
        <v>9863</v>
      </c>
      <c r="E939" s="47" t="s">
        <v>488</v>
      </c>
      <c r="F939" s="47" t="s">
        <v>8781</v>
      </c>
      <c r="G939" s="363">
        <v>46132</v>
      </c>
      <c r="H939" s="47" t="s">
        <v>8782</v>
      </c>
      <c r="I939" s="47" t="s">
        <v>8783</v>
      </c>
      <c r="J939" s="47" t="s">
        <v>488</v>
      </c>
    </row>
    <row r="940" spans="2:10" ht="14.5">
      <c r="B940" s="47" t="s">
        <v>497</v>
      </c>
      <c r="C940" s="47" t="s">
        <v>64</v>
      </c>
      <c r="D940" s="47" t="s">
        <v>9864</v>
      </c>
      <c r="E940" s="47" t="s">
        <v>496</v>
      </c>
      <c r="F940" s="47" t="s">
        <v>8781</v>
      </c>
      <c r="G940" s="363">
        <v>46125</v>
      </c>
      <c r="H940" s="47" t="s">
        <v>8782</v>
      </c>
      <c r="I940" s="47" t="s">
        <v>8783</v>
      </c>
      <c r="J940" s="47" t="s">
        <v>496</v>
      </c>
    </row>
    <row r="941" spans="2:10" ht="14.5">
      <c r="B941" s="47" t="s">
        <v>499</v>
      </c>
      <c r="C941" s="47" t="s">
        <v>64</v>
      </c>
      <c r="D941" s="47" t="s">
        <v>9865</v>
      </c>
      <c r="E941" s="47" t="s">
        <v>498</v>
      </c>
      <c r="F941" s="47" t="s">
        <v>8781</v>
      </c>
      <c r="G941" s="363">
        <v>46125</v>
      </c>
      <c r="H941" s="47" t="s">
        <v>8782</v>
      </c>
      <c r="I941" s="47" t="s">
        <v>8783</v>
      </c>
      <c r="J941" s="47" t="s">
        <v>498</v>
      </c>
    </row>
    <row r="942" spans="2:10" ht="14.5">
      <c r="B942" s="47" t="s">
        <v>661</v>
      </c>
      <c r="C942" s="47" t="s">
        <v>64</v>
      </c>
      <c r="D942" s="47" t="s">
        <v>9866</v>
      </c>
      <c r="E942" s="47" t="s">
        <v>660</v>
      </c>
      <c r="F942" s="47" t="s">
        <v>8781</v>
      </c>
      <c r="G942" s="363">
        <v>46133</v>
      </c>
      <c r="H942" s="47" t="s">
        <v>8782</v>
      </c>
      <c r="I942" s="47" t="s">
        <v>8783</v>
      </c>
      <c r="J942" s="47" t="s">
        <v>660</v>
      </c>
    </row>
    <row r="943" spans="2:10" ht="14.5">
      <c r="B943" s="47" t="s">
        <v>665</v>
      </c>
      <c r="C943" s="47" t="s">
        <v>64</v>
      </c>
      <c r="D943" s="47" t="s">
        <v>9867</v>
      </c>
      <c r="E943" s="47" t="s">
        <v>664</v>
      </c>
      <c r="F943" s="47" t="s">
        <v>8781</v>
      </c>
      <c r="G943" s="363">
        <v>46133</v>
      </c>
      <c r="H943" s="47" t="s">
        <v>8782</v>
      </c>
      <c r="I943" s="47" t="s">
        <v>8783</v>
      </c>
      <c r="J943" s="47" t="s">
        <v>664</v>
      </c>
    </row>
    <row r="944" spans="2:10" ht="14.5">
      <c r="B944" s="47" t="s">
        <v>320</v>
      </c>
      <c r="C944" s="47" t="s">
        <v>64</v>
      </c>
      <c r="D944" s="47" t="s">
        <v>9868</v>
      </c>
      <c r="E944" s="47" t="s">
        <v>319</v>
      </c>
      <c r="F944" s="47" t="s">
        <v>8781</v>
      </c>
      <c r="G944" s="363">
        <v>46125</v>
      </c>
      <c r="H944" s="47" t="s">
        <v>8782</v>
      </c>
      <c r="I944" s="47" t="s">
        <v>8783</v>
      </c>
      <c r="J944" s="47" t="s">
        <v>319</v>
      </c>
    </row>
    <row r="945" spans="2:10" ht="14.5">
      <c r="B945" s="47" t="s">
        <v>7874</v>
      </c>
      <c r="C945" s="47" t="s">
        <v>64</v>
      </c>
      <c r="D945" s="47" t="s">
        <v>9869</v>
      </c>
      <c r="E945" s="47" t="s">
        <v>4193</v>
      </c>
      <c r="F945" s="47" t="s">
        <v>8829</v>
      </c>
      <c r="G945" s="363">
        <v>46142</v>
      </c>
      <c r="H945" s="47" t="s">
        <v>8782</v>
      </c>
      <c r="I945" s="47" t="s">
        <v>8783</v>
      </c>
      <c r="J945" s="47" t="s">
        <v>4193</v>
      </c>
    </row>
    <row r="946" spans="2:10" ht="14.5">
      <c r="B946" s="47" t="s">
        <v>7856</v>
      </c>
      <c r="C946" s="47" t="s">
        <v>64</v>
      </c>
      <c r="D946" s="47" t="s">
        <v>9870</v>
      </c>
      <c r="E946" s="47" t="s">
        <v>297</v>
      </c>
      <c r="F946" s="47" t="s">
        <v>8829</v>
      </c>
      <c r="G946" s="363">
        <v>46121</v>
      </c>
      <c r="H946" s="47" t="s">
        <v>8782</v>
      </c>
      <c r="I946" s="47" t="s">
        <v>8783</v>
      </c>
      <c r="J946" s="47" t="s">
        <v>9871</v>
      </c>
    </row>
    <row r="947" spans="2:10" ht="14.5">
      <c r="B947" s="47" t="s">
        <v>7878</v>
      </c>
      <c r="C947" s="47" t="s">
        <v>64</v>
      </c>
      <c r="D947" s="47" t="s">
        <v>9872</v>
      </c>
      <c r="E947" s="47" t="s">
        <v>9873</v>
      </c>
      <c r="F947" s="47" t="s">
        <v>8829</v>
      </c>
      <c r="G947" s="363">
        <v>46142</v>
      </c>
      <c r="H947" s="47" t="s">
        <v>8782</v>
      </c>
      <c r="I947" s="47" t="s">
        <v>8783</v>
      </c>
      <c r="J947" s="47" t="s">
        <v>9873</v>
      </c>
    </row>
    <row r="948" spans="2:10" ht="14.5">
      <c r="B948" s="47" t="s">
        <v>7865</v>
      </c>
      <c r="C948" s="47" t="s">
        <v>64</v>
      </c>
      <c r="D948" s="47" t="s">
        <v>9874</v>
      </c>
      <c r="E948" s="47"/>
      <c r="F948" s="47" t="s">
        <v>8829</v>
      </c>
      <c r="G948" s="363">
        <v>46142</v>
      </c>
      <c r="H948" s="47" t="s">
        <v>8782</v>
      </c>
      <c r="I948" s="47" t="s">
        <v>8783</v>
      </c>
      <c r="J948" s="47" t="s">
        <v>9875</v>
      </c>
    </row>
    <row r="949" spans="2:10" ht="14.5">
      <c r="B949" s="47" t="s">
        <v>724</v>
      </c>
      <c r="C949" s="47" t="s">
        <v>64</v>
      </c>
      <c r="D949" s="47" t="s">
        <v>9876</v>
      </c>
      <c r="E949" s="47" t="s">
        <v>723</v>
      </c>
      <c r="F949" s="47" t="s">
        <v>8781</v>
      </c>
      <c r="G949" s="363">
        <v>46125</v>
      </c>
      <c r="H949" s="47" t="s">
        <v>8782</v>
      </c>
      <c r="I949" s="47" t="s">
        <v>8783</v>
      </c>
      <c r="J949" s="47" t="s">
        <v>723</v>
      </c>
    </row>
    <row r="950" spans="2:10" ht="14.5">
      <c r="B950" s="47" t="s">
        <v>728</v>
      </c>
      <c r="C950" s="47" t="s">
        <v>64</v>
      </c>
      <c r="D950" s="47" t="s">
        <v>9877</v>
      </c>
      <c r="E950" s="47" t="s">
        <v>727</v>
      </c>
      <c r="F950" s="47" t="s">
        <v>8781</v>
      </c>
      <c r="G950" s="363">
        <v>46125</v>
      </c>
      <c r="H950" s="47" t="s">
        <v>8782</v>
      </c>
      <c r="I950" s="47" t="s">
        <v>8783</v>
      </c>
      <c r="J950" s="47" t="s">
        <v>727</v>
      </c>
    </row>
    <row r="951" spans="2:10" ht="14.5">
      <c r="B951" s="47" t="s">
        <v>730</v>
      </c>
      <c r="C951" s="47" t="s">
        <v>64</v>
      </c>
      <c r="D951" s="47" t="s">
        <v>9878</v>
      </c>
      <c r="E951" s="47" t="s">
        <v>638</v>
      </c>
      <c r="F951" s="47" t="s">
        <v>8781</v>
      </c>
      <c r="G951" s="363">
        <v>46134</v>
      </c>
      <c r="H951" s="47" t="s">
        <v>8782</v>
      </c>
      <c r="I951" s="47" t="s">
        <v>8783</v>
      </c>
      <c r="J951" s="47" t="s">
        <v>638</v>
      </c>
    </row>
    <row r="952" spans="2:10" ht="14.5">
      <c r="B952" s="47" t="s">
        <v>729</v>
      </c>
      <c r="C952" s="47" t="s">
        <v>64</v>
      </c>
      <c r="D952" s="47" t="s">
        <v>9879</v>
      </c>
      <c r="E952" s="47" t="s">
        <v>525</v>
      </c>
      <c r="F952" s="47" t="s">
        <v>8781</v>
      </c>
      <c r="G952" s="363">
        <v>46125</v>
      </c>
      <c r="H952" s="47" t="s">
        <v>8782</v>
      </c>
      <c r="I952" s="47" t="s">
        <v>8783</v>
      </c>
      <c r="J952" s="47" t="s">
        <v>525</v>
      </c>
    </row>
    <row r="953" spans="2:10" ht="14.5">
      <c r="B953" s="47" t="s">
        <v>735</v>
      </c>
      <c r="C953" s="47" t="s">
        <v>64</v>
      </c>
      <c r="D953" s="47" t="s">
        <v>9880</v>
      </c>
      <c r="E953" s="47" t="s">
        <v>734</v>
      </c>
      <c r="F953" s="47" t="s">
        <v>8781</v>
      </c>
      <c r="G953" s="363">
        <v>46134</v>
      </c>
      <c r="H953" s="47" t="s">
        <v>8782</v>
      </c>
      <c r="I953" s="47" t="s">
        <v>8783</v>
      </c>
      <c r="J953" s="47" t="s">
        <v>734</v>
      </c>
    </row>
    <row r="954" spans="2:10" ht="14.5">
      <c r="B954" s="47" t="s">
        <v>993</v>
      </c>
      <c r="C954" s="47" t="s">
        <v>64</v>
      </c>
      <c r="D954" s="47" t="s">
        <v>9881</v>
      </c>
      <c r="E954" s="47" t="s">
        <v>990</v>
      </c>
      <c r="F954" s="47" t="s">
        <v>8781</v>
      </c>
      <c r="G954" s="363">
        <v>46134</v>
      </c>
      <c r="H954" s="47" t="s">
        <v>8782</v>
      </c>
      <c r="I954" s="47" t="s">
        <v>8783</v>
      </c>
      <c r="J954" s="47" t="s">
        <v>990</v>
      </c>
    </row>
    <row r="955" spans="2:10" ht="14.5">
      <c r="B955" s="47" t="s">
        <v>996</v>
      </c>
      <c r="C955" s="47" t="s">
        <v>64</v>
      </c>
      <c r="D955" s="47" t="s">
        <v>9882</v>
      </c>
      <c r="E955" s="47" t="s">
        <v>994</v>
      </c>
      <c r="F955" s="47" t="s">
        <v>8781</v>
      </c>
      <c r="G955" s="363">
        <v>46134</v>
      </c>
      <c r="H955" s="47" t="s">
        <v>8782</v>
      </c>
      <c r="I955" s="47" t="s">
        <v>8783</v>
      </c>
      <c r="J955" s="47" t="s">
        <v>994</v>
      </c>
    </row>
    <row r="956" spans="2:10" ht="14.5">
      <c r="B956" s="47" t="s">
        <v>1003</v>
      </c>
      <c r="C956" s="47" t="s">
        <v>64</v>
      </c>
      <c r="D956" s="47" t="s">
        <v>9883</v>
      </c>
      <c r="E956" s="47" t="s">
        <v>1000</v>
      </c>
      <c r="F956" s="47" t="s">
        <v>8781</v>
      </c>
      <c r="G956" s="363">
        <v>46125</v>
      </c>
      <c r="H956" s="47" t="s">
        <v>8782</v>
      </c>
      <c r="I956" s="47" t="s">
        <v>8783</v>
      </c>
      <c r="J956" s="47" t="s">
        <v>1000</v>
      </c>
    </row>
    <row r="957" spans="2:10" ht="14.5">
      <c r="B957" s="47" t="s">
        <v>738</v>
      </c>
      <c r="C957" s="47" t="s">
        <v>64</v>
      </c>
      <c r="D957" s="47" t="s">
        <v>9884</v>
      </c>
      <c r="E957" s="47" t="s">
        <v>736</v>
      </c>
      <c r="F957" s="47" t="s">
        <v>8781</v>
      </c>
      <c r="G957" s="363">
        <v>46150</v>
      </c>
      <c r="H957" s="47" t="s">
        <v>8782</v>
      </c>
      <c r="I957" s="47" t="s">
        <v>8783</v>
      </c>
      <c r="J957" s="47" t="s">
        <v>736</v>
      </c>
    </row>
    <row r="958" spans="2:10" ht="14.5">
      <c r="B958" s="47" t="s">
        <v>743</v>
      </c>
      <c r="C958" s="47" t="s">
        <v>64</v>
      </c>
      <c r="D958" s="47" t="s">
        <v>9885</v>
      </c>
      <c r="E958" s="47" t="s">
        <v>742</v>
      </c>
      <c r="F958" s="47" t="s">
        <v>8781</v>
      </c>
      <c r="G958" s="363">
        <v>46150</v>
      </c>
      <c r="H958" s="47" t="s">
        <v>8782</v>
      </c>
      <c r="I958" s="47" t="s">
        <v>8783</v>
      </c>
      <c r="J958" s="47" t="s">
        <v>742</v>
      </c>
    </row>
    <row r="959" spans="2:10" ht="14.5">
      <c r="B959" s="47" t="s">
        <v>1009</v>
      </c>
      <c r="C959" s="47" t="s">
        <v>64</v>
      </c>
      <c r="D959" s="47" t="s">
        <v>9886</v>
      </c>
      <c r="E959" s="47" t="s">
        <v>1006</v>
      </c>
      <c r="F959" s="47" t="s">
        <v>8781</v>
      </c>
      <c r="G959" s="363">
        <v>46150</v>
      </c>
      <c r="H959" s="47" t="s">
        <v>8782</v>
      </c>
      <c r="I959" s="47" t="s">
        <v>8783</v>
      </c>
      <c r="J959" s="47" t="s">
        <v>1006</v>
      </c>
    </row>
    <row r="960" spans="2:10" ht="14.5">
      <c r="B960" s="47" t="s">
        <v>745</v>
      </c>
      <c r="C960" s="47" t="s">
        <v>64</v>
      </c>
      <c r="D960" s="47" t="s">
        <v>9887</v>
      </c>
      <c r="E960" s="47" t="s">
        <v>744</v>
      </c>
      <c r="F960" s="47" t="s">
        <v>8781</v>
      </c>
      <c r="G960" s="363">
        <v>46150</v>
      </c>
      <c r="H960" s="47" t="s">
        <v>8782</v>
      </c>
      <c r="I960" s="47" t="s">
        <v>8783</v>
      </c>
      <c r="J960" s="47" t="s">
        <v>744</v>
      </c>
    </row>
    <row r="961" spans="2:10" ht="14.5">
      <c r="B961" s="47" t="s">
        <v>747</v>
      </c>
      <c r="C961" s="47" t="s">
        <v>64</v>
      </c>
      <c r="D961" s="47" t="s">
        <v>9888</v>
      </c>
      <c r="E961" s="47" t="s">
        <v>746</v>
      </c>
      <c r="F961" s="47" t="s">
        <v>8781</v>
      </c>
      <c r="G961" s="363">
        <v>46121</v>
      </c>
      <c r="H961" s="47" t="s">
        <v>8782</v>
      </c>
      <c r="I961" s="47" t="s">
        <v>8783</v>
      </c>
      <c r="J961" s="47" t="s">
        <v>746</v>
      </c>
    </row>
    <row r="962" spans="2:10" ht="14.5">
      <c r="B962" s="47" t="s">
        <v>752</v>
      </c>
      <c r="C962" s="47" t="s">
        <v>64</v>
      </c>
      <c r="D962" s="47" t="s">
        <v>9889</v>
      </c>
      <c r="E962" s="47" t="s">
        <v>751</v>
      </c>
      <c r="F962" s="47" t="s">
        <v>8781</v>
      </c>
      <c r="G962" s="363">
        <v>46135</v>
      </c>
      <c r="H962" s="47" t="s">
        <v>8782</v>
      </c>
      <c r="I962" s="47" t="s">
        <v>8783</v>
      </c>
      <c r="J962" s="47" t="s">
        <v>751</v>
      </c>
    </row>
    <row r="963" spans="2:10" ht="14.5">
      <c r="B963" s="47" t="s">
        <v>756</v>
      </c>
      <c r="C963" s="47" t="s">
        <v>64</v>
      </c>
      <c r="D963" s="47" t="s">
        <v>9890</v>
      </c>
      <c r="E963" s="47" t="s">
        <v>755</v>
      </c>
      <c r="F963" s="47" t="s">
        <v>8781</v>
      </c>
      <c r="G963" s="363">
        <v>46135</v>
      </c>
      <c r="H963" s="47" t="s">
        <v>8782</v>
      </c>
      <c r="I963" s="47" t="s">
        <v>8783</v>
      </c>
      <c r="J963" s="47" t="s">
        <v>755</v>
      </c>
    </row>
    <row r="964" spans="2:10" ht="14.5">
      <c r="B964" s="47" t="s">
        <v>758</v>
      </c>
      <c r="C964" s="47" t="s">
        <v>64</v>
      </c>
      <c r="D964" s="47" t="s">
        <v>9891</v>
      </c>
      <c r="E964" s="47" t="s">
        <v>757</v>
      </c>
      <c r="F964" s="47" t="s">
        <v>8781</v>
      </c>
      <c r="G964" s="363">
        <v>46135</v>
      </c>
      <c r="H964" s="47" t="s">
        <v>8782</v>
      </c>
      <c r="I964" s="47" t="s">
        <v>8783</v>
      </c>
      <c r="J964" s="47" t="s">
        <v>757</v>
      </c>
    </row>
    <row r="965" spans="2:10" ht="14.5">
      <c r="B965" s="47" t="s">
        <v>761</v>
      </c>
      <c r="C965" s="47" t="s">
        <v>64</v>
      </c>
      <c r="D965" s="47" t="s">
        <v>9892</v>
      </c>
      <c r="E965" s="47" t="s">
        <v>112</v>
      </c>
      <c r="F965" s="47" t="s">
        <v>8781</v>
      </c>
      <c r="G965" s="363">
        <v>46135</v>
      </c>
      <c r="H965" s="47" t="s">
        <v>8782</v>
      </c>
      <c r="I965" s="47" t="s">
        <v>8783</v>
      </c>
      <c r="J965" s="47" t="s">
        <v>112</v>
      </c>
    </row>
    <row r="966" spans="2:10" ht="14.5">
      <c r="B966" s="47" t="s">
        <v>765</v>
      </c>
      <c r="C966" s="47" t="s">
        <v>64</v>
      </c>
      <c r="D966" s="47" t="s">
        <v>9893</v>
      </c>
      <c r="E966" s="47" t="s">
        <v>762</v>
      </c>
      <c r="F966" s="47" t="s">
        <v>8781</v>
      </c>
      <c r="G966" s="363">
        <v>46129</v>
      </c>
      <c r="H966" s="47" t="s">
        <v>8782</v>
      </c>
      <c r="I966" s="47" t="s">
        <v>8783</v>
      </c>
      <c r="J966" s="47" t="s">
        <v>762</v>
      </c>
    </row>
    <row r="967" spans="2:10" ht="14.5">
      <c r="B967" s="47" t="s">
        <v>1010</v>
      </c>
      <c r="C967" s="47" t="s">
        <v>64</v>
      </c>
      <c r="D967" s="47" t="s">
        <v>9894</v>
      </c>
      <c r="E967" s="47" t="s">
        <v>985</v>
      </c>
      <c r="F967" s="47" t="s">
        <v>8781</v>
      </c>
      <c r="G967" s="363">
        <v>46150</v>
      </c>
      <c r="H967" s="47" t="s">
        <v>8782</v>
      </c>
      <c r="I967" s="47" t="s">
        <v>8783</v>
      </c>
      <c r="J967" s="47" t="s">
        <v>985</v>
      </c>
    </row>
    <row r="968" spans="2:10" ht="14.5">
      <c r="B968" s="47" t="s">
        <v>770</v>
      </c>
      <c r="C968" s="47" t="s">
        <v>64</v>
      </c>
      <c r="D968" s="47" t="s">
        <v>9895</v>
      </c>
      <c r="E968" s="47" t="s">
        <v>768</v>
      </c>
      <c r="F968" s="47" t="s">
        <v>8781</v>
      </c>
      <c r="G968" s="363">
        <v>46150</v>
      </c>
      <c r="H968" s="47" t="s">
        <v>8782</v>
      </c>
      <c r="I968" s="47" t="s">
        <v>8783</v>
      </c>
      <c r="J968" s="47" t="s">
        <v>768</v>
      </c>
    </row>
    <row r="969" spans="2:10" ht="14.5">
      <c r="B969" s="47" t="s">
        <v>1012</v>
      </c>
      <c r="C969" s="47" t="s">
        <v>64</v>
      </c>
      <c r="D969" s="47" t="s">
        <v>9896</v>
      </c>
      <c r="E969" s="47" t="s">
        <v>1011</v>
      </c>
      <c r="F969" s="47" t="s">
        <v>8781</v>
      </c>
      <c r="G969" s="363">
        <v>46148</v>
      </c>
      <c r="H969" s="47" t="s">
        <v>8782</v>
      </c>
      <c r="I969" s="47" t="s">
        <v>8783</v>
      </c>
      <c r="J969" s="47" t="s">
        <v>1011</v>
      </c>
    </row>
    <row r="970" spans="2:10" ht="14.5">
      <c r="B970" s="47" t="s">
        <v>776</v>
      </c>
      <c r="C970" s="47" t="s">
        <v>64</v>
      </c>
      <c r="D970" s="47" t="s">
        <v>9897</v>
      </c>
      <c r="E970" s="47" t="s">
        <v>775</v>
      </c>
      <c r="F970" s="47" t="s">
        <v>8781</v>
      </c>
      <c r="G970" s="363">
        <v>46160</v>
      </c>
      <c r="H970" s="47" t="s">
        <v>8782</v>
      </c>
      <c r="I970" s="47" t="s">
        <v>8783</v>
      </c>
      <c r="J970" s="47" t="s">
        <v>775</v>
      </c>
    </row>
    <row r="971" spans="2:10" ht="14.5">
      <c r="B971" s="47" t="s">
        <v>781</v>
      </c>
      <c r="C971" s="47" t="s">
        <v>64</v>
      </c>
      <c r="D971" s="47" t="s">
        <v>9898</v>
      </c>
      <c r="E971" s="47" t="s">
        <v>779</v>
      </c>
      <c r="F971" s="47" t="s">
        <v>8781</v>
      </c>
      <c r="G971" s="363">
        <v>46160</v>
      </c>
      <c r="H971" s="47" t="s">
        <v>8782</v>
      </c>
      <c r="I971" s="47" t="s">
        <v>8783</v>
      </c>
      <c r="J971" s="47" t="s">
        <v>779</v>
      </c>
    </row>
    <row r="972" spans="2:10" ht="14.5">
      <c r="B972" s="47" t="s">
        <v>783</v>
      </c>
      <c r="C972" s="47" t="s">
        <v>64</v>
      </c>
      <c r="D972" s="47" t="s">
        <v>9899</v>
      </c>
      <c r="E972" s="47" t="s">
        <v>782</v>
      </c>
      <c r="F972" s="47" t="s">
        <v>8781</v>
      </c>
      <c r="G972" s="363">
        <v>46160</v>
      </c>
      <c r="H972" s="47" t="s">
        <v>8782</v>
      </c>
      <c r="I972" s="47" t="s">
        <v>8783</v>
      </c>
      <c r="J972" s="47" t="s">
        <v>782</v>
      </c>
    </row>
    <row r="973" spans="2:10" ht="14.5">
      <c r="B973" s="47" t="s">
        <v>785</v>
      </c>
      <c r="C973" s="47" t="s">
        <v>64</v>
      </c>
      <c r="D973" s="47" t="s">
        <v>9900</v>
      </c>
      <c r="E973" s="47" t="s">
        <v>784</v>
      </c>
      <c r="F973" s="47" t="s">
        <v>8781</v>
      </c>
      <c r="G973" s="363">
        <v>46160</v>
      </c>
      <c r="H973" s="47" t="s">
        <v>8782</v>
      </c>
      <c r="I973" s="47" t="s">
        <v>8783</v>
      </c>
      <c r="J973" s="47" t="s">
        <v>784</v>
      </c>
    </row>
    <row r="974" spans="2:10" ht="14.5">
      <c r="B974" s="47" t="s">
        <v>787</v>
      </c>
      <c r="C974" s="47" t="s">
        <v>64</v>
      </c>
      <c r="D974" s="47" t="s">
        <v>9901</v>
      </c>
      <c r="E974" s="47" t="s">
        <v>786</v>
      </c>
      <c r="F974" s="47" t="s">
        <v>8781</v>
      </c>
      <c r="G974" s="363">
        <v>46160</v>
      </c>
      <c r="H974" s="47" t="s">
        <v>8782</v>
      </c>
      <c r="I974" s="47" t="s">
        <v>8783</v>
      </c>
      <c r="J974" s="47" t="s">
        <v>786</v>
      </c>
    </row>
    <row r="975" spans="2:10" ht="14.5">
      <c r="B975" s="47" t="s">
        <v>792</v>
      </c>
      <c r="C975" s="47" t="s">
        <v>64</v>
      </c>
      <c r="D975" s="47" t="s">
        <v>9902</v>
      </c>
      <c r="E975" s="47" t="s">
        <v>790</v>
      </c>
      <c r="F975" s="47" t="s">
        <v>8781</v>
      </c>
      <c r="G975" s="363">
        <v>46150</v>
      </c>
      <c r="H975" s="47" t="s">
        <v>8782</v>
      </c>
      <c r="I975" s="47" t="s">
        <v>8783</v>
      </c>
      <c r="J975" s="47" t="s">
        <v>790</v>
      </c>
    </row>
    <row r="976" spans="2:10" ht="14.5">
      <c r="B976" s="47" t="s">
        <v>797</v>
      </c>
      <c r="C976" s="47" t="s">
        <v>64</v>
      </c>
      <c r="D976" s="47" t="s">
        <v>9903</v>
      </c>
      <c r="E976" s="47" t="s">
        <v>795</v>
      </c>
      <c r="F976" s="47" t="s">
        <v>8781</v>
      </c>
      <c r="G976" s="363">
        <v>46150</v>
      </c>
      <c r="H976" s="47" t="s">
        <v>8782</v>
      </c>
      <c r="I976" s="47" t="s">
        <v>8783</v>
      </c>
      <c r="J976" s="47" t="s">
        <v>795</v>
      </c>
    </row>
    <row r="977" spans="2:10" ht="14.5">
      <c r="B977" s="47" t="s">
        <v>818</v>
      </c>
      <c r="C977" s="47" t="s">
        <v>64</v>
      </c>
      <c r="D977" s="47" t="s">
        <v>9904</v>
      </c>
      <c r="E977" s="47" t="s">
        <v>817</v>
      </c>
      <c r="F977" s="47" t="s">
        <v>8781</v>
      </c>
      <c r="G977" s="363">
        <v>46147</v>
      </c>
      <c r="H977" s="47" t="s">
        <v>8782</v>
      </c>
      <c r="I977" s="47" t="s">
        <v>8783</v>
      </c>
      <c r="J977" s="47" t="s">
        <v>817</v>
      </c>
    </row>
    <row r="978" spans="2:10" ht="14.5">
      <c r="B978" s="47" t="s">
        <v>798</v>
      </c>
      <c r="C978" s="47" t="s">
        <v>64</v>
      </c>
      <c r="D978" s="47" t="s">
        <v>9905</v>
      </c>
      <c r="E978" s="47" t="s">
        <v>193</v>
      </c>
      <c r="F978" s="47" t="s">
        <v>8781</v>
      </c>
      <c r="G978" s="363">
        <v>46150</v>
      </c>
      <c r="H978" s="47" t="s">
        <v>8782</v>
      </c>
      <c r="I978" s="47" t="s">
        <v>8783</v>
      </c>
      <c r="J978" s="47" t="s">
        <v>193</v>
      </c>
    </row>
    <row r="979" spans="2:10" ht="14.5">
      <c r="B979" s="47" t="s">
        <v>1014</v>
      </c>
      <c r="C979" s="47" t="s">
        <v>64</v>
      </c>
      <c r="D979" s="47" t="s">
        <v>9906</v>
      </c>
      <c r="E979" s="47" t="s">
        <v>1013</v>
      </c>
      <c r="F979" s="47" t="s">
        <v>8781</v>
      </c>
      <c r="G979" s="363">
        <v>46150</v>
      </c>
      <c r="H979" s="47" t="s">
        <v>8782</v>
      </c>
      <c r="I979" s="47" t="s">
        <v>8783</v>
      </c>
      <c r="J979" s="47" t="s">
        <v>1013</v>
      </c>
    </row>
    <row r="980" spans="2:10" ht="14.5">
      <c r="B980" s="47" t="s">
        <v>802</v>
      </c>
      <c r="C980" s="47" t="s">
        <v>64</v>
      </c>
      <c r="D980" s="47" t="s">
        <v>9907</v>
      </c>
      <c r="E980" s="47" t="s">
        <v>799</v>
      </c>
      <c r="F980" s="47" t="s">
        <v>8781</v>
      </c>
      <c r="G980" s="363">
        <v>46150</v>
      </c>
      <c r="H980" s="47" t="s">
        <v>8782</v>
      </c>
      <c r="I980" s="47" t="s">
        <v>8783</v>
      </c>
      <c r="J980" s="47" t="s">
        <v>799</v>
      </c>
    </row>
    <row r="981" spans="2:10" ht="14.5">
      <c r="B981" s="47" t="s">
        <v>1017</v>
      </c>
      <c r="C981" s="47" t="s">
        <v>64</v>
      </c>
      <c r="D981" s="47" t="s">
        <v>9908</v>
      </c>
      <c r="E981" s="47" t="s">
        <v>1015</v>
      </c>
      <c r="F981" s="47" t="s">
        <v>8781</v>
      </c>
      <c r="G981" s="363">
        <v>46150</v>
      </c>
      <c r="H981" s="47" t="s">
        <v>8782</v>
      </c>
      <c r="I981" s="47" t="s">
        <v>8783</v>
      </c>
      <c r="J981" s="47" t="s">
        <v>1015</v>
      </c>
    </row>
    <row r="982" spans="2:10" ht="14.5">
      <c r="B982" s="47" t="s">
        <v>806</v>
      </c>
      <c r="C982" s="47" t="s">
        <v>64</v>
      </c>
      <c r="D982" s="47" t="s">
        <v>9909</v>
      </c>
      <c r="E982" s="47" t="s">
        <v>805</v>
      </c>
      <c r="F982" s="47" t="s">
        <v>8781</v>
      </c>
      <c r="G982" s="363">
        <v>46150</v>
      </c>
      <c r="H982" s="47" t="s">
        <v>8782</v>
      </c>
      <c r="I982" s="47" t="s">
        <v>8783</v>
      </c>
      <c r="J982" s="47" t="s">
        <v>805</v>
      </c>
    </row>
    <row r="983" spans="2:10" ht="14.5">
      <c r="B983" s="47" t="s">
        <v>1022</v>
      </c>
      <c r="C983" s="47" t="s">
        <v>64</v>
      </c>
      <c r="D983" s="47" t="s">
        <v>9910</v>
      </c>
      <c r="E983" s="47" t="s">
        <v>1020</v>
      </c>
      <c r="F983" s="47" t="s">
        <v>8781</v>
      </c>
      <c r="G983" s="363">
        <v>46150</v>
      </c>
      <c r="H983" s="47" t="s">
        <v>8782</v>
      </c>
      <c r="I983" s="47" t="s">
        <v>8783</v>
      </c>
      <c r="J983" s="47" t="s">
        <v>1020</v>
      </c>
    </row>
    <row r="984" spans="2:10" ht="14.5">
      <c r="B984" s="47" t="s">
        <v>1025</v>
      </c>
      <c r="C984" s="47" t="s">
        <v>64</v>
      </c>
      <c r="D984" s="47" t="s">
        <v>9911</v>
      </c>
      <c r="E984" s="47" t="s">
        <v>1023</v>
      </c>
      <c r="F984" s="47" t="s">
        <v>8781</v>
      </c>
      <c r="G984" s="363">
        <v>46150</v>
      </c>
      <c r="H984" s="47" t="s">
        <v>8782</v>
      </c>
      <c r="I984" s="47" t="s">
        <v>8783</v>
      </c>
      <c r="J984" s="47" t="s">
        <v>1023</v>
      </c>
    </row>
    <row r="985" spans="2:10" ht="14.5">
      <c r="B985" s="47" t="s">
        <v>1027</v>
      </c>
      <c r="C985" s="47" t="s">
        <v>64</v>
      </c>
      <c r="D985" s="47" t="s">
        <v>9912</v>
      </c>
      <c r="E985" s="47" t="s">
        <v>1026</v>
      </c>
      <c r="F985" s="47" t="s">
        <v>8781</v>
      </c>
      <c r="G985" s="363">
        <v>46150</v>
      </c>
      <c r="H985" s="47" t="s">
        <v>8782</v>
      </c>
      <c r="I985" s="47" t="s">
        <v>8783</v>
      </c>
      <c r="J985" s="47" t="s">
        <v>1026</v>
      </c>
    </row>
    <row r="986" spans="2:10" ht="14.5">
      <c r="B986" s="47" t="s">
        <v>808</v>
      </c>
      <c r="C986" s="47" t="s">
        <v>64</v>
      </c>
      <c r="D986" s="47" t="s">
        <v>9913</v>
      </c>
      <c r="E986" s="47" t="s">
        <v>801</v>
      </c>
      <c r="F986" s="47" t="s">
        <v>8781</v>
      </c>
      <c r="G986" s="363">
        <v>46150</v>
      </c>
      <c r="H986" s="47" t="s">
        <v>8782</v>
      </c>
      <c r="I986" s="47" t="s">
        <v>8783</v>
      </c>
      <c r="J986" s="47" t="s">
        <v>801</v>
      </c>
    </row>
    <row r="987" spans="2:10" ht="14.5">
      <c r="B987" s="47" t="s">
        <v>813</v>
      </c>
      <c r="C987" s="47" t="s">
        <v>64</v>
      </c>
      <c r="D987" s="47" t="s">
        <v>9914</v>
      </c>
      <c r="E987" s="47" t="s">
        <v>811</v>
      </c>
      <c r="F987" s="47" t="s">
        <v>8781</v>
      </c>
      <c r="G987" s="363">
        <v>46153</v>
      </c>
      <c r="H987" s="47" t="s">
        <v>8782</v>
      </c>
      <c r="I987" s="47" t="s">
        <v>8783</v>
      </c>
      <c r="J987" s="47" t="s">
        <v>811</v>
      </c>
    </row>
    <row r="988" spans="2:10" ht="14.5">
      <c r="B988" s="47" t="s">
        <v>246</v>
      </c>
      <c r="C988" s="47" t="s">
        <v>64</v>
      </c>
      <c r="D988" s="47" t="s">
        <v>9915</v>
      </c>
      <c r="E988" s="47" t="s">
        <v>245</v>
      </c>
      <c r="F988" s="47" t="s">
        <v>8781</v>
      </c>
      <c r="G988" s="363">
        <v>46100</v>
      </c>
      <c r="H988" s="47" t="s">
        <v>8782</v>
      </c>
      <c r="I988" s="47" t="s">
        <v>8783</v>
      </c>
      <c r="J988" s="47" t="s">
        <v>245</v>
      </c>
    </row>
    <row r="989" spans="2:10" ht="14.5">
      <c r="B989" s="47" t="s">
        <v>267</v>
      </c>
      <c r="C989" s="47" t="s">
        <v>64</v>
      </c>
      <c r="D989" s="47" t="s">
        <v>9916</v>
      </c>
      <c r="E989" s="47" t="s">
        <v>265</v>
      </c>
      <c r="F989" s="47" t="s">
        <v>8781</v>
      </c>
      <c r="G989" s="363">
        <v>46095</v>
      </c>
      <c r="H989" s="47" t="s">
        <v>8782</v>
      </c>
      <c r="I989" s="47" t="s">
        <v>8783</v>
      </c>
      <c r="J989" s="47" t="s">
        <v>265</v>
      </c>
    </row>
    <row r="990" spans="2:10" ht="14.5">
      <c r="B990" s="47" t="s">
        <v>521</v>
      </c>
      <c r="C990" s="47" t="s">
        <v>64</v>
      </c>
      <c r="D990" s="47" t="s">
        <v>9917</v>
      </c>
      <c r="E990" s="47" t="s">
        <v>520</v>
      </c>
      <c r="F990" s="47" t="s">
        <v>8781</v>
      </c>
      <c r="G990" s="363">
        <v>46107</v>
      </c>
      <c r="H990" s="47" t="s">
        <v>8782</v>
      </c>
      <c r="I990" s="47" t="s">
        <v>8783</v>
      </c>
      <c r="J990" s="47" t="s">
        <v>520</v>
      </c>
    </row>
    <row r="991" spans="2:10" ht="14.5">
      <c r="B991" s="47" t="s">
        <v>517</v>
      </c>
      <c r="C991" s="47" t="s">
        <v>64</v>
      </c>
      <c r="D991" s="47" t="s">
        <v>9918</v>
      </c>
      <c r="E991" s="47" t="s">
        <v>514</v>
      </c>
      <c r="F991" s="47" t="s">
        <v>8781</v>
      </c>
      <c r="G991" s="363">
        <v>46120</v>
      </c>
      <c r="H991" s="47" t="s">
        <v>8782</v>
      </c>
      <c r="I991" s="47" t="s">
        <v>8783</v>
      </c>
      <c r="J991" s="47" t="s">
        <v>514</v>
      </c>
    </row>
    <row r="992" spans="2:10" ht="14.5">
      <c r="B992" s="47" t="s">
        <v>717</v>
      </c>
      <c r="C992" s="47" t="s">
        <v>64</v>
      </c>
      <c r="D992" s="47" t="s">
        <v>9919</v>
      </c>
      <c r="E992" s="47" t="s">
        <v>711</v>
      </c>
      <c r="F992" s="47" t="s">
        <v>8781</v>
      </c>
      <c r="G992" s="363">
        <v>46150</v>
      </c>
      <c r="H992" s="47" t="s">
        <v>8782</v>
      </c>
      <c r="I992" s="47" t="s">
        <v>8783</v>
      </c>
      <c r="J992" s="47" t="s">
        <v>711</v>
      </c>
    </row>
    <row r="993" spans="2:10" ht="14.5">
      <c r="B993" s="47" t="s">
        <v>708</v>
      </c>
      <c r="C993" s="47" t="s">
        <v>64</v>
      </c>
      <c r="D993" s="47" t="s">
        <v>9920</v>
      </c>
      <c r="E993" s="47" t="s">
        <v>704</v>
      </c>
      <c r="F993" s="47" t="s">
        <v>8781</v>
      </c>
      <c r="G993" s="363">
        <v>46139</v>
      </c>
      <c r="H993" s="47" t="s">
        <v>8782</v>
      </c>
      <c r="I993" s="47" t="s">
        <v>8783</v>
      </c>
      <c r="J993" s="47" t="s">
        <v>704</v>
      </c>
    </row>
    <row r="994" spans="2:10" ht="14.5">
      <c r="B994" s="47" t="s">
        <v>721</v>
      </c>
      <c r="C994" s="47" t="s">
        <v>64</v>
      </c>
      <c r="D994" s="47" t="s">
        <v>9921</v>
      </c>
      <c r="E994" s="47" t="s">
        <v>720</v>
      </c>
      <c r="F994" s="47" t="s">
        <v>8781</v>
      </c>
      <c r="G994" s="363">
        <v>46150</v>
      </c>
      <c r="H994" s="47" t="s">
        <v>8782</v>
      </c>
      <c r="I994" s="47" t="s">
        <v>8783</v>
      </c>
      <c r="J994" s="47" t="s">
        <v>720</v>
      </c>
    </row>
    <row r="995" spans="2:10" ht="14.5">
      <c r="B995" s="47" t="s">
        <v>722</v>
      </c>
      <c r="C995" s="47" t="s">
        <v>64</v>
      </c>
      <c r="D995" s="47" t="s">
        <v>9922</v>
      </c>
      <c r="E995" s="47" t="s">
        <v>88</v>
      </c>
      <c r="F995" s="47" t="s">
        <v>8781</v>
      </c>
      <c r="G995" s="363">
        <v>46150</v>
      </c>
      <c r="H995" s="47" t="s">
        <v>8782</v>
      </c>
      <c r="I995" s="47" t="s">
        <v>8783</v>
      </c>
      <c r="J995" s="47" t="s">
        <v>88</v>
      </c>
    </row>
    <row r="996" spans="2:10" ht="14.5">
      <c r="B996" s="47" t="s">
        <v>981</v>
      </c>
      <c r="C996" s="47" t="s">
        <v>64</v>
      </c>
      <c r="D996" s="47" t="s">
        <v>9923</v>
      </c>
      <c r="E996" s="47" t="s">
        <v>978</v>
      </c>
      <c r="F996" s="47" t="s">
        <v>8781</v>
      </c>
      <c r="G996" s="363">
        <v>46129</v>
      </c>
      <c r="H996" s="47" t="s">
        <v>8782</v>
      </c>
      <c r="I996" s="47" t="s">
        <v>8783</v>
      </c>
      <c r="J996" s="47" t="s">
        <v>978</v>
      </c>
    </row>
    <row r="997" spans="2:10" ht="14.5">
      <c r="B997" s="47" t="s">
        <v>975</v>
      </c>
      <c r="C997" s="47" t="s">
        <v>64</v>
      </c>
      <c r="D997" s="47" t="s">
        <v>9924</v>
      </c>
      <c r="E997" s="47" t="s">
        <v>974</v>
      </c>
      <c r="F997" s="47" t="s">
        <v>8781</v>
      </c>
      <c r="G997" s="363">
        <v>46125</v>
      </c>
      <c r="H997" s="47" t="s">
        <v>8782</v>
      </c>
      <c r="I997" s="47" t="s">
        <v>8783</v>
      </c>
      <c r="J997" s="47" t="s">
        <v>974</v>
      </c>
    </row>
    <row r="998" spans="2:10" ht="14.5">
      <c r="B998" s="47" t="s">
        <v>636</v>
      </c>
      <c r="C998" s="47" t="s">
        <v>64</v>
      </c>
      <c r="D998" s="47" t="s">
        <v>9925</v>
      </c>
      <c r="E998" s="47" t="s">
        <v>635</v>
      </c>
      <c r="F998" s="47" t="s">
        <v>8781</v>
      </c>
      <c r="G998" s="363">
        <v>46121</v>
      </c>
      <c r="H998" s="47" t="s">
        <v>8782</v>
      </c>
      <c r="I998" s="47" t="s">
        <v>8783</v>
      </c>
      <c r="J998" s="47" t="s">
        <v>635</v>
      </c>
    </row>
    <row r="999" spans="2:10" ht="14.5">
      <c r="B999" s="47" t="s">
        <v>631</v>
      </c>
      <c r="C999" s="47" t="s">
        <v>64</v>
      </c>
      <c r="D999" s="47" t="s">
        <v>9926</v>
      </c>
      <c r="E999" s="47" t="s">
        <v>630</v>
      </c>
      <c r="F999" s="47" t="s">
        <v>8781</v>
      </c>
      <c r="G999" s="363">
        <v>46121</v>
      </c>
      <c r="H999" s="47" t="s">
        <v>8782</v>
      </c>
      <c r="I999" s="47" t="s">
        <v>8783</v>
      </c>
      <c r="J999" s="47" t="s">
        <v>630</v>
      </c>
    </row>
    <row r="1000" spans="2:10" ht="14.5">
      <c r="B1000" s="47" t="s">
        <v>987</v>
      </c>
      <c r="C1000" s="47" t="s">
        <v>64</v>
      </c>
      <c r="D1000" s="47" t="s">
        <v>9927</v>
      </c>
      <c r="E1000" s="47" t="s">
        <v>984</v>
      </c>
      <c r="F1000" s="47" t="s">
        <v>8781</v>
      </c>
      <c r="G1000" s="363">
        <v>46129</v>
      </c>
      <c r="H1000" s="47" t="s">
        <v>8782</v>
      </c>
      <c r="I1000" s="47" t="s">
        <v>8783</v>
      </c>
      <c r="J1000" s="47" t="s">
        <v>984</v>
      </c>
    </row>
    <row r="1001" spans="2:10" ht="14.5">
      <c r="B1001" s="47" t="s">
        <v>639</v>
      </c>
      <c r="C1001" s="47" t="s">
        <v>64</v>
      </c>
      <c r="D1001" s="47" t="s">
        <v>9928</v>
      </c>
      <c r="E1001" s="47" t="s">
        <v>637</v>
      </c>
      <c r="F1001" s="47" t="s">
        <v>8781</v>
      </c>
      <c r="G1001" s="363">
        <v>46121</v>
      </c>
      <c r="H1001" s="47" t="s">
        <v>8782</v>
      </c>
      <c r="I1001" s="47" t="s">
        <v>8783</v>
      </c>
      <c r="J1001" s="47" t="s">
        <v>637</v>
      </c>
    </row>
    <row r="1002" spans="2:10" ht="14.5">
      <c r="B1002" s="47" t="s">
        <v>579</v>
      </c>
      <c r="C1002" s="47" t="s">
        <v>64</v>
      </c>
      <c r="D1002" s="47" t="s">
        <v>9929</v>
      </c>
      <c r="E1002" s="47" t="s">
        <v>576</v>
      </c>
      <c r="F1002" s="47" t="s">
        <v>8781</v>
      </c>
      <c r="G1002" s="363">
        <v>46129</v>
      </c>
      <c r="H1002" s="47" t="s">
        <v>8782</v>
      </c>
      <c r="I1002" s="47" t="s">
        <v>8783</v>
      </c>
      <c r="J1002" s="47" t="s">
        <v>576</v>
      </c>
    </row>
    <row r="1003" spans="2:10" ht="14.5">
      <c r="B1003" s="47" t="s">
        <v>627</v>
      </c>
      <c r="C1003" s="47" t="s">
        <v>64</v>
      </c>
      <c r="D1003" s="47" t="s">
        <v>9930</v>
      </c>
      <c r="E1003" s="47" t="s">
        <v>626</v>
      </c>
      <c r="F1003" s="47" t="s">
        <v>8781</v>
      </c>
      <c r="G1003" s="363">
        <v>46120</v>
      </c>
      <c r="H1003" s="47" t="s">
        <v>8782</v>
      </c>
      <c r="I1003" s="47" t="s">
        <v>8783</v>
      </c>
      <c r="J1003" s="47" t="s">
        <v>626</v>
      </c>
    </row>
    <row r="1004" spans="2:10" ht="14.5">
      <c r="B1004" s="47" t="s">
        <v>641</v>
      </c>
      <c r="C1004" s="47" t="s">
        <v>64</v>
      </c>
      <c r="D1004" s="47" t="s">
        <v>9931</v>
      </c>
      <c r="E1004" s="47" t="s">
        <v>640</v>
      </c>
      <c r="F1004" s="47" t="s">
        <v>8781</v>
      </c>
      <c r="G1004" s="363">
        <v>46115</v>
      </c>
      <c r="H1004" s="47" t="s">
        <v>8782</v>
      </c>
      <c r="I1004" s="47" t="s">
        <v>8783</v>
      </c>
      <c r="J1004" s="47" t="s">
        <v>640</v>
      </c>
    </row>
    <row r="1005" spans="2:10" ht="14.5">
      <c r="B1005" s="47" t="s">
        <v>647</v>
      </c>
      <c r="C1005" s="47" t="s">
        <v>64</v>
      </c>
      <c r="D1005" s="47" t="s">
        <v>9932</v>
      </c>
      <c r="E1005" s="47" t="s">
        <v>645</v>
      </c>
      <c r="F1005" s="47" t="s">
        <v>8781</v>
      </c>
      <c r="G1005" s="363">
        <v>46111</v>
      </c>
      <c r="H1005" s="47" t="s">
        <v>8782</v>
      </c>
      <c r="I1005" s="47" t="s">
        <v>8783</v>
      </c>
      <c r="J1005" s="47" t="s">
        <v>645</v>
      </c>
    </row>
    <row r="1006" spans="2:10" ht="14.5">
      <c r="B1006" s="47" t="s">
        <v>700</v>
      </c>
      <c r="C1006" s="47" t="s">
        <v>64</v>
      </c>
      <c r="D1006" s="47" t="s">
        <v>9933</v>
      </c>
      <c r="E1006" s="47" t="s">
        <v>699</v>
      </c>
      <c r="F1006" s="47" t="s">
        <v>8781</v>
      </c>
      <c r="G1006" s="363">
        <v>46129</v>
      </c>
      <c r="H1006" s="47" t="s">
        <v>8782</v>
      </c>
      <c r="I1006" s="47" t="s">
        <v>8783</v>
      </c>
      <c r="J1006" s="47" t="s">
        <v>699</v>
      </c>
    </row>
    <row r="1007" spans="2:10" ht="14.5">
      <c r="B1007" s="47" t="s">
        <v>478</v>
      </c>
      <c r="C1007" s="47" t="s">
        <v>64</v>
      </c>
      <c r="D1007" s="47" t="s">
        <v>9934</v>
      </c>
      <c r="E1007" s="47" t="s">
        <v>477</v>
      </c>
      <c r="F1007" s="47" t="s">
        <v>8781</v>
      </c>
      <c r="G1007" s="363">
        <v>46120</v>
      </c>
      <c r="H1007" s="47" t="s">
        <v>8782</v>
      </c>
      <c r="I1007" s="47" t="s">
        <v>8783</v>
      </c>
      <c r="J1007" s="47" t="s">
        <v>477</v>
      </c>
    </row>
    <row r="1008" spans="2:10" ht="14.5">
      <c r="B1008" s="47" t="s">
        <v>465</v>
      </c>
      <c r="C1008" s="47" t="s">
        <v>64</v>
      </c>
      <c r="D1008" s="47" t="s">
        <v>9935</v>
      </c>
      <c r="E1008" s="47" t="s">
        <v>460</v>
      </c>
      <c r="F1008" s="47" t="s">
        <v>8781</v>
      </c>
      <c r="G1008" s="363">
        <v>46115</v>
      </c>
      <c r="H1008" s="47" t="s">
        <v>8782</v>
      </c>
      <c r="I1008" s="47" t="s">
        <v>8783</v>
      </c>
      <c r="J1008" s="47" t="s">
        <v>460</v>
      </c>
    </row>
    <row r="1009" spans="2:10" ht="14.5">
      <c r="B1009" s="47" t="s">
        <v>470</v>
      </c>
      <c r="C1009" s="47" t="s">
        <v>64</v>
      </c>
      <c r="D1009" s="47" t="s">
        <v>9936</v>
      </c>
      <c r="E1009" s="47" t="s">
        <v>469</v>
      </c>
      <c r="F1009" s="47" t="s">
        <v>8781</v>
      </c>
      <c r="G1009" s="363">
        <v>46115</v>
      </c>
      <c r="H1009" s="47" t="s">
        <v>8782</v>
      </c>
      <c r="I1009" s="47" t="s">
        <v>8783</v>
      </c>
      <c r="J1009" s="47" t="s">
        <v>469</v>
      </c>
    </row>
    <row r="1010" spans="2:10" ht="14.5">
      <c r="B1010" s="47" t="s">
        <v>622</v>
      </c>
      <c r="C1010" s="47" t="s">
        <v>64</v>
      </c>
      <c r="D1010" s="47" t="s">
        <v>9937</v>
      </c>
      <c r="E1010" s="47" t="s">
        <v>621</v>
      </c>
      <c r="F1010" s="47" t="s">
        <v>8781</v>
      </c>
      <c r="G1010" s="363">
        <v>46120</v>
      </c>
      <c r="H1010" s="47" t="s">
        <v>8782</v>
      </c>
      <c r="I1010" s="47" t="s">
        <v>8783</v>
      </c>
      <c r="J1010" s="47" t="s">
        <v>621</v>
      </c>
    </row>
    <row r="1011" spans="2:10" ht="14.5">
      <c r="B1011" s="47" t="s">
        <v>476</v>
      </c>
      <c r="C1011" s="47" t="s">
        <v>64</v>
      </c>
      <c r="D1011" s="47" t="s">
        <v>9938</v>
      </c>
      <c r="E1011" s="47" t="s">
        <v>471</v>
      </c>
      <c r="F1011" s="47" t="s">
        <v>8781</v>
      </c>
      <c r="G1011" s="363">
        <v>46115</v>
      </c>
      <c r="H1011" s="47" t="s">
        <v>8782</v>
      </c>
      <c r="I1011" s="47" t="s">
        <v>8783</v>
      </c>
      <c r="J1011" s="47" t="s">
        <v>471</v>
      </c>
    </row>
    <row r="1012" spans="2:10" ht="14.5">
      <c r="B1012" s="47" t="s">
        <v>652</v>
      </c>
      <c r="C1012" s="47" t="s">
        <v>64</v>
      </c>
      <c r="D1012" s="47" t="s">
        <v>9939</v>
      </c>
      <c r="E1012" s="47" t="s">
        <v>651</v>
      </c>
      <c r="F1012" s="47" t="s">
        <v>8781</v>
      </c>
      <c r="G1012" s="363">
        <v>46115</v>
      </c>
      <c r="H1012" s="47" t="s">
        <v>8782</v>
      </c>
      <c r="I1012" s="47" t="s">
        <v>8783</v>
      </c>
      <c r="J1012" s="47" t="s">
        <v>651</v>
      </c>
    </row>
    <row r="1013" spans="2:10" ht="14.5">
      <c r="B1013" s="47" t="s">
        <v>693</v>
      </c>
      <c r="C1013" s="47" t="s">
        <v>64</v>
      </c>
      <c r="D1013" s="47" t="s">
        <v>9940</v>
      </c>
      <c r="E1013" s="47" t="s">
        <v>687</v>
      </c>
      <c r="F1013" s="47" t="s">
        <v>8781</v>
      </c>
      <c r="G1013" s="363">
        <v>46146</v>
      </c>
      <c r="H1013" s="47" t="s">
        <v>8782</v>
      </c>
      <c r="I1013" s="47" t="s">
        <v>8783</v>
      </c>
      <c r="J1013" s="47" t="s">
        <v>687</v>
      </c>
    </row>
    <row r="1014" spans="2:10" ht="14.5">
      <c r="B1014" s="47" t="s">
        <v>698</v>
      </c>
      <c r="C1014" s="47" t="s">
        <v>64</v>
      </c>
      <c r="D1014" s="47" t="s">
        <v>9941</v>
      </c>
      <c r="E1014" s="47" t="s">
        <v>697</v>
      </c>
      <c r="F1014" s="47" t="s">
        <v>8781</v>
      </c>
      <c r="G1014" s="363">
        <v>46146</v>
      </c>
      <c r="H1014" s="47" t="s">
        <v>8782</v>
      </c>
      <c r="I1014" s="47" t="s">
        <v>8783</v>
      </c>
      <c r="J1014" s="47" t="s">
        <v>697</v>
      </c>
    </row>
    <row r="1015" spans="2:10" ht="14.5">
      <c r="B1015" s="47" t="s">
        <v>610</v>
      </c>
      <c r="C1015" s="47" t="s">
        <v>64</v>
      </c>
      <c r="D1015" s="47" t="s">
        <v>9942</v>
      </c>
      <c r="E1015" s="47" t="s">
        <v>609</v>
      </c>
      <c r="F1015" s="47" t="s">
        <v>8781</v>
      </c>
      <c r="G1015" s="363">
        <v>46104</v>
      </c>
      <c r="H1015" s="47" t="s">
        <v>8782</v>
      </c>
      <c r="I1015" s="47" t="s">
        <v>8783</v>
      </c>
      <c r="J1015" s="47" t="s">
        <v>609</v>
      </c>
    </row>
    <row r="1016" spans="2:10" ht="14.5">
      <c r="B1016" s="47" t="s">
        <v>604</v>
      </c>
      <c r="C1016" s="47" t="s">
        <v>64</v>
      </c>
      <c r="D1016" s="47" t="s">
        <v>9943</v>
      </c>
      <c r="E1016" s="47" t="s">
        <v>600</v>
      </c>
      <c r="F1016" s="47" t="s">
        <v>8781</v>
      </c>
      <c r="G1016" s="363">
        <v>46114</v>
      </c>
      <c r="H1016" s="47" t="s">
        <v>8782</v>
      </c>
      <c r="I1016" s="47" t="s">
        <v>8783</v>
      </c>
      <c r="J1016" s="47" t="s">
        <v>600</v>
      </c>
    </row>
    <row r="1017" spans="2:10" ht="14.5">
      <c r="B1017" s="47" t="s">
        <v>666</v>
      </c>
      <c r="C1017" s="47" t="s">
        <v>64</v>
      </c>
      <c r="D1017" s="47" t="s">
        <v>9944</v>
      </c>
      <c r="E1017" s="47" t="s">
        <v>282</v>
      </c>
      <c r="F1017" s="47" t="s">
        <v>8781</v>
      </c>
      <c r="G1017" s="363">
        <v>46111</v>
      </c>
      <c r="H1017" s="47" t="s">
        <v>8782</v>
      </c>
      <c r="I1017" s="47" t="s">
        <v>8783</v>
      </c>
      <c r="J1017" s="47" t="s">
        <v>282</v>
      </c>
    </row>
    <row r="1018" spans="2:10" ht="14.5">
      <c r="B1018" s="47" t="s">
        <v>455</v>
      </c>
      <c r="C1018" s="47" t="s">
        <v>64</v>
      </c>
      <c r="D1018" s="47" t="s">
        <v>9945</v>
      </c>
      <c r="E1018" s="47" t="s">
        <v>448</v>
      </c>
      <c r="F1018" s="47" t="s">
        <v>8781</v>
      </c>
      <c r="G1018" s="363">
        <v>46120</v>
      </c>
      <c r="H1018" s="47" t="s">
        <v>8782</v>
      </c>
      <c r="I1018" s="47" t="s">
        <v>8783</v>
      </c>
      <c r="J1018" s="47" t="s">
        <v>448</v>
      </c>
    </row>
    <row r="1019" spans="2:10" ht="14.5">
      <c r="B1019" s="47" t="s">
        <v>412</v>
      </c>
      <c r="C1019" s="47" t="s">
        <v>64</v>
      </c>
      <c r="D1019" s="47" t="s">
        <v>9946</v>
      </c>
      <c r="E1019" s="47" t="s">
        <v>411</v>
      </c>
      <c r="F1019" s="47" t="s">
        <v>8781</v>
      </c>
      <c r="G1019" s="363">
        <v>46104</v>
      </c>
      <c r="H1019" s="47" t="s">
        <v>8782</v>
      </c>
      <c r="I1019" s="47" t="s">
        <v>8783</v>
      </c>
      <c r="J1019" s="47" t="s">
        <v>411</v>
      </c>
    </row>
    <row r="1020" spans="2:10" ht="14.5">
      <c r="B1020" s="47" t="s">
        <v>616</v>
      </c>
      <c r="C1020" s="47" t="s">
        <v>64</v>
      </c>
      <c r="D1020" s="47" t="s">
        <v>9947</v>
      </c>
      <c r="E1020" s="47" t="s">
        <v>615</v>
      </c>
      <c r="F1020" s="47" t="s">
        <v>8781</v>
      </c>
      <c r="G1020" s="363">
        <v>46105</v>
      </c>
      <c r="H1020" s="47" t="s">
        <v>8782</v>
      </c>
      <c r="I1020" s="47" t="s">
        <v>8783</v>
      </c>
      <c r="J1020" s="47" t="s">
        <v>615</v>
      </c>
    </row>
    <row r="1021" spans="2:10" ht="14.5">
      <c r="B1021" s="47" t="s">
        <v>416</v>
      </c>
      <c r="C1021" s="47" t="s">
        <v>64</v>
      </c>
      <c r="D1021" s="47" t="s">
        <v>9948</v>
      </c>
      <c r="E1021" s="47" t="s">
        <v>415</v>
      </c>
      <c r="F1021" s="47" t="s">
        <v>8781</v>
      </c>
      <c r="G1021" s="363">
        <v>46104</v>
      </c>
      <c r="H1021" s="47" t="s">
        <v>8782</v>
      </c>
      <c r="I1021" s="47" t="s">
        <v>8783</v>
      </c>
      <c r="J1021" s="47" t="s">
        <v>415</v>
      </c>
    </row>
    <row r="1022" spans="2:10" ht="14.5">
      <c r="B1022" s="47" t="s">
        <v>206</v>
      </c>
      <c r="C1022" s="47" t="s">
        <v>64</v>
      </c>
      <c r="D1022" s="47"/>
      <c r="E1022" s="47"/>
      <c r="F1022" s="47" t="s">
        <v>8781</v>
      </c>
      <c r="G1022" s="363">
        <v>46115</v>
      </c>
      <c r="H1022" s="47" t="s">
        <v>8782</v>
      </c>
      <c r="I1022" s="47" t="s">
        <v>8783</v>
      </c>
      <c r="J1022" s="47" t="s">
        <v>9949</v>
      </c>
    </row>
    <row r="1023" spans="2:10" ht="14.5">
      <c r="B1023" s="47" t="s">
        <v>444</v>
      </c>
      <c r="C1023" s="47" t="s">
        <v>64</v>
      </c>
      <c r="D1023" s="47" t="s">
        <v>9950</v>
      </c>
      <c r="E1023" s="47" t="s">
        <v>443</v>
      </c>
      <c r="F1023" s="47" t="s">
        <v>8781</v>
      </c>
      <c r="G1023" s="363">
        <v>46105</v>
      </c>
      <c r="H1023" s="47" t="s">
        <v>8782</v>
      </c>
      <c r="I1023" s="47" t="s">
        <v>8783</v>
      </c>
      <c r="J1023" s="47" t="s">
        <v>443</v>
      </c>
    </row>
    <row r="1024" spans="2:10" ht="14.5">
      <c r="B1024" s="47" t="s">
        <v>441</v>
      </c>
      <c r="C1024" s="47" t="s">
        <v>64</v>
      </c>
      <c r="D1024" s="47" t="s">
        <v>9951</v>
      </c>
      <c r="E1024" s="47" t="s">
        <v>440</v>
      </c>
      <c r="F1024" s="47" t="s">
        <v>8781</v>
      </c>
      <c r="G1024" s="363">
        <v>46105</v>
      </c>
      <c r="H1024" s="47" t="s">
        <v>8782</v>
      </c>
      <c r="I1024" s="47" t="s">
        <v>8783</v>
      </c>
      <c r="J1024" s="47" t="s">
        <v>440</v>
      </c>
    </row>
    <row r="1025" spans="2:10" ht="14.5">
      <c r="B1025" s="47" t="s">
        <v>436</v>
      </c>
      <c r="C1025" s="47" t="s">
        <v>64</v>
      </c>
      <c r="D1025" s="47" t="s">
        <v>9952</v>
      </c>
      <c r="E1025" s="47" t="s">
        <v>435</v>
      </c>
      <c r="F1025" s="47" t="s">
        <v>8781</v>
      </c>
      <c r="G1025" s="363">
        <v>46105</v>
      </c>
      <c r="H1025" s="47" t="s">
        <v>8782</v>
      </c>
      <c r="I1025" s="47" t="s">
        <v>8783</v>
      </c>
      <c r="J1025" s="47" t="s">
        <v>435</v>
      </c>
    </row>
    <row r="1026" spans="2:10" ht="14.5">
      <c r="B1026" s="47" t="s">
        <v>439</v>
      </c>
      <c r="C1026" s="47" t="s">
        <v>64</v>
      </c>
      <c r="D1026" s="47" t="s">
        <v>9953</v>
      </c>
      <c r="E1026" s="47" t="s">
        <v>437</v>
      </c>
      <c r="F1026" s="47" t="s">
        <v>8781</v>
      </c>
      <c r="G1026" s="363">
        <v>46105</v>
      </c>
      <c r="H1026" s="47" t="s">
        <v>8782</v>
      </c>
      <c r="I1026" s="47" t="s">
        <v>8783</v>
      </c>
      <c r="J1026" s="47" t="s">
        <v>437</v>
      </c>
    </row>
    <row r="1027" spans="2:10" ht="14.5">
      <c r="B1027" s="47" t="s">
        <v>431</v>
      </c>
      <c r="C1027" s="47" t="s">
        <v>64</v>
      </c>
      <c r="D1027" s="47" t="s">
        <v>9954</v>
      </c>
      <c r="E1027" s="47" t="s">
        <v>430</v>
      </c>
      <c r="F1027" s="47" t="s">
        <v>8781</v>
      </c>
      <c r="G1027" s="363">
        <v>46105</v>
      </c>
      <c r="H1027" s="47" t="s">
        <v>8782</v>
      </c>
      <c r="I1027" s="47" t="s">
        <v>8783</v>
      </c>
      <c r="J1027" s="47" t="s">
        <v>430</v>
      </c>
    </row>
    <row r="1028" spans="2:10" ht="14.5">
      <c r="B1028" s="47" t="s">
        <v>426</v>
      </c>
      <c r="C1028" s="47" t="s">
        <v>64</v>
      </c>
      <c r="D1028" s="47" t="s">
        <v>9955</v>
      </c>
      <c r="E1028" s="47" t="s">
        <v>425</v>
      </c>
      <c r="F1028" s="47" t="s">
        <v>8781</v>
      </c>
      <c r="G1028" s="363">
        <v>46118</v>
      </c>
      <c r="H1028" s="47" t="s">
        <v>8782</v>
      </c>
      <c r="I1028" s="47" t="s">
        <v>8783</v>
      </c>
      <c r="J1028" s="47" t="s">
        <v>425</v>
      </c>
    </row>
    <row r="1029" spans="2:10" ht="14.5">
      <c r="B1029" s="47" t="s">
        <v>445</v>
      </c>
      <c r="C1029" s="47" t="s">
        <v>64</v>
      </c>
      <c r="D1029" s="47" t="s">
        <v>9956</v>
      </c>
      <c r="E1029" s="47" t="s">
        <v>352</v>
      </c>
      <c r="F1029" s="47" t="s">
        <v>8781</v>
      </c>
      <c r="G1029" s="363">
        <v>46099</v>
      </c>
      <c r="H1029" s="47" t="s">
        <v>8782</v>
      </c>
      <c r="I1029" s="47" t="s">
        <v>8783</v>
      </c>
      <c r="J1029" s="47" t="s">
        <v>352</v>
      </c>
    </row>
    <row r="1030" spans="2:10" ht="14.5">
      <c r="B1030" s="47" t="s">
        <v>531</v>
      </c>
      <c r="C1030" s="47" t="s">
        <v>8779</v>
      </c>
      <c r="D1030" s="47" t="s">
        <v>9957</v>
      </c>
      <c r="E1030" s="47" t="s">
        <v>524</v>
      </c>
      <c r="F1030" s="47" t="s">
        <v>8781</v>
      </c>
      <c r="G1030" s="363">
        <v>46120</v>
      </c>
      <c r="H1030" s="47" t="s">
        <v>8782</v>
      </c>
      <c r="I1030" s="47" t="s">
        <v>8783</v>
      </c>
      <c r="J1030" s="47" t="s">
        <v>524</v>
      </c>
    </row>
    <row r="1031" spans="2:10" ht="14.5">
      <c r="B1031" s="47" t="s">
        <v>968</v>
      </c>
      <c r="C1031" s="47" t="s">
        <v>8779</v>
      </c>
      <c r="D1031" s="47" t="s">
        <v>9958</v>
      </c>
      <c r="E1031" s="47" t="s">
        <v>962</v>
      </c>
      <c r="F1031" s="47" t="s">
        <v>8781</v>
      </c>
      <c r="G1031" s="363">
        <v>46134</v>
      </c>
      <c r="H1031" s="47" t="s">
        <v>8782</v>
      </c>
      <c r="I1031" s="47" t="s">
        <v>8783</v>
      </c>
      <c r="J1031" s="47" t="s">
        <v>962</v>
      </c>
    </row>
    <row r="1032" spans="2:10" ht="14.5">
      <c r="B1032" s="47" t="s">
        <v>678</v>
      </c>
      <c r="C1032" s="47" t="s">
        <v>8779</v>
      </c>
      <c r="D1032" s="47" t="s">
        <v>9959</v>
      </c>
      <c r="E1032" s="47" t="s">
        <v>676</v>
      </c>
      <c r="F1032" s="47" t="s">
        <v>8781</v>
      </c>
      <c r="G1032" s="363">
        <v>46104</v>
      </c>
      <c r="H1032" s="47" t="s">
        <v>8782</v>
      </c>
      <c r="I1032" s="47" t="s">
        <v>8783</v>
      </c>
      <c r="J1032" s="47" t="s">
        <v>676</v>
      </c>
    </row>
    <row r="1033" spans="2:10" ht="14.5">
      <c r="B1033" s="47" t="s">
        <v>682</v>
      </c>
      <c r="C1033" s="47" t="s">
        <v>8779</v>
      </c>
      <c r="D1033" s="47" t="s">
        <v>9960</v>
      </c>
      <c r="E1033" s="47" t="s">
        <v>681</v>
      </c>
      <c r="F1033" s="47" t="s">
        <v>8781</v>
      </c>
      <c r="G1033" s="363">
        <v>46101</v>
      </c>
      <c r="H1033" s="47" t="s">
        <v>8782</v>
      </c>
      <c r="I1033" s="47" t="s">
        <v>8783</v>
      </c>
      <c r="J1033" s="47" t="s">
        <v>681</v>
      </c>
    </row>
    <row r="1034" spans="2:10" ht="14.5">
      <c r="B1034" s="47" t="s">
        <v>318</v>
      </c>
      <c r="C1034" s="47" t="s">
        <v>64</v>
      </c>
      <c r="D1034" s="47" t="s">
        <v>9961</v>
      </c>
      <c r="E1034" s="47" t="s">
        <v>317</v>
      </c>
      <c r="F1034" s="47" t="s">
        <v>8781</v>
      </c>
      <c r="G1034" s="363">
        <v>46092</v>
      </c>
      <c r="H1034" s="47" t="s">
        <v>8782</v>
      </c>
      <c r="I1034" s="47" t="s">
        <v>8783</v>
      </c>
      <c r="J1034" s="47" t="s">
        <v>317</v>
      </c>
    </row>
    <row r="1035" spans="2:10" ht="14.5">
      <c r="B1035" s="47" t="s">
        <v>422</v>
      </c>
      <c r="C1035" s="47" t="s">
        <v>64</v>
      </c>
      <c r="D1035" s="47" t="s">
        <v>9962</v>
      </c>
      <c r="E1035" s="47" t="s">
        <v>417</v>
      </c>
      <c r="F1035" s="47" t="s">
        <v>8781</v>
      </c>
      <c r="G1035" s="363">
        <v>46104</v>
      </c>
      <c r="H1035" s="47" t="s">
        <v>8782</v>
      </c>
      <c r="I1035" s="47" t="s">
        <v>8783</v>
      </c>
      <c r="J1035" s="47" t="s">
        <v>417</v>
      </c>
    </row>
    <row r="1036" spans="2:10" ht="14.5">
      <c r="B1036" s="47" t="s">
        <v>380</v>
      </c>
      <c r="C1036" s="47" t="s">
        <v>64</v>
      </c>
      <c r="D1036" s="47" t="s">
        <v>9963</v>
      </c>
      <c r="E1036" s="47" t="s">
        <v>375</v>
      </c>
      <c r="F1036" s="47" t="s">
        <v>8781</v>
      </c>
      <c r="G1036" s="363">
        <v>46091</v>
      </c>
      <c r="H1036" s="47" t="s">
        <v>8782</v>
      </c>
      <c r="I1036" s="47" t="s">
        <v>8783</v>
      </c>
      <c r="J1036" s="47" t="s">
        <v>375</v>
      </c>
    </row>
    <row r="1037" spans="2:10" ht="14.5">
      <c r="B1037" s="47" t="s">
        <v>374</v>
      </c>
      <c r="C1037" s="47" t="s">
        <v>64</v>
      </c>
      <c r="D1037" s="47" t="s">
        <v>9964</v>
      </c>
      <c r="E1037" s="47" t="s">
        <v>373</v>
      </c>
      <c r="F1037" s="47" t="s">
        <v>8781</v>
      </c>
      <c r="G1037" s="363">
        <v>46091</v>
      </c>
      <c r="H1037" s="47" t="s">
        <v>8782</v>
      </c>
      <c r="I1037" s="47" t="s">
        <v>8783</v>
      </c>
      <c r="J1037" s="47" t="s">
        <v>373</v>
      </c>
    </row>
    <row r="1038" spans="2:10" ht="14.5">
      <c r="B1038" s="47" t="s">
        <v>369</v>
      </c>
      <c r="C1038" s="47" t="s">
        <v>64</v>
      </c>
      <c r="D1038" s="47" t="s">
        <v>9965</v>
      </c>
      <c r="E1038" s="47" t="s">
        <v>368</v>
      </c>
      <c r="F1038" s="47" t="s">
        <v>8781</v>
      </c>
      <c r="G1038" s="363">
        <v>46091</v>
      </c>
      <c r="H1038" s="47" t="s">
        <v>8782</v>
      </c>
      <c r="I1038" s="47" t="s">
        <v>8783</v>
      </c>
      <c r="J1038" s="47" t="s">
        <v>368</v>
      </c>
    </row>
    <row r="1039" spans="2:10" ht="14.5">
      <c r="B1039" s="47" t="s">
        <v>365</v>
      </c>
      <c r="C1039" s="47" t="s">
        <v>64</v>
      </c>
      <c r="D1039" s="47" t="s">
        <v>9966</v>
      </c>
      <c r="E1039" s="47" t="s">
        <v>362</v>
      </c>
      <c r="F1039" s="47" t="s">
        <v>8781</v>
      </c>
      <c r="G1039" s="363">
        <v>46091</v>
      </c>
      <c r="H1039" s="47" t="s">
        <v>8782</v>
      </c>
      <c r="I1039" s="47" t="s">
        <v>8783</v>
      </c>
      <c r="J1039" s="47" t="s">
        <v>362</v>
      </c>
    </row>
    <row r="1040" spans="2:10" ht="14.5">
      <c r="B1040" s="47" t="s">
        <v>367</v>
      </c>
      <c r="C1040" s="47" t="s">
        <v>64</v>
      </c>
      <c r="D1040" s="47" t="s">
        <v>9967</v>
      </c>
      <c r="E1040" s="47" t="s">
        <v>366</v>
      </c>
      <c r="F1040" s="47" t="s">
        <v>8781</v>
      </c>
      <c r="G1040" s="363">
        <v>46091</v>
      </c>
      <c r="H1040" s="47" t="s">
        <v>8782</v>
      </c>
      <c r="I1040" s="47" t="s">
        <v>8783</v>
      </c>
      <c r="J1040" s="47" t="s">
        <v>366</v>
      </c>
    </row>
    <row r="1041" spans="2:10" ht="14.5">
      <c r="B1041" s="47" t="s">
        <v>361</v>
      </c>
      <c r="C1041" s="47" t="s">
        <v>64</v>
      </c>
      <c r="D1041" s="47" t="s">
        <v>9968</v>
      </c>
      <c r="E1041" s="47" t="s">
        <v>360</v>
      </c>
      <c r="F1041" s="47" t="s">
        <v>8781</v>
      </c>
      <c r="G1041" s="363">
        <v>46091</v>
      </c>
      <c r="H1041" s="47" t="s">
        <v>8782</v>
      </c>
      <c r="I1041" s="47" t="s">
        <v>8783</v>
      </c>
      <c r="J1041" s="47" t="s">
        <v>360</v>
      </c>
    </row>
    <row r="1042" spans="2:10" ht="14.5">
      <c r="B1042" s="47" t="s">
        <v>355</v>
      </c>
      <c r="C1042" s="47" t="s">
        <v>64</v>
      </c>
      <c r="D1042" s="47" t="s">
        <v>9969</v>
      </c>
      <c r="E1042" s="47" t="s">
        <v>351</v>
      </c>
      <c r="F1042" s="47" t="s">
        <v>8781</v>
      </c>
      <c r="G1042" s="363">
        <v>46091</v>
      </c>
      <c r="H1042" s="47" t="s">
        <v>8782</v>
      </c>
      <c r="I1042" s="47" t="s">
        <v>8783</v>
      </c>
      <c r="J1042" s="47" t="s">
        <v>351</v>
      </c>
    </row>
    <row r="1043" spans="2:10" ht="14.5">
      <c r="B1043" s="47" t="s">
        <v>279</v>
      </c>
      <c r="C1043" s="47" t="s">
        <v>64</v>
      </c>
      <c r="D1043" s="47" t="s">
        <v>9970</v>
      </c>
      <c r="E1043" s="47" t="s">
        <v>278</v>
      </c>
      <c r="F1043" s="47" t="s">
        <v>8781</v>
      </c>
      <c r="G1043" s="363">
        <v>46093</v>
      </c>
      <c r="H1043" s="47" t="s">
        <v>8782</v>
      </c>
      <c r="I1043" s="47" t="s">
        <v>8783</v>
      </c>
      <c r="J1043" s="47" t="s">
        <v>278</v>
      </c>
    </row>
    <row r="1044" spans="2:10" ht="14.5">
      <c r="B1044" s="47" t="s">
        <v>9852</v>
      </c>
      <c r="C1044" s="47" t="s">
        <v>64</v>
      </c>
      <c r="D1044" s="47" t="s">
        <v>9971</v>
      </c>
      <c r="E1044" s="47" t="s">
        <v>254</v>
      </c>
      <c r="F1044" s="47" t="s">
        <v>8781</v>
      </c>
      <c r="G1044" s="363">
        <v>46094</v>
      </c>
      <c r="H1044" s="47" t="s">
        <v>8930</v>
      </c>
      <c r="I1044" s="47" t="s">
        <v>8783</v>
      </c>
      <c r="J1044" s="47" t="s">
        <v>254</v>
      </c>
    </row>
    <row r="1045" spans="2:10" ht="14.5">
      <c r="B1045" s="47" t="s">
        <v>9854</v>
      </c>
      <c r="C1045" s="47" t="s">
        <v>64</v>
      </c>
      <c r="D1045" s="47" t="s">
        <v>9972</v>
      </c>
      <c r="E1045" s="47" t="s">
        <v>258</v>
      </c>
      <c r="F1045" s="47" t="s">
        <v>8781</v>
      </c>
      <c r="G1045" s="363">
        <v>46094</v>
      </c>
      <c r="H1045" s="47" t="s">
        <v>8930</v>
      </c>
      <c r="I1045" s="47" t="s">
        <v>8783</v>
      </c>
      <c r="J1045" s="47" t="s">
        <v>258</v>
      </c>
    </row>
    <row r="1046" spans="2:10" ht="14.5">
      <c r="B1046" s="47" t="s">
        <v>313</v>
      </c>
      <c r="C1046" s="47" t="s">
        <v>64</v>
      </c>
      <c r="D1046" s="47" t="s">
        <v>9973</v>
      </c>
      <c r="E1046" s="47" t="s">
        <v>309</v>
      </c>
      <c r="F1046" s="47" t="s">
        <v>8781</v>
      </c>
      <c r="G1046" s="363">
        <v>46092</v>
      </c>
      <c r="H1046" s="47" t="s">
        <v>8782</v>
      </c>
      <c r="I1046" s="47" t="s">
        <v>8783</v>
      </c>
      <c r="J1046" s="47" t="s">
        <v>309</v>
      </c>
    </row>
    <row r="1047" spans="2:10" ht="14.5">
      <c r="B1047" s="47" t="s">
        <v>397</v>
      </c>
      <c r="C1047" s="47" t="s">
        <v>64</v>
      </c>
      <c r="D1047" s="47" t="s">
        <v>9974</v>
      </c>
      <c r="E1047" s="47" t="s">
        <v>396</v>
      </c>
      <c r="F1047" s="47" t="s">
        <v>8781</v>
      </c>
      <c r="G1047" s="363">
        <v>46097</v>
      </c>
      <c r="H1047" s="47" t="s">
        <v>8782</v>
      </c>
      <c r="I1047" s="47" t="s">
        <v>8783</v>
      </c>
      <c r="J1047" s="47" t="s">
        <v>396</v>
      </c>
    </row>
    <row r="1048" spans="2:10" ht="14.5">
      <c r="B1048" s="47" t="s">
        <v>347</v>
      </c>
      <c r="C1048" s="47" t="s">
        <v>8779</v>
      </c>
      <c r="D1048" s="47" t="s">
        <v>9975</v>
      </c>
      <c r="E1048" s="47" t="s">
        <v>345</v>
      </c>
      <c r="F1048" s="47" t="s">
        <v>8781</v>
      </c>
      <c r="G1048" s="363">
        <v>46105</v>
      </c>
      <c r="H1048" s="47" t="s">
        <v>8782</v>
      </c>
      <c r="I1048" s="47" t="s">
        <v>8783</v>
      </c>
      <c r="J1048" s="47" t="s">
        <v>345</v>
      </c>
    </row>
    <row r="1049" spans="2:10" ht="14.5">
      <c r="B1049" s="47" t="s">
        <v>272</v>
      </c>
      <c r="C1049" s="47" t="s">
        <v>64</v>
      </c>
      <c r="D1049" s="47" t="s">
        <v>9976</v>
      </c>
      <c r="E1049" s="47" t="s">
        <v>271</v>
      </c>
      <c r="F1049" s="47" t="s">
        <v>8781</v>
      </c>
      <c r="G1049" s="363">
        <v>46093</v>
      </c>
      <c r="H1049" s="47" t="s">
        <v>8782</v>
      </c>
      <c r="I1049" s="47" t="s">
        <v>8783</v>
      </c>
      <c r="J1049" s="47" t="s">
        <v>271</v>
      </c>
    </row>
    <row r="1050" spans="2:10" ht="14.5">
      <c r="B1050" s="47" t="s">
        <v>277</v>
      </c>
      <c r="C1050" s="47" t="s">
        <v>64</v>
      </c>
      <c r="D1050" s="47" t="s">
        <v>9977</v>
      </c>
      <c r="E1050" s="47" t="s">
        <v>276</v>
      </c>
      <c r="F1050" s="47" t="s">
        <v>8781</v>
      </c>
      <c r="G1050" s="363">
        <v>46093</v>
      </c>
      <c r="H1050" s="47" t="s">
        <v>8782</v>
      </c>
      <c r="I1050" s="47" t="s">
        <v>8783</v>
      </c>
      <c r="J1050" s="47" t="s">
        <v>276</v>
      </c>
    </row>
    <row r="1051" spans="2:10" ht="14.5">
      <c r="B1051" s="47" t="s">
        <v>9978</v>
      </c>
      <c r="C1051" s="47" t="s">
        <v>64</v>
      </c>
      <c r="D1051" s="47" t="s">
        <v>9979</v>
      </c>
      <c r="E1051" s="47" t="s">
        <v>250</v>
      </c>
      <c r="F1051" s="47" t="s">
        <v>8781</v>
      </c>
      <c r="G1051" s="363">
        <v>46092</v>
      </c>
      <c r="H1051" s="47" t="s">
        <v>8930</v>
      </c>
      <c r="I1051" s="47" t="s">
        <v>8783</v>
      </c>
      <c r="J1051" s="47" t="s">
        <v>250</v>
      </c>
    </row>
    <row r="1052" spans="2:10" ht="14.5">
      <c r="B1052" s="47" t="s">
        <v>673</v>
      </c>
      <c r="C1052" s="47" t="s">
        <v>8779</v>
      </c>
      <c r="D1052" s="47" t="s">
        <v>9980</v>
      </c>
      <c r="E1052" s="47" t="s">
        <v>669</v>
      </c>
      <c r="F1052" s="47" t="s">
        <v>8781</v>
      </c>
      <c r="G1052" s="363">
        <v>46085</v>
      </c>
      <c r="H1052" s="47" t="s">
        <v>8782</v>
      </c>
      <c r="I1052" s="47" t="s">
        <v>8783</v>
      </c>
      <c r="J1052" s="47" t="s">
        <v>669</v>
      </c>
    </row>
    <row r="1053" spans="2:10" ht="14.5">
      <c r="B1053" s="47" t="s">
        <v>9981</v>
      </c>
      <c r="C1053" s="47" t="s">
        <v>64</v>
      </c>
      <c r="D1053" s="47">
        <v>371009147</v>
      </c>
      <c r="E1053" s="47"/>
      <c r="F1053" s="47" t="s">
        <v>8829</v>
      </c>
      <c r="G1053" s="363">
        <v>46049</v>
      </c>
      <c r="H1053" s="47" t="s">
        <v>8782</v>
      </c>
      <c r="I1053" s="47" t="s">
        <v>8783</v>
      </c>
      <c r="J1053" s="47" t="s">
        <v>9982</v>
      </c>
    </row>
    <row r="1054" spans="2:10" ht="14.5">
      <c r="B1054" s="47" t="s">
        <v>233</v>
      </c>
      <c r="C1054" s="47" t="s">
        <v>64</v>
      </c>
      <c r="D1054" s="47" t="s">
        <v>9983</v>
      </c>
      <c r="E1054" s="47" t="s">
        <v>231</v>
      </c>
      <c r="F1054" s="47" t="s">
        <v>8781</v>
      </c>
      <c r="G1054" s="363">
        <v>46097</v>
      </c>
      <c r="H1054" s="47" t="s">
        <v>8782</v>
      </c>
      <c r="I1054" s="47" t="s">
        <v>8783</v>
      </c>
      <c r="J1054" s="47" t="s">
        <v>231</v>
      </c>
    </row>
    <row r="1055" spans="2:10" ht="14.5">
      <c r="B1055" s="47" t="s">
        <v>9984</v>
      </c>
      <c r="C1055" s="47" t="s">
        <v>64</v>
      </c>
      <c r="D1055" s="47" t="s">
        <v>9985</v>
      </c>
      <c r="E1055" s="47" t="s">
        <v>9986</v>
      </c>
      <c r="F1055" s="47" t="s">
        <v>8781</v>
      </c>
      <c r="G1055" s="363">
        <v>46059</v>
      </c>
      <c r="H1055" s="47" t="s">
        <v>8782</v>
      </c>
      <c r="I1055" s="47" t="s">
        <v>8783</v>
      </c>
      <c r="J1055" s="47" t="s">
        <v>9987</v>
      </c>
    </row>
    <row r="1056" spans="2:10" ht="14.5">
      <c r="B1056" s="47" t="s">
        <v>7819</v>
      </c>
      <c r="C1056" s="47" t="s">
        <v>64</v>
      </c>
      <c r="D1056" s="47" t="s">
        <v>9988</v>
      </c>
      <c r="E1056" s="47">
        <v>371009150</v>
      </c>
      <c r="F1056" s="47" t="s">
        <v>8829</v>
      </c>
      <c r="G1056" s="363">
        <v>46076</v>
      </c>
      <c r="H1056" s="47" t="s">
        <v>8782</v>
      </c>
      <c r="I1056" s="47" t="s">
        <v>8783</v>
      </c>
      <c r="J1056" s="47" t="s">
        <v>9989</v>
      </c>
    </row>
    <row r="1057" spans="2:10" ht="14.5">
      <c r="B1057" s="47" t="s">
        <v>7843</v>
      </c>
      <c r="C1057" s="47" t="s">
        <v>64</v>
      </c>
      <c r="D1057" s="47" t="s">
        <v>9990</v>
      </c>
      <c r="E1057" s="47">
        <v>371009149</v>
      </c>
      <c r="F1057" s="47" t="s">
        <v>8829</v>
      </c>
      <c r="G1057" s="363">
        <v>46076</v>
      </c>
      <c r="H1057" s="47" t="s">
        <v>8782</v>
      </c>
      <c r="I1057" s="47" t="s">
        <v>8783</v>
      </c>
      <c r="J1057" s="47" t="s">
        <v>9991</v>
      </c>
    </row>
    <row r="1058" spans="2:10" ht="14.5">
      <c r="B1058" s="47" t="s">
        <v>7831</v>
      </c>
      <c r="C1058" s="47" t="s">
        <v>64</v>
      </c>
      <c r="D1058" s="47" t="s">
        <v>9992</v>
      </c>
      <c r="E1058" s="47">
        <v>371009148</v>
      </c>
      <c r="F1058" s="47" t="s">
        <v>8829</v>
      </c>
      <c r="G1058" s="363">
        <v>46076</v>
      </c>
      <c r="H1058" s="47" t="s">
        <v>8782</v>
      </c>
      <c r="I1058" s="47" t="s">
        <v>8783</v>
      </c>
      <c r="J1058" s="47" t="s">
        <v>9993</v>
      </c>
    </row>
    <row r="1059" spans="2:10" ht="14.5">
      <c r="B1059" s="47" t="s">
        <v>332</v>
      </c>
      <c r="C1059" s="47" t="s">
        <v>64</v>
      </c>
      <c r="D1059" s="47" t="s">
        <v>9994</v>
      </c>
      <c r="E1059" s="47" t="s">
        <v>325</v>
      </c>
      <c r="F1059" s="47" t="s">
        <v>8781</v>
      </c>
      <c r="G1059" s="363">
        <v>46104</v>
      </c>
      <c r="H1059" s="47" t="s">
        <v>8782</v>
      </c>
      <c r="I1059" s="47" t="s">
        <v>8783</v>
      </c>
      <c r="J1059" s="47" t="s">
        <v>325</v>
      </c>
    </row>
    <row r="1060" spans="2:10" ht="14.5">
      <c r="B1060" s="47" t="s">
        <v>227</v>
      </c>
      <c r="C1060" s="47" t="s">
        <v>64</v>
      </c>
      <c r="D1060" s="47" t="s">
        <v>9995</v>
      </c>
      <c r="E1060" s="47" t="s">
        <v>226</v>
      </c>
      <c r="F1060" s="47" t="s">
        <v>8781</v>
      </c>
      <c r="G1060" s="363">
        <v>46097</v>
      </c>
      <c r="H1060" s="47" t="s">
        <v>8782</v>
      </c>
      <c r="I1060" s="47" t="s">
        <v>8783</v>
      </c>
      <c r="J1060" s="47" t="s">
        <v>226</v>
      </c>
    </row>
    <row r="1061" spans="2:10" ht="14.5">
      <c r="B1061" s="47" t="s">
        <v>240</v>
      </c>
      <c r="C1061" s="47" t="s">
        <v>64</v>
      </c>
      <c r="D1061" s="47" t="s">
        <v>9996</v>
      </c>
      <c r="E1061" s="47" t="s">
        <v>244</v>
      </c>
      <c r="F1061" s="47" t="s">
        <v>8781</v>
      </c>
      <c r="G1061" s="363">
        <v>46092</v>
      </c>
      <c r="H1061" s="47" t="s">
        <v>8782</v>
      </c>
      <c r="I1061" s="47" t="s">
        <v>8783</v>
      </c>
      <c r="J1061" s="47" t="s">
        <v>9997</v>
      </c>
    </row>
    <row r="1062" spans="2:10" ht="14.5">
      <c r="B1062" s="47" t="s">
        <v>261</v>
      </c>
      <c r="C1062" s="47" t="s">
        <v>64</v>
      </c>
      <c r="D1062" s="47" t="s">
        <v>9998</v>
      </c>
      <c r="E1062" s="47" t="s">
        <v>260</v>
      </c>
      <c r="F1062" s="47" t="s">
        <v>8781</v>
      </c>
      <c r="G1062" s="363">
        <v>46097</v>
      </c>
      <c r="H1062" s="47" t="s">
        <v>8782</v>
      </c>
      <c r="I1062" s="47" t="s">
        <v>8783</v>
      </c>
      <c r="J1062" s="47" t="s">
        <v>260</v>
      </c>
    </row>
    <row r="1063" spans="2:10" ht="14.5">
      <c r="B1063" s="47" t="s">
        <v>236</v>
      </c>
      <c r="C1063" s="47" t="s">
        <v>64</v>
      </c>
      <c r="D1063" s="47" t="s">
        <v>9999</v>
      </c>
      <c r="E1063" s="47" t="s">
        <v>235</v>
      </c>
      <c r="F1063" s="47" t="s">
        <v>8781</v>
      </c>
      <c r="G1063" s="363">
        <v>46086</v>
      </c>
      <c r="H1063" s="47" t="s">
        <v>8782</v>
      </c>
      <c r="I1063" s="47" t="s">
        <v>8783</v>
      </c>
      <c r="J1063" s="47" t="s">
        <v>235</v>
      </c>
    </row>
    <row r="1064" spans="2:10" ht="14.5">
      <c r="B1064" s="47" t="s">
        <v>225</v>
      </c>
      <c r="C1064" s="47" t="s">
        <v>64</v>
      </c>
      <c r="D1064" s="47" t="s">
        <v>10000</v>
      </c>
      <c r="E1064" s="47" t="s">
        <v>224</v>
      </c>
      <c r="F1064" s="47" t="s">
        <v>8781</v>
      </c>
      <c r="G1064" s="363">
        <v>46090</v>
      </c>
      <c r="H1064" s="47" t="s">
        <v>8782</v>
      </c>
      <c r="I1064" s="47" t="s">
        <v>8783</v>
      </c>
      <c r="J1064" s="47" t="s">
        <v>224</v>
      </c>
    </row>
    <row r="1065" spans="2:10" ht="14.5">
      <c r="B1065" s="47" t="s">
        <v>220</v>
      </c>
      <c r="C1065" s="47" t="s">
        <v>64</v>
      </c>
      <c r="D1065" s="47" t="s">
        <v>10001</v>
      </c>
      <c r="E1065" s="47" t="s">
        <v>214</v>
      </c>
      <c r="F1065" s="47" t="s">
        <v>8781</v>
      </c>
      <c r="G1065" s="363">
        <v>46090</v>
      </c>
      <c r="H1065" s="47" t="s">
        <v>8782</v>
      </c>
      <c r="I1065" s="47" t="s">
        <v>8783</v>
      </c>
      <c r="J1065" s="47" t="s">
        <v>214</v>
      </c>
    </row>
    <row r="1066" spans="2:10" ht="14.5">
      <c r="B1066" s="47" t="s">
        <v>308</v>
      </c>
      <c r="C1066" s="47" t="s">
        <v>64</v>
      </c>
      <c r="D1066" s="47" t="s">
        <v>10002</v>
      </c>
      <c r="E1066" s="47" t="s">
        <v>304</v>
      </c>
      <c r="F1066" s="47" t="s">
        <v>8781</v>
      </c>
      <c r="G1066" s="363">
        <v>46101</v>
      </c>
      <c r="H1066" s="47" t="s">
        <v>8782</v>
      </c>
      <c r="I1066" s="47" t="s">
        <v>8783</v>
      </c>
      <c r="J1066" s="47" t="s">
        <v>304</v>
      </c>
    </row>
    <row r="1067" spans="2:10" ht="14.5">
      <c r="B1067" s="47" t="s">
        <v>210</v>
      </c>
      <c r="C1067" s="47" t="s">
        <v>64</v>
      </c>
      <c r="D1067" s="47" t="s">
        <v>10003</v>
      </c>
      <c r="E1067" s="47" t="s">
        <v>209</v>
      </c>
      <c r="F1067" s="47" t="s">
        <v>8781</v>
      </c>
      <c r="G1067" s="363">
        <v>46101</v>
      </c>
      <c r="H1067" s="47" t="s">
        <v>8782</v>
      </c>
      <c r="I1067" s="47" t="s">
        <v>8783</v>
      </c>
      <c r="J1067" s="47" t="s">
        <v>209</v>
      </c>
    </row>
    <row r="1068" spans="2:10" ht="14.5">
      <c r="B1068" s="47" t="s">
        <v>287</v>
      </c>
      <c r="C1068" s="47" t="s">
        <v>64</v>
      </c>
      <c r="D1068" s="47" t="s">
        <v>10004</v>
      </c>
      <c r="E1068" s="47" t="s">
        <v>280</v>
      </c>
      <c r="F1068" s="47" t="s">
        <v>8781</v>
      </c>
      <c r="G1068" s="363">
        <v>46094</v>
      </c>
      <c r="H1068" s="47" t="s">
        <v>8782</v>
      </c>
      <c r="I1068" s="47" t="s">
        <v>8783</v>
      </c>
      <c r="J1068" s="47" t="s">
        <v>280</v>
      </c>
    </row>
    <row r="1069" spans="2:10" ht="14.5">
      <c r="B1069" s="47" t="s">
        <v>301</v>
      </c>
      <c r="C1069" s="47" t="s">
        <v>64</v>
      </c>
      <c r="D1069" s="47" t="s">
        <v>10005</v>
      </c>
      <c r="E1069" s="47" t="s">
        <v>295</v>
      </c>
      <c r="F1069" s="47" t="s">
        <v>8781</v>
      </c>
      <c r="G1069" s="363">
        <v>46101</v>
      </c>
      <c r="H1069" s="47" t="s">
        <v>8782</v>
      </c>
      <c r="I1069" s="47" t="s">
        <v>8783</v>
      </c>
      <c r="J1069" s="47" t="s">
        <v>295</v>
      </c>
    </row>
    <row r="1070" spans="2:10" ht="14.5">
      <c r="B1070" s="47" t="s">
        <v>294</v>
      </c>
      <c r="C1070" s="47" t="s">
        <v>64</v>
      </c>
      <c r="D1070" s="47" t="s">
        <v>10006</v>
      </c>
      <c r="E1070" s="47" t="s">
        <v>292</v>
      </c>
      <c r="F1070" s="47" t="s">
        <v>8781</v>
      </c>
      <c r="G1070" s="363">
        <v>46094</v>
      </c>
      <c r="H1070" s="47" t="s">
        <v>8782</v>
      </c>
      <c r="I1070" s="47" t="s">
        <v>8783</v>
      </c>
      <c r="J1070" s="47" t="s">
        <v>292</v>
      </c>
    </row>
    <row r="1071" spans="2:10" ht="14.5">
      <c r="B1071" s="47" t="s">
        <v>337</v>
      </c>
      <c r="C1071" s="47" t="s">
        <v>64</v>
      </c>
      <c r="D1071" s="47" t="s">
        <v>10007</v>
      </c>
      <c r="E1071" s="47" t="s">
        <v>336</v>
      </c>
      <c r="F1071" s="47" t="s">
        <v>8781</v>
      </c>
      <c r="G1071" s="363">
        <v>46107</v>
      </c>
      <c r="H1071" s="47" t="s">
        <v>8782</v>
      </c>
      <c r="I1071" s="47" t="s">
        <v>8783</v>
      </c>
      <c r="J1071" s="47" t="s">
        <v>336</v>
      </c>
    </row>
    <row r="1072" spans="2:10" ht="14.5">
      <c r="B1072" s="47" t="s">
        <v>342</v>
      </c>
      <c r="C1072" s="47" t="s">
        <v>64</v>
      </c>
      <c r="D1072" s="47" t="s">
        <v>10008</v>
      </c>
      <c r="E1072" s="47" t="s">
        <v>341</v>
      </c>
      <c r="F1072" s="47" t="s">
        <v>8781</v>
      </c>
      <c r="G1072" s="363">
        <v>46107</v>
      </c>
      <c r="H1072" s="47" t="s">
        <v>8782</v>
      </c>
      <c r="I1072" s="47" t="s">
        <v>8783</v>
      </c>
      <c r="J1072" s="47" t="s">
        <v>341</v>
      </c>
    </row>
    <row r="1073" spans="2:10" ht="14.5">
      <c r="B1073" s="47" t="s">
        <v>596</v>
      </c>
      <c r="C1073" s="47" t="s">
        <v>8779</v>
      </c>
      <c r="D1073" s="47" t="s">
        <v>10009</v>
      </c>
      <c r="E1073" s="47" t="s">
        <v>592</v>
      </c>
      <c r="F1073" s="47" t="s">
        <v>8781</v>
      </c>
      <c r="G1073" s="363">
        <v>46114</v>
      </c>
      <c r="H1073" s="47" t="s">
        <v>8782</v>
      </c>
      <c r="I1073" s="47" t="s">
        <v>8783</v>
      </c>
      <c r="J1073" s="47" t="s">
        <v>592</v>
      </c>
    </row>
    <row r="1074" spans="2:10" ht="14.5">
      <c r="B1074" s="47" t="s">
        <v>572</v>
      </c>
      <c r="C1074" s="47" t="s">
        <v>8779</v>
      </c>
      <c r="D1074" s="47" t="s">
        <v>10010</v>
      </c>
      <c r="E1074" s="47"/>
      <c r="F1074" s="47" t="s">
        <v>8781</v>
      </c>
      <c r="G1074" s="363">
        <v>46118</v>
      </c>
      <c r="H1074" s="47" t="s">
        <v>8782</v>
      </c>
      <c r="I1074" s="47" t="s">
        <v>8783</v>
      </c>
      <c r="J1074" s="47" t="s">
        <v>568</v>
      </c>
    </row>
    <row r="1075" spans="2:10" ht="14.5">
      <c r="B1075" s="47" t="s">
        <v>567</v>
      </c>
      <c r="C1075" s="47" t="s">
        <v>8779</v>
      </c>
      <c r="D1075" s="47" t="s">
        <v>10011</v>
      </c>
      <c r="E1075" s="47"/>
      <c r="F1075" s="47" t="s">
        <v>8781</v>
      </c>
      <c r="G1075" s="363">
        <v>46118</v>
      </c>
      <c r="H1075" s="47" t="s">
        <v>8782</v>
      </c>
      <c r="I1075" s="47" t="s">
        <v>8783</v>
      </c>
      <c r="J1075" s="47" t="s">
        <v>565</v>
      </c>
    </row>
    <row r="1076" spans="2:10" ht="14.5">
      <c r="B1076" s="47" t="s">
        <v>561</v>
      </c>
      <c r="C1076" s="47" t="s">
        <v>8779</v>
      </c>
      <c r="D1076" s="47" t="s">
        <v>10012</v>
      </c>
      <c r="E1076" s="47"/>
      <c r="F1076" s="47" t="s">
        <v>8781</v>
      </c>
      <c r="G1076" s="363">
        <v>46118</v>
      </c>
      <c r="H1076" s="47" t="s">
        <v>8782</v>
      </c>
      <c r="I1076" s="47" t="s">
        <v>8783</v>
      </c>
      <c r="J1076" s="47" t="s">
        <v>557</v>
      </c>
    </row>
    <row r="1077" spans="2:10" ht="14.5">
      <c r="B1077" s="47" t="s">
        <v>575</v>
      </c>
      <c r="C1077" s="47" t="s">
        <v>8779</v>
      </c>
      <c r="D1077" s="47" t="s">
        <v>10013</v>
      </c>
      <c r="E1077" s="47"/>
      <c r="F1077" s="47" t="s">
        <v>8781</v>
      </c>
      <c r="G1077" s="363">
        <v>46118</v>
      </c>
      <c r="H1077" s="47" t="s">
        <v>8782</v>
      </c>
      <c r="I1077" s="47" t="s">
        <v>8783</v>
      </c>
      <c r="J1077" s="47" t="s">
        <v>573</v>
      </c>
    </row>
    <row r="1078" spans="2:10" ht="14.5">
      <c r="B1078" s="47" t="s">
        <v>546</v>
      </c>
      <c r="C1078" s="47" t="s">
        <v>8779</v>
      </c>
      <c r="D1078" s="47" t="s">
        <v>10014</v>
      </c>
      <c r="E1078" s="47"/>
      <c r="F1078" s="47" t="s">
        <v>8781</v>
      </c>
      <c r="G1078" s="363">
        <v>46104</v>
      </c>
      <c r="H1078" s="47" t="s">
        <v>8782</v>
      </c>
      <c r="I1078" s="47" t="s">
        <v>8783</v>
      </c>
      <c r="J1078" s="47" t="s">
        <v>545</v>
      </c>
    </row>
    <row r="1079" spans="2:10" ht="14.5">
      <c r="B1079" s="47" t="s">
        <v>556</v>
      </c>
      <c r="C1079" s="47" t="s">
        <v>8779</v>
      </c>
      <c r="D1079" s="47" t="s">
        <v>10015</v>
      </c>
      <c r="E1079" s="47"/>
      <c r="F1079" s="47" t="s">
        <v>8781</v>
      </c>
      <c r="G1079" s="363">
        <v>46104</v>
      </c>
      <c r="H1079" s="47" t="s">
        <v>8782</v>
      </c>
      <c r="I1079" s="47" t="s">
        <v>8783</v>
      </c>
      <c r="J1079" s="47" t="s">
        <v>555</v>
      </c>
    </row>
    <row r="1080" spans="2:10" ht="14.5">
      <c r="B1080" s="47" t="s">
        <v>540</v>
      </c>
      <c r="C1080" s="47" t="s">
        <v>8779</v>
      </c>
      <c r="D1080" s="47" t="s">
        <v>10016</v>
      </c>
      <c r="E1080" s="47"/>
      <c r="F1080" s="47" t="s">
        <v>8781</v>
      </c>
      <c r="G1080" s="363">
        <v>46104</v>
      </c>
      <c r="H1080" s="47" t="s">
        <v>8782</v>
      </c>
      <c r="I1080" s="47" t="s">
        <v>8783</v>
      </c>
      <c r="J1080" s="47" t="s">
        <v>537</v>
      </c>
    </row>
    <row r="1081" spans="2:10" ht="14.5">
      <c r="B1081" s="47" t="s">
        <v>407</v>
      </c>
      <c r="C1081" s="47" t="s">
        <v>8779</v>
      </c>
      <c r="D1081" s="47" t="s">
        <v>10017</v>
      </c>
      <c r="E1081" s="47"/>
      <c r="F1081" s="47" t="s">
        <v>8781</v>
      </c>
      <c r="G1081" s="363">
        <v>46086</v>
      </c>
      <c r="H1081" s="47" t="s">
        <v>8782</v>
      </c>
      <c r="I1081" s="47" t="s">
        <v>8783</v>
      </c>
      <c r="J1081" s="47" t="s">
        <v>400</v>
      </c>
    </row>
    <row r="1082" spans="2:10" ht="14.5">
      <c r="B1082" s="47" t="s">
        <v>554</v>
      </c>
      <c r="C1082" s="47" t="s">
        <v>8779</v>
      </c>
      <c r="D1082" s="47" t="s">
        <v>10018</v>
      </c>
      <c r="E1082" s="47"/>
      <c r="F1082" s="47" t="s">
        <v>8781</v>
      </c>
      <c r="G1082" s="363">
        <v>46104</v>
      </c>
      <c r="H1082" s="47" t="s">
        <v>8782</v>
      </c>
      <c r="I1082" s="47" t="s">
        <v>8783</v>
      </c>
      <c r="J1082" s="47" t="s">
        <v>547</v>
      </c>
    </row>
    <row r="1083" spans="2:10" ht="14.5">
      <c r="B1083" s="47" t="s">
        <v>3597</v>
      </c>
      <c r="C1083" s="47" t="s">
        <v>64</v>
      </c>
      <c r="D1083" s="47">
        <v>371009042</v>
      </c>
      <c r="E1083" s="47"/>
      <c r="F1083" s="47" t="s">
        <v>8781</v>
      </c>
      <c r="G1083" s="363">
        <v>46050</v>
      </c>
      <c r="H1083" s="47" t="s">
        <v>8782</v>
      </c>
      <c r="I1083" s="47" t="s">
        <v>8783</v>
      </c>
      <c r="J1083" s="47" t="s">
        <v>10019</v>
      </c>
    </row>
    <row r="1084" spans="2:10" ht="14.5">
      <c r="B1084" s="47" t="s">
        <v>3970</v>
      </c>
      <c r="C1084" s="47" t="s">
        <v>64</v>
      </c>
      <c r="D1084" s="47" t="s">
        <v>10020</v>
      </c>
      <c r="E1084" s="47"/>
      <c r="F1084" s="47" t="s">
        <v>8781</v>
      </c>
      <c r="G1084" s="363">
        <v>46078</v>
      </c>
      <c r="H1084" s="47" t="s">
        <v>8782</v>
      </c>
      <c r="I1084" s="47" t="s">
        <v>8783</v>
      </c>
      <c r="J1084" s="47" t="s">
        <v>3969</v>
      </c>
    </row>
    <row r="1085" spans="2:10" ht="14.5">
      <c r="B1085" s="47" t="s">
        <v>10021</v>
      </c>
      <c r="C1085" s="47" t="s">
        <v>64</v>
      </c>
      <c r="D1085" s="47" t="s">
        <v>10022</v>
      </c>
      <c r="E1085" s="47"/>
      <c r="F1085" s="47" t="s">
        <v>8781</v>
      </c>
      <c r="G1085" s="363">
        <v>46094</v>
      </c>
      <c r="H1085" s="47" t="s">
        <v>8930</v>
      </c>
      <c r="I1085" s="47" t="s">
        <v>8783</v>
      </c>
      <c r="J1085" s="47" t="s">
        <v>98</v>
      </c>
    </row>
    <row r="1086" spans="2:10" ht="14.5">
      <c r="B1086" s="47" t="s">
        <v>10023</v>
      </c>
      <c r="C1086" s="47" t="s">
        <v>64</v>
      </c>
      <c r="D1086" s="47" t="s">
        <v>10024</v>
      </c>
      <c r="E1086" s="47"/>
      <c r="F1086" s="47" t="s">
        <v>8781</v>
      </c>
      <c r="G1086" s="363">
        <v>46092</v>
      </c>
      <c r="H1086" s="47" t="s">
        <v>8930</v>
      </c>
      <c r="I1086" s="47" t="s">
        <v>8783</v>
      </c>
      <c r="J1086" s="47" t="s">
        <v>163</v>
      </c>
    </row>
    <row r="1087" spans="2:10" ht="14.5">
      <c r="B1087" s="47" t="s">
        <v>3808</v>
      </c>
      <c r="C1087" s="47" t="s">
        <v>64</v>
      </c>
      <c r="D1087" s="47">
        <v>371009123</v>
      </c>
      <c r="E1087" s="47"/>
      <c r="F1087" s="47" t="s">
        <v>8781</v>
      </c>
      <c r="G1087" s="363">
        <v>46037</v>
      </c>
      <c r="H1087" s="47" t="s">
        <v>8782</v>
      </c>
      <c r="I1087" s="47" t="s">
        <v>8783</v>
      </c>
      <c r="J1087" s="47" t="s">
        <v>10025</v>
      </c>
    </row>
    <row r="1088" spans="2:10" ht="14.5">
      <c r="B1088" s="47" t="s">
        <v>10026</v>
      </c>
      <c r="C1088" s="47" t="s">
        <v>64</v>
      </c>
      <c r="D1088" s="47"/>
      <c r="E1088" s="47"/>
      <c r="F1088" s="47" t="s">
        <v>8781</v>
      </c>
      <c r="G1088" s="363">
        <v>46037</v>
      </c>
      <c r="H1088" s="47" t="s">
        <v>8930</v>
      </c>
      <c r="I1088" s="47" t="s">
        <v>8783</v>
      </c>
      <c r="J1088" s="47" t="s">
        <v>10027</v>
      </c>
    </row>
    <row r="1089" spans="2:10" ht="14.5">
      <c r="B1089" s="47" t="s">
        <v>4254</v>
      </c>
      <c r="C1089" s="47" t="s">
        <v>64</v>
      </c>
      <c r="D1089" s="47" t="s">
        <v>10028</v>
      </c>
      <c r="E1089" s="47"/>
      <c r="F1089" s="47" t="s">
        <v>8781</v>
      </c>
      <c r="G1089" s="363">
        <v>46078</v>
      </c>
      <c r="H1089" s="47" t="s">
        <v>8782</v>
      </c>
      <c r="I1089" s="47" t="s">
        <v>8783</v>
      </c>
      <c r="J1089" s="47" t="s">
        <v>4253</v>
      </c>
    </row>
    <row r="1090" spans="2:10" ht="14.5">
      <c r="B1090" s="47" t="s">
        <v>4281</v>
      </c>
      <c r="C1090" s="47" t="s">
        <v>64</v>
      </c>
      <c r="D1090" s="47" t="s">
        <v>10029</v>
      </c>
      <c r="E1090" s="47"/>
      <c r="F1090" s="47" t="s">
        <v>8781</v>
      </c>
      <c r="G1090" s="363">
        <v>46091</v>
      </c>
      <c r="H1090" s="47" t="s">
        <v>8782</v>
      </c>
      <c r="I1090" s="47" t="s">
        <v>8783</v>
      </c>
      <c r="J1090" s="47" t="s">
        <v>4280</v>
      </c>
    </row>
    <row r="1091" spans="2:10" ht="14.5">
      <c r="B1091" s="47" t="s">
        <v>4276</v>
      </c>
      <c r="C1091" s="47" t="s">
        <v>64</v>
      </c>
      <c r="D1091" s="47" t="s">
        <v>10030</v>
      </c>
      <c r="E1091" s="47"/>
      <c r="F1091" s="47" t="s">
        <v>8781</v>
      </c>
      <c r="G1091" s="363">
        <v>46091</v>
      </c>
      <c r="H1091" s="47" t="s">
        <v>8782</v>
      </c>
      <c r="I1091" s="47" t="s">
        <v>8783</v>
      </c>
      <c r="J1091" s="47" t="s">
        <v>4275</v>
      </c>
    </row>
    <row r="1092" spans="2:10" ht="14.5">
      <c r="B1092" s="47" t="s">
        <v>4304</v>
      </c>
      <c r="C1092" s="47" t="s">
        <v>64</v>
      </c>
      <c r="D1092" s="47" t="s">
        <v>10031</v>
      </c>
      <c r="E1092" s="47"/>
      <c r="F1092" s="47" t="s">
        <v>8781</v>
      </c>
      <c r="G1092" s="363">
        <v>46071</v>
      </c>
      <c r="H1092" s="47" t="s">
        <v>8782</v>
      </c>
      <c r="I1092" s="47" t="s">
        <v>8783</v>
      </c>
      <c r="J1092" s="47" t="s">
        <v>4303</v>
      </c>
    </row>
    <row r="1093" spans="2:10" ht="14.5">
      <c r="B1093" s="47" t="s">
        <v>4283</v>
      </c>
      <c r="C1093" s="47" t="s">
        <v>64</v>
      </c>
      <c r="D1093" s="47" t="s">
        <v>10032</v>
      </c>
      <c r="E1093" s="47"/>
      <c r="F1093" s="47" t="s">
        <v>8781</v>
      </c>
      <c r="G1093" s="363">
        <v>46071</v>
      </c>
      <c r="H1093" s="47" t="s">
        <v>8782</v>
      </c>
      <c r="I1093" s="47" t="s">
        <v>8783</v>
      </c>
      <c r="J1093" s="47" t="s">
        <v>4282</v>
      </c>
    </row>
    <row r="1094" spans="2:10" ht="14.5">
      <c r="B1094" s="47" t="s">
        <v>4330</v>
      </c>
      <c r="C1094" s="47" t="s">
        <v>64</v>
      </c>
      <c r="D1094" s="47" t="s">
        <v>10033</v>
      </c>
      <c r="E1094" s="47"/>
      <c r="F1094" s="47" t="s">
        <v>8781</v>
      </c>
      <c r="G1094" s="363">
        <v>46078</v>
      </c>
      <c r="H1094" s="47" t="s">
        <v>8782</v>
      </c>
      <c r="I1094" s="47" t="s">
        <v>8783</v>
      </c>
      <c r="J1094" s="47" t="s">
        <v>4329</v>
      </c>
    </row>
    <row r="1095" spans="2:10" ht="14.5">
      <c r="B1095" s="47" t="s">
        <v>4260</v>
      </c>
      <c r="C1095" s="47" t="s">
        <v>64</v>
      </c>
      <c r="D1095" s="47" t="s">
        <v>10034</v>
      </c>
      <c r="E1095" s="47"/>
      <c r="F1095" s="47" t="s">
        <v>8781</v>
      </c>
      <c r="G1095" s="363">
        <v>46080</v>
      </c>
      <c r="H1095" s="47" t="s">
        <v>8782</v>
      </c>
      <c r="I1095" s="47" t="s">
        <v>8783</v>
      </c>
      <c r="J1095" s="47" t="s">
        <v>4259</v>
      </c>
    </row>
    <row r="1096" spans="2:10" ht="14.5">
      <c r="B1096" s="47" t="s">
        <v>4269</v>
      </c>
      <c r="C1096" s="47" t="s">
        <v>64</v>
      </c>
      <c r="D1096" s="47" t="s">
        <v>10035</v>
      </c>
      <c r="E1096" s="47"/>
      <c r="F1096" s="47" t="s">
        <v>8781</v>
      </c>
      <c r="G1096" s="363">
        <v>46076</v>
      </c>
      <c r="H1096" s="47" t="s">
        <v>8782</v>
      </c>
      <c r="I1096" s="47" t="s">
        <v>8783</v>
      </c>
      <c r="J1096" s="47" t="s">
        <v>4268</v>
      </c>
    </row>
    <row r="1097" spans="2:10" ht="14.5">
      <c r="B1097" s="47" t="s">
        <v>4265</v>
      </c>
      <c r="C1097" s="47" t="s">
        <v>64</v>
      </c>
      <c r="D1097" s="47" t="s">
        <v>10036</v>
      </c>
      <c r="E1097" s="47"/>
      <c r="F1097" s="47" t="s">
        <v>8781</v>
      </c>
      <c r="G1097" s="363">
        <v>46076</v>
      </c>
      <c r="H1097" s="47" t="s">
        <v>8782</v>
      </c>
      <c r="I1097" s="47" t="s">
        <v>8783</v>
      </c>
      <c r="J1097" s="47" t="s">
        <v>4264</v>
      </c>
    </row>
    <row r="1098" spans="2:10" ht="14.5">
      <c r="B1098" s="47" t="s">
        <v>4321</v>
      </c>
      <c r="C1098" s="47" t="s">
        <v>64</v>
      </c>
      <c r="D1098" s="47" t="s">
        <v>10037</v>
      </c>
      <c r="E1098" s="47"/>
      <c r="F1098" s="47" t="s">
        <v>8781</v>
      </c>
      <c r="G1098" s="363">
        <v>46078</v>
      </c>
      <c r="H1098" s="47" t="s">
        <v>8782</v>
      </c>
      <c r="I1098" s="47" t="s">
        <v>8783</v>
      </c>
      <c r="J1098" s="47" t="s">
        <v>4320</v>
      </c>
    </row>
    <row r="1099" spans="2:10" ht="14.5">
      <c r="B1099" s="47" t="s">
        <v>4326</v>
      </c>
      <c r="C1099" s="47" t="s">
        <v>64</v>
      </c>
      <c r="D1099" s="47" t="s">
        <v>10038</v>
      </c>
      <c r="E1099" s="47"/>
      <c r="F1099" s="47" t="s">
        <v>8781</v>
      </c>
      <c r="G1099" s="363">
        <v>46078</v>
      </c>
      <c r="H1099" s="47" t="s">
        <v>8782</v>
      </c>
      <c r="I1099" s="47" t="s">
        <v>8783</v>
      </c>
      <c r="J1099" s="47" t="s">
        <v>4325</v>
      </c>
    </row>
    <row r="1100" spans="2:10" ht="14.5">
      <c r="B1100" s="47" t="s">
        <v>4271</v>
      </c>
      <c r="C1100" s="47" t="s">
        <v>64</v>
      </c>
      <c r="D1100" s="47" t="s">
        <v>10039</v>
      </c>
      <c r="E1100" s="47"/>
      <c r="F1100" s="47" t="s">
        <v>8781</v>
      </c>
      <c r="G1100" s="363">
        <v>46073</v>
      </c>
      <c r="H1100" s="47" t="s">
        <v>8782</v>
      </c>
      <c r="I1100" s="47" t="s">
        <v>8783</v>
      </c>
      <c r="J1100" s="47" t="s">
        <v>4270</v>
      </c>
    </row>
    <row r="1101" spans="2:10" ht="14.5">
      <c r="B1101" s="47" t="s">
        <v>4319</v>
      </c>
      <c r="C1101" s="47" t="s">
        <v>64</v>
      </c>
      <c r="D1101" s="47" t="s">
        <v>10040</v>
      </c>
      <c r="E1101" s="47"/>
      <c r="F1101" s="47" t="s">
        <v>8781</v>
      </c>
      <c r="G1101" s="363">
        <v>46090</v>
      </c>
      <c r="H1101" s="47" t="s">
        <v>8782</v>
      </c>
      <c r="I1101" s="47" t="s">
        <v>8783</v>
      </c>
      <c r="J1101" s="47" t="s">
        <v>4318</v>
      </c>
    </row>
    <row r="1102" spans="2:10" ht="14.5">
      <c r="B1102" s="47" t="s">
        <v>4317</v>
      </c>
      <c r="C1102" s="47" t="s">
        <v>64</v>
      </c>
      <c r="D1102" s="47" t="s">
        <v>10041</v>
      </c>
      <c r="E1102" s="47"/>
      <c r="F1102" s="47" t="s">
        <v>8781</v>
      </c>
      <c r="G1102" s="363">
        <v>46090</v>
      </c>
      <c r="H1102" s="47" t="s">
        <v>8782</v>
      </c>
      <c r="I1102" s="47" t="s">
        <v>8783</v>
      </c>
      <c r="J1102" s="47" t="s">
        <v>4316</v>
      </c>
    </row>
    <row r="1103" spans="2:10" ht="14.5">
      <c r="B1103" s="47" t="s">
        <v>178</v>
      </c>
      <c r="C1103" s="47" t="s">
        <v>64</v>
      </c>
      <c r="D1103" s="47" t="s">
        <v>10042</v>
      </c>
      <c r="E1103" s="47"/>
      <c r="F1103" s="47" t="s">
        <v>8781</v>
      </c>
      <c r="G1103" s="363">
        <v>46100</v>
      </c>
      <c r="H1103" s="47" t="s">
        <v>8782</v>
      </c>
      <c r="I1103" s="47" t="s">
        <v>8783</v>
      </c>
      <c r="J1103" s="47" t="s">
        <v>177</v>
      </c>
    </row>
    <row r="1104" spans="2:10" ht="14.5">
      <c r="B1104" s="47" t="s">
        <v>4356</v>
      </c>
      <c r="C1104" s="47" t="s">
        <v>64</v>
      </c>
      <c r="D1104" s="47" t="s">
        <v>10043</v>
      </c>
      <c r="E1104" s="47"/>
      <c r="F1104" s="47" t="s">
        <v>8781</v>
      </c>
      <c r="G1104" s="363">
        <v>46090</v>
      </c>
      <c r="H1104" s="47" t="s">
        <v>8782</v>
      </c>
      <c r="I1104" s="47" t="s">
        <v>8783</v>
      </c>
      <c r="J1104" s="47" t="s">
        <v>4355</v>
      </c>
    </row>
    <row r="1105" spans="2:10" ht="14.5">
      <c r="B1105" s="47" t="s">
        <v>4334</v>
      </c>
      <c r="C1105" s="47" t="s">
        <v>64</v>
      </c>
      <c r="D1105" s="47" t="s">
        <v>10044</v>
      </c>
      <c r="E1105" s="47"/>
      <c r="F1105" s="47" t="s">
        <v>8781</v>
      </c>
      <c r="G1105" s="363">
        <v>46085</v>
      </c>
      <c r="H1105" s="47" t="s">
        <v>8782</v>
      </c>
      <c r="I1105" s="47" t="s">
        <v>8783</v>
      </c>
      <c r="J1105" s="47" t="s">
        <v>4333</v>
      </c>
    </row>
    <row r="1106" spans="2:10" ht="14.5">
      <c r="B1106" s="47" t="s">
        <v>4351</v>
      </c>
      <c r="C1106" s="47" t="s">
        <v>64</v>
      </c>
      <c r="D1106" s="47" t="s">
        <v>10045</v>
      </c>
      <c r="E1106" s="47"/>
      <c r="F1106" s="47" t="s">
        <v>8781</v>
      </c>
      <c r="G1106" s="363">
        <v>46090</v>
      </c>
      <c r="H1106" s="47" t="s">
        <v>8782</v>
      </c>
      <c r="I1106" s="47" t="s">
        <v>8783</v>
      </c>
      <c r="J1106" s="47" t="s">
        <v>4350</v>
      </c>
    </row>
    <row r="1107" spans="2:10" ht="14.5">
      <c r="B1107" s="47" t="s">
        <v>10046</v>
      </c>
      <c r="C1107" s="47" t="s">
        <v>64</v>
      </c>
      <c r="D1107" s="47" t="s">
        <v>10047</v>
      </c>
      <c r="E1107" s="47"/>
      <c r="F1107" s="47" t="s">
        <v>8781</v>
      </c>
      <c r="G1107" s="363">
        <v>46090</v>
      </c>
      <c r="H1107" s="47" t="s">
        <v>8930</v>
      </c>
      <c r="I1107" s="47" t="s">
        <v>8783</v>
      </c>
      <c r="J1107" s="47" t="s">
        <v>129</v>
      </c>
    </row>
    <row r="1108" spans="2:10" ht="14.5">
      <c r="B1108" s="47" t="s">
        <v>121</v>
      </c>
      <c r="C1108" s="47" t="s">
        <v>64</v>
      </c>
      <c r="D1108" s="47" t="s">
        <v>10048</v>
      </c>
      <c r="E1108" s="47"/>
      <c r="F1108" s="47" t="s">
        <v>8781</v>
      </c>
      <c r="G1108" s="363">
        <v>46104</v>
      </c>
      <c r="H1108" s="47" t="s">
        <v>8782</v>
      </c>
      <c r="I1108" s="47" t="s">
        <v>8783</v>
      </c>
      <c r="J1108" s="47" t="s">
        <v>110</v>
      </c>
    </row>
    <row r="1109" spans="2:10" ht="14.5">
      <c r="B1109" s="47" t="s">
        <v>4312</v>
      </c>
      <c r="C1109" s="47" t="s">
        <v>64</v>
      </c>
      <c r="D1109" s="47" t="s">
        <v>10049</v>
      </c>
      <c r="E1109" s="47"/>
      <c r="F1109" s="47" t="s">
        <v>8781</v>
      </c>
      <c r="G1109" s="363">
        <v>46090</v>
      </c>
      <c r="H1109" s="47" t="s">
        <v>8782</v>
      </c>
      <c r="I1109" s="47" t="s">
        <v>8783</v>
      </c>
      <c r="J1109" s="47" t="s">
        <v>4311</v>
      </c>
    </row>
    <row r="1110" spans="2:10" ht="14.5">
      <c r="B1110" s="47" t="s">
        <v>10050</v>
      </c>
      <c r="C1110" s="47" t="s">
        <v>64</v>
      </c>
      <c r="D1110" s="47" t="s">
        <v>10051</v>
      </c>
      <c r="E1110" s="47"/>
      <c r="F1110" s="47" t="s">
        <v>8781</v>
      </c>
      <c r="G1110" s="363">
        <v>46090</v>
      </c>
      <c r="H1110" s="47" t="s">
        <v>8930</v>
      </c>
      <c r="I1110" s="47" t="s">
        <v>8783</v>
      </c>
      <c r="J1110" s="47" t="s">
        <v>181</v>
      </c>
    </row>
    <row r="1111" spans="2:10" ht="14.5">
      <c r="B1111" s="47" t="s">
        <v>9849</v>
      </c>
      <c r="C1111" s="47" t="s">
        <v>64</v>
      </c>
      <c r="D1111" s="47" t="s">
        <v>10052</v>
      </c>
      <c r="E1111" s="47"/>
      <c r="F1111" s="47" t="s">
        <v>8781</v>
      </c>
      <c r="G1111" s="363">
        <v>46092</v>
      </c>
      <c r="H1111" s="47" t="s">
        <v>8930</v>
      </c>
      <c r="I1111" s="47" t="s">
        <v>8783</v>
      </c>
      <c r="J1111" s="47" t="s">
        <v>138</v>
      </c>
    </row>
    <row r="1112" spans="2:10" ht="14.5">
      <c r="B1112" s="47" t="s">
        <v>10053</v>
      </c>
      <c r="C1112" s="47" t="s">
        <v>64</v>
      </c>
      <c r="D1112" s="47" t="s">
        <v>10054</v>
      </c>
      <c r="E1112" s="47"/>
      <c r="F1112" s="47" t="s">
        <v>8781</v>
      </c>
      <c r="G1112" s="363">
        <v>46090</v>
      </c>
      <c r="H1112" s="47" t="s">
        <v>8930</v>
      </c>
      <c r="I1112" s="47" t="s">
        <v>8783</v>
      </c>
      <c r="J1112" s="47" t="s">
        <v>186</v>
      </c>
    </row>
    <row r="1113" spans="2:10" ht="14.5">
      <c r="B1113" s="47" t="s">
        <v>9856</v>
      </c>
      <c r="C1113" s="47" t="s">
        <v>64</v>
      </c>
      <c r="D1113" s="47" t="s">
        <v>10055</v>
      </c>
      <c r="E1113" s="47"/>
      <c r="F1113" s="47" t="s">
        <v>8781</v>
      </c>
      <c r="G1113" s="363">
        <v>46104</v>
      </c>
      <c r="H1113" s="47" t="s">
        <v>8930</v>
      </c>
      <c r="I1113" s="47" t="s">
        <v>8783</v>
      </c>
      <c r="J1113" s="47" t="s">
        <v>167</v>
      </c>
    </row>
    <row r="1114" spans="2:10" ht="14.5">
      <c r="B1114" s="47" t="s">
        <v>198</v>
      </c>
      <c r="C1114" s="47" t="s">
        <v>64</v>
      </c>
      <c r="D1114" s="47" t="s">
        <v>10056</v>
      </c>
      <c r="E1114" s="47"/>
      <c r="F1114" s="47" t="s">
        <v>8781</v>
      </c>
      <c r="G1114" s="363">
        <v>46097</v>
      </c>
      <c r="H1114" s="47" t="s">
        <v>8782</v>
      </c>
      <c r="I1114" s="47" t="s">
        <v>8783</v>
      </c>
      <c r="J1114" s="47" t="s">
        <v>192</v>
      </c>
    </row>
    <row r="1115" spans="2:10" ht="14.5">
      <c r="B1115" s="47" t="s">
        <v>4293</v>
      </c>
      <c r="C1115" s="47" t="s">
        <v>64</v>
      </c>
      <c r="D1115" s="47" t="s">
        <v>10057</v>
      </c>
      <c r="E1115" s="47"/>
      <c r="F1115" s="47" t="s">
        <v>8781</v>
      </c>
      <c r="G1115" s="363">
        <v>46097</v>
      </c>
      <c r="H1115" s="47" t="s">
        <v>8782</v>
      </c>
      <c r="I1115" s="47" t="s">
        <v>8783</v>
      </c>
      <c r="J1115" s="47" t="s">
        <v>4292</v>
      </c>
    </row>
    <row r="1116" spans="2:10" ht="14.5">
      <c r="B1116" s="47" t="s">
        <v>4358</v>
      </c>
      <c r="C1116" s="47" t="s">
        <v>64</v>
      </c>
      <c r="D1116" s="47" t="s">
        <v>10058</v>
      </c>
      <c r="E1116" s="47"/>
      <c r="F1116" s="47" t="s">
        <v>8781</v>
      </c>
      <c r="G1116" s="363">
        <v>46083</v>
      </c>
      <c r="H1116" s="47" t="s">
        <v>8782</v>
      </c>
      <c r="I1116" s="47" t="s">
        <v>8783</v>
      </c>
      <c r="J1116" s="47" t="s">
        <v>4357</v>
      </c>
    </row>
    <row r="1117" spans="2:10" ht="14.5">
      <c r="B1117" s="47" t="s">
        <v>4300</v>
      </c>
      <c r="C1117" s="47" t="s">
        <v>64</v>
      </c>
      <c r="D1117" s="47" t="s">
        <v>10059</v>
      </c>
      <c r="E1117" s="47"/>
      <c r="F1117" s="47" t="s">
        <v>8781</v>
      </c>
      <c r="G1117" s="363">
        <v>46100</v>
      </c>
      <c r="H1117" s="47" t="s">
        <v>8782</v>
      </c>
      <c r="I1117" s="47" t="s">
        <v>8783</v>
      </c>
      <c r="J1117" s="47" t="s">
        <v>4299</v>
      </c>
    </row>
    <row r="1118" spans="2:10" ht="14.5">
      <c r="B1118" s="47" t="s">
        <v>4298</v>
      </c>
      <c r="C1118" s="47" t="s">
        <v>64</v>
      </c>
      <c r="D1118" s="47" t="s">
        <v>10060</v>
      </c>
      <c r="E1118" s="47"/>
      <c r="F1118" s="47" t="s">
        <v>8781</v>
      </c>
      <c r="G1118" s="363">
        <v>46100</v>
      </c>
      <c r="H1118" s="47" t="s">
        <v>8782</v>
      </c>
      <c r="I1118" s="47" t="s">
        <v>8783</v>
      </c>
      <c r="J1118" s="47" t="s">
        <v>4297</v>
      </c>
    </row>
    <row r="1119" spans="2:10" ht="14.5">
      <c r="B1119" s="47" t="s">
        <v>4302</v>
      </c>
      <c r="C1119" s="47" t="s">
        <v>64</v>
      </c>
      <c r="D1119" s="47" t="s">
        <v>10061</v>
      </c>
      <c r="E1119" s="47"/>
      <c r="F1119" s="47" t="s">
        <v>8781</v>
      </c>
      <c r="G1119" s="363">
        <v>46100</v>
      </c>
      <c r="H1119" s="47" t="s">
        <v>8782</v>
      </c>
      <c r="I1119" s="47" t="s">
        <v>8783</v>
      </c>
      <c r="J1119" s="47" t="s">
        <v>4301</v>
      </c>
    </row>
    <row r="1120" spans="2:10" ht="14.5">
      <c r="B1120" s="47" t="s">
        <v>10062</v>
      </c>
      <c r="C1120" s="47" t="s">
        <v>64</v>
      </c>
      <c r="D1120" s="47" t="s">
        <v>10063</v>
      </c>
      <c r="E1120" s="47"/>
      <c r="F1120" s="47" t="s">
        <v>8781</v>
      </c>
      <c r="G1120" s="363">
        <v>46090</v>
      </c>
      <c r="H1120" s="47" t="s">
        <v>8930</v>
      </c>
      <c r="I1120" s="47" t="s">
        <v>8783</v>
      </c>
      <c r="J1120" s="47" t="s">
        <v>202</v>
      </c>
    </row>
    <row r="1121" spans="2:10" ht="14.5">
      <c r="B1121" s="47" t="s">
        <v>4258</v>
      </c>
      <c r="C1121" s="47" t="s">
        <v>64</v>
      </c>
      <c r="D1121" s="47" t="s">
        <v>10064</v>
      </c>
      <c r="E1121" s="47"/>
      <c r="F1121" s="47" t="s">
        <v>8781</v>
      </c>
      <c r="G1121" s="363">
        <v>46078</v>
      </c>
      <c r="H1121" s="47" t="s">
        <v>8782</v>
      </c>
      <c r="I1121" s="47" t="s">
        <v>8783</v>
      </c>
      <c r="J1121" s="47" t="s">
        <v>4257</v>
      </c>
    </row>
    <row r="1122" spans="2:10" ht="14.5">
      <c r="B1122" s="47" t="s">
        <v>3851</v>
      </c>
      <c r="C1122" s="47" t="s">
        <v>64</v>
      </c>
      <c r="D1122" s="47" t="s">
        <v>10065</v>
      </c>
      <c r="E1122" s="47"/>
      <c r="F1122" s="47" t="s">
        <v>8781</v>
      </c>
      <c r="G1122" s="363">
        <v>46049</v>
      </c>
      <c r="H1122" s="47" t="s">
        <v>8782</v>
      </c>
      <c r="I1122" s="47" t="s">
        <v>8783</v>
      </c>
      <c r="J1122" s="47" t="s">
        <v>3850</v>
      </c>
    </row>
    <row r="1123" spans="2:10" ht="14.5">
      <c r="B1123" s="47" t="s">
        <v>3914</v>
      </c>
      <c r="C1123" s="47" t="s">
        <v>64</v>
      </c>
      <c r="D1123" s="47" t="s">
        <v>10066</v>
      </c>
      <c r="E1123" s="47"/>
      <c r="F1123" s="47" t="s">
        <v>8781</v>
      </c>
      <c r="G1123" s="363">
        <v>46076</v>
      </c>
      <c r="H1123" s="47" t="s">
        <v>8782</v>
      </c>
      <c r="I1123" s="47" t="s">
        <v>8783</v>
      </c>
      <c r="J1123" s="47" t="s">
        <v>10067</v>
      </c>
    </row>
    <row r="1124" spans="2:10" ht="14.5">
      <c r="B1124" s="47" t="s">
        <v>4075</v>
      </c>
      <c r="C1124" s="47" t="s">
        <v>64</v>
      </c>
      <c r="D1124" s="47" t="s">
        <v>10068</v>
      </c>
      <c r="E1124" s="47"/>
      <c r="F1124" s="47" t="s">
        <v>8781</v>
      </c>
      <c r="G1124" s="363">
        <v>46078</v>
      </c>
      <c r="H1124" s="47" t="s">
        <v>8782</v>
      </c>
      <c r="I1124" s="47" t="s">
        <v>8783</v>
      </c>
      <c r="J1124" s="47" t="s">
        <v>10069</v>
      </c>
    </row>
    <row r="1125" spans="2:10" ht="14.5">
      <c r="B1125" s="47" t="s">
        <v>3888</v>
      </c>
      <c r="C1125" s="47" t="s">
        <v>64</v>
      </c>
      <c r="D1125" s="47" t="s">
        <v>10070</v>
      </c>
      <c r="E1125" s="47"/>
      <c r="F1125" s="47" t="s">
        <v>8781</v>
      </c>
      <c r="G1125" s="363">
        <v>46050</v>
      </c>
      <c r="H1125" s="47" t="s">
        <v>8782</v>
      </c>
      <c r="I1125" s="47" t="s">
        <v>8783</v>
      </c>
      <c r="J1125" s="47" t="s">
        <v>10071</v>
      </c>
    </row>
    <row r="1126" spans="2:10" ht="14.5">
      <c r="B1126" s="47" t="s">
        <v>3760</v>
      </c>
      <c r="C1126" s="47" t="s">
        <v>64</v>
      </c>
      <c r="D1126" s="47" t="s">
        <v>10072</v>
      </c>
      <c r="E1126" s="47"/>
      <c r="F1126" s="47" t="s">
        <v>8781</v>
      </c>
      <c r="G1126" s="363">
        <v>46050</v>
      </c>
      <c r="H1126" s="47" t="s">
        <v>8782</v>
      </c>
      <c r="I1126" s="47" t="s">
        <v>8783</v>
      </c>
      <c r="J1126" s="47" t="s">
        <v>10073</v>
      </c>
    </row>
    <row r="1127" spans="2:10" ht="14.5">
      <c r="B1127" s="47" t="s">
        <v>3766</v>
      </c>
      <c r="C1127" s="47" t="s">
        <v>64</v>
      </c>
      <c r="D1127" s="47" t="s">
        <v>10074</v>
      </c>
      <c r="E1127" s="47"/>
      <c r="F1127" s="47" t="s">
        <v>8781</v>
      </c>
      <c r="G1127" s="363">
        <v>46064</v>
      </c>
      <c r="H1127" s="47" t="s">
        <v>8782</v>
      </c>
      <c r="I1127" s="47" t="s">
        <v>8783</v>
      </c>
      <c r="J1127" s="47" t="s">
        <v>10075</v>
      </c>
    </row>
    <row r="1128" spans="2:10" ht="14.5">
      <c r="B1128" s="47" t="s">
        <v>3798</v>
      </c>
      <c r="C1128" s="47" t="s">
        <v>64</v>
      </c>
      <c r="D1128" s="47" t="s">
        <v>10076</v>
      </c>
      <c r="E1128" s="47"/>
      <c r="F1128" s="47" t="s">
        <v>8781</v>
      </c>
      <c r="G1128" s="363">
        <v>46066</v>
      </c>
      <c r="H1128" s="47" t="s">
        <v>8782</v>
      </c>
      <c r="I1128" s="47" t="s">
        <v>8783</v>
      </c>
      <c r="J1128" s="47" t="s">
        <v>10077</v>
      </c>
    </row>
    <row r="1129" spans="2:10" ht="14.5">
      <c r="B1129" s="47" t="s">
        <v>3744</v>
      </c>
      <c r="C1129" s="47" t="s">
        <v>64</v>
      </c>
      <c r="D1129" s="47" t="s">
        <v>10078</v>
      </c>
      <c r="E1129" s="47"/>
      <c r="F1129" s="47" t="s">
        <v>8781</v>
      </c>
      <c r="G1129" s="363">
        <v>46052</v>
      </c>
      <c r="H1129" s="47" t="s">
        <v>8782</v>
      </c>
      <c r="I1129" s="47" t="s">
        <v>8783</v>
      </c>
      <c r="J1129" s="47" t="s">
        <v>10079</v>
      </c>
    </row>
    <row r="1130" spans="2:10" ht="14.5">
      <c r="B1130" s="47" t="s">
        <v>3750</v>
      </c>
      <c r="C1130" s="47" t="s">
        <v>64</v>
      </c>
      <c r="D1130" s="47" t="s">
        <v>10080</v>
      </c>
      <c r="E1130" s="47"/>
      <c r="F1130" s="47" t="s">
        <v>8781</v>
      </c>
      <c r="G1130" s="363">
        <v>46052</v>
      </c>
      <c r="H1130" s="47" t="s">
        <v>8782</v>
      </c>
      <c r="I1130" s="47" t="s">
        <v>8783</v>
      </c>
      <c r="J1130" s="47" t="s">
        <v>10081</v>
      </c>
    </row>
    <row r="1131" spans="2:10" ht="14.5">
      <c r="B1131" s="47" t="s">
        <v>3754</v>
      </c>
      <c r="C1131" s="47" t="s">
        <v>64</v>
      </c>
      <c r="D1131" s="47" t="s">
        <v>10082</v>
      </c>
      <c r="E1131" s="47"/>
      <c r="F1131" s="47" t="s">
        <v>8781</v>
      </c>
      <c r="G1131" s="363">
        <v>46062</v>
      </c>
      <c r="H1131" s="47" t="s">
        <v>8782</v>
      </c>
      <c r="I1131" s="47" t="s">
        <v>8783</v>
      </c>
      <c r="J1131" s="47" t="s">
        <v>10083</v>
      </c>
    </row>
    <row r="1132" spans="2:10" ht="14.5">
      <c r="B1132" s="47" t="s">
        <v>3806</v>
      </c>
      <c r="C1132" s="47" t="s">
        <v>64</v>
      </c>
      <c r="D1132" s="47" t="s">
        <v>10084</v>
      </c>
      <c r="E1132" s="47"/>
      <c r="F1132" s="47" t="s">
        <v>8781</v>
      </c>
      <c r="G1132" s="363">
        <v>46066</v>
      </c>
      <c r="H1132" s="47" t="s">
        <v>8782</v>
      </c>
      <c r="I1132" s="47" t="s">
        <v>8783</v>
      </c>
      <c r="J1132" s="47" t="s">
        <v>10085</v>
      </c>
    </row>
    <row r="1133" spans="2:10" ht="14.5">
      <c r="B1133" s="47" t="s">
        <v>3839</v>
      </c>
      <c r="C1133" s="47" t="s">
        <v>64</v>
      </c>
      <c r="D1133" s="47" t="s">
        <v>10086</v>
      </c>
      <c r="E1133" s="47"/>
      <c r="F1133" s="47" t="s">
        <v>8781</v>
      </c>
      <c r="G1133" s="363">
        <v>46049</v>
      </c>
      <c r="H1133" s="47" t="s">
        <v>8782</v>
      </c>
      <c r="I1133" s="47" t="s">
        <v>8783</v>
      </c>
      <c r="J1133" s="47">
        <v>371009167</v>
      </c>
    </row>
    <row r="1134" spans="2:10" ht="14.5">
      <c r="B1134" s="47" t="s">
        <v>3835</v>
      </c>
      <c r="C1134" s="47" t="s">
        <v>64</v>
      </c>
      <c r="D1134" s="47" t="s">
        <v>10087</v>
      </c>
      <c r="E1134" s="47"/>
      <c r="F1134" s="47" t="s">
        <v>8781</v>
      </c>
      <c r="G1134" s="363">
        <v>46049</v>
      </c>
      <c r="H1134" s="47" t="s">
        <v>8782</v>
      </c>
      <c r="I1134" s="47" t="s">
        <v>8783</v>
      </c>
      <c r="J1134" s="47" t="s">
        <v>3833</v>
      </c>
    </row>
    <row r="1135" spans="2:10" ht="14.5">
      <c r="B1135" s="47" t="s">
        <v>3864</v>
      </c>
      <c r="C1135" s="47" t="s">
        <v>64</v>
      </c>
      <c r="D1135" s="47" t="s">
        <v>10088</v>
      </c>
      <c r="E1135" s="47"/>
      <c r="F1135" s="47" t="s">
        <v>8781</v>
      </c>
      <c r="G1135" s="363">
        <v>46055</v>
      </c>
      <c r="H1135" s="47" t="s">
        <v>8782</v>
      </c>
      <c r="I1135" s="47" t="s">
        <v>8783</v>
      </c>
      <c r="J1135" s="47" t="s">
        <v>3863</v>
      </c>
    </row>
    <row r="1136" spans="2:10" ht="14.5">
      <c r="B1136" s="47" t="s">
        <v>3728</v>
      </c>
      <c r="C1136" s="47" t="s">
        <v>64</v>
      </c>
      <c r="D1136" s="47" t="s">
        <v>10089</v>
      </c>
      <c r="E1136" s="47"/>
      <c r="F1136" s="47" t="s">
        <v>8781</v>
      </c>
      <c r="G1136" s="363">
        <v>46044</v>
      </c>
      <c r="H1136" s="47" t="s">
        <v>8782</v>
      </c>
      <c r="I1136" s="47" t="s">
        <v>8783</v>
      </c>
      <c r="J1136" s="47" t="s">
        <v>3727</v>
      </c>
    </row>
    <row r="1137" spans="2:10" ht="14.5">
      <c r="B1137" s="47" t="s">
        <v>3860</v>
      </c>
      <c r="C1137" s="47" t="s">
        <v>64</v>
      </c>
      <c r="D1137" s="47" t="s">
        <v>10090</v>
      </c>
      <c r="E1137" s="47"/>
      <c r="F1137" s="47" t="s">
        <v>8781</v>
      </c>
      <c r="G1137" s="363">
        <v>46063</v>
      </c>
      <c r="H1137" s="47" t="s">
        <v>8782</v>
      </c>
      <c r="I1137" s="47" t="s">
        <v>8783</v>
      </c>
      <c r="J1137" s="47" t="s">
        <v>3859</v>
      </c>
    </row>
    <row r="1138" spans="2:10" ht="14.5">
      <c r="B1138" s="47" t="s">
        <v>3856</v>
      </c>
      <c r="C1138" s="47" t="s">
        <v>64</v>
      </c>
      <c r="D1138" s="47" t="s">
        <v>10091</v>
      </c>
      <c r="E1138" s="47"/>
      <c r="F1138" s="47" t="s">
        <v>8781</v>
      </c>
      <c r="G1138" s="363">
        <v>46063</v>
      </c>
      <c r="H1138" s="47" t="s">
        <v>8782</v>
      </c>
      <c r="I1138" s="47" t="s">
        <v>8783</v>
      </c>
      <c r="J1138" s="47" t="s">
        <v>3854</v>
      </c>
    </row>
    <row r="1139" spans="2:10" ht="14.5">
      <c r="B1139" s="47" t="s">
        <v>3912</v>
      </c>
      <c r="C1139" s="47" t="s">
        <v>64</v>
      </c>
      <c r="D1139" s="47" t="s">
        <v>10092</v>
      </c>
      <c r="E1139" s="47"/>
      <c r="F1139" s="47" t="s">
        <v>8781</v>
      </c>
      <c r="G1139" s="363">
        <v>46057</v>
      </c>
      <c r="H1139" s="47" t="s">
        <v>8782</v>
      </c>
      <c r="I1139" s="47" t="s">
        <v>8783</v>
      </c>
      <c r="J1139" s="47" t="s">
        <v>3911</v>
      </c>
    </row>
    <row r="1140" spans="2:10" ht="14.5">
      <c r="B1140" s="47" t="s">
        <v>4108</v>
      </c>
      <c r="C1140" s="47" t="s">
        <v>64</v>
      </c>
      <c r="D1140" s="47" t="s">
        <v>10093</v>
      </c>
      <c r="E1140" s="47"/>
      <c r="F1140" s="47" t="s">
        <v>8781</v>
      </c>
      <c r="G1140" s="363">
        <v>46063</v>
      </c>
      <c r="H1140" s="47" t="s">
        <v>8782</v>
      </c>
      <c r="I1140" s="47" t="s">
        <v>8783</v>
      </c>
      <c r="J1140" s="47" t="s">
        <v>4107</v>
      </c>
    </row>
    <row r="1141" spans="2:10" ht="14.5">
      <c r="B1141" s="47" t="s">
        <v>3910</v>
      </c>
      <c r="C1141" s="47" t="s">
        <v>64</v>
      </c>
      <c r="D1141" s="47" t="s">
        <v>10094</v>
      </c>
      <c r="E1141" s="47"/>
      <c r="F1141" s="47" t="s">
        <v>8781</v>
      </c>
      <c r="G1141" s="363">
        <v>46057</v>
      </c>
      <c r="H1141" s="47" t="s">
        <v>8782</v>
      </c>
      <c r="I1141" s="47" t="s">
        <v>8783</v>
      </c>
      <c r="J1141" s="47" t="s">
        <v>3909</v>
      </c>
    </row>
    <row r="1142" spans="2:10" ht="14.5">
      <c r="B1142" s="47" t="s">
        <v>4106</v>
      </c>
      <c r="C1142" s="47" t="s">
        <v>64</v>
      </c>
      <c r="D1142" s="47" t="s">
        <v>10095</v>
      </c>
      <c r="E1142" s="47"/>
      <c r="F1142" s="47" t="s">
        <v>8781</v>
      </c>
      <c r="G1142" s="363">
        <v>46057</v>
      </c>
      <c r="H1142" s="47" t="s">
        <v>8782</v>
      </c>
      <c r="I1142" s="47" t="s">
        <v>8783</v>
      </c>
      <c r="J1142" s="47" t="s">
        <v>4105</v>
      </c>
    </row>
    <row r="1143" spans="2:10" ht="14.5">
      <c r="B1143" s="47" t="s">
        <v>4100</v>
      </c>
      <c r="C1143" s="47" t="s">
        <v>64</v>
      </c>
      <c r="D1143" s="47" t="s">
        <v>10096</v>
      </c>
      <c r="E1143" s="47"/>
      <c r="F1143" s="47" t="s">
        <v>8781</v>
      </c>
      <c r="G1143" s="363">
        <v>46057</v>
      </c>
      <c r="H1143" s="47" t="s">
        <v>8782</v>
      </c>
      <c r="I1143" s="47" t="s">
        <v>8783</v>
      </c>
      <c r="J1143" s="47" t="s">
        <v>4099</v>
      </c>
    </row>
    <row r="1144" spans="2:10" ht="14.5">
      <c r="B1144" s="47" t="s">
        <v>3938</v>
      </c>
      <c r="C1144" s="47" t="s">
        <v>64</v>
      </c>
      <c r="D1144" s="47" t="s">
        <v>10097</v>
      </c>
      <c r="E1144" s="47"/>
      <c r="F1144" s="47" t="s">
        <v>8781</v>
      </c>
      <c r="G1144" s="363">
        <v>46071</v>
      </c>
      <c r="H1144" s="47" t="s">
        <v>8782</v>
      </c>
      <c r="I1144" s="47" t="s">
        <v>8783</v>
      </c>
      <c r="J1144" s="47" t="s">
        <v>3937</v>
      </c>
    </row>
    <row r="1145" spans="2:10" ht="14.5">
      <c r="B1145" s="47" t="s">
        <v>3942</v>
      </c>
      <c r="C1145" s="47" t="s">
        <v>64</v>
      </c>
      <c r="D1145" s="47" t="s">
        <v>10098</v>
      </c>
      <c r="E1145" s="47"/>
      <c r="F1145" s="47" t="s">
        <v>8781</v>
      </c>
      <c r="G1145" s="363">
        <v>46071</v>
      </c>
      <c r="H1145" s="47" t="s">
        <v>8782</v>
      </c>
      <c r="I1145" s="47" t="s">
        <v>8783</v>
      </c>
      <c r="J1145" s="47" t="s">
        <v>3941</v>
      </c>
    </row>
    <row r="1146" spans="2:10" ht="14.5">
      <c r="B1146" s="47" t="s">
        <v>3869</v>
      </c>
      <c r="C1146" s="47" t="s">
        <v>64</v>
      </c>
      <c r="D1146" s="47" t="s">
        <v>10099</v>
      </c>
      <c r="E1146" s="47"/>
      <c r="F1146" s="47" t="s">
        <v>8781</v>
      </c>
      <c r="G1146" s="363">
        <v>46071</v>
      </c>
      <c r="H1146" s="47" t="s">
        <v>8782</v>
      </c>
      <c r="I1146" s="47" t="s">
        <v>8783</v>
      </c>
      <c r="J1146" s="47" t="s">
        <v>3868</v>
      </c>
    </row>
    <row r="1147" spans="2:10" ht="14.5">
      <c r="B1147" s="47" t="s">
        <v>3958</v>
      </c>
      <c r="C1147" s="47" t="s">
        <v>64</v>
      </c>
      <c r="D1147" s="47" t="s">
        <v>10100</v>
      </c>
      <c r="E1147" s="47"/>
      <c r="F1147" s="47" t="s">
        <v>8781</v>
      </c>
      <c r="G1147" s="363">
        <v>46076</v>
      </c>
      <c r="H1147" s="47" t="s">
        <v>8782</v>
      </c>
      <c r="I1147" s="47" t="s">
        <v>8783</v>
      </c>
      <c r="J1147" s="47" t="s">
        <v>3957</v>
      </c>
    </row>
    <row r="1148" spans="2:10" ht="14.5">
      <c r="B1148" s="47" t="s">
        <v>4176</v>
      </c>
      <c r="C1148" s="47" t="s">
        <v>64</v>
      </c>
      <c r="D1148" s="47" t="s">
        <v>10101</v>
      </c>
      <c r="E1148" s="47"/>
      <c r="F1148" s="47" t="s">
        <v>8781</v>
      </c>
      <c r="G1148" s="363">
        <v>46071</v>
      </c>
      <c r="H1148" s="47" t="s">
        <v>8782</v>
      </c>
      <c r="I1148" s="47" t="s">
        <v>8783</v>
      </c>
      <c r="J1148" s="47"/>
    </row>
    <row r="1149" spans="2:10" ht="14.5">
      <c r="B1149" s="47" t="s">
        <v>4117</v>
      </c>
      <c r="C1149" s="47" t="s">
        <v>64</v>
      </c>
      <c r="D1149" s="47" t="s">
        <v>10102</v>
      </c>
      <c r="E1149" s="47"/>
      <c r="F1149" s="47" t="s">
        <v>8781</v>
      </c>
      <c r="G1149" s="363">
        <v>46070</v>
      </c>
      <c r="H1149" s="47" t="s">
        <v>8782</v>
      </c>
      <c r="I1149" s="47" t="s">
        <v>8783</v>
      </c>
      <c r="J1149" s="47" t="s">
        <v>4116</v>
      </c>
    </row>
    <row r="1150" spans="2:10" ht="14.5">
      <c r="B1150" s="47" t="s">
        <v>3905</v>
      </c>
      <c r="C1150" s="47" t="s">
        <v>64</v>
      </c>
      <c r="D1150" s="47" t="s">
        <v>10103</v>
      </c>
      <c r="E1150" s="47"/>
      <c r="F1150" s="47" t="s">
        <v>8781</v>
      </c>
      <c r="G1150" s="363">
        <v>46057</v>
      </c>
      <c r="H1150" s="47" t="s">
        <v>8782</v>
      </c>
      <c r="I1150" s="47" t="s">
        <v>8783</v>
      </c>
      <c r="J1150" s="47" t="s">
        <v>3904</v>
      </c>
    </row>
    <row r="1151" spans="2:10" ht="14.5">
      <c r="B1151" s="47" t="s">
        <v>4122</v>
      </c>
      <c r="C1151" s="47" t="s">
        <v>64</v>
      </c>
      <c r="D1151" s="47" t="s">
        <v>10104</v>
      </c>
      <c r="E1151" s="47"/>
      <c r="F1151" s="47" t="s">
        <v>8781</v>
      </c>
      <c r="G1151" s="363">
        <v>46063</v>
      </c>
      <c r="H1151" s="47" t="s">
        <v>8782</v>
      </c>
      <c r="I1151" s="47" t="s">
        <v>8783</v>
      </c>
      <c r="J1151" s="47" t="s">
        <v>4121</v>
      </c>
    </row>
    <row r="1152" spans="2:10" ht="14.5">
      <c r="B1152" s="47" t="s">
        <v>10105</v>
      </c>
      <c r="C1152" s="47" t="s">
        <v>64</v>
      </c>
      <c r="D1152" s="47" t="s">
        <v>10106</v>
      </c>
      <c r="E1152" s="47"/>
      <c r="F1152" s="47" t="s">
        <v>8781</v>
      </c>
      <c r="G1152" s="363">
        <v>46085</v>
      </c>
      <c r="H1152" s="47" t="s">
        <v>8930</v>
      </c>
      <c r="I1152" s="47" t="s">
        <v>8783</v>
      </c>
      <c r="J1152" s="47" t="s">
        <v>4133</v>
      </c>
    </row>
    <row r="1153" spans="2:10" ht="14.5">
      <c r="B1153" s="47" t="s">
        <v>10107</v>
      </c>
      <c r="C1153" s="47" t="s">
        <v>64</v>
      </c>
      <c r="D1153" s="47" t="s">
        <v>10108</v>
      </c>
      <c r="E1153" s="47"/>
      <c r="F1153" s="47" t="s">
        <v>8781</v>
      </c>
      <c r="G1153" s="363">
        <v>46085</v>
      </c>
      <c r="H1153" s="47" t="s">
        <v>8930</v>
      </c>
      <c r="I1153" s="47" t="s">
        <v>8783</v>
      </c>
      <c r="J1153" s="47" t="s">
        <v>4141</v>
      </c>
    </row>
    <row r="1154" spans="2:10" ht="14.5">
      <c r="B1154" s="47" t="s">
        <v>3960</v>
      </c>
      <c r="C1154" s="47" t="s">
        <v>64</v>
      </c>
      <c r="D1154" s="47" t="s">
        <v>10109</v>
      </c>
      <c r="E1154" s="47"/>
      <c r="F1154" s="47" t="s">
        <v>8781</v>
      </c>
      <c r="G1154" s="363">
        <v>46076</v>
      </c>
      <c r="H1154" s="47" t="s">
        <v>8782</v>
      </c>
      <c r="I1154" s="47" t="s">
        <v>8783</v>
      </c>
      <c r="J1154" s="47"/>
    </row>
    <row r="1155" spans="2:10" ht="14.5">
      <c r="B1155" s="47" t="s">
        <v>4104</v>
      </c>
      <c r="C1155" s="47" t="s">
        <v>64</v>
      </c>
      <c r="D1155" s="47" t="s">
        <v>10110</v>
      </c>
      <c r="E1155" s="47"/>
      <c r="F1155" s="47" t="s">
        <v>8781</v>
      </c>
      <c r="G1155" s="363">
        <v>46062</v>
      </c>
      <c r="H1155" s="47" t="s">
        <v>8782</v>
      </c>
      <c r="I1155" s="47" t="s">
        <v>8783</v>
      </c>
      <c r="J1155" s="47"/>
    </row>
    <row r="1156" spans="2:10" ht="14.5">
      <c r="B1156" s="47" t="s">
        <v>4204</v>
      </c>
      <c r="C1156" s="47" t="s">
        <v>64</v>
      </c>
      <c r="D1156" s="47" t="s">
        <v>10111</v>
      </c>
      <c r="E1156" s="47"/>
      <c r="F1156" s="47" t="s">
        <v>8781</v>
      </c>
      <c r="G1156" s="363">
        <v>46078</v>
      </c>
      <c r="H1156" s="47" t="s">
        <v>8782</v>
      </c>
      <c r="I1156" s="47" t="s">
        <v>8783</v>
      </c>
      <c r="J1156" s="47" t="s">
        <v>4203</v>
      </c>
    </row>
    <row r="1157" spans="2:10" ht="14.5">
      <c r="B1157" s="47" t="s">
        <v>10112</v>
      </c>
      <c r="C1157" s="47" t="s">
        <v>64</v>
      </c>
      <c r="D1157" s="47" t="s">
        <v>10113</v>
      </c>
      <c r="E1157" s="47"/>
      <c r="F1157" s="47" t="s">
        <v>8781</v>
      </c>
      <c r="G1157" s="363">
        <v>46085</v>
      </c>
      <c r="H1157" s="47" t="s">
        <v>8930</v>
      </c>
      <c r="I1157" s="47" t="s">
        <v>8783</v>
      </c>
      <c r="J1157" s="47" t="s">
        <v>4143</v>
      </c>
    </row>
    <row r="1158" spans="2:10" ht="14.5">
      <c r="B1158" s="47" t="s">
        <v>4194</v>
      </c>
      <c r="C1158" s="47" t="s">
        <v>64</v>
      </c>
      <c r="D1158" s="47" t="s">
        <v>10114</v>
      </c>
      <c r="E1158" s="47"/>
      <c r="F1158" s="47" t="s">
        <v>8781</v>
      </c>
      <c r="G1158" s="363">
        <v>46083</v>
      </c>
      <c r="H1158" s="47" t="s">
        <v>8782</v>
      </c>
      <c r="I1158" s="47" t="s">
        <v>8783</v>
      </c>
      <c r="J1158" s="47"/>
    </row>
    <row r="1159" spans="2:10" ht="14.5">
      <c r="B1159" s="47" t="s">
        <v>4208</v>
      </c>
      <c r="C1159" s="47" t="s">
        <v>64</v>
      </c>
      <c r="D1159" s="47" t="s">
        <v>10115</v>
      </c>
      <c r="E1159" s="47"/>
      <c r="F1159" s="47" t="s">
        <v>8781</v>
      </c>
      <c r="G1159" s="363">
        <v>46078</v>
      </c>
      <c r="H1159" s="47" t="s">
        <v>8782</v>
      </c>
      <c r="I1159" s="47" t="s">
        <v>8783</v>
      </c>
      <c r="J1159" s="47"/>
    </row>
    <row r="1160" spans="2:10" ht="14.5">
      <c r="B1160" s="47" t="s">
        <v>4200</v>
      </c>
      <c r="C1160" s="47" t="s">
        <v>64</v>
      </c>
      <c r="D1160" s="47" t="s">
        <v>10116</v>
      </c>
      <c r="E1160" s="47"/>
      <c r="F1160" s="47" t="s">
        <v>8781</v>
      </c>
      <c r="G1160" s="363">
        <v>46066</v>
      </c>
      <c r="H1160" s="47" t="s">
        <v>8782</v>
      </c>
      <c r="I1160" s="47" t="s">
        <v>8783</v>
      </c>
      <c r="J1160" s="47"/>
    </row>
    <row r="1161" spans="2:10" ht="14.5">
      <c r="B1161" s="47" t="s">
        <v>4124</v>
      </c>
      <c r="C1161" s="47" t="s">
        <v>64</v>
      </c>
      <c r="D1161" s="47" t="s">
        <v>10117</v>
      </c>
      <c r="E1161" s="47"/>
      <c r="F1161" s="47" t="s">
        <v>8781</v>
      </c>
      <c r="G1161" s="363">
        <v>46086</v>
      </c>
      <c r="H1161" s="47" t="s">
        <v>8782</v>
      </c>
      <c r="I1161" s="47" t="s">
        <v>8783</v>
      </c>
      <c r="J1161" s="47"/>
    </row>
    <row r="1162" spans="2:10" ht="14.5">
      <c r="B1162" s="47" t="s">
        <v>4130</v>
      </c>
      <c r="C1162" s="47" t="s">
        <v>64</v>
      </c>
      <c r="D1162" s="47" t="s">
        <v>10118</v>
      </c>
      <c r="E1162" s="47"/>
      <c r="F1162" s="47" t="s">
        <v>8781</v>
      </c>
      <c r="G1162" s="363">
        <v>46086</v>
      </c>
      <c r="H1162" s="47" t="s">
        <v>8782</v>
      </c>
      <c r="I1162" s="47" t="s">
        <v>8783</v>
      </c>
      <c r="J1162" s="47"/>
    </row>
    <row r="1163" spans="2:10" ht="14.5">
      <c r="B1163" s="47" t="s">
        <v>4234</v>
      </c>
      <c r="C1163" s="47" t="s">
        <v>64</v>
      </c>
      <c r="D1163" s="47" t="s">
        <v>10119</v>
      </c>
      <c r="E1163" s="47"/>
      <c r="F1163" s="47" t="s">
        <v>8781</v>
      </c>
      <c r="G1163" s="363">
        <v>46070</v>
      </c>
      <c r="H1163" s="47" t="s">
        <v>8782</v>
      </c>
      <c r="I1163" s="47" t="s">
        <v>8783</v>
      </c>
      <c r="J1163" s="47"/>
    </row>
    <row r="1164" spans="2:10" ht="14.5">
      <c r="B1164" s="47" t="s">
        <v>4229</v>
      </c>
      <c r="C1164" s="47" t="s">
        <v>64</v>
      </c>
      <c r="D1164" s="47" t="s">
        <v>10120</v>
      </c>
      <c r="E1164" s="47"/>
      <c r="F1164" s="47" t="s">
        <v>8781</v>
      </c>
      <c r="G1164" s="363">
        <v>46070</v>
      </c>
      <c r="H1164" s="47" t="s">
        <v>8782</v>
      </c>
      <c r="I1164" s="47" t="s">
        <v>8783</v>
      </c>
      <c r="J1164" s="47"/>
    </row>
    <row r="1165" spans="2:10" ht="14.5">
      <c r="B1165" s="47" t="s">
        <v>10121</v>
      </c>
      <c r="C1165" s="47" t="s">
        <v>64</v>
      </c>
      <c r="D1165" s="47" t="s">
        <v>10122</v>
      </c>
      <c r="E1165" s="47"/>
      <c r="F1165" s="47" t="s">
        <v>8781</v>
      </c>
      <c r="G1165" s="363">
        <v>46085</v>
      </c>
      <c r="H1165" s="47" t="s">
        <v>8930</v>
      </c>
      <c r="I1165" s="47" t="s">
        <v>8783</v>
      </c>
      <c r="J1165" s="47" t="s">
        <v>4139</v>
      </c>
    </row>
    <row r="1166" spans="2:10" ht="14.5">
      <c r="B1166" s="47" t="s">
        <v>4219</v>
      </c>
      <c r="C1166" s="47" t="s">
        <v>64</v>
      </c>
      <c r="D1166" s="47" t="s">
        <v>10123</v>
      </c>
      <c r="E1166" s="47"/>
      <c r="F1166" s="47" t="s">
        <v>8781</v>
      </c>
      <c r="G1166" s="363">
        <v>46077</v>
      </c>
      <c r="H1166" s="47" t="s">
        <v>8782</v>
      </c>
      <c r="I1166" s="47" t="s">
        <v>8783</v>
      </c>
      <c r="J1166" s="47" t="s">
        <v>4218</v>
      </c>
    </row>
    <row r="1167" spans="2:10" ht="14.5">
      <c r="B1167" s="47" t="s">
        <v>4146</v>
      </c>
      <c r="C1167" s="47" t="s">
        <v>64</v>
      </c>
      <c r="D1167" s="47" t="s">
        <v>10124</v>
      </c>
      <c r="E1167" s="47"/>
      <c r="F1167" s="47" t="s">
        <v>8781</v>
      </c>
      <c r="G1167" s="363">
        <v>46083</v>
      </c>
      <c r="H1167" s="47" t="s">
        <v>8782</v>
      </c>
      <c r="I1167" s="47" t="s">
        <v>8783</v>
      </c>
      <c r="J1167" s="47" t="s">
        <v>4145</v>
      </c>
    </row>
    <row r="1168" spans="2:10" ht="14.5">
      <c r="B1168" s="47" t="s">
        <v>4152</v>
      </c>
      <c r="C1168" s="47" t="s">
        <v>64</v>
      </c>
      <c r="D1168" s="47" t="s">
        <v>10125</v>
      </c>
      <c r="E1168" s="47"/>
      <c r="F1168" s="47" t="s">
        <v>8781</v>
      </c>
      <c r="G1168" s="363">
        <v>46083</v>
      </c>
      <c r="H1168" s="47" t="s">
        <v>8782</v>
      </c>
      <c r="I1168" s="47" t="s">
        <v>8783</v>
      </c>
      <c r="J1168" s="47"/>
    </row>
    <row r="1169" spans="2:10" ht="14.5">
      <c r="B1169" s="47" t="s">
        <v>4185</v>
      </c>
      <c r="C1169" s="47" t="s">
        <v>64</v>
      </c>
      <c r="D1169" s="47" t="s">
        <v>10126</v>
      </c>
      <c r="E1169" s="47"/>
      <c r="F1169" s="47" t="s">
        <v>8781</v>
      </c>
      <c r="G1169" s="363">
        <v>46065</v>
      </c>
      <c r="H1169" s="47" t="s">
        <v>8782</v>
      </c>
      <c r="I1169" s="47" t="s">
        <v>8783</v>
      </c>
      <c r="J1169" s="47" t="s">
        <v>4184</v>
      </c>
    </row>
    <row r="1170" spans="2:10" ht="14.5">
      <c r="B1170" s="47" t="s">
        <v>4192</v>
      </c>
      <c r="C1170" s="47" t="s">
        <v>64</v>
      </c>
      <c r="D1170" s="47" t="s">
        <v>10127</v>
      </c>
      <c r="E1170" s="47"/>
      <c r="F1170" s="47" t="s">
        <v>8781</v>
      </c>
      <c r="G1170" s="363">
        <v>46065</v>
      </c>
      <c r="H1170" s="47" t="s">
        <v>8782</v>
      </c>
      <c r="I1170" s="47" t="s">
        <v>8783</v>
      </c>
      <c r="J1170" s="47" t="s">
        <v>4191</v>
      </c>
    </row>
    <row r="1171" spans="2:10" ht="14.5">
      <c r="B1171" s="47" t="s">
        <v>4190</v>
      </c>
      <c r="C1171" s="47" t="s">
        <v>64</v>
      </c>
      <c r="D1171" s="47" t="s">
        <v>10128</v>
      </c>
      <c r="E1171" s="47"/>
      <c r="F1171" s="47" t="s">
        <v>8781</v>
      </c>
      <c r="G1171" s="363">
        <v>46061</v>
      </c>
      <c r="H1171" s="47" t="s">
        <v>8782</v>
      </c>
      <c r="I1171" s="47" t="s">
        <v>8783</v>
      </c>
      <c r="J1171" s="47"/>
    </row>
    <row r="1172" spans="2:10" ht="14.5">
      <c r="B1172" s="47" t="s">
        <v>4154</v>
      </c>
      <c r="C1172" s="47" t="s">
        <v>64</v>
      </c>
      <c r="D1172" s="47" t="s">
        <v>10129</v>
      </c>
      <c r="E1172" s="47"/>
      <c r="F1172" s="47" t="s">
        <v>8781</v>
      </c>
      <c r="G1172" s="363">
        <v>46083</v>
      </c>
      <c r="H1172" s="47" t="s">
        <v>8782</v>
      </c>
      <c r="I1172" s="47" t="s">
        <v>8783</v>
      </c>
      <c r="J1172" s="47"/>
    </row>
    <row r="1173" spans="2:10" ht="14.5">
      <c r="B1173" s="47" t="s">
        <v>4198</v>
      </c>
      <c r="C1173" s="47" t="s">
        <v>64</v>
      </c>
      <c r="D1173" s="47" t="s">
        <v>10130</v>
      </c>
      <c r="E1173" s="47"/>
      <c r="F1173" s="47" t="s">
        <v>8781</v>
      </c>
      <c r="G1173" s="363">
        <v>46083</v>
      </c>
      <c r="H1173" s="47" t="s">
        <v>8782</v>
      </c>
      <c r="I1173" s="47" t="s">
        <v>8783</v>
      </c>
      <c r="J1173" s="47"/>
    </row>
    <row r="1174" spans="2:10" ht="14.5">
      <c r="B1174" s="47" t="s">
        <v>4180</v>
      </c>
      <c r="C1174" s="47" t="s">
        <v>64</v>
      </c>
      <c r="D1174" s="47" t="s">
        <v>10131</v>
      </c>
      <c r="E1174" s="47"/>
      <c r="F1174" s="47" t="s">
        <v>8781</v>
      </c>
      <c r="G1174" s="363">
        <v>46083</v>
      </c>
      <c r="H1174" s="47" t="s">
        <v>8782</v>
      </c>
      <c r="I1174" s="47" t="s">
        <v>8783</v>
      </c>
      <c r="J1174" s="47"/>
    </row>
    <row r="1175" spans="2:10" ht="14.5">
      <c r="B1175" s="47" t="s">
        <v>4165</v>
      </c>
      <c r="C1175" s="47" t="s">
        <v>64</v>
      </c>
      <c r="D1175" s="47" t="s">
        <v>10132</v>
      </c>
      <c r="E1175" s="47"/>
      <c r="F1175" s="47" t="s">
        <v>8781</v>
      </c>
      <c r="G1175" s="363">
        <v>46083</v>
      </c>
      <c r="H1175" s="47" t="s">
        <v>8782</v>
      </c>
      <c r="I1175" s="47" t="s">
        <v>8783</v>
      </c>
      <c r="J1175" s="47" t="s">
        <v>4164</v>
      </c>
    </row>
    <row r="1176" spans="2:10" ht="14.5">
      <c r="B1176" s="47" t="s">
        <v>4132</v>
      </c>
      <c r="C1176" s="47" t="s">
        <v>64</v>
      </c>
      <c r="D1176" s="47" t="s">
        <v>10133</v>
      </c>
      <c r="E1176" s="47"/>
      <c r="F1176" s="47" t="s">
        <v>8781</v>
      </c>
      <c r="G1176" s="363">
        <v>46086</v>
      </c>
      <c r="H1176" s="47" t="s">
        <v>8782</v>
      </c>
      <c r="I1176" s="47" t="s">
        <v>8783</v>
      </c>
      <c r="J1176" s="47"/>
    </row>
    <row r="1177" spans="2:10" ht="14.5">
      <c r="B1177" s="47" t="s">
        <v>4160</v>
      </c>
      <c r="C1177" s="47" t="s">
        <v>64</v>
      </c>
      <c r="D1177" s="47" t="s">
        <v>10134</v>
      </c>
      <c r="E1177" s="47"/>
      <c r="F1177" s="47" t="s">
        <v>8781</v>
      </c>
      <c r="G1177" s="363">
        <v>46083</v>
      </c>
      <c r="H1177" s="47" t="s">
        <v>8782</v>
      </c>
      <c r="I1177" s="47" t="s">
        <v>8783</v>
      </c>
      <c r="J1177" s="47" t="s">
        <v>4159</v>
      </c>
    </row>
    <row r="1178" spans="2:10" ht="14.5">
      <c r="B1178" s="47" t="s">
        <v>76</v>
      </c>
      <c r="C1178" s="47" t="s">
        <v>64</v>
      </c>
      <c r="D1178" s="47" t="s">
        <v>10135</v>
      </c>
      <c r="E1178" s="47"/>
      <c r="F1178" s="47" t="s">
        <v>8781</v>
      </c>
      <c r="G1178" s="363">
        <v>46112</v>
      </c>
      <c r="H1178" s="47" t="s">
        <v>8782</v>
      </c>
      <c r="I1178" s="47" t="s">
        <v>8783</v>
      </c>
      <c r="J1178" s="47" t="s">
        <v>60</v>
      </c>
    </row>
    <row r="1179" spans="2:10" ht="14.5">
      <c r="B1179" s="47" t="s">
        <v>97</v>
      </c>
      <c r="C1179" s="47" t="s">
        <v>64</v>
      </c>
      <c r="D1179" s="47" t="s">
        <v>10136</v>
      </c>
      <c r="E1179" s="47"/>
      <c r="F1179" s="47" t="s">
        <v>8781</v>
      </c>
      <c r="G1179" s="363">
        <v>46112</v>
      </c>
      <c r="H1179" s="47" t="s">
        <v>8782</v>
      </c>
      <c r="I1179" s="47" t="s">
        <v>8783</v>
      </c>
      <c r="J1179" s="47" t="s">
        <v>95</v>
      </c>
    </row>
    <row r="1180" spans="2:10" ht="14.5">
      <c r="B1180" s="47" t="s">
        <v>93</v>
      </c>
      <c r="C1180" s="47" t="s">
        <v>64</v>
      </c>
      <c r="D1180" s="47" t="s">
        <v>10137</v>
      </c>
      <c r="E1180" s="47"/>
      <c r="F1180" s="47" t="s">
        <v>8781</v>
      </c>
      <c r="G1180" s="363">
        <v>46112</v>
      </c>
      <c r="H1180" s="47" t="s">
        <v>8782</v>
      </c>
      <c r="I1180" s="47" t="s">
        <v>8783</v>
      </c>
      <c r="J1180" s="47" t="s">
        <v>87</v>
      </c>
    </row>
    <row r="1181" spans="2:10" ht="14.5">
      <c r="B1181" s="47" t="s">
        <v>3919</v>
      </c>
      <c r="C1181" s="47" t="s">
        <v>64</v>
      </c>
      <c r="D1181" s="47" t="s">
        <v>10138</v>
      </c>
      <c r="E1181" s="47"/>
      <c r="F1181" s="47" t="s">
        <v>8781</v>
      </c>
      <c r="G1181" s="363">
        <v>46076</v>
      </c>
      <c r="H1181" s="47" t="s">
        <v>8782</v>
      </c>
      <c r="I1181" s="47" t="s">
        <v>8783</v>
      </c>
      <c r="J1181" s="47"/>
    </row>
    <row r="1182" spans="2:10" ht="14.5">
      <c r="B1182" s="47" t="s">
        <v>4215</v>
      </c>
      <c r="C1182" s="47" t="s">
        <v>64</v>
      </c>
      <c r="D1182" s="47" t="s">
        <v>10139</v>
      </c>
      <c r="E1182" s="47"/>
      <c r="F1182" s="47" t="s">
        <v>8781</v>
      </c>
      <c r="G1182" s="363">
        <v>46077</v>
      </c>
      <c r="H1182" s="47" t="s">
        <v>8782</v>
      </c>
      <c r="I1182" s="47" t="s">
        <v>8783</v>
      </c>
      <c r="J1182" s="47" t="s">
        <v>4213</v>
      </c>
    </row>
    <row r="1183" spans="2:10" ht="14.5">
      <c r="B1183" s="47" t="s">
        <v>3717</v>
      </c>
      <c r="C1183" s="47" t="s">
        <v>64</v>
      </c>
      <c r="D1183" s="47">
        <v>371009111</v>
      </c>
      <c r="E1183" s="47"/>
      <c r="F1183" s="47" t="s">
        <v>8781</v>
      </c>
      <c r="G1183" s="363">
        <v>46035</v>
      </c>
      <c r="H1183" s="47" t="s">
        <v>8782</v>
      </c>
      <c r="I1183" s="47" t="s">
        <v>8783</v>
      </c>
      <c r="J1183" s="47"/>
    </row>
    <row r="1184" spans="2:10" ht="14.5">
      <c r="B1184" s="47" t="s">
        <v>4342</v>
      </c>
      <c r="C1184" s="47" t="s">
        <v>8779</v>
      </c>
      <c r="D1184" s="47" t="s">
        <v>10140</v>
      </c>
      <c r="E1184" s="47"/>
      <c r="F1184" s="47" t="s">
        <v>8781</v>
      </c>
      <c r="G1184" s="363">
        <v>46079</v>
      </c>
      <c r="H1184" s="47" t="s">
        <v>8782</v>
      </c>
      <c r="I1184" s="47" t="s">
        <v>8783</v>
      </c>
      <c r="J1184" s="47"/>
    </row>
    <row r="1185" spans="2:10" ht="14.5">
      <c r="B1185" s="47" t="s">
        <v>4346</v>
      </c>
      <c r="C1185" s="47" t="s">
        <v>8779</v>
      </c>
      <c r="D1185" s="47" t="s">
        <v>10141</v>
      </c>
      <c r="E1185" s="47"/>
      <c r="F1185" s="47" t="s">
        <v>8781</v>
      </c>
      <c r="G1185" s="363">
        <v>46086</v>
      </c>
      <c r="H1185" s="47" t="s">
        <v>8782</v>
      </c>
      <c r="I1185" s="47" t="s">
        <v>8783</v>
      </c>
      <c r="J1185" s="47"/>
    </row>
    <row r="1186" spans="2:10" ht="14.5">
      <c r="B1186" s="47" t="s">
        <v>4349</v>
      </c>
      <c r="C1186" s="47" t="s">
        <v>8779</v>
      </c>
      <c r="D1186" s="47" t="s">
        <v>10142</v>
      </c>
      <c r="E1186" s="47"/>
      <c r="F1186" s="47" t="s">
        <v>8781</v>
      </c>
      <c r="G1186" s="363">
        <v>46086</v>
      </c>
      <c r="H1186" s="47" t="s">
        <v>8782</v>
      </c>
      <c r="I1186" s="47" t="s">
        <v>8783</v>
      </c>
      <c r="J1186" s="47"/>
    </row>
    <row r="1187" spans="2:10" ht="14.5">
      <c r="B1187" s="47" t="s">
        <v>3841</v>
      </c>
      <c r="C1187" s="47" t="s">
        <v>64</v>
      </c>
      <c r="D1187" s="47" t="s">
        <v>10143</v>
      </c>
      <c r="E1187" s="47"/>
      <c r="F1187" s="47" t="s">
        <v>8781</v>
      </c>
      <c r="G1187" s="363">
        <v>46069</v>
      </c>
      <c r="H1187" s="47" t="s">
        <v>8782</v>
      </c>
      <c r="I1187" s="47" t="s">
        <v>8783</v>
      </c>
      <c r="J1187" s="47" t="s">
        <v>3840</v>
      </c>
    </row>
    <row r="1188" spans="2:10" ht="14.5">
      <c r="B1188" s="47" t="s">
        <v>3862</v>
      </c>
      <c r="C1188" s="47" t="s">
        <v>64</v>
      </c>
      <c r="D1188" s="47" t="s">
        <v>10144</v>
      </c>
      <c r="E1188" s="47"/>
      <c r="F1188" s="47" t="s">
        <v>8781</v>
      </c>
      <c r="G1188" s="363">
        <v>46063</v>
      </c>
      <c r="H1188" s="47" t="s">
        <v>8782</v>
      </c>
      <c r="I1188" s="47" t="s">
        <v>8783</v>
      </c>
      <c r="J1188" s="47" t="s">
        <v>3861</v>
      </c>
    </row>
    <row r="1189" spans="2:10" ht="14.5">
      <c r="B1189" s="47" t="s">
        <v>3768</v>
      </c>
      <c r="C1189" s="47" t="s">
        <v>64</v>
      </c>
      <c r="D1189" s="47" t="s">
        <v>10145</v>
      </c>
      <c r="E1189" s="47"/>
      <c r="F1189" s="47" t="s">
        <v>8781</v>
      </c>
      <c r="G1189" s="363">
        <v>46052</v>
      </c>
      <c r="H1189" s="47" t="s">
        <v>8782</v>
      </c>
      <c r="I1189" s="47" t="s">
        <v>8783</v>
      </c>
      <c r="J1189" s="47" t="s">
        <v>3767</v>
      </c>
    </row>
    <row r="1190" spans="2:10" ht="14.5">
      <c r="B1190" s="47" t="s">
        <v>4242</v>
      </c>
      <c r="C1190" s="47" t="s">
        <v>64</v>
      </c>
      <c r="D1190" s="47" t="s">
        <v>10146</v>
      </c>
      <c r="E1190" s="47"/>
      <c r="F1190" s="47" t="s">
        <v>8781</v>
      </c>
      <c r="G1190" s="363">
        <v>46059</v>
      </c>
      <c r="H1190" s="47" t="s">
        <v>8782</v>
      </c>
      <c r="I1190" s="47" t="s">
        <v>8783</v>
      </c>
      <c r="J1190" s="47"/>
    </row>
    <row r="1191" spans="2:10" ht="14.5">
      <c r="B1191" s="47" t="s">
        <v>4236</v>
      </c>
      <c r="C1191" s="47" t="s">
        <v>64</v>
      </c>
      <c r="D1191" s="47" t="s">
        <v>10147</v>
      </c>
      <c r="E1191" s="47"/>
      <c r="F1191" s="47" t="s">
        <v>8781</v>
      </c>
      <c r="G1191" s="363">
        <v>46063</v>
      </c>
      <c r="H1191" s="47" t="s">
        <v>8782</v>
      </c>
      <c r="I1191" s="47" t="s">
        <v>8783</v>
      </c>
      <c r="J1191" s="47" t="s">
        <v>4235</v>
      </c>
    </row>
    <row r="1192" spans="2:10" ht="14.5">
      <c r="B1192" s="47" t="s">
        <v>3934</v>
      </c>
      <c r="C1192" s="47" t="s">
        <v>64</v>
      </c>
      <c r="D1192" s="47" t="s">
        <v>10148</v>
      </c>
      <c r="E1192" s="47"/>
      <c r="F1192" s="47" t="s">
        <v>8781</v>
      </c>
      <c r="G1192" s="363">
        <v>46076</v>
      </c>
      <c r="H1192" s="47" t="s">
        <v>8782</v>
      </c>
      <c r="I1192" s="47" t="s">
        <v>8783</v>
      </c>
      <c r="J1192" s="47" t="s">
        <v>3931</v>
      </c>
    </row>
    <row r="1193" spans="2:10" ht="14.5">
      <c r="B1193" s="47" t="s">
        <v>3947</v>
      </c>
      <c r="C1193" s="47" t="s">
        <v>64</v>
      </c>
      <c r="D1193" s="47" t="s">
        <v>10149</v>
      </c>
      <c r="E1193" s="47"/>
      <c r="F1193" s="47" t="s">
        <v>8781</v>
      </c>
      <c r="G1193" s="363">
        <v>46076</v>
      </c>
      <c r="H1193" s="47" t="s">
        <v>8782</v>
      </c>
      <c r="I1193" s="47" t="s">
        <v>8783</v>
      </c>
      <c r="J1193" s="47" t="s">
        <v>3946</v>
      </c>
    </row>
    <row r="1194" spans="2:10" ht="14.5">
      <c r="B1194" s="47" t="s">
        <v>3953</v>
      </c>
      <c r="C1194" s="47" t="s">
        <v>64</v>
      </c>
      <c r="D1194" s="47" t="s">
        <v>10150</v>
      </c>
      <c r="E1194" s="47"/>
      <c r="F1194" s="47" t="s">
        <v>8781</v>
      </c>
      <c r="G1194" s="363">
        <v>46076</v>
      </c>
      <c r="H1194" s="47" t="s">
        <v>8782</v>
      </c>
      <c r="I1194" s="47" t="s">
        <v>8783</v>
      </c>
      <c r="J1194" s="47" t="s">
        <v>3950</v>
      </c>
    </row>
    <row r="1195" spans="2:10" ht="14.5">
      <c r="B1195" s="47" t="s">
        <v>3956</v>
      </c>
      <c r="C1195" s="47" t="s">
        <v>64</v>
      </c>
      <c r="D1195" s="47" t="s">
        <v>10151</v>
      </c>
      <c r="E1195" s="47"/>
      <c r="F1195" s="47" t="s">
        <v>8781</v>
      </c>
      <c r="G1195" s="363">
        <v>46076</v>
      </c>
      <c r="H1195" s="47" t="s">
        <v>8782</v>
      </c>
      <c r="I1195" s="47" t="s">
        <v>8783</v>
      </c>
      <c r="J1195" s="47" t="s">
        <v>3954</v>
      </c>
    </row>
    <row r="1196" spans="2:10" ht="14.5">
      <c r="B1196" s="47" t="s">
        <v>3901</v>
      </c>
      <c r="C1196" s="47" t="s">
        <v>64</v>
      </c>
      <c r="D1196" s="47" t="s">
        <v>10152</v>
      </c>
      <c r="E1196" s="47"/>
      <c r="F1196" s="47" t="s">
        <v>8781</v>
      </c>
      <c r="G1196" s="363">
        <v>46069</v>
      </c>
      <c r="H1196" s="47" t="s">
        <v>8782</v>
      </c>
      <c r="I1196" s="47" t="s">
        <v>8783</v>
      </c>
      <c r="J1196" s="47" t="s">
        <v>3900</v>
      </c>
    </row>
    <row r="1197" spans="2:10" ht="14.5">
      <c r="B1197" s="47" t="s">
        <v>3899</v>
      </c>
      <c r="C1197" s="47" t="s">
        <v>64</v>
      </c>
      <c r="D1197" s="47" t="s">
        <v>10153</v>
      </c>
      <c r="E1197" s="47"/>
      <c r="F1197" s="47" t="s">
        <v>8781</v>
      </c>
      <c r="G1197" s="363">
        <v>46071</v>
      </c>
      <c r="H1197" s="47" t="s">
        <v>8782</v>
      </c>
      <c r="I1197" s="47" t="s">
        <v>8783</v>
      </c>
      <c r="J1197" s="47" t="s">
        <v>3898</v>
      </c>
    </row>
    <row r="1198" spans="2:10" ht="14.5">
      <c r="B1198" s="47" t="s">
        <v>3893</v>
      </c>
      <c r="C1198" s="47" t="s">
        <v>64</v>
      </c>
      <c r="D1198" s="47" t="s">
        <v>10154</v>
      </c>
      <c r="E1198" s="47"/>
      <c r="F1198" s="47" t="s">
        <v>8781</v>
      </c>
      <c r="G1198" s="363">
        <v>46049</v>
      </c>
      <c r="H1198" s="47" t="s">
        <v>8782</v>
      </c>
      <c r="I1198" s="47" t="s">
        <v>8783</v>
      </c>
      <c r="J1198" s="47" t="s">
        <v>3891</v>
      </c>
    </row>
    <row r="1199" spans="2:10" ht="14.5">
      <c r="B1199" s="47" t="s">
        <v>3895</v>
      </c>
      <c r="C1199" s="47" t="s">
        <v>64</v>
      </c>
      <c r="D1199" s="47" t="s">
        <v>10155</v>
      </c>
      <c r="E1199" s="47"/>
      <c r="F1199" s="47" t="s">
        <v>8781</v>
      </c>
      <c r="G1199" s="363">
        <v>46071</v>
      </c>
      <c r="H1199" s="47" t="s">
        <v>8782</v>
      </c>
      <c r="I1199" s="47" t="s">
        <v>8783</v>
      </c>
      <c r="J1199" s="47" t="s">
        <v>3894</v>
      </c>
    </row>
    <row r="1200" spans="2:10" ht="14.5">
      <c r="B1200" s="47" t="s">
        <v>10071</v>
      </c>
      <c r="C1200" s="47" t="s">
        <v>64</v>
      </c>
      <c r="D1200" s="47" t="s">
        <v>10070</v>
      </c>
      <c r="E1200" s="47"/>
      <c r="F1200" s="47" t="s">
        <v>8781</v>
      </c>
      <c r="G1200" s="363">
        <v>46041</v>
      </c>
      <c r="H1200" s="47" t="s">
        <v>8930</v>
      </c>
      <c r="I1200" s="47" t="s">
        <v>8783</v>
      </c>
      <c r="J1200" s="47"/>
    </row>
    <row r="1201" spans="2:10" ht="14.5">
      <c r="B1201" s="47" t="s">
        <v>3821</v>
      </c>
      <c r="C1201" s="47" t="s">
        <v>64</v>
      </c>
      <c r="D1201" s="47" t="s">
        <v>10156</v>
      </c>
      <c r="E1201" s="47"/>
      <c r="F1201" s="47" t="s">
        <v>8781</v>
      </c>
      <c r="G1201" s="363">
        <v>46069</v>
      </c>
      <c r="H1201" s="47" t="s">
        <v>8782</v>
      </c>
      <c r="I1201" s="47" t="s">
        <v>8783</v>
      </c>
      <c r="J1201" s="47" t="s">
        <v>3820</v>
      </c>
    </row>
    <row r="1202" spans="2:10" ht="14.5">
      <c r="B1202" s="47" t="s">
        <v>10085</v>
      </c>
      <c r="C1202" s="47" t="s">
        <v>64</v>
      </c>
      <c r="D1202" s="47" t="s">
        <v>10084</v>
      </c>
      <c r="E1202" s="47"/>
      <c r="F1202" s="47" t="s">
        <v>8781</v>
      </c>
      <c r="G1202" s="363">
        <v>46059</v>
      </c>
      <c r="H1202" s="47" t="s">
        <v>8930</v>
      </c>
      <c r="I1202" s="47" t="s">
        <v>8783</v>
      </c>
      <c r="J1202" s="47"/>
    </row>
    <row r="1203" spans="2:10" ht="14.5">
      <c r="B1203" s="47" t="s">
        <v>3927</v>
      </c>
      <c r="C1203" s="47" t="s">
        <v>64</v>
      </c>
      <c r="D1203" s="47" t="s">
        <v>10157</v>
      </c>
      <c r="E1203" s="47"/>
      <c r="F1203" s="47" t="s">
        <v>8781</v>
      </c>
      <c r="G1203" s="363">
        <v>46063</v>
      </c>
      <c r="H1203" s="47" t="s">
        <v>8782</v>
      </c>
      <c r="I1203" s="47" t="s">
        <v>8783</v>
      </c>
      <c r="J1203" s="47"/>
    </row>
    <row r="1204" spans="2:10" ht="14.5">
      <c r="B1204" s="47" t="s">
        <v>4087</v>
      </c>
      <c r="C1204" s="47" t="s">
        <v>64</v>
      </c>
      <c r="D1204" s="47" t="s">
        <v>10158</v>
      </c>
      <c r="E1204" s="47"/>
      <c r="F1204" s="47" t="s">
        <v>8781</v>
      </c>
      <c r="G1204" s="363">
        <v>46076</v>
      </c>
      <c r="H1204" s="47" t="s">
        <v>8782</v>
      </c>
      <c r="I1204" s="47" t="s">
        <v>8783</v>
      </c>
      <c r="J1204" s="47" t="s">
        <v>4086</v>
      </c>
    </row>
    <row r="1205" spans="2:10" ht="14.5">
      <c r="B1205" s="47" t="s">
        <v>10083</v>
      </c>
      <c r="C1205" s="47" t="s">
        <v>64</v>
      </c>
      <c r="D1205" s="47" t="s">
        <v>10082</v>
      </c>
      <c r="E1205" s="47"/>
      <c r="F1205" s="47" t="s">
        <v>8781</v>
      </c>
      <c r="G1205" s="363">
        <v>46049</v>
      </c>
      <c r="H1205" s="47" t="s">
        <v>8930</v>
      </c>
      <c r="I1205" s="47" t="s">
        <v>8783</v>
      </c>
      <c r="J1205" s="47"/>
    </row>
    <row r="1206" spans="2:10" ht="14.5">
      <c r="B1206" s="47" t="s">
        <v>10075</v>
      </c>
      <c r="C1206" s="47" t="s">
        <v>64</v>
      </c>
      <c r="D1206" s="47" t="s">
        <v>10074</v>
      </c>
      <c r="E1206" s="47"/>
      <c r="F1206" s="47" t="s">
        <v>8781</v>
      </c>
      <c r="G1206" s="363">
        <v>46049</v>
      </c>
      <c r="H1206" s="47" t="s">
        <v>8930</v>
      </c>
      <c r="I1206" s="47" t="s">
        <v>8783</v>
      </c>
      <c r="J1206" s="47"/>
    </row>
    <row r="1207" spans="2:10" ht="14.5">
      <c r="B1207" s="47" t="s">
        <v>10077</v>
      </c>
      <c r="C1207" s="47" t="s">
        <v>64</v>
      </c>
      <c r="D1207" s="47" t="s">
        <v>10076</v>
      </c>
      <c r="E1207" s="47"/>
      <c r="F1207" s="47" t="s">
        <v>8781</v>
      </c>
      <c r="G1207" s="363">
        <v>46059</v>
      </c>
      <c r="H1207" s="47" t="s">
        <v>8930</v>
      </c>
      <c r="I1207" s="47" t="s">
        <v>8783</v>
      </c>
      <c r="J1207" s="47"/>
    </row>
    <row r="1208" spans="2:10" ht="14.5">
      <c r="B1208" s="47" t="s">
        <v>4112</v>
      </c>
      <c r="C1208" s="47" t="s">
        <v>64</v>
      </c>
      <c r="D1208" s="47" t="s">
        <v>10159</v>
      </c>
      <c r="E1208" s="47"/>
      <c r="F1208" s="47" t="s">
        <v>8781</v>
      </c>
      <c r="G1208" s="363">
        <v>46056</v>
      </c>
      <c r="H1208" s="47" t="s">
        <v>8782</v>
      </c>
      <c r="I1208" s="47" t="s">
        <v>8783</v>
      </c>
      <c r="J1208" s="47" t="s">
        <v>4111</v>
      </c>
    </row>
    <row r="1209" spans="2:10" ht="14.5">
      <c r="B1209" s="47" t="s">
        <v>4079</v>
      </c>
      <c r="C1209" s="47" t="s">
        <v>64</v>
      </c>
      <c r="D1209" s="47" t="s">
        <v>10160</v>
      </c>
      <c r="E1209" s="47"/>
      <c r="F1209" s="47" t="s">
        <v>8781</v>
      </c>
      <c r="G1209" s="363">
        <v>46078</v>
      </c>
      <c r="H1209" s="47" t="s">
        <v>8782</v>
      </c>
      <c r="I1209" s="47" t="s">
        <v>8783</v>
      </c>
      <c r="J1209" s="47"/>
    </row>
    <row r="1210" spans="2:10" ht="14.5">
      <c r="B1210" s="47" t="s">
        <v>10067</v>
      </c>
      <c r="C1210" s="47" t="s">
        <v>64</v>
      </c>
      <c r="D1210" s="47" t="s">
        <v>10066</v>
      </c>
      <c r="E1210" s="47"/>
      <c r="F1210" s="47" t="s">
        <v>8781</v>
      </c>
      <c r="G1210" s="363">
        <v>46062</v>
      </c>
      <c r="H1210" s="47" t="s">
        <v>8930</v>
      </c>
      <c r="I1210" s="47" t="s">
        <v>8783</v>
      </c>
      <c r="J1210" s="47"/>
    </row>
    <row r="1211" spans="2:10" ht="14.5">
      <c r="B1211" s="47" t="s">
        <v>10069</v>
      </c>
      <c r="C1211" s="47" t="s">
        <v>64</v>
      </c>
      <c r="D1211" s="47" t="s">
        <v>10068</v>
      </c>
      <c r="E1211" s="47"/>
      <c r="F1211" s="47" t="s">
        <v>8781</v>
      </c>
      <c r="G1211" s="363">
        <v>46055</v>
      </c>
      <c r="H1211" s="47" t="s">
        <v>8930</v>
      </c>
      <c r="I1211" s="47" t="s">
        <v>8783</v>
      </c>
      <c r="J1211" s="47"/>
    </row>
    <row r="1212" spans="2:10" ht="14.5">
      <c r="B1212" s="47" t="s">
        <v>4170</v>
      </c>
      <c r="C1212" s="47" t="s">
        <v>64</v>
      </c>
      <c r="D1212" s="47" t="s">
        <v>10161</v>
      </c>
      <c r="E1212" s="47"/>
      <c r="F1212" s="47" t="s">
        <v>8781</v>
      </c>
      <c r="G1212" s="363">
        <v>46056</v>
      </c>
      <c r="H1212" s="47" t="s">
        <v>8782</v>
      </c>
      <c r="I1212" s="47" t="s">
        <v>8783</v>
      </c>
      <c r="J1212" s="47" t="s">
        <v>4169</v>
      </c>
    </row>
    <row r="1213" spans="2:10" ht="14.5">
      <c r="B1213" s="47" t="s">
        <v>3945</v>
      </c>
      <c r="C1213" s="47" t="s">
        <v>64</v>
      </c>
      <c r="D1213" s="47" t="s">
        <v>10162</v>
      </c>
      <c r="E1213" s="47"/>
      <c r="F1213" s="47" t="s">
        <v>8781</v>
      </c>
      <c r="G1213" s="363">
        <v>46071</v>
      </c>
      <c r="H1213" s="47" t="s">
        <v>8782</v>
      </c>
      <c r="I1213" s="47" t="s">
        <v>8783</v>
      </c>
      <c r="J1213" s="47"/>
    </row>
    <row r="1214" spans="2:10" ht="14.5">
      <c r="B1214" s="47" t="s">
        <v>10163</v>
      </c>
      <c r="C1214" s="47" t="s">
        <v>64</v>
      </c>
      <c r="D1214" s="47" t="s">
        <v>10144</v>
      </c>
      <c r="E1214" s="47"/>
      <c r="F1214" s="47" t="s">
        <v>8781</v>
      </c>
      <c r="G1214" s="363">
        <v>46048</v>
      </c>
      <c r="H1214" s="47" t="s">
        <v>8930</v>
      </c>
      <c r="I1214" s="47" t="s">
        <v>8783</v>
      </c>
      <c r="J1214" s="47"/>
    </row>
    <row r="1215" spans="2:10" ht="14.5">
      <c r="B1215" s="47" t="s">
        <v>10164</v>
      </c>
      <c r="C1215" s="47" t="s">
        <v>64</v>
      </c>
      <c r="D1215" s="47" t="s">
        <v>10143</v>
      </c>
      <c r="E1215" s="47"/>
      <c r="F1215" s="47" t="s">
        <v>8781</v>
      </c>
      <c r="G1215" s="363">
        <v>46059</v>
      </c>
      <c r="H1215" s="47" t="s">
        <v>8930</v>
      </c>
      <c r="I1215" s="47" t="s">
        <v>8783</v>
      </c>
      <c r="J1215" s="47"/>
    </row>
    <row r="1216" spans="2:10" ht="14.5">
      <c r="B1216" s="47" t="s">
        <v>10165</v>
      </c>
      <c r="C1216" s="47" t="s">
        <v>64</v>
      </c>
      <c r="D1216" s="47" t="s">
        <v>10145</v>
      </c>
      <c r="E1216" s="47"/>
      <c r="F1216" s="47" t="s">
        <v>8781</v>
      </c>
      <c r="G1216" s="363">
        <v>46041</v>
      </c>
      <c r="H1216" s="47" t="s">
        <v>8930</v>
      </c>
      <c r="I1216" s="47" t="s">
        <v>8783</v>
      </c>
      <c r="J1216" s="47"/>
    </row>
    <row r="1217" spans="2:10" ht="14.5">
      <c r="B1217" s="47" t="s">
        <v>4068</v>
      </c>
      <c r="C1217" s="47" t="s">
        <v>64</v>
      </c>
      <c r="D1217" s="47" t="s">
        <v>10166</v>
      </c>
      <c r="E1217" s="47"/>
      <c r="F1217" s="47" t="s">
        <v>8781</v>
      </c>
      <c r="G1217" s="363">
        <v>46043</v>
      </c>
      <c r="H1217" s="47" t="s">
        <v>8782</v>
      </c>
      <c r="I1217" s="47" t="s">
        <v>8783</v>
      </c>
      <c r="J1217" s="47"/>
    </row>
    <row r="1218" spans="2:10" ht="14.5">
      <c r="B1218" s="47" t="s">
        <v>10167</v>
      </c>
      <c r="C1218" s="47" t="s">
        <v>64</v>
      </c>
      <c r="D1218" s="47" t="s">
        <v>10168</v>
      </c>
      <c r="E1218" s="47"/>
      <c r="F1218" s="47" t="s">
        <v>8829</v>
      </c>
      <c r="G1218" s="363">
        <v>46045</v>
      </c>
      <c r="H1218" s="47" t="s">
        <v>8930</v>
      </c>
      <c r="I1218" s="47" t="s">
        <v>8783</v>
      </c>
      <c r="J1218" s="47"/>
    </row>
    <row r="1219" spans="2:10" ht="14.5">
      <c r="B1219" s="47" t="s">
        <v>10079</v>
      </c>
      <c r="C1219" s="47" t="s">
        <v>64</v>
      </c>
      <c r="D1219" s="47" t="s">
        <v>10078</v>
      </c>
      <c r="E1219" s="47"/>
      <c r="F1219" s="47" t="s">
        <v>8781</v>
      </c>
      <c r="G1219" s="363">
        <v>46042</v>
      </c>
      <c r="H1219" s="47" t="s">
        <v>8930</v>
      </c>
      <c r="I1219" s="47" t="s">
        <v>8783</v>
      </c>
      <c r="J1219" s="47"/>
    </row>
    <row r="1220" spans="2:10" ht="14.5">
      <c r="B1220" s="47" t="s">
        <v>3775</v>
      </c>
      <c r="C1220" s="47" t="s">
        <v>64</v>
      </c>
      <c r="D1220" s="47" t="s">
        <v>10169</v>
      </c>
      <c r="E1220" s="47"/>
      <c r="F1220" s="47" t="s">
        <v>8781</v>
      </c>
      <c r="G1220" s="363">
        <v>46052</v>
      </c>
      <c r="H1220" s="47" t="s">
        <v>8782</v>
      </c>
      <c r="I1220" s="47" t="s">
        <v>8783</v>
      </c>
      <c r="J1220" s="47"/>
    </row>
    <row r="1221" spans="2:10" ht="14.5">
      <c r="B1221" s="47" t="s">
        <v>3846</v>
      </c>
      <c r="C1221" s="47" t="s">
        <v>64</v>
      </c>
      <c r="D1221" s="47" t="s">
        <v>10170</v>
      </c>
      <c r="E1221" s="47"/>
      <c r="F1221" s="47" t="s">
        <v>8781</v>
      </c>
      <c r="G1221" s="363">
        <v>46030</v>
      </c>
      <c r="H1221" s="47" t="s">
        <v>8782</v>
      </c>
      <c r="I1221" s="47" t="s">
        <v>8783</v>
      </c>
      <c r="J1221" s="47"/>
    </row>
    <row r="1222" spans="2:10" ht="14.5">
      <c r="B1222" s="47" t="s">
        <v>3975</v>
      </c>
      <c r="C1222" s="47" t="s">
        <v>64</v>
      </c>
      <c r="D1222" s="47" t="s">
        <v>10171</v>
      </c>
      <c r="E1222" s="47"/>
      <c r="F1222" s="47" t="s">
        <v>8781</v>
      </c>
      <c r="G1222" s="363">
        <v>46056</v>
      </c>
      <c r="H1222" s="47" t="s">
        <v>8782</v>
      </c>
      <c r="I1222" s="47" t="s">
        <v>8783</v>
      </c>
      <c r="J1222" s="47"/>
    </row>
    <row r="1223" spans="2:10" ht="14.5">
      <c r="B1223" s="47" t="s">
        <v>10073</v>
      </c>
      <c r="C1223" s="47" t="s">
        <v>64</v>
      </c>
      <c r="D1223" s="47" t="s">
        <v>10072</v>
      </c>
      <c r="E1223" s="47"/>
      <c r="F1223" s="47" t="s">
        <v>8781</v>
      </c>
      <c r="G1223" s="363">
        <v>46043</v>
      </c>
      <c r="H1223" s="47" t="s">
        <v>8930</v>
      </c>
      <c r="I1223" s="47" t="s">
        <v>8783</v>
      </c>
      <c r="J1223" s="47"/>
    </row>
    <row r="1224" spans="2:10" ht="14.5">
      <c r="B1224" s="47" t="s">
        <v>10081</v>
      </c>
      <c r="C1224" s="47" t="s">
        <v>64</v>
      </c>
      <c r="D1224" s="47" t="s">
        <v>10080</v>
      </c>
      <c r="E1224" s="47"/>
      <c r="F1224" s="47" t="s">
        <v>8781</v>
      </c>
      <c r="G1224" s="363">
        <v>46043</v>
      </c>
      <c r="H1224" s="47" t="s">
        <v>8930</v>
      </c>
      <c r="I1224" s="47" t="s">
        <v>8783</v>
      </c>
      <c r="J1224" s="47"/>
    </row>
    <row r="1225" spans="2:10" ht="14.5">
      <c r="B1225" s="47" t="s">
        <v>3770</v>
      </c>
      <c r="C1225" s="47" t="s">
        <v>64</v>
      </c>
      <c r="D1225" s="47" t="s">
        <v>10172</v>
      </c>
      <c r="E1225" s="47"/>
      <c r="F1225" s="47" t="s">
        <v>8781</v>
      </c>
      <c r="G1225" s="363">
        <v>46050</v>
      </c>
      <c r="H1225" s="47" t="s">
        <v>8782</v>
      </c>
      <c r="I1225" s="47" t="s">
        <v>8783</v>
      </c>
      <c r="J1225" s="47"/>
    </row>
    <row r="1226" spans="2:10" ht="14.5">
      <c r="B1226" s="47" t="s">
        <v>3723</v>
      </c>
      <c r="C1226" s="47" t="s">
        <v>64</v>
      </c>
      <c r="D1226" s="47" t="s">
        <v>10173</v>
      </c>
      <c r="E1226" s="47"/>
      <c r="F1226" s="47" t="s">
        <v>8781</v>
      </c>
      <c r="G1226" s="363">
        <v>46045</v>
      </c>
      <c r="H1226" s="47" t="s">
        <v>8782</v>
      </c>
      <c r="I1226" s="47" t="s">
        <v>8783</v>
      </c>
      <c r="J1226" s="47"/>
    </row>
    <row r="1227" spans="2:10" ht="14.5">
      <c r="B1227" s="47" t="s">
        <v>3791</v>
      </c>
      <c r="C1227" s="47" t="s">
        <v>64</v>
      </c>
      <c r="D1227" s="47" t="s">
        <v>10174</v>
      </c>
      <c r="E1227" s="47"/>
      <c r="F1227" s="47" t="s">
        <v>8781</v>
      </c>
      <c r="G1227" s="363">
        <v>46035</v>
      </c>
      <c r="H1227" s="47" t="s">
        <v>8782</v>
      </c>
      <c r="I1227" s="47" t="s">
        <v>8783</v>
      </c>
      <c r="J1227" s="47"/>
    </row>
    <row r="1228" spans="2:10" ht="14.5">
      <c r="B1228" s="47" t="s">
        <v>3786</v>
      </c>
      <c r="C1228" s="47" t="s">
        <v>64</v>
      </c>
      <c r="D1228" s="47" t="s">
        <v>10175</v>
      </c>
      <c r="E1228" s="47"/>
      <c r="F1228" s="47" t="s">
        <v>8781</v>
      </c>
      <c r="G1228" s="363">
        <v>46032</v>
      </c>
      <c r="H1228" s="47" t="s">
        <v>8782</v>
      </c>
      <c r="I1228" s="47" t="s">
        <v>8783</v>
      </c>
      <c r="J1228" s="47"/>
    </row>
    <row r="1229" spans="2:10" ht="14.5">
      <c r="B1229" s="47" t="s">
        <v>10176</v>
      </c>
      <c r="C1229" s="47" t="s">
        <v>8779</v>
      </c>
      <c r="D1229" s="47" t="s">
        <v>10140</v>
      </c>
      <c r="E1229" s="47"/>
      <c r="F1229" s="47" t="s">
        <v>8781</v>
      </c>
      <c r="G1229" s="363">
        <v>46079</v>
      </c>
      <c r="H1229" s="47" t="s">
        <v>8930</v>
      </c>
      <c r="I1229" s="47" t="s">
        <v>8783</v>
      </c>
      <c r="J1229" s="47"/>
    </row>
    <row r="1230" spans="2:10" ht="14.5">
      <c r="B1230" s="47" t="s">
        <v>10177</v>
      </c>
      <c r="C1230" s="47" t="s">
        <v>8779</v>
      </c>
      <c r="D1230" s="47" t="s">
        <v>10141</v>
      </c>
      <c r="E1230" s="47"/>
      <c r="F1230" s="47" t="s">
        <v>8781</v>
      </c>
      <c r="G1230" s="363">
        <v>46086</v>
      </c>
      <c r="H1230" s="47" t="s">
        <v>8930</v>
      </c>
      <c r="I1230" s="47" t="s">
        <v>8783</v>
      </c>
      <c r="J1230" s="47"/>
    </row>
    <row r="1231" spans="2:10" ht="14.5">
      <c r="B1231" s="47" t="s">
        <v>10178</v>
      </c>
      <c r="C1231" s="47" t="s">
        <v>8779</v>
      </c>
      <c r="D1231" s="47" t="s">
        <v>10142</v>
      </c>
      <c r="E1231" s="47"/>
      <c r="F1231" s="47" t="s">
        <v>8781</v>
      </c>
      <c r="G1231" s="363">
        <v>46086</v>
      </c>
      <c r="H1231" s="47" t="s">
        <v>8930</v>
      </c>
      <c r="I1231" s="47" t="s">
        <v>8783</v>
      </c>
      <c r="J1231" s="47"/>
    </row>
    <row r="1232" spans="2:10" ht="14.5">
      <c r="B1232" s="47" t="s">
        <v>10179</v>
      </c>
      <c r="C1232" s="47" t="s">
        <v>64</v>
      </c>
      <c r="D1232" s="47">
        <v>371008976</v>
      </c>
      <c r="E1232" s="47"/>
      <c r="F1232" s="47" t="s">
        <v>8781</v>
      </c>
      <c r="G1232" s="363">
        <v>46028</v>
      </c>
      <c r="H1232" s="47" t="s">
        <v>8930</v>
      </c>
      <c r="I1232" s="47" t="s">
        <v>8783</v>
      </c>
      <c r="J1232" s="47"/>
    </row>
    <row r="1233" spans="2:10" ht="14.5">
      <c r="B1233" s="47" t="s">
        <v>3714</v>
      </c>
      <c r="C1233" s="47" t="s">
        <v>64</v>
      </c>
      <c r="D1233" s="47" t="s">
        <v>10180</v>
      </c>
      <c r="E1233" s="47"/>
      <c r="F1233" s="47" t="s">
        <v>8781</v>
      </c>
      <c r="G1233" s="363">
        <v>46057</v>
      </c>
      <c r="H1233" s="47" t="s">
        <v>8782</v>
      </c>
      <c r="I1233" s="47" t="s">
        <v>8783</v>
      </c>
      <c r="J1233" s="47"/>
    </row>
    <row r="1234" spans="2:10" ht="14.5">
      <c r="B1234" s="47" t="s">
        <v>3706</v>
      </c>
      <c r="C1234" s="47" t="s">
        <v>64</v>
      </c>
      <c r="D1234" s="47" t="s">
        <v>10181</v>
      </c>
      <c r="E1234" s="47"/>
      <c r="F1234" s="47" t="s">
        <v>8781</v>
      </c>
      <c r="G1234" s="363">
        <v>46057</v>
      </c>
      <c r="H1234" s="47" t="s">
        <v>8782</v>
      </c>
      <c r="I1234" s="47" t="s">
        <v>8783</v>
      </c>
      <c r="J1234" s="47"/>
    </row>
    <row r="1235" spans="2:10" ht="14.5">
      <c r="B1235" s="47" t="s">
        <v>10182</v>
      </c>
      <c r="C1235" s="47" t="s">
        <v>64</v>
      </c>
      <c r="D1235" s="47">
        <v>371009123</v>
      </c>
      <c r="E1235" s="47"/>
      <c r="F1235" s="47" t="s">
        <v>8781</v>
      </c>
      <c r="G1235" s="363">
        <v>46034</v>
      </c>
      <c r="H1235" s="47" t="s">
        <v>9332</v>
      </c>
      <c r="I1235" s="47" t="s">
        <v>8783</v>
      </c>
      <c r="J1235" s="47"/>
    </row>
    <row r="1236" spans="2:10" ht="14.5">
      <c r="B1236" s="47" t="s">
        <v>10183</v>
      </c>
      <c r="C1236" s="47" t="s">
        <v>64</v>
      </c>
      <c r="D1236" s="47">
        <v>371009111</v>
      </c>
      <c r="E1236" s="47"/>
      <c r="F1236" s="47" t="s">
        <v>8781</v>
      </c>
      <c r="G1236" s="363">
        <v>46035</v>
      </c>
      <c r="H1236" s="47" t="s">
        <v>8930</v>
      </c>
      <c r="I1236" s="47" t="s">
        <v>8783</v>
      </c>
      <c r="J1236" s="47"/>
    </row>
    <row r="1237" spans="2:10" ht="14.5">
      <c r="B1237" s="47" t="s">
        <v>10184</v>
      </c>
      <c r="C1237" s="47" t="s">
        <v>64</v>
      </c>
      <c r="D1237" s="47">
        <v>371009099</v>
      </c>
      <c r="E1237" s="47"/>
      <c r="F1237" s="47" t="s">
        <v>8829</v>
      </c>
      <c r="G1237" s="363">
        <v>46026</v>
      </c>
      <c r="H1237" s="47" t="s">
        <v>8782</v>
      </c>
      <c r="I1237" s="47" t="s">
        <v>8783</v>
      </c>
      <c r="J1237" s="47"/>
    </row>
    <row r="1238" spans="2:10" ht="14.5">
      <c r="B1238" s="47" t="s">
        <v>3687</v>
      </c>
      <c r="C1238" s="47" t="s">
        <v>64</v>
      </c>
      <c r="D1238" s="47">
        <v>371009080</v>
      </c>
      <c r="E1238" s="47"/>
      <c r="F1238" s="47" t="s">
        <v>8781</v>
      </c>
      <c r="G1238" s="363">
        <v>46028</v>
      </c>
      <c r="H1238" s="47" t="s">
        <v>8782</v>
      </c>
      <c r="I1238" s="47" t="s">
        <v>8783</v>
      </c>
      <c r="J1238" s="47"/>
    </row>
    <row r="1239" spans="2:10" ht="14.5">
      <c r="B1239" s="47" t="s">
        <v>3622</v>
      </c>
      <c r="C1239" s="47" t="s">
        <v>64</v>
      </c>
      <c r="D1239" s="47">
        <v>371009078</v>
      </c>
      <c r="E1239" s="47"/>
      <c r="F1239" s="47" t="s">
        <v>8781</v>
      </c>
      <c r="G1239" s="363">
        <v>46057</v>
      </c>
      <c r="H1239" s="47" t="s">
        <v>8782</v>
      </c>
      <c r="I1239" s="47" t="s">
        <v>8783</v>
      </c>
      <c r="J1239" s="47"/>
    </row>
    <row r="1240" spans="2:10" ht="14.5">
      <c r="B1240" s="47" t="s">
        <v>3676</v>
      </c>
      <c r="C1240" s="47" t="s">
        <v>64</v>
      </c>
      <c r="D1240" s="47">
        <v>371009077</v>
      </c>
      <c r="E1240" s="47"/>
      <c r="F1240" s="47" t="s">
        <v>8781</v>
      </c>
      <c r="G1240" s="363">
        <v>46028</v>
      </c>
      <c r="H1240" s="47" t="s">
        <v>8782</v>
      </c>
      <c r="I1240" s="47" t="s">
        <v>8783</v>
      </c>
      <c r="J1240" s="47"/>
    </row>
    <row r="1241" spans="2:10" ht="14.5">
      <c r="B1241" s="47" t="s">
        <v>3694</v>
      </c>
      <c r="C1241" s="47" t="s">
        <v>64</v>
      </c>
      <c r="D1241" s="47">
        <v>371009076</v>
      </c>
      <c r="E1241" s="47"/>
      <c r="F1241" s="47" t="s">
        <v>8781</v>
      </c>
      <c r="G1241" s="363">
        <v>46029</v>
      </c>
      <c r="H1241" s="47" t="s">
        <v>8782</v>
      </c>
      <c r="I1241" s="47" t="s">
        <v>8783</v>
      </c>
      <c r="J1241" s="47"/>
    </row>
    <row r="1242" spans="2:10" ht="14.5">
      <c r="B1242" s="47" t="s">
        <v>3689</v>
      </c>
      <c r="C1242" s="47" t="s">
        <v>64</v>
      </c>
      <c r="D1242" s="47">
        <v>371009075</v>
      </c>
      <c r="E1242" s="47"/>
      <c r="F1242" s="47" t="s">
        <v>8781</v>
      </c>
      <c r="G1242" s="363">
        <v>46029</v>
      </c>
      <c r="H1242" s="47" t="s">
        <v>8782</v>
      </c>
      <c r="I1242" s="47" t="s">
        <v>8783</v>
      </c>
      <c r="J1242" s="47"/>
    </row>
    <row r="1243" spans="2:10" ht="14.5">
      <c r="B1243" s="47" t="s">
        <v>3696</v>
      </c>
      <c r="C1243" s="47" t="s">
        <v>64</v>
      </c>
      <c r="D1243" s="47">
        <v>371009074</v>
      </c>
      <c r="E1243" s="47"/>
      <c r="F1243" s="47" t="s">
        <v>8781</v>
      </c>
      <c r="G1243" s="363">
        <v>46029</v>
      </c>
      <c r="H1243" s="47" t="s">
        <v>8782</v>
      </c>
      <c r="I1243" s="47" t="s">
        <v>8783</v>
      </c>
      <c r="J1243" s="47"/>
    </row>
    <row r="1244" spans="2:10" ht="14.5">
      <c r="B1244" s="47" t="s">
        <v>3667</v>
      </c>
      <c r="C1244" s="47" t="s">
        <v>64</v>
      </c>
      <c r="D1244" s="47">
        <v>371009072</v>
      </c>
      <c r="E1244" s="47"/>
      <c r="F1244" s="47" t="s">
        <v>8781</v>
      </c>
      <c r="G1244" s="363">
        <v>46028</v>
      </c>
      <c r="H1244" s="47" t="s">
        <v>8782</v>
      </c>
      <c r="I1244" s="47" t="s">
        <v>8783</v>
      </c>
      <c r="J1244" s="47"/>
    </row>
    <row r="1245" spans="2:10" ht="14.5">
      <c r="B1245" s="47" t="s">
        <v>3662</v>
      </c>
      <c r="C1245" s="47" t="s">
        <v>64</v>
      </c>
      <c r="D1245" s="47">
        <v>371009071</v>
      </c>
      <c r="E1245" s="47"/>
      <c r="F1245" s="47" t="s">
        <v>8781</v>
      </c>
      <c r="G1245" s="363">
        <v>46033</v>
      </c>
      <c r="H1245" s="47" t="s">
        <v>8782</v>
      </c>
      <c r="I1245" s="47" t="s">
        <v>8783</v>
      </c>
      <c r="J1245" s="47"/>
    </row>
    <row r="1246" spans="2:10" ht="14.5">
      <c r="B1246" s="47" t="s">
        <v>3671</v>
      </c>
      <c r="C1246" s="47" t="s">
        <v>64</v>
      </c>
      <c r="D1246" s="47">
        <v>371009070</v>
      </c>
      <c r="E1246" s="47"/>
      <c r="F1246" s="47" t="s">
        <v>8781</v>
      </c>
      <c r="G1246" s="363">
        <v>46035</v>
      </c>
      <c r="H1246" s="47" t="s">
        <v>8782</v>
      </c>
      <c r="I1246" s="47" t="s">
        <v>8783</v>
      </c>
      <c r="J1246" s="47"/>
    </row>
    <row r="1247" spans="2:10" ht="14.5">
      <c r="B1247" s="47" t="s">
        <v>3683</v>
      </c>
      <c r="C1247" s="47" t="s">
        <v>64</v>
      </c>
      <c r="D1247" s="47">
        <v>371009069</v>
      </c>
      <c r="E1247" s="47"/>
      <c r="F1247" s="47" t="s">
        <v>8781</v>
      </c>
      <c r="G1247" s="363">
        <v>46031</v>
      </c>
      <c r="H1247" s="47" t="s">
        <v>8782</v>
      </c>
      <c r="I1247" s="47" t="s">
        <v>8783</v>
      </c>
      <c r="J1247" s="47"/>
    </row>
    <row r="1248" spans="2:10" ht="14.5">
      <c r="B1248" s="47" t="s">
        <v>3681</v>
      </c>
      <c r="C1248" s="47" t="s">
        <v>64</v>
      </c>
      <c r="D1248" s="47">
        <v>371009067</v>
      </c>
      <c r="E1248" s="47"/>
      <c r="F1248" s="47" t="s">
        <v>8781</v>
      </c>
      <c r="G1248" s="363">
        <v>46028</v>
      </c>
      <c r="H1248" s="47" t="s">
        <v>8782</v>
      </c>
      <c r="I1248" s="47" t="s">
        <v>8783</v>
      </c>
      <c r="J1248" s="47"/>
    </row>
    <row r="1249" spans="2:10" ht="14.5">
      <c r="B1249" s="47" t="s">
        <v>3630</v>
      </c>
      <c r="C1249" s="47" t="s">
        <v>64</v>
      </c>
      <c r="D1249" s="47">
        <v>371009065</v>
      </c>
      <c r="E1249" s="47"/>
      <c r="F1249" s="47" t="s">
        <v>8781</v>
      </c>
      <c r="G1249" s="363">
        <v>46059</v>
      </c>
      <c r="H1249" s="47" t="s">
        <v>8782</v>
      </c>
      <c r="I1249" s="47" t="s">
        <v>8783</v>
      </c>
      <c r="J1249" s="47"/>
    </row>
    <row r="1250" spans="2:10" ht="14.5">
      <c r="B1250" s="47" t="s">
        <v>3558</v>
      </c>
      <c r="C1250" s="47" t="s">
        <v>64</v>
      </c>
      <c r="D1250" s="47">
        <v>371009039</v>
      </c>
      <c r="E1250" s="47"/>
      <c r="F1250" s="47" t="s">
        <v>8781</v>
      </c>
      <c r="G1250" s="363">
        <v>46035</v>
      </c>
      <c r="H1250" s="47" t="s">
        <v>8782</v>
      </c>
      <c r="I1250" s="47" t="s">
        <v>8783</v>
      </c>
      <c r="J1250" s="47"/>
    </row>
    <row r="1251" spans="2:10" ht="14.5">
      <c r="B1251" s="47" t="s">
        <v>3632</v>
      </c>
      <c r="C1251" s="47" t="s">
        <v>64</v>
      </c>
      <c r="D1251" s="47">
        <v>371009034</v>
      </c>
      <c r="E1251" s="47"/>
      <c r="F1251" s="47" t="s">
        <v>8781</v>
      </c>
      <c r="G1251" s="363">
        <v>46029</v>
      </c>
      <c r="H1251" s="47" t="s">
        <v>8782</v>
      </c>
      <c r="I1251" s="47" t="s">
        <v>8783</v>
      </c>
      <c r="J1251" s="47"/>
    </row>
    <row r="1252" spans="2:10" ht="14.5">
      <c r="B1252" s="47" t="s">
        <v>3617</v>
      </c>
      <c r="C1252" s="47" t="s">
        <v>64</v>
      </c>
      <c r="D1252" s="47">
        <v>371009030</v>
      </c>
      <c r="E1252" s="47"/>
      <c r="F1252" s="47" t="s">
        <v>8781</v>
      </c>
      <c r="G1252" s="363">
        <v>46035</v>
      </c>
      <c r="H1252" s="47" t="s">
        <v>8782</v>
      </c>
      <c r="I1252" s="47" t="s">
        <v>8783</v>
      </c>
      <c r="J1252" s="47"/>
    </row>
    <row r="1253" spans="2:10" ht="14.5">
      <c r="B1253" s="47" t="s">
        <v>3656</v>
      </c>
      <c r="C1253" s="47" t="s">
        <v>64</v>
      </c>
      <c r="D1253" s="47">
        <v>371009026</v>
      </c>
      <c r="E1253" s="47"/>
      <c r="F1253" s="47" t="s">
        <v>8781</v>
      </c>
      <c r="G1253" s="363">
        <v>46045</v>
      </c>
      <c r="H1253" s="47" t="s">
        <v>8782</v>
      </c>
      <c r="I1253" s="47" t="s">
        <v>8783</v>
      </c>
      <c r="J1253" s="47"/>
    </row>
    <row r="1254" spans="2:10" ht="14.5">
      <c r="B1254" s="47" t="s">
        <v>3659</v>
      </c>
      <c r="C1254" s="47" t="s">
        <v>64</v>
      </c>
      <c r="D1254" s="47">
        <v>371009024</v>
      </c>
      <c r="E1254" s="47"/>
      <c r="F1254" s="47" t="s">
        <v>8781</v>
      </c>
      <c r="G1254" s="363">
        <v>46050</v>
      </c>
      <c r="H1254" s="47" t="s">
        <v>8782</v>
      </c>
      <c r="I1254" s="47" t="s">
        <v>8783</v>
      </c>
      <c r="J1254" s="47"/>
    </row>
    <row r="1255" spans="2:10" ht="14.5">
      <c r="B1255" s="47" t="s">
        <v>3484</v>
      </c>
      <c r="C1255" s="47" t="s">
        <v>64</v>
      </c>
      <c r="D1255" s="47">
        <v>371009011</v>
      </c>
      <c r="E1255" s="47"/>
      <c r="F1255" s="47" t="s">
        <v>8781</v>
      </c>
      <c r="G1255" s="363">
        <v>46052</v>
      </c>
      <c r="H1255" s="47" t="s">
        <v>8782</v>
      </c>
      <c r="I1255" s="47" t="s">
        <v>8783</v>
      </c>
      <c r="J1255" s="47"/>
    </row>
    <row r="1256" spans="2:10" ht="14.5">
      <c r="B1256" s="47" t="s">
        <v>3576</v>
      </c>
      <c r="C1256" s="47" t="s">
        <v>64</v>
      </c>
      <c r="D1256" s="47">
        <v>371009010</v>
      </c>
      <c r="E1256" s="47"/>
      <c r="F1256" s="47" t="s">
        <v>8781</v>
      </c>
      <c r="G1256" s="363">
        <v>46045</v>
      </c>
      <c r="H1256" s="47" t="s">
        <v>8782</v>
      </c>
      <c r="I1256" s="47" t="s">
        <v>8783</v>
      </c>
      <c r="J1256" s="47"/>
    </row>
    <row r="1257" spans="2:10" ht="14.5">
      <c r="B1257" s="47" t="s">
        <v>3503</v>
      </c>
      <c r="C1257" s="47" t="s">
        <v>64</v>
      </c>
      <c r="D1257" s="47">
        <v>371009009</v>
      </c>
      <c r="E1257" s="47"/>
      <c r="F1257" s="47" t="s">
        <v>8781</v>
      </c>
      <c r="G1257" s="363">
        <v>46052</v>
      </c>
      <c r="H1257" s="47" t="s">
        <v>8782</v>
      </c>
      <c r="I1257" s="47" t="s">
        <v>8783</v>
      </c>
      <c r="J1257" s="47"/>
    </row>
    <row r="1258" spans="2:10" ht="14.5">
      <c r="B1258" s="47" t="s">
        <v>3485</v>
      </c>
      <c r="C1258" s="47" t="s">
        <v>64</v>
      </c>
      <c r="D1258" s="47">
        <v>371009007</v>
      </c>
      <c r="E1258" s="47"/>
      <c r="F1258" s="47" t="s">
        <v>8781</v>
      </c>
      <c r="G1258" s="363">
        <v>46052</v>
      </c>
      <c r="H1258" s="47" t="s">
        <v>8782</v>
      </c>
      <c r="I1258" s="47" t="s">
        <v>8783</v>
      </c>
      <c r="J1258" s="47"/>
    </row>
    <row r="1259" spans="2:10" ht="14.5">
      <c r="B1259" s="47" t="s">
        <v>3479</v>
      </c>
      <c r="C1259" s="47" t="s">
        <v>64</v>
      </c>
      <c r="D1259" s="47">
        <v>371009002</v>
      </c>
      <c r="E1259" s="47"/>
      <c r="F1259" s="47" t="s">
        <v>8781</v>
      </c>
      <c r="G1259" s="363">
        <v>46052</v>
      </c>
      <c r="H1259" s="47" t="s">
        <v>8782</v>
      </c>
      <c r="I1259" s="47" t="s">
        <v>8783</v>
      </c>
      <c r="J1259" s="47"/>
    </row>
    <row r="1260" spans="2:10" ht="14.5">
      <c r="B1260" s="47" t="s">
        <v>3453</v>
      </c>
      <c r="C1260" s="47" t="s">
        <v>64</v>
      </c>
      <c r="D1260" s="47">
        <v>371008986</v>
      </c>
      <c r="E1260" s="47"/>
      <c r="F1260" s="47" t="s">
        <v>8781</v>
      </c>
      <c r="G1260" s="363">
        <v>46026</v>
      </c>
      <c r="H1260" s="47" t="s">
        <v>8782</v>
      </c>
      <c r="I1260" s="47" t="s">
        <v>8783</v>
      </c>
      <c r="J1260" s="47"/>
    </row>
    <row r="1261" spans="2:10" ht="14.5">
      <c r="B1261" s="47" t="s">
        <v>3458</v>
      </c>
      <c r="C1261" s="47" t="s">
        <v>64</v>
      </c>
      <c r="D1261" s="47">
        <v>371008985</v>
      </c>
      <c r="E1261" s="47"/>
      <c r="F1261" s="47" t="s">
        <v>8781</v>
      </c>
      <c r="G1261" s="363">
        <v>46026</v>
      </c>
      <c r="H1261" s="47" t="s">
        <v>8782</v>
      </c>
      <c r="I1261" s="47" t="s">
        <v>8783</v>
      </c>
      <c r="J1261" s="47"/>
    </row>
    <row r="1262" spans="2:10" ht="14.5">
      <c r="B1262" s="47" t="s">
        <v>10185</v>
      </c>
      <c r="C1262" s="47" t="s">
        <v>64</v>
      </c>
      <c r="D1262" s="47">
        <v>371008890</v>
      </c>
      <c r="E1262" s="47"/>
      <c r="F1262" s="47" t="s">
        <v>8781</v>
      </c>
      <c r="G1262" s="363">
        <v>46026</v>
      </c>
      <c r="H1262" s="47" t="s">
        <v>9332</v>
      </c>
      <c r="I1262" s="47" t="s">
        <v>8783</v>
      </c>
      <c r="J1262" s="47"/>
    </row>
    <row r="1263" spans="2:10" ht="14.5">
      <c r="B1263" s="47"/>
      <c r="C1263" s="47"/>
      <c r="D1263" s="47"/>
      <c r="E1263" s="47"/>
      <c r="F1263" s="47"/>
      <c r="G1263" s="363"/>
      <c r="H1263" s="47"/>
      <c r="I1263" s="47"/>
      <c r="J1263" s="47"/>
    </row>
    <row r="1264" spans="2:10" ht="14.5">
      <c r="B1264" s="47"/>
      <c r="C1264" s="47"/>
      <c r="D1264" s="47"/>
      <c r="E1264" s="47"/>
      <c r="F1264" s="47"/>
      <c r="G1264" s="363"/>
      <c r="H1264" s="47"/>
      <c r="I1264" s="47"/>
      <c r="J1264" s="47"/>
    </row>
    <row r="1265" spans="2:10" ht="14.5">
      <c r="B1265" s="47"/>
      <c r="C1265" s="47"/>
      <c r="D1265" s="47"/>
      <c r="E1265" s="47"/>
      <c r="F1265" s="47"/>
      <c r="G1265" s="363"/>
      <c r="H1265" s="47"/>
      <c r="I1265" s="47"/>
      <c r="J1265" s="47"/>
    </row>
    <row r="1266" spans="2:10" ht="14.5">
      <c r="B1266" s="47"/>
      <c r="C1266" s="47"/>
      <c r="D1266" s="47"/>
      <c r="E1266" s="47"/>
      <c r="F1266" s="47"/>
      <c r="G1266" s="363"/>
      <c r="H1266" s="47"/>
      <c r="I1266" s="47"/>
      <c r="J1266" s="47"/>
    </row>
    <row r="1267" spans="2:10" ht="14.5">
      <c r="B1267" s="47"/>
      <c r="C1267" s="47"/>
      <c r="D1267" s="47"/>
      <c r="E1267" s="47"/>
      <c r="F1267" s="47"/>
      <c r="G1267" s="363"/>
      <c r="H1267" s="47"/>
      <c r="I1267" s="47"/>
      <c r="J1267" s="47"/>
    </row>
    <row r="1268" spans="2:10" ht="14.5">
      <c r="B1268" s="47"/>
      <c r="C1268" s="47"/>
      <c r="D1268" s="47"/>
      <c r="E1268" s="47"/>
      <c r="F1268" s="47"/>
      <c r="G1268" s="363"/>
      <c r="H1268" s="47"/>
      <c r="I1268" s="47"/>
      <c r="J1268" s="47"/>
    </row>
    <row r="1269" spans="2:10" ht="14.5">
      <c r="B1269" s="47"/>
      <c r="C1269" s="47"/>
      <c r="D1269" s="47"/>
      <c r="E1269" s="47"/>
      <c r="F1269" s="47"/>
      <c r="G1269" s="363"/>
      <c r="H1269" s="47"/>
      <c r="I1269" s="47"/>
      <c r="J1269" s="47"/>
    </row>
    <row r="1270" spans="2:10" ht="14.5">
      <c r="B1270" s="47"/>
      <c r="C1270" s="47"/>
      <c r="D1270" s="47"/>
      <c r="E1270" s="47"/>
      <c r="F1270" s="47"/>
      <c r="G1270" s="363"/>
      <c r="H1270" s="47"/>
      <c r="I1270" s="47"/>
      <c r="J1270" s="47"/>
    </row>
    <row r="1271" spans="2:10" ht="14.5">
      <c r="B1271" s="47"/>
      <c r="C1271" s="47"/>
      <c r="D1271" s="47"/>
      <c r="E1271" s="47"/>
      <c r="F1271" s="47"/>
      <c r="G1271" s="363"/>
      <c r="H1271" s="47"/>
      <c r="I1271" s="47"/>
      <c r="J1271" s="47"/>
    </row>
    <row r="1272" spans="2:10" ht="14.5">
      <c r="B1272" s="47"/>
      <c r="C1272" s="47"/>
      <c r="D1272" s="47"/>
      <c r="E1272" s="47"/>
      <c r="F1272" s="47"/>
      <c r="G1272" s="363"/>
      <c r="H1272" s="47"/>
      <c r="I1272" s="47"/>
      <c r="J1272" s="47"/>
    </row>
    <row r="1273" spans="2:10" ht="14.5">
      <c r="B1273" s="47"/>
      <c r="C1273" s="47"/>
      <c r="D1273" s="47"/>
      <c r="E1273" s="47"/>
      <c r="F1273" s="47"/>
      <c r="G1273" s="363"/>
      <c r="H1273" s="47"/>
      <c r="I1273" s="47"/>
      <c r="J1273" s="47"/>
    </row>
    <row r="1274" spans="2:10" ht="14.5">
      <c r="B1274" s="47"/>
      <c r="C1274" s="47"/>
      <c r="D1274" s="47"/>
      <c r="E1274" s="47"/>
      <c r="F1274" s="47"/>
      <c r="G1274" s="363"/>
      <c r="H1274" s="47"/>
      <c r="I1274" s="47"/>
      <c r="J1274" s="47"/>
    </row>
    <row r="1275" spans="2:10" ht="14.5">
      <c r="B1275" s="47"/>
      <c r="C1275" s="47"/>
      <c r="D1275" s="47"/>
      <c r="E1275" s="47"/>
      <c r="F1275" s="47"/>
      <c r="G1275" s="363"/>
      <c r="H1275" s="47"/>
      <c r="I1275" s="47"/>
      <c r="J1275" s="47"/>
    </row>
    <row r="1276" spans="2:10" ht="14.5">
      <c r="B1276" s="47"/>
      <c r="C1276" s="47"/>
      <c r="D1276" s="47"/>
      <c r="E1276" s="47"/>
      <c r="F1276" s="47"/>
      <c r="G1276" s="363"/>
      <c r="H1276" s="47"/>
      <c r="I1276" s="47"/>
      <c r="J1276" s="47"/>
    </row>
    <row r="1277" spans="2:10" ht="14.5">
      <c r="B1277" s="47"/>
      <c r="C1277" s="47"/>
      <c r="D1277" s="47"/>
      <c r="E1277" s="47"/>
      <c r="F1277" s="47"/>
      <c r="G1277" s="363"/>
      <c r="H1277" s="47"/>
      <c r="I1277" s="47"/>
      <c r="J1277" s="47"/>
    </row>
    <row r="1278" spans="2:10" ht="14.5">
      <c r="B1278" s="47"/>
      <c r="C1278" s="47"/>
      <c r="D1278" s="47"/>
      <c r="E1278" s="47"/>
      <c r="F1278" s="47"/>
      <c r="G1278" s="363"/>
      <c r="H1278" s="47"/>
      <c r="I1278" s="47"/>
      <c r="J1278" s="47"/>
    </row>
    <row r="1279" spans="2:10" ht="14.5">
      <c r="B1279" s="47"/>
      <c r="C1279" s="47"/>
      <c r="D1279" s="47"/>
      <c r="E1279" s="47"/>
      <c r="F1279" s="47"/>
      <c r="G1279" s="363"/>
      <c r="H1279" s="47"/>
      <c r="I1279" s="47"/>
      <c r="J1279" s="47"/>
    </row>
    <row r="1280" spans="2:10" ht="14.5">
      <c r="B1280" s="47"/>
      <c r="C1280" s="47"/>
      <c r="D1280" s="47"/>
      <c r="E1280" s="47"/>
      <c r="F1280" s="47"/>
      <c r="G1280" s="363"/>
      <c r="H1280" s="47"/>
      <c r="I1280" s="47"/>
      <c r="J1280" s="47"/>
    </row>
    <row r="1281" spans="2:10" ht="14.5">
      <c r="B1281" s="47"/>
      <c r="C1281" s="47"/>
      <c r="D1281" s="47"/>
      <c r="E1281" s="47"/>
      <c r="F1281" s="47"/>
      <c r="G1281" s="363"/>
      <c r="H1281" s="47"/>
      <c r="I1281" s="47"/>
      <c r="J1281" s="47"/>
    </row>
    <row r="1282" spans="2:10" ht="14.5">
      <c r="B1282" s="47"/>
      <c r="C1282" s="47"/>
      <c r="D1282" s="47"/>
      <c r="E1282" s="47"/>
      <c r="F1282" s="47"/>
      <c r="G1282" s="363"/>
      <c r="H1282" s="47"/>
      <c r="I1282" s="47"/>
      <c r="J1282" s="47"/>
    </row>
    <row r="1283" spans="2:10" ht="14.5">
      <c r="B1283" s="47"/>
      <c r="C1283" s="47"/>
      <c r="D1283" s="47"/>
      <c r="E1283" s="47"/>
      <c r="F1283" s="47"/>
      <c r="G1283" s="363"/>
      <c r="H1283" s="47"/>
      <c r="I1283" s="47"/>
      <c r="J1283" s="47"/>
    </row>
    <row r="1284" spans="2:10" ht="14.5">
      <c r="B1284" s="47"/>
      <c r="C1284" s="47"/>
      <c r="D1284" s="47"/>
      <c r="E1284" s="47"/>
      <c r="F1284" s="47"/>
      <c r="G1284" s="363"/>
      <c r="H1284" s="47"/>
      <c r="I1284" s="47"/>
      <c r="J1284" s="47"/>
    </row>
    <row r="1285" spans="2:10" ht="14.5">
      <c r="B1285" s="47"/>
      <c r="C1285" s="47"/>
      <c r="D1285" s="47"/>
      <c r="E1285" s="47"/>
      <c r="F1285" s="47"/>
      <c r="G1285" s="363"/>
      <c r="H1285" s="47"/>
      <c r="I1285" s="47"/>
      <c r="J1285" s="47"/>
    </row>
    <row r="1286" spans="2:10" ht="14.5">
      <c r="B1286" s="47"/>
      <c r="C1286" s="47"/>
      <c r="D1286" s="47"/>
      <c r="E1286" s="47"/>
      <c r="F1286" s="47"/>
      <c r="G1286" s="363"/>
      <c r="H1286" s="47"/>
      <c r="I1286" s="47"/>
      <c r="J1286" s="47"/>
    </row>
    <row r="1287" spans="2:10" ht="14.5">
      <c r="B1287" s="47"/>
      <c r="C1287" s="47"/>
      <c r="D1287" s="47"/>
      <c r="E1287" s="47"/>
      <c r="F1287" s="47"/>
      <c r="G1287" s="363"/>
      <c r="H1287" s="47"/>
      <c r="I1287" s="47"/>
      <c r="J1287" s="47"/>
    </row>
    <row r="1288" spans="2:10" ht="14.5">
      <c r="B1288" s="47"/>
      <c r="C1288" s="47"/>
      <c r="D1288" s="47"/>
      <c r="E1288" s="47"/>
      <c r="F1288" s="47"/>
      <c r="G1288" s="363"/>
      <c r="H1288" s="47"/>
      <c r="I1288" s="47"/>
      <c r="J1288" s="47"/>
    </row>
    <row r="1289" spans="2:10" ht="14.5">
      <c r="B1289" s="47"/>
      <c r="C1289" s="47"/>
      <c r="D1289" s="47"/>
      <c r="E1289" s="47"/>
      <c r="F1289" s="47"/>
      <c r="G1289" s="363"/>
      <c r="H1289" s="47"/>
      <c r="I1289" s="47"/>
      <c r="J1289" s="47"/>
    </row>
    <row r="1290" spans="2:10" ht="14.5">
      <c r="B1290" s="47"/>
      <c r="C1290" s="47"/>
      <c r="D1290" s="47"/>
      <c r="E1290" s="47"/>
      <c r="F1290" s="47"/>
      <c r="G1290" s="363"/>
      <c r="H1290" s="47"/>
      <c r="I1290" s="47"/>
      <c r="J1290" s="47"/>
    </row>
    <row r="1291" spans="2:10" ht="14.5">
      <c r="B1291" s="47"/>
      <c r="C1291" s="47"/>
      <c r="D1291" s="47"/>
      <c r="E1291" s="47"/>
      <c r="F1291" s="47"/>
      <c r="G1291" s="363"/>
      <c r="H1291" s="47"/>
      <c r="I1291" s="47"/>
      <c r="J1291" s="47"/>
    </row>
    <row r="1292" spans="2:10" ht="14.5">
      <c r="B1292" s="47"/>
      <c r="C1292" s="47"/>
      <c r="D1292" s="47"/>
      <c r="E1292" s="47"/>
      <c r="F1292" s="47"/>
      <c r="G1292" s="363"/>
      <c r="H1292" s="47"/>
      <c r="I1292" s="47"/>
      <c r="J1292" s="47"/>
    </row>
    <row r="1293" spans="2:10" ht="14.5">
      <c r="B1293" s="47"/>
      <c r="C1293" s="47"/>
      <c r="D1293" s="47"/>
      <c r="E1293" s="47"/>
      <c r="F1293" s="47"/>
      <c r="G1293" s="363"/>
      <c r="H1293" s="47"/>
      <c r="I1293" s="47"/>
      <c r="J1293" s="47"/>
    </row>
    <row r="1294" spans="2:10" ht="14.5">
      <c r="B1294" s="47"/>
      <c r="C1294" s="47"/>
      <c r="D1294" s="47"/>
      <c r="E1294" s="47"/>
      <c r="F1294" s="47"/>
      <c r="G1294" s="363"/>
      <c r="H1294" s="47"/>
      <c r="I1294" s="47"/>
      <c r="J1294" s="47"/>
    </row>
    <row r="1295" spans="2:10" ht="14.5">
      <c r="B1295" s="47"/>
      <c r="C1295" s="47"/>
      <c r="D1295" s="47"/>
      <c r="E1295" s="47"/>
      <c r="F1295" s="47"/>
      <c r="G1295" s="363"/>
      <c r="H1295" s="47"/>
      <c r="I1295" s="47"/>
      <c r="J1295" s="47"/>
    </row>
    <row r="1296" spans="2:10" ht="14.5">
      <c r="B1296" s="47"/>
      <c r="C1296" s="47"/>
      <c r="D1296" s="47"/>
      <c r="E1296" s="47"/>
      <c r="F1296" s="47"/>
      <c r="G1296" s="363"/>
      <c r="H1296" s="47"/>
      <c r="I1296" s="47"/>
      <c r="J1296" s="47"/>
    </row>
    <row r="1297" spans="2:10" ht="14.5">
      <c r="B1297" s="47"/>
      <c r="C1297" s="47"/>
      <c r="D1297" s="47"/>
      <c r="E1297" s="47"/>
      <c r="F1297" s="47"/>
      <c r="G1297" s="363"/>
      <c r="H1297" s="47"/>
      <c r="I1297" s="47"/>
      <c r="J1297" s="47"/>
    </row>
    <row r="1298" spans="2:10" ht="14.5">
      <c r="B1298" s="47"/>
      <c r="C1298" s="47"/>
      <c r="D1298" s="47"/>
      <c r="E1298" s="47"/>
      <c r="F1298" s="47"/>
      <c r="G1298" s="363"/>
      <c r="H1298" s="47"/>
      <c r="I1298" s="47"/>
      <c r="J1298" s="47"/>
    </row>
    <row r="1299" spans="2:10" ht="14.5">
      <c r="B1299" s="47"/>
      <c r="C1299" s="47"/>
      <c r="D1299" s="47"/>
      <c r="E1299" s="47"/>
      <c r="F1299" s="47"/>
      <c r="G1299" s="363"/>
      <c r="H1299" s="47"/>
      <c r="I1299" s="47"/>
      <c r="J1299" s="47"/>
    </row>
    <row r="1300" spans="2:10" ht="14.5">
      <c r="B1300" s="47"/>
      <c r="C1300" s="47"/>
      <c r="D1300" s="47"/>
      <c r="E1300" s="47"/>
      <c r="F1300" s="47"/>
      <c r="G1300" s="363"/>
      <c r="H1300" s="47"/>
      <c r="I1300" s="47"/>
      <c r="J1300" s="47"/>
    </row>
    <row r="1301" spans="2:10" ht="14.5">
      <c r="B1301" s="47"/>
      <c r="C1301" s="47"/>
      <c r="D1301" s="47"/>
      <c r="E1301" s="47"/>
      <c r="F1301" s="47"/>
      <c r="G1301" s="363"/>
      <c r="H1301" s="47"/>
      <c r="I1301" s="47"/>
      <c r="J1301" s="47"/>
    </row>
    <row r="1302" spans="2:10" ht="14.5">
      <c r="B1302" s="47"/>
      <c r="C1302" s="47"/>
      <c r="D1302" s="47"/>
      <c r="E1302" s="47"/>
      <c r="F1302" s="47"/>
      <c r="G1302" s="363"/>
      <c r="H1302" s="47"/>
      <c r="I1302" s="47"/>
      <c r="J1302" s="47"/>
    </row>
    <row r="1303" spans="2:10" ht="14.5">
      <c r="B1303" s="47"/>
      <c r="C1303" s="47"/>
      <c r="D1303" s="47"/>
      <c r="E1303" s="47"/>
      <c r="F1303" s="47"/>
      <c r="G1303" s="363"/>
      <c r="H1303" s="47"/>
      <c r="I1303" s="47"/>
      <c r="J1303" s="47"/>
    </row>
    <row r="1304" spans="2:10" ht="14.5">
      <c r="B1304" s="47"/>
      <c r="C1304" s="47"/>
      <c r="D1304" s="47"/>
      <c r="E1304" s="47"/>
      <c r="F1304" s="47"/>
      <c r="G1304" s="363"/>
      <c r="H1304" s="47"/>
      <c r="I1304" s="47"/>
      <c r="J1304" s="47"/>
    </row>
    <row r="1305" spans="2:10" ht="14.5">
      <c r="B1305" s="47"/>
      <c r="C1305" s="47"/>
      <c r="D1305" s="47"/>
      <c r="E1305" s="47"/>
      <c r="F1305" s="47"/>
      <c r="G1305" s="363"/>
      <c r="H1305" s="47"/>
      <c r="I1305" s="47"/>
      <c r="J1305" s="47"/>
    </row>
    <row r="1306" spans="2:10" ht="14.5">
      <c r="B1306" s="47"/>
      <c r="C1306" s="47"/>
      <c r="D1306" s="47"/>
      <c r="E1306" s="47"/>
      <c r="F1306" s="47"/>
      <c r="G1306" s="363"/>
      <c r="H1306" s="47"/>
      <c r="I1306" s="47"/>
      <c r="J1306" s="47"/>
    </row>
    <row r="1307" spans="2:10" ht="14.5">
      <c r="B1307" s="47"/>
      <c r="C1307" s="47"/>
      <c r="D1307" s="47"/>
      <c r="E1307" s="47"/>
      <c r="F1307" s="47"/>
      <c r="G1307" s="363"/>
      <c r="H1307" s="47"/>
      <c r="I1307" s="47"/>
      <c r="J1307" s="47"/>
    </row>
    <row r="1308" spans="2:10" ht="14.5">
      <c r="B1308" s="47"/>
      <c r="C1308" s="47"/>
      <c r="D1308" s="47"/>
      <c r="E1308" s="47"/>
      <c r="F1308" s="47"/>
      <c r="G1308" s="363"/>
      <c r="H1308" s="47"/>
      <c r="I1308" s="47"/>
      <c r="J1308" s="47"/>
    </row>
    <row r="1309" spans="2:10" ht="14.5">
      <c r="B1309" s="47"/>
      <c r="C1309" s="47"/>
      <c r="D1309" s="47"/>
      <c r="E1309" s="47"/>
      <c r="F1309" s="47"/>
      <c r="G1309" s="363"/>
      <c r="H1309" s="47"/>
      <c r="I1309" s="47"/>
      <c r="J1309" s="47"/>
    </row>
    <row r="1310" spans="2:10" ht="14.5">
      <c r="B1310" s="47"/>
      <c r="C1310" s="47"/>
      <c r="D1310" s="47"/>
      <c r="E1310" s="47"/>
      <c r="F1310" s="47"/>
      <c r="G1310" s="363"/>
      <c r="H1310" s="47"/>
      <c r="I1310" s="47"/>
      <c r="J1310" s="47"/>
    </row>
    <row r="1311" spans="2:10" ht="14.5">
      <c r="B1311" s="47"/>
      <c r="C1311" s="47"/>
      <c r="D1311" s="47"/>
      <c r="E1311" s="47"/>
      <c r="F1311" s="47"/>
      <c r="G1311" s="363"/>
      <c r="H1311" s="47"/>
      <c r="I1311" s="47"/>
      <c r="J1311" s="47"/>
    </row>
    <row r="1312" spans="2:10" ht="14.5">
      <c r="B1312" s="47"/>
      <c r="C1312" s="47"/>
      <c r="D1312" s="47"/>
      <c r="E1312" s="47"/>
      <c r="F1312" s="47"/>
      <c r="G1312" s="363"/>
      <c r="H1312" s="47"/>
      <c r="I1312" s="47"/>
      <c r="J1312" s="47"/>
    </row>
    <row r="1313" spans="2:10" ht="14.5">
      <c r="B1313" s="47"/>
      <c r="C1313" s="47"/>
      <c r="D1313" s="47"/>
      <c r="E1313" s="47"/>
      <c r="F1313" s="47"/>
      <c r="G1313" s="363"/>
      <c r="H1313" s="47"/>
      <c r="I1313" s="47"/>
      <c r="J1313" s="47"/>
    </row>
    <row r="1314" spans="2:10" ht="14.5">
      <c r="B1314" s="47"/>
      <c r="C1314" s="47"/>
      <c r="D1314" s="47"/>
      <c r="E1314" s="47"/>
      <c r="F1314" s="47"/>
      <c r="G1314" s="363"/>
      <c r="H1314" s="47"/>
      <c r="I1314" s="47"/>
      <c r="J1314" s="47"/>
    </row>
    <row r="1315" spans="2:10" ht="14.5">
      <c r="B1315" s="47"/>
      <c r="C1315" s="47"/>
      <c r="D1315" s="47"/>
      <c r="E1315" s="47"/>
      <c r="F1315" s="47"/>
      <c r="G1315" s="363"/>
      <c r="H1315" s="47"/>
      <c r="I1315" s="47"/>
      <c r="J1315" s="47"/>
    </row>
    <row r="1316" spans="2:10" ht="14.5">
      <c r="B1316" s="47"/>
      <c r="C1316" s="47"/>
      <c r="D1316" s="47"/>
      <c r="E1316" s="47"/>
      <c r="F1316" s="47"/>
      <c r="G1316" s="363"/>
      <c r="H1316" s="47"/>
      <c r="I1316" s="47"/>
      <c r="J1316" s="47"/>
    </row>
    <row r="1317" spans="2:10" ht="14.5">
      <c r="B1317" s="47"/>
      <c r="C1317" s="47"/>
      <c r="D1317" s="47"/>
      <c r="E1317" s="47"/>
      <c r="F1317" s="47"/>
      <c r="G1317" s="363"/>
      <c r="H1317" s="47"/>
      <c r="I1317" s="47"/>
      <c r="J1317" s="47"/>
    </row>
    <row r="1318" spans="2:10" ht="14.5">
      <c r="B1318" s="47"/>
      <c r="C1318" s="47"/>
      <c r="D1318" s="47"/>
      <c r="E1318" s="47"/>
      <c r="F1318" s="47"/>
      <c r="G1318" s="363"/>
      <c r="H1318" s="47"/>
      <c r="I1318" s="47"/>
      <c r="J1318" s="47"/>
    </row>
    <row r="1319" spans="2:10" ht="14.5">
      <c r="B1319" s="47"/>
      <c r="C1319" s="47"/>
      <c r="D1319" s="47"/>
      <c r="E1319" s="47"/>
      <c r="F1319" s="47"/>
      <c r="G1319" s="363"/>
      <c r="H1319" s="47"/>
      <c r="I1319" s="47"/>
      <c r="J1319" s="47"/>
    </row>
    <row r="1320" spans="2:10" ht="14.5">
      <c r="B1320" s="47"/>
      <c r="C1320" s="47"/>
      <c r="D1320" s="47"/>
      <c r="E1320" s="47"/>
      <c r="F1320" s="47"/>
      <c r="G1320" s="363"/>
      <c r="H1320" s="47"/>
      <c r="I1320" s="47"/>
      <c r="J1320" s="47"/>
    </row>
    <row r="1321" spans="2:10" ht="14.5">
      <c r="B1321" s="47"/>
      <c r="C1321" s="47"/>
      <c r="D1321" s="47"/>
      <c r="E1321" s="47"/>
      <c r="F1321" s="47"/>
      <c r="G1321" s="363"/>
      <c r="H1321" s="47"/>
      <c r="I1321" s="47"/>
      <c r="J1321" s="47"/>
    </row>
    <row r="1322" spans="2:10" ht="14.5">
      <c r="B1322" s="47"/>
      <c r="C1322" s="47"/>
      <c r="D1322" s="47"/>
      <c r="E1322" s="47"/>
      <c r="F1322" s="47"/>
      <c r="G1322" s="363"/>
      <c r="H1322" s="47"/>
      <c r="I1322" s="47"/>
      <c r="J1322" s="47"/>
    </row>
    <row r="1323" spans="2:10" ht="14.5">
      <c r="B1323" s="47"/>
      <c r="C1323" s="47"/>
      <c r="D1323" s="47"/>
      <c r="E1323" s="47"/>
      <c r="F1323" s="47"/>
      <c r="G1323" s="363"/>
      <c r="H1323" s="47"/>
      <c r="I1323" s="47"/>
      <c r="J1323" s="47"/>
    </row>
    <row r="1324" spans="2:10" ht="14.5">
      <c r="B1324" s="47"/>
      <c r="C1324" s="47"/>
      <c r="D1324" s="47"/>
      <c r="E1324" s="47"/>
      <c r="F1324" s="47"/>
      <c r="G1324" s="363"/>
      <c r="H1324" s="47"/>
      <c r="I1324" s="47"/>
      <c r="J1324" s="47"/>
    </row>
    <row r="1325" spans="2:10" ht="14.5">
      <c r="B1325" s="47"/>
      <c r="C1325" s="47"/>
      <c r="D1325" s="47"/>
      <c r="E1325" s="47"/>
      <c r="F1325" s="47"/>
      <c r="G1325" s="363"/>
      <c r="H1325" s="47"/>
      <c r="I1325" s="47"/>
      <c r="J1325" s="47"/>
    </row>
    <row r="1326" spans="2:10" ht="14.5">
      <c r="B1326" s="47"/>
      <c r="C1326" s="47"/>
      <c r="D1326" s="47"/>
      <c r="E1326" s="47"/>
      <c r="F1326" s="47"/>
      <c r="G1326" s="363"/>
      <c r="H1326" s="47"/>
      <c r="I1326" s="47"/>
      <c r="J1326" s="47"/>
    </row>
    <row r="1327" spans="2:10" ht="14.5">
      <c r="B1327" s="47"/>
      <c r="C1327" s="47"/>
      <c r="D1327" s="47"/>
      <c r="E1327" s="47"/>
      <c r="F1327" s="47"/>
      <c r="G1327" s="363"/>
      <c r="H1327" s="47"/>
      <c r="I1327" s="47"/>
      <c r="J1327" s="47"/>
    </row>
    <row r="1328" spans="2:10" ht="14.5">
      <c r="B1328" s="47"/>
      <c r="C1328" s="47"/>
      <c r="D1328" s="47"/>
      <c r="E1328" s="47"/>
      <c r="F1328" s="47"/>
      <c r="G1328" s="363"/>
      <c r="H1328" s="47"/>
      <c r="I1328" s="47"/>
      <c r="J1328" s="47"/>
    </row>
    <row r="1329" spans="2:10" ht="14.5">
      <c r="B1329" s="47"/>
      <c r="C1329" s="47"/>
      <c r="D1329" s="47"/>
      <c r="E1329" s="47"/>
      <c r="F1329" s="47"/>
      <c r="G1329" s="363"/>
      <c r="H1329" s="47"/>
      <c r="I1329" s="47"/>
      <c r="J1329" s="47"/>
    </row>
    <row r="1330" spans="2:10" ht="14.5">
      <c r="B1330" s="47"/>
      <c r="C1330" s="47"/>
      <c r="D1330" s="47"/>
      <c r="E1330" s="47"/>
      <c r="F1330" s="47"/>
      <c r="G1330" s="363"/>
      <c r="H1330" s="47"/>
      <c r="I1330" s="47"/>
      <c r="J1330" s="47"/>
    </row>
    <row r="1331" spans="2:10" ht="14.5">
      <c r="B1331" s="47"/>
      <c r="C1331" s="47"/>
      <c r="D1331" s="47"/>
      <c r="E1331" s="47"/>
      <c r="F1331" s="47"/>
      <c r="G1331" s="363"/>
      <c r="H1331" s="47"/>
      <c r="I1331" s="47"/>
      <c r="J1331" s="47"/>
    </row>
    <row r="1332" spans="2:10" ht="14.5">
      <c r="B1332" s="47"/>
      <c r="C1332" s="47"/>
      <c r="D1332" s="47"/>
      <c r="E1332" s="47"/>
      <c r="F1332" s="47"/>
      <c r="G1332" s="363"/>
      <c r="H1332" s="47"/>
      <c r="I1332" s="47"/>
      <c r="J1332" s="47"/>
    </row>
    <row r="1333" spans="2:10" ht="14.5">
      <c r="B1333" s="47"/>
      <c r="C1333" s="47"/>
      <c r="D1333" s="47"/>
      <c r="E1333" s="47"/>
      <c r="F1333" s="47"/>
      <c r="G1333" s="363"/>
      <c r="H1333" s="47"/>
      <c r="I1333" s="47"/>
      <c r="J1333" s="47"/>
    </row>
    <row r="1334" spans="2:10" ht="14.5">
      <c r="B1334" s="47"/>
      <c r="C1334" s="47"/>
      <c r="D1334" s="47"/>
      <c r="E1334" s="47"/>
      <c r="F1334" s="47"/>
      <c r="G1334" s="363"/>
      <c r="H1334" s="47"/>
      <c r="I1334" s="47"/>
      <c r="J1334" s="47"/>
    </row>
    <row r="1335" spans="2:10" ht="14.5">
      <c r="B1335" s="47"/>
      <c r="C1335" s="47"/>
      <c r="D1335" s="47"/>
      <c r="E1335" s="47"/>
      <c r="F1335" s="47"/>
      <c r="G1335" s="363"/>
      <c r="H1335" s="47"/>
      <c r="I1335" s="47"/>
      <c r="J1335" s="47"/>
    </row>
    <row r="1336" spans="2:10" ht="14.5">
      <c r="B1336" s="47"/>
      <c r="C1336" s="47"/>
      <c r="D1336" s="47"/>
      <c r="E1336" s="47"/>
      <c r="F1336" s="47"/>
      <c r="G1336" s="363"/>
      <c r="H1336" s="47"/>
      <c r="I1336" s="47"/>
      <c r="J1336" s="47"/>
    </row>
    <row r="1337" spans="2:10" ht="14.5">
      <c r="B1337" s="47"/>
      <c r="C1337" s="47"/>
      <c r="D1337" s="47"/>
      <c r="E1337" s="47"/>
      <c r="F1337" s="47"/>
      <c r="G1337" s="363"/>
      <c r="H1337" s="47"/>
      <c r="I1337" s="47"/>
      <c r="J1337" s="47"/>
    </row>
    <row r="1338" spans="2:10" ht="14.5">
      <c r="B1338" s="47"/>
      <c r="C1338" s="47"/>
      <c r="D1338" s="47"/>
      <c r="E1338" s="47"/>
      <c r="F1338" s="47"/>
      <c r="G1338" s="363"/>
      <c r="H1338" s="47"/>
      <c r="I1338" s="47"/>
      <c r="J1338" s="47"/>
    </row>
    <row r="1339" spans="2:10" ht="14.5">
      <c r="B1339" s="47"/>
      <c r="C1339" s="47"/>
      <c r="D1339" s="47"/>
      <c r="E1339" s="47"/>
      <c r="F1339" s="47"/>
      <c r="G1339" s="363"/>
      <c r="H1339" s="47"/>
      <c r="I1339" s="47"/>
      <c r="J1339" s="47"/>
    </row>
    <row r="1340" spans="2:10" ht="14.5">
      <c r="B1340" s="47"/>
      <c r="C1340" s="47"/>
      <c r="D1340" s="47"/>
      <c r="E1340" s="47"/>
      <c r="F1340" s="47"/>
      <c r="G1340" s="363"/>
      <c r="H1340" s="47"/>
      <c r="I1340" s="47"/>
      <c r="J1340" s="47"/>
    </row>
    <row r="1341" spans="2:10" ht="14.5">
      <c r="B1341" s="47"/>
      <c r="C1341" s="47"/>
      <c r="D1341" s="47"/>
      <c r="E1341" s="47"/>
      <c r="F1341" s="47"/>
      <c r="G1341" s="363"/>
      <c r="H1341" s="47"/>
      <c r="I1341" s="47"/>
      <c r="J1341" s="47"/>
    </row>
    <row r="1342" spans="2:10" ht="14.5">
      <c r="B1342" s="47"/>
      <c r="C1342" s="47"/>
      <c r="D1342" s="47"/>
      <c r="E1342" s="47"/>
      <c r="F1342" s="47"/>
      <c r="G1342" s="363"/>
      <c r="H1342" s="47"/>
      <c r="I1342" s="47"/>
      <c r="J1342" s="47"/>
    </row>
    <row r="1343" spans="2:10" ht="14.5">
      <c r="B1343" s="47"/>
      <c r="C1343" s="47"/>
      <c r="D1343" s="47"/>
      <c r="E1343" s="47"/>
      <c r="F1343" s="47"/>
      <c r="G1343" s="363"/>
      <c r="H1343" s="47"/>
      <c r="I1343" s="47"/>
      <c r="J1343" s="47"/>
    </row>
    <row r="1344" spans="2:10" ht="14.5">
      <c r="B1344" s="47"/>
      <c r="C1344" s="47"/>
      <c r="D1344" s="47"/>
      <c r="E1344" s="47"/>
      <c r="F1344" s="47"/>
      <c r="G1344" s="363"/>
      <c r="H1344" s="47"/>
      <c r="I1344" s="47"/>
      <c r="J1344" s="47"/>
    </row>
    <row r="1345" spans="2:10" ht="14.5">
      <c r="B1345" s="47"/>
      <c r="C1345" s="47"/>
      <c r="D1345" s="47"/>
      <c r="E1345" s="47"/>
      <c r="F1345" s="47"/>
      <c r="G1345" s="363"/>
      <c r="H1345" s="47"/>
      <c r="I1345" s="47"/>
      <c r="J1345" s="47"/>
    </row>
    <row r="1346" spans="2:10" ht="14.5">
      <c r="B1346" s="47"/>
      <c r="C1346" s="47"/>
      <c r="D1346" s="47"/>
      <c r="E1346" s="47"/>
      <c r="F1346" s="47"/>
      <c r="G1346" s="363"/>
      <c r="H1346" s="47"/>
      <c r="I1346" s="47"/>
      <c r="J1346" s="47"/>
    </row>
    <row r="1347" spans="2:10" ht="14.5">
      <c r="B1347" s="47"/>
      <c r="C1347" s="47"/>
      <c r="D1347" s="47"/>
      <c r="E1347" s="47"/>
      <c r="F1347" s="47"/>
      <c r="G1347" s="363"/>
      <c r="H1347" s="47"/>
      <c r="I1347" s="47"/>
      <c r="J1347" s="47"/>
    </row>
    <row r="1348" spans="2:10" ht="14.5">
      <c r="B1348" s="47"/>
      <c r="C1348" s="47"/>
      <c r="D1348" s="47"/>
      <c r="E1348" s="47"/>
      <c r="F1348" s="47"/>
      <c r="G1348" s="363"/>
      <c r="H1348" s="47"/>
      <c r="I1348" s="47"/>
      <c r="J1348" s="47"/>
    </row>
    <row r="1349" spans="2:10" ht="14.5">
      <c r="B1349" s="47"/>
      <c r="C1349" s="47"/>
      <c r="D1349" s="47"/>
      <c r="E1349" s="47"/>
      <c r="F1349" s="47"/>
      <c r="G1349" s="363"/>
      <c r="H1349" s="47"/>
      <c r="I1349" s="47"/>
      <c r="J1349" s="47"/>
    </row>
    <row r="1350" spans="2:10" ht="14.5">
      <c r="B1350" s="47"/>
      <c r="C1350" s="47"/>
      <c r="D1350" s="47"/>
      <c r="E1350" s="47"/>
      <c r="F1350" s="47"/>
      <c r="G1350" s="363"/>
      <c r="H1350" s="47"/>
      <c r="I1350" s="47"/>
      <c r="J1350" s="47"/>
    </row>
    <row r="1351" spans="2:10" ht="14.5">
      <c r="B1351" s="47"/>
      <c r="C1351" s="47"/>
      <c r="D1351" s="47"/>
      <c r="E1351" s="47"/>
      <c r="F1351" s="47"/>
      <c r="G1351" s="363"/>
      <c r="H1351" s="47"/>
      <c r="I1351" s="47"/>
      <c r="J1351" s="47"/>
    </row>
    <row r="1352" spans="2:10" ht="14.5">
      <c r="B1352" s="47"/>
      <c r="C1352" s="47"/>
      <c r="D1352" s="47"/>
      <c r="E1352" s="47"/>
      <c r="F1352" s="47"/>
      <c r="G1352" s="363"/>
      <c r="H1352" s="47"/>
      <c r="I1352" s="47"/>
      <c r="J1352" s="47"/>
    </row>
    <row r="1353" spans="2:10" ht="14.5">
      <c r="B1353" s="47"/>
      <c r="C1353" s="47"/>
      <c r="D1353" s="47"/>
      <c r="E1353" s="47"/>
      <c r="F1353" s="47"/>
      <c r="G1353" s="363"/>
      <c r="H1353" s="47"/>
      <c r="I1353" s="47"/>
      <c r="J1353" s="47"/>
    </row>
    <row r="1354" spans="2:10" ht="14.5">
      <c r="B1354" s="47"/>
      <c r="C1354" s="47"/>
      <c r="D1354" s="47"/>
      <c r="E1354" s="47"/>
      <c r="F1354" s="47"/>
      <c r="G1354" s="363"/>
      <c r="H1354" s="47"/>
      <c r="I1354" s="47"/>
      <c r="J1354" s="47"/>
    </row>
    <row r="1355" spans="2:10" ht="14.5">
      <c r="B1355" s="47"/>
      <c r="C1355" s="47"/>
      <c r="D1355" s="47"/>
      <c r="E1355" s="47"/>
      <c r="F1355" s="47"/>
      <c r="G1355" s="363"/>
      <c r="H1355" s="47"/>
      <c r="I1355" s="47"/>
      <c r="J1355" s="47"/>
    </row>
    <row r="1356" spans="2:10" ht="14.5">
      <c r="B1356" s="47"/>
      <c r="C1356" s="47"/>
      <c r="D1356" s="47"/>
      <c r="E1356" s="47"/>
      <c r="F1356" s="47"/>
      <c r="G1356" s="363"/>
      <c r="H1356" s="47"/>
      <c r="I1356" s="47"/>
      <c r="J1356" s="47"/>
    </row>
    <row r="1357" spans="2:10" ht="14.5">
      <c r="B1357" s="47"/>
      <c r="C1357" s="47"/>
      <c r="D1357" s="47"/>
      <c r="E1357" s="47"/>
      <c r="F1357" s="47"/>
      <c r="G1357" s="363"/>
      <c r="H1357" s="47"/>
      <c r="I1357" s="47"/>
      <c r="J1357" s="47"/>
    </row>
    <row r="1358" spans="2:10" ht="14.5">
      <c r="B1358" s="47"/>
      <c r="C1358" s="47"/>
      <c r="D1358" s="47"/>
      <c r="E1358" s="47"/>
      <c r="F1358" s="47"/>
      <c r="G1358" s="363"/>
      <c r="H1358" s="47"/>
      <c r="I1358" s="47"/>
      <c r="J1358" s="47"/>
    </row>
    <row r="1359" spans="2:10" ht="14.5">
      <c r="B1359" s="47"/>
      <c r="C1359" s="47"/>
      <c r="D1359" s="47"/>
      <c r="E1359" s="47"/>
      <c r="F1359" s="47"/>
      <c r="G1359" s="363"/>
      <c r="H1359" s="47"/>
      <c r="I1359" s="47"/>
      <c r="J1359" s="47"/>
    </row>
    <row r="1360" spans="2:10" ht="14.5">
      <c r="B1360" s="47"/>
      <c r="C1360" s="47"/>
      <c r="D1360" s="47"/>
      <c r="E1360" s="47"/>
      <c r="F1360" s="47"/>
      <c r="G1360" s="363"/>
      <c r="H1360" s="47"/>
      <c r="I1360" s="47"/>
      <c r="J1360" s="47"/>
    </row>
    <row r="1361" spans="2:10" ht="14.5">
      <c r="B1361" s="47"/>
      <c r="C1361" s="47"/>
      <c r="D1361" s="47"/>
      <c r="E1361" s="47"/>
      <c r="F1361" s="47"/>
      <c r="G1361" s="363"/>
      <c r="H1361" s="47"/>
      <c r="I1361" s="47"/>
      <c r="J1361" s="47"/>
    </row>
    <row r="1362" spans="2:10" ht="14.5">
      <c r="B1362" s="47"/>
      <c r="C1362" s="47"/>
      <c r="D1362" s="47"/>
      <c r="E1362" s="47"/>
      <c r="F1362" s="47"/>
      <c r="G1362" s="363"/>
      <c r="H1362" s="47"/>
      <c r="I1362" s="47"/>
      <c r="J1362" s="47"/>
    </row>
    <row r="1363" spans="2:10" ht="14.5">
      <c r="B1363" s="47"/>
      <c r="C1363" s="47"/>
      <c r="D1363" s="47"/>
      <c r="E1363" s="47"/>
      <c r="F1363" s="47"/>
      <c r="G1363" s="363"/>
      <c r="H1363" s="47"/>
      <c r="I1363" s="47"/>
      <c r="J1363" s="47"/>
    </row>
    <row r="1364" spans="2:10" ht="14.5">
      <c r="B1364" s="47"/>
      <c r="C1364" s="47"/>
      <c r="D1364" s="47"/>
      <c r="E1364" s="47"/>
      <c r="F1364" s="47"/>
      <c r="G1364" s="363"/>
      <c r="H1364" s="47"/>
      <c r="I1364" s="47"/>
      <c r="J1364" s="47"/>
    </row>
    <row r="1365" spans="2:10" ht="14.5">
      <c r="B1365" s="47"/>
      <c r="C1365" s="47"/>
      <c r="D1365" s="47"/>
      <c r="E1365" s="47"/>
      <c r="F1365" s="47"/>
      <c r="G1365" s="363"/>
      <c r="H1365" s="47"/>
      <c r="I1365" s="47"/>
      <c r="J1365" s="47"/>
    </row>
    <row r="1366" spans="2:10" ht="14.5">
      <c r="B1366" s="47"/>
      <c r="C1366" s="47"/>
      <c r="D1366" s="47"/>
      <c r="E1366" s="47"/>
      <c r="F1366" s="47"/>
      <c r="G1366" s="363"/>
      <c r="H1366" s="47"/>
      <c r="I1366" s="47"/>
      <c r="J1366" s="47"/>
    </row>
    <row r="1367" spans="2:10" ht="14.5">
      <c r="B1367" s="47"/>
      <c r="C1367" s="47"/>
      <c r="D1367" s="47"/>
      <c r="E1367" s="47"/>
      <c r="F1367" s="47"/>
      <c r="G1367" s="363"/>
      <c r="H1367" s="47"/>
      <c r="I1367" s="47"/>
      <c r="J1367" s="47"/>
    </row>
    <row r="1368" spans="2:10" ht="14.5">
      <c r="B1368" s="47"/>
      <c r="C1368" s="47"/>
      <c r="D1368" s="47"/>
      <c r="E1368" s="47"/>
      <c r="F1368" s="47"/>
      <c r="G1368" s="363"/>
      <c r="H1368" s="47"/>
      <c r="I1368" s="47"/>
      <c r="J1368" s="47"/>
    </row>
    <row r="1369" spans="2:10" ht="14.5">
      <c r="B1369" s="47"/>
      <c r="C1369" s="47"/>
      <c r="D1369" s="47"/>
      <c r="E1369" s="47"/>
      <c r="F1369" s="47"/>
      <c r="G1369" s="363"/>
      <c r="H1369" s="47"/>
      <c r="I1369" s="47"/>
      <c r="J1369" s="47"/>
    </row>
    <row r="1370" spans="2:10" ht="14.5">
      <c r="B1370" s="47"/>
      <c r="C1370" s="47"/>
      <c r="D1370" s="47"/>
      <c r="E1370" s="47"/>
      <c r="F1370" s="47"/>
      <c r="G1370" s="363"/>
      <c r="H1370" s="47"/>
      <c r="I1370" s="47"/>
      <c r="J1370" s="47"/>
    </row>
    <row r="1371" spans="2:10" ht="14.5">
      <c r="B1371" s="47"/>
      <c r="C1371" s="47"/>
      <c r="D1371" s="47"/>
      <c r="E1371" s="47"/>
      <c r="F1371" s="47"/>
      <c r="G1371" s="363"/>
      <c r="H1371" s="47"/>
      <c r="I1371" s="47"/>
      <c r="J1371" s="47"/>
    </row>
    <row r="1372" spans="2:10" ht="14.5">
      <c r="B1372" s="47"/>
      <c r="C1372" s="47"/>
      <c r="D1372" s="47"/>
      <c r="E1372" s="47"/>
      <c r="F1372" s="47"/>
      <c r="G1372" s="363"/>
      <c r="H1372" s="47"/>
      <c r="I1372" s="47"/>
      <c r="J1372" s="47"/>
    </row>
    <row r="1373" spans="2:10" ht="14.5">
      <c r="B1373" s="47"/>
      <c r="C1373" s="47"/>
      <c r="D1373" s="47"/>
      <c r="E1373" s="47"/>
      <c r="F1373" s="47"/>
      <c r="G1373" s="363"/>
      <c r="H1373" s="47"/>
      <c r="I1373" s="47"/>
      <c r="J1373" s="47"/>
    </row>
    <row r="1374" spans="2:10" ht="14.5">
      <c r="B1374" s="47"/>
      <c r="C1374" s="47"/>
      <c r="D1374" s="47"/>
      <c r="E1374" s="47"/>
      <c r="F1374" s="47"/>
      <c r="G1374" s="363"/>
      <c r="H1374" s="47"/>
      <c r="I1374" s="47"/>
      <c r="J1374" s="47"/>
    </row>
    <row r="1375" spans="2:10" ht="14.5">
      <c r="B1375" s="47"/>
      <c r="C1375" s="47"/>
      <c r="D1375" s="47"/>
      <c r="E1375" s="47"/>
      <c r="F1375" s="47"/>
      <c r="G1375" s="363"/>
      <c r="H1375" s="47"/>
      <c r="I1375" s="47"/>
      <c r="J1375" s="47"/>
    </row>
    <row r="1376" spans="2:10" ht="14.5">
      <c r="B1376" s="47"/>
      <c r="C1376" s="47"/>
      <c r="D1376" s="47"/>
      <c r="E1376" s="47"/>
      <c r="F1376" s="47"/>
      <c r="G1376" s="363"/>
      <c r="H1376" s="47"/>
      <c r="I1376" s="47"/>
      <c r="J1376" s="47"/>
    </row>
    <row r="1377" spans="2:10" ht="14.5">
      <c r="B1377" s="47"/>
      <c r="C1377" s="47"/>
      <c r="D1377" s="47"/>
      <c r="E1377" s="47"/>
      <c r="F1377" s="47"/>
      <c r="G1377" s="363"/>
      <c r="H1377" s="47"/>
      <c r="I1377" s="47"/>
      <c r="J1377" s="47"/>
    </row>
    <row r="1378" spans="2:10" ht="14.5">
      <c r="B1378" s="47"/>
      <c r="C1378" s="47"/>
      <c r="D1378" s="47"/>
      <c r="E1378" s="47"/>
      <c r="F1378" s="47"/>
      <c r="G1378" s="363"/>
      <c r="H1378" s="47"/>
      <c r="I1378" s="47"/>
      <c r="J1378" s="47"/>
    </row>
    <row r="1379" spans="2:10" ht="14.5">
      <c r="B1379" s="47"/>
      <c r="C1379" s="47"/>
      <c r="D1379" s="47"/>
      <c r="E1379" s="47"/>
      <c r="F1379" s="47"/>
      <c r="G1379" s="363"/>
      <c r="H1379" s="47"/>
      <c r="I1379" s="47"/>
      <c r="J1379" s="47"/>
    </row>
    <row r="1380" spans="2:10" ht="14.5">
      <c r="B1380" s="47"/>
      <c r="C1380" s="47"/>
      <c r="D1380" s="47"/>
      <c r="E1380" s="47"/>
      <c r="F1380" s="47"/>
      <c r="G1380" s="363"/>
      <c r="H1380" s="47"/>
      <c r="I1380" s="47"/>
      <c r="J1380" s="47"/>
    </row>
    <row r="1381" spans="2:10" ht="14.5">
      <c r="B1381" s="47"/>
      <c r="C1381" s="47"/>
      <c r="D1381" s="47"/>
      <c r="E1381" s="47"/>
      <c r="F1381" s="47"/>
      <c r="G1381" s="363"/>
      <c r="H1381" s="47"/>
      <c r="I1381" s="47"/>
      <c r="J1381" s="47"/>
    </row>
    <row r="1382" spans="2:10" ht="14.5">
      <c r="B1382" s="47"/>
      <c r="C1382" s="47"/>
      <c r="D1382" s="47"/>
      <c r="E1382" s="47"/>
      <c r="F1382" s="47"/>
      <c r="G1382" s="363"/>
      <c r="H1382" s="47"/>
      <c r="I1382" s="47"/>
      <c r="J1382" s="47"/>
    </row>
    <row r="1383" spans="2:10" ht="14.5">
      <c r="B1383" s="47"/>
      <c r="C1383" s="47"/>
      <c r="D1383" s="47"/>
      <c r="E1383" s="47"/>
      <c r="F1383" s="47"/>
      <c r="G1383" s="363"/>
      <c r="H1383" s="47"/>
      <c r="I1383" s="47"/>
      <c r="J1383" s="47"/>
    </row>
    <row r="1384" spans="2:10" ht="14.5">
      <c r="B1384" s="47"/>
      <c r="C1384" s="47"/>
      <c r="D1384" s="47"/>
      <c r="E1384" s="47"/>
      <c r="F1384" s="47"/>
      <c r="G1384" s="363"/>
      <c r="H1384" s="47"/>
      <c r="I1384" s="47"/>
      <c r="J1384" s="47"/>
    </row>
    <row r="1385" spans="2:10" ht="14.5">
      <c r="B1385" s="47"/>
      <c r="C1385" s="47"/>
      <c r="D1385" s="47"/>
      <c r="E1385" s="47"/>
      <c r="F1385" s="47"/>
      <c r="G1385" s="363"/>
      <c r="H1385" s="47"/>
      <c r="I1385" s="47"/>
      <c r="J1385" s="47"/>
    </row>
    <row r="1386" spans="2:10" ht="14.5">
      <c r="B1386" s="47"/>
      <c r="C1386" s="47"/>
      <c r="D1386" s="47"/>
      <c r="E1386" s="47"/>
      <c r="F1386" s="47"/>
      <c r="G1386" s="363"/>
      <c r="H1386" s="47"/>
      <c r="I1386" s="47"/>
      <c r="J1386" s="47"/>
    </row>
    <row r="1387" spans="2:10" ht="14.5">
      <c r="B1387" s="47"/>
      <c r="C1387" s="47"/>
      <c r="D1387" s="47"/>
      <c r="E1387" s="47"/>
      <c r="F1387" s="47"/>
      <c r="G1387" s="363"/>
      <c r="H1387" s="47"/>
      <c r="I1387" s="47"/>
      <c r="J1387" s="47"/>
    </row>
    <row r="1388" spans="2:10" ht="14.5">
      <c r="B1388" s="47"/>
      <c r="C1388" s="47"/>
      <c r="D1388" s="47"/>
      <c r="E1388" s="47"/>
      <c r="F1388" s="47"/>
      <c r="G1388" s="363"/>
      <c r="H1388" s="47"/>
      <c r="I1388" s="47"/>
      <c r="J1388" s="47"/>
    </row>
    <row r="1389" spans="2:10" ht="14.5">
      <c r="B1389" s="47"/>
      <c r="C1389" s="47"/>
      <c r="D1389" s="47"/>
      <c r="E1389" s="47"/>
      <c r="F1389" s="47"/>
      <c r="G1389" s="363"/>
      <c r="H1389" s="47"/>
      <c r="I1389" s="47"/>
      <c r="J1389" s="47"/>
    </row>
    <row r="1390" spans="2:10" ht="14.5">
      <c r="B1390" s="47"/>
      <c r="C1390" s="47"/>
      <c r="D1390" s="47"/>
      <c r="E1390" s="47"/>
      <c r="F1390" s="47"/>
      <c r="G1390" s="363"/>
      <c r="H1390" s="47"/>
      <c r="I1390" s="47"/>
      <c r="J1390" s="47"/>
    </row>
    <row r="1391" spans="2:10" ht="14.5">
      <c r="B1391" s="47"/>
      <c r="C1391" s="47"/>
      <c r="D1391" s="47"/>
      <c r="E1391" s="47"/>
      <c r="F1391" s="47"/>
      <c r="G1391" s="363"/>
      <c r="H1391" s="47"/>
      <c r="I1391" s="47"/>
      <c r="J1391" s="47"/>
    </row>
    <row r="1392" spans="2:10" ht="14.5">
      <c r="B1392" s="47"/>
      <c r="C1392" s="47"/>
      <c r="D1392" s="47"/>
      <c r="E1392" s="47"/>
      <c r="F1392" s="47"/>
      <c r="G1392" s="363"/>
      <c r="H1392" s="47"/>
      <c r="I1392" s="47"/>
      <c r="J1392" s="47"/>
    </row>
    <row r="1393" spans="2:10" ht="14.5">
      <c r="B1393" s="47"/>
      <c r="C1393" s="47"/>
      <c r="D1393" s="47"/>
      <c r="E1393" s="47"/>
      <c r="F1393" s="47"/>
      <c r="G1393" s="363"/>
      <c r="H1393" s="47"/>
      <c r="I1393" s="47"/>
      <c r="J1393" s="47"/>
    </row>
    <row r="1394" spans="2:10" ht="14.5">
      <c r="B1394" s="47"/>
      <c r="C1394" s="47"/>
      <c r="D1394" s="47"/>
      <c r="E1394" s="47"/>
      <c r="F1394" s="47"/>
      <c r="G1394" s="363"/>
      <c r="H1394" s="47"/>
      <c r="I1394" s="47"/>
      <c r="J1394" s="47"/>
    </row>
    <row r="1395" spans="2:10" ht="14.5">
      <c r="B1395" s="47"/>
      <c r="C1395" s="47"/>
      <c r="D1395" s="47"/>
      <c r="E1395" s="47"/>
      <c r="F1395" s="47"/>
      <c r="G1395" s="363"/>
      <c r="H1395" s="47"/>
      <c r="I1395" s="47"/>
      <c r="J1395" s="47"/>
    </row>
    <row r="1396" spans="2:10" ht="14.5">
      <c r="B1396" s="47"/>
      <c r="C1396" s="47"/>
      <c r="D1396" s="47"/>
      <c r="E1396" s="47"/>
      <c r="F1396" s="47"/>
      <c r="G1396" s="363"/>
      <c r="H1396" s="47"/>
      <c r="I1396" s="47"/>
      <c r="J1396" s="47"/>
    </row>
    <row r="1397" spans="2:10" ht="14.5">
      <c r="B1397" s="47"/>
      <c r="C1397" s="47"/>
      <c r="D1397" s="47"/>
      <c r="E1397" s="47"/>
      <c r="F1397" s="47"/>
      <c r="G1397" s="363"/>
      <c r="H1397" s="47"/>
      <c r="I1397" s="47"/>
      <c r="J1397" s="47"/>
    </row>
    <row r="1398" spans="2:10" ht="14.5">
      <c r="B1398" s="47"/>
      <c r="C1398" s="47"/>
      <c r="D1398" s="47"/>
      <c r="E1398" s="47"/>
      <c r="F1398" s="47"/>
      <c r="G1398" s="363"/>
      <c r="H1398" s="47"/>
      <c r="I1398" s="47"/>
      <c r="J1398" s="47"/>
    </row>
    <row r="1399" spans="2:10" ht="14.5">
      <c r="B1399" s="47"/>
      <c r="C1399" s="47"/>
      <c r="D1399" s="47"/>
      <c r="E1399" s="47"/>
      <c r="F1399" s="47"/>
      <c r="G1399" s="363"/>
      <c r="H1399" s="47"/>
      <c r="I1399" s="47"/>
      <c r="J1399" s="47"/>
    </row>
    <row r="1400" spans="2:10" ht="14.5">
      <c r="B1400" s="47"/>
      <c r="C1400" s="47"/>
      <c r="D1400" s="47"/>
      <c r="E1400" s="47"/>
      <c r="F1400" s="47"/>
      <c r="G1400" s="363"/>
      <c r="H1400" s="47"/>
      <c r="I1400" s="47"/>
      <c r="J1400" s="47"/>
    </row>
    <row r="1401" spans="2:10" ht="14.5">
      <c r="B1401" s="47"/>
      <c r="C1401" s="47"/>
      <c r="D1401" s="47"/>
      <c r="E1401" s="47"/>
      <c r="F1401" s="47"/>
      <c r="G1401" s="363"/>
      <c r="H1401" s="47"/>
      <c r="I1401" s="47"/>
      <c r="J1401" s="47"/>
    </row>
    <row r="1402" spans="2:10" ht="14.5">
      <c r="B1402" s="47"/>
      <c r="C1402" s="47"/>
      <c r="D1402" s="47"/>
      <c r="E1402" s="47"/>
      <c r="F1402" s="47"/>
      <c r="G1402" s="363"/>
      <c r="H1402" s="47"/>
      <c r="I1402" s="47"/>
      <c r="J1402" s="47"/>
    </row>
    <row r="1403" spans="2:10" ht="14.5">
      <c r="B1403" s="47"/>
      <c r="C1403" s="47"/>
      <c r="D1403" s="47"/>
      <c r="E1403" s="47"/>
      <c r="F1403" s="47"/>
      <c r="G1403" s="363"/>
      <c r="H1403" s="47"/>
      <c r="I1403" s="47"/>
      <c r="J1403" s="47"/>
    </row>
    <row r="1404" spans="2:10" ht="14.5">
      <c r="B1404" s="47"/>
      <c r="C1404" s="47"/>
      <c r="D1404" s="47"/>
      <c r="E1404" s="47"/>
      <c r="F1404" s="47"/>
      <c r="G1404" s="363"/>
      <c r="H1404" s="47"/>
      <c r="I1404" s="47"/>
      <c r="J1404" s="47"/>
    </row>
    <row r="1405" spans="2:10" ht="14.5">
      <c r="B1405" s="47"/>
      <c r="C1405" s="47"/>
      <c r="D1405" s="47"/>
      <c r="E1405" s="47"/>
      <c r="F1405" s="47"/>
      <c r="G1405" s="363"/>
      <c r="H1405" s="47"/>
      <c r="I1405" s="47"/>
      <c r="J1405" s="47"/>
    </row>
    <row r="1406" spans="2:10" ht="14.5">
      <c r="B1406" s="47"/>
      <c r="C1406" s="47"/>
      <c r="D1406" s="47"/>
      <c r="E1406" s="47"/>
      <c r="F1406" s="47"/>
      <c r="G1406" s="363"/>
      <c r="H1406" s="47"/>
      <c r="I1406" s="47"/>
      <c r="J1406" s="47"/>
    </row>
    <row r="1407" spans="2:10" ht="14.5">
      <c r="B1407" s="47"/>
      <c r="C1407" s="47"/>
      <c r="D1407" s="47"/>
      <c r="E1407" s="47"/>
      <c r="F1407" s="47"/>
      <c r="G1407" s="363"/>
      <c r="H1407" s="47"/>
      <c r="I1407" s="47"/>
      <c r="J1407" s="47"/>
    </row>
    <row r="1408" spans="2:10" ht="14.5">
      <c r="B1408" s="47"/>
      <c r="C1408" s="47"/>
      <c r="D1408" s="47"/>
      <c r="E1408" s="47"/>
      <c r="F1408" s="47"/>
      <c r="G1408" s="363"/>
      <c r="H1408" s="47"/>
      <c r="I1408" s="47"/>
      <c r="J1408" s="47"/>
    </row>
    <row r="1409" spans="2:10" ht="14.5">
      <c r="B1409" s="47"/>
      <c r="C1409" s="47"/>
      <c r="D1409" s="47"/>
      <c r="E1409" s="47"/>
      <c r="F1409" s="47"/>
      <c r="G1409" s="363"/>
      <c r="H1409" s="47"/>
      <c r="I1409" s="47"/>
      <c r="J1409" s="47"/>
    </row>
    <row r="1410" spans="2:10" ht="14.5">
      <c r="B1410" s="47"/>
      <c r="C1410" s="47"/>
      <c r="D1410" s="47"/>
      <c r="E1410" s="47"/>
      <c r="F1410" s="47"/>
      <c r="G1410" s="363"/>
      <c r="H1410" s="47"/>
      <c r="I1410" s="47"/>
      <c r="J1410" s="47"/>
    </row>
    <row r="1411" spans="2:10" ht="14.5">
      <c r="B1411" s="47"/>
      <c r="C1411" s="47"/>
      <c r="D1411" s="47"/>
      <c r="E1411" s="47"/>
      <c r="F1411" s="47"/>
      <c r="G1411" s="363"/>
      <c r="H1411" s="47"/>
      <c r="I1411" s="47"/>
      <c r="J1411" s="47"/>
    </row>
    <row r="1412" spans="2:10" ht="14.5">
      <c r="B1412" s="47"/>
      <c r="C1412" s="47"/>
      <c r="D1412" s="47"/>
      <c r="E1412" s="47"/>
      <c r="F1412" s="47"/>
      <c r="G1412" s="363"/>
      <c r="H1412" s="47"/>
      <c r="I1412" s="47"/>
      <c r="J1412" s="47"/>
    </row>
    <row r="1413" spans="2:10" ht="14.5">
      <c r="B1413" s="47"/>
      <c r="C1413" s="47"/>
      <c r="D1413" s="47"/>
      <c r="E1413" s="47"/>
      <c r="F1413" s="47"/>
      <c r="G1413" s="363"/>
      <c r="H1413" s="47"/>
      <c r="I1413" s="47"/>
      <c r="J1413" s="47"/>
    </row>
    <row r="1414" spans="2:10" ht="14.5">
      <c r="B1414" s="47"/>
      <c r="C1414" s="47"/>
      <c r="D1414" s="47"/>
      <c r="E1414" s="47"/>
      <c r="F1414" s="47"/>
      <c r="G1414" s="363"/>
      <c r="H1414" s="47"/>
      <c r="I1414" s="47"/>
      <c r="J1414" s="47"/>
    </row>
    <row r="1415" spans="2:10" ht="14.5">
      <c r="B1415" s="47"/>
      <c r="C1415" s="47"/>
      <c r="D1415" s="47"/>
      <c r="E1415" s="47"/>
      <c r="F1415" s="47"/>
      <c r="G1415" s="363"/>
      <c r="H1415" s="47"/>
      <c r="I1415" s="47"/>
      <c r="J1415" s="47"/>
    </row>
    <row r="1416" spans="2:10" ht="14.5">
      <c r="B1416" s="47"/>
      <c r="C1416" s="47"/>
      <c r="D1416" s="47"/>
      <c r="E1416" s="47"/>
      <c r="F1416" s="47"/>
      <c r="G1416" s="363"/>
      <c r="H1416" s="47"/>
      <c r="I1416" s="47"/>
      <c r="J1416" s="47"/>
    </row>
    <row r="1417" spans="2:10" ht="14.5">
      <c r="B1417" s="47"/>
      <c r="C1417" s="47"/>
      <c r="D1417" s="47"/>
      <c r="E1417" s="47"/>
      <c r="F1417" s="47"/>
      <c r="G1417" s="363"/>
      <c r="H1417" s="47"/>
      <c r="I1417" s="47"/>
      <c r="J1417" s="47"/>
    </row>
    <row r="1418" spans="2:10" ht="14.5">
      <c r="B1418" s="47"/>
      <c r="C1418" s="47"/>
      <c r="D1418" s="47"/>
      <c r="E1418" s="47"/>
      <c r="F1418" s="47"/>
      <c r="G1418" s="363"/>
      <c r="H1418" s="47"/>
      <c r="I1418" s="47"/>
      <c r="J1418" s="47"/>
    </row>
    <row r="1419" spans="2:10" ht="14.5">
      <c r="B1419" s="47"/>
      <c r="C1419" s="47"/>
      <c r="D1419" s="47"/>
      <c r="E1419" s="47"/>
      <c r="F1419" s="47"/>
      <c r="G1419" s="363"/>
      <c r="H1419" s="47"/>
      <c r="I1419" s="47"/>
      <c r="J1419" s="47"/>
    </row>
    <row r="1420" spans="2:10" ht="14.5">
      <c r="B1420" s="47"/>
      <c r="C1420" s="47"/>
      <c r="D1420" s="47"/>
      <c r="E1420" s="47"/>
      <c r="F1420" s="47"/>
      <c r="G1420" s="363"/>
      <c r="H1420" s="47"/>
      <c r="I1420" s="47"/>
      <c r="J1420" s="47"/>
    </row>
    <row r="1421" spans="2:10" ht="14.5">
      <c r="B1421" s="47"/>
      <c r="C1421" s="47"/>
      <c r="D1421" s="47"/>
      <c r="E1421" s="47"/>
      <c r="F1421" s="47"/>
      <c r="G1421" s="363"/>
      <c r="H1421" s="47"/>
      <c r="I1421" s="47"/>
      <c r="J1421" s="47"/>
    </row>
    <row r="1422" spans="2:10" ht="14.5">
      <c r="B1422" s="47"/>
      <c r="C1422" s="47"/>
      <c r="D1422" s="47"/>
      <c r="E1422" s="47"/>
      <c r="F1422" s="47"/>
      <c r="G1422" s="363"/>
      <c r="H1422" s="47"/>
      <c r="I1422" s="47"/>
      <c r="J1422" s="47"/>
    </row>
    <row r="1423" spans="2:10" ht="14.5">
      <c r="B1423" s="47"/>
      <c r="C1423" s="47"/>
      <c r="D1423" s="47"/>
      <c r="E1423" s="47"/>
      <c r="F1423" s="47"/>
      <c r="G1423" s="363"/>
      <c r="H1423" s="47"/>
      <c r="I1423" s="47"/>
      <c r="J1423" s="47"/>
    </row>
    <row r="1424" spans="2:10" ht="14.5">
      <c r="B1424" s="47"/>
      <c r="C1424" s="47"/>
      <c r="D1424" s="47"/>
      <c r="E1424" s="47"/>
      <c r="F1424" s="47"/>
      <c r="G1424" s="363"/>
      <c r="H1424" s="47"/>
      <c r="I1424" s="47"/>
      <c r="J1424" s="47"/>
    </row>
    <row r="1425" spans="2:10" ht="14.5">
      <c r="B1425" s="47"/>
      <c r="C1425" s="47"/>
      <c r="D1425" s="47"/>
      <c r="E1425" s="47"/>
      <c r="F1425" s="47"/>
      <c r="G1425" s="363"/>
      <c r="H1425" s="47"/>
      <c r="I1425" s="47"/>
      <c r="J1425" s="47"/>
    </row>
    <row r="1426" spans="2:10" ht="14.5">
      <c r="B1426" s="47"/>
      <c r="C1426" s="47"/>
      <c r="D1426" s="47"/>
      <c r="E1426" s="47"/>
      <c r="F1426" s="47"/>
      <c r="G1426" s="363"/>
      <c r="H1426" s="47"/>
      <c r="I1426" s="47"/>
      <c r="J1426" s="47"/>
    </row>
    <row r="1427" spans="2:10" ht="14.5">
      <c r="B1427" s="47"/>
      <c r="C1427" s="47"/>
      <c r="D1427" s="47"/>
      <c r="E1427" s="47"/>
      <c r="F1427" s="47"/>
      <c r="G1427" s="363"/>
      <c r="H1427" s="47"/>
      <c r="I1427" s="47"/>
      <c r="J1427" s="47"/>
    </row>
    <row r="1428" spans="2:10" ht="14.5">
      <c r="B1428" s="47"/>
      <c r="C1428" s="47"/>
      <c r="D1428" s="47"/>
      <c r="E1428" s="47"/>
      <c r="F1428" s="47"/>
      <c r="G1428" s="363"/>
      <c r="H1428" s="47"/>
      <c r="I1428" s="47"/>
      <c r="J1428" s="47"/>
    </row>
    <row r="1429" spans="2:10" ht="14.5">
      <c r="B1429" s="47"/>
      <c r="C1429" s="47"/>
      <c r="D1429" s="47"/>
      <c r="E1429" s="47"/>
      <c r="F1429" s="47"/>
      <c r="G1429" s="363"/>
      <c r="H1429" s="47"/>
      <c r="I1429" s="47"/>
      <c r="J1429" s="47"/>
    </row>
    <row r="1430" spans="2:10" ht="14.5">
      <c r="B1430" s="47"/>
      <c r="C1430" s="47"/>
      <c r="D1430" s="47"/>
      <c r="E1430" s="47"/>
      <c r="F1430" s="47"/>
      <c r="G1430" s="363"/>
      <c r="H1430" s="47"/>
      <c r="I1430" s="47"/>
      <c r="J1430" s="47"/>
    </row>
    <row r="1431" spans="2:10" ht="14.5">
      <c r="B1431" s="47"/>
      <c r="C1431" s="47"/>
      <c r="D1431" s="47"/>
      <c r="E1431" s="47"/>
      <c r="F1431" s="47"/>
      <c r="G1431" s="363"/>
      <c r="H1431" s="47"/>
      <c r="I1431" s="47"/>
      <c r="J1431" s="47"/>
    </row>
    <row r="1432" spans="2:10" ht="14.5">
      <c r="B1432" s="47"/>
      <c r="C1432" s="47"/>
      <c r="D1432" s="47"/>
      <c r="E1432" s="47"/>
      <c r="F1432" s="47"/>
      <c r="G1432" s="363"/>
      <c r="H1432" s="47"/>
      <c r="I1432" s="47"/>
      <c r="J1432" s="47"/>
    </row>
    <row r="1433" spans="2:10" ht="14.5">
      <c r="B1433" s="47"/>
      <c r="C1433" s="47"/>
      <c r="D1433" s="47"/>
      <c r="E1433" s="47"/>
      <c r="F1433" s="47"/>
      <c r="G1433" s="363"/>
      <c r="H1433" s="47"/>
      <c r="I1433" s="47"/>
      <c r="J1433" s="47"/>
    </row>
    <row r="1434" spans="2:10" ht="14.5">
      <c r="B1434" s="47"/>
      <c r="C1434" s="47"/>
      <c r="D1434" s="47"/>
      <c r="E1434" s="47"/>
      <c r="F1434" s="47"/>
      <c r="G1434" s="363"/>
      <c r="H1434" s="47"/>
      <c r="I1434" s="47"/>
      <c r="J1434" s="47"/>
    </row>
    <row r="1435" spans="2:10" ht="14.5">
      <c r="B1435" s="47"/>
      <c r="C1435" s="47"/>
      <c r="D1435" s="47"/>
      <c r="E1435" s="47"/>
      <c r="F1435" s="47"/>
      <c r="G1435" s="363"/>
      <c r="H1435" s="47"/>
      <c r="I1435" s="47"/>
      <c r="J1435" s="47"/>
    </row>
    <row r="1436" spans="2:10" ht="14.5">
      <c r="B1436" s="47"/>
      <c r="C1436" s="47"/>
      <c r="D1436" s="47"/>
      <c r="E1436" s="47"/>
      <c r="F1436" s="47"/>
      <c r="G1436" s="363"/>
      <c r="H1436" s="47"/>
      <c r="I1436" s="47"/>
      <c r="J1436" s="47"/>
    </row>
    <row r="1437" spans="2:10" ht="14.5">
      <c r="B1437" s="47"/>
      <c r="C1437" s="47"/>
      <c r="D1437" s="47"/>
      <c r="E1437" s="47"/>
      <c r="F1437" s="47"/>
      <c r="G1437" s="363"/>
      <c r="H1437" s="47"/>
      <c r="I1437" s="47"/>
      <c r="J1437" s="47"/>
    </row>
    <row r="1438" spans="2:10" ht="14.5">
      <c r="B1438" s="47"/>
      <c r="C1438" s="47"/>
      <c r="D1438" s="47"/>
      <c r="E1438" s="47"/>
      <c r="F1438" s="47"/>
      <c r="G1438" s="363"/>
      <c r="H1438" s="47"/>
      <c r="I1438" s="47"/>
      <c r="J1438" s="47"/>
    </row>
    <row r="1439" spans="2:10" ht="14.5">
      <c r="B1439" s="47"/>
      <c r="C1439" s="47"/>
      <c r="D1439" s="47"/>
      <c r="E1439" s="47"/>
      <c r="F1439" s="47"/>
      <c r="G1439" s="363"/>
      <c r="H1439" s="47"/>
      <c r="I1439" s="47"/>
      <c r="J1439" s="47"/>
    </row>
    <row r="1440" spans="2:10" ht="14.5">
      <c r="B1440" s="47"/>
      <c r="C1440" s="47"/>
      <c r="D1440" s="47"/>
      <c r="E1440" s="47"/>
      <c r="F1440" s="47"/>
      <c r="G1440" s="363"/>
      <c r="H1440" s="47"/>
      <c r="I1440" s="47"/>
      <c r="J1440" s="47"/>
    </row>
    <row r="1441" spans="2:10" ht="14.5">
      <c r="B1441" s="47"/>
      <c r="C1441" s="47"/>
      <c r="D1441" s="47"/>
      <c r="E1441" s="47"/>
      <c r="F1441" s="47"/>
      <c r="G1441" s="363"/>
      <c r="H1441" s="47"/>
      <c r="I1441" s="47"/>
      <c r="J1441" s="47"/>
    </row>
    <row r="1442" spans="2:10" ht="14.5">
      <c r="B1442" s="47"/>
      <c r="C1442" s="47"/>
      <c r="D1442" s="47"/>
      <c r="E1442" s="47"/>
      <c r="F1442" s="47"/>
      <c r="G1442" s="363"/>
      <c r="H1442" s="47"/>
      <c r="I1442" s="47"/>
      <c r="J1442" s="47"/>
    </row>
    <row r="1443" spans="2:10" ht="14.5">
      <c r="B1443" s="47"/>
      <c r="C1443" s="47"/>
      <c r="D1443" s="47"/>
      <c r="E1443" s="47"/>
      <c r="F1443" s="47"/>
      <c r="G1443" s="363"/>
      <c r="H1443" s="47"/>
      <c r="I1443" s="47"/>
      <c r="J1443" s="47"/>
    </row>
    <row r="1444" spans="2:10" ht="14.5">
      <c r="B1444" s="47"/>
      <c r="C1444" s="47"/>
      <c r="D1444" s="47"/>
      <c r="E1444" s="47"/>
      <c r="F1444" s="47"/>
      <c r="G1444" s="363"/>
      <c r="H1444" s="47"/>
      <c r="I1444" s="47"/>
      <c r="J1444" s="47"/>
    </row>
    <row r="1445" spans="2:10" ht="14.5">
      <c r="B1445" s="47"/>
      <c r="C1445" s="47"/>
      <c r="D1445" s="47"/>
      <c r="E1445" s="47"/>
      <c r="F1445" s="47"/>
      <c r="G1445" s="363"/>
      <c r="H1445" s="47"/>
      <c r="I1445" s="47"/>
      <c r="J1445" s="47"/>
    </row>
    <row r="1446" spans="2:10" ht="14.5">
      <c r="B1446" s="47"/>
      <c r="C1446" s="47"/>
      <c r="D1446" s="47"/>
      <c r="E1446" s="47"/>
      <c r="F1446" s="47"/>
      <c r="G1446" s="363"/>
      <c r="H1446" s="47"/>
      <c r="I1446" s="47"/>
      <c r="J1446" s="47"/>
    </row>
    <row r="1447" spans="2:10" ht="14.5">
      <c r="B1447" s="47"/>
      <c r="C1447" s="47"/>
      <c r="D1447" s="47"/>
      <c r="E1447" s="47"/>
      <c r="F1447" s="47"/>
      <c r="G1447" s="363"/>
      <c r="H1447" s="47"/>
      <c r="I1447" s="47"/>
      <c r="J1447" s="47"/>
    </row>
    <row r="1448" spans="2:10" ht="14.5">
      <c r="B1448" s="47"/>
      <c r="C1448" s="47"/>
      <c r="D1448" s="47"/>
      <c r="E1448" s="47"/>
      <c r="F1448" s="47"/>
      <c r="G1448" s="363"/>
      <c r="H1448" s="47"/>
      <c r="I1448" s="47"/>
      <c r="J1448" s="47"/>
    </row>
    <row r="1449" spans="2:10" ht="14.5">
      <c r="B1449" s="47"/>
      <c r="C1449" s="47"/>
      <c r="D1449" s="47"/>
      <c r="E1449" s="47"/>
      <c r="F1449" s="47"/>
      <c r="G1449" s="363"/>
      <c r="H1449" s="47"/>
      <c r="I1449" s="47"/>
      <c r="J1449" s="47"/>
    </row>
    <row r="1450" spans="2:10" ht="14.5">
      <c r="B1450" s="47"/>
      <c r="C1450" s="47"/>
      <c r="D1450" s="47"/>
      <c r="E1450" s="47"/>
      <c r="F1450" s="47"/>
      <c r="G1450" s="363"/>
      <c r="H1450" s="47"/>
      <c r="I1450" s="47"/>
      <c r="J1450" s="47"/>
    </row>
    <row r="1451" spans="2:10" ht="14.5">
      <c r="B1451" s="47"/>
      <c r="C1451" s="47"/>
      <c r="D1451" s="47"/>
      <c r="E1451" s="47"/>
      <c r="F1451" s="47"/>
      <c r="G1451" s="363"/>
      <c r="H1451" s="47"/>
      <c r="I1451" s="47"/>
      <c r="J1451" s="47"/>
    </row>
    <row r="1452" spans="2:10" ht="14.5">
      <c r="B1452" s="47"/>
      <c r="C1452" s="47"/>
      <c r="D1452" s="47"/>
      <c r="E1452" s="47"/>
      <c r="F1452" s="47"/>
      <c r="G1452" s="363"/>
      <c r="H1452" s="47"/>
      <c r="I1452" s="47"/>
      <c r="J1452" s="47"/>
    </row>
    <row r="1453" spans="2:10" ht="14.5">
      <c r="B1453" s="47"/>
      <c r="C1453" s="47"/>
      <c r="D1453" s="47"/>
      <c r="E1453" s="47"/>
      <c r="F1453" s="47"/>
      <c r="G1453" s="363"/>
      <c r="H1453" s="47"/>
      <c r="I1453" s="47"/>
      <c r="J1453" s="47"/>
    </row>
    <row r="1454" spans="2:10" ht="14.5">
      <c r="B1454" s="47"/>
      <c r="C1454" s="47"/>
      <c r="D1454" s="47"/>
      <c r="E1454" s="47"/>
      <c r="F1454" s="47"/>
      <c r="G1454" s="363"/>
      <c r="H1454" s="47"/>
      <c r="I1454" s="47"/>
      <c r="J1454" s="47"/>
    </row>
    <row r="1455" spans="2:10" ht="14.5">
      <c r="B1455" s="47"/>
      <c r="C1455" s="47"/>
      <c r="D1455" s="47"/>
      <c r="E1455" s="47"/>
      <c r="F1455" s="47"/>
      <c r="G1455" s="363"/>
      <c r="H1455" s="47"/>
      <c r="I1455" s="47"/>
      <c r="J1455" s="47"/>
    </row>
    <row r="1456" spans="2:10" ht="14.5">
      <c r="B1456" s="47"/>
      <c r="C1456" s="47"/>
      <c r="D1456" s="47"/>
      <c r="E1456" s="47"/>
      <c r="F1456" s="47"/>
      <c r="G1456" s="363"/>
      <c r="H1456" s="47"/>
      <c r="I1456" s="47"/>
      <c r="J1456" s="47"/>
    </row>
    <row r="1457" spans="2:10" ht="14.5">
      <c r="B1457" s="47"/>
      <c r="C1457" s="47"/>
      <c r="D1457" s="47"/>
      <c r="E1457" s="47"/>
      <c r="F1457" s="47"/>
      <c r="G1457" s="363"/>
      <c r="H1457" s="47"/>
      <c r="I1457" s="47"/>
      <c r="J1457" s="47"/>
    </row>
    <row r="1458" spans="2:10" ht="14.5">
      <c r="B1458" s="47"/>
      <c r="C1458" s="47"/>
      <c r="D1458" s="47"/>
      <c r="E1458" s="47"/>
      <c r="F1458" s="47"/>
      <c r="G1458" s="363"/>
      <c r="H1458" s="47"/>
      <c r="I1458" s="47"/>
      <c r="J1458" s="47"/>
    </row>
    <row r="1459" spans="2:10" ht="14.5">
      <c r="B1459" s="47"/>
      <c r="C1459" s="47"/>
      <c r="D1459" s="47"/>
      <c r="E1459" s="47"/>
      <c r="F1459" s="47"/>
      <c r="G1459" s="363"/>
      <c r="H1459" s="47"/>
      <c r="I1459" s="47"/>
      <c r="J1459" s="47"/>
    </row>
    <row r="1460" spans="2:10" ht="14.5">
      <c r="B1460" s="47"/>
      <c r="C1460" s="47"/>
      <c r="D1460" s="47"/>
      <c r="E1460" s="47"/>
      <c r="F1460" s="47"/>
      <c r="G1460" s="363"/>
      <c r="H1460" s="47"/>
      <c r="I1460" s="47"/>
      <c r="J1460" s="47"/>
    </row>
    <row r="1461" spans="2:10" ht="14.5">
      <c r="B1461" s="47"/>
      <c r="C1461" s="47"/>
      <c r="D1461" s="47"/>
      <c r="E1461" s="47"/>
      <c r="F1461" s="47"/>
      <c r="G1461" s="363"/>
      <c r="H1461" s="47"/>
      <c r="I1461" s="47"/>
      <c r="J1461" s="47"/>
    </row>
    <row r="1462" spans="2:10" ht="14.5">
      <c r="B1462" s="47"/>
      <c r="C1462" s="47"/>
      <c r="D1462" s="47"/>
      <c r="E1462" s="47"/>
      <c r="F1462" s="47"/>
      <c r="G1462" s="363"/>
      <c r="H1462" s="47"/>
      <c r="I1462" s="47"/>
      <c r="J1462" s="47"/>
    </row>
    <row r="1463" spans="2:10" ht="14.5">
      <c r="B1463" s="47"/>
      <c r="C1463" s="47"/>
      <c r="D1463" s="47"/>
      <c r="E1463" s="47"/>
      <c r="F1463" s="47"/>
      <c r="G1463" s="363"/>
      <c r="H1463" s="47"/>
      <c r="I1463" s="47"/>
      <c r="J1463" s="47"/>
    </row>
    <row r="1464" spans="2:10" ht="14.5">
      <c r="B1464" s="47"/>
      <c r="C1464" s="47"/>
      <c r="D1464" s="47"/>
      <c r="E1464" s="47"/>
      <c r="F1464" s="47"/>
      <c r="G1464" s="363"/>
      <c r="H1464" s="47"/>
      <c r="I1464" s="47"/>
      <c r="J1464" s="47"/>
    </row>
    <row r="1465" spans="2:10" ht="14.5">
      <c r="B1465" s="47"/>
      <c r="C1465" s="47"/>
      <c r="D1465" s="47"/>
      <c r="E1465" s="47"/>
      <c r="F1465" s="47"/>
      <c r="G1465" s="363"/>
      <c r="H1465" s="47"/>
      <c r="I1465" s="47"/>
      <c r="J1465" s="47"/>
    </row>
    <row r="1466" spans="2:10" ht="14.5">
      <c r="B1466" s="47"/>
      <c r="C1466" s="47"/>
      <c r="D1466" s="47"/>
      <c r="E1466" s="47"/>
      <c r="F1466" s="47"/>
      <c r="G1466" s="363"/>
      <c r="H1466" s="47"/>
      <c r="I1466" s="47"/>
      <c r="J1466" s="47"/>
    </row>
    <row r="1467" spans="2:10" ht="14.5">
      <c r="B1467" s="47"/>
      <c r="C1467" s="47"/>
      <c r="D1467" s="47"/>
      <c r="E1467" s="47"/>
      <c r="F1467" s="47"/>
      <c r="G1467" s="363"/>
      <c r="H1467" s="47"/>
      <c r="I1467" s="47"/>
      <c r="J1467" s="47"/>
    </row>
    <row r="1468" spans="2:10" ht="14.5">
      <c r="B1468" s="47"/>
      <c r="C1468" s="47"/>
      <c r="D1468" s="47"/>
      <c r="E1468" s="47"/>
      <c r="F1468" s="47"/>
      <c r="G1468" s="363"/>
      <c r="H1468" s="47"/>
      <c r="I1468" s="47"/>
      <c r="J1468" s="47"/>
    </row>
    <row r="1469" spans="2:10" ht="14.5">
      <c r="B1469" s="47"/>
      <c r="C1469" s="47"/>
      <c r="D1469" s="47"/>
      <c r="E1469" s="47"/>
      <c r="F1469" s="47"/>
      <c r="G1469" s="363"/>
      <c r="H1469" s="47"/>
      <c r="I1469" s="47"/>
      <c r="J1469" s="47"/>
    </row>
    <row r="1470" spans="2:10" ht="14.5">
      <c r="B1470" s="47"/>
      <c r="C1470" s="47"/>
      <c r="D1470" s="47"/>
      <c r="E1470" s="47"/>
      <c r="F1470" s="47"/>
      <c r="G1470" s="363"/>
      <c r="H1470" s="47"/>
      <c r="I1470" s="47"/>
      <c r="J1470" s="47"/>
    </row>
    <row r="1471" spans="2:10" ht="14.5">
      <c r="B1471" s="47"/>
      <c r="C1471" s="47"/>
      <c r="D1471" s="47"/>
      <c r="E1471" s="47"/>
      <c r="F1471" s="47"/>
      <c r="G1471" s="363"/>
      <c r="H1471" s="47"/>
      <c r="I1471" s="47"/>
      <c r="J1471" s="47"/>
    </row>
    <row r="1472" spans="2:10" ht="14.5">
      <c r="B1472" s="47"/>
      <c r="C1472" s="47"/>
      <c r="D1472" s="47"/>
      <c r="E1472" s="47"/>
      <c r="F1472" s="47"/>
      <c r="G1472" s="363"/>
      <c r="H1472" s="47"/>
      <c r="I1472" s="47"/>
      <c r="J1472" s="47"/>
    </row>
    <row r="1473" spans="2:10" ht="14.5">
      <c r="B1473" s="47"/>
      <c r="C1473" s="47"/>
      <c r="D1473" s="47"/>
      <c r="E1473" s="47"/>
      <c r="F1473" s="47"/>
      <c r="G1473" s="363"/>
      <c r="H1473" s="47"/>
      <c r="I1473" s="47"/>
      <c r="J1473" s="47"/>
    </row>
    <row r="1474" spans="2:10" ht="14.5">
      <c r="B1474" s="47"/>
      <c r="C1474" s="47"/>
      <c r="D1474" s="47"/>
      <c r="E1474" s="47"/>
      <c r="F1474" s="47"/>
      <c r="G1474" s="363"/>
      <c r="H1474" s="47"/>
      <c r="I1474" s="47"/>
      <c r="J1474" s="47"/>
    </row>
    <row r="1475" spans="2:10" ht="14.5">
      <c r="B1475" s="47"/>
      <c r="C1475" s="47"/>
      <c r="D1475" s="47"/>
      <c r="E1475" s="47"/>
      <c r="F1475" s="47"/>
      <c r="G1475" s="363"/>
      <c r="H1475" s="47"/>
      <c r="I1475" s="47"/>
      <c r="J1475" s="47"/>
    </row>
    <row r="1476" spans="2:10" ht="14.5">
      <c r="B1476" s="47"/>
      <c r="C1476" s="47"/>
      <c r="D1476" s="47"/>
      <c r="E1476" s="47"/>
      <c r="F1476" s="47"/>
      <c r="G1476" s="363"/>
      <c r="H1476" s="47"/>
      <c r="I1476" s="47"/>
      <c r="J1476" s="47"/>
    </row>
    <row r="1477" spans="2:10" ht="14.5">
      <c r="B1477" s="47"/>
      <c r="C1477" s="47"/>
      <c r="D1477" s="47"/>
      <c r="E1477" s="47"/>
      <c r="F1477" s="47"/>
      <c r="G1477" s="363"/>
      <c r="H1477" s="47"/>
      <c r="I1477" s="47"/>
      <c r="J1477" s="47"/>
    </row>
    <row r="1478" spans="2:10" ht="14.5">
      <c r="B1478" s="47"/>
      <c r="C1478" s="47"/>
      <c r="D1478" s="47"/>
      <c r="E1478" s="47"/>
      <c r="F1478" s="47"/>
      <c r="G1478" s="363"/>
      <c r="H1478" s="47"/>
      <c r="I1478" s="47"/>
      <c r="J1478" s="47"/>
    </row>
    <row r="1479" spans="2:10" ht="14.5">
      <c r="B1479" s="47"/>
      <c r="C1479" s="47"/>
      <c r="D1479" s="47"/>
      <c r="E1479" s="47"/>
      <c r="F1479" s="47"/>
      <c r="G1479" s="47"/>
      <c r="H1479" s="47"/>
      <c r="I1479" s="47"/>
      <c r="J1479" s="47"/>
    </row>
    <row r="1480" spans="2:10" ht="14.5">
      <c r="B1480" s="47"/>
      <c r="C1480" s="47"/>
      <c r="D1480" s="47"/>
      <c r="E1480" s="47"/>
      <c r="F1480" s="47"/>
      <c r="G1480" s="47"/>
      <c r="H1480" s="47"/>
      <c r="I1480" s="47"/>
      <c r="J1480" s="47"/>
    </row>
    <row r="1481" spans="2:10" ht="14.5">
      <c r="B1481" s="47"/>
      <c r="C1481" s="47"/>
      <c r="D1481" s="47"/>
      <c r="E1481" s="47"/>
      <c r="F1481" s="47"/>
      <c r="G1481" s="47"/>
      <c r="H1481" s="47"/>
      <c r="I1481" s="47"/>
      <c r="J1481" s="47"/>
    </row>
    <row r="1482" spans="2:10" ht="14.5">
      <c r="B1482" s="47"/>
      <c r="C1482" s="47"/>
      <c r="D1482" s="47"/>
      <c r="E1482" s="47"/>
      <c r="F1482" s="47"/>
      <c r="G1482" s="47"/>
      <c r="H1482" s="47"/>
      <c r="I1482" s="47"/>
      <c r="J1482" s="47"/>
    </row>
    <row r="1483" spans="2:10" ht="14.5">
      <c r="B1483" s="47"/>
      <c r="C1483" s="47"/>
      <c r="D1483" s="47"/>
      <c r="E1483" s="47"/>
      <c r="F1483" s="47"/>
      <c r="G1483" s="47"/>
      <c r="H1483" s="47"/>
      <c r="I1483" s="47"/>
      <c r="J1483" s="47"/>
    </row>
    <row r="1484" spans="2:10" ht="14.5">
      <c r="B1484" s="47"/>
      <c r="C1484" s="47"/>
      <c r="D1484" s="47"/>
      <c r="E1484" s="47"/>
      <c r="F1484" s="47"/>
      <c r="G1484" s="47"/>
      <c r="H1484" s="47"/>
      <c r="I1484" s="47"/>
      <c r="J1484" s="47"/>
    </row>
    <row r="1485" spans="2:10" ht="14.5">
      <c r="B1485" s="47"/>
      <c r="C1485" s="47"/>
      <c r="D1485" s="47"/>
      <c r="E1485" s="47"/>
      <c r="F1485" s="47"/>
      <c r="G1485" s="47"/>
      <c r="H1485" s="47"/>
      <c r="I1485" s="47"/>
      <c r="J1485" s="47"/>
    </row>
    <row r="1486" spans="2:10" ht="14.5">
      <c r="B1486" s="47"/>
      <c r="C1486" s="47"/>
      <c r="D1486" s="47"/>
      <c r="E1486" s="47"/>
      <c r="F1486" s="47"/>
      <c r="G1486" s="47"/>
      <c r="H1486" s="47"/>
      <c r="I1486" s="47"/>
      <c r="J1486" s="47"/>
    </row>
    <row r="1487" spans="2:10" ht="14.5">
      <c r="B1487" s="47"/>
      <c r="C1487" s="47"/>
      <c r="D1487" s="47"/>
      <c r="E1487" s="47"/>
      <c r="F1487" s="47"/>
      <c r="G1487" s="47"/>
      <c r="H1487" s="47"/>
      <c r="I1487" s="47"/>
      <c r="J1487" s="47"/>
    </row>
    <row r="1488" spans="2:10" ht="14.5">
      <c r="B1488" s="47"/>
      <c r="C1488" s="47"/>
      <c r="D1488" s="47"/>
      <c r="E1488" s="47"/>
      <c r="F1488" s="47"/>
      <c r="G1488" s="47"/>
      <c r="H1488" s="47"/>
      <c r="I1488" s="47"/>
      <c r="J1488" s="47"/>
    </row>
    <row r="1489" spans="2:10" ht="14.5">
      <c r="B1489" s="47"/>
      <c r="C1489" s="47"/>
      <c r="D1489" s="47"/>
      <c r="E1489" s="47"/>
      <c r="F1489" s="47"/>
      <c r="G1489" s="47"/>
      <c r="H1489" s="47"/>
      <c r="I1489" s="47"/>
      <c r="J1489" s="47"/>
    </row>
    <row r="1490" spans="2:10" ht="14.5">
      <c r="B1490" s="47"/>
      <c r="C1490" s="47"/>
      <c r="D1490" s="47"/>
      <c r="E1490" s="47"/>
      <c r="F1490" s="47"/>
      <c r="G1490" s="47"/>
      <c r="H1490" s="47"/>
      <c r="I1490" s="47"/>
      <c r="J1490" s="47"/>
    </row>
    <row r="1491" spans="2:10" ht="14.5">
      <c r="B1491" s="47"/>
      <c r="C1491" s="47"/>
      <c r="D1491" s="47"/>
      <c r="E1491" s="47"/>
      <c r="F1491" s="47"/>
      <c r="G1491" s="47"/>
      <c r="H1491" s="47"/>
      <c r="I1491" s="47"/>
      <c r="J1491" s="47"/>
    </row>
    <row r="1492" spans="2:10" ht="14.5">
      <c r="B1492" s="47"/>
      <c r="C1492" s="47"/>
      <c r="D1492" s="47"/>
      <c r="E1492" s="47"/>
      <c r="F1492" s="47"/>
      <c r="G1492" s="47"/>
      <c r="H1492" s="47"/>
      <c r="I1492" s="47"/>
      <c r="J1492" s="47"/>
    </row>
    <row r="1493" spans="2:10" ht="14.5">
      <c r="B1493" s="47"/>
      <c r="C1493" s="47"/>
      <c r="D1493" s="47"/>
      <c r="E1493" s="47"/>
      <c r="F1493" s="47"/>
      <c r="G1493" s="47"/>
      <c r="H1493" s="47"/>
      <c r="I1493" s="47"/>
      <c r="J1493" s="47"/>
    </row>
    <row r="1494" spans="2:10" ht="14.5">
      <c r="B1494" s="47"/>
      <c r="C1494" s="47"/>
      <c r="D1494" s="47"/>
      <c r="E1494" s="47"/>
      <c r="F1494" s="47"/>
      <c r="G1494" s="47"/>
      <c r="H1494" s="47"/>
      <c r="I1494" s="47"/>
      <c r="J1494" s="47"/>
    </row>
    <row r="1495" spans="2:10" ht="14.5">
      <c r="B1495" s="47"/>
      <c r="C1495" s="47"/>
      <c r="D1495" s="47"/>
      <c r="E1495" s="47"/>
      <c r="F1495" s="47"/>
      <c r="G1495" s="47"/>
      <c r="H1495" s="47"/>
      <c r="I1495" s="47"/>
      <c r="J1495" s="47"/>
    </row>
    <row r="1496" spans="2:10" ht="14.5">
      <c r="B1496" s="47"/>
      <c r="C1496" s="47"/>
      <c r="D1496" s="47"/>
      <c r="E1496" s="47"/>
      <c r="F1496" s="47"/>
      <c r="G1496" s="47"/>
      <c r="H1496" s="47"/>
      <c r="I1496" s="47"/>
      <c r="J1496" s="47"/>
    </row>
    <row r="1497" spans="2:10" ht="14.5">
      <c r="B1497" s="47"/>
      <c r="C1497" s="47"/>
      <c r="D1497" s="47"/>
      <c r="E1497" s="47"/>
      <c r="F1497" s="47"/>
      <c r="G1497" s="47"/>
      <c r="H1497" s="47"/>
      <c r="I1497" s="47"/>
      <c r="J1497" s="47"/>
    </row>
    <row r="1498" spans="2:10" ht="14.5">
      <c r="B1498" s="47"/>
      <c r="C1498" s="47"/>
      <c r="D1498" s="47"/>
      <c r="E1498" s="47"/>
      <c r="F1498" s="47"/>
      <c r="G1498" s="47"/>
      <c r="H1498" s="47"/>
      <c r="I1498" s="47"/>
      <c r="J1498" s="47"/>
    </row>
    <row r="1499" spans="2:10" ht="14.5">
      <c r="B1499" s="47"/>
      <c r="C1499" s="47"/>
      <c r="D1499" s="47"/>
      <c r="E1499" s="47"/>
      <c r="F1499" s="47"/>
      <c r="G1499" s="47"/>
      <c r="H1499" s="47"/>
      <c r="I1499" s="47"/>
      <c r="J1499" s="47"/>
    </row>
    <row r="1500" spans="2:10" ht="14.5">
      <c r="B1500" s="47"/>
      <c r="C1500" s="47"/>
      <c r="D1500" s="47"/>
      <c r="E1500" s="47"/>
      <c r="F1500" s="47"/>
      <c r="G1500" s="47"/>
      <c r="H1500" s="47"/>
      <c r="I1500" s="47"/>
      <c r="J1500" s="47"/>
    </row>
    <row r="1501" spans="2:10" ht="14.5">
      <c r="B1501" s="47"/>
      <c r="C1501" s="47"/>
      <c r="D1501" s="47"/>
      <c r="E1501" s="47"/>
      <c r="F1501" s="47"/>
      <c r="G1501" s="47"/>
      <c r="H1501" s="47"/>
      <c r="I1501" s="47"/>
      <c r="J1501" s="47"/>
    </row>
    <row r="1502" spans="2:10" ht="14.5">
      <c r="B1502" s="47"/>
      <c r="C1502" s="47"/>
      <c r="D1502" s="47"/>
      <c r="E1502" s="47"/>
      <c r="F1502" s="47"/>
      <c r="G1502" s="47"/>
      <c r="H1502" s="47"/>
      <c r="I1502" s="47"/>
      <c r="J1502" s="47"/>
    </row>
    <row r="1503" spans="2:10" ht="14.5">
      <c r="B1503" s="47"/>
      <c r="C1503" s="47"/>
      <c r="D1503" s="47"/>
      <c r="E1503" s="47"/>
      <c r="F1503" s="47"/>
      <c r="G1503" s="47"/>
      <c r="H1503" s="47"/>
      <c r="I1503" s="47"/>
      <c r="J1503" s="47"/>
    </row>
    <row r="1504" spans="2:10" ht="14.5">
      <c r="B1504" s="47"/>
      <c r="C1504" s="47"/>
      <c r="D1504" s="47"/>
      <c r="E1504" s="47"/>
      <c r="F1504" s="47"/>
      <c r="G1504" s="47"/>
      <c r="H1504" s="47"/>
      <c r="I1504" s="47"/>
      <c r="J1504" s="47"/>
    </row>
    <row r="1505" spans="2:10" ht="14.5">
      <c r="B1505" s="47"/>
      <c r="C1505" s="47"/>
      <c r="D1505" s="47"/>
      <c r="E1505" s="47"/>
      <c r="F1505" s="47"/>
      <c r="G1505" s="47"/>
      <c r="H1505" s="47"/>
      <c r="I1505" s="47"/>
      <c r="J1505" s="47"/>
    </row>
    <row r="1506" spans="2:10" ht="14.5">
      <c r="B1506" s="47"/>
      <c r="C1506" s="47"/>
      <c r="D1506" s="47"/>
      <c r="E1506" s="47"/>
      <c r="F1506" s="47"/>
      <c r="G1506" s="47"/>
      <c r="H1506" s="47"/>
      <c r="I1506" s="47"/>
      <c r="J1506" s="47"/>
    </row>
    <row r="1507" spans="2:10" ht="14.5">
      <c r="B1507" s="47"/>
      <c r="C1507" s="47"/>
      <c r="D1507" s="47"/>
      <c r="E1507" s="47"/>
      <c r="F1507" s="47"/>
      <c r="G1507" s="47"/>
      <c r="H1507" s="47"/>
      <c r="I1507" s="47"/>
      <c r="J1507" s="47"/>
    </row>
    <row r="1508" spans="2:10" ht="14.5">
      <c r="B1508" s="47"/>
      <c r="C1508" s="47"/>
      <c r="D1508" s="47"/>
      <c r="E1508" s="47"/>
      <c r="F1508" s="47"/>
      <c r="G1508" s="47"/>
      <c r="H1508" s="47"/>
      <c r="I1508" s="47"/>
      <c r="J1508" s="47"/>
    </row>
    <row r="1509" spans="2:10" ht="14.5">
      <c r="B1509" s="47"/>
      <c r="C1509" s="47"/>
      <c r="D1509" s="47"/>
      <c r="E1509" s="47"/>
      <c r="F1509" s="47"/>
      <c r="G1509" s="47"/>
      <c r="H1509" s="47"/>
      <c r="I1509" s="47"/>
      <c r="J1509" s="47"/>
    </row>
    <row r="1510" spans="2:10" ht="14.5">
      <c r="B1510" s="47"/>
      <c r="C1510" s="47"/>
      <c r="D1510" s="47"/>
      <c r="E1510" s="47"/>
      <c r="F1510" s="47"/>
      <c r="G1510" s="47"/>
      <c r="H1510" s="47"/>
      <c r="I1510" s="47"/>
      <c r="J1510" s="47"/>
    </row>
    <row r="1511" spans="2:10" ht="14.5">
      <c r="B1511" s="47"/>
      <c r="C1511" s="47"/>
      <c r="D1511" s="47"/>
      <c r="E1511" s="47"/>
      <c r="F1511" s="47"/>
      <c r="G1511" s="47"/>
      <c r="H1511" s="47"/>
      <c r="I1511" s="47"/>
      <c r="J1511" s="47"/>
    </row>
    <row r="1512" spans="2:10" ht="14.5">
      <c r="B1512" s="47"/>
      <c r="C1512" s="47"/>
      <c r="D1512" s="47"/>
      <c r="E1512" s="47"/>
      <c r="F1512" s="47"/>
      <c r="G1512" s="47"/>
      <c r="H1512" s="47"/>
      <c r="I1512" s="47"/>
      <c r="J1512" s="47"/>
    </row>
    <row r="1513" spans="2:10" ht="14.5">
      <c r="B1513" s="47"/>
      <c r="C1513" s="47"/>
      <c r="D1513" s="47"/>
      <c r="E1513" s="47"/>
      <c r="F1513" s="47"/>
      <c r="G1513" s="47"/>
      <c r="H1513" s="47"/>
      <c r="I1513" s="47"/>
      <c r="J1513" s="47"/>
    </row>
    <row r="1514" spans="2:10" ht="14.5">
      <c r="B1514" s="47"/>
      <c r="C1514" s="47"/>
      <c r="D1514" s="47"/>
      <c r="E1514" s="47"/>
      <c r="F1514" s="47"/>
      <c r="G1514" s="47"/>
      <c r="H1514" s="47"/>
      <c r="I1514" s="47"/>
      <c r="J1514" s="47"/>
    </row>
    <row r="1515" spans="2:10" ht="14.5">
      <c r="B1515" s="47"/>
      <c r="C1515" s="47"/>
      <c r="D1515" s="47"/>
      <c r="E1515" s="47"/>
      <c r="F1515" s="47"/>
      <c r="G1515" s="47"/>
      <c r="H1515" s="47"/>
      <c r="I1515" s="47"/>
      <c r="J1515" s="47"/>
    </row>
    <row r="1516" spans="2:10" ht="14.5">
      <c r="B1516" s="47"/>
      <c r="C1516" s="47"/>
      <c r="D1516" s="47"/>
      <c r="E1516" s="47"/>
      <c r="F1516" s="47"/>
      <c r="G1516" s="47"/>
      <c r="H1516" s="47"/>
      <c r="I1516" s="47"/>
      <c r="J1516" s="47"/>
    </row>
    <row r="1517" spans="2:10" ht="14.5">
      <c r="B1517" s="47"/>
      <c r="C1517" s="47"/>
      <c r="D1517" s="47"/>
      <c r="E1517" s="47"/>
      <c r="F1517" s="47"/>
      <c r="G1517" s="47"/>
      <c r="H1517" s="47"/>
      <c r="I1517" s="47"/>
      <c r="J1517" s="47"/>
    </row>
    <row r="1518" spans="2:10" ht="14.5">
      <c r="B1518" s="47"/>
      <c r="C1518" s="47"/>
      <c r="D1518" s="47"/>
      <c r="E1518" s="47"/>
      <c r="F1518" s="47"/>
      <c r="G1518" s="47"/>
      <c r="H1518" s="47"/>
      <c r="I1518" s="47"/>
      <c r="J1518" s="47"/>
    </row>
    <row r="1519" spans="2:10" ht="14.5">
      <c r="B1519" s="47"/>
      <c r="C1519" s="47"/>
      <c r="D1519" s="47"/>
      <c r="E1519" s="47"/>
      <c r="F1519" s="47"/>
      <c r="G1519" s="47"/>
      <c r="H1519" s="47"/>
      <c r="I1519" s="47"/>
      <c r="J1519" s="47"/>
    </row>
    <row r="1520" spans="2:10" ht="14.5">
      <c r="B1520" s="47"/>
      <c r="C1520" s="47"/>
      <c r="D1520" s="47"/>
      <c r="E1520" s="47"/>
      <c r="F1520" s="47"/>
      <c r="G1520" s="47"/>
      <c r="H1520" s="47"/>
      <c r="I1520" s="47"/>
      <c r="J1520" s="47"/>
    </row>
    <row r="1521" spans="2:10" ht="14.5">
      <c r="B1521" s="47"/>
      <c r="C1521" s="47"/>
      <c r="D1521" s="47"/>
      <c r="E1521" s="47"/>
      <c r="F1521" s="47"/>
      <c r="G1521" s="47"/>
      <c r="H1521" s="47"/>
      <c r="I1521" s="47"/>
      <c r="J1521" s="47"/>
    </row>
    <row r="1522" spans="2:10" ht="14.5">
      <c r="B1522" s="47"/>
      <c r="C1522" s="47"/>
      <c r="D1522" s="47"/>
      <c r="E1522" s="47"/>
      <c r="F1522" s="47"/>
      <c r="G1522" s="47"/>
      <c r="H1522" s="47"/>
      <c r="I1522" s="47"/>
      <c r="J1522" s="47"/>
    </row>
    <row r="1523" spans="2:10" ht="14.5">
      <c r="B1523" s="47"/>
      <c r="C1523" s="47"/>
      <c r="D1523" s="47"/>
      <c r="E1523" s="47"/>
      <c r="F1523" s="47"/>
      <c r="G1523" s="47"/>
      <c r="H1523" s="47"/>
      <c r="I1523" s="47"/>
      <c r="J1523" s="47"/>
    </row>
    <row r="1524" spans="2:10" ht="14.5">
      <c r="B1524" s="47"/>
      <c r="C1524" s="47"/>
      <c r="D1524" s="47"/>
      <c r="E1524" s="47"/>
      <c r="F1524" s="47"/>
      <c r="G1524" s="47"/>
      <c r="H1524" s="47"/>
      <c r="I1524" s="47"/>
      <c r="J1524" s="47"/>
    </row>
    <row r="1525" spans="2:10" ht="14.5">
      <c r="B1525" s="47"/>
      <c r="C1525" s="47"/>
      <c r="D1525" s="47"/>
      <c r="E1525" s="47"/>
      <c r="F1525" s="47"/>
      <c r="G1525" s="47"/>
      <c r="H1525" s="47"/>
      <c r="I1525" s="47"/>
      <c r="J1525" s="47"/>
    </row>
    <row r="1526" spans="2:10" ht="14.5">
      <c r="B1526" s="47"/>
      <c r="C1526" s="47"/>
      <c r="D1526" s="47"/>
      <c r="E1526" s="47"/>
      <c r="F1526" s="47"/>
      <c r="G1526" s="47"/>
      <c r="H1526" s="47"/>
      <c r="I1526" s="47"/>
      <c r="J1526" s="47"/>
    </row>
    <row r="1527" spans="2:10" ht="14.5">
      <c r="B1527" s="47"/>
      <c r="C1527" s="47"/>
      <c r="D1527" s="47"/>
      <c r="E1527" s="47"/>
      <c r="F1527" s="47"/>
      <c r="G1527" s="47"/>
      <c r="H1527" s="47"/>
      <c r="I1527" s="47"/>
      <c r="J1527" s="47"/>
    </row>
    <row r="1528" spans="2:10" ht="14.5">
      <c r="B1528" s="47"/>
      <c r="C1528" s="47"/>
      <c r="D1528" s="47"/>
      <c r="E1528" s="47"/>
      <c r="F1528" s="47"/>
      <c r="G1528" s="47"/>
      <c r="H1528" s="47"/>
      <c r="I1528" s="47"/>
      <c r="J1528" s="47"/>
    </row>
    <row r="1529" spans="2:10" ht="14.5">
      <c r="B1529" s="47"/>
      <c r="C1529" s="47"/>
      <c r="D1529" s="47"/>
      <c r="E1529" s="47"/>
      <c r="F1529" s="47"/>
      <c r="G1529" s="47"/>
      <c r="H1529" s="47"/>
      <c r="I1529" s="47"/>
      <c r="J1529" s="47"/>
    </row>
    <row r="1530" spans="2:10" ht="14.5">
      <c r="B1530" s="47"/>
      <c r="C1530" s="47"/>
      <c r="D1530" s="47"/>
      <c r="E1530" s="47"/>
      <c r="F1530" s="47"/>
      <c r="G1530" s="47"/>
      <c r="H1530" s="47"/>
      <c r="I1530" s="47"/>
      <c r="J1530" s="47"/>
    </row>
    <row r="1531" spans="2:10" ht="14.5">
      <c r="B1531" s="47"/>
      <c r="C1531" s="47"/>
      <c r="D1531" s="47"/>
      <c r="E1531" s="47"/>
      <c r="F1531" s="47"/>
      <c r="G1531" s="47"/>
      <c r="H1531" s="47"/>
      <c r="I1531" s="47"/>
      <c r="J1531" s="47"/>
    </row>
    <row r="1532" spans="2:10" ht="14.5">
      <c r="B1532" s="47"/>
      <c r="C1532" s="47"/>
      <c r="D1532" s="47"/>
      <c r="E1532" s="47"/>
      <c r="F1532" s="47"/>
      <c r="G1532" s="47"/>
      <c r="H1532" s="47"/>
      <c r="I1532" s="47"/>
      <c r="J1532" s="47"/>
    </row>
    <row r="1533" spans="2:10" ht="14.5">
      <c r="B1533" s="47"/>
      <c r="C1533" s="47"/>
      <c r="D1533" s="47"/>
      <c r="E1533" s="47"/>
      <c r="F1533" s="47"/>
      <c r="G1533" s="47"/>
      <c r="H1533" s="47"/>
      <c r="I1533" s="47"/>
      <c r="J1533" s="47"/>
    </row>
    <row r="1534" spans="2:10" ht="14.5">
      <c r="B1534" s="47"/>
      <c r="C1534" s="47"/>
      <c r="D1534" s="47"/>
      <c r="E1534" s="47"/>
      <c r="F1534" s="47"/>
      <c r="G1534" s="47"/>
      <c r="H1534" s="47"/>
      <c r="I1534" s="47"/>
      <c r="J1534" s="47"/>
    </row>
    <row r="1535" spans="2:10" ht="14.5">
      <c r="B1535" s="47"/>
      <c r="C1535" s="47"/>
      <c r="D1535" s="47"/>
      <c r="E1535" s="47"/>
      <c r="F1535" s="47"/>
      <c r="G1535" s="47"/>
      <c r="H1535" s="47"/>
      <c r="I1535" s="47"/>
      <c r="J1535" s="47"/>
    </row>
    <row r="1536" spans="2:10" ht="14.5">
      <c r="B1536" s="47"/>
      <c r="C1536" s="47"/>
      <c r="D1536" s="47"/>
      <c r="E1536" s="47"/>
      <c r="F1536" s="47"/>
      <c r="G1536" s="47"/>
      <c r="H1536" s="47"/>
      <c r="I1536" s="47"/>
      <c r="J1536" s="47"/>
    </row>
    <row r="1537" spans="2:10" ht="14.5">
      <c r="B1537" s="47"/>
      <c r="C1537" s="47"/>
      <c r="D1537" s="47"/>
      <c r="E1537" s="47"/>
      <c r="F1537" s="47"/>
      <c r="G1537" s="47"/>
      <c r="H1537" s="47"/>
      <c r="I1537" s="47"/>
      <c r="J1537" s="47"/>
    </row>
    <row r="1538" spans="2:10" ht="14.5">
      <c r="B1538" s="47"/>
      <c r="C1538" s="47"/>
      <c r="D1538" s="47"/>
      <c r="E1538" s="47"/>
      <c r="F1538" s="47"/>
      <c r="G1538" s="47"/>
      <c r="H1538" s="47"/>
      <c r="I1538" s="47"/>
      <c r="J1538" s="47"/>
    </row>
    <row r="1539" spans="2:10" ht="14.5">
      <c r="B1539" s="47"/>
      <c r="C1539" s="47"/>
      <c r="D1539" s="47"/>
      <c r="E1539" s="47"/>
      <c r="F1539" s="47"/>
      <c r="G1539" s="47"/>
      <c r="H1539" s="47"/>
      <c r="I1539" s="47"/>
      <c r="J1539" s="47"/>
    </row>
    <row r="1540" spans="2:10" ht="14.5">
      <c r="B1540" s="47"/>
      <c r="C1540" s="47"/>
      <c r="D1540" s="47"/>
      <c r="E1540" s="47"/>
      <c r="F1540" s="47"/>
      <c r="G1540" s="47"/>
      <c r="H1540" s="47"/>
      <c r="I1540" s="47"/>
      <c r="J1540" s="47"/>
    </row>
    <row r="1541" spans="2:10" ht="14.5">
      <c r="B1541" s="47"/>
      <c r="C1541" s="47"/>
      <c r="D1541" s="47"/>
      <c r="E1541" s="47"/>
      <c r="F1541" s="47"/>
      <c r="G1541" s="47"/>
      <c r="H1541" s="47"/>
      <c r="I1541" s="47"/>
      <c r="J1541" s="47"/>
    </row>
    <row r="1542" spans="2:10" ht="14.5">
      <c r="B1542" s="47"/>
      <c r="C1542" s="47"/>
      <c r="D1542" s="47"/>
      <c r="E1542" s="47"/>
      <c r="F1542" s="47"/>
      <c r="G1542" s="47"/>
      <c r="H1542" s="47"/>
      <c r="I1542" s="47"/>
      <c r="J1542" s="47"/>
    </row>
    <row r="1543" spans="2:10" ht="14.5">
      <c r="B1543" s="47"/>
      <c r="C1543" s="47"/>
      <c r="D1543" s="47"/>
      <c r="E1543" s="47"/>
      <c r="F1543" s="47"/>
      <c r="G1543" s="47"/>
      <c r="H1543" s="47"/>
      <c r="I1543" s="47"/>
      <c r="J1543" s="47"/>
    </row>
    <row r="1544" spans="2:10" ht="14.5">
      <c r="B1544" s="47"/>
      <c r="C1544" s="47"/>
      <c r="D1544" s="47"/>
      <c r="E1544" s="47"/>
      <c r="F1544" s="47"/>
      <c r="G1544" s="47"/>
      <c r="H1544" s="47"/>
      <c r="I1544" s="47"/>
      <c r="J1544" s="47"/>
    </row>
    <row r="1545" spans="2:10" ht="14.5">
      <c r="B1545" s="47"/>
      <c r="C1545" s="47"/>
      <c r="D1545" s="47"/>
      <c r="E1545" s="47"/>
      <c r="F1545" s="47"/>
      <c r="G1545" s="47"/>
      <c r="H1545" s="47"/>
      <c r="I1545" s="47"/>
      <c r="J1545" s="47"/>
    </row>
    <row r="1546" spans="2:10" ht="14.5">
      <c r="B1546" s="47"/>
      <c r="C1546" s="47"/>
      <c r="D1546" s="47"/>
      <c r="E1546" s="47"/>
      <c r="F1546" s="47"/>
      <c r="G1546" s="47"/>
      <c r="H1546" s="47"/>
      <c r="I1546" s="47"/>
      <c r="J1546" s="47"/>
    </row>
    <row r="1547" spans="2:10" ht="14.5">
      <c r="B1547" s="47"/>
      <c r="C1547" s="47"/>
      <c r="D1547" s="47"/>
      <c r="E1547" s="47"/>
      <c r="F1547" s="47"/>
      <c r="G1547" s="47"/>
      <c r="H1547" s="47"/>
      <c r="I1547" s="47"/>
      <c r="J1547" s="47"/>
    </row>
    <row r="1548" spans="2:10" ht="14.5">
      <c r="B1548" s="47"/>
      <c r="C1548" s="47"/>
      <c r="D1548" s="47"/>
      <c r="E1548" s="47"/>
      <c r="F1548" s="47"/>
      <c r="G1548" s="47"/>
      <c r="H1548" s="47"/>
      <c r="I1548" s="47"/>
      <c r="J1548" s="47"/>
    </row>
    <row r="1549" spans="2:10" ht="14.5">
      <c r="B1549" s="47"/>
      <c r="C1549" s="47"/>
      <c r="D1549" s="47"/>
      <c r="E1549" s="47"/>
      <c r="F1549" s="47"/>
      <c r="G1549" s="47"/>
      <c r="H1549" s="47"/>
      <c r="I1549" s="47"/>
      <c r="J1549" s="47"/>
    </row>
    <row r="1550" spans="2:10" ht="14.5">
      <c r="B1550" s="47"/>
      <c r="C1550" s="47"/>
      <c r="D1550" s="47"/>
      <c r="E1550" s="47"/>
      <c r="F1550" s="47"/>
      <c r="G1550" s="47"/>
      <c r="H1550" s="47"/>
      <c r="I1550" s="47"/>
      <c r="J1550" s="47"/>
    </row>
    <row r="1551" spans="2:10" ht="14.5">
      <c r="B1551" s="47"/>
      <c r="C1551" s="47"/>
      <c r="D1551" s="47"/>
      <c r="E1551" s="47"/>
      <c r="F1551" s="47"/>
      <c r="G1551" s="47"/>
      <c r="H1551" s="47"/>
      <c r="I1551" s="47"/>
      <c r="J1551" s="47"/>
    </row>
    <row r="1552" spans="2:10" ht="14.5">
      <c r="B1552" s="47"/>
      <c r="C1552" s="47"/>
      <c r="D1552" s="47"/>
      <c r="E1552" s="47"/>
      <c r="F1552" s="47"/>
      <c r="G1552" s="47"/>
      <c r="H1552" s="47"/>
      <c r="I1552" s="47"/>
      <c r="J1552" s="47"/>
    </row>
    <row r="1553" spans="2:10" ht="14.5">
      <c r="B1553" s="47"/>
      <c r="C1553" s="47"/>
      <c r="D1553" s="47"/>
      <c r="E1553" s="47"/>
      <c r="F1553" s="47"/>
      <c r="G1553" s="47"/>
      <c r="H1553" s="47"/>
      <c r="I1553" s="47"/>
      <c r="J1553" s="47"/>
    </row>
    <row r="1554" spans="2:10" ht="14.5">
      <c r="B1554" s="47"/>
      <c r="C1554" s="47"/>
      <c r="D1554" s="47"/>
      <c r="E1554" s="47"/>
      <c r="F1554" s="47"/>
      <c r="G1554" s="47"/>
      <c r="H1554" s="47"/>
      <c r="I1554" s="47"/>
      <c r="J1554" s="47"/>
    </row>
    <row r="1555" spans="2:10" ht="14.5">
      <c r="B1555" s="47"/>
      <c r="C1555" s="47"/>
      <c r="D1555" s="47"/>
      <c r="E1555" s="47"/>
      <c r="F1555" s="47"/>
      <c r="G1555" s="47"/>
      <c r="H1555" s="47"/>
      <c r="I1555" s="47"/>
      <c r="J1555" s="47"/>
    </row>
    <row r="1556" spans="2:10" ht="14.5">
      <c r="B1556" s="47"/>
      <c r="C1556" s="47"/>
      <c r="D1556" s="47"/>
      <c r="E1556" s="47"/>
      <c r="F1556" s="47"/>
      <c r="G1556" s="47"/>
      <c r="H1556" s="47"/>
      <c r="I1556" s="47"/>
      <c r="J1556" s="47"/>
    </row>
    <row r="1557" spans="2:10" ht="14.5">
      <c r="B1557" s="47"/>
      <c r="C1557" s="47"/>
      <c r="D1557" s="47"/>
      <c r="E1557" s="47"/>
      <c r="F1557" s="47"/>
      <c r="G1557" s="47"/>
      <c r="H1557" s="47"/>
      <c r="I1557" s="47"/>
      <c r="J1557" s="47"/>
    </row>
    <row r="1558" spans="2:10" ht="14.5">
      <c r="B1558" s="47"/>
      <c r="C1558" s="47"/>
      <c r="D1558" s="47"/>
      <c r="E1558" s="47"/>
      <c r="F1558" s="47"/>
      <c r="G1558" s="47"/>
      <c r="H1558" s="47"/>
      <c r="I1558" s="47"/>
      <c r="J1558" s="47"/>
    </row>
    <row r="1559" spans="2:10" ht="14.5">
      <c r="B1559" s="47"/>
      <c r="C1559" s="47"/>
      <c r="D1559" s="47"/>
      <c r="E1559" s="47"/>
      <c r="F1559" s="47"/>
      <c r="G1559" s="47"/>
      <c r="H1559" s="47"/>
      <c r="I1559" s="47"/>
      <c r="J1559" s="47"/>
    </row>
    <row r="1560" spans="2:10" ht="14.5">
      <c r="B1560" s="47"/>
      <c r="C1560" s="47"/>
      <c r="D1560" s="47"/>
      <c r="E1560" s="47"/>
      <c r="F1560" s="47"/>
      <c r="G1560" s="47"/>
      <c r="H1560" s="47"/>
      <c r="I1560" s="47"/>
      <c r="J1560" s="47"/>
    </row>
    <row r="1561" spans="2:10" ht="14.5">
      <c r="B1561" s="47"/>
      <c r="C1561" s="47"/>
      <c r="D1561" s="47"/>
      <c r="E1561" s="47"/>
      <c r="F1561" s="47"/>
      <c r="G1561" s="47"/>
      <c r="H1561" s="47"/>
      <c r="I1561" s="47"/>
      <c r="J1561" s="47"/>
    </row>
    <row r="1562" spans="2:10" ht="14.5">
      <c r="B1562" s="47"/>
      <c r="C1562" s="47"/>
      <c r="D1562" s="47"/>
      <c r="E1562" s="47"/>
      <c r="F1562" s="47"/>
      <c r="G1562" s="47"/>
      <c r="H1562" s="47"/>
      <c r="I1562" s="47"/>
      <c r="J1562" s="47"/>
    </row>
    <row r="1563" spans="2:10" ht="14.5">
      <c r="B1563" s="47"/>
      <c r="C1563" s="47"/>
      <c r="D1563" s="47"/>
      <c r="E1563" s="47"/>
      <c r="F1563" s="47"/>
      <c r="G1563" s="47"/>
      <c r="H1563" s="47"/>
      <c r="I1563" s="47"/>
      <c r="J1563" s="47"/>
    </row>
    <row r="1564" spans="2:10" ht="14.5">
      <c r="B1564" s="47"/>
      <c r="C1564" s="47"/>
      <c r="D1564" s="47"/>
      <c r="E1564" s="47"/>
      <c r="F1564" s="47"/>
      <c r="G1564" s="47"/>
      <c r="H1564" s="47"/>
      <c r="I1564" s="47"/>
      <c r="J1564" s="47"/>
    </row>
    <row r="1565" spans="2:10" ht="14.5">
      <c r="B1565" s="47"/>
      <c r="C1565" s="47"/>
      <c r="D1565" s="47"/>
      <c r="E1565" s="47"/>
      <c r="F1565" s="47"/>
      <c r="G1565" s="47"/>
      <c r="H1565" s="47"/>
      <c r="I1565" s="47"/>
      <c r="J1565" s="47"/>
    </row>
    <row r="1566" spans="2:10" ht="14.5">
      <c r="B1566" s="47"/>
      <c r="C1566" s="47"/>
      <c r="D1566" s="47"/>
      <c r="E1566" s="47"/>
      <c r="F1566" s="47"/>
      <c r="G1566" s="47"/>
      <c r="H1566" s="47"/>
      <c r="I1566" s="47"/>
      <c r="J1566" s="47"/>
    </row>
    <row r="1567" spans="2:10" ht="14.5">
      <c r="B1567" s="47"/>
      <c r="C1567" s="47"/>
      <c r="D1567" s="47"/>
      <c r="E1567" s="47"/>
      <c r="F1567" s="47"/>
      <c r="G1567" s="47"/>
      <c r="H1567" s="47"/>
      <c r="I1567" s="47"/>
      <c r="J1567" s="47"/>
    </row>
    <row r="1568" spans="2:10" ht="14.5">
      <c r="B1568" s="47"/>
      <c r="C1568" s="47"/>
      <c r="D1568" s="47"/>
      <c r="E1568" s="47"/>
      <c r="F1568" s="47"/>
      <c r="G1568" s="47"/>
      <c r="H1568" s="47"/>
      <c r="I1568" s="47"/>
      <c r="J1568" s="47"/>
    </row>
    <row r="1569" spans="2:10" ht="14.5">
      <c r="B1569" s="47"/>
      <c r="C1569" s="47"/>
      <c r="D1569" s="47"/>
      <c r="E1569" s="47"/>
      <c r="F1569" s="47"/>
      <c r="G1569" s="47"/>
      <c r="H1569" s="47"/>
      <c r="I1569" s="47"/>
      <c r="J1569" s="47"/>
    </row>
    <row r="1570" spans="2:10" ht="14.5">
      <c r="B1570" s="47"/>
      <c r="C1570" s="47"/>
      <c r="D1570" s="47"/>
      <c r="E1570" s="47"/>
      <c r="F1570" s="47"/>
      <c r="G1570" s="47"/>
      <c r="H1570" s="47"/>
      <c r="I1570" s="47"/>
      <c r="J1570" s="47"/>
    </row>
    <row r="1571" spans="2:10" ht="14.5">
      <c r="B1571" s="47"/>
      <c r="C1571" s="47"/>
      <c r="D1571" s="47"/>
      <c r="E1571" s="47"/>
      <c r="F1571" s="47"/>
      <c r="G1571" s="47"/>
      <c r="H1571" s="47"/>
      <c r="I1571" s="47"/>
      <c r="J1571" s="47"/>
    </row>
    <row r="1572" spans="2:10" ht="14.5">
      <c r="B1572" s="47"/>
      <c r="C1572" s="47"/>
      <c r="D1572" s="47"/>
      <c r="E1572" s="47"/>
      <c r="F1572" s="47"/>
      <c r="G1572" s="47"/>
      <c r="H1572" s="47"/>
      <c r="I1572" s="47"/>
      <c r="J1572" s="47"/>
    </row>
    <row r="1573" spans="2:10" ht="14.5">
      <c r="B1573" s="47"/>
      <c r="C1573" s="47"/>
      <c r="D1573" s="47"/>
      <c r="E1573" s="47"/>
      <c r="F1573" s="47"/>
      <c r="G1573" s="47"/>
      <c r="H1573" s="47"/>
      <c r="I1573" s="47"/>
      <c r="J1573" s="47"/>
    </row>
    <row r="1574" spans="2:10" ht="14.5">
      <c r="B1574" s="47"/>
      <c r="C1574" s="47"/>
      <c r="D1574" s="47"/>
      <c r="E1574" s="47"/>
      <c r="F1574" s="47"/>
      <c r="G1574" s="47"/>
      <c r="H1574" s="47"/>
      <c r="I1574" s="47"/>
      <c r="J1574" s="47"/>
    </row>
    <row r="1575" spans="2:10" ht="14.5">
      <c r="B1575" s="47"/>
      <c r="C1575" s="47"/>
      <c r="D1575" s="47"/>
      <c r="E1575" s="47"/>
      <c r="F1575" s="47"/>
      <c r="G1575" s="47"/>
      <c r="H1575" s="47"/>
      <c r="I1575" s="47"/>
      <c r="J1575" s="47"/>
    </row>
    <row r="1576" spans="2:10" ht="14.5">
      <c r="B1576" s="47"/>
      <c r="C1576" s="47"/>
      <c r="D1576" s="47"/>
      <c r="E1576" s="47"/>
      <c r="F1576" s="47"/>
      <c r="G1576" s="47"/>
      <c r="H1576" s="47"/>
      <c r="I1576" s="47"/>
      <c r="J1576" s="47"/>
    </row>
    <row r="1577" spans="2:10" ht="14.5">
      <c r="B1577" s="47"/>
      <c r="C1577" s="47"/>
      <c r="D1577" s="47"/>
      <c r="E1577" s="47"/>
      <c r="F1577" s="47"/>
      <c r="G1577" s="47"/>
      <c r="H1577" s="47"/>
      <c r="I1577" s="47"/>
      <c r="J1577" s="47"/>
    </row>
    <row r="1578" spans="2:10" ht="14.5">
      <c r="B1578" s="47"/>
      <c r="C1578" s="47"/>
      <c r="D1578" s="47"/>
      <c r="E1578" s="47"/>
      <c r="F1578" s="47"/>
      <c r="G1578" s="47"/>
      <c r="H1578" s="47"/>
      <c r="I1578" s="47"/>
      <c r="J1578" s="47"/>
    </row>
    <row r="1579" spans="2:10" ht="14.5">
      <c r="B1579" s="47"/>
      <c r="C1579" s="47"/>
      <c r="D1579" s="47"/>
      <c r="E1579" s="47"/>
      <c r="F1579" s="47"/>
      <c r="G1579" s="47"/>
      <c r="H1579" s="47"/>
      <c r="I1579" s="47"/>
      <c r="J1579" s="47"/>
    </row>
    <row r="1580" spans="2:10" ht="14.5">
      <c r="B1580" s="47"/>
      <c r="C1580" s="47"/>
      <c r="D1580" s="47"/>
      <c r="E1580" s="47"/>
      <c r="F1580" s="47"/>
      <c r="G1580" s="47"/>
      <c r="H1580" s="47"/>
      <c r="I1580" s="47"/>
      <c r="J1580" s="47"/>
    </row>
    <row r="1581" spans="2:10" ht="14.5">
      <c r="B1581" s="47"/>
      <c r="C1581" s="47"/>
      <c r="D1581" s="47"/>
      <c r="E1581" s="47"/>
      <c r="F1581" s="47"/>
      <c r="G1581" s="47"/>
      <c r="H1581" s="47"/>
      <c r="I1581" s="47"/>
      <c r="J1581" s="47"/>
    </row>
    <row r="1582" spans="2:10" ht="14.5">
      <c r="B1582" s="47"/>
      <c r="C1582" s="47"/>
      <c r="D1582" s="47"/>
      <c r="E1582" s="47"/>
      <c r="F1582" s="47"/>
      <c r="G1582" s="47"/>
      <c r="H1582" s="47"/>
      <c r="I1582" s="47"/>
      <c r="J1582" s="47"/>
    </row>
    <row r="1583" spans="2:10" ht="14.5">
      <c r="B1583" s="47"/>
      <c r="C1583" s="47"/>
      <c r="D1583" s="47"/>
      <c r="E1583" s="47"/>
      <c r="F1583" s="47"/>
      <c r="G1583" s="47"/>
      <c r="H1583" s="47"/>
      <c r="I1583" s="47"/>
      <c r="J1583" s="47"/>
    </row>
    <row r="1584" spans="2:10" ht="14.5">
      <c r="B1584" s="47"/>
      <c r="C1584" s="47"/>
      <c r="D1584" s="47"/>
      <c r="E1584" s="47"/>
      <c r="F1584" s="47"/>
      <c r="G1584" s="47"/>
      <c r="H1584" s="47"/>
      <c r="I1584" s="47"/>
      <c r="J1584" s="47"/>
    </row>
    <row r="1585" spans="2:10" ht="14.5">
      <c r="B1585" s="47"/>
      <c r="C1585" s="47"/>
      <c r="D1585" s="47"/>
      <c r="E1585" s="47"/>
      <c r="F1585" s="47"/>
      <c r="G1585" s="47"/>
      <c r="H1585" s="47"/>
      <c r="I1585" s="47"/>
      <c r="J1585" s="47"/>
    </row>
    <row r="1586" spans="2:10" ht="14.5">
      <c r="B1586" s="47"/>
      <c r="C1586" s="47"/>
      <c r="D1586" s="47"/>
      <c r="E1586" s="47"/>
      <c r="F1586" s="47"/>
      <c r="G1586" s="47"/>
      <c r="H1586" s="47"/>
      <c r="I1586" s="47"/>
      <c r="J1586" s="47"/>
    </row>
    <row r="1587" spans="2:10" ht="14.5">
      <c r="B1587" s="47"/>
      <c r="C1587" s="47"/>
      <c r="D1587" s="47"/>
      <c r="E1587" s="47"/>
      <c r="F1587" s="47"/>
      <c r="G1587" s="47"/>
      <c r="H1587" s="47"/>
      <c r="I1587" s="47"/>
      <c r="J1587" s="47"/>
    </row>
    <row r="1588" spans="2:10" ht="14.5">
      <c r="B1588" s="47"/>
      <c r="C1588" s="47"/>
      <c r="D1588" s="47"/>
      <c r="E1588" s="47"/>
      <c r="F1588" s="47"/>
      <c r="G1588" s="47"/>
      <c r="H1588" s="47"/>
      <c r="I1588" s="47"/>
      <c r="J1588" s="47"/>
    </row>
    <row r="1589" spans="2:10" ht="14.5">
      <c r="B1589" s="47"/>
      <c r="C1589" s="47"/>
      <c r="D1589" s="47"/>
      <c r="E1589" s="47"/>
      <c r="F1589" s="47"/>
      <c r="G1589" s="47"/>
      <c r="H1589" s="47"/>
      <c r="I1589" s="47"/>
      <c r="J1589" s="47"/>
    </row>
    <row r="1590" spans="2:10" ht="14.5">
      <c r="B1590" s="47"/>
      <c r="C1590" s="47"/>
      <c r="D1590" s="47"/>
      <c r="E1590" s="47"/>
      <c r="F1590" s="47"/>
      <c r="G1590" s="47"/>
      <c r="H1590" s="47"/>
      <c r="I1590" s="47"/>
      <c r="J1590" s="47"/>
    </row>
    <row r="1591" spans="2:10" ht="14.5">
      <c r="B1591" s="47"/>
      <c r="C1591" s="47"/>
      <c r="D1591" s="47"/>
      <c r="E1591" s="47"/>
      <c r="F1591" s="47"/>
      <c r="G1591" s="47"/>
      <c r="H1591" s="47"/>
      <c r="I1591" s="47"/>
      <c r="J1591" s="47"/>
    </row>
    <row r="1592" spans="2:10" ht="14.5">
      <c r="B1592" s="47"/>
      <c r="C1592" s="47"/>
      <c r="D1592" s="47"/>
      <c r="E1592" s="47"/>
      <c r="F1592" s="47"/>
      <c r="G1592" s="47"/>
      <c r="H1592" s="47"/>
      <c r="I1592" s="47"/>
      <c r="J1592" s="47"/>
    </row>
    <row r="1593" spans="2:10" ht="14.5">
      <c r="B1593" s="47"/>
      <c r="C1593" s="47"/>
      <c r="D1593" s="47"/>
      <c r="E1593" s="47"/>
      <c r="F1593" s="47"/>
      <c r="G1593" s="47"/>
      <c r="H1593" s="47"/>
      <c r="I1593" s="47"/>
      <c r="J1593" s="47"/>
    </row>
    <row r="1594" spans="2:10" ht="14.5">
      <c r="B1594" s="47"/>
      <c r="C1594" s="47"/>
      <c r="D1594" s="47"/>
      <c r="E1594" s="47"/>
      <c r="F1594" s="47"/>
      <c r="G1594" s="47"/>
      <c r="H1594" s="47"/>
      <c r="I1594" s="47"/>
      <c r="J1594" s="47"/>
    </row>
    <row r="1595" spans="2:10" ht="14.5">
      <c r="B1595" s="47"/>
      <c r="C1595" s="47"/>
      <c r="D1595" s="47"/>
      <c r="E1595" s="47"/>
      <c r="F1595" s="47"/>
      <c r="G1595" s="47"/>
      <c r="H1595" s="47"/>
      <c r="I1595" s="47"/>
      <c r="J1595" s="47"/>
    </row>
    <row r="1596" spans="2:10" ht="14.5">
      <c r="B1596" s="47"/>
      <c r="C1596" s="47"/>
      <c r="D1596" s="47"/>
      <c r="E1596" s="47"/>
      <c r="F1596" s="47"/>
      <c r="G1596" s="47"/>
      <c r="H1596" s="47"/>
      <c r="I1596" s="47"/>
      <c r="J1596" s="47"/>
    </row>
    <row r="1597" spans="2:10" ht="14.5">
      <c r="B1597" s="47"/>
      <c r="C1597" s="47"/>
      <c r="D1597" s="47"/>
      <c r="E1597" s="47"/>
      <c r="F1597" s="47"/>
      <c r="G1597" s="47"/>
      <c r="H1597" s="47"/>
      <c r="I1597" s="47"/>
      <c r="J1597" s="47"/>
    </row>
    <row r="1598" spans="2:10" ht="14.5">
      <c r="B1598" s="47"/>
      <c r="C1598" s="47"/>
      <c r="D1598" s="47"/>
      <c r="E1598" s="47"/>
      <c r="F1598" s="47"/>
      <c r="G1598" s="47"/>
      <c r="H1598" s="47"/>
      <c r="I1598" s="47"/>
      <c r="J1598" s="47"/>
    </row>
    <row r="1599" spans="2:10" ht="14.5">
      <c r="B1599" s="47"/>
      <c r="C1599" s="47"/>
      <c r="D1599" s="47"/>
      <c r="E1599" s="47"/>
      <c r="F1599" s="47"/>
      <c r="G1599" s="47"/>
      <c r="H1599" s="47"/>
      <c r="I1599" s="47"/>
      <c r="J1599" s="47"/>
    </row>
    <row r="1600" spans="2:10" ht="14.5">
      <c r="B1600" s="47"/>
      <c r="C1600" s="47"/>
      <c r="D1600" s="47"/>
      <c r="E1600" s="47"/>
      <c r="F1600" s="47"/>
      <c r="G1600" s="47"/>
      <c r="H1600" s="47"/>
      <c r="I1600" s="47"/>
      <c r="J1600" s="47"/>
    </row>
    <row r="1601" spans="2:10" ht="14.5">
      <c r="B1601" s="47"/>
      <c r="C1601" s="47"/>
      <c r="D1601" s="47"/>
      <c r="E1601" s="47"/>
      <c r="F1601" s="47"/>
      <c r="G1601" s="47"/>
      <c r="H1601" s="47"/>
      <c r="I1601" s="47"/>
      <c r="J1601" s="47"/>
    </row>
    <row r="1602" spans="2:10" ht="14.5">
      <c r="B1602" s="47"/>
      <c r="C1602" s="47"/>
      <c r="D1602" s="47"/>
      <c r="E1602" s="47"/>
      <c r="F1602" s="47"/>
      <c r="G1602" s="47"/>
      <c r="H1602" s="47"/>
      <c r="I1602" s="47"/>
      <c r="J1602" s="47"/>
    </row>
    <row r="1603" spans="2:10" ht="14.5">
      <c r="B1603" s="47"/>
      <c r="C1603" s="47"/>
      <c r="D1603" s="47"/>
      <c r="E1603" s="47"/>
      <c r="F1603" s="47"/>
      <c r="G1603" s="47"/>
      <c r="H1603" s="47"/>
      <c r="I1603" s="47"/>
      <c r="J1603" s="47"/>
    </row>
    <row r="1604" spans="2:10" ht="14.5">
      <c r="B1604" s="47"/>
      <c r="C1604" s="47"/>
      <c r="D1604" s="47"/>
      <c r="E1604" s="47"/>
      <c r="F1604" s="47"/>
      <c r="G1604" s="47"/>
      <c r="H1604" s="47"/>
      <c r="I1604" s="47"/>
      <c r="J1604" s="47"/>
    </row>
    <row r="1605" spans="2:10" ht="14.5">
      <c r="B1605" s="47"/>
      <c r="C1605" s="47"/>
      <c r="D1605" s="47"/>
      <c r="E1605" s="47"/>
      <c r="F1605" s="47"/>
      <c r="G1605" s="47"/>
      <c r="H1605" s="47"/>
      <c r="I1605" s="47"/>
      <c r="J1605" s="47"/>
    </row>
    <row r="1606" spans="2:10" ht="14.5">
      <c r="B1606" s="47"/>
      <c r="C1606" s="47"/>
      <c r="D1606" s="47"/>
      <c r="E1606" s="47"/>
      <c r="F1606" s="47"/>
      <c r="G1606" s="47"/>
      <c r="H1606" s="47"/>
      <c r="I1606" s="47"/>
      <c r="J1606" s="47"/>
    </row>
    <row r="1607" spans="2:10" ht="14.5">
      <c r="B1607" s="47"/>
      <c r="C1607" s="47"/>
      <c r="D1607" s="47"/>
      <c r="E1607" s="47"/>
      <c r="F1607" s="47"/>
      <c r="G1607" s="47"/>
      <c r="H1607" s="47"/>
      <c r="I1607" s="47"/>
      <c r="J1607" s="47"/>
    </row>
    <row r="1608" spans="2:10" ht="14.5">
      <c r="B1608" s="47"/>
      <c r="C1608" s="47"/>
      <c r="D1608" s="47"/>
      <c r="E1608" s="47"/>
      <c r="F1608" s="47"/>
      <c r="G1608" s="47"/>
      <c r="H1608" s="47"/>
      <c r="I1608" s="47"/>
      <c r="J1608" s="47"/>
    </row>
    <row r="1609" spans="2:10" ht="14.5">
      <c r="B1609" s="47"/>
      <c r="C1609" s="47"/>
      <c r="D1609" s="47"/>
      <c r="E1609" s="47"/>
      <c r="F1609" s="47"/>
      <c r="G1609" s="47"/>
      <c r="H1609" s="47"/>
      <c r="I1609" s="47"/>
      <c r="J1609" s="47"/>
    </row>
    <row r="1610" spans="2:10" ht="14.5">
      <c r="B1610" s="47"/>
      <c r="C1610" s="47"/>
      <c r="D1610" s="47"/>
      <c r="E1610" s="47"/>
      <c r="F1610" s="47"/>
      <c r="G1610" s="47"/>
      <c r="H1610" s="47"/>
      <c r="I1610" s="47"/>
      <c r="J1610" s="47"/>
    </row>
    <row r="1611" spans="2:10" ht="14.5">
      <c r="B1611" s="47"/>
      <c r="C1611" s="47"/>
      <c r="D1611" s="47"/>
      <c r="E1611" s="47"/>
      <c r="F1611" s="47"/>
      <c r="G1611" s="47"/>
      <c r="H1611" s="47"/>
      <c r="I1611" s="47"/>
      <c r="J1611" s="47"/>
    </row>
    <row r="1612" spans="2:10" ht="14.5">
      <c r="B1612" s="47"/>
      <c r="C1612" s="47"/>
      <c r="D1612" s="47"/>
      <c r="E1612" s="47"/>
      <c r="F1612" s="47"/>
      <c r="G1612" s="47"/>
      <c r="H1612" s="47"/>
      <c r="I1612" s="47"/>
      <c r="J1612" s="47"/>
    </row>
    <row r="1613" spans="2:10" ht="14.5">
      <c r="B1613" s="47"/>
      <c r="C1613" s="47"/>
      <c r="D1613" s="47"/>
      <c r="E1613" s="47"/>
      <c r="F1613" s="47"/>
      <c r="G1613" s="47"/>
      <c r="H1613" s="47"/>
      <c r="I1613" s="47"/>
      <c r="J1613" s="47"/>
    </row>
    <row r="1614" spans="2:10" ht="14.5">
      <c r="B1614" s="47"/>
      <c r="C1614" s="47"/>
      <c r="D1614" s="47"/>
      <c r="E1614" s="47"/>
      <c r="F1614" s="47"/>
      <c r="G1614" s="47"/>
      <c r="H1614" s="47"/>
      <c r="I1614" s="47"/>
      <c r="J1614" s="47"/>
    </row>
    <row r="1615" spans="2:10" ht="14.5">
      <c r="B1615" s="47"/>
      <c r="C1615" s="47"/>
      <c r="D1615" s="47"/>
      <c r="E1615" s="47"/>
      <c r="F1615" s="47"/>
      <c r="G1615" s="47"/>
      <c r="H1615" s="47"/>
      <c r="I1615" s="47"/>
      <c r="J1615" s="47"/>
    </row>
    <row r="1616" spans="2:10" ht="14.5">
      <c r="B1616" s="47"/>
      <c r="C1616" s="47"/>
      <c r="D1616" s="47"/>
      <c r="E1616" s="47"/>
      <c r="F1616" s="47"/>
      <c r="G1616" s="47"/>
      <c r="H1616" s="47"/>
      <c r="I1616" s="47"/>
      <c r="J1616" s="47"/>
    </row>
    <row r="1617" spans="2:10" ht="14.5">
      <c r="B1617" s="47"/>
      <c r="C1617" s="47"/>
      <c r="D1617" s="47"/>
      <c r="E1617" s="47"/>
      <c r="F1617" s="47"/>
      <c r="G1617" s="47"/>
      <c r="H1617" s="47"/>
      <c r="I1617" s="47"/>
      <c r="J1617" s="47"/>
    </row>
    <row r="1618" spans="2:10" ht="14.5">
      <c r="B1618" s="47"/>
      <c r="C1618" s="47"/>
      <c r="D1618" s="47"/>
      <c r="E1618" s="47"/>
      <c r="F1618" s="47"/>
      <c r="G1618" s="47"/>
      <c r="H1618" s="47"/>
      <c r="I1618" s="47"/>
      <c r="J1618" s="47"/>
    </row>
    <row r="1619" spans="2:10" ht="14.5">
      <c r="B1619" s="47"/>
      <c r="C1619" s="47"/>
      <c r="D1619" s="47"/>
      <c r="E1619" s="47"/>
      <c r="F1619" s="47"/>
      <c r="G1619" s="47"/>
      <c r="H1619" s="47"/>
      <c r="I1619" s="47"/>
      <c r="J1619" s="47"/>
    </row>
    <row r="1620" spans="2:10" ht="14.5">
      <c r="B1620" s="47"/>
      <c r="C1620" s="47"/>
      <c r="D1620" s="47"/>
      <c r="E1620" s="47"/>
      <c r="F1620" s="47"/>
      <c r="G1620" s="47"/>
      <c r="H1620" s="47"/>
      <c r="I1620" s="47"/>
      <c r="J1620" s="47"/>
    </row>
    <row r="1621" spans="2:10" ht="14.5">
      <c r="B1621" s="47"/>
      <c r="C1621" s="47"/>
      <c r="D1621" s="47"/>
      <c r="E1621" s="47"/>
      <c r="F1621" s="47"/>
      <c r="G1621" s="47"/>
      <c r="H1621" s="47"/>
      <c r="I1621" s="47"/>
      <c r="J1621" s="47"/>
    </row>
    <row r="1622" spans="2:10" ht="14.5">
      <c r="B1622" s="47"/>
      <c r="C1622" s="47"/>
      <c r="D1622" s="47"/>
      <c r="E1622" s="47"/>
      <c r="F1622" s="47"/>
      <c r="G1622" s="47"/>
      <c r="H1622" s="47"/>
      <c r="I1622" s="47"/>
      <c r="J1622" s="47"/>
    </row>
    <row r="1623" spans="2:10" ht="14.5">
      <c r="B1623" s="47"/>
      <c r="C1623" s="47"/>
      <c r="D1623" s="47"/>
      <c r="E1623" s="47"/>
      <c r="F1623" s="47"/>
      <c r="G1623" s="47"/>
      <c r="H1623" s="47"/>
      <c r="I1623" s="47"/>
      <c r="J1623" s="47"/>
    </row>
    <row r="1624" spans="2:10" ht="14.5">
      <c r="B1624" s="47"/>
      <c r="C1624" s="47"/>
      <c r="D1624" s="47"/>
      <c r="E1624" s="47"/>
      <c r="F1624" s="47"/>
      <c r="G1624" s="47"/>
      <c r="H1624" s="47"/>
      <c r="I1624" s="47"/>
      <c r="J1624" s="47"/>
    </row>
    <row r="1625" spans="2:10" ht="14.5">
      <c r="B1625" s="47"/>
      <c r="C1625" s="47"/>
      <c r="D1625" s="47"/>
      <c r="E1625" s="47"/>
      <c r="F1625" s="47"/>
      <c r="G1625" s="47"/>
      <c r="H1625" s="47"/>
      <c r="I1625" s="47"/>
      <c r="J1625" s="47"/>
    </row>
    <row r="1626" spans="2:10" ht="14.5">
      <c r="B1626" s="47"/>
      <c r="C1626" s="47"/>
      <c r="D1626" s="47"/>
      <c r="E1626" s="47"/>
      <c r="F1626" s="47"/>
      <c r="G1626" s="47"/>
      <c r="H1626" s="47"/>
      <c r="I1626" s="47"/>
      <c r="J1626" s="47"/>
    </row>
    <row r="1627" spans="2:10" ht="14.5">
      <c r="B1627" s="47"/>
      <c r="C1627" s="47"/>
      <c r="D1627" s="47"/>
      <c r="E1627" s="47"/>
      <c r="F1627" s="47"/>
      <c r="G1627" s="47"/>
      <c r="H1627" s="47"/>
      <c r="I1627" s="47"/>
      <c r="J1627" s="47"/>
    </row>
    <row r="1628" spans="2:10" ht="14.5">
      <c r="B1628" s="47"/>
      <c r="C1628" s="47"/>
      <c r="D1628" s="47"/>
      <c r="E1628" s="47"/>
      <c r="F1628" s="47"/>
      <c r="G1628" s="47"/>
      <c r="H1628" s="47"/>
      <c r="I1628" s="47"/>
      <c r="J1628" s="47"/>
    </row>
    <row r="1629" spans="2:10" ht="14.5">
      <c r="B1629" s="47"/>
      <c r="C1629" s="47"/>
      <c r="D1629" s="47"/>
      <c r="E1629" s="47"/>
      <c r="F1629" s="47"/>
      <c r="G1629" s="47"/>
      <c r="H1629" s="47"/>
      <c r="I1629" s="47"/>
      <c r="J1629" s="47"/>
    </row>
    <row r="1630" spans="2:10" ht="14.5">
      <c r="B1630" s="47"/>
      <c r="C1630" s="47"/>
      <c r="D1630" s="47"/>
      <c r="E1630" s="47"/>
      <c r="F1630" s="47"/>
      <c r="G1630" s="47"/>
      <c r="H1630" s="47"/>
      <c r="I1630" s="47"/>
      <c r="J1630" s="47"/>
    </row>
    <row r="1631" spans="2:10" ht="14.5">
      <c r="B1631" s="47"/>
      <c r="C1631" s="47"/>
      <c r="D1631" s="47"/>
      <c r="E1631" s="47"/>
      <c r="F1631" s="47"/>
      <c r="G1631" s="47"/>
      <c r="H1631" s="47"/>
      <c r="I1631" s="47"/>
      <c r="J1631" s="47"/>
    </row>
    <row r="1632" spans="2:10" ht="14.5">
      <c r="B1632" s="47"/>
      <c r="C1632" s="47"/>
      <c r="D1632" s="47"/>
      <c r="E1632" s="47"/>
      <c r="F1632" s="47"/>
      <c r="G1632" s="47"/>
      <c r="H1632" s="47"/>
      <c r="I1632" s="47"/>
      <c r="J1632" s="47"/>
    </row>
    <row r="1633" spans="2:10" ht="14.5">
      <c r="B1633" s="47"/>
      <c r="C1633" s="47"/>
      <c r="D1633" s="47"/>
      <c r="E1633" s="47"/>
      <c r="F1633" s="47"/>
      <c r="G1633" s="47"/>
      <c r="H1633" s="47"/>
      <c r="I1633" s="47"/>
      <c r="J1633" s="47"/>
    </row>
    <row r="1634" spans="2:10" ht="14.5">
      <c r="B1634" s="47"/>
      <c r="C1634" s="47"/>
      <c r="D1634" s="47"/>
      <c r="E1634" s="47"/>
      <c r="F1634" s="47"/>
      <c r="G1634" s="47"/>
      <c r="H1634" s="47"/>
      <c r="I1634" s="47"/>
      <c r="J1634" s="47"/>
    </row>
    <row r="1635" spans="2:10" ht="14.5">
      <c r="B1635" s="47"/>
      <c r="C1635" s="47"/>
      <c r="D1635" s="47"/>
      <c r="E1635" s="47"/>
      <c r="F1635" s="47"/>
      <c r="G1635" s="47"/>
      <c r="H1635" s="47"/>
      <c r="I1635" s="47"/>
      <c r="J1635" s="47"/>
    </row>
    <row r="1636" spans="2:10" ht="14.5">
      <c r="B1636" s="47"/>
      <c r="C1636" s="47"/>
      <c r="D1636" s="47"/>
      <c r="E1636" s="47"/>
      <c r="F1636" s="47"/>
      <c r="G1636" s="47"/>
      <c r="H1636" s="47"/>
      <c r="I1636" s="47"/>
      <c r="J1636" s="47"/>
    </row>
    <row r="1637" spans="2:10" ht="14.5">
      <c r="B1637" s="47"/>
      <c r="C1637" s="47"/>
      <c r="D1637" s="47"/>
      <c r="E1637" s="47"/>
      <c r="F1637" s="47"/>
      <c r="G1637" s="47"/>
      <c r="H1637" s="47"/>
      <c r="I1637" s="47"/>
      <c r="J1637" s="47"/>
    </row>
    <row r="1638" spans="2:10" ht="14.5">
      <c r="B1638" s="47"/>
      <c r="C1638" s="47"/>
      <c r="D1638" s="47"/>
      <c r="E1638" s="47"/>
      <c r="F1638" s="47"/>
      <c r="G1638" s="47"/>
      <c r="H1638" s="47"/>
      <c r="I1638" s="47"/>
      <c r="J1638" s="47"/>
    </row>
    <row r="1639" spans="2:10" ht="14.5">
      <c r="B1639" s="47"/>
      <c r="C1639" s="47"/>
      <c r="D1639" s="47"/>
      <c r="E1639" s="47"/>
      <c r="F1639" s="47"/>
      <c r="G1639" s="47"/>
      <c r="H1639" s="47"/>
      <c r="I1639" s="47"/>
      <c r="J1639" s="47"/>
    </row>
    <row r="1640" spans="2:10" ht="14.5">
      <c r="B1640" s="47"/>
      <c r="C1640" s="47"/>
      <c r="D1640" s="47"/>
      <c r="E1640" s="47"/>
      <c r="F1640" s="47"/>
      <c r="G1640" s="47"/>
      <c r="H1640" s="47"/>
      <c r="I1640" s="47"/>
      <c r="J1640" s="47"/>
    </row>
    <row r="1641" spans="2:10" ht="14.5">
      <c r="B1641" s="47"/>
      <c r="C1641" s="47"/>
      <c r="D1641" s="47"/>
      <c r="E1641" s="47"/>
      <c r="F1641" s="47"/>
      <c r="G1641" s="47"/>
      <c r="H1641" s="47"/>
      <c r="I1641" s="47"/>
      <c r="J1641" s="47"/>
    </row>
    <row r="1642" spans="2:10" ht="14.5">
      <c r="B1642" s="47"/>
      <c r="C1642" s="47"/>
      <c r="D1642" s="47"/>
      <c r="E1642" s="47"/>
      <c r="F1642" s="47"/>
      <c r="G1642" s="47"/>
      <c r="H1642" s="47"/>
      <c r="I1642" s="47"/>
      <c r="J1642" s="47"/>
    </row>
    <row r="1643" spans="2:10" ht="14.5">
      <c r="B1643" s="47"/>
      <c r="C1643" s="47"/>
      <c r="D1643" s="47"/>
      <c r="E1643" s="47"/>
      <c r="F1643" s="47"/>
      <c r="G1643" s="47"/>
      <c r="H1643" s="47"/>
      <c r="I1643" s="47"/>
      <c r="J1643" s="47"/>
    </row>
    <row r="1644" spans="2:10" ht="14.5">
      <c r="B1644" s="47"/>
      <c r="C1644" s="47"/>
      <c r="D1644" s="47"/>
      <c r="E1644" s="47"/>
      <c r="F1644" s="47"/>
      <c r="G1644" s="47"/>
      <c r="H1644" s="47"/>
      <c r="I1644" s="47"/>
      <c r="J1644" s="47"/>
    </row>
    <row r="1645" spans="2:10" ht="14.5">
      <c r="B1645" s="47"/>
      <c r="C1645" s="47"/>
      <c r="D1645" s="47"/>
      <c r="E1645" s="47"/>
      <c r="F1645" s="47"/>
      <c r="G1645" s="47"/>
      <c r="H1645" s="47"/>
      <c r="I1645" s="47"/>
      <c r="J1645" s="47"/>
    </row>
    <row r="1646" spans="2:10" ht="14.5">
      <c r="B1646" s="47"/>
      <c r="C1646" s="47"/>
      <c r="D1646" s="47"/>
      <c r="E1646" s="47"/>
      <c r="F1646" s="47"/>
      <c r="G1646" s="47"/>
      <c r="H1646" s="47"/>
      <c r="I1646" s="47"/>
      <c r="J1646" s="47"/>
    </row>
    <row r="1647" spans="2:10" ht="14.5">
      <c r="B1647" s="47"/>
      <c r="C1647" s="47"/>
      <c r="D1647" s="47"/>
      <c r="E1647" s="47"/>
      <c r="F1647" s="47"/>
      <c r="G1647" s="47"/>
      <c r="H1647" s="47"/>
      <c r="I1647" s="47"/>
      <c r="J1647" s="47"/>
    </row>
    <row r="1648" spans="2:10" ht="14.5">
      <c r="B1648" s="47"/>
      <c r="C1648" s="47"/>
      <c r="D1648" s="47"/>
      <c r="E1648" s="47"/>
      <c r="F1648" s="47"/>
      <c r="G1648" s="47"/>
      <c r="H1648" s="47"/>
      <c r="I1648" s="47"/>
      <c r="J1648" s="47"/>
    </row>
    <row r="1649" spans="2:10" ht="14.5">
      <c r="B1649" s="47"/>
      <c r="C1649" s="47"/>
      <c r="D1649" s="47"/>
      <c r="E1649" s="47"/>
      <c r="F1649" s="47"/>
      <c r="G1649" s="47"/>
      <c r="H1649" s="47"/>
      <c r="I1649" s="47"/>
      <c r="J1649" s="47"/>
    </row>
    <row r="1650" spans="2:10" ht="14.5">
      <c r="B1650" s="47"/>
      <c r="C1650" s="47"/>
      <c r="D1650" s="47"/>
      <c r="E1650" s="47"/>
      <c r="F1650" s="47"/>
      <c r="G1650" s="47"/>
      <c r="H1650" s="47"/>
      <c r="I1650" s="47"/>
      <c r="J1650" s="47"/>
    </row>
    <row r="1651" spans="2:10" ht="14.5">
      <c r="B1651" s="47"/>
      <c r="C1651" s="47"/>
      <c r="D1651" s="47"/>
      <c r="E1651" s="47"/>
      <c r="F1651" s="47"/>
      <c r="G1651" s="47"/>
      <c r="H1651" s="47"/>
      <c r="I1651" s="47"/>
      <c r="J1651" s="47"/>
    </row>
    <row r="1652" spans="2:10" ht="14.5">
      <c r="B1652" s="47"/>
      <c r="C1652" s="47"/>
      <c r="D1652" s="47"/>
      <c r="E1652" s="47"/>
      <c r="F1652" s="47"/>
      <c r="G1652" s="47"/>
      <c r="H1652" s="47"/>
      <c r="I1652" s="47"/>
      <c r="J1652" s="47"/>
    </row>
    <row r="1653" spans="2:10" ht="14.5">
      <c r="B1653" s="47"/>
      <c r="C1653" s="47"/>
      <c r="D1653" s="47"/>
      <c r="E1653" s="47"/>
      <c r="F1653" s="47"/>
      <c r="G1653" s="47"/>
      <c r="H1653" s="47"/>
      <c r="I1653" s="47"/>
      <c r="J1653" s="47"/>
    </row>
    <row r="1654" spans="2:10" ht="14.5">
      <c r="B1654" s="47"/>
      <c r="C1654" s="47"/>
      <c r="D1654" s="47"/>
      <c r="E1654" s="47"/>
      <c r="F1654" s="47"/>
      <c r="G1654" s="47"/>
      <c r="H1654" s="47"/>
      <c r="I1654" s="47"/>
      <c r="J1654" s="47"/>
    </row>
    <row r="1655" spans="2:10" ht="14.5">
      <c r="B1655" s="47"/>
      <c r="C1655" s="47"/>
      <c r="D1655" s="47"/>
      <c r="E1655" s="47"/>
      <c r="F1655" s="47"/>
      <c r="G1655" s="47"/>
      <c r="H1655" s="47"/>
      <c r="I1655" s="47"/>
      <c r="J1655" s="47"/>
    </row>
    <row r="1656" spans="2:10" ht="14.5">
      <c r="B1656" s="47"/>
      <c r="C1656" s="47"/>
      <c r="D1656" s="47"/>
      <c r="E1656" s="47"/>
      <c r="F1656" s="47"/>
      <c r="G1656" s="47"/>
      <c r="H1656" s="47"/>
      <c r="I1656" s="47"/>
      <c r="J1656" s="47"/>
    </row>
  </sheetData>
  <phoneticPr fontId="34" type="noConversion"/>
  <dataValidations disablePrompts="1" count="1">
    <dataValidation allowBlank="1" showInputMessage="1" showErrorMessage="1" sqref="B311" xr:uid="{59D88A0C-D2E2-453C-81C3-2D11A40A4037}"/>
  </dataValidations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1F26C-9363-4D65-9453-33270F8795F7}">
  <dimension ref="A2:V32"/>
  <sheetViews>
    <sheetView zoomScale="130" zoomScaleNormal="130" workbookViewId="0">
      <selection activeCell="G10" sqref="G10"/>
    </sheetView>
  </sheetViews>
  <sheetFormatPr defaultColWidth="9" defaultRowHeight="13"/>
  <cols>
    <col min="1" max="1" width="21" bestFit="1" customWidth="1"/>
    <col min="2" max="2" width="11.8984375" bestFit="1" customWidth="1"/>
    <col min="3" max="21" width="13.796875" bestFit="1" customWidth="1"/>
    <col min="22" max="22" width="6.8984375" bestFit="1" customWidth="1"/>
  </cols>
  <sheetData>
    <row r="2" spans="1:22">
      <c r="A2" s="171" t="s">
        <v>4</v>
      </c>
      <c r="B2" t="s">
        <v>64</v>
      </c>
    </row>
    <row r="3" spans="1:22">
      <c r="A3" s="171" t="s">
        <v>14</v>
      </c>
      <c r="B3" t="s">
        <v>10186</v>
      </c>
    </row>
    <row r="4" spans="1:22">
      <c r="A4" s="171" t="s">
        <v>7</v>
      </c>
      <c r="B4" t="s">
        <v>10186</v>
      </c>
    </row>
    <row r="5" spans="1:22">
      <c r="A5" s="171" t="s">
        <v>44</v>
      </c>
      <c r="B5" t="s">
        <v>10186</v>
      </c>
    </row>
    <row r="7" spans="1:22">
      <c r="A7" s="171" t="s">
        <v>10187</v>
      </c>
      <c r="B7" s="171" t="s">
        <v>10188</v>
      </c>
    </row>
    <row r="8" spans="1:22">
      <c r="A8" s="171" t="s">
        <v>10189</v>
      </c>
      <c r="B8" t="s">
        <v>7039</v>
      </c>
      <c r="C8" t="s">
        <v>7628</v>
      </c>
      <c r="D8" t="s">
        <v>7708</v>
      </c>
      <c r="E8" t="s">
        <v>7643</v>
      </c>
      <c r="F8" t="s">
        <v>7759</v>
      </c>
      <c r="G8" t="s">
        <v>7713</v>
      </c>
      <c r="H8" t="s">
        <v>7716</v>
      </c>
      <c r="I8" t="s">
        <v>7729</v>
      </c>
      <c r="J8" t="s">
        <v>7732</v>
      </c>
      <c r="K8" t="s">
        <v>7631</v>
      </c>
      <c r="L8" t="s">
        <v>2152</v>
      </c>
      <c r="M8" t="s">
        <v>4368</v>
      </c>
      <c r="N8" t="s">
        <v>4369</v>
      </c>
      <c r="O8" t="s">
        <v>4370</v>
      </c>
      <c r="P8" t="s">
        <v>4371</v>
      </c>
      <c r="Q8" t="s">
        <v>4372</v>
      </c>
      <c r="R8" t="s">
        <v>4373</v>
      </c>
      <c r="S8" t="s">
        <v>4374</v>
      </c>
      <c r="T8" t="s">
        <v>4375</v>
      </c>
      <c r="U8" t="s">
        <v>4377</v>
      </c>
      <c r="V8" t="s">
        <v>10190</v>
      </c>
    </row>
    <row r="9" spans="1:22">
      <c r="A9" s="360" t="s">
        <v>456</v>
      </c>
      <c r="B9" s="493"/>
      <c r="C9" s="493"/>
      <c r="D9" s="493"/>
      <c r="E9" s="493"/>
      <c r="F9" s="493"/>
      <c r="G9" s="493"/>
      <c r="H9" s="493"/>
      <c r="I9" s="493"/>
      <c r="J9" s="493"/>
      <c r="K9" s="493"/>
      <c r="L9" s="493"/>
      <c r="M9" s="493">
        <v>5</v>
      </c>
      <c r="N9" s="493"/>
      <c r="O9" s="493">
        <v>3</v>
      </c>
      <c r="P9" s="493">
        <v>5</v>
      </c>
      <c r="Q9" s="493"/>
      <c r="R9" s="493">
        <v>8</v>
      </c>
      <c r="S9" s="493">
        <v>1</v>
      </c>
      <c r="T9" s="493">
        <v>12</v>
      </c>
      <c r="U9" s="493">
        <v>2</v>
      </c>
      <c r="V9" s="493">
        <v>36</v>
      </c>
    </row>
    <row r="10" spans="1:22">
      <c r="A10" s="488" t="s">
        <v>1525</v>
      </c>
      <c r="B10" s="493"/>
      <c r="C10" s="493"/>
      <c r="D10" s="493"/>
      <c r="E10" s="493"/>
      <c r="F10" s="493"/>
      <c r="G10" s="493"/>
      <c r="H10" s="493"/>
      <c r="I10" s="493"/>
      <c r="J10" s="493"/>
      <c r="K10" s="493"/>
      <c r="L10" s="493"/>
      <c r="M10" s="493"/>
      <c r="N10" s="493"/>
      <c r="O10" s="493"/>
      <c r="P10" s="493"/>
      <c r="Q10" s="493"/>
      <c r="R10" s="493">
        <v>2</v>
      </c>
      <c r="S10" s="493"/>
      <c r="T10" s="493">
        <v>8</v>
      </c>
      <c r="U10" s="493"/>
      <c r="V10" s="493">
        <v>10</v>
      </c>
    </row>
    <row r="11" spans="1:22">
      <c r="A11" s="488" t="s">
        <v>123</v>
      </c>
      <c r="B11" s="493"/>
      <c r="C11" s="493"/>
      <c r="D11" s="493"/>
      <c r="E11" s="493"/>
      <c r="F11" s="493"/>
      <c r="G11" s="493"/>
      <c r="H11" s="493"/>
      <c r="I11" s="493"/>
      <c r="J11" s="493"/>
      <c r="K11" s="493"/>
      <c r="L11" s="493"/>
      <c r="M11" s="493">
        <v>3</v>
      </c>
      <c r="N11" s="493"/>
      <c r="O11" s="493">
        <v>1</v>
      </c>
      <c r="P11" s="493">
        <v>5</v>
      </c>
      <c r="Q11" s="493"/>
      <c r="R11" s="493">
        <v>5</v>
      </c>
      <c r="S11" s="493">
        <v>1</v>
      </c>
      <c r="T11" s="493">
        <v>4</v>
      </c>
      <c r="U11" s="493"/>
      <c r="V11" s="493">
        <v>19</v>
      </c>
    </row>
    <row r="12" spans="1:22">
      <c r="A12" s="488" t="s">
        <v>61</v>
      </c>
      <c r="B12" s="493"/>
      <c r="C12" s="493"/>
      <c r="D12" s="493"/>
      <c r="E12" s="493"/>
      <c r="F12" s="493"/>
      <c r="G12" s="493"/>
      <c r="H12" s="493"/>
      <c r="I12" s="493"/>
      <c r="J12" s="493"/>
      <c r="K12" s="493"/>
      <c r="L12" s="493"/>
      <c r="M12" s="493">
        <v>2</v>
      </c>
      <c r="N12" s="493"/>
      <c r="O12" s="493">
        <v>2</v>
      </c>
      <c r="P12" s="493"/>
      <c r="Q12" s="493"/>
      <c r="R12" s="493">
        <v>1</v>
      </c>
      <c r="S12" s="493"/>
      <c r="T12" s="493"/>
      <c r="U12" s="493">
        <v>2</v>
      </c>
      <c r="V12" s="493">
        <v>7</v>
      </c>
    </row>
    <row r="13" spans="1:22">
      <c r="A13" s="360" t="s">
        <v>78</v>
      </c>
      <c r="B13" s="493">
        <v>0</v>
      </c>
      <c r="C13" s="493">
        <v>6</v>
      </c>
      <c r="D13" s="493">
        <v>7</v>
      </c>
      <c r="E13" s="493">
        <v>6</v>
      </c>
      <c r="F13" s="493">
        <v>7</v>
      </c>
      <c r="G13" s="493">
        <v>14</v>
      </c>
      <c r="H13" s="493">
        <v>13.5</v>
      </c>
      <c r="I13" s="493">
        <v>13.5</v>
      </c>
      <c r="J13" s="493">
        <v>11.5</v>
      </c>
      <c r="K13" s="493"/>
      <c r="L13" s="493"/>
      <c r="M13" s="493">
        <v>37</v>
      </c>
      <c r="N13" s="493">
        <v>14</v>
      </c>
      <c r="O13" s="493">
        <v>21</v>
      </c>
      <c r="P13" s="493">
        <v>21</v>
      </c>
      <c r="Q13" s="493">
        <v>21</v>
      </c>
      <c r="R13" s="493">
        <v>37</v>
      </c>
      <c r="S13" s="493">
        <v>24</v>
      </c>
      <c r="T13" s="493">
        <v>14</v>
      </c>
      <c r="U13" s="493">
        <v>19</v>
      </c>
      <c r="V13" s="493">
        <v>286.5</v>
      </c>
    </row>
    <row r="14" spans="1:22">
      <c r="A14" s="488" t="s">
        <v>1525</v>
      </c>
      <c r="B14" s="493"/>
      <c r="C14" s="493"/>
      <c r="D14" s="493"/>
      <c r="E14" s="493"/>
      <c r="F14" s="493"/>
      <c r="G14" s="493"/>
      <c r="H14" s="493"/>
      <c r="I14" s="493"/>
      <c r="J14" s="493"/>
      <c r="K14" s="493"/>
      <c r="L14" s="493"/>
      <c r="M14" s="493"/>
      <c r="N14" s="493"/>
      <c r="O14" s="493"/>
      <c r="P14" s="493"/>
      <c r="Q14" s="493">
        <v>6</v>
      </c>
      <c r="R14" s="493">
        <v>2</v>
      </c>
      <c r="S14" s="493">
        <v>1</v>
      </c>
      <c r="T14" s="493">
        <v>1</v>
      </c>
      <c r="U14" s="493">
        <v>2</v>
      </c>
      <c r="V14" s="493">
        <v>12</v>
      </c>
    </row>
    <row r="15" spans="1:22">
      <c r="A15" s="488" t="s">
        <v>123</v>
      </c>
      <c r="B15" s="493"/>
      <c r="C15" s="493">
        <v>6</v>
      </c>
      <c r="D15" s="493">
        <v>7</v>
      </c>
      <c r="E15" s="493">
        <v>6</v>
      </c>
      <c r="F15" s="493"/>
      <c r="G15" s="493">
        <v>8</v>
      </c>
      <c r="H15" s="493">
        <v>7.5</v>
      </c>
      <c r="I15" s="493">
        <v>7.5</v>
      </c>
      <c r="J15" s="493">
        <v>6</v>
      </c>
      <c r="K15" s="493"/>
      <c r="L15" s="493"/>
      <c r="M15" s="493">
        <v>37</v>
      </c>
      <c r="N15" s="493">
        <v>14</v>
      </c>
      <c r="O15" s="493">
        <v>15</v>
      </c>
      <c r="P15" s="493">
        <v>15</v>
      </c>
      <c r="Q15" s="493">
        <v>14</v>
      </c>
      <c r="R15" s="493">
        <v>23</v>
      </c>
      <c r="S15" s="493">
        <v>22</v>
      </c>
      <c r="T15" s="493">
        <v>13</v>
      </c>
      <c r="U15" s="493">
        <v>11</v>
      </c>
      <c r="V15" s="493">
        <v>212</v>
      </c>
    </row>
    <row r="16" spans="1:22">
      <c r="A16" s="488" t="s">
        <v>61</v>
      </c>
      <c r="B16" s="493">
        <v>0</v>
      </c>
      <c r="C16" s="493"/>
      <c r="D16" s="493"/>
      <c r="E16" s="493"/>
      <c r="F16" s="493">
        <v>7</v>
      </c>
      <c r="G16" s="493">
        <v>6</v>
      </c>
      <c r="H16" s="493">
        <v>6</v>
      </c>
      <c r="I16" s="493">
        <v>6</v>
      </c>
      <c r="J16" s="493">
        <v>5.5</v>
      </c>
      <c r="K16" s="493"/>
      <c r="L16" s="493"/>
      <c r="M16" s="493"/>
      <c r="N16" s="493"/>
      <c r="O16" s="493">
        <v>6</v>
      </c>
      <c r="P16" s="493">
        <v>6</v>
      </c>
      <c r="Q16" s="493">
        <v>1</v>
      </c>
      <c r="R16" s="493">
        <v>12</v>
      </c>
      <c r="S16" s="493">
        <v>1</v>
      </c>
      <c r="T16" s="493"/>
      <c r="U16" s="493">
        <v>6</v>
      </c>
      <c r="V16" s="493">
        <v>62.5</v>
      </c>
    </row>
    <row r="17" spans="1:22">
      <c r="A17" s="360" t="s">
        <v>314</v>
      </c>
      <c r="B17" s="493"/>
      <c r="C17" s="493"/>
      <c r="D17" s="493"/>
      <c r="E17" s="493"/>
      <c r="F17" s="493"/>
      <c r="G17" s="493"/>
      <c r="H17" s="493"/>
      <c r="I17" s="493"/>
      <c r="J17" s="493"/>
      <c r="K17" s="493"/>
      <c r="L17" s="493"/>
      <c r="M17" s="493"/>
      <c r="N17" s="493">
        <v>5</v>
      </c>
      <c r="O17" s="493"/>
      <c r="P17" s="493">
        <v>3</v>
      </c>
      <c r="Q17" s="493">
        <v>3</v>
      </c>
      <c r="R17" s="493"/>
      <c r="S17" s="493"/>
      <c r="T17" s="493"/>
      <c r="U17" s="493"/>
      <c r="V17" s="493">
        <v>11</v>
      </c>
    </row>
    <row r="18" spans="1:22">
      <c r="A18" s="488" t="s">
        <v>123</v>
      </c>
      <c r="B18" s="493"/>
      <c r="C18" s="493"/>
      <c r="D18" s="493"/>
      <c r="E18" s="493"/>
      <c r="F18" s="493"/>
      <c r="G18" s="493"/>
      <c r="H18" s="493"/>
      <c r="I18" s="493"/>
      <c r="J18" s="493"/>
      <c r="K18" s="493"/>
      <c r="L18" s="493"/>
      <c r="M18" s="493"/>
      <c r="N18" s="493">
        <v>5</v>
      </c>
      <c r="O18" s="493"/>
      <c r="P18" s="493">
        <v>3</v>
      </c>
      <c r="Q18" s="493">
        <v>3</v>
      </c>
      <c r="R18" s="493"/>
      <c r="S18" s="493"/>
      <c r="T18" s="493"/>
      <c r="U18" s="493"/>
      <c r="V18" s="493">
        <v>11</v>
      </c>
    </row>
    <row r="19" spans="1:22">
      <c r="A19" s="360" t="s">
        <v>356</v>
      </c>
      <c r="B19" s="493"/>
      <c r="C19" s="493"/>
      <c r="D19" s="493"/>
      <c r="E19" s="493"/>
      <c r="F19" s="493"/>
      <c r="G19" s="493"/>
      <c r="H19" s="493"/>
      <c r="I19" s="493"/>
      <c r="J19" s="493"/>
      <c r="K19" s="493"/>
      <c r="L19" s="493"/>
      <c r="M19" s="493">
        <v>1</v>
      </c>
      <c r="N19" s="493"/>
      <c r="O19" s="493"/>
      <c r="P19" s="493"/>
      <c r="Q19" s="493"/>
      <c r="R19" s="493"/>
      <c r="S19" s="493"/>
      <c r="T19" s="493"/>
      <c r="U19" s="493"/>
      <c r="V19" s="493">
        <v>1</v>
      </c>
    </row>
    <row r="20" spans="1:22">
      <c r="A20" s="488" t="s">
        <v>61</v>
      </c>
      <c r="B20" s="493"/>
      <c r="C20" s="493"/>
      <c r="D20" s="493"/>
      <c r="E20" s="493"/>
      <c r="F20" s="493"/>
      <c r="G20" s="493"/>
      <c r="H20" s="493"/>
      <c r="I20" s="493"/>
      <c r="J20" s="493"/>
      <c r="K20" s="493"/>
      <c r="L20" s="493"/>
      <c r="M20" s="493">
        <v>1</v>
      </c>
      <c r="N20" s="493"/>
      <c r="O20" s="493"/>
      <c r="P20" s="493"/>
      <c r="Q20" s="493"/>
      <c r="R20" s="493"/>
      <c r="S20" s="493"/>
      <c r="T20" s="493"/>
      <c r="U20" s="493"/>
      <c r="V20" s="493">
        <v>1</v>
      </c>
    </row>
    <row r="21" spans="1:22">
      <c r="A21" s="360" t="s">
        <v>1561</v>
      </c>
      <c r="B21" s="493"/>
      <c r="C21" s="493"/>
      <c r="D21" s="493"/>
      <c r="E21" s="493"/>
      <c r="F21" s="493"/>
      <c r="G21" s="493"/>
      <c r="H21" s="493"/>
      <c r="I21" s="493"/>
      <c r="J21" s="493"/>
      <c r="K21" s="493"/>
      <c r="L21" s="493"/>
      <c r="M21" s="493">
        <v>3</v>
      </c>
      <c r="N21" s="493">
        <v>1</v>
      </c>
      <c r="O21" s="493"/>
      <c r="P21" s="493">
        <v>2</v>
      </c>
      <c r="Q21" s="493">
        <v>5</v>
      </c>
      <c r="R21" s="493">
        <v>1</v>
      </c>
      <c r="S21" s="493">
        <v>7</v>
      </c>
      <c r="T21" s="493">
        <v>2</v>
      </c>
      <c r="U21" s="493">
        <v>2</v>
      </c>
      <c r="V21" s="493">
        <v>23</v>
      </c>
    </row>
    <row r="22" spans="1:22">
      <c r="A22" s="488" t="s">
        <v>1525</v>
      </c>
      <c r="B22" s="493"/>
      <c r="C22" s="493"/>
      <c r="D22" s="493"/>
      <c r="E22" s="493"/>
      <c r="F22" s="493"/>
      <c r="G22" s="493"/>
      <c r="H22" s="493"/>
      <c r="I22" s="493"/>
      <c r="J22" s="493"/>
      <c r="K22" s="493"/>
      <c r="L22" s="493"/>
      <c r="M22" s="493"/>
      <c r="N22" s="493"/>
      <c r="O22" s="493"/>
      <c r="P22" s="493"/>
      <c r="Q22" s="493"/>
      <c r="R22" s="493"/>
      <c r="S22" s="493"/>
      <c r="T22" s="493">
        <v>1</v>
      </c>
      <c r="U22" s="493"/>
      <c r="V22" s="493">
        <v>1</v>
      </c>
    </row>
    <row r="23" spans="1:22">
      <c r="A23" s="488" t="s">
        <v>123</v>
      </c>
      <c r="B23" s="493"/>
      <c r="C23" s="493"/>
      <c r="D23" s="493"/>
      <c r="E23" s="493"/>
      <c r="F23" s="493"/>
      <c r="G23" s="493"/>
      <c r="H23" s="493"/>
      <c r="I23" s="493"/>
      <c r="J23" s="493"/>
      <c r="K23" s="493"/>
      <c r="L23" s="493"/>
      <c r="M23" s="493">
        <v>3</v>
      </c>
      <c r="N23" s="493"/>
      <c r="O23" s="493"/>
      <c r="P23" s="493"/>
      <c r="Q23" s="493"/>
      <c r="R23" s="493"/>
      <c r="S23" s="493">
        <v>3</v>
      </c>
      <c r="T23" s="493">
        <v>1</v>
      </c>
      <c r="U23" s="493">
        <v>2</v>
      </c>
      <c r="V23" s="493">
        <v>9</v>
      </c>
    </row>
    <row r="24" spans="1:22">
      <c r="A24" s="488" t="s">
        <v>61</v>
      </c>
      <c r="B24" s="493"/>
      <c r="C24" s="493"/>
      <c r="D24" s="493"/>
      <c r="E24" s="493"/>
      <c r="F24" s="493"/>
      <c r="G24" s="493"/>
      <c r="H24" s="493"/>
      <c r="I24" s="493"/>
      <c r="J24" s="493"/>
      <c r="K24" s="493"/>
      <c r="L24" s="493"/>
      <c r="M24" s="493"/>
      <c r="N24" s="493">
        <v>1</v>
      </c>
      <c r="O24" s="493"/>
      <c r="P24" s="493">
        <v>2</v>
      </c>
      <c r="Q24" s="493">
        <v>5</v>
      </c>
      <c r="R24" s="493">
        <v>1</v>
      </c>
      <c r="S24" s="493">
        <v>4</v>
      </c>
      <c r="T24" s="493"/>
      <c r="U24" s="493"/>
      <c r="V24" s="493">
        <v>13</v>
      </c>
    </row>
    <row r="25" spans="1:22">
      <c r="A25" s="360" t="s">
        <v>105</v>
      </c>
      <c r="B25" s="493"/>
      <c r="C25" s="493"/>
      <c r="D25" s="493"/>
      <c r="E25" s="493"/>
      <c r="F25" s="493"/>
      <c r="G25" s="493"/>
      <c r="H25" s="493"/>
      <c r="I25" s="493"/>
      <c r="J25" s="493"/>
      <c r="K25" s="493"/>
      <c r="L25" s="493"/>
      <c r="M25" s="493">
        <v>8</v>
      </c>
      <c r="N25" s="493">
        <v>38</v>
      </c>
      <c r="O25" s="493">
        <v>40</v>
      </c>
      <c r="P25" s="493">
        <v>79</v>
      </c>
      <c r="Q25" s="493">
        <v>37</v>
      </c>
      <c r="R25" s="493">
        <v>19</v>
      </c>
      <c r="S25" s="493">
        <v>58</v>
      </c>
      <c r="T25" s="493">
        <v>49</v>
      </c>
      <c r="U25" s="493">
        <v>17</v>
      </c>
      <c r="V25" s="493">
        <v>345</v>
      </c>
    </row>
    <row r="26" spans="1:22">
      <c r="A26" s="488" t="s">
        <v>1525</v>
      </c>
      <c r="B26" s="493"/>
      <c r="C26" s="493"/>
      <c r="D26" s="493"/>
      <c r="E26" s="493"/>
      <c r="F26" s="493"/>
      <c r="G26" s="493"/>
      <c r="H26" s="493"/>
      <c r="I26" s="493"/>
      <c r="J26" s="493"/>
      <c r="K26" s="493"/>
      <c r="L26" s="493"/>
      <c r="M26" s="493"/>
      <c r="N26" s="493"/>
      <c r="O26" s="493"/>
      <c r="P26" s="493">
        <v>9</v>
      </c>
      <c r="Q26" s="493">
        <v>6</v>
      </c>
      <c r="R26" s="493"/>
      <c r="S26" s="493">
        <v>4</v>
      </c>
      <c r="T26" s="493">
        <v>10</v>
      </c>
      <c r="U26" s="493"/>
      <c r="V26" s="493">
        <v>29</v>
      </c>
    </row>
    <row r="27" spans="1:22">
      <c r="A27" s="488" t="s">
        <v>123</v>
      </c>
      <c r="B27" s="493"/>
      <c r="C27" s="493"/>
      <c r="D27" s="493"/>
      <c r="E27" s="493"/>
      <c r="F27" s="493"/>
      <c r="G27" s="493"/>
      <c r="H27" s="493"/>
      <c r="I27" s="493"/>
      <c r="J27" s="493"/>
      <c r="K27" s="493"/>
      <c r="L27" s="493"/>
      <c r="M27" s="493">
        <v>8</v>
      </c>
      <c r="N27" s="493">
        <v>30</v>
      </c>
      <c r="O27" s="493">
        <v>32</v>
      </c>
      <c r="P27" s="493">
        <v>42</v>
      </c>
      <c r="Q27" s="493">
        <v>6</v>
      </c>
      <c r="R27" s="493"/>
      <c r="S27" s="493">
        <v>37</v>
      </c>
      <c r="T27" s="493">
        <v>30</v>
      </c>
      <c r="U27" s="493">
        <v>11</v>
      </c>
      <c r="V27" s="493">
        <v>196</v>
      </c>
    </row>
    <row r="28" spans="1:22">
      <c r="A28" s="488" t="s">
        <v>61</v>
      </c>
      <c r="B28" s="493"/>
      <c r="C28" s="493"/>
      <c r="D28" s="493"/>
      <c r="E28" s="493"/>
      <c r="F28" s="493"/>
      <c r="G28" s="493"/>
      <c r="H28" s="493"/>
      <c r="I28" s="493"/>
      <c r="J28" s="493"/>
      <c r="K28" s="493"/>
      <c r="L28" s="493"/>
      <c r="M28" s="493"/>
      <c r="N28" s="493">
        <v>8</v>
      </c>
      <c r="O28" s="493">
        <v>8</v>
      </c>
      <c r="P28" s="493">
        <v>28</v>
      </c>
      <c r="Q28" s="493">
        <v>25</v>
      </c>
      <c r="R28" s="493">
        <v>19</v>
      </c>
      <c r="S28" s="493">
        <v>17</v>
      </c>
      <c r="T28" s="493">
        <v>9</v>
      </c>
      <c r="U28" s="493">
        <v>6</v>
      </c>
      <c r="V28" s="493">
        <v>120</v>
      </c>
    </row>
    <row r="29" spans="1:22">
      <c r="A29" s="360" t="s">
        <v>124</v>
      </c>
      <c r="B29" s="493"/>
      <c r="C29" s="493">
        <v>10</v>
      </c>
      <c r="D29" s="493"/>
      <c r="E29" s="493">
        <v>12</v>
      </c>
      <c r="F29" s="493"/>
      <c r="G29" s="493"/>
      <c r="H29" s="493"/>
      <c r="I29" s="493"/>
      <c r="J29" s="493"/>
      <c r="K29" s="493">
        <v>22</v>
      </c>
      <c r="L29" s="493">
        <v>6</v>
      </c>
      <c r="M29" s="493">
        <v>2.0699999999999998</v>
      </c>
      <c r="N29" s="493">
        <v>5</v>
      </c>
      <c r="O29" s="493"/>
      <c r="P29" s="493">
        <v>3.9981818181818185</v>
      </c>
      <c r="Q29" s="493"/>
      <c r="R29" s="493">
        <v>3</v>
      </c>
      <c r="S29" s="493">
        <v>2</v>
      </c>
      <c r="T29" s="493">
        <v>3</v>
      </c>
      <c r="U29" s="493">
        <v>2</v>
      </c>
      <c r="V29" s="493">
        <v>71.068181818181813</v>
      </c>
    </row>
    <row r="30" spans="1:22">
      <c r="A30" s="488" t="s">
        <v>1525</v>
      </c>
      <c r="B30" s="493"/>
      <c r="C30" s="493"/>
      <c r="D30" s="493"/>
      <c r="E30" s="493"/>
      <c r="F30" s="493"/>
      <c r="G30" s="493"/>
      <c r="H30" s="493"/>
      <c r="I30" s="493"/>
      <c r="J30" s="493"/>
      <c r="K30" s="493"/>
      <c r="L30" s="493"/>
      <c r="M30" s="493"/>
      <c r="N30" s="493"/>
      <c r="O30" s="493"/>
      <c r="P30" s="493">
        <v>1</v>
      </c>
      <c r="Q30" s="493"/>
      <c r="R30" s="493">
        <v>1</v>
      </c>
      <c r="S30" s="493"/>
      <c r="T30" s="493"/>
      <c r="U30" s="493"/>
      <c r="V30" s="493">
        <v>2</v>
      </c>
    </row>
    <row r="31" spans="1:22">
      <c r="A31" s="488" t="s">
        <v>123</v>
      </c>
      <c r="B31" s="493"/>
      <c r="C31" s="493">
        <v>10</v>
      </c>
      <c r="D31" s="493"/>
      <c r="E31" s="493">
        <v>12</v>
      </c>
      <c r="F31" s="493"/>
      <c r="G31" s="493"/>
      <c r="H31" s="493"/>
      <c r="I31" s="493"/>
      <c r="J31" s="493"/>
      <c r="K31" s="493">
        <v>22</v>
      </c>
      <c r="L31" s="493">
        <v>6</v>
      </c>
      <c r="M31" s="493">
        <v>2.0699999999999998</v>
      </c>
      <c r="N31" s="493">
        <v>5</v>
      </c>
      <c r="O31" s="493"/>
      <c r="P31" s="493">
        <v>2.9981818181818185</v>
      </c>
      <c r="Q31" s="493"/>
      <c r="R31" s="493">
        <v>2</v>
      </c>
      <c r="S31" s="493">
        <v>2</v>
      </c>
      <c r="T31" s="493">
        <v>3</v>
      </c>
      <c r="U31" s="493">
        <v>2</v>
      </c>
      <c r="V31" s="493">
        <v>69.068181818181813</v>
      </c>
    </row>
    <row r="32" spans="1:22">
      <c r="A32" s="360" t="s">
        <v>10190</v>
      </c>
      <c r="B32" s="493">
        <v>0</v>
      </c>
      <c r="C32" s="493">
        <v>16</v>
      </c>
      <c r="D32" s="493">
        <v>7</v>
      </c>
      <c r="E32" s="493">
        <v>18</v>
      </c>
      <c r="F32" s="493">
        <v>7</v>
      </c>
      <c r="G32" s="493">
        <v>14</v>
      </c>
      <c r="H32" s="493">
        <v>13.5</v>
      </c>
      <c r="I32" s="493">
        <v>13.5</v>
      </c>
      <c r="J32" s="493">
        <v>11.5</v>
      </c>
      <c r="K32" s="493">
        <v>22</v>
      </c>
      <c r="L32" s="493">
        <v>6</v>
      </c>
      <c r="M32" s="493">
        <v>56.07</v>
      </c>
      <c r="N32" s="493">
        <v>63</v>
      </c>
      <c r="O32" s="493">
        <v>64</v>
      </c>
      <c r="P32" s="493">
        <v>113.99818181818182</v>
      </c>
      <c r="Q32" s="493">
        <v>66</v>
      </c>
      <c r="R32" s="493">
        <v>68</v>
      </c>
      <c r="S32" s="493">
        <v>92</v>
      </c>
      <c r="T32" s="493">
        <v>80</v>
      </c>
      <c r="U32" s="493">
        <v>42</v>
      </c>
      <c r="V32" s="493">
        <v>773.56818181818176</v>
      </c>
    </row>
  </sheetData>
  <phoneticPr fontId="6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A684-E5DA-474C-B409-1D601E3E01CD}">
  <sheetPr>
    <tabColor rgb="FFEBCDF7"/>
  </sheetPr>
  <dimension ref="A1:I443"/>
  <sheetViews>
    <sheetView workbookViewId="0">
      <pane ySplit="1" topLeftCell="A2" activePane="bottomLeft" state="frozen"/>
      <selection pane="bottomLeft" activeCell="H21" sqref="H21"/>
    </sheetView>
  </sheetViews>
  <sheetFormatPr defaultColWidth="9" defaultRowHeight="13"/>
  <cols>
    <col min="1" max="1" width="17.09765625" customWidth="1"/>
    <col min="2" max="2" width="17.8984375" customWidth="1"/>
    <col min="3" max="3" width="13.09765625" customWidth="1"/>
    <col min="4" max="5" width="18.3984375" style="918" bestFit="1" customWidth="1"/>
    <col min="6" max="7" width="15.8984375" customWidth="1"/>
    <col min="8" max="9" width="32.8984375" style="918" bestFit="1" customWidth="1"/>
  </cols>
  <sheetData>
    <row r="1" spans="1:9" ht="14">
      <c r="A1" s="995" t="s">
        <v>10191</v>
      </c>
      <c r="B1" s="995" t="s">
        <v>10192</v>
      </c>
      <c r="C1" s="995" t="s">
        <v>10193</v>
      </c>
      <c r="D1" s="996" t="s">
        <v>10194</v>
      </c>
      <c r="E1" s="996" t="s">
        <v>10195</v>
      </c>
      <c r="F1" s="995" t="s">
        <v>10196</v>
      </c>
      <c r="G1" s="995" t="s">
        <v>10197</v>
      </c>
      <c r="H1" s="996" t="s">
        <v>10198</v>
      </c>
      <c r="I1" s="996" t="s">
        <v>10199</v>
      </c>
    </row>
    <row r="2" spans="1:9" ht="14">
      <c r="A2" s="1463" t="s">
        <v>1398</v>
      </c>
      <c r="B2" s="1463">
        <v>9506227090</v>
      </c>
      <c r="C2" s="1463" t="s">
        <v>10200</v>
      </c>
      <c r="D2" s="1467">
        <v>46089</v>
      </c>
      <c r="E2" s="1467">
        <v>46088.897199074076</v>
      </c>
      <c r="F2" s="1463" t="s">
        <v>10201</v>
      </c>
      <c r="G2" s="1463" t="s">
        <v>8661</v>
      </c>
      <c r="H2" s="1467">
        <v>46185.25</v>
      </c>
      <c r="I2" s="1467">
        <v>46184.877083333333</v>
      </c>
    </row>
    <row r="3" spans="1:9" ht="14">
      <c r="A3" s="1464" t="s">
        <v>1846</v>
      </c>
      <c r="B3" s="1464">
        <v>9506490230</v>
      </c>
      <c r="C3" s="1464" t="s">
        <v>10200</v>
      </c>
      <c r="D3" s="1468">
        <v>46103.489583333336</v>
      </c>
      <c r="E3" s="1468">
        <v>46103.526192129626</v>
      </c>
      <c r="F3" s="1464" t="s">
        <v>10202</v>
      </c>
      <c r="G3" s="1464" t="s">
        <v>8661</v>
      </c>
      <c r="H3" s="1468">
        <v>46183.21875</v>
      </c>
      <c r="I3" s="1468">
        <v>46183.291377314818</v>
      </c>
    </row>
    <row r="4" spans="1:9" ht="14">
      <c r="A4" s="1463" t="s">
        <v>1938</v>
      </c>
      <c r="B4" s="1463">
        <v>9506569240</v>
      </c>
      <c r="C4" s="1463" t="s">
        <v>10200</v>
      </c>
      <c r="D4" s="1467">
        <v>46110.666666666664</v>
      </c>
      <c r="E4" s="1467">
        <v>46110.624490740738</v>
      </c>
      <c r="F4" s="1463" t="s">
        <v>10202</v>
      </c>
      <c r="G4" s="1463" t="s">
        <v>8661</v>
      </c>
      <c r="H4" s="1467">
        <v>46191.875</v>
      </c>
      <c r="I4" s="1467">
        <v>46191.811898148146</v>
      </c>
    </row>
    <row r="5" spans="1:9" ht="14">
      <c r="A5" s="1464" t="s">
        <v>2002</v>
      </c>
      <c r="B5" s="1464">
        <v>6449453200</v>
      </c>
      <c r="C5" s="1464" t="s">
        <v>123</v>
      </c>
      <c r="D5" s="1468">
        <v>46125.791666666664</v>
      </c>
      <c r="E5" s="1468">
        <v>46125.815613425926</v>
      </c>
      <c r="F5" s="1464" t="s">
        <v>10203</v>
      </c>
      <c r="G5" s="1464" t="s">
        <v>10204</v>
      </c>
      <c r="H5" s="1468">
        <v>46182.791666666664</v>
      </c>
      <c r="I5" s="1468">
        <v>46182.978495370371</v>
      </c>
    </row>
    <row r="6" spans="1:9" ht="14">
      <c r="A6" s="1463" t="s">
        <v>2075</v>
      </c>
      <c r="B6" s="1463">
        <v>6449762550</v>
      </c>
      <c r="C6" s="1463" t="s">
        <v>123</v>
      </c>
      <c r="D6" s="1467">
        <v>46124.333333333336</v>
      </c>
      <c r="E6" s="1467">
        <v>46124.051226851851</v>
      </c>
      <c r="F6" s="1463" t="s">
        <v>8661</v>
      </c>
      <c r="G6" s="1463" t="s">
        <v>10205</v>
      </c>
      <c r="H6" s="1467">
        <v>46207.833333333336</v>
      </c>
      <c r="I6" s="1467">
        <v>46207.808657407404</v>
      </c>
    </row>
    <row r="7" spans="1:9" ht="14">
      <c r="A7" s="1464" t="s">
        <v>2092</v>
      </c>
      <c r="B7" s="1464">
        <v>9506746670</v>
      </c>
      <c r="C7" s="1464" t="s">
        <v>10200</v>
      </c>
      <c r="D7" s="1468">
        <v>46122.625</v>
      </c>
      <c r="E7" s="1468">
        <v>46122.657337962963</v>
      </c>
      <c r="F7" s="1464" t="s">
        <v>123</v>
      </c>
      <c r="G7" s="1464" t="s">
        <v>8661</v>
      </c>
      <c r="H7" s="1468">
        <v>46195.083333333336</v>
      </c>
      <c r="I7" s="1468">
        <v>46195.180555555555</v>
      </c>
    </row>
    <row r="8" spans="1:9" ht="14">
      <c r="A8" s="1463" t="s">
        <v>2115</v>
      </c>
      <c r="B8" s="1463">
        <v>6450390090</v>
      </c>
      <c r="C8" s="1463" t="s">
        <v>123</v>
      </c>
      <c r="D8" s="1467">
        <v>46141.854166666664</v>
      </c>
      <c r="E8" s="1467">
        <v>46141.916365740741</v>
      </c>
      <c r="F8" s="1463" t="s">
        <v>10206</v>
      </c>
      <c r="G8" s="1463" t="s">
        <v>10207</v>
      </c>
      <c r="H8" s="1467">
        <v>46189.125</v>
      </c>
      <c r="I8" s="1467">
        <v>46190.26971064815</v>
      </c>
    </row>
    <row r="9" spans="1:9" ht="14">
      <c r="A9" s="1464" t="s">
        <v>2145</v>
      </c>
      <c r="B9" s="1464">
        <v>6450114670</v>
      </c>
      <c r="C9" s="1464" t="s">
        <v>123</v>
      </c>
      <c r="D9" s="1468">
        <v>46131.1875</v>
      </c>
      <c r="E9" s="1468">
        <v>46131.213784722226</v>
      </c>
      <c r="F9" s="1465"/>
      <c r="G9" s="1464" t="s">
        <v>10208</v>
      </c>
      <c r="H9" s="1468">
        <v>46183.333333333336</v>
      </c>
      <c r="I9" s="1468">
        <v>46182.884826388887</v>
      </c>
    </row>
    <row r="10" spans="1:9" ht="14">
      <c r="A10" s="1463" t="s">
        <v>2156</v>
      </c>
      <c r="B10" s="1463">
        <v>6450390480</v>
      </c>
      <c r="C10" s="1463" t="s">
        <v>123</v>
      </c>
      <c r="D10" s="1467">
        <v>46138.875</v>
      </c>
      <c r="E10" s="1467">
        <v>46138.895370370374</v>
      </c>
      <c r="F10" s="1466"/>
      <c r="G10" s="1463" t="s">
        <v>8661</v>
      </c>
      <c r="H10" s="1467">
        <v>46191.875</v>
      </c>
      <c r="I10" s="1467">
        <v>46191.811898148146</v>
      </c>
    </row>
    <row r="11" spans="1:9" ht="14">
      <c r="A11" s="1464" t="s">
        <v>2170</v>
      </c>
      <c r="B11" s="1464">
        <v>6449793280</v>
      </c>
      <c r="C11" s="1464" t="s">
        <v>10200</v>
      </c>
      <c r="D11" s="1468">
        <v>46129.458333333336</v>
      </c>
      <c r="E11" s="1468">
        <v>46128.870671296296</v>
      </c>
      <c r="F11" s="1464" t="s">
        <v>123</v>
      </c>
      <c r="G11" s="1464" t="s">
        <v>10209</v>
      </c>
      <c r="H11" s="1468">
        <v>46183.25</v>
      </c>
      <c r="I11" s="1468">
        <v>46182.894849537035</v>
      </c>
    </row>
    <row r="12" spans="1:9" ht="14">
      <c r="A12" s="1463" t="s">
        <v>2176</v>
      </c>
      <c r="B12" s="1463">
        <v>9506800640</v>
      </c>
      <c r="C12" s="1463" t="s">
        <v>10200</v>
      </c>
      <c r="D12" s="1467">
        <v>46133.958333333336</v>
      </c>
      <c r="E12" s="1467">
        <v>46133.981435185182</v>
      </c>
      <c r="F12" s="1463" t="s">
        <v>10202</v>
      </c>
      <c r="G12" s="1463" t="s">
        <v>8661</v>
      </c>
      <c r="H12" s="1467">
        <v>46203.208333333336</v>
      </c>
      <c r="I12" s="1467">
        <v>46203.286539351851</v>
      </c>
    </row>
    <row r="13" spans="1:9" ht="14">
      <c r="A13" s="1464" t="s">
        <v>2181</v>
      </c>
      <c r="B13" s="1464">
        <v>6449882020</v>
      </c>
      <c r="C13" s="1464" t="s">
        <v>10200</v>
      </c>
      <c r="D13" s="1468">
        <v>46129.458333333336</v>
      </c>
      <c r="E13" s="1468">
        <v>46128.870671296296</v>
      </c>
      <c r="F13" s="1464" t="s">
        <v>123</v>
      </c>
      <c r="G13" s="1464" t="s">
        <v>8661</v>
      </c>
      <c r="H13" s="1468">
        <v>46185.25</v>
      </c>
      <c r="I13" s="1468">
        <v>46184.877083333333</v>
      </c>
    </row>
    <row r="14" spans="1:9" ht="14">
      <c r="A14" s="1463" t="s">
        <v>2194</v>
      </c>
      <c r="B14" s="1463">
        <v>6451575620</v>
      </c>
      <c r="C14" s="1463" t="s">
        <v>123</v>
      </c>
      <c r="D14" s="1467">
        <v>46139.375</v>
      </c>
      <c r="E14" s="1467">
        <v>46139.41201388889</v>
      </c>
      <c r="F14" s="1466"/>
      <c r="G14" s="1463" t="s">
        <v>10206</v>
      </c>
      <c r="H14" s="1467">
        <v>46195.145833333336</v>
      </c>
      <c r="I14" s="1467">
        <v>46195.250127314815</v>
      </c>
    </row>
    <row r="15" spans="1:9" ht="14">
      <c r="A15" s="1464" t="s">
        <v>2199</v>
      </c>
      <c r="B15" s="1464">
        <v>6451231180</v>
      </c>
      <c r="C15" s="1464" t="s">
        <v>123</v>
      </c>
      <c r="D15" s="1468">
        <v>46141.979166666664</v>
      </c>
      <c r="E15" s="1468">
        <v>46141.74858796296</v>
      </c>
      <c r="F15" s="1465"/>
      <c r="G15" s="1464" t="s">
        <v>10210</v>
      </c>
      <c r="H15" s="1468">
        <v>46194.25</v>
      </c>
      <c r="I15" s="1468">
        <v>46194.316770833335</v>
      </c>
    </row>
    <row r="16" spans="1:9" ht="14">
      <c r="A16" s="1463" t="s">
        <v>2205</v>
      </c>
      <c r="B16" s="1463">
        <v>6450703930</v>
      </c>
      <c r="C16" s="1463" t="s">
        <v>123</v>
      </c>
      <c r="D16" s="1467">
        <v>46138.5</v>
      </c>
      <c r="E16" s="1467">
        <v>46138.085729166669</v>
      </c>
      <c r="F16" s="1466"/>
      <c r="G16" s="1463" t="s">
        <v>10208</v>
      </c>
      <c r="H16" s="1467">
        <v>46190.75</v>
      </c>
      <c r="I16" s="1467">
        <v>46190.870671296296</v>
      </c>
    </row>
    <row r="17" spans="1:9" ht="14">
      <c r="A17" s="1464" t="s">
        <v>2215</v>
      </c>
      <c r="B17" s="1464">
        <v>6450706480</v>
      </c>
      <c r="C17" s="1464" t="s">
        <v>123</v>
      </c>
      <c r="D17" s="1468">
        <v>46140.729166666664</v>
      </c>
      <c r="E17" s="1468">
        <v>46140.745300925926</v>
      </c>
      <c r="F17" s="1465"/>
      <c r="G17" s="1464" t="s">
        <v>8661</v>
      </c>
      <c r="H17" s="1468">
        <v>46185.25</v>
      </c>
      <c r="I17" s="1468">
        <v>46184.877083333333</v>
      </c>
    </row>
    <row r="18" spans="1:9" ht="14">
      <c r="A18" s="1463" t="s">
        <v>2220</v>
      </c>
      <c r="B18" s="1463">
        <v>6451090390</v>
      </c>
      <c r="C18" s="1463" t="s">
        <v>123</v>
      </c>
      <c r="D18" s="1467">
        <v>46140.541666666664</v>
      </c>
      <c r="E18" s="1467">
        <v>46140.57271990741</v>
      </c>
      <c r="F18" s="1463" t="s">
        <v>10203</v>
      </c>
      <c r="G18" s="1463" t="s">
        <v>10204</v>
      </c>
      <c r="H18" s="1467">
        <v>46198.75</v>
      </c>
      <c r="I18" s="1467">
        <v>46198.780798611115</v>
      </c>
    </row>
    <row r="19" spans="1:9" ht="14">
      <c r="A19" s="1464" t="s">
        <v>2229</v>
      </c>
      <c r="B19" s="1464">
        <v>9506918160</v>
      </c>
      <c r="C19" s="1464" t="s">
        <v>10200</v>
      </c>
      <c r="D19" s="1468">
        <v>46138</v>
      </c>
      <c r="E19" s="1468">
        <v>46138.037280092591</v>
      </c>
      <c r="F19" s="1464" t="s">
        <v>10202</v>
      </c>
      <c r="G19" s="1464" t="s">
        <v>8661</v>
      </c>
      <c r="H19" s="1468">
        <v>46207.25</v>
      </c>
      <c r="I19" s="1468">
        <v>46207.073067129626</v>
      </c>
    </row>
    <row r="20" spans="1:9" ht="14">
      <c r="A20" s="1463" t="s">
        <v>2278</v>
      </c>
      <c r="B20" s="1463">
        <v>9506929530</v>
      </c>
      <c r="C20" s="1463" t="s">
        <v>10200</v>
      </c>
      <c r="D20" s="1467">
        <v>46138</v>
      </c>
      <c r="E20" s="1467">
        <v>46138.037280092591</v>
      </c>
      <c r="F20" s="1466"/>
      <c r="G20" s="1463" t="s">
        <v>10206</v>
      </c>
      <c r="H20" s="1467">
        <v>46189.5</v>
      </c>
      <c r="I20" s="1467">
        <v>46189.67</v>
      </c>
    </row>
    <row r="21" spans="1:9" ht="14">
      <c r="A21" s="1464" t="s">
        <v>2347</v>
      </c>
      <c r="B21" s="1464">
        <v>6451369150</v>
      </c>
      <c r="C21" s="1464" t="s">
        <v>123</v>
      </c>
      <c r="D21" s="1468">
        <v>46147.708333333336</v>
      </c>
      <c r="E21" s="1468">
        <v>46147.727800925924</v>
      </c>
      <c r="F21" s="1465"/>
      <c r="G21" s="1464" t="s">
        <v>8661</v>
      </c>
      <c r="H21" s="1468">
        <v>46196.541666666664</v>
      </c>
      <c r="I21" s="1468">
        <v>46196.578993055555</v>
      </c>
    </row>
    <row r="22" spans="1:9" ht="14">
      <c r="A22" s="1463" t="s">
        <v>2353</v>
      </c>
      <c r="B22" s="1463">
        <v>6451366460</v>
      </c>
      <c r="C22" s="1463" t="s">
        <v>123</v>
      </c>
      <c r="D22" s="1467">
        <v>46146.208333333336</v>
      </c>
      <c r="E22" s="1467">
        <v>46146.210486111115</v>
      </c>
      <c r="F22" s="1466"/>
      <c r="G22" s="1463" t="s">
        <v>10208</v>
      </c>
      <c r="H22" s="1467">
        <v>46198.25</v>
      </c>
      <c r="I22" s="1467">
        <v>46198.26699074074</v>
      </c>
    </row>
    <row r="23" spans="1:9" ht="14">
      <c r="A23" s="1464" t="s">
        <v>2361</v>
      </c>
      <c r="B23" s="1464">
        <v>6451880280</v>
      </c>
      <c r="C23" s="1464" t="s">
        <v>123</v>
      </c>
      <c r="D23" s="1468">
        <v>46149.625</v>
      </c>
      <c r="E23" s="1468">
        <v>46149.658437500002</v>
      </c>
      <c r="F23" s="1464" t="s">
        <v>10203</v>
      </c>
      <c r="G23" s="1464" t="s">
        <v>10204</v>
      </c>
      <c r="H23" s="1468">
        <v>46205.958333333336</v>
      </c>
      <c r="I23" s="1468">
        <v>46205.950752314813</v>
      </c>
    </row>
    <row r="24" spans="1:9" ht="14">
      <c r="A24" s="1463" t="s">
        <v>2365</v>
      </c>
      <c r="B24" s="1463">
        <v>6451371990</v>
      </c>
      <c r="C24" s="1463" t="s">
        <v>123</v>
      </c>
      <c r="D24" s="1467">
        <v>46147.708333333336</v>
      </c>
      <c r="E24" s="1467">
        <v>46147.727800925924</v>
      </c>
      <c r="F24" s="1466"/>
      <c r="G24" s="1463" t="s">
        <v>10205</v>
      </c>
      <c r="H24" s="1467">
        <v>46192.833333333336</v>
      </c>
      <c r="I24" s="1467">
        <v>46192.914004629631</v>
      </c>
    </row>
    <row r="25" spans="1:9" ht="14">
      <c r="A25" s="1464" t="s">
        <v>2370</v>
      </c>
      <c r="B25" s="1464">
        <v>9507036360</v>
      </c>
      <c r="C25" s="1464" t="s">
        <v>10200</v>
      </c>
      <c r="D25" s="1468">
        <v>46146.645833333336</v>
      </c>
      <c r="E25" s="1468">
        <v>46146.66920138889</v>
      </c>
      <c r="F25" s="1464" t="s">
        <v>123</v>
      </c>
      <c r="G25" s="1464" t="s">
        <v>10206</v>
      </c>
      <c r="H25" s="1468">
        <v>46202.583333333336</v>
      </c>
      <c r="I25" s="1468">
        <v>46202.551469907405</v>
      </c>
    </row>
    <row r="26" spans="1:9" ht="14">
      <c r="A26" s="1463" t="s">
        <v>2376</v>
      </c>
      <c r="B26" s="1463">
        <v>9507037880</v>
      </c>
      <c r="C26" s="1463" t="s">
        <v>10200</v>
      </c>
      <c r="D26" s="1467">
        <v>46146.645833333336</v>
      </c>
      <c r="E26" s="1467">
        <v>46146.66920138889</v>
      </c>
      <c r="F26" s="1466"/>
      <c r="G26" s="1463" t="s">
        <v>10206</v>
      </c>
      <c r="H26" s="1467">
        <v>46197.083333333336</v>
      </c>
      <c r="I26" s="1467">
        <v>46197.406006944446</v>
      </c>
    </row>
    <row r="27" spans="1:9" ht="14">
      <c r="A27" s="1464" t="s">
        <v>2380</v>
      </c>
      <c r="B27" s="1464">
        <v>9507017710</v>
      </c>
      <c r="C27" s="1464" t="s">
        <v>10200</v>
      </c>
      <c r="D27" s="1468">
        <v>46146.645833333336</v>
      </c>
      <c r="E27" s="1468">
        <v>46146.66920138889</v>
      </c>
      <c r="F27" s="1464" t="s">
        <v>10202</v>
      </c>
      <c r="G27" s="1464" t="s">
        <v>8661</v>
      </c>
      <c r="H27" s="1468">
        <v>46210.25</v>
      </c>
      <c r="I27" s="1468">
        <v>46210.243923611109</v>
      </c>
    </row>
    <row r="28" spans="1:9" ht="14">
      <c r="A28" s="1463" t="s">
        <v>2392</v>
      </c>
      <c r="B28" s="1463">
        <v>9507036320</v>
      </c>
      <c r="C28" s="1463" t="s">
        <v>10200</v>
      </c>
      <c r="D28" s="1467">
        <v>46146.645833333336</v>
      </c>
      <c r="E28" s="1467">
        <v>46146.66920138889</v>
      </c>
      <c r="F28" s="1463" t="s">
        <v>123</v>
      </c>
      <c r="G28" s="1463" t="s">
        <v>10211</v>
      </c>
      <c r="H28" s="1467">
        <v>46211.75</v>
      </c>
      <c r="I28" s="1467">
        <v>46211.801168981481</v>
      </c>
    </row>
    <row r="29" spans="1:9" ht="14">
      <c r="A29" s="1464" t="s">
        <v>2426</v>
      </c>
      <c r="B29" s="1464">
        <v>6452080850</v>
      </c>
      <c r="C29" s="1464" t="s">
        <v>123</v>
      </c>
      <c r="D29" s="1468">
        <v>46155.520833333336</v>
      </c>
      <c r="E29" s="1468">
        <v>46155.537627314814</v>
      </c>
      <c r="F29" s="1465"/>
      <c r="G29" s="1464" t="s">
        <v>10206</v>
      </c>
      <c r="H29" s="1468">
        <v>46197.083333333336</v>
      </c>
      <c r="I29" s="1468">
        <v>46197.406006944446</v>
      </c>
    </row>
    <row r="30" spans="1:9" ht="14">
      <c r="A30" s="1463" t="s">
        <v>2443</v>
      </c>
      <c r="B30" s="1463">
        <v>6452081790</v>
      </c>
      <c r="C30" s="1463" t="s">
        <v>123</v>
      </c>
      <c r="D30" s="1467">
        <v>46157.854166666664</v>
      </c>
      <c r="E30" s="1467">
        <v>46157.874074074076</v>
      </c>
      <c r="F30" s="1466"/>
      <c r="G30" s="1463" t="s">
        <v>10208</v>
      </c>
      <c r="H30" s="1467">
        <v>46205.708333333336</v>
      </c>
      <c r="I30" s="1467">
        <v>46205.655138888891</v>
      </c>
    </row>
    <row r="31" spans="1:9" ht="14">
      <c r="A31" s="1464" t="s">
        <v>2451</v>
      </c>
      <c r="B31" s="1464">
        <v>6452282800</v>
      </c>
      <c r="C31" s="1464" t="s">
        <v>10200</v>
      </c>
      <c r="D31" s="1468">
        <v>46155.197916666664</v>
      </c>
      <c r="E31" s="1468">
        <v>46155.189675925925</v>
      </c>
      <c r="F31" s="1464" t="s">
        <v>123</v>
      </c>
      <c r="G31" s="1464" t="s">
        <v>10209</v>
      </c>
      <c r="H31" s="1468">
        <v>46203.25</v>
      </c>
      <c r="I31" s="1468">
        <v>46202.869155092594</v>
      </c>
    </row>
    <row r="32" spans="1:9" ht="14">
      <c r="A32" s="1463" t="s">
        <v>4437</v>
      </c>
      <c r="B32" s="1463">
        <v>6452259000</v>
      </c>
      <c r="C32" s="1463" t="s">
        <v>10200</v>
      </c>
      <c r="D32" s="1467">
        <v>46150.708333333336</v>
      </c>
      <c r="E32" s="1467">
        <v>46150.817928240744</v>
      </c>
      <c r="F32" s="1463" t="s">
        <v>6003</v>
      </c>
      <c r="G32" s="1463" t="s">
        <v>10210</v>
      </c>
      <c r="H32" s="1467">
        <v>46208.708333333336</v>
      </c>
      <c r="I32" s="1467">
        <v>46208.656018518515</v>
      </c>
    </row>
    <row r="33" spans="1:9" ht="14">
      <c r="A33" s="1464" t="s">
        <v>4441</v>
      </c>
      <c r="B33" s="1464">
        <v>9507118140</v>
      </c>
      <c r="C33" s="1464" t="s">
        <v>10200</v>
      </c>
      <c r="D33" s="1468">
        <v>46155.197916666664</v>
      </c>
      <c r="E33" s="1468">
        <v>46155.189675925925</v>
      </c>
      <c r="F33" s="1465"/>
      <c r="G33" s="1464" t="s">
        <v>10206</v>
      </c>
      <c r="H33" s="1468">
        <v>46203.625</v>
      </c>
      <c r="I33" s="1468">
        <v>46203.620509259257</v>
      </c>
    </row>
    <row r="34" spans="1:9" ht="14">
      <c r="A34" s="1463" t="s">
        <v>4445</v>
      </c>
      <c r="B34" s="1463">
        <v>9507123270</v>
      </c>
      <c r="C34" s="1463" t="s">
        <v>10200</v>
      </c>
      <c r="D34" s="1467">
        <v>46155.197916666664</v>
      </c>
      <c r="E34" s="1467">
        <v>46155.189675925925</v>
      </c>
      <c r="F34" s="1463" t="s">
        <v>10202</v>
      </c>
      <c r="G34" s="1463" t="s">
        <v>8661</v>
      </c>
      <c r="H34" s="1467">
        <v>46215.25</v>
      </c>
      <c r="I34" s="1467">
        <v>46215.279849537037</v>
      </c>
    </row>
    <row r="35" spans="1:9" ht="14">
      <c r="A35" s="1464" t="s">
        <v>4449</v>
      </c>
      <c r="B35" s="1464">
        <v>9507123300</v>
      </c>
      <c r="C35" s="1464" t="s">
        <v>10200</v>
      </c>
      <c r="D35" s="1468">
        <v>46155.197916666664</v>
      </c>
      <c r="E35" s="1468">
        <v>46155.189675925925</v>
      </c>
      <c r="F35" s="1464" t="s">
        <v>10202</v>
      </c>
      <c r="G35" s="1464" t="s">
        <v>8661</v>
      </c>
      <c r="H35" s="1468">
        <v>46211.604166666664</v>
      </c>
      <c r="I35" s="1468">
        <v>46211.6721875</v>
      </c>
    </row>
    <row r="36" spans="1:9" ht="14">
      <c r="A36" s="1463" t="s">
        <v>4453</v>
      </c>
      <c r="B36" s="1463">
        <v>9507124020</v>
      </c>
      <c r="C36" s="1463" t="s">
        <v>10200</v>
      </c>
      <c r="D36" s="1467">
        <v>46155.197916666664</v>
      </c>
      <c r="E36" s="1467">
        <v>46155.189675925925</v>
      </c>
      <c r="F36" s="1463" t="s">
        <v>10202</v>
      </c>
      <c r="G36" s="1463" t="s">
        <v>10205</v>
      </c>
      <c r="H36" s="1467">
        <v>46204.583333333336</v>
      </c>
      <c r="I36" s="1467">
        <v>46204.374976851854</v>
      </c>
    </row>
    <row r="37" spans="1:9" ht="14">
      <c r="A37" s="1464" t="s">
        <v>4457</v>
      </c>
      <c r="B37" s="1464">
        <v>9507124040</v>
      </c>
      <c r="C37" s="1464" t="s">
        <v>10200</v>
      </c>
      <c r="D37" s="1468">
        <v>46150.708333333336</v>
      </c>
      <c r="E37" s="1468">
        <v>46150.817928240744</v>
      </c>
      <c r="F37" s="1464" t="s">
        <v>6003</v>
      </c>
      <c r="G37" s="1464" t="s">
        <v>10205</v>
      </c>
      <c r="H37" s="1468">
        <v>46205.479166666664</v>
      </c>
      <c r="I37" s="1468">
        <v>46205.285462962966</v>
      </c>
    </row>
    <row r="38" spans="1:9" ht="14">
      <c r="A38" s="1463" t="s">
        <v>4476</v>
      </c>
      <c r="B38" s="1463">
        <v>6500579050</v>
      </c>
      <c r="C38" s="1463" t="s">
        <v>123</v>
      </c>
      <c r="D38" s="1467">
        <v>46159.770833333336</v>
      </c>
      <c r="E38" s="1467">
        <v>46159.803553240738</v>
      </c>
      <c r="F38" s="1466"/>
      <c r="G38" s="1463" t="s">
        <v>10210</v>
      </c>
      <c r="H38" s="1467">
        <v>46200.458333333336</v>
      </c>
      <c r="I38" s="1467">
        <v>46200.509432870371</v>
      </c>
    </row>
    <row r="39" spans="1:9" ht="14">
      <c r="A39" s="1464" t="s">
        <v>4481</v>
      </c>
      <c r="B39" s="1464">
        <v>6500580760</v>
      </c>
      <c r="C39" s="1464" t="s">
        <v>123</v>
      </c>
      <c r="D39" s="1468">
        <v>46159.145833333336</v>
      </c>
      <c r="E39" s="1468">
        <v>46159.021979166668</v>
      </c>
      <c r="F39" s="1465"/>
      <c r="G39" s="1464" t="s">
        <v>10210</v>
      </c>
      <c r="H39" s="1468">
        <v>46202.916666666664</v>
      </c>
      <c r="I39" s="1468">
        <v>46202.913761574076</v>
      </c>
    </row>
    <row r="40" spans="1:9" ht="14">
      <c r="A40" s="1463" t="s">
        <v>4486</v>
      </c>
      <c r="B40" s="1463">
        <v>6452554090</v>
      </c>
      <c r="C40" s="1463" t="s">
        <v>123</v>
      </c>
      <c r="D40" s="1467">
        <v>46163.645833333336</v>
      </c>
      <c r="E40" s="1467">
        <v>46163.661041666666</v>
      </c>
      <c r="F40" s="1466"/>
      <c r="G40" s="1463" t="s">
        <v>10206</v>
      </c>
      <c r="H40" s="1467">
        <v>46203.625</v>
      </c>
      <c r="I40" s="1467">
        <v>46203.620509259257</v>
      </c>
    </row>
    <row r="41" spans="1:9" ht="14">
      <c r="A41" s="1464" t="s">
        <v>4493</v>
      </c>
      <c r="B41" s="1464">
        <v>6452556510</v>
      </c>
      <c r="C41" s="1464" t="s">
        <v>123</v>
      </c>
      <c r="D41" s="1468">
        <v>46173.645833333336</v>
      </c>
      <c r="E41" s="1468">
        <v>46173.669224537036</v>
      </c>
      <c r="F41" s="1465"/>
      <c r="G41" s="1464" t="s">
        <v>10206</v>
      </c>
      <c r="H41" s="1468">
        <v>46211.791666666664</v>
      </c>
      <c r="I41" s="1468">
        <v>46211.822372685187</v>
      </c>
    </row>
    <row r="42" spans="1:9" ht="14">
      <c r="A42" s="1463" t="s">
        <v>4500</v>
      </c>
      <c r="B42" s="1463">
        <v>6500776920</v>
      </c>
      <c r="C42" s="1463" t="s">
        <v>123</v>
      </c>
      <c r="D42" s="1467">
        <v>46163.645833333336</v>
      </c>
      <c r="E42" s="1467">
        <v>46163.661041666666</v>
      </c>
      <c r="F42" s="1466"/>
      <c r="G42" s="1463" t="s">
        <v>10206</v>
      </c>
      <c r="H42" s="1467">
        <v>46203.625</v>
      </c>
      <c r="I42" s="1467">
        <v>46203.620509259257</v>
      </c>
    </row>
    <row r="43" spans="1:9" ht="14">
      <c r="A43" s="1464" t="s">
        <v>4506</v>
      </c>
      <c r="B43" s="1464">
        <v>6452564640</v>
      </c>
      <c r="C43" s="1464" t="s">
        <v>123</v>
      </c>
      <c r="D43" s="1468">
        <v>46165.375</v>
      </c>
      <c r="E43" s="1468">
        <v>46165.372939814813</v>
      </c>
      <c r="F43" s="1465"/>
      <c r="G43" s="1464" t="s">
        <v>8661</v>
      </c>
      <c r="H43" s="1468">
        <v>46215.25</v>
      </c>
      <c r="I43" s="1468">
        <v>46215.279849537037</v>
      </c>
    </row>
    <row r="44" spans="1:9" ht="14">
      <c r="A44" s="1463" t="s">
        <v>4514</v>
      </c>
      <c r="B44" s="1463">
        <v>6452565360</v>
      </c>
      <c r="C44" s="1463" t="s">
        <v>123</v>
      </c>
      <c r="D44" s="1467">
        <v>46160.416666666664</v>
      </c>
      <c r="E44" s="1467">
        <v>46160.438981481479</v>
      </c>
      <c r="F44" s="1466"/>
      <c r="G44" s="1463" t="s">
        <v>8661</v>
      </c>
      <c r="H44" s="1467">
        <v>46207.25</v>
      </c>
      <c r="I44" s="1467">
        <v>46207.073067129626</v>
      </c>
    </row>
    <row r="45" spans="1:9" ht="14">
      <c r="A45" s="1464" t="s">
        <v>4521</v>
      </c>
      <c r="B45" s="1464">
        <v>6452560540</v>
      </c>
      <c r="C45" s="1464" t="s">
        <v>123</v>
      </c>
      <c r="D45" s="1468">
        <v>46165.375</v>
      </c>
      <c r="E45" s="1468">
        <v>46165.372939814813</v>
      </c>
      <c r="F45" s="1465"/>
      <c r="G45" s="1464" t="s">
        <v>10208</v>
      </c>
      <c r="H45" s="1468">
        <v>46217.75</v>
      </c>
      <c r="I45" s="1468">
        <v>46217.715624999997</v>
      </c>
    </row>
    <row r="46" spans="1:9" ht="14">
      <c r="A46" s="1463" t="s">
        <v>4525</v>
      </c>
      <c r="B46" s="1463">
        <v>6452561470</v>
      </c>
      <c r="C46" s="1463" t="s">
        <v>123</v>
      </c>
      <c r="D46" s="1467">
        <v>46165.375</v>
      </c>
      <c r="E46" s="1467">
        <v>46165.372939814813</v>
      </c>
      <c r="F46" s="1466"/>
      <c r="G46" s="1463" t="s">
        <v>10208</v>
      </c>
      <c r="H46" s="1467">
        <v>46217.75</v>
      </c>
      <c r="I46" s="1467">
        <v>46217.715624999997</v>
      </c>
    </row>
    <row r="47" spans="1:9" ht="14">
      <c r="A47" s="1464" t="s">
        <v>4534</v>
      </c>
      <c r="B47" s="1464">
        <v>6500305100</v>
      </c>
      <c r="C47" s="1464" t="s">
        <v>123</v>
      </c>
      <c r="D47" s="1468">
        <v>46162.25</v>
      </c>
      <c r="E47" s="1468">
        <v>46162.268611111111</v>
      </c>
      <c r="F47" s="1465"/>
      <c r="G47" s="1464" t="s">
        <v>10205</v>
      </c>
      <c r="H47" s="1468">
        <v>46205.479166666664</v>
      </c>
      <c r="I47" s="1468">
        <v>46205.285462962966</v>
      </c>
    </row>
    <row r="48" spans="1:9" ht="14">
      <c r="A48" s="1463" t="s">
        <v>4538</v>
      </c>
      <c r="B48" s="1463">
        <v>6500301740</v>
      </c>
      <c r="C48" s="1463" t="s">
        <v>123</v>
      </c>
      <c r="D48" s="1467">
        <v>46162.25</v>
      </c>
      <c r="E48" s="1467">
        <v>46162.268611111111</v>
      </c>
      <c r="F48" s="1466"/>
      <c r="G48" s="1463" t="s">
        <v>10205</v>
      </c>
      <c r="H48" s="1467">
        <v>46205.479166666664</v>
      </c>
      <c r="I48" s="1467">
        <v>46205.285462962966</v>
      </c>
    </row>
    <row r="49" spans="1:9" ht="14">
      <c r="A49" s="1464" t="s">
        <v>4545</v>
      </c>
      <c r="B49" s="1464">
        <v>6500419700</v>
      </c>
      <c r="C49" s="1464" t="s">
        <v>10200</v>
      </c>
      <c r="D49" s="1468">
        <v>46164.798611111109</v>
      </c>
      <c r="E49" s="1468">
        <v>46164.845092592594</v>
      </c>
      <c r="F49" s="1464" t="s">
        <v>123</v>
      </c>
      <c r="G49" s="1464" t="s">
        <v>10210</v>
      </c>
      <c r="H49" s="1468">
        <v>46215.833333333336</v>
      </c>
      <c r="I49" s="1468">
        <v>46215.791539351849</v>
      </c>
    </row>
    <row r="50" spans="1:9" ht="14">
      <c r="A50" s="1463" t="s">
        <v>4549</v>
      </c>
      <c r="B50" s="1463">
        <v>6500506790</v>
      </c>
      <c r="C50" s="1463" t="s">
        <v>10200</v>
      </c>
      <c r="D50" s="1467">
        <v>46164.798611111109</v>
      </c>
      <c r="E50" s="1467">
        <v>46164.845092592594</v>
      </c>
      <c r="F50" s="1466"/>
      <c r="G50" s="1463" t="s">
        <v>10206</v>
      </c>
      <c r="H50" s="1467">
        <v>46211.791666666664</v>
      </c>
      <c r="I50" s="1467">
        <v>46211.822372685187</v>
      </c>
    </row>
    <row r="51" spans="1:9" ht="14">
      <c r="A51" s="1464" t="s">
        <v>4558</v>
      </c>
      <c r="B51" s="1464">
        <v>9507226040</v>
      </c>
      <c r="C51" s="1464" t="s">
        <v>10200</v>
      </c>
      <c r="D51" s="1468">
        <v>46164.798611111109</v>
      </c>
      <c r="E51" s="1468">
        <v>46164.845092592594</v>
      </c>
      <c r="F51" s="1464" t="s">
        <v>123</v>
      </c>
      <c r="G51" s="1464" t="s">
        <v>10211</v>
      </c>
      <c r="H51" s="1468">
        <v>46225.916666666664</v>
      </c>
      <c r="I51" s="1468">
        <v>46225.981736111113</v>
      </c>
    </row>
    <row r="52" spans="1:9" ht="14">
      <c r="A52" s="1463" t="s">
        <v>4564</v>
      </c>
      <c r="B52" s="1463">
        <v>9507244150</v>
      </c>
      <c r="C52" s="1463" t="s">
        <v>10200</v>
      </c>
      <c r="D52" s="1467">
        <v>46164.798611111109</v>
      </c>
      <c r="E52" s="1467">
        <v>46164.845092592594</v>
      </c>
      <c r="F52" s="1463" t="s">
        <v>10202</v>
      </c>
      <c r="G52" s="1463" t="s">
        <v>8661</v>
      </c>
      <c r="H52" s="1467">
        <v>46236.25</v>
      </c>
      <c r="I52" s="1467">
        <v>46236.239571759259</v>
      </c>
    </row>
    <row r="53" spans="1:9" ht="14">
      <c r="A53" s="1464" t="s">
        <v>4573</v>
      </c>
      <c r="B53" s="1464">
        <v>9507244520</v>
      </c>
      <c r="C53" s="1464" t="s">
        <v>10200</v>
      </c>
      <c r="D53" s="1468">
        <v>46164.798611111109</v>
      </c>
      <c r="E53" s="1468">
        <v>46164.845092592594</v>
      </c>
      <c r="F53" s="1464" t="s">
        <v>10202</v>
      </c>
      <c r="G53" s="1464" t="s">
        <v>10205</v>
      </c>
      <c r="H53" s="1468">
        <v>46221.125</v>
      </c>
      <c r="I53" s="1468">
        <v>46221.124722222223</v>
      </c>
    </row>
    <row r="54" spans="1:9" ht="14">
      <c r="A54" s="1463" t="s">
        <v>4577</v>
      </c>
      <c r="B54" s="1463">
        <v>6500591410</v>
      </c>
      <c r="C54" s="1463" t="s">
        <v>10200</v>
      </c>
      <c r="D54" s="1467">
        <v>46164.798611111109</v>
      </c>
      <c r="E54" s="1467">
        <v>46164.845092592594</v>
      </c>
      <c r="F54" s="1463" t="s">
        <v>123</v>
      </c>
      <c r="G54" s="1463" t="s">
        <v>10205</v>
      </c>
      <c r="H54" s="1467">
        <v>46219.833333333336</v>
      </c>
      <c r="I54" s="1467">
        <v>46219.648356481484</v>
      </c>
    </row>
    <row r="55" spans="1:9" ht="14">
      <c r="A55" s="1464" t="s">
        <v>4592</v>
      </c>
      <c r="B55" s="1464">
        <v>6500936270</v>
      </c>
      <c r="C55" s="1464" t="s">
        <v>123</v>
      </c>
      <c r="D55" s="1468">
        <v>46167.958333333336</v>
      </c>
      <c r="E55" s="1468">
        <v>46168.254942129628</v>
      </c>
      <c r="F55" s="1465"/>
      <c r="G55" s="1464" t="s">
        <v>10210</v>
      </c>
      <c r="H55" s="1468">
        <v>46208.708333333336</v>
      </c>
      <c r="I55" s="1468">
        <v>46208.656018518515</v>
      </c>
    </row>
    <row r="56" spans="1:9" ht="14">
      <c r="A56" s="1463" t="s">
        <v>4596</v>
      </c>
      <c r="B56" s="1463">
        <v>6500933440</v>
      </c>
      <c r="C56" s="1463" t="s">
        <v>123</v>
      </c>
      <c r="D56" s="1467">
        <v>46173.645833333336</v>
      </c>
      <c r="E56" s="1467">
        <v>46173.669224537036</v>
      </c>
      <c r="F56" s="1466"/>
      <c r="G56" s="1463" t="s">
        <v>10206</v>
      </c>
      <c r="H56" s="1467">
        <v>46211.791666666664</v>
      </c>
      <c r="I56" s="1467">
        <v>46211.822372685187</v>
      </c>
    </row>
    <row r="57" spans="1:9" ht="14">
      <c r="A57" s="1464" t="s">
        <v>4604</v>
      </c>
      <c r="B57" s="1464">
        <v>6500933990</v>
      </c>
      <c r="C57" s="1464" t="s">
        <v>123</v>
      </c>
      <c r="D57" s="1468">
        <v>46173.645833333336</v>
      </c>
      <c r="E57" s="1468">
        <v>46173.669224537036</v>
      </c>
      <c r="F57" s="1465"/>
      <c r="G57" s="1464" t="s">
        <v>10206</v>
      </c>
      <c r="H57" s="1468">
        <v>46211.791666666664</v>
      </c>
      <c r="I57" s="1468">
        <v>46211.822372685187</v>
      </c>
    </row>
    <row r="58" spans="1:9" ht="14">
      <c r="A58" s="1463" t="s">
        <v>4613</v>
      </c>
      <c r="B58" s="1463">
        <v>6500935690</v>
      </c>
      <c r="C58" s="1463" t="s">
        <v>123</v>
      </c>
      <c r="D58" s="1467">
        <v>46174.666666666664</v>
      </c>
      <c r="E58" s="1467">
        <v>46174.715324074074</v>
      </c>
      <c r="F58" s="1463" t="s">
        <v>10212</v>
      </c>
      <c r="G58" s="1463" t="s">
        <v>10206</v>
      </c>
      <c r="H58" s="1467">
        <v>46227.458333333336</v>
      </c>
      <c r="I58" s="1467">
        <v>46227.434178240743</v>
      </c>
    </row>
    <row r="59" spans="1:9" ht="14">
      <c r="A59" s="1464" t="s">
        <v>4620</v>
      </c>
      <c r="B59" s="1464">
        <v>6500934940</v>
      </c>
      <c r="C59" s="1464" t="s">
        <v>123</v>
      </c>
      <c r="D59" s="1468">
        <v>46190.708333333336</v>
      </c>
      <c r="E59" s="1468">
        <v>46190.726354166669</v>
      </c>
      <c r="F59" s="1465"/>
      <c r="G59" s="1464" t="s">
        <v>10206</v>
      </c>
      <c r="H59" s="1468">
        <v>46234.6875</v>
      </c>
      <c r="I59" s="1468">
        <v>46234.795706018522</v>
      </c>
    </row>
    <row r="60" spans="1:9" ht="14">
      <c r="A60" s="1463" t="s">
        <v>4624</v>
      </c>
      <c r="B60" s="1463">
        <v>6501272360</v>
      </c>
      <c r="C60" s="1463" t="s">
        <v>123</v>
      </c>
      <c r="D60" s="1467">
        <v>46190.708333333336</v>
      </c>
      <c r="E60" s="1467">
        <v>46190.726354166669</v>
      </c>
      <c r="F60" s="1466"/>
      <c r="G60" s="1463" t="s">
        <v>10206</v>
      </c>
      <c r="H60" s="1467">
        <v>46234.6875</v>
      </c>
      <c r="I60" s="1467">
        <v>46234.795706018522</v>
      </c>
    </row>
    <row r="61" spans="1:9" ht="14">
      <c r="A61" s="1464" t="s">
        <v>4633</v>
      </c>
      <c r="B61" s="1464">
        <v>6501271780</v>
      </c>
      <c r="C61" s="1464" t="s">
        <v>123</v>
      </c>
      <c r="D61" s="1468">
        <v>46190.708333333336</v>
      </c>
      <c r="E61" s="1468">
        <v>46190.726354166669</v>
      </c>
      <c r="F61" s="1465"/>
      <c r="G61" s="1464" t="s">
        <v>10206</v>
      </c>
      <c r="H61" s="1468">
        <v>46234.6875</v>
      </c>
      <c r="I61" s="1468">
        <v>46234.795706018522</v>
      </c>
    </row>
    <row r="62" spans="1:9" ht="14">
      <c r="A62" s="1463" t="s">
        <v>4639</v>
      </c>
      <c r="B62" s="1463">
        <v>6500939350</v>
      </c>
      <c r="C62" s="1463" t="s">
        <v>123</v>
      </c>
      <c r="D62" s="1467">
        <v>46172.479166666664</v>
      </c>
      <c r="E62" s="1467">
        <v>46172.499710648146</v>
      </c>
      <c r="F62" s="1466"/>
      <c r="G62" s="1463" t="s">
        <v>10208</v>
      </c>
      <c r="H62" s="1467">
        <v>46225.5</v>
      </c>
      <c r="I62" s="1467">
        <v>46225.689560185187</v>
      </c>
    </row>
    <row r="63" spans="1:9" ht="14">
      <c r="A63" s="1464" t="s">
        <v>4645</v>
      </c>
      <c r="B63" s="1464">
        <v>6500939570</v>
      </c>
      <c r="C63" s="1464" t="s">
        <v>123</v>
      </c>
      <c r="D63" s="1468">
        <v>46172.479166666664</v>
      </c>
      <c r="E63" s="1468">
        <v>46172.499710648146</v>
      </c>
      <c r="F63" s="1464" t="s">
        <v>10203</v>
      </c>
      <c r="G63" s="1464" t="s">
        <v>10204</v>
      </c>
      <c r="H63" s="1468">
        <v>46227.291666666664</v>
      </c>
      <c r="I63" s="1468">
        <v>46227.704837962963</v>
      </c>
    </row>
    <row r="64" spans="1:9" ht="14">
      <c r="A64" s="1463" t="s">
        <v>4655</v>
      </c>
      <c r="B64" s="1463">
        <v>6500952590</v>
      </c>
      <c r="C64" s="1463" t="s">
        <v>123</v>
      </c>
      <c r="D64" s="1467">
        <v>46168.354166666664</v>
      </c>
      <c r="E64" s="1467">
        <v>46168.380972222221</v>
      </c>
      <c r="F64" s="1466"/>
      <c r="G64" s="1463" t="s">
        <v>10205</v>
      </c>
      <c r="H64" s="1467">
        <v>46204.583333333336</v>
      </c>
      <c r="I64" s="1467">
        <v>46204.374976851854</v>
      </c>
    </row>
    <row r="65" spans="1:9" ht="14">
      <c r="A65" s="1464" t="s">
        <v>4669</v>
      </c>
      <c r="B65" s="1464">
        <v>6500853600</v>
      </c>
      <c r="C65" s="1464" t="s">
        <v>10200</v>
      </c>
      <c r="D65" s="1468">
        <v>46164.798611111109</v>
      </c>
      <c r="E65" s="1468">
        <v>46164.845092592594</v>
      </c>
      <c r="F65" s="1464" t="s">
        <v>123</v>
      </c>
      <c r="G65" s="1464" t="s">
        <v>10211</v>
      </c>
      <c r="H65" s="1468">
        <v>46225.916666666664</v>
      </c>
      <c r="I65" s="1468">
        <v>46225.981736111113</v>
      </c>
    </row>
    <row r="66" spans="1:9" ht="14">
      <c r="A66" s="1463" t="s">
        <v>4673</v>
      </c>
      <c r="B66" s="1463">
        <v>6500844150</v>
      </c>
      <c r="C66" s="1463" t="s">
        <v>10200</v>
      </c>
      <c r="D66" s="1467">
        <v>46164.798611111109</v>
      </c>
      <c r="E66" s="1467">
        <v>46164.845092592594</v>
      </c>
      <c r="F66" s="1463" t="s">
        <v>10202</v>
      </c>
      <c r="G66" s="1463" t="s">
        <v>10206</v>
      </c>
      <c r="H66" s="1467">
        <v>46218.916666666664</v>
      </c>
      <c r="I66" s="1467">
        <v>46218.926388888889</v>
      </c>
    </row>
    <row r="67" spans="1:9" ht="14">
      <c r="A67" s="1464" t="s">
        <v>4681</v>
      </c>
      <c r="B67" s="1464">
        <v>6501834110</v>
      </c>
      <c r="C67" s="1464" t="s">
        <v>10200</v>
      </c>
      <c r="D67" s="1468">
        <v>46172.645833333336</v>
      </c>
      <c r="E67" s="1468">
        <v>46172.671979166669</v>
      </c>
      <c r="F67" s="1465"/>
      <c r="G67" s="1464" t="s">
        <v>10206</v>
      </c>
      <c r="H67" s="1468">
        <v>46218.916666666664</v>
      </c>
      <c r="I67" s="1468">
        <v>46218.926388888889</v>
      </c>
    </row>
    <row r="68" spans="1:9" ht="14">
      <c r="A68" s="1463" t="s">
        <v>4692</v>
      </c>
      <c r="B68" s="1463">
        <v>9507394940</v>
      </c>
      <c r="C68" s="1463" t="s">
        <v>10200</v>
      </c>
      <c r="D68" s="1467">
        <v>46172.645833333336</v>
      </c>
      <c r="E68" s="1467">
        <v>46172.671979166669</v>
      </c>
      <c r="F68" s="1463" t="s">
        <v>10202</v>
      </c>
      <c r="G68" s="1463" t="s">
        <v>10208</v>
      </c>
      <c r="H68" s="1467">
        <v>46239.5</v>
      </c>
      <c r="I68" s="1467">
        <v>46239.457638888889</v>
      </c>
    </row>
    <row r="69" spans="1:9" ht="14">
      <c r="A69" s="1464" t="s">
        <v>4697</v>
      </c>
      <c r="B69" s="1464">
        <v>9507394750</v>
      </c>
      <c r="C69" s="1464" t="s">
        <v>10200</v>
      </c>
      <c r="D69" s="1468">
        <v>46172.645833333336</v>
      </c>
      <c r="E69" s="1468">
        <v>46172.671979166669</v>
      </c>
      <c r="F69" s="1464" t="s">
        <v>10202</v>
      </c>
      <c r="G69" s="1464" t="s">
        <v>8661</v>
      </c>
      <c r="H69" s="1468">
        <v>46235.125</v>
      </c>
      <c r="I69" s="1468">
        <v>46235.175381944442</v>
      </c>
    </row>
    <row r="70" spans="1:9" ht="14">
      <c r="A70" s="1463" t="s">
        <v>4701</v>
      </c>
      <c r="B70" s="1463">
        <v>6501671340</v>
      </c>
      <c r="C70" s="1463" t="s">
        <v>10200</v>
      </c>
      <c r="D70" s="1467">
        <v>46172.645833333336</v>
      </c>
      <c r="E70" s="1467">
        <v>46172.671979166669</v>
      </c>
      <c r="F70" s="1463" t="s">
        <v>123</v>
      </c>
      <c r="G70" s="1463" t="s">
        <v>10210</v>
      </c>
      <c r="H70" s="1467">
        <v>46224.708333333336</v>
      </c>
      <c r="I70" s="1467">
        <v>46224.717939814815</v>
      </c>
    </row>
    <row r="71" spans="1:9" ht="14">
      <c r="A71" s="1464" t="s">
        <v>4707</v>
      </c>
      <c r="B71" s="1464">
        <v>9507395030</v>
      </c>
      <c r="C71" s="1464" t="s">
        <v>10200</v>
      </c>
      <c r="D71" s="1468">
        <v>46172.645833333336</v>
      </c>
      <c r="E71" s="1468">
        <v>46172.671979166669</v>
      </c>
      <c r="F71" s="1464" t="s">
        <v>123</v>
      </c>
      <c r="G71" s="1464" t="s">
        <v>10205</v>
      </c>
      <c r="H71" s="1468">
        <v>46229.333333333336</v>
      </c>
      <c r="I71" s="1468">
        <v>46229.295902777776</v>
      </c>
    </row>
    <row r="72" spans="1:9" ht="14">
      <c r="A72" s="1463" t="s">
        <v>4712</v>
      </c>
      <c r="B72" s="1463">
        <v>6501611330</v>
      </c>
      <c r="C72" s="1463" t="s">
        <v>123</v>
      </c>
      <c r="D72" s="1467">
        <v>46179.479166666664</v>
      </c>
      <c r="E72" s="1467">
        <v>46179.552465277775</v>
      </c>
      <c r="F72" s="1466"/>
      <c r="G72" s="1463" t="s">
        <v>10206</v>
      </c>
      <c r="H72" s="1467">
        <v>46218.916666666664</v>
      </c>
      <c r="I72" s="1467">
        <v>46218.926388888889</v>
      </c>
    </row>
    <row r="73" spans="1:9" ht="14">
      <c r="A73" s="1464" t="s">
        <v>4718</v>
      </c>
      <c r="B73" s="1464">
        <v>6501612640</v>
      </c>
      <c r="C73" s="1464" t="s">
        <v>123</v>
      </c>
      <c r="D73" s="1468">
        <v>46179.479166666664</v>
      </c>
      <c r="E73" s="1468">
        <v>46179.552465277775</v>
      </c>
      <c r="F73" s="1465"/>
      <c r="G73" s="1464" t="s">
        <v>10206</v>
      </c>
      <c r="H73" s="1468">
        <v>46218.916666666664</v>
      </c>
      <c r="I73" s="1468">
        <v>46218.926388888889</v>
      </c>
    </row>
    <row r="74" spans="1:9" ht="14">
      <c r="A74" s="1463" t="s">
        <v>4724</v>
      </c>
      <c r="B74" s="1463">
        <v>6501606860</v>
      </c>
      <c r="C74" s="1463" t="s">
        <v>123</v>
      </c>
      <c r="D74" s="1467">
        <v>46175.958333333336</v>
      </c>
      <c r="E74" s="1467">
        <v>46175.833240740743</v>
      </c>
      <c r="F74" s="1466"/>
      <c r="G74" s="1463" t="s">
        <v>10206</v>
      </c>
      <c r="H74" s="1467">
        <v>46222.208333333336</v>
      </c>
      <c r="I74" s="1467">
        <v>46222.270439814813</v>
      </c>
    </row>
    <row r="75" spans="1:9" ht="14">
      <c r="A75" s="1464" t="s">
        <v>4729</v>
      </c>
      <c r="B75" s="1464">
        <v>6501614610</v>
      </c>
      <c r="C75" s="1464" t="s">
        <v>123</v>
      </c>
      <c r="D75" s="1468">
        <v>46182.125</v>
      </c>
      <c r="E75" s="1468">
        <v>46182.145671296297</v>
      </c>
      <c r="F75" s="1465"/>
      <c r="G75" s="1464" t="s">
        <v>10206</v>
      </c>
      <c r="H75" s="1468">
        <v>46228.541666666664</v>
      </c>
      <c r="I75" s="1468">
        <v>46228.541307870371</v>
      </c>
    </row>
    <row r="76" spans="1:9" ht="14">
      <c r="A76" s="1463" t="s">
        <v>4736</v>
      </c>
      <c r="B76" s="1463">
        <v>6501935710</v>
      </c>
      <c r="C76" s="1463" t="s">
        <v>123</v>
      </c>
      <c r="D76" s="1467">
        <v>46183.291666666664</v>
      </c>
      <c r="E76" s="1467">
        <v>46183.326574074075</v>
      </c>
      <c r="F76" s="1466"/>
      <c r="G76" s="1463" t="s">
        <v>8661</v>
      </c>
      <c r="H76" s="1467">
        <v>46236.25</v>
      </c>
      <c r="I76" s="1467">
        <v>46236.239571759259</v>
      </c>
    </row>
    <row r="77" spans="1:9" ht="14">
      <c r="A77" s="1464" t="s">
        <v>4741</v>
      </c>
      <c r="B77" s="1464">
        <v>6501936780</v>
      </c>
      <c r="C77" s="1464" t="s">
        <v>123</v>
      </c>
      <c r="D77" s="1468">
        <v>46183.291666666664</v>
      </c>
      <c r="E77" s="1468">
        <v>46183.326574074075</v>
      </c>
      <c r="F77" s="1465"/>
      <c r="G77" s="1464" t="s">
        <v>10208</v>
      </c>
      <c r="H77" s="1468">
        <v>46232.75</v>
      </c>
      <c r="I77" s="1468">
        <v>46232.83326388889</v>
      </c>
    </row>
    <row r="78" spans="1:9" ht="14">
      <c r="A78" s="1463" t="s">
        <v>4749</v>
      </c>
      <c r="B78" s="1463">
        <v>6502257250</v>
      </c>
      <c r="C78" s="1463" t="s">
        <v>123</v>
      </c>
      <c r="D78" s="1467">
        <v>46178.520833333336</v>
      </c>
      <c r="E78" s="1467">
        <v>46178.523506944446</v>
      </c>
      <c r="F78" s="1466"/>
      <c r="G78" s="1463" t="s">
        <v>10205</v>
      </c>
      <c r="H78" s="1467">
        <v>46219.833333333336</v>
      </c>
      <c r="I78" s="1467">
        <v>46219.648356481484</v>
      </c>
    </row>
    <row r="79" spans="1:9" ht="14">
      <c r="A79" s="1464" t="s">
        <v>4753</v>
      </c>
      <c r="B79" s="1464">
        <v>6501615690</v>
      </c>
      <c r="C79" s="1464" t="s">
        <v>123</v>
      </c>
      <c r="D79" s="1468">
        <v>46178.520833333336</v>
      </c>
      <c r="E79" s="1468">
        <v>46178.523506944446</v>
      </c>
      <c r="F79" s="1465"/>
      <c r="G79" s="1464" t="s">
        <v>10205</v>
      </c>
      <c r="H79" s="1468">
        <v>46219.833333333336</v>
      </c>
      <c r="I79" s="1468">
        <v>46219.648356481484</v>
      </c>
    </row>
    <row r="80" spans="1:9" ht="14">
      <c r="A80" s="1463" t="s">
        <v>4763</v>
      </c>
      <c r="B80" s="1463">
        <v>9507498230</v>
      </c>
      <c r="C80" s="1463" t="s">
        <v>10200</v>
      </c>
      <c r="D80" s="1467">
        <v>46178.8125</v>
      </c>
      <c r="E80" s="1467">
        <v>46178.691296296296</v>
      </c>
      <c r="F80" s="1466"/>
      <c r="G80" s="1463" t="s">
        <v>10206</v>
      </c>
      <c r="H80" s="1467">
        <v>46223.416666666664</v>
      </c>
      <c r="I80" s="1467">
        <v>46223.416238425925</v>
      </c>
    </row>
    <row r="81" spans="1:9" ht="14">
      <c r="A81" s="1464" t="s">
        <v>4769</v>
      </c>
      <c r="B81" s="1464">
        <v>9507497710</v>
      </c>
      <c r="C81" s="1464" t="s">
        <v>10200</v>
      </c>
      <c r="D81" s="1468">
        <v>46178.8125</v>
      </c>
      <c r="E81" s="1468">
        <v>46178.691296296296</v>
      </c>
      <c r="F81" s="1464" t="s">
        <v>123</v>
      </c>
      <c r="G81" s="1464" t="s">
        <v>10205</v>
      </c>
      <c r="H81" s="1468">
        <v>46233.5</v>
      </c>
      <c r="I81" s="1468">
        <v>46233.593275462961</v>
      </c>
    </row>
    <row r="82" spans="1:9" ht="14">
      <c r="A82" s="1463" t="s">
        <v>4773</v>
      </c>
      <c r="B82" s="1463">
        <v>9507509280</v>
      </c>
      <c r="C82" s="1463" t="s">
        <v>10200</v>
      </c>
      <c r="D82" s="1467">
        <v>46178.8125</v>
      </c>
      <c r="E82" s="1467">
        <v>46178.691296296296</v>
      </c>
      <c r="F82" s="1463" t="s">
        <v>10213</v>
      </c>
      <c r="G82" s="1463" t="s">
        <v>10205</v>
      </c>
      <c r="H82" s="1467">
        <v>46262.583333333336</v>
      </c>
      <c r="I82" s="1467">
        <v>46262.516215277778</v>
      </c>
    </row>
    <row r="83" spans="1:9" ht="14">
      <c r="A83" s="1464" t="s">
        <v>4778</v>
      </c>
      <c r="B83" s="1464">
        <v>6502492780</v>
      </c>
      <c r="C83" s="1464" t="s">
        <v>10200</v>
      </c>
      <c r="D83" s="1468">
        <v>46178.8125</v>
      </c>
      <c r="E83" s="1468">
        <v>46178.691296296296</v>
      </c>
      <c r="F83" s="1464" t="s">
        <v>10202</v>
      </c>
      <c r="G83" s="1464" t="s">
        <v>10205</v>
      </c>
      <c r="H83" s="1468">
        <v>46236.333333333336</v>
      </c>
      <c r="I83" s="1468">
        <v>46236.419953703706</v>
      </c>
    </row>
    <row r="84" spans="1:9" ht="14">
      <c r="A84" s="1463" t="s">
        <v>4799</v>
      </c>
      <c r="B84" s="1463">
        <v>6502493430</v>
      </c>
      <c r="C84" s="1463" t="s">
        <v>123</v>
      </c>
      <c r="D84" s="1467">
        <v>46183.958333333336</v>
      </c>
      <c r="E84" s="1467">
        <v>46183.985844907409</v>
      </c>
      <c r="F84" s="1466"/>
      <c r="G84" s="1463" t="s">
        <v>10210</v>
      </c>
      <c r="H84" s="1467">
        <v>46224.708333333336</v>
      </c>
      <c r="I84" s="1467">
        <v>46224.717939814815</v>
      </c>
    </row>
    <row r="85" spans="1:9" ht="14">
      <c r="A85" s="1464" t="s">
        <v>4803</v>
      </c>
      <c r="B85" s="1464">
        <v>6503351170</v>
      </c>
      <c r="C85" s="1464" t="s">
        <v>123</v>
      </c>
      <c r="D85" s="1468">
        <v>46186.416666666664</v>
      </c>
      <c r="E85" s="1468">
        <v>46186.43677083333</v>
      </c>
      <c r="F85" s="1465"/>
      <c r="G85" s="1464" t="s">
        <v>10206</v>
      </c>
      <c r="H85" s="1468">
        <v>46223.416666666664</v>
      </c>
      <c r="I85" s="1468">
        <v>46223.416238425925</v>
      </c>
    </row>
    <row r="86" spans="1:9" ht="14">
      <c r="A86" s="1463" t="s">
        <v>4818</v>
      </c>
      <c r="B86" s="1463">
        <v>6502941500</v>
      </c>
      <c r="C86" s="1463" t="s">
        <v>123</v>
      </c>
      <c r="D86" s="1467">
        <v>46189.1875</v>
      </c>
      <c r="E86" s="1467">
        <v>46189.219097222223</v>
      </c>
      <c r="F86" s="1466"/>
      <c r="G86" s="1463" t="s">
        <v>8661</v>
      </c>
      <c r="H86" s="1467">
        <v>46245.833333333336</v>
      </c>
      <c r="I86" s="1467">
        <v>46245.821898148148</v>
      </c>
    </row>
    <row r="87" spans="1:9" ht="14">
      <c r="A87" s="1464" t="s">
        <v>4823</v>
      </c>
      <c r="B87" s="1464">
        <v>6503034790</v>
      </c>
      <c r="C87" s="1464" t="s">
        <v>123</v>
      </c>
      <c r="D87" s="1468">
        <v>46192.3125</v>
      </c>
      <c r="E87" s="1468">
        <v>46192.344004629631</v>
      </c>
      <c r="F87" s="1465"/>
      <c r="G87" s="1464" t="s">
        <v>8661</v>
      </c>
      <c r="H87" s="1468">
        <v>46235.125</v>
      </c>
      <c r="I87" s="1468">
        <v>46235.175381944442</v>
      </c>
    </row>
    <row r="88" spans="1:9" ht="14">
      <c r="A88" s="1463" t="s">
        <v>4827</v>
      </c>
      <c r="B88" s="1463">
        <v>6502940030</v>
      </c>
      <c r="C88" s="1463" t="s">
        <v>123</v>
      </c>
      <c r="D88" s="1467">
        <v>46189.1875</v>
      </c>
      <c r="E88" s="1467">
        <v>46189.219097222223</v>
      </c>
      <c r="F88" s="1466"/>
      <c r="G88" s="1463" t="s">
        <v>10208</v>
      </c>
      <c r="H88" s="1467">
        <v>46239.5</v>
      </c>
      <c r="I88" s="1467">
        <v>46239.457638888889</v>
      </c>
    </row>
    <row r="89" spans="1:9" ht="14">
      <c r="A89" s="1464" t="s">
        <v>4835</v>
      </c>
      <c r="B89" s="1464">
        <v>6502586240</v>
      </c>
      <c r="C89" s="1464" t="s">
        <v>123</v>
      </c>
      <c r="D89" s="1468">
        <v>46186.5625</v>
      </c>
      <c r="E89" s="1468">
        <v>46186.583067129628</v>
      </c>
      <c r="F89" s="1464" t="s">
        <v>10203</v>
      </c>
      <c r="G89" s="1464" t="s">
        <v>10204</v>
      </c>
      <c r="H89" s="1468">
        <v>46254.75</v>
      </c>
      <c r="I89" s="1468">
        <v>46254.30159722222</v>
      </c>
    </row>
    <row r="90" spans="1:9" ht="14">
      <c r="A90" s="1463" t="s">
        <v>4841</v>
      </c>
      <c r="B90" s="1463">
        <v>6502958530</v>
      </c>
      <c r="C90" s="1463" t="s">
        <v>123</v>
      </c>
      <c r="D90" s="1467">
        <v>46189.1875</v>
      </c>
      <c r="E90" s="1467">
        <v>46189.219097222223</v>
      </c>
      <c r="F90" s="1466"/>
      <c r="G90" s="1463" t="s">
        <v>10205</v>
      </c>
      <c r="H90" s="1467">
        <v>46250.583333333336</v>
      </c>
      <c r="I90" s="1467">
        <v>46250.44736111111</v>
      </c>
    </row>
    <row r="91" spans="1:9" ht="14">
      <c r="A91" s="1464" t="s">
        <v>4846</v>
      </c>
      <c r="B91" s="1464">
        <v>6502959080</v>
      </c>
      <c r="C91" s="1464" t="s">
        <v>123</v>
      </c>
      <c r="D91" s="1468">
        <v>46189.1875</v>
      </c>
      <c r="E91" s="1468">
        <v>46189.219097222223</v>
      </c>
      <c r="F91" s="1465"/>
      <c r="G91" s="1464" t="s">
        <v>10205</v>
      </c>
      <c r="H91" s="1468">
        <v>46250.583333333336</v>
      </c>
      <c r="I91" s="1468">
        <v>46250.44736111111</v>
      </c>
    </row>
    <row r="92" spans="1:9" ht="14">
      <c r="A92" s="1463" t="s">
        <v>4850</v>
      </c>
      <c r="B92" s="1463">
        <v>6502940840</v>
      </c>
      <c r="C92" s="1463" t="s">
        <v>123</v>
      </c>
      <c r="D92" s="1467">
        <v>46189.1875</v>
      </c>
      <c r="E92" s="1467">
        <v>46189.219097222223</v>
      </c>
      <c r="F92" s="1466"/>
      <c r="G92" s="1463" t="s">
        <v>10205</v>
      </c>
      <c r="H92" s="1467">
        <v>46250.583333333336</v>
      </c>
      <c r="I92" s="1467">
        <v>46250.44736111111</v>
      </c>
    </row>
    <row r="93" spans="1:9" ht="14">
      <c r="A93" s="1464" t="s">
        <v>4856</v>
      </c>
      <c r="B93" s="1464">
        <v>6502627700</v>
      </c>
      <c r="C93" s="1464" t="s">
        <v>123</v>
      </c>
      <c r="D93" s="1468">
        <v>46185.176388888889</v>
      </c>
      <c r="E93" s="1468">
        <v>46185.17696759259</v>
      </c>
      <c r="F93" s="1465"/>
      <c r="G93" s="1464" t="s">
        <v>10205</v>
      </c>
      <c r="H93" s="1468">
        <v>46221.125</v>
      </c>
      <c r="I93" s="1468">
        <v>46221.124722222223</v>
      </c>
    </row>
    <row r="94" spans="1:9" ht="14">
      <c r="A94" s="1463" t="s">
        <v>4895</v>
      </c>
      <c r="B94" s="1463">
        <v>9507638470</v>
      </c>
      <c r="C94" s="1463" t="s">
        <v>10200</v>
      </c>
      <c r="D94" s="1467">
        <v>46187.1875</v>
      </c>
      <c r="E94" s="1467">
        <v>46187.209155092591</v>
      </c>
      <c r="F94" s="1463" t="s">
        <v>123</v>
      </c>
      <c r="G94" s="1463" t="s">
        <v>10206</v>
      </c>
      <c r="H94" s="1467">
        <v>46242.041666666664</v>
      </c>
      <c r="I94" s="1467">
        <v>46241.871620370373</v>
      </c>
    </row>
    <row r="95" spans="1:9" ht="14">
      <c r="A95" s="1464" t="s">
        <v>4901</v>
      </c>
      <c r="B95" s="1464">
        <v>9507649120</v>
      </c>
      <c r="C95" s="1464" t="s">
        <v>10200</v>
      </c>
      <c r="D95" s="1468">
        <v>46187.1875</v>
      </c>
      <c r="E95" s="1468">
        <v>46187.209155092591</v>
      </c>
      <c r="F95" s="1465"/>
      <c r="G95" s="1464" t="s">
        <v>10206</v>
      </c>
      <c r="H95" s="1468">
        <v>46233.8125</v>
      </c>
      <c r="I95" s="1468">
        <v>46233.853298611109</v>
      </c>
    </row>
    <row r="96" spans="1:9" ht="14">
      <c r="A96" s="1463" t="s">
        <v>4914</v>
      </c>
      <c r="B96" s="1463">
        <v>9507636070</v>
      </c>
      <c r="C96" s="1463" t="s">
        <v>10200</v>
      </c>
      <c r="D96" s="1467">
        <v>46187.1875</v>
      </c>
      <c r="E96" s="1467">
        <v>46187.209155092591</v>
      </c>
      <c r="F96" s="1463" t="s">
        <v>10202</v>
      </c>
      <c r="G96" s="1463" t="s">
        <v>8661</v>
      </c>
      <c r="H96" s="1467">
        <v>46259.25</v>
      </c>
      <c r="I96" s="1467">
        <v>46259.238761574074</v>
      </c>
    </row>
    <row r="97" spans="1:9" ht="14">
      <c r="A97" s="1464" t="s">
        <v>4918</v>
      </c>
      <c r="B97" s="1464">
        <v>9507639060</v>
      </c>
      <c r="C97" s="1464" t="s">
        <v>10200</v>
      </c>
      <c r="D97" s="1468">
        <v>46187.1875</v>
      </c>
      <c r="E97" s="1468">
        <v>46187.209155092591</v>
      </c>
      <c r="F97" s="1464" t="s">
        <v>10202</v>
      </c>
      <c r="G97" s="1464" t="s">
        <v>8661</v>
      </c>
      <c r="H97" s="1468">
        <v>46253.541666666664</v>
      </c>
      <c r="I97" s="1468">
        <v>46253.474305555559</v>
      </c>
    </row>
    <row r="98" spans="1:9" ht="14">
      <c r="A98" s="1463" t="s">
        <v>4924</v>
      </c>
      <c r="B98" s="1463">
        <v>9507639000</v>
      </c>
      <c r="C98" s="1463" t="s">
        <v>10200</v>
      </c>
      <c r="D98" s="1467">
        <v>46187.1875</v>
      </c>
      <c r="E98" s="1467">
        <v>46187.209155092591</v>
      </c>
      <c r="F98" s="1463" t="s">
        <v>10202</v>
      </c>
      <c r="G98" s="1463" t="s">
        <v>10205</v>
      </c>
      <c r="H98" s="1467">
        <v>46247.083333333336</v>
      </c>
      <c r="I98" s="1467">
        <v>46247.058229166665</v>
      </c>
    </row>
    <row r="99" spans="1:9" ht="14">
      <c r="A99" s="1464" t="s">
        <v>4928</v>
      </c>
      <c r="B99" s="1464">
        <v>9507638950</v>
      </c>
      <c r="C99" s="1464" t="s">
        <v>10200</v>
      </c>
      <c r="D99" s="1468">
        <v>46187.1875</v>
      </c>
      <c r="E99" s="1468">
        <v>46187.209155092591</v>
      </c>
      <c r="F99" s="1464" t="s">
        <v>123</v>
      </c>
      <c r="G99" s="1464" t="s">
        <v>10205</v>
      </c>
      <c r="H99" s="1468">
        <v>46247.375</v>
      </c>
      <c r="I99" s="1468">
        <v>46247.275509259256</v>
      </c>
    </row>
    <row r="100" spans="1:9" ht="14">
      <c r="A100" s="1463" t="s">
        <v>4934</v>
      </c>
      <c r="B100" s="1463">
        <v>6503989170</v>
      </c>
      <c r="C100" s="1463" t="s">
        <v>123</v>
      </c>
      <c r="D100" s="1467">
        <v>46190.833333333336</v>
      </c>
      <c r="E100" s="1467">
        <v>46190.856678240743</v>
      </c>
      <c r="F100" s="1466"/>
      <c r="G100" s="1463" t="s">
        <v>10210</v>
      </c>
      <c r="H100" s="1467">
        <v>46232.5</v>
      </c>
      <c r="I100" s="1467">
        <v>46232.433854166666</v>
      </c>
    </row>
    <row r="101" spans="1:9" ht="14">
      <c r="A101" s="1464" t="s">
        <v>4938</v>
      </c>
      <c r="B101" s="1464">
        <v>6503863610</v>
      </c>
      <c r="C101" s="1464" t="s">
        <v>123</v>
      </c>
      <c r="D101" s="1468">
        <v>46190.833333333336</v>
      </c>
      <c r="E101" s="1468">
        <v>46190.856678240743</v>
      </c>
      <c r="F101" s="1465"/>
      <c r="G101" s="1464" t="s">
        <v>10210</v>
      </c>
      <c r="H101" s="1468">
        <v>46232.5</v>
      </c>
      <c r="I101" s="1468">
        <v>46232.433854166666</v>
      </c>
    </row>
    <row r="102" spans="1:9" ht="14">
      <c r="A102" s="1463" t="s">
        <v>4943</v>
      </c>
      <c r="B102" s="1463">
        <v>6503246610</v>
      </c>
      <c r="C102" s="1463" t="s">
        <v>123</v>
      </c>
      <c r="D102" s="1467">
        <v>46195.645833333336</v>
      </c>
      <c r="E102" s="1467">
        <v>46195.516574074078</v>
      </c>
      <c r="F102" s="1466"/>
      <c r="G102" s="1463" t="s">
        <v>10206</v>
      </c>
      <c r="H102" s="1467">
        <v>46233.8125</v>
      </c>
      <c r="I102" s="1467">
        <v>46233.853298611109</v>
      </c>
    </row>
    <row r="103" spans="1:9" ht="14">
      <c r="A103" s="1464" t="s">
        <v>4948</v>
      </c>
      <c r="B103" s="1464">
        <v>6503114070</v>
      </c>
      <c r="C103" s="1464" t="s">
        <v>123</v>
      </c>
      <c r="D103" s="1468">
        <v>46189.895833333336</v>
      </c>
      <c r="E103" s="1468">
        <v>46189.683425925927</v>
      </c>
      <c r="F103" s="1465"/>
      <c r="G103" s="1464" t="s">
        <v>10206</v>
      </c>
      <c r="H103" s="1468">
        <v>46239.166666666664</v>
      </c>
      <c r="I103" s="1468">
        <v>46239.203981481478</v>
      </c>
    </row>
    <row r="104" spans="1:9" ht="14">
      <c r="A104" s="1463" t="s">
        <v>4953</v>
      </c>
      <c r="B104" s="1463">
        <v>6503119910</v>
      </c>
      <c r="C104" s="1463" t="s">
        <v>123</v>
      </c>
      <c r="D104" s="1467">
        <v>46190.708333333336</v>
      </c>
      <c r="E104" s="1467">
        <v>46190.726354166669</v>
      </c>
      <c r="F104" s="1466"/>
      <c r="G104" s="1463" t="s">
        <v>10206</v>
      </c>
      <c r="H104" s="1467">
        <v>46234.6875</v>
      </c>
      <c r="I104" s="1467">
        <v>46234.795706018522</v>
      </c>
    </row>
    <row r="105" spans="1:9" ht="14">
      <c r="A105" s="1464" t="s">
        <v>4968</v>
      </c>
      <c r="B105" s="1464">
        <v>6503364860</v>
      </c>
      <c r="C105" s="1464" t="s">
        <v>123</v>
      </c>
      <c r="D105" s="1468">
        <v>46192.3125</v>
      </c>
      <c r="E105" s="1468">
        <v>46192.344004629631</v>
      </c>
      <c r="F105" s="1465"/>
      <c r="G105" s="1464" t="s">
        <v>8661</v>
      </c>
      <c r="H105" s="1468">
        <v>46235.125</v>
      </c>
      <c r="I105" s="1468">
        <v>46235.175381944442</v>
      </c>
    </row>
    <row r="106" spans="1:9" ht="14">
      <c r="A106" s="1463" t="s">
        <v>4984</v>
      </c>
      <c r="B106" s="1463">
        <v>6503741610</v>
      </c>
      <c r="C106" s="1463" t="s">
        <v>123</v>
      </c>
      <c r="D106" s="1467">
        <v>46200.958333333336</v>
      </c>
      <c r="E106" s="1467">
        <v>46200.97996527778</v>
      </c>
      <c r="F106" s="1466"/>
      <c r="G106" s="1463" t="s">
        <v>8661</v>
      </c>
      <c r="H106" s="1467">
        <v>46251.25</v>
      </c>
      <c r="I106" s="1467">
        <v>46250.848819444444</v>
      </c>
    </row>
    <row r="107" spans="1:9" ht="14">
      <c r="A107" s="1464" t="s">
        <v>4993</v>
      </c>
      <c r="B107" s="1464">
        <v>6503527860</v>
      </c>
      <c r="C107" s="1464" t="s">
        <v>123</v>
      </c>
      <c r="D107" s="1468">
        <v>46191.5</v>
      </c>
      <c r="E107" s="1468">
        <v>46191.502662037034</v>
      </c>
      <c r="F107" s="1464" t="s">
        <v>10203</v>
      </c>
      <c r="G107" s="1464" t="s">
        <v>10204</v>
      </c>
      <c r="H107" s="1468">
        <v>46254.75</v>
      </c>
      <c r="I107" s="1468">
        <v>46254.30159722222</v>
      </c>
    </row>
    <row r="108" spans="1:9" ht="14">
      <c r="A108" s="1463" t="s">
        <v>5005</v>
      </c>
      <c r="B108" s="1463">
        <v>9507807450</v>
      </c>
      <c r="C108" s="1463" t="s">
        <v>10200</v>
      </c>
      <c r="D108" s="1467">
        <v>46195.333333333336</v>
      </c>
      <c r="E108" s="1467">
        <v>46195.205069444448</v>
      </c>
      <c r="F108" s="1463" t="s">
        <v>10202</v>
      </c>
      <c r="G108" s="1463" t="s">
        <v>8661</v>
      </c>
      <c r="H108" s="1467">
        <v>46261.25</v>
      </c>
      <c r="I108" s="1467">
        <v>46261.249641203707</v>
      </c>
    </row>
    <row r="109" spans="1:9" ht="14">
      <c r="A109" s="1464" t="s">
        <v>5009</v>
      </c>
      <c r="B109" s="1464">
        <v>9507807520</v>
      </c>
      <c r="C109" s="1464" t="s">
        <v>10200</v>
      </c>
      <c r="D109" s="1468">
        <v>46195.333333333336</v>
      </c>
      <c r="E109" s="1468">
        <v>46195.205069444448</v>
      </c>
      <c r="F109" s="1464" t="s">
        <v>123</v>
      </c>
      <c r="G109" s="1464" t="s">
        <v>8661</v>
      </c>
      <c r="H109" s="1468">
        <v>46271.25</v>
      </c>
      <c r="I109" s="1468">
        <v>46271.279085648152</v>
      </c>
    </row>
    <row r="110" spans="1:9" ht="14">
      <c r="A110" s="1463" t="s">
        <v>5017</v>
      </c>
      <c r="B110" s="1463">
        <v>6504041890</v>
      </c>
      <c r="C110" s="1463" t="s">
        <v>10200</v>
      </c>
      <c r="D110" s="1467">
        <v>46195.333333333336</v>
      </c>
      <c r="E110" s="1467">
        <v>46195.205069444448</v>
      </c>
      <c r="F110" s="1463" t="s">
        <v>123</v>
      </c>
      <c r="G110" s="1463" t="s">
        <v>10210</v>
      </c>
      <c r="H110" s="1467">
        <v>46244.40625</v>
      </c>
      <c r="I110" s="1467">
        <v>46244.405787037038</v>
      </c>
    </row>
    <row r="111" spans="1:9" ht="14">
      <c r="A111" s="1464" t="s">
        <v>5021</v>
      </c>
      <c r="B111" s="1464">
        <v>6504191030</v>
      </c>
      <c r="C111" s="1464" t="s">
        <v>10200</v>
      </c>
      <c r="D111" s="1468">
        <v>46195.333333333336</v>
      </c>
      <c r="E111" s="1468">
        <v>46195.205069444448</v>
      </c>
      <c r="F111" s="1465"/>
      <c r="G111" s="1464" t="s">
        <v>10206</v>
      </c>
      <c r="H111" s="1468">
        <v>46240.020833333336</v>
      </c>
      <c r="I111" s="1468">
        <v>46240.041226851848</v>
      </c>
    </row>
    <row r="112" spans="1:9" ht="14">
      <c r="A112" s="1463" t="s">
        <v>5025</v>
      </c>
      <c r="B112" s="1463">
        <v>6504047380</v>
      </c>
      <c r="C112" s="1463" t="s">
        <v>10200</v>
      </c>
      <c r="D112" s="1467">
        <v>46195.333333333336</v>
      </c>
      <c r="E112" s="1467">
        <v>46195.205069444448</v>
      </c>
      <c r="F112" s="1466"/>
      <c r="G112" s="1463" t="s">
        <v>10206</v>
      </c>
      <c r="H112" s="1467">
        <v>46240.020833333336</v>
      </c>
      <c r="I112" s="1467">
        <v>46240.041226851848</v>
      </c>
    </row>
    <row r="113" spans="1:9" ht="14">
      <c r="A113" s="1464" t="s">
        <v>5030</v>
      </c>
      <c r="B113" s="1464">
        <v>9507807610</v>
      </c>
      <c r="C113" s="1464" t="s">
        <v>10200</v>
      </c>
      <c r="D113" s="1468">
        <v>46195.333333333336</v>
      </c>
      <c r="E113" s="1468">
        <v>46195.205069444448</v>
      </c>
      <c r="F113" s="1464" t="s">
        <v>123</v>
      </c>
      <c r="G113" s="1464" t="s">
        <v>10205</v>
      </c>
      <c r="H113" s="1468">
        <v>46258.375</v>
      </c>
      <c r="I113" s="1468">
        <v>46258.289537037039</v>
      </c>
    </row>
    <row r="114" spans="1:9" ht="14">
      <c r="A114" s="1463" t="s">
        <v>5034</v>
      </c>
      <c r="B114" s="1463">
        <v>9507770280</v>
      </c>
      <c r="C114" s="1463" t="s">
        <v>10200</v>
      </c>
      <c r="D114" s="1467">
        <v>46195.333333333336</v>
      </c>
      <c r="E114" s="1467">
        <v>46195.205069444448</v>
      </c>
      <c r="F114" s="1463" t="s">
        <v>123</v>
      </c>
      <c r="G114" s="1463" t="s">
        <v>10205</v>
      </c>
      <c r="H114" s="1467">
        <v>46275.083333333336</v>
      </c>
      <c r="I114" s="1467">
        <v>46275.045995370368</v>
      </c>
    </row>
    <row r="115" spans="1:9" ht="14">
      <c r="A115" s="1464" t="s">
        <v>5071</v>
      </c>
      <c r="B115" s="1464">
        <v>6504129580</v>
      </c>
      <c r="C115" s="1464" t="s">
        <v>123</v>
      </c>
      <c r="D115" s="1468">
        <v>46203.645833333336</v>
      </c>
      <c r="E115" s="1468">
        <v>46203.667638888888</v>
      </c>
      <c r="F115" s="1465"/>
      <c r="G115" s="1464" t="s">
        <v>10206</v>
      </c>
      <c r="H115" s="1468">
        <v>46240.020833333336</v>
      </c>
      <c r="I115" s="1468">
        <v>46240.041226851848</v>
      </c>
    </row>
    <row r="116" spans="1:9" ht="14">
      <c r="A116" s="1463" t="s">
        <v>5079</v>
      </c>
      <c r="B116" s="1463">
        <v>6503985850</v>
      </c>
      <c r="C116" s="1463" t="s">
        <v>123</v>
      </c>
      <c r="D116" s="1467">
        <v>46197.291666666664</v>
      </c>
      <c r="E116" s="1467">
        <v>46197.343634259261</v>
      </c>
      <c r="F116" s="1466"/>
      <c r="G116" s="1463" t="s">
        <v>10206</v>
      </c>
      <c r="H116" s="1467">
        <v>46242.416666666664</v>
      </c>
      <c r="I116" s="1467">
        <v>46242.416134259256</v>
      </c>
    </row>
    <row r="117" spans="1:9" ht="14">
      <c r="A117" s="1464" t="s">
        <v>5084</v>
      </c>
      <c r="B117" s="1464">
        <v>6503980090</v>
      </c>
      <c r="C117" s="1464" t="s">
        <v>123</v>
      </c>
      <c r="D117" s="1468">
        <v>46196.9375</v>
      </c>
      <c r="E117" s="1468">
        <v>46196.957442129627</v>
      </c>
      <c r="F117" s="1465"/>
      <c r="G117" s="1464" t="s">
        <v>10206</v>
      </c>
      <c r="H117" s="1468">
        <v>46249.416666666664</v>
      </c>
      <c r="I117" s="1468">
        <v>46249.489212962966</v>
      </c>
    </row>
    <row r="118" spans="1:9" ht="14">
      <c r="A118" s="1463" t="s">
        <v>5089</v>
      </c>
      <c r="B118" s="1463">
        <v>6504140950</v>
      </c>
      <c r="C118" s="1463" t="s">
        <v>123</v>
      </c>
      <c r="D118" s="1467">
        <v>46198.875</v>
      </c>
      <c r="E118" s="1467">
        <v>46198.816701388889</v>
      </c>
      <c r="F118" s="1466"/>
      <c r="G118" s="1463" t="s">
        <v>8661</v>
      </c>
      <c r="H118" s="1467">
        <v>46242.25</v>
      </c>
      <c r="I118" s="1467">
        <v>46242.239039351851</v>
      </c>
    </row>
    <row r="119" spans="1:9" ht="14">
      <c r="A119" s="1464" t="s">
        <v>5097</v>
      </c>
      <c r="B119" s="1464">
        <v>6504372270</v>
      </c>
      <c r="C119" s="1464" t="s">
        <v>123</v>
      </c>
      <c r="D119" s="1468">
        <v>46201.604166666664</v>
      </c>
      <c r="E119" s="1468">
        <v>46201.364212962966</v>
      </c>
      <c r="F119" s="1465"/>
      <c r="G119" s="1464" t="s">
        <v>8661</v>
      </c>
      <c r="H119" s="1468">
        <v>46259.25</v>
      </c>
      <c r="I119" s="1468">
        <v>46259.238761574074</v>
      </c>
    </row>
    <row r="120" spans="1:9" ht="14">
      <c r="A120" s="1463" t="s">
        <v>5103</v>
      </c>
      <c r="B120" s="1463">
        <v>6504374270</v>
      </c>
      <c r="C120" s="1463" t="s">
        <v>123</v>
      </c>
      <c r="D120" s="1467">
        <v>46201.604166666664</v>
      </c>
      <c r="E120" s="1467">
        <v>46201.364212962966</v>
      </c>
      <c r="F120" s="1466"/>
      <c r="G120" s="1463" t="s">
        <v>8661</v>
      </c>
      <c r="H120" s="1467">
        <v>46259.25</v>
      </c>
      <c r="I120" s="1467">
        <v>46259.238761574074</v>
      </c>
    </row>
    <row r="121" spans="1:9" ht="14">
      <c r="A121" s="1464" t="s">
        <v>5114</v>
      </c>
      <c r="B121" s="1464">
        <v>6505411160</v>
      </c>
      <c r="C121" s="1464" t="s">
        <v>123</v>
      </c>
      <c r="D121" s="1468">
        <v>46201.604166666664</v>
      </c>
      <c r="E121" s="1468">
        <v>46201.364212962966</v>
      </c>
      <c r="F121" s="1465"/>
      <c r="G121" s="1464" t="s">
        <v>8661</v>
      </c>
      <c r="H121" s="1468">
        <v>46259.25</v>
      </c>
      <c r="I121" s="1468">
        <v>46259.238761574074</v>
      </c>
    </row>
    <row r="122" spans="1:9" ht="14">
      <c r="A122" s="1463" t="s">
        <v>5119</v>
      </c>
      <c r="B122" s="1463">
        <v>6504378210</v>
      </c>
      <c r="C122" s="1463" t="s">
        <v>123</v>
      </c>
      <c r="D122" s="1467">
        <v>46201.604166666664</v>
      </c>
      <c r="E122" s="1467">
        <v>46201.364212962966</v>
      </c>
      <c r="F122" s="1466"/>
      <c r="G122" s="1463" t="s">
        <v>8661</v>
      </c>
      <c r="H122" s="1467">
        <v>46259.25</v>
      </c>
      <c r="I122" s="1467">
        <v>46259.238761574074</v>
      </c>
    </row>
    <row r="123" spans="1:9" ht="14">
      <c r="A123" s="1464" t="s">
        <v>5124</v>
      </c>
      <c r="B123" s="1464">
        <v>6504138100</v>
      </c>
      <c r="C123" s="1464" t="s">
        <v>123</v>
      </c>
      <c r="D123" s="1468">
        <v>46205.708333333336</v>
      </c>
      <c r="E123" s="1468">
        <v>46205.721689814818</v>
      </c>
      <c r="F123" s="1464" t="s">
        <v>10203</v>
      </c>
      <c r="G123" s="1464" t="s">
        <v>10204</v>
      </c>
      <c r="H123" s="1468">
        <v>46264.25</v>
      </c>
      <c r="I123" s="1468">
        <v>46264.627175925925</v>
      </c>
    </row>
    <row r="124" spans="1:9" ht="14">
      <c r="A124" s="1463" t="s">
        <v>5132</v>
      </c>
      <c r="B124" s="1463">
        <v>9507886950</v>
      </c>
      <c r="C124" s="1463" t="s">
        <v>10200</v>
      </c>
      <c r="D124" s="1467">
        <v>46197.666666666664</v>
      </c>
      <c r="E124" s="1467">
        <v>46197.673738425925</v>
      </c>
      <c r="F124" s="1463" t="s">
        <v>6003</v>
      </c>
      <c r="G124" s="1463" t="s">
        <v>10206</v>
      </c>
      <c r="H124" s="1467">
        <v>46262.1875</v>
      </c>
      <c r="I124" s="1467">
        <v>46262.176122685189</v>
      </c>
    </row>
    <row r="125" spans="1:9" ht="14">
      <c r="A125" s="1464" t="s">
        <v>5137</v>
      </c>
      <c r="B125" s="1464">
        <v>9507829660</v>
      </c>
      <c r="C125" s="1464" t="s">
        <v>10200</v>
      </c>
      <c r="D125" s="1468">
        <v>46197.666666666664</v>
      </c>
      <c r="E125" s="1468">
        <v>46197.673738425925</v>
      </c>
      <c r="F125" s="1465"/>
      <c r="G125" s="1464" t="s">
        <v>10206</v>
      </c>
      <c r="H125" s="1468">
        <v>46244.291666666664</v>
      </c>
      <c r="I125" s="1468">
        <v>46244.348958333336</v>
      </c>
    </row>
    <row r="126" spans="1:9" ht="14">
      <c r="A126" s="1463" t="s">
        <v>5141</v>
      </c>
      <c r="B126" s="1463">
        <v>9507886600</v>
      </c>
      <c r="C126" s="1463" t="s">
        <v>10200</v>
      </c>
      <c r="D126" s="1467">
        <v>46197.666666666664</v>
      </c>
      <c r="E126" s="1467">
        <v>46197.673738425925</v>
      </c>
      <c r="F126" s="1463" t="s">
        <v>10202</v>
      </c>
      <c r="G126" s="1463" t="s">
        <v>8661</v>
      </c>
      <c r="H126" s="1467">
        <v>46278.083333333336</v>
      </c>
      <c r="I126" s="1467">
        <v>46278.186840277776</v>
      </c>
    </row>
    <row r="127" spans="1:9" ht="14">
      <c r="A127" s="1464" t="s">
        <v>5145</v>
      </c>
      <c r="B127" s="1464">
        <v>9507886780</v>
      </c>
      <c r="C127" s="1464" t="s">
        <v>10200</v>
      </c>
      <c r="D127" s="1468">
        <v>46197.666666666664</v>
      </c>
      <c r="E127" s="1468">
        <v>46197.673738425925</v>
      </c>
      <c r="F127" s="1464" t="s">
        <v>10202</v>
      </c>
      <c r="G127" s="1464" t="s">
        <v>8661</v>
      </c>
      <c r="H127" s="1468">
        <v>46272.833333333336</v>
      </c>
      <c r="I127" s="1468">
        <v>46272.644375000003</v>
      </c>
    </row>
    <row r="128" spans="1:9" ht="14">
      <c r="A128" s="1463" t="s">
        <v>5150</v>
      </c>
      <c r="B128" s="1463">
        <v>6504801500</v>
      </c>
      <c r="C128" s="1463" t="s">
        <v>10200</v>
      </c>
      <c r="D128" s="1467">
        <v>46197.666666666664</v>
      </c>
      <c r="E128" s="1467">
        <v>46197.673738425925</v>
      </c>
      <c r="F128" s="1463" t="s">
        <v>10202</v>
      </c>
      <c r="G128" s="1463" t="s">
        <v>10210</v>
      </c>
      <c r="H128" s="1467">
        <v>46253.75</v>
      </c>
      <c r="I128" s="1467">
        <v>46253.739166666666</v>
      </c>
    </row>
    <row r="129" spans="1:9" ht="14">
      <c r="A129" s="1464" t="s">
        <v>5154</v>
      </c>
      <c r="B129" s="1464">
        <v>9507886860</v>
      </c>
      <c r="C129" s="1464" t="s">
        <v>10200</v>
      </c>
      <c r="D129" s="1468">
        <v>46197.666666666664</v>
      </c>
      <c r="E129" s="1468">
        <v>46197.673738425925</v>
      </c>
      <c r="F129" s="1464" t="s">
        <v>10202</v>
      </c>
      <c r="G129" s="1464" t="s">
        <v>8661</v>
      </c>
      <c r="H129" s="1468">
        <v>46272.833333333336</v>
      </c>
      <c r="I129" s="1468">
        <v>46272.644375000003</v>
      </c>
    </row>
    <row r="130" spans="1:9" ht="14">
      <c r="A130" s="1463" t="s">
        <v>5175</v>
      </c>
      <c r="B130" s="1463">
        <v>6505324630</v>
      </c>
      <c r="C130" s="1463" t="s">
        <v>123</v>
      </c>
      <c r="D130" s="1467">
        <v>46204.1875</v>
      </c>
      <c r="E130" s="1467">
        <v>46204.208078703705</v>
      </c>
      <c r="F130" s="1466"/>
      <c r="G130" s="1463" t="s">
        <v>10210</v>
      </c>
      <c r="H130" s="1467">
        <v>46256.458333333336</v>
      </c>
      <c r="I130" s="1467">
        <v>46256.481874999998</v>
      </c>
    </row>
    <row r="131" spans="1:9" ht="14">
      <c r="A131" s="1464" t="s">
        <v>5180</v>
      </c>
      <c r="B131" s="1464">
        <v>6503833660</v>
      </c>
      <c r="C131" s="1464" t="s">
        <v>123</v>
      </c>
      <c r="D131" s="1468">
        <v>46204.1875</v>
      </c>
      <c r="E131" s="1468">
        <v>46204.208078703705</v>
      </c>
      <c r="F131" s="1465"/>
      <c r="G131" s="1464" t="s">
        <v>10210</v>
      </c>
      <c r="H131" s="1468">
        <v>46256.458333333336</v>
      </c>
      <c r="I131" s="1468">
        <v>46256.481874999998</v>
      </c>
    </row>
    <row r="132" spans="1:9" ht="14">
      <c r="A132" s="1463" t="s">
        <v>5185</v>
      </c>
      <c r="B132" s="1463">
        <v>6505377920</v>
      </c>
      <c r="C132" s="1463" t="s">
        <v>123</v>
      </c>
      <c r="D132" s="1467">
        <v>46206.25</v>
      </c>
      <c r="E132" s="1467">
        <v>46206.24690972222</v>
      </c>
      <c r="F132" s="1466"/>
      <c r="G132" s="1463" t="s">
        <v>10206</v>
      </c>
      <c r="H132" s="1467">
        <v>46244.291666666664</v>
      </c>
      <c r="I132" s="1467">
        <v>46244.348958333336</v>
      </c>
    </row>
    <row r="133" spans="1:9" ht="14">
      <c r="A133" s="1464" t="s">
        <v>5192</v>
      </c>
      <c r="B133" s="1464">
        <v>6505017200</v>
      </c>
      <c r="C133" s="1464" t="s">
        <v>123</v>
      </c>
      <c r="D133" s="1468">
        <v>46221.5</v>
      </c>
      <c r="E133" s="1468">
        <v>46220.527777777781</v>
      </c>
      <c r="F133" s="1465"/>
      <c r="G133" s="1464" t="s">
        <v>10206</v>
      </c>
      <c r="H133" s="1468">
        <v>46260.5</v>
      </c>
      <c r="I133" s="1468">
        <v>46260.57949074074</v>
      </c>
    </row>
    <row r="134" spans="1:9" ht="14">
      <c r="A134" s="1463" t="s">
        <v>5196</v>
      </c>
      <c r="B134" s="1463">
        <v>6504983950</v>
      </c>
      <c r="C134" s="1463" t="s">
        <v>123</v>
      </c>
      <c r="D134" s="1467">
        <v>46206.25</v>
      </c>
      <c r="E134" s="1467">
        <v>46206.24690972222</v>
      </c>
      <c r="F134" s="1466"/>
      <c r="G134" s="1463" t="s">
        <v>10206</v>
      </c>
      <c r="H134" s="1467">
        <v>46244.291666666664</v>
      </c>
      <c r="I134" s="1467">
        <v>46244.348958333336</v>
      </c>
    </row>
    <row r="135" spans="1:9" ht="14">
      <c r="A135" s="1464" t="s">
        <v>5202</v>
      </c>
      <c r="B135" s="1464">
        <v>6505404590</v>
      </c>
      <c r="C135" s="1464" t="s">
        <v>123</v>
      </c>
      <c r="D135" s="1468">
        <v>46206.25</v>
      </c>
      <c r="E135" s="1468">
        <v>46206.24690972222</v>
      </c>
      <c r="F135" s="1465"/>
      <c r="G135" s="1464" t="s">
        <v>10206</v>
      </c>
      <c r="H135" s="1468">
        <v>46244.291666666664</v>
      </c>
      <c r="I135" s="1468">
        <v>46244.348958333336</v>
      </c>
    </row>
    <row r="136" spans="1:9" ht="14">
      <c r="A136" s="1463" t="s">
        <v>5208</v>
      </c>
      <c r="B136" s="1463">
        <v>6504989080</v>
      </c>
      <c r="C136" s="1463" t="s">
        <v>123</v>
      </c>
      <c r="D136" s="1467">
        <v>46209.875</v>
      </c>
      <c r="E136" s="1467">
        <v>46209.833182870374</v>
      </c>
      <c r="F136" s="1466"/>
      <c r="G136" s="1463" t="s">
        <v>8661</v>
      </c>
      <c r="H136" s="1467">
        <v>46253.541666666664</v>
      </c>
      <c r="I136" s="1467">
        <v>46253.474305555559</v>
      </c>
    </row>
    <row r="137" spans="1:9" ht="14">
      <c r="A137" s="1464" t="s">
        <v>5217</v>
      </c>
      <c r="B137" s="1464">
        <v>6505067030</v>
      </c>
      <c r="C137" s="1464" t="s">
        <v>123</v>
      </c>
      <c r="D137" s="1468">
        <v>46211.5</v>
      </c>
      <c r="E137" s="1468">
        <v>46211.386006944442</v>
      </c>
      <c r="F137" s="1465"/>
      <c r="G137" s="1464" t="s">
        <v>8661</v>
      </c>
      <c r="H137" s="1468">
        <v>46271.25</v>
      </c>
      <c r="I137" s="1468">
        <v>46271.279085648152</v>
      </c>
    </row>
    <row r="138" spans="1:9" ht="14">
      <c r="A138" s="1463" t="s">
        <v>5224</v>
      </c>
      <c r="B138" s="1463">
        <v>6505066450</v>
      </c>
      <c r="C138" s="1463" t="s">
        <v>123</v>
      </c>
      <c r="D138" s="1467">
        <v>46211.5</v>
      </c>
      <c r="E138" s="1467">
        <v>46211.386006944442</v>
      </c>
      <c r="F138" s="1466"/>
      <c r="G138" s="1463" t="s">
        <v>8661</v>
      </c>
      <c r="H138" s="1467">
        <v>46271.25</v>
      </c>
      <c r="I138" s="1467">
        <v>46271.279085648152</v>
      </c>
    </row>
    <row r="139" spans="1:9" ht="14">
      <c r="A139" s="1464" t="s">
        <v>5230</v>
      </c>
      <c r="B139" s="1464">
        <v>6505066890</v>
      </c>
      <c r="C139" s="1464" t="s">
        <v>123</v>
      </c>
      <c r="D139" s="1468">
        <v>46211.5</v>
      </c>
      <c r="E139" s="1468">
        <v>46211.386006944442</v>
      </c>
      <c r="F139" s="1465"/>
      <c r="G139" s="1464" t="s">
        <v>8661</v>
      </c>
      <c r="H139" s="1468">
        <v>46271.25</v>
      </c>
      <c r="I139" s="1468">
        <v>46271.279085648152</v>
      </c>
    </row>
    <row r="140" spans="1:9" ht="14">
      <c r="A140" s="1463" t="s">
        <v>5240</v>
      </c>
      <c r="B140" s="1463">
        <v>6504142070</v>
      </c>
      <c r="C140" s="1463" t="s">
        <v>123</v>
      </c>
      <c r="D140" s="1467">
        <v>46207.75</v>
      </c>
      <c r="E140" s="1467">
        <v>46207.798136574071</v>
      </c>
      <c r="F140" s="1466"/>
      <c r="G140" s="1463" t="s">
        <v>10205</v>
      </c>
      <c r="H140" s="1467">
        <v>46258.375</v>
      </c>
      <c r="I140" s="1467">
        <v>46258.289537037039</v>
      </c>
    </row>
    <row r="141" spans="1:9" ht="14">
      <c r="A141" s="1464" t="s">
        <v>5248</v>
      </c>
      <c r="B141" s="1464">
        <v>6504385010</v>
      </c>
      <c r="C141" s="1464" t="s">
        <v>123</v>
      </c>
      <c r="D141" s="1468">
        <v>46207.75</v>
      </c>
      <c r="E141" s="1468">
        <v>46207.798136574071</v>
      </c>
      <c r="F141" s="1464" t="s">
        <v>10203</v>
      </c>
      <c r="G141" s="1464" t="s">
        <v>10204</v>
      </c>
      <c r="H141" s="1468">
        <v>46272.25</v>
      </c>
      <c r="I141" s="1468">
        <v>46272.251446759263</v>
      </c>
    </row>
    <row r="142" spans="1:9" ht="14">
      <c r="A142" s="1463" t="s">
        <v>5254</v>
      </c>
      <c r="B142" s="1463">
        <v>6505756530</v>
      </c>
      <c r="C142" s="1463" t="s">
        <v>10200</v>
      </c>
      <c r="D142" s="1467">
        <v>46210.333333333336</v>
      </c>
      <c r="E142" s="1467">
        <v>46210.350694444445</v>
      </c>
      <c r="F142" s="1463" t="s">
        <v>6003</v>
      </c>
      <c r="G142" s="1463" t="s">
        <v>10210</v>
      </c>
      <c r="H142" s="1467">
        <v>46264.041666666664</v>
      </c>
      <c r="I142" s="1467">
        <v>46263.989421296297</v>
      </c>
    </row>
    <row r="143" spans="1:9" ht="14">
      <c r="A143" s="1464" t="s">
        <v>5258</v>
      </c>
      <c r="B143" s="1464">
        <v>6505906290</v>
      </c>
      <c r="C143" s="1464" t="s">
        <v>10200</v>
      </c>
      <c r="D143" s="1468">
        <v>46210.333333333336</v>
      </c>
      <c r="E143" s="1468">
        <v>46210.350694444445</v>
      </c>
      <c r="F143" s="1464" t="s">
        <v>10214</v>
      </c>
      <c r="G143" s="1464" t="s">
        <v>10209</v>
      </c>
      <c r="H143" s="1468">
        <v>46275.291666666664</v>
      </c>
      <c r="I143" s="1468">
        <v>46275.245208333334</v>
      </c>
    </row>
    <row r="144" spans="1:9" ht="14">
      <c r="A144" s="1463" t="s">
        <v>5263</v>
      </c>
      <c r="B144" s="1463">
        <v>9507951690</v>
      </c>
      <c r="C144" s="1463" t="s">
        <v>10200</v>
      </c>
      <c r="D144" s="1467">
        <v>46202.125</v>
      </c>
      <c r="E144" s="1467">
        <v>46202.135266203702</v>
      </c>
      <c r="F144" s="1466"/>
      <c r="G144" s="1463" t="s">
        <v>10206</v>
      </c>
      <c r="H144" s="1467">
        <v>46253.416666666664</v>
      </c>
      <c r="I144" s="1467">
        <v>46253.479062500002</v>
      </c>
    </row>
    <row r="145" spans="1:9" ht="14">
      <c r="A145" s="1464" t="s">
        <v>5270</v>
      </c>
      <c r="B145" s="1464">
        <v>9507977520</v>
      </c>
      <c r="C145" s="1464" t="s">
        <v>10200</v>
      </c>
      <c r="D145" s="1468">
        <v>46202.125</v>
      </c>
      <c r="E145" s="1468">
        <v>46202.135266203702</v>
      </c>
      <c r="F145" s="1464" t="s">
        <v>6003</v>
      </c>
      <c r="G145" s="1464" t="s">
        <v>10206</v>
      </c>
      <c r="H145" s="1468">
        <v>46293.083333333336</v>
      </c>
      <c r="I145" s="1468">
        <v>46292.966608796298</v>
      </c>
    </row>
    <row r="146" spans="1:9" ht="14">
      <c r="A146" s="1463" t="s">
        <v>5274</v>
      </c>
      <c r="B146" s="1463">
        <v>6505349280</v>
      </c>
      <c r="C146" s="1463" t="s">
        <v>10200</v>
      </c>
      <c r="D146" s="1467">
        <v>46202.125</v>
      </c>
      <c r="E146" s="1467">
        <v>46202.135266203702</v>
      </c>
      <c r="F146" s="1463" t="s">
        <v>10202</v>
      </c>
      <c r="G146" s="1463" t="s">
        <v>10210</v>
      </c>
      <c r="H146" s="1467">
        <v>46274.999305555553</v>
      </c>
      <c r="I146" s="1467">
        <v>46275.009525462963</v>
      </c>
    </row>
    <row r="147" spans="1:9" ht="14">
      <c r="A147" s="1464" t="s">
        <v>5289</v>
      </c>
      <c r="B147" s="1464">
        <v>6505925840</v>
      </c>
      <c r="C147" s="1464" t="s">
        <v>123</v>
      </c>
      <c r="D147" s="1468">
        <v>46219.0625</v>
      </c>
      <c r="E147" s="1468">
        <v>46219.103425925925</v>
      </c>
      <c r="F147" s="1465"/>
      <c r="G147" s="1464" t="s">
        <v>10211</v>
      </c>
      <c r="H147" s="1468">
        <v>46264.541666666664</v>
      </c>
      <c r="I147" s="1468">
        <v>46264.676631944443</v>
      </c>
    </row>
    <row r="148" spans="1:9" ht="14">
      <c r="A148" s="1463" t="s">
        <v>5293</v>
      </c>
      <c r="B148" s="1463">
        <v>6505587010</v>
      </c>
      <c r="C148" s="1463" t="s">
        <v>123</v>
      </c>
      <c r="D148" s="1467">
        <v>46212.9375</v>
      </c>
      <c r="E148" s="1467">
        <v>46212.958078703705</v>
      </c>
      <c r="F148" s="1466"/>
      <c r="G148" s="1463" t="s">
        <v>10206</v>
      </c>
      <c r="H148" s="1467">
        <v>46253.416666666664</v>
      </c>
      <c r="I148" s="1467">
        <v>46253.479062500002</v>
      </c>
    </row>
    <row r="149" spans="1:9" ht="14">
      <c r="A149" s="1464" t="s">
        <v>5300</v>
      </c>
      <c r="B149" s="1464">
        <v>6505608500</v>
      </c>
      <c r="C149" s="1464" t="s">
        <v>123</v>
      </c>
      <c r="D149" s="1468">
        <v>46212.9375</v>
      </c>
      <c r="E149" s="1468">
        <v>46212.958078703705</v>
      </c>
      <c r="F149" s="1465"/>
      <c r="G149" s="1464" t="s">
        <v>10206</v>
      </c>
      <c r="H149" s="1468">
        <v>46253.416666666664</v>
      </c>
      <c r="I149" s="1468">
        <v>46253.479062500002</v>
      </c>
    </row>
    <row r="150" spans="1:9" ht="14">
      <c r="A150" s="1463" t="s">
        <v>5305</v>
      </c>
      <c r="B150" s="1463">
        <v>6505588390</v>
      </c>
      <c r="C150" s="1463" t="s">
        <v>123</v>
      </c>
      <c r="D150" s="1467">
        <v>46221.5</v>
      </c>
      <c r="E150" s="1467">
        <v>46220.527777777781</v>
      </c>
      <c r="F150" s="1466"/>
      <c r="G150" s="1463" t="s">
        <v>10206</v>
      </c>
      <c r="H150" s="1467">
        <v>46260.5</v>
      </c>
      <c r="I150" s="1467">
        <v>46260.57949074074</v>
      </c>
    </row>
    <row r="151" spans="1:9" ht="14">
      <c r="A151" s="1464" t="s">
        <v>5311</v>
      </c>
      <c r="B151" s="1464">
        <v>6505914680</v>
      </c>
      <c r="C151" s="1464" t="s">
        <v>123</v>
      </c>
      <c r="D151" s="1468">
        <v>46227.3125</v>
      </c>
      <c r="E151" s="1468">
        <v>46227.336087962962</v>
      </c>
      <c r="F151" s="1465"/>
      <c r="G151" s="1464" t="s">
        <v>10208</v>
      </c>
      <c r="H151" s="1468">
        <v>46274.333333333336</v>
      </c>
      <c r="I151" s="1468">
        <v>46274.416041666664</v>
      </c>
    </row>
    <row r="152" spans="1:9" ht="14">
      <c r="A152" s="1463" t="s">
        <v>5319</v>
      </c>
      <c r="B152" s="1463">
        <v>6505913620</v>
      </c>
      <c r="C152" s="1463" t="s">
        <v>123</v>
      </c>
      <c r="D152" s="1467">
        <v>46227.3125</v>
      </c>
      <c r="E152" s="1467">
        <v>46227.336087962962</v>
      </c>
      <c r="F152" s="1466"/>
      <c r="G152" s="1463" t="s">
        <v>8661</v>
      </c>
      <c r="H152" s="1467">
        <v>46278.083333333336</v>
      </c>
      <c r="I152" s="1467">
        <v>46278.186840277776</v>
      </c>
    </row>
    <row r="153" spans="1:9" ht="14">
      <c r="A153" s="1464" t="s">
        <v>5333</v>
      </c>
      <c r="B153" s="1464">
        <v>6507195960</v>
      </c>
      <c r="C153" s="1464" t="s">
        <v>123</v>
      </c>
      <c r="D153" s="1468">
        <v>46227.3125</v>
      </c>
      <c r="E153" s="1468">
        <v>46227.336087962962</v>
      </c>
      <c r="F153" s="1465"/>
      <c r="G153" s="1464" t="s">
        <v>8661</v>
      </c>
      <c r="H153" s="1468">
        <v>46278.083333333336</v>
      </c>
      <c r="I153" s="1468">
        <v>46278.186840277776</v>
      </c>
    </row>
    <row r="154" spans="1:9" ht="14">
      <c r="A154" s="1463" t="s">
        <v>5339</v>
      </c>
      <c r="B154" s="1463">
        <v>6505912480</v>
      </c>
      <c r="C154" s="1463" t="s">
        <v>123</v>
      </c>
      <c r="D154" s="1467">
        <v>46232</v>
      </c>
      <c r="E154" s="1467">
        <v>46232.027199074073</v>
      </c>
      <c r="F154" s="1466"/>
      <c r="G154" s="1463" t="s">
        <v>8661</v>
      </c>
      <c r="H154" s="1467">
        <v>46272.833333333336</v>
      </c>
      <c r="I154" s="1467">
        <v>46272.644375000003</v>
      </c>
    </row>
    <row r="155" spans="1:9" ht="14">
      <c r="A155" s="1464" t="s">
        <v>5352</v>
      </c>
      <c r="B155" s="1464">
        <v>6505915770</v>
      </c>
      <c r="C155" s="1464" t="s">
        <v>123</v>
      </c>
      <c r="D155" s="1468">
        <v>46219.958333333336</v>
      </c>
      <c r="E155" s="1468">
        <v>46220.011817129627</v>
      </c>
      <c r="F155" s="1465"/>
      <c r="G155" s="1464" t="s">
        <v>10205</v>
      </c>
      <c r="H155" s="1468">
        <v>46267.791666666664</v>
      </c>
      <c r="I155" s="1468">
        <v>46268.28087962963</v>
      </c>
    </row>
    <row r="156" spans="1:9" ht="14">
      <c r="A156" s="1463" t="s">
        <v>5360</v>
      </c>
      <c r="B156" s="1463">
        <v>9508140760</v>
      </c>
      <c r="C156" s="1463" t="s">
        <v>10200</v>
      </c>
      <c r="D156" s="1467">
        <v>46213.020833333336</v>
      </c>
      <c r="E156" s="1467">
        <v>46213.041493055556</v>
      </c>
      <c r="F156" s="1463" t="s">
        <v>10215</v>
      </c>
      <c r="G156" s="1463" t="s">
        <v>10204</v>
      </c>
      <c r="H156" s="1467">
        <v>46299.875</v>
      </c>
      <c r="I156" s="1467">
        <v>46299.829872685186</v>
      </c>
    </row>
    <row r="157" spans="1:9" ht="14">
      <c r="A157" s="1464" t="s">
        <v>5365</v>
      </c>
      <c r="B157" s="1464">
        <v>9508147070</v>
      </c>
      <c r="C157" s="1464" t="s">
        <v>10200</v>
      </c>
      <c r="D157" s="1468">
        <v>46213.020833333336</v>
      </c>
      <c r="E157" s="1468">
        <v>46213.041493055556</v>
      </c>
      <c r="F157" s="1464" t="s">
        <v>123</v>
      </c>
      <c r="G157" s="1464" t="s">
        <v>8661</v>
      </c>
      <c r="H157" s="1468">
        <v>46285.041666666664</v>
      </c>
      <c r="I157" s="1468">
        <v>46284.921701388892</v>
      </c>
    </row>
    <row r="158" spans="1:9" ht="14">
      <c r="A158" s="1463" t="s">
        <v>5370</v>
      </c>
      <c r="B158" s="1463">
        <v>9508147071</v>
      </c>
      <c r="C158" s="1463" t="s">
        <v>10200</v>
      </c>
      <c r="D158" s="1467">
        <v>46213.020833333336</v>
      </c>
      <c r="E158" s="1467">
        <v>46213.041493055556</v>
      </c>
      <c r="F158" s="1463" t="s">
        <v>123</v>
      </c>
      <c r="G158" s="1463" t="s">
        <v>8661</v>
      </c>
      <c r="H158" s="1467">
        <v>46285.041666666664</v>
      </c>
      <c r="I158" s="1467">
        <v>46284.921701388892</v>
      </c>
    </row>
    <row r="159" spans="1:9" ht="14">
      <c r="A159" s="1464" t="s">
        <v>5375</v>
      </c>
      <c r="B159" s="1464">
        <v>9508147081</v>
      </c>
      <c r="C159" s="1464" t="s">
        <v>10200</v>
      </c>
      <c r="D159" s="1468">
        <v>46213.020833333336</v>
      </c>
      <c r="E159" s="1468">
        <v>46213.041493055556</v>
      </c>
      <c r="F159" s="1464" t="s">
        <v>123</v>
      </c>
      <c r="G159" s="1464" t="s">
        <v>8661</v>
      </c>
      <c r="H159" s="1468">
        <v>46290.25</v>
      </c>
      <c r="I159" s="1468">
        <v>46290.232800925929</v>
      </c>
    </row>
    <row r="160" spans="1:9" ht="14">
      <c r="A160" s="1463" t="s">
        <v>5380</v>
      </c>
      <c r="B160" s="1463">
        <v>9508147080</v>
      </c>
      <c r="C160" s="1463" t="s">
        <v>10200</v>
      </c>
      <c r="D160" s="1467">
        <v>46213.020833333336</v>
      </c>
      <c r="E160" s="1467">
        <v>46213.041493055556</v>
      </c>
      <c r="F160" s="1463" t="s">
        <v>123</v>
      </c>
      <c r="G160" s="1463" t="s">
        <v>8661</v>
      </c>
      <c r="H160" s="1467">
        <v>46290.25</v>
      </c>
      <c r="I160" s="1467">
        <v>46290.232800925929</v>
      </c>
    </row>
    <row r="161" spans="1:9" ht="14">
      <c r="A161" s="1464" t="s">
        <v>5386</v>
      </c>
      <c r="B161" s="1464">
        <v>6506450380</v>
      </c>
      <c r="C161" s="1464" t="s">
        <v>123</v>
      </c>
      <c r="D161" s="1468">
        <v>46223.3125</v>
      </c>
      <c r="E161" s="1468">
        <v>46223.347905092596</v>
      </c>
      <c r="F161" s="1464" t="s">
        <v>10216</v>
      </c>
      <c r="G161" s="1464" t="s">
        <v>10211</v>
      </c>
      <c r="H161" s="1468">
        <v>46284.916666666664</v>
      </c>
      <c r="I161" s="1468">
        <v>46285.259710648148</v>
      </c>
    </row>
    <row r="162" spans="1:9" ht="14">
      <c r="A162" s="1463" t="s">
        <v>5393</v>
      </c>
      <c r="B162" s="1463">
        <v>6507018050</v>
      </c>
      <c r="C162" s="1463" t="s">
        <v>123</v>
      </c>
      <c r="D162" s="1467">
        <v>46219.0625</v>
      </c>
      <c r="E162" s="1467">
        <v>46219.103425925925</v>
      </c>
      <c r="F162" s="1466"/>
      <c r="G162" s="1463" t="s">
        <v>10210</v>
      </c>
      <c r="H162" s="1467">
        <v>46253.75</v>
      </c>
      <c r="I162" s="1467">
        <v>46253.739166666666</v>
      </c>
    </row>
    <row r="163" spans="1:9" ht="14">
      <c r="A163" s="1464" t="s">
        <v>5399</v>
      </c>
      <c r="B163" s="1464">
        <v>6507790480</v>
      </c>
      <c r="C163" s="1464" t="s">
        <v>123</v>
      </c>
      <c r="D163" s="1468">
        <v>46231.479166666664</v>
      </c>
      <c r="E163" s="1468">
        <v>46231.502453703702</v>
      </c>
      <c r="F163" s="1465"/>
      <c r="G163" s="1464" t="s">
        <v>10206</v>
      </c>
      <c r="H163" s="1468">
        <v>46266.041666666664</v>
      </c>
      <c r="I163" s="1468">
        <v>46265.971226851849</v>
      </c>
    </row>
    <row r="164" spans="1:9" ht="14">
      <c r="A164" s="1463" t="s">
        <v>5406</v>
      </c>
      <c r="B164" s="1463">
        <v>6507666250</v>
      </c>
      <c r="C164" s="1463" t="s">
        <v>123</v>
      </c>
      <c r="D164" s="1467">
        <v>46231.479166666664</v>
      </c>
      <c r="E164" s="1467">
        <v>46231.502453703702</v>
      </c>
      <c r="F164" s="1466"/>
      <c r="G164" s="1463" t="s">
        <v>10206</v>
      </c>
      <c r="H164" s="1467">
        <v>46266.041666666664</v>
      </c>
      <c r="I164" s="1467">
        <v>46265.971226851849</v>
      </c>
    </row>
    <row r="165" spans="1:9" ht="14">
      <c r="A165" s="1464" t="s">
        <v>5414</v>
      </c>
      <c r="B165" s="1464">
        <v>6508738520</v>
      </c>
      <c r="C165" s="1464" t="s">
        <v>123</v>
      </c>
      <c r="D165" s="1468">
        <v>46231.479166666664</v>
      </c>
      <c r="E165" s="1468">
        <v>46231.502453703702</v>
      </c>
      <c r="F165" s="1465"/>
      <c r="G165" s="1464" t="s">
        <v>10206</v>
      </c>
      <c r="H165" s="1468">
        <v>46266.041666666664</v>
      </c>
      <c r="I165" s="1468">
        <v>46265.971226851849</v>
      </c>
    </row>
    <row r="166" spans="1:9" ht="14">
      <c r="A166" s="1463" t="s">
        <v>5420</v>
      </c>
      <c r="B166" s="1463">
        <v>6506729920</v>
      </c>
      <c r="C166" s="1463" t="s">
        <v>123</v>
      </c>
      <c r="D166" s="1467">
        <v>46221.5</v>
      </c>
      <c r="E166" s="1467">
        <v>46220.527777777781</v>
      </c>
      <c r="F166" s="1466"/>
      <c r="G166" s="1463" t="s">
        <v>10206</v>
      </c>
      <c r="H166" s="1467">
        <v>46260.5</v>
      </c>
      <c r="I166" s="1467">
        <v>46260.57949074074</v>
      </c>
    </row>
    <row r="167" spans="1:9" ht="14">
      <c r="A167" s="1464" t="s">
        <v>5427</v>
      </c>
      <c r="B167" s="1464">
        <v>6506730240</v>
      </c>
      <c r="C167" s="1464" t="s">
        <v>123</v>
      </c>
      <c r="D167" s="1468">
        <v>46223.3125</v>
      </c>
      <c r="E167" s="1468">
        <v>46223.347905092596</v>
      </c>
      <c r="F167" s="1465"/>
      <c r="G167" s="1464" t="s">
        <v>10206</v>
      </c>
      <c r="H167" s="1468">
        <v>46274.291666666664</v>
      </c>
      <c r="I167" s="1468">
        <v>46274.338287037041</v>
      </c>
    </row>
    <row r="168" spans="1:9" ht="14">
      <c r="A168" s="1463" t="s">
        <v>5452</v>
      </c>
      <c r="B168" s="1463">
        <v>6506929700</v>
      </c>
      <c r="C168" s="1463" t="s">
        <v>123</v>
      </c>
      <c r="D168" s="1467">
        <v>46227.3125</v>
      </c>
      <c r="E168" s="1467">
        <v>46227.336087962962</v>
      </c>
      <c r="F168" s="1466"/>
      <c r="G168" s="1463" t="s">
        <v>8661</v>
      </c>
      <c r="H168" s="1467">
        <v>46278.083333333336</v>
      </c>
      <c r="I168" s="1467">
        <v>46278.186840277776</v>
      </c>
    </row>
    <row r="169" spans="1:9" ht="14">
      <c r="A169" s="1464" t="s">
        <v>5458</v>
      </c>
      <c r="B169" s="1464">
        <v>6506899540</v>
      </c>
      <c r="C169" s="1464" t="s">
        <v>123</v>
      </c>
      <c r="D169" s="1468">
        <v>46227.3125</v>
      </c>
      <c r="E169" s="1468">
        <v>46227.336087962962</v>
      </c>
      <c r="F169" s="1465"/>
      <c r="G169" s="1464" t="s">
        <v>8661</v>
      </c>
      <c r="H169" s="1468">
        <v>46278.083333333336</v>
      </c>
      <c r="I169" s="1468">
        <v>46278.186840277776</v>
      </c>
    </row>
    <row r="170" spans="1:9" ht="14">
      <c r="A170" s="1463" t="s">
        <v>5467</v>
      </c>
      <c r="B170" s="1463">
        <v>6506928990</v>
      </c>
      <c r="C170" s="1463" t="s">
        <v>123</v>
      </c>
      <c r="D170" s="1467">
        <v>46227.3125</v>
      </c>
      <c r="E170" s="1467">
        <v>46227.336087962962</v>
      </c>
      <c r="F170" s="1466"/>
      <c r="G170" s="1463" t="s">
        <v>8661</v>
      </c>
      <c r="H170" s="1467">
        <v>46278.083333333336</v>
      </c>
      <c r="I170" s="1467">
        <v>46278.186840277776</v>
      </c>
    </row>
    <row r="171" spans="1:9" ht="14">
      <c r="A171" s="1464" t="s">
        <v>5475</v>
      </c>
      <c r="B171" s="1464">
        <v>6506932230</v>
      </c>
      <c r="C171" s="1464" t="s">
        <v>123</v>
      </c>
      <c r="D171" s="1468">
        <v>46232</v>
      </c>
      <c r="E171" s="1468">
        <v>46232.027199074073</v>
      </c>
      <c r="F171" s="1465"/>
      <c r="G171" s="1464" t="s">
        <v>8661</v>
      </c>
      <c r="H171" s="1468">
        <v>46272.833333333336</v>
      </c>
      <c r="I171" s="1468">
        <v>46272.644375000003</v>
      </c>
    </row>
    <row r="172" spans="1:9" ht="14">
      <c r="A172" s="1463" t="s">
        <v>5481</v>
      </c>
      <c r="B172" s="1463">
        <v>6506596440</v>
      </c>
      <c r="C172" s="1463" t="s">
        <v>123</v>
      </c>
      <c r="D172" s="1467">
        <v>46232</v>
      </c>
      <c r="E172" s="1467">
        <v>46232.027199074073</v>
      </c>
      <c r="F172" s="1466"/>
      <c r="G172" s="1463" t="s">
        <v>8661</v>
      </c>
      <c r="H172" s="1467">
        <v>46272.833333333336</v>
      </c>
      <c r="I172" s="1467">
        <v>46272.644375000003</v>
      </c>
    </row>
    <row r="173" spans="1:9" ht="14">
      <c r="A173" s="1464" t="s">
        <v>5495</v>
      </c>
      <c r="B173" s="1464">
        <v>9508260330</v>
      </c>
      <c r="C173" s="1464" t="s">
        <v>10200</v>
      </c>
      <c r="D173" s="1468">
        <v>46219.847222222219</v>
      </c>
      <c r="E173" s="1468">
        <v>46219.833506944444</v>
      </c>
      <c r="F173" s="1464" t="s">
        <v>10202</v>
      </c>
      <c r="G173" s="1464" t="s">
        <v>8661</v>
      </c>
      <c r="H173" s="1468">
        <v>46300.375</v>
      </c>
      <c r="I173" s="1468">
        <v>46300.460682870369</v>
      </c>
    </row>
    <row r="174" spans="1:9" ht="14">
      <c r="A174" s="1463" t="s">
        <v>5499</v>
      </c>
      <c r="B174" s="1463">
        <v>9508260600</v>
      </c>
      <c r="C174" s="1463" t="s">
        <v>10200</v>
      </c>
      <c r="D174" s="1467">
        <v>46219.847222222219</v>
      </c>
      <c r="E174" s="1467">
        <v>46219.833506944444</v>
      </c>
      <c r="F174" s="1463" t="s">
        <v>10202</v>
      </c>
      <c r="G174" s="1463" t="s">
        <v>8661</v>
      </c>
      <c r="H174" s="1467">
        <v>46283.416666666664</v>
      </c>
      <c r="I174" s="1467">
        <v>46283.4372337963</v>
      </c>
    </row>
    <row r="175" spans="1:9" ht="14">
      <c r="A175" s="1464" t="s">
        <v>5503</v>
      </c>
      <c r="B175" s="1464">
        <v>9508255560</v>
      </c>
      <c r="C175" s="1464" t="s">
        <v>10200</v>
      </c>
      <c r="D175" s="1468">
        <v>46219.847222222219</v>
      </c>
      <c r="E175" s="1468">
        <v>46219.833506944444</v>
      </c>
      <c r="F175" s="1465"/>
      <c r="G175" s="1464" t="s">
        <v>10206</v>
      </c>
      <c r="H175" s="1468">
        <v>46266.041666666664</v>
      </c>
      <c r="I175" s="1468">
        <v>46265.971226851849</v>
      </c>
    </row>
    <row r="176" spans="1:9" ht="14">
      <c r="A176" s="1463" t="s">
        <v>5508</v>
      </c>
      <c r="B176" s="1463">
        <v>9508259840</v>
      </c>
      <c r="C176" s="1463" t="s">
        <v>10200</v>
      </c>
      <c r="D176" s="1467">
        <v>46219.847222222219</v>
      </c>
      <c r="E176" s="1467">
        <v>46219.833506944444</v>
      </c>
      <c r="F176" s="1463" t="s">
        <v>10215</v>
      </c>
      <c r="G176" s="1463" t="s">
        <v>10204</v>
      </c>
      <c r="H176" s="1467">
        <v>46313.875</v>
      </c>
      <c r="I176" s="1467">
        <v>46313.624143518522</v>
      </c>
    </row>
    <row r="177" spans="1:9" ht="14">
      <c r="A177" s="1464" t="s">
        <v>5513</v>
      </c>
      <c r="B177" s="1464">
        <v>6507754600</v>
      </c>
      <c r="C177" s="1464" t="s">
        <v>123</v>
      </c>
      <c r="D177" s="1468">
        <v>46228.166666666664</v>
      </c>
      <c r="E177" s="1468">
        <v>46228.194085648145</v>
      </c>
      <c r="F177" s="1465"/>
      <c r="G177" s="1464" t="s">
        <v>10210</v>
      </c>
      <c r="H177" s="1468">
        <v>46274.999305555553</v>
      </c>
      <c r="I177" s="1468">
        <v>46275.009525462963</v>
      </c>
    </row>
    <row r="178" spans="1:9" ht="14">
      <c r="A178" s="1463" t="s">
        <v>5517</v>
      </c>
      <c r="B178" s="1463">
        <v>6507727180</v>
      </c>
      <c r="C178" s="1463" t="s">
        <v>123</v>
      </c>
      <c r="D178" s="1467">
        <v>46228.166666666664</v>
      </c>
      <c r="E178" s="1467">
        <v>46228.194085648145</v>
      </c>
      <c r="F178" s="1466"/>
      <c r="G178" s="1463" t="s">
        <v>10210</v>
      </c>
      <c r="H178" s="1467">
        <v>46274.999305555553</v>
      </c>
      <c r="I178" s="1467">
        <v>46275.009525462963</v>
      </c>
    </row>
    <row r="179" spans="1:9" ht="14">
      <c r="A179" s="1464" t="s">
        <v>5523</v>
      </c>
      <c r="B179" s="1464">
        <v>6507885650</v>
      </c>
      <c r="C179" s="1464" t="s">
        <v>123</v>
      </c>
      <c r="D179" s="1468">
        <v>46225.208333333336</v>
      </c>
      <c r="E179" s="1468">
        <v>46225.247291666667</v>
      </c>
      <c r="F179" s="1465"/>
      <c r="G179" s="1464" t="s">
        <v>10206</v>
      </c>
      <c r="H179" s="1468">
        <v>46270.833333333336</v>
      </c>
      <c r="I179" s="1468">
        <v>46270.874618055554</v>
      </c>
    </row>
    <row r="180" spans="1:9" ht="14">
      <c r="A180" s="1463" t="s">
        <v>5530</v>
      </c>
      <c r="B180" s="1463">
        <v>6507266890</v>
      </c>
      <c r="C180" s="1463" t="s">
        <v>123</v>
      </c>
      <c r="D180" s="1467">
        <v>46236.25</v>
      </c>
      <c r="E180" s="1467">
        <v>46236.259745370371</v>
      </c>
      <c r="F180" s="1466"/>
      <c r="G180" s="1463" t="s">
        <v>10208</v>
      </c>
      <c r="H180" s="1467">
        <v>46288.666666666664</v>
      </c>
      <c r="I180" s="1467">
        <v>46288.792233796295</v>
      </c>
    </row>
    <row r="181" spans="1:9" ht="14">
      <c r="A181" s="1464" t="s">
        <v>5536</v>
      </c>
      <c r="B181" s="1464">
        <v>6507883400</v>
      </c>
      <c r="C181" s="1464" t="s">
        <v>123</v>
      </c>
      <c r="D181" s="1468">
        <v>46236.25</v>
      </c>
      <c r="E181" s="1468">
        <v>46236.259745370371</v>
      </c>
      <c r="F181" s="1465"/>
      <c r="G181" s="1464" t="s">
        <v>8661</v>
      </c>
      <c r="H181" s="1468">
        <v>46285.041666666664</v>
      </c>
      <c r="I181" s="1468">
        <v>46284.921701388892</v>
      </c>
    </row>
    <row r="182" spans="1:9" ht="14">
      <c r="A182" s="1463" t="s">
        <v>5545</v>
      </c>
      <c r="B182" s="1463">
        <v>6508803190</v>
      </c>
      <c r="C182" s="1463" t="s">
        <v>123</v>
      </c>
      <c r="D182" s="1467">
        <v>46236.25</v>
      </c>
      <c r="E182" s="1467">
        <v>46236.259745370371</v>
      </c>
      <c r="F182" s="1466"/>
      <c r="G182" s="1463" t="s">
        <v>8661</v>
      </c>
      <c r="H182" s="1467">
        <v>46285.041666666664</v>
      </c>
      <c r="I182" s="1467">
        <v>46284.921701388892</v>
      </c>
    </row>
    <row r="183" spans="1:9" ht="14">
      <c r="A183" s="1464" t="s">
        <v>5556</v>
      </c>
      <c r="B183" s="1464">
        <v>6507751580</v>
      </c>
      <c r="C183" s="1464" t="s">
        <v>123</v>
      </c>
      <c r="D183" s="1468">
        <v>46236.25</v>
      </c>
      <c r="E183" s="1468">
        <v>46236.259745370371</v>
      </c>
      <c r="F183" s="1465"/>
      <c r="G183" s="1464" t="s">
        <v>10205</v>
      </c>
      <c r="H183" s="1468">
        <v>46296.25</v>
      </c>
      <c r="I183" s="1468">
        <v>46295.536874999998</v>
      </c>
    </row>
    <row r="184" spans="1:9" ht="14">
      <c r="A184" s="1463" t="s">
        <v>5562</v>
      </c>
      <c r="B184" s="1463">
        <v>6507752990</v>
      </c>
      <c r="C184" s="1463" t="s">
        <v>123</v>
      </c>
      <c r="D184" s="1467">
        <v>46233.708333333336</v>
      </c>
      <c r="E184" s="1467">
        <v>46233.663472222222</v>
      </c>
      <c r="F184" s="1466"/>
      <c r="G184" s="1463" t="s">
        <v>10205</v>
      </c>
      <c r="H184" s="1467">
        <v>46280.541666666664</v>
      </c>
      <c r="I184" s="1467">
        <v>46280.459409722222</v>
      </c>
    </row>
    <row r="185" spans="1:9" ht="14">
      <c r="A185" s="1464" t="s">
        <v>5571</v>
      </c>
      <c r="B185" s="1464">
        <v>6507753540</v>
      </c>
      <c r="C185" s="1464" t="s">
        <v>123</v>
      </c>
      <c r="D185" s="1468">
        <v>46233.708333333336</v>
      </c>
      <c r="E185" s="1468">
        <v>46233.663472222222</v>
      </c>
      <c r="F185" s="1465"/>
      <c r="G185" s="1464" t="s">
        <v>10205</v>
      </c>
      <c r="H185" s="1468">
        <v>46280.541666666664</v>
      </c>
      <c r="I185" s="1468">
        <v>46280.459409722222</v>
      </c>
    </row>
    <row r="186" spans="1:9" ht="14">
      <c r="A186" s="1463" t="s">
        <v>5578</v>
      </c>
      <c r="B186" s="1463">
        <v>9508345820</v>
      </c>
      <c r="C186" s="1463" t="s">
        <v>10200</v>
      </c>
      <c r="D186" s="1467">
        <v>46225.833333333336</v>
      </c>
      <c r="E186" s="1467">
        <v>46225.845682870371</v>
      </c>
      <c r="F186" s="1463" t="s">
        <v>10202</v>
      </c>
      <c r="G186" s="1463" t="s">
        <v>8661</v>
      </c>
      <c r="H186" s="1467">
        <v>46320.645833333336</v>
      </c>
      <c r="I186" s="1467">
        <v>46320.713321759256</v>
      </c>
    </row>
    <row r="187" spans="1:9" ht="14">
      <c r="A187" s="1464" t="s">
        <v>5582</v>
      </c>
      <c r="B187" s="1464">
        <v>9508345960</v>
      </c>
      <c r="C187" s="1464" t="s">
        <v>10200</v>
      </c>
      <c r="D187" s="1468">
        <v>46225.833333333336</v>
      </c>
      <c r="E187" s="1468">
        <v>46225.845682870371</v>
      </c>
      <c r="F187" s="1464" t="s">
        <v>10202</v>
      </c>
      <c r="G187" s="1464" t="s">
        <v>8661</v>
      </c>
      <c r="H187" s="1468">
        <v>46290.25</v>
      </c>
      <c r="I187" s="1468">
        <v>46290.232800925929</v>
      </c>
    </row>
    <row r="188" spans="1:9" ht="14">
      <c r="A188" s="1463" t="s">
        <v>5588</v>
      </c>
      <c r="B188" s="1463">
        <v>9508353580</v>
      </c>
      <c r="C188" s="1463" t="s">
        <v>10200</v>
      </c>
      <c r="D188" s="1467">
        <v>46225.833333333336</v>
      </c>
      <c r="E188" s="1467">
        <v>46225.845682870371</v>
      </c>
      <c r="F188" s="1466"/>
      <c r="G188" s="1463" t="s">
        <v>10206</v>
      </c>
      <c r="H188" s="1467">
        <v>46270.645833333336</v>
      </c>
      <c r="I188" s="1467">
        <v>46270.66238425926</v>
      </c>
    </row>
    <row r="189" spans="1:9" ht="14">
      <c r="A189" s="1464" t="s">
        <v>5595</v>
      </c>
      <c r="B189" s="1464">
        <v>9508346010</v>
      </c>
      <c r="C189" s="1464" t="s">
        <v>10200</v>
      </c>
      <c r="D189" s="1468">
        <v>46225.833333333336</v>
      </c>
      <c r="E189" s="1468">
        <v>46225.845682870371</v>
      </c>
      <c r="F189" s="1464" t="s">
        <v>10217</v>
      </c>
      <c r="G189" s="1464" t="s">
        <v>10204</v>
      </c>
      <c r="H189" s="1468">
        <v>46299.875</v>
      </c>
      <c r="I189" s="1468">
        <v>46299.829872685186</v>
      </c>
    </row>
    <row r="190" spans="1:9" ht="14">
      <c r="A190" s="1463" t="s">
        <v>5600</v>
      </c>
      <c r="B190" s="1463">
        <v>6507915250</v>
      </c>
      <c r="C190" s="1463" t="s">
        <v>123</v>
      </c>
      <c r="D190" s="1467">
        <v>46231.479166666664</v>
      </c>
      <c r="E190" s="1467">
        <v>46231.502453703702</v>
      </c>
      <c r="F190" s="1466"/>
      <c r="G190" s="1463" t="s">
        <v>10206</v>
      </c>
      <c r="H190" s="1467">
        <v>46266.041666666664</v>
      </c>
      <c r="I190" s="1467">
        <v>46265.971226851849</v>
      </c>
    </row>
    <row r="191" spans="1:9" ht="14">
      <c r="A191" s="1464" t="s">
        <v>5616</v>
      </c>
      <c r="B191" s="1464">
        <v>6508479150</v>
      </c>
      <c r="C191" s="1464" t="s">
        <v>123</v>
      </c>
      <c r="D191" s="1468">
        <v>46232.125</v>
      </c>
      <c r="E191" s="1468">
        <v>46232.170578703706</v>
      </c>
      <c r="F191" s="1465"/>
      <c r="G191" s="1464" t="s">
        <v>10206</v>
      </c>
      <c r="H191" s="1468">
        <v>46279.083333333336</v>
      </c>
      <c r="I191" s="1468">
        <v>46279.139525462961</v>
      </c>
    </row>
    <row r="192" spans="1:9" ht="14">
      <c r="A192" s="1463" t="s">
        <v>5621</v>
      </c>
      <c r="B192" s="1463">
        <v>6508016810</v>
      </c>
      <c r="C192" s="1463" t="s">
        <v>123</v>
      </c>
      <c r="D192" s="1467">
        <v>46232</v>
      </c>
      <c r="E192" s="1467">
        <v>46232.027199074073</v>
      </c>
      <c r="F192" s="1466"/>
      <c r="G192" s="1463" t="s">
        <v>8661</v>
      </c>
      <c r="H192" s="1467">
        <v>46272.833333333336</v>
      </c>
      <c r="I192" s="1467">
        <v>46272.644375000003</v>
      </c>
    </row>
    <row r="193" spans="1:9" ht="14">
      <c r="A193" s="1464" t="s">
        <v>5626</v>
      </c>
      <c r="B193" s="1464">
        <v>9508462360</v>
      </c>
      <c r="C193" s="1464" t="s">
        <v>6003</v>
      </c>
      <c r="D193" s="1468">
        <v>46234.145833333336</v>
      </c>
      <c r="E193" s="1468">
        <v>46234.034502314818</v>
      </c>
      <c r="F193" s="1465"/>
      <c r="G193" s="1464" t="s">
        <v>10210</v>
      </c>
      <c r="H193" s="1468">
        <v>46274.999305555553</v>
      </c>
      <c r="I193" s="1468">
        <v>46275.009525462963</v>
      </c>
    </row>
    <row r="194" spans="1:9" ht="14">
      <c r="A194" s="1463" t="s">
        <v>5630</v>
      </c>
      <c r="B194" s="1463">
        <v>9508463160</v>
      </c>
      <c r="C194" s="1463" t="s">
        <v>6003</v>
      </c>
      <c r="D194" s="1467">
        <v>46232.958333333336</v>
      </c>
      <c r="E194" s="1467">
        <v>46232.984756944446</v>
      </c>
      <c r="F194" s="1466"/>
      <c r="G194" s="1463" t="s">
        <v>10206</v>
      </c>
      <c r="H194" s="1467">
        <v>46270.645833333336</v>
      </c>
      <c r="I194" s="1467">
        <v>46270.66238425926</v>
      </c>
    </row>
    <row r="195" spans="1:9" ht="14">
      <c r="A195" s="1464" t="s">
        <v>5635</v>
      </c>
      <c r="B195" s="1464">
        <v>9508462510</v>
      </c>
      <c r="C195" s="1464" t="s">
        <v>6003</v>
      </c>
      <c r="D195" s="1468">
        <v>46234.53125</v>
      </c>
      <c r="E195" s="1468">
        <v>46234.573657407411</v>
      </c>
      <c r="F195" s="1465"/>
      <c r="G195" s="1464" t="s">
        <v>10206</v>
      </c>
      <c r="H195" s="1468">
        <v>46275.083333333336</v>
      </c>
      <c r="I195" s="1468">
        <v>46275.088877314818</v>
      </c>
    </row>
    <row r="196" spans="1:9" ht="14">
      <c r="A196" s="1463" t="s">
        <v>5643</v>
      </c>
      <c r="B196" s="1463">
        <v>9508444890</v>
      </c>
      <c r="C196" s="1463" t="s">
        <v>6003</v>
      </c>
      <c r="D196" s="1467">
        <v>46232.8125</v>
      </c>
      <c r="E196" s="1467">
        <v>46232.832314814812</v>
      </c>
      <c r="F196" s="1466"/>
      <c r="G196" s="1463" t="s">
        <v>8661</v>
      </c>
      <c r="H196" s="1467">
        <v>46276.625</v>
      </c>
      <c r="I196" s="1467">
        <v>46276.681458333333</v>
      </c>
    </row>
    <row r="197" spans="1:9" ht="14">
      <c r="A197" s="1464" t="s">
        <v>5647</v>
      </c>
      <c r="B197" s="1464">
        <v>9508457230</v>
      </c>
      <c r="C197" s="1464" t="s">
        <v>6003</v>
      </c>
      <c r="D197" s="1468">
        <v>46240.802083333336</v>
      </c>
      <c r="E197" s="1468">
        <v>46240.833252314813</v>
      </c>
      <c r="F197" s="1465"/>
      <c r="G197" s="1464" t="s">
        <v>8661</v>
      </c>
      <c r="H197" s="1468">
        <v>46285.041666666664</v>
      </c>
      <c r="I197" s="1468">
        <v>46284.921701388892</v>
      </c>
    </row>
    <row r="198" spans="1:9" ht="14">
      <c r="A198" s="1463" t="s">
        <v>5652</v>
      </c>
      <c r="B198" s="1463">
        <v>9508475300</v>
      </c>
      <c r="C198" s="1463" t="s">
        <v>6003</v>
      </c>
      <c r="D198" s="1467">
        <v>46255.875</v>
      </c>
      <c r="E198" s="1467">
        <v>46255.885057870371</v>
      </c>
      <c r="F198" s="1466"/>
      <c r="G198" s="1463" t="s">
        <v>8661</v>
      </c>
      <c r="H198" s="1467">
        <v>46320.645833333336</v>
      </c>
      <c r="I198" s="1467">
        <v>46320.713321759256</v>
      </c>
    </row>
    <row r="199" spans="1:9" ht="14">
      <c r="A199" s="1464" t="s">
        <v>5657</v>
      </c>
      <c r="B199" s="1464">
        <v>6508263600</v>
      </c>
      <c r="C199" s="1464" t="s">
        <v>6003</v>
      </c>
      <c r="D199" s="1468">
        <v>46230.385416666664</v>
      </c>
      <c r="E199" s="1468">
        <v>46230.367858796293</v>
      </c>
      <c r="F199" s="1464" t="s">
        <v>10205</v>
      </c>
      <c r="G199" s="1464" t="s">
        <v>8661</v>
      </c>
      <c r="H199" s="1468">
        <v>46296.916666666664</v>
      </c>
      <c r="I199" s="1468">
        <v>46296.915092592593</v>
      </c>
    </row>
    <row r="200" spans="1:9" ht="14">
      <c r="A200" s="1463" t="s">
        <v>5662</v>
      </c>
      <c r="B200" s="1463">
        <v>9508539600</v>
      </c>
      <c r="C200" s="1463" t="s">
        <v>6003</v>
      </c>
      <c r="D200" s="1467">
        <v>46237.5625</v>
      </c>
      <c r="E200" s="1467">
        <v>46237.471828703703</v>
      </c>
      <c r="F200" s="1466"/>
      <c r="G200" s="1463" t="s">
        <v>10205</v>
      </c>
      <c r="H200" s="1467">
        <v>46280.541666666664</v>
      </c>
      <c r="I200" s="1467">
        <v>46280.459409722222</v>
      </c>
    </row>
    <row r="201" spans="1:9" ht="14">
      <c r="A201" s="1464" t="s">
        <v>5667</v>
      </c>
      <c r="B201" s="1464">
        <v>6507918470</v>
      </c>
      <c r="C201" s="1464" t="s">
        <v>10200</v>
      </c>
      <c r="D201" s="1468">
        <v>46229.333333333336</v>
      </c>
      <c r="E201" s="1468">
        <v>46229.344398148147</v>
      </c>
      <c r="F201" s="1464" t="s">
        <v>123</v>
      </c>
      <c r="G201" s="1464" t="s">
        <v>10210</v>
      </c>
      <c r="H201" s="1468">
        <v>46290.041666666664</v>
      </c>
      <c r="I201" s="1468">
        <v>46290.087800925925</v>
      </c>
    </row>
    <row r="202" spans="1:9" ht="14">
      <c r="A202" s="1463" t="s">
        <v>5671</v>
      </c>
      <c r="B202" s="1463">
        <v>9508471420</v>
      </c>
      <c r="C202" s="1463" t="s">
        <v>10200</v>
      </c>
      <c r="D202" s="1467">
        <v>46229.333333333336</v>
      </c>
      <c r="E202" s="1467">
        <v>46229.344398148147</v>
      </c>
      <c r="F202" s="1466"/>
      <c r="G202" s="1463" t="s">
        <v>10206</v>
      </c>
      <c r="H202" s="1467">
        <v>46279.958333333336</v>
      </c>
      <c r="I202" s="1467">
        <v>46279.935393518521</v>
      </c>
    </row>
    <row r="203" spans="1:9" ht="14">
      <c r="A203" s="1464" t="s">
        <v>5680</v>
      </c>
      <c r="B203" s="1464">
        <v>6508644310</v>
      </c>
      <c r="C203" s="1464" t="s">
        <v>123</v>
      </c>
      <c r="D203" s="1468">
        <v>46239.25</v>
      </c>
      <c r="E203" s="1468">
        <v>46239.274942129632</v>
      </c>
      <c r="F203" s="1465"/>
      <c r="G203" s="1464" t="s">
        <v>10210</v>
      </c>
      <c r="H203" s="1468">
        <v>46286.270833333336</v>
      </c>
      <c r="I203" s="1468">
        <v>46286.275081018517</v>
      </c>
    </row>
    <row r="204" spans="1:9" ht="14">
      <c r="A204" s="1463" t="s">
        <v>5684</v>
      </c>
      <c r="B204" s="1463">
        <v>6508646060</v>
      </c>
      <c r="C204" s="1463" t="s">
        <v>123</v>
      </c>
      <c r="D204" s="1467">
        <v>46239.25</v>
      </c>
      <c r="E204" s="1467">
        <v>46239.274942129632</v>
      </c>
      <c r="F204" s="1466"/>
      <c r="G204" s="1463" t="s">
        <v>10210</v>
      </c>
      <c r="H204" s="1467">
        <v>46286.270833333336</v>
      </c>
      <c r="I204" s="1467">
        <v>46286.275081018517</v>
      </c>
    </row>
    <row r="205" spans="1:9" ht="14">
      <c r="A205" s="1464" t="s">
        <v>5715</v>
      </c>
      <c r="B205" s="1464">
        <v>6508616170</v>
      </c>
      <c r="C205" s="1464" t="s">
        <v>123</v>
      </c>
      <c r="D205" s="1468">
        <v>46240.333333333336</v>
      </c>
      <c r="E205" s="1468">
        <v>46240.230393518519</v>
      </c>
      <c r="F205" s="1465"/>
      <c r="G205" s="1464" t="s">
        <v>10206</v>
      </c>
      <c r="H205" s="1468">
        <v>46279.958333333336</v>
      </c>
      <c r="I205" s="1468">
        <v>46279.935393518521</v>
      </c>
    </row>
    <row r="206" spans="1:9" ht="14">
      <c r="A206" s="1463" t="s">
        <v>5719</v>
      </c>
      <c r="B206" s="1463">
        <v>6508644840</v>
      </c>
      <c r="C206" s="1463" t="s">
        <v>123</v>
      </c>
      <c r="D206" s="1467">
        <v>46240.333333333336</v>
      </c>
      <c r="E206" s="1467">
        <v>46240.230393518519</v>
      </c>
      <c r="F206" s="1466"/>
      <c r="G206" s="1463" t="s">
        <v>10206</v>
      </c>
      <c r="H206" s="1467">
        <v>46279.958333333336</v>
      </c>
      <c r="I206" s="1467">
        <v>46279.935393518521</v>
      </c>
    </row>
    <row r="207" spans="1:9" ht="14">
      <c r="A207" s="1464" t="s">
        <v>5729</v>
      </c>
      <c r="B207" s="1464">
        <v>6508515860</v>
      </c>
      <c r="C207" s="1464" t="s">
        <v>123</v>
      </c>
      <c r="D207" s="1468">
        <v>46240.875</v>
      </c>
      <c r="E207" s="1468">
        <v>46240.874942129631</v>
      </c>
      <c r="F207" s="1465"/>
      <c r="G207" s="1464" t="s">
        <v>10206</v>
      </c>
      <c r="H207" s="1468">
        <v>46283.875</v>
      </c>
      <c r="I207" s="1468">
        <v>46283.912627314814</v>
      </c>
    </row>
    <row r="208" spans="1:9" ht="14">
      <c r="A208" s="1463" t="s">
        <v>5736</v>
      </c>
      <c r="B208" s="1463">
        <v>6509178440</v>
      </c>
      <c r="C208" s="1463" t="s">
        <v>123</v>
      </c>
      <c r="D208" s="1467">
        <v>46263.4375</v>
      </c>
      <c r="E208" s="1467">
        <v>46263.48333333333</v>
      </c>
      <c r="F208" s="1466"/>
      <c r="G208" s="1463" t="s">
        <v>10208</v>
      </c>
      <c r="H208" s="1467">
        <v>46323.25</v>
      </c>
      <c r="I208" s="1467">
        <v>46323.510312500002</v>
      </c>
    </row>
    <row r="209" spans="1:9" ht="14">
      <c r="A209" s="1464" t="s">
        <v>5740</v>
      </c>
      <c r="B209" s="1464">
        <v>6509176590</v>
      </c>
      <c r="C209" s="1464" t="s">
        <v>123</v>
      </c>
      <c r="D209" s="1468">
        <v>46263.4375</v>
      </c>
      <c r="E209" s="1468">
        <v>46263.48333333333</v>
      </c>
      <c r="F209" s="1465"/>
      <c r="G209" s="1464" t="s">
        <v>8661</v>
      </c>
      <c r="H209" s="1468">
        <v>46318.302083333336</v>
      </c>
      <c r="I209" s="1468">
        <v>46318.374756944446</v>
      </c>
    </row>
    <row r="210" spans="1:9" ht="14">
      <c r="A210" s="1463" t="s">
        <v>5751</v>
      </c>
      <c r="B210" s="1463">
        <v>6508944020</v>
      </c>
      <c r="C210" s="1463" t="s">
        <v>123</v>
      </c>
      <c r="D210" s="1467">
        <v>46241.770833333336</v>
      </c>
      <c r="E210" s="1467">
        <v>46241.8122337963</v>
      </c>
      <c r="F210" s="1463" t="s">
        <v>10212</v>
      </c>
      <c r="G210" s="1463" t="s">
        <v>8661</v>
      </c>
      <c r="H210" s="1467">
        <v>46283.416666666664</v>
      </c>
      <c r="I210" s="1467">
        <v>46283.4372337963</v>
      </c>
    </row>
    <row r="211" spans="1:9" ht="14">
      <c r="A211" s="1464" t="s">
        <v>5756</v>
      </c>
      <c r="B211" s="1464">
        <v>6508516880</v>
      </c>
      <c r="C211" s="1464" t="s">
        <v>123</v>
      </c>
      <c r="D211" s="1468">
        <v>46241.770833333336</v>
      </c>
      <c r="E211" s="1468">
        <v>46241.8122337963</v>
      </c>
      <c r="F211" s="1465"/>
      <c r="G211" s="1464" t="s">
        <v>10205</v>
      </c>
      <c r="H211" s="1468">
        <v>46304.833333333336</v>
      </c>
      <c r="I211" s="1468">
        <v>46304.744097222225</v>
      </c>
    </row>
    <row r="212" spans="1:9" ht="14">
      <c r="A212" s="1463" t="s">
        <v>5772</v>
      </c>
      <c r="B212" s="1463">
        <v>9508541790</v>
      </c>
      <c r="C212" s="1463" t="s">
        <v>6003</v>
      </c>
      <c r="D212" s="1467">
        <v>46246.375</v>
      </c>
      <c r="E212" s="1467">
        <v>46246.423298611109</v>
      </c>
      <c r="F212" s="1466"/>
      <c r="G212" s="1463" t="s">
        <v>10206</v>
      </c>
      <c r="H212" s="1467">
        <v>46279.958333333336</v>
      </c>
      <c r="I212" s="1467">
        <v>46279.935393518521</v>
      </c>
    </row>
    <row r="213" spans="1:9" ht="14">
      <c r="A213" s="1464" t="s">
        <v>5777</v>
      </c>
      <c r="B213" s="1464">
        <v>6509574920</v>
      </c>
      <c r="C213" s="1464" t="s">
        <v>6003</v>
      </c>
      <c r="D213" s="1468">
        <v>46239.75</v>
      </c>
      <c r="E213" s="1468">
        <v>46239.791562500002</v>
      </c>
      <c r="F213" s="1465"/>
      <c r="G213" s="1464" t="s">
        <v>8661</v>
      </c>
      <c r="H213" s="1468">
        <v>46283.416666666664</v>
      </c>
      <c r="I213" s="1468">
        <v>46283.4372337963</v>
      </c>
    </row>
    <row r="214" spans="1:9" ht="14">
      <c r="A214" s="1463" t="s">
        <v>5781</v>
      </c>
      <c r="B214" s="1463">
        <v>9508762540</v>
      </c>
      <c r="C214" s="1463" t="s">
        <v>6003</v>
      </c>
      <c r="D214" s="1467">
        <v>46241.541666666664</v>
      </c>
      <c r="E214" s="1467">
        <v>46241.557245370372</v>
      </c>
      <c r="F214" s="1466"/>
      <c r="G214" s="1463" t="s">
        <v>10205</v>
      </c>
      <c r="H214" s="1467">
        <v>46284</v>
      </c>
      <c r="I214" s="1467">
        <v>46284.052731481483</v>
      </c>
    </row>
    <row r="215" spans="1:9" ht="14">
      <c r="A215" s="1464" t="s">
        <v>5811</v>
      </c>
      <c r="B215" s="1464">
        <v>6508495770</v>
      </c>
      <c r="C215" s="1464" t="s">
        <v>10200</v>
      </c>
      <c r="D215" s="1468">
        <v>46236.145833333336</v>
      </c>
      <c r="E215" s="1468">
        <v>46236.170567129629</v>
      </c>
      <c r="F215" s="1464" t="s">
        <v>123</v>
      </c>
      <c r="G215" s="1464" t="s">
        <v>10210</v>
      </c>
      <c r="H215" s="1468">
        <v>46299.166666666664</v>
      </c>
      <c r="I215" s="1468">
        <v>46299.108738425923</v>
      </c>
    </row>
    <row r="216" spans="1:9" ht="14">
      <c r="A216" s="1463" t="s">
        <v>5815</v>
      </c>
      <c r="B216" s="1463">
        <v>6508664430</v>
      </c>
      <c r="C216" s="1463" t="s">
        <v>10200</v>
      </c>
      <c r="D216" s="1467">
        <v>46236.145833333336</v>
      </c>
      <c r="E216" s="1467">
        <v>46236.170567129629</v>
      </c>
      <c r="F216" s="1463" t="s">
        <v>123</v>
      </c>
      <c r="G216" s="1463" t="s">
        <v>10210</v>
      </c>
      <c r="H216" s="1467">
        <v>46299.166666666664</v>
      </c>
      <c r="I216" s="1467">
        <v>46299.108738425923</v>
      </c>
    </row>
    <row r="217" spans="1:9" ht="14">
      <c r="A217" s="1464" t="s">
        <v>5826</v>
      </c>
      <c r="B217" s="1464">
        <v>9508614640</v>
      </c>
      <c r="C217" s="1464" t="s">
        <v>10200</v>
      </c>
      <c r="D217" s="1468">
        <v>46236.145833333336</v>
      </c>
      <c r="E217" s="1468">
        <v>46236.170567129629</v>
      </c>
      <c r="F217" s="1465"/>
      <c r="G217" s="1464" t="s">
        <v>10206</v>
      </c>
      <c r="H217" s="1468">
        <v>46284.875</v>
      </c>
      <c r="I217" s="1468">
        <v>46285.134953703702</v>
      </c>
    </row>
    <row r="218" spans="1:9" ht="14">
      <c r="A218" s="1463" t="s">
        <v>5832</v>
      </c>
      <c r="B218" s="1463">
        <v>9508583080</v>
      </c>
      <c r="C218" s="1463" t="s">
        <v>10200</v>
      </c>
      <c r="D218" s="1467">
        <v>46236.145833333336</v>
      </c>
      <c r="E218" s="1467">
        <v>46236.170567129629</v>
      </c>
      <c r="F218" s="1463" t="s">
        <v>10202</v>
      </c>
      <c r="G218" s="1463" t="s">
        <v>8661</v>
      </c>
      <c r="H218" s="1467">
        <v>46318.302083333336</v>
      </c>
      <c r="I218" s="1467">
        <v>46318.374756944446</v>
      </c>
    </row>
    <row r="219" spans="1:9" ht="14">
      <c r="A219" s="1464" t="s">
        <v>5836</v>
      </c>
      <c r="B219" s="1464">
        <v>9508583110</v>
      </c>
      <c r="C219" s="1464" t="s">
        <v>10200</v>
      </c>
      <c r="D219" s="1468">
        <v>46236.145833333336</v>
      </c>
      <c r="E219" s="1468">
        <v>46236.170567129629</v>
      </c>
      <c r="F219" s="1464" t="s">
        <v>10202</v>
      </c>
      <c r="G219" s="1464" t="s">
        <v>8661</v>
      </c>
      <c r="H219" s="1468">
        <v>46296.916666666664</v>
      </c>
      <c r="I219" s="1468">
        <v>46296.915092592593</v>
      </c>
    </row>
    <row r="220" spans="1:9" ht="14">
      <c r="A220" s="1463" t="s">
        <v>5840</v>
      </c>
      <c r="B220" s="1463">
        <v>6508687400</v>
      </c>
      <c r="C220" s="1463" t="s">
        <v>10200</v>
      </c>
      <c r="D220" s="1467">
        <v>46236.145833333336</v>
      </c>
      <c r="E220" s="1467">
        <v>46236.170567129629</v>
      </c>
      <c r="F220" s="1463" t="s">
        <v>10218</v>
      </c>
      <c r="G220" s="1463" t="s">
        <v>10204</v>
      </c>
      <c r="H220" s="1467">
        <v>46322.666666666664</v>
      </c>
      <c r="I220" s="1467">
        <v>46322.689768518518</v>
      </c>
    </row>
    <row r="221" spans="1:9" ht="14">
      <c r="A221" s="1464" t="s">
        <v>5844</v>
      </c>
      <c r="B221" s="1464">
        <v>9508582980</v>
      </c>
      <c r="C221" s="1464" t="s">
        <v>10200</v>
      </c>
      <c r="D221" s="1468">
        <v>46236.145833333336</v>
      </c>
      <c r="E221" s="1468">
        <v>46236.170567129629</v>
      </c>
      <c r="F221" s="1464" t="s">
        <v>10215</v>
      </c>
      <c r="G221" s="1464" t="s">
        <v>10204</v>
      </c>
      <c r="H221" s="1468">
        <v>46313.875</v>
      </c>
      <c r="I221" s="1468">
        <v>46313.624143518522</v>
      </c>
    </row>
    <row r="222" spans="1:9" ht="14">
      <c r="A222" s="1463" t="s">
        <v>5857</v>
      </c>
      <c r="B222" s="1463">
        <v>6509534810</v>
      </c>
      <c r="C222" s="1463" t="s">
        <v>123</v>
      </c>
      <c r="D222" s="1467">
        <v>46251.104166666664</v>
      </c>
      <c r="E222" s="1467">
        <v>46251.127662037034</v>
      </c>
      <c r="F222" s="1466"/>
      <c r="G222" s="1463" t="s">
        <v>10211</v>
      </c>
      <c r="H222" s="1467">
        <v>46301.229166666664</v>
      </c>
      <c r="I222" s="1467">
        <v>46301.217928240738</v>
      </c>
    </row>
    <row r="223" spans="1:9" ht="14">
      <c r="A223" s="1464" t="s">
        <v>5866</v>
      </c>
      <c r="B223" s="1464">
        <v>6462068440</v>
      </c>
      <c r="C223" s="1464" t="s">
        <v>123</v>
      </c>
      <c r="D223" s="1468">
        <v>46251.104166666664</v>
      </c>
      <c r="E223" s="1468">
        <v>46251.127662037034</v>
      </c>
      <c r="F223" s="1465"/>
      <c r="G223" s="1464" t="s">
        <v>10210</v>
      </c>
      <c r="H223" s="1468">
        <v>46290.041666666664</v>
      </c>
      <c r="I223" s="1468">
        <v>46290.087800925925</v>
      </c>
    </row>
    <row r="224" spans="1:9" ht="14">
      <c r="A224" s="1463" t="s">
        <v>5870</v>
      </c>
      <c r="B224" s="1463">
        <v>6462001750</v>
      </c>
      <c r="C224" s="1463" t="s">
        <v>123</v>
      </c>
      <c r="D224" s="1467">
        <v>46248.541666666664</v>
      </c>
      <c r="E224" s="1467">
        <v>46248.565416666665</v>
      </c>
      <c r="F224" s="1466"/>
      <c r="G224" s="1463" t="s">
        <v>10206</v>
      </c>
      <c r="H224" s="1467">
        <v>46284.875</v>
      </c>
      <c r="I224" s="1467">
        <v>46285.134953703702</v>
      </c>
    </row>
    <row r="225" spans="1:9" ht="14">
      <c r="A225" s="1464" t="s">
        <v>5874</v>
      </c>
      <c r="B225" s="1464">
        <v>6509599960</v>
      </c>
      <c r="C225" s="1464" t="s">
        <v>123</v>
      </c>
      <c r="D225" s="1468">
        <v>46248.541666666664</v>
      </c>
      <c r="E225" s="1468">
        <v>46248.565416666665</v>
      </c>
      <c r="F225" s="1465"/>
      <c r="G225" s="1464" t="s">
        <v>10206</v>
      </c>
      <c r="H225" s="1468">
        <v>46284.875</v>
      </c>
      <c r="I225" s="1468">
        <v>46285.134953703702</v>
      </c>
    </row>
    <row r="226" spans="1:9" ht="14">
      <c r="A226" s="1463" t="s">
        <v>5889</v>
      </c>
      <c r="B226" s="1463">
        <v>6509605690</v>
      </c>
      <c r="C226" s="1463" t="s">
        <v>123</v>
      </c>
      <c r="D226" s="1467">
        <v>46248.541666666664</v>
      </c>
      <c r="E226" s="1467">
        <v>46248.565416666665</v>
      </c>
      <c r="F226" s="1466"/>
      <c r="G226" s="1463" t="s">
        <v>10206</v>
      </c>
      <c r="H226" s="1467">
        <v>46284.875</v>
      </c>
      <c r="I226" s="1467">
        <v>46285.134953703702</v>
      </c>
    </row>
    <row r="227" spans="1:9" ht="14">
      <c r="A227" s="1464" t="s">
        <v>5896</v>
      </c>
      <c r="B227" s="1464">
        <v>6509601100</v>
      </c>
      <c r="C227" s="1464" t="s">
        <v>123</v>
      </c>
      <c r="D227" s="1468">
        <v>46250.083333333336</v>
      </c>
      <c r="E227" s="1468">
        <v>46249.754317129627</v>
      </c>
      <c r="F227" s="1465"/>
      <c r="G227" s="1464" t="s">
        <v>10206</v>
      </c>
      <c r="H227" s="1468">
        <v>46300.4375</v>
      </c>
      <c r="I227" s="1468">
        <v>46300.506249999999</v>
      </c>
    </row>
    <row r="228" spans="1:9" ht="14">
      <c r="A228" s="1463" t="s">
        <v>5936</v>
      </c>
      <c r="B228" s="1463">
        <v>6509607500</v>
      </c>
      <c r="C228" s="1463" t="s">
        <v>123</v>
      </c>
      <c r="D228" s="1467">
        <v>46253.916666666664</v>
      </c>
      <c r="E228" s="1467">
        <v>46253.978368055556</v>
      </c>
      <c r="F228" s="1466"/>
      <c r="G228" s="1463" t="s">
        <v>8661</v>
      </c>
      <c r="H228" s="1467">
        <v>46290.25</v>
      </c>
      <c r="I228" s="1467">
        <v>46290.232800925929</v>
      </c>
    </row>
    <row r="229" spans="1:9" ht="14">
      <c r="A229" s="1464" t="s">
        <v>5940</v>
      </c>
      <c r="B229" s="1464">
        <v>6509607090</v>
      </c>
      <c r="C229" s="1464" t="s">
        <v>123</v>
      </c>
      <c r="D229" s="1468">
        <v>46253.916666666664</v>
      </c>
      <c r="E229" s="1468">
        <v>46253.978368055556</v>
      </c>
      <c r="F229" s="1465"/>
      <c r="G229" s="1464" t="s">
        <v>10205</v>
      </c>
      <c r="H229" s="1468">
        <v>46284.333333333336</v>
      </c>
      <c r="I229" s="1468">
        <v>46284.41574074074</v>
      </c>
    </row>
    <row r="230" spans="1:9" ht="14">
      <c r="A230" s="1463" t="s">
        <v>5946</v>
      </c>
      <c r="B230" s="1463">
        <v>6509607950</v>
      </c>
      <c r="C230" s="1463" t="s">
        <v>123</v>
      </c>
      <c r="D230" s="1467">
        <v>46241.770833333336</v>
      </c>
      <c r="E230" s="1467">
        <v>46241.8122337963</v>
      </c>
      <c r="F230" s="1463" t="s">
        <v>10203</v>
      </c>
      <c r="G230" s="1463" t="s">
        <v>10204</v>
      </c>
      <c r="H230" s="1467">
        <v>46299.875</v>
      </c>
      <c r="I230" s="1467">
        <v>46299.829872685186</v>
      </c>
    </row>
    <row r="231" spans="1:9" ht="14">
      <c r="A231" s="1464" t="s">
        <v>5963</v>
      </c>
      <c r="B231" s="1464">
        <v>9508771470</v>
      </c>
      <c r="C231" s="1464" t="s">
        <v>10200</v>
      </c>
      <c r="D231" s="1468">
        <v>46243.166666666664</v>
      </c>
      <c r="E231" s="1468">
        <v>46243.192557870374</v>
      </c>
      <c r="F231" s="1464" t="s">
        <v>10202</v>
      </c>
      <c r="G231" s="1464" t="s">
        <v>8661</v>
      </c>
      <c r="H231" s="1468">
        <v>46342.25</v>
      </c>
      <c r="I231" s="1469"/>
    </row>
    <row r="232" spans="1:9" ht="14">
      <c r="A232" s="1463" t="s">
        <v>5967</v>
      </c>
      <c r="B232" s="1463">
        <v>9508769100</v>
      </c>
      <c r="C232" s="1463" t="s">
        <v>10200</v>
      </c>
      <c r="D232" s="1467">
        <v>46243.166666666664</v>
      </c>
      <c r="E232" s="1467">
        <v>46243.192557870374</v>
      </c>
      <c r="F232" s="1463" t="s">
        <v>10215</v>
      </c>
      <c r="G232" s="1463" t="s">
        <v>10204</v>
      </c>
      <c r="H232" s="1467">
        <v>46330.75</v>
      </c>
      <c r="I232" s="1470"/>
    </row>
    <row r="233" spans="1:9" ht="14">
      <c r="A233" s="1464" t="s">
        <v>5971</v>
      </c>
      <c r="B233" s="1464">
        <v>9508771330</v>
      </c>
      <c r="C233" s="1464" t="s">
        <v>10200</v>
      </c>
      <c r="D233" s="1468">
        <v>46243.166666666664</v>
      </c>
      <c r="E233" s="1468">
        <v>46243.192557870374</v>
      </c>
      <c r="F233" s="1464" t="s">
        <v>10218</v>
      </c>
      <c r="G233" s="1464" t="s">
        <v>10204</v>
      </c>
      <c r="H233" s="1468">
        <v>46338.75</v>
      </c>
      <c r="I233" s="1469"/>
    </row>
    <row r="234" spans="1:9" ht="14">
      <c r="A234" s="1463" t="s">
        <v>5975</v>
      </c>
      <c r="B234" s="1463">
        <v>9508803730</v>
      </c>
      <c r="C234" s="1463" t="s">
        <v>10200</v>
      </c>
      <c r="D234" s="1467">
        <v>46243.166666666664</v>
      </c>
      <c r="E234" s="1467">
        <v>46243.192557870374</v>
      </c>
      <c r="F234" s="1466"/>
      <c r="G234" s="1463" t="s">
        <v>10206</v>
      </c>
      <c r="H234" s="1467">
        <v>46289.958333333336</v>
      </c>
      <c r="I234" s="1467">
        <v>46290.180347222224</v>
      </c>
    </row>
    <row r="235" spans="1:9" ht="14">
      <c r="A235" s="1464" t="s">
        <v>5979</v>
      </c>
      <c r="B235" s="1464">
        <v>9508876530</v>
      </c>
      <c r="C235" s="1464" t="s">
        <v>10200</v>
      </c>
      <c r="D235" s="1468">
        <v>46243.166666666664</v>
      </c>
      <c r="E235" s="1468">
        <v>46243.192557870374</v>
      </c>
      <c r="F235" s="1465"/>
      <c r="G235" s="1464" t="s">
        <v>10206</v>
      </c>
      <c r="H235" s="1468">
        <v>46289.958333333336</v>
      </c>
      <c r="I235" s="1468">
        <v>46290.180347222224</v>
      </c>
    </row>
    <row r="236" spans="1:9" ht="14">
      <c r="A236" s="1463" t="s">
        <v>5983</v>
      </c>
      <c r="B236" s="1463">
        <v>6461689400</v>
      </c>
      <c r="C236" s="1463" t="s">
        <v>10200</v>
      </c>
      <c r="D236" s="1467">
        <v>46243.166666666664</v>
      </c>
      <c r="E236" s="1467">
        <v>46243.192557870374</v>
      </c>
      <c r="F236" s="1466"/>
      <c r="G236" s="1463" t="s">
        <v>10206</v>
      </c>
      <c r="H236" s="1467">
        <v>46289.958333333336</v>
      </c>
      <c r="I236" s="1467">
        <v>46290.180347222224</v>
      </c>
    </row>
    <row r="237" spans="1:9" ht="14">
      <c r="A237" s="1464" t="s">
        <v>5988</v>
      </c>
      <c r="B237" s="1464">
        <v>9508762190</v>
      </c>
      <c r="C237" s="1464" t="s">
        <v>6003</v>
      </c>
      <c r="D237" s="1468">
        <v>46246.208333333336</v>
      </c>
      <c r="E237" s="1468">
        <v>46246.239791666667</v>
      </c>
      <c r="F237" s="1465"/>
      <c r="G237" s="1464" t="s">
        <v>10210</v>
      </c>
      <c r="H237" s="1468">
        <v>46286.270833333336</v>
      </c>
      <c r="I237" s="1468">
        <v>46286.275081018517</v>
      </c>
    </row>
    <row r="238" spans="1:9" ht="14">
      <c r="A238" s="1463" t="s">
        <v>5993</v>
      </c>
      <c r="B238" s="1463">
        <v>9508766060</v>
      </c>
      <c r="C238" s="1463" t="s">
        <v>6003</v>
      </c>
      <c r="D238" s="1467">
        <v>46249.802083333336</v>
      </c>
      <c r="E238" s="1467">
        <v>46249.834432870368</v>
      </c>
      <c r="F238" s="1466"/>
      <c r="G238" s="1463" t="s">
        <v>10206</v>
      </c>
      <c r="H238" s="1467">
        <v>46283.875</v>
      </c>
      <c r="I238" s="1467">
        <v>46283.912627314814</v>
      </c>
    </row>
    <row r="239" spans="1:9" ht="14">
      <c r="A239" s="1464" t="s">
        <v>5998</v>
      </c>
      <c r="B239" s="1464">
        <v>9508766070</v>
      </c>
      <c r="C239" s="1464" t="s">
        <v>6003</v>
      </c>
      <c r="D239" s="1468">
        <v>46259.333333333336</v>
      </c>
      <c r="E239" s="1468">
        <v>46259.356724537036</v>
      </c>
      <c r="F239" s="1465"/>
      <c r="G239" s="1464" t="s">
        <v>10206</v>
      </c>
      <c r="H239" s="1468">
        <v>46300.4375</v>
      </c>
      <c r="I239" s="1468">
        <v>46300.506249999999</v>
      </c>
    </row>
    <row r="240" spans="1:9" ht="14">
      <c r="A240" s="1463" t="s">
        <v>6007</v>
      </c>
      <c r="B240" s="1463">
        <v>9508804610</v>
      </c>
      <c r="C240" s="1463" t="s">
        <v>6003</v>
      </c>
      <c r="D240" s="1467">
        <v>46254</v>
      </c>
      <c r="E240" s="1467">
        <v>46254.01357638889</v>
      </c>
      <c r="F240" s="1466"/>
      <c r="G240" s="1463" t="s">
        <v>8661</v>
      </c>
      <c r="H240" s="1467">
        <v>46296.916666666664</v>
      </c>
      <c r="I240" s="1467">
        <v>46296.915092592593</v>
      </c>
    </row>
    <row r="241" spans="1:9" ht="14">
      <c r="A241" s="1464" t="s">
        <v>6012</v>
      </c>
      <c r="B241" s="1464">
        <v>6463190630</v>
      </c>
      <c r="C241" s="1464" t="s">
        <v>123</v>
      </c>
      <c r="D241" s="1468">
        <v>46254.3125</v>
      </c>
      <c r="E241" s="1468">
        <v>46254.231863425928</v>
      </c>
      <c r="F241" s="1465"/>
      <c r="G241" s="1464" t="s">
        <v>10206</v>
      </c>
      <c r="H241" s="1468">
        <v>46289.958333333336</v>
      </c>
      <c r="I241" s="1468">
        <v>46290.180347222224</v>
      </c>
    </row>
    <row r="242" spans="1:9" ht="14">
      <c r="A242" s="1463" t="s">
        <v>6019</v>
      </c>
      <c r="B242" s="1463">
        <v>6461909030</v>
      </c>
      <c r="C242" s="1463" t="s">
        <v>123</v>
      </c>
      <c r="D242" s="1467">
        <v>46253.1875</v>
      </c>
      <c r="E242" s="1467">
        <v>46253.207060185188</v>
      </c>
      <c r="F242" s="1466"/>
      <c r="G242" s="1463" t="s">
        <v>10206</v>
      </c>
      <c r="H242" s="1467">
        <v>46298.333333333336</v>
      </c>
      <c r="I242" s="1467">
        <v>46298.488842592589</v>
      </c>
    </row>
    <row r="243" spans="1:9" ht="14">
      <c r="A243" s="1464" t="s">
        <v>6024</v>
      </c>
      <c r="B243" s="1464">
        <v>6461896790</v>
      </c>
      <c r="C243" s="1464" t="s">
        <v>123</v>
      </c>
      <c r="D243" s="1468">
        <v>46254.3125</v>
      </c>
      <c r="E243" s="1468">
        <v>46254.231863425928</v>
      </c>
      <c r="F243" s="1465"/>
      <c r="G243" s="1464" t="s">
        <v>10206</v>
      </c>
      <c r="H243" s="1468">
        <v>46289.958333333336</v>
      </c>
      <c r="I243" s="1468">
        <v>46290.180347222224</v>
      </c>
    </row>
    <row r="244" spans="1:9" ht="14">
      <c r="A244" s="1463" t="s">
        <v>6029</v>
      </c>
      <c r="B244" s="1463">
        <v>6461897910</v>
      </c>
      <c r="C244" s="1463" t="s">
        <v>123</v>
      </c>
      <c r="D244" s="1467">
        <v>46248.541666666664</v>
      </c>
      <c r="E244" s="1467">
        <v>46248.565416666665</v>
      </c>
      <c r="F244" s="1466"/>
      <c r="G244" s="1463" t="s">
        <v>10206</v>
      </c>
      <c r="H244" s="1467">
        <v>46284.875</v>
      </c>
      <c r="I244" s="1467">
        <v>46285.134953703702</v>
      </c>
    </row>
    <row r="245" spans="1:9" ht="14">
      <c r="A245" s="1464" t="s">
        <v>6038</v>
      </c>
      <c r="B245" s="1464">
        <v>6461909570</v>
      </c>
      <c r="C245" s="1464" t="s">
        <v>123</v>
      </c>
      <c r="D245" s="1468">
        <v>46248.541666666664</v>
      </c>
      <c r="E245" s="1468">
        <v>46248.565416666665</v>
      </c>
      <c r="F245" s="1465"/>
      <c r="G245" s="1464" t="s">
        <v>10206</v>
      </c>
      <c r="H245" s="1468">
        <v>46284.875</v>
      </c>
      <c r="I245" s="1468">
        <v>46285.134953703702</v>
      </c>
    </row>
    <row r="246" spans="1:9" ht="14">
      <c r="A246" s="1463" t="s">
        <v>6057</v>
      </c>
      <c r="B246" s="1463">
        <v>6462349090</v>
      </c>
      <c r="C246" s="1463" t="s">
        <v>123</v>
      </c>
      <c r="D246" s="1467">
        <v>46248.541666666664</v>
      </c>
      <c r="E246" s="1467">
        <v>46248.565416666665</v>
      </c>
      <c r="F246" s="1466"/>
      <c r="G246" s="1463" t="s">
        <v>10206</v>
      </c>
      <c r="H246" s="1467">
        <v>46284.875</v>
      </c>
      <c r="I246" s="1467">
        <v>46285.134953703702</v>
      </c>
    </row>
    <row r="247" spans="1:9" ht="14">
      <c r="A247" s="1464" t="s">
        <v>6063</v>
      </c>
      <c r="B247" s="1464">
        <v>6462350050</v>
      </c>
      <c r="C247" s="1464" t="s">
        <v>123</v>
      </c>
      <c r="D247" s="1468">
        <v>46248.541666666664</v>
      </c>
      <c r="E247" s="1468">
        <v>46248.565416666665</v>
      </c>
      <c r="F247" s="1465"/>
      <c r="G247" s="1464" t="s">
        <v>10206</v>
      </c>
      <c r="H247" s="1468">
        <v>46284.875</v>
      </c>
      <c r="I247" s="1468">
        <v>46285.134953703702</v>
      </c>
    </row>
    <row r="248" spans="1:9" ht="14">
      <c r="A248" s="1463" t="s">
        <v>6072</v>
      </c>
      <c r="B248" s="1463">
        <v>6461814320</v>
      </c>
      <c r="C248" s="1463" t="s">
        <v>123</v>
      </c>
      <c r="D248" s="1467">
        <v>46253.916666666664</v>
      </c>
      <c r="E248" s="1467">
        <v>46253.978368055556</v>
      </c>
      <c r="F248" s="1466"/>
      <c r="G248" s="1463" t="s">
        <v>8661</v>
      </c>
      <c r="H248" s="1467">
        <v>46290.25</v>
      </c>
      <c r="I248" s="1467">
        <v>46290.232800925929</v>
      </c>
    </row>
    <row r="249" spans="1:9" ht="14">
      <c r="A249" s="1464" t="s">
        <v>6079</v>
      </c>
      <c r="B249" s="1464">
        <v>6461816750</v>
      </c>
      <c r="C249" s="1464" t="s">
        <v>123</v>
      </c>
      <c r="D249" s="1468">
        <v>46263.4375</v>
      </c>
      <c r="E249" s="1468">
        <v>46263.48333333333</v>
      </c>
      <c r="F249" s="1465"/>
      <c r="G249" s="1464" t="s">
        <v>8661</v>
      </c>
      <c r="H249" s="1468">
        <v>46318.302083333336</v>
      </c>
      <c r="I249" s="1468">
        <v>46318.374756944446</v>
      </c>
    </row>
    <row r="250" spans="1:9" ht="14">
      <c r="A250" s="1463" t="s">
        <v>6100</v>
      </c>
      <c r="B250" s="1463">
        <v>6461817600</v>
      </c>
      <c r="C250" s="1463" t="s">
        <v>123</v>
      </c>
      <c r="D250" s="1467">
        <v>46263.4375</v>
      </c>
      <c r="E250" s="1467">
        <v>46263.48333333333</v>
      </c>
      <c r="F250" s="1466"/>
      <c r="G250" s="1463" t="s">
        <v>10205</v>
      </c>
      <c r="H250" s="1467">
        <v>46329.583333333336</v>
      </c>
      <c r="I250" s="1470"/>
    </row>
    <row r="251" spans="1:9" ht="14">
      <c r="A251" s="1464" t="s">
        <v>6111</v>
      </c>
      <c r="B251" s="1464">
        <v>6461905820</v>
      </c>
      <c r="C251" s="1464" t="s">
        <v>123</v>
      </c>
      <c r="D251" s="1468">
        <v>46251.791666666664</v>
      </c>
      <c r="E251" s="1468">
        <v>46251.534803240742</v>
      </c>
      <c r="F251" s="1464" t="s">
        <v>10203</v>
      </c>
      <c r="G251" s="1464" t="s">
        <v>10204</v>
      </c>
      <c r="H251" s="1468">
        <v>46313.875</v>
      </c>
      <c r="I251" s="1468">
        <v>46313.624143518522</v>
      </c>
    </row>
    <row r="252" spans="1:9" ht="14">
      <c r="A252" s="1463" t="s">
        <v>6139</v>
      </c>
      <c r="B252" s="1463">
        <v>9508902260</v>
      </c>
      <c r="C252" s="1463" t="s">
        <v>6003</v>
      </c>
      <c r="D252" s="1467">
        <v>46255.875</v>
      </c>
      <c r="E252" s="1467">
        <v>46255.885057870371</v>
      </c>
      <c r="F252" s="1466"/>
      <c r="G252" s="1463" t="s">
        <v>8661</v>
      </c>
      <c r="H252" s="1467">
        <v>46320.645833333336</v>
      </c>
      <c r="I252" s="1467">
        <v>46320.713321759256</v>
      </c>
    </row>
    <row r="253" spans="1:9" ht="14">
      <c r="A253" s="1464" t="s">
        <v>6143</v>
      </c>
      <c r="B253" s="1464">
        <v>9508904380</v>
      </c>
      <c r="C253" s="1464" t="s">
        <v>6003</v>
      </c>
      <c r="D253" s="1468">
        <v>46257.291666666664</v>
      </c>
      <c r="E253" s="1468">
        <v>46257.156030092592</v>
      </c>
      <c r="F253" s="1464" t="s">
        <v>10203</v>
      </c>
      <c r="G253" s="1464" t="s">
        <v>10204</v>
      </c>
      <c r="H253" s="1468">
        <v>46313.875</v>
      </c>
      <c r="I253" s="1468">
        <v>46313.624143518522</v>
      </c>
    </row>
    <row r="254" spans="1:9" ht="14">
      <c r="A254" s="1463" t="s">
        <v>6148</v>
      </c>
      <c r="B254" s="1463">
        <v>9508762590</v>
      </c>
      <c r="C254" s="1463" t="s">
        <v>6003</v>
      </c>
      <c r="D254" s="1467">
        <v>46257.791666666664</v>
      </c>
      <c r="E254" s="1467">
        <v>46257.848101851851</v>
      </c>
      <c r="F254" s="1466"/>
      <c r="G254" s="1463" t="s">
        <v>10206</v>
      </c>
      <c r="H254" s="1467">
        <v>46289.958333333336</v>
      </c>
      <c r="I254" s="1467">
        <v>46290.180347222224</v>
      </c>
    </row>
    <row r="255" spans="1:9" ht="14">
      <c r="A255" s="1464" t="s">
        <v>6187</v>
      </c>
      <c r="B255" s="1464">
        <v>9508944650</v>
      </c>
      <c r="C255" s="1464" t="s">
        <v>10200</v>
      </c>
      <c r="D255" s="1468">
        <v>46254.666666666664</v>
      </c>
      <c r="E255" s="1468">
        <v>46254.49119212963</v>
      </c>
      <c r="F255" s="1465"/>
      <c r="G255" s="1464" t="s">
        <v>10206</v>
      </c>
      <c r="H255" s="1468">
        <v>46304.020833333336</v>
      </c>
      <c r="I255" s="1468">
        <v>46304.003923611112</v>
      </c>
    </row>
    <row r="256" spans="1:9" ht="14">
      <c r="A256" s="1463" t="s">
        <v>6193</v>
      </c>
      <c r="B256" s="1463">
        <v>9508943650</v>
      </c>
      <c r="C256" s="1463" t="s">
        <v>10200</v>
      </c>
      <c r="D256" s="1467">
        <v>46254.666666666664</v>
      </c>
      <c r="E256" s="1467">
        <v>46254.49119212963</v>
      </c>
      <c r="F256" s="1463" t="s">
        <v>123</v>
      </c>
      <c r="G256" s="1463" t="s">
        <v>8661</v>
      </c>
      <c r="H256" s="1467">
        <v>46330.916666666664</v>
      </c>
      <c r="I256" s="1470"/>
    </row>
    <row r="257" spans="1:9" ht="14">
      <c r="A257" s="1464" t="s">
        <v>6199</v>
      </c>
      <c r="B257" s="1464">
        <v>9508943400</v>
      </c>
      <c r="C257" s="1464" t="s">
        <v>10200</v>
      </c>
      <c r="D257" s="1468">
        <v>46254.666666666664</v>
      </c>
      <c r="E257" s="1468">
        <v>46254.49119212963</v>
      </c>
      <c r="F257" s="1464" t="s">
        <v>10202</v>
      </c>
      <c r="G257" s="1464" t="s">
        <v>8661</v>
      </c>
      <c r="H257" s="1468">
        <v>46322.666666666664</v>
      </c>
      <c r="I257" s="1468">
        <v>46322.787372685183</v>
      </c>
    </row>
    <row r="258" spans="1:9" ht="14">
      <c r="A258" s="1463" t="s">
        <v>6203</v>
      </c>
      <c r="B258" s="1463">
        <v>9508944110</v>
      </c>
      <c r="C258" s="1463" t="s">
        <v>10200</v>
      </c>
      <c r="D258" s="1467">
        <v>46254.666666666664</v>
      </c>
      <c r="E258" s="1467">
        <v>46254.49119212963</v>
      </c>
      <c r="F258" s="1463" t="s">
        <v>10215</v>
      </c>
      <c r="G258" s="1463" t="s">
        <v>10204</v>
      </c>
      <c r="H258" s="1467">
        <v>46330.75</v>
      </c>
      <c r="I258" s="1470"/>
    </row>
    <row r="259" spans="1:9" ht="14">
      <c r="A259" s="1464" t="s">
        <v>6208</v>
      </c>
      <c r="B259" s="1464">
        <v>6462455040</v>
      </c>
      <c r="C259" s="1464" t="s">
        <v>10200</v>
      </c>
      <c r="D259" s="1468">
        <v>46254.666666666664</v>
      </c>
      <c r="E259" s="1468">
        <v>46254.49119212963</v>
      </c>
      <c r="F259" s="1464" t="s">
        <v>123</v>
      </c>
      <c r="G259" s="1464" t="s">
        <v>10210</v>
      </c>
      <c r="H259" s="1468">
        <v>46312.583333333336</v>
      </c>
      <c r="I259" s="1468">
        <v>46312.600763888891</v>
      </c>
    </row>
    <row r="260" spans="1:9" ht="14">
      <c r="A260" s="1463" t="s">
        <v>6216</v>
      </c>
      <c r="B260" s="1463">
        <v>6463115620</v>
      </c>
      <c r="C260" s="1463" t="s">
        <v>123</v>
      </c>
      <c r="D260" s="1467">
        <v>46264.5625</v>
      </c>
      <c r="E260" s="1467">
        <v>46264.582175925927</v>
      </c>
      <c r="F260" s="1463" t="s">
        <v>10206</v>
      </c>
      <c r="G260" s="1463" t="s">
        <v>10207</v>
      </c>
      <c r="H260" s="1467">
        <v>46316.25</v>
      </c>
      <c r="I260" s="1467">
        <v>46316.045949074076</v>
      </c>
    </row>
    <row r="261" spans="1:9" ht="14">
      <c r="A261" s="1464" t="s">
        <v>6224</v>
      </c>
      <c r="B261" s="1464">
        <v>6463847410</v>
      </c>
      <c r="C261" s="1464" t="s">
        <v>123</v>
      </c>
      <c r="D261" s="1468">
        <v>46257.916666666664</v>
      </c>
      <c r="E261" s="1468">
        <v>46257.983877314815</v>
      </c>
      <c r="F261" s="1465"/>
      <c r="G261" s="1464" t="s">
        <v>10210</v>
      </c>
      <c r="H261" s="1468">
        <v>46299.166666666664</v>
      </c>
      <c r="I261" s="1468">
        <v>46299.108738425923</v>
      </c>
    </row>
    <row r="262" spans="1:9" ht="14">
      <c r="A262" s="1463" t="s">
        <v>6237</v>
      </c>
      <c r="B262" s="1463">
        <v>6463255210</v>
      </c>
      <c r="C262" s="1463" t="s">
        <v>123</v>
      </c>
      <c r="D262" s="1467">
        <v>46257.916666666664</v>
      </c>
      <c r="E262" s="1467">
        <v>46257.983877314815</v>
      </c>
      <c r="F262" s="1466"/>
      <c r="G262" s="1463" t="s">
        <v>10210</v>
      </c>
      <c r="H262" s="1467">
        <v>46299.166666666664</v>
      </c>
      <c r="I262" s="1467">
        <v>46299.108738425923</v>
      </c>
    </row>
    <row r="263" spans="1:9" ht="14">
      <c r="A263" s="1464" t="s">
        <v>6242</v>
      </c>
      <c r="B263" s="1464">
        <v>6462717070</v>
      </c>
      <c r="C263" s="1464" t="s">
        <v>123</v>
      </c>
      <c r="D263" s="1468">
        <v>46256.395833333336</v>
      </c>
      <c r="E263" s="1468">
        <v>46256.416493055556</v>
      </c>
      <c r="F263" s="1465"/>
      <c r="G263" s="1464" t="s">
        <v>10206</v>
      </c>
      <c r="H263" s="1468">
        <v>46306.791666666664</v>
      </c>
      <c r="I263" s="1468">
        <v>46306.860671296294</v>
      </c>
    </row>
    <row r="264" spans="1:9" ht="14">
      <c r="A264" s="1463" t="s">
        <v>6283</v>
      </c>
      <c r="B264" s="1463">
        <v>6463259170</v>
      </c>
      <c r="C264" s="1463" t="s">
        <v>123</v>
      </c>
      <c r="D264" s="1467">
        <v>46269.166666666664</v>
      </c>
      <c r="E264" s="1467">
        <v>46269.097187500003</v>
      </c>
      <c r="F264" s="1466"/>
      <c r="G264" s="1463" t="s">
        <v>8661</v>
      </c>
      <c r="H264" s="1467">
        <v>46330.916666666664</v>
      </c>
      <c r="I264" s="1470"/>
    </row>
    <row r="265" spans="1:9" ht="14">
      <c r="A265" s="1464" t="s">
        <v>6289</v>
      </c>
      <c r="B265" s="1464">
        <v>9508974980</v>
      </c>
      <c r="C265" s="1464" t="s">
        <v>6003</v>
      </c>
      <c r="D265" s="1468">
        <v>46269.041666666664</v>
      </c>
      <c r="E265" s="1468">
        <v>46269.101157407407</v>
      </c>
      <c r="F265" s="1464" t="s">
        <v>10206</v>
      </c>
      <c r="G265" s="1464" t="s">
        <v>10207</v>
      </c>
      <c r="H265" s="1468">
        <v>46316.25</v>
      </c>
      <c r="I265" s="1468">
        <v>46316.045949074076</v>
      </c>
    </row>
    <row r="266" spans="1:9" ht="14">
      <c r="A266" s="1463" t="s">
        <v>6300</v>
      </c>
      <c r="B266" s="1463">
        <v>6463257360</v>
      </c>
      <c r="C266" s="1463" t="s">
        <v>123</v>
      </c>
      <c r="D266" s="1467">
        <v>46269.166666666664</v>
      </c>
      <c r="E266" s="1467">
        <v>46269.097187500003</v>
      </c>
      <c r="F266" s="1466"/>
      <c r="G266" s="1463" t="s">
        <v>10205</v>
      </c>
      <c r="H266" s="1467">
        <v>46336.583333333336</v>
      </c>
      <c r="I266" s="1470"/>
    </row>
    <row r="267" spans="1:9" ht="14">
      <c r="A267" s="1464" t="s">
        <v>6309</v>
      </c>
      <c r="B267" s="1464">
        <v>6462720700</v>
      </c>
      <c r="C267" s="1464" t="s">
        <v>123</v>
      </c>
      <c r="D267" s="1468">
        <v>46266.083333333336</v>
      </c>
      <c r="E267" s="1468">
        <v>46266.110775462963</v>
      </c>
      <c r="F267" s="1464" t="s">
        <v>10203</v>
      </c>
      <c r="G267" s="1464" t="s">
        <v>10204</v>
      </c>
      <c r="H267" s="1468">
        <v>46330.75</v>
      </c>
      <c r="I267" s="1469"/>
    </row>
    <row r="268" spans="1:9" ht="14">
      <c r="A268" s="1463" t="s">
        <v>6329</v>
      </c>
      <c r="B268" s="1463">
        <v>9509275040</v>
      </c>
      <c r="C268" s="1463" t="s">
        <v>6003</v>
      </c>
      <c r="D268" s="1467">
        <v>46271</v>
      </c>
      <c r="E268" s="1467">
        <v>46270.981307870374</v>
      </c>
      <c r="F268" s="1463" t="s">
        <v>10203</v>
      </c>
      <c r="G268" s="1463" t="s">
        <v>10204</v>
      </c>
      <c r="H268" s="1467">
        <v>46330.75</v>
      </c>
      <c r="I268" s="1470"/>
    </row>
    <row r="269" spans="1:9" ht="14">
      <c r="A269" s="1464" t="s">
        <v>6337</v>
      </c>
      <c r="B269" s="1464">
        <v>9509346010</v>
      </c>
      <c r="C269" s="1464" t="s">
        <v>6003</v>
      </c>
      <c r="D269" s="1468">
        <v>46269.041666666664</v>
      </c>
      <c r="E269" s="1468">
        <v>46269.101157407407</v>
      </c>
      <c r="F269" s="1465"/>
      <c r="G269" s="1464" t="s">
        <v>10210</v>
      </c>
      <c r="H269" s="1468">
        <v>46317.25</v>
      </c>
      <c r="I269" s="1468">
        <v>46317.282534722224</v>
      </c>
    </row>
    <row r="270" spans="1:9" ht="14">
      <c r="A270" s="1463" t="s">
        <v>6342</v>
      </c>
      <c r="B270" s="1463">
        <v>9509265660</v>
      </c>
      <c r="C270" s="1463" t="s">
        <v>6003</v>
      </c>
      <c r="D270" s="1467">
        <v>46269.041666666664</v>
      </c>
      <c r="E270" s="1467">
        <v>46269.101157407407</v>
      </c>
      <c r="F270" s="1466"/>
      <c r="G270" s="1463" t="s">
        <v>10210</v>
      </c>
      <c r="H270" s="1467">
        <v>46317.25</v>
      </c>
      <c r="I270" s="1467">
        <v>46317.282534722224</v>
      </c>
    </row>
    <row r="271" spans="1:9" ht="14">
      <c r="A271" s="1464" t="s">
        <v>6346</v>
      </c>
      <c r="B271" s="1464">
        <v>9509015500</v>
      </c>
      <c r="C271" s="1464" t="s">
        <v>6003</v>
      </c>
      <c r="D271" s="1468">
        <v>46257.291666666664</v>
      </c>
      <c r="E271" s="1468">
        <v>46257.156030092592</v>
      </c>
      <c r="F271" s="1464" t="s">
        <v>10203</v>
      </c>
      <c r="G271" s="1464" t="s">
        <v>10204</v>
      </c>
      <c r="H271" s="1468">
        <v>46313.875</v>
      </c>
      <c r="I271" s="1468">
        <v>46313.624143518522</v>
      </c>
    </row>
    <row r="272" spans="1:9" ht="14">
      <c r="A272" s="1463" t="s">
        <v>6352</v>
      </c>
      <c r="B272" s="1463">
        <v>9508973640</v>
      </c>
      <c r="C272" s="1463" t="s">
        <v>6003</v>
      </c>
      <c r="D272" s="1467">
        <v>46270.041666666664</v>
      </c>
      <c r="E272" s="1467">
        <v>46270.062141203707</v>
      </c>
      <c r="F272" s="1466"/>
      <c r="G272" s="1463" t="s">
        <v>8661</v>
      </c>
      <c r="H272" s="1467">
        <v>46318.302083333336</v>
      </c>
      <c r="I272" s="1467">
        <v>46318.374756944446</v>
      </c>
    </row>
    <row r="273" spans="1:9" ht="14">
      <c r="A273" s="1464" t="s">
        <v>6357</v>
      </c>
      <c r="B273" s="1464">
        <v>9508973860</v>
      </c>
      <c r="C273" s="1464" t="s">
        <v>6003</v>
      </c>
      <c r="D273" s="1468">
        <v>46254</v>
      </c>
      <c r="E273" s="1468">
        <v>46254.01357638889</v>
      </c>
      <c r="F273" s="1465"/>
      <c r="G273" s="1464" t="s">
        <v>8661</v>
      </c>
      <c r="H273" s="1468">
        <v>46296.916666666664</v>
      </c>
      <c r="I273" s="1468">
        <v>46296.915092592593</v>
      </c>
    </row>
    <row r="274" spans="1:9" ht="14">
      <c r="A274" s="1463" t="s">
        <v>6362</v>
      </c>
      <c r="B274" s="1463">
        <v>9509256390</v>
      </c>
      <c r="C274" s="1463" t="s">
        <v>6003</v>
      </c>
      <c r="D274" s="1467">
        <v>46275</v>
      </c>
      <c r="E274" s="1467">
        <v>46275.042812500003</v>
      </c>
      <c r="F274" s="1466"/>
      <c r="G274" s="1463" t="s">
        <v>8661</v>
      </c>
      <c r="H274" s="1467">
        <v>46330.916666666664</v>
      </c>
      <c r="I274" s="1470"/>
    </row>
    <row r="275" spans="1:9" ht="14">
      <c r="A275" s="1464" t="s">
        <v>6367</v>
      </c>
      <c r="B275" s="1464">
        <v>9509256030</v>
      </c>
      <c r="C275" s="1464" t="s">
        <v>6003</v>
      </c>
      <c r="D275" s="1468">
        <v>46260.458333333336</v>
      </c>
      <c r="E275" s="1468">
        <v>46260.478738425925</v>
      </c>
      <c r="F275" s="1465"/>
      <c r="G275" s="1464" t="s">
        <v>10210</v>
      </c>
      <c r="H275" s="1468">
        <v>46305.041666666664</v>
      </c>
      <c r="I275" s="1468">
        <v>46305.05978009259</v>
      </c>
    </row>
    <row r="276" spans="1:9" ht="14">
      <c r="A276" s="1463" t="s">
        <v>6371</v>
      </c>
      <c r="B276" s="1463">
        <v>9508982210</v>
      </c>
      <c r="C276" s="1463" t="s">
        <v>6003</v>
      </c>
      <c r="D276" s="1467">
        <v>46257.791666666664</v>
      </c>
      <c r="E276" s="1467">
        <v>46257.848101851851</v>
      </c>
      <c r="F276" s="1463" t="s">
        <v>10206</v>
      </c>
      <c r="G276" s="1463" t="s">
        <v>10207</v>
      </c>
      <c r="H276" s="1467">
        <v>46301.833333333336</v>
      </c>
      <c r="I276" s="1467">
        <v>46301.968055555553</v>
      </c>
    </row>
    <row r="277" spans="1:9" ht="14">
      <c r="A277" s="1464" t="s">
        <v>6376</v>
      </c>
      <c r="B277" s="1464">
        <v>9508974810</v>
      </c>
      <c r="C277" s="1464" t="s">
        <v>6003</v>
      </c>
      <c r="D277" s="1468">
        <v>46260.458333333336</v>
      </c>
      <c r="E277" s="1468">
        <v>46260.478738425925</v>
      </c>
      <c r="F277" s="1465"/>
      <c r="G277" s="1464" t="s">
        <v>10210</v>
      </c>
      <c r="H277" s="1468">
        <v>46305.041666666664</v>
      </c>
      <c r="I277" s="1468">
        <v>46305.05978009259</v>
      </c>
    </row>
    <row r="278" spans="1:9" ht="14">
      <c r="A278" s="1463" t="s">
        <v>6380</v>
      </c>
      <c r="B278" s="1463">
        <v>9508974740</v>
      </c>
      <c r="C278" s="1463" t="s">
        <v>6003</v>
      </c>
      <c r="D278" s="1467">
        <v>46260.458333333336</v>
      </c>
      <c r="E278" s="1467">
        <v>46260.478738425925</v>
      </c>
      <c r="F278" s="1466"/>
      <c r="G278" s="1463" t="s">
        <v>10210</v>
      </c>
      <c r="H278" s="1467">
        <v>46305.041666666664</v>
      </c>
      <c r="I278" s="1467">
        <v>46305.05978009259</v>
      </c>
    </row>
    <row r="279" spans="1:9" ht="14">
      <c r="A279" s="1464" t="s">
        <v>6384</v>
      </c>
      <c r="B279" s="1464">
        <v>9509255460</v>
      </c>
      <c r="C279" s="1464" t="s">
        <v>6003</v>
      </c>
      <c r="D279" s="1468">
        <v>46269.791666666664</v>
      </c>
      <c r="E279" s="1468">
        <v>46269.824548611112</v>
      </c>
      <c r="F279" s="1464" t="s">
        <v>10206</v>
      </c>
      <c r="G279" s="1464" t="s">
        <v>10207</v>
      </c>
      <c r="H279" s="1468">
        <v>46316.25</v>
      </c>
      <c r="I279" s="1468">
        <v>46316.045949074076</v>
      </c>
    </row>
    <row r="280" spans="1:9" ht="14">
      <c r="A280" s="1463" t="s">
        <v>6389</v>
      </c>
      <c r="B280" s="1463">
        <v>9509127610</v>
      </c>
      <c r="C280" s="1463" t="s">
        <v>10200</v>
      </c>
      <c r="D280" s="1467">
        <v>46259.322916666664</v>
      </c>
      <c r="E280" s="1467">
        <v>46259.371157407404</v>
      </c>
      <c r="F280" s="1466"/>
      <c r="G280" s="1463" t="s">
        <v>10206</v>
      </c>
      <c r="H280" s="1467">
        <v>46308.083333333336</v>
      </c>
      <c r="I280" s="1467">
        <v>46308.112372685187</v>
      </c>
    </row>
    <row r="281" spans="1:9" ht="14">
      <c r="A281" s="1464" t="s">
        <v>6415</v>
      </c>
      <c r="B281" s="1464">
        <v>9509124230</v>
      </c>
      <c r="C281" s="1464" t="s">
        <v>10200</v>
      </c>
      <c r="D281" s="1468">
        <v>46259.322916666664</v>
      </c>
      <c r="E281" s="1468">
        <v>46259.371157407404</v>
      </c>
      <c r="F281" s="1464" t="s">
        <v>123</v>
      </c>
      <c r="G281" s="1464" t="s">
        <v>8661</v>
      </c>
      <c r="H281" s="1468">
        <v>46336.25</v>
      </c>
      <c r="I281" s="1469"/>
    </row>
    <row r="282" spans="1:9" ht="14">
      <c r="A282" s="1463" t="s">
        <v>6422</v>
      </c>
      <c r="B282" s="1463">
        <v>9509124140</v>
      </c>
      <c r="C282" s="1463" t="s">
        <v>10200</v>
      </c>
      <c r="D282" s="1467">
        <v>46259.322916666664</v>
      </c>
      <c r="E282" s="1467">
        <v>46259.371157407404</v>
      </c>
      <c r="F282" s="1463" t="s">
        <v>10202</v>
      </c>
      <c r="G282" s="1463" t="s">
        <v>8661</v>
      </c>
      <c r="H282" s="1467">
        <v>46322.666666666664</v>
      </c>
      <c r="I282" s="1467">
        <v>46322.787372685183</v>
      </c>
    </row>
    <row r="283" spans="1:9" ht="14">
      <c r="A283" s="1464" t="s">
        <v>6444</v>
      </c>
      <c r="B283" s="1464">
        <v>6462929130</v>
      </c>
      <c r="C283" s="1464" t="s">
        <v>10200</v>
      </c>
      <c r="D283" s="1468">
        <v>46259.322916666664</v>
      </c>
      <c r="E283" s="1468">
        <v>46259.371157407404</v>
      </c>
      <c r="F283" s="1464" t="s">
        <v>123</v>
      </c>
      <c r="G283" s="1464" t="s">
        <v>10210</v>
      </c>
      <c r="H283" s="1468">
        <v>46322.958333333336</v>
      </c>
      <c r="I283" s="1468">
        <v>46322.921701388892</v>
      </c>
    </row>
    <row r="284" spans="1:9" ht="14">
      <c r="A284" s="1463" t="s">
        <v>6451</v>
      </c>
      <c r="B284" s="1463">
        <v>6464353550</v>
      </c>
      <c r="C284" s="1463" t="s">
        <v>123</v>
      </c>
      <c r="D284" s="1467">
        <v>46278.8125</v>
      </c>
      <c r="E284" s="1467">
        <v>46278.838460648149</v>
      </c>
      <c r="F284" s="1463" t="s">
        <v>10216</v>
      </c>
      <c r="G284" s="1463" t="s">
        <v>10209</v>
      </c>
      <c r="H284" s="1467">
        <v>46321.291666666664</v>
      </c>
      <c r="I284" s="1467">
        <v>46321.413657407407</v>
      </c>
    </row>
    <row r="285" spans="1:9" ht="14">
      <c r="A285" s="1464" t="s">
        <v>6455</v>
      </c>
      <c r="B285" s="1464">
        <v>6463656670</v>
      </c>
      <c r="C285" s="1464" t="s">
        <v>123</v>
      </c>
      <c r="D285" s="1468">
        <v>46282.395833333336</v>
      </c>
      <c r="E285" s="1468">
        <v>46282.285486111112</v>
      </c>
      <c r="F285" s="1464" t="s">
        <v>10216</v>
      </c>
      <c r="G285" s="1464" t="s">
        <v>10210</v>
      </c>
      <c r="H285" s="1468">
        <v>46335.25</v>
      </c>
      <c r="I285" s="1469"/>
    </row>
    <row r="286" spans="1:9" ht="14">
      <c r="A286" s="1463" t="s">
        <v>6460</v>
      </c>
      <c r="B286" s="1463">
        <v>6463840480</v>
      </c>
      <c r="C286" s="1463" t="s">
        <v>123</v>
      </c>
      <c r="D286" s="1467">
        <v>46267.520833333336</v>
      </c>
      <c r="E286" s="1467">
        <v>46267.407708333332</v>
      </c>
      <c r="F286" s="1466"/>
      <c r="G286" s="1463" t="s">
        <v>10206</v>
      </c>
      <c r="H286" s="1467">
        <v>46308.083333333336</v>
      </c>
      <c r="I286" s="1467">
        <v>46308.112372685187</v>
      </c>
    </row>
    <row r="287" spans="1:9" ht="14">
      <c r="A287" s="1464" t="s">
        <v>6468</v>
      </c>
      <c r="B287" s="1464">
        <v>6463656150</v>
      </c>
      <c r="C287" s="1464" t="s">
        <v>123</v>
      </c>
      <c r="D287" s="1468">
        <v>46267.520833333336</v>
      </c>
      <c r="E287" s="1468">
        <v>46267.407708333332</v>
      </c>
      <c r="F287" s="1465"/>
      <c r="G287" s="1464" t="s">
        <v>10206</v>
      </c>
      <c r="H287" s="1468">
        <v>46308.083333333336</v>
      </c>
      <c r="I287" s="1468">
        <v>46308.112372685187</v>
      </c>
    </row>
    <row r="288" spans="1:9" ht="14">
      <c r="A288" s="1463" t="s">
        <v>6526</v>
      </c>
      <c r="B288" s="1463">
        <v>6464354100</v>
      </c>
      <c r="C288" s="1463" t="s">
        <v>123</v>
      </c>
      <c r="D288" s="1467">
        <v>46273.041666666664</v>
      </c>
      <c r="E288" s="1467">
        <v>46273.077708333331</v>
      </c>
      <c r="F288" s="1466"/>
      <c r="G288" s="1463" t="s">
        <v>10208</v>
      </c>
      <c r="H288" s="1467">
        <v>46330.75</v>
      </c>
      <c r="I288" s="1470"/>
    </row>
    <row r="289" spans="1:9" ht="14">
      <c r="A289" s="1464" t="s">
        <v>6531</v>
      </c>
      <c r="B289" s="1464">
        <v>6463662040</v>
      </c>
      <c r="C289" s="1464" t="s">
        <v>123</v>
      </c>
      <c r="D289" s="1468">
        <v>46271.375</v>
      </c>
      <c r="E289" s="1468">
        <v>46270.941423611112</v>
      </c>
      <c r="F289" s="1465"/>
      <c r="G289" s="1464" t="s">
        <v>8661</v>
      </c>
      <c r="H289" s="1468">
        <v>46310.833333333336</v>
      </c>
      <c r="I289" s="1468">
        <v>46310.812465277777</v>
      </c>
    </row>
    <row r="290" spans="1:9" ht="14">
      <c r="A290" s="1463" t="s">
        <v>6543</v>
      </c>
      <c r="B290" s="1463">
        <v>6464243200</v>
      </c>
      <c r="C290" s="1463" t="s">
        <v>123</v>
      </c>
      <c r="D290" s="1467">
        <v>46273.041666666664</v>
      </c>
      <c r="E290" s="1467">
        <v>46273.077708333331</v>
      </c>
      <c r="F290" s="1466"/>
      <c r="G290" s="1463" t="s">
        <v>8661</v>
      </c>
      <c r="H290" s="1467">
        <v>46336.25</v>
      </c>
      <c r="I290" s="1470"/>
    </row>
    <row r="291" spans="1:9" ht="14">
      <c r="A291" s="1464" t="s">
        <v>6551</v>
      </c>
      <c r="B291" s="1464">
        <v>6463660760</v>
      </c>
      <c r="C291" s="1464" t="s">
        <v>123</v>
      </c>
      <c r="D291" s="1468">
        <v>46271.375</v>
      </c>
      <c r="E291" s="1468">
        <v>46270.941423611112</v>
      </c>
      <c r="F291" s="1465"/>
      <c r="G291" s="1464" t="s">
        <v>10205</v>
      </c>
      <c r="H291" s="1468">
        <v>46304.333333333336</v>
      </c>
      <c r="I291" s="1468">
        <v>46304.309965277775</v>
      </c>
    </row>
    <row r="292" spans="1:9" ht="14">
      <c r="A292" s="1463" t="s">
        <v>6555</v>
      </c>
      <c r="B292" s="1463">
        <v>9509312590</v>
      </c>
      <c r="C292" s="1463" t="s">
        <v>6003</v>
      </c>
      <c r="D292" s="1467">
        <v>46273.645833333336</v>
      </c>
      <c r="E292" s="1467">
        <v>46273.670289351852</v>
      </c>
      <c r="F292" s="1466"/>
      <c r="G292" s="1463" t="s">
        <v>10210</v>
      </c>
      <c r="H292" s="1467">
        <v>46312.583333333336</v>
      </c>
      <c r="I292" s="1467">
        <v>46312.600763888891</v>
      </c>
    </row>
    <row r="293" spans="1:9" ht="14">
      <c r="A293" s="1464" t="s">
        <v>6559</v>
      </c>
      <c r="B293" s="1464">
        <v>9509256240</v>
      </c>
      <c r="C293" s="1464" t="s">
        <v>6003</v>
      </c>
      <c r="D293" s="1468">
        <v>46273.645833333336</v>
      </c>
      <c r="E293" s="1468">
        <v>46273.670289351852</v>
      </c>
      <c r="F293" s="1465"/>
      <c r="G293" s="1464" t="s">
        <v>10210</v>
      </c>
      <c r="H293" s="1468">
        <v>46312.583333333336</v>
      </c>
      <c r="I293" s="1468">
        <v>46312.600763888891</v>
      </c>
    </row>
    <row r="294" spans="1:9" ht="14">
      <c r="A294" s="1463" t="s">
        <v>6563</v>
      </c>
      <c r="B294" s="1463">
        <v>9509255750</v>
      </c>
      <c r="C294" s="1463" t="s">
        <v>6003</v>
      </c>
      <c r="D294" s="1467">
        <v>46272.625</v>
      </c>
      <c r="E294" s="1467">
        <v>46272.645995370367</v>
      </c>
      <c r="F294" s="1466"/>
      <c r="G294" s="1463" t="s">
        <v>10206</v>
      </c>
      <c r="H294" s="1467">
        <v>46308.083333333336</v>
      </c>
      <c r="I294" s="1467">
        <v>46308.112372685187</v>
      </c>
    </row>
    <row r="295" spans="1:9" ht="14">
      <c r="A295" s="1464" t="s">
        <v>6574</v>
      </c>
      <c r="B295" s="1464">
        <v>9509265340</v>
      </c>
      <c r="C295" s="1464" t="s">
        <v>6003</v>
      </c>
      <c r="D295" s="1468">
        <v>46269.041666666664</v>
      </c>
      <c r="E295" s="1468">
        <v>46269.101157407407</v>
      </c>
      <c r="F295" s="1465"/>
      <c r="G295" s="1464" t="s">
        <v>10210</v>
      </c>
      <c r="H295" s="1468">
        <v>46317.25</v>
      </c>
      <c r="I295" s="1468">
        <v>46317.282534722224</v>
      </c>
    </row>
    <row r="296" spans="1:9" ht="14">
      <c r="A296" s="1463" t="s">
        <v>6579</v>
      </c>
      <c r="B296" s="1463">
        <v>9509256340</v>
      </c>
      <c r="C296" s="1463" t="s">
        <v>6003</v>
      </c>
      <c r="D296" s="1467">
        <v>46268.333333333336</v>
      </c>
      <c r="E296" s="1467">
        <v>46268.365231481483</v>
      </c>
      <c r="F296" s="1466"/>
      <c r="G296" s="1463" t="s">
        <v>8661</v>
      </c>
      <c r="H296" s="1467">
        <v>46310.833333333336</v>
      </c>
      <c r="I296" s="1467">
        <v>46310.812465277777</v>
      </c>
    </row>
    <row r="297" spans="1:9" ht="14">
      <c r="A297" s="1464" t="s">
        <v>6584</v>
      </c>
      <c r="B297" s="1464">
        <v>9509275330</v>
      </c>
      <c r="C297" s="1464" t="s">
        <v>10200</v>
      </c>
      <c r="D297" s="1468">
        <v>46269.833333333336</v>
      </c>
      <c r="E297" s="1468">
        <v>46269.854108796295</v>
      </c>
      <c r="F297" s="1465"/>
      <c r="G297" s="1464" t="s">
        <v>10206</v>
      </c>
      <c r="H297" s="1468">
        <v>46316.583333333336</v>
      </c>
      <c r="I297" s="1468">
        <v>46316.635636574072</v>
      </c>
    </row>
    <row r="298" spans="1:9" ht="14">
      <c r="A298" s="1463" t="s">
        <v>6590</v>
      </c>
      <c r="B298" s="1463">
        <v>9509296080</v>
      </c>
      <c r="C298" s="1463" t="s">
        <v>10200</v>
      </c>
      <c r="D298" s="1467">
        <v>46269.833333333336</v>
      </c>
      <c r="E298" s="1467">
        <v>46269.854108796295</v>
      </c>
      <c r="F298" s="1463" t="s">
        <v>10202</v>
      </c>
      <c r="G298" s="1463" t="s">
        <v>8661</v>
      </c>
      <c r="H298" s="1467">
        <v>46325.833333333336</v>
      </c>
      <c r="I298" s="1470"/>
    </row>
    <row r="299" spans="1:9" ht="14">
      <c r="A299" s="1464" t="s">
        <v>6595</v>
      </c>
      <c r="B299" s="1464">
        <v>9509296500</v>
      </c>
      <c r="C299" s="1464" t="s">
        <v>10200</v>
      </c>
      <c r="D299" s="1468">
        <v>46269.833333333336</v>
      </c>
      <c r="E299" s="1468">
        <v>46269.854108796295</v>
      </c>
      <c r="F299" s="1464" t="s">
        <v>10202</v>
      </c>
      <c r="G299" s="1464" t="s">
        <v>8661</v>
      </c>
      <c r="H299" s="1468">
        <v>46350.791666666664</v>
      </c>
      <c r="I299" s="1469"/>
    </row>
    <row r="300" spans="1:9" ht="14">
      <c r="A300" s="1463" t="s">
        <v>6599</v>
      </c>
      <c r="B300" s="1463">
        <v>9509296870</v>
      </c>
      <c r="C300" s="1463" t="s">
        <v>10200</v>
      </c>
      <c r="D300" s="1467">
        <v>46269.833333333336</v>
      </c>
      <c r="E300" s="1467">
        <v>46269.854108796295</v>
      </c>
      <c r="F300" s="1463" t="s">
        <v>10215</v>
      </c>
      <c r="G300" s="1463" t="s">
        <v>10204</v>
      </c>
      <c r="H300" s="1467">
        <v>46346.75</v>
      </c>
      <c r="I300" s="1470"/>
    </row>
    <row r="301" spans="1:9" ht="14">
      <c r="A301" s="1464" t="s">
        <v>6618</v>
      </c>
      <c r="B301" s="1464">
        <v>6464780390</v>
      </c>
      <c r="C301" s="1464" t="s">
        <v>123</v>
      </c>
      <c r="D301" s="1468">
        <v>46274.083333333336</v>
      </c>
      <c r="E301" s="1468">
        <v>46274.103541666664</v>
      </c>
      <c r="F301" s="1465"/>
      <c r="G301" s="1464" t="s">
        <v>10210</v>
      </c>
      <c r="H301" s="1468">
        <v>46322.958333333336</v>
      </c>
      <c r="I301" s="1468">
        <v>46322.921701388892</v>
      </c>
    </row>
    <row r="302" spans="1:9" ht="14">
      <c r="A302" s="1463" t="s">
        <v>6622</v>
      </c>
      <c r="B302" s="1463">
        <v>6464774420</v>
      </c>
      <c r="C302" s="1463" t="s">
        <v>123</v>
      </c>
      <c r="D302" s="1467">
        <v>46278.708333333336</v>
      </c>
      <c r="E302" s="1467">
        <v>46278.586898148147</v>
      </c>
      <c r="F302" s="1466"/>
      <c r="G302" s="1463" t="s">
        <v>10206</v>
      </c>
      <c r="H302" s="1467">
        <v>46316.583333333336</v>
      </c>
      <c r="I302" s="1467">
        <v>46316.635636574072</v>
      </c>
    </row>
    <row r="303" spans="1:9" ht="14">
      <c r="A303" s="1464" t="s">
        <v>6627</v>
      </c>
      <c r="B303" s="1464">
        <v>6464775680</v>
      </c>
      <c r="C303" s="1464" t="s">
        <v>123</v>
      </c>
      <c r="D303" s="1468">
        <v>46277.8125</v>
      </c>
      <c r="E303" s="1468">
        <v>46277.716585648152</v>
      </c>
      <c r="F303" s="1465"/>
      <c r="G303" s="1464" t="s">
        <v>10206</v>
      </c>
      <c r="H303" s="1468">
        <v>46324.833333333336</v>
      </c>
      <c r="I303" s="1469"/>
    </row>
    <row r="304" spans="1:9" ht="14">
      <c r="A304" s="1463" t="s">
        <v>6632</v>
      </c>
      <c r="B304" s="1463">
        <v>6464778420</v>
      </c>
      <c r="C304" s="1463" t="s">
        <v>123</v>
      </c>
      <c r="D304" s="1467">
        <v>46276.520833333336</v>
      </c>
      <c r="E304" s="1467">
        <v>46276.53597222222</v>
      </c>
      <c r="F304" s="1466"/>
      <c r="G304" s="1463" t="s">
        <v>10206</v>
      </c>
      <c r="H304" s="1467">
        <v>46322.833333333336</v>
      </c>
      <c r="I304" s="1467">
        <v>46322.775902777779</v>
      </c>
    </row>
    <row r="305" spans="1:9" ht="14">
      <c r="A305" s="1464" t="s">
        <v>6637</v>
      </c>
      <c r="B305" s="1464">
        <v>6464781690</v>
      </c>
      <c r="C305" s="1464" t="s">
        <v>123</v>
      </c>
      <c r="D305" s="1468">
        <v>46277.791666666664</v>
      </c>
      <c r="E305" s="1468">
        <v>46277.833090277774</v>
      </c>
      <c r="F305" s="1465"/>
      <c r="G305" s="1464" t="s">
        <v>8661</v>
      </c>
      <c r="H305" s="1468">
        <v>46322.666666666664</v>
      </c>
      <c r="I305" s="1468">
        <v>46322.787372685183</v>
      </c>
    </row>
    <row r="306" spans="1:9" ht="14">
      <c r="A306" s="1463" t="s">
        <v>6644</v>
      </c>
      <c r="B306" s="1463">
        <v>6464783150</v>
      </c>
      <c r="C306" s="1463" t="s">
        <v>123</v>
      </c>
      <c r="D306" s="1467">
        <v>46284.729166666664</v>
      </c>
      <c r="E306" s="1467">
        <v>46284.757893518516</v>
      </c>
      <c r="F306" s="1466"/>
      <c r="G306" s="1463" t="s">
        <v>8661</v>
      </c>
      <c r="H306" s="1467">
        <v>46342.25</v>
      </c>
      <c r="I306" s="1470"/>
    </row>
    <row r="307" spans="1:9" ht="14">
      <c r="A307" s="1464" t="s">
        <v>6652</v>
      </c>
      <c r="B307" s="1464">
        <v>6464784160</v>
      </c>
      <c r="C307" s="1464" t="s">
        <v>123</v>
      </c>
      <c r="D307" s="1468">
        <v>46273.041666666664</v>
      </c>
      <c r="E307" s="1468">
        <v>46273.077708333331</v>
      </c>
      <c r="F307" s="1465"/>
      <c r="G307" s="1464" t="s">
        <v>10205</v>
      </c>
      <c r="H307" s="1468">
        <v>46340.333333333336</v>
      </c>
      <c r="I307" s="1469"/>
    </row>
    <row r="308" spans="1:9" ht="14">
      <c r="A308" s="1463" t="s">
        <v>6656</v>
      </c>
      <c r="B308" s="1463">
        <v>6465498240</v>
      </c>
      <c r="C308" s="1463" t="s">
        <v>123</v>
      </c>
      <c r="D308" s="1467">
        <v>46277.791666666664</v>
      </c>
      <c r="E308" s="1467">
        <v>46277.833090277774</v>
      </c>
      <c r="F308" s="1466"/>
      <c r="G308" s="1463" t="s">
        <v>10205</v>
      </c>
      <c r="H308" s="1467">
        <v>46315.342361111114</v>
      </c>
      <c r="I308" s="1467">
        <v>46315.492418981485</v>
      </c>
    </row>
    <row r="309" spans="1:9" ht="14">
      <c r="A309" s="1464" t="s">
        <v>6674</v>
      </c>
      <c r="B309" s="1464">
        <v>9509736950</v>
      </c>
      <c r="C309" s="1464" t="s">
        <v>6003</v>
      </c>
      <c r="D309" s="1468">
        <v>46281.041666666664</v>
      </c>
      <c r="E309" s="1468">
        <v>46281.061203703706</v>
      </c>
      <c r="F309" s="1465"/>
      <c r="G309" s="1464" t="s">
        <v>8661</v>
      </c>
      <c r="H309" s="1468">
        <v>46325.833333333336</v>
      </c>
      <c r="I309" s="1469"/>
    </row>
    <row r="310" spans="1:9" ht="14">
      <c r="A310" s="1463" t="s">
        <v>6678</v>
      </c>
      <c r="B310" s="1463">
        <v>9509736980</v>
      </c>
      <c r="C310" s="1463" t="s">
        <v>6003</v>
      </c>
      <c r="D310" s="1467">
        <v>46289.625</v>
      </c>
      <c r="E310" s="1467">
        <v>46289.666585648149</v>
      </c>
      <c r="F310" s="1466"/>
      <c r="G310" s="1463" t="s">
        <v>8661</v>
      </c>
      <c r="H310" s="1467">
        <v>46342.25</v>
      </c>
      <c r="I310" s="1470"/>
    </row>
    <row r="311" spans="1:9" ht="14">
      <c r="A311" s="1464" t="s">
        <v>6685</v>
      </c>
      <c r="B311" s="1464">
        <v>9509739210</v>
      </c>
      <c r="C311" s="1464" t="s">
        <v>6003</v>
      </c>
      <c r="D311" s="1468">
        <v>46303.75</v>
      </c>
      <c r="E311" s="1468">
        <v>46303.778495370374</v>
      </c>
      <c r="F311" s="1465"/>
      <c r="G311" s="1464" t="s">
        <v>8661</v>
      </c>
      <c r="H311" s="1468">
        <v>46350.791666666664</v>
      </c>
      <c r="I311" s="1469"/>
    </row>
    <row r="312" spans="1:9" ht="14">
      <c r="A312" s="1463" t="s">
        <v>6691</v>
      </c>
      <c r="B312" s="1463">
        <v>9509606910</v>
      </c>
      <c r="C312" s="1463" t="s">
        <v>6003</v>
      </c>
      <c r="D312" s="1467">
        <v>46282.583333333336</v>
      </c>
      <c r="E312" s="1467">
        <v>46282.614317129628</v>
      </c>
      <c r="F312" s="1466"/>
      <c r="G312" s="1463" t="s">
        <v>10206</v>
      </c>
      <c r="H312" s="1467">
        <v>46316.583333333336</v>
      </c>
      <c r="I312" s="1467">
        <v>46316.635636574072</v>
      </c>
    </row>
    <row r="313" spans="1:9" ht="14">
      <c r="A313" s="1464" t="s">
        <v>6696</v>
      </c>
      <c r="B313" s="1464">
        <v>9509606920</v>
      </c>
      <c r="C313" s="1464" t="s">
        <v>6003</v>
      </c>
      <c r="D313" s="1468">
        <v>46284.375</v>
      </c>
      <c r="E313" s="1468">
        <v>46284.396817129629</v>
      </c>
      <c r="F313" s="1465"/>
      <c r="G313" s="1464" t="s">
        <v>10206</v>
      </c>
      <c r="H313" s="1468">
        <v>46324.833333333336</v>
      </c>
      <c r="I313" s="1469"/>
    </row>
    <row r="314" spans="1:9" ht="14">
      <c r="A314" s="1463" t="s">
        <v>6705</v>
      </c>
      <c r="B314" s="1463">
        <v>9509650560</v>
      </c>
      <c r="C314" s="1463" t="s">
        <v>6003</v>
      </c>
      <c r="D314" s="1467">
        <v>46278.78125</v>
      </c>
      <c r="E314" s="1467">
        <v>46278.549780092595</v>
      </c>
      <c r="F314" s="1466"/>
      <c r="G314" s="1463" t="s">
        <v>10211</v>
      </c>
      <c r="H314" s="1467">
        <v>46331.75</v>
      </c>
      <c r="I314" s="1470"/>
    </row>
    <row r="315" spans="1:9" ht="14">
      <c r="A315" s="1464" t="s">
        <v>6709</v>
      </c>
      <c r="B315" s="1464">
        <v>9509488350</v>
      </c>
      <c r="C315" s="1464" t="s">
        <v>6003</v>
      </c>
      <c r="D315" s="1468">
        <v>46279.75</v>
      </c>
      <c r="E315" s="1468">
        <v>46279.80667824074</v>
      </c>
      <c r="F315" s="1465"/>
      <c r="G315" s="1464" t="s">
        <v>8661</v>
      </c>
      <c r="H315" s="1468">
        <v>46336.25</v>
      </c>
      <c r="I315" s="1469"/>
    </row>
    <row r="316" spans="1:9" ht="14">
      <c r="A316" s="1463" t="s">
        <v>6714</v>
      </c>
      <c r="B316" s="1463">
        <v>9509531260</v>
      </c>
      <c r="C316" s="1463" t="s">
        <v>10200</v>
      </c>
      <c r="D316" s="1467">
        <v>46275.833333333336</v>
      </c>
      <c r="E316" s="1467">
        <v>46275.864525462966</v>
      </c>
      <c r="F316" s="1463" t="s">
        <v>123</v>
      </c>
      <c r="G316" s="1463" t="s">
        <v>8661</v>
      </c>
      <c r="H316" s="1467">
        <v>46332.833333333336</v>
      </c>
      <c r="I316" s="1470"/>
    </row>
    <row r="317" spans="1:9" ht="14">
      <c r="A317" s="1464" t="s">
        <v>6718</v>
      </c>
      <c r="B317" s="1464">
        <v>9509531180</v>
      </c>
      <c r="C317" s="1464" t="s">
        <v>10200</v>
      </c>
      <c r="D317" s="1468">
        <v>46275.833333333336</v>
      </c>
      <c r="E317" s="1468">
        <v>46275.864525462966</v>
      </c>
      <c r="F317" s="1464" t="s">
        <v>123</v>
      </c>
      <c r="G317" s="1464" t="s">
        <v>8661</v>
      </c>
      <c r="H317" s="1468">
        <v>46348.25</v>
      </c>
      <c r="I317" s="1469"/>
    </row>
    <row r="318" spans="1:9" ht="14">
      <c r="A318" s="1463" t="s">
        <v>6723</v>
      </c>
      <c r="B318" s="1463">
        <v>6464983000</v>
      </c>
      <c r="C318" s="1463" t="s">
        <v>10200</v>
      </c>
      <c r="D318" s="1467">
        <v>46275.833333333336</v>
      </c>
      <c r="E318" s="1467">
        <v>46275.864525462966</v>
      </c>
      <c r="F318" s="1466"/>
      <c r="G318" s="1463" t="s">
        <v>10206</v>
      </c>
      <c r="H318" s="1467">
        <v>46327.166666666664</v>
      </c>
      <c r="I318" s="1470"/>
    </row>
    <row r="319" spans="1:9" ht="14">
      <c r="A319" s="1464" t="s">
        <v>6727</v>
      </c>
      <c r="B319" s="1464">
        <v>9509511700</v>
      </c>
      <c r="C319" s="1464" t="s">
        <v>10200</v>
      </c>
      <c r="D319" s="1468">
        <v>46275.833333333336</v>
      </c>
      <c r="E319" s="1468">
        <v>46275.864525462966</v>
      </c>
      <c r="F319" s="1465"/>
      <c r="G319" s="1464" t="s">
        <v>10206</v>
      </c>
      <c r="H319" s="1468">
        <v>46327.166666666664</v>
      </c>
      <c r="I319" s="1469"/>
    </row>
    <row r="320" spans="1:9" ht="14">
      <c r="A320" s="1463" t="s">
        <v>6746</v>
      </c>
      <c r="B320" s="1463">
        <v>6465715640</v>
      </c>
      <c r="C320" s="1463" t="s">
        <v>123</v>
      </c>
      <c r="D320" s="1467">
        <v>46279.6875</v>
      </c>
      <c r="E320" s="1467">
        <v>46279.699814814812</v>
      </c>
      <c r="F320" s="1466"/>
      <c r="G320" s="1463" t="s">
        <v>10211</v>
      </c>
      <c r="H320" s="1467">
        <v>46338.25</v>
      </c>
      <c r="I320" s="1470"/>
    </row>
    <row r="321" spans="1:9" ht="14">
      <c r="A321" s="1464" t="s">
        <v>6772</v>
      </c>
      <c r="B321" s="1464">
        <v>6465717250</v>
      </c>
      <c r="C321" s="1464" t="s">
        <v>123</v>
      </c>
      <c r="D321" s="1468">
        <v>46286.4375</v>
      </c>
      <c r="E321" s="1468">
        <v>46286.452141203707</v>
      </c>
      <c r="F321" s="1465"/>
      <c r="G321" s="1464" t="s">
        <v>10206</v>
      </c>
      <c r="H321" s="1468">
        <v>46333.625</v>
      </c>
      <c r="I321" s="1469"/>
    </row>
    <row r="322" spans="1:9" ht="14">
      <c r="A322" s="1463" t="s">
        <v>6779</v>
      </c>
      <c r="B322" s="1463">
        <v>6466066070</v>
      </c>
      <c r="C322" s="1463" t="s">
        <v>123</v>
      </c>
      <c r="D322" s="1467">
        <v>46282.395833333336</v>
      </c>
      <c r="E322" s="1467">
        <v>46282.285486111112</v>
      </c>
      <c r="F322" s="1466"/>
      <c r="G322" s="1463" t="s">
        <v>10206</v>
      </c>
      <c r="H322" s="1467">
        <v>46324.791666666664</v>
      </c>
      <c r="I322" s="1470"/>
    </row>
    <row r="323" spans="1:9" ht="14">
      <c r="A323" s="1464" t="s">
        <v>6787</v>
      </c>
      <c r="B323" s="1464">
        <v>6466067620</v>
      </c>
      <c r="C323" s="1464" t="s">
        <v>123</v>
      </c>
      <c r="D323" s="1468">
        <v>46281.625</v>
      </c>
      <c r="E323" s="1468">
        <v>46281.637303240743</v>
      </c>
      <c r="F323" s="1465"/>
      <c r="G323" s="1464" t="s">
        <v>10206</v>
      </c>
      <c r="H323" s="1468">
        <v>46327.166666666664</v>
      </c>
      <c r="I323" s="1469"/>
    </row>
    <row r="324" spans="1:9" ht="14">
      <c r="A324" s="1463" t="s">
        <v>6798</v>
      </c>
      <c r="B324" s="1463">
        <v>6465719640</v>
      </c>
      <c r="C324" s="1463" t="s">
        <v>123</v>
      </c>
      <c r="D324" s="1467">
        <v>46279.6875</v>
      </c>
      <c r="E324" s="1467">
        <v>46279.699814814812</v>
      </c>
      <c r="F324" s="1463" t="s">
        <v>10212</v>
      </c>
      <c r="G324" s="1463" t="s">
        <v>8661</v>
      </c>
      <c r="H324" s="1467">
        <v>46325.833333333336</v>
      </c>
      <c r="I324" s="1470"/>
    </row>
    <row r="325" spans="1:9" ht="14">
      <c r="A325" s="1464" t="s">
        <v>6808</v>
      </c>
      <c r="B325" s="1464">
        <v>9509811770</v>
      </c>
      <c r="C325" s="1464" t="s">
        <v>6003</v>
      </c>
      <c r="D325" s="1468">
        <v>46285.583333333336</v>
      </c>
      <c r="E325" s="1468">
        <v>46285.607071759259</v>
      </c>
      <c r="F325" s="1465"/>
      <c r="G325" s="1464" t="s">
        <v>10206</v>
      </c>
      <c r="H325" s="1468">
        <v>46327.166666666664</v>
      </c>
      <c r="I325" s="1469"/>
    </row>
    <row r="326" spans="1:9" ht="14">
      <c r="A326" s="1463" t="s">
        <v>6813</v>
      </c>
      <c r="B326" s="1463">
        <v>9509811250</v>
      </c>
      <c r="C326" s="1463" t="s">
        <v>6003</v>
      </c>
      <c r="D326" s="1467">
        <v>46291.041666666664</v>
      </c>
      <c r="E326" s="1467">
        <v>46291.062094907407</v>
      </c>
      <c r="F326" s="1466"/>
      <c r="G326" s="1463" t="s">
        <v>10206</v>
      </c>
      <c r="H326" s="1467">
        <v>46333.625</v>
      </c>
      <c r="I326" s="1470"/>
    </row>
    <row r="327" spans="1:9" ht="14">
      <c r="A327" s="1464" t="s">
        <v>6817</v>
      </c>
      <c r="B327" s="1464">
        <v>9509912990</v>
      </c>
      <c r="C327" s="1464" t="s">
        <v>6003</v>
      </c>
      <c r="D327" s="1468">
        <v>46285.583333333336</v>
      </c>
      <c r="E327" s="1468">
        <v>46285.607071759259</v>
      </c>
      <c r="F327" s="1465"/>
      <c r="G327" s="1464" t="s">
        <v>10206</v>
      </c>
      <c r="H327" s="1468">
        <v>46327.166666666664</v>
      </c>
      <c r="I327" s="1469"/>
    </row>
    <row r="328" spans="1:9" ht="14">
      <c r="A328" s="1463" t="s">
        <v>6823</v>
      </c>
      <c r="B328" s="1463">
        <v>9509601430</v>
      </c>
      <c r="C328" s="1463" t="s">
        <v>10200</v>
      </c>
      <c r="D328" s="1467">
        <v>46279.979166666664</v>
      </c>
      <c r="E328" s="1467">
        <v>46279.989803240744</v>
      </c>
      <c r="F328" s="1463" t="s">
        <v>10202</v>
      </c>
      <c r="G328" s="1463" t="s">
        <v>8661</v>
      </c>
      <c r="H328" s="1467">
        <v>46359.791666666664</v>
      </c>
      <c r="I328" s="1470"/>
    </row>
    <row r="329" spans="1:9" ht="14">
      <c r="A329" s="1464" t="s">
        <v>6827</v>
      </c>
      <c r="B329" s="1464">
        <v>9509601740</v>
      </c>
      <c r="C329" s="1464" t="s">
        <v>10200</v>
      </c>
      <c r="D329" s="1468">
        <v>46279.979166666664</v>
      </c>
      <c r="E329" s="1468">
        <v>46279.989803240744</v>
      </c>
      <c r="F329" s="1464" t="s">
        <v>10202</v>
      </c>
      <c r="G329" s="1464" t="s">
        <v>8661</v>
      </c>
      <c r="H329" s="1468">
        <v>46337.25</v>
      </c>
      <c r="I329" s="1469"/>
    </row>
    <row r="330" spans="1:9" ht="14">
      <c r="A330" s="1463" t="s">
        <v>6841</v>
      </c>
      <c r="B330" s="1463">
        <v>6466858750</v>
      </c>
      <c r="C330" s="1463" t="s">
        <v>123</v>
      </c>
      <c r="D330" s="1467">
        <v>46295.229166666664</v>
      </c>
      <c r="E330" s="1467">
        <v>46295.255243055559</v>
      </c>
      <c r="F330" s="1466"/>
      <c r="G330" s="1463" t="s">
        <v>10211</v>
      </c>
      <c r="H330" s="1467">
        <v>46344.875</v>
      </c>
      <c r="I330" s="1470"/>
    </row>
    <row r="331" spans="1:9" ht="14">
      <c r="A331" s="1464" t="s">
        <v>6846</v>
      </c>
      <c r="B331" s="1464">
        <v>6467013360</v>
      </c>
      <c r="C331" s="1464" t="s">
        <v>123</v>
      </c>
      <c r="D331" s="1468">
        <v>46294.166666666664</v>
      </c>
      <c r="E331" s="1468">
        <v>46294.084317129629</v>
      </c>
      <c r="F331" s="1465"/>
      <c r="G331" s="1464" t="s">
        <v>10206</v>
      </c>
      <c r="H331" s="1468">
        <v>46338.875</v>
      </c>
      <c r="I331" s="1469"/>
    </row>
    <row r="332" spans="1:9" ht="14">
      <c r="A332" s="1463" t="s">
        <v>6854</v>
      </c>
      <c r="B332" s="1463">
        <v>6466678170</v>
      </c>
      <c r="C332" s="1463" t="s">
        <v>123</v>
      </c>
      <c r="D332" s="1467">
        <v>46287.5</v>
      </c>
      <c r="E332" s="1467">
        <v>46287.427245370367</v>
      </c>
      <c r="F332" s="1466"/>
      <c r="G332" s="1463" t="s">
        <v>10206</v>
      </c>
      <c r="H332" s="1467">
        <v>46332.625</v>
      </c>
      <c r="I332" s="1470"/>
    </row>
    <row r="333" spans="1:9" ht="14">
      <c r="A333" s="1464" t="s">
        <v>6864</v>
      </c>
      <c r="B333" s="1464">
        <v>6466631520</v>
      </c>
      <c r="C333" s="1464" t="s">
        <v>123</v>
      </c>
      <c r="D333" s="1468">
        <v>46294.166666666664</v>
      </c>
      <c r="E333" s="1468">
        <v>46294.084317129629</v>
      </c>
      <c r="F333" s="1465"/>
      <c r="G333" s="1464" t="s">
        <v>10206</v>
      </c>
      <c r="H333" s="1468">
        <v>46338.875</v>
      </c>
      <c r="I333" s="1469"/>
    </row>
    <row r="334" spans="1:9" ht="14">
      <c r="A334" s="1463" t="s">
        <v>6869</v>
      </c>
      <c r="B334" s="1463">
        <v>6467015120</v>
      </c>
      <c r="C334" s="1463" t="s">
        <v>123</v>
      </c>
      <c r="D334" s="1467">
        <v>46292.791666666664</v>
      </c>
      <c r="E334" s="1467">
        <v>46292.810983796298</v>
      </c>
      <c r="F334" s="1466"/>
      <c r="G334" s="1463" t="s">
        <v>10208</v>
      </c>
      <c r="H334" s="1467">
        <v>46344.5</v>
      </c>
      <c r="I334" s="1470"/>
    </row>
    <row r="335" spans="1:9" ht="14">
      <c r="A335" s="1464" t="s">
        <v>6874</v>
      </c>
      <c r="B335" s="1464">
        <v>6467017560</v>
      </c>
      <c r="C335" s="1464" t="s">
        <v>123</v>
      </c>
      <c r="D335" s="1468">
        <v>46289.583333333336</v>
      </c>
      <c r="E335" s="1468">
        <v>46289.623495370368</v>
      </c>
      <c r="F335" s="1465"/>
      <c r="G335" s="1464" t="s">
        <v>8661</v>
      </c>
      <c r="H335" s="1468">
        <v>46332.833333333336</v>
      </c>
      <c r="I335" s="1469"/>
    </row>
    <row r="336" spans="1:9" ht="14">
      <c r="A336" s="1463" t="s">
        <v>6878</v>
      </c>
      <c r="B336" s="1463">
        <v>6467016280</v>
      </c>
      <c r="C336" s="1463" t="s">
        <v>123</v>
      </c>
      <c r="D336" s="1467">
        <v>46292.791666666664</v>
      </c>
      <c r="E336" s="1467">
        <v>46292.810983796298</v>
      </c>
      <c r="F336" s="1466"/>
      <c r="G336" s="1463" t="s">
        <v>8661</v>
      </c>
      <c r="H336" s="1467">
        <v>46348.25</v>
      </c>
      <c r="I336" s="1470"/>
    </row>
    <row r="337" spans="1:9" ht="14">
      <c r="A337" s="1464" t="s">
        <v>6885</v>
      </c>
      <c r="B337" s="1464">
        <v>6467090510</v>
      </c>
      <c r="C337" s="1464" t="s">
        <v>123</v>
      </c>
      <c r="D337" s="1468">
        <v>46292.791666666664</v>
      </c>
      <c r="E337" s="1468">
        <v>46292.810983796298</v>
      </c>
      <c r="F337" s="1465"/>
      <c r="G337" s="1464" t="s">
        <v>10205</v>
      </c>
      <c r="H337" s="1468">
        <v>46351.333333333336</v>
      </c>
      <c r="I337" s="1469"/>
    </row>
    <row r="338" spans="1:9" ht="14">
      <c r="A338" s="1463" t="s">
        <v>6899</v>
      </c>
      <c r="B338" s="1463">
        <v>9510012530</v>
      </c>
      <c r="C338" s="1463" t="s">
        <v>6003</v>
      </c>
      <c r="D338" s="1467">
        <v>46292.583333333336</v>
      </c>
      <c r="E338" s="1467">
        <v>46291.864884259259</v>
      </c>
      <c r="F338" s="1466"/>
      <c r="G338" s="1463" t="s">
        <v>10206</v>
      </c>
      <c r="H338" s="1467">
        <v>46332.625</v>
      </c>
      <c r="I338" s="1470"/>
    </row>
    <row r="339" spans="1:9" ht="14">
      <c r="A339" s="1464" t="s">
        <v>6904</v>
      </c>
      <c r="B339" s="1464">
        <v>6467892390</v>
      </c>
      <c r="C339" s="1464" t="s">
        <v>6003</v>
      </c>
      <c r="D339" s="1468">
        <v>46300.333333333336</v>
      </c>
      <c r="E339" s="1468">
        <v>46300.359317129631</v>
      </c>
      <c r="F339" s="1465"/>
      <c r="G339" s="1464" t="s">
        <v>10206</v>
      </c>
      <c r="H339" s="1468">
        <v>46338.875</v>
      </c>
      <c r="I339" s="1469"/>
    </row>
    <row r="340" spans="1:9" ht="14">
      <c r="A340" s="1463" t="s">
        <v>6908</v>
      </c>
      <c r="B340" s="1463">
        <v>9510035910</v>
      </c>
      <c r="C340" s="1463" t="s">
        <v>6003</v>
      </c>
      <c r="D340" s="1467">
        <v>46297.333333333336</v>
      </c>
      <c r="E340" s="1467">
        <v>46297.380277777775</v>
      </c>
      <c r="F340" s="1466"/>
      <c r="G340" s="1463" t="s">
        <v>10208</v>
      </c>
      <c r="H340" s="1467">
        <v>46344.5</v>
      </c>
      <c r="I340" s="1470"/>
    </row>
    <row r="341" spans="1:9" ht="14">
      <c r="A341" s="1464" t="s">
        <v>6913</v>
      </c>
      <c r="B341" s="1464">
        <v>9509786940</v>
      </c>
      <c r="C341" s="1464" t="s">
        <v>10200</v>
      </c>
      <c r="D341" s="1468">
        <v>46284.958333333336</v>
      </c>
      <c r="E341" s="1468">
        <v>46284.979166666664</v>
      </c>
      <c r="F341" s="1465"/>
      <c r="G341" s="1464" t="s">
        <v>10206</v>
      </c>
      <c r="H341" s="1468">
        <v>46336.708333333336</v>
      </c>
      <c r="I341" s="1469"/>
    </row>
    <row r="342" spans="1:9" ht="14">
      <c r="A342" s="1463" t="s">
        <v>6917</v>
      </c>
      <c r="B342" s="1463">
        <v>9509787370</v>
      </c>
      <c r="C342" s="1463" t="s">
        <v>10200</v>
      </c>
      <c r="D342" s="1467">
        <v>46284.958333333336</v>
      </c>
      <c r="E342" s="1467">
        <v>46284.979166666664</v>
      </c>
      <c r="F342" s="1463" t="s">
        <v>10202</v>
      </c>
      <c r="G342" s="1463" t="s">
        <v>8661</v>
      </c>
      <c r="H342" s="1467">
        <v>46346.25</v>
      </c>
      <c r="I342" s="1470"/>
    </row>
    <row r="343" spans="1:9" ht="14">
      <c r="A343" s="1464" t="s">
        <v>6951</v>
      </c>
      <c r="B343" s="1464">
        <v>6467917120</v>
      </c>
      <c r="C343" s="1464" t="s">
        <v>123</v>
      </c>
      <c r="D343" s="1468">
        <v>46293.1875</v>
      </c>
      <c r="E343" s="1468">
        <v>46292.541562500002</v>
      </c>
      <c r="F343" s="1465"/>
      <c r="G343" s="1464" t="s">
        <v>10206</v>
      </c>
      <c r="H343" s="1468">
        <v>46336.708333333336</v>
      </c>
      <c r="I343" s="1469"/>
    </row>
    <row r="344" spans="1:9" ht="14">
      <c r="A344" s="1463" t="s">
        <v>6961</v>
      </c>
      <c r="B344" s="1463">
        <v>6467917960</v>
      </c>
      <c r="C344" s="1463" t="s">
        <v>123</v>
      </c>
      <c r="D344" s="1467">
        <v>46309.208333333336</v>
      </c>
      <c r="E344" s="1467">
        <v>46309.260312500002</v>
      </c>
      <c r="F344" s="1466"/>
      <c r="G344" s="1463" t="s">
        <v>10206</v>
      </c>
      <c r="H344" s="1467">
        <v>46346.125</v>
      </c>
      <c r="I344" s="1470"/>
    </row>
    <row r="345" spans="1:9" ht="14">
      <c r="A345" s="1464" t="s">
        <v>6967</v>
      </c>
      <c r="B345" s="1464">
        <v>6467919240</v>
      </c>
      <c r="C345" s="1464" t="s">
        <v>123</v>
      </c>
      <c r="D345" s="1468">
        <v>46296.5</v>
      </c>
      <c r="E345" s="1468">
        <v>46296.510092592594</v>
      </c>
      <c r="F345" s="1465"/>
      <c r="G345" s="1464" t="s">
        <v>10206</v>
      </c>
      <c r="H345" s="1468">
        <v>46345.625</v>
      </c>
      <c r="I345" s="1469"/>
    </row>
    <row r="346" spans="1:9" ht="14">
      <c r="A346" s="1463" t="s">
        <v>6972</v>
      </c>
      <c r="B346" s="1463">
        <v>6467919750</v>
      </c>
      <c r="C346" s="1463" t="s">
        <v>123</v>
      </c>
      <c r="D346" s="1467">
        <v>46297.9375</v>
      </c>
      <c r="E346" s="1467">
        <v>46297.957986111112</v>
      </c>
      <c r="F346" s="1466"/>
      <c r="G346" s="1463" t="s">
        <v>10206</v>
      </c>
      <c r="H346" s="1467">
        <v>46341.979166666664</v>
      </c>
      <c r="I346" s="1470"/>
    </row>
    <row r="347" spans="1:9" ht="14">
      <c r="A347" s="1464" t="s">
        <v>6982</v>
      </c>
      <c r="B347" s="1464">
        <v>6467920310</v>
      </c>
      <c r="C347" s="1464" t="s">
        <v>123</v>
      </c>
      <c r="D347" s="1468">
        <v>46297.9375</v>
      </c>
      <c r="E347" s="1468">
        <v>46297.957986111112</v>
      </c>
      <c r="F347" s="1465"/>
      <c r="G347" s="1464" t="s">
        <v>10206</v>
      </c>
      <c r="H347" s="1468">
        <v>46341.979166666664</v>
      </c>
      <c r="I347" s="1469"/>
    </row>
    <row r="348" spans="1:9" ht="14">
      <c r="A348" s="1463" t="s">
        <v>6999</v>
      </c>
      <c r="B348" s="1463">
        <v>6468132880</v>
      </c>
      <c r="C348" s="1463" t="s">
        <v>123</v>
      </c>
      <c r="D348" s="1467">
        <v>46306.666666666664</v>
      </c>
      <c r="E348" s="1467">
        <v>46306.437141203707</v>
      </c>
      <c r="F348" s="1466"/>
      <c r="G348" s="1463" t="s">
        <v>10208</v>
      </c>
      <c r="H348" s="1467">
        <v>46354.25</v>
      </c>
      <c r="I348" s="1470"/>
    </row>
    <row r="349" spans="1:9" ht="14">
      <c r="A349" s="1464" t="s">
        <v>7003</v>
      </c>
      <c r="B349" s="1464">
        <v>6467810590</v>
      </c>
      <c r="C349" s="1464" t="s">
        <v>123</v>
      </c>
      <c r="D349" s="1468">
        <v>46306.666666666664</v>
      </c>
      <c r="E349" s="1468">
        <v>46306.437141203707</v>
      </c>
      <c r="F349" s="1464" t="s">
        <v>10203</v>
      </c>
      <c r="G349" s="1464" t="s">
        <v>10204</v>
      </c>
      <c r="H349" s="1468">
        <v>46355.75</v>
      </c>
      <c r="I349" s="1469"/>
    </row>
    <row r="350" spans="1:9" ht="14">
      <c r="A350" s="1463" t="s">
        <v>7007</v>
      </c>
      <c r="B350" s="1463">
        <v>6468136360</v>
      </c>
      <c r="C350" s="1463" t="s">
        <v>123</v>
      </c>
      <c r="D350" s="1467">
        <v>46306.666666666664</v>
      </c>
      <c r="E350" s="1467">
        <v>46306.437141203707</v>
      </c>
      <c r="F350" s="1466"/>
      <c r="G350" s="1463" t="s">
        <v>8661</v>
      </c>
      <c r="H350" s="1467">
        <v>46359.791666666664</v>
      </c>
      <c r="I350" s="1470"/>
    </row>
    <row r="351" spans="1:9" ht="14">
      <c r="A351" s="1464" t="s">
        <v>7012</v>
      </c>
      <c r="B351" s="1464">
        <v>6468139070</v>
      </c>
      <c r="C351" s="1464" t="s">
        <v>123</v>
      </c>
      <c r="D351" s="1468">
        <v>46299.208333333336</v>
      </c>
      <c r="E351" s="1468">
        <v>46299.237303240741</v>
      </c>
      <c r="F351" s="1464" t="s">
        <v>10212</v>
      </c>
      <c r="G351" s="1464" t="s">
        <v>10205</v>
      </c>
      <c r="H351" s="1468">
        <v>46340.583333333336</v>
      </c>
      <c r="I351" s="1469"/>
    </row>
    <row r="352" spans="1:9" ht="14">
      <c r="A352" s="1463" t="s">
        <v>7017</v>
      </c>
      <c r="B352" s="1463">
        <v>6468138550</v>
      </c>
      <c r="C352" s="1463" t="s">
        <v>123</v>
      </c>
      <c r="D352" s="1467">
        <v>46299.208333333336</v>
      </c>
      <c r="E352" s="1467">
        <v>46299.237303240741</v>
      </c>
      <c r="F352" s="1463" t="s">
        <v>10212</v>
      </c>
      <c r="G352" s="1463" t="s">
        <v>8661</v>
      </c>
      <c r="H352" s="1467">
        <v>46346.25</v>
      </c>
      <c r="I352" s="1470"/>
    </row>
    <row r="353" spans="1:9" ht="14">
      <c r="A353" s="1464" t="s">
        <v>7023</v>
      </c>
      <c r="B353" s="1464">
        <v>9510101310</v>
      </c>
      <c r="C353" s="1464" t="s">
        <v>10200</v>
      </c>
      <c r="D353" s="1468">
        <v>46295.5</v>
      </c>
      <c r="E353" s="1468">
        <v>46295.536527777775</v>
      </c>
      <c r="F353" s="1464" t="s">
        <v>10202</v>
      </c>
      <c r="G353" s="1464" t="s">
        <v>8661</v>
      </c>
      <c r="H353" s="1468">
        <v>46365.25</v>
      </c>
      <c r="I353" s="1469"/>
    </row>
    <row r="354" spans="1:9" ht="14">
      <c r="A354" s="1463" t="s">
        <v>7028</v>
      </c>
      <c r="B354" s="1463">
        <v>9510260410</v>
      </c>
      <c r="C354" s="1463" t="s">
        <v>10200</v>
      </c>
      <c r="D354" s="1467">
        <v>46313.854166666664</v>
      </c>
      <c r="E354" s="1467">
        <v>46313.785555555558</v>
      </c>
      <c r="F354" s="1463" t="s">
        <v>10202</v>
      </c>
      <c r="G354" s="1463" t="s">
        <v>8661</v>
      </c>
      <c r="H354" s="1467">
        <v>46384.791666666664</v>
      </c>
      <c r="I354" s="1470"/>
    </row>
    <row r="355" spans="1:9" ht="14">
      <c r="A355" s="1464" t="s">
        <v>7032</v>
      </c>
      <c r="B355" s="1464">
        <v>9510260340</v>
      </c>
      <c r="C355" s="1464" t="s">
        <v>10200</v>
      </c>
      <c r="D355" s="1468">
        <v>46313.854166666664</v>
      </c>
      <c r="E355" s="1468">
        <v>46313.785555555558</v>
      </c>
      <c r="F355" s="1464" t="s">
        <v>10202</v>
      </c>
      <c r="G355" s="1464" t="s">
        <v>8661</v>
      </c>
      <c r="H355" s="1468">
        <v>46372.25</v>
      </c>
      <c r="I355" s="1469"/>
    </row>
    <row r="356" spans="1:9" ht="14">
      <c r="A356" s="1463" t="s">
        <v>7038</v>
      </c>
      <c r="B356" s="1463">
        <v>9510100890</v>
      </c>
      <c r="C356" s="1463" t="s">
        <v>10200</v>
      </c>
      <c r="D356" s="1467">
        <v>46295.5</v>
      </c>
      <c r="E356" s="1467">
        <v>46295.536527777775</v>
      </c>
      <c r="F356" s="1463" t="s">
        <v>10202</v>
      </c>
      <c r="G356" s="1463" t="s">
        <v>8661</v>
      </c>
      <c r="H356" s="1467">
        <v>46363.791666666664</v>
      </c>
      <c r="I356" s="1470"/>
    </row>
    <row r="357" spans="1:9" ht="14">
      <c r="A357" s="1464" t="s">
        <v>7044</v>
      </c>
      <c r="B357" s="1464">
        <v>9509997120</v>
      </c>
      <c r="C357" s="1464" t="s">
        <v>10200</v>
      </c>
      <c r="D357" s="1468">
        <v>46293.333333333336</v>
      </c>
      <c r="E357" s="1468">
        <v>46293.38</v>
      </c>
      <c r="F357" s="1465"/>
      <c r="G357" s="1464" t="s">
        <v>10206</v>
      </c>
      <c r="H357" s="1468">
        <v>46342.083333333336</v>
      </c>
      <c r="I357" s="1469"/>
    </row>
    <row r="358" spans="1:9" ht="14">
      <c r="A358" s="1463" t="s">
        <v>7054</v>
      </c>
      <c r="B358" s="1463">
        <v>6467723460</v>
      </c>
      <c r="C358" s="1463" t="s">
        <v>10200</v>
      </c>
      <c r="D358" s="1467">
        <v>46293.333333333336</v>
      </c>
      <c r="E358" s="1467">
        <v>46293.38</v>
      </c>
      <c r="F358" s="1463" t="s">
        <v>123</v>
      </c>
      <c r="G358" s="1463" t="s">
        <v>10210</v>
      </c>
      <c r="H358" s="1467">
        <v>46350.145833333336</v>
      </c>
      <c r="I358" s="1470"/>
    </row>
    <row r="359" spans="1:9" ht="14">
      <c r="A359" s="1464" t="s">
        <v>7061</v>
      </c>
      <c r="B359" s="1464">
        <v>6467808410</v>
      </c>
      <c r="C359" s="1464" t="s">
        <v>123</v>
      </c>
      <c r="D359" s="1468">
        <v>46299.208333333336</v>
      </c>
      <c r="E359" s="1468">
        <v>46299.237303240741</v>
      </c>
      <c r="F359" s="1465"/>
      <c r="G359" s="1464" t="s">
        <v>10211</v>
      </c>
      <c r="H359" s="1468">
        <v>46351.75</v>
      </c>
      <c r="I359" s="1469"/>
    </row>
    <row r="360" spans="1:9" ht="14">
      <c r="A360" s="1463" t="s">
        <v>7067</v>
      </c>
      <c r="B360" s="1463">
        <v>6468384010</v>
      </c>
      <c r="C360" s="1463" t="s">
        <v>123</v>
      </c>
      <c r="D360" s="1467">
        <v>46300.833333333336</v>
      </c>
      <c r="E360" s="1467">
        <v>46300.876076388886</v>
      </c>
      <c r="F360" s="1466"/>
      <c r="G360" s="1463" t="s">
        <v>10206</v>
      </c>
      <c r="H360" s="1467">
        <v>46342.083333333336</v>
      </c>
      <c r="I360" s="1470"/>
    </row>
    <row r="361" spans="1:9" ht="14">
      <c r="A361" s="1464" t="s">
        <v>7077</v>
      </c>
      <c r="B361" s="1464">
        <v>6468580080</v>
      </c>
      <c r="C361" s="1464" t="s">
        <v>123</v>
      </c>
      <c r="D361" s="1468">
        <v>46301.333333333336</v>
      </c>
      <c r="E361" s="1468">
        <v>46300.561053240737</v>
      </c>
      <c r="F361" s="1465"/>
      <c r="G361" s="1464" t="s">
        <v>10206</v>
      </c>
      <c r="H361" s="1468">
        <v>46344.82916666667</v>
      </c>
      <c r="I361" s="1469"/>
    </row>
    <row r="362" spans="1:9" ht="14">
      <c r="A362" s="1463" t="s">
        <v>7082</v>
      </c>
      <c r="B362" s="1463">
        <v>6468731340</v>
      </c>
      <c r="C362" s="1463" t="s">
        <v>123</v>
      </c>
      <c r="D362" s="1467">
        <v>46306.5</v>
      </c>
      <c r="E362" s="1467">
        <v>46306.195543981485</v>
      </c>
      <c r="F362" s="1466"/>
      <c r="G362" s="1463" t="s">
        <v>8661</v>
      </c>
      <c r="H362" s="1467">
        <v>46346.25</v>
      </c>
      <c r="I362" s="1470"/>
    </row>
    <row r="363" spans="1:9" ht="14">
      <c r="A363" s="1464" t="s">
        <v>7096</v>
      </c>
      <c r="B363" s="1464">
        <v>9510012710</v>
      </c>
      <c r="C363" s="1464" t="s">
        <v>6003</v>
      </c>
      <c r="D363" s="1468">
        <v>46305.354166666664</v>
      </c>
      <c r="E363" s="1468">
        <v>46305.366967592592</v>
      </c>
      <c r="F363" s="1465"/>
      <c r="G363" s="1464" t="s">
        <v>10206</v>
      </c>
      <c r="H363" s="1468">
        <v>46344.875</v>
      </c>
      <c r="I363" s="1469"/>
    </row>
    <row r="364" spans="1:9" ht="14">
      <c r="A364" s="1463" t="s">
        <v>7101</v>
      </c>
      <c r="B364" s="1463">
        <v>9510036320</v>
      </c>
      <c r="C364" s="1463" t="s">
        <v>6003</v>
      </c>
      <c r="D364" s="1467">
        <v>46309.75</v>
      </c>
      <c r="E364" s="1467">
        <v>46309.780462962961</v>
      </c>
      <c r="F364" s="1466"/>
      <c r="G364" s="1463" t="s">
        <v>10208</v>
      </c>
      <c r="H364" s="1467">
        <v>46354.25</v>
      </c>
      <c r="I364" s="1470"/>
    </row>
    <row r="365" spans="1:9" ht="14">
      <c r="A365" s="1464" t="s">
        <v>7106</v>
      </c>
      <c r="B365" s="1464">
        <v>9510251200</v>
      </c>
      <c r="C365" s="1464" t="s">
        <v>6003</v>
      </c>
      <c r="D365" s="1468">
        <v>46303.25</v>
      </c>
      <c r="E365" s="1468">
        <v>46303.268842592595</v>
      </c>
      <c r="F365" s="1465"/>
      <c r="G365" s="1464" t="s">
        <v>8661</v>
      </c>
      <c r="H365" s="1468">
        <v>46346.25</v>
      </c>
      <c r="I365" s="1469"/>
    </row>
    <row r="366" spans="1:9" ht="14">
      <c r="A366" s="1463" t="s">
        <v>7112</v>
      </c>
      <c r="B366" s="1463">
        <v>9510030740</v>
      </c>
      <c r="C366" s="1463" t="s">
        <v>6003</v>
      </c>
      <c r="D366" s="1467">
        <v>46303.291666666664</v>
      </c>
      <c r="E366" s="1467">
        <v>46303.311747685184</v>
      </c>
      <c r="F366" s="1466"/>
      <c r="G366" s="1463" t="s">
        <v>10210</v>
      </c>
      <c r="H366" s="1467">
        <v>46340.541666666664</v>
      </c>
      <c r="I366" s="1470"/>
    </row>
    <row r="367" spans="1:9" ht="14">
      <c r="A367" s="1464" t="s">
        <v>7117</v>
      </c>
      <c r="B367" s="1464">
        <v>9510092930</v>
      </c>
      <c r="C367" s="1464" t="s">
        <v>10200</v>
      </c>
      <c r="D367" s="1468">
        <v>46301.3125</v>
      </c>
      <c r="E367" s="1468">
        <v>46301.338819444441</v>
      </c>
      <c r="F367" s="1464" t="s">
        <v>10202</v>
      </c>
      <c r="G367" s="1464" t="s">
        <v>8661</v>
      </c>
      <c r="H367" s="1468">
        <v>46363.791666666664</v>
      </c>
      <c r="I367" s="1469"/>
    </row>
    <row r="368" spans="1:9" ht="14">
      <c r="A368" s="1463" t="s">
        <v>7121</v>
      </c>
      <c r="B368" s="1463">
        <v>6468723370</v>
      </c>
      <c r="C368" s="1463" t="s">
        <v>10200</v>
      </c>
      <c r="D368" s="1467">
        <v>46301.3125</v>
      </c>
      <c r="E368" s="1467">
        <v>46301.338819444441</v>
      </c>
      <c r="F368" s="1463" t="s">
        <v>10202</v>
      </c>
      <c r="G368" s="1463" t="s">
        <v>10210</v>
      </c>
      <c r="H368" s="1467">
        <v>46356.833333333336</v>
      </c>
      <c r="I368" s="1470"/>
    </row>
    <row r="369" spans="1:9" ht="14">
      <c r="A369" s="1464" t="s">
        <v>7125</v>
      </c>
      <c r="B369" s="1464">
        <v>9510092840</v>
      </c>
      <c r="C369" s="1464" t="s">
        <v>10200</v>
      </c>
      <c r="D369" s="1468">
        <v>46301.3125</v>
      </c>
      <c r="E369" s="1468">
        <v>46301.338819444441</v>
      </c>
      <c r="F369" s="1464" t="s">
        <v>10202</v>
      </c>
      <c r="G369" s="1464" t="s">
        <v>8661</v>
      </c>
      <c r="H369" s="1468">
        <v>46358.25</v>
      </c>
      <c r="I369" s="1469"/>
    </row>
    <row r="370" spans="1:9" ht="14">
      <c r="A370" s="1463" t="s">
        <v>7129</v>
      </c>
      <c r="B370" s="1463">
        <v>9510036150</v>
      </c>
      <c r="C370" s="1463" t="s">
        <v>6003</v>
      </c>
      <c r="D370" s="1467">
        <v>46309.75</v>
      </c>
      <c r="E370" s="1467">
        <v>46309.780462962961</v>
      </c>
      <c r="F370" s="1466"/>
      <c r="G370" s="1463" t="s">
        <v>8661</v>
      </c>
      <c r="H370" s="1467">
        <v>46359.791666666664</v>
      </c>
      <c r="I370" s="1470"/>
    </row>
    <row r="371" spans="1:9" ht="14">
      <c r="A371" s="1464" t="s">
        <v>7134</v>
      </c>
      <c r="B371" s="1464">
        <v>9510036540</v>
      </c>
      <c r="C371" s="1464" t="s">
        <v>6003</v>
      </c>
      <c r="D371" s="1468">
        <v>46297.583333333336</v>
      </c>
      <c r="E371" s="1468">
        <v>46297.604120370372</v>
      </c>
      <c r="F371" s="1465"/>
      <c r="G371" s="1464" t="s">
        <v>8661</v>
      </c>
      <c r="H371" s="1468">
        <v>46337.25</v>
      </c>
      <c r="I371" s="1469"/>
    </row>
    <row r="372" spans="1:9" ht="14">
      <c r="A372" s="1463" t="s">
        <v>7138</v>
      </c>
      <c r="B372" s="1463">
        <v>9510170300</v>
      </c>
      <c r="C372" s="1463" t="s">
        <v>10200</v>
      </c>
      <c r="D372" s="1467">
        <v>46301.3125</v>
      </c>
      <c r="E372" s="1467">
        <v>46301.338819444441</v>
      </c>
      <c r="F372" s="1466"/>
      <c r="G372" s="1463" t="s">
        <v>10206</v>
      </c>
      <c r="H372" s="1467">
        <v>46346.125</v>
      </c>
      <c r="I372" s="1470"/>
    </row>
    <row r="373" spans="1:9" ht="14">
      <c r="A373" s="1464" t="s">
        <v>7149</v>
      </c>
      <c r="B373" s="1464">
        <v>6469843890</v>
      </c>
      <c r="C373" s="1464" t="s">
        <v>123</v>
      </c>
      <c r="D373" s="1468">
        <v>46309.729166666664</v>
      </c>
      <c r="E373" s="1468">
        <v>46309.772083333337</v>
      </c>
      <c r="F373" s="1465"/>
      <c r="G373" s="1464" t="s">
        <v>10210</v>
      </c>
      <c r="H373" s="1468">
        <v>46350.145833333336</v>
      </c>
      <c r="I373" s="1469"/>
    </row>
    <row r="374" spans="1:9" ht="14">
      <c r="A374" s="1463" t="s">
        <v>7155</v>
      </c>
      <c r="B374" s="1463">
        <v>6469843490</v>
      </c>
      <c r="C374" s="1463" t="s">
        <v>123</v>
      </c>
      <c r="D374" s="1467">
        <v>46309.208333333336</v>
      </c>
      <c r="E374" s="1467">
        <v>46309.260312500002</v>
      </c>
      <c r="F374" s="1466"/>
      <c r="G374" s="1463" t="s">
        <v>10206</v>
      </c>
      <c r="H374" s="1467">
        <v>46346.125</v>
      </c>
      <c r="I374" s="1470"/>
    </row>
    <row r="375" spans="1:9" ht="14">
      <c r="A375" s="1464" t="s">
        <v>7162</v>
      </c>
      <c r="B375" s="1464">
        <v>6469220480</v>
      </c>
      <c r="C375" s="1464" t="s">
        <v>123</v>
      </c>
      <c r="D375" s="1468">
        <v>46309.208333333336</v>
      </c>
      <c r="E375" s="1468">
        <v>46309.260312500002</v>
      </c>
      <c r="F375" s="1465"/>
      <c r="G375" s="1464" t="s">
        <v>10206</v>
      </c>
      <c r="H375" s="1468">
        <v>46346.125</v>
      </c>
      <c r="I375" s="1469"/>
    </row>
    <row r="376" spans="1:9" ht="14">
      <c r="A376" s="1463" t="s">
        <v>7168</v>
      </c>
      <c r="B376" s="1463">
        <v>6469326980</v>
      </c>
      <c r="C376" s="1463" t="s">
        <v>123</v>
      </c>
      <c r="D376" s="1467">
        <v>46312.9375</v>
      </c>
      <c r="E376" s="1467">
        <v>46312.952164351853</v>
      </c>
      <c r="F376" s="1466"/>
      <c r="G376" s="1463" t="s">
        <v>10208</v>
      </c>
      <c r="H376" s="1467">
        <v>46358.25</v>
      </c>
      <c r="I376" s="1470"/>
    </row>
    <row r="377" spans="1:9" ht="14">
      <c r="A377" s="1464" t="s">
        <v>7173</v>
      </c>
      <c r="B377" s="1464">
        <v>6469320380</v>
      </c>
      <c r="C377" s="1464" t="s">
        <v>123</v>
      </c>
      <c r="D377" s="1468">
        <v>46312.9375</v>
      </c>
      <c r="E377" s="1468">
        <v>46312.952164351853</v>
      </c>
      <c r="F377" s="1465"/>
      <c r="G377" s="1464" t="s">
        <v>10205</v>
      </c>
      <c r="H377" s="1468">
        <v>46366.625</v>
      </c>
      <c r="I377" s="1469"/>
    </row>
    <row r="378" spans="1:9" ht="14">
      <c r="A378" s="1463" t="s">
        <v>7177</v>
      </c>
      <c r="B378" s="1463">
        <v>6469326430</v>
      </c>
      <c r="C378" s="1463" t="s">
        <v>123</v>
      </c>
      <c r="D378" s="1467">
        <v>46312.9375</v>
      </c>
      <c r="E378" s="1467">
        <v>46312.952164351853</v>
      </c>
      <c r="F378" s="1463" t="s">
        <v>10203</v>
      </c>
      <c r="G378" s="1463" t="s">
        <v>10204</v>
      </c>
      <c r="H378" s="1470"/>
      <c r="I378" s="1470"/>
    </row>
    <row r="379" spans="1:9" ht="14">
      <c r="A379" s="1464" t="s">
        <v>7182</v>
      </c>
      <c r="B379" s="1464">
        <v>6469323740</v>
      </c>
      <c r="C379" s="1464" t="s">
        <v>123</v>
      </c>
      <c r="D379" s="1468">
        <v>46312.9375</v>
      </c>
      <c r="E379" s="1468">
        <v>46312.952164351853</v>
      </c>
      <c r="F379" s="1465"/>
      <c r="G379" s="1464" t="s">
        <v>8661</v>
      </c>
      <c r="H379" s="1468">
        <v>46363.791666666664</v>
      </c>
      <c r="I379" s="1469"/>
    </row>
    <row r="380" spans="1:9" ht="14">
      <c r="A380" s="1463" t="s">
        <v>7186</v>
      </c>
      <c r="B380" s="1463">
        <v>9510425590</v>
      </c>
      <c r="C380" s="1463" t="s">
        <v>6003</v>
      </c>
      <c r="D380" s="1467">
        <v>46312.333333333336</v>
      </c>
      <c r="E380" s="1467">
        <v>46312.377152777779</v>
      </c>
      <c r="F380" s="1466"/>
      <c r="G380" s="1463" t="s">
        <v>10206</v>
      </c>
      <c r="H380" s="1467">
        <v>46346.125</v>
      </c>
      <c r="I380" s="1470"/>
    </row>
    <row r="381" spans="1:9" ht="14">
      <c r="A381" s="1464" t="s">
        <v>7190</v>
      </c>
      <c r="B381" s="1464">
        <v>9510418660</v>
      </c>
      <c r="C381" s="1464" t="s">
        <v>6003</v>
      </c>
      <c r="D381" s="1468">
        <v>46317.333333333336</v>
      </c>
      <c r="E381" s="1468">
        <v>46317.360601851855</v>
      </c>
      <c r="F381" s="1464" t="s">
        <v>10212</v>
      </c>
      <c r="G381" s="1464" t="s">
        <v>10208</v>
      </c>
      <c r="H381" s="1468">
        <v>46365.25</v>
      </c>
      <c r="I381" s="1469"/>
    </row>
    <row r="382" spans="1:9" ht="14">
      <c r="A382" s="1463" t="s">
        <v>7194</v>
      </c>
      <c r="B382" s="1463">
        <v>9510418590</v>
      </c>
      <c r="C382" s="1463" t="s">
        <v>6003</v>
      </c>
      <c r="D382" s="1467">
        <v>46316.083333333336</v>
      </c>
      <c r="E382" s="1467">
        <v>46316.096759259257</v>
      </c>
      <c r="F382" s="1466"/>
      <c r="G382" s="1463" t="s">
        <v>8661</v>
      </c>
      <c r="H382" s="1467">
        <v>46363.791666666664</v>
      </c>
      <c r="I382" s="1470"/>
    </row>
    <row r="383" spans="1:9" ht="14">
      <c r="A383" s="1464" t="s">
        <v>7199</v>
      </c>
      <c r="B383" s="1464">
        <v>9510309650</v>
      </c>
      <c r="C383" s="1464" t="s">
        <v>10200</v>
      </c>
      <c r="D383" s="1468">
        <v>46305.8125</v>
      </c>
      <c r="E383" s="1468">
        <v>46305.841215277775</v>
      </c>
      <c r="F383" s="1465"/>
      <c r="G383" s="1464" t="s">
        <v>10206</v>
      </c>
      <c r="H383" s="1468">
        <v>46350.333333333336</v>
      </c>
      <c r="I383" s="1469"/>
    </row>
    <row r="384" spans="1:9" ht="14">
      <c r="A384" s="1463" t="s">
        <v>7207</v>
      </c>
      <c r="B384" s="1463">
        <v>9510182110</v>
      </c>
      <c r="C384" s="1463" t="s">
        <v>10200</v>
      </c>
      <c r="D384" s="1467">
        <v>46305.8125</v>
      </c>
      <c r="E384" s="1467">
        <v>46305.841215277775</v>
      </c>
      <c r="F384" s="1463" t="s">
        <v>10202</v>
      </c>
      <c r="G384" s="1463" t="s">
        <v>8661</v>
      </c>
      <c r="H384" s="1467">
        <v>46370.791666666664</v>
      </c>
      <c r="I384" s="1470"/>
    </row>
    <row r="385" spans="1:9" ht="14">
      <c r="A385" s="1464" t="s">
        <v>7211</v>
      </c>
      <c r="B385" s="1464">
        <v>6469165090</v>
      </c>
      <c r="C385" s="1464" t="s">
        <v>10200</v>
      </c>
      <c r="D385" s="1468">
        <v>46305.8125</v>
      </c>
      <c r="E385" s="1468">
        <v>46305.841215277775</v>
      </c>
      <c r="F385" s="1464" t="s">
        <v>10202</v>
      </c>
      <c r="G385" s="1464" t="s">
        <v>10210</v>
      </c>
      <c r="H385" s="1468">
        <v>46376.041666666664</v>
      </c>
      <c r="I385" s="1469"/>
    </row>
    <row r="386" spans="1:9" ht="14">
      <c r="A386" s="1463" t="s">
        <v>7216</v>
      </c>
      <c r="B386" s="1463">
        <v>9510309930</v>
      </c>
      <c r="C386" s="1463" t="s">
        <v>10200</v>
      </c>
      <c r="D386" s="1467">
        <v>46313.854166666664</v>
      </c>
      <c r="E386" s="1467">
        <v>46313.785555555558</v>
      </c>
      <c r="F386" s="1466"/>
      <c r="G386" s="1463" t="s">
        <v>10206</v>
      </c>
      <c r="H386" s="1467">
        <v>46361.208333333336</v>
      </c>
      <c r="I386" s="1470"/>
    </row>
    <row r="387" spans="1:9" ht="14">
      <c r="A387" s="1464" t="s">
        <v>7228</v>
      </c>
      <c r="B387" s="1464">
        <v>6471689660</v>
      </c>
      <c r="C387" s="1464" t="s">
        <v>123</v>
      </c>
      <c r="D387" s="1468">
        <v>46315.520833333336</v>
      </c>
      <c r="E387" s="1468">
        <v>46315.561724537038</v>
      </c>
      <c r="F387" s="1465"/>
      <c r="G387" s="1464" t="s">
        <v>10210</v>
      </c>
      <c r="H387" s="1468">
        <v>46356.833333333336</v>
      </c>
      <c r="I387" s="1469"/>
    </row>
    <row r="388" spans="1:9" ht="14">
      <c r="A388" s="1463" t="s">
        <v>7232</v>
      </c>
      <c r="B388" s="1463">
        <v>6469938750</v>
      </c>
      <c r="C388" s="1463" t="s">
        <v>123</v>
      </c>
      <c r="D388" s="1467">
        <v>46314.635416666664</v>
      </c>
      <c r="E388" s="1467">
        <v>46314.646874999999</v>
      </c>
      <c r="F388" s="1466"/>
      <c r="G388" s="1463" t="s">
        <v>10206</v>
      </c>
      <c r="H388" s="1467">
        <v>46350.333333333336</v>
      </c>
      <c r="I388" s="1470"/>
    </row>
    <row r="389" spans="1:9" ht="14">
      <c r="A389" s="1464" t="s">
        <v>7237</v>
      </c>
      <c r="B389" s="1464">
        <v>6469939280</v>
      </c>
      <c r="C389" s="1464" t="s">
        <v>123</v>
      </c>
      <c r="D389" s="1468">
        <v>46315.291666666664</v>
      </c>
      <c r="E389" s="1468">
        <v>46315.322685185187</v>
      </c>
      <c r="F389" s="1465"/>
      <c r="G389" s="1464" t="s">
        <v>10206</v>
      </c>
      <c r="H389" s="1468">
        <v>46355.875</v>
      </c>
      <c r="I389" s="1469"/>
    </row>
    <row r="390" spans="1:9" ht="14">
      <c r="A390" s="1463" t="s">
        <v>7242</v>
      </c>
      <c r="B390" s="1463">
        <v>6469939670</v>
      </c>
      <c r="C390" s="1463" t="s">
        <v>123</v>
      </c>
      <c r="D390" s="1467">
        <v>46314.635416666664</v>
      </c>
      <c r="E390" s="1467">
        <v>46314.646874999999</v>
      </c>
      <c r="F390" s="1466"/>
      <c r="G390" s="1463" t="s">
        <v>10206</v>
      </c>
      <c r="H390" s="1467">
        <v>46350.333333333336</v>
      </c>
      <c r="I390" s="1470"/>
    </row>
    <row r="391" spans="1:9" ht="14">
      <c r="A391" s="1464" t="s">
        <v>7248</v>
      </c>
      <c r="B391" s="1464">
        <v>6471068810</v>
      </c>
      <c r="C391" s="1464" t="s">
        <v>123</v>
      </c>
      <c r="D391" s="1468">
        <v>46314.635416666664</v>
      </c>
      <c r="E391" s="1468">
        <v>46314.646874999999</v>
      </c>
      <c r="F391" s="1465"/>
      <c r="G391" s="1464" t="s">
        <v>10206</v>
      </c>
      <c r="H391" s="1468">
        <v>46350.333333333336</v>
      </c>
      <c r="I391" s="1469"/>
    </row>
    <row r="392" spans="1:9" ht="14">
      <c r="A392" s="1463" t="s">
        <v>7253</v>
      </c>
      <c r="B392" s="1463">
        <v>6471745060</v>
      </c>
      <c r="C392" s="1463" t="s">
        <v>123</v>
      </c>
      <c r="D392" s="1467">
        <v>46316.875</v>
      </c>
      <c r="E392" s="1467">
        <v>46316.812083333331</v>
      </c>
      <c r="F392" s="1466"/>
      <c r="G392" s="1463" t="s">
        <v>10206</v>
      </c>
      <c r="H392" s="1467">
        <v>46359.875</v>
      </c>
      <c r="I392" s="1470"/>
    </row>
    <row r="393" spans="1:9" ht="14">
      <c r="A393" s="1464" t="s">
        <v>7258</v>
      </c>
      <c r="B393" s="1464">
        <v>6469942450</v>
      </c>
      <c r="C393" s="1464" t="s">
        <v>123</v>
      </c>
      <c r="D393" s="1468">
        <v>46323.1875</v>
      </c>
      <c r="E393" s="1468">
        <v>46323.220289351855</v>
      </c>
      <c r="F393" s="1465"/>
      <c r="G393" s="1464" t="s">
        <v>10208</v>
      </c>
      <c r="H393" s="1468">
        <v>46365.25</v>
      </c>
      <c r="I393" s="1469"/>
    </row>
    <row r="394" spans="1:9" ht="14">
      <c r="A394" s="1463" t="s">
        <v>7264</v>
      </c>
      <c r="B394" s="1463">
        <v>6471104190</v>
      </c>
      <c r="C394" s="1463" t="s">
        <v>123</v>
      </c>
      <c r="D394" s="1467">
        <v>46318.25</v>
      </c>
      <c r="E394" s="1467">
        <v>46318.098379629628</v>
      </c>
      <c r="F394" s="1466"/>
      <c r="G394" s="1463" t="s">
        <v>10205</v>
      </c>
      <c r="H394" s="1467">
        <v>46352.833333333336</v>
      </c>
      <c r="I394" s="1470"/>
    </row>
    <row r="395" spans="1:9" ht="14">
      <c r="A395" s="1464" t="s">
        <v>7270</v>
      </c>
      <c r="B395" s="1464">
        <v>6469945290</v>
      </c>
      <c r="C395" s="1464" t="s">
        <v>123</v>
      </c>
      <c r="D395" s="1468">
        <v>46318.25</v>
      </c>
      <c r="E395" s="1468">
        <v>46318.098379629628</v>
      </c>
      <c r="F395" s="1465"/>
      <c r="G395" s="1464" t="s">
        <v>8661</v>
      </c>
      <c r="H395" s="1468">
        <v>46358.25</v>
      </c>
      <c r="I395" s="1469"/>
    </row>
    <row r="396" spans="1:9" ht="14">
      <c r="A396" s="1463" t="s">
        <v>7275</v>
      </c>
      <c r="B396" s="1463">
        <v>6471467130</v>
      </c>
      <c r="C396" s="1463" t="s">
        <v>123</v>
      </c>
      <c r="D396" s="1467">
        <v>46326.583333333336</v>
      </c>
      <c r="E396" s="1470"/>
      <c r="F396" s="1466"/>
      <c r="G396" s="1463" t="s">
        <v>10210</v>
      </c>
      <c r="H396" s="1467">
        <v>46370.791666666664</v>
      </c>
      <c r="I396" s="1470"/>
    </row>
    <row r="397" spans="1:9" ht="14">
      <c r="A397" s="1464" t="s">
        <v>7280</v>
      </c>
      <c r="B397" s="1464">
        <v>9510624350</v>
      </c>
      <c r="C397" s="1464" t="s">
        <v>6003</v>
      </c>
      <c r="D397" s="1468">
        <v>46327.333333333336</v>
      </c>
      <c r="E397" s="1469"/>
      <c r="F397" s="1465"/>
      <c r="G397" s="1464" t="s">
        <v>10208</v>
      </c>
      <c r="H397" s="1468">
        <v>46365.25</v>
      </c>
      <c r="I397" s="1469"/>
    </row>
    <row r="398" spans="1:9" ht="14">
      <c r="A398" s="1463" t="s">
        <v>7285</v>
      </c>
      <c r="B398" s="1463">
        <v>9510603740</v>
      </c>
      <c r="C398" s="1463" t="s">
        <v>6003</v>
      </c>
      <c r="D398" s="1467">
        <v>46318.541666666664</v>
      </c>
      <c r="E398" s="1467">
        <v>46318.575509259259</v>
      </c>
      <c r="F398" s="1466"/>
      <c r="G398" s="1463" t="s">
        <v>10210</v>
      </c>
      <c r="H398" s="1467">
        <v>46356.645833333336</v>
      </c>
      <c r="I398" s="1470"/>
    </row>
    <row r="399" spans="1:9" ht="14">
      <c r="A399" s="1464" t="s">
        <v>7289</v>
      </c>
      <c r="B399" s="1464">
        <v>9510603630</v>
      </c>
      <c r="C399" s="1464" t="s">
        <v>6003</v>
      </c>
      <c r="D399" s="1468">
        <v>46317.333333333336</v>
      </c>
      <c r="E399" s="1468">
        <v>46317.360601851855</v>
      </c>
      <c r="F399" s="1465"/>
      <c r="G399" s="1464" t="s">
        <v>10206</v>
      </c>
      <c r="H399" s="1468">
        <v>46350.333333333336</v>
      </c>
      <c r="I399" s="1469"/>
    </row>
    <row r="400" spans="1:9" ht="14">
      <c r="A400" s="1463" t="s">
        <v>7294</v>
      </c>
      <c r="B400" s="1463">
        <v>6471360750</v>
      </c>
      <c r="C400" s="1463" t="s">
        <v>6003</v>
      </c>
      <c r="D400" s="1467">
        <v>46319.125</v>
      </c>
      <c r="E400" s="1467">
        <v>46319.166446759256</v>
      </c>
      <c r="F400" s="1466"/>
      <c r="G400" s="1463" t="s">
        <v>10206</v>
      </c>
      <c r="H400" s="1467">
        <v>46355.875</v>
      </c>
      <c r="I400" s="1470"/>
    </row>
    <row r="401" spans="1:9" ht="14">
      <c r="A401" s="1464" t="s">
        <v>7299</v>
      </c>
      <c r="B401" s="1464">
        <v>6471722100</v>
      </c>
      <c r="C401" s="1464" t="s">
        <v>6003</v>
      </c>
      <c r="D401" s="1468">
        <v>46315.125</v>
      </c>
      <c r="E401" s="1468">
        <v>46315.213912037034</v>
      </c>
      <c r="F401" s="1465"/>
      <c r="G401" s="1464" t="s">
        <v>8661</v>
      </c>
      <c r="H401" s="1468">
        <v>46358.25</v>
      </c>
      <c r="I401" s="1469"/>
    </row>
    <row r="402" spans="1:9" ht="14">
      <c r="A402" s="1463" t="s">
        <v>7304</v>
      </c>
      <c r="B402" s="1463">
        <v>6471468090</v>
      </c>
      <c r="C402" s="1463" t="s">
        <v>123</v>
      </c>
      <c r="D402" s="1467">
        <v>46323.5625</v>
      </c>
      <c r="E402" s="1467">
        <v>46323.104062500002</v>
      </c>
      <c r="F402" s="1463" t="s">
        <v>10206</v>
      </c>
      <c r="G402" s="1463" t="s">
        <v>10207</v>
      </c>
      <c r="H402" s="1470"/>
      <c r="I402" s="1470"/>
    </row>
    <row r="403" spans="1:9" ht="14">
      <c r="A403" s="1464" t="s">
        <v>7308</v>
      </c>
      <c r="B403" s="1464">
        <v>6471748750</v>
      </c>
      <c r="C403" s="1464" t="s">
        <v>123</v>
      </c>
      <c r="D403" s="1468">
        <v>46316.875</v>
      </c>
      <c r="E403" s="1468">
        <v>46316.812083333331</v>
      </c>
      <c r="F403" s="1465"/>
      <c r="G403" s="1464" t="s">
        <v>10206</v>
      </c>
      <c r="H403" s="1468">
        <v>46359.875</v>
      </c>
      <c r="I403" s="1469"/>
    </row>
    <row r="404" spans="1:9" ht="14">
      <c r="A404" s="1463" t="s">
        <v>7312</v>
      </c>
      <c r="B404" s="1463">
        <v>6471453340</v>
      </c>
      <c r="C404" s="1463" t="s">
        <v>123</v>
      </c>
      <c r="D404" s="1467">
        <v>46323.5625</v>
      </c>
      <c r="E404" s="1467">
        <v>46323.104062500002</v>
      </c>
      <c r="F404" s="1466"/>
      <c r="G404" s="1463" t="s">
        <v>10206</v>
      </c>
      <c r="H404" s="1467">
        <v>46361.208333333336</v>
      </c>
      <c r="I404" s="1470"/>
    </row>
    <row r="405" spans="1:9" ht="14">
      <c r="A405" s="1464" t="s">
        <v>7317</v>
      </c>
      <c r="B405" s="1464">
        <v>6471482080</v>
      </c>
      <c r="C405" s="1464" t="s">
        <v>123</v>
      </c>
      <c r="D405" s="1468">
        <v>46324.083333333336</v>
      </c>
      <c r="E405" s="1468">
        <v>46324.089849537035</v>
      </c>
      <c r="F405" s="1465"/>
      <c r="G405" s="1464" t="s">
        <v>10206</v>
      </c>
      <c r="H405" s="1468">
        <v>46358.875</v>
      </c>
      <c r="I405" s="1469"/>
    </row>
    <row r="406" spans="1:9" ht="14">
      <c r="A406" s="1463" t="s">
        <v>7323</v>
      </c>
      <c r="B406" s="1463">
        <v>6471464390</v>
      </c>
      <c r="C406" s="1463" t="s">
        <v>123</v>
      </c>
      <c r="D406" s="1467">
        <v>46331.125</v>
      </c>
      <c r="E406" s="1470"/>
      <c r="F406" s="1466"/>
      <c r="G406" s="1463" t="s">
        <v>8661</v>
      </c>
      <c r="H406" s="1467">
        <v>46377.791666666664</v>
      </c>
      <c r="I406" s="1470"/>
    </row>
    <row r="407" spans="1:9" ht="14">
      <c r="A407" s="1464" t="s">
        <v>7328</v>
      </c>
      <c r="B407" s="1464">
        <v>6471462660</v>
      </c>
      <c r="C407" s="1464" t="s">
        <v>123</v>
      </c>
      <c r="D407" s="1468">
        <v>46331.125</v>
      </c>
      <c r="E407" s="1469"/>
      <c r="F407" s="1465"/>
      <c r="G407" s="1464" t="s">
        <v>10208</v>
      </c>
      <c r="H407" s="1468">
        <v>46372.25</v>
      </c>
      <c r="I407" s="1469"/>
    </row>
    <row r="408" spans="1:9" ht="14">
      <c r="A408" s="1463" t="s">
        <v>7334</v>
      </c>
      <c r="B408" s="1463">
        <v>6471317230</v>
      </c>
      <c r="C408" s="1463" t="s">
        <v>123</v>
      </c>
      <c r="D408" s="1467">
        <v>46324.583333333336</v>
      </c>
      <c r="E408" s="1467">
        <v>46324.605127314811</v>
      </c>
      <c r="F408" s="1463" t="s">
        <v>10212</v>
      </c>
      <c r="G408" s="1463" t="s">
        <v>10205</v>
      </c>
      <c r="H408" s="1467">
        <v>46359.833333333336</v>
      </c>
      <c r="I408" s="1470"/>
    </row>
    <row r="409" spans="1:9" ht="14">
      <c r="A409" s="1464" t="s">
        <v>7341</v>
      </c>
      <c r="B409" s="1464">
        <v>9510687380</v>
      </c>
      <c r="C409" s="1464" t="s">
        <v>6003</v>
      </c>
      <c r="D409" s="1468">
        <v>46330.333333333336</v>
      </c>
      <c r="E409" s="1469"/>
      <c r="F409" s="1465"/>
      <c r="G409" s="1464" t="s">
        <v>10206</v>
      </c>
      <c r="H409" s="1468">
        <v>46365.875</v>
      </c>
      <c r="I409" s="1469"/>
    </row>
    <row r="410" spans="1:9" ht="14">
      <c r="A410" s="1463" t="s">
        <v>7345</v>
      </c>
      <c r="B410" s="1463">
        <v>6471721900</v>
      </c>
      <c r="C410" s="1463" t="s">
        <v>6003</v>
      </c>
      <c r="D410" s="1467">
        <v>46329.416666666664</v>
      </c>
      <c r="E410" s="1470"/>
      <c r="F410" s="1466"/>
      <c r="G410" s="1463" t="s">
        <v>10206</v>
      </c>
      <c r="H410" s="1467">
        <v>46361.208333333336</v>
      </c>
      <c r="I410" s="1470"/>
    </row>
    <row r="411" spans="1:9" ht="14">
      <c r="A411" s="1464" t="s">
        <v>7352</v>
      </c>
      <c r="B411" s="1464">
        <v>9510879120</v>
      </c>
      <c r="C411" s="1464" t="s">
        <v>10200</v>
      </c>
      <c r="D411" s="1468">
        <v>46324.979166666664</v>
      </c>
      <c r="E411" s="1469"/>
      <c r="F411" s="1464" t="s">
        <v>10202</v>
      </c>
      <c r="G411" s="1464" t="s">
        <v>10208</v>
      </c>
      <c r="H411" s="1468">
        <v>46386.25</v>
      </c>
      <c r="I411" s="1469"/>
    </row>
    <row r="412" spans="1:9" ht="14">
      <c r="A412" s="1463" t="s">
        <v>7357</v>
      </c>
      <c r="B412" s="1463">
        <v>9510535260</v>
      </c>
      <c r="C412" s="1463" t="s">
        <v>10200</v>
      </c>
      <c r="D412" s="1467">
        <v>46319.833333333336</v>
      </c>
      <c r="E412" s="1467">
        <v>46319.84847222222</v>
      </c>
      <c r="F412" s="1463" t="s">
        <v>10202</v>
      </c>
      <c r="G412" s="1463" t="s">
        <v>8661</v>
      </c>
      <c r="H412" s="1467">
        <v>46391.791666666664</v>
      </c>
      <c r="I412" s="1470"/>
    </row>
    <row r="413" spans="1:9" ht="14">
      <c r="A413" s="1464" t="s">
        <v>7362</v>
      </c>
      <c r="B413" s="1464">
        <v>9510691300</v>
      </c>
      <c r="C413" s="1464" t="s">
        <v>6003</v>
      </c>
      <c r="D413" s="1468">
        <v>46333</v>
      </c>
      <c r="E413" s="1469"/>
      <c r="F413" s="1465"/>
      <c r="G413" s="1464" t="s">
        <v>10208</v>
      </c>
      <c r="H413" s="1468">
        <v>46372.25</v>
      </c>
      <c r="I413" s="1469"/>
    </row>
    <row r="414" spans="1:9" ht="14">
      <c r="A414" s="1463" t="s">
        <v>7368</v>
      </c>
      <c r="B414" s="1463">
        <v>9510691550</v>
      </c>
      <c r="C414" s="1463" t="s">
        <v>6003</v>
      </c>
      <c r="D414" s="1467">
        <v>46325.708333333336</v>
      </c>
      <c r="E414" s="1470"/>
      <c r="F414" s="1466"/>
      <c r="G414" s="1463" t="s">
        <v>10205</v>
      </c>
      <c r="H414" s="1467">
        <v>46359.833333333336</v>
      </c>
      <c r="I414" s="1470"/>
    </row>
    <row r="415" spans="1:9" ht="14">
      <c r="A415" s="1464" t="s">
        <v>7372</v>
      </c>
      <c r="B415" s="1464">
        <v>9510687860</v>
      </c>
      <c r="C415" s="1464" t="s">
        <v>6003</v>
      </c>
      <c r="D415" s="1468">
        <v>46328.395833333336</v>
      </c>
      <c r="E415" s="1469"/>
      <c r="F415" s="1465"/>
      <c r="G415" s="1464" t="s">
        <v>10210</v>
      </c>
      <c r="H415" s="1468">
        <v>46364.25</v>
      </c>
      <c r="I415" s="1469"/>
    </row>
    <row r="416" spans="1:9" ht="14">
      <c r="A416" s="1463" t="s">
        <v>7378</v>
      </c>
      <c r="B416" s="1463">
        <v>9510581810</v>
      </c>
      <c r="C416" s="1463" t="s">
        <v>10200</v>
      </c>
      <c r="D416" s="1467">
        <v>46319.833333333336</v>
      </c>
      <c r="E416" s="1467">
        <v>46319.84847222222</v>
      </c>
      <c r="F416" s="1466"/>
      <c r="G416" s="1463" t="s">
        <v>10206</v>
      </c>
      <c r="H416" s="1467">
        <v>46364.333333333336</v>
      </c>
      <c r="I416" s="1470"/>
    </row>
    <row r="417" spans="1:9" ht="14">
      <c r="A417" s="1464" t="s">
        <v>7386</v>
      </c>
      <c r="B417" s="1464">
        <v>9510536230</v>
      </c>
      <c r="C417" s="1464" t="s">
        <v>10200</v>
      </c>
      <c r="D417" s="1468">
        <v>46319.833333333336</v>
      </c>
      <c r="E417" s="1468">
        <v>46319.84847222222</v>
      </c>
      <c r="F417" s="1464" t="s">
        <v>10202</v>
      </c>
      <c r="G417" s="1464" t="s">
        <v>10208</v>
      </c>
      <c r="H417" s="1468">
        <v>46372.25</v>
      </c>
      <c r="I417" s="1469"/>
    </row>
    <row r="418" spans="1:9" ht="14">
      <c r="A418" s="1463" t="s">
        <v>7390</v>
      </c>
      <c r="B418" s="1463">
        <v>9510705970</v>
      </c>
      <c r="C418" s="1463" t="s">
        <v>10200</v>
      </c>
      <c r="D418" s="1467">
        <v>46319.833333333336</v>
      </c>
      <c r="E418" s="1467">
        <v>46319.84847222222</v>
      </c>
      <c r="F418" s="1463" t="s">
        <v>10202</v>
      </c>
      <c r="G418" s="1463" t="s">
        <v>10208</v>
      </c>
      <c r="H418" s="1467">
        <v>46372.25</v>
      </c>
      <c r="I418" s="1470"/>
    </row>
    <row r="419" spans="1:9" ht="14">
      <c r="A419" s="1464" t="s">
        <v>7394</v>
      </c>
      <c r="B419" s="1464">
        <v>6471146490</v>
      </c>
      <c r="C419" s="1464" t="s">
        <v>10200</v>
      </c>
      <c r="D419" s="1468">
        <v>46319.833333333336</v>
      </c>
      <c r="E419" s="1468">
        <v>46319.84847222222</v>
      </c>
      <c r="F419" s="1464" t="s">
        <v>10202</v>
      </c>
      <c r="G419" s="1464" t="s">
        <v>10210</v>
      </c>
      <c r="H419" s="1468">
        <v>46376.041666666664</v>
      </c>
      <c r="I419" s="1469"/>
    </row>
    <row r="420" spans="1:9" ht="14">
      <c r="A420" s="1463" t="s">
        <v>7398</v>
      </c>
      <c r="B420" s="1463">
        <v>6472442130</v>
      </c>
      <c r="C420" s="1463" t="s">
        <v>123</v>
      </c>
      <c r="D420" s="1467">
        <v>46328.25</v>
      </c>
      <c r="E420" s="1470"/>
      <c r="F420" s="1466"/>
      <c r="G420" s="1463" t="s">
        <v>10210</v>
      </c>
      <c r="H420" s="1467">
        <v>46369.625</v>
      </c>
      <c r="I420" s="1470"/>
    </row>
    <row r="421" spans="1:9" ht="14">
      <c r="A421" s="1464" t="s">
        <v>7402</v>
      </c>
      <c r="B421" s="1464">
        <v>6472653120</v>
      </c>
      <c r="C421" s="1464" t="s">
        <v>123</v>
      </c>
      <c r="D421" s="1468">
        <v>46326.583333333336</v>
      </c>
      <c r="E421" s="1469"/>
      <c r="F421" s="1465"/>
      <c r="G421" s="1464" t="s">
        <v>10206</v>
      </c>
      <c r="H421" s="1468">
        <v>46375.791666666664</v>
      </c>
      <c r="I421" s="1469"/>
    </row>
    <row r="422" spans="1:9" ht="14">
      <c r="A422" s="1463" t="s">
        <v>7405</v>
      </c>
      <c r="B422" s="1463">
        <v>6472442640</v>
      </c>
      <c r="C422" s="1463" t="s">
        <v>123</v>
      </c>
      <c r="D422" s="1467">
        <v>46328.25</v>
      </c>
      <c r="E422" s="1470"/>
      <c r="F422" s="1466"/>
      <c r="G422" s="1463" t="s">
        <v>10206</v>
      </c>
      <c r="H422" s="1467">
        <v>46365.875</v>
      </c>
      <c r="I422" s="1470"/>
    </row>
    <row r="423" spans="1:9" ht="14">
      <c r="A423" s="1464" t="s">
        <v>7408</v>
      </c>
      <c r="B423" s="1464">
        <v>6472581740</v>
      </c>
      <c r="C423" s="1464" t="s">
        <v>123</v>
      </c>
      <c r="D423" s="1468">
        <v>46329.208333333336</v>
      </c>
      <c r="E423" s="1469"/>
      <c r="F423" s="1465"/>
      <c r="G423" s="1464" t="s">
        <v>10206</v>
      </c>
      <c r="H423" s="1468">
        <v>46364.333333333336</v>
      </c>
      <c r="I423" s="1469"/>
    </row>
    <row r="424" spans="1:9" ht="14">
      <c r="A424" s="1463" t="s">
        <v>7413</v>
      </c>
      <c r="B424" s="1463">
        <v>6472366380</v>
      </c>
      <c r="C424" s="1463" t="s">
        <v>123</v>
      </c>
      <c r="D424" s="1467">
        <v>46332.395833333336</v>
      </c>
      <c r="E424" s="1470"/>
      <c r="F424" s="1466"/>
      <c r="G424" s="1463" t="s">
        <v>10208</v>
      </c>
      <c r="H424" s="1467">
        <v>46379.25</v>
      </c>
      <c r="I424" s="1470"/>
    </row>
    <row r="425" spans="1:9" ht="14">
      <c r="A425" s="1464" t="s">
        <v>7418</v>
      </c>
      <c r="B425" s="1464">
        <v>6472364000</v>
      </c>
      <c r="C425" s="1464" t="s">
        <v>123</v>
      </c>
      <c r="D425" s="1468">
        <v>46332.395833333336</v>
      </c>
      <c r="E425" s="1469"/>
      <c r="F425" s="1464" t="s">
        <v>10203</v>
      </c>
      <c r="G425" s="1464" t="s">
        <v>10204</v>
      </c>
      <c r="H425" s="1469"/>
      <c r="I425" s="1469"/>
    </row>
    <row r="426" spans="1:9" ht="14">
      <c r="A426" s="1463" t="s">
        <v>7423</v>
      </c>
      <c r="B426" s="1463">
        <v>6472819950</v>
      </c>
      <c r="C426" s="1463" t="s">
        <v>6003</v>
      </c>
      <c r="D426" s="1467">
        <v>46328.541666666664</v>
      </c>
      <c r="E426" s="1470"/>
      <c r="F426" s="1466"/>
      <c r="G426" s="1463" t="s">
        <v>10205</v>
      </c>
      <c r="H426" s="1467">
        <v>46366.833333333336</v>
      </c>
      <c r="I426" s="1470"/>
    </row>
    <row r="427" spans="1:9" ht="14">
      <c r="A427" s="1464" t="s">
        <v>7426</v>
      </c>
      <c r="B427" s="1464">
        <v>6472656830</v>
      </c>
      <c r="C427" s="1464" t="s">
        <v>6003</v>
      </c>
      <c r="D427" s="1468">
        <v>46333.0625</v>
      </c>
      <c r="E427" s="1469"/>
      <c r="F427" s="1465"/>
      <c r="G427" s="1464" t="s">
        <v>10206</v>
      </c>
      <c r="H427" s="1468">
        <v>46364.333333333336</v>
      </c>
      <c r="I427" s="1469"/>
    </row>
    <row r="428" spans="1:9" ht="14">
      <c r="A428" s="1463" t="s">
        <v>7430</v>
      </c>
      <c r="B428" s="1463">
        <v>9510883610</v>
      </c>
      <c r="C428" s="1463" t="s">
        <v>6003</v>
      </c>
      <c r="D428" s="1467">
        <v>46333.895833333336</v>
      </c>
      <c r="E428" s="1470"/>
      <c r="F428" s="1466"/>
      <c r="G428" s="1463" t="s">
        <v>10208</v>
      </c>
      <c r="H428" s="1467">
        <v>46379.25</v>
      </c>
      <c r="I428" s="1470"/>
    </row>
    <row r="429" spans="1:9" ht="14">
      <c r="A429" s="1464" t="s">
        <v>7445</v>
      </c>
      <c r="B429" s="1464">
        <v>6472933500</v>
      </c>
      <c r="C429" s="1464" t="s">
        <v>123</v>
      </c>
      <c r="D429" s="1468">
        <v>46335.083333333336</v>
      </c>
      <c r="E429" s="1469"/>
      <c r="F429" s="1465"/>
      <c r="G429" s="1464" t="s">
        <v>10210</v>
      </c>
      <c r="H429" s="1468">
        <v>46376.041666666664</v>
      </c>
      <c r="I429" s="1469"/>
    </row>
    <row r="430" spans="1:9" ht="14">
      <c r="A430" s="1463" t="s">
        <v>7449</v>
      </c>
      <c r="B430" s="1463">
        <v>6472924100</v>
      </c>
      <c r="C430" s="1463" t="s">
        <v>123</v>
      </c>
      <c r="D430" s="1467">
        <v>46335.25</v>
      </c>
      <c r="E430" s="1470"/>
      <c r="F430" s="1466"/>
      <c r="G430" s="1463" t="s">
        <v>10206</v>
      </c>
      <c r="H430" s="1467">
        <v>46372.875</v>
      </c>
      <c r="I430" s="1470"/>
    </row>
    <row r="431" spans="1:9" ht="14">
      <c r="A431" s="1464" t="s">
        <v>7453</v>
      </c>
      <c r="B431" s="1464">
        <v>6472926790</v>
      </c>
      <c r="C431" s="1464" t="s">
        <v>123</v>
      </c>
      <c r="D431" s="1468">
        <v>46334.083333333336</v>
      </c>
      <c r="E431" s="1469"/>
      <c r="F431" s="1465"/>
      <c r="G431" s="1464" t="s">
        <v>10206</v>
      </c>
      <c r="H431" s="1468">
        <v>46382.791666666664</v>
      </c>
      <c r="I431" s="1469"/>
    </row>
    <row r="432" spans="1:9" ht="14">
      <c r="A432" s="1463" t="s">
        <v>7459</v>
      </c>
      <c r="B432" s="1463">
        <v>6473400420</v>
      </c>
      <c r="C432" s="1463" t="s">
        <v>123</v>
      </c>
      <c r="D432" s="1467">
        <v>46339.4375</v>
      </c>
      <c r="E432" s="1470"/>
      <c r="F432" s="1466"/>
      <c r="G432" s="1463" t="s">
        <v>10205</v>
      </c>
      <c r="H432" s="1467">
        <v>46394.625</v>
      </c>
      <c r="I432" s="1470"/>
    </row>
    <row r="433" spans="1:9" ht="14">
      <c r="A433" s="1464" t="s">
        <v>7462</v>
      </c>
      <c r="B433" s="1464">
        <v>6473398530</v>
      </c>
      <c r="C433" s="1464" t="s">
        <v>123</v>
      </c>
      <c r="D433" s="1468">
        <v>46339.4375</v>
      </c>
      <c r="E433" s="1469"/>
      <c r="F433" s="1464" t="s">
        <v>10203</v>
      </c>
      <c r="G433" s="1464" t="s">
        <v>10204</v>
      </c>
      <c r="H433" s="1469"/>
      <c r="I433" s="1469"/>
    </row>
    <row r="434" spans="1:9" ht="14">
      <c r="A434" s="1463" t="s">
        <v>7466</v>
      </c>
      <c r="B434" s="1463">
        <v>9510952270</v>
      </c>
      <c r="C434" s="1463" t="s">
        <v>10200</v>
      </c>
      <c r="D434" s="1467">
        <v>46333.875</v>
      </c>
      <c r="E434" s="1470"/>
      <c r="F434" s="1466"/>
      <c r="G434" s="1463" t="s">
        <v>10206</v>
      </c>
      <c r="H434" s="1467">
        <v>46378.333333333336</v>
      </c>
      <c r="I434" s="1470"/>
    </row>
    <row r="435" spans="1:9" ht="14">
      <c r="A435" s="1464" t="s">
        <v>7469</v>
      </c>
      <c r="B435" s="1464">
        <v>9510905140</v>
      </c>
      <c r="C435" s="1464" t="s">
        <v>6003</v>
      </c>
      <c r="D435" s="1468">
        <v>46337.75</v>
      </c>
      <c r="E435" s="1469"/>
      <c r="F435" s="1465"/>
      <c r="G435" s="1464" t="s">
        <v>10210</v>
      </c>
      <c r="H435" s="1468">
        <v>46376.041666666664</v>
      </c>
      <c r="I435" s="1469"/>
    </row>
    <row r="436" spans="1:9" ht="14">
      <c r="A436" s="1463" t="s">
        <v>7473</v>
      </c>
      <c r="B436" s="1463">
        <v>9510905200</v>
      </c>
      <c r="C436" s="1463" t="s">
        <v>6003</v>
      </c>
      <c r="D436" s="1467">
        <v>46337.333333333336</v>
      </c>
      <c r="E436" s="1470"/>
      <c r="F436" s="1466"/>
      <c r="G436" s="1463" t="s">
        <v>10206</v>
      </c>
      <c r="H436" s="1467">
        <v>46372.875</v>
      </c>
      <c r="I436" s="1470"/>
    </row>
    <row r="437" spans="1:9" ht="14">
      <c r="A437" s="1464" t="s">
        <v>7476</v>
      </c>
      <c r="B437" s="1464">
        <v>9510905360</v>
      </c>
      <c r="C437" s="1464" t="s">
        <v>6003</v>
      </c>
      <c r="D437" s="1468">
        <v>46340.770833333336</v>
      </c>
      <c r="E437" s="1469"/>
      <c r="F437" s="1465"/>
      <c r="G437" s="1464" t="s">
        <v>10208</v>
      </c>
      <c r="H437" s="1468">
        <v>46386.25</v>
      </c>
      <c r="I437" s="1469"/>
    </row>
    <row r="438" spans="1:9" ht="14">
      <c r="A438" s="1463" t="s">
        <v>10219</v>
      </c>
      <c r="B438" s="1463">
        <v>6473014610</v>
      </c>
      <c r="C438" s="1463" t="s">
        <v>123</v>
      </c>
      <c r="D438" s="1467">
        <v>46342.75</v>
      </c>
      <c r="E438" s="1470"/>
      <c r="F438" s="1463" t="s">
        <v>10212</v>
      </c>
      <c r="G438" s="1463" t="s">
        <v>10205</v>
      </c>
      <c r="H438" s="1467">
        <v>46380.833333333336</v>
      </c>
      <c r="I438" s="1470"/>
    </row>
    <row r="439" spans="1:9" ht="14">
      <c r="A439" s="1464" t="s">
        <v>7483</v>
      </c>
      <c r="B439" s="1464">
        <v>9510974430</v>
      </c>
      <c r="C439" s="1464" t="s">
        <v>6003</v>
      </c>
      <c r="D439" s="1468">
        <v>46343.916666666664</v>
      </c>
      <c r="E439" s="1469"/>
      <c r="F439" s="1465"/>
      <c r="G439" s="1464" t="s">
        <v>10206</v>
      </c>
      <c r="H439" s="1468">
        <v>46378.333333333336</v>
      </c>
      <c r="I439" s="1469"/>
    </row>
    <row r="440" spans="1:9" ht="14">
      <c r="A440" s="1463" t="s">
        <v>7487</v>
      </c>
      <c r="B440" s="1463">
        <v>9510976910</v>
      </c>
      <c r="C440" s="1463" t="s">
        <v>6003</v>
      </c>
      <c r="D440" s="1467">
        <v>46344.416666666664</v>
      </c>
      <c r="E440" s="1470"/>
      <c r="F440" s="1466"/>
      <c r="G440" s="1463" t="s">
        <v>10206</v>
      </c>
      <c r="H440" s="1467">
        <v>46379.875</v>
      </c>
      <c r="I440" s="1470"/>
    </row>
    <row r="441" spans="1:9" ht="14">
      <c r="A441" s="1464" t="s">
        <v>7492</v>
      </c>
      <c r="B441" s="1464">
        <v>9510977010</v>
      </c>
      <c r="C441" s="1464" t="s">
        <v>6003</v>
      </c>
      <c r="D441" s="1468">
        <v>46345.625</v>
      </c>
      <c r="E441" s="1469"/>
      <c r="F441" s="1465"/>
      <c r="G441" s="1464" t="s">
        <v>10205</v>
      </c>
      <c r="H441" s="1468">
        <v>46380.833333333336</v>
      </c>
      <c r="I441" s="1469"/>
    </row>
    <row r="442" spans="1:9" ht="14">
      <c r="A442" s="1463" t="s">
        <v>7655</v>
      </c>
      <c r="B442" s="1463">
        <v>9510940900</v>
      </c>
      <c r="C442" s="1463" t="s">
        <v>10200</v>
      </c>
      <c r="D442" s="1467">
        <v>46333.875</v>
      </c>
      <c r="E442" s="1470"/>
      <c r="F442" s="1463" t="s">
        <v>10202</v>
      </c>
      <c r="G442" s="1463" t="s">
        <v>8661</v>
      </c>
      <c r="H442" s="1467">
        <v>46405.791666666664</v>
      </c>
      <c r="I442" s="1470"/>
    </row>
    <row r="443" spans="1:9" ht="14">
      <c r="A443" s="1464" t="s">
        <v>7499</v>
      </c>
      <c r="B443" s="1464">
        <v>9510940990</v>
      </c>
      <c r="C443" s="1464" t="s">
        <v>10200</v>
      </c>
      <c r="D443" s="1468">
        <v>46333.875</v>
      </c>
      <c r="E443" s="1469"/>
      <c r="F443" s="1464" t="s">
        <v>10202</v>
      </c>
      <c r="G443" s="1464" t="s">
        <v>10208</v>
      </c>
      <c r="H443" s="1468">
        <v>46400.25</v>
      </c>
      <c r="I443" s="1469"/>
    </row>
  </sheetData>
  <autoFilter ref="A1:I270" xr:uid="{04BAA684-E5DA-474C-B409-1D601E3E01CD}"/>
  <phoneticPr fontId="6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99B6-FB04-4DA2-A10A-306784B219B1}">
  <sheetPr codeName="Sheet16"/>
  <dimension ref="A1:M118"/>
  <sheetViews>
    <sheetView topLeftCell="A90" zoomScale="130" zoomScaleNormal="130" workbookViewId="0">
      <selection activeCell="A105" sqref="A105:M125"/>
    </sheetView>
  </sheetViews>
  <sheetFormatPr defaultColWidth="9" defaultRowHeight="13"/>
  <cols>
    <col min="1" max="1" width="23.09765625" customWidth="1"/>
    <col min="2" max="2" width="16.296875" bestFit="1" customWidth="1"/>
    <col min="3" max="6" width="13.8984375" bestFit="1" customWidth="1"/>
    <col min="7" max="7" width="5.59765625" bestFit="1" customWidth="1"/>
    <col min="8" max="12" width="13.8984375" bestFit="1" customWidth="1"/>
    <col min="13" max="13" width="6.8984375" bestFit="1" customWidth="1"/>
    <col min="14" max="14" width="6.09765625" bestFit="1" customWidth="1"/>
    <col min="15" max="15" width="6.8984375" bestFit="1" customWidth="1"/>
    <col min="16" max="16" width="6.3984375" bestFit="1" customWidth="1"/>
    <col min="17" max="17" width="5.09765625" bestFit="1" customWidth="1"/>
    <col min="18" max="18" width="7.59765625" bestFit="1" customWidth="1"/>
    <col min="19" max="19" width="5.8984375" bestFit="1" customWidth="1"/>
    <col min="20" max="24" width="11.09765625" bestFit="1" customWidth="1"/>
    <col min="25" max="25" width="6.3984375" bestFit="1" customWidth="1"/>
    <col min="26" max="31" width="11.09765625" bestFit="1" customWidth="1"/>
    <col min="32" max="32" width="6.3984375" bestFit="1" customWidth="1"/>
    <col min="33" max="33" width="8.09765625" bestFit="1" customWidth="1"/>
    <col min="34" max="34" width="10.3984375" bestFit="1" customWidth="1"/>
    <col min="35" max="35" width="10.59765625" bestFit="1" customWidth="1"/>
    <col min="36" max="36" width="12.8984375" bestFit="1" customWidth="1"/>
    <col min="37" max="37" width="5.8984375" bestFit="1" customWidth="1"/>
    <col min="38" max="38" width="7.59765625" bestFit="1" customWidth="1"/>
    <col min="39" max="40" width="6.8984375" bestFit="1" customWidth="1"/>
    <col min="41" max="41" width="11.09765625" bestFit="1" customWidth="1"/>
    <col min="42" max="42" width="7.59765625" bestFit="1" customWidth="1"/>
    <col min="43" max="43" width="6.8984375" bestFit="1" customWidth="1"/>
    <col min="44" max="44" width="13" bestFit="1" customWidth="1"/>
    <col min="45" max="45" width="15.59765625" bestFit="1" customWidth="1"/>
    <col min="46" max="46" width="13" bestFit="1" customWidth="1"/>
    <col min="47" max="47" width="15.59765625" bestFit="1" customWidth="1"/>
    <col min="48" max="48" width="13" bestFit="1" customWidth="1"/>
    <col min="49" max="49" width="15.59765625" bestFit="1" customWidth="1"/>
    <col min="50" max="50" width="13" bestFit="1" customWidth="1"/>
    <col min="51" max="51" width="15.59765625" bestFit="1" customWidth="1"/>
    <col min="52" max="52" width="13" bestFit="1" customWidth="1"/>
    <col min="53" max="53" width="15.59765625" bestFit="1" customWidth="1"/>
    <col min="54" max="54" width="13" bestFit="1" customWidth="1"/>
    <col min="55" max="55" width="15.59765625" bestFit="1" customWidth="1"/>
    <col min="56" max="56" width="6.8984375" bestFit="1" customWidth="1"/>
  </cols>
  <sheetData>
    <row r="1" spans="1:3">
      <c r="A1" s="171" t="s">
        <v>29</v>
      </c>
      <c r="B1" t="s">
        <v>10186</v>
      </c>
    </row>
    <row r="2" spans="1:3">
      <c r="A2" s="171" t="s">
        <v>20</v>
      </c>
      <c r="B2" t="s">
        <v>10186</v>
      </c>
      <c r="C2" t="s">
        <v>10220</v>
      </c>
    </row>
    <row r="3" spans="1:3">
      <c r="A3" s="171" t="s">
        <v>2466</v>
      </c>
      <c r="B3" t="s">
        <v>10221</v>
      </c>
      <c r="C3" t="s">
        <v>10222</v>
      </c>
    </row>
    <row r="4" spans="1:3">
      <c r="A4" s="171" t="s">
        <v>39</v>
      </c>
      <c r="B4" t="s">
        <v>10223</v>
      </c>
      <c r="C4" t="s">
        <v>10224</v>
      </c>
    </row>
    <row r="6" spans="1:3">
      <c r="A6" s="171" t="s">
        <v>15</v>
      </c>
      <c r="B6" s="171" t="s">
        <v>5</v>
      </c>
      <c r="C6" t="s">
        <v>10225</v>
      </c>
    </row>
    <row r="7" spans="1:3">
      <c r="A7" t="s">
        <v>10190</v>
      </c>
      <c r="C7" s="353"/>
    </row>
    <row r="75" spans="1:2">
      <c r="A75" s="361" t="s">
        <v>10226</v>
      </c>
    </row>
    <row r="78" spans="1:2">
      <c r="A78" s="171" t="s">
        <v>0</v>
      </c>
      <c r="B78" t="s">
        <v>10221</v>
      </c>
    </row>
    <row r="79" spans="1:2">
      <c r="A79" s="171" t="s">
        <v>33</v>
      </c>
      <c r="B79" t="s">
        <v>10221</v>
      </c>
    </row>
    <row r="80" spans="1:2">
      <c r="A80" s="171" t="s">
        <v>53</v>
      </c>
      <c r="B80" t="s">
        <v>10186</v>
      </c>
    </row>
    <row r="82" spans="1:13">
      <c r="A82" s="171" t="s">
        <v>10227</v>
      </c>
      <c r="C82" s="171" t="s">
        <v>54</v>
      </c>
    </row>
    <row r="83" spans="1:13">
      <c r="A83" s="171" t="s">
        <v>16</v>
      </c>
      <c r="B83" s="171" t="s">
        <v>15</v>
      </c>
      <c r="C83">
        <v>2</v>
      </c>
      <c r="D83">
        <v>3</v>
      </c>
      <c r="E83">
        <v>4</v>
      </c>
      <c r="F83">
        <v>5</v>
      </c>
      <c r="G83">
        <v>7</v>
      </c>
      <c r="H83">
        <v>8</v>
      </c>
      <c r="I83">
        <v>9</v>
      </c>
      <c r="J83">
        <v>10</v>
      </c>
      <c r="K83">
        <v>11</v>
      </c>
      <c r="L83">
        <v>12</v>
      </c>
      <c r="M83" t="s">
        <v>10190</v>
      </c>
    </row>
    <row r="84" spans="1:13">
      <c r="A84" t="s">
        <v>7838</v>
      </c>
      <c r="B84" t="s">
        <v>7837</v>
      </c>
      <c r="C84" s="1519">
        <v>10</v>
      </c>
      <c r="D84" s="1519"/>
      <c r="E84" s="1519"/>
      <c r="F84" s="1519"/>
      <c r="G84" s="1519">
        <v>106</v>
      </c>
      <c r="H84" s="1519"/>
      <c r="I84" s="1519">
        <v>144</v>
      </c>
      <c r="J84" s="1519">
        <v>124</v>
      </c>
      <c r="K84" s="1519">
        <v>67</v>
      </c>
      <c r="L84" s="1519"/>
      <c r="M84" s="1519">
        <v>451</v>
      </c>
    </row>
    <row r="85" spans="1:13">
      <c r="A85" t="s">
        <v>7863</v>
      </c>
      <c r="B85" t="s">
        <v>7862</v>
      </c>
      <c r="C85" s="1519"/>
      <c r="D85" s="1519"/>
      <c r="E85" s="1519">
        <v>100</v>
      </c>
      <c r="F85" s="1519"/>
      <c r="G85" s="1519"/>
      <c r="H85" s="1519"/>
      <c r="I85" s="1519">
        <v>53</v>
      </c>
      <c r="J85" s="1519">
        <v>34</v>
      </c>
      <c r="K85" s="1519">
        <v>81</v>
      </c>
      <c r="L85" s="1519"/>
      <c r="M85" s="1519">
        <v>268</v>
      </c>
    </row>
    <row r="86" spans="1:13">
      <c r="A86" t="s">
        <v>7830</v>
      </c>
      <c r="B86" t="s">
        <v>7828</v>
      </c>
      <c r="C86" s="1519">
        <v>325</v>
      </c>
      <c r="D86" s="1519"/>
      <c r="E86" s="1519">
        <v>296</v>
      </c>
      <c r="F86" s="1519"/>
      <c r="G86" s="1519">
        <v>488</v>
      </c>
      <c r="H86" s="1519">
        <v>320</v>
      </c>
      <c r="I86" s="1519">
        <v>936</v>
      </c>
      <c r="J86" s="1519">
        <v>292</v>
      </c>
      <c r="K86" s="1519">
        <v>1186</v>
      </c>
      <c r="L86" s="1519"/>
      <c r="M86" s="1519">
        <v>3843</v>
      </c>
    </row>
    <row r="87" spans="1:13">
      <c r="A87" t="s">
        <v>7835</v>
      </c>
      <c r="B87" t="s">
        <v>7834</v>
      </c>
      <c r="C87" s="1519">
        <v>60</v>
      </c>
      <c r="D87" s="1519">
        <v>34</v>
      </c>
      <c r="E87" s="1519">
        <v>6</v>
      </c>
      <c r="F87" s="1519"/>
      <c r="G87" s="1519">
        <v>2</v>
      </c>
      <c r="H87" s="1519"/>
      <c r="I87" s="1519"/>
      <c r="J87" s="1519"/>
      <c r="K87" s="1519"/>
      <c r="L87" s="1519"/>
      <c r="M87" s="1519">
        <v>102</v>
      </c>
    </row>
    <row r="88" spans="1:13">
      <c r="A88" t="s">
        <v>7818</v>
      </c>
      <c r="B88" t="s">
        <v>7816</v>
      </c>
      <c r="C88" s="1519">
        <v>78</v>
      </c>
      <c r="D88" s="1519"/>
      <c r="E88" s="1519">
        <v>10</v>
      </c>
      <c r="F88" s="1519">
        <v>72</v>
      </c>
      <c r="G88" s="1519">
        <v>78</v>
      </c>
      <c r="H88" s="1519">
        <v>165</v>
      </c>
      <c r="I88" s="1519">
        <v>360</v>
      </c>
      <c r="J88" s="1519">
        <v>180</v>
      </c>
      <c r="K88" s="1519">
        <v>180</v>
      </c>
      <c r="L88" s="1519"/>
      <c r="M88" s="1519">
        <v>1123</v>
      </c>
    </row>
    <row r="89" spans="1:13">
      <c r="A89" t="s">
        <v>7842</v>
      </c>
      <c r="B89" t="s">
        <v>7887</v>
      </c>
      <c r="C89" s="1519"/>
      <c r="D89" s="1519">
        <v>34</v>
      </c>
      <c r="E89" s="1519"/>
      <c r="F89" s="1519"/>
      <c r="G89" s="1519">
        <v>2</v>
      </c>
      <c r="H89" s="1519"/>
      <c r="I89" s="1519"/>
      <c r="J89" s="1519"/>
      <c r="K89" s="1519"/>
      <c r="L89" s="1519"/>
      <c r="M89" s="1519">
        <v>36</v>
      </c>
    </row>
    <row r="90" spans="1:13">
      <c r="B90" t="s">
        <v>7840</v>
      </c>
      <c r="C90" s="1519">
        <v>395</v>
      </c>
      <c r="D90" s="1519"/>
      <c r="E90" s="1519">
        <v>402</v>
      </c>
      <c r="F90" s="1519"/>
      <c r="G90" s="1519">
        <v>720</v>
      </c>
      <c r="H90" s="1519">
        <v>194</v>
      </c>
      <c r="I90" s="1519">
        <v>1135</v>
      </c>
      <c r="J90" s="1519">
        <v>451</v>
      </c>
      <c r="K90" s="1519">
        <v>1336</v>
      </c>
      <c r="L90" s="1519"/>
      <c r="M90" s="1519">
        <v>4633</v>
      </c>
    </row>
    <row r="91" spans="1:13">
      <c r="A91" t="s">
        <v>7853</v>
      </c>
      <c r="B91" t="s">
        <v>7889</v>
      </c>
      <c r="C91" s="1519"/>
      <c r="D91" s="1519">
        <v>34</v>
      </c>
      <c r="E91" s="1519"/>
      <c r="F91" s="1519"/>
      <c r="G91" s="1519"/>
      <c r="H91" s="1519"/>
      <c r="I91" s="1519"/>
      <c r="J91" s="1519"/>
      <c r="K91" s="1519"/>
      <c r="L91" s="1519"/>
      <c r="M91" s="1519">
        <v>34</v>
      </c>
    </row>
    <row r="92" spans="1:13">
      <c r="B92" t="s">
        <v>7898</v>
      </c>
      <c r="C92" s="1519"/>
      <c r="D92" s="1519"/>
      <c r="E92" s="1519">
        <v>8</v>
      </c>
      <c r="F92" s="1519"/>
      <c r="G92" s="1519"/>
      <c r="H92" s="1519"/>
      <c r="I92" s="1519"/>
      <c r="J92" s="1519"/>
      <c r="K92" s="1519"/>
      <c r="L92" s="1519"/>
      <c r="M92" s="1519">
        <v>8</v>
      </c>
    </row>
    <row r="93" spans="1:13">
      <c r="B93" t="s">
        <v>7851</v>
      </c>
      <c r="C93" s="1519"/>
      <c r="D93" s="1519">
        <v>20</v>
      </c>
      <c r="E93" s="1519">
        <v>772</v>
      </c>
      <c r="F93" s="1519"/>
      <c r="G93" s="1519">
        <v>804</v>
      </c>
      <c r="H93" s="1519">
        <v>1683</v>
      </c>
      <c r="I93" s="1519">
        <v>826</v>
      </c>
      <c r="J93" s="1519">
        <v>3380</v>
      </c>
      <c r="K93" s="1519">
        <v>3088</v>
      </c>
      <c r="L93" s="1519">
        <v>1656</v>
      </c>
      <c r="M93" s="1519">
        <v>12229</v>
      </c>
    </row>
    <row r="94" spans="1:13">
      <c r="A94" t="s">
        <v>8109</v>
      </c>
      <c r="B94" t="s">
        <v>8108</v>
      </c>
      <c r="C94" s="1519"/>
      <c r="D94" s="1519"/>
      <c r="E94" s="1519"/>
      <c r="F94" s="1519"/>
      <c r="G94" s="1519"/>
      <c r="H94" s="1519">
        <v>192</v>
      </c>
      <c r="I94" s="1519"/>
      <c r="J94" s="1519"/>
      <c r="K94" s="1519">
        <v>295</v>
      </c>
      <c r="L94" s="1519"/>
      <c r="M94" s="1519">
        <v>487</v>
      </c>
    </row>
    <row r="95" spans="1:13">
      <c r="A95" t="s">
        <v>8117</v>
      </c>
      <c r="B95" t="s">
        <v>8116</v>
      </c>
      <c r="C95" s="1519"/>
      <c r="D95" s="1519"/>
      <c r="E95" s="1519"/>
      <c r="F95" s="1519"/>
      <c r="G95" s="1519"/>
      <c r="H95" s="1519">
        <v>128</v>
      </c>
      <c r="I95" s="1519"/>
      <c r="J95" s="1519"/>
      <c r="K95" s="1519">
        <v>194</v>
      </c>
      <c r="L95" s="1519"/>
      <c r="M95" s="1519">
        <v>322</v>
      </c>
    </row>
    <row r="96" spans="1:13">
      <c r="A96" t="s">
        <v>8102</v>
      </c>
      <c r="B96" t="s">
        <v>8101</v>
      </c>
      <c r="C96" s="1519"/>
      <c r="D96" s="1519"/>
      <c r="E96" s="1519"/>
      <c r="F96" s="1519"/>
      <c r="G96" s="1519"/>
      <c r="H96" s="1519">
        <v>64</v>
      </c>
      <c r="I96" s="1519"/>
      <c r="J96" s="1519"/>
      <c r="K96" s="1519">
        <v>101</v>
      </c>
      <c r="L96" s="1519"/>
      <c r="M96" s="1519">
        <v>165</v>
      </c>
    </row>
    <row r="97" spans="1:13">
      <c r="A97" t="s">
        <v>7826</v>
      </c>
      <c r="B97" t="s">
        <v>7824</v>
      </c>
      <c r="C97" s="1519">
        <v>24</v>
      </c>
      <c r="D97" s="1519"/>
      <c r="E97" s="1519">
        <v>10</v>
      </c>
      <c r="F97" s="1519"/>
      <c r="G97" s="1519"/>
      <c r="H97" s="1519">
        <v>72</v>
      </c>
      <c r="I97" s="1519"/>
      <c r="J97" s="1519">
        <v>108</v>
      </c>
      <c r="K97" s="1519"/>
      <c r="L97" s="1519"/>
      <c r="M97" s="1519">
        <v>214</v>
      </c>
    </row>
    <row r="98" spans="1:13">
      <c r="A98" t="s">
        <v>10190</v>
      </c>
      <c r="C98" s="1519">
        <v>892</v>
      </c>
      <c r="D98" s="1519">
        <v>122</v>
      </c>
      <c r="E98" s="1519">
        <v>1604</v>
      </c>
      <c r="F98" s="1519">
        <v>72</v>
      </c>
      <c r="G98" s="1519">
        <v>2200</v>
      </c>
      <c r="H98" s="1519">
        <v>2818</v>
      </c>
      <c r="I98" s="1519">
        <v>3454</v>
      </c>
      <c r="J98" s="1519">
        <v>4569</v>
      </c>
      <c r="K98" s="1519">
        <v>6528</v>
      </c>
      <c r="L98" s="1519">
        <v>1656</v>
      </c>
      <c r="M98" s="1519">
        <v>23915</v>
      </c>
    </row>
    <row r="105" spans="1:13">
      <c r="A105" s="171" t="s">
        <v>0</v>
      </c>
      <c r="B105" t="s">
        <v>10221</v>
      </c>
    </row>
    <row r="106" spans="1:13">
      <c r="A106" s="171" t="s">
        <v>33</v>
      </c>
      <c r="B106" t="s">
        <v>10221</v>
      </c>
    </row>
    <row r="107" spans="1:13">
      <c r="A107" s="171" t="s">
        <v>53</v>
      </c>
      <c r="B107" t="s">
        <v>10186</v>
      </c>
    </row>
    <row r="109" spans="1:13">
      <c r="A109" s="171" t="s">
        <v>10227</v>
      </c>
      <c r="C109" s="171" t="s">
        <v>54</v>
      </c>
    </row>
    <row r="110" spans="1:13">
      <c r="A110" s="171" t="s">
        <v>16</v>
      </c>
      <c r="B110" s="171" t="s">
        <v>15</v>
      </c>
      <c r="C110">
        <v>4</v>
      </c>
      <c r="D110">
        <v>6</v>
      </c>
      <c r="E110">
        <v>10</v>
      </c>
      <c r="F110">
        <v>11</v>
      </c>
      <c r="G110" t="s">
        <v>10190</v>
      </c>
    </row>
    <row r="111" spans="1:13">
      <c r="A111" t="s">
        <v>8296</v>
      </c>
      <c r="B111" t="s">
        <v>8294</v>
      </c>
      <c r="C111" s="1519"/>
      <c r="D111" s="1519"/>
      <c r="E111" s="1519">
        <v>30</v>
      </c>
      <c r="F111" s="1519"/>
      <c r="G111" s="1519">
        <v>30</v>
      </c>
    </row>
    <row r="112" spans="1:13">
      <c r="A112" t="s">
        <v>7979</v>
      </c>
      <c r="B112" t="s">
        <v>7977</v>
      </c>
      <c r="C112" s="1519">
        <v>16</v>
      </c>
      <c r="D112" s="1519">
        <v>32</v>
      </c>
      <c r="E112" s="1519"/>
      <c r="F112" s="1519"/>
      <c r="G112" s="1519">
        <v>48</v>
      </c>
    </row>
    <row r="113" spans="1:7">
      <c r="A113" t="s">
        <v>8415</v>
      </c>
      <c r="B113" t="s">
        <v>8414</v>
      </c>
      <c r="C113" s="1519"/>
      <c r="D113" s="1519"/>
      <c r="E113" s="1519"/>
      <c r="F113" s="1519">
        <v>9</v>
      </c>
      <c r="G113" s="1519">
        <v>9</v>
      </c>
    </row>
    <row r="114" spans="1:7">
      <c r="A114" t="s">
        <v>8419</v>
      </c>
      <c r="B114" t="s">
        <v>8418</v>
      </c>
      <c r="C114" s="1519"/>
      <c r="D114" s="1519"/>
      <c r="E114" s="1519"/>
      <c r="F114" s="1519">
        <v>18</v>
      </c>
      <c r="G114" s="1519">
        <v>18</v>
      </c>
    </row>
    <row r="115" spans="1:7">
      <c r="A115" t="s">
        <v>8422</v>
      </c>
      <c r="B115" t="s">
        <v>8421</v>
      </c>
      <c r="C115" s="1519"/>
      <c r="D115" s="1519"/>
      <c r="E115" s="1519"/>
      <c r="F115" s="1519">
        <v>18</v>
      </c>
      <c r="G115" s="1519">
        <v>18</v>
      </c>
    </row>
    <row r="116" spans="1:7">
      <c r="A116" t="s">
        <v>8425</v>
      </c>
      <c r="B116" t="s">
        <v>8424</v>
      </c>
      <c r="C116" s="1519"/>
      <c r="D116" s="1519"/>
      <c r="E116" s="1519"/>
      <c r="F116" s="1519">
        <v>60</v>
      </c>
      <c r="G116" s="1519">
        <v>60</v>
      </c>
    </row>
    <row r="117" spans="1:7">
      <c r="A117" t="s">
        <v>8429</v>
      </c>
      <c r="B117" t="s">
        <v>8427</v>
      </c>
      <c r="C117" s="1519"/>
      <c r="D117" s="1519"/>
      <c r="E117" s="1519"/>
      <c r="F117" s="1519">
        <v>24</v>
      </c>
      <c r="G117" s="1519">
        <v>24</v>
      </c>
    </row>
    <row r="118" spans="1:7">
      <c r="A118" t="s">
        <v>10190</v>
      </c>
      <c r="C118" s="1519">
        <v>16</v>
      </c>
      <c r="D118" s="1519">
        <v>32</v>
      </c>
      <c r="E118" s="1519">
        <v>30</v>
      </c>
      <c r="F118" s="1519">
        <v>129</v>
      </c>
      <c r="G118" s="1519">
        <v>207</v>
      </c>
    </row>
  </sheetData>
  <phoneticPr fontId="6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EC811-EB28-4621-9B03-45B91F0AA726}">
  <sheetPr codeName="Sheet10" filterMode="1">
    <tabColor theme="9" tint="0.59999389629810485"/>
  </sheetPr>
  <dimension ref="A1:AQ169"/>
  <sheetViews>
    <sheetView zoomScaleNormal="100" workbookViewId="0">
      <pane ySplit="3" topLeftCell="A91" activePane="bottomLeft" state="frozen"/>
      <selection activeCell="AA474" sqref="AA474"/>
      <selection pane="bottomLeft" activeCell="U130" sqref="U130"/>
    </sheetView>
  </sheetViews>
  <sheetFormatPr defaultColWidth="9.09765625" defaultRowHeight="11.25" customHeight="1" outlineLevelCol="1"/>
  <cols>
    <col min="1" max="1" width="9.09765625" style="60" customWidth="1"/>
    <col min="2" max="2" width="9.09765625" style="23" hidden="1" customWidth="1" outlineLevel="1"/>
    <col min="3" max="3" width="8.8984375" style="23" hidden="1" customWidth="1" outlineLevel="1"/>
    <col min="4" max="4" width="5.09765625" style="21" hidden="1" customWidth="1" collapsed="1"/>
    <col min="5" max="5" width="7" style="21" hidden="1" customWidth="1"/>
    <col min="6" max="6" width="22.3984375" style="21" hidden="1" customWidth="1"/>
    <col min="7" max="7" width="9.09765625" style="23" hidden="1" customWidth="1" outlineLevel="1"/>
    <col min="8" max="8" width="11.09765625" style="23" hidden="1" customWidth="1" outlineLevel="1"/>
    <col min="9" max="9" width="9.09765625" style="23" hidden="1" customWidth="1" outlineLevel="1"/>
    <col min="10" max="10" width="9.09765625" style="21" hidden="1" customWidth="1" collapsed="1"/>
    <col min="11" max="11" width="25.09765625" style="60" customWidth="1"/>
    <col min="12" max="12" width="59.09765625" style="21" customWidth="1"/>
    <col min="13" max="14" width="9.09765625" style="60" customWidth="1"/>
    <col min="15" max="15" width="9.09765625" style="62" customWidth="1"/>
    <col min="16" max="16" width="7.3984375" style="60" customWidth="1"/>
    <col min="17" max="17" width="7.59765625" style="63" customWidth="1"/>
    <col min="18" max="18" width="9.09765625" style="68" customWidth="1"/>
    <col min="19" max="19" width="11.59765625" style="155" customWidth="1" outlineLevel="1"/>
    <col min="20" max="20" width="14.09765625" style="155" customWidth="1" outlineLevel="1"/>
    <col min="21" max="21" width="14.59765625" style="23" customWidth="1" outlineLevel="1"/>
    <col min="22" max="22" width="9.09765625" style="23" customWidth="1" outlineLevel="1"/>
    <col min="23" max="23" width="19.8984375" style="23" bestFit="1" customWidth="1"/>
    <col min="24" max="24" width="13.8984375" style="64" customWidth="1"/>
    <col min="25" max="26" width="9.09765625" style="64" customWidth="1"/>
    <col min="27" max="27" width="10" style="60" customWidth="1"/>
    <col min="28" max="28" width="9.09765625" style="21" customWidth="1"/>
    <col min="29" max="29" width="12.59765625" style="21" customWidth="1"/>
    <col min="30" max="34" width="9.09765625" style="64" customWidth="1"/>
    <col min="35" max="35" width="8.8984375" style="64" customWidth="1"/>
    <col min="36" max="36" width="7.09765625" style="60" customWidth="1"/>
    <col min="37" max="37" width="17.09765625" style="21" customWidth="1"/>
    <col min="38" max="39" width="14.59765625" style="21" customWidth="1"/>
    <col min="40" max="40" width="14.8984375" style="21" customWidth="1"/>
    <col min="41" max="41" width="9.09765625" style="60" customWidth="1"/>
    <col min="42" max="42" width="9.09765625" style="21" customWidth="1"/>
    <col min="43" max="43" width="9.09765625" style="60" customWidth="1"/>
    <col min="44" max="16379" width="9.09765625" style="68" customWidth="1"/>
    <col min="16380" max="16384" width="9.09765625" style="68"/>
  </cols>
  <sheetData>
    <row r="1" spans="1:43" ht="16.5">
      <c r="A1" s="59" t="s">
        <v>10228</v>
      </c>
      <c r="B1" s="21"/>
      <c r="C1" s="21"/>
      <c r="G1" s="21"/>
      <c r="H1" s="21"/>
      <c r="I1" s="21"/>
      <c r="N1" s="61"/>
      <c r="R1" s="22"/>
      <c r="S1" s="60"/>
      <c r="T1" s="60"/>
      <c r="U1" s="21"/>
      <c r="V1" s="21"/>
      <c r="W1" s="21"/>
      <c r="AK1" s="65"/>
      <c r="AL1" s="65"/>
      <c r="AM1" s="66"/>
      <c r="AN1" s="67"/>
    </row>
    <row r="2" spans="1:43" ht="10">
      <c r="A2" s="60">
        <v>1</v>
      </c>
      <c r="B2" s="21">
        <f>A2+1</f>
        <v>2</v>
      </c>
      <c r="C2" s="21">
        <f>B2+1</f>
        <v>3</v>
      </c>
      <c r="D2" s="21">
        <f t="shared" ref="D2:AQ2" si="0">C2+1</f>
        <v>4</v>
      </c>
      <c r="E2" s="69">
        <f t="shared" si="0"/>
        <v>5</v>
      </c>
      <c r="F2" s="21">
        <f>E2+1</f>
        <v>6</v>
      </c>
      <c r="G2" s="21">
        <f t="shared" si="0"/>
        <v>7</v>
      </c>
      <c r="H2" s="21">
        <f t="shared" si="0"/>
        <v>8</v>
      </c>
      <c r="I2" s="21">
        <f>H2+1</f>
        <v>9</v>
      </c>
      <c r="J2" s="21">
        <f t="shared" si="0"/>
        <v>10</v>
      </c>
      <c r="K2" s="60">
        <f>J2+1</f>
        <v>11</v>
      </c>
      <c r="L2" s="21">
        <f t="shared" si="0"/>
        <v>12</v>
      </c>
      <c r="M2" s="60">
        <f t="shared" si="0"/>
        <v>13</v>
      </c>
      <c r="N2" s="60">
        <f t="shared" si="0"/>
        <v>14</v>
      </c>
      <c r="O2" s="21">
        <f t="shared" si="0"/>
        <v>15</v>
      </c>
      <c r="P2" s="60">
        <f t="shared" si="0"/>
        <v>16</v>
      </c>
      <c r="Q2" s="63">
        <f t="shared" si="0"/>
        <v>17</v>
      </c>
      <c r="R2" s="21">
        <f t="shared" si="0"/>
        <v>18</v>
      </c>
      <c r="S2" s="21">
        <f t="shared" si="0"/>
        <v>19</v>
      </c>
      <c r="T2" s="21">
        <f t="shared" si="0"/>
        <v>20</v>
      </c>
      <c r="U2" s="21">
        <f t="shared" si="0"/>
        <v>21</v>
      </c>
      <c r="V2" s="21">
        <f t="shared" si="0"/>
        <v>22</v>
      </c>
      <c r="W2" s="21">
        <f t="shared" si="0"/>
        <v>23</v>
      </c>
      <c r="X2" s="21">
        <f t="shared" si="0"/>
        <v>24</v>
      </c>
      <c r="Y2" s="21">
        <f t="shared" si="0"/>
        <v>25</v>
      </c>
      <c r="Z2" s="21"/>
      <c r="AA2" s="21">
        <f>Y2+1</f>
        <v>26</v>
      </c>
      <c r="AB2" s="21">
        <f t="shared" si="0"/>
        <v>27</v>
      </c>
      <c r="AC2" s="21">
        <f t="shared" si="0"/>
        <v>28</v>
      </c>
      <c r="AD2" s="21">
        <f>AC2+1</f>
        <v>29</v>
      </c>
      <c r="AE2" s="21"/>
      <c r="AF2" s="21">
        <f>AD2+1</f>
        <v>30</v>
      </c>
      <c r="AG2" s="21">
        <f t="shared" si="0"/>
        <v>31</v>
      </c>
      <c r="AH2" s="21"/>
      <c r="AI2" s="21">
        <f>AG2+1</f>
        <v>32</v>
      </c>
      <c r="AJ2" s="21">
        <f>AI2+1</f>
        <v>33</v>
      </c>
      <c r="AK2" s="21">
        <f t="shared" si="0"/>
        <v>34</v>
      </c>
      <c r="AL2" s="21">
        <f t="shared" si="0"/>
        <v>35</v>
      </c>
      <c r="AM2" s="21">
        <f t="shared" si="0"/>
        <v>36</v>
      </c>
      <c r="AN2" s="21">
        <f t="shared" si="0"/>
        <v>37</v>
      </c>
      <c r="AO2" s="21">
        <f t="shared" si="0"/>
        <v>38</v>
      </c>
      <c r="AP2" s="21">
        <f t="shared" si="0"/>
        <v>39</v>
      </c>
      <c r="AQ2" s="21">
        <f t="shared" si="0"/>
        <v>40</v>
      </c>
    </row>
    <row r="3" spans="1:43" s="73" customFormat="1" ht="52.5">
      <c r="A3" s="1292" t="s">
        <v>2452</v>
      </c>
      <c r="B3" s="1293" t="s">
        <v>10229</v>
      </c>
      <c r="C3" s="1293" t="s">
        <v>3</v>
      </c>
      <c r="D3" s="1294" t="s">
        <v>10230</v>
      </c>
      <c r="E3" s="1293" t="s">
        <v>1</v>
      </c>
      <c r="F3" s="1294" t="s">
        <v>10231</v>
      </c>
      <c r="G3" s="1294" t="s">
        <v>10</v>
      </c>
      <c r="H3" s="1294" t="s">
        <v>10232</v>
      </c>
      <c r="I3" s="1294" t="s">
        <v>2455</v>
      </c>
      <c r="J3" s="1293" t="s">
        <v>8634</v>
      </c>
      <c r="K3" s="1292" t="s">
        <v>10233</v>
      </c>
      <c r="L3" s="1295" t="s">
        <v>2457</v>
      </c>
      <c r="M3" s="1296" t="s">
        <v>19</v>
      </c>
      <c r="N3" s="1296" t="s">
        <v>20</v>
      </c>
      <c r="O3" s="1297" t="s">
        <v>21</v>
      </c>
      <c r="P3" s="1298" t="s">
        <v>22</v>
      </c>
      <c r="Q3" s="1299" t="s">
        <v>23</v>
      </c>
      <c r="R3" s="1300" t="s">
        <v>24</v>
      </c>
      <c r="S3" s="1301" t="s">
        <v>10234</v>
      </c>
      <c r="T3" s="1296" t="s">
        <v>10235</v>
      </c>
      <c r="U3" s="1302" t="s">
        <v>18</v>
      </c>
      <c r="V3" s="1302" t="s">
        <v>10236</v>
      </c>
      <c r="W3" s="1296" t="s">
        <v>10237</v>
      </c>
      <c r="X3" s="1303" t="s">
        <v>10238</v>
      </c>
      <c r="Y3" s="1303" t="s">
        <v>10239</v>
      </c>
      <c r="Z3" s="1303" t="s">
        <v>29</v>
      </c>
      <c r="AA3" s="1296" t="s">
        <v>10240</v>
      </c>
      <c r="AB3" s="1302" t="s">
        <v>31</v>
      </c>
      <c r="AC3" s="1301" t="s">
        <v>33</v>
      </c>
      <c r="AD3" s="1304" t="s">
        <v>2459</v>
      </c>
      <c r="AE3" s="1304" t="s">
        <v>35</v>
      </c>
      <c r="AF3" s="1304" t="s">
        <v>36</v>
      </c>
      <c r="AG3" s="1305" t="s">
        <v>37</v>
      </c>
      <c r="AH3" s="1305" t="s">
        <v>38</v>
      </c>
      <c r="AI3" s="1305" t="s">
        <v>39</v>
      </c>
      <c r="AJ3" s="1292" t="s">
        <v>2460</v>
      </c>
      <c r="AK3" s="1306" t="s">
        <v>41</v>
      </c>
      <c r="AL3" s="1293" t="s">
        <v>43</v>
      </c>
      <c r="AM3" s="1292" t="s">
        <v>10241</v>
      </c>
      <c r="AN3" s="1292" t="s">
        <v>2461</v>
      </c>
      <c r="AO3" s="70" t="s">
        <v>46</v>
      </c>
      <c r="AP3" s="71" t="s">
        <v>47</v>
      </c>
      <c r="AQ3" s="72" t="s">
        <v>10242</v>
      </c>
    </row>
    <row r="4" spans="1:43" s="6" customFormat="1" ht="10" hidden="1">
      <c r="A4" s="74" t="s">
        <v>10243</v>
      </c>
      <c r="B4" s="56" t="s">
        <v>67</v>
      </c>
      <c r="C4" s="56" t="s">
        <v>63</v>
      </c>
      <c r="D4" s="56"/>
      <c r="E4" s="56"/>
      <c r="F4" s="56"/>
      <c r="G4" s="39"/>
      <c r="H4" s="56"/>
      <c r="I4" s="56" t="s">
        <v>10244</v>
      </c>
      <c r="J4" s="56" t="s">
        <v>170</v>
      </c>
      <c r="K4" s="75">
        <v>552027</v>
      </c>
      <c r="L4" s="56" t="s">
        <v>10245</v>
      </c>
      <c r="M4" s="75">
        <v>545</v>
      </c>
      <c r="N4" s="75">
        <v>1320</v>
      </c>
      <c r="O4" s="76">
        <v>0.71940000000000004</v>
      </c>
      <c r="P4" s="75">
        <f t="shared" ref="P4:P9" si="1">N4/33</f>
        <v>40</v>
      </c>
      <c r="Q4" s="77">
        <v>2</v>
      </c>
      <c r="R4" s="56" t="s">
        <v>75</v>
      </c>
      <c r="S4" s="56"/>
      <c r="T4" s="56" t="s">
        <v>2480</v>
      </c>
      <c r="U4" s="56" t="s">
        <v>2480</v>
      </c>
      <c r="V4" s="56"/>
      <c r="W4" s="39"/>
      <c r="X4" s="78">
        <v>45618</v>
      </c>
      <c r="Y4" s="78"/>
      <c r="Z4" s="78"/>
      <c r="AA4" s="39">
        <v>371008129</v>
      </c>
      <c r="AB4" s="79" t="s">
        <v>122</v>
      </c>
      <c r="AC4" s="80" t="s">
        <v>78</v>
      </c>
      <c r="AD4" s="78">
        <v>45630</v>
      </c>
      <c r="AE4" s="78">
        <v>45630</v>
      </c>
      <c r="AF4" s="78">
        <v>45630</v>
      </c>
      <c r="AG4" s="78">
        <v>45686</v>
      </c>
      <c r="AH4" s="78"/>
      <c r="AI4" s="78">
        <v>45686</v>
      </c>
      <c r="AJ4" s="75" t="s">
        <v>66</v>
      </c>
      <c r="AK4" s="39" t="s">
        <v>10246</v>
      </c>
      <c r="AL4" s="39"/>
      <c r="AM4" s="39"/>
      <c r="AN4" s="39"/>
      <c r="AO4" s="75">
        <f t="shared" ref="AO4:AO67" si="2">DATEDIF(AD4,AG4,"d")+1</f>
        <v>57</v>
      </c>
      <c r="AP4" s="39"/>
      <c r="AQ4" s="75"/>
    </row>
    <row r="5" spans="1:43" s="6" customFormat="1" ht="10" hidden="1">
      <c r="A5" s="74" t="s">
        <v>10247</v>
      </c>
      <c r="B5" s="56" t="s">
        <v>67</v>
      </c>
      <c r="C5" s="56" t="s">
        <v>63</v>
      </c>
      <c r="D5" s="56"/>
      <c r="E5" s="56"/>
      <c r="F5" s="56"/>
      <c r="G5" s="39"/>
      <c r="H5" s="56"/>
      <c r="I5" s="56" t="s">
        <v>10244</v>
      </c>
      <c r="J5" s="56" t="s">
        <v>170</v>
      </c>
      <c r="K5" s="75">
        <v>552026</v>
      </c>
      <c r="L5" s="56" t="s">
        <v>463</v>
      </c>
      <c r="M5" s="75">
        <v>550</v>
      </c>
      <c r="N5" s="75">
        <v>2640</v>
      </c>
      <c r="O5" s="76">
        <v>1.452</v>
      </c>
      <c r="P5" s="75">
        <f t="shared" si="1"/>
        <v>80</v>
      </c>
      <c r="Q5" s="77">
        <v>4</v>
      </c>
      <c r="R5" s="56" t="s">
        <v>75</v>
      </c>
      <c r="S5" s="56"/>
      <c r="T5" s="56" t="s">
        <v>2480</v>
      </c>
      <c r="U5" s="56" t="s">
        <v>2480</v>
      </c>
      <c r="V5" s="56"/>
      <c r="W5" s="39"/>
      <c r="X5" s="78">
        <v>45618</v>
      </c>
      <c r="Y5" s="78"/>
      <c r="Z5" s="78"/>
      <c r="AA5" s="39">
        <v>371008128</v>
      </c>
      <c r="AB5" s="79" t="s">
        <v>122</v>
      </c>
      <c r="AC5" s="80" t="s">
        <v>78</v>
      </c>
      <c r="AD5" s="78">
        <v>45630</v>
      </c>
      <c r="AE5" s="78">
        <v>45630</v>
      </c>
      <c r="AF5" s="78">
        <v>45630</v>
      </c>
      <c r="AG5" s="78">
        <v>45686</v>
      </c>
      <c r="AH5" s="78"/>
      <c r="AI5" s="78">
        <v>45686</v>
      </c>
      <c r="AJ5" s="75" t="s">
        <v>66</v>
      </c>
      <c r="AK5" s="39" t="s">
        <v>10248</v>
      </c>
      <c r="AL5" s="39"/>
      <c r="AM5" s="39"/>
      <c r="AN5" s="39"/>
      <c r="AO5" s="75">
        <f t="shared" si="2"/>
        <v>57</v>
      </c>
      <c r="AP5" s="39"/>
      <c r="AQ5" s="75"/>
    </row>
    <row r="6" spans="1:43" s="6" customFormat="1" ht="10" hidden="1">
      <c r="A6" s="74" t="s">
        <v>10249</v>
      </c>
      <c r="B6" s="56" t="s">
        <v>67</v>
      </c>
      <c r="C6" s="56" t="s">
        <v>63</v>
      </c>
      <c r="D6" s="56" t="s">
        <v>10250</v>
      </c>
      <c r="E6" s="56"/>
      <c r="F6" s="56"/>
      <c r="G6" s="39"/>
      <c r="H6" s="56"/>
      <c r="I6" s="56" t="s">
        <v>10244</v>
      </c>
      <c r="J6" s="56" t="s">
        <v>170</v>
      </c>
      <c r="K6" s="75">
        <v>552027</v>
      </c>
      <c r="L6" s="56" t="s">
        <v>10245</v>
      </c>
      <c r="M6" s="75">
        <v>545</v>
      </c>
      <c r="N6" s="75">
        <v>1254</v>
      </c>
      <c r="O6" s="76">
        <v>0.68342999999999998</v>
      </c>
      <c r="P6" s="75">
        <f t="shared" si="1"/>
        <v>38</v>
      </c>
      <c r="Q6" s="77">
        <v>1.9</v>
      </c>
      <c r="R6" s="56" t="s">
        <v>75</v>
      </c>
      <c r="S6" s="56"/>
      <c r="T6" s="56" t="s">
        <v>2480</v>
      </c>
      <c r="U6" s="56" t="s">
        <v>2480</v>
      </c>
      <c r="V6" s="56"/>
      <c r="W6" s="39"/>
      <c r="X6" s="78">
        <v>45618</v>
      </c>
      <c r="Y6" s="78"/>
      <c r="Z6" s="78"/>
      <c r="AA6" s="39">
        <v>371008129</v>
      </c>
      <c r="AB6" s="79" t="s">
        <v>122</v>
      </c>
      <c r="AC6" s="80" t="s">
        <v>78</v>
      </c>
      <c r="AD6" s="78">
        <v>45630</v>
      </c>
      <c r="AE6" s="78">
        <v>45630</v>
      </c>
      <c r="AF6" s="78">
        <v>45630</v>
      </c>
      <c r="AG6" s="78">
        <v>45686</v>
      </c>
      <c r="AH6" s="78"/>
      <c r="AI6" s="78">
        <v>45686</v>
      </c>
      <c r="AJ6" s="75" t="s">
        <v>66</v>
      </c>
      <c r="AK6" s="39" t="s">
        <v>10246</v>
      </c>
      <c r="AL6" s="39"/>
      <c r="AM6" s="39"/>
      <c r="AN6" s="39"/>
      <c r="AO6" s="75">
        <f t="shared" si="2"/>
        <v>57</v>
      </c>
      <c r="AP6" s="39"/>
      <c r="AQ6" s="75"/>
    </row>
    <row r="7" spans="1:43" s="6" customFormat="1" ht="10" hidden="1">
      <c r="A7" s="74" t="s">
        <v>10251</v>
      </c>
      <c r="B7" s="56" t="s">
        <v>67</v>
      </c>
      <c r="C7" s="56" t="s">
        <v>63</v>
      </c>
      <c r="D7" s="56" t="s">
        <v>10252</v>
      </c>
      <c r="E7" s="56"/>
      <c r="F7" s="56"/>
      <c r="G7" s="39"/>
      <c r="H7" s="56"/>
      <c r="I7" s="56" t="s">
        <v>10244</v>
      </c>
      <c r="J7" s="56" t="s">
        <v>170</v>
      </c>
      <c r="K7" s="75">
        <v>552027</v>
      </c>
      <c r="L7" s="56" t="s">
        <v>10245</v>
      </c>
      <c r="M7" s="75">
        <v>545</v>
      </c>
      <c r="N7" s="75">
        <v>66</v>
      </c>
      <c r="O7" s="76">
        <v>3.5970000000000002E-2</v>
      </c>
      <c r="P7" s="75">
        <f t="shared" si="1"/>
        <v>2</v>
      </c>
      <c r="Q7" s="77">
        <v>0.1</v>
      </c>
      <c r="R7" s="56" t="s">
        <v>75</v>
      </c>
      <c r="S7" s="56"/>
      <c r="T7" s="56" t="s">
        <v>2480</v>
      </c>
      <c r="U7" s="56" t="s">
        <v>2480</v>
      </c>
      <c r="V7" s="56"/>
      <c r="W7" s="39"/>
      <c r="X7" s="78">
        <v>45618</v>
      </c>
      <c r="Y7" s="78"/>
      <c r="Z7" s="78"/>
      <c r="AA7" s="39">
        <v>371008129</v>
      </c>
      <c r="AB7" s="79" t="s">
        <v>122</v>
      </c>
      <c r="AC7" s="80" t="s">
        <v>78</v>
      </c>
      <c r="AD7" s="78">
        <v>45630</v>
      </c>
      <c r="AE7" s="78">
        <v>45630</v>
      </c>
      <c r="AF7" s="78">
        <v>45630</v>
      </c>
      <c r="AG7" s="78">
        <v>45686</v>
      </c>
      <c r="AH7" s="78"/>
      <c r="AI7" s="78">
        <v>45686</v>
      </c>
      <c r="AJ7" s="75" t="s">
        <v>66</v>
      </c>
      <c r="AK7" s="39" t="s">
        <v>10246</v>
      </c>
      <c r="AL7" s="39"/>
      <c r="AM7" s="39"/>
      <c r="AN7" s="39"/>
      <c r="AO7" s="75">
        <f t="shared" si="2"/>
        <v>57</v>
      </c>
      <c r="AP7" s="39"/>
      <c r="AQ7" s="75"/>
    </row>
    <row r="8" spans="1:43" s="6" customFormat="1" ht="10" hidden="1">
      <c r="A8" s="74" t="s">
        <v>10253</v>
      </c>
      <c r="B8" s="56" t="s">
        <v>67</v>
      </c>
      <c r="C8" s="56" t="s">
        <v>63</v>
      </c>
      <c r="D8" s="56" t="s">
        <v>10252</v>
      </c>
      <c r="E8" s="56"/>
      <c r="F8" s="56"/>
      <c r="G8" s="39"/>
      <c r="H8" s="56"/>
      <c r="I8" s="56" t="s">
        <v>10244</v>
      </c>
      <c r="J8" s="56" t="s">
        <v>170</v>
      </c>
      <c r="K8" s="75">
        <v>552027</v>
      </c>
      <c r="L8" s="56" t="s">
        <v>10245</v>
      </c>
      <c r="M8" s="75">
        <v>545</v>
      </c>
      <c r="N8" s="75">
        <v>3300</v>
      </c>
      <c r="O8" s="76">
        <v>1.7985</v>
      </c>
      <c r="P8" s="75">
        <f t="shared" si="1"/>
        <v>100</v>
      </c>
      <c r="Q8" s="77">
        <v>5</v>
      </c>
      <c r="R8" s="56" t="s">
        <v>75</v>
      </c>
      <c r="S8" s="56"/>
      <c r="T8" s="56" t="s">
        <v>2480</v>
      </c>
      <c r="U8" s="56" t="s">
        <v>2480</v>
      </c>
      <c r="V8" s="56"/>
      <c r="W8" s="39"/>
      <c r="X8" s="78">
        <v>45618</v>
      </c>
      <c r="Y8" s="78"/>
      <c r="Z8" s="78"/>
      <c r="AA8" s="39">
        <v>371008130</v>
      </c>
      <c r="AB8" s="79" t="s">
        <v>122</v>
      </c>
      <c r="AC8" s="80" t="s">
        <v>78</v>
      </c>
      <c r="AD8" s="78">
        <v>45630</v>
      </c>
      <c r="AE8" s="78">
        <v>45630</v>
      </c>
      <c r="AF8" s="78">
        <v>45630</v>
      </c>
      <c r="AG8" s="78">
        <v>45686</v>
      </c>
      <c r="AH8" s="78"/>
      <c r="AI8" s="78">
        <v>45686</v>
      </c>
      <c r="AJ8" s="75" t="s">
        <v>66</v>
      </c>
      <c r="AK8" s="39" t="s">
        <v>10246</v>
      </c>
      <c r="AL8" s="39"/>
      <c r="AM8" s="39"/>
      <c r="AN8" s="39"/>
      <c r="AO8" s="75">
        <f t="shared" si="2"/>
        <v>57</v>
      </c>
      <c r="AP8" s="39"/>
      <c r="AQ8" s="75"/>
    </row>
    <row r="9" spans="1:43" s="6" customFormat="1" ht="10" hidden="1">
      <c r="A9" s="74" t="s">
        <v>10254</v>
      </c>
      <c r="B9" s="56" t="s">
        <v>67</v>
      </c>
      <c r="C9" s="56" t="s">
        <v>63</v>
      </c>
      <c r="D9" s="56" t="s">
        <v>10250</v>
      </c>
      <c r="E9" s="56"/>
      <c r="F9" s="56"/>
      <c r="G9" s="39"/>
      <c r="H9" s="56"/>
      <c r="I9" s="56" t="s">
        <v>10244</v>
      </c>
      <c r="J9" s="56" t="s">
        <v>170</v>
      </c>
      <c r="K9" s="75">
        <v>552027</v>
      </c>
      <c r="L9" s="56" t="s">
        <v>10245</v>
      </c>
      <c r="M9" s="75">
        <v>545</v>
      </c>
      <c r="N9" s="75">
        <v>1320</v>
      </c>
      <c r="O9" s="76">
        <v>0.71940000000000004</v>
      </c>
      <c r="P9" s="75">
        <f t="shared" si="1"/>
        <v>40</v>
      </c>
      <c r="Q9" s="77">
        <v>2</v>
      </c>
      <c r="R9" s="56" t="s">
        <v>75</v>
      </c>
      <c r="S9" s="56"/>
      <c r="T9" s="56" t="s">
        <v>2480</v>
      </c>
      <c r="U9" s="56" t="s">
        <v>2480</v>
      </c>
      <c r="V9" s="56"/>
      <c r="W9" s="39"/>
      <c r="X9" s="78">
        <v>45618</v>
      </c>
      <c r="Y9" s="78"/>
      <c r="Z9" s="78"/>
      <c r="AA9" s="39">
        <v>371008131</v>
      </c>
      <c r="AB9" s="79" t="s">
        <v>122</v>
      </c>
      <c r="AC9" s="80" t="s">
        <v>78</v>
      </c>
      <c r="AD9" s="78">
        <v>45630</v>
      </c>
      <c r="AE9" s="78">
        <v>45630</v>
      </c>
      <c r="AF9" s="78">
        <v>45630</v>
      </c>
      <c r="AG9" s="78">
        <v>45686</v>
      </c>
      <c r="AH9" s="78"/>
      <c r="AI9" s="78">
        <v>45686</v>
      </c>
      <c r="AJ9" s="75" t="s">
        <v>66</v>
      </c>
      <c r="AK9" s="39" t="s">
        <v>10246</v>
      </c>
      <c r="AL9" s="39"/>
      <c r="AM9" s="39"/>
      <c r="AN9" s="39"/>
      <c r="AO9" s="75">
        <f t="shared" si="2"/>
        <v>57</v>
      </c>
      <c r="AP9" s="39"/>
      <c r="AQ9" s="75"/>
    </row>
    <row r="10" spans="1:43" s="6" customFormat="1" ht="10" hidden="1">
      <c r="A10" s="74" t="s">
        <v>10255</v>
      </c>
      <c r="B10" s="56" t="s">
        <v>67</v>
      </c>
      <c r="C10" s="56" t="s">
        <v>63</v>
      </c>
      <c r="D10" s="56" t="s">
        <v>10250</v>
      </c>
      <c r="E10" s="56"/>
      <c r="F10" s="56"/>
      <c r="G10" s="39"/>
      <c r="H10" s="56"/>
      <c r="I10" s="56" t="s">
        <v>10244</v>
      </c>
      <c r="J10" s="56" t="s">
        <v>550</v>
      </c>
      <c r="K10" s="75">
        <v>553120</v>
      </c>
      <c r="L10" s="56" t="s">
        <v>2700</v>
      </c>
      <c r="M10" s="75">
        <v>500</v>
      </c>
      <c r="N10" s="81">
        <v>720</v>
      </c>
      <c r="O10" s="76">
        <v>0.36</v>
      </c>
      <c r="P10" s="75">
        <f>M10/36</f>
        <v>13.888888888888889</v>
      </c>
      <c r="Q10" s="77">
        <v>0.90909090909090895</v>
      </c>
      <c r="R10" s="56" t="s">
        <v>75</v>
      </c>
      <c r="S10" s="56"/>
      <c r="T10" s="56" t="s">
        <v>2480</v>
      </c>
      <c r="U10" s="56" t="s">
        <v>2480</v>
      </c>
      <c r="V10" s="56"/>
      <c r="W10" s="39" t="s">
        <v>10256</v>
      </c>
      <c r="X10" s="78">
        <v>45645</v>
      </c>
      <c r="Y10" s="78"/>
      <c r="Z10" s="78"/>
      <c r="AA10" s="39">
        <v>371008136</v>
      </c>
      <c r="AB10" s="79" t="s">
        <v>122</v>
      </c>
      <c r="AC10" s="80" t="s">
        <v>356</v>
      </c>
      <c r="AD10" s="78">
        <v>45649</v>
      </c>
      <c r="AE10" s="78">
        <v>45651</v>
      </c>
      <c r="AF10" s="78">
        <v>45651</v>
      </c>
      <c r="AG10" s="78">
        <v>45685</v>
      </c>
      <c r="AH10" s="78">
        <v>45685</v>
      </c>
      <c r="AI10" s="78">
        <v>45686</v>
      </c>
      <c r="AJ10" s="75" t="s">
        <v>66</v>
      </c>
      <c r="AK10" s="39" t="s">
        <v>10257</v>
      </c>
      <c r="AL10" s="39" t="s">
        <v>10258</v>
      </c>
      <c r="AM10" s="39" t="s">
        <v>10259</v>
      </c>
      <c r="AN10" s="39" t="s">
        <v>10260</v>
      </c>
      <c r="AO10" s="75">
        <f t="shared" si="2"/>
        <v>37</v>
      </c>
      <c r="AP10" s="39" t="s">
        <v>2493</v>
      </c>
      <c r="AQ10" s="75" t="s">
        <v>2493</v>
      </c>
    </row>
    <row r="11" spans="1:43" s="6" customFormat="1" ht="10" hidden="1">
      <c r="A11" s="74" t="s">
        <v>10261</v>
      </c>
      <c r="B11" s="56" t="s">
        <v>67</v>
      </c>
      <c r="C11" s="56" t="s">
        <v>63</v>
      </c>
      <c r="D11" s="56" t="s">
        <v>10250</v>
      </c>
      <c r="E11" s="56"/>
      <c r="F11" s="56"/>
      <c r="G11" s="39"/>
      <c r="H11" s="56"/>
      <c r="I11" s="56" t="s">
        <v>10244</v>
      </c>
      <c r="J11" s="56" t="s">
        <v>550</v>
      </c>
      <c r="K11" s="75">
        <v>553120</v>
      </c>
      <c r="L11" s="56" t="s">
        <v>2700</v>
      </c>
      <c r="M11" s="75">
        <v>500</v>
      </c>
      <c r="N11" s="81">
        <v>720</v>
      </c>
      <c r="O11" s="76">
        <v>0.36</v>
      </c>
      <c r="P11" s="75">
        <f>M11/36</f>
        <v>13.888888888888889</v>
      </c>
      <c r="Q11" s="77">
        <v>0.90909090909090895</v>
      </c>
      <c r="R11" s="56" t="s">
        <v>75</v>
      </c>
      <c r="S11" s="56"/>
      <c r="T11" s="56" t="s">
        <v>2480</v>
      </c>
      <c r="U11" s="56" t="s">
        <v>2480</v>
      </c>
      <c r="V11" s="56"/>
      <c r="W11" s="39" t="s">
        <v>10256</v>
      </c>
      <c r="X11" s="78">
        <v>45645</v>
      </c>
      <c r="Y11" s="78"/>
      <c r="Z11" s="78"/>
      <c r="AA11" s="39">
        <v>371008136</v>
      </c>
      <c r="AB11" s="79" t="s">
        <v>122</v>
      </c>
      <c r="AC11" s="80" t="s">
        <v>356</v>
      </c>
      <c r="AD11" s="78">
        <v>45649</v>
      </c>
      <c r="AE11" s="78">
        <v>45651</v>
      </c>
      <c r="AF11" s="78">
        <v>45651</v>
      </c>
      <c r="AG11" s="78">
        <v>45685</v>
      </c>
      <c r="AH11" s="78">
        <v>45685</v>
      </c>
      <c r="AI11" s="78">
        <v>45686</v>
      </c>
      <c r="AJ11" s="75" t="s">
        <v>66</v>
      </c>
      <c r="AK11" s="39" t="s">
        <v>10257</v>
      </c>
      <c r="AL11" s="39" t="s">
        <v>10258</v>
      </c>
      <c r="AM11" s="39" t="s">
        <v>10259</v>
      </c>
      <c r="AN11" s="39" t="s">
        <v>10260</v>
      </c>
      <c r="AO11" s="75">
        <f t="shared" si="2"/>
        <v>37</v>
      </c>
      <c r="AP11" s="39" t="s">
        <v>2493</v>
      </c>
      <c r="AQ11" s="75" t="s">
        <v>2493</v>
      </c>
    </row>
    <row r="12" spans="1:43" s="6" customFormat="1" ht="10" hidden="1">
      <c r="A12" s="74" t="s">
        <v>10262</v>
      </c>
      <c r="B12" s="56" t="s">
        <v>67</v>
      </c>
      <c r="C12" s="56" t="s">
        <v>63</v>
      </c>
      <c r="D12" s="56" t="s">
        <v>10250</v>
      </c>
      <c r="E12" s="56"/>
      <c r="F12" s="56"/>
      <c r="G12" s="39"/>
      <c r="H12" s="56"/>
      <c r="I12" s="56" t="s">
        <v>10244</v>
      </c>
      <c r="J12" s="56" t="s">
        <v>550</v>
      </c>
      <c r="K12" s="75">
        <v>553120</v>
      </c>
      <c r="L12" s="56" t="s">
        <v>2700</v>
      </c>
      <c r="M12" s="75">
        <v>500</v>
      </c>
      <c r="N12" s="81">
        <v>720</v>
      </c>
      <c r="O12" s="76">
        <v>0.36</v>
      </c>
      <c r="P12" s="75">
        <f>M12/36</f>
        <v>13.888888888888889</v>
      </c>
      <c r="Q12" s="77">
        <v>0.90909090909090895</v>
      </c>
      <c r="R12" s="56" t="s">
        <v>75</v>
      </c>
      <c r="S12" s="56"/>
      <c r="T12" s="56" t="s">
        <v>2480</v>
      </c>
      <c r="U12" s="56" t="s">
        <v>2480</v>
      </c>
      <c r="V12" s="56"/>
      <c r="W12" s="39" t="s">
        <v>10256</v>
      </c>
      <c r="X12" s="78">
        <v>45645</v>
      </c>
      <c r="Y12" s="78"/>
      <c r="Z12" s="78"/>
      <c r="AA12" s="39">
        <v>371008136</v>
      </c>
      <c r="AB12" s="79" t="s">
        <v>122</v>
      </c>
      <c r="AC12" s="80" t="s">
        <v>356</v>
      </c>
      <c r="AD12" s="78">
        <v>45649</v>
      </c>
      <c r="AE12" s="78">
        <v>45651</v>
      </c>
      <c r="AF12" s="78">
        <v>45651</v>
      </c>
      <c r="AG12" s="78">
        <v>45685</v>
      </c>
      <c r="AH12" s="78">
        <v>45685</v>
      </c>
      <c r="AI12" s="78">
        <v>45686</v>
      </c>
      <c r="AJ12" s="75" t="s">
        <v>66</v>
      </c>
      <c r="AK12" s="39" t="s">
        <v>10257</v>
      </c>
      <c r="AL12" s="39" t="s">
        <v>10258</v>
      </c>
      <c r="AM12" s="39" t="s">
        <v>10259</v>
      </c>
      <c r="AN12" s="39" t="s">
        <v>10260</v>
      </c>
      <c r="AO12" s="75">
        <f t="shared" si="2"/>
        <v>37</v>
      </c>
      <c r="AP12" s="39" t="s">
        <v>2493</v>
      </c>
      <c r="AQ12" s="75" t="s">
        <v>2493</v>
      </c>
    </row>
    <row r="13" spans="1:43" s="6" customFormat="1" ht="10" hidden="1">
      <c r="A13" s="74" t="s">
        <v>10263</v>
      </c>
      <c r="B13" s="56" t="s">
        <v>67</v>
      </c>
      <c r="C13" s="56" t="s">
        <v>63</v>
      </c>
      <c r="D13" s="56" t="s">
        <v>10250</v>
      </c>
      <c r="E13" s="56"/>
      <c r="F13" s="56"/>
      <c r="G13" s="39"/>
      <c r="H13" s="56"/>
      <c r="I13" s="56" t="s">
        <v>10244</v>
      </c>
      <c r="J13" s="56" t="s">
        <v>550</v>
      </c>
      <c r="K13" s="75">
        <v>553120</v>
      </c>
      <c r="L13" s="56" t="s">
        <v>2700</v>
      </c>
      <c r="M13" s="75">
        <v>500</v>
      </c>
      <c r="N13" s="81">
        <v>208</v>
      </c>
      <c r="O13" s="76">
        <v>0.104</v>
      </c>
      <c r="P13" s="75">
        <f>M13/36</f>
        <v>13.888888888888889</v>
      </c>
      <c r="Q13" s="77">
        <v>0.26262626262626299</v>
      </c>
      <c r="R13" s="56" t="s">
        <v>75</v>
      </c>
      <c r="S13" s="56"/>
      <c r="T13" s="56" t="s">
        <v>2480</v>
      </c>
      <c r="U13" s="56" t="s">
        <v>2480</v>
      </c>
      <c r="V13" s="56"/>
      <c r="W13" s="39" t="s">
        <v>10256</v>
      </c>
      <c r="X13" s="78">
        <v>45645</v>
      </c>
      <c r="Y13" s="78"/>
      <c r="Z13" s="78"/>
      <c r="AA13" s="39">
        <v>371008136</v>
      </c>
      <c r="AB13" s="79" t="s">
        <v>122</v>
      </c>
      <c r="AC13" s="80" t="s">
        <v>356</v>
      </c>
      <c r="AD13" s="78">
        <v>45649</v>
      </c>
      <c r="AE13" s="78">
        <v>45651</v>
      </c>
      <c r="AF13" s="78">
        <v>45651</v>
      </c>
      <c r="AG13" s="78">
        <v>45685</v>
      </c>
      <c r="AH13" s="78">
        <v>45685</v>
      </c>
      <c r="AI13" s="78">
        <v>45686</v>
      </c>
      <c r="AJ13" s="75" t="s">
        <v>66</v>
      </c>
      <c r="AK13" s="39" t="s">
        <v>10257</v>
      </c>
      <c r="AL13" s="39" t="s">
        <v>10258</v>
      </c>
      <c r="AM13" s="39" t="s">
        <v>10259</v>
      </c>
      <c r="AN13" s="39" t="s">
        <v>10260</v>
      </c>
      <c r="AO13" s="75">
        <f t="shared" si="2"/>
        <v>37</v>
      </c>
      <c r="AP13" s="39" t="s">
        <v>2493</v>
      </c>
      <c r="AQ13" s="75" t="s">
        <v>2493</v>
      </c>
    </row>
    <row r="14" spans="1:43" s="6" customFormat="1" ht="10" hidden="1">
      <c r="A14" s="74" t="s">
        <v>10264</v>
      </c>
      <c r="B14" s="56" t="s">
        <v>67</v>
      </c>
      <c r="C14" s="56" t="s">
        <v>63</v>
      </c>
      <c r="D14" s="56" t="s">
        <v>10250</v>
      </c>
      <c r="E14" s="56"/>
      <c r="F14" s="56"/>
      <c r="G14" s="39"/>
      <c r="H14" s="56"/>
      <c r="I14" s="56" t="s">
        <v>10244</v>
      </c>
      <c r="J14" s="56" t="s">
        <v>550</v>
      </c>
      <c r="K14" s="75">
        <v>553120</v>
      </c>
      <c r="L14" s="56" t="s">
        <v>2700</v>
      </c>
      <c r="M14" s="75">
        <v>500</v>
      </c>
      <c r="N14" s="81">
        <v>2348</v>
      </c>
      <c r="O14" s="76">
        <v>1.1739999999999999</v>
      </c>
      <c r="P14" s="75">
        <f>M14/36</f>
        <v>13.888888888888889</v>
      </c>
      <c r="Q14" s="77">
        <v>2.9646464646464601</v>
      </c>
      <c r="R14" s="56" t="s">
        <v>75</v>
      </c>
      <c r="S14" s="56"/>
      <c r="T14" s="56" t="s">
        <v>2480</v>
      </c>
      <c r="U14" s="56" t="s">
        <v>2480</v>
      </c>
      <c r="V14" s="56"/>
      <c r="W14" s="39" t="s">
        <v>10256</v>
      </c>
      <c r="X14" s="78">
        <v>45645</v>
      </c>
      <c r="Y14" s="78"/>
      <c r="Z14" s="78"/>
      <c r="AA14" s="39">
        <v>371008136</v>
      </c>
      <c r="AB14" s="79" t="s">
        <v>122</v>
      </c>
      <c r="AC14" s="80" t="s">
        <v>356</v>
      </c>
      <c r="AD14" s="78">
        <v>45649</v>
      </c>
      <c r="AE14" s="78">
        <v>45651</v>
      </c>
      <c r="AF14" s="78">
        <v>45651</v>
      </c>
      <c r="AG14" s="78">
        <v>45685</v>
      </c>
      <c r="AH14" s="78">
        <v>45685</v>
      </c>
      <c r="AI14" s="78">
        <v>45686</v>
      </c>
      <c r="AJ14" s="75" t="s">
        <v>66</v>
      </c>
      <c r="AK14" s="39" t="s">
        <v>10257</v>
      </c>
      <c r="AL14" s="39" t="s">
        <v>10258</v>
      </c>
      <c r="AM14" s="39" t="s">
        <v>10259</v>
      </c>
      <c r="AN14" s="39" t="s">
        <v>10260</v>
      </c>
      <c r="AO14" s="75">
        <f t="shared" si="2"/>
        <v>37</v>
      </c>
      <c r="AP14" s="39" t="s">
        <v>2493</v>
      </c>
      <c r="AQ14" s="75" t="s">
        <v>2493</v>
      </c>
    </row>
    <row r="15" spans="1:43" s="6" customFormat="1" ht="10" hidden="1">
      <c r="A15" s="74" t="s">
        <v>10265</v>
      </c>
      <c r="B15" s="56" t="s">
        <v>67</v>
      </c>
      <c r="C15" s="56" t="s">
        <v>63</v>
      </c>
      <c r="D15" s="56" t="s">
        <v>10252</v>
      </c>
      <c r="E15" s="56"/>
      <c r="F15" s="56"/>
      <c r="G15" s="39"/>
      <c r="H15" s="56"/>
      <c r="I15" s="56" t="s">
        <v>10244</v>
      </c>
      <c r="J15" s="56" t="s">
        <v>10266</v>
      </c>
      <c r="K15" s="75">
        <v>547867</v>
      </c>
      <c r="L15" s="56" t="s">
        <v>10267</v>
      </c>
      <c r="M15" s="75">
        <v>410</v>
      </c>
      <c r="N15" s="75">
        <v>1728</v>
      </c>
      <c r="O15" s="76">
        <v>0.70848</v>
      </c>
      <c r="P15" s="75">
        <v>48</v>
      </c>
      <c r="Q15" s="77">
        <v>2</v>
      </c>
      <c r="R15" s="56" t="s">
        <v>75</v>
      </c>
      <c r="S15" s="56"/>
      <c r="T15" s="56" t="s">
        <v>2480</v>
      </c>
      <c r="U15" s="56" t="s">
        <v>2480</v>
      </c>
      <c r="V15" s="56"/>
      <c r="W15" s="39" t="s">
        <v>10268</v>
      </c>
      <c r="X15" s="78">
        <v>45650</v>
      </c>
      <c r="Y15" s="78"/>
      <c r="Z15" s="78"/>
      <c r="AA15" s="39">
        <v>371008137</v>
      </c>
      <c r="AB15" s="79" t="s">
        <v>122</v>
      </c>
      <c r="AC15" s="80" t="s">
        <v>356</v>
      </c>
      <c r="AD15" s="78">
        <v>45654</v>
      </c>
      <c r="AE15" s="78">
        <v>45654</v>
      </c>
      <c r="AF15" s="78">
        <v>45654</v>
      </c>
      <c r="AG15" s="78">
        <v>45691</v>
      </c>
      <c r="AH15" s="78">
        <v>45685</v>
      </c>
      <c r="AI15" s="78">
        <v>45697</v>
      </c>
      <c r="AJ15" s="75" t="s">
        <v>66</v>
      </c>
      <c r="AK15" s="39" t="s">
        <v>10269</v>
      </c>
      <c r="AL15" s="39" t="s">
        <v>10270</v>
      </c>
      <c r="AM15" s="39" t="s">
        <v>10271</v>
      </c>
      <c r="AN15" s="39" t="s">
        <v>10272</v>
      </c>
      <c r="AO15" s="75">
        <f t="shared" si="2"/>
        <v>38</v>
      </c>
      <c r="AP15" s="39" t="s">
        <v>2493</v>
      </c>
      <c r="AQ15" s="75" t="s">
        <v>2493</v>
      </c>
    </row>
    <row r="16" spans="1:43" s="6" customFormat="1" ht="10" hidden="1">
      <c r="A16" s="74" t="s">
        <v>10273</v>
      </c>
      <c r="B16" s="56" t="s">
        <v>67</v>
      </c>
      <c r="C16" s="56" t="s">
        <v>63</v>
      </c>
      <c r="D16" s="56" t="s">
        <v>156</v>
      </c>
      <c r="E16" s="56"/>
      <c r="F16" s="56"/>
      <c r="G16" s="39"/>
      <c r="H16" s="56"/>
      <c r="I16" s="56" t="s">
        <v>10244</v>
      </c>
      <c r="J16" s="56" t="s">
        <v>170</v>
      </c>
      <c r="K16" s="75">
        <v>552026</v>
      </c>
      <c r="L16" s="56" t="s">
        <v>463</v>
      </c>
      <c r="M16" s="75">
        <v>550</v>
      </c>
      <c r="N16" s="75">
        <v>4620</v>
      </c>
      <c r="O16" s="76">
        <v>2.5409999999999999</v>
      </c>
      <c r="P16" s="75">
        <f>N16/33</f>
        <v>140</v>
      </c>
      <c r="Q16" s="77">
        <v>7</v>
      </c>
      <c r="R16" s="56" t="s">
        <v>75</v>
      </c>
      <c r="S16" s="56"/>
      <c r="T16" s="56" t="s">
        <v>2480</v>
      </c>
      <c r="U16" s="56" t="s">
        <v>2480</v>
      </c>
      <c r="V16" s="56"/>
      <c r="W16" s="39" t="s">
        <v>10274</v>
      </c>
      <c r="X16" s="78">
        <v>45645</v>
      </c>
      <c r="Y16" s="78"/>
      <c r="Z16" s="78"/>
      <c r="AA16" s="39">
        <v>371008116</v>
      </c>
      <c r="AB16" s="79" t="s">
        <v>122</v>
      </c>
      <c r="AC16" s="80" t="s">
        <v>10275</v>
      </c>
      <c r="AD16" s="78">
        <v>45649</v>
      </c>
      <c r="AE16" s="78">
        <v>45659</v>
      </c>
      <c r="AF16" s="78">
        <v>45659</v>
      </c>
      <c r="AG16" s="78">
        <v>45708</v>
      </c>
      <c r="AH16" s="78">
        <v>45738</v>
      </c>
      <c r="AI16" s="78">
        <v>45738</v>
      </c>
      <c r="AJ16" s="75" t="s">
        <v>156</v>
      </c>
      <c r="AK16" s="39" t="s">
        <v>10276</v>
      </c>
      <c r="AL16" s="39" t="s">
        <v>10277</v>
      </c>
      <c r="AM16" s="39">
        <v>1063823207</v>
      </c>
      <c r="AN16" s="39" t="s">
        <v>10278</v>
      </c>
      <c r="AO16" s="75">
        <f t="shared" si="2"/>
        <v>60</v>
      </c>
      <c r="AP16" s="39" t="s">
        <v>2493</v>
      </c>
      <c r="AQ16" s="75" t="s">
        <v>2493</v>
      </c>
    </row>
    <row r="17" spans="1:43" s="6" customFormat="1" ht="10" hidden="1">
      <c r="A17" s="74" t="s">
        <v>10279</v>
      </c>
      <c r="B17" s="56" t="s">
        <v>67</v>
      </c>
      <c r="C17" s="56" t="s">
        <v>63</v>
      </c>
      <c r="D17" s="56" t="s">
        <v>156</v>
      </c>
      <c r="E17" s="56"/>
      <c r="F17" s="56"/>
      <c r="G17" s="39"/>
      <c r="H17" s="56"/>
      <c r="I17" s="56" t="s">
        <v>10244</v>
      </c>
      <c r="J17" s="56" t="s">
        <v>170</v>
      </c>
      <c r="K17" s="75">
        <v>552026</v>
      </c>
      <c r="L17" s="56" t="s">
        <v>463</v>
      </c>
      <c r="M17" s="75">
        <v>550</v>
      </c>
      <c r="N17" s="75">
        <v>17160</v>
      </c>
      <c r="O17" s="76">
        <v>9.4380000000000006</v>
      </c>
      <c r="P17" s="75">
        <f>N17/33</f>
        <v>520</v>
      </c>
      <c r="Q17" s="77">
        <v>26</v>
      </c>
      <c r="R17" s="56" t="s">
        <v>75</v>
      </c>
      <c r="S17" s="56"/>
      <c r="T17" s="56" t="s">
        <v>2480</v>
      </c>
      <c r="U17" s="56" t="s">
        <v>2480</v>
      </c>
      <c r="V17" s="56"/>
      <c r="W17" s="39" t="s">
        <v>10274</v>
      </c>
      <c r="X17" s="78">
        <v>45660</v>
      </c>
      <c r="Y17" s="78"/>
      <c r="Z17" s="78"/>
      <c r="AA17" s="39">
        <v>371008115</v>
      </c>
      <c r="AB17" s="79" t="s">
        <v>122</v>
      </c>
      <c r="AC17" s="80" t="s">
        <v>10280</v>
      </c>
      <c r="AD17" s="78">
        <v>45666</v>
      </c>
      <c r="AE17" s="78">
        <v>45672</v>
      </c>
      <c r="AF17" s="78">
        <v>45666</v>
      </c>
      <c r="AG17" s="78">
        <v>45718</v>
      </c>
      <c r="AH17" s="78">
        <v>45745</v>
      </c>
      <c r="AI17" s="78">
        <v>45742</v>
      </c>
      <c r="AJ17" s="75" t="s">
        <v>156</v>
      </c>
      <c r="AK17" s="39" t="s">
        <v>10281</v>
      </c>
      <c r="AL17" s="39" t="s">
        <v>10282</v>
      </c>
      <c r="AM17" s="39">
        <v>1064000730</v>
      </c>
      <c r="AN17" s="39" t="s">
        <v>10283</v>
      </c>
      <c r="AO17" s="75">
        <f t="shared" si="2"/>
        <v>53</v>
      </c>
      <c r="AP17" s="39" t="s">
        <v>2493</v>
      </c>
      <c r="AQ17" s="75" t="s">
        <v>2493</v>
      </c>
    </row>
    <row r="18" spans="1:43" s="6" customFormat="1" ht="10" hidden="1">
      <c r="A18" s="74" t="s">
        <v>10284</v>
      </c>
      <c r="B18" s="56" t="s">
        <v>67</v>
      </c>
      <c r="C18" s="56" t="s">
        <v>63</v>
      </c>
      <c r="D18" s="56" t="s">
        <v>10250</v>
      </c>
      <c r="E18" s="56"/>
      <c r="F18" s="56"/>
      <c r="G18" s="39"/>
      <c r="H18" s="56"/>
      <c r="I18" s="56" t="s">
        <v>10244</v>
      </c>
      <c r="J18" s="56" t="s">
        <v>550</v>
      </c>
      <c r="K18" s="75">
        <v>553118</v>
      </c>
      <c r="L18" s="56" t="s">
        <v>552</v>
      </c>
      <c r="M18" s="75">
        <v>510</v>
      </c>
      <c r="N18" s="75">
        <v>1584</v>
      </c>
      <c r="O18" s="76">
        <f t="shared" ref="O18:O47" si="3">N18*M18/10^6</f>
        <v>0.80784</v>
      </c>
      <c r="P18" s="75">
        <f>N18/36</f>
        <v>44</v>
      </c>
      <c r="Q18" s="77">
        <f>N18/792</f>
        <v>2</v>
      </c>
      <c r="R18" s="56" t="s">
        <v>75</v>
      </c>
      <c r="S18" s="56"/>
      <c r="T18" s="56" t="s">
        <v>2480</v>
      </c>
      <c r="U18" s="56" t="s">
        <v>2480</v>
      </c>
      <c r="V18" s="56"/>
      <c r="W18" s="39" t="s">
        <v>10285</v>
      </c>
      <c r="X18" s="78">
        <v>45671</v>
      </c>
      <c r="Y18" s="78"/>
      <c r="Z18" s="78"/>
      <c r="AA18" s="39">
        <v>371008157</v>
      </c>
      <c r="AB18" s="79" t="s">
        <v>122</v>
      </c>
      <c r="AC18" s="80" t="s">
        <v>105</v>
      </c>
      <c r="AD18" s="78">
        <v>45676</v>
      </c>
      <c r="AE18" s="78">
        <v>45677</v>
      </c>
      <c r="AF18" s="78">
        <v>45677</v>
      </c>
      <c r="AG18" s="78">
        <v>45717</v>
      </c>
      <c r="AH18" s="78">
        <v>45718</v>
      </c>
      <c r="AI18" s="78">
        <v>45726</v>
      </c>
      <c r="AJ18" s="75" t="s">
        <v>66</v>
      </c>
      <c r="AK18" s="39" t="s">
        <v>10286</v>
      </c>
      <c r="AL18" s="39" t="s">
        <v>10287</v>
      </c>
      <c r="AM18" s="39" t="s">
        <v>10288</v>
      </c>
      <c r="AN18" s="39" t="s">
        <v>10289</v>
      </c>
      <c r="AO18" s="75">
        <f t="shared" si="2"/>
        <v>42</v>
      </c>
      <c r="AP18" s="39" t="s">
        <v>2493</v>
      </c>
      <c r="AQ18" s="75" t="s">
        <v>2493</v>
      </c>
    </row>
    <row r="19" spans="1:43" s="6" customFormat="1" ht="10" hidden="1">
      <c r="A19" s="74" t="s">
        <v>10290</v>
      </c>
      <c r="B19" s="56" t="s">
        <v>67</v>
      </c>
      <c r="C19" s="56" t="s">
        <v>63</v>
      </c>
      <c r="D19" s="56" t="s">
        <v>10250</v>
      </c>
      <c r="E19" s="56"/>
      <c r="F19" s="56"/>
      <c r="G19" s="39"/>
      <c r="H19" s="56"/>
      <c r="I19" s="56" t="s">
        <v>10244</v>
      </c>
      <c r="J19" s="56" t="s">
        <v>550</v>
      </c>
      <c r="K19" s="75">
        <v>553118</v>
      </c>
      <c r="L19" s="56" t="s">
        <v>552</v>
      </c>
      <c r="M19" s="75">
        <v>510</v>
      </c>
      <c r="N19" s="75">
        <v>792</v>
      </c>
      <c r="O19" s="76">
        <f t="shared" si="3"/>
        <v>0.40392</v>
      </c>
      <c r="P19" s="75">
        <f>N19/36</f>
        <v>22</v>
      </c>
      <c r="Q19" s="77">
        <f>N19/792</f>
        <v>1</v>
      </c>
      <c r="R19" s="56" t="s">
        <v>75</v>
      </c>
      <c r="S19" s="56"/>
      <c r="T19" s="56" t="s">
        <v>2480</v>
      </c>
      <c r="U19" s="56" t="s">
        <v>2480</v>
      </c>
      <c r="V19" s="56"/>
      <c r="W19" s="39" t="s">
        <v>10291</v>
      </c>
      <c r="X19" s="78">
        <v>45671</v>
      </c>
      <c r="Y19" s="78"/>
      <c r="Z19" s="78"/>
      <c r="AA19" s="39">
        <v>371008157</v>
      </c>
      <c r="AB19" s="79" t="s">
        <v>122</v>
      </c>
      <c r="AC19" s="80" t="s">
        <v>105</v>
      </c>
      <c r="AD19" s="78">
        <v>45677</v>
      </c>
      <c r="AE19" s="78">
        <v>45677</v>
      </c>
      <c r="AF19" s="78">
        <v>45677</v>
      </c>
      <c r="AG19" s="78">
        <v>45726</v>
      </c>
      <c r="AH19" s="78">
        <v>45718</v>
      </c>
      <c r="AI19" s="78">
        <v>45726</v>
      </c>
      <c r="AJ19" s="75" t="s">
        <v>66</v>
      </c>
      <c r="AK19" s="39" t="s">
        <v>10286</v>
      </c>
      <c r="AL19" s="39" t="s">
        <v>10287</v>
      </c>
      <c r="AM19" s="39" t="s">
        <v>10288</v>
      </c>
      <c r="AN19" s="39" t="s">
        <v>10289</v>
      </c>
      <c r="AO19" s="75">
        <f t="shared" si="2"/>
        <v>50</v>
      </c>
      <c r="AP19" s="39" t="s">
        <v>2493</v>
      </c>
      <c r="AQ19" s="75" t="s">
        <v>2493</v>
      </c>
    </row>
    <row r="20" spans="1:43" s="6" customFormat="1" ht="10" hidden="1">
      <c r="A20" s="74" t="s">
        <v>10292</v>
      </c>
      <c r="B20" s="56" t="s">
        <v>67</v>
      </c>
      <c r="C20" s="56" t="s">
        <v>63</v>
      </c>
      <c r="D20" s="56" t="s">
        <v>10250</v>
      </c>
      <c r="E20" s="56"/>
      <c r="F20" s="56"/>
      <c r="G20" s="39"/>
      <c r="H20" s="56"/>
      <c r="I20" s="56" t="s">
        <v>10244</v>
      </c>
      <c r="J20" s="56" t="s">
        <v>550</v>
      </c>
      <c r="K20" s="75">
        <v>553120</v>
      </c>
      <c r="L20" s="56" t="s">
        <v>2700</v>
      </c>
      <c r="M20" s="75">
        <v>500</v>
      </c>
      <c r="N20" s="75">
        <v>7920</v>
      </c>
      <c r="O20" s="76">
        <f t="shared" si="3"/>
        <v>3.96</v>
      </c>
      <c r="P20" s="75">
        <f>N20/36</f>
        <v>220</v>
      </c>
      <c r="Q20" s="77">
        <f>N20/792</f>
        <v>10</v>
      </c>
      <c r="R20" s="56" t="s">
        <v>75</v>
      </c>
      <c r="S20" s="56"/>
      <c r="T20" s="56" t="s">
        <v>2480</v>
      </c>
      <c r="U20" s="56" t="s">
        <v>2480</v>
      </c>
      <c r="V20" s="56"/>
      <c r="W20" s="39" t="s">
        <v>10291</v>
      </c>
      <c r="X20" s="78">
        <v>45671</v>
      </c>
      <c r="Y20" s="78"/>
      <c r="Z20" s="78"/>
      <c r="AA20" s="39">
        <v>371008155</v>
      </c>
      <c r="AB20" s="79" t="s">
        <v>122</v>
      </c>
      <c r="AC20" s="80" t="s">
        <v>356</v>
      </c>
      <c r="AD20" s="78">
        <v>45677</v>
      </c>
      <c r="AE20" s="78">
        <v>45677</v>
      </c>
      <c r="AF20" s="78">
        <v>45677</v>
      </c>
      <c r="AG20" s="78">
        <v>45721</v>
      </c>
      <c r="AH20" s="78">
        <v>45721</v>
      </c>
      <c r="AI20" s="78">
        <v>45721</v>
      </c>
      <c r="AJ20" s="75" t="s">
        <v>66</v>
      </c>
      <c r="AK20" s="39" t="s">
        <v>10286</v>
      </c>
      <c r="AL20" s="39" t="s">
        <v>10293</v>
      </c>
      <c r="AM20" s="39" t="s">
        <v>10294</v>
      </c>
      <c r="AN20" s="39" t="s">
        <v>10295</v>
      </c>
      <c r="AO20" s="75">
        <f t="shared" si="2"/>
        <v>45</v>
      </c>
      <c r="AP20" s="39" t="s">
        <v>2493</v>
      </c>
      <c r="AQ20" s="75" t="s">
        <v>2493</v>
      </c>
    </row>
    <row r="21" spans="1:43" s="6" customFormat="1" ht="10" hidden="1">
      <c r="A21" s="74" t="s">
        <v>10296</v>
      </c>
      <c r="B21" s="56" t="s">
        <v>67</v>
      </c>
      <c r="C21" s="56" t="s">
        <v>63</v>
      </c>
      <c r="D21" s="56" t="s">
        <v>10252</v>
      </c>
      <c r="E21" s="56"/>
      <c r="F21" s="56"/>
      <c r="G21" s="39"/>
      <c r="H21" s="56"/>
      <c r="I21" s="56" t="s">
        <v>10244</v>
      </c>
      <c r="J21" s="56" t="s">
        <v>170</v>
      </c>
      <c r="K21" s="75">
        <v>552028</v>
      </c>
      <c r="L21" s="56" t="s">
        <v>10297</v>
      </c>
      <c r="M21" s="75">
        <v>540</v>
      </c>
      <c r="N21" s="75">
        <v>3960</v>
      </c>
      <c r="O21" s="76">
        <f t="shared" si="3"/>
        <v>2.1383999999999999</v>
      </c>
      <c r="P21" s="75">
        <f>N21/33</f>
        <v>120</v>
      </c>
      <c r="Q21" s="77">
        <f>N21/660</f>
        <v>6</v>
      </c>
      <c r="R21" s="56" t="s">
        <v>75</v>
      </c>
      <c r="S21" s="56"/>
      <c r="T21" s="56" t="s">
        <v>2480</v>
      </c>
      <c r="U21" s="56" t="s">
        <v>2480</v>
      </c>
      <c r="V21" s="56"/>
      <c r="W21" s="39" t="s">
        <v>10298</v>
      </c>
      <c r="X21" s="78">
        <v>45671</v>
      </c>
      <c r="Y21" s="78"/>
      <c r="Z21" s="78"/>
      <c r="AA21" s="39">
        <v>371008138</v>
      </c>
      <c r="AB21" s="79" t="s">
        <v>122</v>
      </c>
      <c r="AC21" s="80" t="s">
        <v>356</v>
      </c>
      <c r="AD21" s="78">
        <v>45677</v>
      </c>
      <c r="AE21" s="78">
        <v>45677</v>
      </c>
      <c r="AF21" s="78">
        <v>45677</v>
      </c>
      <c r="AG21" s="78">
        <v>45721</v>
      </c>
      <c r="AH21" s="78">
        <v>45721</v>
      </c>
      <c r="AI21" s="78">
        <v>45721</v>
      </c>
      <c r="AJ21" s="75" t="s">
        <v>66</v>
      </c>
      <c r="AK21" s="39" t="s">
        <v>10286</v>
      </c>
      <c r="AL21" s="39" t="s">
        <v>10293</v>
      </c>
      <c r="AM21" s="39" t="s">
        <v>10294</v>
      </c>
      <c r="AN21" s="39" t="s">
        <v>10295</v>
      </c>
      <c r="AO21" s="75">
        <f t="shared" si="2"/>
        <v>45</v>
      </c>
      <c r="AP21" s="39" t="s">
        <v>2493</v>
      </c>
      <c r="AQ21" s="75" t="s">
        <v>2493</v>
      </c>
    </row>
    <row r="22" spans="1:43" s="6" customFormat="1" ht="10" hidden="1">
      <c r="A22" s="74" t="s">
        <v>10299</v>
      </c>
      <c r="B22" s="56" t="s">
        <v>67</v>
      </c>
      <c r="C22" s="56" t="s">
        <v>63</v>
      </c>
      <c r="D22" s="56" t="s">
        <v>10252</v>
      </c>
      <c r="E22" s="56"/>
      <c r="F22" s="56"/>
      <c r="G22" s="39"/>
      <c r="H22" s="56"/>
      <c r="I22" s="56" t="s">
        <v>10244</v>
      </c>
      <c r="J22" s="56" t="s">
        <v>170</v>
      </c>
      <c r="K22" s="75">
        <v>552026</v>
      </c>
      <c r="L22" s="56" t="s">
        <v>463</v>
      </c>
      <c r="M22" s="75">
        <v>550</v>
      </c>
      <c r="N22" s="75">
        <v>1980</v>
      </c>
      <c r="O22" s="76">
        <f t="shared" si="3"/>
        <v>1.089</v>
      </c>
      <c r="P22" s="75">
        <f>N22/33</f>
        <v>60</v>
      </c>
      <c r="Q22" s="77">
        <f>N22/660</f>
        <v>3</v>
      </c>
      <c r="R22" s="56" t="s">
        <v>75</v>
      </c>
      <c r="S22" s="56"/>
      <c r="T22" s="56" t="s">
        <v>2480</v>
      </c>
      <c r="U22" s="56" t="s">
        <v>2480</v>
      </c>
      <c r="V22" s="56"/>
      <c r="W22" s="39" t="s">
        <v>10300</v>
      </c>
      <c r="X22" s="78">
        <v>45671</v>
      </c>
      <c r="Y22" s="78"/>
      <c r="Z22" s="78"/>
      <c r="AA22" s="39">
        <v>371008138</v>
      </c>
      <c r="AB22" s="79" t="s">
        <v>122</v>
      </c>
      <c r="AC22" s="80" t="s">
        <v>356</v>
      </c>
      <c r="AD22" s="78">
        <v>45677</v>
      </c>
      <c r="AE22" s="78">
        <v>45677</v>
      </c>
      <c r="AF22" s="78">
        <v>45677</v>
      </c>
      <c r="AG22" s="78">
        <v>45721</v>
      </c>
      <c r="AH22" s="78">
        <v>45721</v>
      </c>
      <c r="AI22" s="78">
        <v>45721</v>
      </c>
      <c r="AJ22" s="75" t="s">
        <v>66</v>
      </c>
      <c r="AK22" s="39" t="s">
        <v>10286</v>
      </c>
      <c r="AL22" s="39" t="s">
        <v>10293</v>
      </c>
      <c r="AM22" s="39" t="s">
        <v>10294</v>
      </c>
      <c r="AN22" s="39" t="s">
        <v>10295</v>
      </c>
      <c r="AO22" s="75">
        <f t="shared" si="2"/>
        <v>45</v>
      </c>
      <c r="AP22" s="39" t="s">
        <v>2493</v>
      </c>
      <c r="AQ22" s="75" t="s">
        <v>2493</v>
      </c>
    </row>
    <row r="23" spans="1:43" s="6" customFormat="1" ht="10" hidden="1">
      <c r="A23" s="74" t="s">
        <v>10301</v>
      </c>
      <c r="B23" s="56" t="s">
        <v>67</v>
      </c>
      <c r="C23" s="56" t="s">
        <v>63</v>
      </c>
      <c r="D23" s="56" t="s">
        <v>10252</v>
      </c>
      <c r="E23" s="56"/>
      <c r="F23" s="56"/>
      <c r="G23" s="39"/>
      <c r="H23" s="56"/>
      <c r="I23" s="56" t="s">
        <v>10244</v>
      </c>
      <c r="J23" s="56" t="s">
        <v>170</v>
      </c>
      <c r="K23" s="75">
        <v>552045</v>
      </c>
      <c r="L23" s="56" t="s">
        <v>172</v>
      </c>
      <c r="M23" s="75">
        <v>555</v>
      </c>
      <c r="N23" s="75">
        <v>1947</v>
      </c>
      <c r="O23" s="76">
        <f t="shared" si="3"/>
        <v>1.0805849999999999</v>
      </c>
      <c r="P23" s="75">
        <f>N23/33</f>
        <v>59</v>
      </c>
      <c r="Q23" s="77">
        <f>N23/660</f>
        <v>2.95</v>
      </c>
      <c r="R23" s="56" t="s">
        <v>75</v>
      </c>
      <c r="S23" s="56"/>
      <c r="T23" s="56" t="s">
        <v>2480</v>
      </c>
      <c r="U23" s="56" t="s">
        <v>2480</v>
      </c>
      <c r="V23" s="56"/>
      <c r="W23" s="39" t="s">
        <v>10298</v>
      </c>
      <c r="X23" s="78">
        <v>45671</v>
      </c>
      <c r="Y23" s="78"/>
      <c r="Z23" s="78"/>
      <c r="AA23" s="39">
        <v>371008138</v>
      </c>
      <c r="AB23" s="79" t="s">
        <v>122</v>
      </c>
      <c r="AC23" s="80" t="s">
        <v>356</v>
      </c>
      <c r="AD23" s="78">
        <v>45677</v>
      </c>
      <c r="AE23" s="78">
        <v>45677</v>
      </c>
      <c r="AF23" s="78">
        <v>45677</v>
      </c>
      <c r="AG23" s="78">
        <v>45721</v>
      </c>
      <c r="AH23" s="78">
        <v>45721</v>
      </c>
      <c r="AI23" s="78">
        <v>45721</v>
      </c>
      <c r="AJ23" s="75" t="s">
        <v>66</v>
      </c>
      <c r="AK23" s="39" t="s">
        <v>10286</v>
      </c>
      <c r="AL23" s="39" t="s">
        <v>10293</v>
      </c>
      <c r="AM23" s="39" t="s">
        <v>10294</v>
      </c>
      <c r="AN23" s="39" t="s">
        <v>10295</v>
      </c>
      <c r="AO23" s="75">
        <f t="shared" si="2"/>
        <v>45</v>
      </c>
      <c r="AP23" s="39" t="s">
        <v>2493</v>
      </c>
      <c r="AQ23" s="75" t="s">
        <v>2493</v>
      </c>
    </row>
    <row r="24" spans="1:43" s="6" customFormat="1" ht="10" hidden="1">
      <c r="A24" s="74" t="s">
        <v>10302</v>
      </c>
      <c r="B24" s="56" t="s">
        <v>67</v>
      </c>
      <c r="C24" s="56" t="s">
        <v>63</v>
      </c>
      <c r="D24" s="56" t="s">
        <v>10250</v>
      </c>
      <c r="E24" s="56"/>
      <c r="F24" s="56"/>
      <c r="G24" s="39"/>
      <c r="H24" s="56"/>
      <c r="I24" s="56" t="s">
        <v>10244</v>
      </c>
      <c r="J24" s="56" t="s">
        <v>550</v>
      </c>
      <c r="K24" s="75">
        <v>553120</v>
      </c>
      <c r="L24" s="56" t="s">
        <v>2700</v>
      </c>
      <c r="M24" s="75">
        <v>500</v>
      </c>
      <c r="N24" s="75">
        <v>2376</v>
      </c>
      <c r="O24" s="76">
        <f t="shared" si="3"/>
        <v>1.1879999999999999</v>
      </c>
      <c r="P24" s="75">
        <f>N24/36</f>
        <v>66</v>
      </c>
      <c r="Q24" s="77">
        <f>N24/792</f>
        <v>3</v>
      </c>
      <c r="R24" s="56" t="s">
        <v>75</v>
      </c>
      <c r="S24" s="56"/>
      <c r="T24" s="56" t="s">
        <v>2480</v>
      </c>
      <c r="U24" s="56" t="s">
        <v>2480</v>
      </c>
      <c r="V24" s="56"/>
      <c r="W24" s="39" t="s">
        <v>10291</v>
      </c>
      <c r="X24" s="78">
        <v>45673</v>
      </c>
      <c r="Y24" s="78"/>
      <c r="Z24" s="78"/>
      <c r="AA24" s="39">
        <v>371008155</v>
      </c>
      <c r="AB24" s="79" t="s">
        <v>122</v>
      </c>
      <c r="AC24" s="80" t="s">
        <v>356</v>
      </c>
      <c r="AD24" s="78">
        <v>45679</v>
      </c>
      <c r="AE24" s="78">
        <v>45679</v>
      </c>
      <c r="AF24" s="78">
        <v>45679</v>
      </c>
      <c r="AG24" s="78">
        <v>45731</v>
      </c>
      <c r="AH24" s="78">
        <v>45729</v>
      </c>
      <c r="AI24" s="78">
        <v>45731</v>
      </c>
      <c r="AJ24" s="75" t="s">
        <v>66</v>
      </c>
      <c r="AK24" s="39" t="s">
        <v>10303</v>
      </c>
      <c r="AL24" s="39" t="s">
        <v>10304</v>
      </c>
      <c r="AM24" s="39" t="s">
        <v>10305</v>
      </c>
      <c r="AN24" s="39">
        <v>285369343</v>
      </c>
      <c r="AO24" s="75">
        <f t="shared" si="2"/>
        <v>53</v>
      </c>
      <c r="AP24" s="39" t="s">
        <v>2493</v>
      </c>
      <c r="AQ24" s="75" t="s">
        <v>2493</v>
      </c>
    </row>
    <row r="25" spans="1:43" s="6" customFormat="1" ht="10" hidden="1">
      <c r="A25" s="74" t="s">
        <v>10306</v>
      </c>
      <c r="B25" s="56" t="s">
        <v>67</v>
      </c>
      <c r="C25" s="56" t="s">
        <v>63</v>
      </c>
      <c r="D25" s="56" t="s">
        <v>10252</v>
      </c>
      <c r="E25" s="56"/>
      <c r="F25" s="56"/>
      <c r="G25" s="39"/>
      <c r="H25" s="56"/>
      <c r="I25" s="56" t="s">
        <v>10244</v>
      </c>
      <c r="J25" s="56" t="s">
        <v>170</v>
      </c>
      <c r="K25" s="75">
        <v>552027</v>
      </c>
      <c r="L25" s="56" t="s">
        <v>10245</v>
      </c>
      <c r="M25" s="75">
        <v>545</v>
      </c>
      <c r="N25" s="75">
        <v>19800</v>
      </c>
      <c r="O25" s="76">
        <f t="shared" si="3"/>
        <v>10.791</v>
      </c>
      <c r="P25" s="75">
        <f>N25/33</f>
        <v>600</v>
      </c>
      <c r="Q25" s="77">
        <f>N25/660</f>
        <v>30</v>
      </c>
      <c r="R25" s="56" t="s">
        <v>75</v>
      </c>
      <c r="S25" s="56"/>
      <c r="T25" s="56" t="s">
        <v>2480</v>
      </c>
      <c r="U25" s="56" t="s">
        <v>2480</v>
      </c>
      <c r="V25" s="56"/>
      <c r="W25" s="39" t="s">
        <v>10298</v>
      </c>
      <c r="X25" s="78">
        <v>45673</v>
      </c>
      <c r="Y25" s="78"/>
      <c r="Z25" s="78"/>
      <c r="AA25" s="39">
        <v>371008138</v>
      </c>
      <c r="AB25" s="79" t="s">
        <v>122</v>
      </c>
      <c r="AC25" s="80" t="s">
        <v>356</v>
      </c>
      <c r="AD25" s="78">
        <v>45679</v>
      </c>
      <c r="AE25" s="78">
        <v>45679</v>
      </c>
      <c r="AF25" s="78">
        <v>45679</v>
      </c>
      <c r="AG25" s="78">
        <v>45731</v>
      </c>
      <c r="AH25" s="78">
        <v>45729</v>
      </c>
      <c r="AI25" s="78">
        <v>45731</v>
      </c>
      <c r="AJ25" s="75" t="s">
        <v>66</v>
      </c>
      <c r="AK25" s="39" t="s">
        <v>10303</v>
      </c>
      <c r="AL25" s="39" t="s">
        <v>10304</v>
      </c>
      <c r="AM25" s="39" t="s">
        <v>10305</v>
      </c>
      <c r="AN25" s="39">
        <v>285369343</v>
      </c>
      <c r="AO25" s="75">
        <f t="shared" si="2"/>
        <v>53</v>
      </c>
      <c r="AP25" s="39" t="s">
        <v>2493</v>
      </c>
      <c r="AQ25" s="75" t="s">
        <v>2493</v>
      </c>
    </row>
    <row r="26" spans="1:43" s="6" customFormat="1" ht="10" hidden="1">
      <c r="A26" s="74" t="s">
        <v>10307</v>
      </c>
      <c r="B26" s="56" t="s">
        <v>67</v>
      </c>
      <c r="C26" s="56" t="s">
        <v>63</v>
      </c>
      <c r="D26" s="56" t="s">
        <v>10252</v>
      </c>
      <c r="E26" s="56"/>
      <c r="F26" s="56"/>
      <c r="G26" s="39"/>
      <c r="H26" s="56"/>
      <c r="I26" s="56" t="s">
        <v>10244</v>
      </c>
      <c r="J26" s="56" t="s">
        <v>170</v>
      </c>
      <c r="K26" s="75">
        <v>552027</v>
      </c>
      <c r="L26" s="56" t="s">
        <v>10245</v>
      </c>
      <c r="M26" s="75">
        <v>545</v>
      </c>
      <c r="N26" s="75">
        <v>6600</v>
      </c>
      <c r="O26" s="76">
        <f t="shared" si="3"/>
        <v>3.597</v>
      </c>
      <c r="P26" s="75">
        <f>N26/33</f>
        <v>200</v>
      </c>
      <c r="Q26" s="77">
        <f>N26/660</f>
        <v>10</v>
      </c>
      <c r="R26" s="56" t="s">
        <v>75</v>
      </c>
      <c r="S26" s="56"/>
      <c r="T26" s="56" t="s">
        <v>2480</v>
      </c>
      <c r="U26" s="56" t="s">
        <v>2480</v>
      </c>
      <c r="V26" s="56"/>
      <c r="W26" s="39" t="s">
        <v>10298</v>
      </c>
      <c r="X26" s="78">
        <v>45677</v>
      </c>
      <c r="Y26" s="78"/>
      <c r="Z26" s="78"/>
      <c r="AA26" s="39">
        <v>371008160</v>
      </c>
      <c r="AB26" s="79" t="s">
        <v>122</v>
      </c>
      <c r="AC26" s="80" t="s">
        <v>78</v>
      </c>
      <c r="AD26" s="78">
        <v>45683</v>
      </c>
      <c r="AE26" s="78">
        <v>45683</v>
      </c>
      <c r="AF26" s="78">
        <v>45683</v>
      </c>
      <c r="AG26" s="78">
        <v>45737</v>
      </c>
      <c r="AH26" s="78">
        <v>45737</v>
      </c>
      <c r="AI26" s="78">
        <v>45737</v>
      </c>
      <c r="AJ26" s="75" t="s">
        <v>66</v>
      </c>
      <c r="AK26" s="39" t="s">
        <v>10308</v>
      </c>
      <c r="AL26" s="39" t="s">
        <v>10309</v>
      </c>
      <c r="AM26" s="39">
        <v>248809625</v>
      </c>
      <c r="AN26" s="39">
        <v>248809625</v>
      </c>
      <c r="AO26" s="75">
        <f t="shared" si="2"/>
        <v>55</v>
      </c>
      <c r="AP26" s="39" t="s">
        <v>2493</v>
      </c>
      <c r="AQ26" s="75" t="s">
        <v>2493</v>
      </c>
    </row>
    <row r="27" spans="1:43" s="6" customFormat="1" ht="10" hidden="1">
      <c r="A27" s="74" t="s">
        <v>10310</v>
      </c>
      <c r="B27" s="56" t="s">
        <v>67</v>
      </c>
      <c r="C27" s="56" t="s">
        <v>63</v>
      </c>
      <c r="D27" s="56" t="s">
        <v>10250</v>
      </c>
      <c r="E27" s="56"/>
      <c r="F27" s="56"/>
      <c r="G27" s="39"/>
      <c r="H27" s="56"/>
      <c r="I27" s="56" t="s">
        <v>10244</v>
      </c>
      <c r="J27" s="56" t="s">
        <v>550</v>
      </c>
      <c r="K27" s="75">
        <v>553120</v>
      </c>
      <c r="L27" s="56" t="s">
        <v>2700</v>
      </c>
      <c r="M27" s="75">
        <v>500</v>
      </c>
      <c r="N27" s="75">
        <v>7128</v>
      </c>
      <c r="O27" s="76">
        <f t="shared" si="3"/>
        <v>3.5640000000000001</v>
      </c>
      <c r="P27" s="75">
        <f>N27/36</f>
        <v>198</v>
      </c>
      <c r="Q27" s="77">
        <f>N27/792</f>
        <v>9</v>
      </c>
      <c r="R27" s="56" t="s">
        <v>75</v>
      </c>
      <c r="S27" s="56"/>
      <c r="T27" s="56" t="s">
        <v>2480</v>
      </c>
      <c r="U27" s="56" t="s">
        <v>2480</v>
      </c>
      <c r="V27" s="56"/>
      <c r="W27" s="39" t="s">
        <v>10291</v>
      </c>
      <c r="X27" s="78">
        <v>45679</v>
      </c>
      <c r="Y27" s="78"/>
      <c r="Z27" s="78"/>
      <c r="AA27" s="39">
        <v>371008156</v>
      </c>
      <c r="AB27" s="79" t="s">
        <v>122</v>
      </c>
      <c r="AC27" s="80" t="s">
        <v>78</v>
      </c>
      <c r="AD27" s="78">
        <v>45683</v>
      </c>
      <c r="AE27" s="78">
        <v>45683</v>
      </c>
      <c r="AF27" s="78">
        <v>45683</v>
      </c>
      <c r="AG27" s="78">
        <v>45730</v>
      </c>
      <c r="AH27" s="78">
        <v>45724</v>
      </c>
      <c r="AI27" s="78">
        <v>45730</v>
      </c>
      <c r="AJ27" s="75" t="s">
        <v>66</v>
      </c>
      <c r="AK27" s="39" t="s">
        <v>10311</v>
      </c>
      <c r="AL27" s="39" t="s">
        <v>10312</v>
      </c>
      <c r="AM27" s="39" t="s">
        <v>10313</v>
      </c>
      <c r="AN27" s="39" t="s">
        <v>10314</v>
      </c>
      <c r="AO27" s="75">
        <f t="shared" si="2"/>
        <v>48</v>
      </c>
      <c r="AP27" s="39" t="s">
        <v>2493</v>
      </c>
      <c r="AQ27" s="75" t="s">
        <v>2493</v>
      </c>
    </row>
    <row r="28" spans="1:43" s="6" customFormat="1" ht="10" hidden="1">
      <c r="A28" s="74" t="s">
        <v>10315</v>
      </c>
      <c r="B28" s="56" t="s">
        <v>67</v>
      </c>
      <c r="C28" s="56" t="s">
        <v>63</v>
      </c>
      <c r="D28" s="56" t="s">
        <v>10250</v>
      </c>
      <c r="E28" s="56"/>
      <c r="F28" s="56"/>
      <c r="G28" s="39"/>
      <c r="H28" s="56"/>
      <c r="I28" s="56" t="s">
        <v>10244</v>
      </c>
      <c r="J28" s="56" t="s">
        <v>550</v>
      </c>
      <c r="K28" s="75">
        <v>553120</v>
      </c>
      <c r="L28" s="56" t="s">
        <v>2700</v>
      </c>
      <c r="M28" s="75">
        <v>500</v>
      </c>
      <c r="N28" s="75">
        <v>4752</v>
      </c>
      <c r="O28" s="76">
        <f t="shared" si="3"/>
        <v>2.3759999999999999</v>
      </c>
      <c r="P28" s="75">
        <f>N28/36</f>
        <v>132</v>
      </c>
      <c r="Q28" s="77">
        <f>N28/792</f>
        <v>6</v>
      </c>
      <c r="R28" s="56" t="s">
        <v>75</v>
      </c>
      <c r="S28" s="56"/>
      <c r="T28" s="56" t="s">
        <v>2480</v>
      </c>
      <c r="U28" s="56" t="s">
        <v>2480</v>
      </c>
      <c r="V28" s="56"/>
      <c r="W28" s="39" t="s">
        <v>10285</v>
      </c>
      <c r="X28" s="78">
        <v>45679</v>
      </c>
      <c r="Y28" s="78"/>
      <c r="Z28" s="78"/>
      <c r="AA28" s="39">
        <v>371008156</v>
      </c>
      <c r="AB28" s="79" t="s">
        <v>122</v>
      </c>
      <c r="AC28" s="80" t="s">
        <v>78</v>
      </c>
      <c r="AD28" s="78">
        <v>45683</v>
      </c>
      <c r="AE28" s="78">
        <v>45683</v>
      </c>
      <c r="AF28" s="78">
        <v>45683</v>
      </c>
      <c r="AG28" s="78">
        <v>45730</v>
      </c>
      <c r="AH28" s="78">
        <v>45724</v>
      </c>
      <c r="AI28" s="78">
        <v>45730</v>
      </c>
      <c r="AJ28" s="75" t="s">
        <v>66</v>
      </c>
      <c r="AK28" s="39" t="s">
        <v>10311</v>
      </c>
      <c r="AL28" s="39" t="s">
        <v>10316</v>
      </c>
      <c r="AM28" s="39" t="s">
        <v>10317</v>
      </c>
      <c r="AN28" s="39" t="s">
        <v>10318</v>
      </c>
      <c r="AO28" s="75">
        <f t="shared" si="2"/>
        <v>48</v>
      </c>
      <c r="AP28" s="39" t="s">
        <v>2493</v>
      </c>
      <c r="AQ28" s="75" t="s">
        <v>2493</v>
      </c>
    </row>
    <row r="29" spans="1:43" s="6" customFormat="1" ht="10" hidden="1">
      <c r="A29" s="74" t="s">
        <v>10319</v>
      </c>
      <c r="B29" s="56" t="s">
        <v>67</v>
      </c>
      <c r="C29" s="56" t="s">
        <v>63</v>
      </c>
      <c r="D29" s="56" t="s">
        <v>10252</v>
      </c>
      <c r="E29" s="56"/>
      <c r="F29" s="56"/>
      <c r="G29" s="39"/>
      <c r="H29" s="56"/>
      <c r="I29" s="56" t="s">
        <v>10244</v>
      </c>
      <c r="J29" s="56" t="s">
        <v>170</v>
      </c>
      <c r="K29" s="75">
        <v>552026</v>
      </c>
      <c r="L29" s="56" t="s">
        <v>463</v>
      </c>
      <c r="M29" s="75">
        <v>550</v>
      </c>
      <c r="N29" s="75">
        <v>8580</v>
      </c>
      <c r="O29" s="76">
        <f t="shared" si="3"/>
        <v>4.7190000000000003</v>
      </c>
      <c r="P29" s="75">
        <f>N29/33</f>
        <v>260</v>
      </c>
      <c r="Q29" s="77">
        <f>N29/660</f>
        <v>13</v>
      </c>
      <c r="R29" s="56" t="s">
        <v>75</v>
      </c>
      <c r="S29" s="56"/>
      <c r="T29" s="56" t="s">
        <v>2480</v>
      </c>
      <c r="U29" s="56" t="s">
        <v>2480</v>
      </c>
      <c r="V29" s="56"/>
      <c r="W29" s="39" t="s">
        <v>10298</v>
      </c>
      <c r="X29" s="78">
        <v>45679</v>
      </c>
      <c r="Y29" s="78"/>
      <c r="Z29" s="78"/>
      <c r="AA29" s="39">
        <v>371008150</v>
      </c>
      <c r="AB29" s="79" t="s">
        <v>122</v>
      </c>
      <c r="AC29" s="80" t="s">
        <v>78</v>
      </c>
      <c r="AD29" s="78">
        <v>45683</v>
      </c>
      <c r="AE29" s="78">
        <v>45683</v>
      </c>
      <c r="AF29" s="78">
        <v>45683</v>
      </c>
      <c r="AG29" s="78">
        <v>45730</v>
      </c>
      <c r="AH29" s="78">
        <v>45724</v>
      </c>
      <c r="AI29" s="78">
        <v>45730</v>
      </c>
      <c r="AJ29" s="75" t="s">
        <v>66</v>
      </c>
      <c r="AK29" s="39" t="s">
        <v>10311</v>
      </c>
      <c r="AL29" s="39" t="s">
        <v>10316</v>
      </c>
      <c r="AM29" s="39" t="s">
        <v>10317</v>
      </c>
      <c r="AN29" s="39" t="s">
        <v>10318</v>
      </c>
      <c r="AO29" s="75">
        <f t="shared" si="2"/>
        <v>48</v>
      </c>
      <c r="AP29" s="39" t="s">
        <v>2493</v>
      </c>
      <c r="AQ29" s="75" t="s">
        <v>2493</v>
      </c>
    </row>
    <row r="30" spans="1:43" s="6" customFormat="1" ht="10" hidden="1">
      <c r="A30" s="74" t="s">
        <v>10320</v>
      </c>
      <c r="B30" s="56" t="s">
        <v>67</v>
      </c>
      <c r="C30" s="56" t="s">
        <v>63</v>
      </c>
      <c r="D30" s="56" t="s">
        <v>146</v>
      </c>
      <c r="E30" s="56"/>
      <c r="F30" s="56" t="s">
        <v>2488</v>
      </c>
      <c r="G30" s="39"/>
      <c r="H30" s="56"/>
      <c r="I30" s="82" t="s">
        <v>10244</v>
      </c>
      <c r="J30" s="56" t="s">
        <v>170</v>
      </c>
      <c r="K30" s="75">
        <v>552027</v>
      </c>
      <c r="L30" s="56" t="s">
        <v>10245</v>
      </c>
      <c r="M30" s="75">
        <v>545</v>
      </c>
      <c r="N30" s="75">
        <v>1980</v>
      </c>
      <c r="O30" s="76">
        <f t="shared" si="3"/>
        <v>1.0790999999999999</v>
      </c>
      <c r="P30" s="75">
        <f>N30/33</f>
        <v>60</v>
      </c>
      <c r="Q30" s="77">
        <f>N30/660</f>
        <v>3</v>
      </c>
      <c r="R30" s="56" t="s">
        <v>75</v>
      </c>
      <c r="S30" s="56"/>
      <c r="T30" s="56" t="s">
        <v>2480</v>
      </c>
      <c r="U30" s="56" t="s">
        <v>2480</v>
      </c>
      <c r="V30" s="56"/>
      <c r="W30" s="39" t="s">
        <v>10298</v>
      </c>
      <c r="X30" s="78">
        <v>45678</v>
      </c>
      <c r="Y30" s="78"/>
      <c r="Z30" s="78"/>
      <c r="AA30" s="75">
        <v>371008198</v>
      </c>
      <c r="AB30" s="79" t="s">
        <v>122</v>
      </c>
      <c r="AC30" s="80" t="s">
        <v>159</v>
      </c>
      <c r="AD30" s="78">
        <v>45684</v>
      </c>
      <c r="AE30" s="78">
        <v>45684</v>
      </c>
      <c r="AF30" s="78">
        <v>45684</v>
      </c>
      <c r="AG30" s="78">
        <v>45762</v>
      </c>
      <c r="AH30" s="78">
        <v>45762</v>
      </c>
      <c r="AI30" s="78">
        <v>45762</v>
      </c>
      <c r="AJ30" s="75" t="s">
        <v>146</v>
      </c>
      <c r="AK30" s="39" t="s">
        <v>10321</v>
      </c>
      <c r="AL30" s="39" t="s">
        <v>10322</v>
      </c>
      <c r="AM30" s="39" t="s">
        <v>10323</v>
      </c>
      <c r="AN30" s="39" t="s">
        <v>10323</v>
      </c>
      <c r="AO30" s="75">
        <f t="shared" si="2"/>
        <v>79</v>
      </c>
      <c r="AP30" s="39" t="s">
        <v>2493</v>
      </c>
      <c r="AQ30" s="75" t="s">
        <v>2493</v>
      </c>
    </row>
    <row r="31" spans="1:43" s="6" customFormat="1" ht="10" hidden="1">
      <c r="A31" s="74" t="s">
        <v>10324</v>
      </c>
      <c r="B31" s="56" t="s">
        <v>67</v>
      </c>
      <c r="C31" s="56" t="s">
        <v>63</v>
      </c>
      <c r="D31" s="56" t="s">
        <v>10250</v>
      </c>
      <c r="E31" s="56"/>
      <c r="F31" s="56"/>
      <c r="G31" s="39"/>
      <c r="H31" s="56"/>
      <c r="I31" s="56" t="s">
        <v>10244</v>
      </c>
      <c r="J31" s="56" t="s">
        <v>550</v>
      </c>
      <c r="K31" s="75">
        <v>553118</v>
      </c>
      <c r="L31" s="56" t="s">
        <v>552</v>
      </c>
      <c r="M31" s="75">
        <v>510</v>
      </c>
      <c r="N31" s="75">
        <v>792</v>
      </c>
      <c r="O31" s="76">
        <f t="shared" si="3"/>
        <v>0.40392</v>
      </c>
      <c r="P31" s="75">
        <f t="shared" ref="P31:P55" si="4">N31/36</f>
        <v>22</v>
      </c>
      <c r="Q31" s="77">
        <f>N31/792</f>
        <v>1</v>
      </c>
      <c r="R31" s="56" t="s">
        <v>75</v>
      </c>
      <c r="S31" s="56"/>
      <c r="T31" s="56" t="s">
        <v>2480</v>
      </c>
      <c r="U31" s="56" t="s">
        <v>2480</v>
      </c>
      <c r="V31" s="56"/>
      <c r="W31" s="39" t="s">
        <v>10291</v>
      </c>
      <c r="X31" s="78">
        <v>45679</v>
      </c>
      <c r="Y31" s="78"/>
      <c r="Z31" s="78"/>
      <c r="AA31" s="39">
        <v>371008157</v>
      </c>
      <c r="AB31" s="79" t="s">
        <v>122</v>
      </c>
      <c r="AC31" s="80" t="s">
        <v>105</v>
      </c>
      <c r="AD31" s="78">
        <v>45685</v>
      </c>
      <c r="AE31" s="78">
        <v>45685</v>
      </c>
      <c r="AF31" s="78">
        <v>45685</v>
      </c>
      <c r="AG31" s="78">
        <v>45744</v>
      </c>
      <c r="AH31" s="78">
        <v>45742</v>
      </c>
      <c r="AI31" s="78">
        <v>45744</v>
      </c>
      <c r="AJ31" s="75" t="s">
        <v>66</v>
      </c>
      <c r="AK31" s="39" t="s">
        <v>10325</v>
      </c>
      <c r="AL31" s="39" t="s">
        <v>10326</v>
      </c>
      <c r="AM31" s="39" t="s">
        <v>10327</v>
      </c>
      <c r="AN31" s="39" t="s">
        <v>10328</v>
      </c>
      <c r="AO31" s="75">
        <f t="shared" si="2"/>
        <v>60</v>
      </c>
      <c r="AP31" s="39" t="s">
        <v>2493</v>
      </c>
      <c r="AQ31" s="75" t="s">
        <v>2493</v>
      </c>
    </row>
    <row r="32" spans="1:43" s="6" customFormat="1" ht="10" hidden="1">
      <c r="A32" s="74" t="s">
        <v>10329</v>
      </c>
      <c r="B32" s="56" t="s">
        <v>67</v>
      </c>
      <c r="C32" s="56" t="s">
        <v>63</v>
      </c>
      <c r="D32" s="56" t="s">
        <v>10250</v>
      </c>
      <c r="E32" s="56"/>
      <c r="F32" s="56"/>
      <c r="G32" s="39"/>
      <c r="H32" s="56"/>
      <c r="I32" s="56" t="s">
        <v>10244</v>
      </c>
      <c r="J32" s="56" t="s">
        <v>550</v>
      </c>
      <c r="K32" s="75">
        <v>553120</v>
      </c>
      <c r="L32" s="56" t="s">
        <v>2700</v>
      </c>
      <c r="M32" s="75">
        <v>500</v>
      </c>
      <c r="N32" s="75">
        <f>19800-4752</f>
        <v>15048</v>
      </c>
      <c r="O32" s="76">
        <f t="shared" si="3"/>
        <v>7.524</v>
      </c>
      <c r="P32" s="75">
        <f t="shared" si="4"/>
        <v>418</v>
      </c>
      <c r="Q32" s="77">
        <f>N32/792</f>
        <v>19</v>
      </c>
      <c r="R32" s="56" t="s">
        <v>75</v>
      </c>
      <c r="S32" s="56"/>
      <c r="T32" s="56" t="s">
        <v>2480</v>
      </c>
      <c r="U32" s="56" t="s">
        <v>2480</v>
      </c>
      <c r="V32" s="56"/>
      <c r="W32" s="39" t="s">
        <v>10285</v>
      </c>
      <c r="X32" s="78">
        <v>45682</v>
      </c>
      <c r="Y32" s="78"/>
      <c r="Z32" s="78"/>
      <c r="AA32" s="39">
        <v>371008183</v>
      </c>
      <c r="AB32" s="79" t="s">
        <v>122</v>
      </c>
      <c r="AC32" s="80" t="s">
        <v>356</v>
      </c>
      <c r="AD32" s="78">
        <v>45698</v>
      </c>
      <c r="AE32" s="78">
        <v>45698</v>
      </c>
      <c r="AF32" s="78">
        <v>45698</v>
      </c>
      <c r="AG32" s="78">
        <v>45752</v>
      </c>
      <c r="AH32" s="78">
        <v>45752</v>
      </c>
      <c r="AI32" s="78">
        <v>45752</v>
      </c>
      <c r="AJ32" s="75" t="s">
        <v>66</v>
      </c>
      <c r="AK32" s="39" t="s">
        <v>10330</v>
      </c>
      <c r="AL32" s="39" t="s">
        <v>10331</v>
      </c>
      <c r="AM32" s="39" t="s">
        <v>10332</v>
      </c>
      <c r="AN32" s="39" t="s">
        <v>10332</v>
      </c>
      <c r="AO32" s="75">
        <f t="shared" si="2"/>
        <v>55</v>
      </c>
      <c r="AP32" s="39" t="s">
        <v>2493</v>
      </c>
      <c r="AQ32" s="75" t="s">
        <v>2493</v>
      </c>
    </row>
    <row r="33" spans="1:43" s="6" customFormat="1" ht="10" hidden="1">
      <c r="A33" s="74"/>
      <c r="B33" s="56" t="s">
        <v>67</v>
      </c>
      <c r="C33" s="56" t="s">
        <v>63</v>
      </c>
      <c r="D33" s="56" t="s">
        <v>10250</v>
      </c>
      <c r="E33" s="56"/>
      <c r="F33" s="56"/>
      <c r="G33" s="39"/>
      <c r="H33" s="56"/>
      <c r="I33" s="56" t="s">
        <v>10244</v>
      </c>
      <c r="J33" s="56" t="s">
        <v>473</v>
      </c>
      <c r="K33" s="75">
        <v>553145</v>
      </c>
      <c r="L33" s="56" t="s">
        <v>10333</v>
      </c>
      <c r="M33" s="75">
        <v>455</v>
      </c>
      <c r="N33" s="75">
        <v>5184</v>
      </c>
      <c r="O33" s="76">
        <f t="shared" si="3"/>
        <v>2.3587199999999999</v>
      </c>
      <c r="P33" s="75">
        <f t="shared" si="4"/>
        <v>144</v>
      </c>
      <c r="Q33" s="77">
        <f>N33/864</f>
        <v>6</v>
      </c>
      <c r="R33" s="56" t="s">
        <v>75</v>
      </c>
      <c r="S33" s="56"/>
      <c r="T33" s="56" t="s">
        <v>2480</v>
      </c>
      <c r="U33" s="56" t="s">
        <v>2480</v>
      </c>
      <c r="V33" s="56"/>
      <c r="W33" s="39" t="s">
        <v>10334</v>
      </c>
      <c r="X33" s="78">
        <v>45682</v>
      </c>
      <c r="Y33" s="78"/>
      <c r="Z33" s="78"/>
      <c r="AA33" s="39">
        <v>371008214</v>
      </c>
      <c r="AB33" s="79" t="s">
        <v>122</v>
      </c>
      <c r="AC33" s="80" t="s">
        <v>356</v>
      </c>
      <c r="AD33" s="78">
        <v>45698</v>
      </c>
      <c r="AE33" s="78">
        <v>45698</v>
      </c>
      <c r="AF33" s="78">
        <v>45698</v>
      </c>
      <c r="AG33" s="78">
        <v>45752</v>
      </c>
      <c r="AH33" s="78">
        <v>45752</v>
      </c>
      <c r="AI33" s="78">
        <v>45752</v>
      </c>
      <c r="AJ33" s="75" t="s">
        <v>66</v>
      </c>
      <c r="AK33" s="39" t="s">
        <v>10330</v>
      </c>
      <c r="AL33" s="39" t="s">
        <v>10331</v>
      </c>
      <c r="AM33" s="39" t="s">
        <v>10332</v>
      </c>
      <c r="AN33" s="39" t="s">
        <v>10332</v>
      </c>
      <c r="AO33" s="75">
        <f t="shared" si="2"/>
        <v>55</v>
      </c>
      <c r="AP33" s="39" t="s">
        <v>2493</v>
      </c>
      <c r="AQ33" s="75" t="s">
        <v>2493</v>
      </c>
    </row>
    <row r="34" spans="1:43" s="6" customFormat="1" ht="10" hidden="1">
      <c r="A34" s="74" t="s">
        <v>10335</v>
      </c>
      <c r="B34" s="56" t="s">
        <v>67</v>
      </c>
      <c r="C34" s="56" t="s">
        <v>63</v>
      </c>
      <c r="D34" s="56" t="s">
        <v>10250</v>
      </c>
      <c r="E34" s="56"/>
      <c r="F34" s="56"/>
      <c r="G34" s="39"/>
      <c r="H34" s="56"/>
      <c r="I34" s="56" t="s">
        <v>10244</v>
      </c>
      <c r="J34" s="56" t="s">
        <v>550</v>
      </c>
      <c r="K34" s="75">
        <v>553120</v>
      </c>
      <c r="L34" s="56" t="s">
        <v>2700</v>
      </c>
      <c r="M34" s="75">
        <v>500</v>
      </c>
      <c r="N34" s="75">
        <v>1584</v>
      </c>
      <c r="O34" s="76">
        <f t="shared" si="3"/>
        <v>0.79200000000000004</v>
      </c>
      <c r="P34" s="75">
        <f t="shared" si="4"/>
        <v>44</v>
      </c>
      <c r="Q34" s="77">
        <f>N34/792</f>
        <v>2</v>
      </c>
      <c r="R34" s="56" t="s">
        <v>75</v>
      </c>
      <c r="S34" s="56"/>
      <c r="T34" s="56" t="s">
        <v>2480</v>
      </c>
      <c r="U34" s="56" t="s">
        <v>2480</v>
      </c>
      <c r="V34" s="56"/>
      <c r="W34" s="39" t="s">
        <v>10291</v>
      </c>
      <c r="X34" s="78">
        <v>45680</v>
      </c>
      <c r="Y34" s="78"/>
      <c r="Z34" s="78"/>
      <c r="AA34" s="39">
        <v>371008156</v>
      </c>
      <c r="AB34" s="79" t="s">
        <v>122</v>
      </c>
      <c r="AC34" s="80" t="s">
        <v>78</v>
      </c>
      <c r="AD34" s="78">
        <v>45700</v>
      </c>
      <c r="AE34" s="78">
        <v>45700</v>
      </c>
      <c r="AF34" s="78">
        <v>45700</v>
      </c>
      <c r="AG34" s="78">
        <v>45748</v>
      </c>
      <c r="AH34" s="78">
        <v>45744</v>
      </c>
      <c r="AI34" s="78">
        <v>45748</v>
      </c>
      <c r="AJ34" s="75" t="s">
        <v>66</v>
      </c>
      <c r="AK34" s="39" t="s">
        <v>10336</v>
      </c>
      <c r="AL34" s="39" t="s">
        <v>10337</v>
      </c>
      <c r="AM34" s="39" t="s">
        <v>10338</v>
      </c>
      <c r="AN34" s="39" t="s">
        <v>10339</v>
      </c>
      <c r="AO34" s="75">
        <f t="shared" si="2"/>
        <v>49</v>
      </c>
      <c r="AP34" s="39" t="s">
        <v>2493</v>
      </c>
      <c r="AQ34" s="75" t="s">
        <v>2493</v>
      </c>
    </row>
    <row r="35" spans="1:43" s="6" customFormat="1" ht="10" hidden="1">
      <c r="A35" s="74" t="s">
        <v>10340</v>
      </c>
      <c r="B35" s="56" t="s">
        <v>67</v>
      </c>
      <c r="C35" s="56" t="s">
        <v>63</v>
      </c>
      <c r="D35" s="56" t="s">
        <v>10250</v>
      </c>
      <c r="E35" s="56"/>
      <c r="F35" s="56"/>
      <c r="G35" s="39"/>
      <c r="H35" s="56"/>
      <c r="I35" s="56" t="s">
        <v>10244</v>
      </c>
      <c r="J35" s="56" t="s">
        <v>550</v>
      </c>
      <c r="K35" s="75">
        <v>553120</v>
      </c>
      <c r="L35" s="56" t="s">
        <v>2700</v>
      </c>
      <c r="M35" s="75">
        <v>500</v>
      </c>
      <c r="N35" s="75">
        <v>6336</v>
      </c>
      <c r="O35" s="76">
        <f t="shared" si="3"/>
        <v>3.1680000000000001</v>
      </c>
      <c r="P35" s="75">
        <f t="shared" si="4"/>
        <v>176</v>
      </c>
      <c r="Q35" s="77">
        <f>N35/792</f>
        <v>8</v>
      </c>
      <c r="R35" s="56" t="s">
        <v>75</v>
      </c>
      <c r="S35" s="56"/>
      <c r="T35" s="56" t="s">
        <v>2480</v>
      </c>
      <c r="U35" s="56" t="s">
        <v>2480</v>
      </c>
      <c r="V35" s="56"/>
      <c r="W35" s="39" t="s">
        <v>10285</v>
      </c>
      <c r="X35" s="78">
        <v>45680</v>
      </c>
      <c r="Y35" s="78"/>
      <c r="Z35" s="78"/>
      <c r="AA35" s="39">
        <v>371008182</v>
      </c>
      <c r="AB35" s="79" t="s">
        <v>122</v>
      </c>
      <c r="AC35" s="80" t="s">
        <v>78</v>
      </c>
      <c r="AD35" s="78">
        <v>45700</v>
      </c>
      <c r="AE35" s="78">
        <v>45700</v>
      </c>
      <c r="AF35" s="78">
        <v>45700</v>
      </c>
      <c r="AG35" s="78">
        <v>45748</v>
      </c>
      <c r="AH35" s="78">
        <v>45744</v>
      </c>
      <c r="AI35" s="78">
        <v>45748</v>
      </c>
      <c r="AJ35" s="75" t="s">
        <v>66</v>
      </c>
      <c r="AK35" s="39" t="s">
        <v>10336</v>
      </c>
      <c r="AL35" s="39" t="s">
        <v>10337</v>
      </c>
      <c r="AM35" s="39" t="s">
        <v>10338</v>
      </c>
      <c r="AN35" s="39" t="s">
        <v>10339</v>
      </c>
      <c r="AO35" s="75">
        <f t="shared" si="2"/>
        <v>49</v>
      </c>
      <c r="AP35" s="39" t="s">
        <v>2493</v>
      </c>
      <c r="AQ35" s="75" t="s">
        <v>2493</v>
      </c>
    </row>
    <row r="36" spans="1:43" s="6" customFormat="1" ht="10" hidden="1">
      <c r="A36" s="74"/>
      <c r="B36" s="56" t="s">
        <v>67</v>
      </c>
      <c r="C36" s="56" t="s">
        <v>63</v>
      </c>
      <c r="D36" s="56" t="s">
        <v>10250</v>
      </c>
      <c r="E36" s="56"/>
      <c r="F36" s="56"/>
      <c r="G36" s="39"/>
      <c r="H36" s="56"/>
      <c r="I36" s="56" t="s">
        <v>10244</v>
      </c>
      <c r="J36" s="56" t="s">
        <v>473</v>
      </c>
      <c r="K36" s="75">
        <v>553145</v>
      </c>
      <c r="L36" s="56" t="s">
        <v>530</v>
      </c>
      <c r="M36" s="75">
        <v>455</v>
      </c>
      <c r="N36" s="75">
        <v>4320</v>
      </c>
      <c r="O36" s="76">
        <f t="shared" si="3"/>
        <v>1.9656</v>
      </c>
      <c r="P36" s="75">
        <f t="shared" si="4"/>
        <v>120</v>
      </c>
      <c r="Q36" s="77">
        <f>N36/864</f>
        <v>5</v>
      </c>
      <c r="R36" s="56" t="s">
        <v>75</v>
      </c>
      <c r="S36" s="56"/>
      <c r="T36" s="56" t="s">
        <v>2480</v>
      </c>
      <c r="U36" s="56" t="s">
        <v>2480</v>
      </c>
      <c r="V36" s="56"/>
      <c r="W36" s="39" t="s">
        <v>10334</v>
      </c>
      <c r="X36" s="78">
        <v>45700</v>
      </c>
      <c r="Y36" s="78"/>
      <c r="Z36" s="78"/>
      <c r="AA36" s="39">
        <v>371008232</v>
      </c>
      <c r="AB36" s="79" t="s">
        <v>122</v>
      </c>
      <c r="AC36" s="80" t="s">
        <v>356</v>
      </c>
      <c r="AD36" s="78">
        <v>45704</v>
      </c>
      <c r="AE36" s="78">
        <v>45704</v>
      </c>
      <c r="AF36" s="78">
        <v>45704</v>
      </c>
      <c r="AG36" s="78">
        <v>45746</v>
      </c>
      <c r="AH36" s="78">
        <v>45741</v>
      </c>
      <c r="AI36" s="78">
        <v>45746</v>
      </c>
      <c r="AJ36" s="75" t="s">
        <v>66</v>
      </c>
      <c r="AK36" s="39" t="s">
        <v>10341</v>
      </c>
      <c r="AL36" s="39" t="s">
        <v>10342</v>
      </c>
      <c r="AM36" s="39" t="s">
        <v>10343</v>
      </c>
      <c r="AN36" s="39" t="s">
        <v>10343</v>
      </c>
      <c r="AO36" s="75">
        <f t="shared" si="2"/>
        <v>43</v>
      </c>
      <c r="AP36" s="39" t="s">
        <v>2493</v>
      </c>
      <c r="AQ36" s="75" t="s">
        <v>2493</v>
      </c>
    </row>
    <row r="37" spans="1:43" s="6" customFormat="1" ht="10" hidden="1">
      <c r="A37" s="74"/>
      <c r="B37" s="56" t="s">
        <v>67</v>
      </c>
      <c r="C37" s="56" t="s">
        <v>63</v>
      </c>
      <c r="D37" s="56" t="s">
        <v>10250</v>
      </c>
      <c r="E37" s="56"/>
      <c r="F37" s="56"/>
      <c r="G37" s="39"/>
      <c r="H37" s="56"/>
      <c r="I37" s="56" t="s">
        <v>10244</v>
      </c>
      <c r="J37" s="56" t="s">
        <v>473</v>
      </c>
      <c r="K37" s="75">
        <v>553146</v>
      </c>
      <c r="L37" s="49" t="s">
        <v>764</v>
      </c>
      <c r="M37" s="83">
        <v>450</v>
      </c>
      <c r="N37" s="75">
        <v>864</v>
      </c>
      <c r="O37" s="76">
        <f t="shared" si="3"/>
        <v>0.38879999999999998</v>
      </c>
      <c r="P37" s="75">
        <f t="shared" si="4"/>
        <v>24</v>
      </c>
      <c r="Q37" s="77">
        <f>N37/864</f>
        <v>1</v>
      </c>
      <c r="R37" s="56" t="s">
        <v>75</v>
      </c>
      <c r="S37" s="56"/>
      <c r="T37" s="56" t="s">
        <v>2480</v>
      </c>
      <c r="U37" s="56" t="s">
        <v>2480</v>
      </c>
      <c r="V37" s="56"/>
      <c r="W37" s="39" t="s">
        <v>10334</v>
      </c>
      <c r="X37" s="78">
        <v>45700</v>
      </c>
      <c r="Y37" s="78"/>
      <c r="Z37" s="78"/>
      <c r="AA37" s="39">
        <v>371008232</v>
      </c>
      <c r="AB37" s="79" t="s">
        <v>122</v>
      </c>
      <c r="AC37" s="80" t="s">
        <v>356</v>
      </c>
      <c r="AD37" s="78">
        <v>45704</v>
      </c>
      <c r="AE37" s="78">
        <v>45704</v>
      </c>
      <c r="AF37" s="78">
        <v>45704</v>
      </c>
      <c r="AG37" s="78">
        <v>45746</v>
      </c>
      <c r="AH37" s="78">
        <v>45741</v>
      </c>
      <c r="AI37" s="78">
        <v>45746</v>
      </c>
      <c r="AJ37" s="75" t="s">
        <v>66</v>
      </c>
      <c r="AK37" s="39" t="s">
        <v>10341</v>
      </c>
      <c r="AL37" s="39" t="s">
        <v>10342</v>
      </c>
      <c r="AM37" s="39" t="s">
        <v>10343</v>
      </c>
      <c r="AN37" s="39" t="s">
        <v>10343</v>
      </c>
      <c r="AO37" s="75">
        <f t="shared" si="2"/>
        <v>43</v>
      </c>
      <c r="AP37" s="39" t="s">
        <v>2493</v>
      </c>
      <c r="AQ37" s="75" t="s">
        <v>2493</v>
      </c>
    </row>
    <row r="38" spans="1:43" s="6" customFormat="1" ht="10" hidden="1">
      <c r="A38" s="74" t="s">
        <v>10344</v>
      </c>
      <c r="B38" s="56" t="s">
        <v>67</v>
      </c>
      <c r="C38" s="56" t="s">
        <v>63</v>
      </c>
      <c r="D38" s="56" t="s">
        <v>10250</v>
      </c>
      <c r="E38" s="56"/>
      <c r="F38" s="56"/>
      <c r="G38" s="39"/>
      <c r="H38" s="56"/>
      <c r="I38" s="56" t="s">
        <v>10244</v>
      </c>
      <c r="J38" s="56" t="s">
        <v>550</v>
      </c>
      <c r="K38" s="75">
        <v>553120</v>
      </c>
      <c r="L38" s="84" t="s">
        <v>2700</v>
      </c>
      <c r="M38" s="75">
        <v>500</v>
      </c>
      <c r="N38" s="75">
        <v>1584</v>
      </c>
      <c r="O38" s="76">
        <f t="shared" si="3"/>
        <v>0.79200000000000004</v>
      </c>
      <c r="P38" s="75">
        <f t="shared" si="4"/>
        <v>44</v>
      </c>
      <c r="Q38" s="77">
        <f>N38/792</f>
        <v>2</v>
      </c>
      <c r="R38" s="56" t="s">
        <v>75</v>
      </c>
      <c r="S38" s="56"/>
      <c r="T38" s="56" t="s">
        <v>2480</v>
      </c>
      <c r="U38" s="56" t="s">
        <v>2480</v>
      </c>
      <c r="V38" s="56"/>
      <c r="W38" s="39" t="s">
        <v>10285</v>
      </c>
      <c r="X38" s="78">
        <v>45705</v>
      </c>
      <c r="Y38" s="78"/>
      <c r="Z38" s="78"/>
      <c r="AA38" s="39">
        <v>371008231</v>
      </c>
      <c r="AB38" s="79" t="s">
        <v>122</v>
      </c>
      <c r="AC38" s="80" t="s">
        <v>78</v>
      </c>
      <c r="AD38" s="78">
        <v>45709</v>
      </c>
      <c r="AE38" s="78">
        <v>45709</v>
      </c>
      <c r="AF38" s="78">
        <v>45709</v>
      </c>
      <c r="AG38" s="78">
        <v>45774</v>
      </c>
      <c r="AH38" s="78">
        <v>45773</v>
      </c>
      <c r="AI38" s="78">
        <v>45774</v>
      </c>
      <c r="AJ38" s="81" t="s">
        <v>146</v>
      </c>
      <c r="AK38" s="39" t="s">
        <v>10345</v>
      </c>
      <c r="AL38" s="39" t="s">
        <v>10346</v>
      </c>
      <c r="AM38" s="39" t="s">
        <v>10347</v>
      </c>
      <c r="AN38" s="39" t="s">
        <v>10347</v>
      </c>
      <c r="AO38" s="75">
        <f t="shared" si="2"/>
        <v>66</v>
      </c>
      <c r="AP38" s="39" t="s">
        <v>10348</v>
      </c>
      <c r="AQ38" s="75" t="s">
        <v>2493</v>
      </c>
    </row>
    <row r="39" spans="1:43" s="6" customFormat="1" ht="10" hidden="1">
      <c r="A39" s="74" t="s">
        <v>10349</v>
      </c>
      <c r="B39" s="56" t="s">
        <v>67</v>
      </c>
      <c r="C39" s="56" t="s">
        <v>63</v>
      </c>
      <c r="D39" s="56" t="s">
        <v>10250</v>
      </c>
      <c r="E39" s="56"/>
      <c r="F39" s="56"/>
      <c r="G39" s="39"/>
      <c r="H39" s="56"/>
      <c r="I39" s="56" t="s">
        <v>10244</v>
      </c>
      <c r="J39" s="56" t="s">
        <v>550</v>
      </c>
      <c r="K39" s="75">
        <v>553120</v>
      </c>
      <c r="L39" s="56" t="s">
        <v>2700</v>
      </c>
      <c r="M39" s="75">
        <v>500</v>
      </c>
      <c r="N39" s="75">
        <v>792</v>
      </c>
      <c r="O39" s="76">
        <f t="shared" si="3"/>
        <v>0.39600000000000002</v>
      </c>
      <c r="P39" s="75">
        <f t="shared" si="4"/>
        <v>22</v>
      </c>
      <c r="Q39" s="77">
        <f>N39/792</f>
        <v>1</v>
      </c>
      <c r="R39" s="56" t="s">
        <v>75</v>
      </c>
      <c r="S39" s="56"/>
      <c r="T39" s="56" t="s">
        <v>2480</v>
      </c>
      <c r="U39" s="56" t="s">
        <v>2480</v>
      </c>
      <c r="V39" s="56"/>
      <c r="W39" s="39" t="s">
        <v>10285</v>
      </c>
      <c r="X39" s="78">
        <v>45705</v>
      </c>
      <c r="Y39" s="78"/>
      <c r="Z39" s="78"/>
      <c r="AA39" s="39">
        <v>371008231</v>
      </c>
      <c r="AB39" s="79" t="s">
        <v>122</v>
      </c>
      <c r="AC39" s="80" t="s">
        <v>78</v>
      </c>
      <c r="AD39" s="78">
        <v>45709</v>
      </c>
      <c r="AE39" s="78">
        <v>45709</v>
      </c>
      <c r="AF39" s="78">
        <v>45709</v>
      </c>
      <c r="AG39" s="78">
        <v>45774</v>
      </c>
      <c r="AH39" s="78">
        <v>45773</v>
      </c>
      <c r="AI39" s="78">
        <v>45774</v>
      </c>
      <c r="AJ39" s="81" t="s">
        <v>146</v>
      </c>
      <c r="AK39" s="39" t="s">
        <v>10345</v>
      </c>
      <c r="AL39" s="39" t="s">
        <v>10350</v>
      </c>
      <c r="AM39" s="39" t="s">
        <v>10351</v>
      </c>
      <c r="AN39" s="39" t="s">
        <v>10351</v>
      </c>
      <c r="AO39" s="75">
        <f t="shared" si="2"/>
        <v>66</v>
      </c>
      <c r="AP39" s="39" t="s">
        <v>2493</v>
      </c>
      <c r="AQ39" s="75" t="s">
        <v>2493</v>
      </c>
    </row>
    <row r="40" spans="1:43" s="6" customFormat="1" ht="10" hidden="1">
      <c r="A40" s="74" t="s">
        <v>10352</v>
      </c>
      <c r="B40" s="56" t="s">
        <v>67</v>
      </c>
      <c r="C40" s="56" t="s">
        <v>63</v>
      </c>
      <c r="D40" s="56" t="s">
        <v>10250</v>
      </c>
      <c r="E40" s="56"/>
      <c r="F40" s="56"/>
      <c r="G40" s="39"/>
      <c r="H40" s="56"/>
      <c r="I40" s="56" t="s">
        <v>10244</v>
      </c>
      <c r="J40" s="56" t="s">
        <v>550</v>
      </c>
      <c r="K40" s="75">
        <v>553120</v>
      </c>
      <c r="L40" s="56" t="s">
        <v>2700</v>
      </c>
      <c r="M40" s="75">
        <v>500</v>
      </c>
      <c r="N40" s="75">
        <v>792</v>
      </c>
      <c r="O40" s="76">
        <f t="shared" si="3"/>
        <v>0.39600000000000002</v>
      </c>
      <c r="P40" s="75">
        <f t="shared" si="4"/>
        <v>22</v>
      </c>
      <c r="Q40" s="77">
        <f>N40/792</f>
        <v>1</v>
      </c>
      <c r="R40" s="56" t="s">
        <v>75</v>
      </c>
      <c r="S40" s="56"/>
      <c r="T40" s="56" t="s">
        <v>2480</v>
      </c>
      <c r="U40" s="56" t="s">
        <v>2480</v>
      </c>
      <c r="V40" s="56"/>
      <c r="W40" s="39" t="s">
        <v>10285</v>
      </c>
      <c r="X40" s="78">
        <v>45705</v>
      </c>
      <c r="Y40" s="78"/>
      <c r="Z40" s="78"/>
      <c r="AA40" s="39">
        <v>371008231</v>
      </c>
      <c r="AB40" s="79" t="s">
        <v>122</v>
      </c>
      <c r="AC40" s="80" t="s">
        <v>78</v>
      </c>
      <c r="AD40" s="78">
        <v>45709</v>
      </c>
      <c r="AE40" s="78">
        <v>45709</v>
      </c>
      <c r="AF40" s="78">
        <v>45709</v>
      </c>
      <c r="AG40" s="78">
        <v>45774</v>
      </c>
      <c r="AH40" s="78">
        <v>45773</v>
      </c>
      <c r="AI40" s="78">
        <v>45774</v>
      </c>
      <c r="AJ40" s="81" t="s">
        <v>146</v>
      </c>
      <c r="AK40" s="39" t="s">
        <v>10345</v>
      </c>
      <c r="AL40" s="39" t="s">
        <v>10353</v>
      </c>
      <c r="AM40" s="39" t="s">
        <v>10354</v>
      </c>
      <c r="AN40" s="39" t="s">
        <v>10354</v>
      </c>
      <c r="AO40" s="75">
        <f t="shared" si="2"/>
        <v>66</v>
      </c>
      <c r="AP40" s="39" t="s">
        <v>2493</v>
      </c>
      <c r="AQ40" s="75" t="s">
        <v>2493</v>
      </c>
    </row>
    <row r="41" spans="1:43" s="6" customFormat="1" ht="10" hidden="1">
      <c r="A41" s="74" t="s">
        <v>10355</v>
      </c>
      <c r="B41" s="56" t="s">
        <v>67</v>
      </c>
      <c r="C41" s="56" t="s">
        <v>63</v>
      </c>
      <c r="D41" s="56" t="s">
        <v>10250</v>
      </c>
      <c r="E41" s="56"/>
      <c r="F41" s="56"/>
      <c r="G41" s="39"/>
      <c r="H41" s="56"/>
      <c r="I41" s="56" t="s">
        <v>10244</v>
      </c>
      <c r="J41" s="56" t="s">
        <v>550</v>
      </c>
      <c r="K41" s="75">
        <v>553120</v>
      </c>
      <c r="L41" s="56" t="s">
        <v>2700</v>
      </c>
      <c r="M41" s="75">
        <v>500</v>
      </c>
      <c r="N41" s="75">
        <v>792</v>
      </c>
      <c r="O41" s="76">
        <f t="shared" si="3"/>
        <v>0.39600000000000002</v>
      </c>
      <c r="P41" s="75">
        <f t="shared" si="4"/>
        <v>22</v>
      </c>
      <c r="Q41" s="77">
        <f>N41/792</f>
        <v>1</v>
      </c>
      <c r="R41" s="56" t="s">
        <v>75</v>
      </c>
      <c r="S41" s="56"/>
      <c r="T41" s="56" t="s">
        <v>2480</v>
      </c>
      <c r="U41" s="56" t="s">
        <v>2480</v>
      </c>
      <c r="V41" s="56"/>
      <c r="W41" s="39" t="s">
        <v>10285</v>
      </c>
      <c r="X41" s="78">
        <v>45705</v>
      </c>
      <c r="Y41" s="78"/>
      <c r="Z41" s="78"/>
      <c r="AA41" s="39">
        <v>371008233</v>
      </c>
      <c r="AB41" s="79" t="s">
        <v>122</v>
      </c>
      <c r="AC41" s="80" t="s">
        <v>78</v>
      </c>
      <c r="AD41" s="78">
        <v>45709</v>
      </c>
      <c r="AE41" s="78">
        <v>45709</v>
      </c>
      <c r="AF41" s="78">
        <v>45709</v>
      </c>
      <c r="AG41" s="78">
        <v>45774</v>
      </c>
      <c r="AH41" s="78">
        <v>45773</v>
      </c>
      <c r="AI41" s="78">
        <v>45774</v>
      </c>
      <c r="AJ41" s="75" t="s">
        <v>66</v>
      </c>
      <c r="AK41" s="39" t="s">
        <v>10345</v>
      </c>
      <c r="AL41" s="39" t="s">
        <v>10356</v>
      </c>
      <c r="AM41" s="39" t="s">
        <v>10357</v>
      </c>
      <c r="AN41" s="39" t="s">
        <v>10357</v>
      </c>
      <c r="AO41" s="75">
        <f t="shared" si="2"/>
        <v>66</v>
      </c>
      <c r="AP41" s="39" t="s">
        <v>2493</v>
      </c>
      <c r="AQ41" s="75" t="s">
        <v>2493</v>
      </c>
    </row>
    <row r="42" spans="1:43" s="6" customFormat="1" ht="10" hidden="1">
      <c r="A42" s="74"/>
      <c r="B42" s="56" t="s">
        <v>67</v>
      </c>
      <c r="C42" s="56" t="s">
        <v>63</v>
      </c>
      <c r="D42" s="56" t="s">
        <v>10250</v>
      </c>
      <c r="E42" s="56"/>
      <c r="F42" s="56"/>
      <c r="G42" s="39"/>
      <c r="H42" s="56"/>
      <c r="I42" s="56" t="s">
        <v>10244</v>
      </c>
      <c r="J42" s="56" t="s">
        <v>473</v>
      </c>
      <c r="K42" s="75">
        <v>553145</v>
      </c>
      <c r="L42" s="56" t="s">
        <v>530</v>
      </c>
      <c r="M42" s="75">
        <v>455</v>
      </c>
      <c r="N42" s="75">
        <v>6912</v>
      </c>
      <c r="O42" s="76">
        <f t="shared" si="3"/>
        <v>3.1449600000000002</v>
      </c>
      <c r="P42" s="75">
        <f t="shared" si="4"/>
        <v>192</v>
      </c>
      <c r="Q42" s="77">
        <f t="shared" ref="Q42:Q47" si="5">N42/864</f>
        <v>8</v>
      </c>
      <c r="R42" s="56" t="s">
        <v>75</v>
      </c>
      <c r="S42" s="56"/>
      <c r="T42" s="56" t="s">
        <v>2480</v>
      </c>
      <c r="U42" s="56" t="s">
        <v>2480</v>
      </c>
      <c r="V42" s="56"/>
      <c r="W42" s="39" t="s">
        <v>10334</v>
      </c>
      <c r="X42" s="78">
        <v>45705</v>
      </c>
      <c r="Y42" s="78"/>
      <c r="Z42" s="78"/>
      <c r="AA42" s="39">
        <v>371008233</v>
      </c>
      <c r="AB42" s="79" t="s">
        <v>122</v>
      </c>
      <c r="AC42" s="80" t="s">
        <v>78</v>
      </c>
      <c r="AD42" s="78">
        <v>45709</v>
      </c>
      <c r="AE42" s="78">
        <v>45709</v>
      </c>
      <c r="AF42" s="78">
        <v>45709</v>
      </c>
      <c r="AG42" s="78">
        <v>45774</v>
      </c>
      <c r="AH42" s="78">
        <v>45773</v>
      </c>
      <c r="AI42" s="78">
        <v>45774</v>
      </c>
      <c r="AJ42" s="75" t="s">
        <v>66</v>
      </c>
      <c r="AK42" s="39" t="s">
        <v>10345</v>
      </c>
      <c r="AL42" s="39" t="s">
        <v>10356</v>
      </c>
      <c r="AM42" s="39" t="s">
        <v>10357</v>
      </c>
      <c r="AN42" s="39" t="s">
        <v>10357</v>
      </c>
      <c r="AO42" s="75">
        <f t="shared" si="2"/>
        <v>66</v>
      </c>
      <c r="AP42" s="39" t="s">
        <v>2493</v>
      </c>
      <c r="AQ42" s="75" t="s">
        <v>2493</v>
      </c>
    </row>
    <row r="43" spans="1:43" s="6" customFormat="1" ht="10" hidden="1">
      <c r="A43" s="74"/>
      <c r="B43" s="56" t="s">
        <v>67</v>
      </c>
      <c r="C43" s="56" t="s">
        <v>63</v>
      </c>
      <c r="D43" s="56" t="s">
        <v>10250</v>
      </c>
      <c r="E43" s="56"/>
      <c r="F43" s="56"/>
      <c r="G43" s="39"/>
      <c r="H43" s="56"/>
      <c r="I43" s="56" t="s">
        <v>10244</v>
      </c>
      <c r="J43" s="56" t="s">
        <v>473</v>
      </c>
      <c r="K43" s="75">
        <v>553146</v>
      </c>
      <c r="L43" s="49" t="s">
        <v>764</v>
      </c>
      <c r="M43" s="85">
        <v>450</v>
      </c>
      <c r="N43" s="86">
        <v>3456</v>
      </c>
      <c r="O43" s="87">
        <f t="shared" si="3"/>
        <v>1.5551999999999999</v>
      </c>
      <c r="P43" s="86">
        <f t="shared" si="4"/>
        <v>96</v>
      </c>
      <c r="Q43" s="88">
        <f t="shared" si="5"/>
        <v>4</v>
      </c>
      <c r="R43" s="56" t="s">
        <v>75</v>
      </c>
      <c r="S43" s="56"/>
      <c r="T43" s="56" t="s">
        <v>2480</v>
      </c>
      <c r="U43" s="56" t="s">
        <v>2480</v>
      </c>
      <c r="V43" s="56"/>
      <c r="W43" s="36" t="s">
        <v>10334</v>
      </c>
      <c r="X43" s="89">
        <v>45709</v>
      </c>
      <c r="Y43" s="89"/>
      <c r="Z43" s="89"/>
      <c r="AA43" s="36">
        <v>371008264</v>
      </c>
      <c r="AB43" s="79" t="s">
        <v>122</v>
      </c>
      <c r="AC43" s="80" t="s">
        <v>356</v>
      </c>
      <c r="AD43" s="78">
        <v>45715</v>
      </c>
      <c r="AE43" s="78">
        <v>45715</v>
      </c>
      <c r="AF43" s="78">
        <v>45715</v>
      </c>
      <c r="AG43" s="78">
        <v>45755</v>
      </c>
      <c r="AH43" s="78">
        <v>45754</v>
      </c>
      <c r="AI43" s="78">
        <v>45755</v>
      </c>
      <c r="AJ43" s="75" t="s">
        <v>66</v>
      </c>
      <c r="AK43" s="39" t="s">
        <v>10358</v>
      </c>
      <c r="AL43" s="39" t="s">
        <v>10359</v>
      </c>
      <c r="AM43" s="39" t="s">
        <v>10360</v>
      </c>
      <c r="AN43" s="39" t="s">
        <v>10361</v>
      </c>
      <c r="AO43" s="75">
        <f t="shared" si="2"/>
        <v>41</v>
      </c>
      <c r="AP43" s="39" t="s">
        <v>2493</v>
      </c>
      <c r="AQ43" s="75" t="s">
        <v>2493</v>
      </c>
    </row>
    <row r="44" spans="1:43" s="6" customFormat="1" ht="10" hidden="1">
      <c r="A44" s="74"/>
      <c r="B44" s="56" t="s">
        <v>67</v>
      </c>
      <c r="C44" s="56" t="s">
        <v>63</v>
      </c>
      <c r="D44" s="56" t="s">
        <v>10250</v>
      </c>
      <c r="E44" s="56"/>
      <c r="F44" s="56"/>
      <c r="G44" s="39"/>
      <c r="H44" s="56"/>
      <c r="I44" s="56" t="s">
        <v>10244</v>
      </c>
      <c r="J44" s="56" t="s">
        <v>473</v>
      </c>
      <c r="K44" s="75">
        <v>553146</v>
      </c>
      <c r="L44" s="49" t="s">
        <v>764</v>
      </c>
      <c r="M44" s="83">
        <v>450</v>
      </c>
      <c r="N44" s="75">
        <v>5184</v>
      </c>
      <c r="O44" s="76">
        <f t="shared" si="3"/>
        <v>2.3328000000000002</v>
      </c>
      <c r="P44" s="75">
        <f t="shared" si="4"/>
        <v>144</v>
      </c>
      <c r="Q44" s="77">
        <f t="shared" si="5"/>
        <v>6</v>
      </c>
      <c r="R44" s="56" t="s">
        <v>75</v>
      </c>
      <c r="S44" s="56"/>
      <c r="T44" s="56" t="s">
        <v>2480</v>
      </c>
      <c r="U44" s="56" t="s">
        <v>2480</v>
      </c>
      <c r="V44" s="56"/>
      <c r="W44" s="39" t="s">
        <v>10334</v>
      </c>
      <c r="X44" s="78">
        <v>45711</v>
      </c>
      <c r="Y44" s="78"/>
      <c r="Z44" s="78"/>
      <c r="AA44" s="39">
        <v>371008264</v>
      </c>
      <c r="AB44" s="79" t="s">
        <v>122</v>
      </c>
      <c r="AC44" s="80" t="s">
        <v>78</v>
      </c>
      <c r="AD44" s="78">
        <v>45716</v>
      </c>
      <c r="AE44" s="78">
        <v>45716</v>
      </c>
      <c r="AF44" s="78">
        <v>45716</v>
      </c>
      <c r="AG44" s="90">
        <v>45789</v>
      </c>
      <c r="AH44" s="90">
        <v>45787</v>
      </c>
      <c r="AI44" s="90">
        <v>45789</v>
      </c>
      <c r="AJ44" s="91" t="s">
        <v>66</v>
      </c>
      <c r="AK44" s="39" t="s">
        <v>10362</v>
      </c>
      <c r="AL44" s="39" t="s">
        <v>10363</v>
      </c>
      <c r="AM44" s="39" t="s">
        <v>10364</v>
      </c>
      <c r="AN44" s="39" t="s">
        <v>10364</v>
      </c>
      <c r="AO44" s="86">
        <f t="shared" si="2"/>
        <v>74</v>
      </c>
      <c r="AP44" s="18" t="s">
        <v>2493</v>
      </c>
      <c r="AQ44" s="91" t="s">
        <v>2493</v>
      </c>
    </row>
    <row r="45" spans="1:43" s="6" customFormat="1" ht="10" hidden="1">
      <c r="A45" s="74"/>
      <c r="B45" s="56" t="s">
        <v>67</v>
      </c>
      <c r="C45" s="56" t="s">
        <v>63</v>
      </c>
      <c r="D45" s="56" t="s">
        <v>10250</v>
      </c>
      <c r="E45" s="56"/>
      <c r="F45" s="56"/>
      <c r="G45" s="39"/>
      <c r="H45" s="56"/>
      <c r="I45" s="56" t="s">
        <v>10244</v>
      </c>
      <c r="J45" s="56" t="s">
        <v>473</v>
      </c>
      <c r="K45" s="75">
        <v>553146</v>
      </c>
      <c r="L45" s="49" t="s">
        <v>764</v>
      </c>
      <c r="M45" s="83">
        <v>450</v>
      </c>
      <c r="N45" s="75">
        <v>6048</v>
      </c>
      <c r="O45" s="76">
        <f t="shared" si="3"/>
        <v>2.7216</v>
      </c>
      <c r="P45" s="75">
        <f t="shared" si="4"/>
        <v>168</v>
      </c>
      <c r="Q45" s="77">
        <f t="shared" si="5"/>
        <v>7</v>
      </c>
      <c r="R45" s="56" t="s">
        <v>75</v>
      </c>
      <c r="S45" s="56"/>
      <c r="T45" s="56" t="s">
        <v>2480</v>
      </c>
      <c r="U45" s="56" t="s">
        <v>2480</v>
      </c>
      <c r="V45" s="56"/>
      <c r="W45" s="39" t="s">
        <v>10334</v>
      </c>
      <c r="X45" s="78">
        <v>45716</v>
      </c>
      <c r="Y45" s="78"/>
      <c r="Z45" s="78"/>
      <c r="AA45" s="39">
        <v>371008265</v>
      </c>
      <c r="AB45" s="79" t="s">
        <v>122</v>
      </c>
      <c r="AC45" s="80" t="s">
        <v>356</v>
      </c>
      <c r="AD45" s="78">
        <v>45724</v>
      </c>
      <c r="AE45" s="78">
        <v>45724</v>
      </c>
      <c r="AF45" s="78">
        <v>45724</v>
      </c>
      <c r="AG45" s="78">
        <v>45763</v>
      </c>
      <c r="AH45" s="78">
        <v>45763</v>
      </c>
      <c r="AI45" s="78">
        <v>45763</v>
      </c>
      <c r="AJ45" s="75" t="s">
        <v>66</v>
      </c>
      <c r="AK45" s="39" t="s">
        <v>10365</v>
      </c>
      <c r="AL45" s="39" t="s">
        <v>10366</v>
      </c>
      <c r="AM45" s="39" t="s">
        <v>10367</v>
      </c>
      <c r="AN45" s="39" t="s">
        <v>10368</v>
      </c>
      <c r="AO45" s="75">
        <f t="shared" si="2"/>
        <v>40</v>
      </c>
      <c r="AP45" s="39" t="s">
        <v>2493</v>
      </c>
      <c r="AQ45" s="75" t="s">
        <v>2493</v>
      </c>
    </row>
    <row r="46" spans="1:43" s="6" customFormat="1" ht="10" hidden="1">
      <c r="A46" s="74"/>
      <c r="B46" s="56" t="s">
        <v>67</v>
      </c>
      <c r="C46" s="56" t="s">
        <v>63</v>
      </c>
      <c r="D46" s="56" t="s">
        <v>10250</v>
      </c>
      <c r="E46" s="56"/>
      <c r="F46" s="56"/>
      <c r="G46" s="39"/>
      <c r="H46" s="56"/>
      <c r="I46" s="56" t="s">
        <v>10244</v>
      </c>
      <c r="J46" s="56" t="s">
        <v>473</v>
      </c>
      <c r="K46" s="75">
        <v>553146</v>
      </c>
      <c r="L46" s="49" t="s">
        <v>764</v>
      </c>
      <c r="M46" s="83">
        <v>450</v>
      </c>
      <c r="N46" s="75">
        <v>7776</v>
      </c>
      <c r="O46" s="76">
        <f t="shared" si="3"/>
        <v>3.4992000000000001</v>
      </c>
      <c r="P46" s="75">
        <f t="shared" si="4"/>
        <v>216</v>
      </c>
      <c r="Q46" s="77">
        <f t="shared" si="5"/>
        <v>9</v>
      </c>
      <c r="R46" s="56" t="s">
        <v>75</v>
      </c>
      <c r="S46" s="56"/>
      <c r="T46" s="56" t="s">
        <v>2480</v>
      </c>
      <c r="U46" s="56" t="s">
        <v>2480</v>
      </c>
      <c r="V46" s="56"/>
      <c r="W46" s="39" t="s">
        <v>10334</v>
      </c>
      <c r="X46" s="78">
        <v>45717</v>
      </c>
      <c r="Y46" s="78"/>
      <c r="Z46" s="78"/>
      <c r="AA46" s="39">
        <v>371008266</v>
      </c>
      <c r="AB46" s="79" t="s">
        <v>122</v>
      </c>
      <c r="AC46" s="80" t="s">
        <v>78</v>
      </c>
      <c r="AD46" s="78">
        <v>45723</v>
      </c>
      <c r="AE46" s="78">
        <v>45723</v>
      </c>
      <c r="AF46" s="78">
        <v>45723</v>
      </c>
      <c r="AG46" s="78">
        <v>45770</v>
      </c>
      <c r="AH46" s="78">
        <v>45769</v>
      </c>
      <c r="AI46" s="78">
        <v>45770</v>
      </c>
      <c r="AJ46" s="75" t="s">
        <v>66</v>
      </c>
      <c r="AK46" s="39" t="s">
        <v>10369</v>
      </c>
      <c r="AL46" s="39" t="s">
        <v>10370</v>
      </c>
      <c r="AM46" s="39" t="s">
        <v>10371</v>
      </c>
      <c r="AN46" s="39" t="s">
        <v>10372</v>
      </c>
      <c r="AO46" s="75">
        <f t="shared" si="2"/>
        <v>48</v>
      </c>
      <c r="AP46" s="39" t="s">
        <v>2493</v>
      </c>
      <c r="AQ46" s="75" t="s">
        <v>2493</v>
      </c>
    </row>
    <row r="47" spans="1:43" s="6" customFormat="1" ht="10" hidden="1">
      <c r="A47" s="74"/>
      <c r="B47" s="56" t="s">
        <v>67</v>
      </c>
      <c r="C47" s="56" t="s">
        <v>63</v>
      </c>
      <c r="D47" s="56" t="s">
        <v>10250</v>
      </c>
      <c r="E47" s="56"/>
      <c r="F47" s="56"/>
      <c r="G47" s="39"/>
      <c r="H47" s="56"/>
      <c r="I47" s="56" t="s">
        <v>10244</v>
      </c>
      <c r="J47" s="56" t="s">
        <v>473</v>
      </c>
      <c r="K47" s="75">
        <v>553146</v>
      </c>
      <c r="L47" s="49" t="s">
        <v>764</v>
      </c>
      <c r="M47" s="83">
        <v>450</v>
      </c>
      <c r="N47" s="75">
        <v>6048</v>
      </c>
      <c r="O47" s="76">
        <f t="shared" si="3"/>
        <v>2.7216</v>
      </c>
      <c r="P47" s="75">
        <f t="shared" si="4"/>
        <v>168</v>
      </c>
      <c r="Q47" s="77">
        <f t="shared" si="5"/>
        <v>7</v>
      </c>
      <c r="R47" s="56" t="s">
        <v>75</v>
      </c>
      <c r="S47" s="56"/>
      <c r="T47" s="56" t="s">
        <v>2480</v>
      </c>
      <c r="U47" s="56" t="s">
        <v>2480</v>
      </c>
      <c r="V47" s="56"/>
      <c r="W47" s="39" t="s">
        <v>10334</v>
      </c>
      <c r="X47" s="78">
        <v>45723</v>
      </c>
      <c r="Y47" s="78"/>
      <c r="Z47" s="78"/>
      <c r="AA47" s="39">
        <v>371008286</v>
      </c>
      <c r="AB47" s="79" t="s">
        <v>122</v>
      </c>
      <c r="AC47" s="80" t="s">
        <v>356</v>
      </c>
      <c r="AD47" s="78">
        <v>45730</v>
      </c>
      <c r="AE47" s="78">
        <v>45730</v>
      </c>
      <c r="AF47" s="78">
        <v>45730</v>
      </c>
      <c r="AG47" s="78">
        <v>45770</v>
      </c>
      <c r="AH47" s="78">
        <v>45770</v>
      </c>
      <c r="AI47" s="78">
        <v>45770</v>
      </c>
      <c r="AJ47" s="75" t="s">
        <v>66</v>
      </c>
      <c r="AK47" s="39" t="s">
        <v>10373</v>
      </c>
      <c r="AL47" s="39" t="s">
        <v>10374</v>
      </c>
      <c r="AM47" s="39" t="s">
        <v>10375</v>
      </c>
      <c r="AN47" s="39" t="s">
        <v>10376</v>
      </c>
      <c r="AO47" s="75">
        <f t="shared" si="2"/>
        <v>41</v>
      </c>
      <c r="AP47" s="39" t="s">
        <v>2493</v>
      </c>
      <c r="AQ47" s="75" t="s">
        <v>2493</v>
      </c>
    </row>
    <row r="48" spans="1:43" s="6" customFormat="1" ht="10.5" hidden="1">
      <c r="A48" s="74" t="s">
        <v>10377</v>
      </c>
      <c r="B48" s="56" t="s">
        <v>67</v>
      </c>
      <c r="C48" s="56" t="s">
        <v>63</v>
      </c>
      <c r="D48" s="56" t="s">
        <v>10250</v>
      </c>
      <c r="E48" s="56"/>
      <c r="F48" s="56"/>
      <c r="G48" s="39"/>
      <c r="H48" s="56"/>
      <c r="I48" s="56" t="s">
        <v>10244</v>
      </c>
      <c r="J48" s="56" t="s">
        <v>550</v>
      </c>
      <c r="K48" s="75">
        <v>553120</v>
      </c>
      <c r="L48" s="84" t="s">
        <v>2700</v>
      </c>
      <c r="M48" s="91">
        <v>500</v>
      </c>
      <c r="N48" s="91">
        <v>792</v>
      </c>
      <c r="O48" s="92">
        <f>N48*M48/10^6</f>
        <v>0.39600000000000002</v>
      </c>
      <c r="P48" s="91">
        <f t="shared" si="4"/>
        <v>22</v>
      </c>
      <c r="Q48" s="93">
        <f>N48/792</f>
        <v>1</v>
      </c>
      <c r="R48" s="56" t="s">
        <v>75</v>
      </c>
      <c r="S48" s="56"/>
      <c r="T48" s="56" t="s">
        <v>2480</v>
      </c>
      <c r="U48" s="56" t="s">
        <v>2480</v>
      </c>
      <c r="V48" s="56"/>
      <c r="W48" s="39" t="s">
        <v>10285</v>
      </c>
      <c r="X48" s="90">
        <v>45728</v>
      </c>
      <c r="Y48" s="90"/>
      <c r="Z48" s="90"/>
      <c r="AA48" s="18">
        <v>371008231</v>
      </c>
      <c r="AB48" s="79" t="s">
        <v>122</v>
      </c>
      <c r="AC48" s="94" t="s">
        <v>78</v>
      </c>
      <c r="AD48" s="90">
        <v>45732</v>
      </c>
      <c r="AE48" s="90">
        <v>45732</v>
      </c>
      <c r="AF48" s="90">
        <v>45732</v>
      </c>
      <c r="AG48" s="90">
        <v>45809</v>
      </c>
      <c r="AH48" s="90">
        <v>45809</v>
      </c>
      <c r="AI48" s="90">
        <v>45809</v>
      </c>
      <c r="AJ48" s="95" t="s">
        <v>146</v>
      </c>
      <c r="AK48" s="39" t="s">
        <v>10378</v>
      </c>
      <c r="AL48" s="39" t="s">
        <v>10379</v>
      </c>
      <c r="AM48" s="39" t="s">
        <v>10380</v>
      </c>
      <c r="AN48" s="39" t="s">
        <v>10381</v>
      </c>
      <c r="AO48" s="75">
        <f t="shared" si="2"/>
        <v>78</v>
      </c>
      <c r="AP48" s="18" t="s">
        <v>2493</v>
      </c>
      <c r="AQ48" s="91" t="s">
        <v>2493</v>
      </c>
    </row>
    <row r="49" spans="1:43" s="6" customFormat="1" ht="10" hidden="1">
      <c r="A49" s="74"/>
      <c r="B49" s="56" t="s">
        <v>67</v>
      </c>
      <c r="C49" s="56" t="s">
        <v>63</v>
      </c>
      <c r="D49" s="56" t="s">
        <v>10250</v>
      </c>
      <c r="E49" s="56"/>
      <c r="F49" s="56"/>
      <c r="G49" s="39"/>
      <c r="H49" s="56"/>
      <c r="I49" s="56" t="s">
        <v>10244</v>
      </c>
      <c r="J49" s="56" t="s">
        <v>473</v>
      </c>
      <c r="K49" s="75">
        <v>553146</v>
      </c>
      <c r="L49" s="49" t="s">
        <v>764</v>
      </c>
      <c r="M49" s="96">
        <v>450</v>
      </c>
      <c r="N49" s="91">
        <v>8640</v>
      </c>
      <c r="O49" s="92">
        <f>N49*M49/10^6</f>
        <v>3.8879999999999999</v>
      </c>
      <c r="P49" s="91">
        <f t="shared" si="4"/>
        <v>240</v>
      </c>
      <c r="Q49" s="93">
        <f>N49/864</f>
        <v>10</v>
      </c>
      <c r="R49" s="56" t="s">
        <v>75</v>
      </c>
      <c r="S49" s="56"/>
      <c r="T49" s="56" t="s">
        <v>2480</v>
      </c>
      <c r="U49" s="56" t="s">
        <v>2480</v>
      </c>
      <c r="V49" s="56"/>
      <c r="W49" s="18" t="s">
        <v>10334</v>
      </c>
      <c r="X49" s="90">
        <v>45728</v>
      </c>
      <c r="Y49" s="90"/>
      <c r="Z49" s="90"/>
      <c r="AA49" s="18">
        <v>371008293</v>
      </c>
      <c r="AB49" s="79" t="s">
        <v>122</v>
      </c>
      <c r="AC49" s="94" t="s">
        <v>78</v>
      </c>
      <c r="AD49" s="90">
        <v>45732</v>
      </c>
      <c r="AE49" s="90">
        <v>45732</v>
      </c>
      <c r="AF49" s="90">
        <v>45732</v>
      </c>
      <c r="AG49" s="90">
        <v>45809</v>
      </c>
      <c r="AH49" s="90">
        <v>45809</v>
      </c>
      <c r="AI49" s="90">
        <v>45809</v>
      </c>
      <c r="AJ49" s="91" t="s">
        <v>66</v>
      </c>
      <c r="AK49" s="39" t="s">
        <v>10378</v>
      </c>
      <c r="AL49" s="39" t="s">
        <v>10382</v>
      </c>
      <c r="AM49" s="39" t="s">
        <v>10383</v>
      </c>
      <c r="AN49" s="39" t="s">
        <v>10384</v>
      </c>
      <c r="AO49" s="75">
        <f t="shared" si="2"/>
        <v>78</v>
      </c>
      <c r="AP49" s="18" t="s">
        <v>2493</v>
      </c>
      <c r="AQ49" s="91" t="s">
        <v>2493</v>
      </c>
    </row>
    <row r="50" spans="1:43" s="6" customFormat="1" ht="10" hidden="1">
      <c r="A50" s="74"/>
      <c r="B50" s="56" t="s">
        <v>67</v>
      </c>
      <c r="C50" s="56" t="s">
        <v>63</v>
      </c>
      <c r="D50" s="56" t="s">
        <v>10250</v>
      </c>
      <c r="E50" s="56"/>
      <c r="F50" s="56"/>
      <c r="G50" s="39"/>
      <c r="H50" s="56"/>
      <c r="I50" s="56" t="s">
        <v>10244</v>
      </c>
      <c r="J50" s="56" t="s">
        <v>473</v>
      </c>
      <c r="K50" s="75">
        <v>553146</v>
      </c>
      <c r="L50" s="49" t="s">
        <v>764</v>
      </c>
      <c r="M50" s="83">
        <v>450</v>
      </c>
      <c r="N50" s="75">
        <v>6912</v>
      </c>
      <c r="O50" s="76">
        <f>N50*M50/10^6</f>
        <v>3.1103999999999998</v>
      </c>
      <c r="P50" s="75">
        <f t="shared" si="4"/>
        <v>192</v>
      </c>
      <c r="Q50" s="77">
        <f>N50/864</f>
        <v>8</v>
      </c>
      <c r="R50" s="56" t="s">
        <v>75</v>
      </c>
      <c r="S50" s="56"/>
      <c r="T50" s="56" t="s">
        <v>2480</v>
      </c>
      <c r="U50" s="56" t="s">
        <v>2480</v>
      </c>
      <c r="V50" s="56"/>
      <c r="W50" s="39" t="s">
        <v>10334</v>
      </c>
      <c r="X50" s="78">
        <v>45730</v>
      </c>
      <c r="Y50" s="78"/>
      <c r="Z50" s="78"/>
      <c r="AA50" s="39">
        <v>371008288</v>
      </c>
      <c r="AB50" s="79" t="s">
        <v>122</v>
      </c>
      <c r="AC50" s="80" t="s">
        <v>356</v>
      </c>
      <c r="AD50" s="78">
        <v>45738</v>
      </c>
      <c r="AE50" s="78">
        <v>45738</v>
      </c>
      <c r="AF50" s="78">
        <v>45738</v>
      </c>
      <c r="AG50" s="90">
        <v>45779</v>
      </c>
      <c r="AH50" s="90">
        <v>45776</v>
      </c>
      <c r="AI50" s="90">
        <v>45779</v>
      </c>
      <c r="AJ50" s="91" t="s">
        <v>66</v>
      </c>
      <c r="AK50" s="39" t="s">
        <v>10385</v>
      </c>
      <c r="AL50" s="39" t="s">
        <v>10386</v>
      </c>
      <c r="AM50" s="39" t="s">
        <v>10387</v>
      </c>
      <c r="AN50" s="39" t="s">
        <v>10388</v>
      </c>
      <c r="AO50" s="75">
        <f t="shared" si="2"/>
        <v>42</v>
      </c>
      <c r="AP50" s="18" t="s">
        <v>2493</v>
      </c>
      <c r="AQ50" s="91" t="s">
        <v>2493</v>
      </c>
    </row>
    <row r="51" spans="1:43" s="6" customFormat="1" ht="10" hidden="1">
      <c r="A51" s="74"/>
      <c r="B51" s="56" t="s">
        <v>67</v>
      </c>
      <c r="C51" s="56" t="s">
        <v>63</v>
      </c>
      <c r="D51" s="56" t="s">
        <v>10250</v>
      </c>
      <c r="E51" s="56"/>
      <c r="F51" s="56"/>
      <c r="G51" s="39"/>
      <c r="H51" s="56"/>
      <c r="I51" s="56" t="s">
        <v>10244</v>
      </c>
      <c r="J51" s="56" t="s">
        <v>473</v>
      </c>
      <c r="K51" s="75">
        <v>553145</v>
      </c>
      <c r="L51" s="84" t="s">
        <v>530</v>
      </c>
      <c r="M51" s="75">
        <v>455</v>
      </c>
      <c r="N51" s="75">
        <v>864</v>
      </c>
      <c r="O51" s="76">
        <f>N51*M51/10^6</f>
        <v>0.39312000000000002</v>
      </c>
      <c r="P51" s="75">
        <f>N51/36</f>
        <v>24</v>
      </c>
      <c r="Q51" s="77">
        <f>N51/864</f>
        <v>1</v>
      </c>
      <c r="R51" s="56" t="s">
        <v>75</v>
      </c>
      <c r="S51" s="56"/>
      <c r="T51" s="56" t="s">
        <v>2480</v>
      </c>
      <c r="U51" s="56" t="s">
        <v>2480</v>
      </c>
      <c r="V51" s="56"/>
      <c r="W51" s="39" t="s">
        <v>10334</v>
      </c>
      <c r="X51" s="78">
        <v>45730</v>
      </c>
      <c r="Y51" s="78"/>
      <c r="Z51" s="78"/>
      <c r="AA51" s="39">
        <v>371008294</v>
      </c>
      <c r="AB51" s="79" t="s">
        <v>122</v>
      </c>
      <c r="AC51" s="80" t="s">
        <v>356</v>
      </c>
      <c r="AD51" s="78">
        <v>45738</v>
      </c>
      <c r="AE51" s="78">
        <v>45738</v>
      </c>
      <c r="AF51" s="78">
        <v>45738</v>
      </c>
      <c r="AG51" s="90">
        <v>45779</v>
      </c>
      <c r="AH51" s="90">
        <v>45776</v>
      </c>
      <c r="AI51" s="90">
        <v>45779</v>
      </c>
      <c r="AJ51" s="91" t="s">
        <v>66</v>
      </c>
      <c r="AK51" s="39" t="s">
        <v>10385</v>
      </c>
      <c r="AL51" s="39" t="s">
        <v>10386</v>
      </c>
      <c r="AM51" s="39" t="s">
        <v>10387</v>
      </c>
      <c r="AN51" s="39" t="s">
        <v>10388</v>
      </c>
      <c r="AO51" s="75">
        <f t="shared" si="2"/>
        <v>42</v>
      </c>
      <c r="AP51" s="18" t="s">
        <v>2493</v>
      </c>
      <c r="AQ51" s="91" t="s">
        <v>2493</v>
      </c>
    </row>
    <row r="52" spans="1:43" s="6" customFormat="1" ht="10" hidden="1">
      <c r="A52" s="74"/>
      <c r="B52" s="56" t="s">
        <v>67</v>
      </c>
      <c r="C52" s="56" t="s">
        <v>63</v>
      </c>
      <c r="D52" s="56" t="s">
        <v>10250</v>
      </c>
      <c r="E52" s="56"/>
      <c r="F52" s="56"/>
      <c r="G52" s="39"/>
      <c r="H52" s="56"/>
      <c r="I52" s="56" t="s">
        <v>10244</v>
      </c>
      <c r="J52" s="56" t="s">
        <v>473</v>
      </c>
      <c r="K52" s="75">
        <v>553146</v>
      </c>
      <c r="L52" s="49" t="s">
        <v>764</v>
      </c>
      <c r="M52" s="83">
        <v>450</v>
      </c>
      <c r="N52" s="75">
        <v>6912</v>
      </c>
      <c r="O52" s="76">
        <f>N52*M52/10^6</f>
        <v>3.1103999999999998</v>
      </c>
      <c r="P52" s="75">
        <f t="shared" si="4"/>
        <v>192</v>
      </c>
      <c r="Q52" s="77">
        <f>N52/864</f>
        <v>8</v>
      </c>
      <c r="R52" s="56" t="s">
        <v>75</v>
      </c>
      <c r="S52" s="56"/>
      <c r="T52" s="56" t="s">
        <v>2480</v>
      </c>
      <c r="U52" s="56" t="s">
        <v>2480</v>
      </c>
      <c r="V52" s="56"/>
      <c r="W52" s="39" t="s">
        <v>10334</v>
      </c>
      <c r="X52" s="78">
        <v>45731</v>
      </c>
      <c r="Y52" s="78"/>
      <c r="Z52" s="78"/>
      <c r="AA52" s="39">
        <v>371008287</v>
      </c>
      <c r="AB52" s="79" t="s">
        <v>122</v>
      </c>
      <c r="AC52" s="80" t="s">
        <v>78</v>
      </c>
      <c r="AD52" s="78">
        <v>45736</v>
      </c>
      <c r="AE52" s="78">
        <v>45736</v>
      </c>
      <c r="AF52" s="78">
        <v>45736</v>
      </c>
      <c r="AG52" s="90">
        <v>45784</v>
      </c>
      <c r="AH52" s="90">
        <v>45784</v>
      </c>
      <c r="AI52" s="90">
        <v>45784</v>
      </c>
      <c r="AJ52" s="91" t="s">
        <v>66</v>
      </c>
      <c r="AK52" s="39" t="s">
        <v>10389</v>
      </c>
      <c r="AL52" s="39" t="s">
        <v>10390</v>
      </c>
      <c r="AM52" s="39" t="s">
        <v>10391</v>
      </c>
      <c r="AN52" s="39" t="s">
        <v>10392</v>
      </c>
      <c r="AO52" s="86">
        <f t="shared" si="2"/>
        <v>49</v>
      </c>
      <c r="AP52" s="18" t="s">
        <v>2493</v>
      </c>
      <c r="AQ52" s="91" t="s">
        <v>2493</v>
      </c>
    </row>
    <row r="53" spans="1:43" s="6" customFormat="1" ht="10.5" hidden="1">
      <c r="A53" s="74" t="s">
        <v>10393</v>
      </c>
      <c r="B53" s="56" t="s">
        <v>67</v>
      </c>
      <c r="C53" s="56" t="s">
        <v>63</v>
      </c>
      <c r="D53" s="56" t="s">
        <v>10250</v>
      </c>
      <c r="E53" s="56"/>
      <c r="F53" s="56"/>
      <c r="G53" s="39"/>
      <c r="H53" s="56"/>
      <c r="I53" s="56" t="s">
        <v>10244</v>
      </c>
      <c r="J53" s="56" t="s">
        <v>550</v>
      </c>
      <c r="K53" s="75">
        <v>553120</v>
      </c>
      <c r="L53" s="84" t="s">
        <v>2700</v>
      </c>
      <c r="M53" s="75">
        <v>500</v>
      </c>
      <c r="N53" s="75">
        <v>792</v>
      </c>
      <c r="O53" s="76">
        <f t="shared" ref="O53:O116" si="6">M53*N53/1000000</f>
        <v>0.39600000000000002</v>
      </c>
      <c r="P53" s="75">
        <f t="shared" si="4"/>
        <v>22</v>
      </c>
      <c r="Q53" s="77">
        <v>1</v>
      </c>
      <c r="R53" s="56" t="s">
        <v>75</v>
      </c>
      <c r="S53" s="56"/>
      <c r="T53" s="56" t="s">
        <v>2480</v>
      </c>
      <c r="U53" s="56" t="s">
        <v>2480</v>
      </c>
      <c r="V53" s="56"/>
      <c r="W53" s="39" t="s">
        <v>10394</v>
      </c>
      <c r="X53" s="78">
        <v>45731</v>
      </c>
      <c r="Y53" s="78"/>
      <c r="Z53" s="78"/>
      <c r="AA53" s="39">
        <v>371008324</v>
      </c>
      <c r="AB53" s="79" t="s">
        <v>122</v>
      </c>
      <c r="AC53" s="80" t="s">
        <v>78</v>
      </c>
      <c r="AD53" s="78">
        <v>45736</v>
      </c>
      <c r="AE53" s="78">
        <v>45736</v>
      </c>
      <c r="AF53" s="78">
        <v>45736</v>
      </c>
      <c r="AG53" s="90">
        <v>45784</v>
      </c>
      <c r="AH53" s="90">
        <v>45784</v>
      </c>
      <c r="AI53" s="90">
        <v>45784</v>
      </c>
      <c r="AJ53" s="95" t="s">
        <v>146</v>
      </c>
      <c r="AK53" s="39" t="s">
        <v>10389</v>
      </c>
      <c r="AL53" s="39" t="s">
        <v>10395</v>
      </c>
      <c r="AM53" s="39" t="s">
        <v>10396</v>
      </c>
      <c r="AN53" s="39" t="s">
        <v>10397</v>
      </c>
      <c r="AO53" s="75">
        <f t="shared" si="2"/>
        <v>49</v>
      </c>
      <c r="AP53" s="18" t="s">
        <v>2493</v>
      </c>
      <c r="AQ53" s="91" t="s">
        <v>2493</v>
      </c>
    </row>
    <row r="54" spans="1:43" s="6" customFormat="1" ht="10" hidden="1">
      <c r="A54" s="74" t="s">
        <v>10398</v>
      </c>
      <c r="B54" s="56" t="s">
        <v>67</v>
      </c>
      <c r="C54" s="56" t="s">
        <v>63</v>
      </c>
      <c r="D54" s="56" t="s">
        <v>10250</v>
      </c>
      <c r="E54" s="56"/>
      <c r="F54" s="56"/>
      <c r="G54" s="39"/>
      <c r="H54" s="56"/>
      <c r="I54" s="56" t="s">
        <v>10244</v>
      </c>
      <c r="J54" s="56" t="s">
        <v>473</v>
      </c>
      <c r="K54" s="75">
        <v>553146</v>
      </c>
      <c r="L54" s="49" t="s">
        <v>764</v>
      </c>
      <c r="M54" s="83">
        <v>450</v>
      </c>
      <c r="N54" s="75">
        <v>864</v>
      </c>
      <c r="O54" s="76">
        <f t="shared" si="6"/>
        <v>0.38879999999999998</v>
      </c>
      <c r="P54" s="75">
        <f t="shared" si="4"/>
        <v>24</v>
      </c>
      <c r="Q54" s="77">
        <f>N54/864</f>
        <v>1</v>
      </c>
      <c r="R54" s="56" t="s">
        <v>75</v>
      </c>
      <c r="S54" s="56"/>
      <c r="T54" s="56" t="s">
        <v>2480</v>
      </c>
      <c r="U54" s="56" t="s">
        <v>2480</v>
      </c>
      <c r="V54" s="56"/>
      <c r="W54" s="39" t="s">
        <v>10399</v>
      </c>
      <c r="X54" s="78">
        <v>45731</v>
      </c>
      <c r="Y54" s="78"/>
      <c r="Z54" s="78"/>
      <c r="AA54" s="39">
        <v>371008342</v>
      </c>
      <c r="AB54" s="79" t="s">
        <v>122</v>
      </c>
      <c r="AC54" s="80" t="s">
        <v>105</v>
      </c>
      <c r="AD54" s="78">
        <v>45736</v>
      </c>
      <c r="AE54" s="78">
        <v>45736</v>
      </c>
      <c r="AF54" s="78">
        <v>45736</v>
      </c>
      <c r="AG54" s="78">
        <v>45775</v>
      </c>
      <c r="AH54" s="78">
        <v>45775</v>
      </c>
      <c r="AI54" s="78">
        <v>45775</v>
      </c>
      <c r="AJ54" s="75" t="s">
        <v>66</v>
      </c>
      <c r="AK54" s="39" t="s">
        <v>10400</v>
      </c>
      <c r="AL54" s="39" t="s">
        <v>10401</v>
      </c>
      <c r="AM54" s="39" t="s">
        <v>10402</v>
      </c>
      <c r="AN54" s="39">
        <v>250480762</v>
      </c>
      <c r="AO54" s="75">
        <f t="shared" si="2"/>
        <v>40</v>
      </c>
      <c r="AP54" s="39" t="s">
        <v>2493</v>
      </c>
      <c r="AQ54" s="75" t="s">
        <v>2493</v>
      </c>
    </row>
    <row r="55" spans="1:43" s="6" customFormat="1" ht="10.5" hidden="1" customHeight="1">
      <c r="A55" s="74" t="s">
        <v>10403</v>
      </c>
      <c r="B55" s="56" t="s">
        <v>67</v>
      </c>
      <c r="C55" s="56" t="s">
        <v>63</v>
      </c>
      <c r="D55" s="56" t="s">
        <v>10250</v>
      </c>
      <c r="E55" s="56"/>
      <c r="F55" s="56"/>
      <c r="G55" s="39"/>
      <c r="H55" s="56"/>
      <c r="I55" s="56" t="s">
        <v>10244</v>
      </c>
      <c r="J55" s="56" t="s">
        <v>473</v>
      </c>
      <c r="K55" s="75">
        <v>553145</v>
      </c>
      <c r="L55" s="84" t="s">
        <v>530</v>
      </c>
      <c r="M55" s="75">
        <v>455</v>
      </c>
      <c r="N55" s="75">
        <f>864*8</f>
        <v>6912</v>
      </c>
      <c r="O55" s="76">
        <f t="shared" si="6"/>
        <v>3.1449600000000002</v>
      </c>
      <c r="P55" s="75">
        <f t="shared" si="4"/>
        <v>192</v>
      </c>
      <c r="Q55" s="77">
        <f>N55/864</f>
        <v>8</v>
      </c>
      <c r="R55" s="56" t="s">
        <v>75</v>
      </c>
      <c r="S55" s="56"/>
      <c r="T55" s="56" t="s">
        <v>2480</v>
      </c>
      <c r="U55" s="56" t="s">
        <v>2480</v>
      </c>
      <c r="V55" s="56"/>
      <c r="W55" s="39" t="s">
        <v>10399</v>
      </c>
      <c r="X55" s="78">
        <v>45731</v>
      </c>
      <c r="Y55" s="78"/>
      <c r="Z55" s="78"/>
      <c r="AA55" s="39">
        <v>371008353</v>
      </c>
      <c r="AB55" s="79" t="s">
        <v>122</v>
      </c>
      <c r="AC55" s="80" t="s">
        <v>105</v>
      </c>
      <c r="AD55" s="78">
        <v>45736</v>
      </c>
      <c r="AE55" s="78">
        <v>45736</v>
      </c>
      <c r="AF55" s="78">
        <v>45736</v>
      </c>
      <c r="AG55" s="78">
        <v>45775</v>
      </c>
      <c r="AH55" s="78">
        <v>45775</v>
      </c>
      <c r="AI55" s="78">
        <v>45775</v>
      </c>
      <c r="AJ55" s="75" t="s">
        <v>66</v>
      </c>
      <c r="AK55" s="39" t="s">
        <v>10400</v>
      </c>
      <c r="AL55" s="39" t="s">
        <v>10401</v>
      </c>
      <c r="AM55" s="39" t="s">
        <v>10402</v>
      </c>
      <c r="AN55" s="39">
        <v>250480762</v>
      </c>
      <c r="AO55" s="75">
        <f t="shared" si="2"/>
        <v>40</v>
      </c>
      <c r="AP55" s="39" t="s">
        <v>2493</v>
      </c>
      <c r="AQ55" s="75" t="s">
        <v>2493</v>
      </c>
    </row>
    <row r="56" spans="1:43" s="101" customFormat="1" ht="10" hidden="1">
      <c r="A56" s="97" t="s">
        <v>10404</v>
      </c>
      <c r="B56" s="98" t="s">
        <v>67</v>
      </c>
      <c r="C56" s="98" t="s">
        <v>63</v>
      </c>
      <c r="D56" s="98" t="s">
        <v>10250</v>
      </c>
      <c r="E56" s="98"/>
      <c r="F56" s="99"/>
      <c r="G56" s="36"/>
      <c r="H56" s="99"/>
      <c r="I56" s="56" t="s">
        <v>10244</v>
      </c>
      <c r="J56" s="98" t="s">
        <v>170</v>
      </c>
      <c r="K56" s="100">
        <v>552045</v>
      </c>
      <c r="L56" s="56" t="s">
        <v>172</v>
      </c>
      <c r="M56" s="75">
        <v>555</v>
      </c>
      <c r="N56" s="75">
        <v>5280</v>
      </c>
      <c r="O56" s="76">
        <f t="shared" si="6"/>
        <v>2.9304000000000001</v>
      </c>
      <c r="P56" s="75">
        <f>N56/33</f>
        <v>160</v>
      </c>
      <c r="Q56" s="77">
        <f>N56/660</f>
        <v>8</v>
      </c>
      <c r="R56" s="56" t="s">
        <v>75</v>
      </c>
      <c r="S56" s="99"/>
      <c r="T56" s="56" t="s">
        <v>2480</v>
      </c>
      <c r="U56" s="56" t="s">
        <v>2480</v>
      </c>
      <c r="V56" s="56"/>
      <c r="W56" s="39" t="s">
        <v>10399</v>
      </c>
      <c r="X56" s="78">
        <v>45735</v>
      </c>
      <c r="Y56" s="78"/>
      <c r="Z56" s="78"/>
      <c r="AA56" s="39">
        <v>371008338</v>
      </c>
      <c r="AB56" s="79" t="s">
        <v>122</v>
      </c>
      <c r="AC56" s="80" t="s">
        <v>356</v>
      </c>
      <c r="AD56" s="78">
        <v>45739</v>
      </c>
      <c r="AE56" s="78">
        <v>45739</v>
      </c>
      <c r="AF56" s="78">
        <v>45739</v>
      </c>
      <c r="AG56" s="90">
        <v>45779</v>
      </c>
      <c r="AH56" s="90">
        <v>45778</v>
      </c>
      <c r="AI56" s="90">
        <v>45779</v>
      </c>
      <c r="AJ56" s="91" t="s">
        <v>66</v>
      </c>
      <c r="AK56" s="36" t="s">
        <v>10405</v>
      </c>
      <c r="AL56" s="36" t="s">
        <v>10406</v>
      </c>
      <c r="AM56" s="36" t="s">
        <v>10407</v>
      </c>
      <c r="AN56" s="36" t="s">
        <v>10408</v>
      </c>
      <c r="AO56" s="86">
        <f t="shared" si="2"/>
        <v>41</v>
      </c>
      <c r="AP56" s="18" t="s">
        <v>2493</v>
      </c>
      <c r="AQ56" s="91" t="s">
        <v>2493</v>
      </c>
    </row>
    <row r="57" spans="1:43" s="6" customFormat="1" ht="10" hidden="1">
      <c r="A57" s="74" t="s">
        <v>10409</v>
      </c>
      <c r="B57" s="56" t="s">
        <v>67</v>
      </c>
      <c r="C57" s="56" t="s">
        <v>63</v>
      </c>
      <c r="D57" s="56" t="s">
        <v>10250</v>
      </c>
      <c r="E57" s="56"/>
      <c r="F57" s="56"/>
      <c r="G57" s="39"/>
      <c r="H57" s="56"/>
      <c r="I57" s="56" t="s">
        <v>10244</v>
      </c>
      <c r="J57" s="56" t="s">
        <v>550</v>
      </c>
      <c r="K57" s="75">
        <v>553120</v>
      </c>
      <c r="L57" s="56" t="s">
        <v>2700</v>
      </c>
      <c r="M57" s="75">
        <v>500</v>
      </c>
      <c r="N57" s="75">
        <v>1584</v>
      </c>
      <c r="O57" s="76">
        <f t="shared" si="6"/>
        <v>0.79200000000000004</v>
      </c>
      <c r="P57" s="75">
        <f>N57/36</f>
        <v>44</v>
      </c>
      <c r="Q57" s="77">
        <f>N57/792</f>
        <v>2</v>
      </c>
      <c r="R57" s="56" t="s">
        <v>75</v>
      </c>
      <c r="S57" s="56"/>
      <c r="T57" s="56" t="s">
        <v>2480</v>
      </c>
      <c r="U57" s="56" t="s">
        <v>2480</v>
      </c>
      <c r="V57" s="56"/>
      <c r="W57" s="39" t="s">
        <v>10394</v>
      </c>
      <c r="X57" s="78">
        <v>45741</v>
      </c>
      <c r="Y57" s="78"/>
      <c r="Z57" s="78"/>
      <c r="AA57" s="39">
        <v>371008328</v>
      </c>
      <c r="AB57" s="79" t="s">
        <v>122</v>
      </c>
      <c r="AC57" s="80" t="s">
        <v>356</v>
      </c>
      <c r="AD57" s="78">
        <v>45746</v>
      </c>
      <c r="AE57" s="78">
        <v>45746</v>
      </c>
      <c r="AF57" s="78">
        <v>45746</v>
      </c>
      <c r="AG57" s="90">
        <v>45789</v>
      </c>
      <c r="AH57" s="90">
        <v>45787</v>
      </c>
      <c r="AI57" s="90">
        <v>45789</v>
      </c>
      <c r="AJ57" s="91" t="s">
        <v>66</v>
      </c>
      <c r="AK57" s="39" t="s">
        <v>10410</v>
      </c>
      <c r="AL57" s="39" t="s">
        <v>10411</v>
      </c>
      <c r="AM57" s="39" t="s">
        <v>10412</v>
      </c>
      <c r="AN57" s="39" t="s">
        <v>10413</v>
      </c>
      <c r="AO57" s="86">
        <f t="shared" si="2"/>
        <v>44</v>
      </c>
      <c r="AP57" s="18" t="s">
        <v>2493</v>
      </c>
      <c r="AQ57" s="91" t="s">
        <v>2493</v>
      </c>
    </row>
    <row r="58" spans="1:43" s="6" customFormat="1" ht="10" hidden="1">
      <c r="A58" s="74" t="s">
        <v>10414</v>
      </c>
      <c r="B58" s="56" t="s">
        <v>67</v>
      </c>
      <c r="C58" s="56" t="s">
        <v>63</v>
      </c>
      <c r="D58" s="56" t="s">
        <v>10250</v>
      </c>
      <c r="E58" s="56"/>
      <c r="F58" s="56"/>
      <c r="G58" s="39"/>
      <c r="H58" s="56"/>
      <c r="I58" s="56" t="s">
        <v>10244</v>
      </c>
      <c r="J58" s="56" t="s">
        <v>170</v>
      </c>
      <c r="K58" s="75">
        <v>552026</v>
      </c>
      <c r="L58" s="56" t="s">
        <v>463</v>
      </c>
      <c r="M58" s="75">
        <v>550</v>
      </c>
      <c r="N58" s="75">
        <v>5280</v>
      </c>
      <c r="O58" s="76">
        <f t="shared" si="6"/>
        <v>2.9039999999999999</v>
      </c>
      <c r="P58" s="75">
        <f>N58/33</f>
        <v>160</v>
      </c>
      <c r="Q58" s="77">
        <f>N58/660</f>
        <v>8</v>
      </c>
      <c r="R58" s="56" t="s">
        <v>75</v>
      </c>
      <c r="S58" s="56"/>
      <c r="T58" s="56" t="s">
        <v>2480</v>
      </c>
      <c r="U58" s="56" t="s">
        <v>2480</v>
      </c>
      <c r="V58" s="56"/>
      <c r="W58" s="39" t="s">
        <v>10399</v>
      </c>
      <c r="X58" s="78">
        <v>45741</v>
      </c>
      <c r="Y58" s="78"/>
      <c r="Z58" s="78"/>
      <c r="AA58" s="39">
        <v>371008335</v>
      </c>
      <c r="AB58" s="79" t="s">
        <v>122</v>
      </c>
      <c r="AC58" s="80" t="s">
        <v>356</v>
      </c>
      <c r="AD58" s="78">
        <v>45746</v>
      </c>
      <c r="AE58" s="78">
        <v>45746</v>
      </c>
      <c r="AF58" s="78">
        <v>45746</v>
      </c>
      <c r="AG58" s="90">
        <v>45789</v>
      </c>
      <c r="AH58" s="90">
        <v>45787</v>
      </c>
      <c r="AI58" s="90">
        <v>45789</v>
      </c>
      <c r="AJ58" s="91" t="s">
        <v>66</v>
      </c>
      <c r="AK58" s="39" t="s">
        <v>10410</v>
      </c>
      <c r="AL58" s="39" t="s">
        <v>10411</v>
      </c>
      <c r="AM58" s="39" t="s">
        <v>10412</v>
      </c>
      <c r="AN58" s="39" t="s">
        <v>10413</v>
      </c>
      <c r="AO58" s="86">
        <f t="shared" si="2"/>
        <v>44</v>
      </c>
      <c r="AP58" s="18" t="s">
        <v>2493</v>
      </c>
      <c r="AQ58" s="91" t="s">
        <v>2493</v>
      </c>
    </row>
    <row r="59" spans="1:43" s="6" customFormat="1" ht="10" hidden="1">
      <c r="A59" s="74" t="s">
        <v>10415</v>
      </c>
      <c r="B59" s="56" t="s">
        <v>67</v>
      </c>
      <c r="C59" s="56" t="s">
        <v>63</v>
      </c>
      <c r="D59" s="56" t="s">
        <v>10250</v>
      </c>
      <c r="E59" s="56"/>
      <c r="F59" s="56"/>
      <c r="G59" s="39"/>
      <c r="H59" s="56"/>
      <c r="I59" s="56" t="s">
        <v>10244</v>
      </c>
      <c r="J59" s="56" t="s">
        <v>550</v>
      </c>
      <c r="K59" s="75">
        <v>553118</v>
      </c>
      <c r="L59" s="56" t="s">
        <v>552</v>
      </c>
      <c r="M59" s="75">
        <v>510</v>
      </c>
      <c r="N59" s="75">
        <v>792</v>
      </c>
      <c r="O59" s="76">
        <f t="shared" si="6"/>
        <v>0.40392</v>
      </c>
      <c r="P59" s="75">
        <f>N59/36</f>
        <v>22</v>
      </c>
      <c r="Q59" s="77">
        <f>N59/792</f>
        <v>1</v>
      </c>
      <c r="R59" s="56" t="s">
        <v>75</v>
      </c>
      <c r="S59" s="56"/>
      <c r="T59" s="56" t="s">
        <v>2480</v>
      </c>
      <c r="U59" s="56" t="s">
        <v>2480</v>
      </c>
      <c r="V59" s="56"/>
      <c r="W59" s="39" t="s">
        <v>10394</v>
      </c>
      <c r="X59" s="78">
        <v>45740</v>
      </c>
      <c r="Y59" s="78"/>
      <c r="Z59" s="78"/>
      <c r="AA59" s="39">
        <v>371008333</v>
      </c>
      <c r="AB59" s="79" t="s">
        <v>122</v>
      </c>
      <c r="AC59" s="80" t="s">
        <v>105</v>
      </c>
      <c r="AD59" s="78">
        <v>45749</v>
      </c>
      <c r="AE59" s="78">
        <v>45749</v>
      </c>
      <c r="AF59" s="78">
        <v>45749</v>
      </c>
      <c r="AG59" s="90">
        <v>45799</v>
      </c>
      <c r="AH59" s="90">
        <v>45791</v>
      </c>
      <c r="AI59" s="90">
        <v>45799</v>
      </c>
      <c r="AJ59" s="91" t="s">
        <v>66</v>
      </c>
      <c r="AK59" s="39" t="s">
        <v>10416</v>
      </c>
      <c r="AL59" s="39" t="s">
        <v>10417</v>
      </c>
      <c r="AM59" s="39" t="s">
        <v>10418</v>
      </c>
      <c r="AN59" s="39" t="s">
        <v>10419</v>
      </c>
      <c r="AO59" s="102">
        <f t="shared" si="2"/>
        <v>51</v>
      </c>
      <c r="AP59" s="18" t="s">
        <v>2493</v>
      </c>
      <c r="AQ59" s="91" t="s">
        <v>2493</v>
      </c>
    </row>
    <row r="60" spans="1:43" s="6" customFormat="1" ht="10" hidden="1">
      <c r="A60" s="74" t="s">
        <v>10420</v>
      </c>
      <c r="B60" s="56" t="s">
        <v>67</v>
      </c>
      <c r="C60" s="56" t="s">
        <v>63</v>
      </c>
      <c r="D60" s="56" t="s">
        <v>10250</v>
      </c>
      <c r="E60" s="56"/>
      <c r="F60" s="56"/>
      <c r="G60" s="39"/>
      <c r="H60" s="56"/>
      <c r="I60" s="56" t="s">
        <v>10244</v>
      </c>
      <c r="J60" s="56" t="s">
        <v>550</v>
      </c>
      <c r="K60" s="75">
        <v>553120</v>
      </c>
      <c r="L60" s="56" t="s">
        <v>2700</v>
      </c>
      <c r="M60" s="75">
        <v>500</v>
      </c>
      <c r="N60" s="75">
        <v>1584</v>
      </c>
      <c r="O60" s="76">
        <f t="shared" si="6"/>
        <v>0.79200000000000004</v>
      </c>
      <c r="P60" s="75">
        <f>N60/36</f>
        <v>44</v>
      </c>
      <c r="Q60" s="77">
        <f>N60/792</f>
        <v>2</v>
      </c>
      <c r="R60" s="56" t="s">
        <v>75</v>
      </c>
      <c r="S60" s="56"/>
      <c r="T60" s="56" t="s">
        <v>2480</v>
      </c>
      <c r="U60" s="56" t="s">
        <v>2480</v>
      </c>
      <c r="V60" s="56"/>
      <c r="W60" s="39" t="s">
        <v>10394</v>
      </c>
      <c r="X60" s="78">
        <v>45740</v>
      </c>
      <c r="Y60" s="78"/>
      <c r="Z60" s="78"/>
      <c r="AA60" s="39">
        <v>371008329</v>
      </c>
      <c r="AB60" s="79" t="s">
        <v>122</v>
      </c>
      <c r="AC60" s="80" t="s">
        <v>105</v>
      </c>
      <c r="AD60" s="78">
        <v>45749</v>
      </c>
      <c r="AE60" s="78">
        <v>45749</v>
      </c>
      <c r="AF60" s="78">
        <v>45749</v>
      </c>
      <c r="AG60" s="90">
        <v>45799</v>
      </c>
      <c r="AH60" s="90">
        <v>45791</v>
      </c>
      <c r="AI60" s="90">
        <v>45799</v>
      </c>
      <c r="AJ60" s="91" t="s">
        <v>66</v>
      </c>
      <c r="AK60" s="39" t="s">
        <v>10416</v>
      </c>
      <c r="AL60" s="39" t="s">
        <v>10417</v>
      </c>
      <c r="AM60" s="39" t="s">
        <v>10418</v>
      </c>
      <c r="AN60" s="39" t="s">
        <v>10419</v>
      </c>
      <c r="AO60" s="102">
        <f t="shared" si="2"/>
        <v>51</v>
      </c>
      <c r="AP60" s="18" t="s">
        <v>2493</v>
      </c>
      <c r="AQ60" s="91" t="s">
        <v>2493</v>
      </c>
    </row>
    <row r="61" spans="1:43" s="6" customFormat="1" ht="10" hidden="1">
      <c r="A61" s="74" t="s">
        <v>10421</v>
      </c>
      <c r="B61" s="56" t="s">
        <v>67</v>
      </c>
      <c r="C61" s="56" t="s">
        <v>63</v>
      </c>
      <c r="D61" s="56" t="s">
        <v>10250</v>
      </c>
      <c r="E61" s="56"/>
      <c r="F61" s="56"/>
      <c r="G61" s="39"/>
      <c r="H61" s="56"/>
      <c r="I61" s="56" t="s">
        <v>10244</v>
      </c>
      <c r="J61" s="56" t="s">
        <v>170</v>
      </c>
      <c r="K61" s="75">
        <v>552026</v>
      </c>
      <c r="L61" s="56" t="s">
        <v>463</v>
      </c>
      <c r="M61" s="75">
        <v>550</v>
      </c>
      <c r="N61" s="75">
        <v>2640</v>
      </c>
      <c r="O61" s="76">
        <f t="shared" si="6"/>
        <v>1.452</v>
      </c>
      <c r="P61" s="75">
        <f>N61/33</f>
        <v>80</v>
      </c>
      <c r="Q61" s="77">
        <f>N61/660</f>
        <v>4</v>
      </c>
      <c r="R61" s="56" t="s">
        <v>75</v>
      </c>
      <c r="S61" s="56"/>
      <c r="T61" s="56" t="s">
        <v>2480</v>
      </c>
      <c r="U61" s="56" t="s">
        <v>2480</v>
      </c>
      <c r="V61" s="56"/>
      <c r="W61" s="39" t="s">
        <v>10399</v>
      </c>
      <c r="X61" s="78">
        <v>45740</v>
      </c>
      <c r="Y61" s="78"/>
      <c r="Z61" s="78"/>
      <c r="AA61" s="39">
        <v>371008336</v>
      </c>
      <c r="AB61" s="79" t="s">
        <v>122</v>
      </c>
      <c r="AC61" s="80" t="s">
        <v>105</v>
      </c>
      <c r="AD61" s="78">
        <v>45749</v>
      </c>
      <c r="AE61" s="78">
        <v>45749</v>
      </c>
      <c r="AF61" s="78">
        <v>45749</v>
      </c>
      <c r="AG61" s="90">
        <v>45799</v>
      </c>
      <c r="AH61" s="90">
        <v>45791</v>
      </c>
      <c r="AI61" s="90">
        <v>45799</v>
      </c>
      <c r="AJ61" s="91" t="s">
        <v>66</v>
      </c>
      <c r="AK61" s="39" t="s">
        <v>10416</v>
      </c>
      <c r="AL61" s="39" t="s">
        <v>10417</v>
      </c>
      <c r="AM61" s="39" t="s">
        <v>10418</v>
      </c>
      <c r="AN61" s="39" t="s">
        <v>10419</v>
      </c>
      <c r="AO61" s="102">
        <f t="shared" si="2"/>
        <v>51</v>
      </c>
      <c r="AP61" s="18" t="s">
        <v>2493</v>
      </c>
      <c r="AQ61" s="91" t="s">
        <v>2493</v>
      </c>
    </row>
    <row r="62" spans="1:43" s="6" customFormat="1" ht="10" hidden="1">
      <c r="A62" s="74" t="s">
        <v>10422</v>
      </c>
      <c r="B62" s="56" t="s">
        <v>67</v>
      </c>
      <c r="C62" s="56" t="s">
        <v>63</v>
      </c>
      <c r="D62" s="56" t="s">
        <v>10250</v>
      </c>
      <c r="E62" s="56"/>
      <c r="F62" s="56"/>
      <c r="G62" s="39"/>
      <c r="H62" s="56"/>
      <c r="I62" s="56" t="s">
        <v>10244</v>
      </c>
      <c r="J62" s="56" t="s">
        <v>170</v>
      </c>
      <c r="K62" s="75">
        <v>552045</v>
      </c>
      <c r="L62" s="56" t="s">
        <v>172</v>
      </c>
      <c r="M62" s="75">
        <v>555</v>
      </c>
      <c r="N62" s="75">
        <v>660</v>
      </c>
      <c r="O62" s="76">
        <f t="shared" si="6"/>
        <v>0.36630000000000001</v>
      </c>
      <c r="P62" s="75">
        <f>N62/33</f>
        <v>20</v>
      </c>
      <c r="Q62" s="77">
        <f>N62/660</f>
        <v>1</v>
      </c>
      <c r="R62" s="56" t="s">
        <v>75</v>
      </c>
      <c r="S62" s="56"/>
      <c r="T62" s="56" t="s">
        <v>2480</v>
      </c>
      <c r="U62" s="56" t="s">
        <v>2480</v>
      </c>
      <c r="V62" s="56"/>
      <c r="W62" s="39" t="s">
        <v>10399</v>
      </c>
      <c r="X62" s="78">
        <v>45740</v>
      </c>
      <c r="Y62" s="78"/>
      <c r="Z62" s="78"/>
      <c r="AA62" s="39">
        <v>371008340</v>
      </c>
      <c r="AB62" s="79" t="s">
        <v>122</v>
      </c>
      <c r="AC62" s="80" t="s">
        <v>105</v>
      </c>
      <c r="AD62" s="78">
        <v>45749</v>
      </c>
      <c r="AE62" s="78">
        <v>45749</v>
      </c>
      <c r="AF62" s="78">
        <v>45749</v>
      </c>
      <c r="AG62" s="90">
        <v>45799</v>
      </c>
      <c r="AH62" s="90">
        <v>45791</v>
      </c>
      <c r="AI62" s="90">
        <v>45799</v>
      </c>
      <c r="AJ62" s="91" t="s">
        <v>66</v>
      </c>
      <c r="AK62" s="39" t="s">
        <v>10416</v>
      </c>
      <c r="AL62" s="39" t="s">
        <v>10417</v>
      </c>
      <c r="AM62" s="39" t="s">
        <v>10418</v>
      </c>
      <c r="AN62" s="39" t="s">
        <v>10419</v>
      </c>
      <c r="AO62" s="102">
        <f t="shared" si="2"/>
        <v>51</v>
      </c>
      <c r="AP62" s="18" t="s">
        <v>2493</v>
      </c>
      <c r="AQ62" s="91" t="s">
        <v>2493</v>
      </c>
    </row>
    <row r="63" spans="1:43" s="6" customFormat="1" ht="10" hidden="1">
      <c r="A63" s="74" t="s">
        <v>10423</v>
      </c>
      <c r="B63" s="56" t="s">
        <v>67</v>
      </c>
      <c r="C63" s="56" t="s">
        <v>63</v>
      </c>
      <c r="D63" s="56" t="s">
        <v>10250</v>
      </c>
      <c r="E63" s="56"/>
      <c r="F63" s="56"/>
      <c r="G63" s="39"/>
      <c r="H63" s="56"/>
      <c r="I63" s="56" t="s">
        <v>10244</v>
      </c>
      <c r="J63" s="56" t="s">
        <v>473</v>
      </c>
      <c r="K63" s="75">
        <v>553145</v>
      </c>
      <c r="L63" s="56" t="s">
        <v>530</v>
      </c>
      <c r="M63" s="75">
        <v>455</v>
      </c>
      <c r="N63" s="75">
        <f>864*3</f>
        <v>2592</v>
      </c>
      <c r="O63" s="76">
        <f t="shared" si="6"/>
        <v>1.17936</v>
      </c>
      <c r="P63" s="75">
        <f>N63/36</f>
        <v>72</v>
      </c>
      <c r="Q63" s="77">
        <f>N63/864</f>
        <v>3</v>
      </c>
      <c r="R63" s="56" t="s">
        <v>75</v>
      </c>
      <c r="S63" s="56"/>
      <c r="T63" s="56" t="s">
        <v>2480</v>
      </c>
      <c r="U63" s="56" t="s">
        <v>2480</v>
      </c>
      <c r="V63" s="56"/>
      <c r="W63" s="39" t="s">
        <v>10399</v>
      </c>
      <c r="X63" s="78">
        <v>45740</v>
      </c>
      <c r="Y63" s="78"/>
      <c r="Z63" s="78"/>
      <c r="AA63" s="39">
        <v>371008354</v>
      </c>
      <c r="AB63" s="79" t="s">
        <v>122</v>
      </c>
      <c r="AC63" s="80" t="s">
        <v>105</v>
      </c>
      <c r="AD63" s="78">
        <v>45749</v>
      </c>
      <c r="AE63" s="78">
        <v>45749</v>
      </c>
      <c r="AF63" s="78">
        <v>45749</v>
      </c>
      <c r="AG63" s="90">
        <v>45799</v>
      </c>
      <c r="AH63" s="90">
        <v>45791</v>
      </c>
      <c r="AI63" s="90">
        <v>45799</v>
      </c>
      <c r="AJ63" s="91" t="s">
        <v>66</v>
      </c>
      <c r="AK63" s="39" t="s">
        <v>10416</v>
      </c>
      <c r="AL63" s="39" t="s">
        <v>10417</v>
      </c>
      <c r="AM63" s="39" t="s">
        <v>10418</v>
      </c>
      <c r="AN63" s="39" t="s">
        <v>10419</v>
      </c>
      <c r="AO63" s="102">
        <f t="shared" si="2"/>
        <v>51</v>
      </c>
      <c r="AP63" s="18" t="s">
        <v>2493</v>
      </c>
      <c r="AQ63" s="91" t="s">
        <v>2493</v>
      </c>
    </row>
    <row r="64" spans="1:43" s="6" customFormat="1" ht="10" hidden="1">
      <c r="A64" s="74" t="s">
        <v>10424</v>
      </c>
      <c r="B64" s="56" t="s">
        <v>67</v>
      </c>
      <c r="C64" s="56" t="s">
        <v>63</v>
      </c>
      <c r="D64" s="56" t="s">
        <v>10250</v>
      </c>
      <c r="E64" s="56"/>
      <c r="F64" s="56"/>
      <c r="G64" s="39"/>
      <c r="H64" s="56"/>
      <c r="I64" s="56" t="s">
        <v>10244</v>
      </c>
      <c r="J64" s="56" t="s">
        <v>550</v>
      </c>
      <c r="K64" s="75">
        <v>553120</v>
      </c>
      <c r="L64" s="56" t="s">
        <v>2700</v>
      </c>
      <c r="M64" s="75">
        <v>500</v>
      </c>
      <c r="N64" s="75">
        <v>3168</v>
      </c>
      <c r="O64" s="76">
        <f t="shared" si="6"/>
        <v>1.5840000000000001</v>
      </c>
      <c r="P64" s="75">
        <f>N64/36</f>
        <v>88</v>
      </c>
      <c r="Q64" s="77">
        <f>N64/792</f>
        <v>4</v>
      </c>
      <c r="R64" s="56" t="s">
        <v>75</v>
      </c>
      <c r="S64" s="56"/>
      <c r="T64" s="56" t="s">
        <v>2480</v>
      </c>
      <c r="U64" s="56" t="s">
        <v>2480</v>
      </c>
      <c r="V64" s="56"/>
      <c r="W64" s="39" t="s">
        <v>10394</v>
      </c>
      <c r="X64" s="78">
        <v>45740</v>
      </c>
      <c r="Y64" s="78"/>
      <c r="Z64" s="78"/>
      <c r="AA64" s="39">
        <v>371008330</v>
      </c>
      <c r="AB64" s="79" t="s">
        <v>122</v>
      </c>
      <c r="AC64" s="80" t="s">
        <v>356</v>
      </c>
      <c r="AD64" s="78">
        <v>45744</v>
      </c>
      <c r="AE64" s="78">
        <v>45744</v>
      </c>
      <c r="AF64" s="78">
        <v>45744</v>
      </c>
      <c r="AG64" s="90">
        <v>45784</v>
      </c>
      <c r="AH64" s="90">
        <v>45784</v>
      </c>
      <c r="AI64" s="90">
        <v>45784</v>
      </c>
      <c r="AJ64" s="91" t="s">
        <v>66</v>
      </c>
      <c r="AK64" s="39" t="s">
        <v>10425</v>
      </c>
      <c r="AL64" s="39" t="s">
        <v>10426</v>
      </c>
      <c r="AM64" s="39" t="s">
        <v>10427</v>
      </c>
      <c r="AN64" s="39" t="s">
        <v>10427</v>
      </c>
      <c r="AO64" s="86">
        <f t="shared" si="2"/>
        <v>41</v>
      </c>
      <c r="AP64" s="18" t="s">
        <v>2493</v>
      </c>
      <c r="AQ64" s="91" t="s">
        <v>2493</v>
      </c>
    </row>
    <row r="65" spans="1:43" s="6" customFormat="1" ht="10" hidden="1">
      <c r="A65" s="74" t="s">
        <v>10428</v>
      </c>
      <c r="B65" s="56" t="s">
        <v>67</v>
      </c>
      <c r="C65" s="56" t="s">
        <v>63</v>
      </c>
      <c r="D65" s="56" t="s">
        <v>10250</v>
      </c>
      <c r="E65" s="56"/>
      <c r="F65" s="56"/>
      <c r="G65" s="39"/>
      <c r="H65" s="56"/>
      <c r="I65" s="56" t="s">
        <v>10244</v>
      </c>
      <c r="J65" s="56" t="s">
        <v>170</v>
      </c>
      <c r="K65" s="75">
        <v>552045</v>
      </c>
      <c r="L65" s="56" t="s">
        <v>172</v>
      </c>
      <c r="M65" s="75">
        <v>555</v>
      </c>
      <c r="N65" s="75">
        <v>3300</v>
      </c>
      <c r="O65" s="76">
        <f t="shared" si="6"/>
        <v>1.8314999999999999</v>
      </c>
      <c r="P65" s="75">
        <f>N65/33</f>
        <v>100</v>
      </c>
      <c r="Q65" s="77">
        <f>N65/660</f>
        <v>5</v>
      </c>
      <c r="R65" s="56" t="s">
        <v>75</v>
      </c>
      <c r="S65" s="56"/>
      <c r="T65" s="56" t="s">
        <v>2480</v>
      </c>
      <c r="U65" s="56" t="s">
        <v>2480</v>
      </c>
      <c r="V65" s="56"/>
      <c r="W65" s="39" t="s">
        <v>10399</v>
      </c>
      <c r="X65" s="78">
        <v>45740</v>
      </c>
      <c r="Y65" s="78"/>
      <c r="Z65" s="78"/>
      <c r="AA65" s="39">
        <v>371008341</v>
      </c>
      <c r="AB65" s="79" t="s">
        <v>122</v>
      </c>
      <c r="AC65" s="80" t="s">
        <v>356</v>
      </c>
      <c r="AD65" s="78">
        <v>45744</v>
      </c>
      <c r="AE65" s="78">
        <v>45744</v>
      </c>
      <c r="AF65" s="78">
        <v>45744</v>
      </c>
      <c r="AG65" s="90">
        <v>45784</v>
      </c>
      <c r="AH65" s="90">
        <v>45784</v>
      </c>
      <c r="AI65" s="90">
        <v>45784</v>
      </c>
      <c r="AJ65" s="91" t="s">
        <v>66</v>
      </c>
      <c r="AK65" s="39" t="s">
        <v>10429</v>
      </c>
      <c r="AL65" s="39" t="s">
        <v>10426</v>
      </c>
      <c r="AM65" s="39" t="s">
        <v>10427</v>
      </c>
      <c r="AN65" s="39" t="s">
        <v>10427</v>
      </c>
      <c r="AO65" s="86">
        <f t="shared" si="2"/>
        <v>41</v>
      </c>
      <c r="AP65" s="18" t="s">
        <v>2493</v>
      </c>
      <c r="AQ65" s="91" t="s">
        <v>2493</v>
      </c>
    </row>
    <row r="66" spans="1:43" s="101" customFormat="1" ht="10" hidden="1">
      <c r="A66" s="97" t="s">
        <v>10430</v>
      </c>
      <c r="B66" s="98" t="s">
        <v>67</v>
      </c>
      <c r="C66" s="98" t="s">
        <v>63</v>
      </c>
      <c r="D66" s="98" t="s">
        <v>10250</v>
      </c>
      <c r="E66" s="98"/>
      <c r="F66" s="56"/>
      <c r="G66" s="39"/>
      <c r="H66" s="56"/>
      <c r="I66" s="56" t="s">
        <v>10244</v>
      </c>
      <c r="J66" s="98" t="s">
        <v>170</v>
      </c>
      <c r="K66" s="100">
        <v>552026</v>
      </c>
      <c r="L66" s="56" t="s">
        <v>463</v>
      </c>
      <c r="M66" s="75">
        <v>550</v>
      </c>
      <c r="N66" s="75">
        <v>5940</v>
      </c>
      <c r="O66" s="76">
        <f t="shared" si="6"/>
        <v>3.2669999999999999</v>
      </c>
      <c r="P66" s="75">
        <f>N66/33</f>
        <v>180</v>
      </c>
      <c r="Q66" s="77">
        <f>N66/660</f>
        <v>9</v>
      </c>
      <c r="R66" s="56" t="s">
        <v>75</v>
      </c>
      <c r="S66" s="56"/>
      <c r="T66" s="56" t="s">
        <v>2480</v>
      </c>
      <c r="U66" s="56" t="s">
        <v>2480</v>
      </c>
      <c r="V66" s="56"/>
      <c r="W66" s="39" t="s">
        <v>10399</v>
      </c>
      <c r="X66" s="78">
        <v>45739</v>
      </c>
      <c r="Y66" s="78"/>
      <c r="Z66" s="78"/>
      <c r="AA66" s="39">
        <v>371008337</v>
      </c>
      <c r="AB66" s="79" t="s">
        <v>122</v>
      </c>
      <c r="AC66" s="80" t="s">
        <v>78</v>
      </c>
      <c r="AD66" s="78">
        <v>45745</v>
      </c>
      <c r="AE66" s="78">
        <v>45745</v>
      </c>
      <c r="AF66" s="78">
        <v>45745</v>
      </c>
      <c r="AG66" s="90">
        <v>45792</v>
      </c>
      <c r="AH66" s="90">
        <v>45791</v>
      </c>
      <c r="AI66" s="90">
        <v>45792</v>
      </c>
      <c r="AJ66" s="91" t="s">
        <v>66</v>
      </c>
      <c r="AK66" s="36" t="s">
        <v>10431</v>
      </c>
      <c r="AL66" s="36" t="s">
        <v>10432</v>
      </c>
      <c r="AM66" s="36" t="s">
        <v>10433</v>
      </c>
      <c r="AN66" s="36" t="s">
        <v>10434</v>
      </c>
      <c r="AO66" s="102">
        <f t="shared" si="2"/>
        <v>48</v>
      </c>
      <c r="AP66" s="18" t="s">
        <v>2493</v>
      </c>
      <c r="AQ66" s="91" t="s">
        <v>2493</v>
      </c>
    </row>
    <row r="67" spans="1:43" s="6" customFormat="1" ht="11.5" hidden="1">
      <c r="A67" s="74" t="s">
        <v>10435</v>
      </c>
      <c r="B67" s="56" t="s">
        <v>67</v>
      </c>
      <c r="C67" s="56" t="s">
        <v>63</v>
      </c>
      <c r="D67" s="56" t="s">
        <v>10250</v>
      </c>
      <c r="E67" s="56"/>
      <c r="F67" s="56"/>
      <c r="G67" s="39"/>
      <c r="H67" s="56"/>
      <c r="I67" s="56" t="s">
        <v>10244</v>
      </c>
      <c r="J67" s="56" t="s">
        <v>473</v>
      </c>
      <c r="K67" s="75">
        <v>553146</v>
      </c>
      <c r="L67" s="49" t="s">
        <v>764</v>
      </c>
      <c r="M67" s="96">
        <v>450</v>
      </c>
      <c r="N67" s="91">
        <v>864</v>
      </c>
      <c r="O67" s="92">
        <f t="shared" si="6"/>
        <v>0.38879999999999998</v>
      </c>
      <c r="P67" s="91">
        <f>N67/36</f>
        <v>24</v>
      </c>
      <c r="Q67" s="93">
        <f>N67/864</f>
        <v>1</v>
      </c>
      <c r="R67" s="56" t="s">
        <v>75</v>
      </c>
      <c r="S67" s="56"/>
      <c r="T67" s="56" t="s">
        <v>2480</v>
      </c>
      <c r="U67" s="56" t="s">
        <v>2480</v>
      </c>
      <c r="V67" s="56"/>
      <c r="W67" s="39" t="s">
        <v>10399</v>
      </c>
      <c r="X67" s="90">
        <v>45760</v>
      </c>
      <c r="Y67" s="90"/>
      <c r="Z67" s="90"/>
      <c r="AA67" s="103">
        <v>371008426</v>
      </c>
      <c r="AB67" s="79" t="s">
        <v>122</v>
      </c>
      <c r="AC67" s="94" t="s">
        <v>456</v>
      </c>
      <c r="AD67" s="90">
        <v>45769</v>
      </c>
      <c r="AE67" s="90">
        <v>45769</v>
      </c>
      <c r="AF67" s="90">
        <v>45769</v>
      </c>
      <c r="AG67" s="90">
        <v>45809</v>
      </c>
      <c r="AH67" s="90">
        <v>45809</v>
      </c>
      <c r="AI67" s="90">
        <v>45809</v>
      </c>
      <c r="AJ67" s="75" t="s">
        <v>66</v>
      </c>
      <c r="AK67" s="39" t="s">
        <v>10436</v>
      </c>
      <c r="AL67" s="39" t="s">
        <v>10437</v>
      </c>
      <c r="AM67" s="39" t="s">
        <v>10438</v>
      </c>
      <c r="AN67" s="39" t="s">
        <v>10438</v>
      </c>
      <c r="AO67" s="75">
        <f t="shared" si="2"/>
        <v>41</v>
      </c>
      <c r="AP67" s="39" t="s">
        <v>2493</v>
      </c>
      <c r="AQ67" s="91" t="s">
        <v>2493</v>
      </c>
    </row>
    <row r="68" spans="1:43" s="6" customFormat="1" ht="11.5" hidden="1">
      <c r="A68" s="74" t="s">
        <v>10439</v>
      </c>
      <c r="B68" s="56" t="s">
        <v>67</v>
      </c>
      <c r="C68" s="56" t="s">
        <v>63</v>
      </c>
      <c r="D68" s="56" t="s">
        <v>10250</v>
      </c>
      <c r="E68" s="56"/>
      <c r="F68" s="56"/>
      <c r="G68" s="39"/>
      <c r="H68" s="56"/>
      <c r="I68" s="56" t="s">
        <v>10244</v>
      </c>
      <c r="J68" s="56" t="s">
        <v>170</v>
      </c>
      <c r="K68" s="75">
        <v>552045</v>
      </c>
      <c r="L68" s="84" t="s">
        <v>172</v>
      </c>
      <c r="M68" s="91">
        <v>555</v>
      </c>
      <c r="N68" s="91">
        <v>2640</v>
      </c>
      <c r="O68" s="92">
        <f t="shared" si="6"/>
        <v>1.4652000000000001</v>
      </c>
      <c r="P68" s="91">
        <f>N68/33</f>
        <v>80</v>
      </c>
      <c r="Q68" s="93">
        <f>N68/660</f>
        <v>4</v>
      </c>
      <c r="R68" s="56" t="s">
        <v>75</v>
      </c>
      <c r="S68" s="56"/>
      <c r="T68" s="56" t="s">
        <v>2480</v>
      </c>
      <c r="U68" s="56" t="s">
        <v>2480</v>
      </c>
      <c r="V68" s="56"/>
      <c r="W68" s="39" t="s">
        <v>10440</v>
      </c>
      <c r="X68" s="90">
        <v>45760</v>
      </c>
      <c r="Y68" s="90"/>
      <c r="Z68" s="90"/>
      <c r="AA68" s="103">
        <v>371008434</v>
      </c>
      <c r="AB68" s="79" t="s">
        <v>122</v>
      </c>
      <c r="AC68" s="94" t="s">
        <v>356</v>
      </c>
      <c r="AD68" s="90">
        <v>45771</v>
      </c>
      <c r="AE68" s="90">
        <v>45771</v>
      </c>
      <c r="AF68" s="90">
        <v>45771</v>
      </c>
      <c r="AG68" s="90">
        <v>45810</v>
      </c>
      <c r="AH68" s="90">
        <v>45810</v>
      </c>
      <c r="AI68" s="90">
        <v>45810</v>
      </c>
      <c r="AJ68" s="75" t="s">
        <v>66</v>
      </c>
      <c r="AK68" s="39" t="s">
        <v>10441</v>
      </c>
      <c r="AL68" s="39" t="s">
        <v>10442</v>
      </c>
      <c r="AM68" s="39" t="s">
        <v>10443</v>
      </c>
      <c r="AN68" s="39" t="s">
        <v>10443</v>
      </c>
      <c r="AO68" s="75">
        <f t="shared" ref="AO68:AO131" si="7">DATEDIF(AD68,AG68,"d")+1</f>
        <v>40</v>
      </c>
      <c r="AP68" s="39" t="s">
        <v>2493</v>
      </c>
      <c r="AQ68" s="91" t="s">
        <v>2493</v>
      </c>
    </row>
    <row r="69" spans="1:43" s="6" customFormat="1" ht="10.5" hidden="1" customHeight="1">
      <c r="A69" s="74" t="s">
        <v>10444</v>
      </c>
      <c r="B69" s="56" t="s">
        <v>67</v>
      </c>
      <c r="C69" s="56" t="s">
        <v>63</v>
      </c>
      <c r="D69" s="56" t="s">
        <v>10250</v>
      </c>
      <c r="E69" s="56"/>
      <c r="F69" s="56"/>
      <c r="G69" s="39"/>
      <c r="H69" s="56"/>
      <c r="I69" s="56" t="s">
        <v>10244</v>
      </c>
      <c r="J69" s="56" t="s">
        <v>550</v>
      </c>
      <c r="K69" s="75">
        <v>553120</v>
      </c>
      <c r="L69" s="56" t="s">
        <v>2700</v>
      </c>
      <c r="M69" s="91">
        <v>500</v>
      </c>
      <c r="N69" s="91">
        <f>792*2</f>
        <v>1584</v>
      </c>
      <c r="O69" s="92">
        <f t="shared" si="6"/>
        <v>0.79200000000000004</v>
      </c>
      <c r="P69" s="91">
        <f>N69/36</f>
        <v>44</v>
      </c>
      <c r="Q69" s="93">
        <f>N69/792</f>
        <v>2</v>
      </c>
      <c r="R69" s="56" t="s">
        <v>75</v>
      </c>
      <c r="S69" s="56"/>
      <c r="T69" s="56" t="s">
        <v>2480</v>
      </c>
      <c r="U69" s="56" t="s">
        <v>2480</v>
      </c>
      <c r="V69" s="56"/>
      <c r="W69" s="39" t="s">
        <v>10394</v>
      </c>
      <c r="X69" s="90">
        <v>45749</v>
      </c>
      <c r="Y69" s="90"/>
      <c r="Z69" s="90"/>
      <c r="AA69" s="18">
        <v>371008397</v>
      </c>
      <c r="AB69" s="79" t="s">
        <v>122</v>
      </c>
      <c r="AC69" s="104" t="s">
        <v>78</v>
      </c>
      <c r="AD69" s="90">
        <v>45760</v>
      </c>
      <c r="AE69" s="90">
        <v>45760</v>
      </c>
      <c r="AF69" s="90">
        <v>45760</v>
      </c>
      <c r="AG69" s="90">
        <v>45811</v>
      </c>
      <c r="AH69" s="90">
        <v>45806</v>
      </c>
      <c r="AI69" s="90">
        <v>45811</v>
      </c>
      <c r="AJ69" s="75" t="s">
        <v>66</v>
      </c>
      <c r="AK69" s="39" t="s">
        <v>10445</v>
      </c>
      <c r="AL69" s="39" t="s">
        <v>10446</v>
      </c>
      <c r="AM69" s="39" t="s">
        <v>10447</v>
      </c>
      <c r="AN69" s="39" t="s">
        <v>10447</v>
      </c>
      <c r="AO69" s="75">
        <f t="shared" si="7"/>
        <v>52</v>
      </c>
      <c r="AP69" s="39" t="s">
        <v>2493</v>
      </c>
      <c r="AQ69" s="91" t="s">
        <v>2493</v>
      </c>
    </row>
    <row r="70" spans="1:43" s="6" customFormat="1" ht="10" hidden="1">
      <c r="A70" s="74" t="s">
        <v>10448</v>
      </c>
      <c r="B70" s="56" t="s">
        <v>67</v>
      </c>
      <c r="C70" s="56" t="s">
        <v>63</v>
      </c>
      <c r="D70" s="56" t="s">
        <v>10250</v>
      </c>
      <c r="E70" s="56"/>
      <c r="F70" s="56"/>
      <c r="G70" s="39"/>
      <c r="H70" s="56"/>
      <c r="I70" s="56" t="s">
        <v>10244</v>
      </c>
      <c r="J70" s="56" t="s">
        <v>170</v>
      </c>
      <c r="K70" s="75">
        <v>552026</v>
      </c>
      <c r="L70" s="56" t="s">
        <v>463</v>
      </c>
      <c r="M70" s="75">
        <v>550</v>
      </c>
      <c r="N70" s="75">
        <v>660</v>
      </c>
      <c r="O70" s="76">
        <f t="shared" si="6"/>
        <v>0.36299999999999999</v>
      </c>
      <c r="P70" s="75">
        <f>N70/33</f>
        <v>20</v>
      </c>
      <c r="Q70" s="77">
        <f>N70/660</f>
        <v>1</v>
      </c>
      <c r="R70" s="56" t="s">
        <v>75</v>
      </c>
      <c r="S70" s="56"/>
      <c r="T70" s="56" t="s">
        <v>2480</v>
      </c>
      <c r="U70" s="56" t="s">
        <v>2480</v>
      </c>
      <c r="V70" s="56"/>
      <c r="W70" s="39" t="s">
        <v>10399</v>
      </c>
      <c r="X70" s="78">
        <v>45749</v>
      </c>
      <c r="Y70" s="78"/>
      <c r="Z70" s="78"/>
      <c r="AA70" s="39">
        <v>371008390</v>
      </c>
      <c r="AB70" s="79" t="s">
        <v>122</v>
      </c>
      <c r="AC70" s="80" t="s">
        <v>456</v>
      </c>
      <c r="AD70" s="78">
        <v>45754</v>
      </c>
      <c r="AE70" s="78">
        <v>45754</v>
      </c>
      <c r="AF70" s="78">
        <v>45754</v>
      </c>
      <c r="AG70" s="90">
        <v>45795</v>
      </c>
      <c r="AH70" s="90">
        <v>45795</v>
      </c>
      <c r="AI70" s="90">
        <v>45795</v>
      </c>
      <c r="AJ70" s="91" t="s">
        <v>66</v>
      </c>
      <c r="AK70" s="39" t="s">
        <v>10449</v>
      </c>
      <c r="AL70" s="39" t="s">
        <v>10450</v>
      </c>
      <c r="AM70" s="39" t="s">
        <v>10451</v>
      </c>
      <c r="AN70" s="39" t="s">
        <v>10451</v>
      </c>
      <c r="AO70" s="102">
        <f t="shared" si="7"/>
        <v>42</v>
      </c>
      <c r="AP70" s="18" t="s">
        <v>2493</v>
      </c>
      <c r="AQ70" s="91" t="s">
        <v>2493</v>
      </c>
    </row>
    <row r="71" spans="1:43" s="6" customFormat="1" ht="12" hidden="1">
      <c r="A71" s="74" t="s">
        <v>10452</v>
      </c>
      <c r="B71" s="56" t="s">
        <v>67</v>
      </c>
      <c r="C71" s="56" t="s">
        <v>63</v>
      </c>
      <c r="D71" s="56" t="s">
        <v>10250</v>
      </c>
      <c r="E71" s="56"/>
      <c r="F71" s="56"/>
      <c r="G71" s="39"/>
      <c r="H71" s="56"/>
      <c r="I71" s="56" t="s">
        <v>10244</v>
      </c>
      <c r="J71" s="56" t="s">
        <v>550</v>
      </c>
      <c r="K71" s="75">
        <v>553120</v>
      </c>
      <c r="L71" s="56" t="s">
        <v>2700</v>
      </c>
      <c r="M71" s="75">
        <v>500</v>
      </c>
      <c r="N71" s="75">
        <v>3168</v>
      </c>
      <c r="O71" s="76">
        <f t="shared" si="6"/>
        <v>1.5840000000000001</v>
      </c>
      <c r="P71" s="75">
        <f>N71/36</f>
        <v>88</v>
      </c>
      <c r="Q71" s="77">
        <f>N71/792</f>
        <v>4</v>
      </c>
      <c r="R71" s="56" t="s">
        <v>75</v>
      </c>
      <c r="S71" s="56"/>
      <c r="T71" s="56" t="s">
        <v>2480</v>
      </c>
      <c r="U71" s="56" t="s">
        <v>2480</v>
      </c>
      <c r="V71" s="56"/>
      <c r="W71" s="39" t="s">
        <v>10394</v>
      </c>
      <c r="X71" s="78">
        <v>45744</v>
      </c>
      <c r="Y71" s="78"/>
      <c r="Z71" s="78"/>
      <c r="AA71" s="105">
        <v>371008395</v>
      </c>
      <c r="AB71" s="79" t="s">
        <v>122</v>
      </c>
      <c r="AC71" s="80" t="s">
        <v>356</v>
      </c>
      <c r="AD71" s="78">
        <v>45753</v>
      </c>
      <c r="AE71" s="78">
        <v>45753</v>
      </c>
      <c r="AF71" s="78">
        <v>45753</v>
      </c>
      <c r="AG71" s="90">
        <v>45792</v>
      </c>
      <c r="AH71" s="90">
        <v>45792</v>
      </c>
      <c r="AI71" s="90">
        <v>45792</v>
      </c>
      <c r="AJ71" s="91" t="s">
        <v>66</v>
      </c>
      <c r="AK71" s="39" t="s">
        <v>10453</v>
      </c>
      <c r="AL71" s="39" t="s">
        <v>10454</v>
      </c>
      <c r="AM71" s="39" t="s">
        <v>10455</v>
      </c>
      <c r="AN71" s="39" t="s">
        <v>10455</v>
      </c>
      <c r="AO71" s="102">
        <f t="shared" si="7"/>
        <v>40</v>
      </c>
      <c r="AP71" s="18" t="s">
        <v>2493</v>
      </c>
      <c r="AQ71" s="91" t="s">
        <v>2493</v>
      </c>
    </row>
    <row r="72" spans="1:43" s="6" customFormat="1" ht="11.5" hidden="1">
      <c r="A72" s="74" t="s">
        <v>10456</v>
      </c>
      <c r="B72" s="56" t="s">
        <v>67</v>
      </c>
      <c r="C72" s="56" t="s">
        <v>63</v>
      </c>
      <c r="D72" s="56" t="s">
        <v>10250</v>
      </c>
      <c r="E72" s="56"/>
      <c r="F72" s="56"/>
      <c r="G72" s="39"/>
      <c r="H72" s="56"/>
      <c r="I72" s="56" t="s">
        <v>10244</v>
      </c>
      <c r="J72" s="56" t="s">
        <v>170</v>
      </c>
      <c r="K72" s="75">
        <v>552026</v>
      </c>
      <c r="L72" s="56" t="s">
        <v>463</v>
      </c>
      <c r="M72" s="75">
        <v>550</v>
      </c>
      <c r="N72" s="75">
        <v>3960</v>
      </c>
      <c r="O72" s="76">
        <f t="shared" si="6"/>
        <v>2.1779999999999999</v>
      </c>
      <c r="P72" s="75">
        <f>N72/33</f>
        <v>120</v>
      </c>
      <c r="Q72" s="77">
        <f>N72/660</f>
        <v>6</v>
      </c>
      <c r="R72" s="56" t="s">
        <v>75</v>
      </c>
      <c r="S72" s="56"/>
      <c r="T72" s="56" t="s">
        <v>2480</v>
      </c>
      <c r="U72" s="56" t="s">
        <v>2480</v>
      </c>
      <c r="V72" s="56"/>
      <c r="W72" s="39" t="s">
        <v>10399</v>
      </c>
      <c r="X72" s="78">
        <v>45744</v>
      </c>
      <c r="Y72" s="78"/>
      <c r="Z72" s="78"/>
      <c r="AA72" s="106">
        <v>371008391</v>
      </c>
      <c r="AB72" s="79" t="s">
        <v>122</v>
      </c>
      <c r="AC72" s="80" t="s">
        <v>105</v>
      </c>
      <c r="AD72" s="78">
        <v>45752</v>
      </c>
      <c r="AE72" s="78">
        <v>45752</v>
      </c>
      <c r="AF72" s="78">
        <v>45752</v>
      </c>
      <c r="AG72" s="78">
        <v>45786</v>
      </c>
      <c r="AH72" s="78">
        <v>45786</v>
      </c>
      <c r="AI72" s="78">
        <v>45786</v>
      </c>
      <c r="AJ72" s="75" t="s">
        <v>66</v>
      </c>
      <c r="AK72" s="39" t="s">
        <v>10457</v>
      </c>
      <c r="AL72" s="39" t="s">
        <v>10458</v>
      </c>
      <c r="AM72" s="39" t="s">
        <v>10459</v>
      </c>
      <c r="AN72" s="39" t="s">
        <v>10459</v>
      </c>
      <c r="AO72" s="86">
        <f t="shared" si="7"/>
        <v>35</v>
      </c>
      <c r="AP72" s="18" t="s">
        <v>2493</v>
      </c>
      <c r="AQ72" s="91" t="s">
        <v>2493</v>
      </c>
    </row>
    <row r="73" spans="1:43" s="6" customFormat="1" ht="11.5" hidden="1">
      <c r="A73" s="74" t="s">
        <v>10460</v>
      </c>
      <c r="B73" s="56" t="s">
        <v>67</v>
      </c>
      <c r="C73" s="56" t="s">
        <v>63</v>
      </c>
      <c r="D73" s="56" t="s">
        <v>10250</v>
      </c>
      <c r="E73" s="56"/>
      <c r="F73" s="56"/>
      <c r="G73" s="39"/>
      <c r="H73" s="56"/>
      <c r="I73" s="56" t="s">
        <v>10244</v>
      </c>
      <c r="J73" s="56" t="s">
        <v>170</v>
      </c>
      <c r="K73" s="75">
        <v>552045</v>
      </c>
      <c r="L73" s="56" t="s">
        <v>172</v>
      </c>
      <c r="M73" s="75">
        <v>555</v>
      </c>
      <c r="N73" s="75">
        <v>1980</v>
      </c>
      <c r="O73" s="76">
        <f t="shared" si="6"/>
        <v>1.0989</v>
      </c>
      <c r="P73" s="75">
        <f>N73/33</f>
        <v>60</v>
      </c>
      <c r="Q73" s="77">
        <f>N73/660</f>
        <v>3</v>
      </c>
      <c r="R73" s="56" t="s">
        <v>75</v>
      </c>
      <c r="S73" s="56"/>
      <c r="T73" s="56" t="s">
        <v>2480</v>
      </c>
      <c r="U73" s="56" t="s">
        <v>2480</v>
      </c>
      <c r="V73" s="56"/>
      <c r="W73" s="39" t="s">
        <v>10399</v>
      </c>
      <c r="X73" s="78">
        <v>45744</v>
      </c>
      <c r="Y73" s="78"/>
      <c r="Z73" s="78"/>
      <c r="AA73" s="107">
        <v>371008407</v>
      </c>
      <c r="AB73" s="79" t="s">
        <v>122</v>
      </c>
      <c r="AC73" s="80" t="s">
        <v>105</v>
      </c>
      <c r="AD73" s="78">
        <v>45752</v>
      </c>
      <c r="AE73" s="78">
        <v>45752</v>
      </c>
      <c r="AF73" s="78">
        <v>45752</v>
      </c>
      <c r="AG73" s="78">
        <v>45786</v>
      </c>
      <c r="AH73" s="78">
        <v>45786</v>
      </c>
      <c r="AI73" s="78">
        <v>45786</v>
      </c>
      <c r="AJ73" s="75" t="s">
        <v>66</v>
      </c>
      <c r="AK73" s="39" t="s">
        <v>10457</v>
      </c>
      <c r="AL73" s="39" t="s">
        <v>10458</v>
      </c>
      <c r="AM73" s="39" t="s">
        <v>10459</v>
      </c>
      <c r="AN73" s="39" t="s">
        <v>10459</v>
      </c>
      <c r="AO73" s="86">
        <f t="shared" si="7"/>
        <v>35</v>
      </c>
      <c r="AP73" s="18" t="s">
        <v>2493</v>
      </c>
      <c r="AQ73" s="91" t="s">
        <v>2493</v>
      </c>
    </row>
    <row r="74" spans="1:43" s="6" customFormat="1" ht="11.5" hidden="1">
      <c r="A74" s="74" t="s">
        <v>10461</v>
      </c>
      <c r="B74" s="56" t="s">
        <v>67</v>
      </c>
      <c r="C74" s="56" t="s">
        <v>63</v>
      </c>
      <c r="D74" s="56" t="s">
        <v>10250</v>
      </c>
      <c r="E74" s="56"/>
      <c r="F74" s="56"/>
      <c r="G74" s="39"/>
      <c r="H74" s="56"/>
      <c r="I74" s="56" t="s">
        <v>10244</v>
      </c>
      <c r="J74" s="56" t="s">
        <v>170</v>
      </c>
      <c r="K74" s="75">
        <v>552026</v>
      </c>
      <c r="L74" s="56" t="s">
        <v>463</v>
      </c>
      <c r="M74" s="91">
        <v>550</v>
      </c>
      <c r="N74" s="91">
        <v>2640</v>
      </c>
      <c r="O74" s="92">
        <f t="shared" si="6"/>
        <v>1.452</v>
      </c>
      <c r="P74" s="91">
        <f>N74/33</f>
        <v>80</v>
      </c>
      <c r="Q74" s="93">
        <f>N74/660</f>
        <v>4</v>
      </c>
      <c r="R74" s="56" t="s">
        <v>75</v>
      </c>
      <c r="S74" s="56"/>
      <c r="T74" s="56" t="s">
        <v>2480</v>
      </c>
      <c r="U74" s="56" t="s">
        <v>2480</v>
      </c>
      <c r="V74" s="56"/>
      <c r="W74" s="39" t="s">
        <v>10399</v>
      </c>
      <c r="X74" s="90">
        <v>45749</v>
      </c>
      <c r="Y74" s="90"/>
      <c r="Z74" s="90"/>
      <c r="AA74" s="103">
        <v>371008393</v>
      </c>
      <c r="AB74" s="79" t="s">
        <v>122</v>
      </c>
      <c r="AC74" s="94" t="s">
        <v>78</v>
      </c>
      <c r="AD74" s="90">
        <v>45761</v>
      </c>
      <c r="AE74" s="90">
        <v>45761</v>
      </c>
      <c r="AF74" s="90">
        <v>45761</v>
      </c>
      <c r="AG74" s="90">
        <v>45811</v>
      </c>
      <c r="AH74" s="78">
        <v>45822</v>
      </c>
      <c r="AI74" s="90">
        <v>45811</v>
      </c>
      <c r="AJ74" s="75" t="s">
        <v>66</v>
      </c>
      <c r="AK74" s="39" t="s">
        <v>10462</v>
      </c>
      <c r="AL74" s="39" t="s">
        <v>10463</v>
      </c>
      <c r="AM74" s="39" t="s">
        <v>10464</v>
      </c>
      <c r="AN74" s="39" t="s">
        <v>10464</v>
      </c>
      <c r="AO74" s="75">
        <f t="shared" si="7"/>
        <v>51</v>
      </c>
      <c r="AP74" s="39" t="s">
        <v>2493</v>
      </c>
      <c r="AQ74" s="91" t="s">
        <v>2493</v>
      </c>
    </row>
    <row r="75" spans="1:43" s="6" customFormat="1" ht="12" hidden="1">
      <c r="A75" s="74" t="s">
        <v>10465</v>
      </c>
      <c r="B75" s="56" t="s">
        <v>67</v>
      </c>
      <c r="C75" s="56" t="s">
        <v>63</v>
      </c>
      <c r="D75" s="56" t="s">
        <v>10250</v>
      </c>
      <c r="E75" s="56"/>
      <c r="F75" s="56"/>
      <c r="G75" s="39"/>
      <c r="H75" s="56"/>
      <c r="I75" s="56" t="s">
        <v>10244</v>
      </c>
      <c r="J75" s="56" t="s">
        <v>550</v>
      </c>
      <c r="K75" s="75">
        <v>553120</v>
      </c>
      <c r="L75" s="56" t="s">
        <v>2700</v>
      </c>
      <c r="M75" s="91">
        <v>500</v>
      </c>
      <c r="N75" s="91">
        <v>1584</v>
      </c>
      <c r="O75" s="92">
        <f t="shared" si="6"/>
        <v>0.79200000000000004</v>
      </c>
      <c r="P75" s="91">
        <f>N75/36</f>
        <v>44</v>
      </c>
      <c r="Q75" s="93">
        <f>N75/792</f>
        <v>2</v>
      </c>
      <c r="R75" s="56" t="s">
        <v>75</v>
      </c>
      <c r="S75" s="56"/>
      <c r="T75" s="56" t="s">
        <v>2480</v>
      </c>
      <c r="U75" s="56" t="s">
        <v>2480</v>
      </c>
      <c r="V75" s="56"/>
      <c r="W75" s="39" t="s">
        <v>10394</v>
      </c>
      <c r="X75" s="90">
        <v>45756</v>
      </c>
      <c r="Y75" s="90"/>
      <c r="Z75" s="90"/>
      <c r="AA75" s="108">
        <v>371008400</v>
      </c>
      <c r="AB75" s="79" t="s">
        <v>122</v>
      </c>
      <c r="AC75" s="94" t="s">
        <v>78</v>
      </c>
      <c r="AD75" s="90">
        <v>45761</v>
      </c>
      <c r="AE75" s="90">
        <v>45761</v>
      </c>
      <c r="AF75" s="90">
        <v>45761</v>
      </c>
      <c r="AG75" s="90">
        <v>45811</v>
      </c>
      <c r="AH75" s="78">
        <v>45786</v>
      </c>
      <c r="AI75" s="90">
        <v>45811</v>
      </c>
      <c r="AJ75" s="75" t="s">
        <v>66</v>
      </c>
      <c r="AK75" s="39" t="s">
        <v>10462</v>
      </c>
      <c r="AL75" s="39" t="s">
        <v>10466</v>
      </c>
      <c r="AM75" s="39" t="s">
        <v>10467</v>
      </c>
      <c r="AN75" s="39" t="s">
        <v>10468</v>
      </c>
      <c r="AO75" s="75">
        <f t="shared" si="7"/>
        <v>51</v>
      </c>
      <c r="AP75" s="39" t="s">
        <v>2493</v>
      </c>
      <c r="AQ75" s="91" t="s">
        <v>2493</v>
      </c>
    </row>
    <row r="76" spans="1:43" s="6" customFormat="1" ht="10.5" hidden="1" customHeight="1">
      <c r="A76" s="74" t="s">
        <v>10469</v>
      </c>
      <c r="B76" s="56" t="s">
        <v>67</v>
      </c>
      <c r="C76" s="56" t="s">
        <v>63</v>
      </c>
      <c r="D76" s="56" t="s">
        <v>10250</v>
      </c>
      <c r="E76" s="56"/>
      <c r="F76" s="56"/>
      <c r="G76" s="39"/>
      <c r="H76" s="56"/>
      <c r="I76" s="56" t="s">
        <v>10244</v>
      </c>
      <c r="J76" s="56" t="s">
        <v>473</v>
      </c>
      <c r="K76" s="75">
        <v>553145</v>
      </c>
      <c r="L76" s="56" t="s">
        <v>530</v>
      </c>
      <c r="M76" s="75">
        <v>455</v>
      </c>
      <c r="N76" s="75">
        <v>864</v>
      </c>
      <c r="O76" s="76">
        <f t="shared" si="6"/>
        <v>0.39312000000000002</v>
      </c>
      <c r="P76" s="75">
        <f>N76/36</f>
        <v>24</v>
      </c>
      <c r="Q76" s="77">
        <f>N76/864</f>
        <v>1</v>
      </c>
      <c r="R76" s="56" t="s">
        <v>75</v>
      </c>
      <c r="S76" s="56"/>
      <c r="T76" s="56" t="s">
        <v>2480</v>
      </c>
      <c r="U76" s="56" t="s">
        <v>2480</v>
      </c>
      <c r="V76" s="56"/>
      <c r="W76" s="39" t="s">
        <v>10399</v>
      </c>
      <c r="X76" s="78">
        <v>45746</v>
      </c>
      <c r="Y76" s="78"/>
      <c r="Z76" s="78"/>
      <c r="AA76" s="107">
        <v>371008356</v>
      </c>
      <c r="AB76" s="79" t="s">
        <v>122</v>
      </c>
      <c r="AC76" s="80" t="s">
        <v>78</v>
      </c>
      <c r="AD76" s="78">
        <v>45755</v>
      </c>
      <c r="AE76" s="78">
        <v>45755</v>
      </c>
      <c r="AF76" s="78">
        <v>45755</v>
      </c>
      <c r="AG76" s="78">
        <v>45805</v>
      </c>
      <c r="AH76" s="78">
        <v>45805</v>
      </c>
      <c r="AI76" s="78">
        <v>45805</v>
      </c>
      <c r="AJ76" s="75" t="s">
        <v>66</v>
      </c>
      <c r="AK76" s="39" t="s">
        <v>10470</v>
      </c>
      <c r="AL76" s="39" t="s">
        <v>10471</v>
      </c>
      <c r="AM76" s="39" t="s">
        <v>10472</v>
      </c>
      <c r="AN76" s="39" t="s">
        <v>10473</v>
      </c>
      <c r="AO76" s="100">
        <f t="shared" si="7"/>
        <v>51</v>
      </c>
      <c r="AP76" s="39" t="s">
        <v>2493</v>
      </c>
      <c r="AQ76" s="91" t="s">
        <v>2493</v>
      </c>
    </row>
    <row r="77" spans="1:43" s="6" customFormat="1" ht="11.5" hidden="1">
      <c r="A77" s="74" t="s">
        <v>10474</v>
      </c>
      <c r="B77" s="56" t="s">
        <v>67</v>
      </c>
      <c r="C77" s="56" t="s">
        <v>63</v>
      </c>
      <c r="D77" s="56" t="s">
        <v>10250</v>
      </c>
      <c r="E77" s="56"/>
      <c r="F77" s="56"/>
      <c r="G77" s="39"/>
      <c r="H77" s="56"/>
      <c r="I77" s="56" t="s">
        <v>10244</v>
      </c>
      <c r="J77" s="56" t="s">
        <v>170</v>
      </c>
      <c r="K77" s="75">
        <v>552026</v>
      </c>
      <c r="L77" s="56" t="s">
        <v>463</v>
      </c>
      <c r="M77" s="75">
        <v>550</v>
      </c>
      <c r="N77" s="75">
        <v>5940</v>
      </c>
      <c r="O77" s="76">
        <f t="shared" si="6"/>
        <v>3.2669999999999999</v>
      </c>
      <c r="P77" s="75">
        <f>N77/33</f>
        <v>180</v>
      </c>
      <c r="Q77" s="77">
        <f>N77/660</f>
        <v>9</v>
      </c>
      <c r="R77" s="56" t="s">
        <v>75</v>
      </c>
      <c r="S77" s="56"/>
      <c r="T77" s="56" t="s">
        <v>2480</v>
      </c>
      <c r="U77" s="56" t="s">
        <v>2480</v>
      </c>
      <c r="V77" s="56"/>
      <c r="W77" s="39" t="s">
        <v>10399</v>
      </c>
      <c r="X77" s="78">
        <v>45746</v>
      </c>
      <c r="Y77" s="78"/>
      <c r="Z77" s="78"/>
      <c r="AA77" s="107">
        <v>371008392</v>
      </c>
      <c r="AB77" s="79" t="s">
        <v>122</v>
      </c>
      <c r="AC77" s="80" t="s">
        <v>78</v>
      </c>
      <c r="AD77" s="78">
        <v>45755</v>
      </c>
      <c r="AE77" s="78">
        <v>45755</v>
      </c>
      <c r="AF77" s="78">
        <v>45755</v>
      </c>
      <c r="AG77" s="78">
        <v>45805</v>
      </c>
      <c r="AH77" s="78">
        <v>45805</v>
      </c>
      <c r="AI77" s="78">
        <v>45805</v>
      </c>
      <c r="AJ77" s="75" t="s">
        <v>66</v>
      </c>
      <c r="AK77" s="39" t="s">
        <v>10470</v>
      </c>
      <c r="AL77" s="39" t="s">
        <v>10471</v>
      </c>
      <c r="AM77" s="39" t="s">
        <v>10472</v>
      </c>
      <c r="AN77" s="39" t="s">
        <v>10473</v>
      </c>
      <c r="AO77" s="75">
        <f t="shared" si="7"/>
        <v>51</v>
      </c>
      <c r="AP77" s="39" t="s">
        <v>2493</v>
      </c>
      <c r="AQ77" s="91" t="s">
        <v>2493</v>
      </c>
    </row>
    <row r="78" spans="1:43" s="6" customFormat="1" ht="11.5" hidden="1">
      <c r="A78" s="74" t="s">
        <v>10475</v>
      </c>
      <c r="B78" s="56" t="s">
        <v>67</v>
      </c>
      <c r="C78" s="56" t="s">
        <v>63</v>
      </c>
      <c r="D78" s="56" t="s">
        <v>10250</v>
      </c>
      <c r="E78" s="56"/>
      <c r="F78" s="56"/>
      <c r="G78" s="39"/>
      <c r="H78" s="56"/>
      <c r="I78" s="56" t="s">
        <v>10244</v>
      </c>
      <c r="J78" s="56" t="s">
        <v>170</v>
      </c>
      <c r="K78" s="75">
        <v>552045</v>
      </c>
      <c r="L78" s="56" t="s">
        <v>172</v>
      </c>
      <c r="M78" s="75">
        <v>555</v>
      </c>
      <c r="N78" s="75">
        <v>660</v>
      </c>
      <c r="O78" s="76">
        <f t="shared" si="6"/>
        <v>0.36630000000000001</v>
      </c>
      <c r="P78" s="75">
        <f>N78/33</f>
        <v>20</v>
      </c>
      <c r="Q78" s="77">
        <f>N78/660</f>
        <v>1</v>
      </c>
      <c r="R78" s="56" t="s">
        <v>75</v>
      </c>
      <c r="S78" s="56"/>
      <c r="T78" s="56" t="s">
        <v>2480</v>
      </c>
      <c r="U78" s="56" t="s">
        <v>2480</v>
      </c>
      <c r="V78" s="56"/>
      <c r="W78" s="39" t="s">
        <v>10399</v>
      </c>
      <c r="X78" s="78">
        <v>45746</v>
      </c>
      <c r="Y78" s="78"/>
      <c r="Z78" s="78"/>
      <c r="AA78" s="107">
        <v>371008408</v>
      </c>
      <c r="AB78" s="79" t="s">
        <v>122</v>
      </c>
      <c r="AC78" s="80" t="s">
        <v>78</v>
      </c>
      <c r="AD78" s="78">
        <v>45755</v>
      </c>
      <c r="AE78" s="78">
        <v>45755</v>
      </c>
      <c r="AF78" s="78">
        <v>45755</v>
      </c>
      <c r="AG78" s="78">
        <v>45805</v>
      </c>
      <c r="AH78" s="78">
        <v>45805</v>
      </c>
      <c r="AI78" s="78">
        <v>45805</v>
      </c>
      <c r="AJ78" s="75" t="s">
        <v>66</v>
      </c>
      <c r="AK78" s="39" t="s">
        <v>10470</v>
      </c>
      <c r="AL78" s="39" t="s">
        <v>10471</v>
      </c>
      <c r="AM78" s="39" t="s">
        <v>10472</v>
      </c>
      <c r="AN78" s="39" t="s">
        <v>10473</v>
      </c>
      <c r="AO78" s="75">
        <f t="shared" si="7"/>
        <v>51</v>
      </c>
      <c r="AP78" s="39" t="s">
        <v>2493</v>
      </c>
      <c r="AQ78" s="91" t="s">
        <v>2493</v>
      </c>
    </row>
    <row r="79" spans="1:43" s="6" customFormat="1" ht="11.5" hidden="1">
      <c r="A79" s="97" t="s">
        <v>10476</v>
      </c>
      <c r="B79" s="98" t="s">
        <v>67</v>
      </c>
      <c r="C79" s="98" t="s">
        <v>63</v>
      </c>
      <c r="D79" s="98" t="s">
        <v>10250</v>
      </c>
      <c r="E79" s="98"/>
      <c r="F79" s="99"/>
      <c r="G79" s="36"/>
      <c r="H79" s="99"/>
      <c r="I79" s="56" t="s">
        <v>10244</v>
      </c>
      <c r="J79" s="98" t="s">
        <v>170</v>
      </c>
      <c r="K79" s="100">
        <v>552045</v>
      </c>
      <c r="L79" s="98" t="s">
        <v>172</v>
      </c>
      <c r="M79" s="91">
        <v>555</v>
      </c>
      <c r="N79" s="91">
        <v>1320</v>
      </c>
      <c r="O79" s="92">
        <f t="shared" si="6"/>
        <v>0.73260000000000003</v>
      </c>
      <c r="P79" s="91">
        <f>N79/33</f>
        <v>40</v>
      </c>
      <c r="Q79" s="93">
        <f>N79/660</f>
        <v>2</v>
      </c>
      <c r="R79" s="56" t="s">
        <v>75</v>
      </c>
      <c r="S79" s="99"/>
      <c r="T79" s="56" t="s">
        <v>2480</v>
      </c>
      <c r="U79" s="56" t="s">
        <v>2480</v>
      </c>
      <c r="V79" s="56"/>
      <c r="W79" s="36" t="s">
        <v>10399</v>
      </c>
      <c r="X79" s="90">
        <v>45749</v>
      </c>
      <c r="Y79" s="90"/>
      <c r="Z79" s="90"/>
      <c r="AA79" s="103">
        <v>371008413</v>
      </c>
      <c r="AB79" s="79" t="s">
        <v>122</v>
      </c>
      <c r="AC79" s="104" t="s">
        <v>78</v>
      </c>
      <c r="AD79" s="90">
        <v>45760</v>
      </c>
      <c r="AE79" s="90">
        <v>45760</v>
      </c>
      <c r="AF79" s="90">
        <v>45760</v>
      </c>
      <c r="AG79" s="90">
        <v>45811</v>
      </c>
      <c r="AH79" s="90">
        <v>45811</v>
      </c>
      <c r="AI79" s="90">
        <v>45811</v>
      </c>
      <c r="AJ79" s="100" t="s">
        <v>66</v>
      </c>
      <c r="AK79" s="36" t="s">
        <v>10445</v>
      </c>
      <c r="AL79" s="36" t="s">
        <v>10477</v>
      </c>
      <c r="AM79" s="36" t="s">
        <v>10478</v>
      </c>
      <c r="AN79" s="36" t="s">
        <v>10478</v>
      </c>
      <c r="AO79" s="100">
        <f t="shared" si="7"/>
        <v>52</v>
      </c>
      <c r="AP79" s="109" t="s">
        <v>2493</v>
      </c>
      <c r="AQ79" s="91" t="s">
        <v>2493</v>
      </c>
    </row>
    <row r="80" spans="1:43" s="6" customFormat="1" ht="10" hidden="1">
      <c r="A80" s="74" t="s">
        <v>10479</v>
      </c>
      <c r="B80" s="56" t="s">
        <v>67</v>
      </c>
      <c r="C80" s="56" t="s">
        <v>63</v>
      </c>
      <c r="D80" s="56" t="s">
        <v>10250</v>
      </c>
      <c r="E80" s="56"/>
      <c r="F80" s="56"/>
      <c r="G80" s="39"/>
      <c r="H80" s="56"/>
      <c r="I80" s="56" t="s">
        <v>10244</v>
      </c>
      <c r="J80" s="56" t="s">
        <v>550</v>
      </c>
      <c r="K80" s="75">
        <v>553120</v>
      </c>
      <c r="L80" s="56" t="s">
        <v>2700</v>
      </c>
      <c r="M80" s="91">
        <v>500</v>
      </c>
      <c r="N80" s="91">
        <v>4752</v>
      </c>
      <c r="O80" s="92">
        <f t="shared" si="6"/>
        <v>2.3759999999999999</v>
      </c>
      <c r="P80" s="91">
        <f>N80/36</f>
        <v>132</v>
      </c>
      <c r="Q80" s="93">
        <f>N80/792</f>
        <v>6</v>
      </c>
      <c r="R80" s="56" t="s">
        <v>75</v>
      </c>
      <c r="S80" s="56"/>
      <c r="T80" s="56" t="s">
        <v>2480</v>
      </c>
      <c r="U80" s="56" t="s">
        <v>2480</v>
      </c>
      <c r="V80" s="56"/>
      <c r="W80" s="39" t="s">
        <v>10394</v>
      </c>
      <c r="X80" s="90">
        <v>45739</v>
      </c>
      <c r="Y80" s="90"/>
      <c r="Z80" s="90"/>
      <c r="AA80" s="18">
        <v>371008331</v>
      </c>
      <c r="AB80" s="79" t="s">
        <v>122</v>
      </c>
      <c r="AC80" s="94" t="s">
        <v>78</v>
      </c>
      <c r="AD80" s="90">
        <v>45750</v>
      </c>
      <c r="AE80" s="90">
        <v>45750</v>
      </c>
      <c r="AF80" s="90">
        <v>45750</v>
      </c>
      <c r="AG80" s="90">
        <v>45812</v>
      </c>
      <c r="AH80" s="90">
        <v>45809</v>
      </c>
      <c r="AI80" s="90">
        <v>45812</v>
      </c>
      <c r="AJ80" s="75" t="s">
        <v>66</v>
      </c>
      <c r="AK80" s="39" t="s">
        <v>10480</v>
      </c>
      <c r="AL80" s="39" t="s">
        <v>10481</v>
      </c>
      <c r="AM80" s="39" t="s">
        <v>10482</v>
      </c>
      <c r="AN80" s="39" t="s">
        <v>10482</v>
      </c>
      <c r="AO80" s="75">
        <f t="shared" si="7"/>
        <v>63</v>
      </c>
      <c r="AP80" s="39" t="s">
        <v>2493</v>
      </c>
      <c r="AQ80" s="91" t="s">
        <v>2493</v>
      </c>
    </row>
    <row r="81" spans="1:43" s="6" customFormat="1" ht="11.5" hidden="1">
      <c r="A81" s="74" t="s">
        <v>10483</v>
      </c>
      <c r="B81" s="56" t="s">
        <v>67</v>
      </c>
      <c r="C81" s="56" t="s">
        <v>63</v>
      </c>
      <c r="D81" s="56" t="s">
        <v>10250</v>
      </c>
      <c r="E81" s="56"/>
      <c r="F81" s="56"/>
      <c r="G81" s="39"/>
      <c r="H81" s="56"/>
      <c r="I81" s="56" t="s">
        <v>10244</v>
      </c>
      <c r="J81" s="56" t="s">
        <v>473</v>
      </c>
      <c r="K81" s="75">
        <v>553146</v>
      </c>
      <c r="L81" s="49" t="s">
        <v>764</v>
      </c>
      <c r="M81" s="96">
        <v>450</v>
      </c>
      <c r="N81" s="91">
        <f>864*3</f>
        <v>2592</v>
      </c>
      <c r="O81" s="92">
        <f t="shared" si="6"/>
        <v>1.1664000000000001</v>
      </c>
      <c r="P81" s="91">
        <f>N81/36</f>
        <v>72</v>
      </c>
      <c r="Q81" s="93">
        <f>N81/864</f>
        <v>3</v>
      </c>
      <c r="R81" s="56" t="s">
        <v>75</v>
      </c>
      <c r="S81" s="56"/>
      <c r="T81" s="56" t="s">
        <v>2480</v>
      </c>
      <c r="U81" s="56" t="s">
        <v>2480</v>
      </c>
      <c r="V81" s="56"/>
      <c r="W81" s="39" t="s">
        <v>10399</v>
      </c>
      <c r="X81" s="90">
        <v>45739</v>
      </c>
      <c r="Y81" s="90"/>
      <c r="Z81" s="90"/>
      <c r="AA81" s="103">
        <v>371008384</v>
      </c>
      <c r="AB81" s="79" t="s">
        <v>122</v>
      </c>
      <c r="AC81" s="94" t="s">
        <v>78</v>
      </c>
      <c r="AD81" s="90">
        <v>45750</v>
      </c>
      <c r="AE81" s="90">
        <v>45750</v>
      </c>
      <c r="AF81" s="90">
        <v>45750</v>
      </c>
      <c r="AG81" s="90">
        <v>45812</v>
      </c>
      <c r="AH81" s="90">
        <v>45809</v>
      </c>
      <c r="AI81" s="90">
        <v>45812</v>
      </c>
      <c r="AJ81" s="75" t="s">
        <v>66</v>
      </c>
      <c r="AK81" s="39" t="s">
        <v>10480</v>
      </c>
      <c r="AL81" s="39" t="s">
        <v>10481</v>
      </c>
      <c r="AM81" s="39" t="s">
        <v>10482</v>
      </c>
      <c r="AN81" s="39" t="s">
        <v>10482</v>
      </c>
      <c r="AO81" s="75">
        <f t="shared" si="7"/>
        <v>63</v>
      </c>
      <c r="AP81" s="39" t="s">
        <v>2493</v>
      </c>
      <c r="AQ81" s="91" t="s">
        <v>2493</v>
      </c>
    </row>
    <row r="82" spans="1:43" s="6" customFormat="1" ht="10" hidden="1">
      <c r="A82" s="74" t="s">
        <v>10484</v>
      </c>
      <c r="B82" s="56" t="s">
        <v>67</v>
      </c>
      <c r="C82" s="56" t="s">
        <v>63</v>
      </c>
      <c r="D82" s="56" t="s">
        <v>10250</v>
      </c>
      <c r="E82" s="56"/>
      <c r="F82" s="56"/>
      <c r="G82" s="39"/>
      <c r="H82" s="56"/>
      <c r="I82" s="56" t="s">
        <v>10244</v>
      </c>
      <c r="J82" s="56" t="s">
        <v>473</v>
      </c>
      <c r="K82" s="75">
        <v>553145</v>
      </c>
      <c r="L82" s="84" t="s">
        <v>530</v>
      </c>
      <c r="M82" s="91">
        <v>455</v>
      </c>
      <c r="N82" s="91">
        <f>864*2</f>
        <v>1728</v>
      </c>
      <c r="O82" s="92">
        <f t="shared" si="6"/>
        <v>0.78624000000000005</v>
      </c>
      <c r="P82" s="91">
        <f>N82/36</f>
        <v>48</v>
      </c>
      <c r="Q82" s="93">
        <f>N82/864</f>
        <v>2</v>
      </c>
      <c r="R82" s="56" t="s">
        <v>75</v>
      </c>
      <c r="S82" s="56"/>
      <c r="T82" s="56" t="s">
        <v>2480</v>
      </c>
      <c r="U82" s="56" t="s">
        <v>2480</v>
      </c>
      <c r="V82" s="56"/>
      <c r="W82" s="39" t="s">
        <v>10399</v>
      </c>
      <c r="X82" s="90">
        <v>45739</v>
      </c>
      <c r="Y82" s="90"/>
      <c r="Z82" s="90"/>
      <c r="AA82" s="18">
        <v>371008355</v>
      </c>
      <c r="AB82" s="79" t="s">
        <v>122</v>
      </c>
      <c r="AC82" s="94" t="s">
        <v>78</v>
      </c>
      <c r="AD82" s="90">
        <v>45750</v>
      </c>
      <c r="AE82" s="90">
        <v>45750</v>
      </c>
      <c r="AF82" s="90">
        <v>45750</v>
      </c>
      <c r="AG82" s="90">
        <v>45812</v>
      </c>
      <c r="AH82" s="90">
        <v>45809</v>
      </c>
      <c r="AI82" s="90">
        <v>45812</v>
      </c>
      <c r="AJ82" s="75" t="s">
        <v>66</v>
      </c>
      <c r="AK82" s="39" t="s">
        <v>10480</v>
      </c>
      <c r="AL82" s="39" t="s">
        <v>10481</v>
      </c>
      <c r="AM82" s="39" t="s">
        <v>10482</v>
      </c>
      <c r="AN82" s="39" t="s">
        <v>10482</v>
      </c>
      <c r="AO82" s="75">
        <f t="shared" si="7"/>
        <v>63</v>
      </c>
      <c r="AP82" s="39" t="s">
        <v>2493</v>
      </c>
      <c r="AQ82" s="91" t="s">
        <v>2493</v>
      </c>
    </row>
    <row r="83" spans="1:43" s="6" customFormat="1" ht="11.5" hidden="1">
      <c r="A83" s="74" t="s">
        <v>10485</v>
      </c>
      <c r="B83" s="56" t="s">
        <v>67</v>
      </c>
      <c r="C83" s="56" t="s">
        <v>63</v>
      </c>
      <c r="D83" s="56" t="s">
        <v>10250</v>
      </c>
      <c r="E83" s="56"/>
      <c r="F83" s="56" t="s">
        <v>2488</v>
      </c>
      <c r="G83" s="39"/>
      <c r="H83" s="56"/>
      <c r="I83" s="82" t="s">
        <v>10244</v>
      </c>
      <c r="J83" s="56" t="s">
        <v>170</v>
      </c>
      <c r="K83" s="75">
        <v>552027</v>
      </c>
      <c r="L83" s="56" t="s">
        <v>10245</v>
      </c>
      <c r="M83" s="75">
        <v>545</v>
      </c>
      <c r="N83" s="75">
        <v>1980</v>
      </c>
      <c r="O83" s="76">
        <f t="shared" si="6"/>
        <v>1.0790999999999999</v>
      </c>
      <c r="P83" s="75">
        <f>N83/33</f>
        <v>60</v>
      </c>
      <c r="Q83" s="77">
        <f>N83/660</f>
        <v>3</v>
      </c>
      <c r="R83" s="56" t="s">
        <v>75</v>
      </c>
      <c r="S83" s="56"/>
      <c r="T83" s="56" t="s">
        <v>2480</v>
      </c>
      <c r="U83" s="56" t="s">
        <v>2480</v>
      </c>
      <c r="V83" s="56"/>
      <c r="W83" s="39" t="s">
        <v>10399</v>
      </c>
      <c r="X83" s="78">
        <v>45759</v>
      </c>
      <c r="Y83" s="78"/>
      <c r="Z83" s="78"/>
      <c r="AA83" s="110">
        <v>371008448</v>
      </c>
      <c r="AB83" s="79" t="s">
        <v>122</v>
      </c>
      <c r="AC83" s="80" t="s">
        <v>159</v>
      </c>
      <c r="AD83" s="78">
        <v>45764</v>
      </c>
      <c r="AE83" s="78">
        <v>45764</v>
      </c>
      <c r="AF83" s="78">
        <v>45764</v>
      </c>
      <c r="AG83" s="78">
        <v>45814</v>
      </c>
      <c r="AH83" s="90">
        <v>45816</v>
      </c>
      <c r="AI83" s="78">
        <v>45814</v>
      </c>
      <c r="AJ83" s="75" t="s">
        <v>146</v>
      </c>
      <c r="AK83" s="39" t="s">
        <v>10486</v>
      </c>
      <c r="AL83" s="39" t="s">
        <v>10487</v>
      </c>
      <c r="AM83" s="39" t="s">
        <v>10488</v>
      </c>
      <c r="AN83" s="39">
        <v>252422294</v>
      </c>
      <c r="AO83" s="75">
        <f t="shared" si="7"/>
        <v>51</v>
      </c>
      <c r="AP83" s="39" t="s">
        <v>2493</v>
      </c>
      <c r="AQ83" s="75" t="s">
        <v>2493</v>
      </c>
    </row>
    <row r="84" spans="1:43" s="6" customFormat="1" ht="11.5" hidden="1">
      <c r="A84" s="74" t="s">
        <v>10489</v>
      </c>
      <c r="B84" s="56" t="s">
        <v>67</v>
      </c>
      <c r="C84" s="56" t="s">
        <v>63</v>
      </c>
      <c r="D84" s="56" t="s">
        <v>10250</v>
      </c>
      <c r="E84" s="56"/>
      <c r="F84" s="56"/>
      <c r="G84" s="39"/>
      <c r="H84" s="56"/>
      <c r="I84" s="56" t="s">
        <v>10244</v>
      </c>
      <c r="J84" s="56" t="s">
        <v>170</v>
      </c>
      <c r="K84" s="75">
        <v>552026</v>
      </c>
      <c r="L84" s="56" t="s">
        <v>463</v>
      </c>
      <c r="M84" s="91">
        <v>550</v>
      </c>
      <c r="N84" s="91">
        <v>1320</v>
      </c>
      <c r="O84" s="92">
        <f t="shared" si="6"/>
        <v>0.72599999999999998</v>
      </c>
      <c r="P84" s="91">
        <f>N84/33</f>
        <v>40</v>
      </c>
      <c r="Q84" s="93">
        <f>N84/660</f>
        <v>2</v>
      </c>
      <c r="R84" s="56" t="s">
        <v>75</v>
      </c>
      <c r="S84" s="111"/>
      <c r="T84" s="56" t="s">
        <v>2480</v>
      </c>
      <c r="U84" s="56" t="s">
        <v>2480</v>
      </c>
      <c r="V84" s="56"/>
      <c r="W84" s="18" t="s">
        <v>10440</v>
      </c>
      <c r="X84" s="90">
        <v>45766</v>
      </c>
      <c r="Y84" s="90"/>
      <c r="Z84" s="90"/>
      <c r="AA84" s="103">
        <v>371008432</v>
      </c>
      <c r="AB84" s="79" t="s">
        <v>122</v>
      </c>
      <c r="AC84" s="94" t="s">
        <v>356</v>
      </c>
      <c r="AD84" s="90">
        <v>45774</v>
      </c>
      <c r="AE84" s="90">
        <v>45774</v>
      </c>
      <c r="AF84" s="90">
        <v>45774</v>
      </c>
      <c r="AG84" s="90">
        <v>45816</v>
      </c>
      <c r="AH84" s="90">
        <v>45815</v>
      </c>
      <c r="AI84" s="90">
        <v>45816</v>
      </c>
      <c r="AJ84" s="91" t="s">
        <v>66</v>
      </c>
      <c r="AK84" s="18" t="s">
        <v>10490</v>
      </c>
      <c r="AL84" s="18" t="s">
        <v>10491</v>
      </c>
      <c r="AM84" s="18" t="s">
        <v>10492</v>
      </c>
      <c r="AN84" s="18" t="s">
        <v>10492</v>
      </c>
      <c r="AO84" s="91">
        <f t="shared" si="7"/>
        <v>43</v>
      </c>
      <c r="AP84" s="18" t="s">
        <v>2493</v>
      </c>
      <c r="AQ84" s="91" t="s">
        <v>2493</v>
      </c>
    </row>
    <row r="85" spans="1:43" s="6" customFormat="1" ht="11.5" hidden="1">
      <c r="A85" s="74" t="s">
        <v>10493</v>
      </c>
      <c r="B85" s="56" t="s">
        <v>67</v>
      </c>
      <c r="C85" s="56" t="s">
        <v>63</v>
      </c>
      <c r="D85" s="56" t="s">
        <v>10250</v>
      </c>
      <c r="E85" s="56"/>
      <c r="F85" s="56"/>
      <c r="G85" s="39"/>
      <c r="H85" s="56"/>
      <c r="I85" s="56" t="s">
        <v>10244</v>
      </c>
      <c r="J85" s="56" t="s">
        <v>550</v>
      </c>
      <c r="K85" s="75">
        <v>553118</v>
      </c>
      <c r="L85" s="56" t="s">
        <v>552</v>
      </c>
      <c r="M85" s="75">
        <v>510</v>
      </c>
      <c r="N85" s="75">
        <v>792</v>
      </c>
      <c r="O85" s="76">
        <f t="shared" si="6"/>
        <v>0.40392</v>
      </c>
      <c r="P85" s="75">
        <f t="shared" ref="P85:P90" si="8">N85/36</f>
        <v>22</v>
      </c>
      <c r="Q85" s="77">
        <f>N85/792</f>
        <v>1</v>
      </c>
      <c r="R85" s="56" t="s">
        <v>75</v>
      </c>
      <c r="S85" s="56"/>
      <c r="T85" s="56" t="s">
        <v>2480</v>
      </c>
      <c r="U85" s="56" t="s">
        <v>2480</v>
      </c>
      <c r="V85" s="56"/>
      <c r="W85" s="39" t="s">
        <v>10399</v>
      </c>
      <c r="X85" s="78">
        <v>45744</v>
      </c>
      <c r="Y85" s="78"/>
      <c r="Z85" s="78"/>
      <c r="AA85" s="107">
        <v>371008428</v>
      </c>
      <c r="AB85" s="79" t="s">
        <v>122</v>
      </c>
      <c r="AC85" s="80" t="s">
        <v>456</v>
      </c>
      <c r="AD85" s="78">
        <v>45755</v>
      </c>
      <c r="AE85" s="78">
        <v>45755</v>
      </c>
      <c r="AF85" s="78">
        <v>45755</v>
      </c>
      <c r="AG85" s="78">
        <v>45797</v>
      </c>
      <c r="AH85" s="78">
        <v>45796</v>
      </c>
      <c r="AI85" s="78">
        <v>45797</v>
      </c>
      <c r="AJ85" s="75" t="s">
        <v>66</v>
      </c>
      <c r="AK85" s="39" t="s">
        <v>10494</v>
      </c>
      <c r="AL85" s="39" t="s">
        <v>10495</v>
      </c>
      <c r="AM85" s="39" t="s">
        <v>10496</v>
      </c>
      <c r="AN85" s="39" t="s">
        <v>10497</v>
      </c>
      <c r="AO85" s="102">
        <f t="shared" si="7"/>
        <v>43</v>
      </c>
      <c r="AP85" s="18" t="s">
        <v>2493</v>
      </c>
      <c r="AQ85" s="91" t="s">
        <v>2493</v>
      </c>
    </row>
    <row r="86" spans="1:43" s="6" customFormat="1" ht="11.5" hidden="1">
      <c r="A86" s="74" t="s">
        <v>10498</v>
      </c>
      <c r="B86" s="56" t="s">
        <v>67</v>
      </c>
      <c r="C86" s="56" t="s">
        <v>63</v>
      </c>
      <c r="D86" s="56" t="s">
        <v>10250</v>
      </c>
      <c r="E86" s="56"/>
      <c r="F86" s="56"/>
      <c r="G86" s="39"/>
      <c r="H86" s="56"/>
      <c r="I86" s="56" t="s">
        <v>10244</v>
      </c>
      <c r="J86" s="56" t="s">
        <v>473</v>
      </c>
      <c r="K86" s="75">
        <v>553146</v>
      </c>
      <c r="L86" s="49" t="s">
        <v>764</v>
      </c>
      <c r="M86" s="83">
        <v>450</v>
      </c>
      <c r="N86" s="75">
        <v>864</v>
      </c>
      <c r="O86" s="76">
        <f t="shared" si="6"/>
        <v>0.38879999999999998</v>
      </c>
      <c r="P86" s="75">
        <f t="shared" si="8"/>
        <v>24</v>
      </c>
      <c r="Q86" s="77">
        <f>N86/864</f>
        <v>1</v>
      </c>
      <c r="R86" s="56" t="s">
        <v>75</v>
      </c>
      <c r="S86" s="56"/>
      <c r="T86" s="56" t="s">
        <v>2480</v>
      </c>
      <c r="U86" s="56" t="s">
        <v>2480</v>
      </c>
      <c r="V86" s="56"/>
      <c r="W86" s="39" t="s">
        <v>10399</v>
      </c>
      <c r="X86" s="78">
        <v>45744</v>
      </c>
      <c r="Y86" s="78"/>
      <c r="Z86" s="78"/>
      <c r="AA86" s="107">
        <v>371008385</v>
      </c>
      <c r="AB86" s="79" t="s">
        <v>122</v>
      </c>
      <c r="AC86" s="80" t="s">
        <v>456</v>
      </c>
      <c r="AD86" s="78">
        <v>45755</v>
      </c>
      <c r="AE86" s="78">
        <v>45755</v>
      </c>
      <c r="AF86" s="78">
        <v>45755</v>
      </c>
      <c r="AG86" s="78">
        <v>45797</v>
      </c>
      <c r="AH86" s="78">
        <v>45796</v>
      </c>
      <c r="AI86" s="78">
        <v>45797</v>
      </c>
      <c r="AJ86" s="75" t="s">
        <v>66</v>
      </c>
      <c r="AK86" s="39" t="s">
        <v>10494</v>
      </c>
      <c r="AL86" s="39" t="s">
        <v>10495</v>
      </c>
      <c r="AM86" s="39" t="s">
        <v>10496</v>
      </c>
      <c r="AN86" s="39" t="s">
        <v>10497</v>
      </c>
      <c r="AO86" s="102">
        <f t="shared" si="7"/>
        <v>43</v>
      </c>
      <c r="AP86" s="18" t="s">
        <v>2493</v>
      </c>
      <c r="AQ86" s="91" t="s">
        <v>2493</v>
      </c>
    </row>
    <row r="87" spans="1:43" s="6" customFormat="1" ht="10" hidden="1">
      <c r="A87" s="74" t="s">
        <v>10499</v>
      </c>
      <c r="B87" s="56" t="s">
        <v>67</v>
      </c>
      <c r="C87" s="56" t="s">
        <v>63</v>
      </c>
      <c r="D87" s="56" t="s">
        <v>10250</v>
      </c>
      <c r="E87" s="56"/>
      <c r="F87" s="56"/>
      <c r="G87" s="39"/>
      <c r="H87" s="56"/>
      <c r="I87" s="56" t="s">
        <v>10244</v>
      </c>
      <c r="J87" s="56" t="s">
        <v>550</v>
      </c>
      <c r="K87" s="75">
        <v>553120</v>
      </c>
      <c r="L87" s="84" t="s">
        <v>2700</v>
      </c>
      <c r="M87" s="75">
        <v>500</v>
      </c>
      <c r="N87" s="75">
        <v>2376</v>
      </c>
      <c r="O87" s="76">
        <f t="shared" si="6"/>
        <v>1.1879999999999999</v>
      </c>
      <c r="P87" s="75">
        <f t="shared" si="8"/>
        <v>66</v>
      </c>
      <c r="Q87" s="77">
        <f>N87/792</f>
        <v>3</v>
      </c>
      <c r="R87" s="56" t="s">
        <v>75</v>
      </c>
      <c r="S87" s="56"/>
      <c r="T87" s="56" t="s">
        <v>2480</v>
      </c>
      <c r="U87" s="56" t="s">
        <v>2480</v>
      </c>
      <c r="V87" s="56"/>
      <c r="W87" s="39" t="s">
        <v>10394</v>
      </c>
      <c r="X87" s="78">
        <v>45745</v>
      </c>
      <c r="Y87" s="78"/>
      <c r="Z87" s="78"/>
      <c r="AA87" s="39">
        <v>371008398</v>
      </c>
      <c r="AB87" s="79" t="s">
        <v>122</v>
      </c>
      <c r="AC87" s="80" t="s">
        <v>356</v>
      </c>
      <c r="AD87" s="78">
        <v>45753</v>
      </c>
      <c r="AE87" s="78">
        <v>45753</v>
      </c>
      <c r="AF87" s="78">
        <v>45753</v>
      </c>
      <c r="AG87" s="78">
        <v>45792</v>
      </c>
      <c r="AH87" s="78">
        <v>45792</v>
      </c>
      <c r="AI87" s="78">
        <v>45792</v>
      </c>
      <c r="AJ87" s="75" t="s">
        <v>66</v>
      </c>
      <c r="AK87" s="39" t="s">
        <v>10453</v>
      </c>
      <c r="AL87" s="39" t="s">
        <v>10500</v>
      </c>
      <c r="AM87" s="39" t="s">
        <v>10501</v>
      </c>
      <c r="AN87" s="39" t="s">
        <v>10501</v>
      </c>
      <c r="AO87" s="102">
        <f t="shared" si="7"/>
        <v>40</v>
      </c>
      <c r="AP87" s="18" t="s">
        <v>2493</v>
      </c>
      <c r="AQ87" s="91" t="s">
        <v>2493</v>
      </c>
    </row>
    <row r="88" spans="1:43" s="6" customFormat="1" ht="11.5" hidden="1">
      <c r="A88" s="74" t="s">
        <v>10502</v>
      </c>
      <c r="B88" s="56" t="s">
        <v>67</v>
      </c>
      <c r="C88" s="56" t="s">
        <v>63</v>
      </c>
      <c r="D88" s="56" t="s">
        <v>10250</v>
      </c>
      <c r="E88" s="56"/>
      <c r="F88" s="56"/>
      <c r="G88" s="39"/>
      <c r="H88" s="56"/>
      <c r="I88" s="56" t="s">
        <v>10244</v>
      </c>
      <c r="J88" s="56" t="s">
        <v>550</v>
      </c>
      <c r="K88" s="75">
        <v>553118</v>
      </c>
      <c r="L88" s="56" t="s">
        <v>552</v>
      </c>
      <c r="M88" s="75">
        <v>510</v>
      </c>
      <c r="N88" s="75">
        <v>792</v>
      </c>
      <c r="O88" s="76">
        <f t="shared" si="6"/>
        <v>0.40392</v>
      </c>
      <c r="P88" s="75">
        <f t="shared" si="8"/>
        <v>22</v>
      </c>
      <c r="Q88" s="77">
        <f>N88/792</f>
        <v>1</v>
      </c>
      <c r="R88" s="56" t="s">
        <v>75</v>
      </c>
      <c r="S88" s="56"/>
      <c r="T88" s="56" t="s">
        <v>2480</v>
      </c>
      <c r="U88" s="56" t="s">
        <v>2480</v>
      </c>
      <c r="V88" s="56"/>
      <c r="W88" s="39" t="s">
        <v>10394</v>
      </c>
      <c r="X88" s="78">
        <v>45755</v>
      </c>
      <c r="Y88" s="78"/>
      <c r="Z88" s="78"/>
      <c r="AA88" s="107">
        <v>371008403</v>
      </c>
      <c r="AB88" s="79" t="s">
        <v>122</v>
      </c>
      <c r="AC88" s="80" t="s">
        <v>356</v>
      </c>
      <c r="AD88" s="78">
        <v>45763</v>
      </c>
      <c r="AE88" s="78">
        <v>45763</v>
      </c>
      <c r="AF88" s="78">
        <v>45763</v>
      </c>
      <c r="AG88" s="78">
        <v>45804</v>
      </c>
      <c r="AH88" s="78">
        <v>45803</v>
      </c>
      <c r="AI88" s="78">
        <v>45804</v>
      </c>
      <c r="AJ88" s="75" t="s">
        <v>66</v>
      </c>
      <c r="AK88" s="39" t="s">
        <v>10503</v>
      </c>
      <c r="AL88" s="39" t="s">
        <v>10504</v>
      </c>
      <c r="AM88" s="39" t="s">
        <v>10505</v>
      </c>
      <c r="AN88" s="39" t="s">
        <v>10505</v>
      </c>
      <c r="AO88" s="75">
        <f t="shared" si="7"/>
        <v>42</v>
      </c>
      <c r="AP88" s="18" t="s">
        <v>2493</v>
      </c>
      <c r="AQ88" s="91" t="s">
        <v>2493</v>
      </c>
    </row>
    <row r="89" spans="1:43" s="6" customFormat="1" ht="10" hidden="1">
      <c r="A89" s="74" t="s">
        <v>10506</v>
      </c>
      <c r="B89" s="56" t="s">
        <v>67</v>
      </c>
      <c r="C89" s="56" t="s">
        <v>63</v>
      </c>
      <c r="D89" s="56" t="s">
        <v>10250</v>
      </c>
      <c r="E89" s="56"/>
      <c r="F89" s="56"/>
      <c r="G89" s="39"/>
      <c r="H89" s="56"/>
      <c r="I89" s="56" t="s">
        <v>10244</v>
      </c>
      <c r="J89" s="56" t="s">
        <v>550</v>
      </c>
      <c r="K89" s="75">
        <v>553120</v>
      </c>
      <c r="L89" s="56" t="s">
        <v>2700</v>
      </c>
      <c r="M89" s="75">
        <v>500</v>
      </c>
      <c r="N89" s="75">
        <v>2376</v>
      </c>
      <c r="O89" s="76">
        <f t="shared" si="6"/>
        <v>1.1879999999999999</v>
      </c>
      <c r="P89" s="75">
        <f t="shared" si="8"/>
        <v>66</v>
      </c>
      <c r="Q89" s="77">
        <f>N89/792</f>
        <v>3</v>
      </c>
      <c r="R89" s="56" t="s">
        <v>75</v>
      </c>
      <c r="S89" s="56"/>
      <c r="T89" s="56" t="s">
        <v>2480</v>
      </c>
      <c r="U89" s="56" t="s">
        <v>2480</v>
      </c>
      <c r="V89" s="56"/>
      <c r="W89" s="39" t="s">
        <v>10394</v>
      </c>
      <c r="X89" s="78">
        <v>45746</v>
      </c>
      <c r="Y89" s="78"/>
      <c r="Z89" s="78"/>
      <c r="AA89" s="39">
        <v>371008399</v>
      </c>
      <c r="AB89" s="79" t="s">
        <v>122</v>
      </c>
      <c r="AC89" s="80" t="s">
        <v>105</v>
      </c>
      <c r="AD89" s="78">
        <v>45764</v>
      </c>
      <c r="AE89" s="78">
        <v>45764</v>
      </c>
      <c r="AF89" s="78">
        <v>45764</v>
      </c>
      <c r="AG89" s="78">
        <v>45802</v>
      </c>
      <c r="AH89" s="78">
        <v>45802</v>
      </c>
      <c r="AI89" s="78">
        <v>45802</v>
      </c>
      <c r="AJ89" s="75" t="s">
        <v>66</v>
      </c>
      <c r="AK89" s="39" t="s">
        <v>10507</v>
      </c>
      <c r="AL89" s="39" t="s">
        <v>10508</v>
      </c>
      <c r="AM89" s="39" t="s">
        <v>10509</v>
      </c>
      <c r="AN89" s="39" t="s">
        <v>10509</v>
      </c>
      <c r="AO89" s="75">
        <f t="shared" si="7"/>
        <v>39</v>
      </c>
      <c r="AP89" s="18" t="s">
        <v>2493</v>
      </c>
      <c r="AQ89" s="91" t="s">
        <v>2493</v>
      </c>
    </row>
    <row r="90" spans="1:43" s="6" customFormat="1" ht="11.5" hidden="1">
      <c r="A90" s="74" t="s">
        <v>10510</v>
      </c>
      <c r="B90" s="56" t="s">
        <v>67</v>
      </c>
      <c r="C90" s="56" t="s">
        <v>63</v>
      </c>
      <c r="D90" s="56" t="s">
        <v>10250</v>
      </c>
      <c r="E90" s="56"/>
      <c r="F90" s="56"/>
      <c r="G90" s="39"/>
      <c r="H90" s="56"/>
      <c r="I90" s="56" t="s">
        <v>10244</v>
      </c>
      <c r="J90" s="56" t="s">
        <v>550</v>
      </c>
      <c r="K90" s="75">
        <v>553118</v>
      </c>
      <c r="L90" s="56" t="s">
        <v>552</v>
      </c>
      <c r="M90" s="75">
        <v>510</v>
      </c>
      <c r="N90" s="75">
        <f>5544-N88</f>
        <v>4752</v>
      </c>
      <c r="O90" s="76">
        <f t="shared" si="6"/>
        <v>2.4235199999999999</v>
      </c>
      <c r="P90" s="75">
        <f t="shared" si="8"/>
        <v>132</v>
      </c>
      <c r="Q90" s="77">
        <f>N90/792</f>
        <v>6</v>
      </c>
      <c r="R90" s="56" t="s">
        <v>75</v>
      </c>
      <c r="S90" s="56"/>
      <c r="T90" s="56" t="s">
        <v>2480</v>
      </c>
      <c r="U90" s="56" t="s">
        <v>2480</v>
      </c>
      <c r="V90" s="56"/>
      <c r="W90" s="39" t="s">
        <v>10394</v>
      </c>
      <c r="X90" s="78">
        <v>45749</v>
      </c>
      <c r="Y90" s="78"/>
      <c r="Z90" s="78"/>
      <c r="AA90" s="107">
        <v>371008404</v>
      </c>
      <c r="AB90" s="79" t="s">
        <v>122</v>
      </c>
      <c r="AC90" s="80" t="s">
        <v>105</v>
      </c>
      <c r="AD90" s="78">
        <v>45755</v>
      </c>
      <c r="AE90" s="78">
        <v>45755</v>
      </c>
      <c r="AF90" s="78">
        <v>45755</v>
      </c>
      <c r="AG90" s="78">
        <v>45800</v>
      </c>
      <c r="AH90" s="78">
        <v>45800</v>
      </c>
      <c r="AI90" s="78">
        <v>45800</v>
      </c>
      <c r="AJ90" s="75" t="s">
        <v>66</v>
      </c>
      <c r="AK90" s="39" t="s">
        <v>10511</v>
      </c>
      <c r="AL90" s="39" t="s">
        <v>10512</v>
      </c>
      <c r="AM90" s="112" t="s">
        <v>10513</v>
      </c>
      <c r="AN90" s="39" t="s">
        <v>10514</v>
      </c>
      <c r="AO90" s="75">
        <f t="shared" si="7"/>
        <v>46</v>
      </c>
      <c r="AP90" s="39" t="s">
        <v>2493</v>
      </c>
      <c r="AQ90" s="75" t="s">
        <v>2493</v>
      </c>
    </row>
    <row r="91" spans="1:43" s="6" customFormat="1" ht="11.5">
      <c r="A91" s="74" t="s">
        <v>10515</v>
      </c>
      <c r="B91" s="56" t="s">
        <v>67</v>
      </c>
      <c r="C91" s="56" t="s">
        <v>63</v>
      </c>
      <c r="D91" s="56" t="s">
        <v>10250</v>
      </c>
      <c r="E91" s="56"/>
      <c r="F91" s="56"/>
      <c r="G91" s="39"/>
      <c r="H91" s="56"/>
      <c r="I91" s="56" t="s">
        <v>10244</v>
      </c>
      <c r="J91" s="56" t="s">
        <v>170</v>
      </c>
      <c r="K91" s="75">
        <v>552045</v>
      </c>
      <c r="L91" s="56" t="s">
        <v>172</v>
      </c>
      <c r="M91" s="91">
        <v>555</v>
      </c>
      <c r="N91" s="91">
        <f>660</f>
        <v>660</v>
      </c>
      <c r="O91" s="92">
        <f t="shared" si="6"/>
        <v>0.36630000000000001</v>
      </c>
      <c r="P91" s="91">
        <f>N91/33</f>
        <v>20</v>
      </c>
      <c r="Q91" s="93">
        <f>N91/660</f>
        <v>1</v>
      </c>
      <c r="R91" s="111" t="s">
        <v>75</v>
      </c>
      <c r="S91" s="56"/>
      <c r="T91" s="56" t="s">
        <v>2480</v>
      </c>
      <c r="U91" s="56" t="s">
        <v>2480</v>
      </c>
      <c r="V91" s="56"/>
      <c r="W91" s="39" t="s">
        <v>10399</v>
      </c>
      <c r="X91" s="90">
        <v>45745</v>
      </c>
      <c r="Y91" s="90"/>
      <c r="Z91" s="90"/>
      <c r="AA91" s="103">
        <v>371008410</v>
      </c>
      <c r="AB91" s="79" t="s">
        <v>122</v>
      </c>
      <c r="AC91" s="94" t="s">
        <v>1561</v>
      </c>
      <c r="AD91" s="90">
        <v>45751</v>
      </c>
      <c r="AE91" s="90">
        <v>45751</v>
      </c>
      <c r="AF91" s="90">
        <v>45751</v>
      </c>
      <c r="AG91" s="90">
        <v>45817</v>
      </c>
      <c r="AH91" s="90">
        <v>45821</v>
      </c>
      <c r="AI91" s="90">
        <v>45817</v>
      </c>
      <c r="AJ91" s="91" t="s">
        <v>66</v>
      </c>
      <c r="AK91" s="39" t="s">
        <v>10516</v>
      </c>
      <c r="AL91" s="39" t="s">
        <v>10517</v>
      </c>
      <c r="AM91" s="39" t="s">
        <v>10518</v>
      </c>
      <c r="AN91" s="39" t="s">
        <v>10518</v>
      </c>
      <c r="AO91" s="91">
        <f t="shared" si="7"/>
        <v>67</v>
      </c>
      <c r="AP91" s="18" t="s">
        <v>2493</v>
      </c>
      <c r="AQ91" s="113" t="s">
        <v>2493</v>
      </c>
    </row>
    <row r="92" spans="1:43" s="6" customFormat="1" ht="11.5">
      <c r="A92" s="74" t="s">
        <v>10519</v>
      </c>
      <c r="B92" s="56" t="s">
        <v>67</v>
      </c>
      <c r="C92" s="56" t="s">
        <v>63</v>
      </c>
      <c r="D92" s="56" t="s">
        <v>10250</v>
      </c>
      <c r="E92" s="56"/>
      <c r="F92" s="56"/>
      <c r="G92" s="39"/>
      <c r="H92" s="56"/>
      <c r="I92" s="56" t="s">
        <v>10244</v>
      </c>
      <c r="J92" s="56" t="s">
        <v>550</v>
      </c>
      <c r="K92" s="75">
        <v>553118</v>
      </c>
      <c r="L92" s="56" t="s">
        <v>552</v>
      </c>
      <c r="M92" s="91">
        <v>510</v>
      </c>
      <c r="N92" s="91">
        <v>792</v>
      </c>
      <c r="O92" s="92">
        <f t="shared" si="6"/>
        <v>0.40392</v>
      </c>
      <c r="P92" s="91">
        <f>N92/36</f>
        <v>22</v>
      </c>
      <c r="Q92" s="93">
        <f>N92/792</f>
        <v>1</v>
      </c>
      <c r="R92" s="111" t="s">
        <v>75</v>
      </c>
      <c r="S92" s="56"/>
      <c r="T92" s="56" t="s">
        <v>2480</v>
      </c>
      <c r="U92" s="56" t="s">
        <v>2480</v>
      </c>
      <c r="V92" s="56"/>
      <c r="W92" s="39" t="s">
        <v>10394</v>
      </c>
      <c r="X92" s="90">
        <v>45745</v>
      </c>
      <c r="Y92" s="90"/>
      <c r="Z92" s="90"/>
      <c r="AA92" s="103">
        <v>371008402</v>
      </c>
      <c r="AB92" s="79" t="s">
        <v>122</v>
      </c>
      <c r="AC92" s="94" t="s">
        <v>1561</v>
      </c>
      <c r="AD92" s="90">
        <v>45751</v>
      </c>
      <c r="AE92" s="90">
        <v>45751</v>
      </c>
      <c r="AF92" s="90">
        <v>45751</v>
      </c>
      <c r="AG92" s="90">
        <v>45817</v>
      </c>
      <c r="AH92" s="90">
        <v>45821</v>
      </c>
      <c r="AI92" s="90">
        <v>45817</v>
      </c>
      <c r="AJ92" s="91" t="s">
        <v>66</v>
      </c>
      <c r="AK92" s="39" t="s">
        <v>10516</v>
      </c>
      <c r="AL92" s="39" t="s">
        <v>10517</v>
      </c>
      <c r="AM92" s="39" t="s">
        <v>10518</v>
      </c>
      <c r="AN92" s="39" t="s">
        <v>10518</v>
      </c>
      <c r="AO92" s="91">
        <f t="shared" si="7"/>
        <v>67</v>
      </c>
      <c r="AP92" s="18" t="s">
        <v>2493</v>
      </c>
      <c r="AQ92" s="113" t="s">
        <v>2493</v>
      </c>
    </row>
    <row r="93" spans="1:43" s="6" customFormat="1" ht="11.5" hidden="1">
      <c r="A93" s="74" t="s">
        <v>10520</v>
      </c>
      <c r="B93" s="56" t="s">
        <v>67</v>
      </c>
      <c r="C93" s="56" t="s">
        <v>63</v>
      </c>
      <c r="D93" s="56" t="s">
        <v>10250</v>
      </c>
      <c r="E93" s="56"/>
      <c r="F93" s="56"/>
      <c r="G93" s="39"/>
      <c r="H93" s="56"/>
      <c r="I93" s="56" t="s">
        <v>10244</v>
      </c>
      <c r="J93" s="56" t="s">
        <v>170</v>
      </c>
      <c r="K93" s="75">
        <v>552026</v>
      </c>
      <c r="L93" s="56" t="s">
        <v>463</v>
      </c>
      <c r="M93" s="91">
        <v>550</v>
      </c>
      <c r="N93" s="91">
        <v>1320</v>
      </c>
      <c r="O93" s="92">
        <f t="shared" si="6"/>
        <v>0.72599999999999998</v>
      </c>
      <c r="P93" s="91">
        <f>N93/33</f>
        <v>40</v>
      </c>
      <c r="Q93" s="93">
        <f>N93/660</f>
        <v>2</v>
      </c>
      <c r="R93" s="111" t="s">
        <v>75</v>
      </c>
      <c r="S93" s="111"/>
      <c r="T93" s="56" t="s">
        <v>2480</v>
      </c>
      <c r="U93" s="56" t="s">
        <v>2480</v>
      </c>
      <c r="V93" s="56"/>
      <c r="W93" s="18" t="s">
        <v>10399</v>
      </c>
      <c r="X93" s="90">
        <v>45751</v>
      </c>
      <c r="Y93" s="90"/>
      <c r="Z93" s="90"/>
      <c r="AA93" s="103">
        <v>371008394</v>
      </c>
      <c r="AB93" s="79" t="s">
        <v>122</v>
      </c>
      <c r="AC93" s="94" t="s">
        <v>78</v>
      </c>
      <c r="AD93" s="90">
        <v>45762</v>
      </c>
      <c r="AE93" s="90">
        <v>45762</v>
      </c>
      <c r="AF93" s="90">
        <v>45762</v>
      </c>
      <c r="AG93" s="90">
        <v>45817</v>
      </c>
      <c r="AH93" s="90">
        <v>45819</v>
      </c>
      <c r="AI93" s="90">
        <v>45817</v>
      </c>
      <c r="AJ93" s="91" t="s">
        <v>66</v>
      </c>
      <c r="AK93" s="18" t="s">
        <v>10521</v>
      </c>
      <c r="AL93" s="18" t="s">
        <v>10522</v>
      </c>
      <c r="AM93" s="18" t="s">
        <v>10523</v>
      </c>
      <c r="AN93" s="18" t="s">
        <v>10523</v>
      </c>
      <c r="AO93" s="91">
        <f t="shared" si="7"/>
        <v>56</v>
      </c>
      <c r="AP93" s="18" t="s">
        <v>2493</v>
      </c>
      <c r="AQ93" s="114" t="s">
        <v>2493</v>
      </c>
    </row>
    <row r="94" spans="1:43" s="6" customFormat="1" ht="11.5" hidden="1">
      <c r="A94" s="74" t="s">
        <v>10524</v>
      </c>
      <c r="B94" s="56" t="s">
        <v>67</v>
      </c>
      <c r="C94" s="56" t="s">
        <v>63</v>
      </c>
      <c r="D94" s="56" t="s">
        <v>10250</v>
      </c>
      <c r="E94" s="56"/>
      <c r="F94" s="56"/>
      <c r="G94" s="39"/>
      <c r="H94" s="56"/>
      <c r="I94" s="56" t="s">
        <v>10244</v>
      </c>
      <c r="J94" s="56" t="s">
        <v>170</v>
      </c>
      <c r="K94" s="75">
        <v>552026</v>
      </c>
      <c r="L94" s="56" t="s">
        <v>463</v>
      </c>
      <c r="M94" s="91">
        <v>550</v>
      </c>
      <c r="N94" s="91">
        <v>1980</v>
      </c>
      <c r="O94" s="92">
        <f t="shared" si="6"/>
        <v>1.089</v>
      </c>
      <c r="P94" s="91">
        <f>N94/33</f>
        <v>60</v>
      </c>
      <c r="Q94" s="93">
        <f>N94/660</f>
        <v>3</v>
      </c>
      <c r="R94" s="56" t="s">
        <v>75</v>
      </c>
      <c r="S94" s="111"/>
      <c r="T94" s="56" t="s">
        <v>2480</v>
      </c>
      <c r="U94" s="56" t="s">
        <v>2480</v>
      </c>
      <c r="V94" s="56"/>
      <c r="W94" s="18" t="s">
        <v>10440</v>
      </c>
      <c r="X94" s="90">
        <v>45751</v>
      </c>
      <c r="Y94" s="90"/>
      <c r="Z94" s="90"/>
      <c r="AA94" s="103">
        <v>371008431</v>
      </c>
      <c r="AB94" s="79" t="s">
        <v>122</v>
      </c>
      <c r="AC94" s="94" t="s">
        <v>78</v>
      </c>
      <c r="AD94" s="90">
        <v>45762</v>
      </c>
      <c r="AE94" s="90">
        <v>45762</v>
      </c>
      <c r="AF94" s="90">
        <v>45762</v>
      </c>
      <c r="AG94" s="90">
        <v>45817</v>
      </c>
      <c r="AH94" s="90">
        <v>45819</v>
      </c>
      <c r="AI94" s="90">
        <v>45817</v>
      </c>
      <c r="AJ94" s="91" t="s">
        <v>66</v>
      </c>
      <c r="AK94" s="18" t="s">
        <v>10521</v>
      </c>
      <c r="AL94" s="18" t="s">
        <v>10522</v>
      </c>
      <c r="AM94" s="18" t="s">
        <v>10523</v>
      </c>
      <c r="AN94" s="18" t="s">
        <v>10523</v>
      </c>
      <c r="AO94" s="91">
        <f t="shared" si="7"/>
        <v>56</v>
      </c>
      <c r="AP94" s="18" t="s">
        <v>2493</v>
      </c>
      <c r="AQ94" s="91" t="s">
        <v>2493</v>
      </c>
    </row>
    <row r="95" spans="1:43" s="6" customFormat="1" ht="11.5">
      <c r="A95" s="74" t="s">
        <v>10525</v>
      </c>
      <c r="B95" s="56" t="s">
        <v>67</v>
      </c>
      <c r="C95" s="56" t="s">
        <v>63</v>
      </c>
      <c r="D95" s="56" t="s">
        <v>10250</v>
      </c>
      <c r="E95" s="56"/>
      <c r="F95" s="56"/>
      <c r="G95" s="39"/>
      <c r="H95" s="56"/>
      <c r="I95" s="56" t="s">
        <v>10244</v>
      </c>
      <c r="J95" s="56" t="s">
        <v>170</v>
      </c>
      <c r="K95" s="75">
        <v>552045</v>
      </c>
      <c r="L95" s="56" t="s">
        <v>172</v>
      </c>
      <c r="M95" s="75">
        <v>555</v>
      </c>
      <c r="N95" s="75">
        <f>660*5</f>
        <v>3300</v>
      </c>
      <c r="O95" s="76">
        <f t="shared" si="6"/>
        <v>1.8314999999999999</v>
      </c>
      <c r="P95" s="75">
        <f>N95/33</f>
        <v>100</v>
      </c>
      <c r="Q95" s="77">
        <f>N95/660</f>
        <v>5</v>
      </c>
      <c r="R95" s="56" t="s">
        <v>75</v>
      </c>
      <c r="S95" s="56"/>
      <c r="T95" s="56" t="s">
        <v>2480</v>
      </c>
      <c r="U95" s="56" t="s">
        <v>2480</v>
      </c>
      <c r="V95" s="56"/>
      <c r="W95" s="39" t="s">
        <v>10399</v>
      </c>
      <c r="X95" s="78">
        <v>45745</v>
      </c>
      <c r="Y95" s="78"/>
      <c r="Z95" s="78"/>
      <c r="AA95" s="107">
        <v>371008409</v>
      </c>
      <c r="AB95" s="79" t="s">
        <v>122</v>
      </c>
      <c r="AC95" s="80" t="s">
        <v>314</v>
      </c>
      <c r="AD95" s="78">
        <v>45751</v>
      </c>
      <c r="AE95" s="78">
        <v>45751</v>
      </c>
      <c r="AF95" s="78">
        <v>45751</v>
      </c>
      <c r="AG95" s="78">
        <v>45818</v>
      </c>
      <c r="AH95" s="78">
        <v>45811</v>
      </c>
      <c r="AI95" s="78">
        <v>45818</v>
      </c>
      <c r="AJ95" s="75" t="s">
        <v>66</v>
      </c>
      <c r="AK95" s="39" t="s">
        <v>10516</v>
      </c>
      <c r="AL95" s="39" t="s">
        <v>10526</v>
      </c>
      <c r="AM95" s="39" t="s">
        <v>10527</v>
      </c>
      <c r="AN95" s="39" t="s">
        <v>10527</v>
      </c>
      <c r="AO95" s="75">
        <f t="shared" si="7"/>
        <v>68</v>
      </c>
      <c r="AP95" s="39" t="s">
        <v>2493</v>
      </c>
      <c r="AQ95" s="75" t="s">
        <v>2493</v>
      </c>
    </row>
    <row r="96" spans="1:43" s="6" customFormat="1" ht="11.5">
      <c r="A96" s="74" t="s">
        <v>10528</v>
      </c>
      <c r="B96" s="56" t="s">
        <v>67</v>
      </c>
      <c r="C96" s="56" t="s">
        <v>63</v>
      </c>
      <c r="D96" s="56" t="s">
        <v>10250</v>
      </c>
      <c r="E96" s="56"/>
      <c r="F96" s="56"/>
      <c r="G96" s="39"/>
      <c r="H96" s="56"/>
      <c r="I96" s="56" t="s">
        <v>10244</v>
      </c>
      <c r="J96" s="56" t="s">
        <v>550</v>
      </c>
      <c r="K96" s="75">
        <v>553118</v>
      </c>
      <c r="L96" s="56" t="s">
        <v>552</v>
      </c>
      <c r="M96" s="75">
        <v>510</v>
      </c>
      <c r="N96" s="75">
        <v>792</v>
      </c>
      <c r="O96" s="76">
        <f t="shared" si="6"/>
        <v>0.40392</v>
      </c>
      <c r="P96" s="75">
        <f>N96/36</f>
        <v>22</v>
      </c>
      <c r="Q96" s="77">
        <f>N96/792</f>
        <v>1</v>
      </c>
      <c r="R96" s="56" t="s">
        <v>75</v>
      </c>
      <c r="S96" s="56"/>
      <c r="T96" s="56" t="s">
        <v>2480</v>
      </c>
      <c r="U96" s="56" t="s">
        <v>2480</v>
      </c>
      <c r="V96" s="56"/>
      <c r="W96" s="39" t="s">
        <v>10394</v>
      </c>
      <c r="X96" s="78">
        <v>45745</v>
      </c>
      <c r="Y96" s="78"/>
      <c r="Z96" s="78"/>
      <c r="AA96" s="107">
        <v>371008401</v>
      </c>
      <c r="AB96" s="79" t="s">
        <v>122</v>
      </c>
      <c r="AC96" s="80" t="s">
        <v>314</v>
      </c>
      <c r="AD96" s="78">
        <v>45751</v>
      </c>
      <c r="AE96" s="78">
        <v>45751</v>
      </c>
      <c r="AF96" s="78">
        <v>45751</v>
      </c>
      <c r="AG96" s="78">
        <v>45818</v>
      </c>
      <c r="AH96" s="78">
        <v>45811</v>
      </c>
      <c r="AI96" s="78">
        <v>45818</v>
      </c>
      <c r="AJ96" s="75" t="s">
        <v>66</v>
      </c>
      <c r="AK96" s="39" t="s">
        <v>10516</v>
      </c>
      <c r="AL96" s="39" t="s">
        <v>10526</v>
      </c>
      <c r="AM96" s="39" t="s">
        <v>10527</v>
      </c>
      <c r="AN96" s="39" t="s">
        <v>10527</v>
      </c>
      <c r="AO96" s="75">
        <f t="shared" si="7"/>
        <v>68</v>
      </c>
      <c r="AP96" s="39" t="s">
        <v>2493</v>
      </c>
      <c r="AQ96" s="75" t="s">
        <v>2493</v>
      </c>
    </row>
    <row r="97" spans="1:43" s="6" customFormat="1" ht="10.5" customHeight="1">
      <c r="A97" s="74" t="s">
        <v>10529</v>
      </c>
      <c r="B97" s="56" t="s">
        <v>67</v>
      </c>
      <c r="C97" s="56" t="s">
        <v>63</v>
      </c>
      <c r="D97" s="56" t="s">
        <v>10250</v>
      </c>
      <c r="E97" s="56"/>
      <c r="F97" s="56"/>
      <c r="G97" s="39"/>
      <c r="H97" s="56"/>
      <c r="I97" s="56" t="s">
        <v>10244</v>
      </c>
      <c r="J97" s="56" t="s">
        <v>473</v>
      </c>
      <c r="K97" s="75">
        <v>553145</v>
      </c>
      <c r="L97" s="56" t="s">
        <v>530</v>
      </c>
      <c r="M97" s="75">
        <v>455</v>
      </c>
      <c r="N97" s="75">
        <f>864</f>
        <v>864</v>
      </c>
      <c r="O97" s="76">
        <f t="shared" si="6"/>
        <v>0.39312000000000002</v>
      </c>
      <c r="P97" s="75">
        <f>N97/36</f>
        <v>24</v>
      </c>
      <c r="Q97" s="77">
        <f>N97/864</f>
        <v>1</v>
      </c>
      <c r="R97" s="56" t="s">
        <v>75</v>
      </c>
      <c r="S97" s="56"/>
      <c r="T97" s="56" t="s">
        <v>2480</v>
      </c>
      <c r="U97" s="56" t="s">
        <v>2480</v>
      </c>
      <c r="V97" s="56"/>
      <c r="W97" s="39" t="s">
        <v>10399</v>
      </c>
      <c r="X97" s="78">
        <v>45745</v>
      </c>
      <c r="Y97" s="78"/>
      <c r="Z97" s="78"/>
      <c r="AA97" s="107">
        <v>371008370</v>
      </c>
      <c r="AB97" s="79" t="s">
        <v>122</v>
      </c>
      <c r="AC97" s="80" t="s">
        <v>314</v>
      </c>
      <c r="AD97" s="78">
        <v>45751</v>
      </c>
      <c r="AE97" s="78">
        <v>45751</v>
      </c>
      <c r="AF97" s="78">
        <v>45751</v>
      </c>
      <c r="AG97" s="78">
        <v>45818</v>
      </c>
      <c r="AH97" s="78">
        <v>45811</v>
      </c>
      <c r="AI97" s="78">
        <v>45818</v>
      </c>
      <c r="AJ97" s="75" t="s">
        <v>66</v>
      </c>
      <c r="AK97" s="39" t="s">
        <v>10516</v>
      </c>
      <c r="AL97" s="39" t="s">
        <v>10526</v>
      </c>
      <c r="AM97" s="39" t="s">
        <v>10527</v>
      </c>
      <c r="AN97" s="39" t="s">
        <v>10527</v>
      </c>
      <c r="AO97" s="75">
        <f t="shared" si="7"/>
        <v>68</v>
      </c>
      <c r="AP97" s="39" t="s">
        <v>2493</v>
      </c>
      <c r="AQ97" s="75" t="s">
        <v>2493</v>
      </c>
    </row>
    <row r="98" spans="1:43" s="6" customFormat="1" ht="11.5" hidden="1">
      <c r="A98" s="74" t="s">
        <v>10530</v>
      </c>
      <c r="B98" s="56" t="s">
        <v>67</v>
      </c>
      <c r="C98" s="56" t="s">
        <v>63</v>
      </c>
      <c r="D98" s="56" t="s">
        <v>10250</v>
      </c>
      <c r="E98" s="56"/>
      <c r="F98" s="56"/>
      <c r="G98" s="39"/>
      <c r="H98" s="56"/>
      <c r="I98" s="56" t="s">
        <v>10244</v>
      </c>
      <c r="J98" s="56" t="s">
        <v>170</v>
      </c>
      <c r="K98" s="75">
        <v>552045</v>
      </c>
      <c r="L98" s="56" t="s">
        <v>172</v>
      </c>
      <c r="M98" s="75">
        <v>555</v>
      </c>
      <c r="N98" s="75">
        <v>660</v>
      </c>
      <c r="O98" s="76">
        <f t="shared" si="6"/>
        <v>0.36630000000000001</v>
      </c>
      <c r="P98" s="75">
        <f>N98/33</f>
        <v>20</v>
      </c>
      <c r="Q98" s="77">
        <f>N98/660</f>
        <v>1</v>
      </c>
      <c r="R98" s="56" t="s">
        <v>75</v>
      </c>
      <c r="S98" s="56"/>
      <c r="T98" s="56" t="s">
        <v>2480</v>
      </c>
      <c r="U98" s="56" t="s">
        <v>2480</v>
      </c>
      <c r="V98" s="56"/>
      <c r="W98" s="39" t="s">
        <v>10440</v>
      </c>
      <c r="X98" s="78">
        <v>45766</v>
      </c>
      <c r="Y98" s="78"/>
      <c r="Z98" s="78"/>
      <c r="AA98" s="107">
        <v>371008439</v>
      </c>
      <c r="AB98" s="79" t="s">
        <v>122</v>
      </c>
      <c r="AC98" s="80" t="s">
        <v>456</v>
      </c>
      <c r="AD98" s="78">
        <v>45776</v>
      </c>
      <c r="AE98" s="78">
        <v>45776</v>
      </c>
      <c r="AF98" s="78">
        <v>45776</v>
      </c>
      <c r="AG98" s="78">
        <v>45818</v>
      </c>
      <c r="AH98" s="78">
        <v>45816</v>
      </c>
      <c r="AI98" s="78">
        <v>45818</v>
      </c>
      <c r="AJ98" s="75" t="s">
        <v>66</v>
      </c>
      <c r="AK98" s="39" t="s">
        <v>10531</v>
      </c>
      <c r="AL98" s="39" t="s">
        <v>10532</v>
      </c>
      <c r="AM98" s="39" t="s">
        <v>10533</v>
      </c>
      <c r="AN98" s="39" t="s">
        <v>10533</v>
      </c>
      <c r="AO98" s="75">
        <f t="shared" si="7"/>
        <v>43</v>
      </c>
      <c r="AP98" s="39" t="s">
        <v>2493</v>
      </c>
      <c r="AQ98" s="75" t="s">
        <v>2493</v>
      </c>
    </row>
    <row r="99" spans="1:43" s="6" customFormat="1" ht="10.5" hidden="1" customHeight="1">
      <c r="A99" s="74" t="s">
        <v>10534</v>
      </c>
      <c r="B99" s="56" t="s">
        <v>67</v>
      </c>
      <c r="C99" s="56" t="s">
        <v>63</v>
      </c>
      <c r="D99" s="56" t="s">
        <v>10250</v>
      </c>
      <c r="E99" s="56"/>
      <c r="F99" s="56"/>
      <c r="G99" s="39"/>
      <c r="H99" s="56"/>
      <c r="I99" s="56" t="s">
        <v>10244</v>
      </c>
      <c r="J99" s="56" t="s">
        <v>550</v>
      </c>
      <c r="K99" s="75">
        <v>553120</v>
      </c>
      <c r="L99" s="56" t="s">
        <v>2700</v>
      </c>
      <c r="M99" s="75">
        <v>500</v>
      </c>
      <c r="N99" s="75">
        <v>3168</v>
      </c>
      <c r="O99" s="76">
        <f t="shared" si="6"/>
        <v>1.5840000000000001</v>
      </c>
      <c r="P99" s="75">
        <f>N99/36</f>
        <v>88</v>
      </c>
      <c r="Q99" s="77">
        <f>N99/792</f>
        <v>4</v>
      </c>
      <c r="R99" s="56" t="s">
        <v>75</v>
      </c>
      <c r="S99" s="56"/>
      <c r="T99" s="56" t="s">
        <v>2480</v>
      </c>
      <c r="U99" s="56" t="s">
        <v>2480</v>
      </c>
      <c r="V99" s="56"/>
      <c r="W99" s="39" t="s">
        <v>10394</v>
      </c>
      <c r="X99" s="78">
        <v>45760</v>
      </c>
      <c r="Y99" s="78"/>
      <c r="Z99" s="78"/>
      <c r="AA99" s="39">
        <v>371008418</v>
      </c>
      <c r="AB99" s="79" t="s">
        <v>122</v>
      </c>
      <c r="AC99" s="80" t="s">
        <v>78</v>
      </c>
      <c r="AD99" s="78">
        <v>45766</v>
      </c>
      <c r="AE99" s="78">
        <v>45766</v>
      </c>
      <c r="AF99" s="78">
        <v>45766</v>
      </c>
      <c r="AG99" s="78">
        <v>45819</v>
      </c>
      <c r="AH99" s="78">
        <v>45818</v>
      </c>
      <c r="AI99" s="78">
        <v>45819</v>
      </c>
      <c r="AJ99" s="75" t="s">
        <v>66</v>
      </c>
      <c r="AK99" s="39" t="s">
        <v>10535</v>
      </c>
      <c r="AL99" s="39" t="s">
        <v>10536</v>
      </c>
      <c r="AM99" s="39" t="s">
        <v>10537</v>
      </c>
      <c r="AN99" s="39" t="s">
        <v>10537</v>
      </c>
      <c r="AO99" s="75">
        <f t="shared" si="7"/>
        <v>54</v>
      </c>
      <c r="AP99" s="39" t="s">
        <v>2493</v>
      </c>
      <c r="AQ99" s="115" t="s">
        <v>2493</v>
      </c>
    </row>
    <row r="100" spans="1:43" s="6" customFormat="1" ht="12" hidden="1">
      <c r="A100" s="74" t="s">
        <v>10538</v>
      </c>
      <c r="B100" s="56" t="s">
        <v>67</v>
      </c>
      <c r="C100" s="56" t="s">
        <v>63</v>
      </c>
      <c r="D100" s="56" t="s">
        <v>10250</v>
      </c>
      <c r="E100" s="56"/>
      <c r="F100" s="56" t="s">
        <v>96</v>
      </c>
      <c r="G100" s="39"/>
      <c r="H100" s="56"/>
      <c r="I100" s="56" t="s">
        <v>10244</v>
      </c>
      <c r="J100" s="56" t="s">
        <v>170</v>
      </c>
      <c r="K100" s="75">
        <v>552028</v>
      </c>
      <c r="L100" s="56" t="s">
        <v>10297</v>
      </c>
      <c r="M100" s="75">
        <v>540</v>
      </c>
      <c r="N100" s="75">
        <v>3300</v>
      </c>
      <c r="O100" s="76">
        <f t="shared" si="6"/>
        <v>1.782</v>
      </c>
      <c r="P100" s="75">
        <f>N100/33</f>
        <v>100</v>
      </c>
      <c r="Q100" s="77">
        <f>N100/660</f>
        <v>5</v>
      </c>
      <c r="R100" s="56" t="s">
        <v>75</v>
      </c>
      <c r="S100" s="56"/>
      <c r="T100" s="56" t="s">
        <v>2480</v>
      </c>
      <c r="U100" s="56" t="s">
        <v>2480</v>
      </c>
      <c r="V100" s="56"/>
      <c r="W100" s="39" t="s">
        <v>10399</v>
      </c>
      <c r="X100" s="78">
        <v>45745</v>
      </c>
      <c r="Y100" s="78"/>
      <c r="Z100" s="78"/>
      <c r="AA100" s="105">
        <v>371008419</v>
      </c>
      <c r="AB100" s="79" t="s">
        <v>122</v>
      </c>
      <c r="AC100" s="80" t="s">
        <v>78</v>
      </c>
      <c r="AD100" s="78">
        <v>45751</v>
      </c>
      <c r="AE100" s="78">
        <v>45751</v>
      </c>
      <c r="AF100" s="78">
        <v>45751</v>
      </c>
      <c r="AG100" s="78">
        <v>45823</v>
      </c>
      <c r="AH100" s="78">
        <v>45822</v>
      </c>
      <c r="AI100" s="78">
        <v>45823</v>
      </c>
      <c r="AJ100" s="75" t="s">
        <v>66</v>
      </c>
      <c r="AK100" s="39" t="s">
        <v>10516</v>
      </c>
      <c r="AL100" s="39" t="s">
        <v>10539</v>
      </c>
      <c r="AM100" s="39" t="s">
        <v>10540</v>
      </c>
      <c r="AN100" s="39" t="s">
        <v>10540</v>
      </c>
      <c r="AO100" s="75">
        <f t="shared" si="7"/>
        <v>73</v>
      </c>
      <c r="AP100" s="39" t="s">
        <v>2493</v>
      </c>
      <c r="AQ100" s="115" t="s">
        <v>2493</v>
      </c>
    </row>
    <row r="101" spans="1:43" s="6" customFormat="1" ht="12" hidden="1">
      <c r="A101" s="74" t="s">
        <v>10541</v>
      </c>
      <c r="B101" s="56" t="s">
        <v>67</v>
      </c>
      <c r="C101" s="56" t="s">
        <v>63</v>
      </c>
      <c r="D101" s="56" t="s">
        <v>10250</v>
      </c>
      <c r="E101" s="56"/>
      <c r="F101" s="56" t="s">
        <v>96</v>
      </c>
      <c r="G101" s="39"/>
      <c r="H101" s="56"/>
      <c r="I101" s="56" t="s">
        <v>10244</v>
      </c>
      <c r="J101" s="56" t="s">
        <v>550</v>
      </c>
      <c r="K101" s="75">
        <v>553120</v>
      </c>
      <c r="L101" s="56" t="s">
        <v>2700</v>
      </c>
      <c r="M101" s="75">
        <v>500</v>
      </c>
      <c r="N101" s="75">
        <v>3960</v>
      </c>
      <c r="O101" s="76">
        <f t="shared" si="6"/>
        <v>1.98</v>
      </c>
      <c r="P101" s="75">
        <f>N101/36</f>
        <v>110</v>
      </c>
      <c r="Q101" s="77">
        <f>N101/792</f>
        <v>5</v>
      </c>
      <c r="R101" s="56" t="s">
        <v>75</v>
      </c>
      <c r="S101" s="56"/>
      <c r="T101" s="56" t="s">
        <v>2480</v>
      </c>
      <c r="U101" s="56" t="s">
        <v>2480</v>
      </c>
      <c r="V101" s="56"/>
      <c r="W101" s="39" t="s">
        <v>10394</v>
      </c>
      <c r="X101" s="78">
        <v>45745</v>
      </c>
      <c r="Y101" s="78"/>
      <c r="Z101" s="78"/>
      <c r="AA101" s="105">
        <v>371008396</v>
      </c>
      <c r="AB101" s="79" t="s">
        <v>122</v>
      </c>
      <c r="AC101" s="80" t="s">
        <v>78</v>
      </c>
      <c r="AD101" s="78">
        <v>45751</v>
      </c>
      <c r="AE101" s="78">
        <v>45751</v>
      </c>
      <c r="AF101" s="78">
        <v>45751</v>
      </c>
      <c r="AG101" s="78">
        <v>45823</v>
      </c>
      <c r="AH101" s="78">
        <v>45822</v>
      </c>
      <c r="AI101" s="78">
        <v>45823</v>
      </c>
      <c r="AJ101" s="75" t="s">
        <v>66</v>
      </c>
      <c r="AK101" s="39" t="s">
        <v>10516</v>
      </c>
      <c r="AL101" s="39" t="s">
        <v>10539</v>
      </c>
      <c r="AM101" s="39" t="s">
        <v>10540</v>
      </c>
      <c r="AN101" s="39" t="s">
        <v>10540</v>
      </c>
      <c r="AO101" s="75">
        <f t="shared" si="7"/>
        <v>73</v>
      </c>
      <c r="AP101" s="39" t="s">
        <v>2493</v>
      </c>
      <c r="AQ101" s="115" t="s">
        <v>2493</v>
      </c>
    </row>
    <row r="102" spans="1:43" s="6" customFormat="1" ht="11.5" hidden="1">
      <c r="A102" s="74" t="s">
        <v>10542</v>
      </c>
      <c r="B102" s="56" t="s">
        <v>67</v>
      </c>
      <c r="C102" s="56" t="s">
        <v>63</v>
      </c>
      <c r="D102" s="56" t="s">
        <v>10250</v>
      </c>
      <c r="E102" s="56"/>
      <c r="F102" s="56"/>
      <c r="G102" s="39"/>
      <c r="H102" s="56"/>
      <c r="I102" s="56" t="s">
        <v>10244</v>
      </c>
      <c r="J102" s="56" t="s">
        <v>473</v>
      </c>
      <c r="K102" s="75">
        <v>553146</v>
      </c>
      <c r="L102" s="49" t="s">
        <v>764</v>
      </c>
      <c r="M102" s="83">
        <v>450</v>
      </c>
      <c r="N102" s="75">
        <v>864</v>
      </c>
      <c r="O102" s="76">
        <f t="shared" si="6"/>
        <v>0.38879999999999998</v>
      </c>
      <c r="P102" s="75">
        <f>N102/36</f>
        <v>24</v>
      </c>
      <c r="Q102" s="77">
        <f>N102/864</f>
        <v>1</v>
      </c>
      <c r="R102" s="56" t="s">
        <v>75</v>
      </c>
      <c r="S102" s="56"/>
      <c r="T102" s="56" t="s">
        <v>2480</v>
      </c>
      <c r="U102" s="56" t="s">
        <v>2480</v>
      </c>
      <c r="V102" s="56"/>
      <c r="W102" s="39" t="s">
        <v>10399</v>
      </c>
      <c r="X102" s="78">
        <v>45756</v>
      </c>
      <c r="Y102" s="78"/>
      <c r="Z102" s="78"/>
      <c r="AA102" s="107">
        <v>371008426</v>
      </c>
      <c r="AB102" s="79" t="s">
        <v>122</v>
      </c>
      <c r="AC102" s="80" t="s">
        <v>456</v>
      </c>
      <c r="AD102" s="78">
        <v>45765</v>
      </c>
      <c r="AE102" s="78">
        <v>45765</v>
      </c>
      <c r="AF102" s="78">
        <v>45765</v>
      </c>
      <c r="AG102" s="78">
        <v>45805</v>
      </c>
      <c r="AH102" s="78">
        <v>45805</v>
      </c>
      <c r="AI102" s="78">
        <v>45805</v>
      </c>
      <c r="AJ102" s="75" t="s">
        <v>66</v>
      </c>
      <c r="AK102" s="39" t="s">
        <v>10543</v>
      </c>
      <c r="AL102" s="39" t="s">
        <v>10544</v>
      </c>
      <c r="AM102" s="39" t="s">
        <v>10545</v>
      </c>
      <c r="AN102" s="39" t="s">
        <v>10545</v>
      </c>
      <c r="AO102" s="75">
        <f t="shared" si="7"/>
        <v>41</v>
      </c>
      <c r="AP102" s="39" t="s">
        <v>2493</v>
      </c>
      <c r="AQ102" s="115" t="s">
        <v>2493</v>
      </c>
    </row>
    <row r="103" spans="1:43" s="6" customFormat="1" ht="10" hidden="1">
      <c r="A103" s="74" t="s">
        <v>10546</v>
      </c>
      <c r="B103" s="56" t="s">
        <v>67</v>
      </c>
      <c r="C103" s="56" t="s">
        <v>63</v>
      </c>
      <c r="D103" s="56" t="s">
        <v>10250</v>
      </c>
      <c r="E103" s="56"/>
      <c r="F103" s="56"/>
      <c r="G103" s="39"/>
      <c r="H103" s="56"/>
      <c r="I103" s="56" t="s">
        <v>10244</v>
      </c>
      <c r="J103" s="56" t="s">
        <v>550</v>
      </c>
      <c r="K103" s="75">
        <v>553120</v>
      </c>
      <c r="L103" s="84" t="s">
        <v>2700</v>
      </c>
      <c r="M103" s="75">
        <v>500</v>
      </c>
      <c r="N103" s="75">
        <v>2376</v>
      </c>
      <c r="O103" s="76">
        <f t="shared" si="6"/>
        <v>1.1879999999999999</v>
      </c>
      <c r="P103" s="75">
        <f>N103/36</f>
        <v>66</v>
      </c>
      <c r="Q103" s="77">
        <f>N103/792</f>
        <v>3</v>
      </c>
      <c r="R103" s="56" t="s">
        <v>75</v>
      </c>
      <c r="S103" s="56"/>
      <c r="T103" s="56" t="s">
        <v>2480</v>
      </c>
      <c r="U103" s="56" t="s">
        <v>2480</v>
      </c>
      <c r="V103" s="56"/>
      <c r="W103" s="39" t="s">
        <v>10394</v>
      </c>
      <c r="X103" s="78">
        <v>45755</v>
      </c>
      <c r="Y103" s="78"/>
      <c r="Z103" s="78"/>
      <c r="AA103" s="39">
        <v>371008417</v>
      </c>
      <c r="AB103" s="79" t="s">
        <v>122</v>
      </c>
      <c r="AC103" s="80" t="s">
        <v>356</v>
      </c>
      <c r="AD103" s="78">
        <v>45763</v>
      </c>
      <c r="AE103" s="78">
        <v>45763</v>
      </c>
      <c r="AF103" s="78">
        <v>45763</v>
      </c>
      <c r="AG103" s="78">
        <v>45804</v>
      </c>
      <c r="AH103" s="78">
        <v>45803</v>
      </c>
      <c r="AI103" s="78">
        <v>45804</v>
      </c>
      <c r="AJ103" s="75" t="s">
        <v>66</v>
      </c>
      <c r="AK103" s="39" t="s">
        <v>10503</v>
      </c>
      <c r="AL103" s="39" t="s">
        <v>10547</v>
      </c>
      <c r="AM103" s="39" t="s">
        <v>10548</v>
      </c>
      <c r="AN103" s="39" t="s">
        <v>10548</v>
      </c>
      <c r="AO103" s="75">
        <f t="shared" si="7"/>
        <v>42</v>
      </c>
      <c r="AP103" s="39" t="s">
        <v>2493</v>
      </c>
      <c r="AQ103" s="115" t="s">
        <v>2493</v>
      </c>
    </row>
    <row r="104" spans="1:43" s="6" customFormat="1" ht="11.5" hidden="1">
      <c r="A104" s="74" t="s">
        <v>10549</v>
      </c>
      <c r="B104" s="56" t="s">
        <v>67</v>
      </c>
      <c r="C104" s="56" t="s">
        <v>63</v>
      </c>
      <c r="D104" s="56" t="s">
        <v>10250</v>
      </c>
      <c r="E104" s="56"/>
      <c r="F104" s="56"/>
      <c r="G104" s="39"/>
      <c r="H104" s="56"/>
      <c r="I104" s="56" t="s">
        <v>10244</v>
      </c>
      <c r="J104" s="56" t="s">
        <v>170</v>
      </c>
      <c r="K104" s="75">
        <v>552026</v>
      </c>
      <c r="L104" s="56" t="s">
        <v>463</v>
      </c>
      <c r="M104" s="75">
        <v>550</v>
      </c>
      <c r="N104" s="75">
        <v>660</v>
      </c>
      <c r="O104" s="76">
        <f t="shared" si="6"/>
        <v>0.36299999999999999</v>
      </c>
      <c r="P104" s="75">
        <f>N104/33</f>
        <v>20</v>
      </c>
      <c r="Q104" s="77">
        <f>N104/660</f>
        <v>1</v>
      </c>
      <c r="R104" s="56" t="s">
        <v>75</v>
      </c>
      <c r="S104" s="56"/>
      <c r="T104" s="56" t="s">
        <v>2480</v>
      </c>
      <c r="U104" s="56" t="s">
        <v>2480</v>
      </c>
      <c r="V104" s="56"/>
      <c r="W104" s="39" t="s">
        <v>10440</v>
      </c>
      <c r="X104" s="78">
        <v>45755</v>
      </c>
      <c r="Y104" s="78"/>
      <c r="Z104" s="78"/>
      <c r="AA104" s="107">
        <v>371008432</v>
      </c>
      <c r="AB104" s="79" t="s">
        <v>122</v>
      </c>
      <c r="AC104" s="80" t="s">
        <v>356</v>
      </c>
      <c r="AD104" s="78">
        <v>45762</v>
      </c>
      <c r="AE104" s="78">
        <v>45762</v>
      </c>
      <c r="AF104" s="78">
        <v>45762</v>
      </c>
      <c r="AG104" s="78">
        <v>45804</v>
      </c>
      <c r="AH104" s="78">
        <v>45803</v>
      </c>
      <c r="AI104" s="78">
        <v>45804</v>
      </c>
      <c r="AJ104" s="75" t="s">
        <v>66</v>
      </c>
      <c r="AK104" s="39" t="s">
        <v>10503</v>
      </c>
      <c r="AL104" s="39" t="s">
        <v>10547</v>
      </c>
      <c r="AM104" s="39" t="s">
        <v>10548</v>
      </c>
      <c r="AN104" s="39" t="s">
        <v>10548</v>
      </c>
      <c r="AO104" s="75">
        <f t="shared" si="7"/>
        <v>43</v>
      </c>
      <c r="AP104" s="39" t="s">
        <v>2493</v>
      </c>
      <c r="AQ104" s="115" t="s">
        <v>2493</v>
      </c>
    </row>
    <row r="105" spans="1:43" s="6" customFormat="1" ht="11.5" hidden="1">
      <c r="A105" s="74" t="s">
        <v>10550</v>
      </c>
      <c r="B105" s="56" t="s">
        <v>67</v>
      </c>
      <c r="C105" s="56" t="s">
        <v>63</v>
      </c>
      <c r="D105" s="56" t="s">
        <v>10250</v>
      </c>
      <c r="E105" s="56"/>
      <c r="F105" s="56"/>
      <c r="G105" s="39"/>
      <c r="H105" s="56"/>
      <c r="I105" s="56" t="s">
        <v>10244</v>
      </c>
      <c r="J105" s="56" t="s">
        <v>170</v>
      </c>
      <c r="K105" s="75">
        <v>552045</v>
      </c>
      <c r="L105" s="56" t="s">
        <v>172</v>
      </c>
      <c r="M105" s="75">
        <v>555</v>
      </c>
      <c r="N105" s="75">
        <v>660</v>
      </c>
      <c r="O105" s="76">
        <f t="shared" si="6"/>
        <v>0.36630000000000001</v>
      </c>
      <c r="P105" s="75">
        <f>N105/33</f>
        <v>20</v>
      </c>
      <c r="Q105" s="77">
        <f>N105/660</f>
        <v>1</v>
      </c>
      <c r="R105" s="56" t="s">
        <v>75</v>
      </c>
      <c r="S105" s="56"/>
      <c r="T105" s="56" t="s">
        <v>2480</v>
      </c>
      <c r="U105" s="56" t="s">
        <v>2480</v>
      </c>
      <c r="V105" s="56"/>
      <c r="W105" s="39" t="s">
        <v>10399</v>
      </c>
      <c r="X105" s="78">
        <v>45755</v>
      </c>
      <c r="Y105" s="78"/>
      <c r="Z105" s="78"/>
      <c r="AA105" s="107">
        <v>371008420</v>
      </c>
      <c r="AB105" s="79" t="s">
        <v>122</v>
      </c>
      <c r="AC105" s="80" t="s">
        <v>356</v>
      </c>
      <c r="AD105" s="78">
        <v>45762</v>
      </c>
      <c r="AE105" s="78">
        <v>45762</v>
      </c>
      <c r="AF105" s="78">
        <v>45762</v>
      </c>
      <c r="AG105" s="78">
        <v>45804</v>
      </c>
      <c r="AH105" s="78">
        <v>45803</v>
      </c>
      <c r="AI105" s="78">
        <v>45804</v>
      </c>
      <c r="AJ105" s="75" t="s">
        <v>66</v>
      </c>
      <c r="AK105" s="39" t="s">
        <v>10503</v>
      </c>
      <c r="AL105" s="39" t="s">
        <v>10547</v>
      </c>
      <c r="AM105" s="39" t="s">
        <v>10548</v>
      </c>
      <c r="AN105" s="39" t="s">
        <v>10548</v>
      </c>
      <c r="AO105" s="75">
        <f t="shared" si="7"/>
        <v>43</v>
      </c>
      <c r="AP105" s="39" t="s">
        <v>2493</v>
      </c>
      <c r="AQ105" s="115" t="s">
        <v>2493</v>
      </c>
    </row>
    <row r="106" spans="1:43" s="6" customFormat="1" ht="11.5" hidden="1">
      <c r="A106" s="74" t="s">
        <v>10551</v>
      </c>
      <c r="B106" s="56" t="s">
        <v>67</v>
      </c>
      <c r="C106" s="56" t="s">
        <v>63</v>
      </c>
      <c r="D106" s="56" t="s">
        <v>10250</v>
      </c>
      <c r="E106" s="56"/>
      <c r="F106" s="56"/>
      <c r="G106" s="39"/>
      <c r="H106" s="56"/>
      <c r="I106" s="56" t="s">
        <v>10244</v>
      </c>
      <c r="J106" s="56" t="s">
        <v>550</v>
      </c>
      <c r="K106" s="75">
        <v>553118</v>
      </c>
      <c r="L106" s="56" t="s">
        <v>552</v>
      </c>
      <c r="M106" s="75">
        <v>510</v>
      </c>
      <c r="N106" s="75">
        <v>7128</v>
      </c>
      <c r="O106" s="76">
        <f t="shared" si="6"/>
        <v>3.6352799999999998</v>
      </c>
      <c r="P106" s="75">
        <f>N106/36</f>
        <v>198</v>
      </c>
      <c r="Q106" s="77">
        <f>N106/792</f>
        <v>9</v>
      </c>
      <c r="R106" s="56" t="s">
        <v>75</v>
      </c>
      <c r="S106" s="56"/>
      <c r="T106" s="56" t="s">
        <v>2480</v>
      </c>
      <c r="U106" s="56" t="s">
        <v>2480</v>
      </c>
      <c r="V106" s="56"/>
      <c r="W106" s="39" t="s">
        <v>10399</v>
      </c>
      <c r="X106" s="78">
        <v>45756</v>
      </c>
      <c r="Y106" s="78"/>
      <c r="Z106" s="78"/>
      <c r="AA106" s="107">
        <v>371008430</v>
      </c>
      <c r="AB106" s="79" t="s">
        <v>122</v>
      </c>
      <c r="AC106" s="80" t="s">
        <v>105</v>
      </c>
      <c r="AD106" s="78">
        <v>45767</v>
      </c>
      <c r="AE106" s="78">
        <v>45767</v>
      </c>
      <c r="AF106" s="78">
        <v>45767</v>
      </c>
      <c r="AG106" s="78">
        <v>45802</v>
      </c>
      <c r="AH106" s="78">
        <v>45802</v>
      </c>
      <c r="AI106" s="78">
        <v>45802</v>
      </c>
      <c r="AJ106" s="75" t="s">
        <v>66</v>
      </c>
      <c r="AK106" s="39" t="s">
        <v>10552</v>
      </c>
      <c r="AL106" s="39" t="s">
        <v>10553</v>
      </c>
      <c r="AM106" s="39" t="s">
        <v>10554</v>
      </c>
      <c r="AN106" s="39" t="s">
        <v>10554</v>
      </c>
      <c r="AO106" s="75">
        <f t="shared" si="7"/>
        <v>36</v>
      </c>
      <c r="AP106" s="39" t="s">
        <v>2493</v>
      </c>
      <c r="AQ106" s="115" t="s">
        <v>2493</v>
      </c>
    </row>
    <row r="107" spans="1:43" s="6" customFormat="1" ht="11.5">
      <c r="A107" s="74" t="s">
        <v>10555</v>
      </c>
      <c r="B107" s="56" t="s">
        <v>67</v>
      </c>
      <c r="C107" s="56" t="s">
        <v>63</v>
      </c>
      <c r="D107" s="56" t="s">
        <v>10250</v>
      </c>
      <c r="E107" s="56"/>
      <c r="F107" s="56" t="s">
        <v>96</v>
      </c>
      <c r="G107" s="39"/>
      <c r="H107" s="56"/>
      <c r="I107" s="56" t="s">
        <v>10244</v>
      </c>
      <c r="J107" s="56" t="s">
        <v>170</v>
      </c>
      <c r="K107" s="75">
        <v>552045</v>
      </c>
      <c r="L107" s="56" t="s">
        <v>172</v>
      </c>
      <c r="M107" s="75">
        <v>555</v>
      </c>
      <c r="N107" s="75">
        <v>3300</v>
      </c>
      <c r="O107" s="76">
        <f t="shared" si="6"/>
        <v>1.8314999999999999</v>
      </c>
      <c r="P107" s="75">
        <f>N107/33</f>
        <v>100</v>
      </c>
      <c r="Q107" s="77">
        <f>N107/660</f>
        <v>5</v>
      </c>
      <c r="R107" s="56" t="s">
        <v>75</v>
      </c>
      <c r="S107" s="56"/>
      <c r="T107" s="56" t="s">
        <v>2480</v>
      </c>
      <c r="U107" s="56" t="s">
        <v>2480</v>
      </c>
      <c r="V107" s="56"/>
      <c r="W107" s="39" t="s">
        <v>10399</v>
      </c>
      <c r="X107" s="78">
        <v>45750</v>
      </c>
      <c r="Y107" s="78"/>
      <c r="Z107" s="78"/>
      <c r="AA107" s="107">
        <v>371008411</v>
      </c>
      <c r="AB107" s="79" t="s">
        <v>122</v>
      </c>
      <c r="AC107" s="80" t="s">
        <v>314</v>
      </c>
      <c r="AD107" s="78">
        <v>45762</v>
      </c>
      <c r="AE107" s="78">
        <v>45762</v>
      </c>
      <c r="AF107" s="78">
        <v>45762</v>
      </c>
      <c r="AG107" s="78">
        <v>45822</v>
      </c>
      <c r="AH107" s="78">
        <v>45822</v>
      </c>
      <c r="AI107" s="78">
        <v>45822</v>
      </c>
      <c r="AJ107" s="75" t="s">
        <v>66</v>
      </c>
      <c r="AK107" s="39" t="s">
        <v>10521</v>
      </c>
      <c r="AL107" s="39" t="s">
        <v>10556</v>
      </c>
      <c r="AM107" s="39" t="s">
        <v>10557</v>
      </c>
      <c r="AN107" s="39" t="s">
        <v>10557</v>
      </c>
      <c r="AO107" s="75">
        <f t="shared" si="7"/>
        <v>61</v>
      </c>
      <c r="AP107" s="39" t="s">
        <v>2493</v>
      </c>
      <c r="AQ107" s="115" t="s">
        <v>2493</v>
      </c>
    </row>
    <row r="108" spans="1:43" s="6" customFormat="1" ht="11.5">
      <c r="A108" s="74" t="s">
        <v>10558</v>
      </c>
      <c r="B108" s="56" t="s">
        <v>67</v>
      </c>
      <c r="C108" s="56" t="s">
        <v>63</v>
      </c>
      <c r="D108" s="56" t="s">
        <v>10250</v>
      </c>
      <c r="E108" s="56"/>
      <c r="F108" s="56" t="s">
        <v>96</v>
      </c>
      <c r="G108" s="39"/>
      <c r="H108" s="56"/>
      <c r="I108" s="56" t="s">
        <v>10244</v>
      </c>
      <c r="J108" s="56" t="s">
        <v>550</v>
      </c>
      <c r="K108" s="75">
        <v>553118</v>
      </c>
      <c r="L108" s="56" t="s">
        <v>552</v>
      </c>
      <c r="M108" s="75">
        <v>510</v>
      </c>
      <c r="N108" s="75">
        <v>792</v>
      </c>
      <c r="O108" s="76">
        <f t="shared" si="6"/>
        <v>0.40392</v>
      </c>
      <c r="P108" s="75">
        <f>N108/36</f>
        <v>22</v>
      </c>
      <c r="Q108" s="77">
        <f>N108/792</f>
        <v>1</v>
      </c>
      <c r="R108" s="56" t="s">
        <v>75</v>
      </c>
      <c r="S108" s="56"/>
      <c r="T108" s="56" t="s">
        <v>2480</v>
      </c>
      <c r="U108" s="56" t="s">
        <v>2480</v>
      </c>
      <c r="V108" s="56"/>
      <c r="W108" s="39" t="s">
        <v>10399</v>
      </c>
      <c r="X108" s="78">
        <v>45750</v>
      </c>
      <c r="Y108" s="78"/>
      <c r="Z108" s="78"/>
      <c r="AA108" s="107">
        <v>371008429</v>
      </c>
      <c r="AB108" s="79" t="s">
        <v>122</v>
      </c>
      <c r="AC108" s="80" t="s">
        <v>314</v>
      </c>
      <c r="AD108" s="78">
        <v>45762</v>
      </c>
      <c r="AE108" s="78">
        <v>45762</v>
      </c>
      <c r="AF108" s="78">
        <v>45762</v>
      </c>
      <c r="AG108" s="78">
        <v>45822</v>
      </c>
      <c r="AH108" s="78">
        <v>45822</v>
      </c>
      <c r="AI108" s="78">
        <v>45822</v>
      </c>
      <c r="AJ108" s="75" t="s">
        <v>66</v>
      </c>
      <c r="AK108" s="39" t="s">
        <v>10521</v>
      </c>
      <c r="AL108" s="39" t="s">
        <v>10556</v>
      </c>
      <c r="AM108" s="39" t="s">
        <v>10559</v>
      </c>
      <c r="AN108" s="39" t="s">
        <v>10559</v>
      </c>
      <c r="AO108" s="75">
        <f t="shared" si="7"/>
        <v>61</v>
      </c>
      <c r="AP108" s="39" t="s">
        <v>2493</v>
      </c>
      <c r="AQ108" s="115" t="s">
        <v>2493</v>
      </c>
    </row>
    <row r="109" spans="1:43" s="6" customFormat="1" ht="11.5">
      <c r="A109" s="74" t="s">
        <v>10560</v>
      </c>
      <c r="B109" s="56" t="s">
        <v>67</v>
      </c>
      <c r="C109" s="56" t="s">
        <v>63</v>
      </c>
      <c r="D109" s="56" t="s">
        <v>10250</v>
      </c>
      <c r="E109" s="56"/>
      <c r="F109" s="56" t="s">
        <v>96</v>
      </c>
      <c r="G109" s="39"/>
      <c r="H109" s="56"/>
      <c r="I109" s="56" t="s">
        <v>10244</v>
      </c>
      <c r="J109" s="56" t="s">
        <v>473</v>
      </c>
      <c r="K109" s="75">
        <v>553145</v>
      </c>
      <c r="L109" s="56" t="s">
        <v>530</v>
      </c>
      <c r="M109" s="75">
        <v>455</v>
      </c>
      <c r="N109" s="75">
        <v>864</v>
      </c>
      <c r="O109" s="76">
        <f t="shared" si="6"/>
        <v>0.39312000000000002</v>
      </c>
      <c r="P109" s="75">
        <f>N109/36</f>
        <v>24</v>
      </c>
      <c r="Q109" s="77">
        <f>N109/864</f>
        <v>1</v>
      </c>
      <c r="R109" s="56" t="s">
        <v>75</v>
      </c>
      <c r="S109" s="56"/>
      <c r="T109" s="56" t="s">
        <v>2480</v>
      </c>
      <c r="U109" s="56" t="s">
        <v>2480</v>
      </c>
      <c r="V109" s="56"/>
      <c r="W109" s="39" t="s">
        <v>10399</v>
      </c>
      <c r="X109" s="78">
        <v>45750</v>
      </c>
      <c r="Y109" s="78"/>
      <c r="Z109" s="78"/>
      <c r="AA109" s="107">
        <v>371008371</v>
      </c>
      <c r="AB109" s="79" t="s">
        <v>122</v>
      </c>
      <c r="AC109" s="80" t="s">
        <v>314</v>
      </c>
      <c r="AD109" s="78">
        <v>45762</v>
      </c>
      <c r="AE109" s="78">
        <v>45762</v>
      </c>
      <c r="AF109" s="78">
        <v>45762</v>
      </c>
      <c r="AG109" s="78">
        <v>45822</v>
      </c>
      <c r="AH109" s="78">
        <v>45822</v>
      </c>
      <c r="AI109" s="78">
        <v>45822</v>
      </c>
      <c r="AJ109" s="75" t="s">
        <v>66</v>
      </c>
      <c r="AK109" s="39" t="s">
        <v>10521</v>
      </c>
      <c r="AL109" s="39" t="s">
        <v>10556</v>
      </c>
      <c r="AM109" s="39" t="s">
        <v>10559</v>
      </c>
      <c r="AN109" s="39" t="s">
        <v>10559</v>
      </c>
      <c r="AO109" s="75">
        <f t="shared" si="7"/>
        <v>61</v>
      </c>
      <c r="AP109" s="39" t="s">
        <v>2493</v>
      </c>
      <c r="AQ109" s="115" t="s">
        <v>2493</v>
      </c>
    </row>
    <row r="110" spans="1:43" s="6" customFormat="1" ht="10" hidden="1">
      <c r="A110" s="74" t="s">
        <v>10561</v>
      </c>
      <c r="B110" s="56" t="s">
        <v>67</v>
      </c>
      <c r="C110" s="56" t="s">
        <v>63</v>
      </c>
      <c r="D110" s="56" t="s">
        <v>10250</v>
      </c>
      <c r="E110" s="56"/>
      <c r="F110" s="56" t="s">
        <v>96</v>
      </c>
      <c r="G110" s="39"/>
      <c r="H110" s="56"/>
      <c r="I110" s="56" t="s">
        <v>10244</v>
      </c>
      <c r="J110" s="56" t="s">
        <v>550</v>
      </c>
      <c r="K110" s="75">
        <v>553120</v>
      </c>
      <c r="L110" s="56" t="s">
        <v>2700</v>
      </c>
      <c r="M110" s="91">
        <v>500</v>
      </c>
      <c r="N110" s="91">
        <v>792</v>
      </c>
      <c r="O110" s="92">
        <f t="shared" si="6"/>
        <v>0.39600000000000002</v>
      </c>
      <c r="P110" s="91">
        <f>N110/36</f>
        <v>22</v>
      </c>
      <c r="Q110" s="93">
        <f>N110/792</f>
        <v>1</v>
      </c>
      <c r="R110" s="56" t="s">
        <v>75</v>
      </c>
      <c r="S110" s="56"/>
      <c r="T110" s="56" t="s">
        <v>2480</v>
      </c>
      <c r="U110" s="56" t="s">
        <v>2480</v>
      </c>
      <c r="V110" s="56"/>
      <c r="W110" s="39" t="s">
        <v>10399</v>
      </c>
      <c r="X110" s="90">
        <v>45766</v>
      </c>
      <c r="Y110" s="90"/>
      <c r="Z110" s="90"/>
      <c r="AA110" s="91">
        <v>371008447</v>
      </c>
      <c r="AB110" s="79" t="s">
        <v>122</v>
      </c>
      <c r="AC110" s="94" t="s">
        <v>78</v>
      </c>
      <c r="AD110" s="90">
        <v>45774</v>
      </c>
      <c r="AE110" s="90">
        <v>45774</v>
      </c>
      <c r="AF110" s="90">
        <v>45774</v>
      </c>
      <c r="AG110" s="90">
        <v>45822</v>
      </c>
      <c r="AH110" s="78">
        <v>45822</v>
      </c>
      <c r="AI110" s="90">
        <v>45822</v>
      </c>
      <c r="AJ110" s="91" t="s">
        <v>66</v>
      </c>
      <c r="AK110" s="39" t="s">
        <v>10562</v>
      </c>
      <c r="AL110" s="39">
        <v>46010175</v>
      </c>
      <c r="AM110" s="39" t="s">
        <v>10563</v>
      </c>
      <c r="AN110" s="39" t="s">
        <v>10563</v>
      </c>
      <c r="AO110" s="75">
        <f t="shared" si="7"/>
        <v>49</v>
      </c>
      <c r="AP110" s="18" t="s">
        <v>2493</v>
      </c>
      <c r="AQ110" s="113" t="s">
        <v>2493</v>
      </c>
    </row>
    <row r="111" spans="1:43" s="6" customFormat="1" ht="11.5" hidden="1">
      <c r="A111" s="74" t="s">
        <v>10564</v>
      </c>
      <c r="B111" s="56" t="s">
        <v>67</v>
      </c>
      <c r="C111" s="56" t="s">
        <v>63</v>
      </c>
      <c r="D111" s="56" t="s">
        <v>10250</v>
      </c>
      <c r="E111" s="56"/>
      <c r="F111" s="56" t="s">
        <v>96</v>
      </c>
      <c r="G111" s="39"/>
      <c r="H111" s="56"/>
      <c r="I111" s="56" t="s">
        <v>10244</v>
      </c>
      <c r="J111" s="56" t="s">
        <v>170</v>
      </c>
      <c r="K111" s="75">
        <v>552026</v>
      </c>
      <c r="L111" s="56" t="s">
        <v>463</v>
      </c>
      <c r="M111" s="91">
        <v>550</v>
      </c>
      <c r="N111" s="91">
        <v>1320</v>
      </c>
      <c r="O111" s="92">
        <f t="shared" si="6"/>
        <v>0.72599999999999998</v>
      </c>
      <c r="P111" s="91">
        <f>N111/33</f>
        <v>40</v>
      </c>
      <c r="Q111" s="93">
        <f>N111/660</f>
        <v>2</v>
      </c>
      <c r="R111" s="56" t="s">
        <v>75</v>
      </c>
      <c r="S111" s="56"/>
      <c r="T111" s="56" t="s">
        <v>2480</v>
      </c>
      <c r="U111" s="56" t="s">
        <v>2480</v>
      </c>
      <c r="V111" s="56"/>
      <c r="W111" s="39" t="s">
        <v>10440</v>
      </c>
      <c r="X111" s="90">
        <v>45766</v>
      </c>
      <c r="Y111" s="90"/>
      <c r="Z111" s="90"/>
      <c r="AA111" s="103">
        <v>371008431</v>
      </c>
      <c r="AB111" s="79" t="s">
        <v>122</v>
      </c>
      <c r="AC111" s="94" t="s">
        <v>78</v>
      </c>
      <c r="AD111" s="90">
        <v>45774</v>
      </c>
      <c r="AE111" s="90">
        <v>45774</v>
      </c>
      <c r="AF111" s="90">
        <v>45774</v>
      </c>
      <c r="AG111" s="90">
        <v>45822</v>
      </c>
      <c r="AH111" s="78">
        <v>45822</v>
      </c>
      <c r="AI111" s="90">
        <v>45822</v>
      </c>
      <c r="AJ111" s="91" t="s">
        <v>66</v>
      </c>
      <c r="AK111" s="39" t="s">
        <v>10562</v>
      </c>
      <c r="AL111" s="39" t="s">
        <v>10565</v>
      </c>
      <c r="AM111" s="39" t="s">
        <v>10566</v>
      </c>
      <c r="AN111" s="39" t="s">
        <v>10566</v>
      </c>
      <c r="AO111" s="75">
        <f t="shared" si="7"/>
        <v>49</v>
      </c>
      <c r="AP111" s="18" t="s">
        <v>2493</v>
      </c>
      <c r="AQ111" s="113" t="s">
        <v>2493</v>
      </c>
    </row>
    <row r="112" spans="1:43" s="6" customFormat="1" ht="10.5" hidden="1" customHeight="1">
      <c r="A112" s="74" t="s">
        <v>10567</v>
      </c>
      <c r="B112" s="56" t="s">
        <v>67</v>
      </c>
      <c r="C112" s="56" t="s">
        <v>63</v>
      </c>
      <c r="D112" s="56" t="s">
        <v>10250</v>
      </c>
      <c r="E112" s="56"/>
      <c r="F112" s="56" t="s">
        <v>96</v>
      </c>
      <c r="G112" s="39"/>
      <c r="H112" s="56"/>
      <c r="I112" s="56" t="s">
        <v>10244</v>
      </c>
      <c r="J112" s="56" t="s">
        <v>170</v>
      </c>
      <c r="K112" s="75">
        <v>552045</v>
      </c>
      <c r="L112" s="56" t="s">
        <v>172</v>
      </c>
      <c r="M112" s="91">
        <v>555</v>
      </c>
      <c r="N112" s="91">
        <v>660</v>
      </c>
      <c r="O112" s="92">
        <f t="shared" si="6"/>
        <v>0.36630000000000001</v>
      </c>
      <c r="P112" s="91">
        <f>N112/33</f>
        <v>20</v>
      </c>
      <c r="Q112" s="93">
        <f>N112/660</f>
        <v>1</v>
      </c>
      <c r="R112" s="56" t="s">
        <v>75</v>
      </c>
      <c r="S112" s="56"/>
      <c r="T112" s="56" t="s">
        <v>2480</v>
      </c>
      <c r="U112" s="56" t="s">
        <v>2480</v>
      </c>
      <c r="V112" s="56"/>
      <c r="W112" s="39" t="s">
        <v>10399</v>
      </c>
      <c r="X112" s="90">
        <v>45766</v>
      </c>
      <c r="Y112" s="90"/>
      <c r="Z112" s="90"/>
      <c r="AA112" s="103">
        <v>371008421</v>
      </c>
      <c r="AB112" s="79" t="s">
        <v>122</v>
      </c>
      <c r="AC112" s="94" t="s">
        <v>78</v>
      </c>
      <c r="AD112" s="90">
        <v>45774</v>
      </c>
      <c r="AE112" s="90">
        <v>45774</v>
      </c>
      <c r="AF112" s="90">
        <v>45774</v>
      </c>
      <c r="AG112" s="90">
        <v>45822</v>
      </c>
      <c r="AH112" s="78">
        <v>45822</v>
      </c>
      <c r="AI112" s="90">
        <v>45822</v>
      </c>
      <c r="AJ112" s="91" t="s">
        <v>66</v>
      </c>
      <c r="AK112" s="39" t="s">
        <v>10562</v>
      </c>
      <c r="AL112" s="39" t="s">
        <v>10565</v>
      </c>
      <c r="AM112" s="39" t="s">
        <v>10566</v>
      </c>
      <c r="AN112" s="39" t="s">
        <v>10568</v>
      </c>
      <c r="AO112" s="75">
        <f t="shared" si="7"/>
        <v>49</v>
      </c>
      <c r="AP112" s="18" t="s">
        <v>2493</v>
      </c>
      <c r="AQ112" s="113" t="s">
        <v>2493</v>
      </c>
    </row>
    <row r="113" spans="1:43" s="6" customFormat="1" ht="11.5" hidden="1">
      <c r="A113" s="74" t="s">
        <v>10569</v>
      </c>
      <c r="B113" s="56" t="s">
        <v>67</v>
      </c>
      <c r="C113" s="56" t="s">
        <v>63</v>
      </c>
      <c r="D113" s="56" t="s">
        <v>10250</v>
      </c>
      <c r="E113" s="56"/>
      <c r="F113" s="56" t="s">
        <v>96</v>
      </c>
      <c r="G113" s="39"/>
      <c r="H113" s="56"/>
      <c r="I113" s="56" t="s">
        <v>10244</v>
      </c>
      <c r="J113" s="56" t="s">
        <v>170</v>
      </c>
      <c r="K113" s="75">
        <v>552045</v>
      </c>
      <c r="L113" s="56" t="s">
        <v>172</v>
      </c>
      <c r="M113" s="91">
        <v>555</v>
      </c>
      <c r="N113" s="91">
        <v>1320</v>
      </c>
      <c r="O113" s="92">
        <f t="shared" si="6"/>
        <v>0.73260000000000003</v>
      </c>
      <c r="P113" s="91">
        <f>N113/33</f>
        <v>40</v>
      </c>
      <c r="Q113" s="93">
        <f>N113/660</f>
        <v>2</v>
      </c>
      <c r="R113" s="56" t="s">
        <v>75</v>
      </c>
      <c r="S113" s="111"/>
      <c r="T113" s="56" t="s">
        <v>2480</v>
      </c>
      <c r="U113" s="56" t="s">
        <v>2480</v>
      </c>
      <c r="V113" s="56"/>
      <c r="W113" s="18" t="s">
        <v>10440</v>
      </c>
      <c r="X113" s="90">
        <v>45768</v>
      </c>
      <c r="Y113" s="90"/>
      <c r="Z113" s="90"/>
      <c r="AA113" s="103">
        <v>371008444</v>
      </c>
      <c r="AB113" s="79" t="s">
        <v>122</v>
      </c>
      <c r="AC113" s="94" t="s">
        <v>124</v>
      </c>
      <c r="AD113" s="90">
        <v>45779</v>
      </c>
      <c r="AE113" s="90">
        <v>45779</v>
      </c>
      <c r="AF113" s="90">
        <v>45779</v>
      </c>
      <c r="AG113" s="90">
        <v>45823</v>
      </c>
      <c r="AH113" s="90">
        <v>45823</v>
      </c>
      <c r="AI113" s="90">
        <v>45823</v>
      </c>
      <c r="AJ113" s="91" t="s">
        <v>66</v>
      </c>
      <c r="AK113" s="18" t="s">
        <v>10570</v>
      </c>
      <c r="AL113" s="18" t="s">
        <v>10571</v>
      </c>
      <c r="AM113" s="18" t="s">
        <v>10572</v>
      </c>
      <c r="AN113" s="18" t="s">
        <v>10572</v>
      </c>
      <c r="AO113" s="91">
        <f t="shared" si="7"/>
        <v>45</v>
      </c>
      <c r="AP113" s="18" t="s">
        <v>2493</v>
      </c>
      <c r="AQ113" s="113" t="s">
        <v>2493</v>
      </c>
    </row>
    <row r="114" spans="1:43" s="6" customFormat="1" ht="11.5">
      <c r="A114" s="74" t="s">
        <v>10573</v>
      </c>
      <c r="B114" s="56" t="s">
        <v>67</v>
      </c>
      <c r="C114" s="56" t="s">
        <v>63</v>
      </c>
      <c r="D114" s="56" t="s">
        <v>10250</v>
      </c>
      <c r="E114" s="56"/>
      <c r="F114" s="56" t="s">
        <v>96</v>
      </c>
      <c r="G114" s="39"/>
      <c r="H114" s="56"/>
      <c r="I114" s="56" t="s">
        <v>10244</v>
      </c>
      <c r="J114" s="56" t="s">
        <v>170</v>
      </c>
      <c r="K114" s="75">
        <v>552045</v>
      </c>
      <c r="L114" s="56" t="s">
        <v>172</v>
      </c>
      <c r="M114" s="91">
        <v>555</v>
      </c>
      <c r="N114" s="91">
        <v>660</v>
      </c>
      <c r="O114" s="92">
        <f t="shared" si="6"/>
        <v>0.36630000000000001</v>
      </c>
      <c r="P114" s="91">
        <f>N114/33</f>
        <v>20</v>
      </c>
      <c r="Q114" s="93">
        <f>N114/660</f>
        <v>1</v>
      </c>
      <c r="R114" s="56" t="s">
        <v>75</v>
      </c>
      <c r="S114" s="56"/>
      <c r="T114" s="56" t="s">
        <v>2480</v>
      </c>
      <c r="U114" s="56" t="s">
        <v>2480</v>
      </c>
      <c r="V114" s="56"/>
      <c r="W114" s="39" t="s">
        <v>10399</v>
      </c>
      <c r="X114" s="90">
        <v>45751</v>
      </c>
      <c r="Y114" s="90"/>
      <c r="Z114" s="90"/>
      <c r="AA114" s="103">
        <v>371008412</v>
      </c>
      <c r="AB114" s="79" t="s">
        <v>122</v>
      </c>
      <c r="AC114" s="94" t="s">
        <v>1561</v>
      </c>
      <c r="AD114" s="90">
        <v>45762</v>
      </c>
      <c r="AE114" s="90">
        <v>45762</v>
      </c>
      <c r="AF114" s="90">
        <v>45762</v>
      </c>
      <c r="AG114" s="90">
        <v>45823</v>
      </c>
      <c r="AH114" s="90">
        <v>45823</v>
      </c>
      <c r="AI114" s="90">
        <v>45823</v>
      </c>
      <c r="AJ114" s="91" t="s">
        <v>66</v>
      </c>
      <c r="AK114" s="39" t="s">
        <v>10521</v>
      </c>
      <c r="AL114" s="39" t="s">
        <v>10574</v>
      </c>
      <c r="AM114" s="39" t="s">
        <v>10575</v>
      </c>
      <c r="AN114" s="39" t="s">
        <v>10576</v>
      </c>
      <c r="AO114" s="75">
        <f t="shared" si="7"/>
        <v>62</v>
      </c>
      <c r="AP114" s="18" t="s">
        <v>2493</v>
      </c>
      <c r="AQ114" s="113" t="s">
        <v>2493</v>
      </c>
    </row>
    <row r="115" spans="1:43" s="6" customFormat="1" ht="11.5">
      <c r="A115" s="74" t="s">
        <v>10577</v>
      </c>
      <c r="B115" s="56" t="s">
        <v>67</v>
      </c>
      <c r="C115" s="56" t="s">
        <v>63</v>
      </c>
      <c r="D115" s="56" t="s">
        <v>10250</v>
      </c>
      <c r="E115" s="56"/>
      <c r="F115" s="56" t="s">
        <v>96</v>
      </c>
      <c r="G115" s="39"/>
      <c r="H115" s="56"/>
      <c r="I115" s="56" t="s">
        <v>10244</v>
      </c>
      <c r="J115" s="56" t="s">
        <v>473</v>
      </c>
      <c r="K115" s="75">
        <v>553145</v>
      </c>
      <c r="L115" s="56" t="s">
        <v>530</v>
      </c>
      <c r="M115" s="91">
        <v>455</v>
      </c>
      <c r="N115" s="91">
        <v>864</v>
      </c>
      <c r="O115" s="92">
        <f t="shared" si="6"/>
        <v>0.39312000000000002</v>
      </c>
      <c r="P115" s="91">
        <f>N115/36</f>
        <v>24</v>
      </c>
      <c r="Q115" s="93">
        <f>N115/864</f>
        <v>1</v>
      </c>
      <c r="R115" s="56" t="s">
        <v>75</v>
      </c>
      <c r="S115" s="56"/>
      <c r="T115" s="56" t="s">
        <v>2480</v>
      </c>
      <c r="U115" s="56" t="s">
        <v>2480</v>
      </c>
      <c r="V115" s="56"/>
      <c r="W115" s="39" t="s">
        <v>10399</v>
      </c>
      <c r="X115" s="90">
        <v>45751</v>
      </c>
      <c r="Y115" s="90"/>
      <c r="Z115" s="90"/>
      <c r="AA115" s="103">
        <v>371008372</v>
      </c>
      <c r="AB115" s="79" t="s">
        <v>122</v>
      </c>
      <c r="AC115" s="94" t="s">
        <v>1561</v>
      </c>
      <c r="AD115" s="90">
        <v>45762</v>
      </c>
      <c r="AE115" s="90">
        <v>45762</v>
      </c>
      <c r="AF115" s="90">
        <v>45762</v>
      </c>
      <c r="AG115" s="90">
        <v>45823</v>
      </c>
      <c r="AH115" s="90">
        <v>45823</v>
      </c>
      <c r="AI115" s="90">
        <v>45823</v>
      </c>
      <c r="AJ115" s="91" t="s">
        <v>66</v>
      </c>
      <c r="AK115" s="39" t="s">
        <v>10521</v>
      </c>
      <c r="AL115" s="39" t="s">
        <v>10574</v>
      </c>
      <c r="AM115" s="39" t="s">
        <v>10575</v>
      </c>
      <c r="AN115" s="39" t="s">
        <v>10576</v>
      </c>
      <c r="AO115" s="75">
        <f t="shared" si="7"/>
        <v>62</v>
      </c>
      <c r="AP115" s="18" t="s">
        <v>2493</v>
      </c>
      <c r="AQ115" s="113" t="s">
        <v>2493</v>
      </c>
    </row>
    <row r="116" spans="1:43" s="6" customFormat="1" ht="11.5">
      <c r="A116" s="74" t="s">
        <v>10578</v>
      </c>
      <c r="B116" s="56" t="s">
        <v>67</v>
      </c>
      <c r="C116" s="56" t="s">
        <v>63</v>
      </c>
      <c r="D116" s="56" t="s">
        <v>10250</v>
      </c>
      <c r="E116" s="56"/>
      <c r="F116" s="56" t="s">
        <v>96</v>
      </c>
      <c r="G116" s="39"/>
      <c r="H116" s="56"/>
      <c r="I116" s="56" t="s">
        <v>10244</v>
      </c>
      <c r="J116" s="56" t="s">
        <v>170</v>
      </c>
      <c r="K116" s="75">
        <v>552045</v>
      </c>
      <c r="L116" s="56" t="s">
        <v>172</v>
      </c>
      <c r="M116" s="91">
        <v>555</v>
      </c>
      <c r="N116" s="91">
        <v>1320</v>
      </c>
      <c r="O116" s="92">
        <f t="shared" si="6"/>
        <v>0.73260000000000003</v>
      </c>
      <c r="P116" s="91">
        <f>N116/33</f>
        <v>40</v>
      </c>
      <c r="Q116" s="93">
        <f>N116/660</f>
        <v>2</v>
      </c>
      <c r="R116" s="56" t="s">
        <v>75</v>
      </c>
      <c r="S116" s="56"/>
      <c r="T116" s="56" t="s">
        <v>2480</v>
      </c>
      <c r="U116" s="56" t="s">
        <v>2480</v>
      </c>
      <c r="V116" s="56"/>
      <c r="W116" s="39" t="s">
        <v>10399</v>
      </c>
      <c r="X116" s="90">
        <v>45759</v>
      </c>
      <c r="Y116" s="90"/>
      <c r="Z116" s="90"/>
      <c r="AA116" s="103">
        <v>371008423</v>
      </c>
      <c r="AB116" s="79" t="s">
        <v>122</v>
      </c>
      <c r="AC116" s="94" t="s">
        <v>1561</v>
      </c>
      <c r="AD116" s="90">
        <v>45768</v>
      </c>
      <c r="AE116" s="90">
        <v>45768</v>
      </c>
      <c r="AF116" s="90">
        <v>45768</v>
      </c>
      <c r="AG116" s="90">
        <v>45823</v>
      </c>
      <c r="AH116" s="90">
        <v>45823</v>
      </c>
      <c r="AI116" s="90">
        <v>45823</v>
      </c>
      <c r="AJ116" s="91" t="s">
        <v>66</v>
      </c>
      <c r="AK116" s="39" t="s">
        <v>10579</v>
      </c>
      <c r="AL116" s="39" t="s">
        <v>10580</v>
      </c>
      <c r="AM116" s="39" t="s">
        <v>10581</v>
      </c>
      <c r="AN116" s="39" t="s">
        <v>10581</v>
      </c>
      <c r="AO116" s="75">
        <f t="shared" si="7"/>
        <v>56</v>
      </c>
      <c r="AP116" s="18" t="s">
        <v>2493</v>
      </c>
      <c r="AQ116" s="113" t="s">
        <v>2493</v>
      </c>
    </row>
    <row r="117" spans="1:43" s="6" customFormat="1" ht="11.5" hidden="1">
      <c r="A117" s="74" t="s">
        <v>10582</v>
      </c>
      <c r="B117" s="56" t="s">
        <v>67</v>
      </c>
      <c r="C117" s="56" t="s">
        <v>63</v>
      </c>
      <c r="D117" s="56" t="s">
        <v>10250</v>
      </c>
      <c r="E117" s="56"/>
      <c r="F117" s="56"/>
      <c r="G117" s="39"/>
      <c r="H117" s="56"/>
      <c r="I117" s="56" t="s">
        <v>10244</v>
      </c>
      <c r="J117" s="56" t="s">
        <v>170</v>
      </c>
      <c r="K117" s="75">
        <v>552045</v>
      </c>
      <c r="L117" s="56" t="s">
        <v>172</v>
      </c>
      <c r="M117" s="75">
        <v>555</v>
      </c>
      <c r="N117" s="75">
        <v>5940</v>
      </c>
      <c r="O117" s="76">
        <f t="shared" ref="O117:O134" si="9">M117*N117/1000000</f>
        <v>3.2967</v>
      </c>
      <c r="P117" s="75">
        <f>N117/33</f>
        <v>180</v>
      </c>
      <c r="Q117" s="77">
        <f>N117/660</f>
        <v>9</v>
      </c>
      <c r="R117" s="56" t="s">
        <v>75</v>
      </c>
      <c r="S117" s="56"/>
      <c r="T117" s="56" t="s">
        <v>2480</v>
      </c>
      <c r="U117" s="56" t="s">
        <v>2480</v>
      </c>
      <c r="V117" s="56"/>
      <c r="W117" s="39" t="s">
        <v>10399</v>
      </c>
      <c r="X117" s="78">
        <v>45762</v>
      </c>
      <c r="Y117" s="78"/>
      <c r="Z117" s="78"/>
      <c r="AA117" s="107">
        <v>371008425</v>
      </c>
      <c r="AB117" s="79" t="s">
        <v>122</v>
      </c>
      <c r="AC117" s="80" t="s">
        <v>105</v>
      </c>
      <c r="AD117" s="78">
        <v>45770</v>
      </c>
      <c r="AE117" s="78">
        <v>45770</v>
      </c>
      <c r="AF117" s="78">
        <v>45770</v>
      </c>
      <c r="AG117" s="78">
        <v>45806</v>
      </c>
      <c r="AH117" s="78">
        <v>45806</v>
      </c>
      <c r="AI117" s="78">
        <v>45806</v>
      </c>
      <c r="AJ117" s="75" t="s">
        <v>66</v>
      </c>
      <c r="AK117" s="39" t="s">
        <v>10583</v>
      </c>
      <c r="AL117" s="39" t="s">
        <v>10584</v>
      </c>
      <c r="AM117" s="39" t="s">
        <v>10585</v>
      </c>
      <c r="AN117" s="39" t="s">
        <v>10585</v>
      </c>
      <c r="AO117" s="75">
        <f t="shared" si="7"/>
        <v>37</v>
      </c>
      <c r="AP117" s="39" t="s">
        <v>2493</v>
      </c>
      <c r="AQ117" s="75" t="s">
        <v>2493</v>
      </c>
    </row>
    <row r="118" spans="1:43" s="6" customFormat="1" ht="11.5" hidden="1">
      <c r="A118" s="74" t="s">
        <v>10586</v>
      </c>
      <c r="B118" s="56" t="s">
        <v>67</v>
      </c>
      <c r="C118" s="56" t="s">
        <v>63</v>
      </c>
      <c r="D118" s="56" t="s">
        <v>10250</v>
      </c>
      <c r="E118" s="56"/>
      <c r="F118" s="56" t="s">
        <v>96</v>
      </c>
      <c r="G118" s="39"/>
      <c r="H118" s="56"/>
      <c r="I118" s="56" t="s">
        <v>10244</v>
      </c>
      <c r="J118" s="56" t="s">
        <v>170</v>
      </c>
      <c r="K118" s="75">
        <v>552045</v>
      </c>
      <c r="L118" s="56" t="s">
        <v>172</v>
      </c>
      <c r="M118" s="91">
        <v>555</v>
      </c>
      <c r="N118" s="91">
        <v>1320</v>
      </c>
      <c r="O118" s="92">
        <f t="shared" si="9"/>
        <v>0.73260000000000003</v>
      </c>
      <c r="P118" s="91">
        <f>N118/33</f>
        <v>40</v>
      </c>
      <c r="Q118" s="93">
        <f>N118/660</f>
        <v>2</v>
      </c>
      <c r="R118" s="56" t="s">
        <v>75</v>
      </c>
      <c r="S118" s="56"/>
      <c r="T118" s="56" t="s">
        <v>2480</v>
      </c>
      <c r="U118" s="56" t="s">
        <v>2480</v>
      </c>
      <c r="V118" s="56"/>
      <c r="W118" s="39" t="s">
        <v>10399</v>
      </c>
      <c r="X118" s="90">
        <v>45760</v>
      </c>
      <c r="Y118" s="90"/>
      <c r="Z118" s="90"/>
      <c r="AA118" s="103">
        <v>371008503</v>
      </c>
      <c r="AB118" s="79" t="s">
        <v>122</v>
      </c>
      <c r="AC118" s="104" t="s">
        <v>78</v>
      </c>
      <c r="AD118" s="90">
        <v>45771</v>
      </c>
      <c r="AE118" s="90">
        <v>45771</v>
      </c>
      <c r="AF118" s="90">
        <v>45771</v>
      </c>
      <c r="AG118" s="90">
        <v>45826</v>
      </c>
      <c r="AH118" s="90">
        <v>45823</v>
      </c>
      <c r="AI118" s="90">
        <v>45826</v>
      </c>
      <c r="AJ118" s="91" t="s">
        <v>66</v>
      </c>
      <c r="AK118" s="39" t="s">
        <v>10587</v>
      </c>
      <c r="AL118" s="39" t="s">
        <v>10588</v>
      </c>
      <c r="AM118" s="39" t="s">
        <v>10589</v>
      </c>
      <c r="AN118" s="39" t="s">
        <v>10589</v>
      </c>
      <c r="AO118" s="75">
        <f t="shared" si="7"/>
        <v>56</v>
      </c>
      <c r="AP118" s="18" t="s">
        <v>2493</v>
      </c>
      <c r="AQ118" s="113" t="s">
        <v>2493</v>
      </c>
    </row>
    <row r="119" spans="1:43" s="6" customFormat="1" ht="11.5">
      <c r="A119" s="74" t="s">
        <v>10590</v>
      </c>
      <c r="B119" s="56" t="s">
        <v>67</v>
      </c>
      <c r="C119" s="56" t="s">
        <v>63</v>
      </c>
      <c r="D119" s="56" t="s">
        <v>10250</v>
      </c>
      <c r="E119" s="56"/>
      <c r="F119" s="56" t="s">
        <v>96</v>
      </c>
      <c r="G119" s="39"/>
      <c r="H119" s="56"/>
      <c r="I119" s="56" t="s">
        <v>10244</v>
      </c>
      <c r="J119" s="56" t="s">
        <v>170</v>
      </c>
      <c r="K119" s="75">
        <v>552045</v>
      </c>
      <c r="L119" s="56" t="s">
        <v>172</v>
      </c>
      <c r="M119" s="91">
        <v>555</v>
      </c>
      <c r="N119" s="91">
        <v>3300</v>
      </c>
      <c r="O119" s="92">
        <f t="shared" si="9"/>
        <v>1.8314999999999999</v>
      </c>
      <c r="P119" s="91">
        <f>N119/33</f>
        <v>100</v>
      </c>
      <c r="Q119" s="93">
        <f>N119/660</f>
        <v>5</v>
      </c>
      <c r="R119" s="56" t="s">
        <v>75</v>
      </c>
      <c r="S119" s="56"/>
      <c r="T119" s="56" t="s">
        <v>2480</v>
      </c>
      <c r="U119" s="56" t="s">
        <v>2480</v>
      </c>
      <c r="V119" s="56"/>
      <c r="W119" s="39" t="s">
        <v>10399</v>
      </c>
      <c r="X119" s="90">
        <v>45759</v>
      </c>
      <c r="Y119" s="90"/>
      <c r="Z119" s="90"/>
      <c r="AA119" s="103">
        <v>371008422</v>
      </c>
      <c r="AB119" s="79" t="s">
        <v>122</v>
      </c>
      <c r="AC119" s="94" t="s">
        <v>314</v>
      </c>
      <c r="AD119" s="90">
        <v>45768</v>
      </c>
      <c r="AE119" s="90">
        <v>45768</v>
      </c>
      <c r="AF119" s="90">
        <v>45768</v>
      </c>
      <c r="AG119" s="90">
        <v>45826</v>
      </c>
      <c r="AH119" s="90">
        <v>45825</v>
      </c>
      <c r="AI119" s="90">
        <v>45826</v>
      </c>
      <c r="AJ119" s="91" t="s">
        <v>66</v>
      </c>
      <c r="AK119" s="39" t="s">
        <v>10579</v>
      </c>
      <c r="AL119" s="39" t="s">
        <v>10591</v>
      </c>
      <c r="AM119" s="39" t="s">
        <v>10592</v>
      </c>
      <c r="AN119" s="39" t="s">
        <v>10593</v>
      </c>
      <c r="AO119" s="75">
        <f t="shared" si="7"/>
        <v>59</v>
      </c>
      <c r="AP119" s="18" t="s">
        <v>2493</v>
      </c>
      <c r="AQ119" s="113" t="s">
        <v>2493</v>
      </c>
    </row>
    <row r="120" spans="1:43" s="6" customFormat="1" ht="11.5">
      <c r="A120" s="74" t="s">
        <v>10594</v>
      </c>
      <c r="B120" s="56" t="s">
        <v>67</v>
      </c>
      <c r="C120" s="56" t="s">
        <v>63</v>
      </c>
      <c r="D120" s="56" t="s">
        <v>10250</v>
      </c>
      <c r="E120" s="56"/>
      <c r="F120" s="56" t="s">
        <v>96</v>
      </c>
      <c r="G120" s="39"/>
      <c r="H120" s="56"/>
      <c r="I120" s="56" t="s">
        <v>10244</v>
      </c>
      <c r="J120" s="56" t="s">
        <v>550</v>
      </c>
      <c r="K120" s="75">
        <v>553118</v>
      </c>
      <c r="L120" s="56" t="s">
        <v>552</v>
      </c>
      <c r="M120" s="91">
        <v>510</v>
      </c>
      <c r="N120" s="91">
        <v>792</v>
      </c>
      <c r="O120" s="92">
        <f t="shared" si="9"/>
        <v>0.40392</v>
      </c>
      <c r="P120" s="91">
        <f>N120/36</f>
        <v>22</v>
      </c>
      <c r="Q120" s="93">
        <f>N120/792</f>
        <v>1</v>
      </c>
      <c r="R120" s="56" t="s">
        <v>75</v>
      </c>
      <c r="S120" s="56"/>
      <c r="T120" s="56" t="s">
        <v>2480</v>
      </c>
      <c r="U120" s="56" t="s">
        <v>2480</v>
      </c>
      <c r="V120" s="56"/>
      <c r="W120" s="39" t="s">
        <v>10399</v>
      </c>
      <c r="X120" s="90">
        <v>45759</v>
      </c>
      <c r="Y120" s="90"/>
      <c r="Z120" s="90"/>
      <c r="AA120" s="103">
        <v>371008429</v>
      </c>
      <c r="AB120" s="79" t="s">
        <v>122</v>
      </c>
      <c r="AC120" s="94" t="s">
        <v>314</v>
      </c>
      <c r="AD120" s="90">
        <v>45768</v>
      </c>
      <c r="AE120" s="90">
        <v>45768</v>
      </c>
      <c r="AF120" s="90">
        <v>45768</v>
      </c>
      <c r="AG120" s="90">
        <v>45826</v>
      </c>
      <c r="AH120" s="90">
        <v>45825</v>
      </c>
      <c r="AI120" s="90">
        <v>45826</v>
      </c>
      <c r="AJ120" s="91" t="s">
        <v>66</v>
      </c>
      <c r="AK120" s="39" t="s">
        <v>10579</v>
      </c>
      <c r="AL120" s="39" t="s">
        <v>10591</v>
      </c>
      <c r="AM120" s="39" t="s">
        <v>10592</v>
      </c>
      <c r="AN120" s="39" t="s">
        <v>10592</v>
      </c>
      <c r="AO120" s="75">
        <f t="shared" si="7"/>
        <v>59</v>
      </c>
      <c r="AP120" s="18" t="s">
        <v>2493</v>
      </c>
      <c r="AQ120" s="113" t="s">
        <v>2493</v>
      </c>
    </row>
    <row r="121" spans="1:43" s="6" customFormat="1" ht="11.5">
      <c r="A121" s="74" t="s">
        <v>10595</v>
      </c>
      <c r="B121" s="56" t="s">
        <v>67</v>
      </c>
      <c r="C121" s="56" t="s">
        <v>63</v>
      </c>
      <c r="D121" s="56" t="s">
        <v>10250</v>
      </c>
      <c r="E121" s="56"/>
      <c r="F121" s="56" t="s">
        <v>96</v>
      </c>
      <c r="G121" s="39"/>
      <c r="H121" s="56"/>
      <c r="I121" s="56" t="s">
        <v>10244</v>
      </c>
      <c r="J121" s="56" t="s">
        <v>473</v>
      </c>
      <c r="K121" s="75">
        <v>553145</v>
      </c>
      <c r="L121" s="56" t="s">
        <v>530</v>
      </c>
      <c r="M121" s="91">
        <v>455</v>
      </c>
      <c r="N121" s="91">
        <v>864</v>
      </c>
      <c r="O121" s="92">
        <f t="shared" si="9"/>
        <v>0.39312000000000002</v>
      </c>
      <c r="P121" s="91">
        <f>N121/36</f>
        <v>24</v>
      </c>
      <c r="Q121" s="93">
        <f>N121/864</f>
        <v>1</v>
      </c>
      <c r="R121" s="56" t="s">
        <v>75</v>
      </c>
      <c r="S121" s="56"/>
      <c r="T121" s="56" t="s">
        <v>2480</v>
      </c>
      <c r="U121" s="56" t="s">
        <v>2480</v>
      </c>
      <c r="V121" s="56"/>
      <c r="W121" s="39" t="s">
        <v>10399</v>
      </c>
      <c r="X121" s="90">
        <v>45759</v>
      </c>
      <c r="Y121" s="90"/>
      <c r="Z121" s="90"/>
      <c r="AA121" s="103">
        <v>371008427</v>
      </c>
      <c r="AB121" s="79" t="s">
        <v>122</v>
      </c>
      <c r="AC121" s="94" t="s">
        <v>314</v>
      </c>
      <c r="AD121" s="90">
        <v>45768</v>
      </c>
      <c r="AE121" s="90">
        <v>45768</v>
      </c>
      <c r="AF121" s="90">
        <v>45768</v>
      </c>
      <c r="AG121" s="90">
        <v>45826</v>
      </c>
      <c r="AH121" s="90">
        <v>45825</v>
      </c>
      <c r="AI121" s="90">
        <v>45826</v>
      </c>
      <c r="AJ121" s="91" t="s">
        <v>66</v>
      </c>
      <c r="AK121" s="39" t="s">
        <v>10579</v>
      </c>
      <c r="AL121" s="39" t="s">
        <v>10591</v>
      </c>
      <c r="AM121" s="39" t="s">
        <v>10592</v>
      </c>
      <c r="AN121" s="39" t="s">
        <v>10592</v>
      </c>
      <c r="AO121" s="75">
        <f t="shared" si="7"/>
        <v>59</v>
      </c>
      <c r="AP121" s="18" t="s">
        <v>2493</v>
      </c>
      <c r="AQ121" s="113" t="s">
        <v>2493</v>
      </c>
    </row>
    <row r="122" spans="1:43" s="6" customFormat="1" ht="11.5" hidden="1">
      <c r="A122" s="74" t="s">
        <v>10596</v>
      </c>
      <c r="B122" s="56" t="s">
        <v>67</v>
      </c>
      <c r="C122" s="56" t="s">
        <v>63</v>
      </c>
      <c r="D122" s="56" t="s">
        <v>10250</v>
      </c>
      <c r="E122" s="56"/>
      <c r="F122" s="56" t="s">
        <v>96</v>
      </c>
      <c r="G122" s="39"/>
      <c r="H122" s="56"/>
      <c r="I122" s="56" t="s">
        <v>10244</v>
      </c>
      <c r="J122" s="56" t="s">
        <v>170</v>
      </c>
      <c r="K122" s="75">
        <v>552045</v>
      </c>
      <c r="L122" s="56" t="s">
        <v>172</v>
      </c>
      <c r="M122" s="91">
        <v>555</v>
      </c>
      <c r="N122" s="91">
        <v>2640</v>
      </c>
      <c r="O122" s="92">
        <f t="shared" si="9"/>
        <v>1.4652000000000001</v>
      </c>
      <c r="P122" s="91">
        <f>N122/33</f>
        <v>80</v>
      </c>
      <c r="Q122" s="93">
        <f>N122/660</f>
        <v>4</v>
      </c>
      <c r="R122" s="56" t="s">
        <v>75</v>
      </c>
      <c r="S122" s="56"/>
      <c r="T122" s="56" t="s">
        <v>2480</v>
      </c>
      <c r="U122" s="56" t="s">
        <v>2480</v>
      </c>
      <c r="V122" s="56"/>
      <c r="W122" s="39" t="s">
        <v>10440</v>
      </c>
      <c r="X122" s="90">
        <v>45767</v>
      </c>
      <c r="Y122" s="90"/>
      <c r="Z122" s="90"/>
      <c r="AA122" s="103">
        <v>371008441</v>
      </c>
      <c r="AB122" s="79" t="s">
        <v>122</v>
      </c>
      <c r="AC122" s="94" t="s">
        <v>78</v>
      </c>
      <c r="AD122" s="90">
        <v>45779</v>
      </c>
      <c r="AE122" s="90">
        <v>45779</v>
      </c>
      <c r="AF122" s="90">
        <v>45779</v>
      </c>
      <c r="AG122" s="90">
        <v>45826</v>
      </c>
      <c r="AH122" s="90">
        <v>45826</v>
      </c>
      <c r="AI122" s="90">
        <v>45826</v>
      </c>
      <c r="AJ122" s="91" t="s">
        <v>66</v>
      </c>
      <c r="AK122" s="39" t="s">
        <v>10597</v>
      </c>
      <c r="AL122" s="39" t="s">
        <v>10598</v>
      </c>
      <c r="AM122" s="39" t="s">
        <v>10599</v>
      </c>
      <c r="AN122" s="39" t="s">
        <v>10599</v>
      </c>
      <c r="AO122" s="75">
        <f t="shared" si="7"/>
        <v>48</v>
      </c>
      <c r="AP122" s="18" t="s">
        <v>2493</v>
      </c>
      <c r="AQ122" s="113" t="s">
        <v>2493</v>
      </c>
    </row>
    <row r="123" spans="1:43" s="6" customFormat="1" ht="11.5">
      <c r="A123" s="74" t="s">
        <v>10600</v>
      </c>
      <c r="B123" s="56" t="s">
        <v>67</v>
      </c>
      <c r="C123" s="56" t="s">
        <v>63</v>
      </c>
      <c r="D123" s="56" t="s">
        <v>10250</v>
      </c>
      <c r="E123" s="56"/>
      <c r="F123" s="56" t="s">
        <v>96</v>
      </c>
      <c r="G123" s="39"/>
      <c r="H123" s="56"/>
      <c r="I123" s="56" t="s">
        <v>10244</v>
      </c>
      <c r="J123" s="56" t="s">
        <v>170</v>
      </c>
      <c r="K123" s="75">
        <v>552045</v>
      </c>
      <c r="L123" s="56" t="s">
        <v>172</v>
      </c>
      <c r="M123" s="91">
        <v>555</v>
      </c>
      <c r="N123" s="91">
        <v>3300</v>
      </c>
      <c r="O123" s="92">
        <f t="shared" si="9"/>
        <v>1.8314999999999999</v>
      </c>
      <c r="P123" s="91">
        <f>N123/33</f>
        <v>100</v>
      </c>
      <c r="Q123" s="93">
        <f>N123/660</f>
        <v>5</v>
      </c>
      <c r="R123" s="56" t="s">
        <v>75</v>
      </c>
      <c r="S123" s="111"/>
      <c r="T123" s="56" t="s">
        <v>2480</v>
      </c>
      <c r="U123" s="56" t="s">
        <v>2480</v>
      </c>
      <c r="V123" s="56"/>
      <c r="W123" s="18" t="s">
        <v>10399</v>
      </c>
      <c r="X123" s="90">
        <v>45764</v>
      </c>
      <c r="Y123" s="90"/>
      <c r="Z123" s="90"/>
      <c r="AA123" s="103">
        <v>371008422</v>
      </c>
      <c r="AB123" s="79" t="s">
        <v>122</v>
      </c>
      <c r="AC123" s="94" t="s">
        <v>314</v>
      </c>
      <c r="AD123" s="90">
        <v>45773</v>
      </c>
      <c r="AE123" s="90">
        <v>45773</v>
      </c>
      <c r="AF123" s="90">
        <v>45773</v>
      </c>
      <c r="AG123" s="90">
        <v>45833</v>
      </c>
      <c r="AH123" s="90">
        <v>45827</v>
      </c>
      <c r="AI123" s="90">
        <v>45833</v>
      </c>
      <c r="AJ123" s="91" t="s">
        <v>66</v>
      </c>
      <c r="AK123" s="18" t="s">
        <v>10601</v>
      </c>
      <c r="AL123" s="18" t="s">
        <v>10602</v>
      </c>
      <c r="AM123" s="18" t="s">
        <v>10603</v>
      </c>
      <c r="AN123" s="18" t="s">
        <v>10603</v>
      </c>
      <c r="AO123" s="91">
        <f t="shared" si="7"/>
        <v>61</v>
      </c>
      <c r="AP123" s="18" t="s">
        <v>2493</v>
      </c>
      <c r="AQ123" s="113" t="s">
        <v>2493</v>
      </c>
    </row>
    <row r="124" spans="1:43" s="6" customFormat="1" ht="11.5" hidden="1">
      <c r="A124" s="74" t="s">
        <v>10604</v>
      </c>
      <c r="B124" s="56" t="s">
        <v>67</v>
      </c>
      <c r="C124" s="56" t="s">
        <v>63</v>
      </c>
      <c r="D124" s="56" t="s">
        <v>10250</v>
      </c>
      <c r="E124" s="56"/>
      <c r="F124" s="56"/>
      <c r="G124" s="39"/>
      <c r="H124" s="56"/>
      <c r="I124" s="56" t="s">
        <v>10244</v>
      </c>
      <c r="J124" s="56" t="s">
        <v>170</v>
      </c>
      <c r="K124" s="75">
        <v>552045</v>
      </c>
      <c r="L124" s="56" t="s">
        <v>172</v>
      </c>
      <c r="M124" s="75">
        <v>555</v>
      </c>
      <c r="N124" s="75">
        <v>1320</v>
      </c>
      <c r="O124" s="76">
        <f t="shared" si="9"/>
        <v>0.73260000000000003</v>
      </c>
      <c r="P124" s="75">
        <f>N124/33</f>
        <v>40</v>
      </c>
      <c r="Q124" s="77">
        <f>N124/660</f>
        <v>2</v>
      </c>
      <c r="R124" s="56" t="s">
        <v>75</v>
      </c>
      <c r="S124" s="56"/>
      <c r="T124" s="56" t="s">
        <v>2480</v>
      </c>
      <c r="U124" s="56" t="s">
        <v>2480</v>
      </c>
      <c r="V124" s="56"/>
      <c r="W124" s="39" t="s">
        <v>10399</v>
      </c>
      <c r="X124" s="78">
        <v>45764</v>
      </c>
      <c r="Y124" s="78"/>
      <c r="Z124" s="78"/>
      <c r="AA124" s="107">
        <v>371008424</v>
      </c>
      <c r="AB124" s="79" t="s">
        <v>122</v>
      </c>
      <c r="AC124" s="80" t="s">
        <v>124</v>
      </c>
      <c r="AD124" s="78">
        <v>45768</v>
      </c>
      <c r="AE124" s="78">
        <v>45768</v>
      </c>
      <c r="AF124" s="78">
        <v>45768</v>
      </c>
      <c r="AG124" s="78">
        <v>45808</v>
      </c>
      <c r="AH124" s="78">
        <v>45809</v>
      </c>
      <c r="AI124" s="78">
        <v>45808</v>
      </c>
      <c r="AJ124" s="75" t="s">
        <v>66</v>
      </c>
      <c r="AK124" s="39" t="s">
        <v>10605</v>
      </c>
      <c r="AL124" s="39" t="s">
        <v>10606</v>
      </c>
      <c r="AM124" s="39" t="s">
        <v>10607</v>
      </c>
      <c r="AN124" s="39">
        <v>252585338</v>
      </c>
      <c r="AO124" s="75">
        <f t="shared" si="7"/>
        <v>41</v>
      </c>
      <c r="AP124" s="39" t="s">
        <v>10608</v>
      </c>
      <c r="AQ124" s="75" t="s">
        <v>2493</v>
      </c>
    </row>
    <row r="125" spans="1:43" s="6" customFormat="1" ht="11.5">
      <c r="A125" s="74" t="s">
        <v>10609</v>
      </c>
      <c r="B125" s="56" t="s">
        <v>67</v>
      </c>
      <c r="C125" s="56" t="s">
        <v>63</v>
      </c>
      <c r="D125" s="56" t="s">
        <v>10250</v>
      </c>
      <c r="E125" s="56"/>
      <c r="F125" s="56" t="s">
        <v>96</v>
      </c>
      <c r="G125" s="39"/>
      <c r="H125" s="56"/>
      <c r="I125" s="56" t="s">
        <v>10244</v>
      </c>
      <c r="J125" s="56" t="s">
        <v>473</v>
      </c>
      <c r="K125" s="75">
        <v>553145</v>
      </c>
      <c r="L125" s="56" t="s">
        <v>530</v>
      </c>
      <c r="M125" s="91">
        <v>455</v>
      </c>
      <c r="N125" s="91">
        <v>864</v>
      </c>
      <c r="O125" s="92">
        <f t="shared" si="9"/>
        <v>0.39312000000000002</v>
      </c>
      <c r="P125" s="91">
        <f>N125/36</f>
        <v>24</v>
      </c>
      <c r="Q125" s="93">
        <f>N125/864</f>
        <v>1</v>
      </c>
      <c r="R125" s="56" t="s">
        <v>75</v>
      </c>
      <c r="S125" s="111"/>
      <c r="T125" s="56" t="s">
        <v>2480</v>
      </c>
      <c r="U125" s="56" t="s">
        <v>2480</v>
      </c>
      <c r="V125" s="56"/>
      <c r="W125" s="18" t="s">
        <v>10399</v>
      </c>
      <c r="X125" s="90">
        <v>45764</v>
      </c>
      <c r="Y125" s="90"/>
      <c r="Z125" s="90"/>
      <c r="AA125" s="103">
        <v>371008427</v>
      </c>
      <c r="AB125" s="79" t="s">
        <v>122</v>
      </c>
      <c r="AC125" s="94" t="s">
        <v>314</v>
      </c>
      <c r="AD125" s="90">
        <v>45773</v>
      </c>
      <c r="AE125" s="90">
        <v>45773</v>
      </c>
      <c r="AF125" s="90">
        <v>45773</v>
      </c>
      <c r="AG125" s="90">
        <v>45833</v>
      </c>
      <c r="AH125" s="90">
        <v>45827</v>
      </c>
      <c r="AI125" s="90">
        <v>45833</v>
      </c>
      <c r="AJ125" s="91" t="s">
        <v>66</v>
      </c>
      <c r="AK125" s="18" t="s">
        <v>10601</v>
      </c>
      <c r="AL125" s="18" t="s">
        <v>10602</v>
      </c>
      <c r="AM125" s="18" t="s">
        <v>10603</v>
      </c>
      <c r="AN125" s="18" t="s">
        <v>10610</v>
      </c>
      <c r="AO125" s="91">
        <f t="shared" si="7"/>
        <v>61</v>
      </c>
      <c r="AP125" s="18" t="s">
        <v>2493</v>
      </c>
      <c r="AQ125" s="113" t="s">
        <v>2493</v>
      </c>
    </row>
    <row r="126" spans="1:43" s="6" customFormat="1" ht="11.5" hidden="1">
      <c r="A126" s="74" t="s">
        <v>10611</v>
      </c>
      <c r="B126" s="56" t="s">
        <v>67</v>
      </c>
      <c r="C126" s="56" t="s">
        <v>63</v>
      </c>
      <c r="D126" s="56" t="s">
        <v>10250</v>
      </c>
      <c r="E126" s="56"/>
      <c r="F126" s="56" t="s">
        <v>96</v>
      </c>
      <c r="G126" s="39"/>
      <c r="H126" s="56"/>
      <c r="I126" s="56" t="s">
        <v>10244</v>
      </c>
      <c r="J126" s="56" t="s">
        <v>170</v>
      </c>
      <c r="K126" s="75">
        <v>552026</v>
      </c>
      <c r="L126" s="56" t="s">
        <v>463</v>
      </c>
      <c r="M126" s="91">
        <v>550</v>
      </c>
      <c r="N126" s="91">
        <v>660</v>
      </c>
      <c r="O126" s="92">
        <f t="shared" si="9"/>
        <v>0.36299999999999999</v>
      </c>
      <c r="P126" s="91">
        <f>N126/33</f>
        <v>20</v>
      </c>
      <c r="Q126" s="93">
        <f>N126/660</f>
        <v>1</v>
      </c>
      <c r="R126" s="56" t="s">
        <v>75</v>
      </c>
      <c r="S126" s="56"/>
      <c r="T126" s="56" t="s">
        <v>2480</v>
      </c>
      <c r="U126" s="56" t="s">
        <v>2480</v>
      </c>
      <c r="V126" s="56"/>
      <c r="W126" s="18" t="s">
        <v>10440</v>
      </c>
      <c r="X126" s="90">
        <v>45759</v>
      </c>
      <c r="Y126" s="90"/>
      <c r="Z126" s="90"/>
      <c r="AA126" s="103">
        <v>371008431</v>
      </c>
      <c r="AB126" s="79" t="s">
        <v>122</v>
      </c>
      <c r="AC126" s="94" t="s">
        <v>78</v>
      </c>
      <c r="AD126" s="90">
        <v>45768</v>
      </c>
      <c r="AE126" s="90">
        <v>45768</v>
      </c>
      <c r="AF126" s="90">
        <v>45768</v>
      </c>
      <c r="AG126" s="90">
        <v>45830</v>
      </c>
      <c r="AH126" s="90">
        <v>45829</v>
      </c>
      <c r="AI126" s="90">
        <v>45830</v>
      </c>
      <c r="AJ126" s="91" t="s">
        <v>66</v>
      </c>
      <c r="AK126" s="39" t="s">
        <v>10579</v>
      </c>
      <c r="AL126" s="39" t="s">
        <v>10612</v>
      </c>
      <c r="AM126" s="39" t="s">
        <v>10613</v>
      </c>
      <c r="AN126" s="39" t="s">
        <v>10613</v>
      </c>
      <c r="AO126" s="91">
        <f t="shared" si="7"/>
        <v>63</v>
      </c>
      <c r="AP126" s="18" t="s">
        <v>2493</v>
      </c>
      <c r="AQ126" s="113" t="s">
        <v>2493</v>
      </c>
    </row>
    <row r="127" spans="1:43" s="6" customFormat="1" ht="11.5" hidden="1">
      <c r="A127" s="74" t="s">
        <v>10614</v>
      </c>
      <c r="B127" s="56" t="s">
        <v>67</v>
      </c>
      <c r="C127" s="56" t="s">
        <v>63</v>
      </c>
      <c r="D127" s="56" t="s">
        <v>10250</v>
      </c>
      <c r="E127" s="56"/>
      <c r="F127" s="56" t="s">
        <v>96</v>
      </c>
      <c r="G127" s="39"/>
      <c r="H127" s="56"/>
      <c r="I127" s="56" t="s">
        <v>10244</v>
      </c>
      <c r="J127" s="56" t="s">
        <v>170</v>
      </c>
      <c r="K127" s="75">
        <v>552026</v>
      </c>
      <c r="L127" s="56" t="s">
        <v>463</v>
      </c>
      <c r="M127" s="91">
        <v>550</v>
      </c>
      <c r="N127" s="91">
        <v>1980</v>
      </c>
      <c r="O127" s="92">
        <f t="shared" si="9"/>
        <v>1.089</v>
      </c>
      <c r="P127" s="91">
        <f>N127/33</f>
        <v>60</v>
      </c>
      <c r="Q127" s="93">
        <f>N127/660</f>
        <v>3</v>
      </c>
      <c r="R127" s="111" t="s">
        <v>75</v>
      </c>
      <c r="S127" s="56"/>
      <c r="T127" s="56" t="s">
        <v>2480</v>
      </c>
      <c r="U127" s="56" t="s">
        <v>2480</v>
      </c>
      <c r="V127" s="56"/>
      <c r="W127" s="18" t="s">
        <v>10440</v>
      </c>
      <c r="X127" s="90">
        <v>45770</v>
      </c>
      <c r="Y127" s="90"/>
      <c r="Z127" s="90"/>
      <c r="AA127" s="116">
        <v>371008433</v>
      </c>
      <c r="AB127" s="117" t="s">
        <v>122</v>
      </c>
      <c r="AC127" s="94" t="s">
        <v>105</v>
      </c>
      <c r="AD127" s="90">
        <v>45788</v>
      </c>
      <c r="AE127" s="90">
        <v>45788</v>
      </c>
      <c r="AF127" s="90">
        <v>45788</v>
      </c>
      <c r="AG127" s="90">
        <v>45852</v>
      </c>
      <c r="AH127" s="90">
        <v>45852</v>
      </c>
      <c r="AI127" s="90">
        <v>45852</v>
      </c>
      <c r="AJ127" s="91" t="s">
        <v>66</v>
      </c>
      <c r="AK127" s="39" t="s">
        <v>10615</v>
      </c>
      <c r="AL127" s="39" t="s">
        <v>10616</v>
      </c>
      <c r="AM127" s="39" t="s">
        <v>10617</v>
      </c>
      <c r="AN127" s="39" t="s">
        <v>10618</v>
      </c>
      <c r="AO127" s="91">
        <f t="shared" si="7"/>
        <v>65</v>
      </c>
      <c r="AP127" s="18" t="s">
        <v>2493</v>
      </c>
      <c r="AQ127" s="91" t="s">
        <v>2493</v>
      </c>
    </row>
    <row r="128" spans="1:43" s="6" customFormat="1" ht="11.5" hidden="1">
      <c r="A128" s="74" t="s">
        <v>10619</v>
      </c>
      <c r="B128" s="56" t="s">
        <v>67</v>
      </c>
      <c r="C128" s="56" t="s">
        <v>63</v>
      </c>
      <c r="D128" s="56" t="s">
        <v>10250</v>
      </c>
      <c r="E128" s="56"/>
      <c r="F128" s="56" t="s">
        <v>96</v>
      </c>
      <c r="G128" s="39"/>
      <c r="H128" s="56"/>
      <c r="I128" s="56" t="s">
        <v>10244</v>
      </c>
      <c r="J128" s="56" t="s">
        <v>170</v>
      </c>
      <c r="K128" s="75">
        <v>552045</v>
      </c>
      <c r="L128" s="56" t="s">
        <v>172</v>
      </c>
      <c r="M128" s="91">
        <v>555</v>
      </c>
      <c r="N128" s="91">
        <v>3960</v>
      </c>
      <c r="O128" s="92">
        <f t="shared" si="9"/>
        <v>2.1978</v>
      </c>
      <c r="P128" s="91">
        <f>N128/33</f>
        <v>120</v>
      </c>
      <c r="Q128" s="93">
        <f>N128/660</f>
        <v>6</v>
      </c>
      <c r="R128" s="111" t="s">
        <v>75</v>
      </c>
      <c r="S128" s="56"/>
      <c r="T128" s="56" t="s">
        <v>2480</v>
      </c>
      <c r="U128" s="56" t="s">
        <v>2480</v>
      </c>
      <c r="V128" s="56"/>
      <c r="W128" s="18" t="s">
        <v>10440</v>
      </c>
      <c r="X128" s="90">
        <v>45770</v>
      </c>
      <c r="Y128" s="90"/>
      <c r="Z128" s="90"/>
      <c r="AA128" s="116">
        <v>371008440</v>
      </c>
      <c r="AB128" s="117" t="s">
        <v>122</v>
      </c>
      <c r="AC128" s="94" t="s">
        <v>105</v>
      </c>
      <c r="AD128" s="90">
        <v>45788</v>
      </c>
      <c r="AE128" s="90">
        <v>45788</v>
      </c>
      <c r="AF128" s="90">
        <v>45788</v>
      </c>
      <c r="AG128" s="90">
        <v>45852</v>
      </c>
      <c r="AH128" s="90">
        <v>45852</v>
      </c>
      <c r="AI128" s="90">
        <v>45852</v>
      </c>
      <c r="AJ128" s="91" t="s">
        <v>66</v>
      </c>
      <c r="AK128" s="39" t="s">
        <v>10615</v>
      </c>
      <c r="AL128" s="39" t="s">
        <v>10616</v>
      </c>
      <c r="AM128" s="39" t="s">
        <v>10617</v>
      </c>
      <c r="AN128" s="39" t="s">
        <v>10618</v>
      </c>
      <c r="AO128" s="91">
        <f t="shared" si="7"/>
        <v>65</v>
      </c>
      <c r="AP128" s="18" t="s">
        <v>2493</v>
      </c>
      <c r="AQ128" s="91" t="s">
        <v>2493</v>
      </c>
    </row>
    <row r="129" spans="1:43" s="6" customFormat="1" ht="11.5" hidden="1">
      <c r="A129" s="74" t="s">
        <v>10620</v>
      </c>
      <c r="B129" s="56" t="s">
        <v>67</v>
      </c>
      <c r="C129" s="56" t="s">
        <v>63</v>
      </c>
      <c r="D129" s="56" t="s">
        <v>10250</v>
      </c>
      <c r="E129" s="56"/>
      <c r="F129" s="56" t="s">
        <v>96</v>
      </c>
      <c r="G129" s="39"/>
      <c r="H129" s="56"/>
      <c r="I129" s="56" t="s">
        <v>10244</v>
      </c>
      <c r="J129" s="56" t="s">
        <v>170</v>
      </c>
      <c r="K129" s="75">
        <v>552045</v>
      </c>
      <c r="L129" s="56" t="s">
        <v>172</v>
      </c>
      <c r="M129" s="91">
        <v>555</v>
      </c>
      <c r="N129" s="91">
        <v>2640</v>
      </c>
      <c r="O129" s="92">
        <f t="shared" si="9"/>
        <v>1.4652000000000001</v>
      </c>
      <c r="P129" s="91">
        <f>N129/33</f>
        <v>80</v>
      </c>
      <c r="Q129" s="93">
        <f>N129/660</f>
        <v>4</v>
      </c>
      <c r="R129" s="56" t="s">
        <v>75</v>
      </c>
      <c r="S129" s="56"/>
      <c r="T129" s="56" t="s">
        <v>2480</v>
      </c>
      <c r="U129" s="56" t="s">
        <v>2480</v>
      </c>
      <c r="V129" s="56"/>
      <c r="W129" s="18" t="s">
        <v>10399</v>
      </c>
      <c r="X129" s="90">
        <v>45759</v>
      </c>
      <c r="Y129" s="90"/>
      <c r="Z129" s="90"/>
      <c r="AA129" s="103">
        <v>371008421</v>
      </c>
      <c r="AB129" s="79" t="s">
        <v>122</v>
      </c>
      <c r="AC129" s="94" t="s">
        <v>78</v>
      </c>
      <c r="AD129" s="90">
        <v>45768</v>
      </c>
      <c r="AE129" s="90">
        <v>45768</v>
      </c>
      <c r="AF129" s="90">
        <v>45768</v>
      </c>
      <c r="AG129" s="90">
        <v>45830</v>
      </c>
      <c r="AH129" s="90">
        <v>45829</v>
      </c>
      <c r="AI129" s="90">
        <v>45830</v>
      </c>
      <c r="AJ129" s="91" t="s">
        <v>66</v>
      </c>
      <c r="AK129" s="39" t="s">
        <v>10579</v>
      </c>
      <c r="AL129" s="39" t="s">
        <v>10612</v>
      </c>
      <c r="AM129" s="39" t="s">
        <v>10613</v>
      </c>
      <c r="AN129" s="39" t="s">
        <v>10613</v>
      </c>
      <c r="AO129" s="91">
        <f t="shared" si="7"/>
        <v>63</v>
      </c>
      <c r="AP129" s="18" t="s">
        <v>2493</v>
      </c>
      <c r="AQ129" s="113" t="s">
        <v>2493</v>
      </c>
    </row>
    <row r="130" spans="1:43" s="6" customFormat="1" ht="11.5">
      <c r="A130" s="74" t="s">
        <v>10621</v>
      </c>
      <c r="B130" s="56" t="s">
        <v>67</v>
      </c>
      <c r="C130" s="56" t="s">
        <v>63</v>
      </c>
      <c r="D130" s="56" t="s">
        <v>10250</v>
      </c>
      <c r="E130" s="56"/>
      <c r="F130" s="56" t="s">
        <v>96</v>
      </c>
      <c r="G130" s="39"/>
      <c r="H130" s="56"/>
      <c r="I130" s="56" t="s">
        <v>10244</v>
      </c>
      <c r="J130" s="56" t="s">
        <v>170</v>
      </c>
      <c r="K130" s="75">
        <v>552045</v>
      </c>
      <c r="L130" s="56" t="s">
        <v>172</v>
      </c>
      <c r="M130" s="91">
        <v>555</v>
      </c>
      <c r="N130" s="91">
        <v>660</v>
      </c>
      <c r="O130" s="92">
        <f t="shared" si="9"/>
        <v>0.36630000000000001</v>
      </c>
      <c r="P130" s="91">
        <f>N130/33</f>
        <v>20</v>
      </c>
      <c r="Q130" s="93">
        <f>N130/660</f>
        <v>1</v>
      </c>
      <c r="R130" s="56" t="s">
        <v>75</v>
      </c>
      <c r="S130" s="56"/>
      <c r="T130" s="56" t="s">
        <v>2480</v>
      </c>
      <c r="U130" s="56" t="s">
        <v>2480</v>
      </c>
      <c r="V130" s="56"/>
      <c r="W130" s="18" t="s">
        <v>10440</v>
      </c>
      <c r="X130" s="90">
        <v>45768</v>
      </c>
      <c r="Y130" s="90"/>
      <c r="Z130" s="90"/>
      <c r="AA130" s="103">
        <v>371008443</v>
      </c>
      <c r="AB130" s="79" t="s">
        <v>122</v>
      </c>
      <c r="AC130" s="94" t="s">
        <v>1561</v>
      </c>
      <c r="AD130" s="90">
        <v>45779</v>
      </c>
      <c r="AE130" s="90">
        <v>45779</v>
      </c>
      <c r="AF130" s="90">
        <v>45779</v>
      </c>
      <c r="AG130" s="90">
        <v>45833</v>
      </c>
      <c r="AH130" s="90">
        <v>45833</v>
      </c>
      <c r="AI130" s="90">
        <v>45833</v>
      </c>
      <c r="AJ130" s="91" t="s">
        <v>66</v>
      </c>
      <c r="AK130" s="39" t="s">
        <v>10622</v>
      </c>
      <c r="AL130" s="39" t="s">
        <v>10623</v>
      </c>
      <c r="AM130" s="39" t="s">
        <v>10624</v>
      </c>
      <c r="AN130" s="39" t="s">
        <v>10624</v>
      </c>
      <c r="AO130" s="91">
        <f t="shared" si="7"/>
        <v>55</v>
      </c>
      <c r="AP130" s="18" t="s">
        <v>2493</v>
      </c>
      <c r="AQ130" s="113" t="s">
        <v>2493</v>
      </c>
    </row>
    <row r="131" spans="1:43" s="6" customFormat="1" ht="11.5" hidden="1">
      <c r="A131" s="74" t="s">
        <v>10625</v>
      </c>
      <c r="B131" s="56" t="s">
        <v>67</v>
      </c>
      <c r="C131" s="56" t="s">
        <v>63</v>
      </c>
      <c r="D131" s="56" t="s">
        <v>146</v>
      </c>
      <c r="E131" s="118" t="s">
        <v>111</v>
      </c>
      <c r="F131" s="56" t="s">
        <v>2665</v>
      </c>
      <c r="G131" s="39"/>
      <c r="H131" s="56"/>
      <c r="I131" s="82" t="s">
        <v>10244</v>
      </c>
      <c r="J131" s="56" t="s">
        <v>550</v>
      </c>
      <c r="K131" s="75">
        <v>553120</v>
      </c>
      <c r="L131" s="56" t="s">
        <v>2700</v>
      </c>
      <c r="M131" s="75">
        <v>500</v>
      </c>
      <c r="N131" s="75">
        <v>1584</v>
      </c>
      <c r="O131" s="76">
        <f t="shared" si="9"/>
        <v>0.79200000000000004</v>
      </c>
      <c r="P131" s="75">
        <f>N131/36</f>
        <v>44</v>
      </c>
      <c r="Q131" s="77">
        <f>N131/792</f>
        <v>2</v>
      </c>
      <c r="R131" s="56" t="s">
        <v>75</v>
      </c>
      <c r="S131" s="99"/>
      <c r="T131" s="56" t="s">
        <v>2480</v>
      </c>
      <c r="U131" s="56" t="s">
        <v>2480</v>
      </c>
      <c r="V131" s="56"/>
      <c r="W131" s="18" t="s">
        <v>10399</v>
      </c>
      <c r="X131" s="78">
        <v>45776</v>
      </c>
      <c r="Y131" s="78"/>
      <c r="Z131" s="78"/>
      <c r="AA131" s="119">
        <v>371008490</v>
      </c>
      <c r="AB131" s="79" t="s">
        <v>122</v>
      </c>
      <c r="AC131" s="80" t="s">
        <v>78</v>
      </c>
      <c r="AD131" s="78">
        <v>45785</v>
      </c>
      <c r="AE131" s="78">
        <v>45785</v>
      </c>
      <c r="AF131" s="78">
        <v>45785</v>
      </c>
      <c r="AG131" s="78">
        <v>45832</v>
      </c>
      <c r="AH131" s="78">
        <v>45832</v>
      </c>
      <c r="AI131" s="78">
        <v>45832</v>
      </c>
      <c r="AJ131" s="120" t="s">
        <v>146</v>
      </c>
      <c r="AK131" s="39" t="s">
        <v>10626</v>
      </c>
      <c r="AL131" s="39" t="s">
        <v>10627</v>
      </c>
      <c r="AM131" s="39" t="s">
        <v>10628</v>
      </c>
      <c r="AN131" s="39" t="s">
        <v>10628</v>
      </c>
      <c r="AO131" s="91">
        <f t="shared" si="7"/>
        <v>48</v>
      </c>
      <c r="AP131" s="18" t="s">
        <v>10629</v>
      </c>
      <c r="AQ131" s="91" t="s">
        <v>2493</v>
      </c>
    </row>
    <row r="132" spans="1:43" s="6" customFormat="1" ht="11.5">
      <c r="A132" s="74" t="s">
        <v>10630</v>
      </c>
      <c r="B132" s="56" t="s">
        <v>67</v>
      </c>
      <c r="C132" s="56" t="s">
        <v>63</v>
      </c>
      <c r="D132" s="56" t="s">
        <v>10250</v>
      </c>
      <c r="E132" s="56"/>
      <c r="F132" s="56" t="s">
        <v>96</v>
      </c>
      <c r="G132" s="39"/>
      <c r="H132" s="56"/>
      <c r="I132" s="56" t="s">
        <v>10244</v>
      </c>
      <c r="J132" s="56" t="s">
        <v>170</v>
      </c>
      <c r="K132" s="75">
        <v>552045</v>
      </c>
      <c r="L132" s="56" t="s">
        <v>172</v>
      </c>
      <c r="M132" s="91">
        <v>555</v>
      </c>
      <c r="N132" s="91">
        <v>660</v>
      </c>
      <c r="O132" s="92">
        <f t="shared" si="9"/>
        <v>0.36630000000000001</v>
      </c>
      <c r="P132" s="91">
        <f>N132/33</f>
        <v>20</v>
      </c>
      <c r="Q132" s="93">
        <f>N132/660</f>
        <v>1</v>
      </c>
      <c r="R132" s="56" t="s">
        <v>75</v>
      </c>
      <c r="S132" s="56"/>
      <c r="T132" s="56" t="s">
        <v>2480</v>
      </c>
      <c r="U132" s="56" t="s">
        <v>2480</v>
      </c>
      <c r="V132" s="56"/>
      <c r="W132" s="18" t="s">
        <v>10399</v>
      </c>
      <c r="X132" s="90">
        <v>45764</v>
      </c>
      <c r="Y132" s="90"/>
      <c r="Z132" s="90"/>
      <c r="AA132" s="103">
        <v>371008423</v>
      </c>
      <c r="AB132" s="79" t="s">
        <v>122</v>
      </c>
      <c r="AC132" s="94" t="s">
        <v>1561</v>
      </c>
      <c r="AD132" s="90">
        <v>45773</v>
      </c>
      <c r="AE132" s="90">
        <v>45773</v>
      </c>
      <c r="AF132" s="90">
        <v>45773</v>
      </c>
      <c r="AG132" s="90">
        <v>45833</v>
      </c>
      <c r="AH132" s="90">
        <v>45837</v>
      </c>
      <c r="AI132" s="90">
        <v>45833</v>
      </c>
      <c r="AJ132" s="91" t="s">
        <v>66</v>
      </c>
      <c r="AK132" s="39" t="s">
        <v>10601</v>
      </c>
      <c r="AL132" s="39" t="s">
        <v>10631</v>
      </c>
      <c r="AM132" s="39" t="s">
        <v>10632</v>
      </c>
      <c r="AN132" s="39" t="s">
        <v>10633</v>
      </c>
      <c r="AO132" s="91">
        <f t="shared" ref="AO132:AO168" si="10">DATEDIF(AD132,AG132,"d")+1</f>
        <v>61</v>
      </c>
      <c r="AP132" s="18" t="s">
        <v>2493</v>
      </c>
      <c r="AQ132" s="91" t="s">
        <v>2493</v>
      </c>
    </row>
    <row r="133" spans="1:43" s="6" customFormat="1" ht="11.5">
      <c r="A133" s="74" t="s">
        <v>10634</v>
      </c>
      <c r="B133" s="56" t="s">
        <v>67</v>
      </c>
      <c r="C133" s="56" t="s">
        <v>63</v>
      </c>
      <c r="D133" s="56" t="s">
        <v>10250</v>
      </c>
      <c r="E133" s="56"/>
      <c r="F133" s="56" t="s">
        <v>96</v>
      </c>
      <c r="G133" s="39"/>
      <c r="H133" s="56"/>
      <c r="I133" s="56" t="s">
        <v>10244</v>
      </c>
      <c r="J133" s="56" t="s">
        <v>170</v>
      </c>
      <c r="K133" s="75">
        <v>552045</v>
      </c>
      <c r="L133" s="56" t="s">
        <v>172</v>
      </c>
      <c r="M133" s="91">
        <v>555</v>
      </c>
      <c r="N133" s="91">
        <v>3960</v>
      </c>
      <c r="O133" s="92">
        <f t="shared" si="9"/>
        <v>2.1978</v>
      </c>
      <c r="P133" s="91">
        <f>N133/33</f>
        <v>120</v>
      </c>
      <c r="Q133" s="93">
        <f>N133/660</f>
        <v>6</v>
      </c>
      <c r="R133" s="56" t="s">
        <v>75</v>
      </c>
      <c r="S133" s="56"/>
      <c r="T133" s="56" t="s">
        <v>2480</v>
      </c>
      <c r="U133" s="56" t="s">
        <v>2480</v>
      </c>
      <c r="V133" s="56"/>
      <c r="W133" s="18" t="s">
        <v>10440</v>
      </c>
      <c r="X133" s="90">
        <v>45768</v>
      </c>
      <c r="Y133" s="90"/>
      <c r="Z133" s="90"/>
      <c r="AA133" s="116">
        <v>371008442</v>
      </c>
      <c r="AB133" s="79" t="s">
        <v>122</v>
      </c>
      <c r="AC133" s="94" t="s">
        <v>314</v>
      </c>
      <c r="AD133" s="90">
        <v>45779</v>
      </c>
      <c r="AE133" s="90">
        <v>45779</v>
      </c>
      <c r="AF133" s="90">
        <v>45779</v>
      </c>
      <c r="AG133" s="90">
        <v>45841</v>
      </c>
      <c r="AH133" s="90">
        <v>45841</v>
      </c>
      <c r="AI133" s="90">
        <v>45841</v>
      </c>
      <c r="AJ133" s="91" t="s">
        <v>66</v>
      </c>
      <c r="AK133" s="39" t="s">
        <v>10622</v>
      </c>
      <c r="AL133" s="39" t="s">
        <v>10635</v>
      </c>
      <c r="AM133" s="39" t="s">
        <v>10636</v>
      </c>
      <c r="AN133" s="39" t="s">
        <v>10636</v>
      </c>
      <c r="AO133" s="91">
        <f t="shared" si="10"/>
        <v>63</v>
      </c>
      <c r="AP133" s="18" t="s">
        <v>2493</v>
      </c>
      <c r="AQ133" s="91" t="s">
        <v>2493</v>
      </c>
    </row>
    <row r="134" spans="1:43" s="6" customFormat="1" ht="11.5">
      <c r="A134" s="74" t="s">
        <v>10637</v>
      </c>
      <c r="B134" s="56" t="s">
        <v>67</v>
      </c>
      <c r="C134" s="56" t="s">
        <v>63</v>
      </c>
      <c r="D134" s="56" t="s">
        <v>10250</v>
      </c>
      <c r="E134" s="56"/>
      <c r="F134" s="56" t="s">
        <v>96</v>
      </c>
      <c r="G134" s="39"/>
      <c r="H134" s="56"/>
      <c r="I134" s="56" t="s">
        <v>10244</v>
      </c>
      <c r="J134" s="56" t="s">
        <v>550</v>
      </c>
      <c r="K134" s="75">
        <v>553118</v>
      </c>
      <c r="L134" s="56" t="s">
        <v>552</v>
      </c>
      <c r="M134" s="91">
        <v>510</v>
      </c>
      <c r="N134" s="91">
        <v>792</v>
      </c>
      <c r="O134" s="92">
        <f t="shared" si="9"/>
        <v>0.40392</v>
      </c>
      <c r="P134" s="91">
        <f>N134/36</f>
        <v>22</v>
      </c>
      <c r="Q134" s="93">
        <f>N134/792</f>
        <v>1</v>
      </c>
      <c r="R134" s="111" t="s">
        <v>75</v>
      </c>
      <c r="S134" s="56"/>
      <c r="T134" s="56" t="s">
        <v>2480</v>
      </c>
      <c r="U134" s="56" t="s">
        <v>2480</v>
      </c>
      <c r="V134" s="56"/>
      <c r="W134" s="18" t="s">
        <v>10399</v>
      </c>
      <c r="X134" s="90">
        <v>45776</v>
      </c>
      <c r="Y134" s="90"/>
      <c r="Z134" s="90"/>
      <c r="AA134" s="116">
        <v>371008474</v>
      </c>
      <c r="AB134" s="79" t="s">
        <v>122</v>
      </c>
      <c r="AC134" s="94" t="s">
        <v>314</v>
      </c>
      <c r="AD134" s="90">
        <v>45787</v>
      </c>
      <c r="AE134" s="90">
        <v>45787</v>
      </c>
      <c r="AF134" s="90">
        <v>45787</v>
      </c>
      <c r="AG134" s="90">
        <v>45852</v>
      </c>
      <c r="AH134" s="90">
        <v>45852</v>
      </c>
      <c r="AI134" s="90">
        <v>45852</v>
      </c>
      <c r="AJ134" s="91" t="s">
        <v>66</v>
      </c>
      <c r="AK134" s="39" t="s">
        <v>10638</v>
      </c>
      <c r="AL134" s="39" t="s">
        <v>10639</v>
      </c>
      <c r="AM134" s="39" t="s">
        <v>10640</v>
      </c>
      <c r="AN134" s="39" t="s">
        <v>10640</v>
      </c>
      <c r="AO134" s="91">
        <f t="shared" si="10"/>
        <v>66</v>
      </c>
      <c r="AP134" s="18" t="s">
        <v>2493</v>
      </c>
      <c r="AQ134" s="91" t="s">
        <v>2493</v>
      </c>
    </row>
    <row r="135" spans="1:43" s="6" customFormat="1" ht="11.5" hidden="1">
      <c r="A135" s="74" t="s">
        <v>10641</v>
      </c>
      <c r="B135" s="56" t="s">
        <v>67</v>
      </c>
      <c r="C135" s="56" t="s">
        <v>63</v>
      </c>
      <c r="D135" s="56" t="s">
        <v>10250</v>
      </c>
      <c r="E135" s="56"/>
      <c r="F135" s="56" t="s">
        <v>96</v>
      </c>
      <c r="G135" s="39"/>
      <c r="H135" s="56"/>
      <c r="I135" s="56" t="s">
        <v>10244</v>
      </c>
      <c r="J135" s="56" t="s">
        <v>170</v>
      </c>
      <c r="K135" s="75">
        <v>552045</v>
      </c>
      <c r="L135" s="56" t="s">
        <v>172</v>
      </c>
      <c r="M135" s="91">
        <v>555</v>
      </c>
      <c r="N135" s="91">
        <v>660</v>
      </c>
      <c r="O135" s="92">
        <f>$M135*$N135/1000000</f>
        <v>0.36630000000000001</v>
      </c>
      <c r="P135" s="91">
        <f>$N135/33</f>
        <v>20</v>
      </c>
      <c r="Q135" s="93">
        <f>$N135/660</f>
        <v>1</v>
      </c>
      <c r="R135" s="56" t="s">
        <v>75</v>
      </c>
      <c r="S135" s="56"/>
      <c r="T135" s="56" t="s">
        <v>2480</v>
      </c>
      <c r="U135" s="56" t="s">
        <v>2480</v>
      </c>
      <c r="V135" s="56"/>
      <c r="W135" s="18" t="s">
        <v>10642</v>
      </c>
      <c r="X135" s="90">
        <v>45785</v>
      </c>
      <c r="Y135" s="90"/>
      <c r="Z135" s="90"/>
      <c r="AA135" s="121">
        <v>371008522</v>
      </c>
      <c r="AB135" s="79" t="s">
        <v>122</v>
      </c>
      <c r="AC135" s="94" t="s">
        <v>124</v>
      </c>
      <c r="AD135" s="90">
        <v>45790</v>
      </c>
      <c r="AE135" s="90">
        <v>45790</v>
      </c>
      <c r="AF135" s="90">
        <v>45790</v>
      </c>
      <c r="AG135" s="90">
        <v>45835</v>
      </c>
      <c r="AH135" s="90">
        <v>45835</v>
      </c>
      <c r="AI135" s="90">
        <v>45835</v>
      </c>
      <c r="AJ135" s="91" t="s">
        <v>66</v>
      </c>
      <c r="AK135" s="39" t="s">
        <v>10643</v>
      </c>
      <c r="AL135" s="39" t="s">
        <v>10644</v>
      </c>
      <c r="AM135" s="39" t="s">
        <v>10645</v>
      </c>
      <c r="AN135" s="39" t="s">
        <v>10645</v>
      </c>
      <c r="AO135" s="91">
        <f t="shared" si="10"/>
        <v>46</v>
      </c>
      <c r="AP135" s="18" t="s">
        <v>2493</v>
      </c>
      <c r="AQ135" s="91" t="s">
        <v>2493</v>
      </c>
    </row>
    <row r="136" spans="1:43" s="6" customFormat="1" ht="11.5" hidden="1">
      <c r="A136" s="74" t="s">
        <v>10646</v>
      </c>
      <c r="B136" s="56" t="s">
        <v>67</v>
      </c>
      <c r="C136" s="56" t="s">
        <v>63</v>
      </c>
      <c r="D136" s="56" t="s">
        <v>10250</v>
      </c>
      <c r="E136" s="56"/>
      <c r="F136" s="56" t="s">
        <v>96</v>
      </c>
      <c r="G136" s="39"/>
      <c r="H136" s="56"/>
      <c r="I136" s="56" t="s">
        <v>10244</v>
      </c>
      <c r="J136" s="56" t="s">
        <v>170</v>
      </c>
      <c r="K136" s="75">
        <v>552026</v>
      </c>
      <c r="L136" s="56" t="s">
        <v>463</v>
      </c>
      <c r="M136" s="91">
        <v>550</v>
      </c>
      <c r="N136" s="91">
        <v>660</v>
      </c>
      <c r="O136" s="92">
        <f>M136*N136/1000000</f>
        <v>0.36299999999999999</v>
      </c>
      <c r="P136" s="91">
        <f>N136/33</f>
        <v>20</v>
      </c>
      <c r="Q136" s="93">
        <f>N136/660</f>
        <v>1</v>
      </c>
      <c r="R136" s="56" t="s">
        <v>75</v>
      </c>
      <c r="S136" s="56"/>
      <c r="T136" s="56" t="s">
        <v>2480</v>
      </c>
      <c r="U136" s="56" t="s">
        <v>2480</v>
      </c>
      <c r="V136" s="56"/>
      <c r="W136" s="18" t="s">
        <v>10440</v>
      </c>
      <c r="X136" s="90">
        <v>45767</v>
      </c>
      <c r="Y136" s="90"/>
      <c r="Z136" s="90"/>
      <c r="AA136" s="121">
        <v>371008431</v>
      </c>
      <c r="AB136" s="79" t="s">
        <v>122</v>
      </c>
      <c r="AC136" s="94" t="s">
        <v>78</v>
      </c>
      <c r="AD136" s="90">
        <v>45779</v>
      </c>
      <c r="AE136" s="90">
        <v>45779</v>
      </c>
      <c r="AF136" s="90">
        <v>45779</v>
      </c>
      <c r="AG136" s="90">
        <v>45846</v>
      </c>
      <c r="AH136" s="90">
        <v>45846</v>
      </c>
      <c r="AI136" s="90">
        <v>45846</v>
      </c>
      <c r="AJ136" s="91" t="s">
        <v>66</v>
      </c>
      <c r="AK136" s="39" t="s">
        <v>10622</v>
      </c>
      <c r="AL136" s="39" t="s">
        <v>10647</v>
      </c>
      <c r="AM136" s="39" t="s">
        <v>10648</v>
      </c>
      <c r="AN136" s="39" t="s">
        <v>10648</v>
      </c>
      <c r="AO136" s="91">
        <f t="shared" si="10"/>
        <v>68</v>
      </c>
      <c r="AP136" s="18" t="s">
        <v>2493</v>
      </c>
      <c r="AQ136" s="91" t="s">
        <v>2493</v>
      </c>
    </row>
    <row r="137" spans="1:43" s="6" customFormat="1" ht="11.5">
      <c r="A137" s="74" t="s">
        <v>10649</v>
      </c>
      <c r="B137" s="122" t="s">
        <v>67</v>
      </c>
      <c r="C137" s="122" t="s">
        <v>63</v>
      </c>
      <c r="D137" s="122" t="s">
        <v>10250</v>
      </c>
      <c r="E137" s="122"/>
      <c r="F137" s="56" t="s">
        <v>96</v>
      </c>
      <c r="G137" s="39"/>
      <c r="H137" s="56"/>
      <c r="I137" s="56" t="s">
        <v>10244</v>
      </c>
      <c r="J137" s="122" t="s">
        <v>170</v>
      </c>
      <c r="K137" s="123">
        <v>552045</v>
      </c>
      <c r="L137" s="122" t="s">
        <v>172</v>
      </c>
      <c r="M137" s="91">
        <v>555</v>
      </c>
      <c r="N137" s="91">
        <v>1980</v>
      </c>
      <c r="O137" s="92">
        <f>$M137*$N137/1000000</f>
        <v>1.0989</v>
      </c>
      <c r="P137" s="91">
        <f>$N137/33</f>
        <v>60</v>
      </c>
      <c r="Q137" s="93">
        <f>$N137/660</f>
        <v>3</v>
      </c>
      <c r="R137" s="56" t="s">
        <v>75</v>
      </c>
      <c r="S137" s="56"/>
      <c r="T137" s="56" t="s">
        <v>2480</v>
      </c>
      <c r="U137" s="56" t="s">
        <v>2480</v>
      </c>
      <c r="V137" s="56"/>
      <c r="W137" s="18" t="s">
        <v>10642</v>
      </c>
      <c r="X137" s="90">
        <v>45785</v>
      </c>
      <c r="Y137" s="90"/>
      <c r="Z137" s="90"/>
      <c r="AA137" s="116">
        <v>371008520</v>
      </c>
      <c r="AB137" s="117" t="s">
        <v>122</v>
      </c>
      <c r="AC137" s="94" t="s">
        <v>314</v>
      </c>
      <c r="AD137" s="90">
        <v>45792</v>
      </c>
      <c r="AE137" s="90">
        <v>45792</v>
      </c>
      <c r="AF137" s="90">
        <v>45792</v>
      </c>
      <c r="AG137" s="90">
        <v>45847</v>
      </c>
      <c r="AH137" s="90">
        <v>45847</v>
      </c>
      <c r="AI137" s="90">
        <v>45847</v>
      </c>
      <c r="AJ137" s="91" t="s">
        <v>66</v>
      </c>
      <c r="AK137" s="39" t="s">
        <v>10650</v>
      </c>
      <c r="AL137" s="39" t="s">
        <v>10651</v>
      </c>
      <c r="AM137" s="39" t="s">
        <v>10652</v>
      </c>
      <c r="AN137" s="39" t="s">
        <v>10652</v>
      </c>
      <c r="AO137" s="91">
        <f t="shared" si="10"/>
        <v>56</v>
      </c>
      <c r="AP137" s="18" t="s">
        <v>2493</v>
      </c>
      <c r="AQ137" s="91" t="s">
        <v>2493</v>
      </c>
    </row>
    <row r="138" spans="1:43" s="6" customFormat="1" ht="11.5" hidden="1">
      <c r="A138" s="124" t="s">
        <v>10653</v>
      </c>
      <c r="B138" s="39" t="s">
        <v>67</v>
      </c>
      <c r="C138" s="39" t="s">
        <v>63</v>
      </c>
      <c r="D138" s="39" t="s">
        <v>10250</v>
      </c>
      <c r="E138" s="39"/>
      <c r="F138" s="56" t="s">
        <v>96</v>
      </c>
      <c r="G138" s="39"/>
      <c r="H138" s="56"/>
      <c r="I138" s="56" t="s">
        <v>10244</v>
      </c>
      <c r="J138" s="39" t="s">
        <v>170</v>
      </c>
      <c r="K138" s="75">
        <v>552045</v>
      </c>
      <c r="L138" s="39" t="s">
        <v>172</v>
      </c>
      <c r="M138" s="91">
        <v>555</v>
      </c>
      <c r="N138" s="91">
        <v>1320</v>
      </c>
      <c r="O138" s="92">
        <f>$M138*$N138/1000000</f>
        <v>0.73260000000000003</v>
      </c>
      <c r="P138" s="91">
        <f>$N138/33</f>
        <v>40</v>
      </c>
      <c r="Q138" s="93">
        <f>$N138/660</f>
        <v>2</v>
      </c>
      <c r="R138" s="56" t="s">
        <v>75</v>
      </c>
      <c r="S138" s="75"/>
      <c r="T138" s="56" t="s">
        <v>2480</v>
      </c>
      <c r="U138" s="56" t="s">
        <v>2480</v>
      </c>
      <c r="V138" s="56"/>
      <c r="W138" s="125" t="s">
        <v>10642</v>
      </c>
      <c r="X138" s="90">
        <v>45792</v>
      </c>
      <c r="Y138" s="90"/>
      <c r="Z138" s="90"/>
      <c r="AA138" s="116">
        <v>371008527</v>
      </c>
      <c r="AB138" s="117" t="s">
        <v>122</v>
      </c>
      <c r="AC138" s="19" t="s">
        <v>124</v>
      </c>
      <c r="AD138" s="90">
        <v>45800</v>
      </c>
      <c r="AE138" s="90">
        <v>45800</v>
      </c>
      <c r="AF138" s="90">
        <v>45800</v>
      </c>
      <c r="AG138" s="90">
        <v>45842</v>
      </c>
      <c r="AH138" s="90">
        <v>45842</v>
      </c>
      <c r="AI138" s="90">
        <v>45842</v>
      </c>
      <c r="AJ138" s="91" t="s">
        <v>66</v>
      </c>
      <c r="AK138" s="39" t="s">
        <v>10654</v>
      </c>
      <c r="AL138" s="39" t="s">
        <v>10655</v>
      </c>
      <c r="AM138" s="39" t="s">
        <v>10656</v>
      </c>
      <c r="AN138" s="39" t="s">
        <v>10656</v>
      </c>
      <c r="AO138" s="91">
        <f t="shared" si="10"/>
        <v>43</v>
      </c>
      <c r="AP138" s="18" t="s">
        <v>2493</v>
      </c>
      <c r="AQ138" s="91" t="s">
        <v>2493</v>
      </c>
    </row>
    <row r="139" spans="1:43" s="6" customFormat="1" ht="11.5" hidden="1">
      <c r="A139" s="124" t="s">
        <v>10657</v>
      </c>
      <c r="B139" s="56" t="s">
        <v>67</v>
      </c>
      <c r="C139" s="56" t="s">
        <v>63</v>
      </c>
      <c r="D139" s="56" t="s">
        <v>10250</v>
      </c>
      <c r="E139" s="56"/>
      <c r="F139" s="56" t="s">
        <v>96</v>
      </c>
      <c r="G139" s="39"/>
      <c r="H139" s="56"/>
      <c r="I139" s="56" t="s">
        <v>10244</v>
      </c>
      <c r="J139" s="56" t="s">
        <v>170</v>
      </c>
      <c r="K139" s="75">
        <v>552026</v>
      </c>
      <c r="L139" s="56" t="s">
        <v>463</v>
      </c>
      <c r="M139" s="75">
        <v>550</v>
      </c>
      <c r="N139" s="75">
        <v>2640</v>
      </c>
      <c r="O139" s="76">
        <f>$M139*$N139/1000000</f>
        <v>1.452</v>
      </c>
      <c r="P139" s="75">
        <f>$N139/33</f>
        <v>80</v>
      </c>
      <c r="Q139" s="77">
        <f>$N139/660</f>
        <v>4</v>
      </c>
      <c r="R139" s="56" t="s">
        <v>75</v>
      </c>
      <c r="S139" s="56"/>
      <c r="T139" s="56" t="s">
        <v>2480</v>
      </c>
      <c r="U139" s="56" t="s">
        <v>2480</v>
      </c>
      <c r="V139" s="56"/>
      <c r="W139" s="39" t="s">
        <v>10642</v>
      </c>
      <c r="X139" s="78">
        <v>45795</v>
      </c>
      <c r="Y139" s="90"/>
      <c r="Z139" s="90"/>
      <c r="AA139" s="121">
        <v>371008512</v>
      </c>
      <c r="AB139" s="79" t="s">
        <v>122</v>
      </c>
      <c r="AC139" s="38" t="s">
        <v>78</v>
      </c>
      <c r="AD139" s="78">
        <v>45801</v>
      </c>
      <c r="AE139" s="78">
        <v>45801</v>
      </c>
      <c r="AF139" s="78">
        <v>45801</v>
      </c>
      <c r="AG139" s="78">
        <v>45850</v>
      </c>
      <c r="AH139" s="78">
        <v>45850</v>
      </c>
      <c r="AI139" s="78">
        <v>45850</v>
      </c>
      <c r="AJ139" s="75" t="s">
        <v>66</v>
      </c>
      <c r="AK139" s="39" t="s">
        <v>10658</v>
      </c>
      <c r="AL139" s="39" t="s">
        <v>10659</v>
      </c>
      <c r="AM139" s="39" t="s">
        <v>10660</v>
      </c>
      <c r="AN139" s="39" t="s">
        <v>10660</v>
      </c>
      <c r="AO139" s="75">
        <f t="shared" si="10"/>
        <v>50</v>
      </c>
      <c r="AP139" s="39" t="s">
        <v>2493</v>
      </c>
      <c r="AQ139" s="75" t="s">
        <v>2493</v>
      </c>
    </row>
    <row r="140" spans="1:43" s="6" customFormat="1" ht="11.5">
      <c r="A140" s="74" t="s">
        <v>10661</v>
      </c>
      <c r="B140" s="56" t="s">
        <v>67</v>
      </c>
      <c r="C140" s="56" t="s">
        <v>63</v>
      </c>
      <c r="D140" s="56" t="s">
        <v>10250</v>
      </c>
      <c r="E140" s="56"/>
      <c r="F140" s="56" t="s">
        <v>96</v>
      </c>
      <c r="G140" s="39"/>
      <c r="H140" s="56"/>
      <c r="I140" s="56" t="s">
        <v>10244</v>
      </c>
      <c r="J140" s="56" t="s">
        <v>170</v>
      </c>
      <c r="K140" s="75">
        <v>552045</v>
      </c>
      <c r="L140" s="56" t="s">
        <v>172</v>
      </c>
      <c r="M140" s="75">
        <v>555</v>
      </c>
      <c r="N140" s="75">
        <v>1320</v>
      </c>
      <c r="O140" s="76">
        <f>$M140*$N140/1000000</f>
        <v>0.73260000000000003</v>
      </c>
      <c r="P140" s="75">
        <f>$N140/33</f>
        <v>40</v>
      </c>
      <c r="Q140" s="77">
        <f>$N140/660</f>
        <v>2</v>
      </c>
      <c r="R140" s="56" t="s">
        <v>75</v>
      </c>
      <c r="S140" s="56"/>
      <c r="T140" s="56" t="s">
        <v>2480</v>
      </c>
      <c r="U140" s="56" t="s">
        <v>2480</v>
      </c>
      <c r="V140" s="56"/>
      <c r="W140" s="39" t="s">
        <v>10642</v>
      </c>
      <c r="X140" s="78">
        <v>45785</v>
      </c>
      <c r="Y140" s="90"/>
      <c r="Z140" s="90"/>
      <c r="AA140" s="121">
        <v>371008521</v>
      </c>
      <c r="AB140" s="79" t="s">
        <v>122</v>
      </c>
      <c r="AC140" s="80" t="s">
        <v>1561</v>
      </c>
      <c r="AD140" s="78">
        <v>45792</v>
      </c>
      <c r="AE140" s="78">
        <v>45792</v>
      </c>
      <c r="AF140" s="78">
        <v>45792</v>
      </c>
      <c r="AG140" s="78">
        <v>45841</v>
      </c>
      <c r="AH140" s="78">
        <v>45841</v>
      </c>
      <c r="AI140" s="78">
        <v>45841</v>
      </c>
      <c r="AJ140" s="75" t="s">
        <v>66</v>
      </c>
      <c r="AK140" s="39" t="s">
        <v>10650</v>
      </c>
      <c r="AL140" s="39" t="s">
        <v>10662</v>
      </c>
      <c r="AM140" s="39" t="s">
        <v>10663</v>
      </c>
      <c r="AN140" s="39" t="s">
        <v>10663</v>
      </c>
      <c r="AO140" s="75">
        <f t="shared" si="10"/>
        <v>50</v>
      </c>
      <c r="AP140" s="39" t="s">
        <v>2493</v>
      </c>
      <c r="AQ140" s="75" t="s">
        <v>2493</v>
      </c>
    </row>
    <row r="141" spans="1:43" s="6" customFormat="1" ht="11.5" hidden="1">
      <c r="A141" s="74" t="s">
        <v>10664</v>
      </c>
      <c r="B141" s="56" t="s">
        <v>67</v>
      </c>
      <c r="C141" s="56" t="s">
        <v>63</v>
      </c>
      <c r="D141" s="56" t="s">
        <v>10250</v>
      </c>
      <c r="E141" s="56"/>
      <c r="F141" s="56"/>
      <c r="G141" s="39"/>
      <c r="H141" s="56"/>
      <c r="I141" s="56" t="s">
        <v>10244</v>
      </c>
      <c r="J141" s="56" t="s">
        <v>550</v>
      </c>
      <c r="K141" s="75">
        <v>553120</v>
      </c>
      <c r="L141" s="56" t="s">
        <v>2700</v>
      </c>
      <c r="M141" s="75">
        <v>500</v>
      </c>
      <c r="N141" s="75">
        <v>792</v>
      </c>
      <c r="O141" s="76">
        <f>M141*N141/1000000</f>
        <v>0.39600000000000002</v>
      </c>
      <c r="P141" s="75">
        <f>N141/36</f>
        <v>22</v>
      </c>
      <c r="Q141" s="77">
        <f>N141/792</f>
        <v>1</v>
      </c>
      <c r="R141" s="56" t="s">
        <v>75</v>
      </c>
      <c r="S141" s="56"/>
      <c r="T141" s="56" t="s">
        <v>2480</v>
      </c>
      <c r="U141" s="56" t="s">
        <v>2480</v>
      </c>
      <c r="V141" s="56"/>
      <c r="W141" s="39" t="s">
        <v>10399</v>
      </c>
      <c r="X141" s="78">
        <v>45776</v>
      </c>
      <c r="Y141" s="78"/>
      <c r="Z141" s="78"/>
      <c r="AA141" s="121">
        <v>371008491</v>
      </c>
      <c r="AB141" s="79" t="s">
        <v>122</v>
      </c>
      <c r="AC141" s="80" t="s">
        <v>78</v>
      </c>
      <c r="AD141" s="78">
        <v>45787</v>
      </c>
      <c r="AE141" s="78">
        <v>45787</v>
      </c>
      <c r="AF141" s="78">
        <v>45787</v>
      </c>
      <c r="AG141" s="78">
        <v>45837</v>
      </c>
      <c r="AH141" s="78">
        <v>45837</v>
      </c>
      <c r="AI141" s="78">
        <v>45837</v>
      </c>
      <c r="AJ141" s="120" t="s">
        <v>146</v>
      </c>
      <c r="AK141" s="39" t="s">
        <v>10638</v>
      </c>
      <c r="AL141" s="39">
        <v>46010504</v>
      </c>
      <c r="AM141" s="39" t="s">
        <v>10665</v>
      </c>
      <c r="AN141" s="39" t="s">
        <v>10665</v>
      </c>
      <c r="AO141" s="75">
        <f t="shared" si="10"/>
        <v>51</v>
      </c>
      <c r="AP141" s="39" t="s">
        <v>10629</v>
      </c>
      <c r="AQ141" s="75" t="s">
        <v>2493</v>
      </c>
    </row>
    <row r="142" spans="1:43" s="6" customFormat="1" ht="11.5" hidden="1">
      <c r="A142" s="124" t="s">
        <v>10666</v>
      </c>
      <c r="B142" s="39" t="s">
        <v>67</v>
      </c>
      <c r="C142" s="39" t="s">
        <v>63</v>
      </c>
      <c r="D142" s="39" t="s">
        <v>10250</v>
      </c>
      <c r="E142" s="39"/>
      <c r="F142" s="79" t="s">
        <v>2488</v>
      </c>
      <c r="G142" s="39"/>
      <c r="H142" s="39"/>
      <c r="I142" s="82" t="s">
        <v>10244</v>
      </c>
      <c r="J142" s="79" t="s">
        <v>170</v>
      </c>
      <c r="K142" s="83">
        <v>552045</v>
      </c>
      <c r="L142" s="39" t="s">
        <v>172</v>
      </c>
      <c r="M142" s="75">
        <v>555</v>
      </c>
      <c r="N142" s="75">
        <v>1980</v>
      </c>
      <c r="O142" s="76">
        <f>$M142*$N142/1000000</f>
        <v>1.0989</v>
      </c>
      <c r="P142" s="75">
        <f>$N142/33</f>
        <v>60</v>
      </c>
      <c r="Q142" s="77">
        <f>$N142/660</f>
        <v>3</v>
      </c>
      <c r="R142" s="56" t="s">
        <v>75</v>
      </c>
      <c r="S142" s="75"/>
      <c r="T142" s="56" t="s">
        <v>2480</v>
      </c>
      <c r="U142" s="56" t="s">
        <v>2480</v>
      </c>
      <c r="V142" s="56"/>
      <c r="W142" s="126" t="s">
        <v>10642</v>
      </c>
      <c r="X142" s="1307">
        <v>45789</v>
      </c>
      <c r="Y142" s="90"/>
      <c r="Z142" s="90"/>
      <c r="AA142" s="119">
        <v>371008528</v>
      </c>
      <c r="AB142" s="79" t="s">
        <v>122</v>
      </c>
      <c r="AC142" s="1308" t="s">
        <v>159</v>
      </c>
      <c r="AD142" s="1307">
        <v>45794</v>
      </c>
      <c r="AE142" s="1307">
        <v>45794</v>
      </c>
      <c r="AF142" s="1307">
        <v>45794</v>
      </c>
      <c r="AG142" s="1307">
        <v>45843</v>
      </c>
      <c r="AH142" s="1307">
        <v>45843</v>
      </c>
      <c r="AI142" s="1307">
        <v>45843</v>
      </c>
      <c r="AJ142" s="1309" t="s">
        <v>146</v>
      </c>
      <c r="AK142" s="1310" t="s">
        <v>10667</v>
      </c>
      <c r="AL142" s="39">
        <v>46010580</v>
      </c>
      <c r="AM142" s="1310" t="s">
        <v>10668</v>
      </c>
      <c r="AN142" s="1310" t="s">
        <v>10669</v>
      </c>
      <c r="AO142" s="75">
        <f t="shared" si="10"/>
        <v>50</v>
      </c>
      <c r="AP142" s="39" t="s">
        <v>2493</v>
      </c>
      <c r="AQ142" s="75" t="s">
        <v>2493</v>
      </c>
    </row>
    <row r="143" spans="1:43" s="6" customFormat="1" ht="11.5" hidden="1">
      <c r="A143" s="1311" t="s">
        <v>10670</v>
      </c>
      <c r="B143" s="1311" t="s">
        <v>67</v>
      </c>
      <c r="C143" s="1311" t="s">
        <v>63</v>
      </c>
      <c r="D143" s="1311" t="s">
        <v>10250</v>
      </c>
      <c r="E143" s="1311"/>
      <c r="F143" s="118"/>
      <c r="G143" s="39"/>
      <c r="H143" s="56"/>
      <c r="I143" s="56" t="s">
        <v>10244</v>
      </c>
      <c r="J143" s="118" t="s">
        <v>550</v>
      </c>
      <c r="K143" s="1312">
        <v>553120</v>
      </c>
      <c r="L143" s="1311" t="s">
        <v>2700</v>
      </c>
      <c r="M143" s="1313">
        <v>500</v>
      </c>
      <c r="N143" s="1313">
        <v>792</v>
      </c>
      <c r="O143" s="76">
        <f>M143*N143/1000000</f>
        <v>0.39600000000000002</v>
      </c>
      <c r="P143" s="75">
        <f>N143/36</f>
        <v>22</v>
      </c>
      <c r="Q143" s="77">
        <f>N143/792</f>
        <v>1</v>
      </c>
      <c r="R143" s="111" t="s">
        <v>75</v>
      </c>
      <c r="S143" s="1311"/>
      <c r="T143" s="56" t="s">
        <v>2480</v>
      </c>
      <c r="U143" s="56" t="s">
        <v>2480</v>
      </c>
      <c r="V143" s="56"/>
      <c r="W143" s="1310" t="s">
        <v>10399</v>
      </c>
      <c r="X143" s="1307">
        <v>45786</v>
      </c>
      <c r="Y143" s="78"/>
      <c r="Z143" s="78"/>
      <c r="AA143" s="127">
        <v>371008492</v>
      </c>
      <c r="AB143" s="79" t="s">
        <v>122</v>
      </c>
      <c r="AC143" s="1314" t="s">
        <v>78</v>
      </c>
      <c r="AD143" s="78">
        <v>45792</v>
      </c>
      <c r="AE143" s="78">
        <v>45792</v>
      </c>
      <c r="AF143" s="78">
        <v>45792</v>
      </c>
      <c r="AG143" s="90">
        <v>45852</v>
      </c>
      <c r="AH143" s="90">
        <v>45851</v>
      </c>
      <c r="AI143" s="90">
        <v>45852</v>
      </c>
      <c r="AJ143" s="1309" t="s">
        <v>146</v>
      </c>
      <c r="AK143" s="1310" t="s">
        <v>10650</v>
      </c>
      <c r="AL143" s="39">
        <v>46010565</v>
      </c>
      <c r="AM143" s="1310" t="s">
        <v>10671</v>
      </c>
      <c r="AN143" s="1495" t="s">
        <v>10671</v>
      </c>
      <c r="AO143" s="75">
        <f t="shared" si="10"/>
        <v>61</v>
      </c>
      <c r="AP143" s="39" t="s">
        <v>10629</v>
      </c>
      <c r="AQ143" s="75" t="s">
        <v>2493</v>
      </c>
    </row>
    <row r="144" spans="1:43" s="6" customFormat="1" ht="11.5" hidden="1">
      <c r="A144" s="74" t="s">
        <v>10672</v>
      </c>
      <c r="B144" s="56" t="s">
        <v>67</v>
      </c>
      <c r="C144" s="56" t="s">
        <v>63</v>
      </c>
      <c r="D144" s="56" t="s">
        <v>10250</v>
      </c>
      <c r="E144" s="56"/>
      <c r="F144" s="118" t="s">
        <v>96</v>
      </c>
      <c r="G144" s="39"/>
      <c r="H144" s="56"/>
      <c r="I144" s="56" t="s">
        <v>10244</v>
      </c>
      <c r="J144" s="118" t="s">
        <v>550</v>
      </c>
      <c r="K144" s="83">
        <v>553118</v>
      </c>
      <c r="L144" s="56" t="s">
        <v>552</v>
      </c>
      <c r="M144" s="75">
        <v>510</v>
      </c>
      <c r="N144" s="75">
        <v>3168</v>
      </c>
      <c r="O144" s="76">
        <f>M144*N144/1000000</f>
        <v>1.61568</v>
      </c>
      <c r="P144" s="75">
        <f>N144/36</f>
        <v>88</v>
      </c>
      <c r="Q144" s="77">
        <f>N144/792</f>
        <v>4</v>
      </c>
      <c r="R144" s="111" t="s">
        <v>75</v>
      </c>
      <c r="S144" s="56"/>
      <c r="T144" s="56" t="s">
        <v>2480</v>
      </c>
      <c r="U144" s="56" t="s">
        <v>2480</v>
      </c>
      <c r="V144" s="56"/>
      <c r="W144" s="39" t="s">
        <v>10399</v>
      </c>
      <c r="X144" s="1307">
        <v>45786</v>
      </c>
      <c r="Y144" s="78"/>
      <c r="Z144" s="78"/>
      <c r="AA144" s="119">
        <v>371008475</v>
      </c>
      <c r="AB144" s="79" t="s">
        <v>122</v>
      </c>
      <c r="AC144" s="1314" t="s">
        <v>78</v>
      </c>
      <c r="AD144" s="1307">
        <v>45792</v>
      </c>
      <c r="AE144" s="1307">
        <v>45792</v>
      </c>
      <c r="AF144" s="1307">
        <v>45792</v>
      </c>
      <c r="AG144" s="90">
        <v>45852</v>
      </c>
      <c r="AH144" s="90">
        <v>45852</v>
      </c>
      <c r="AI144" s="90">
        <v>45852</v>
      </c>
      <c r="AJ144" s="1313" t="s">
        <v>66</v>
      </c>
      <c r="AK144" s="1310" t="s">
        <v>10650</v>
      </c>
      <c r="AL144" s="39" t="s">
        <v>10673</v>
      </c>
      <c r="AM144" s="1310" t="s">
        <v>10674</v>
      </c>
      <c r="AN144" s="128" t="s">
        <v>10674</v>
      </c>
      <c r="AO144" s="75">
        <f t="shared" si="10"/>
        <v>61</v>
      </c>
      <c r="AP144" s="39" t="s">
        <v>2493</v>
      </c>
      <c r="AQ144" s="75" t="s">
        <v>2493</v>
      </c>
    </row>
    <row r="145" spans="1:43" s="6" customFormat="1" ht="11.5">
      <c r="A145" s="1310" t="s">
        <v>10675</v>
      </c>
      <c r="B145" s="1311" t="s">
        <v>67</v>
      </c>
      <c r="C145" s="1311" t="s">
        <v>63</v>
      </c>
      <c r="D145" s="1311" t="s">
        <v>10250</v>
      </c>
      <c r="E145" s="1311"/>
      <c r="F145" s="118" t="s">
        <v>96</v>
      </c>
      <c r="G145" s="39"/>
      <c r="H145" s="56"/>
      <c r="I145" s="56" t="s">
        <v>10244</v>
      </c>
      <c r="J145" s="118" t="s">
        <v>170</v>
      </c>
      <c r="K145" s="1312">
        <v>552026</v>
      </c>
      <c r="L145" s="1311" t="s">
        <v>463</v>
      </c>
      <c r="M145" s="1313">
        <v>550</v>
      </c>
      <c r="N145" s="1313">
        <v>1320</v>
      </c>
      <c r="O145" s="76">
        <f t="shared" ref="O145:O156" si="11">$M145*$N145/1000000</f>
        <v>0.72599999999999998</v>
      </c>
      <c r="P145" s="75">
        <f>$N145/33</f>
        <v>40</v>
      </c>
      <c r="Q145" s="77">
        <f>$N145/660</f>
        <v>2</v>
      </c>
      <c r="R145" s="56" t="s">
        <v>75</v>
      </c>
      <c r="S145" s="1311"/>
      <c r="T145" s="56" t="s">
        <v>2480</v>
      </c>
      <c r="U145" s="56" t="s">
        <v>2480</v>
      </c>
      <c r="V145" s="56"/>
      <c r="W145" s="1310" t="s">
        <v>10642</v>
      </c>
      <c r="X145" s="1307">
        <v>45792</v>
      </c>
      <c r="Y145" s="90"/>
      <c r="Z145" s="90"/>
      <c r="AA145" s="121">
        <v>371008513</v>
      </c>
      <c r="AB145" s="79" t="s">
        <v>122</v>
      </c>
      <c r="AC145" s="1308" t="s">
        <v>314</v>
      </c>
      <c r="AD145" s="1307">
        <v>45798</v>
      </c>
      <c r="AE145" s="1307">
        <v>45798</v>
      </c>
      <c r="AF145" s="1307">
        <v>45798</v>
      </c>
      <c r="AG145" s="1307">
        <v>45849</v>
      </c>
      <c r="AH145" s="1307">
        <v>45849</v>
      </c>
      <c r="AI145" s="1307">
        <v>45849</v>
      </c>
      <c r="AJ145" s="1313" t="s">
        <v>66</v>
      </c>
      <c r="AK145" s="1310" t="s">
        <v>10676</v>
      </c>
      <c r="AL145" s="39" t="s">
        <v>10677</v>
      </c>
      <c r="AM145" s="1310">
        <v>253719696</v>
      </c>
      <c r="AN145" s="1310">
        <v>253719696</v>
      </c>
      <c r="AO145" s="75">
        <f t="shared" si="10"/>
        <v>52</v>
      </c>
      <c r="AP145" s="39" t="s">
        <v>2493</v>
      </c>
      <c r="AQ145" s="75" t="s">
        <v>2493</v>
      </c>
    </row>
    <row r="146" spans="1:43" s="6" customFormat="1" ht="11.5">
      <c r="A146" s="124" t="s">
        <v>10678</v>
      </c>
      <c r="B146" s="39" t="s">
        <v>67</v>
      </c>
      <c r="C146" s="39" t="s">
        <v>63</v>
      </c>
      <c r="D146" s="39" t="s">
        <v>10250</v>
      </c>
      <c r="E146" s="39"/>
      <c r="F146" s="118" t="s">
        <v>96</v>
      </c>
      <c r="G146" s="79"/>
      <c r="H146" s="118"/>
      <c r="I146" s="118" t="s">
        <v>10244</v>
      </c>
      <c r="J146" s="79" t="s">
        <v>170</v>
      </c>
      <c r="K146" s="83">
        <v>552045</v>
      </c>
      <c r="L146" s="39" t="s">
        <v>172</v>
      </c>
      <c r="M146" s="75">
        <v>555</v>
      </c>
      <c r="N146" s="75">
        <v>2640</v>
      </c>
      <c r="O146" s="76">
        <f t="shared" si="11"/>
        <v>1.4652000000000001</v>
      </c>
      <c r="P146" s="75">
        <f>$N146/33</f>
        <v>80</v>
      </c>
      <c r="Q146" s="77">
        <f>$N146/660</f>
        <v>4</v>
      </c>
      <c r="R146" s="56" t="s">
        <v>75</v>
      </c>
      <c r="S146" s="75"/>
      <c r="T146" s="56" t="s">
        <v>2480</v>
      </c>
      <c r="U146" s="56" t="s">
        <v>2480</v>
      </c>
      <c r="V146" s="56"/>
      <c r="W146" s="126" t="s">
        <v>10642</v>
      </c>
      <c r="X146" s="129">
        <v>45792</v>
      </c>
      <c r="Y146" s="90"/>
      <c r="Z146" s="90"/>
      <c r="AA146" s="130">
        <v>371008525</v>
      </c>
      <c r="AB146" s="79" t="s">
        <v>122</v>
      </c>
      <c r="AC146" s="38" t="s">
        <v>314</v>
      </c>
      <c r="AD146" s="78">
        <v>45798</v>
      </c>
      <c r="AE146" s="78">
        <v>45798</v>
      </c>
      <c r="AF146" s="78">
        <v>45798</v>
      </c>
      <c r="AG146" s="78">
        <v>45849</v>
      </c>
      <c r="AH146" s="78">
        <v>45849</v>
      </c>
      <c r="AI146" s="78">
        <v>45849</v>
      </c>
      <c r="AJ146" s="1313" t="s">
        <v>66</v>
      </c>
      <c r="AK146" s="1310" t="s">
        <v>10676</v>
      </c>
      <c r="AL146" s="39" t="s">
        <v>10677</v>
      </c>
      <c r="AM146" s="39">
        <v>253719696</v>
      </c>
      <c r="AN146" s="39">
        <v>253719696</v>
      </c>
      <c r="AO146" s="75">
        <f t="shared" si="10"/>
        <v>52</v>
      </c>
      <c r="AP146" s="39" t="s">
        <v>2493</v>
      </c>
      <c r="AQ146" s="75" t="s">
        <v>2493</v>
      </c>
    </row>
    <row r="147" spans="1:43" s="6" customFormat="1" ht="11.5" hidden="1">
      <c r="A147" s="124" t="s">
        <v>10679</v>
      </c>
      <c r="B147" s="39" t="s">
        <v>67</v>
      </c>
      <c r="C147" s="39" t="s">
        <v>63</v>
      </c>
      <c r="D147" s="39" t="s">
        <v>10250</v>
      </c>
      <c r="E147" s="39"/>
      <c r="F147" s="118" t="s">
        <v>96</v>
      </c>
      <c r="G147" s="39"/>
      <c r="H147" s="56"/>
      <c r="I147" s="56" t="s">
        <v>10244</v>
      </c>
      <c r="J147" s="79" t="s">
        <v>170</v>
      </c>
      <c r="K147" s="83">
        <v>552045</v>
      </c>
      <c r="L147" s="39" t="s">
        <v>172</v>
      </c>
      <c r="M147" s="75">
        <v>555</v>
      </c>
      <c r="N147" s="75">
        <v>660</v>
      </c>
      <c r="O147" s="76">
        <f t="shared" si="11"/>
        <v>0.36630000000000001</v>
      </c>
      <c r="P147" s="75">
        <f>$N147/33</f>
        <v>20</v>
      </c>
      <c r="Q147" s="77">
        <f>$N147/660</f>
        <v>1</v>
      </c>
      <c r="R147" s="56" t="s">
        <v>75</v>
      </c>
      <c r="S147" s="75"/>
      <c r="T147" s="56" t="s">
        <v>2480</v>
      </c>
      <c r="U147" s="56" t="s">
        <v>2480</v>
      </c>
      <c r="V147" s="56"/>
      <c r="W147" s="126" t="s">
        <v>10642</v>
      </c>
      <c r="X147" s="131">
        <v>45800</v>
      </c>
      <c r="Y147" s="90"/>
      <c r="Z147" s="90"/>
      <c r="AA147" s="119">
        <v>371008532</v>
      </c>
      <c r="AB147" s="79" t="s">
        <v>122</v>
      </c>
      <c r="AC147" s="1308" t="s">
        <v>124</v>
      </c>
      <c r="AD147" s="78">
        <v>45809</v>
      </c>
      <c r="AE147" s="78">
        <v>45809</v>
      </c>
      <c r="AF147" s="78">
        <v>45809</v>
      </c>
      <c r="AG147" s="1307">
        <v>45851</v>
      </c>
      <c r="AH147" s="1307">
        <v>45851</v>
      </c>
      <c r="AI147" s="1307">
        <v>45851</v>
      </c>
      <c r="AJ147" s="1313" t="s">
        <v>66</v>
      </c>
      <c r="AK147" s="1310" t="s">
        <v>10680</v>
      </c>
      <c r="AL147" s="39" t="s">
        <v>10681</v>
      </c>
      <c r="AM147" s="1310" t="s">
        <v>10682</v>
      </c>
      <c r="AN147" s="1310" t="s">
        <v>10682</v>
      </c>
      <c r="AO147" s="75">
        <f t="shared" si="10"/>
        <v>43</v>
      </c>
      <c r="AP147" s="39" t="s">
        <v>2493</v>
      </c>
      <c r="AQ147" s="75" t="s">
        <v>2493</v>
      </c>
    </row>
    <row r="148" spans="1:43" s="6" customFormat="1" ht="11.5">
      <c r="A148" s="1310" t="s">
        <v>10683</v>
      </c>
      <c r="B148" s="1311" t="s">
        <v>67</v>
      </c>
      <c r="C148" s="1311" t="s">
        <v>63</v>
      </c>
      <c r="D148" s="1311" t="s">
        <v>66</v>
      </c>
      <c r="E148" s="1311" t="s">
        <v>111</v>
      </c>
      <c r="F148" s="118" t="s">
        <v>2656</v>
      </c>
      <c r="G148" s="39"/>
      <c r="H148" s="56"/>
      <c r="I148" s="56" t="s">
        <v>10684</v>
      </c>
      <c r="J148" s="118" t="s">
        <v>10685</v>
      </c>
      <c r="K148" s="1312">
        <v>554471</v>
      </c>
      <c r="L148" s="1315" t="s">
        <v>1348</v>
      </c>
      <c r="M148" s="1316">
        <v>710</v>
      </c>
      <c r="N148" s="1316">
        <v>5346</v>
      </c>
      <c r="O148" s="92">
        <f t="shared" si="11"/>
        <v>3.7956599999999998</v>
      </c>
      <c r="P148" s="91">
        <f>N148/33</f>
        <v>162</v>
      </c>
      <c r="Q148" s="93">
        <f>N148/594</f>
        <v>9</v>
      </c>
      <c r="R148" s="111" t="s">
        <v>75</v>
      </c>
      <c r="S148" s="1317"/>
      <c r="T148" s="56" t="s">
        <v>2658</v>
      </c>
      <c r="U148" s="132" t="s">
        <v>10686</v>
      </c>
      <c r="V148" s="133"/>
      <c r="W148" s="1318" t="s">
        <v>10687</v>
      </c>
      <c r="X148" s="1319">
        <v>45790</v>
      </c>
      <c r="Y148" s="64"/>
      <c r="Z148" s="64"/>
      <c r="AA148" s="127">
        <v>371008541</v>
      </c>
      <c r="AB148" s="117" t="s">
        <v>122</v>
      </c>
      <c r="AC148" s="1320" t="s">
        <v>314</v>
      </c>
      <c r="AD148" s="90">
        <v>45805</v>
      </c>
      <c r="AE148" s="90">
        <v>45805</v>
      </c>
      <c r="AF148" s="90">
        <v>45805</v>
      </c>
      <c r="AG148" s="1319">
        <v>45859</v>
      </c>
      <c r="AH148" s="1319">
        <v>45859</v>
      </c>
      <c r="AI148" s="1319">
        <v>45859</v>
      </c>
      <c r="AJ148" s="1316" t="s">
        <v>66</v>
      </c>
      <c r="AK148" s="1310" t="s">
        <v>10688</v>
      </c>
      <c r="AL148" s="39" t="s">
        <v>10689</v>
      </c>
      <c r="AM148" s="1310" t="s">
        <v>10690</v>
      </c>
      <c r="AN148" s="1310" t="s">
        <v>10691</v>
      </c>
      <c r="AO148" s="91">
        <f t="shared" si="10"/>
        <v>55</v>
      </c>
      <c r="AP148" s="39" t="s">
        <v>2493</v>
      </c>
      <c r="AQ148" s="115" t="s">
        <v>2493</v>
      </c>
    </row>
    <row r="149" spans="1:43" s="6" customFormat="1" ht="11.5">
      <c r="A149" s="1310" t="s">
        <v>10692</v>
      </c>
      <c r="B149" s="1311" t="s">
        <v>67</v>
      </c>
      <c r="C149" s="1311" t="s">
        <v>63</v>
      </c>
      <c r="D149" s="1311" t="s">
        <v>10250</v>
      </c>
      <c r="E149" s="1311"/>
      <c r="F149" s="118" t="s">
        <v>96</v>
      </c>
      <c r="G149" s="39"/>
      <c r="H149" s="56"/>
      <c r="I149" s="56" t="s">
        <v>10244</v>
      </c>
      <c r="J149" s="118" t="s">
        <v>170</v>
      </c>
      <c r="K149" s="1312">
        <v>552026</v>
      </c>
      <c r="L149" s="1311" t="s">
        <v>463</v>
      </c>
      <c r="M149" s="1316">
        <v>550</v>
      </c>
      <c r="N149" s="1316">
        <v>660</v>
      </c>
      <c r="O149" s="92">
        <f t="shared" si="11"/>
        <v>0.36299999999999999</v>
      </c>
      <c r="P149" s="91">
        <f t="shared" ref="P149:P156" si="12">$N149/33</f>
        <v>20</v>
      </c>
      <c r="Q149" s="93">
        <f>$N149/660</f>
        <v>1</v>
      </c>
      <c r="R149" s="111" t="s">
        <v>75</v>
      </c>
      <c r="S149" s="1313"/>
      <c r="T149" s="56" t="s">
        <v>2480</v>
      </c>
      <c r="U149" s="56" t="s">
        <v>2480</v>
      </c>
      <c r="V149" s="56"/>
      <c r="W149" s="1321" t="s">
        <v>10642</v>
      </c>
      <c r="X149" s="1319">
        <v>45800</v>
      </c>
      <c r="Y149" s="90"/>
      <c r="Z149" s="90"/>
      <c r="AA149" s="127">
        <v>371008517</v>
      </c>
      <c r="AB149" s="117" t="s">
        <v>122</v>
      </c>
      <c r="AC149" s="1322" t="s">
        <v>1561</v>
      </c>
      <c r="AD149" s="1319">
        <v>45807</v>
      </c>
      <c r="AE149" s="1319">
        <v>45807</v>
      </c>
      <c r="AF149" s="1319">
        <v>45807</v>
      </c>
      <c r="AG149" s="1319">
        <v>45862</v>
      </c>
      <c r="AH149" s="1319">
        <v>45862</v>
      </c>
      <c r="AI149" s="1319">
        <v>45862</v>
      </c>
      <c r="AJ149" s="1316" t="s">
        <v>66</v>
      </c>
      <c r="AK149" s="1310" t="s">
        <v>10693</v>
      </c>
      <c r="AL149" s="39" t="s">
        <v>10694</v>
      </c>
      <c r="AM149" s="1310" t="s">
        <v>10695</v>
      </c>
      <c r="AN149" s="1310" t="s">
        <v>10695</v>
      </c>
      <c r="AO149" s="91">
        <f t="shared" si="10"/>
        <v>56</v>
      </c>
      <c r="AP149" s="18" t="s">
        <v>2493</v>
      </c>
      <c r="AQ149" s="113" t="s">
        <v>2493</v>
      </c>
    </row>
    <row r="150" spans="1:43" s="6" customFormat="1" ht="11.5">
      <c r="A150" s="1310" t="s">
        <v>10696</v>
      </c>
      <c r="B150" s="1310" t="s">
        <v>67</v>
      </c>
      <c r="C150" s="1310" t="s">
        <v>63</v>
      </c>
      <c r="D150" s="1310" t="s">
        <v>10250</v>
      </c>
      <c r="E150" s="1310"/>
      <c r="F150" s="118" t="s">
        <v>96</v>
      </c>
      <c r="G150" s="39"/>
      <c r="H150" s="56"/>
      <c r="I150" s="56" t="s">
        <v>10244</v>
      </c>
      <c r="J150" s="79" t="s">
        <v>170</v>
      </c>
      <c r="K150" s="1312">
        <v>552045</v>
      </c>
      <c r="L150" s="1310" t="s">
        <v>172</v>
      </c>
      <c r="M150" s="1316">
        <v>555</v>
      </c>
      <c r="N150" s="1316">
        <v>660</v>
      </c>
      <c r="O150" s="92">
        <f t="shared" si="11"/>
        <v>0.36630000000000001</v>
      </c>
      <c r="P150" s="91">
        <f t="shared" si="12"/>
        <v>20</v>
      </c>
      <c r="Q150" s="93">
        <f>$N150/660</f>
        <v>1</v>
      </c>
      <c r="R150" s="111" t="s">
        <v>75</v>
      </c>
      <c r="S150" s="1313"/>
      <c r="T150" s="56" t="s">
        <v>2480</v>
      </c>
      <c r="U150" s="56" t="s">
        <v>2480</v>
      </c>
      <c r="V150" s="56"/>
      <c r="W150" s="1321" t="s">
        <v>10642</v>
      </c>
      <c r="X150" s="1319">
        <v>45800</v>
      </c>
      <c r="Y150" s="90"/>
      <c r="Z150" s="90"/>
      <c r="AA150" s="127">
        <v>371008531</v>
      </c>
      <c r="AB150" s="117" t="s">
        <v>122</v>
      </c>
      <c r="AC150" s="1322" t="s">
        <v>1561</v>
      </c>
      <c r="AD150" s="1319">
        <v>45807</v>
      </c>
      <c r="AE150" s="1319">
        <v>45807</v>
      </c>
      <c r="AF150" s="1319">
        <v>45807</v>
      </c>
      <c r="AG150" s="1319">
        <v>45862</v>
      </c>
      <c r="AH150" s="1319">
        <v>45862</v>
      </c>
      <c r="AI150" s="1319">
        <v>45862</v>
      </c>
      <c r="AJ150" s="1316" t="s">
        <v>66</v>
      </c>
      <c r="AK150" s="1310" t="s">
        <v>10693</v>
      </c>
      <c r="AL150" s="39" t="s">
        <v>10694</v>
      </c>
      <c r="AM150" s="1310" t="s">
        <v>10695</v>
      </c>
      <c r="AN150" s="1310" t="s">
        <v>10695</v>
      </c>
      <c r="AO150" s="91">
        <f t="shared" si="10"/>
        <v>56</v>
      </c>
      <c r="AP150" s="18" t="s">
        <v>2493</v>
      </c>
      <c r="AQ150" s="113" t="s">
        <v>2493</v>
      </c>
    </row>
    <row r="151" spans="1:43" s="6" customFormat="1" ht="11.5">
      <c r="A151" s="1310" t="s">
        <v>10697</v>
      </c>
      <c r="B151" s="1310" t="s">
        <v>67</v>
      </c>
      <c r="C151" s="1310" t="s">
        <v>63</v>
      </c>
      <c r="D151" s="1310" t="s">
        <v>10250</v>
      </c>
      <c r="E151" s="1310"/>
      <c r="F151" s="118" t="s">
        <v>96</v>
      </c>
      <c r="G151" s="39"/>
      <c r="H151" s="56"/>
      <c r="I151" s="56" t="s">
        <v>10244</v>
      </c>
      <c r="J151" s="79" t="s">
        <v>170</v>
      </c>
      <c r="K151" s="1312">
        <v>552026</v>
      </c>
      <c r="L151" s="1310" t="s">
        <v>463</v>
      </c>
      <c r="M151" s="1316">
        <v>550</v>
      </c>
      <c r="N151" s="1316">
        <v>1320</v>
      </c>
      <c r="O151" s="92">
        <f t="shared" si="11"/>
        <v>0.72599999999999998</v>
      </c>
      <c r="P151" s="91">
        <f t="shared" si="12"/>
        <v>40</v>
      </c>
      <c r="Q151" s="93">
        <f>$N151/660</f>
        <v>2</v>
      </c>
      <c r="R151" s="111" t="s">
        <v>75</v>
      </c>
      <c r="S151" s="1323"/>
      <c r="T151" s="56" t="s">
        <v>2480</v>
      </c>
      <c r="U151" s="56" t="s">
        <v>2480</v>
      </c>
      <c r="V151" s="56"/>
      <c r="W151" s="1324" t="s">
        <v>10642</v>
      </c>
      <c r="X151" s="1319">
        <v>45799</v>
      </c>
      <c r="Y151" s="90"/>
      <c r="Z151" s="90"/>
      <c r="AA151" s="116">
        <v>371008516</v>
      </c>
      <c r="AB151" s="117" t="s">
        <v>122</v>
      </c>
      <c r="AC151" s="1322" t="s">
        <v>314</v>
      </c>
      <c r="AD151" s="1319">
        <v>45807</v>
      </c>
      <c r="AE151" s="1319">
        <v>45807</v>
      </c>
      <c r="AF151" s="1319">
        <v>45807</v>
      </c>
      <c r="AG151" s="1319">
        <v>45861</v>
      </c>
      <c r="AH151" s="1319">
        <v>45861</v>
      </c>
      <c r="AI151" s="1319">
        <v>45861</v>
      </c>
      <c r="AJ151" s="1316" t="s">
        <v>66</v>
      </c>
      <c r="AK151" s="1310" t="s">
        <v>10693</v>
      </c>
      <c r="AL151" s="39" t="s">
        <v>10698</v>
      </c>
      <c r="AM151" s="1310" t="s">
        <v>10699</v>
      </c>
      <c r="AN151" s="1310" t="s">
        <v>10699</v>
      </c>
      <c r="AO151" s="91">
        <f t="shared" si="10"/>
        <v>55</v>
      </c>
      <c r="AP151" s="39" t="s">
        <v>2493</v>
      </c>
      <c r="AQ151" s="115" t="s">
        <v>2493</v>
      </c>
    </row>
    <row r="152" spans="1:43" s="6" customFormat="1" ht="11.5">
      <c r="A152" s="1310" t="s">
        <v>10700</v>
      </c>
      <c r="B152" s="1310" t="s">
        <v>67</v>
      </c>
      <c r="C152" s="1310" t="s">
        <v>63</v>
      </c>
      <c r="D152" s="1310" t="s">
        <v>10250</v>
      </c>
      <c r="E152" s="1310"/>
      <c r="F152" s="118" t="s">
        <v>96</v>
      </c>
      <c r="G152" s="39"/>
      <c r="H152" s="56"/>
      <c r="I152" s="56" t="s">
        <v>10244</v>
      </c>
      <c r="J152" s="79" t="s">
        <v>170</v>
      </c>
      <c r="K152" s="1312">
        <v>552045</v>
      </c>
      <c r="L152" s="1310" t="s">
        <v>172</v>
      </c>
      <c r="M152" s="1316">
        <v>555</v>
      </c>
      <c r="N152" s="1316">
        <v>2640</v>
      </c>
      <c r="O152" s="92">
        <f t="shared" si="11"/>
        <v>1.4652000000000001</v>
      </c>
      <c r="P152" s="91">
        <f t="shared" si="12"/>
        <v>80</v>
      </c>
      <c r="Q152" s="93">
        <f>$N152/660</f>
        <v>4</v>
      </c>
      <c r="R152" s="111" t="s">
        <v>75</v>
      </c>
      <c r="S152" s="1323"/>
      <c r="T152" s="56" t="s">
        <v>2480</v>
      </c>
      <c r="U152" s="56" t="s">
        <v>2480</v>
      </c>
      <c r="V152" s="56"/>
      <c r="W152" s="1324" t="s">
        <v>10642</v>
      </c>
      <c r="X152" s="1319">
        <v>45799</v>
      </c>
      <c r="Y152" s="90"/>
      <c r="Z152" s="90"/>
      <c r="AA152" s="127">
        <v>371008530</v>
      </c>
      <c r="AB152" s="117" t="s">
        <v>122</v>
      </c>
      <c r="AC152" s="1322" t="s">
        <v>314</v>
      </c>
      <c r="AD152" s="1319">
        <v>45807</v>
      </c>
      <c r="AE152" s="1319">
        <v>45807</v>
      </c>
      <c r="AF152" s="1319">
        <v>45807</v>
      </c>
      <c r="AG152" s="1319">
        <v>45861</v>
      </c>
      <c r="AH152" s="1319">
        <v>45861</v>
      </c>
      <c r="AI152" s="1319">
        <v>45861</v>
      </c>
      <c r="AJ152" s="1316" t="s">
        <v>66</v>
      </c>
      <c r="AK152" s="1310" t="s">
        <v>10693</v>
      </c>
      <c r="AL152" s="39" t="s">
        <v>10698</v>
      </c>
      <c r="AM152" s="1310" t="s">
        <v>10699</v>
      </c>
      <c r="AN152" s="1310" t="s">
        <v>10699</v>
      </c>
      <c r="AO152" s="91">
        <f t="shared" si="10"/>
        <v>55</v>
      </c>
      <c r="AP152" s="39" t="s">
        <v>2493</v>
      </c>
      <c r="AQ152" s="115" t="s">
        <v>2493</v>
      </c>
    </row>
    <row r="153" spans="1:43" s="6" customFormat="1" ht="11.5">
      <c r="A153" s="1311" t="s">
        <v>10701</v>
      </c>
      <c r="B153" s="1311" t="s">
        <v>67</v>
      </c>
      <c r="C153" s="1311" t="s">
        <v>63</v>
      </c>
      <c r="D153" s="1311" t="s">
        <v>66</v>
      </c>
      <c r="E153" s="1311" t="s">
        <v>111</v>
      </c>
      <c r="F153" s="118" t="s">
        <v>2656</v>
      </c>
      <c r="G153" s="39"/>
      <c r="H153" s="56"/>
      <c r="I153" s="56" t="s">
        <v>10684</v>
      </c>
      <c r="J153" s="118" t="s">
        <v>10685</v>
      </c>
      <c r="K153" s="1312">
        <v>554471</v>
      </c>
      <c r="L153" s="1315" t="s">
        <v>1348</v>
      </c>
      <c r="M153" s="1316">
        <v>710</v>
      </c>
      <c r="N153" s="1316">
        <v>1782</v>
      </c>
      <c r="O153" s="92">
        <f t="shared" si="11"/>
        <v>1.26522</v>
      </c>
      <c r="P153" s="91">
        <f t="shared" si="12"/>
        <v>54</v>
      </c>
      <c r="Q153" s="93">
        <f>$N153/594</f>
        <v>3</v>
      </c>
      <c r="R153" s="111" t="s">
        <v>75</v>
      </c>
      <c r="S153" s="1317"/>
      <c r="T153" s="56" t="s">
        <v>2658</v>
      </c>
      <c r="U153" s="132" t="s">
        <v>10686</v>
      </c>
      <c r="V153" s="133"/>
      <c r="W153" s="1318" t="s">
        <v>10687</v>
      </c>
      <c r="X153" s="1319">
        <v>45799</v>
      </c>
      <c r="Y153" s="64"/>
      <c r="Z153" s="64"/>
      <c r="AA153" s="116">
        <v>371008539</v>
      </c>
      <c r="AB153" s="117" t="s">
        <v>122</v>
      </c>
      <c r="AC153" s="1322" t="s">
        <v>314</v>
      </c>
      <c r="AD153" s="1319">
        <v>45807</v>
      </c>
      <c r="AE153" s="1319">
        <v>45807</v>
      </c>
      <c r="AF153" s="1319">
        <v>45807</v>
      </c>
      <c r="AG153" s="1319">
        <v>45861</v>
      </c>
      <c r="AH153" s="1319">
        <v>45861</v>
      </c>
      <c r="AI153" s="1319">
        <v>45861</v>
      </c>
      <c r="AJ153" s="1316" t="s">
        <v>66</v>
      </c>
      <c r="AK153" s="1310" t="s">
        <v>10693</v>
      </c>
      <c r="AL153" s="39" t="s">
        <v>10702</v>
      </c>
      <c r="AM153" s="1310" t="s">
        <v>10703</v>
      </c>
      <c r="AN153" s="1310" t="s">
        <v>10703</v>
      </c>
      <c r="AO153" s="91">
        <f t="shared" si="10"/>
        <v>55</v>
      </c>
      <c r="AP153" s="39" t="s">
        <v>2493</v>
      </c>
      <c r="AQ153" s="115" t="s">
        <v>2493</v>
      </c>
    </row>
    <row r="154" spans="1:43" s="6" customFormat="1" ht="11.5" hidden="1">
      <c r="A154" s="1310" t="s">
        <v>10704</v>
      </c>
      <c r="B154" s="1310" t="s">
        <v>67</v>
      </c>
      <c r="C154" s="1310" t="s">
        <v>63</v>
      </c>
      <c r="D154" s="1310" t="s">
        <v>10250</v>
      </c>
      <c r="E154" s="1310"/>
      <c r="F154" s="118" t="s">
        <v>96</v>
      </c>
      <c r="G154" s="39"/>
      <c r="H154" s="56"/>
      <c r="I154" s="56" t="s">
        <v>10244</v>
      </c>
      <c r="J154" s="79" t="s">
        <v>170</v>
      </c>
      <c r="K154" s="1312">
        <v>552045</v>
      </c>
      <c r="L154" s="1310" t="s">
        <v>172</v>
      </c>
      <c r="M154" s="1316">
        <v>555</v>
      </c>
      <c r="N154" s="1316">
        <v>3300</v>
      </c>
      <c r="O154" s="92">
        <f t="shared" si="11"/>
        <v>1.8314999999999999</v>
      </c>
      <c r="P154" s="91">
        <f t="shared" si="12"/>
        <v>100</v>
      </c>
      <c r="Q154" s="93">
        <f t="shared" ref="Q154:Q156" si="13">$N154/660</f>
        <v>5</v>
      </c>
      <c r="R154" s="111" t="s">
        <v>75</v>
      </c>
      <c r="S154" s="1323"/>
      <c r="T154" s="56" t="s">
        <v>2480</v>
      </c>
      <c r="U154" s="56" t="s">
        <v>2480</v>
      </c>
      <c r="V154" s="56"/>
      <c r="W154" s="1324" t="s">
        <v>10642</v>
      </c>
      <c r="X154" s="1319">
        <v>45790</v>
      </c>
      <c r="Y154" s="90"/>
      <c r="Z154" s="90"/>
      <c r="AA154" s="127">
        <v>371008524</v>
      </c>
      <c r="AB154" s="117" t="s">
        <v>122</v>
      </c>
      <c r="AC154" s="1322" t="s">
        <v>78</v>
      </c>
      <c r="AD154" s="1319">
        <v>45804</v>
      </c>
      <c r="AE154" s="1319">
        <v>45804</v>
      </c>
      <c r="AF154" s="1319">
        <v>45804</v>
      </c>
      <c r="AG154" s="1319">
        <v>45862</v>
      </c>
      <c r="AH154" s="1319">
        <v>45862</v>
      </c>
      <c r="AI154" s="1319">
        <v>45862</v>
      </c>
      <c r="AJ154" s="1316" t="s">
        <v>66</v>
      </c>
      <c r="AK154" s="1310" t="s">
        <v>10705</v>
      </c>
      <c r="AL154" s="39" t="s">
        <v>10706</v>
      </c>
      <c r="AM154" s="1310" t="s">
        <v>10707</v>
      </c>
      <c r="AN154" s="1310" t="s">
        <v>10708</v>
      </c>
      <c r="AO154" s="91">
        <f t="shared" si="10"/>
        <v>59</v>
      </c>
      <c r="AP154" s="18" t="s">
        <v>2493</v>
      </c>
      <c r="AQ154" s="113" t="s">
        <v>2493</v>
      </c>
    </row>
    <row r="155" spans="1:43" s="6" customFormat="1" ht="11.5" hidden="1">
      <c r="A155" s="124" t="s">
        <v>10709</v>
      </c>
      <c r="B155" s="39" t="s">
        <v>67</v>
      </c>
      <c r="C155" s="39" t="s">
        <v>63</v>
      </c>
      <c r="D155" s="39" t="s">
        <v>10250</v>
      </c>
      <c r="E155" s="39"/>
      <c r="F155" s="118" t="s">
        <v>96</v>
      </c>
      <c r="G155" s="79"/>
      <c r="H155" s="118"/>
      <c r="I155" s="118" t="s">
        <v>10244</v>
      </c>
      <c r="J155" s="79" t="s">
        <v>170</v>
      </c>
      <c r="K155" s="83">
        <v>552026</v>
      </c>
      <c r="L155" s="39" t="s">
        <v>463</v>
      </c>
      <c r="M155" s="91">
        <v>550</v>
      </c>
      <c r="N155" s="91">
        <v>1980</v>
      </c>
      <c r="O155" s="92">
        <f t="shared" si="11"/>
        <v>1.089</v>
      </c>
      <c r="P155" s="91">
        <f t="shared" si="12"/>
        <v>60</v>
      </c>
      <c r="Q155" s="93">
        <f t="shared" si="13"/>
        <v>3</v>
      </c>
      <c r="R155" s="111" t="s">
        <v>75</v>
      </c>
      <c r="S155" s="86"/>
      <c r="T155" s="56" t="s">
        <v>2480</v>
      </c>
      <c r="U155" s="56" t="s">
        <v>2480</v>
      </c>
      <c r="V155" s="56"/>
      <c r="W155" s="134" t="s">
        <v>10642</v>
      </c>
      <c r="X155" s="135">
        <v>45800</v>
      </c>
      <c r="Y155" s="90"/>
      <c r="Z155" s="90"/>
      <c r="AA155" s="136">
        <v>371008515</v>
      </c>
      <c r="AB155" s="117" t="s">
        <v>122</v>
      </c>
      <c r="AC155" s="1322" t="s">
        <v>78</v>
      </c>
      <c r="AD155" s="1319">
        <v>45809</v>
      </c>
      <c r="AE155" s="1319">
        <v>45809</v>
      </c>
      <c r="AF155" s="1319">
        <v>45809</v>
      </c>
      <c r="AG155" s="1319">
        <v>45858</v>
      </c>
      <c r="AH155" s="1319">
        <v>45858</v>
      </c>
      <c r="AI155" s="1319">
        <v>45858</v>
      </c>
      <c r="AJ155" s="1316" t="s">
        <v>66</v>
      </c>
      <c r="AK155" s="1310" t="s">
        <v>10680</v>
      </c>
      <c r="AL155" s="39" t="s">
        <v>10710</v>
      </c>
      <c r="AM155" s="1310" t="s">
        <v>10711</v>
      </c>
      <c r="AN155" s="1310" t="s">
        <v>10711</v>
      </c>
      <c r="AO155" s="91">
        <f t="shared" si="10"/>
        <v>50</v>
      </c>
      <c r="AP155" s="39" t="s">
        <v>2493</v>
      </c>
      <c r="AQ155" s="115" t="s">
        <v>2493</v>
      </c>
    </row>
    <row r="156" spans="1:43" s="6" customFormat="1" ht="11.5" hidden="1">
      <c r="A156" s="124" t="s">
        <v>10712</v>
      </c>
      <c r="B156" s="56" t="s">
        <v>67</v>
      </c>
      <c r="C156" s="56" t="s">
        <v>63</v>
      </c>
      <c r="D156" s="56" t="s">
        <v>10250</v>
      </c>
      <c r="E156" s="56"/>
      <c r="F156" s="118" t="s">
        <v>96</v>
      </c>
      <c r="G156" s="39"/>
      <c r="H156" s="56"/>
      <c r="I156" s="56" t="s">
        <v>10244</v>
      </c>
      <c r="J156" s="118" t="s">
        <v>170</v>
      </c>
      <c r="K156" s="83">
        <v>552026</v>
      </c>
      <c r="L156" s="56" t="s">
        <v>463</v>
      </c>
      <c r="M156" s="91">
        <v>550</v>
      </c>
      <c r="N156" s="91">
        <v>1980</v>
      </c>
      <c r="O156" s="92">
        <f t="shared" si="11"/>
        <v>1.089</v>
      </c>
      <c r="P156" s="91">
        <f t="shared" si="12"/>
        <v>60</v>
      </c>
      <c r="Q156" s="93">
        <f t="shared" si="13"/>
        <v>3</v>
      </c>
      <c r="R156" s="111" t="s">
        <v>75</v>
      </c>
      <c r="S156" s="1313"/>
      <c r="T156" s="56" t="s">
        <v>2480</v>
      </c>
      <c r="U156" s="56" t="s">
        <v>2480</v>
      </c>
      <c r="V156" s="56"/>
      <c r="W156" s="1321" t="s">
        <v>10642</v>
      </c>
      <c r="X156" s="137">
        <v>45806</v>
      </c>
      <c r="Y156" s="90"/>
      <c r="Z156" s="90"/>
      <c r="AA156" s="116">
        <v>371008544</v>
      </c>
      <c r="AB156" s="117" t="s">
        <v>122</v>
      </c>
      <c r="AC156" s="1322" t="s">
        <v>78</v>
      </c>
      <c r="AD156" s="1319">
        <v>45815</v>
      </c>
      <c r="AE156" s="1319">
        <v>45815</v>
      </c>
      <c r="AF156" s="1319">
        <v>45815</v>
      </c>
      <c r="AG156" s="1319">
        <v>45866</v>
      </c>
      <c r="AH156" s="1319">
        <v>45865</v>
      </c>
      <c r="AI156" s="1319">
        <v>45866</v>
      </c>
      <c r="AJ156" s="1316" t="s">
        <v>66</v>
      </c>
      <c r="AK156" s="1310" t="s">
        <v>10713</v>
      </c>
      <c r="AL156" s="39" t="s">
        <v>10714</v>
      </c>
      <c r="AM156" s="1310" t="s">
        <v>10715</v>
      </c>
      <c r="AN156" s="1310" t="s">
        <v>10715</v>
      </c>
      <c r="AO156" s="91">
        <f t="shared" si="10"/>
        <v>52</v>
      </c>
      <c r="AP156" s="18" t="s">
        <v>2493</v>
      </c>
      <c r="AQ156" s="113" t="s">
        <v>2493</v>
      </c>
    </row>
    <row r="157" spans="1:43" s="6" customFormat="1" ht="11.5">
      <c r="A157" s="1310" t="s">
        <v>10716</v>
      </c>
      <c r="B157" s="1311" t="s">
        <v>67</v>
      </c>
      <c r="C157" s="1311" t="s">
        <v>63</v>
      </c>
      <c r="D157" s="1311" t="s">
        <v>10250</v>
      </c>
      <c r="E157" s="1311"/>
      <c r="F157" s="118" t="s">
        <v>96</v>
      </c>
      <c r="G157" s="39"/>
      <c r="H157" s="56"/>
      <c r="I157" s="56" t="s">
        <v>10244</v>
      </c>
      <c r="J157" s="118" t="s">
        <v>170</v>
      </c>
      <c r="K157" s="1312">
        <v>552026</v>
      </c>
      <c r="L157" s="1311" t="s">
        <v>463</v>
      </c>
      <c r="M157" s="1316">
        <v>550</v>
      </c>
      <c r="N157" s="1316">
        <v>660</v>
      </c>
      <c r="O157" s="92">
        <f>$M157*$N157/1000000</f>
        <v>0.36299999999999999</v>
      </c>
      <c r="P157" s="91">
        <f>$N157/33</f>
        <v>20</v>
      </c>
      <c r="Q157" s="93">
        <f>$N157/660</f>
        <v>1</v>
      </c>
      <c r="R157" s="111" t="s">
        <v>75</v>
      </c>
      <c r="S157" s="1317"/>
      <c r="T157" s="56" t="s">
        <v>2480</v>
      </c>
      <c r="U157" s="56" t="s">
        <v>2480</v>
      </c>
      <c r="V157" s="56"/>
      <c r="W157" s="1318" t="s">
        <v>10642</v>
      </c>
      <c r="X157" s="1319">
        <v>45790</v>
      </c>
      <c r="Y157" s="90"/>
      <c r="Z157" s="90"/>
      <c r="AA157" s="127">
        <v>371008514</v>
      </c>
      <c r="AB157" s="117" t="s">
        <v>122</v>
      </c>
      <c r="AC157" s="1322" t="s">
        <v>1561</v>
      </c>
      <c r="AD157" s="1319">
        <v>45801</v>
      </c>
      <c r="AE157" s="1319">
        <v>45801</v>
      </c>
      <c r="AF157" s="1319">
        <v>45801</v>
      </c>
      <c r="AG157" s="1319">
        <v>45870</v>
      </c>
      <c r="AH157" s="1319">
        <v>45870</v>
      </c>
      <c r="AI157" s="1319">
        <v>45870</v>
      </c>
      <c r="AJ157" s="1316" t="s">
        <v>66</v>
      </c>
      <c r="AK157" s="1310" t="s">
        <v>10717</v>
      </c>
      <c r="AL157" s="39" t="s">
        <v>10718</v>
      </c>
      <c r="AM157" s="1310" t="s">
        <v>10719</v>
      </c>
      <c r="AN157" s="1310" t="s">
        <v>10720</v>
      </c>
      <c r="AO157" s="91">
        <f t="shared" si="10"/>
        <v>70</v>
      </c>
      <c r="AP157" s="39" t="s">
        <v>2493</v>
      </c>
      <c r="AQ157" s="115" t="s">
        <v>2493</v>
      </c>
    </row>
    <row r="158" spans="1:43" s="6" customFormat="1" ht="11.5">
      <c r="A158" s="1310" t="s">
        <v>10721</v>
      </c>
      <c r="B158" s="1310" t="s">
        <v>67</v>
      </c>
      <c r="C158" s="1310" t="s">
        <v>63</v>
      </c>
      <c r="D158" s="1310" t="s">
        <v>10250</v>
      </c>
      <c r="E158" s="1310"/>
      <c r="F158" s="118" t="s">
        <v>96</v>
      </c>
      <c r="G158" s="39"/>
      <c r="H158" s="56"/>
      <c r="I158" s="56" t="s">
        <v>10244</v>
      </c>
      <c r="J158" s="79" t="s">
        <v>170</v>
      </c>
      <c r="K158" s="1312">
        <v>552045</v>
      </c>
      <c r="L158" s="1310" t="s">
        <v>172</v>
      </c>
      <c r="M158" s="1316">
        <v>555</v>
      </c>
      <c r="N158" s="1316">
        <v>660</v>
      </c>
      <c r="O158" s="92">
        <f>$M158*$N158/1000000</f>
        <v>0.36630000000000001</v>
      </c>
      <c r="P158" s="91">
        <f>$N158/33</f>
        <v>20</v>
      </c>
      <c r="Q158" s="93">
        <f>$N158/660</f>
        <v>1</v>
      </c>
      <c r="R158" s="111" t="s">
        <v>75</v>
      </c>
      <c r="S158" s="1323"/>
      <c r="T158" s="56" t="s">
        <v>2480</v>
      </c>
      <c r="U158" s="56" t="s">
        <v>2480</v>
      </c>
      <c r="V158" s="56"/>
      <c r="W158" s="1324" t="s">
        <v>10642</v>
      </c>
      <c r="X158" s="1319">
        <v>45790</v>
      </c>
      <c r="Y158" s="90"/>
      <c r="Z158" s="90"/>
      <c r="AA158" s="127">
        <v>371008526</v>
      </c>
      <c r="AB158" s="117" t="s">
        <v>122</v>
      </c>
      <c r="AC158" s="1322" t="s">
        <v>1561</v>
      </c>
      <c r="AD158" s="1319">
        <v>45801</v>
      </c>
      <c r="AE158" s="1319">
        <v>45801</v>
      </c>
      <c r="AF158" s="1319">
        <v>45801</v>
      </c>
      <c r="AG158" s="1319">
        <v>45870</v>
      </c>
      <c r="AH158" s="1319">
        <v>45870</v>
      </c>
      <c r="AI158" s="1319">
        <v>45870</v>
      </c>
      <c r="AJ158" s="1316" t="s">
        <v>66</v>
      </c>
      <c r="AK158" s="1310" t="s">
        <v>10717</v>
      </c>
      <c r="AL158" s="39" t="s">
        <v>10718</v>
      </c>
      <c r="AM158" s="1310" t="s">
        <v>10719</v>
      </c>
      <c r="AN158" s="1310" t="s">
        <v>10720</v>
      </c>
      <c r="AO158" s="91">
        <f t="shared" si="10"/>
        <v>70</v>
      </c>
      <c r="AP158" s="39" t="s">
        <v>2493</v>
      </c>
      <c r="AQ158" s="115" t="s">
        <v>2493</v>
      </c>
    </row>
    <row r="159" spans="1:43" s="6" customFormat="1" ht="11.5" hidden="1">
      <c r="A159" s="124" t="s">
        <v>10722</v>
      </c>
      <c r="B159" s="39" t="s">
        <v>67</v>
      </c>
      <c r="C159" s="39" t="s">
        <v>63</v>
      </c>
      <c r="D159" s="39" t="s">
        <v>10250</v>
      </c>
      <c r="E159" s="39"/>
      <c r="F159" s="118" t="s">
        <v>96</v>
      </c>
      <c r="G159" s="39"/>
      <c r="H159" s="56"/>
      <c r="I159" s="56" t="s">
        <v>10244</v>
      </c>
      <c r="J159" s="79" t="s">
        <v>170</v>
      </c>
      <c r="K159" s="83">
        <v>552045</v>
      </c>
      <c r="L159" s="39" t="s">
        <v>172</v>
      </c>
      <c r="M159" s="91">
        <v>555</v>
      </c>
      <c r="N159" s="91">
        <v>1320</v>
      </c>
      <c r="O159" s="92">
        <f>$M159*$N159/1000000</f>
        <v>0.73260000000000003</v>
      </c>
      <c r="P159" s="91">
        <f>$N159/33</f>
        <v>40</v>
      </c>
      <c r="Q159" s="93">
        <f>$N159/660</f>
        <v>2</v>
      </c>
      <c r="R159" s="111" t="s">
        <v>75</v>
      </c>
      <c r="S159" s="75"/>
      <c r="T159" s="56" t="s">
        <v>2480</v>
      </c>
      <c r="U159" s="56" t="s">
        <v>2480</v>
      </c>
      <c r="V159" s="56"/>
      <c r="W159" s="134" t="s">
        <v>10642</v>
      </c>
      <c r="X159" s="135">
        <v>45807</v>
      </c>
      <c r="Y159" s="90"/>
      <c r="Z159" s="90"/>
      <c r="AA159" s="136">
        <v>371008553</v>
      </c>
      <c r="AB159" s="117" t="s">
        <v>122</v>
      </c>
      <c r="AC159" s="1322" t="s">
        <v>124</v>
      </c>
      <c r="AD159" s="1319">
        <v>45819</v>
      </c>
      <c r="AE159" s="1319">
        <v>45819</v>
      </c>
      <c r="AF159" s="1319">
        <v>45819</v>
      </c>
      <c r="AG159" s="1319">
        <v>45858</v>
      </c>
      <c r="AH159" s="1319">
        <v>45858</v>
      </c>
      <c r="AI159" s="1319">
        <v>45858</v>
      </c>
      <c r="AJ159" s="1316" t="s">
        <v>66</v>
      </c>
      <c r="AK159" s="1310" t="s">
        <v>10723</v>
      </c>
      <c r="AL159" s="39" t="s">
        <v>10724</v>
      </c>
      <c r="AM159" s="1310" t="s">
        <v>10725</v>
      </c>
      <c r="AN159" s="1310" t="s">
        <v>10725</v>
      </c>
      <c r="AO159" s="91">
        <f t="shared" si="10"/>
        <v>40</v>
      </c>
      <c r="AP159" s="39" t="s">
        <v>2493</v>
      </c>
      <c r="AQ159" s="115" t="s">
        <v>2493</v>
      </c>
    </row>
    <row r="160" spans="1:43" s="6" customFormat="1" ht="11.5" hidden="1">
      <c r="A160" s="1310" t="s">
        <v>10726</v>
      </c>
      <c r="B160" s="1310" t="s">
        <v>67</v>
      </c>
      <c r="C160" s="1310" t="s">
        <v>63</v>
      </c>
      <c r="D160" s="1310" t="s">
        <v>10250</v>
      </c>
      <c r="E160" s="1310"/>
      <c r="F160" s="118" t="s">
        <v>96</v>
      </c>
      <c r="G160" s="39"/>
      <c r="H160" s="56"/>
      <c r="I160" s="56" t="s">
        <v>10244</v>
      </c>
      <c r="J160" s="79" t="s">
        <v>170</v>
      </c>
      <c r="K160" s="1312">
        <v>552045</v>
      </c>
      <c r="L160" s="1310" t="s">
        <v>172</v>
      </c>
      <c r="M160" s="1316">
        <v>555</v>
      </c>
      <c r="N160" s="1316">
        <v>1320</v>
      </c>
      <c r="O160" s="92">
        <f>$M160*$N160/1000000</f>
        <v>0.73260000000000003</v>
      </c>
      <c r="P160" s="91">
        <f>$N160/33</f>
        <v>40</v>
      </c>
      <c r="Q160" s="93">
        <f>$N160/660</f>
        <v>2</v>
      </c>
      <c r="R160" s="111" t="s">
        <v>75</v>
      </c>
      <c r="S160" s="1323"/>
      <c r="T160" s="56" t="s">
        <v>2480</v>
      </c>
      <c r="U160" s="56" t="s">
        <v>2480</v>
      </c>
      <c r="V160" s="56"/>
      <c r="W160" s="1324" t="s">
        <v>10642</v>
      </c>
      <c r="X160" s="137">
        <v>45800</v>
      </c>
      <c r="Y160" s="90"/>
      <c r="Z160" s="90"/>
      <c r="AA160" s="127">
        <v>371008529</v>
      </c>
      <c r="AB160" s="117" t="s">
        <v>122</v>
      </c>
      <c r="AC160" s="1322" t="s">
        <v>78</v>
      </c>
      <c r="AD160" s="1319">
        <v>45807</v>
      </c>
      <c r="AE160" s="1319">
        <v>45807</v>
      </c>
      <c r="AF160" s="1319">
        <v>45807</v>
      </c>
      <c r="AG160" s="1319">
        <v>45869</v>
      </c>
      <c r="AH160" s="1319">
        <v>45867</v>
      </c>
      <c r="AI160" s="1319">
        <v>45869</v>
      </c>
      <c r="AJ160" s="1316" t="s">
        <v>66</v>
      </c>
      <c r="AK160" s="1310" t="s">
        <v>10693</v>
      </c>
      <c r="AL160" s="39" t="s">
        <v>10727</v>
      </c>
      <c r="AM160" s="1310" t="s">
        <v>10728</v>
      </c>
      <c r="AN160" s="1310" t="s">
        <v>10728</v>
      </c>
      <c r="AO160" s="138">
        <f t="shared" si="10"/>
        <v>63</v>
      </c>
      <c r="AP160" s="39" t="s">
        <v>2493</v>
      </c>
      <c r="AQ160" s="115" t="s">
        <v>2493</v>
      </c>
    </row>
    <row r="161" spans="1:43" s="6" customFormat="1" ht="11.5">
      <c r="A161" s="74" t="s">
        <v>10729</v>
      </c>
      <c r="B161" s="56" t="s">
        <v>67</v>
      </c>
      <c r="C161" s="56" t="s">
        <v>63</v>
      </c>
      <c r="D161" s="56" t="s">
        <v>10250</v>
      </c>
      <c r="E161" s="56"/>
      <c r="F161" s="118" t="s">
        <v>96</v>
      </c>
      <c r="G161" s="39"/>
      <c r="H161" s="56"/>
      <c r="I161" s="56" t="s">
        <v>10244</v>
      </c>
      <c r="J161" s="118" t="s">
        <v>550</v>
      </c>
      <c r="K161" s="83">
        <v>553118</v>
      </c>
      <c r="L161" s="56" t="s">
        <v>552</v>
      </c>
      <c r="M161" s="91">
        <v>510</v>
      </c>
      <c r="N161" s="91">
        <v>792</v>
      </c>
      <c r="O161" s="92">
        <f>M161*N161/1000000</f>
        <v>0.40392</v>
      </c>
      <c r="P161" s="91">
        <f>N161/36</f>
        <v>22</v>
      </c>
      <c r="Q161" s="93">
        <f>N161/792</f>
        <v>1</v>
      </c>
      <c r="R161" s="111" t="s">
        <v>75</v>
      </c>
      <c r="S161" s="56"/>
      <c r="T161" s="56" t="s">
        <v>2480</v>
      </c>
      <c r="U161" s="56" t="s">
        <v>2480</v>
      </c>
      <c r="V161" s="139"/>
      <c r="W161" s="1318" t="s">
        <v>10399</v>
      </c>
      <c r="X161" s="1319">
        <v>45807</v>
      </c>
      <c r="Y161" s="64"/>
      <c r="Z161" s="64"/>
      <c r="AA161" s="116">
        <v>371008543</v>
      </c>
      <c r="AB161" s="117" t="s">
        <v>122</v>
      </c>
      <c r="AC161" s="1322" t="s">
        <v>314</v>
      </c>
      <c r="AD161" s="1319">
        <v>45814</v>
      </c>
      <c r="AE161" s="1319">
        <v>45814</v>
      </c>
      <c r="AF161" s="1319">
        <v>45814</v>
      </c>
      <c r="AG161" s="1319">
        <v>45870</v>
      </c>
      <c r="AH161" s="1319">
        <v>45874</v>
      </c>
      <c r="AI161" s="1319">
        <v>45870</v>
      </c>
      <c r="AJ161" s="1316" t="s">
        <v>66</v>
      </c>
      <c r="AK161" s="1310" t="s">
        <v>10730</v>
      </c>
      <c r="AL161" s="39" t="s">
        <v>10731</v>
      </c>
      <c r="AM161" s="1310" t="s">
        <v>10732</v>
      </c>
      <c r="AN161" s="1310" t="s">
        <v>10732</v>
      </c>
      <c r="AO161" s="91">
        <f t="shared" si="10"/>
        <v>57</v>
      </c>
      <c r="AP161" s="39" t="s">
        <v>2493</v>
      </c>
      <c r="AQ161" s="115" t="s">
        <v>2493</v>
      </c>
    </row>
    <row r="162" spans="1:43" s="6" customFormat="1" ht="11.5">
      <c r="A162" s="124" t="s">
        <v>10733</v>
      </c>
      <c r="B162" s="56" t="s">
        <v>67</v>
      </c>
      <c r="C162" s="56" t="s">
        <v>63</v>
      </c>
      <c r="D162" s="56" t="s">
        <v>10250</v>
      </c>
      <c r="E162" s="56"/>
      <c r="F162" s="118" t="s">
        <v>96</v>
      </c>
      <c r="G162" s="39"/>
      <c r="H162" s="56"/>
      <c r="I162" s="56" t="s">
        <v>10244</v>
      </c>
      <c r="J162" s="118" t="s">
        <v>170</v>
      </c>
      <c r="K162" s="83">
        <v>552026</v>
      </c>
      <c r="L162" s="56" t="s">
        <v>463</v>
      </c>
      <c r="M162" s="91">
        <v>550</v>
      </c>
      <c r="N162" s="91">
        <v>1320</v>
      </c>
      <c r="O162" s="92">
        <f t="shared" ref="O162:O165" si="14">$M162*$N162/1000000</f>
        <v>0.72599999999999998</v>
      </c>
      <c r="P162" s="91">
        <f t="shared" ref="P162:P165" si="15">$N162/33</f>
        <v>40</v>
      </c>
      <c r="Q162" s="93">
        <f t="shared" ref="Q162:Q165" si="16">$N162/660</f>
        <v>2</v>
      </c>
      <c r="R162" s="111" t="s">
        <v>75</v>
      </c>
      <c r="S162" s="86"/>
      <c r="T162" s="56" t="s">
        <v>2480</v>
      </c>
      <c r="U162" s="56" t="s">
        <v>2480</v>
      </c>
      <c r="V162" s="56"/>
      <c r="W162" s="134" t="s">
        <v>10642</v>
      </c>
      <c r="X162" s="135">
        <v>45807</v>
      </c>
      <c r="Y162" s="90"/>
      <c r="Z162" s="90"/>
      <c r="AA162" s="136">
        <v>371008545</v>
      </c>
      <c r="AB162" s="117" t="s">
        <v>122</v>
      </c>
      <c r="AC162" s="1322" t="s">
        <v>314</v>
      </c>
      <c r="AD162" s="1319">
        <v>45814</v>
      </c>
      <c r="AE162" s="1319">
        <v>45814</v>
      </c>
      <c r="AF162" s="1319">
        <v>45814</v>
      </c>
      <c r="AG162" s="1319">
        <v>45870</v>
      </c>
      <c r="AH162" s="1319">
        <v>45874</v>
      </c>
      <c r="AI162" s="1319">
        <v>45870</v>
      </c>
      <c r="AJ162" s="1316" t="s">
        <v>66</v>
      </c>
      <c r="AK162" s="1310" t="s">
        <v>10730</v>
      </c>
      <c r="AL162" s="39" t="s">
        <v>10731</v>
      </c>
      <c r="AM162" s="39" t="s">
        <v>10732</v>
      </c>
      <c r="AN162" s="39" t="s">
        <v>10732</v>
      </c>
      <c r="AO162" s="91">
        <f t="shared" si="10"/>
        <v>57</v>
      </c>
      <c r="AP162" s="39" t="s">
        <v>2493</v>
      </c>
      <c r="AQ162" s="75" t="s">
        <v>2493</v>
      </c>
    </row>
    <row r="163" spans="1:43" s="6" customFormat="1" ht="11.5">
      <c r="A163" s="124" t="s">
        <v>10734</v>
      </c>
      <c r="B163" s="39" t="s">
        <v>67</v>
      </c>
      <c r="C163" s="39" t="s">
        <v>63</v>
      </c>
      <c r="D163" s="39" t="s">
        <v>10250</v>
      </c>
      <c r="E163" s="39"/>
      <c r="F163" s="118" t="s">
        <v>96</v>
      </c>
      <c r="G163" s="39"/>
      <c r="H163" s="56"/>
      <c r="I163" s="56" t="s">
        <v>10244</v>
      </c>
      <c r="J163" s="79" t="s">
        <v>170</v>
      </c>
      <c r="K163" s="83">
        <v>552045</v>
      </c>
      <c r="L163" s="39" t="s">
        <v>172</v>
      </c>
      <c r="M163" s="91">
        <v>555</v>
      </c>
      <c r="N163" s="91">
        <v>2640</v>
      </c>
      <c r="O163" s="92">
        <f t="shared" si="14"/>
        <v>1.4652000000000001</v>
      </c>
      <c r="P163" s="91">
        <f t="shared" si="15"/>
        <v>80</v>
      </c>
      <c r="Q163" s="93">
        <f t="shared" si="16"/>
        <v>4</v>
      </c>
      <c r="R163" s="111" t="s">
        <v>75</v>
      </c>
      <c r="S163" s="1323"/>
      <c r="T163" s="56" t="s">
        <v>2480</v>
      </c>
      <c r="U163" s="56" t="s">
        <v>2480</v>
      </c>
      <c r="V163" s="56"/>
      <c r="W163" s="1324" t="s">
        <v>10642</v>
      </c>
      <c r="X163" s="140">
        <v>45807</v>
      </c>
      <c r="Y163" s="90"/>
      <c r="Z163" s="90"/>
      <c r="AA163" s="116">
        <v>371008551</v>
      </c>
      <c r="AB163" s="117" t="s">
        <v>122</v>
      </c>
      <c r="AC163" s="1322" t="s">
        <v>314</v>
      </c>
      <c r="AD163" s="1319">
        <v>45814</v>
      </c>
      <c r="AE163" s="1319">
        <v>45814</v>
      </c>
      <c r="AF163" s="1319">
        <v>45814</v>
      </c>
      <c r="AG163" s="1319">
        <v>45870</v>
      </c>
      <c r="AH163" s="1319">
        <v>45874</v>
      </c>
      <c r="AI163" s="1319">
        <v>45870</v>
      </c>
      <c r="AJ163" s="1316" t="s">
        <v>66</v>
      </c>
      <c r="AK163" s="1310" t="s">
        <v>10730</v>
      </c>
      <c r="AL163" s="39" t="s">
        <v>10731</v>
      </c>
      <c r="AM163" s="39" t="s">
        <v>10732</v>
      </c>
      <c r="AN163" s="39" t="s">
        <v>10732</v>
      </c>
      <c r="AO163" s="91">
        <f t="shared" si="10"/>
        <v>57</v>
      </c>
      <c r="AP163" s="39" t="s">
        <v>2493</v>
      </c>
      <c r="AQ163" s="115" t="s">
        <v>2493</v>
      </c>
    </row>
    <row r="164" spans="1:43" s="6" customFormat="1" ht="11.5">
      <c r="A164" s="1310" t="s">
        <v>10735</v>
      </c>
      <c r="B164" s="1311" t="s">
        <v>67</v>
      </c>
      <c r="C164" s="1311" t="s">
        <v>63</v>
      </c>
      <c r="D164" s="1311" t="s">
        <v>10250</v>
      </c>
      <c r="E164" s="1311"/>
      <c r="F164" s="118" t="s">
        <v>96</v>
      </c>
      <c r="G164" s="39"/>
      <c r="H164" s="56"/>
      <c r="I164" s="56" t="s">
        <v>10244</v>
      </c>
      <c r="J164" s="118" t="s">
        <v>170</v>
      </c>
      <c r="K164" s="1312">
        <v>552026</v>
      </c>
      <c r="L164" s="1311" t="s">
        <v>463</v>
      </c>
      <c r="M164" s="1316">
        <v>550</v>
      </c>
      <c r="N164" s="1316">
        <v>660</v>
      </c>
      <c r="O164" s="92">
        <f t="shared" si="14"/>
        <v>0.36299999999999999</v>
      </c>
      <c r="P164" s="91">
        <f t="shared" si="15"/>
        <v>20</v>
      </c>
      <c r="Q164" s="93">
        <f t="shared" si="16"/>
        <v>1</v>
      </c>
      <c r="R164" s="111" t="s">
        <v>75</v>
      </c>
      <c r="S164" s="1323"/>
      <c r="T164" s="56" t="s">
        <v>2480</v>
      </c>
      <c r="U164" s="56" t="s">
        <v>2480</v>
      </c>
      <c r="V164" s="56"/>
      <c r="W164" s="1324" t="s">
        <v>10642</v>
      </c>
      <c r="X164" s="90">
        <v>45807</v>
      </c>
      <c r="Y164" s="90"/>
      <c r="Z164" s="90"/>
      <c r="AA164" s="127">
        <v>371008546</v>
      </c>
      <c r="AB164" s="117" t="s">
        <v>122</v>
      </c>
      <c r="AC164" s="1322" t="s">
        <v>1561</v>
      </c>
      <c r="AD164" s="1319">
        <v>45814</v>
      </c>
      <c r="AE164" s="1319">
        <v>45814</v>
      </c>
      <c r="AF164" s="1319">
        <v>45814</v>
      </c>
      <c r="AG164" s="1319">
        <v>45862</v>
      </c>
      <c r="AH164" s="1319">
        <v>45862</v>
      </c>
      <c r="AI164" s="1319">
        <v>45862</v>
      </c>
      <c r="AJ164" s="1316" t="s">
        <v>66</v>
      </c>
      <c r="AK164" s="1310" t="s">
        <v>10730</v>
      </c>
      <c r="AL164" s="39" t="s">
        <v>10736</v>
      </c>
      <c r="AM164" s="1310" t="s">
        <v>10737</v>
      </c>
      <c r="AN164" s="1310" t="s">
        <v>10737</v>
      </c>
      <c r="AO164" s="91">
        <f t="shared" si="10"/>
        <v>49</v>
      </c>
      <c r="AP164" s="18" t="s">
        <v>2493</v>
      </c>
      <c r="AQ164" s="91" t="s">
        <v>2493</v>
      </c>
    </row>
    <row r="165" spans="1:43" s="6" customFormat="1" ht="11.5">
      <c r="A165" s="1310" t="s">
        <v>10738</v>
      </c>
      <c r="B165" s="1310" t="s">
        <v>67</v>
      </c>
      <c r="C165" s="1310" t="s">
        <v>63</v>
      </c>
      <c r="D165" s="1310" t="s">
        <v>10250</v>
      </c>
      <c r="E165" s="1310"/>
      <c r="F165" s="118" t="s">
        <v>96</v>
      </c>
      <c r="G165" s="39"/>
      <c r="H165" s="56"/>
      <c r="I165" s="56" t="s">
        <v>10244</v>
      </c>
      <c r="J165" s="79" t="s">
        <v>170</v>
      </c>
      <c r="K165" s="1312">
        <v>552045</v>
      </c>
      <c r="L165" s="1310" t="s">
        <v>172</v>
      </c>
      <c r="M165" s="1316">
        <v>555</v>
      </c>
      <c r="N165" s="1316">
        <v>660</v>
      </c>
      <c r="O165" s="92">
        <f t="shared" si="14"/>
        <v>0.36630000000000001</v>
      </c>
      <c r="P165" s="91">
        <f t="shared" si="15"/>
        <v>20</v>
      </c>
      <c r="Q165" s="93">
        <f t="shared" si="16"/>
        <v>1</v>
      </c>
      <c r="R165" s="111" t="s">
        <v>75</v>
      </c>
      <c r="S165" s="1323"/>
      <c r="T165" s="56" t="s">
        <v>2480</v>
      </c>
      <c r="U165" s="56" t="s">
        <v>2480</v>
      </c>
      <c r="V165" s="56"/>
      <c r="W165" s="1324" t="s">
        <v>10642</v>
      </c>
      <c r="X165" s="90">
        <v>45807</v>
      </c>
      <c r="Y165" s="90"/>
      <c r="Z165" s="90"/>
      <c r="AA165" s="127">
        <v>371008552</v>
      </c>
      <c r="AB165" s="117" t="s">
        <v>122</v>
      </c>
      <c r="AC165" s="1322" t="s">
        <v>1561</v>
      </c>
      <c r="AD165" s="1319">
        <v>45814</v>
      </c>
      <c r="AE165" s="1319">
        <v>45814</v>
      </c>
      <c r="AF165" s="1319">
        <v>45814</v>
      </c>
      <c r="AG165" s="1319">
        <v>45862</v>
      </c>
      <c r="AH165" s="1319">
        <v>45862</v>
      </c>
      <c r="AI165" s="1319">
        <v>45862</v>
      </c>
      <c r="AJ165" s="1316" t="s">
        <v>66</v>
      </c>
      <c r="AK165" s="1310" t="s">
        <v>10730</v>
      </c>
      <c r="AL165" s="39" t="s">
        <v>10736</v>
      </c>
      <c r="AM165" s="1310" t="s">
        <v>10737</v>
      </c>
      <c r="AN165" s="1310" t="s">
        <v>10737</v>
      </c>
      <c r="AO165" s="91">
        <f t="shared" si="10"/>
        <v>49</v>
      </c>
      <c r="AP165" s="18" t="s">
        <v>2493</v>
      </c>
      <c r="AQ165" s="91" t="s">
        <v>2493</v>
      </c>
    </row>
    <row r="166" spans="1:43" s="6" customFormat="1" ht="11.5" hidden="1">
      <c r="A166" s="1311" t="s">
        <v>10739</v>
      </c>
      <c r="B166" s="1311" t="s">
        <v>67</v>
      </c>
      <c r="C166" s="1311" t="s">
        <v>63</v>
      </c>
      <c r="D166" s="1311" t="s">
        <v>10250</v>
      </c>
      <c r="E166" s="1311"/>
      <c r="F166" s="118" t="s">
        <v>96</v>
      </c>
      <c r="G166" s="39"/>
      <c r="H166" s="56"/>
      <c r="I166" s="56" t="s">
        <v>10244</v>
      </c>
      <c r="J166" s="118" t="s">
        <v>550</v>
      </c>
      <c r="K166" s="1312">
        <v>553118</v>
      </c>
      <c r="L166" s="1311" t="s">
        <v>552</v>
      </c>
      <c r="M166" s="1313">
        <v>510</v>
      </c>
      <c r="N166" s="1313">
        <v>1584</v>
      </c>
      <c r="O166" s="76">
        <f>M166*N166/1000000</f>
        <v>0.80784</v>
      </c>
      <c r="P166" s="75">
        <f>N166/36</f>
        <v>44</v>
      </c>
      <c r="Q166" s="77">
        <f>N166/792</f>
        <v>2</v>
      </c>
      <c r="R166" s="56" t="s">
        <v>75</v>
      </c>
      <c r="S166" s="1311"/>
      <c r="T166" s="56" t="s">
        <v>2480</v>
      </c>
      <c r="U166" s="56" t="s">
        <v>2480</v>
      </c>
      <c r="V166" s="56"/>
      <c r="W166" s="1310" t="s">
        <v>10399</v>
      </c>
      <c r="X166" s="1307">
        <v>45806</v>
      </c>
      <c r="Y166" s="78"/>
      <c r="Z166" s="78"/>
      <c r="AA166" s="121">
        <v>371008542</v>
      </c>
      <c r="AB166" s="79" t="s">
        <v>122</v>
      </c>
      <c r="AC166" s="1308" t="s">
        <v>78</v>
      </c>
      <c r="AD166" s="1307">
        <v>45814</v>
      </c>
      <c r="AE166" s="1307">
        <v>45814</v>
      </c>
      <c r="AF166" s="1307">
        <v>45814</v>
      </c>
      <c r="AG166" s="1307">
        <v>45875</v>
      </c>
      <c r="AH166" s="1307">
        <v>45870</v>
      </c>
      <c r="AI166" s="1307">
        <v>45875</v>
      </c>
      <c r="AJ166" s="1313" t="s">
        <v>66</v>
      </c>
      <c r="AK166" s="1310" t="s">
        <v>10730</v>
      </c>
      <c r="AL166" s="39" t="s">
        <v>10740</v>
      </c>
      <c r="AM166" s="1310" t="s">
        <v>10741</v>
      </c>
      <c r="AN166" s="1310" t="s">
        <v>10741</v>
      </c>
      <c r="AO166" s="75">
        <f t="shared" si="10"/>
        <v>62</v>
      </c>
      <c r="AP166" s="39" t="s">
        <v>2493</v>
      </c>
      <c r="AQ166" s="75" t="s">
        <v>2493</v>
      </c>
    </row>
    <row r="167" spans="1:43" s="6" customFormat="1" ht="11.5" hidden="1">
      <c r="A167" s="124" t="s">
        <v>10742</v>
      </c>
      <c r="B167" s="39" t="s">
        <v>67</v>
      </c>
      <c r="C167" s="39" t="s">
        <v>63</v>
      </c>
      <c r="D167" s="39" t="s">
        <v>10250</v>
      </c>
      <c r="E167" s="39"/>
      <c r="F167" s="118" t="s">
        <v>96</v>
      </c>
      <c r="G167" s="79"/>
      <c r="H167" s="118"/>
      <c r="I167" s="118" t="s">
        <v>10244</v>
      </c>
      <c r="J167" s="79" t="s">
        <v>170</v>
      </c>
      <c r="K167" s="83">
        <v>552045</v>
      </c>
      <c r="L167" s="39" t="s">
        <v>172</v>
      </c>
      <c r="M167" s="75">
        <v>555</v>
      </c>
      <c r="N167" s="75">
        <v>3300</v>
      </c>
      <c r="O167" s="76">
        <f t="shared" ref="O167" si="17">$M167*$N167/1000000</f>
        <v>1.8314999999999999</v>
      </c>
      <c r="P167" s="75">
        <f>$N167/33</f>
        <v>100</v>
      </c>
      <c r="Q167" s="77">
        <f>$N167/660</f>
        <v>5</v>
      </c>
      <c r="R167" s="56" t="s">
        <v>75</v>
      </c>
      <c r="S167" s="1313"/>
      <c r="T167" s="56" t="s">
        <v>2480</v>
      </c>
      <c r="U167" s="56" t="s">
        <v>2480</v>
      </c>
      <c r="V167" s="56"/>
      <c r="W167" s="1321" t="s">
        <v>10642</v>
      </c>
      <c r="X167" s="1307">
        <v>45806</v>
      </c>
      <c r="Y167" s="90"/>
      <c r="Z167" s="90"/>
      <c r="AA167" s="121">
        <v>371008550</v>
      </c>
      <c r="AB167" s="79" t="s">
        <v>122</v>
      </c>
      <c r="AC167" s="1308" t="s">
        <v>78</v>
      </c>
      <c r="AD167" s="1307">
        <v>45814</v>
      </c>
      <c r="AE167" s="1307">
        <v>45814</v>
      </c>
      <c r="AF167" s="1307">
        <v>45814</v>
      </c>
      <c r="AG167" s="1307">
        <v>45875</v>
      </c>
      <c r="AH167" s="1307">
        <v>45870</v>
      </c>
      <c r="AI167" s="1307">
        <v>45875</v>
      </c>
      <c r="AJ167" s="1313" t="s">
        <v>66</v>
      </c>
      <c r="AK167" s="1310" t="s">
        <v>10730</v>
      </c>
      <c r="AL167" s="39" t="s">
        <v>10740</v>
      </c>
      <c r="AM167" s="1310" t="s">
        <v>10741</v>
      </c>
      <c r="AN167" s="1310" t="s">
        <v>10741</v>
      </c>
      <c r="AO167" s="75">
        <f t="shared" si="10"/>
        <v>62</v>
      </c>
      <c r="AP167" s="39" t="s">
        <v>2493</v>
      </c>
      <c r="AQ167" s="75" t="s">
        <v>2493</v>
      </c>
    </row>
    <row r="168" spans="1:43" s="6" customFormat="1" ht="11.5" hidden="1">
      <c r="A168" s="118" t="s">
        <v>2741</v>
      </c>
      <c r="B168" s="118" t="s">
        <v>67</v>
      </c>
      <c r="C168" s="118" t="s">
        <v>63</v>
      </c>
      <c r="D168" s="118" t="s">
        <v>66</v>
      </c>
      <c r="E168" s="118" t="s">
        <v>111</v>
      </c>
      <c r="F168" s="79" t="s">
        <v>96</v>
      </c>
      <c r="G168" s="79"/>
      <c r="H168" s="79"/>
      <c r="I168" s="79" t="s">
        <v>10244</v>
      </c>
      <c r="J168" s="118" t="s">
        <v>170</v>
      </c>
      <c r="K168" s="141">
        <v>552026</v>
      </c>
      <c r="L168" s="142" t="s">
        <v>463</v>
      </c>
      <c r="M168" s="115">
        <v>550</v>
      </c>
      <c r="N168" s="143">
        <v>660</v>
      </c>
      <c r="O168" s="144">
        <f>$M168*$N168/1000000</f>
        <v>0.36299999999999999</v>
      </c>
      <c r="P168" s="115">
        <f>N168/33</f>
        <v>20</v>
      </c>
      <c r="Q168" s="145">
        <f>N168/660</f>
        <v>1</v>
      </c>
      <c r="R168" s="56" t="s">
        <v>75</v>
      </c>
      <c r="S168" s="144">
        <f>$M168*$N168/1000000</f>
        <v>0.36299999999999999</v>
      </c>
      <c r="T168" s="56" t="s">
        <v>2480</v>
      </c>
      <c r="U168" s="56" t="s">
        <v>2480</v>
      </c>
      <c r="V168" s="56"/>
      <c r="W168" s="1321" t="s">
        <v>10743</v>
      </c>
      <c r="X168" s="118" t="s">
        <v>951</v>
      </c>
      <c r="Y168" s="118"/>
      <c r="Z168" s="118"/>
      <c r="AA168" s="146">
        <v>371008686</v>
      </c>
      <c r="AB168" s="79" t="s">
        <v>122</v>
      </c>
      <c r="AC168" s="79" t="s">
        <v>78</v>
      </c>
      <c r="AD168" s="129">
        <v>45863</v>
      </c>
      <c r="AE168" s="129">
        <v>45863</v>
      </c>
      <c r="AF168" s="129">
        <v>45863</v>
      </c>
      <c r="AG168" s="129">
        <v>45923</v>
      </c>
      <c r="AH168" s="129">
        <v>45915</v>
      </c>
      <c r="AI168" s="129">
        <v>45923</v>
      </c>
      <c r="AJ168" s="115" t="s">
        <v>66</v>
      </c>
      <c r="AK168" s="79" t="s">
        <v>2642</v>
      </c>
      <c r="AL168" s="79" t="s">
        <v>2694</v>
      </c>
      <c r="AM168" s="79" t="s">
        <v>2695</v>
      </c>
      <c r="AN168" s="79" t="s">
        <v>2695</v>
      </c>
      <c r="AO168" s="75">
        <f t="shared" si="10"/>
        <v>61</v>
      </c>
      <c r="AP168" s="39" t="s">
        <v>83</v>
      </c>
      <c r="AQ168" s="75" t="s">
        <v>2493</v>
      </c>
    </row>
    <row r="169" spans="1:43" ht="11.25" hidden="1" customHeight="1">
      <c r="A169" s="82"/>
      <c r="B169" s="118" t="s">
        <v>67</v>
      </c>
      <c r="C169" s="118" t="s">
        <v>63</v>
      </c>
      <c r="D169" s="117"/>
      <c r="E169" s="117" t="s">
        <v>61</v>
      </c>
      <c r="F169" s="117"/>
      <c r="G169" s="147"/>
      <c r="H169" s="147"/>
      <c r="I169" s="147"/>
      <c r="J169" s="82"/>
      <c r="K169" s="148"/>
      <c r="L169" s="149"/>
      <c r="M169" s="150"/>
      <c r="N169" s="113"/>
      <c r="O169" s="151"/>
      <c r="P169" s="141"/>
      <c r="Q169" s="152"/>
      <c r="R169" s="153"/>
      <c r="S169" s="154"/>
      <c r="T169" s="56"/>
      <c r="U169" s="56"/>
      <c r="V169" s="147"/>
      <c r="W169" s="147"/>
      <c r="X169" s="135"/>
      <c r="Y169" s="135"/>
      <c r="Z169" s="135"/>
      <c r="AA169" s="113"/>
      <c r="AB169" s="117"/>
      <c r="AC169" s="117"/>
      <c r="AD169" s="135"/>
      <c r="AE169" s="135"/>
      <c r="AF169" s="135"/>
      <c r="AG169" s="135"/>
      <c r="AH169" s="135"/>
      <c r="AI169" s="135"/>
      <c r="AJ169" s="113"/>
      <c r="AK169" s="117"/>
      <c r="AL169" s="117"/>
      <c r="AM169" s="117"/>
      <c r="AN169" s="117"/>
      <c r="AO169" s="113"/>
      <c r="AP169" s="117"/>
      <c r="AQ169" s="113"/>
    </row>
  </sheetData>
  <autoFilter ref="A3:AQ169" xr:uid="{BBBEC811-EB28-4621-9B03-45B91F0AA726}">
    <filterColumn colId="28">
      <filters>
        <filter val="GENOA"/>
        <filter val="NAPLES"/>
      </filters>
    </filterColumn>
  </autoFilter>
  <phoneticPr fontId="64" type="noConversion"/>
  <conditionalFormatting sqref="A1:A1048576">
    <cfRule type="duplicateValues" dxfId="52" priority="2"/>
  </conditionalFormatting>
  <dataValidations count="1">
    <dataValidation allowBlank="1" showInputMessage="1" showErrorMessage="1" sqref="AA5:AA141 AO1:AQ1 AJ1:AL1 AE1:AI3 AJ2:AQ3 A1:AD4 I169:J169 A169:H1048576 N169:XFD1048576 I170:M1048576 A168:XFD168 AE4:AQ167 AR1:XFD167 AA148:AA167 A5:Z167 AB5:AD167 AD1:AD167" xr:uid="{D0FD64AA-8705-4842-9DDB-25472865FEF6}"/>
  </dataValidations>
  <pageMargins left="0.7" right="0.7" top="0.75" bottom="0.75" header="0.3" footer="0.3"/>
  <pageSetup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A0D5-93AA-409C-B6B1-6077213E26C9}">
  <sheetPr codeName="Sheet19">
    <tabColor rgb="FF00B0F0"/>
  </sheetPr>
  <dimension ref="A1:AZ85"/>
  <sheetViews>
    <sheetView topLeftCell="D1" zoomScale="70" zoomScaleNormal="70" workbookViewId="0">
      <pane ySplit="1" topLeftCell="A70" activePane="bottomLeft" state="frozen"/>
      <selection activeCell="F1" sqref="F1"/>
      <selection pane="bottomLeft" activeCell="H84" sqref="H84:H85"/>
    </sheetView>
  </sheetViews>
  <sheetFormatPr defaultColWidth="9.09765625" defaultRowHeight="12.5"/>
  <cols>
    <col min="1" max="1" width="9.09765625" style="762" customWidth="1"/>
    <col min="2" max="2" width="26.09765625" style="848" customWidth="1"/>
    <col min="3" max="3" width="12" style="849" customWidth="1"/>
    <col min="4" max="4" width="16.09765625" style="850" customWidth="1"/>
    <col min="5" max="5" width="25.69921875" style="762" customWidth="1"/>
    <col min="6" max="6" width="25" style="762" customWidth="1"/>
    <col min="7" max="7" width="9.09765625" style="762" customWidth="1"/>
    <col min="8" max="8" width="10.09765625" style="762" customWidth="1"/>
    <col min="9" max="9" width="9.09765625" style="762" customWidth="1"/>
    <col min="10" max="10" width="13.59765625" style="762" customWidth="1"/>
    <col min="11" max="12" width="16.8984375" style="762" customWidth="1"/>
    <col min="13" max="13" width="18.8984375" style="762" customWidth="1"/>
    <col min="14" max="14" width="25.3984375" style="762" customWidth="1"/>
    <col min="15" max="15" width="16.09765625" style="762" customWidth="1"/>
    <col min="16" max="16" width="19.09765625" style="762" customWidth="1"/>
    <col min="17" max="17" width="11.3984375" style="762" customWidth="1"/>
    <col min="18" max="18" width="11.09765625" style="762" customWidth="1"/>
    <col min="19" max="19" width="20.8984375" style="762" customWidth="1"/>
    <col min="20" max="20" width="13" style="762" customWidth="1"/>
    <col min="21" max="16384" width="9.09765625" style="762"/>
  </cols>
  <sheetData>
    <row r="1" spans="1:20" ht="31.5">
      <c r="A1" s="760" t="s">
        <v>2453</v>
      </c>
      <c r="B1" s="1193" t="s">
        <v>10744</v>
      </c>
      <c r="C1" s="761" t="s">
        <v>10745</v>
      </c>
      <c r="D1" s="897" t="s">
        <v>10746</v>
      </c>
      <c r="E1" s="898" t="s">
        <v>10747</v>
      </c>
      <c r="F1" s="898" t="s">
        <v>16</v>
      </c>
      <c r="G1" s="898" t="s">
        <v>10748</v>
      </c>
      <c r="H1" s="898" t="s">
        <v>10749</v>
      </c>
      <c r="I1" s="898" t="s">
        <v>10750</v>
      </c>
      <c r="J1" s="898" t="s">
        <v>32</v>
      </c>
      <c r="K1" s="898" t="s">
        <v>10751</v>
      </c>
      <c r="L1" s="899" t="s">
        <v>10752</v>
      </c>
      <c r="M1" s="898" t="s">
        <v>10753</v>
      </c>
      <c r="N1" s="898" t="s">
        <v>10754</v>
      </c>
      <c r="O1" s="898" t="s">
        <v>10755</v>
      </c>
      <c r="P1" s="898" t="s">
        <v>10756</v>
      </c>
      <c r="Q1" s="898" t="s">
        <v>10757</v>
      </c>
      <c r="R1" s="900" t="s">
        <v>4</v>
      </c>
      <c r="S1" s="900" t="s">
        <v>5</v>
      </c>
      <c r="T1" s="900" t="s">
        <v>6</v>
      </c>
    </row>
    <row r="2" spans="1:20" s="772" customFormat="1" ht="18.75" customHeight="1">
      <c r="A2" s="763" t="s">
        <v>10758</v>
      </c>
      <c r="B2" s="764" t="s">
        <v>9379</v>
      </c>
      <c r="C2" s="765">
        <v>202604</v>
      </c>
      <c r="D2" s="766" t="s">
        <v>10759</v>
      </c>
      <c r="E2" s="767" t="s">
        <v>10760</v>
      </c>
      <c r="F2" s="768" t="s">
        <v>10761</v>
      </c>
      <c r="G2" s="769">
        <v>3</v>
      </c>
      <c r="H2" s="769" t="s">
        <v>402</v>
      </c>
      <c r="I2" s="769" t="s">
        <v>10762</v>
      </c>
      <c r="J2" s="769" t="s">
        <v>123</v>
      </c>
      <c r="K2" s="769" t="s">
        <v>8678</v>
      </c>
      <c r="L2" s="770" t="s">
        <v>9534</v>
      </c>
      <c r="M2" s="770" t="s">
        <v>10763</v>
      </c>
      <c r="N2" s="769">
        <v>269583800</v>
      </c>
      <c r="O2" s="771">
        <v>46132</v>
      </c>
      <c r="P2" s="771">
        <v>46135</v>
      </c>
      <c r="Q2" s="771">
        <v>46174</v>
      </c>
      <c r="R2" s="772" t="s">
        <v>64</v>
      </c>
      <c r="S2" s="772" t="s">
        <v>100</v>
      </c>
      <c r="T2" s="772" t="s">
        <v>402</v>
      </c>
    </row>
    <row r="3" spans="1:20" s="772" customFormat="1">
      <c r="A3" s="763" t="s">
        <v>10758</v>
      </c>
      <c r="B3" s="764" t="s">
        <v>9379</v>
      </c>
      <c r="C3" s="765">
        <v>202604</v>
      </c>
      <c r="D3" s="766" t="s">
        <v>10764</v>
      </c>
      <c r="E3" s="767" t="s">
        <v>10765</v>
      </c>
      <c r="F3" s="768" t="s">
        <v>10766</v>
      </c>
      <c r="G3" s="769">
        <v>2</v>
      </c>
      <c r="H3" s="769" t="s">
        <v>402</v>
      </c>
      <c r="I3" s="769" t="s">
        <v>10762</v>
      </c>
      <c r="J3" s="769" t="s">
        <v>123</v>
      </c>
      <c r="K3" s="769" t="s">
        <v>8678</v>
      </c>
      <c r="L3" s="769" t="s">
        <v>10767</v>
      </c>
      <c r="M3" s="770" t="s">
        <v>10763</v>
      </c>
      <c r="N3" s="769">
        <v>269583800</v>
      </c>
      <c r="O3" s="771">
        <v>46132</v>
      </c>
      <c r="P3" s="771">
        <v>46135</v>
      </c>
      <c r="Q3" s="771">
        <v>46174</v>
      </c>
      <c r="R3" s="772" t="s">
        <v>64</v>
      </c>
      <c r="S3" s="772" t="s">
        <v>100</v>
      </c>
      <c r="T3" s="772" t="s">
        <v>402</v>
      </c>
    </row>
    <row r="4" spans="1:20" s="772" customFormat="1">
      <c r="A4" s="763" t="s">
        <v>10758</v>
      </c>
      <c r="B4" s="764" t="s">
        <v>9379</v>
      </c>
      <c r="C4" s="765">
        <v>202604</v>
      </c>
      <c r="D4" s="766" t="s">
        <v>5564</v>
      </c>
      <c r="E4" s="767" t="s">
        <v>10768</v>
      </c>
      <c r="F4" s="768" t="s">
        <v>5565</v>
      </c>
      <c r="G4" s="769">
        <v>2</v>
      </c>
      <c r="H4" s="769" t="s">
        <v>402</v>
      </c>
      <c r="I4" s="769" t="s">
        <v>10762</v>
      </c>
      <c r="J4" s="769" t="s">
        <v>123</v>
      </c>
      <c r="K4" s="769" t="s">
        <v>8678</v>
      </c>
      <c r="L4" s="769" t="s">
        <v>10767</v>
      </c>
      <c r="M4" s="770" t="s">
        <v>10763</v>
      </c>
      <c r="N4" s="769">
        <v>269583800</v>
      </c>
      <c r="O4" s="771">
        <v>46132</v>
      </c>
      <c r="P4" s="771">
        <v>46135</v>
      </c>
      <c r="Q4" s="771">
        <v>46174</v>
      </c>
      <c r="R4" s="772" t="s">
        <v>64</v>
      </c>
      <c r="S4" s="772" t="s">
        <v>100</v>
      </c>
      <c r="T4" s="772" t="s">
        <v>402</v>
      </c>
    </row>
    <row r="5" spans="1:20" s="772" customFormat="1">
      <c r="A5" s="763" t="s">
        <v>10758</v>
      </c>
      <c r="B5" s="764" t="s">
        <v>9379</v>
      </c>
      <c r="C5" s="765">
        <v>202604</v>
      </c>
      <c r="D5" s="766" t="s">
        <v>10769</v>
      </c>
      <c r="E5" s="767" t="s">
        <v>10770</v>
      </c>
      <c r="F5" s="768" t="s">
        <v>10771</v>
      </c>
      <c r="G5" s="769">
        <v>15</v>
      </c>
      <c r="H5" s="769" t="s">
        <v>402</v>
      </c>
      <c r="I5" s="769" t="s">
        <v>10762</v>
      </c>
      <c r="J5" s="769" t="s">
        <v>123</v>
      </c>
      <c r="K5" s="769" t="s">
        <v>8678</v>
      </c>
      <c r="L5" s="769" t="s">
        <v>10767</v>
      </c>
      <c r="M5" s="770" t="s">
        <v>10763</v>
      </c>
      <c r="N5" s="769">
        <v>269583800</v>
      </c>
      <c r="O5" s="771">
        <v>46132</v>
      </c>
      <c r="P5" s="771">
        <v>46135</v>
      </c>
      <c r="Q5" s="771">
        <v>46174</v>
      </c>
      <c r="R5" s="772" t="s">
        <v>64</v>
      </c>
      <c r="S5" s="772" t="s">
        <v>100</v>
      </c>
      <c r="T5" s="772" t="s">
        <v>402</v>
      </c>
    </row>
    <row r="6" spans="1:20" s="772" customFormat="1">
      <c r="A6" s="763" t="s">
        <v>10758</v>
      </c>
      <c r="B6" s="764" t="s">
        <v>9379</v>
      </c>
      <c r="C6" s="765">
        <v>202604</v>
      </c>
      <c r="D6" s="766" t="s">
        <v>10772</v>
      </c>
      <c r="E6" s="767" t="s">
        <v>10773</v>
      </c>
      <c r="F6" s="768" t="s">
        <v>10774</v>
      </c>
      <c r="G6" s="769">
        <v>10</v>
      </c>
      <c r="H6" s="769" t="s">
        <v>402</v>
      </c>
      <c r="I6" s="769" t="s">
        <v>10762</v>
      </c>
      <c r="J6" s="769" t="s">
        <v>123</v>
      </c>
      <c r="K6" s="769" t="s">
        <v>8678</v>
      </c>
      <c r="L6" s="769" t="s">
        <v>10767</v>
      </c>
      <c r="M6" s="770" t="s">
        <v>10763</v>
      </c>
      <c r="N6" s="769">
        <v>269583800</v>
      </c>
      <c r="O6" s="771">
        <v>46132</v>
      </c>
      <c r="P6" s="771">
        <v>46135</v>
      </c>
      <c r="Q6" s="771">
        <v>46174</v>
      </c>
      <c r="R6" s="772" t="s">
        <v>64</v>
      </c>
      <c r="S6" s="772" t="s">
        <v>100</v>
      </c>
      <c r="T6" s="772" t="s">
        <v>402</v>
      </c>
    </row>
    <row r="7" spans="1:20" s="772" customFormat="1">
      <c r="A7" s="763" t="s">
        <v>10758</v>
      </c>
      <c r="B7" s="773" t="s">
        <v>9379</v>
      </c>
      <c r="C7" s="774">
        <v>202604</v>
      </c>
      <c r="D7" s="775" t="s">
        <v>6687</v>
      </c>
      <c r="E7" s="776" t="s">
        <v>10775</v>
      </c>
      <c r="F7" s="777" t="s">
        <v>6688</v>
      </c>
      <c r="G7" s="778">
        <v>6</v>
      </c>
      <c r="H7" s="778" t="s">
        <v>402</v>
      </c>
      <c r="I7" s="778" t="s">
        <v>10762</v>
      </c>
      <c r="J7" s="778" t="s">
        <v>123</v>
      </c>
      <c r="K7" s="778" t="s">
        <v>8678</v>
      </c>
      <c r="L7" s="778" t="s">
        <v>10767</v>
      </c>
      <c r="M7" s="770" t="s">
        <v>10763</v>
      </c>
      <c r="N7" s="769">
        <v>269583800</v>
      </c>
      <c r="O7" s="771">
        <v>46132</v>
      </c>
      <c r="P7" s="771">
        <v>46135</v>
      </c>
      <c r="Q7" s="771">
        <v>46174</v>
      </c>
      <c r="R7" s="772" t="s">
        <v>64</v>
      </c>
      <c r="S7" s="772" t="s">
        <v>100</v>
      </c>
      <c r="T7" s="772" t="s">
        <v>402</v>
      </c>
    </row>
    <row r="8" spans="1:20" s="786" customFormat="1">
      <c r="A8" s="779" t="s">
        <v>10758</v>
      </c>
      <c r="B8" s="780" t="s">
        <v>10776</v>
      </c>
      <c r="C8" s="781">
        <v>202604</v>
      </c>
      <c r="D8" s="782" t="s">
        <v>8537</v>
      </c>
      <c r="E8" s="783" t="s">
        <v>8538</v>
      </c>
      <c r="F8" s="784" t="s">
        <v>8539</v>
      </c>
      <c r="G8" s="782">
        <v>1</v>
      </c>
      <c r="H8" s="781" t="s">
        <v>66</v>
      </c>
      <c r="I8" s="781" t="s">
        <v>10762</v>
      </c>
      <c r="J8" s="781" t="s">
        <v>10777</v>
      </c>
      <c r="K8" s="781" t="s">
        <v>8678</v>
      </c>
      <c r="L8" s="781" t="s">
        <v>9531</v>
      </c>
      <c r="M8" s="781" t="s">
        <v>10778</v>
      </c>
      <c r="N8" s="781" t="s">
        <v>10779</v>
      </c>
      <c r="O8" s="785">
        <v>46134</v>
      </c>
      <c r="P8" s="785">
        <v>46143</v>
      </c>
      <c r="Q8" s="785">
        <v>46188</v>
      </c>
      <c r="R8" s="786" t="s">
        <v>64</v>
      </c>
      <c r="S8" s="786" t="s">
        <v>100</v>
      </c>
      <c r="T8" s="786" t="s">
        <v>402</v>
      </c>
    </row>
    <row r="9" spans="1:20" s="786" customFormat="1">
      <c r="A9" s="779" t="s">
        <v>10758</v>
      </c>
      <c r="B9" s="780" t="s">
        <v>10776</v>
      </c>
      <c r="C9" s="781">
        <v>202604</v>
      </c>
      <c r="D9" s="782" t="s">
        <v>10780</v>
      </c>
      <c r="E9" s="783" t="s">
        <v>10781</v>
      </c>
      <c r="F9" s="784" t="s">
        <v>10782</v>
      </c>
      <c r="G9" s="782">
        <v>1</v>
      </c>
      <c r="H9" s="781" t="s">
        <v>66</v>
      </c>
      <c r="I9" s="781" t="s">
        <v>10762</v>
      </c>
      <c r="J9" s="781" t="s">
        <v>10777</v>
      </c>
      <c r="K9" s="781" t="s">
        <v>8678</v>
      </c>
      <c r="L9" s="781" t="s">
        <v>9531</v>
      </c>
      <c r="M9" s="781" t="s">
        <v>10778</v>
      </c>
      <c r="N9" s="781" t="s">
        <v>10779</v>
      </c>
      <c r="O9" s="785">
        <v>46134</v>
      </c>
      <c r="P9" s="785">
        <v>46143</v>
      </c>
      <c r="Q9" s="785">
        <v>46188</v>
      </c>
      <c r="R9" s="786" t="s">
        <v>64</v>
      </c>
      <c r="S9" s="786" t="s">
        <v>100</v>
      </c>
      <c r="T9" s="786" t="s">
        <v>402</v>
      </c>
    </row>
    <row r="10" spans="1:20" s="786" customFormat="1">
      <c r="A10" s="779" t="s">
        <v>10758</v>
      </c>
      <c r="B10" s="780" t="s">
        <v>10776</v>
      </c>
      <c r="C10" s="781">
        <v>202604</v>
      </c>
      <c r="D10" s="782" t="s">
        <v>10783</v>
      </c>
      <c r="E10" s="783" t="s">
        <v>10784</v>
      </c>
      <c r="F10" s="784" t="s">
        <v>10785</v>
      </c>
      <c r="G10" s="782">
        <v>1</v>
      </c>
      <c r="H10" s="781" t="s">
        <v>66</v>
      </c>
      <c r="I10" s="781" t="s">
        <v>10762</v>
      </c>
      <c r="J10" s="781" t="s">
        <v>10777</v>
      </c>
      <c r="K10" s="781" t="s">
        <v>8678</v>
      </c>
      <c r="L10" s="781" t="s">
        <v>9531</v>
      </c>
      <c r="M10" s="781" t="s">
        <v>10778</v>
      </c>
      <c r="N10" s="781" t="s">
        <v>10779</v>
      </c>
      <c r="O10" s="785">
        <v>46134</v>
      </c>
      <c r="P10" s="785">
        <v>46143</v>
      </c>
      <c r="Q10" s="785">
        <v>46188</v>
      </c>
      <c r="R10" s="786" t="s">
        <v>64</v>
      </c>
      <c r="S10" s="786" t="s">
        <v>100</v>
      </c>
      <c r="T10" s="786" t="s">
        <v>402</v>
      </c>
    </row>
    <row r="11" spans="1:20" s="786" customFormat="1">
      <c r="A11" s="779" t="s">
        <v>10758</v>
      </c>
      <c r="B11" s="780" t="s">
        <v>10776</v>
      </c>
      <c r="C11" s="781">
        <v>202604</v>
      </c>
      <c r="D11" s="782" t="s">
        <v>10786</v>
      </c>
      <c r="E11" s="783" t="s">
        <v>7829</v>
      </c>
      <c r="F11" s="784" t="s">
        <v>10787</v>
      </c>
      <c r="G11" s="782">
        <v>1</v>
      </c>
      <c r="H11" s="781" t="s">
        <v>66</v>
      </c>
      <c r="I11" s="781" t="s">
        <v>10762</v>
      </c>
      <c r="J11" s="781" t="s">
        <v>10777</v>
      </c>
      <c r="K11" s="781" t="s">
        <v>8678</v>
      </c>
      <c r="L11" s="781" t="s">
        <v>9531</v>
      </c>
      <c r="M11" s="781" t="s">
        <v>10778</v>
      </c>
      <c r="N11" s="781" t="s">
        <v>10779</v>
      </c>
      <c r="O11" s="785">
        <v>46134</v>
      </c>
      <c r="P11" s="785">
        <v>46143</v>
      </c>
      <c r="Q11" s="785">
        <v>46188</v>
      </c>
      <c r="R11" s="786" t="s">
        <v>64</v>
      </c>
      <c r="S11" s="786" t="s">
        <v>100</v>
      </c>
      <c r="T11" s="786" t="s">
        <v>402</v>
      </c>
    </row>
    <row r="12" spans="1:20" s="786" customFormat="1">
      <c r="A12" s="779" t="s">
        <v>10758</v>
      </c>
      <c r="B12" s="780" t="s">
        <v>10776</v>
      </c>
      <c r="C12" s="781">
        <v>202604</v>
      </c>
      <c r="D12" s="782" t="s">
        <v>10788</v>
      </c>
      <c r="E12" s="783" t="s">
        <v>10789</v>
      </c>
      <c r="F12" s="784" t="s">
        <v>10790</v>
      </c>
      <c r="G12" s="782">
        <v>1</v>
      </c>
      <c r="H12" s="781" t="s">
        <v>66</v>
      </c>
      <c r="I12" s="781" t="s">
        <v>10762</v>
      </c>
      <c r="J12" s="781" t="s">
        <v>10777</v>
      </c>
      <c r="K12" s="781" t="s">
        <v>8678</v>
      </c>
      <c r="L12" s="781" t="s">
        <v>9531</v>
      </c>
      <c r="M12" s="781" t="s">
        <v>10778</v>
      </c>
      <c r="N12" s="781" t="s">
        <v>10779</v>
      </c>
      <c r="O12" s="785">
        <v>46134</v>
      </c>
      <c r="P12" s="785">
        <v>46143</v>
      </c>
      <c r="Q12" s="785">
        <v>46188</v>
      </c>
      <c r="R12" s="786" t="s">
        <v>64</v>
      </c>
      <c r="S12" s="786" t="s">
        <v>100</v>
      </c>
      <c r="T12" s="786" t="s">
        <v>402</v>
      </c>
    </row>
    <row r="13" spans="1:20" s="786" customFormat="1">
      <c r="A13" s="779" t="s">
        <v>10758</v>
      </c>
      <c r="B13" s="780" t="s">
        <v>10776</v>
      </c>
      <c r="C13" s="781">
        <v>202604</v>
      </c>
      <c r="D13" s="782" t="s">
        <v>10791</v>
      </c>
      <c r="E13" s="783" t="s">
        <v>10792</v>
      </c>
      <c r="F13" s="784" t="s">
        <v>10793</v>
      </c>
      <c r="G13" s="782">
        <v>1</v>
      </c>
      <c r="H13" s="781" t="s">
        <v>66</v>
      </c>
      <c r="I13" s="781" t="s">
        <v>10762</v>
      </c>
      <c r="J13" s="781" t="s">
        <v>10777</v>
      </c>
      <c r="K13" s="781" t="s">
        <v>8678</v>
      </c>
      <c r="L13" s="781" t="s">
        <v>9531</v>
      </c>
      <c r="M13" s="781" t="s">
        <v>10778</v>
      </c>
      <c r="N13" s="781" t="s">
        <v>10779</v>
      </c>
      <c r="O13" s="785">
        <v>46134</v>
      </c>
      <c r="P13" s="785">
        <v>46143</v>
      </c>
      <c r="Q13" s="785">
        <v>46188</v>
      </c>
      <c r="R13" s="786" t="s">
        <v>64</v>
      </c>
      <c r="S13" s="786" t="s">
        <v>100</v>
      </c>
      <c r="T13" s="786" t="s">
        <v>402</v>
      </c>
    </row>
    <row r="14" spans="1:20" s="772" customFormat="1">
      <c r="A14" s="763" t="s">
        <v>10758</v>
      </c>
      <c r="B14" s="764" t="s">
        <v>10776</v>
      </c>
      <c r="C14" s="765">
        <v>202604</v>
      </c>
      <c r="D14" s="769" t="s">
        <v>10794</v>
      </c>
      <c r="E14" s="787" t="s">
        <v>10795</v>
      </c>
      <c r="F14" s="767" t="s">
        <v>10796</v>
      </c>
      <c r="G14" s="901">
        <v>2</v>
      </c>
      <c r="H14" s="765" t="s">
        <v>66</v>
      </c>
      <c r="I14" s="765" t="s">
        <v>10797</v>
      </c>
      <c r="J14" s="765" t="s">
        <v>289</v>
      </c>
      <c r="K14" s="765" t="s">
        <v>8678</v>
      </c>
      <c r="L14" s="765" t="s">
        <v>9485</v>
      </c>
      <c r="M14" s="787"/>
      <c r="N14" s="787" t="s">
        <v>10798</v>
      </c>
      <c r="O14" s="788">
        <v>46138</v>
      </c>
      <c r="P14" s="788">
        <v>46139</v>
      </c>
      <c r="Q14" s="788">
        <v>46141</v>
      </c>
      <c r="R14" s="772" t="s">
        <v>64</v>
      </c>
      <c r="S14" s="772" t="s">
        <v>100</v>
      </c>
      <c r="T14" s="772" t="s">
        <v>402</v>
      </c>
    </row>
    <row r="15" spans="1:20" s="772" customFormat="1">
      <c r="A15" s="763" t="s">
        <v>10758</v>
      </c>
      <c r="B15" s="764" t="s">
        <v>10776</v>
      </c>
      <c r="C15" s="765">
        <v>202604</v>
      </c>
      <c r="D15" s="769" t="s">
        <v>10799</v>
      </c>
      <c r="E15" s="787" t="s">
        <v>10795</v>
      </c>
      <c r="F15" s="767" t="s">
        <v>10800</v>
      </c>
      <c r="G15" s="901">
        <v>1</v>
      </c>
      <c r="H15" s="765" t="s">
        <v>66</v>
      </c>
      <c r="I15" s="765" t="s">
        <v>10797</v>
      </c>
      <c r="J15" s="765" t="s">
        <v>289</v>
      </c>
      <c r="K15" s="765" t="s">
        <v>8678</v>
      </c>
      <c r="L15" s="765" t="s">
        <v>9485</v>
      </c>
      <c r="M15" s="787"/>
      <c r="N15" s="787" t="s">
        <v>10798</v>
      </c>
      <c r="O15" s="788">
        <v>46138</v>
      </c>
      <c r="P15" s="788">
        <v>46139</v>
      </c>
      <c r="Q15" s="788">
        <v>46141</v>
      </c>
      <c r="R15" s="772" t="s">
        <v>64</v>
      </c>
      <c r="S15" s="772" t="s">
        <v>100</v>
      </c>
      <c r="T15" s="772" t="s">
        <v>402</v>
      </c>
    </row>
    <row r="16" spans="1:20" s="772" customFormat="1">
      <c r="A16" s="763" t="s">
        <v>10758</v>
      </c>
      <c r="B16" s="764" t="s">
        <v>10776</v>
      </c>
      <c r="C16" s="765">
        <v>202604</v>
      </c>
      <c r="D16" s="769" t="s">
        <v>10801</v>
      </c>
      <c r="E16" s="787" t="s">
        <v>10802</v>
      </c>
      <c r="F16" s="767" t="s">
        <v>10803</v>
      </c>
      <c r="G16" s="901">
        <v>1</v>
      </c>
      <c r="H16" s="765" t="s">
        <v>66</v>
      </c>
      <c r="I16" s="765" t="s">
        <v>10797</v>
      </c>
      <c r="J16" s="765" t="s">
        <v>289</v>
      </c>
      <c r="K16" s="765" t="s">
        <v>8678</v>
      </c>
      <c r="L16" s="765" t="s">
        <v>9485</v>
      </c>
      <c r="M16" s="787"/>
      <c r="N16" s="787" t="s">
        <v>10798</v>
      </c>
      <c r="O16" s="788">
        <v>46138</v>
      </c>
      <c r="P16" s="788">
        <v>46139</v>
      </c>
      <c r="Q16" s="788">
        <v>46141</v>
      </c>
      <c r="R16" s="772" t="s">
        <v>64</v>
      </c>
      <c r="S16" s="772" t="s">
        <v>100</v>
      </c>
      <c r="T16" s="772" t="s">
        <v>402</v>
      </c>
    </row>
    <row r="17" spans="1:20" s="772" customFormat="1">
      <c r="A17" s="763" t="s">
        <v>10758</v>
      </c>
      <c r="B17" s="764" t="s">
        <v>10776</v>
      </c>
      <c r="C17" s="765">
        <v>202604</v>
      </c>
      <c r="D17" s="769" t="s">
        <v>10804</v>
      </c>
      <c r="E17" s="787" t="s">
        <v>10805</v>
      </c>
      <c r="F17" s="767" t="s">
        <v>10806</v>
      </c>
      <c r="G17" s="901">
        <v>1</v>
      </c>
      <c r="H17" s="765" t="s">
        <v>66</v>
      </c>
      <c r="I17" s="765" t="s">
        <v>10797</v>
      </c>
      <c r="J17" s="765" t="s">
        <v>289</v>
      </c>
      <c r="K17" s="765" t="s">
        <v>8678</v>
      </c>
      <c r="L17" s="765" t="s">
        <v>9485</v>
      </c>
      <c r="M17" s="787"/>
      <c r="N17" s="787" t="s">
        <v>10798</v>
      </c>
      <c r="O17" s="788">
        <v>46138</v>
      </c>
      <c r="P17" s="788">
        <v>46139</v>
      </c>
      <c r="Q17" s="788">
        <v>46141</v>
      </c>
      <c r="R17" s="772" t="s">
        <v>64</v>
      </c>
      <c r="S17" s="772" t="s">
        <v>100</v>
      </c>
      <c r="T17" s="772" t="s">
        <v>402</v>
      </c>
    </row>
    <row r="18" spans="1:20" s="772" customFormat="1">
      <c r="A18" s="763" t="s">
        <v>10758</v>
      </c>
      <c r="B18" s="764" t="s">
        <v>10776</v>
      </c>
      <c r="C18" s="765">
        <v>202604</v>
      </c>
      <c r="D18" s="769" t="s">
        <v>10807</v>
      </c>
      <c r="E18" s="787" t="s">
        <v>10808</v>
      </c>
      <c r="F18" s="767" t="s">
        <v>10809</v>
      </c>
      <c r="G18" s="901">
        <v>2</v>
      </c>
      <c r="H18" s="765" t="s">
        <v>66</v>
      </c>
      <c r="I18" s="765" t="s">
        <v>10797</v>
      </c>
      <c r="J18" s="765" t="s">
        <v>289</v>
      </c>
      <c r="K18" s="765" t="s">
        <v>8678</v>
      </c>
      <c r="L18" s="765" t="s">
        <v>9485</v>
      </c>
      <c r="M18" s="787"/>
      <c r="N18" s="787" t="s">
        <v>10798</v>
      </c>
      <c r="O18" s="788">
        <v>46138</v>
      </c>
      <c r="P18" s="788">
        <v>46139</v>
      </c>
      <c r="Q18" s="788">
        <v>46141</v>
      </c>
      <c r="R18" s="772" t="s">
        <v>64</v>
      </c>
      <c r="S18" s="772" t="s">
        <v>100</v>
      </c>
      <c r="T18" s="772" t="s">
        <v>402</v>
      </c>
    </row>
    <row r="19" spans="1:20" s="772" customFormat="1">
      <c r="A19" s="763" t="s">
        <v>10758</v>
      </c>
      <c r="B19" s="764" t="s">
        <v>10776</v>
      </c>
      <c r="C19" s="765">
        <v>202604</v>
      </c>
      <c r="D19" s="769" t="s">
        <v>10810</v>
      </c>
      <c r="E19" s="787" t="s">
        <v>10811</v>
      </c>
      <c r="F19" s="767" t="s">
        <v>10812</v>
      </c>
      <c r="G19" s="901">
        <v>2</v>
      </c>
      <c r="H19" s="765" t="s">
        <v>66</v>
      </c>
      <c r="I19" s="765" t="s">
        <v>10797</v>
      </c>
      <c r="J19" s="765" t="s">
        <v>289</v>
      </c>
      <c r="K19" s="765" t="s">
        <v>8678</v>
      </c>
      <c r="L19" s="765" t="s">
        <v>9485</v>
      </c>
      <c r="M19" s="787"/>
      <c r="N19" s="787" t="s">
        <v>10798</v>
      </c>
      <c r="O19" s="788">
        <v>46138</v>
      </c>
      <c r="P19" s="788">
        <v>46139</v>
      </c>
      <c r="Q19" s="788">
        <v>46141</v>
      </c>
      <c r="R19" s="772" t="s">
        <v>64</v>
      </c>
      <c r="S19" s="772" t="s">
        <v>100</v>
      </c>
      <c r="T19" s="772" t="s">
        <v>402</v>
      </c>
    </row>
    <row r="20" spans="1:20" s="772" customFormat="1">
      <c r="A20" s="763" t="s">
        <v>10758</v>
      </c>
      <c r="B20" s="764" t="s">
        <v>10776</v>
      </c>
      <c r="C20" s="765">
        <v>202604</v>
      </c>
      <c r="D20" s="769" t="s">
        <v>10813</v>
      </c>
      <c r="E20" s="787" t="s">
        <v>10814</v>
      </c>
      <c r="F20" s="767" t="s">
        <v>10815</v>
      </c>
      <c r="G20" s="901">
        <v>1</v>
      </c>
      <c r="H20" s="765" t="s">
        <v>66</v>
      </c>
      <c r="I20" s="765" t="s">
        <v>10797</v>
      </c>
      <c r="J20" s="765" t="s">
        <v>289</v>
      </c>
      <c r="K20" s="765" t="s">
        <v>8678</v>
      </c>
      <c r="L20" s="765" t="s">
        <v>9485</v>
      </c>
      <c r="M20" s="787"/>
      <c r="N20" s="787" t="s">
        <v>10798</v>
      </c>
      <c r="O20" s="788">
        <v>46138</v>
      </c>
      <c r="P20" s="788">
        <v>46139</v>
      </c>
      <c r="Q20" s="788">
        <v>46141</v>
      </c>
      <c r="R20" s="772" t="s">
        <v>64</v>
      </c>
      <c r="S20" s="772" t="s">
        <v>100</v>
      </c>
      <c r="T20" s="772" t="s">
        <v>402</v>
      </c>
    </row>
    <row r="21" spans="1:20" s="772" customFormat="1">
      <c r="A21" s="763" t="s">
        <v>10758</v>
      </c>
      <c r="B21" s="764" t="s">
        <v>10776</v>
      </c>
      <c r="C21" s="765">
        <v>202604</v>
      </c>
      <c r="D21" s="769" t="s">
        <v>10816</v>
      </c>
      <c r="E21" s="787" t="s">
        <v>10817</v>
      </c>
      <c r="F21" s="767" t="s">
        <v>10818</v>
      </c>
      <c r="G21" s="901">
        <v>1</v>
      </c>
      <c r="H21" s="765" t="s">
        <v>66</v>
      </c>
      <c r="I21" s="765" t="s">
        <v>10797</v>
      </c>
      <c r="J21" s="765" t="s">
        <v>289</v>
      </c>
      <c r="K21" s="765" t="s">
        <v>8678</v>
      </c>
      <c r="L21" s="765" t="s">
        <v>9485</v>
      </c>
      <c r="M21" s="787"/>
      <c r="N21" s="787" t="s">
        <v>10798</v>
      </c>
      <c r="O21" s="788">
        <v>46138</v>
      </c>
      <c r="P21" s="788">
        <v>46139</v>
      </c>
      <c r="Q21" s="788">
        <v>46141</v>
      </c>
      <c r="R21" s="772" t="s">
        <v>64</v>
      </c>
      <c r="S21" s="772" t="s">
        <v>100</v>
      </c>
      <c r="T21" s="772" t="s">
        <v>402</v>
      </c>
    </row>
    <row r="22" spans="1:20" s="772" customFormat="1">
      <c r="A22" s="763" t="s">
        <v>10758</v>
      </c>
      <c r="B22" s="764" t="s">
        <v>10776</v>
      </c>
      <c r="C22" s="765">
        <v>202604</v>
      </c>
      <c r="D22" s="769" t="s">
        <v>10819</v>
      </c>
      <c r="E22" s="787" t="s">
        <v>10811</v>
      </c>
      <c r="F22" s="767" t="s">
        <v>10820</v>
      </c>
      <c r="G22" s="901">
        <v>2</v>
      </c>
      <c r="H22" s="765" t="s">
        <v>66</v>
      </c>
      <c r="I22" s="765" t="s">
        <v>10797</v>
      </c>
      <c r="J22" s="765" t="s">
        <v>289</v>
      </c>
      <c r="K22" s="765" t="s">
        <v>8678</v>
      </c>
      <c r="L22" s="765" t="s">
        <v>9485</v>
      </c>
      <c r="M22" s="787"/>
      <c r="N22" s="787" t="s">
        <v>10798</v>
      </c>
      <c r="O22" s="788">
        <v>46138</v>
      </c>
      <c r="P22" s="788">
        <v>46139</v>
      </c>
      <c r="Q22" s="788">
        <v>46141</v>
      </c>
      <c r="R22" s="772" t="s">
        <v>64</v>
      </c>
      <c r="S22" s="772" t="s">
        <v>100</v>
      </c>
      <c r="T22" s="772" t="s">
        <v>402</v>
      </c>
    </row>
    <row r="23" spans="1:20" s="772" customFormat="1">
      <c r="A23" s="763" t="s">
        <v>10758</v>
      </c>
      <c r="B23" s="764" t="s">
        <v>10776</v>
      </c>
      <c r="C23" s="765">
        <v>202604</v>
      </c>
      <c r="D23" s="769" t="s">
        <v>10821</v>
      </c>
      <c r="E23" s="787" t="s">
        <v>10811</v>
      </c>
      <c r="F23" s="767" t="s">
        <v>10822</v>
      </c>
      <c r="G23" s="901">
        <v>1</v>
      </c>
      <c r="H23" s="765" t="s">
        <v>66</v>
      </c>
      <c r="I23" s="765" t="s">
        <v>10797</v>
      </c>
      <c r="J23" s="765" t="s">
        <v>289</v>
      </c>
      <c r="K23" s="765" t="s">
        <v>8678</v>
      </c>
      <c r="L23" s="765" t="s">
        <v>9485</v>
      </c>
      <c r="M23" s="787"/>
      <c r="N23" s="787" t="s">
        <v>10798</v>
      </c>
      <c r="O23" s="788">
        <v>46138</v>
      </c>
      <c r="P23" s="788">
        <v>46139</v>
      </c>
      <c r="Q23" s="788">
        <v>46141</v>
      </c>
      <c r="R23" s="772" t="s">
        <v>64</v>
      </c>
      <c r="S23" s="772" t="s">
        <v>100</v>
      </c>
      <c r="T23" s="772" t="s">
        <v>402</v>
      </c>
    </row>
    <row r="24" spans="1:20" s="772" customFormat="1">
      <c r="A24" s="763" t="s">
        <v>10758</v>
      </c>
      <c r="B24" s="764" t="s">
        <v>10776</v>
      </c>
      <c r="C24" s="765">
        <v>202604</v>
      </c>
      <c r="D24" s="769" t="s">
        <v>10823</v>
      </c>
      <c r="E24" s="787" t="s">
        <v>10824</v>
      </c>
      <c r="F24" s="767" t="s">
        <v>10825</v>
      </c>
      <c r="G24" s="901">
        <v>1</v>
      </c>
      <c r="H24" s="765" t="s">
        <v>66</v>
      </c>
      <c r="I24" s="765" t="s">
        <v>10797</v>
      </c>
      <c r="J24" s="765" t="s">
        <v>289</v>
      </c>
      <c r="K24" s="765" t="s">
        <v>8678</v>
      </c>
      <c r="L24" s="765" t="s">
        <v>9485</v>
      </c>
      <c r="M24" s="787"/>
      <c r="N24" s="787" t="s">
        <v>10798</v>
      </c>
      <c r="O24" s="788">
        <v>46138</v>
      </c>
      <c r="P24" s="788">
        <v>46139</v>
      </c>
      <c r="Q24" s="788">
        <v>46141</v>
      </c>
      <c r="R24" s="772" t="s">
        <v>64</v>
      </c>
      <c r="S24" s="772" t="s">
        <v>100</v>
      </c>
      <c r="T24" s="772" t="s">
        <v>402</v>
      </c>
    </row>
    <row r="25" spans="1:20" s="772" customFormat="1">
      <c r="A25" s="763" t="s">
        <v>10758</v>
      </c>
      <c r="B25" s="764" t="s">
        <v>10776</v>
      </c>
      <c r="C25" s="765">
        <v>202604</v>
      </c>
      <c r="D25" s="769" t="s">
        <v>10826</v>
      </c>
      <c r="E25" s="787" t="s">
        <v>10827</v>
      </c>
      <c r="F25" s="767" t="s">
        <v>10828</v>
      </c>
      <c r="G25" s="901">
        <v>2</v>
      </c>
      <c r="H25" s="765" t="s">
        <v>66</v>
      </c>
      <c r="I25" s="765" t="s">
        <v>10797</v>
      </c>
      <c r="J25" s="765" t="s">
        <v>289</v>
      </c>
      <c r="K25" s="765" t="s">
        <v>8678</v>
      </c>
      <c r="L25" s="765" t="s">
        <v>9485</v>
      </c>
      <c r="M25" s="787"/>
      <c r="N25" s="787" t="s">
        <v>10798</v>
      </c>
      <c r="O25" s="788">
        <v>46138</v>
      </c>
      <c r="P25" s="788">
        <v>46139</v>
      </c>
      <c r="Q25" s="788">
        <v>46141</v>
      </c>
      <c r="R25" s="772" t="s">
        <v>64</v>
      </c>
      <c r="S25" s="772" t="s">
        <v>100</v>
      </c>
      <c r="T25" s="772" t="s">
        <v>402</v>
      </c>
    </row>
    <row r="26" spans="1:20" s="772" customFormat="1">
      <c r="A26" s="763" t="s">
        <v>10758</v>
      </c>
      <c r="B26" s="764" t="s">
        <v>10776</v>
      </c>
      <c r="C26" s="765">
        <v>202604</v>
      </c>
      <c r="D26" s="769" t="s">
        <v>10829</v>
      </c>
      <c r="E26" s="787" t="s">
        <v>10830</v>
      </c>
      <c r="F26" s="767" t="s">
        <v>10831</v>
      </c>
      <c r="G26" s="901">
        <v>1</v>
      </c>
      <c r="H26" s="765" t="s">
        <v>66</v>
      </c>
      <c r="I26" s="765" t="s">
        <v>10797</v>
      </c>
      <c r="J26" s="765" t="s">
        <v>289</v>
      </c>
      <c r="K26" s="765" t="s">
        <v>8678</v>
      </c>
      <c r="L26" s="765" t="s">
        <v>9485</v>
      </c>
      <c r="M26" s="787"/>
      <c r="N26" s="787" t="s">
        <v>10798</v>
      </c>
      <c r="O26" s="788">
        <v>46138</v>
      </c>
      <c r="P26" s="788">
        <v>46139</v>
      </c>
      <c r="Q26" s="788">
        <v>46141</v>
      </c>
      <c r="R26" s="772" t="s">
        <v>64</v>
      </c>
      <c r="S26" s="772" t="s">
        <v>100</v>
      </c>
      <c r="T26" s="772" t="s">
        <v>402</v>
      </c>
    </row>
    <row r="27" spans="1:20" s="772" customFormat="1">
      <c r="A27" s="763" t="s">
        <v>10758</v>
      </c>
      <c r="B27" s="764" t="s">
        <v>10776</v>
      </c>
      <c r="C27" s="765">
        <v>202604</v>
      </c>
      <c r="D27" s="769" t="s">
        <v>10832</v>
      </c>
      <c r="E27" s="787" t="s">
        <v>10802</v>
      </c>
      <c r="F27" s="767" t="s">
        <v>10833</v>
      </c>
      <c r="G27" s="901">
        <v>2</v>
      </c>
      <c r="H27" s="765" t="s">
        <v>66</v>
      </c>
      <c r="I27" s="765" t="s">
        <v>10797</v>
      </c>
      <c r="J27" s="765" t="s">
        <v>289</v>
      </c>
      <c r="K27" s="765" t="s">
        <v>8678</v>
      </c>
      <c r="L27" s="765" t="s">
        <v>9485</v>
      </c>
      <c r="M27" s="787"/>
      <c r="N27" s="787" t="s">
        <v>10798</v>
      </c>
      <c r="O27" s="788">
        <v>46138</v>
      </c>
      <c r="P27" s="788">
        <v>46139</v>
      </c>
      <c r="Q27" s="788">
        <v>46141</v>
      </c>
      <c r="R27" s="772" t="s">
        <v>64</v>
      </c>
      <c r="S27" s="772" t="s">
        <v>100</v>
      </c>
      <c r="T27" s="772" t="s">
        <v>402</v>
      </c>
    </row>
    <row r="28" spans="1:20" s="772" customFormat="1">
      <c r="A28" s="763" t="s">
        <v>10758</v>
      </c>
      <c r="B28" s="764" t="s">
        <v>10776</v>
      </c>
      <c r="C28" s="765">
        <v>202604</v>
      </c>
      <c r="D28" s="769" t="s">
        <v>10834</v>
      </c>
      <c r="E28" s="787" t="s">
        <v>10835</v>
      </c>
      <c r="F28" s="767" t="s">
        <v>10836</v>
      </c>
      <c r="G28" s="901">
        <v>1</v>
      </c>
      <c r="H28" s="765" t="s">
        <v>66</v>
      </c>
      <c r="I28" s="765" t="s">
        <v>10797</v>
      </c>
      <c r="J28" s="765" t="s">
        <v>289</v>
      </c>
      <c r="K28" s="765" t="s">
        <v>8678</v>
      </c>
      <c r="L28" s="765" t="s">
        <v>9485</v>
      </c>
      <c r="M28" s="789"/>
      <c r="N28" s="787" t="s">
        <v>10798</v>
      </c>
      <c r="O28" s="790">
        <v>46138</v>
      </c>
      <c r="P28" s="790">
        <v>46139</v>
      </c>
      <c r="Q28" s="790">
        <v>46141</v>
      </c>
      <c r="R28" s="772" t="s">
        <v>64</v>
      </c>
      <c r="S28" s="772" t="s">
        <v>100</v>
      </c>
      <c r="T28" s="772" t="s">
        <v>402</v>
      </c>
    </row>
    <row r="29" spans="1:20" s="772" customFormat="1">
      <c r="A29" s="763" t="s">
        <v>10758</v>
      </c>
      <c r="B29" s="764" t="s">
        <v>10776</v>
      </c>
      <c r="C29" s="765">
        <v>202604</v>
      </c>
      <c r="D29" s="770" t="s">
        <v>10837</v>
      </c>
      <c r="E29" s="768" t="s">
        <v>10838</v>
      </c>
      <c r="F29" s="768" t="s">
        <v>10839</v>
      </c>
      <c r="G29" s="769">
        <v>1</v>
      </c>
      <c r="H29" s="765" t="s">
        <v>66</v>
      </c>
      <c r="I29" s="765" t="s">
        <v>10797</v>
      </c>
      <c r="J29" s="765" t="s">
        <v>289</v>
      </c>
      <c r="K29" s="791" t="s">
        <v>8678</v>
      </c>
      <c r="L29" s="765" t="s">
        <v>9485</v>
      </c>
      <c r="M29" s="787" t="s">
        <v>10840</v>
      </c>
      <c r="N29" s="787" t="s">
        <v>10841</v>
      </c>
      <c r="O29" s="788">
        <v>46142</v>
      </c>
      <c r="P29" s="790">
        <v>46164</v>
      </c>
      <c r="Q29" s="790">
        <v>46165</v>
      </c>
      <c r="R29" s="772" t="s">
        <v>64</v>
      </c>
      <c r="S29" s="772" t="s">
        <v>100</v>
      </c>
      <c r="T29" s="772" t="s">
        <v>402</v>
      </c>
    </row>
    <row r="30" spans="1:20" s="772" customFormat="1">
      <c r="A30" s="763" t="s">
        <v>10758</v>
      </c>
      <c r="B30" s="764" t="s">
        <v>10776</v>
      </c>
      <c r="C30" s="765">
        <v>202604</v>
      </c>
      <c r="D30" s="770" t="s">
        <v>10842</v>
      </c>
      <c r="E30" s="768" t="s">
        <v>10843</v>
      </c>
      <c r="F30" s="768" t="s">
        <v>10844</v>
      </c>
      <c r="G30" s="769">
        <v>1</v>
      </c>
      <c r="H30" s="765" t="s">
        <v>66</v>
      </c>
      <c r="I30" s="765" t="s">
        <v>10797</v>
      </c>
      <c r="J30" s="765" t="s">
        <v>289</v>
      </c>
      <c r="K30" s="791" t="s">
        <v>8678</v>
      </c>
      <c r="L30" s="765" t="s">
        <v>9485</v>
      </c>
      <c r="M30" s="787" t="s">
        <v>10840</v>
      </c>
      <c r="N30" s="787" t="s">
        <v>10841</v>
      </c>
      <c r="O30" s="788">
        <v>46142</v>
      </c>
      <c r="P30" s="790">
        <v>46164</v>
      </c>
      <c r="Q30" s="790">
        <v>46165</v>
      </c>
      <c r="R30" s="772" t="s">
        <v>64</v>
      </c>
      <c r="S30" s="772" t="s">
        <v>100</v>
      </c>
      <c r="T30" s="772" t="s">
        <v>402</v>
      </c>
    </row>
    <row r="31" spans="1:20" s="772" customFormat="1">
      <c r="A31" s="763" t="s">
        <v>10758</v>
      </c>
      <c r="B31" s="764" t="s">
        <v>10776</v>
      </c>
      <c r="C31" s="765">
        <v>202604</v>
      </c>
      <c r="D31" s="770" t="s">
        <v>10845</v>
      </c>
      <c r="E31" s="768" t="s">
        <v>10846</v>
      </c>
      <c r="F31" s="768" t="s">
        <v>10847</v>
      </c>
      <c r="G31" s="769">
        <v>1</v>
      </c>
      <c r="H31" s="765" t="s">
        <v>66</v>
      </c>
      <c r="I31" s="765" t="s">
        <v>10797</v>
      </c>
      <c r="J31" s="765" t="s">
        <v>289</v>
      </c>
      <c r="K31" s="791" t="s">
        <v>8678</v>
      </c>
      <c r="L31" s="765" t="s">
        <v>9485</v>
      </c>
      <c r="M31" s="787" t="s">
        <v>10840</v>
      </c>
      <c r="N31" s="787" t="s">
        <v>10841</v>
      </c>
      <c r="O31" s="788">
        <v>46142</v>
      </c>
      <c r="P31" s="790">
        <v>46164</v>
      </c>
      <c r="Q31" s="790">
        <v>46165</v>
      </c>
      <c r="R31" s="772" t="s">
        <v>64</v>
      </c>
      <c r="S31" s="772" t="s">
        <v>100</v>
      </c>
      <c r="T31" s="772" t="s">
        <v>402</v>
      </c>
    </row>
    <row r="32" spans="1:20" s="772" customFormat="1">
      <c r="A32" s="763" t="s">
        <v>10758</v>
      </c>
      <c r="B32" s="764" t="s">
        <v>10776</v>
      </c>
      <c r="C32" s="765">
        <v>202604</v>
      </c>
      <c r="D32" s="770" t="s">
        <v>10848</v>
      </c>
      <c r="E32" s="768" t="s">
        <v>10843</v>
      </c>
      <c r="F32" s="768" t="s">
        <v>10849</v>
      </c>
      <c r="G32" s="769">
        <v>1</v>
      </c>
      <c r="H32" s="765" t="s">
        <v>66</v>
      </c>
      <c r="I32" s="765" t="s">
        <v>10797</v>
      </c>
      <c r="J32" s="765" t="s">
        <v>289</v>
      </c>
      <c r="K32" s="791" t="s">
        <v>8678</v>
      </c>
      <c r="L32" s="765" t="s">
        <v>9485</v>
      </c>
      <c r="M32" s="787" t="s">
        <v>10840</v>
      </c>
      <c r="N32" s="787" t="s">
        <v>10841</v>
      </c>
      <c r="O32" s="788">
        <v>46142</v>
      </c>
      <c r="P32" s="790">
        <v>46164</v>
      </c>
      <c r="Q32" s="790">
        <v>46165</v>
      </c>
      <c r="R32" s="772" t="s">
        <v>64</v>
      </c>
      <c r="S32" s="772" t="s">
        <v>100</v>
      </c>
      <c r="T32" s="772" t="s">
        <v>402</v>
      </c>
    </row>
    <row r="33" spans="1:20" s="772" customFormat="1">
      <c r="A33" s="763" t="s">
        <v>10758</v>
      </c>
      <c r="B33" s="764" t="s">
        <v>10776</v>
      </c>
      <c r="C33" s="765">
        <v>202604</v>
      </c>
      <c r="D33" s="770" t="s">
        <v>10850</v>
      </c>
      <c r="E33" s="768" t="s">
        <v>10851</v>
      </c>
      <c r="F33" s="768" t="s">
        <v>10852</v>
      </c>
      <c r="G33" s="769">
        <v>1</v>
      </c>
      <c r="H33" s="765" t="s">
        <v>66</v>
      </c>
      <c r="I33" s="765" t="s">
        <v>10797</v>
      </c>
      <c r="J33" s="765" t="s">
        <v>289</v>
      </c>
      <c r="K33" s="791" t="s">
        <v>8678</v>
      </c>
      <c r="L33" s="765" t="s">
        <v>9485</v>
      </c>
      <c r="M33" s="787" t="s">
        <v>10840</v>
      </c>
      <c r="N33" s="787" t="s">
        <v>10841</v>
      </c>
      <c r="O33" s="788">
        <v>46142</v>
      </c>
      <c r="P33" s="790">
        <v>46164</v>
      </c>
      <c r="Q33" s="790">
        <v>46165</v>
      </c>
      <c r="R33" s="772" t="s">
        <v>64</v>
      </c>
      <c r="S33" s="772" t="s">
        <v>100</v>
      </c>
      <c r="T33" s="772" t="s">
        <v>402</v>
      </c>
    </row>
    <row r="34" spans="1:20" s="772" customFormat="1">
      <c r="A34" s="763" t="s">
        <v>10758</v>
      </c>
      <c r="B34" s="764" t="s">
        <v>10776</v>
      </c>
      <c r="C34" s="765">
        <v>202604</v>
      </c>
      <c r="D34" s="770" t="s">
        <v>10853</v>
      </c>
      <c r="E34" s="768" t="s">
        <v>10854</v>
      </c>
      <c r="F34" s="768" t="s">
        <v>10855</v>
      </c>
      <c r="G34" s="769">
        <v>1</v>
      </c>
      <c r="H34" s="765" t="s">
        <v>66</v>
      </c>
      <c r="I34" s="765" t="s">
        <v>10797</v>
      </c>
      <c r="J34" s="765" t="s">
        <v>289</v>
      </c>
      <c r="K34" s="791" t="s">
        <v>8678</v>
      </c>
      <c r="L34" s="765" t="s">
        <v>9485</v>
      </c>
      <c r="M34" s="787" t="s">
        <v>10840</v>
      </c>
      <c r="N34" s="787" t="s">
        <v>10841</v>
      </c>
      <c r="O34" s="788">
        <v>46142</v>
      </c>
      <c r="P34" s="790">
        <v>46164</v>
      </c>
      <c r="Q34" s="790">
        <v>46165</v>
      </c>
      <c r="R34" s="772" t="s">
        <v>64</v>
      </c>
      <c r="S34" s="772" t="s">
        <v>100</v>
      </c>
      <c r="T34" s="772" t="s">
        <v>402</v>
      </c>
    </row>
    <row r="35" spans="1:20" s="772" customFormat="1">
      <c r="A35" s="763" t="s">
        <v>10758</v>
      </c>
      <c r="B35" s="764" t="s">
        <v>10776</v>
      </c>
      <c r="C35" s="765">
        <v>202604</v>
      </c>
      <c r="D35" s="770" t="s">
        <v>10856</v>
      </c>
      <c r="E35" s="768" t="s">
        <v>10857</v>
      </c>
      <c r="F35" s="768" t="s">
        <v>10858</v>
      </c>
      <c r="G35" s="769">
        <v>1</v>
      </c>
      <c r="H35" s="765" t="s">
        <v>66</v>
      </c>
      <c r="I35" s="765" t="s">
        <v>10797</v>
      </c>
      <c r="J35" s="765" t="s">
        <v>289</v>
      </c>
      <c r="K35" s="791" t="s">
        <v>8678</v>
      </c>
      <c r="L35" s="765" t="s">
        <v>9485</v>
      </c>
      <c r="M35" s="787" t="s">
        <v>10840</v>
      </c>
      <c r="N35" s="787" t="s">
        <v>10841</v>
      </c>
      <c r="O35" s="788">
        <v>46142</v>
      </c>
      <c r="P35" s="790">
        <v>46164</v>
      </c>
      <c r="Q35" s="790">
        <v>46165</v>
      </c>
      <c r="R35" s="772" t="s">
        <v>64</v>
      </c>
      <c r="S35" s="772" t="s">
        <v>100</v>
      </c>
      <c r="T35" s="772" t="s">
        <v>402</v>
      </c>
    </row>
    <row r="36" spans="1:20" s="772" customFormat="1">
      <c r="A36" s="763" t="s">
        <v>10758</v>
      </c>
      <c r="B36" s="764" t="s">
        <v>10776</v>
      </c>
      <c r="C36" s="765">
        <v>202604</v>
      </c>
      <c r="D36" s="770" t="s">
        <v>10859</v>
      </c>
      <c r="E36" s="768" t="s">
        <v>10860</v>
      </c>
      <c r="F36" s="768" t="s">
        <v>10861</v>
      </c>
      <c r="G36" s="769">
        <v>1</v>
      </c>
      <c r="H36" s="765" t="s">
        <v>66</v>
      </c>
      <c r="I36" s="765" t="s">
        <v>10797</v>
      </c>
      <c r="J36" s="765" t="s">
        <v>289</v>
      </c>
      <c r="K36" s="791" t="s">
        <v>8678</v>
      </c>
      <c r="L36" s="765" t="s">
        <v>9485</v>
      </c>
      <c r="M36" s="787" t="s">
        <v>10840</v>
      </c>
      <c r="N36" s="787" t="s">
        <v>10841</v>
      </c>
      <c r="O36" s="788">
        <v>46142</v>
      </c>
      <c r="P36" s="790">
        <v>46164</v>
      </c>
      <c r="Q36" s="790">
        <v>46165</v>
      </c>
      <c r="R36" s="772" t="s">
        <v>64</v>
      </c>
      <c r="S36" s="772" t="s">
        <v>100</v>
      </c>
      <c r="T36" s="772" t="s">
        <v>402</v>
      </c>
    </row>
    <row r="37" spans="1:20" s="772" customFormat="1">
      <c r="A37" s="763" t="s">
        <v>10758</v>
      </c>
      <c r="B37" s="764" t="s">
        <v>10776</v>
      </c>
      <c r="C37" s="765">
        <v>202604</v>
      </c>
      <c r="D37" s="770" t="s">
        <v>10862</v>
      </c>
      <c r="E37" s="768" t="s">
        <v>10860</v>
      </c>
      <c r="F37" s="768" t="s">
        <v>10863</v>
      </c>
      <c r="G37" s="769">
        <v>1</v>
      </c>
      <c r="H37" s="765" t="s">
        <v>66</v>
      </c>
      <c r="I37" s="765" t="s">
        <v>10797</v>
      </c>
      <c r="J37" s="765" t="s">
        <v>289</v>
      </c>
      <c r="K37" s="791" t="s">
        <v>8678</v>
      </c>
      <c r="L37" s="765" t="s">
        <v>9485</v>
      </c>
      <c r="M37" s="787" t="s">
        <v>10840</v>
      </c>
      <c r="N37" s="787" t="s">
        <v>10841</v>
      </c>
      <c r="O37" s="788">
        <v>46142</v>
      </c>
      <c r="P37" s="790">
        <v>46164</v>
      </c>
      <c r="Q37" s="790">
        <v>46165</v>
      </c>
      <c r="R37" s="772" t="s">
        <v>64</v>
      </c>
      <c r="S37" s="772" t="s">
        <v>100</v>
      </c>
      <c r="T37" s="772" t="s">
        <v>402</v>
      </c>
    </row>
    <row r="38" spans="1:20" s="772" customFormat="1">
      <c r="A38" s="763" t="s">
        <v>10758</v>
      </c>
      <c r="B38" s="764" t="s">
        <v>10776</v>
      </c>
      <c r="C38" s="765">
        <v>202604</v>
      </c>
      <c r="D38" s="770" t="s">
        <v>10864</v>
      </c>
      <c r="E38" s="768" t="s">
        <v>10808</v>
      </c>
      <c r="F38" s="768" t="s">
        <v>10865</v>
      </c>
      <c r="G38" s="769">
        <v>1</v>
      </c>
      <c r="H38" s="765" t="s">
        <v>66</v>
      </c>
      <c r="I38" s="765" t="s">
        <v>10797</v>
      </c>
      <c r="J38" s="765" t="s">
        <v>289</v>
      </c>
      <c r="K38" s="791" t="s">
        <v>8678</v>
      </c>
      <c r="L38" s="765" t="s">
        <v>9485</v>
      </c>
      <c r="M38" s="787" t="s">
        <v>10840</v>
      </c>
      <c r="N38" s="787" t="s">
        <v>10841</v>
      </c>
      <c r="O38" s="788">
        <v>46142</v>
      </c>
      <c r="P38" s="790">
        <v>46164</v>
      </c>
      <c r="Q38" s="790">
        <v>46165</v>
      </c>
      <c r="R38" s="772" t="s">
        <v>64</v>
      </c>
      <c r="S38" s="772" t="s">
        <v>100</v>
      </c>
      <c r="T38" s="772" t="s">
        <v>402</v>
      </c>
    </row>
    <row r="39" spans="1:20" s="772" customFormat="1">
      <c r="A39" s="763" t="s">
        <v>10758</v>
      </c>
      <c r="B39" s="764" t="s">
        <v>10776</v>
      </c>
      <c r="C39" s="765">
        <v>202604</v>
      </c>
      <c r="D39" s="770" t="s">
        <v>10866</v>
      </c>
      <c r="E39" s="768" t="s">
        <v>10867</v>
      </c>
      <c r="F39" s="768" t="s">
        <v>10868</v>
      </c>
      <c r="G39" s="769">
        <v>1</v>
      </c>
      <c r="H39" s="765" t="s">
        <v>66</v>
      </c>
      <c r="I39" s="765" t="s">
        <v>10797</v>
      </c>
      <c r="J39" s="765" t="s">
        <v>289</v>
      </c>
      <c r="K39" s="791" t="s">
        <v>8678</v>
      </c>
      <c r="L39" s="765" t="s">
        <v>9485</v>
      </c>
      <c r="M39" s="787" t="s">
        <v>10840</v>
      </c>
      <c r="N39" s="787" t="s">
        <v>10841</v>
      </c>
      <c r="O39" s="788">
        <v>46142</v>
      </c>
      <c r="P39" s="790">
        <v>46164</v>
      </c>
      <c r="Q39" s="790">
        <v>46165</v>
      </c>
      <c r="R39" s="772" t="s">
        <v>64</v>
      </c>
      <c r="S39" s="772" t="s">
        <v>100</v>
      </c>
      <c r="T39" s="772" t="s">
        <v>402</v>
      </c>
    </row>
    <row r="40" spans="1:20" s="772" customFormat="1">
      <c r="A40" s="763" t="s">
        <v>10758</v>
      </c>
      <c r="B40" s="764" t="s">
        <v>10776</v>
      </c>
      <c r="C40" s="765">
        <v>202604</v>
      </c>
      <c r="D40" s="770" t="s">
        <v>10869</v>
      </c>
      <c r="E40" s="768" t="s">
        <v>10870</v>
      </c>
      <c r="F40" s="768" t="s">
        <v>10871</v>
      </c>
      <c r="G40" s="769">
        <v>1</v>
      </c>
      <c r="H40" s="765" t="s">
        <v>66</v>
      </c>
      <c r="I40" s="765" t="s">
        <v>10797</v>
      </c>
      <c r="J40" s="765" t="s">
        <v>289</v>
      </c>
      <c r="K40" s="791" t="s">
        <v>8678</v>
      </c>
      <c r="L40" s="765" t="s">
        <v>9485</v>
      </c>
      <c r="M40" s="787" t="s">
        <v>10840</v>
      </c>
      <c r="N40" s="787" t="s">
        <v>10841</v>
      </c>
      <c r="O40" s="788">
        <v>46142</v>
      </c>
      <c r="P40" s="790">
        <v>46164</v>
      </c>
      <c r="Q40" s="790">
        <v>46165</v>
      </c>
      <c r="R40" s="772" t="s">
        <v>64</v>
      </c>
      <c r="S40" s="772" t="s">
        <v>100</v>
      </c>
      <c r="T40" s="772" t="s">
        <v>402</v>
      </c>
    </row>
    <row r="41" spans="1:20" s="772" customFormat="1">
      <c r="A41" s="763" t="s">
        <v>10758</v>
      </c>
      <c r="B41" s="764" t="s">
        <v>10776</v>
      </c>
      <c r="C41" s="765">
        <v>202604</v>
      </c>
      <c r="D41" s="770" t="s">
        <v>10872</v>
      </c>
      <c r="E41" s="768" t="s">
        <v>10873</v>
      </c>
      <c r="F41" s="768" t="s">
        <v>10874</v>
      </c>
      <c r="G41" s="769">
        <v>1</v>
      </c>
      <c r="H41" s="765" t="s">
        <v>66</v>
      </c>
      <c r="I41" s="765" t="s">
        <v>10797</v>
      </c>
      <c r="J41" s="765" t="s">
        <v>289</v>
      </c>
      <c r="K41" s="791" t="s">
        <v>8678</v>
      </c>
      <c r="L41" s="765" t="s">
        <v>9485</v>
      </c>
      <c r="M41" s="787" t="s">
        <v>10840</v>
      </c>
      <c r="N41" s="787" t="s">
        <v>10841</v>
      </c>
      <c r="O41" s="788">
        <v>46142</v>
      </c>
      <c r="P41" s="790">
        <v>46164</v>
      </c>
      <c r="Q41" s="790">
        <v>46165</v>
      </c>
      <c r="R41" s="772" t="s">
        <v>64</v>
      </c>
      <c r="S41" s="772" t="s">
        <v>100</v>
      </c>
      <c r="T41" s="772" t="s">
        <v>402</v>
      </c>
    </row>
    <row r="42" spans="1:20" s="772" customFormat="1">
      <c r="A42" s="763" t="s">
        <v>10758</v>
      </c>
      <c r="B42" s="764" t="s">
        <v>10776</v>
      </c>
      <c r="C42" s="765">
        <v>202604</v>
      </c>
      <c r="D42" s="770" t="s">
        <v>10875</v>
      </c>
      <c r="E42" s="768" t="s">
        <v>10876</v>
      </c>
      <c r="F42" s="768" t="s">
        <v>10877</v>
      </c>
      <c r="G42" s="769">
        <v>1</v>
      </c>
      <c r="H42" s="765" t="s">
        <v>66</v>
      </c>
      <c r="I42" s="765" t="s">
        <v>10797</v>
      </c>
      <c r="J42" s="765" t="s">
        <v>289</v>
      </c>
      <c r="K42" s="791" t="s">
        <v>8678</v>
      </c>
      <c r="L42" s="765" t="s">
        <v>9485</v>
      </c>
      <c r="M42" s="787" t="s">
        <v>10840</v>
      </c>
      <c r="N42" s="787" t="s">
        <v>10841</v>
      </c>
      <c r="O42" s="788">
        <v>46142</v>
      </c>
      <c r="P42" s="790">
        <v>46164</v>
      </c>
      <c r="Q42" s="790">
        <v>46165</v>
      </c>
      <c r="R42" s="772" t="s">
        <v>64</v>
      </c>
      <c r="S42" s="772" t="s">
        <v>100</v>
      </c>
      <c r="T42" s="772" t="s">
        <v>402</v>
      </c>
    </row>
    <row r="43" spans="1:20" s="772" customFormat="1">
      <c r="A43" s="792" t="s">
        <v>10758</v>
      </c>
      <c r="B43" s="793" t="s">
        <v>10776</v>
      </c>
      <c r="C43" s="794">
        <v>202604</v>
      </c>
      <c r="D43" s="795" t="s">
        <v>10878</v>
      </c>
      <c r="E43" s="796" t="s">
        <v>10879</v>
      </c>
      <c r="F43" s="796" t="s">
        <v>10880</v>
      </c>
      <c r="G43" s="797">
        <v>1</v>
      </c>
      <c r="H43" s="794" t="s">
        <v>66</v>
      </c>
      <c r="I43" s="794" t="s">
        <v>10797</v>
      </c>
      <c r="J43" s="794" t="s">
        <v>289</v>
      </c>
      <c r="K43" s="798" t="s">
        <v>8678</v>
      </c>
      <c r="L43" s="794" t="s">
        <v>9485</v>
      </c>
      <c r="M43" s="799" t="s">
        <v>10840</v>
      </c>
      <c r="N43" s="799" t="s">
        <v>10841</v>
      </c>
      <c r="O43" s="800">
        <v>46142</v>
      </c>
      <c r="P43" s="801">
        <v>46164</v>
      </c>
      <c r="Q43" s="801">
        <v>46165</v>
      </c>
      <c r="R43" s="772" t="s">
        <v>64</v>
      </c>
      <c r="S43" s="772" t="s">
        <v>100</v>
      </c>
      <c r="T43" s="772" t="s">
        <v>402</v>
      </c>
    </row>
    <row r="44" spans="1:20" s="772" customFormat="1" ht="13.5" customHeight="1">
      <c r="A44" s="763" t="s">
        <v>10758</v>
      </c>
      <c r="B44" s="764" t="s">
        <v>10776</v>
      </c>
      <c r="C44" s="765">
        <v>202604</v>
      </c>
      <c r="D44" s="770" t="s">
        <v>10881</v>
      </c>
      <c r="E44" s="768" t="s">
        <v>10882</v>
      </c>
      <c r="F44" s="768" t="s">
        <v>10883</v>
      </c>
      <c r="G44" s="802">
        <v>1</v>
      </c>
      <c r="H44" s="765" t="s">
        <v>66</v>
      </c>
      <c r="I44" s="765" t="s">
        <v>10797</v>
      </c>
      <c r="J44" s="765" t="s">
        <v>289</v>
      </c>
      <c r="K44" s="791" t="s">
        <v>8678</v>
      </c>
      <c r="L44" s="765" t="s">
        <v>9485</v>
      </c>
      <c r="M44" s="787" t="s">
        <v>10840</v>
      </c>
      <c r="N44" s="787" t="s">
        <v>10841</v>
      </c>
      <c r="O44" s="788">
        <v>46142</v>
      </c>
      <c r="P44" s="790">
        <v>46164</v>
      </c>
      <c r="Q44" s="790">
        <v>46165</v>
      </c>
      <c r="R44" s="772" t="s">
        <v>64</v>
      </c>
      <c r="S44" s="772" t="s">
        <v>100</v>
      </c>
      <c r="T44" s="772" t="s">
        <v>402</v>
      </c>
    </row>
    <row r="45" spans="1:20" s="772" customFormat="1" ht="14.25" customHeight="1">
      <c r="A45" s="763" t="s">
        <v>10758</v>
      </c>
      <c r="B45" s="764" t="s">
        <v>10776</v>
      </c>
      <c r="C45" s="765">
        <v>202604</v>
      </c>
      <c r="D45" s="770" t="s">
        <v>10884</v>
      </c>
      <c r="E45" s="768" t="s">
        <v>10885</v>
      </c>
      <c r="F45" s="768" t="s">
        <v>10886</v>
      </c>
      <c r="G45" s="802">
        <v>1</v>
      </c>
      <c r="H45" s="765" t="s">
        <v>66</v>
      </c>
      <c r="I45" s="765" t="s">
        <v>10797</v>
      </c>
      <c r="J45" s="765" t="s">
        <v>289</v>
      </c>
      <c r="K45" s="791" t="s">
        <v>8678</v>
      </c>
      <c r="L45" s="765" t="s">
        <v>9485</v>
      </c>
      <c r="M45" s="787" t="s">
        <v>10840</v>
      </c>
      <c r="N45" s="787" t="s">
        <v>10841</v>
      </c>
      <c r="O45" s="788">
        <v>46142</v>
      </c>
      <c r="P45" s="790">
        <v>46164</v>
      </c>
      <c r="Q45" s="790">
        <v>46165</v>
      </c>
      <c r="R45" s="772" t="s">
        <v>64</v>
      </c>
      <c r="S45" s="772" t="s">
        <v>100</v>
      </c>
      <c r="T45" s="772" t="s">
        <v>402</v>
      </c>
    </row>
    <row r="46" spans="1:20" s="772" customFormat="1">
      <c r="A46" s="763" t="s">
        <v>10758</v>
      </c>
      <c r="B46" s="764" t="s">
        <v>10776</v>
      </c>
      <c r="C46" s="765">
        <v>202604</v>
      </c>
      <c r="D46" s="770" t="s">
        <v>10887</v>
      </c>
      <c r="E46" s="768" t="s">
        <v>10888</v>
      </c>
      <c r="F46" s="768" t="s">
        <v>10889</v>
      </c>
      <c r="G46" s="769">
        <v>1</v>
      </c>
      <c r="H46" s="765" t="s">
        <v>66</v>
      </c>
      <c r="I46" s="765" t="s">
        <v>10797</v>
      </c>
      <c r="J46" s="765" t="s">
        <v>289</v>
      </c>
      <c r="K46" s="791" t="s">
        <v>8678</v>
      </c>
      <c r="L46" s="765" t="s">
        <v>9485</v>
      </c>
      <c r="M46" s="787" t="s">
        <v>10840</v>
      </c>
      <c r="N46" s="787" t="s">
        <v>10841</v>
      </c>
      <c r="O46" s="788">
        <v>46142</v>
      </c>
      <c r="P46" s="790">
        <v>46164</v>
      </c>
      <c r="Q46" s="790">
        <v>46165</v>
      </c>
      <c r="R46" s="772" t="s">
        <v>64</v>
      </c>
      <c r="S46" s="772" t="s">
        <v>100</v>
      </c>
      <c r="T46" s="772" t="s">
        <v>402</v>
      </c>
    </row>
    <row r="47" spans="1:20" s="772" customFormat="1">
      <c r="A47" s="763" t="s">
        <v>10758</v>
      </c>
      <c r="B47" s="764" t="s">
        <v>10776</v>
      </c>
      <c r="C47" s="765">
        <v>202604</v>
      </c>
      <c r="D47" s="770" t="s">
        <v>10890</v>
      </c>
      <c r="E47" s="768" t="s">
        <v>10891</v>
      </c>
      <c r="F47" s="768" t="s">
        <v>10892</v>
      </c>
      <c r="G47" s="769">
        <v>1</v>
      </c>
      <c r="H47" s="765" t="s">
        <v>66</v>
      </c>
      <c r="I47" s="765" t="s">
        <v>10797</v>
      </c>
      <c r="J47" s="765" t="s">
        <v>289</v>
      </c>
      <c r="K47" s="791" t="s">
        <v>8678</v>
      </c>
      <c r="L47" s="765" t="s">
        <v>9485</v>
      </c>
      <c r="M47" s="787" t="s">
        <v>10840</v>
      </c>
      <c r="N47" s="787" t="s">
        <v>10841</v>
      </c>
      <c r="O47" s="788">
        <v>46142</v>
      </c>
      <c r="P47" s="790">
        <v>46164</v>
      </c>
      <c r="Q47" s="790">
        <v>46165</v>
      </c>
      <c r="R47" s="772" t="s">
        <v>64</v>
      </c>
      <c r="S47" s="772" t="s">
        <v>100</v>
      </c>
      <c r="T47" s="772" t="s">
        <v>402</v>
      </c>
    </row>
    <row r="48" spans="1:20" s="772" customFormat="1">
      <c r="A48" s="763" t="s">
        <v>10758</v>
      </c>
      <c r="B48" s="764" t="s">
        <v>10776</v>
      </c>
      <c r="C48" s="765">
        <v>202604</v>
      </c>
      <c r="D48" s="770" t="s">
        <v>10893</v>
      </c>
      <c r="E48" s="768" t="s">
        <v>10894</v>
      </c>
      <c r="F48" s="768" t="s">
        <v>10895</v>
      </c>
      <c r="G48" s="769">
        <v>1</v>
      </c>
      <c r="H48" s="765" t="s">
        <v>66</v>
      </c>
      <c r="I48" s="765" t="s">
        <v>10797</v>
      </c>
      <c r="J48" s="765" t="s">
        <v>289</v>
      </c>
      <c r="K48" s="791" t="s">
        <v>8678</v>
      </c>
      <c r="L48" s="765" t="s">
        <v>9485</v>
      </c>
      <c r="M48" s="787" t="s">
        <v>10840</v>
      </c>
      <c r="N48" s="787" t="s">
        <v>10841</v>
      </c>
      <c r="O48" s="788">
        <v>46142</v>
      </c>
      <c r="P48" s="790">
        <v>46164</v>
      </c>
      <c r="Q48" s="790">
        <v>46165</v>
      </c>
      <c r="R48" s="772" t="s">
        <v>64</v>
      </c>
      <c r="S48" s="772" t="s">
        <v>100</v>
      </c>
      <c r="T48" s="772" t="s">
        <v>402</v>
      </c>
    </row>
    <row r="49" spans="1:20" s="772" customFormat="1">
      <c r="A49" s="763" t="s">
        <v>10758</v>
      </c>
      <c r="B49" s="764" t="s">
        <v>10776</v>
      </c>
      <c r="C49" s="765">
        <v>202604</v>
      </c>
      <c r="D49" s="770" t="s">
        <v>10896</v>
      </c>
      <c r="E49" s="768" t="s">
        <v>10897</v>
      </c>
      <c r="F49" s="768" t="s">
        <v>10898</v>
      </c>
      <c r="G49" s="769">
        <v>1</v>
      </c>
      <c r="H49" s="765" t="s">
        <v>66</v>
      </c>
      <c r="I49" s="765" t="s">
        <v>10797</v>
      </c>
      <c r="J49" s="765" t="s">
        <v>289</v>
      </c>
      <c r="K49" s="791" t="s">
        <v>8678</v>
      </c>
      <c r="L49" s="765" t="s">
        <v>9485</v>
      </c>
      <c r="M49" s="787" t="s">
        <v>10840</v>
      </c>
      <c r="N49" s="787" t="s">
        <v>10841</v>
      </c>
      <c r="O49" s="788">
        <v>46142</v>
      </c>
      <c r="P49" s="790">
        <v>46164</v>
      </c>
      <c r="Q49" s="790">
        <v>46165</v>
      </c>
      <c r="R49" s="772" t="s">
        <v>64</v>
      </c>
      <c r="S49" s="772" t="s">
        <v>100</v>
      </c>
      <c r="T49" s="772" t="s">
        <v>402</v>
      </c>
    </row>
    <row r="50" spans="1:20" s="772" customFormat="1">
      <c r="A50" s="763" t="s">
        <v>10758</v>
      </c>
      <c r="B50" s="764" t="s">
        <v>10776</v>
      </c>
      <c r="C50" s="765">
        <v>202604</v>
      </c>
      <c r="D50" s="770" t="s">
        <v>10899</v>
      </c>
      <c r="E50" s="768" t="s">
        <v>10900</v>
      </c>
      <c r="F50" s="768" t="s">
        <v>10901</v>
      </c>
      <c r="G50" s="769">
        <v>1</v>
      </c>
      <c r="H50" s="765" t="s">
        <v>66</v>
      </c>
      <c r="I50" s="765" t="s">
        <v>10797</v>
      </c>
      <c r="J50" s="765" t="s">
        <v>289</v>
      </c>
      <c r="K50" s="791" t="s">
        <v>8678</v>
      </c>
      <c r="L50" s="765" t="s">
        <v>9485</v>
      </c>
      <c r="M50" s="787" t="s">
        <v>10840</v>
      </c>
      <c r="N50" s="787" t="s">
        <v>10841</v>
      </c>
      <c r="O50" s="788">
        <v>46142</v>
      </c>
      <c r="P50" s="790">
        <v>46164</v>
      </c>
      <c r="Q50" s="790">
        <v>46165</v>
      </c>
      <c r="R50" s="772" t="s">
        <v>64</v>
      </c>
      <c r="S50" s="772" t="s">
        <v>100</v>
      </c>
      <c r="T50" s="772" t="s">
        <v>402</v>
      </c>
    </row>
    <row r="51" spans="1:20" s="772" customFormat="1">
      <c r="A51" s="803" t="s">
        <v>10758</v>
      </c>
      <c r="B51" s="773" t="s">
        <v>10776</v>
      </c>
      <c r="C51" s="774">
        <v>202604</v>
      </c>
      <c r="D51" s="804" t="s">
        <v>10902</v>
      </c>
      <c r="E51" s="777" t="s">
        <v>10830</v>
      </c>
      <c r="F51" s="777" t="s">
        <v>10903</v>
      </c>
      <c r="G51" s="778">
        <v>2</v>
      </c>
      <c r="H51" s="774" t="s">
        <v>66</v>
      </c>
      <c r="I51" s="774" t="s">
        <v>10797</v>
      </c>
      <c r="J51" s="774" t="s">
        <v>289</v>
      </c>
      <c r="K51" s="805" t="s">
        <v>8678</v>
      </c>
      <c r="L51" s="774" t="s">
        <v>9485</v>
      </c>
      <c r="M51" s="787" t="s">
        <v>10840</v>
      </c>
      <c r="N51" s="787" t="s">
        <v>10841</v>
      </c>
      <c r="O51" s="790">
        <v>46142</v>
      </c>
      <c r="P51" s="790">
        <v>46164</v>
      </c>
      <c r="Q51" s="790">
        <v>46165</v>
      </c>
      <c r="R51" s="772" t="s">
        <v>64</v>
      </c>
      <c r="S51" s="772" t="s">
        <v>100</v>
      </c>
      <c r="T51" s="772" t="s">
        <v>402</v>
      </c>
    </row>
    <row r="52" spans="1:20" s="812" customFormat="1" ht="17.25" customHeight="1">
      <c r="A52" s="806" t="s">
        <v>10904</v>
      </c>
      <c r="B52" s="807" t="s">
        <v>9375</v>
      </c>
      <c r="C52" s="806">
        <v>202604</v>
      </c>
      <c r="D52" s="806" t="s">
        <v>8483</v>
      </c>
      <c r="E52" s="808" t="s">
        <v>10905</v>
      </c>
      <c r="F52" s="809" t="s">
        <v>8546</v>
      </c>
      <c r="G52" s="806">
        <v>1</v>
      </c>
      <c r="H52" s="806" t="s">
        <v>146</v>
      </c>
      <c r="I52" s="806" t="s">
        <v>10797</v>
      </c>
      <c r="J52" s="806" t="s">
        <v>289</v>
      </c>
      <c r="K52" s="806" t="s">
        <v>8468</v>
      </c>
      <c r="L52" s="806" t="s">
        <v>10906</v>
      </c>
      <c r="M52" s="810" t="s">
        <v>10906</v>
      </c>
      <c r="N52" s="810" t="s">
        <v>10907</v>
      </c>
      <c r="O52" s="811">
        <v>46151</v>
      </c>
      <c r="P52" s="811">
        <v>46153</v>
      </c>
      <c r="Q52" s="811">
        <v>46153</v>
      </c>
    </row>
    <row r="53" spans="1:20" s="812" customFormat="1" ht="17.25" customHeight="1">
      <c r="A53" s="806" t="s">
        <v>10904</v>
      </c>
      <c r="B53" s="807" t="s">
        <v>9375</v>
      </c>
      <c r="C53" s="806">
        <v>202604</v>
      </c>
      <c r="D53" s="806" t="s">
        <v>8487</v>
      </c>
      <c r="E53" s="808" t="s">
        <v>10908</v>
      </c>
      <c r="F53" s="809" t="s">
        <v>8549</v>
      </c>
      <c r="G53" s="806">
        <v>1</v>
      </c>
      <c r="H53" s="806" t="s">
        <v>146</v>
      </c>
      <c r="I53" s="806" t="s">
        <v>10797</v>
      </c>
      <c r="J53" s="806" t="s">
        <v>289</v>
      </c>
      <c r="K53" s="806" t="s">
        <v>8468</v>
      </c>
      <c r="L53" s="806" t="s">
        <v>10906</v>
      </c>
      <c r="M53" s="810" t="s">
        <v>10906</v>
      </c>
      <c r="N53" s="810" t="s">
        <v>10907</v>
      </c>
      <c r="O53" s="811">
        <v>46151</v>
      </c>
      <c r="P53" s="811">
        <v>46153</v>
      </c>
      <c r="Q53" s="811">
        <v>46153</v>
      </c>
    </row>
    <row r="54" spans="1:20" s="812" customFormat="1" ht="17.25" customHeight="1">
      <c r="A54" s="813" t="s">
        <v>10904</v>
      </c>
      <c r="B54" s="814" t="s">
        <v>9375</v>
      </c>
      <c r="C54" s="813">
        <v>202604</v>
      </c>
      <c r="D54" s="813" t="s">
        <v>8491</v>
      </c>
      <c r="E54" s="815" t="s">
        <v>10908</v>
      </c>
      <c r="F54" s="815" t="s">
        <v>8552</v>
      </c>
      <c r="G54" s="813">
        <v>1</v>
      </c>
      <c r="H54" s="813" t="s">
        <v>146</v>
      </c>
      <c r="I54" s="813" t="s">
        <v>10797</v>
      </c>
      <c r="J54" s="813" t="s">
        <v>289</v>
      </c>
      <c r="K54" s="813" t="s">
        <v>8468</v>
      </c>
      <c r="L54" s="806" t="s">
        <v>10906</v>
      </c>
      <c r="M54" s="810" t="s">
        <v>10906</v>
      </c>
      <c r="N54" s="810" t="s">
        <v>10907</v>
      </c>
      <c r="O54" s="816">
        <v>46151</v>
      </c>
      <c r="P54" s="816">
        <v>46153</v>
      </c>
      <c r="Q54" s="816">
        <v>46153</v>
      </c>
    </row>
    <row r="55" spans="1:20" s="823" customFormat="1" ht="18" customHeight="1">
      <c r="A55" s="817" t="s">
        <v>10758</v>
      </c>
      <c r="B55" s="818" t="s">
        <v>10909</v>
      </c>
      <c r="C55" s="817"/>
      <c r="D55" s="819" t="s">
        <v>10910</v>
      </c>
      <c r="E55" s="820" t="s">
        <v>10911</v>
      </c>
      <c r="F55" s="820" t="s">
        <v>10911</v>
      </c>
      <c r="G55" s="819">
        <v>3</v>
      </c>
      <c r="H55" s="817" t="s">
        <v>66</v>
      </c>
      <c r="I55" s="817" t="s">
        <v>10797</v>
      </c>
      <c r="J55" s="817" t="s">
        <v>123</v>
      </c>
      <c r="K55" s="817" t="s">
        <v>8678</v>
      </c>
      <c r="L55" s="817" t="s">
        <v>9376</v>
      </c>
      <c r="M55" s="821" t="s">
        <v>10912</v>
      </c>
      <c r="N55" s="821" t="s">
        <v>10913</v>
      </c>
      <c r="O55" s="822">
        <v>46163</v>
      </c>
      <c r="P55" s="822">
        <v>46166</v>
      </c>
      <c r="Q55" s="822">
        <v>46174</v>
      </c>
    </row>
    <row r="56" spans="1:20" s="823" customFormat="1" ht="15.75" customHeight="1">
      <c r="A56" s="824" t="s">
        <v>10758</v>
      </c>
      <c r="B56" s="825" t="s">
        <v>9379</v>
      </c>
      <c r="C56" s="824"/>
      <c r="D56" s="826" t="s">
        <v>10914</v>
      </c>
      <c r="E56" s="827" t="s">
        <v>10915</v>
      </c>
      <c r="F56" s="827" t="s">
        <v>10915</v>
      </c>
      <c r="G56" s="826">
        <v>20</v>
      </c>
      <c r="H56" s="824" t="s">
        <v>66</v>
      </c>
      <c r="I56" s="824" t="s">
        <v>10797</v>
      </c>
      <c r="J56" s="824" t="s">
        <v>123</v>
      </c>
      <c r="K56" s="824" t="s">
        <v>8678</v>
      </c>
      <c r="L56" s="824" t="s">
        <v>9376</v>
      </c>
      <c r="M56" s="821" t="s">
        <v>10912</v>
      </c>
      <c r="N56" s="828" t="s">
        <v>10913</v>
      </c>
      <c r="O56" s="822">
        <v>46163</v>
      </c>
      <c r="P56" s="822">
        <v>46166</v>
      </c>
      <c r="Q56" s="822">
        <v>46174</v>
      </c>
    </row>
    <row r="57" spans="1:20" s="823" customFormat="1" ht="16.5" customHeight="1">
      <c r="A57" s="806" t="s">
        <v>10904</v>
      </c>
      <c r="B57" s="807" t="s">
        <v>9375</v>
      </c>
      <c r="C57" s="806">
        <v>202604</v>
      </c>
      <c r="D57" s="806" t="s">
        <v>8483</v>
      </c>
      <c r="E57" s="808" t="s">
        <v>10905</v>
      </c>
      <c r="F57" s="809" t="s">
        <v>8546</v>
      </c>
      <c r="G57" s="806">
        <v>2</v>
      </c>
      <c r="H57" s="806" t="s">
        <v>146</v>
      </c>
      <c r="I57" s="806" t="s">
        <v>10797</v>
      </c>
      <c r="J57" s="806" t="s">
        <v>289</v>
      </c>
      <c r="K57" s="806" t="s">
        <v>8478</v>
      </c>
      <c r="L57" s="806" t="s">
        <v>10916</v>
      </c>
      <c r="M57" s="810" t="s">
        <v>10916</v>
      </c>
      <c r="N57" s="810" t="s">
        <v>10917</v>
      </c>
      <c r="O57" s="829">
        <v>46168</v>
      </c>
      <c r="P57" s="816">
        <v>46170</v>
      </c>
      <c r="Q57" s="816">
        <v>46170</v>
      </c>
    </row>
    <row r="58" spans="1:20" s="823" customFormat="1" ht="15" customHeight="1">
      <c r="A58" s="806" t="s">
        <v>10904</v>
      </c>
      <c r="B58" s="807" t="s">
        <v>9375</v>
      </c>
      <c r="C58" s="806">
        <v>202604</v>
      </c>
      <c r="D58" s="806" t="s">
        <v>8487</v>
      </c>
      <c r="E58" s="808" t="s">
        <v>10908</v>
      </c>
      <c r="F58" s="809" t="s">
        <v>8549</v>
      </c>
      <c r="G58" s="806">
        <v>2</v>
      </c>
      <c r="H58" s="813" t="s">
        <v>146</v>
      </c>
      <c r="I58" s="813" t="s">
        <v>10797</v>
      </c>
      <c r="J58" s="806" t="s">
        <v>289</v>
      </c>
      <c r="K58" s="806" t="s">
        <v>8478</v>
      </c>
      <c r="L58" s="806" t="s">
        <v>10916</v>
      </c>
      <c r="M58" s="810" t="s">
        <v>10916</v>
      </c>
      <c r="N58" s="810" t="s">
        <v>10917</v>
      </c>
      <c r="O58" s="829">
        <v>46168</v>
      </c>
      <c r="P58" s="816">
        <v>46170</v>
      </c>
      <c r="Q58" s="816">
        <v>46170</v>
      </c>
    </row>
    <row r="59" spans="1:20" s="823" customFormat="1" ht="19.5" customHeight="1">
      <c r="A59" s="813" t="s">
        <v>10904</v>
      </c>
      <c r="B59" s="814" t="s">
        <v>9375</v>
      </c>
      <c r="C59" s="813">
        <v>202604</v>
      </c>
      <c r="D59" s="813" t="s">
        <v>8491</v>
      </c>
      <c r="E59" s="815" t="s">
        <v>10908</v>
      </c>
      <c r="F59" s="815" t="s">
        <v>8552</v>
      </c>
      <c r="G59" s="830">
        <v>2</v>
      </c>
      <c r="H59" s="813" t="s">
        <v>146</v>
      </c>
      <c r="I59" s="813" t="s">
        <v>10797</v>
      </c>
      <c r="J59" s="813" t="s">
        <v>289</v>
      </c>
      <c r="K59" s="813" t="s">
        <v>8478</v>
      </c>
      <c r="L59" s="813" t="s">
        <v>10916</v>
      </c>
      <c r="M59" s="810" t="s">
        <v>10916</v>
      </c>
      <c r="N59" s="810" t="s">
        <v>10917</v>
      </c>
      <c r="O59" s="829">
        <v>46168</v>
      </c>
      <c r="P59" s="816">
        <v>46170</v>
      </c>
      <c r="Q59" s="816">
        <v>46170</v>
      </c>
    </row>
    <row r="60" spans="1:20" s="812" customFormat="1" ht="21" customHeight="1">
      <c r="A60" s="763" t="s">
        <v>10758</v>
      </c>
      <c r="B60" s="550" t="s">
        <v>9375</v>
      </c>
      <c r="C60" s="763"/>
      <c r="D60" s="769" t="s">
        <v>10918</v>
      </c>
      <c r="E60" s="902" t="s">
        <v>10919</v>
      </c>
      <c r="F60" s="831" t="s">
        <v>10920</v>
      </c>
      <c r="G60" s="903">
        <v>1</v>
      </c>
      <c r="H60" s="765" t="s">
        <v>66</v>
      </c>
      <c r="I60" s="765" t="s">
        <v>10797</v>
      </c>
      <c r="J60" s="765" t="s">
        <v>289</v>
      </c>
      <c r="K60" s="904" t="s">
        <v>10921</v>
      </c>
      <c r="L60" s="765" t="s">
        <v>9373</v>
      </c>
      <c r="M60" s="851" t="s">
        <v>10922</v>
      </c>
      <c r="N60" s="851" t="s">
        <v>10923</v>
      </c>
      <c r="O60" s="832">
        <v>46165</v>
      </c>
      <c r="P60" s="832">
        <v>46166</v>
      </c>
      <c r="Q60" s="832">
        <v>46174</v>
      </c>
    </row>
    <row r="61" spans="1:20" s="812" customFormat="1" ht="16.5" customHeight="1">
      <c r="A61" s="763" t="s">
        <v>10758</v>
      </c>
      <c r="B61" s="550" t="s">
        <v>9375</v>
      </c>
      <c r="C61" s="763"/>
      <c r="D61" s="769" t="s">
        <v>8483</v>
      </c>
      <c r="E61" s="902" t="s">
        <v>10924</v>
      </c>
      <c r="F61" s="831" t="s">
        <v>8485</v>
      </c>
      <c r="G61" s="903">
        <v>5</v>
      </c>
      <c r="H61" s="765" t="s">
        <v>66</v>
      </c>
      <c r="I61" s="765" t="s">
        <v>10797</v>
      </c>
      <c r="J61" s="765" t="s">
        <v>289</v>
      </c>
      <c r="K61" s="904" t="s">
        <v>10921</v>
      </c>
      <c r="L61" s="765" t="s">
        <v>9373</v>
      </c>
      <c r="M61" s="851" t="s">
        <v>10922</v>
      </c>
      <c r="N61" s="851" t="s">
        <v>10923</v>
      </c>
      <c r="O61" s="832">
        <v>46165</v>
      </c>
      <c r="P61" s="832">
        <v>46166</v>
      </c>
      <c r="Q61" s="832">
        <v>46174</v>
      </c>
    </row>
    <row r="62" spans="1:20" s="812" customFormat="1" ht="18.75" customHeight="1">
      <c r="A62" s="763" t="s">
        <v>10758</v>
      </c>
      <c r="B62" s="550" t="s">
        <v>9375</v>
      </c>
      <c r="C62" s="763"/>
      <c r="D62" s="769" t="s">
        <v>8487</v>
      </c>
      <c r="E62" s="902" t="s">
        <v>10925</v>
      </c>
      <c r="F62" s="831" t="s">
        <v>8489</v>
      </c>
      <c r="G62" s="903">
        <v>7</v>
      </c>
      <c r="H62" s="765" t="s">
        <v>66</v>
      </c>
      <c r="I62" s="765" t="s">
        <v>10797</v>
      </c>
      <c r="J62" s="765" t="s">
        <v>289</v>
      </c>
      <c r="K62" s="904" t="s">
        <v>10921</v>
      </c>
      <c r="L62" s="765" t="s">
        <v>9373</v>
      </c>
      <c r="M62" s="851" t="s">
        <v>10922</v>
      </c>
      <c r="N62" s="851" t="s">
        <v>10923</v>
      </c>
      <c r="O62" s="832">
        <v>46165</v>
      </c>
      <c r="P62" s="832">
        <v>46166</v>
      </c>
      <c r="Q62" s="832">
        <v>46174</v>
      </c>
    </row>
    <row r="63" spans="1:20" s="812" customFormat="1" ht="19.5" customHeight="1">
      <c r="A63" s="763" t="s">
        <v>10758</v>
      </c>
      <c r="B63" s="550" t="s">
        <v>9375</v>
      </c>
      <c r="C63" s="763"/>
      <c r="D63" s="769" t="s">
        <v>8491</v>
      </c>
      <c r="E63" s="905" t="s">
        <v>10926</v>
      </c>
      <c r="F63" s="831" t="s">
        <v>8492</v>
      </c>
      <c r="G63" s="903">
        <v>7</v>
      </c>
      <c r="H63" s="765" t="s">
        <v>66</v>
      </c>
      <c r="I63" s="765" t="s">
        <v>10797</v>
      </c>
      <c r="J63" s="765" t="s">
        <v>289</v>
      </c>
      <c r="K63" s="904" t="s">
        <v>10921</v>
      </c>
      <c r="L63" s="765" t="s">
        <v>9373</v>
      </c>
      <c r="M63" s="851" t="s">
        <v>10922</v>
      </c>
      <c r="N63" s="851" t="s">
        <v>10923</v>
      </c>
      <c r="O63" s="832">
        <v>46165</v>
      </c>
      <c r="P63" s="832">
        <v>46166</v>
      </c>
      <c r="Q63" s="832">
        <v>46174</v>
      </c>
    </row>
    <row r="64" spans="1:20" s="812" customFormat="1" ht="20.25" customHeight="1">
      <c r="A64" s="763" t="s">
        <v>10758</v>
      </c>
      <c r="B64" s="561" t="s">
        <v>9375</v>
      </c>
      <c r="C64" s="803"/>
      <c r="D64" s="778" t="s">
        <v>10927</v>
      </c>
      <c r="E64" s="906" t="s">
        <v>10928</v>
      </c>
      <c r="F64" s="833" t="s">
        <v>10929</v>
      </c>
      <c r="G64" s="907">
        <v>1</v>
      </c>
      <c r="H64" s="774" t="s">
        <v>66</v>
      </c>
      <c r="I64" s="774" t="s">
        <v>10797</v>
      </c>
      <c r="J64" s="774" t="s">
        <v>289</v>
      </c>
      <c r="K64" s="908" t="s">
        <v>10921</v>
      </c>
      <c r="L64" s="774" t="s">
        <v>9373</v>
      </c>
      <c r="M64" s="852" t="s">
        <v>10922</v>
      </c>
      <c r="N64" s="852" t="s">
        <v>10923</v>
      </c>
      <c r="O64" s="834">
        <v>46165</v>
      </c>
      <c r="P64" s="834">
        <v>46166</v>
      </c>
      <c r="Q64" s="834">
        <v>46174</v>
      </c>
    </row>
    <row r="65" spans="1:20" ht="15.75" customHeight="1">
      <c r="A65" s="835" t="s">
        <v>10904</v>
      </c>
      <c r="B65" s="807" t="s">
        <v>10930</v>
      </c>
      <c r="C65" s="837"/>
      <c r="D65" s="806" t="s">
        <v>8305</v>
      </c>
      <c r="E65" s="836" t="s">
        <v>8546</v>
      </c>
      <c r="F65" s="836" t="s">
        <v>8546</v>
      </c>
      <c r="G65" s="837">
        <v>2</v>
      </c>
      <c r="H65" s="838" t="s">
        <v>402</v>
      </c>
      <c r="I65" s="838" t="s">
        <v>10797</v>
      </c>
      <c r="J65" s="806" t="s">
        <v>122</v>
      </c>
      <c r="K65" s="835" t="s">
        <v>10931</v>
      </c>
      <c r="L65" s="806" t="s">
        <v>10916</v>
      </c>
      <c r="M65" s="807" t="s">
        <v>10932</v>
      </c>
      <c r="N65" s="1032" t="s">
        <v>10933</v>
      </c>
      <c r="O65" s="1033">
        <v>46218</v>
      </c>
      <c r="P65" s="1033">
        <v>46226</v>
      </c>
      <c r="Q65" s="1033">
        <v>46234</v>
      </c>
    </row>
    <row r="66" spans="1:20" ht="16.5" customHeight="1">
      <c r="A66" s="830" t="s">
        <v>10904</v>
      </c>
      <c r="B66" s="807" t="s">
        <v>10930</v>
      </c>
      <c r="C66" s="837"/>
      <c r="D66" s="806" t="s">
        <v>8314</v>
      </c>
      <c r="E66" s="836" t="s">
        <v>8549</v>
      </c>
      <c r="F66" s="836" t="s">
        <v>8549</v>
      </c>
      <c r="G66" s="837">
        <v>2</v>
      </c>
      <c r="H66" s="838" t="s">
        <v>402</v>
      </c>
      <c r="I66" s="838" t="s">
        <v>10797</v>
      </c>
      <c r="J66" s="806" t="s">
        <v>122</v>
      </c>
      <c r="K66" s="835" t="s">
        <v>10931</v>
      </c>
      <c r="L66" s="806" t="s">
        <v>10916</v>
      </c>
      <c r="M66" s="807" t="s">
        <v>10932</v>
      </c>
      <c r="N66" s="1032" t="s">
        <v>10933</v>
      </c>
      <c r="O66" s="1033">
        <v>46218</v>
      </c>
      <c r="P66" s="1033">
        <v>46226</v>
      </c>
      <c r="Q66" s="1033">
        <v>46234</v>
      </c>
    </row>
    <row r="67" spans="1:20" ht="15.75" customHeight="1">
      <c r="A67" s="806" t="s">
        <v>10904</v>
      </c>
      <c r="B67" s="839" t="s">
        <v>10930</v>
      </c>
      <c r="C67" s="837"/>
      <c r="D67" s="806" t="s">
        <v>8318</v>
      </c>
      <c r="E67" s="836" t="s">
        <v>8552</v>
      </c>
      <c r="F67" s="836" t="s">
        <v>8552</v>
      </c>
      <c r="G67" s="840">
        <v>2</v>
      </c>
      <c r="H67" s="841" t="s">
        <v>402</v>
      </c>
      <c r="I67" s="841" t="s">
        <v>10797</v>
      </c>
      <c r="J67" s="806" t="s">
        <v>122</v>
      </c>
      <c r="K67" s="830" t="s">
        <v>10931</v>
      </c>
      <c r="L67" s="813" t="s">
        <v>10916</v>
      </c>
      <c r="M67" s="807" t="s">
        <v>10932</v>
      </c>
      <c r="N67" s="1032" t="s">
        <v>10933</v>
      </c>
      <c r="O67" s="1033">
        <v>46218</v>
      </c>
      <c r="P67" s="1033">
        <v>46226</v>
      </c>
      <c r="Q67" s="1033">
        <v>46234</v>
      </c>
    </row>
    <row r="68" spans="1:20" ht="15.75" customHeight="1">
      <c r="A68" s="835" t="s">
        <v>10904</v>
      </c>
      <c r="B68" s="807" t="s">
        <v>10930</v>
      </c>
      <c r="C68" s="837"/>
      <c r="D68" s="806" t="s">
        <v>8305</v>
      </c>
      <c r="E68" s="836" t="s">
        <v>8546</v>
      </c>
      <c r="F68" s="842" t="s">
        <v>8546</v>
      </c>
      <c r="G68" s="838">
        <v>1</v>
      </c>
      <c r="H68" s="838" t="s">
        <v>10934</v>
      </c>
      <c r="I68" s="838" t="s">
        <v>10762</v>
      </c>
      <c r="J68" s="838" t="s">
        <v>10935</v>
      </c>
      <c r="K68" s="838" t="s">
        <v>10936</v>
      </c>
      <c r="L68" s="843" t="s">
        <v>10937</v>
      </c>
      <c r="M68" s="853" t="s">
        <v>10937</v>
      </c>
      <c r="N68" s="1032" t="s">
        <v>10938</v>
      </c>
      <c r="O68" s="1033">
        <v>46219</v>
      </c>
      <c r="P68" s="1033"/>
      <c r="Q68" s="1033"/>
    </row>
    <row r="69" spans="1:20" ht="15.75" customHeight="1">
      <c r="A69" s="830" t="s">
        <v>10904</v>
      </c>
      <c r="B69" s="807" t="s">
        <v>10930</v>
      </c>
      <c r="C69" s="837"/>
      <c r="D69" s="806" t="s">
        <v>8314</v>
      </c>
      <c r="E69" s="836" t="s">
        <v>8549</v>
      </c>
      <c r="F69" s="842" t="s">
        <v>8549</v>
      </c>
      <c r="G69" s="838">
        <v>1</v>
      </c>
      <c r="H69" s="838" t="s">
        <v>10934</v>
      </c>
      <c r="I69" s="838" t="s">
        <v>10762</v>
      </c>
      <c r="J69" s="838" t="s">
        <v>10935</v>
      </c>
      <c r="K69" s="838" t="s">
        <v>10936</v>
      </c>
      <c r="L69" s="843" t="s">
        <v>10937</v>
      </c>
      <c r="M69" s="853" t="s">
        <v>10937</v>
      </c>
      <c r="N69" s="1032" t="s">
        <v>10938</v>
      </c>
      <c r="O69" s="1033">
        <v>46219</v>
      </c>
      <c r="P69" s="1033"/>
      <c r="Q69" s="1033"/>
    </row>
    <row r="70" spans="1:20" ht="15.75" customHeight="1">
      <c r="A70" s="806" t="s">
        <v>10904</v>
      </c>
      <c r="B70" s="839" t="s">
        <v>10930</v>
      </c>
      <c r="C70" s="837"/>
      <c r="D70" s="806" t="s">
        <v>8318</v>
      </c>
      <c r="E70" s="836" t="s">
        <v>8552</v>
      </c>
      <c r="F70" s="842" t="s">
        <v>8552</v>
      </c>
      <c r="G70" s="841">
        <v>1</v>
      </c>
      <c r="H70" s="841" t="s">
        <v>10934</v>
      </c>
      <c r="I70" s="841" t="s">
        <v>10762</v>
      </c>
      <c r="J70" s="841" t="s">
        <v>10935</v>
      </c>
      <c r="K70" s="841" t="s">
        <v>10936</v>
      </c>
      <c r="L70" s="844" t="s">
        <v>10937</v>
      </c>
      <c r="M70" s="854" t="s">
        <v>10937</v>
      </c>
      <c r="N70" s="1032" t="s">
        <v>10938</v>
      </c>
      <c r="O70" s="1033">
        <v>46219</v>
      </c>
      <c r="P70" s="1034"/>
      <c r="Q70" s="1034"/>
    </row>
    <row r="71" spans="1:20" ht="15" customHeight="1">
      <c r="A71" s="806" t="s">
        <v>10904</v>
      </c>
      <c r="B71" s="807" t="s">
        <v>9375</v>
      </c>
      <c r="C71" s="806">
        <v>202604</v>
      </c>
      <c r="D71" s="806" t="s">
        <v>8483</v>
      </c>
      <c r="E71" s="808" t="s">
        <v>10905</v>
      </c>
      <c r="F71" s="845" t="s">
        <v>8546</v>
      </c>
      <c r="G71" s="838">
        <v>4</v>
      </c>
      <c r="H71" s="838" t="s">
        <v>10934</v>
      </c>
      <c r="I71" s="838" t="s">
        <v>10762</v>
      </c>
      <c r="J71" s="838" t="s">
        <v>10939</v>
      </c>
      <c r="K71" s="838" t="s">
        <v>8310</v>
      </c>
      <c r="L71" s="843" t="s">
        <v>10940</v>
      </c>
      <c r="M71" s="853" t="s">
        <v>10940</v>
      </c>
      <c r="N71" s="1032"/>
      <c r="O71" s="1033">
        <v>46219</v>
      </c>
      <c r="P71" s="1033"/>
      <c r="Q71" s="1033"/>
    </row>
    <row r="72" spans="1:20" ht="17.25" customHeight="1">
      <c r="A72" s="806" t="s">
        <v>10904</v>
      </c>
      <c r="B72" s="814" t="s">
        <v>9375</v>
      </c>
      <c r="C72" s="813">
        <v>202604</v>
      </c>
      <c r="D72" s="813" t="s">
        <v>8487</v>
      </c>
      <c r="E72" s="846" t="s">
        <v>10908</v>
      </c>
      <c r="F72" s="847" t="s">
        <v>8549</v>
      </c>
      <c r="G72" s="838">
        <v>4</v>
      </c>
      <c r="H72" s="838" t="s">
        <v>10934</v>
      </c>
      <c r="I72" s="838" t="s">
        <v>10762</v>
      </c>
      <c r="J72" s="838" t="s">
        <v>10939</v>
      </c>
      <c r="K72" s="838" t="s">
        <v>8310</v>
      </c>
      <c r="L72" s="843" t="s">
        <v>10940</v>
      </c>
      <c r="M72" s="853" t="s">
        <v>10940</v>
      </c>
      <c r="N72" s="1032"/>
      <c r="O72" s="1033">
        <v>46219</v>
      </c>
      <c r="P72" s="1033"/>
      <c r="Q72" s="1033"/>
    </row>
    <row r="73" spans="1:20" ht="16.5" customHeight="1">
      <c r="A73" s="830" t="s">
        <v>10904</v>
      </c>
      <c r="B73" s="814" t="s">
        <v>9375</v>
      </c>
      <c r="C73" s="813">
        <v>202604</v>
      </c>
      <c r="D73" s="813" t="s">
        <v>8491</v>
      </c>
      <c r="E73" s="924" t="s">
        <v>10908</v>
      </c>
      <c r="F73" s="815" t="s">
        <v>8552</v>
      </c>
      <c r="G73" s="925">
        <v>4</v>
      </c>
      <c r="H73" s="841" t="s">
        <v>10934</v>
      </c>
      <c r="I73" s="841" t="s">
        <v>10762</v>
      </c>
      <c r="J73" s="841" t="s">
        <v>10939</v>
      </c>
      <c r="K73" s="841" t="s">
        <v>8310</v>
      </c>
      <c r="L73" s="844" t="s">
        <v>10940</v>
      </c>
      <c r="M73" s="854" t="s">
        <v>10940</v>
      </c>
      <c r="N73" s="1035"/>
      <c r="O73" s="1034">
        <v>46219</v>
      </c>
      <c r="P73" s="1034"/>
      <c r="Q73" s="1034"/>
    </row>
    <row r="74" spans="1:20" ht="13">
      <c r="A74" s="765" t="s">
        <v>10758</v>
      </c>
      <c r="B74" s="1167" t="s">
        <v>10941</v>
      </c>
      <c r="C74" s="927">
        <v>202608</v>
      </c>
      <c r="D74" s="931" t="s">
        <v>10942</v>
      </c>
      <c r="E74" s="929" t="s">
        <v>10943</v>
      </c>
      <c r="F74" s="929" t="s">
        <v>10944</v>
      </c>
      <c r="G74" s="927">
        <v>4</v>
      </c>
      <c r="H74" s="927" t="s">
        <v>66</v>
      </c>
      <c r="I74" s="927" t="s">
        <v>10797</v>
      </c>
      <c r="J74" s="927" t="s">
        <v>10945</v>
      </c>
      <c r="K74" s="1027" t="s">
        <v>10921</v>
      </c>
      <c r="L74" s="1168" t="s">
        <v>10946</v>
      </c>
      <c r="M74" s="1169" t="s">
        <v>10947</v>
      </c>
      <c r="N74" s="1169" t="s">
        <v>10948</v>
      </c>
      <c r="O74" s="993">
        <v>46251</v>
      </c>
      <c r="P74" s="993">
        <v>46254</v>
      </c>
      <c r="Q74" s="993">
        <v>46262</v>
      </c>
    </row>
    <row r="75" spans="1:20" ht="13">
      <c r="A75" s="774" t="s">
        <v>10758</v>
      </c>
      <c r="B75" s="1170" t="s">
        <v>10941</v>
      </c>
      <c r="C75" s="928">
        <v>202608</v>
      </c>
      <c r="D75" s="932" t="s">
        <v>10949</v>
      </c>
      <c r="E75" s="930" t="s">
        <v>10943</v>
      </c>
      <c r="F75" s="930" t="s">
        <v>10950</v>
      </c>
      <c r="G75" s="928">
        <v>4</v>
      </c>
      <c r="H75" s="928" t="s">
        <v>66</v>
      </c>
      <c r="I75" s="928" t="s">
        <v>10797</v>
      </c>
      <c r="J75" s="928" t="s">
        <v>10945</v>
      </c>
      <c r="K75" s="1027" t="s">
        <v>10921</v>
      </c>
      <c r="L75" s="1171" t="s">
        <v>10946</v>
      </c>
      <c r="M75" s="1172" t="s">
        <v>10947</v>
      </c>
      <c r="N75" s="1172" t="s">
        <v>10948</v>
      </c>
      <c r="O75" s="994">
        <v>46251</v>
      </c>
      <c r="P75" s="993">
        <v>46254</v>
      </c>
      <c r="Q75" s="993">
        <v>46262</v>
      </c>
    </row>
    <row r="76" spans="1:20" ht="15.75" customHeight="1">
      <c r="A76" s="928" t="s">
        <v>10758</v>
      </c>
      <c r="B76" s="1170" t="s">
        <v>10951</v>
      </c>
      <c r="C76" s="928">
        <v>202608</v>
      </c>
      <c r="D76" s="932" t="s">
        <v>10952</v>
      </c>
      <c r="E76" s="1120" t="s">
        <v>10953</v>
      </c>
      <c r="F76" s="1120" t="s">
        <v>10953</v>
      </c>
      <c r="G76" s="928">
        <v>2000</v>
      </c>
      <c r="H76" s="928" t="s">
        <v>8645</v>
      </c>
      <c r="I76" s="928" t="s">
        <v>10954</v>
      </c>
      <c r="J76" s="928" t="s">
        <v>10955</v>
      </c>
      <c r="K76" s="928" t="s">
        <v>10956</v>
      </c>
      <c r="L76" s="928" t="s">
        <v>8833</v>
      </c>
      <c r="M76" s="1170" t="s">
        <v>10957</v>
      </c>
      <c r="N76" s="1170" t="s">
        <v>10958</v>
      </c>
      <c r="O76" s="994">
        <v>46260</v>
      </c>
      <c r="P76" s="994">
        <v>46262</v>
      </c>
      <c r="Q76" s="994">
        <v>46266</v>
      </c>
    </row>
    <row r="77" spans="1:20" s="1121" customFormat="1">
      <c r="A77" s="1160" t="s">
        <v>10758</v>
      </c>
      <c r="B77" s="1161" t="s">
        <v>10959</v>
      </c>
      <c r="C77" s="1160">
        <v>202609</v>
      </c>
      <c r="D77" s="1162" t="s">
        <v>10896</v>
      </c>
      <c r="E77" s="1163" t="s">
        <v>8494</v>
      </c>
      <c r="F77" s="1151" t="s">
        <v>10898</v>
      </c>
      <c r="G77" s="1160">
        <v>15</v>
      </c>
      <c r="H77" s="1160" t="s">
        <v>8645</v>
      </c>
      <c r="I77" s="1160" t="s">
        <v>10954</v>
      </c>
      <c r="J77" s="1160" t="s">
        <v>289</v>
      </c>
      <c r="K77" s="1160" t="s">
        <v>10960</v>
      </c>
      <c r="L77" s="1160" t="s">
        <v>10961</v>
      </c>
      <c r="M77" s="1161" t="s">
        <v>10962</v>
      </c>
      <c r="N77" s="1161" t="s">
        <v>10963</v>
      </c>
      <c r="O77" s="1252">
        <v>46281</v>
      </c>
      <c r="P77" s="1252">
        <v>46283</v>
      </c>
      <c r="Q77" s="1252">
        <v>46286</v>
      </c>
      <c r="R77" s="1164"/>
      <c r="S77" s="1164"/>
      <c r="T77" s="1164"/>
    </row>
    <row r="78" spans="1:20">
      <c r="A78" s="765" t="s">
        <v>10758</v>
      </c>
      <c r="B78" s="1167" t="s">
        <v>10964</v>
      </c>
      <c r="C78" s="927">
        <v>202609</v>
      </c>
      <c r="D78" s="931" t="s">
        <v>10965</v>
      </c>
      <c r="E78" s="929" t="s">
        <v>8433</v>
      </c>
      <c r="F78" s="1181" t="s">
        <v>10966</v>
      </c>
      <c r="G78" s="927">
        <v>1</v>
      </c>
      <c r="H78" s="927" t="s">
        <v>66</v>
      </c>
      <c r="I78" s="927" t="s">
        <v>10797</v>
      </c>
      <c r="J78" s="927" t="s">
        <v>10967</v>
      </c>
      <c r="K78" s="927" t="s">
        <v>10968</v>
      </c>
      <c r="L78" s="927" t="s">
        <v>10969</v>
      </c>
      <c r="M78" s="1169" t="s">
        <v>10970</v>
      </c>
      <c r="N78" s="1173" t="s">
        <v>10971</v>
      </c>
      <c r="O78" s="1253">
        <v>46308</v>
      </c>
      <c r="P78" s="1253">
        <v>46311</v>
      </c>
      <c r="Q78" s="1253">
        <v>46317</v>
      </c>
    </row>
    <row r="79" spans="1:20">
      <c r="A79" s="765" t="s">
        <v>10758</v>
      </c>
      <c r="B79" s="1167" t="s">
        <v>10964</v>
      </c>
      <c r="C79" s="927">
        <v>202609</v>
      </c>
      <c r="D79" s="931" t="s">
        <v>10972</v>
      </c>
      <c r="E79" s="930" t="s">
        <v>8433</v>
      </c>
      <c r="F79" s="1182" t="s">
        <v>10973</v>
      </c>
      <c r="G79" s="927">
        <v>1</v>
      </c>
      <c r="H79" s="927" t="s">
        <v>66</v>
      </c>
      <c r="I79" s="927" t="s">
        <v>10797</v>
      </c>
      <c r="J79" s="927" t="s">
        <v>10967</v>
      </c>
      <c r="K79" s="927" t="s">
        <v>10968</v>
      </c>
      <c r="L79" s="927" t="s">
        <v>10969</v>
      </c>
      <c r="M79" s="1169" t="s">
        <v>10970</v>
      </c>
      <c r="N79" s="1173" t="s">
        <v>10971</v>
      </c>
      <c r="O79" s="1253">
        <v>46308</v>
      </c>
      <c r="P79" s="1253">
        <v>46311</v>
      </c>
      <c r="Q79" s="1253">
        <v>46317</v>
      </c>
    </row>
    <row r="80" spans="1:20">
      <c r="A80" s="927" t="s">
        <v>10758</v>
      </c>
      <c r="B80" s="1167" t="s">
        <v>10964</v>
      </c>
      <c r="C80" s="927">
        <v>202609</v>
      </c>
      <c r="D80" s="1236" t="s">
        <v>10974</v>
      </c>
      <c r="E80" s="929" t="s">
        <v>8460</v>
      </c>
      <c r="F80" s="929" t="s">
        <v>10975</v>
      </c>
      <c r="G80" s="1237">
        <v>1</v>
      </c>
      <c r="H80" s="927" t="s">
        <v>66</v>
      </c>
      <c r="I80" s="927" t="s">
        <v>10797</v>
      </c>
      <c r="J80" s="927" t="s">
        <v>10967</v>
      </c>
      <c r="K80" s="928" t="s">
        <v>10968</v>
      </c>
      <c r="L80" s="928" t="s">
        <v>10969</v>
      </c>
      <c r="M80" s="1169" t="s">
        <v>10970</v>
      </c>
      <c r="N80" s="1173" t="s">
        <v>10971</v>
      </c>
      <c r="O80" s="1253">
        <v>46308</v>
      </c>
      <c r="P80" s="1253">
        <v>46311</v>
      </c>
      <c r="Q80" s="1253">
        <v>46317</v>
      </c>
    </row>
    <row r="81" spans="1:52">
      <c r="A81" s="927" t="s">
        <v>10758</v>
      </c>
      <c r="B81" s="1167" t="s">
        <v>10964</v>
      </c>
      <c r="C81" s="927">
        <v>202609</v>
      </c>
      <c r="D81" s="1236" t="s">
        <v>10976</v>
      </c>
      <c r="E81" s="929" t="s">
        <v>10977</v>
      </c>
      <c r="F81" s="929" t="s">
        <v>10978</v>
      </c>
      <c r="G81" s="1237">
        <v>1</v>
      </c>
      <c r="H81" s="927" t="s">
        <v>66</v>
      </c>
      <c r="I81" s="927" t="s">
        <v>10797</v>
      </c>
      <c r="J81" s="927" t="s">
        <v>10967</v>
      </c>
      <c r="K81" s="928" t="s">
        <v>10968</v>
      </c>
      <c r="L81" s="928" t="s">
        <v>10969</v>
      </c>
      <c r="M81" s="1169" t="s">
        <v>10970</v>
      </c>
      <c r="N81" s="1173" t="s">
        <v>10971</v>
      </c>
      <c r="O81" s="1253">
        <v>46308</v>
      </c>
      <c r="P81" s="1253">
        <v>46311</v>
      </c>
      <c r="Q81" s="1253">
        <v>46317</v>
      </c>
    </row>
    <row r="82" spans="1:52">
      <c r="A82" s="928" t="s">
        <v>10758</v>
      </c>
      <c r="B82" s="1170" t="s">
        <v>10979</v>
      </c>
      <c r="C82" s="928">
        <v>202609</v>
      </c>
      <c r="D82" s="932" t="s">
        <v>10980</v>
      </c>
      <c r="E82" s="1287" t="s">
        <v>10981</v>
      </c>
      <c r="F82" s="1288" t="s">
        <v>10981</v>
      </c>
      <c r="G82" s="928">
        <v>1500</v>
      </c>
      <c r="H82" s="928" t="s">
        <v>66</v>
      </c>
      <c r="I82" s="928" t="s">
        <v>10797</v>
      </c>
      <c r="J82" s="928" t="s">
        <v>111</v>
      </c>
      <c r="K82" s="928" t="s">
        <v>10982</v>
      </c>
      <c r="L82" s="928" t="s">
        <v>10983</v>
      </c>
      <c r="M82" s="1172" t="s">
        <v>10984</v>
      </c>
      <c r="N82" s="1172" t="s">
        <v>10985</v>
      </c>
      <c r="O82" s="1289">
        <v>46289</v>
      </c>
      <c r="P82" s="1289">
        <v>46291</v>
      </c>
      <c r="Q82" s="1289">
        <v>46294</v>
      </c>
    </row>
    <row r="83" spans="1:52" s="1286" customFormat="1" ht="17.25" customHeight="1">
      <c r="A83" s="841" t="s">
        <v>10904</v>
      </c>
      <c r="B83" s="1035" t="s">
        <v>10986</v>
      </c>
      <c r="C83" s="841">
        <v>202610</v>
      </c>
      <c r="D83" s="1373" t="s">
        <v>10987</v>
      </c>
      <c r="E83" s="1374" t="s">
        <v>10988</v>
      </c>
      <c r="F83" s="1375" t="s">
        <v>10989</v>
      </c>
      <c r="G83" s="841">
        <v>16</v>
      </c>
      <c r="H83" s="841" t="s">
        <v>66</v>
      </c>
      <c r="I83" s="841" t="s">
        <v>10954</v>
      </c>
      <c r="J83" s="841" t="s">
        <v>10967</v>
      </c>
      <c r="K83" s="841" t="s">
        <v>10990</v>
      </c>
      <c r="L83" s="841" t="s">
        <v>10991</v>
      </c>
      <c r="M83" s="1376" t="s">
        <v>10991</v>
      </c>
      <c r="N83" s="1376" t="s">
        <v>10992</v>
      </c>
      <c r="O83" s="1377">
        <v>46315</v>
      </c>
      <c r="P83" s="1378">
        <v>46315</v>
      </c>
      <c r="Q83" s="1377">
        <v>46316</v>
      </c>
      <c r="R83" s="762"/>
      <c r="S83" s="762"/>
      <c r="T83" s="762"/>
      <c r="U83" s="762"/>
      <c r="V83" s="762"/>
      <c r="W83" s="762"/>
      <c r="X83" s="762"/>
      <c r="Y83" s="762"/>
      <c r="Z83" s="762"/>
      <c r="AA83" s="762"/>
      <c r="AB83" s="762"/>
      <c r="AC83" s="762"/>
      <c r="AD83" s="762"/>
      <c r="AE83" s="762"/>
      <c r="AF83" s="762"/>
      <c r="AG83" s="762"/>
      <c r="AH83" s="762"/>
      <c r="AI83" s="762"/>
      <c r="AJ83" s="762"/>
      <c r="AK83" s="762"/>
      <c r="AL83" s="762"/>
      <c r="AM83" s="762"/>
      <c r="AN83" s="762"/>
      <c r="AO83" s="762"/>
      <c r="AP83" s="762"/>
      <c r="AQ83" s="762"/>
      <c r="AR83" s="762"/>
      <c r="AS83" s="762"/>
      <c r="AT83" s="762"/>
      <c r="AU83" s="762"/>
      <c r="AV83" s="762"/>
      <c r="AW83" s="762"/>
      <c r="AX83" s="762"/>
      <c r="AY83" s="762"/>
      <c r="AZ83" s="1290"/>
    </row>
    <row r="84" spans="1:52" s="1164" customFormat="1" ht="15.75" customHeight="1">
      <c r="A84" s="1389" t="s">
        <v>10758</v>
      </c>
      <c r="B84" s="1390" t="s">
        <v>10993</v>
      </c>
      <c r="C84" s="1389">
        <v>202610</v>
      </c>
      <c r="D84" s="1391" t="s">
        <v>10980</v>
      </c>
      <c r="E84" s="1392" t="s">
        <v>10994</v>
      </c>
      <c r="F84" s="1392" t="s">
        <v>10995</v>
      </c>
      <c r="G84" s="1389">
        <v>200</v>
      </c>
      <c r="H84" s="1393" t="s">
        <v>66</v>
      </c>
      <c r="I84" s="1389" t="s">
        <v>10797</v>
      </c>
      <c r="J84" s="1389" t="s">
        <v>111</v>
      </c>
      <c r="K84" s="1389" t="s">
        <v>10921</v>
      </c>
      <c r="L84" s="1440" t="s">
        <v>10996</v>
      </c>
      <c r="M84" s="1394" t="s">
        <v>10997</v>
      </c>
      <c r="N84" s="1395" t="s">
        <v>10998</v>
      </c>
      <c r="O84" s="1396">
        <v>46322</v>
      </c>
      <c r="P84" s="1397">
        <v>46324</v>
      </c>
      <c r="Q84" s="1396">
        <v>46325</v>
      </c>
    </row>
    <row r="85" spans="1:52" s="1164" customFormat="1" ht="17.25" customHeight="1">
      <c r="A85" s="1389" t="s">
        <v>10758</v>
      </c>
      <c r="B85" s="1390" t="s">
        <v>10993</v>
      </c>
      <c r="C85" s="1389">
        <v>202610</v>
      </c>
      <c r="D85" s="1391" t="s">
        <v>10999</v>
      </c>
      <c r="E85" s="1392" t="s">
        <v>10994</v>
      </c>
      <c r="F85" s="1392" t="s">
        <v>10995</v>
      </c>
      <c r="G85" s="1389">
        <v>870</v>
      </c>
      <c r="H85" s="1393" t="s">
        <v>66</v>
      </c>
      <c r="I85" s="1389" t="s">
        <v>10797</v>
      </c>
      <c r="J85" s="1389" t="s">
        <v>111</v>
      </c>
      <c r="K85" s="1389" t="s">
        <v>10921</v>
      </c>
      <c r="L85" s="1440" t="s">
        <v>10996</v>
      </c>
      <c r="M85" s="1394" t="s">
        <v>10997</v>
      </c>
      <c r="N85" s="1395" t="s">
        <v>10998</v>
      </c>
      <c r="O85" s="1396">
        <v>46322</v>
      </c>
      <c r="P85" s="1397">
        <v>46324</v>
      </c>
      <c r="Q85" s="1396">
        <v>46325</v>
      </c>
    </row>
  </sheetData>
  <phoneticPr fontId="64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4E9E-9A4E-4172-8E8A-9CB3CA4AC639}">
  <dimension ref="A1"/>
  <sheetViews>
    <sheetView workbookViewId="0"/>
  </sheetViews>
  <sheetFormatPr defaultColWidth="9" defaultRowHeight="13"/>
  <sheetData/>
  <phoneticPr fontId="6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E97C-6A36-44B5-A965-A342F31CA74A}">
  <sheetPr codeName="Sheet5">
    <tabColor rgb="FF00B0F0"/>
  </sheetPr>
  <dimension ref="A2:D55"/>
  <sheetViews>
    <sheetView workbookViewId="0">
      <selection activeCell="F22" sqref="F22"/>
    </sheetView>
  </sheetViews>
  <sheetFormatPr defaultColWidth="9" defaultRowHeight="13"/>
  <cols>
    <col min="1" max="1" width="18.59765625" customWidth="1"/>
    <col min="2" max="2" width="27" customWidth="1"/>
    <col min="3" max="3" width="25.8984375" bestFit="1" customWidth="1"/>
    <col min="4" max="4" width="18.59765625" bestFit="1" customWidth="1"/>
    <col min="5" max="5" width="17.3984375" bestFit="1" customWidth="1"/>
    <col min="6" max="13" width="32.59765625" bestFit="1" customWidth="1"/>
    <col min="14" max="14" width="13.8984375" bestFit="1" customWidth="1"/>
    <col min="15" max="18" width="10.09765625" bestFit="1" customWidth="1"/>
    <col min="19" max="19" width="11.3984375" bestFit="1" customWidth="1"/>
    <col min="20" max="20" width="10.09765625" customWidth="1"/>
    <col min="21" max="21" width="6.8984375" bestFit="1" customWidth="1"/>
    <col min="22" max="23" width="10.09765625" bestFit="1" customWidth="1"/>
    <col min="24" max="25" width="9.09765625" bestFit="1" customWidth="1"/>
    <col min="26" max="41" width="10.09765625" bestFit="1" customWidth="1"/>
    <col min="42" max="42" width="11.3984375" bestFit="1" customWidth="1"/>
    <col min="43" max="45" width="9.09765625" bestFit="1" customWidth="1"/>
    <col min="46" max="50" width="10.09765625" bestFit="1" customWidth="1"/>
    <col min="51" max="52" width="9.09765625" bestFit="1" customWidth="1"/>
    <col min="53" max="57" width="10.09765625" bestFit="1" customWidth="1"/>
    <col min="58" max="58" width="11.3984375" bestFit="1" customWidth="1"/>
    <col min="59" max="59" width="10.09765625" bestFit="1" customWidth="1"/>
    <col min="60" max="62" width="9.09765625" bestFit="1" customWidth="1"/>
    <col min="63" max="68" width="10.09765625" bestFit="1" customWidth="1"/>
    <col min="69" max="70" width="9.09765625" bestFit="1" customWidth="1"/>
    <col min="71" max="75" width="10.09765625" bestFit="1" customWidth="1"/>
    <col min="76" max="76" width="11.3984375" bestFit="1" customWidth="1"/>
    <col min="77" max="85" width="11.09765625" bestFit="1" customWidth="1"/>
    <col min="91" max="105" width="10.09765625" bestFit="1" customWidth="1"/>
    <col min="113" max="128" width="10.09765625" bestFit="1" customWidth="1"/>
    <col min="137" max="156" width="10.09765625" bestFit="1" customWidth="1"/>
    <col min="164" max="174" width="10.09765625" bestFit="1" customWidth="1"/>
    <col min="177" max="180" width="10.09765625" bestFit="1" customWidth="1"/>
    <col min="182" max="184" width="10.09765625" bestFit="1" customWidth="1"/>
    <col min="185" max="185" width="11.09765625" bestFit="1" customWidth="1"/>
    <col min="186" max="186" width="11.3984375" bestFit="1" customWidth="1"/>
  </cols>
  <sheetData>
    <row r="2" spans="1:4">
      <c r="A2" s="171" t="s">
        <v>7</v>
      </c>
      <c r="B2" t="s">
        <v>10221</v>
      </c>
    </row>
    <row r="3" spans="1:4">
      <c r="A3" s="171" t="s">
        <v>24</v>
      </c>
      <c r="B3" t="s">
        <v>10221</v>
      </c>
    </row>
    <row r="5" spans="1:4">
      <c r="A5" s="171" t="s">
        <v>15</v>
      </c>
      <c r="B5" s="171" t="s">
        <v>33</v>
      </c>
      <c r="C5" s="171" t="s">
        <v>9</v>
      </c>
      <c r="D5" t="s">
        <v>10225</v>
      </c>
    </row>
    <row r="6" spans="1:4">
      <c r="A6" t="s">
        <v>71</v>
      </c>
      <c r="B6" t="s">
        <v>78</v>
      </c>
      <c r="C6" t="s">
        <v>96</v>
      </c>
      <c r="D6" s="1519">
        <v>6048</v>
      </c>
    </row>
    <row r="7" spans="1:4">
      <c r="B7" t="s">
        <v>105</v>
      </c>
      <c r="C7" t="s">
        <v>96</v>
      </c>
      <c r="D7" s="1519">
        <v>8640</v>
      </c>
    </row>
    <row r="8" spans="1:4">
      <c r="A8" t="s">
        <v>1151</v>
      </c>
      <c r="B8" t="s">
        <v>78</v>
      </c>
      <c r="C8" t="s">
        <v>96</v>
      </c>
      <c r="D8" s="1519">
        <v>6048</v>
      </c>
    </row>
    <row r="9" spans="1:4">
      <c r="B9" t="s">
        <v>105</v>
      </c>
      <c r="C9" t="s">
        <v>96</v>
      </c>
      <c r="D9" s="1519">
        <v>16416</v>
      </c>
    </row>
    <row r="10" spans="1:4">
      <c r="A10" t="s">
        <v>965</v>
      </c>
      <c r="B10" t="s">
        <v>105</v>
      </c>
      <c r="C10" t="s">
        <v>96</v>
      </c>
      <c r="D10" s="1519">
        <v>1872</v>
      </c>
    </row>
    <row r="11" spans="1:4">
      <c r="A11" t="s">
        <v>195</v>
      </c>
      <c r="B11" t="s">
        <v>456</v>
      </c>
      <c r="C11" t="s">
        <v>96</v>
      </c>
      <c r="D11" s="1519">
        <v>1872</v>
      </c>
    </row>
    <row r="12" spans="1:4">
      <c r="B12" t="s">
        <v>105</v>
      </c>
      <c r="C12" t="s">
        <v>96</v>
      </c>
      <c r="D12" s="1519">
        <v>18720</v>
      </c>
    </row>
    <row r="13" spans="1:4">
      <c r="A13" t="s">
        <v>91</v>
      </c>
      <c r="B13" t="s">
        <v>78</v>
      </c>
      <c r="C13" t="s">
        <v>96</v>
      </c>
      <c r="D13" s="1519">
        <v>2808</v>
      </c>
    </row>
    <row r="14" spans="1:4">
      <c r="B14" t="s">
        <v>356</v>
      </c>
      <c r="C14" t="s">
        <v>96</v>
      </c>
      <c r="D14" s="1519">
        <v>20592</v>
      </c>
    </row>
    <row r="15" spans="1:4">
      <c r="A15" t="s">
        <v>1977</v>
      </c>
      <c r="B15" t="s">
        <v>78</v>
      </c>
      <c r="C15" t="s">
        <v>96</v>
      </c>
      <c r="D15" s="1519">
        <v>1320</v>
      </c>
    </row>
    <row r="16" spans="1:4">
      <c r="B16" t="s">
        <v>314</v>
      </c>
      <c r="C16" t="s">
        <v>96</v>
      </c>
      <c r="D16" s="1519">
        <v>18480</v>
      </c>
    </row>
    <row r="17" spans="1:4">
      <c r="B17" t="s">
        <v>1561</v>
      </c>
      <c r="C17" t="s">
        <v>96</v>
      </c>
      <c r="D17" s="1519">
        <v>5940</v>
      </c>
    </row>
    <row r="18" spans="1:4">
      <c r="B18" t="s">
        <v>105</v>
      </c>
      <c r="C18" t="s">
        <v>96</v>
      </c>
      <c r="D18" s="1519">
        <v>5280</v>
      </c>
    </row>
    <row r="19" spans="1:4">
      <c r="B19" t="s">
        <v>124</v>
      </c>
      <c r="C19" t="s">
        <v>96</v>
      </c>
      <c r="D19" s="1519">
        <v>5280</v>
      </c>
    </row>
    <row r="20" spans="1:4">
      <c r="A20" t="s">
        <v>171</v>
      </c>
      <c r="B20" t="s">
        <v>314</v>
      </c>
      <c r="C20" t="s">
        <v>96</v>
      </c>
      <c r="D20" s="1519">
        <v>15840</v>
      </c>
    </row>
    <row r="21" spans="1:4">
      <c r="B21" t="s">
        <v>1561</v>
      </c>
      <c r="C21" t="s">
        <v>96</v>
      </c>
      <c r="D21" s="1519">
        <v>5280</v>
      </c>
    </row>
    <row r="22" spans="1:4">
      <c r="B22" t="s">
        <v>105</v>
      </c>
      <c r="C22" t="s">
        <v>96</v>
      </c>
      <c r="D22" s="1519">
        <v>3960</v>
      </c>
    </row>
    <row r="23" spans="1:4">
      <c r="A23" t="s">
        <v>551</v>
      </c>
      <c r="B23" t="s">
        <v>78</v>
      </c>
      <c r="C23" t="s">
        <v>96</v>
      </c>
      <c r="D23" s="1519">
        <v>6336</v>
      </c>
    </row>
    <row r="24" spans="1:4">
      <c r="B24" t="s">
        <v>314</v>
      </c>
      <c r="C24" t="s">
        <v>96</v>
      </c>
      <c r="D24" s="1519">
        <v>3168</v>
      </c>
    </row>
    <row r="25" spans="1:4">
      <c r="B25" t="s">
        <v>356</v>
      </c>
      <c r="C25" t="s">
        <v>96</v>
      </c>
      <c r="D25" s="1519">
        <v>7128</v>
      </c>
    </row>
    <row r="26" spans="1:4">
      <c r="B26" t="s">
        <v>1561</v>
      </c>
      <c r="C26" t="s">
        <v>96</v>
      </c>
      <c r="D26" s="1519">
        <v>1584</v>
      </c>
    </row>
    <row r="27" spans="1:4">
      <c r="B27" t="s">
        <v>105</v>
      </c>
      <c r="C27" t="s">
        <v>96</v>
      </c>
      <c r="D27" s="1519">
        <v>1584</v>
      </c>
    </row>
    <row r="28" spans="1:4">
      <c r="B28" t="s">
        <v>124</v>
      </c>
      <c r="C28" t="s">
        <v>96</v>
      </c>
      <c r="D28" s="1519">
        <v>1584</v>
      </c>
    </row>
    <row r="29" spans="1:4">
      <c r="A29" t="s">
        <v>474</v>
      </c>
      <c r="B29" t="s">
        <v>456</v>
      </c>
      <c r="C29" t="s">
        <v>96</v>
      </c>
      <c r="D29" s="1519">
        <v>1728</v>
      </c>
    </row>
    <row r="30" spans="1:4">
      <c r="B30" t="s">
        <v>105</v>
      </c>
      <c r="C30" t="s">
        <v>96</v>
      </c>
      <c r="D30" s="1519">
        <v>12960</v>
      </c>
    </row>
    <row r="31" spans="1:4">
      <c r="B31" t="s">
        <v>124</v>
      </c>
      <c r="C31" t="s">
        <v>96</v>
      </c>
      <c r="D31" s="1519">
        <v>1728</v>
      </c>
    </row>
    <row r="32" spans="1:4">
      <c r="A32" t="s">
        <v>529</v>
      </c>
      <c r="B32" t="s">
        <v>314</v>
      </c>
      <c r="C32" t="s">
        <v>96</v>
      </c>
      <c r="D32" s="1519">
        <v>6048</v>
      </c>
    </row>
    <row r="33" spans="1:4">
      <c r="A33" t="s">
        <v>706</v>
      </c>
      <c r="B33" t="s">
        <v>78</v>
      </c>
      <c r="C33" t="s">
        <v>96</v>
      </c>
      <c r="D33" s="1519">
        <v>3456</v>
      </c>
    </row>
    <row r="34" spans="1:4">
      <c r="B34" t="s">
        <v>356</v>
      </c>
      <c r="C34" t="s">
        <v>96</v>
      </c>
      <c r="D34" s="1519">
        <v>1728</v>
      </c>
    </row>
    <row r="35" spans="1:4">
      <c r="A35" t="s">
        <v>691</v>
      </c>
      <c r="B35" t="s">
        <v>78</v>
      </c>
      <c r="C35" t="s">
        <v>96</v>
      </c>
      <c r="D35" s="1519">
        <v>5184</v>
      </c>
    </row>
    <row r="36" spans="1:4">
      <c r="A36" t="s">
        <v>189</v>
      </c>
      <c r="B36" t="s">
        <v>78</v>
      </c>
      <c r="C36" t="s">
        <v>96</v>
      </c>
      <c r="D36" s="1519">
        <v>5184</v>
      </c>
    </row>
    <row r="37" spans="1:4">
      <c r="A37" t="s">
        <v>1062</v>
      </c>
      <c r="B37" t="s">
        <v>456</v>
      </c>
      <c r="C37" t="s">
        <v>96</v>
      </c>
      <c r="D37" s="1519">
        <v>4320</v>
      </c>
    </row>
    <row r="38" spans="1:4">
      <c r="B38" t="s">
        <v>78</v>
      </c>
      <c r="C38" t="s">
        <v>96</v>
      </c>
      <c r="D38" s="1519">
        <v>14688</v>
      </c>
    </row>
    <row r="39" spans="1:4">
      <c r="B39" t="s">
        <v>105</v>
      </c>
      <c r="C39" t="s">
        <v>96</v>
      </c>
      <c r="D39" s="1519">
        <v>21600</v>
      </c>
    </row>
    <row r="40" spans="1:4">
      <c r="B40" t="s">
        <v>124</v>
      </c>
      <c r="C40" t="s">
        <v>96</v>
      </c>
      <c r="D40" s="1519">
        <v>1728</v>
      </c>
    </row>
    <row r="41" spans="1:4">
      <c r="A41" t="s">
        <v>204</v>
      </c>
      <c r="B41" t="s">
        <v>78</v>
      </c>
      <c r="C41" t="s">
        <v>96</v>
      </c>
      <c r="D41" s="1519">
        <v>4680</v>
      </c>
    </row>
    <row r="42" spans="1:4">
      <c r="B42" t="s">
        <v>356</v>
      </c>
      <c r="C42" t="s">
        <v>96</v>
      </c>
      <c r="D42" s="1519">
        <v>9360</v>
      </c>
    </row>
    <row r="43" spans="1:4">
      <c r="A43" t="s">
        <v>4496</v>
      </c>
      <c r="B43" t="s">
        <v>105</v>
      </c>
      <c r="C43" t="s">
        <v>96</v>
      </c>
      <c r="D43" s="1519">
        <v>3600</v>
      </c>
    </row>
    <row r="44" spans="1:4">
      <c r="B44" t="s">
        <v>124</v>
      </c>
      <c r="C44" t="s">
        <v>96</v>
      </c>
      <c r="D44" s="1519">
        <v>2880</v>
      </c>
    </row>
    <row r="45" spans="1:4">
      <c r="A45" t="s">
        <v>4529</v>
      </c>
      <c r="B45" t="s">
        <v>105</v>
      </c>
      <c r="C45" t="s">
        <v>96</v>
      </c>
      <c r="D45" s="1519">
        <v>4320</v>
      </c>
    </row>
    <row r="46" spans="1:4">
      <c r="A46" t="s">
        <v>2134</v>
      </c>
      <c r="B46" t="s">
        <v>456</v>
      </c>
      <c r="C46" t="s">
        <v>96</v>
      </c>
      <c r="D46" s="1519">
        <v>5544</v>
      </c>
    </row>
    <row r="47" spans="1:4">
      <c r="B47" t="s">
        <v>78</v>
      </c>
      <c r="C47" t="s">
        <v>96</v>
      </c>
      <c r="D47" s="1519">
        <v>3960</v>
      </c>
    </row>
    <row r="48" spans="1:4">
      <c r="B48" t="s">
        <v>314</v>
      </c>
      <c r="C48" t="s">
        <v>96</v>
      </c>
      <c r="D48" s="1519">
        <v>10296</v>
      </c>
    </row>
    <row r="49" spans="1:4">
      <c r="B49" t="s">
        <v>1561</v>
      </c>
      <c r="C49" t="s">
        <v>96</v>
      </c>
      <c r="D49" s="1519">
        <v>2376</v>
      </c>
    </row>
    <row r="50" spans="1:4">
      <c r="B50" t="s">
        <v>105</v>
      </c>
      <c r="C50" t="s">
        <v>96</v>
      </c>
      <c r="D50" s="1519">
        <v>5544</v>
      </c>
    </row>
    <row r="51" spans="1:4">
      <c r="B51" t="s">
        <v>124</v>
      </c>
      <c r="C51" t="s">
        <v>96</v>
      </c>
      <c r="D51" s="1519">
        <v>1584</v>
      </c>
    </row>
    <row r="52" spans="1:4">
      <c r="A52" t="s">
        <v>7538</v>
      </c>
      <c r="B52" t="s">
        <v>68</v>
      </c>
      <c r="C52" t="s">
        <v>96</v>
      </c>
      <c r="D52" s="1519">
        <v>594</v>
      </c>
    </row>
    <row r="53" spans="1:4">
      <c r="A53" t="s">
        <v>7330</v>
      </c>
      <c r="B53" t="s">
        <v>124</v>
      </c>
      <c r="C53" t="s">
        <v>96</v>
      </c>
      <c r="D53" s="1519">
        <v>15444</v>
      </c>
    </row>
    <row r="54" spans="1:4">
      <c r="A54" t="s">
        <v>7336</v>
      </c>
      <c r="B54" t="s">
        <v>124</v>
      </c>
      <c r="C54" t="s">
        <v>96</v>
      </c>
      <c r="D54" s="1519">
        <v>14256</v>
      </c>
    </row>
    <row r="55" spans="1:4">
      <c r="A55" t="s">
        <v>10190</v>
      </c>
      <c r="D55" s="1519">
        <v>330570</v>
      </c>
    </row>
  </sheetData>
  <phoneticPr fontId="6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6369-BEF2-4E94-8802-5EBEBF151278}">
  <sheetPr codeName="Sheet14">
    <tabColor rgb="FFFFCCFF"/>
  </sheetPr>
  <dimension ref="A1:H19"/>
  <sheetViews>
    <sheetView zoomScaleNormal="100" workbookViewId="0">
      <selection activeCell="F1" sqref="F1"/>
    </sheetView>
  </sheetViews>
  <sheetFormatPr defaultColWidth="137.8984375" defaultRowHeight="13"/>
  <cols>
    <col min="1" max="1" width="10.09765625" customWidth="1"/>
    <col min="2" max="2" width="25.8984375" customWidth="1"/>
    <col min="3" max="3" width="55.3984375" customWidth="1"/>
    <col min="4" max="8" width="17.59765625" customWidth="1"/>
  </cols>
  <sheetData>
    <row r="1" spans="1:8" ht="56">
      <c r="A1" s="227" t="s">
        <v>11000</v>
      </c>
      <c r="B1" s="227" t="s">
        <v>10747</v>
      </c>
      <c r="C1" s="227" t="s">
        <v>11001</v>
      </c>
      <c r="D1" s="1496" t="s">
        <v>11002</v>
      </c>
      <c r="E1" s="1496" t="s">
        <v>11003</v>
      </c>
      <c r="F1" s="1496" t="s">
        <v>11004</v>
      </c>
      <c r="G1" s="1496" t="s">
        <v>11005</v>
      </c>
      <c r="H1" s="1496" t="s">
        <v>11006</v>
      </c>
    </row>
    <row r="2" spans="1:8" s="226" customFormat="1" ht="14">
      <c r="A2" s="1497">
        <v>0</v>
      </c>
      <c r="B2" s="1498" t="s">
        <v>11007</v>
      </c>
      <c r="C2" s="1499" t="s">
        <v>11008</v>
      </c>
      <c r="D2" s="1500" t="s">
        <v>8699</v>
      </c>
      <c r="E2" s="1500" t="s">
        <v>8699</v>
      </c>
      <c r="F2" s="1497" t="s">
        <v>8699</v>
      </c>
      <c r="G2" s="1497" t="s">
        <v>840</v>
      </c>
      <c r="H2" s="1500" t="s">
        <v>8699</v>
      </c>
    </row>
    <row r="3" spans="1:8" s="226" customFormat="1" ht="14">
      <c r="A3" s="1497">
        <v>1</v>
      </c>
      <c r="B3" s="1498" t="s">
        <v>11009</v>
      </c>
      <c r="C3" s="1499" t="s">
        <v>11010</v>
      </c>
      <c r="D3" s="1497" t="s">
        <v>840</v>
      </c>
      <c r="E3" s="1500" t="s">
        <v>8699</v>
      </c>
      <c r="F3" s="1497" t="s">
        <v>8699</v>
      </c>
      <c r="G3" s="1497" t="s">
        <v>840</v>
      </c>
      <c r="H3" s="1500" t="s">
        <v>8699</v>
      </c>
    </row>
    <row r="4" spans="1:8" s="226" customFormat="1" ht="26">
      <c r="A4" s="1497">
        <v>2</v>
      </c>
      <c r="B4" s="1498" t="s">
        <v>11011</v>
      </c>
      <c r="C4" s="1499" t="s">
        <v>11012</v>
      </c>
      <c r="D4" s="1497" t="s">
        <v>840</v>
      </c>
      <c r="E4" s="1500" t="s">
        <v>8699</v>
      </c>
      <c r="F4" s="1500" t="s">
        <v>840</v>
      </c>
      <c r="G4" s="1497" t="s">
        <v>840</v>
      </c>
      <c r="H4" s="1497" t="s">
        <v>840</v>
      </c>
    </row>
    <row r="5" spans="1:8" s="226" customFormat="1" ht="39">
      <c r="A5" s="1497">
        <v>3</v>
      </c>
      <c r="B5" s="1498" t="s">
        <v>11013</v>
      </c>
      <c r="C5" s="1499" t="s">
        <v>11014</v>
      </c>
      <c r="D5" s="1497" t="s">
        <v>840</v>
      </c>
      <c r="E5" s="1500" t="s">
        <v>8699</v>
      </c>
      <c r="F5" s="1500" t="s">
        <v>840</v>
      </c>
      <c r="G5" s="1500" t="s">
        <v>8699</v>
      </c>
      <c r="H5" s="1500" t="s">
        <v>8699</v>
      </c>
    </row>
    <row r="6" spans="1:8" s="226" customFormat="1" ht="52">
      <c r="A6" s="1497">
        <v>4</v>
      </c>
      <c r="B6" s="1498" t="s">
        <v>11015</v>
      </c>
      <c r="C6" s="1499" t="s">
        <v>11016</v>
      </c>
      <c r="D6" s="1497" t="s">
        <v>840</v>
      </c>
      <c r="E6" s="1497" t="s">
        <v>840</v>
      </c>
      <c r="F6" s="1497" t="s">
        <v>8699</v>
      </c>
      <c r="G6" s="1497" t="s">
        <v>840</v>
      </c>
      <c r="H6" s="1497" t="s">
        <v>840</v>
      </c>
    </row>
    <row r="7" spans="1:8" s="226" customFormat="1" ht="36" customHeight="1">
      <c r="A7" s="1497">
        <v>5</v>
      </c>
      <c r="B7" s="1498" t="s">
        <v>11017</v>
      </c>
      <c r="C7" s="1499" t="s">
        <v>11018</v>
      </c>
      <c r="D7" s="1497" t="s">
        <v>840</v>
      </c>
      <c r="E7" s="1497" t="s">
        <v>840</v>
      </c>
      <c r="F7" s="1500" t="s">
        <v>840</v>
      </c>
      <c r="G7" s="1500" t="s">
        <v>8699</v>
      </c>
      <c r="H7" s="1500" t="s">
        <v>8699</v>
      </c>
    </row>
    <row r="8" spans="1:8" s="226" customFormat="1" ht="33.75" customHeight="1">
      <c r="A8" s="1497">
        <v>6</v>
      </c>
      <c r="B8" s="1498" t="s">
        <v>11019</v>
      </c>
      <c r="C8" s="1499" t="s">
        <v>11020</v>
      </c>
      <c r="D8" s="1497" t="s">
        <v>840</v>
      </c>
      <c r="E8" s="1497" t="s">
        <v>840</v>
      </c>
      <c r="F8" s="1500" t="s">
        <v>840</v>
      </c>
      <c r="G8" s="1500" t="s">
        <v>8699</v>
      </c>
      <c r="H8" s="1497" t="s">
        <v>840</v>
      </c>
    </row>
    <row r="9" spans="1:8" ht="27.75" customHeight="1"/>
    <row r="10" spans="1:8">
      <c r="A10" s="302" t="s">
        <v>11021</v>
      </c>
      <c r="B10" s="302"/>
      <c r="C10" s="302"/>
    </row>
    <row r="11" spans="1:8">
      <c r="A11" s="303" t="s">
        <v>11022</v>
      </c>
      <c r="B11" s="303"/>
      <c r="C11" s="303"/>
    </row>
    <row r="12" spans="1:8">
      <c r="A12" s="304" t="s">
        <v>11023</v>
      </c>
      <c r="B12" s="304"/>
      <c r="C12" s="304"/>
    </row>
    <row r="13" spans="1:8">
      <c r="A13" s="305" t="s">
        <v>11024</v>
      </c>
      <c r="B13" s="305"/>
      <c r="C13" s="305"/>
    </row>
    <row r="14" spans="1:8">
      <c r="A14" s="306" t="s">
        <v>11025</v>
      </c>
      <c r="B14" s="306"/>
      <c r="C14" s="306"/>
    </row>
    <row r="15" spans="1:8">
      <c r="A15" s="307" t="s">
        <v>11026</v>
      </c>
      <c r="B15" s="307"/>
      <c r="C15" s="307"/>
    </row>
    <row r="18" spans="2:2">
      <c r="B18" s="1498"/>
    </row>
    <row r="19" spans="2:2">
      <c r="B19" s="1498"/>
    </row>
  </sheetData>
  <protectedRanges>
    <protectedRange sqref="A10:C15" name="PV_Data_3"/>
  </protectedRanges>
  <phoneticPr fontId="64" type="noConversion"/>
  <dataValidations count="1">
    <dataValidation allowBlank="1" showInputMessage="1" showErrorMessage="1" sqref="A10:C15" xr:uid="{39F975B8-F9F3-41B7-841D-209DA05DE0A6}"/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D642-5515-489B-9EE3-26041151E27F}">
  <sheetPr codeName="Sheet15">
    <tabColor rgb="FFFFCCFF"/>
  </sheetPr>
  <dimension ref="A1:L159"/>
  <sheetViews>
    <sheetView topLeftCell="A127" zoomScale="85" zoomScaleNormal="85" workbookViewId="0">
      <selection activeCell="D147" sqref="D147"/>
    </sheetView>
  </sheetViews>
  <sheetFormatPr defaultColWidth="9" defaultRowHeight="13"/>
  <cols>
    <col min="1" max="1" width="20.09765625" customWidth="1"/>
    <col min="2" max="2" width="25.3984375" customWidth="1"/>
    <col min="3" max="3" width="16.3984375" bestFit="1" customWidth="1"/>
    <col min="4" max="4" width="12.59765625" customWidth="1"/>
    <col min="5" max="5" width="20.8984375" customWidth="1"/>
    <col min="6" max="6" width="7.8984375" customWidth="1"/>
    <col min="7" max="7" width="17.8984375" customWidth="1"/>
    <col min="8" max="8" width="21.59765625" customWidth="1"/>
    <col min="9" max="9" width="82.3984375" bestFit="1" customWidth="1"/>
    <col min="11" max="11" width="12.59765625" customWidth="1"/>
    <col min="13" max="13" width="12.59765625" customWidth="1"/>
    <col min="14" max="14" width="28.09765625" customWidth="1"/>
    <col min="16" max="23" width="15.09765625" customWidth="1"/>
    <col min="24" max="24" width="9" bestFit="1" customWidth="1"/>
    <col min="25" max="25" width="12.8984375" bestFit="1" customWidth="1"/>
    <col min="26" max="27" width="9" bestFit="1" customWidth="1"/>
    <col min="28" max="28" width="19.3984375" bestFit="1" customWidth="1"/>
    <col min="29" max="30" width="13.8984375" bestFit="1" customWidth="1"/>
  </cols>
  <sheetData>
    <row r="1" spans="1:9" s="891" customFormat="1" ht="28">
      <c r="A1" s="890" t="s">
        <v>15</v>
      </c>
      <c r="B1" s="890" t="s">
        <v>11027</v>
      </c>
      <c r="C1" s="890" t="s">
        <v>11028</v>
      </c>
      <c r="D1" s="890" t="s">
        <v>17</v>
      </c>
      <c r="E1" s="890" t="s">
        <v>58</v>
      </c>
      <c r="F1" s="890" t="s">
        <v>11029</v>
      </c>
      <c r="G1" s="890" t="s">
        <v>11030</v>
      </c>
      <c r="H1" s="890" t="s">
        <v>11031</v>
      </c>
      <c r="I1" s="890" t="s">
        <v>11032</v>
      </c>
    </row>
    <row r="2" spans="1:9" ht="14">
      <c r="A2" s="892" t="s">
        <v>943</v>
      </c>
      <c r="B2" s="892" t="s">
        <v>886</v>
      </c>
      <c r="C2" s="892" t="s">
        <v>967</v>
      </c>
      <c r="D2" t="s">
        <v>73</v>
      </c>
      <c r="E2" s="894" t="s">
        <v>108</v>
      </c>
      <c r="F2" s="894" t="s">
        <v>11033</v>
      </c>
      <c r="G2">
        <v>36</v>
      </c>
      <c r="H2">
        <v>720</v>
      </c>
      <c r="I2" t="s">
        <v>11034</v>
      </c>
    </row>
    <row r="3" spans="1:9" ht="14">
      <c r="A3" s="892" t="s">
        <v>102</v>
      </c>
      <c r="B3" s="892" t="s">
        <v>103</v>
      </c>
      <c r="C3" s="892" t="s">
        <v>967</v>
      </c>
      <c r="D3" t="s">
        <v>73</v>
      </c>
      <c r="E3" s="894" t="s">
        <v>108</v>
      </c>
      <c r="F3" s="894" t="s">
        <v>11033</v>
      </c>
      <c r="G3">
        <v>36</v>
      </c>
      <c r="H3">
        <v>720</v>
      </c>
      <c r="I3" t="s">
        <v>11034</v>
      </c>
    </row>
    <row r="4" spans="1:9" ht="14">
      <c r="A4" s="892" t="s">
        <v>1002</v>
      </c>
      <c r="B4" s="892" t="s">
        <v>330</v>
      </c>
      <c r="C4" s="892" t="s">
        <v>992</v>
      </c>
      <c r="D4" t="s">
        <v>73</v>
      </c>
      <c r="E4" s="894" t="s">
        <v>128</v>
      </c>
      <c r="F4" s="894" t="s">
        <v>11035</v>
      </c>
      <c r="G4">
        <v>36</v>
      </c>
      <c r="H4">
        <v>720</v>
      </c>
      <c r="I4" t="s">
        <v>11036</v>
      </c>
    </row>
    <row r="5" spans="1:9" ht="14">
      <c r="A5" s="892" t="s">
        <v>2720</v>
      </c>
      <c r="B5" s="892" t="s">
        <v>2721</v>
      </c>
      <c r="C5" s="892" t="s">
        <v>992</v>
      </c>
      <c r="D5" t="s">
        <v>73</v>
      </c>
      <c r="E5" s="894" t="s">
        <v>108</v>
      </c>
      <c r="F5" s="894" t="s">
        <v>11035</v>
      </c>
      <c r="G5">
        <v>36</v>
      </c>
      <c r="H5">
        <v>936</v>
      </c>
      <c r="I5" t="s">
        <v>11037</v>
      </c>
    </row>
    <row r="6" spans="1:9" ht="14">
      <c r="A6" s="892" t="s">
        <v>1355</v>
      </c>
      <c r="B6" s="892" t="s">
        <v>1348</v>
      </c>
      <c r="C6" s="892" t="s">
        <v>992</v>
      </c>
      <c r="D6" t="s">
        <v>73</v>
      </c>
      <c r="E6" s="894" t="s">
        <v>128</v>
      </c>
      <c r="F6" s="894" t="s">
        <v>11035</v>
      </c>
      <c r="G6">
        <v>33</v>
      </c>
      <c r="H6">
        <v>594</v>
      </c>
    </row>
    <row r="7" spans="1:9" ht="14">
      <c r="A7" s="892" t="s">
        <v>2611</v>
      </c>
      <c r="B7" s="892" t="s">
        <v>11038</v>
      </c>
      <c r="C7" s="892" t="s">
        <v>992</v>
      </c>
      <c r="D7" t="s">
        <v>73</v>
      </c>
      <c r="E7" s="894" t="s">
        <v>108</v>
      </c>
      <c r="F7" s="894" t="s">
        <v>11035</v>
      </c>
      <c r="G7">
        <v>33</v>
      </c>
      <c r="H7">
        <v>660</v>
      </c>
      <c r="I7" t="s">
        <v>11039</v>
      </c>
    </row>
    <row r="8" spans="1:9" ht="14">
      <c r="A8" s="892" t="s">
        <v>2618</v>
      </c>
      <c r="B8" s="892" t="s">
        <v>11040</v>
      </c>
      <c r="C8" s="892" t="s">
        <v>992</v>
      </c>
      <c r="D8" t="s">
        <v>73</v>
      </c>
      <c r="E8" s="894" t="s">
        <v>108</v>
      </c>
      <c r="F8" s="894" t="s">
        <v>11035</v>
      </c>
      <c r="G8">
        <v>33</v>
      </c>
      <c r="H8">
        <v>660</v>
      </c>
      <c r="I8" t="s">
        <v>11039</v>
      </c>
    </row>
    <row r="9" spans="1:9" ht="14">
      <c r="A9" s="892" t="s">
        <v>1347</v>
      </c>
      <c r="B9" s="892" t="s">
        <v>1348</v>
      </c>
      <c r="C9" s="892" t="s">
        <v>992</v>
      </c>
      <c r="D9" t="s">
        <v>73</v>
      </c>
      <c r="E9" s="894" t="s">
        <v>128</v>
      </c>
      <c r="F9" s="894" t="s">
        <v>11035</v>
      </c>
      <c r="G9">
        <v>33</v>
      </c>
      <c r="H9">
        <v>594</v>
      </c>
      <c r="I9" t="s">
        <v>11036</v>
      </c>
    </row>
    <row r="10" spans="1:9" ht="14">
      <c r="A10" s="892" t="s">
        <v>2657</v>
      </c>
      <c r="B10" s="892" t="s">
        <v>571</v>
      </c>
      <c r="C10" s="892" t="s">
        <v>967</v>
      </c>
      <c r="D10" t="s">
        <v>73</v>
      </c>
      <c r="E10" s="894" t="s">
        <v>85</v>
      </c>
      <c r="F10" s="894" t="s">
        <v>11033</v>
      </c>
      <c r="G10">
        <v>36</v>
      </c>
      <c r="H10">
        <v>936</v>
      </c>
    </row>
    <row r="11" spans="1:9" ht="14">
      <c r="A11" s="892" t="s">
        <v>3080</v>
      </c>
      <c r="B11" s="892" t="s">
        <v>1235</v>
      </c>
      <c r="C11" s="892" t="s">
        <v>967</v>
      </c>
      <c r="D11" t="s">
        <v>73</v>
      </c>
      <c r="E11" s="894" t="s">
        <v>85</v>
      </c>
      <c r="F11" s="894" t="s">
        <v>11033</v>
      </c>
      <c r="G11">
        <v>36</v>
      </c>
      <c r="H11">
        <v>936</v>
      </c>
      <c r="I11" t="s">
        <v>11041</v>
      </c>
    </row>
    <row r="12" spans="1:9" ht="14">
      <c r="A12" s="892" t="s">
        <v>1905</v>
      </c>
      <c r="B12" s="892" t="s">
        <v>1906</v>
      </c>
      <c r="C12" s="892" t="s">
        <v>992</v>
      </c>
      <c r="D12" t="s">
        <v>73</v>
      </c>
      <c r="E12" s="894" t="s">
        <v>108</v>
      </c>
      <c r="F12" s="894" t="s">
        <v>11035</v>
      </c>
      <c r="G12">
        <v>33</v>
      </c>
      <c r="H12">
        <v>660</v>
      </c>
      <c r="I12" t="s">
        <v>11039</v>
      </c>
    </row>
    <row r="13" spans="1:9" ht="14">
      <c r="A13" s="892" t="s">
        <v>841</v>
      </c>
      <c r="B13" s="892" t="s">
        <v>842</v>
      </c>
      <c r="C13" s="892" t="s">
        <v>992</v>
      </c>
      <c r="D13" t="s">
        <v>73</v>
      </c>
      <c r="E13" s="894" t="s">
        <v>108</v>
      </c>
      <c r="F13" s="894" t="s">
        <v>11033</v>
      </c>
      <c r="G13">
        <v>36</v>
      </c>
      <c r="H13">
        <v>792</v>
      </c>
      <c r="I13" t="s">
        <v>11042</v>
      </c>
    </row>
    <row r="14" spans="1:9" ht="14">
      <c r="A14" s="892" t="s">
        <v>405</v>
      </c>
      <c r="B14" s="892" t="s">
        <v>406</v>
      </c>
      <c r="C14" s="892" t="s">
        <v>992</v>
      </c>
      <c r="D14" t="s">
        <v>73</v>
      </c>
      <c r="E14" s="894" t="s">
        <v>108</v>
      </c>
      <c r="F14" s="894" t="s">
        <v>11033</v>
      </c>
      <c r="G14">
        <v>36</v>
      </c>
      <c r="H14">
        <v>792</v>
      </c>
      <c r="I14" s="1488"/>
    </row>
    <row r="15" spans="1:9" ht="14">
      <c r="A15" s="892" t="s">
        <v>453</v>
      </c>
      <c r="B15" s="892" t="s">
        <v>454</v>
      </c>
      <c r="C15" s="892" t="s">
        <v>967</v>
      </c>
      <c r="D15" t="s">
        <v>73</v>
      </c>
      <c r="E15" s="894" t="s">
        <v>108</v>
      </c>
      <c r="F15" s="894" t="s">
        <v>11033</v>
      </c>
      <c r="G15">
        <v>36</v>
      </c>
      <c r="H15">
        <v>864</v>
      </c>
      <c r="I15" s="1488" t="s">
        <v>11043</v>
      </c>
    </row>
    <row r="16" spans="1:9" ht="14">
      <c r="A16" s="892" t="s">
        <v>3952</v>
      </c>
      <c r="B16" s="892" t="s">
        <v>1105</v>
      </c>
      <c r="C16" s="892" t="s">
        <v>967</v>
      </c>
      <c r="D16" t="s">
        <v>73</v>
      </c>
      <c r="E16" s="894" t="s">
        <v>108</v>
      </c>
      <c r="F16" s="894" t="s">
        <v>11033</v>
      </c>
      <c r="G16">
        <v>36</v>
      </c>
      <c r="H16">
        <v>864</v>
      </c>
      <c r="I16" t="s">
        <v>11043</v>
      </c>
    </row>
    <row r="17" spans="1:9" ht="14">
      <c r="A17" s="892" t="s">
        <v>71</v>
      </c>
      <c r="B17" s="892" t="s">
        <v>72</v>
      </c>
      <c r="C17" s="892" t="s">
        <v>967</v>
      </c>
      <c r="D17" t="s">
        <v>73</v>
      </c>
      <c r="E17" s="894" t="s">
        <v>85</v>
      </c>
      <c r="F17" s="894" t="s">
        <v>11033</v>
      </c>
      <c r="G17">
        <v>36</v>
      </c>
      <c r="H17">
        <v>864</v>
      </c>
      <c r="I17" t="s">
        <v>11041</v>
      </c>
    </row>
    <row r="18" spans="1:9" ht="15">
      <c r="A18" s="892" t="s">
        <v>285</v>
      </c>
      <c r="B18" s="892" t="s">
        <v>286</v>
      </c>
      <c r="C18" s="892" t="s">
        <v>992</v>
      </c>
      <c r="D18" t="s">
        <v>73</v>
      </c>
      <c r="E18" s="894" t="s">
        <v>85</v>
      </c>
      <c r="F18" s="894" t="s">
        <v>11033</v>
      </c>
      <c r="G18">
        <v>37</v>
      </c>
      <c r="H18">
        <v>962</v>
      </c>
      <c r="I18" s="1269" t="s">
        <v>11044</v>
      </c>
    </row>
    <row r="19" spans="1:9" ht="14">
      <c r="A19" s="892" t="s">
        <v>1151</v>
      </c>
      <c r="B19" s="892" t="s">
        <v>421</v>
      </c>
      <c r="C19" s="892" t="s">
        <v>967</v>
      </c>
      <c r="D19" t="s">
        <v>73</v>
      </c>
      <c r="E19" s="894" t="s">
        <v>85</v>
      </c>
      <c r="F19" s="894" t="s">
        <v>11033</v>
      </c>
      <c r="G19">
        <v>36</v>
      </c>
      <c r="H19">
        <v>864</v>
      </c>
      <c r="I19" s="1488" t="s">
        <v>11041</v>
      </c>
    </row>
    <row r="20" spans="1:9" ht="14">
      <c r="A20" s="892" t="s">
        <v>965</v>
      </c>
      <c r="B20" s="892" t="s">
        <v>966</v>
      </c>
      <c r="C20" s="892" t="s">
        <v>967</v>
      </c>
      <c r="D20" t="s">
        <v>73</v>
      </c>
      <c r="E20" s="894" t="s">
        <v>85</v>
      </c>
      <c r="F20" s="894" t="s">
        <v>11033</v>
      </c>
      <c r="G20">
        <v>36</v>
      </c>
      <c r="H20">
        <v>936</v>
      </c>
      <c r="I20" s="1488" t="s">
        <v>11041</v>
      </c>
    </row>
    <row r="21" spans="1:9" ht="14">
      <c r="A21" s="892" t="s">
        <v>195</v>
      </c>
      <c r="B21" s="892" t="s">
        <v>196</v>
      </c>
      <c r="C21" s="892" t="s">
        <v>967</v>
      </c>
      <c r="D21" t="s">
        <v>73</v>
      </c>
      <c r="E21" s="894" t="s">
        <v>85</v>
      </c>
      <c r="F21" s="894" t="s">
        <v>11033</v>
      </c>
      <c r="G21">
        <v>36</v>
      </c>
      <c r="H21">
        <v>936</v>
      </c>
      <c r="I21" t="s">
        <v>11041</v>
      </c>
    </row>
    <row r="22" spans="1:9" ht="14">
      <c r="A22" s="892" t="s">
        <v>91</v>
      </c>
      <c r="B22" s="892" t="s">
        <v>11045</v>
      </c>
      <c r="C22" s="892" t="s">
        <v>967</v>
      </c>
      <c r="D22" t="s">
        <v>73</v>
      </c>
      <c r="E22" s="894" t="s">
        <v>94</v>
      </c>
      <c r="F22" s="894" t="s">
        <v>11033</v>
      </c>
      <c r="G22">
        <v>36</v>
      </c>
      <c r="H22">
        <v>936</v>
      </c>
      <c r="I22" t="s">
        <v>11046</v>
      </c>
    </row>
    <row r="23" spans="1:9" ht="14">
      <c r="A23" s="892" t="s">
        <v>860</v>
      </c>
      <c r="B23" s="892" t="s">
        <v>11047</v>
      </c>
      <c r="C23" s="892" t="s">
        <v>967</v>
      </c>
      <c r="D23" t="s">
        <v>73</v>
      </c>
      <c r="E23" s="894" t="s">
        <v>94</v>
      </c>
      <c r="F23" s="894" t="s">
        <v>11033</v>
      </c>
      <c r="G23">
        <v>36</v>
      </c>
      <c r="H23">
        <v>936</v>
      </c>
      <c r="I23" t="s">
        <v>11046</v>
      </c>
    </row>
    <row r="24" spans="1:9" ht="14">
      <c r="A24" s="892" t="s">
        <v>3548</v>
      </c>
      <c r="B24" s="892" t="s">
        <v>3549</v>
      </c>
      <c r="C24" s="892" t="s">
        <v>992</v>
      </c>
      <c r="D24" t="s">
        <v>73</v>
      </c>
      <c r="E24" s="894" t="s">
        <v>128</v>
      </c>
      <c r="F24" s="894" t="s">
        <v>11035</v>
      </c>
      <c r="G24">
        <v>33</v>
      </c>
      <c r="H24">
        <v>594</v>
      </c>
      <c r="I24" t="s">
        <v>11036</v>
      </c>
    </row>
    <row r="25" spans="1:9" ht="15">
      <c r="A25" s="892" t="s">
        <v>2777</v>
      </c>
      <c r="B25" s="892" t="s">
        <v>2778</v>
      </c>
      <c r="C25" s="892" t="s">
        <v>967</v>
      </c>
      <c r="D25" t="s">
        <v>73</v>
      </c>
      <c r="E25" s="894" t="s">
        <v>85</v>
      </c>
      <c r="F25" s="894" t="s">
        <v>11033</v>
      </c>
      <c r="G25">
        <v>37</v>
      </c>
      <c r="H25">
        <v>962</v>
      </c>
      <c r="I25" s="1269" t="s">
        <v>11044</v>
      </c>
    </row>
    <row r="26" spans="1:9" ht="14">
      <c r="A26" s="892" t="s">
        <v>3443</v>
      </c>
      <c r="B26" s="892" t="s">
        <v>3444</v>
      </c>
      <c r="C26" s="892" t="s">
        <v>967</v>
      </c>
      <c r="D26" t="s">
        <v>73</v>
      </c>
      <c r="E26" s="894" t="s">
        <v>85</v>
      </c>
      <c r="F26" s="894" t="s">
        <v>11033</v>
      </c>
      <c r="G26">
        <v>37</v>
      </c>
      <c r="H26">
        <v>962</v>
      </c>
      <c r="I26" t="s">
        <v>11048</v>
      </c>
    </row>
    <row r="27" spans="1:9" ht="14">
      <c r="A27" s="892" t="s">
        <v>3407</v>
      </c>
      <c r="B27" s="892" t="s">
        <v>3408</v>
      </c>
      <c r="C27" s="892" t="s">
        <v>967</v>
      </c>
      <c r="D27" t="s">
        <v>73</v>
      </c>
      <c r="E27" s="894" t="s">
        <v>85</v>
      </c>
      <c r="F27" s="894" t="s">
        <v>11033</v>
      </c>
      <c r="G27">
        <v>37</v>
      </c>
      <c r="H27">
        <v>962</v>
      </c>
      <c r="I27" t="s">
        <v>11048</v>
      </c>
    </row>
    <row r="28" spans="1:9" ht="14">
      <c r="A28" s="892" t="s">
        <v>218</v>
      </c>
      <c r="B28" s="892" t="s">
        <v>11049</v>
      </c>
      <c r="C28" s="892" t="s">
        <v>992</v>
      </c>
      <c r="D28" t="s">
        <v>73</v>
      </c>
      <c r="E28" s="894" t="s">
        <v>128</v>
      </c>
      <c r="F28" s="894" t="s">
        <v>11035</v>
      </c>
      <c r="G28">
        <v>36</v>
      </c>
      <c r="H28">
        <v>720</v>
      </c>
      <c r="I28" t="s">
        <v>11036</v>
      </c>
    </row>
    <row r="29" spans="1:9" ht="15">
      <c r="A29" s="892" t="s">
        <v>1185</v>
      </c>
      <c r="B29" s="892" t="s">
        <v>1186</v>
      </c>
      <c r="C29" s="892" t="s">
        <v>1187</v>
      </c>
      <c r="D29" t="s">
        <v>73</v>
      </c>
      <c r="E29" s="894" t="s">
        <v>108</v>
      </c>
      <c r="F29" s="894" t="s">
        <v>11035</v>
      </c>
      <c r="G29">
        <v>36</v>
      </c>
      <c r="H29">
        <v>720</v>
      </c>
      <c r="I29" s="1269" t="s">
        <v>11050</v>
      </c>
    </row>
    <row r="30" spans="1:9" ht="15">
      <c r="A30" s="892" t="s">
        <v>714</v>
      </c>
      <c r="B30" s="892" t="s">
        <v>1173</v>
      </c>
      <c r="C30" s="892" t="s">
        <v>1166</v>
      </c>
      <c r="D30" t="s">
        <v>73</v>
      </c>
      <c r="E30" s="894" t="s">
        <v>108</v>
      </c>
      <c r="F30" s="894" t="s">
        <v>11035</v>
      </c>
      <c r="G30">
        <v>36</v>
      </c>
      <c r="H30">
        <v>576</v>
      </c>
      <c r="I30" s="1269" t="s">
        <v>11051</v>
      </c>
    </row>
    <row r="31" spans="1:9" ht="14">
      <c r="A31" s="892" t="s">
        <v>1977</v>
      </c>
      <c r="B31" s="892" t="s">
        <v>1978</v>
      </c>
      <c r="C31" s="892" t="s">
        <v>992</v>
      </c>
      <c r="D31" t="s">
        <v>73</v>
      </c>
      <c r="E31" s="894" t="s">
        <v>108</v>
      </c>
      <c r="F31" s="894" t="s">
        <v>11035</v>
      </c>
      <c r="G31">
        <v>33</v>
      </c>
      <c r="H31">
        <v>660</v>
      </c>
      <c r="I31" t="s">
        <v>11039</v>
      </c>
    </row>
    <row r="32" spans="1:9" ht="14">
      <c r="A32" s="892" t="s">
        <v>329</v>
      </c>
      <c r="B32" s="892" t="s">
        <v>330</v>
      </c>
      <c r="C32" s="892" t="s">
        <v>992</v>
      </c>
      <c r="D32" t="s">
        <v>331</v>
      </c>
      <c r="E32" s="894" t="s">
        <v>128</v>
      </c>
      <c r="F32" s="894" t="s">
        <v>11035</v>
      </c>
      <c r="G32">
        <v>36</v>
      </c>
      <c r="H32">
        <v>720</v>
      </c>
      <c r="I32" t="s">
        <v>11036</v>
      </c>
    </row>
    <row r="33" spans="1:9" ht="14">
      <c r="A33" s="892" t="s">
        <v>585</v>
      </c>
      <c r="B33" s="892" t="s">
        <v>103</v>
      </c>
      <c r="C33" s="892" t="s">
        <v>992</v>
      </c>
      <c r="D33" t="s">
        <v>331</v>
      </c>
      <c r="E33" s="894" t="s">
        <v>128</v>
      </c>
      <c r="F33" s="894" t="s">
        <v>11035</v>
      </c>
      <c r="G33">
        <v>36</v>
      </c>
      <c r="H33">
        <v>720</v>
      </c>
      <c r="I33" t="s">
        <v>11036</v>
      </c>
    </row>
    <row r="34" spans="1:9" ht="14">
      <c r="A34" s="892" t="s">
        <v>462</v>
      </c>
      <c r="B34" s="892" t="s">
        <v>1229</v>
      </c>
      <c r="C34" s="892" t="s">
        <v>1187</v>
      </c>
      <c r="D34" t="s">
        <v>73</v>
      </c>
      <c r="E34" s="894" t="s">
        <v>108</v>
      </c>
      <c r="F34" s="894" t="s">
        <v>11035</v>
      </c>
      <c r="G34">
        <v>33</v>
      </c>
      <c r="H34">
        <v>660</v>
      </c>
      <c r="I34" t="s">
        <v>11050</v>
      </c>
    </row>
    <row r="35" spans="1:9" ht="14">
      <c r="A35" s="892" t="s">
        <v>171</v>
      </c>
      <c r="B35" s="892" t="s">
        <v>1731</v>
      </c>
      <c r="C35" s="892" t="s">
        <v>992</v>
      </c>
      <c r="D35" t="s">
        <v>73</v>
      </c>
      <c r="E35" s="894" t="s">
        <v>108</v>
      </c>
      <c r="F35" s="894" t="s">
        <v>11035</v>
      </c>
      <c r="G35">
        <v>33</v>
      </c>
      <c r="H35">
        <v>660</v>
      </c>
      <c r="I35" t="s">
        <v>11039</v>
      </c>
    </row>
    <row r="36" spans="1:9" ht="14">
      <c r="A36" s="892" t="s">
        <v>551</v>
      </c>
      <c r="B36" s="892" t="s">
        <v>2151</v>
      </c>
      <c r="C36" s="892" t="s">
        <v>2136</v>
      </c>
      <c r="D36" t="s">
        <v>73</v>
      </c>
      <c r="E36" s="894" t="s">
        <v>85</v>
      </c>
      <c r="F36" s="894" t="s">
        <v>11033</v>
      </c>
      <c r="G36">
        <v>36</v>
      </c>
      <c r="H36">
        <v>792</v>
      </c>
      <c r="I36" t="s">
        <v>11052</v>
      </c>
    </row>
    <row r="37" spans="1:9" ht="14">
      <c r="A37" s="892" t="s">
        <v>2699</v>
      </c>
      <c r="B37" s="892" t="s">
        <v>11053</v>
      </c>
      <c r="C37" s="892" t="s">
        <v>2136</v>
      </c>
      <c r="D37" t="s">
        <v>73</v>
      </c>
      <c r="E37" s="894" t="s">
        <v>85</v>
      </c>
      <c r="F37" s="894" t="s">
        <v>11033</v>
      </c>
      <c r="G37">
        <v>36</v>
      </c>
      <c r="H37">
        <v>792</v>
      </c>
      <c r="I37" t="s">
        <v>11052</v>
      </c>
    </row>
    <row r="38" spans="1:9" ht="14">
      <c r="A38" s="892" t="s">
        <v>474</v>
      </c>
      <c r="B38" s="892" t="s">
        <v>11054</v>
      </c>
      <c r="C38" s="892" t="s">
        <v>967</v>
      </c>
      <c r="D38" t="s">
        <v>73</v>
      </c>
      <c r="E38" s="894" t="s">
        <v>85</v>
      </c>
      <c r="F38" s="894" t="s">
        <v>11033</v>
      </c>
      <c r="G38">
        <v>36</v>
      </c>
      <c r="H38">
        <v>864</v>
      </c>
      <c r="I38" t="s">
        <v>11055</v>
      </c>
    </row>
    <row r="39" spans="1:9" ht="14">
      <c r="A39" s="892" t="s">
        <v>529</v>
      </c>
      <c r="B39" s="892" t="s">
        <v>11056</v>
      </c>
      <c r="C39" s="892" t="s">
        <v>967</v>
      </c>
      <c r="D39" t="s">
        <v>73</v>
      </c>
      <c r="E39" s="894" t="s">
        <v>85</v>
      </c>
      <c r="F39" s="894" t="s">
        <v>11033</v>
      </c>
      <c r="G39">
        <v>36</v>
      </c>
      <c r="H39">
        <v>864</v>
      </c>
      <c r="I39" t="s">
        <v>11055</v>
      </c>
    </row>
    <row r="40" spans="1:9" ht="14">
      <c r="A40" s="892" t="s">
        <v>763</v>
      </c>
      <c r="B40" s="892" t="s">
        <v>11057</v>
      </c>
      <c r="C40" s="892" t="s">
        <v>967</v>
      </c>
      <c r="D40" t="s">
        <v>73</v>
      </c>
      <c r="E40" s="894" t="s">
        <v>85</v>
      </c>
      <c r="F40" s="894" t="s">
        <v>11033</v>
      </c>
      <c r="G40">
        <v>36</v>
      </c>
      <c r="H40">
        <v>864</v>
      </c>
      <c r="I40" t="s">
        <v>11055</v>
      </c>
    </row>
    <row r="41" spans="1:9" ht="15">
      <c r="A41" s="892" t="s">
        <v>1429</v>
      </c>
      <c r="B41" s="892" t="s">
        <v>1430</v>
      </c>
      <c r="C41" s="892" t="s">
        <v>1187</v>
      </c>
      <c r="D41" t="s">
        <v>73</v>
      </c>
      <c r="E41" s="894" t="s">
        <v>108</v>
      </c>
      <c r="F41" s="894" t="s">
        <v>11035</v>
      </c>
      <c r="G41">
        <v>36</v>
      </c>
      <c r="H41">
        <v>720</v>
      </c>
      <c r="I41" s="1269" t="s">
        <v>11050</v>
      </c>
    </row>
    <row r="42" spans="1:9" ht="14">
      <c r="A42" s="892" t="s">
        <v>299</v>
      </c>
      <c r="B42" s="892" t="s">
        <v>300</v>
      </c>
      <c r="C42" s="892" t="s">
        <v>967</v>
      </c>
      <c r="D42" t="s">
        <v>73</v>
      </c>
      <c r="E42" s="894" t="s">
        <v>85</v>
      </c>
      <c r="F42" s="894" t="s">
        <v>11033</v>
      </c>
      <c r="G42">
        <v>37</v>
      </c>
      <c r="H42">
        <v>962</v>
      </c>
      <c r="I42" t="s">
        <v>11048</v>
      </c>
    </row>
    <row r="43" spans="1:9" ht="14">
      <c r="A43" s="892" t="s">
        <v>306</v>
      </c>
      <c r="B43" s="892" t="s">
        <v>307</v>
      </c>
      <c r="C43" s="892" t="s">
        <v>967</v>
      </c>
      <c r="D43" t="s">
        <v>73</v>
      </c>
      <c r="E43" s="894" t="s">
        <v>85</v>
      </c>
      <c r="F43" s="894" t="s">
        <v>11033</v>
      </c>
      <c r="G43">
        <v>37</v>
      </c>
      <c r="H43">
        <v>962</v>
      </c>
      <c r="I43" t="s">
        <v>11048</v>
      </c>
    </row>
    <row r="44" spans="1:9" ht="14">
      <c r="A44" s="892" t="s">
        <v>133</v>
      </c>
      <c r="B44" s="892" t="s">
        <v>134</v>
      </c>
      <c r="C44" s="892" t="s">
        <v>992</v>
      </c>
      <c r="D44" t="s">
        <v>73</v>
      </c>
      <c r="E44" s="894" t="s">
        <v>108</v>
      </c>
      <c r="F44" s="894" t="s">
        <v>11035</v>
      </c>
      <c r="G44">
        <v>33</v>
      </c>
      <c r="H44">
        <v>594</v>
      </c>
      <c r="I44" t="s">
        <v>11039</v>
      </c>
    </row>
    <row r="45" spans="1:9" ht="15">
      <c r="A45" s="892" t="s">
        <v>4038</v>
      </c>
      <c r="B45" s="892" t="s">
        <v>4039</v>
      </c>
      <c r="C45" s="892" t="s">
        <v>992</v>
      </c>
      <c r="D45" t="s">
        <v>73</v>
      </c>
      <c r="E45" s="894" t="s">
        <v>108</v>
      </c>
      <c r="F45" s="894" t="s">
        <v>11035</v>
      </c>
      <c r="G45">
        <v>36</v>
      </c>
      <c r="H45">
        <v>720</v>
      </c>
      <c r="I45" s="1269" t="s">
        <v>11058</v>
      </c>
    </row>
    <row r="46" spans="1:9" ht="15">
      <c r="A46" s="892" t="s">
        <v>4029</v>
      </c>
      <c r="B46" s="892" t="s">
        <v>4030</v>
      </c>
      <c r="C46" s="892" t="s">
        <v>992</v>
      </c>
      <c r="D46" t="s">
        <v>73</v>
      </c>
      <c r="E46" s="894" t="s">
        <v>108</v>
      </c>
      <c r="F46" s="894" t="s">
        <v>11035</v>
      </c>
      <c r="G46">
        <v>36</v>
      </c>
      <c r="H46">
        <v>720</v>
      </c>
      <c r="I46" s="1269" t="s">
        <v>11058</v>
      </c>
    </row>
    <row r="47" spans="1:9" ht="15">
      <c r="A47" s="892" t="s">
        <v>602</v>
      </c>
      <c r="B47" s="892" t="s">
        <v>603</v>
      </c>
      <c r="C47" s="892" t="s">
        <v>992</v>
      </c>
      <c r="D47" t="s">
        <v>73</v>
      </c>
      <c r="E47" s="894" t="s">
        <v>108</v>
      </c>
      <c r="F47" s="894" t="s">
        <v>11033</v>
      </c>
      <c r="G47">
        <v>37</v>
      </c>
      <c r="H47">
        <v>962</v>
      </c>
      <c r="I47" s="1269"/>
    </row>
    <row r="48" spans="1:9" ht="15">
      <c r="A48" s="892" t="s">
        <v>2884</v>
      </c>
      <c r="B48" s="892" t="s">
        <v>1300</v>
      </c>
      <c r="C48" s="892" t="s">
        <v>992</v>
      </c>
      <c r="D48" t="s">
        <v>73</v>
      </c>
      <c r="E48" s="894" t="s">
        <v>108</v>
      </c>
      <c r="F48" s="894" t="s">
        <v>11035</v>
      </c>
      <c r="G48">
        <v>33</v>
      </c>
      <c r="H48">
        <v>594</v>
      </c>
      <c r="I48" s="1269" t="s">
        <v>11039</v>
      </c>
    </row>
    <row r="49" spans="1:9" ht="14">
      <c r="A49" s="892" t="s">
        <v>706</v>
      </c>
      <c r="B49" s="892" t="s">
        <v>11059</v>
      </c>
      <c r="C49" s="892" t="s">
        <v>967</v>
      </c>
      <c r="D49" t="s">
        <v>73</v>
      </c>
      <c r="E49" s="894" t="s">
        <v>85</v>
      </c>
      <c r="F49" s="894" t="s">
        <v>11033</v>
      </c>
      <c r="G49">
        <v>36</v>
      </c>
      <c r="H49">
        <v>864</v>
      </c>
      <c r="I49" t="s">
        <v>11041</v>
      </c>
    </row>
    <row r="50" spans="1:9" ht="14">
      <c r="A50" s="892" t="s">
        <v>691</v>
      </c>
      <c r="B50" s="892" t="s">
        <v>11060</v>
      </c>
      <c r="C50" s="892" t="s">
        <v>967</v>
      </c>
      <c r="D50" t="s">
        <v>73</v>
      </c>
      <c r="E50" s="894" t="s">
        <v>85</v>
      </c>
      <c r="F50" s="894" t="s">
        <v>11033</v>
      </c>
      <c r="G50">
        <v>36</v>
      </c>
      <c r="H50">
        <v>864</v>
      </c>
      <c r="I50" t="s">
        <v>11041</v>
      </c>
    </row>
    <row r="51" spans="1:9" ht="14">
      <c r="A51" s="892" t="s">
        <v>378</v>
      </c>
      <c r="B51" s="892" t="s">
        <v>11061</v>
      </c>
      <c r="C51" s="892" t="s">
        <v>992</v>
      </c>
      <c r="D51" t="s">
        <v>73</v>
      </c>
      <c r="E51" s="894" t="s">
        <v>128</v>
      </c>
      <c r="F51" s="894" t="s">
        <v>11035</v>
      </c>
      <c r="G51">
        <v>36</v>
      </c>
      <c r="H51">
        <v>720</v>
      </c>
      <c r="I51" t="s">
        <v>11036</v>
      </c>
    </row>
    <row r="52" spans="1:9" ht="14">
      <c r="A52" s="892" t="s">
        <v>118</v>
      </c>
      <c r="B52" s="892" t="s">
        <v>119</v>
      </c>
      <c r="C52" s="892" t="s">
        <v>992</v>
      </c>
      <c r="D52" t="s">
        <v>73</v>
      </c>
      <c r="E52" s="894" t="s">
        <v>128</v>
      </c>
      <c r="F52" s="894" t="s">
        <v>11035</v>
      </c>
      <c r="G52">
        <v>36</v>
      </c>
      <c r="H52">
        <v>576</v>
      </c>
      <c r="I52" t="s">
        <v>11062</v>
      </c>
    </row>
    <row r="53" spans="1:9" ht="14">
      <c r="A53" s="892" t="s">
        <v>189</v>
      </c>
      <c r="B53" s="892" t="s">
        <v>190</v>
      </c>
      <c r="C53" s="892" t="s">
        <v>967</v>
      </c>
      <c r="D53" t="s">
        <v>73</v>
      </c>
      <c r="E53" s="894" t="s">
        <v>108</v>
      </c>
      <c r="F53" s="894" t="s">
        <v>11033</v>
      </c>
      <c r="G53">
        <v>36</v>
      </c>
      <c r="H53">
        <v>864</v>
      </c>
      <c r="I53" t="s">
        <v>11043</v>
      </c>
    </row>
    <row r="54" spans="1:9" ht="14">
      <c r="A54" s="892" t="s">
        <v>560</v>
      </c>
      <c r="B54" s="892" t="s">
        <v>196</v>
      </c>
      <c r="C54" s="892" t="s">
        <v>992</v>
      </c>
      <c r="D54" t="s">
        <v>73</v>
      </c>
      <c r="E54" s="894" t="s">
        <v>94</v>
      </c>
      <c r="F54" s="894" t="s">
        <v>11033</v>
      </c>
      <c r="G54">
        <v>36</v>
      </c>
      <c r="H54">
        <v>936</v>
      </c>
      <c r="I54" t="s">
        <v>11063</v>
      </c>
    </row>
    <row r="55" spans="1:9" ht="14">
      <c r="A55" s="892" t="s">
        <v>570</v>
      </c>
      <c r="B55" s="892" t="s">
        <v>571</v>
      </c>
      <c r="C55" s="892" t="s">
        <v>992</v>
      </c>
      <c r="D55" t="s">
        <v>73</v>
      </c>
      <c r="E55" s="894" t="s">
        <v>94</v>
      </c>
      <c r="F55" s="894" t="s">
        <v>11033</v>
      </c>
      <c r="G55">
        <v>36</v>
      </c>
      <c r="H55">
        <v>936</v>
      </c>
      <c r="I55" t="s">
        <v>11063</v>
      </c>
    </row>
    <row r="56" spans="1:9" ht="14">
      <c r="A56" s="892" t="s">
        <v>1062</v>
      </c>
      <c r="B56" s="892" t="s">
        <v>1063</v>
      </c>
      <c r="C56" s="892" t="s">
        <v>967</v>
      </c>
      <c r="D56" t="s">
        <v>73</v>
      </c>
      <c r="E56" s="894" t="s">
        <v>108</v>
      </c>
      <c r="F56" s="894" t="s">
        <v>11033</v>
      </c>
      <c r="G56">
        <v>36</v>
      </c>
      <c r="H56">
        <v>864</v>
      </c>
      <c r="I56" t="s">
        <v>11043</v>
      </c>
    </row>
    <row r="57" spans="1:9" ht="14">
      <c r="A57" s="892" t="s">
        <v>204</v>
      </c>
      <c r="B57" s="892" t="s">
        <v>11064</v>
      </c>
      <c r="C57" s="892" t="s">
        <v>967</v>
      </c>
      <c r="D57" t="s">
        <v>73</v>
      </c>
      <c r="E57" s="894" t="s">
        <v>94</v>
      </c>
      <c r="F57" s="894" t="s">
        <v>11033</v>
      </c>
      <c r="G57">
        <v>36</v>
      </c>
      <c r="H57">
        <v>936</v>
      </c>
      <c r="I57" t="s">
        <v>11046</v>
      </c>
    </row>
    <row r="58" spans="1:9" ht="14">
      <c r="A58" s="892" t="s">
        <v>1043</v>
      </c>
      <c r="B58" s="892" t="s">
        <v>330</v>
      </c>
      <c r="C58" s="892" t="s">
        <v>967</v>
      </c>
      <c r="D58" t="s">
        <v>73</v>
      </c>
      <c r="E58" s="894" t="s">
        <v>108</v>
      </c>
      <c r="F58" s="894" t="s">
        <v>11033</v>
      </c>
      <c r="G58">
        <v>36</v>
      </c>
      <c r="H58">
        <v>720</v>
      </c>
      <c r="I58" t="s">
        <v>11034</v>
      </c>
    </row>
    <row r="59" spans="1:9" ht="14">
      <c r="A59" s="892" t="s">
        <v>1033</v>
      </c>
      <c r="B59" s="892" t="s">
        <v>886</v>
      </c>
      <c r="C59" s="892" t="s">
        <v>992</v>
      </c>
      <c r="D59" t="s">
        <v>73</v>
      </c>
      <c r="E59" s="894" t="s">
        <v>108</v>
      </c>
      <c r="F59" s="894" t="s">
        <v>11033</v>
      </c>
      <c r="G59">
        <v>36</v>
      </c>
      <c r="H59">
        <v>720</v>
      </c>
      <c r="I59" t="s">
        <v>11065</v>
      </c>
    </row>
    <row r="60" spans="1:9" ht="14">
      <c r="A60" s="892" t="s">
        <v>1077</v>
      </c>
      <c r="B60" s="892" t="s">
        <v>103</v>
      </c>
      <c r="C60" s="892" t="s">
        <v>992</v>
      </c>
      <c r="D60" t="s">
        <v>73</v>
      </c>
      <c r="E60" s="894" t="s">
        <v>108</v>
      </c>
      <c r="F60" s="894" t="s">
        <v>11035</v>
      </c>
      <c r="G60">
        <v>36</v>
      </c>
      <c r="H60">
        <v>720</v>
      </c>
      <c r="I60" t="s">
        <v>11066</v>
      </c>
    </row>
    <row r="61" spans="1:9" ht="14">
      <c r="A61" s="892" t="s">
        <v>885</v>
      </c>
      <c r="B61" s="892" t="s">
        <v>886</v>
      </c>
      <c r="C61" s="892" t="s">
        <v>992</v>
      </c>
      <c r="D61" t="s">
        <v>73</v>
      </c>
      <c r="E61" s="894" t="s">
        <v>108</v>
      </c>
      <c r="F61" s="894" t="s">
        <v>11035</v>
      </c>
      <c r="G61">
        <v>36</v>
      </c>
      <c r="H61">
        <v>720</v>
      </c>
      <c r="I61" t="s">
        <v>11066</v>
      </c>
    </row>
    <row r="62" spans="1:9" ht="15">
      <c r="A62" s="892" t="s">
        <v>1299</v>
      </c>
      <c r="B62" s="892" t="s">
        <v>1300</v>
      </c>
      <c r="C62" s="892" t="s">
        <v>967</v>
      </c>
      <c r="D62" t="s">
        <v>73</v>
      </c>
      <c r="E62" s="894" t="s">
        <v>108</v>
      </c>
      <c r="F62" s="894" t="s">
        <v>11035</v>
      </c>
      <c r="G62">
        <v>33</v>
      </c>
      <c r="H62">
        <v>594</v>
      </c>
      <c r="I62" s="1269" t="s">
        <v>11067</v>
      </c>
    </row>
    <row r="63" spans="1:9" ht="14">
      <c r="A63" s="892" t="s">
        <v>1104</v>
      </c>
      <c r="B63" s="892" t="s">
        <v>1105</v>
      </c>
      <c r="C63" s="892" t="s">
        <v>992</v>
      </c>
      <c r="D63" t="s">
        <v>73</v>
      </c>
      <c r="E63" s="894" t="s">
        <v>108</v>
      </c>
      <c r="F63" s="894" t="s">
        <v>11033</v>
      </c>
      <c r="G63">
        <v>36</v>
      </c>
      <c r="H63">
        <v>864</v>
      </c>
      <c r="I63" t="s">
        <v>11042</v>
      </c>
    </row>
    <row r="64" spans="1:9" ht="14">
      <c r="A64" s="892" t="s">
        <v>1521</v>
      </c>
      <c r="B64" s="892" t="s">
        <v>1522</v>
      </c>
      <c r="C64" s="892" t="s">
        <v>967</v>
      </c>
      <c r="D64" t="s">
        <v>73</v>
      </c>
      <c r="E64" s="894" t="s">
        <v>85</v>
      </c>
      <c r="F64" s="894" t="s">
        <v>11033</v>
      </c>
      <c r="G64">
        <v>36</v>
      </c>
      <c r="H64">
        <v>864</v>
      </c>
      <c r="I64" t="s">
        <v>11048</v>
      </c>
    </row>
    <row r="65" spans="1:9" ht="14">
      <c r="A65" s="892" t="s">
        <v>1532</v>
      </c>
      <c r="B65" s="892" t="s">
        <v>1533</v>
      </c>
      <c r="C65" s="892" t="s">
        <v>967</v>
      </c>
      <c r="D65" t="s">
        <v>73</v>
      </c>
      <c r="E65" s="894" t="s">
        <v>85</v>
      </c>
      <c r="F65" s="894" t="s">
        <v>11033</v>
      </c>
      <c r="G65">
        <v>36</v>
      </c>
      <c r="H65">
        <v>864</v>
      </c>
      <c r="I65" t="s">
        <v>11048</v>
      </c>
    </row>
    <row r="66" spans="1:9" ht="15">
      <c r="A66" s="892" t="s">
        <v>1584</v>
      </c>
      <c r="B66" s="892" t="s">
        <v>1585</v>
      </c>
      <c r="C66" s="892" t="s">
        <v>992</v>
      </c>
      <c r="D66" t="s">
        <v>73</v>
      </c>
      <c r="E66" s="894" t="s">
        <v>108</v>
      </c>
      <c r="F66" s="894" t="s">
        <v>11035</v>
      </c>
      <c r="G66">
        <v>36</v>
      </c>
      <c r="H66">
        <v>720</v>
      </c>
      <c r="I66" s="1269" t="s">
        <v>11068</v>
      </c>
    </row>
    <row r="67" spans="1:9" ht="15">
      <c r="A67" s="892" t="s">
        <v>1569</v>
      </c>
      <c r="B67" s="892" t="s">
        <v>1570</v>
      </c>
      <c r="C67" s="892" t="s">
        <v>992</v>
      </c>
      <c r="D67" t="s">
        <v>73</v>
      </c>
      <c r="E67" s="894" t="s">
        <v>108</v>
      </c>
      <c r="F67" s="894" t="s">
        <v>11035</v>
      </c>
      <c r="G67">
        <v>36</v>
      </c>
      <c r="H67">
        <v>720</v>
      </c>
      <c r="I67" s="1269" t="s">
        <v>11068</v>
      </c>
    </row>
    <row r="68" spans="1:9" ht="14">
      <c r="A68" s="892" t="s">
        <v>1461</v>
      </c>
      <c r="B68" s="892" t="s">
        <v>103</v>
      </c>
      <c r="C68" s="892" t="s">
        <v>992</v>
      </c>
      <c r="D68" t="s">
        <v>73</v>
      </c>
      <c r="E68" s="894" t="s">
        <v>128</v>
      </c>
      <c r="F68" s="894" t="s">
        <v>11035</v>
      </c>
      <c r="G68">
        <v>36</v>
      </c>
      <c r="H68">
        <v>720</v>
      </c>
      <c r="I68" t="s">
        <v>11036</v>
      </c>
    </row>
    <row r="69" spans="1:9" ht="14">
      <c r="A69" s="892" t="s">
        <v>1894</v>
      </c>
      <c r="B69" s="892" t="s">
        <v>1895</v>
      </c>
      <c r="C69" s="892" t="s">
        <v>992</v>
      </c>
      <c r="D69" t="s">
        <v>73</v>
      </c>
      <c r="E69" s="894" t="s">
        <v>108</v>
      </c>
      <c r="F69" s="894" t="s">
        <v>11035</v>
      </c>
      <c r="G69">
        <v>33</v>
      </c>
      <c r="H69">
        <v>660</v>
      </c>
      <c r="I69" t="s">
        <v>11039</v>
      </c>
    </row>
    <row r="70" spans="1:9" ht="15">
      <c r="A70" s="892" t="s">
        <v>11069</v>
      </c>
      <c r="B70" s="892" t="s">
        <v>11070</v>
      </c>
      <c r="C70" s="892" t="s">
        <v>967</v>
      </c>
      <c r="D70" t="s">
        <v>73</v>
      </c>
      <c r="E70" s="894" t="s">
        <v>94</v>
      </c>
      <c r="F70" s="894" t="s">
        <v>11033</v>
      </c>
      <c r="G70">
        <v>36</v>
      </c>
      <c r="H70">
        <v>936</v>
      </c>
      <c r="I70" s="1269" t="s">
        <v>11071</v>
      </c>
    </row>
    <row r="71" spans="1:9" ht="15">
      <c r="A71" s="892" t="s">
        <v>11072</v>
      </c>
      <c r="B71" s="892" t="s">
        <v>11073</v>
      </c>
      <c r="C71" s="892" t="s">
        <v>967</v>
      </c>
      <c r="D71" t="s">
        <v>73</v>
      </c>
      <c r="E71" s="894" t="s">
        <v>94</v>
      </c>
      <c r="F71" s="894" t="s">
        <v>11033</v>
      </c>
      <c r="G71">
        <v>37</v>
      </c>
      <c r="H71">
        <v>962</v>
      </c>
      <c r="I71" s="1269" t="s">
        <v>11071</v>
      </c>
    </row>
    <row r="72" spans="1:9" ht="14">
      <c r="A72" s="892" t="s">
        <v>5111</v>
      </c>
      <c r="B72" s="892" t="s">
        <v>103</v>
      </c>
      <c r="C72" s="892" t="s">
        <v>992</v>
      </c>
      <c r="D72" t="s">
        <v>331</v>
      </c>
      <c r="E72" s="894" t="s">
        <v>94</v>
      </c>
      <c r="F72" s="894" t="s">
        <v>11035</v>
      </c>
      <c r="G72">
        <v>36</v>
      </c>
      <c r="H72">
        <v>720</v>
      </c>
      <c r="I72" t="s">
        <v>11074</v>
      </c>
    </row>
    <row r="73" spans="1:9" ht="14">
      <c r="A73" s="892" t="s">
        <v>5099</v>
      </c>
      <c r="B73" s="892" t="s">
        <v>330</v>
      </c>
      <c r="C73" s="892" t="s">
        <v>992</v>
      </c>
      <c r="D73" t="s">
        <v>331</v>
      </c>
      <c r="E73" s="894" t="s">
        <v>94</v>
      </c>
      <c r="F73" s="894" t="s">
        <v>11035</v>
      </c>
      <c r="G73">
        <v>36</v>
      </c>
      <c r="H73">
        <v>720</v>
      </c>
      <c r="I73" t="s">
        <v>11036</v>
      </c>
    </row>
    <row r="74" spans="1:9" ht="14.5">
      <c r="A74" s="892" t="s">
        <v>5050</v>
      </c>
      <c r="B74" s="892" t="s">
        <v>1807</v>
      </c>
      <c r="C74" s="892" t="s">
        <v>11075</v>
      </c>
      <c r="D74" t="s">
        <v>331</v>
      </c>
      <c r="E74" s="894" t="s">
        <v>94</v>
      </c>
      <c r="F74" s="894" t="s">
        <v>11035</v>
      </c>
      <c r="G74">
        <v>33</v>
      </c>
      <c r="H74">
        <v>594</v>
      </c>
      <c r="I74" t="s">
        <v>11076</v>
      </c>
    </row>
    <row r="75" spans="1:9" ht="14.5">
      <c r="A75" s="892" t="s">
        <v>5066</v>
      </c>
      <c r="B75" s="892" t="s">
        <v>1484</v>
      </c>
      <c r="C75" s="892" t="s">
        <v>11075</v>
      </c>
      <c r="D75" t="s">
        <v>331</v>
      </c>
      <c r="E75" s="894" t="s">
        <v>94</v>
      </c>
      <c r="F75" s="894" t="s">
        <v>11035</v>
      </c>
      <c r="G75">
        <v>33</v>
      </c>
      <c r="H75">
        <v>594</v>
      </c>
      <c r="I75" t="s">
        <v>11076</v>
      </c>
    </row>
    <row r="76" spans="1:9" ht="14">
      <c r="A76" s="892" t="s">
        <v>11077</v>
      </c>
      <c r="B76" s="892" t="s">
        <v>11078</v>
      </c>
      <c r="C76" s="892" t="s">
        <v>1166</v>
      </c>
      <c r="D76" t="s">
        <v>73</v>
      </c>
      <c r="E76" s="894" t="s">
        <v>94</v>
      </c>
      <c r="F76" s="894" t="s">
        <v>11035</v>
      </c>
      <c r="G76">
        <v>36</v>
      </c>
      <c r="H76">
        <v>720</v>
      </c>
      <c r="I76" t="s">
        <v>11079</v>
      </c>
    </row>
    <row r="77" spans="1:9" ht="15">
      <c r="A77" s="892" t="s">
        <v>11080</v>
      </c>
      <c r="B77" s="892" t="s">
        <v>11081</v>
      </c>
      <c r="C77" s="892" t="s">
        <v>992</v>
      </c>
      <c r="D77" t="s">
        <v>73</v>
      </c>
      <c r="E77" s="894" t="s">
        <v>85</v>
      </c>
      <c r="F77" s="894" t="s">
        <v>11033</v>
      </c>
      <c r="G77">
        <v>37</v>
      </c>
      <c r="H77">
        <v>962</v>
      </c>
      <c r="I77" s="1269" t="s">
        <v>11044</v>
      </c>
    </row>
    <row r="78" spans="1:9" ht="14">
      <c r="A78" s="892" t="s">
        <v>11082</v>
      </c>
      <c r="B78" s="892" t="s">
        <v>11083</v>
      </c>
      <c r="C78" s="892" t="s">
        <v>992</v>
      </c>
      <c r="D78" t="s">
        <v>73</v>
      </c>
      <c r="E78" s="894" t="s">
        <v>108</v>
      </c>
      <c r="F78" s="894" t="s">
        <v>11035</v>
      </c>
      <c r="G78">
        <v>36</v>
      </c>
      <c r="H78">
        <v>936</v>
      </c>
      <c r="I78" t="s">
        <v>11037</v>
      </c>
    </row>
    <row r="79" spans="1:9" ht="14.5">
      <c r="A79" s="892" t="s">
        <v>4606</v>
      </c>
      <c r="B79" s="892" t="s">
        <v>4607</v>
      </c>
      <c r="C79" s="892" t="s">
        <v>11075</v>
      </c>
      <c r="D79" t="s">
        <v>331</v>
      </c>
      <c r="E79" s="894" t="s">
        <v>94</v>
      </c>
      <c r="F79" s="894" t="s">
        <v>11035</v>
      </c>
      <c r="G79">
        <v>36</v>
      </c>
      <c r="H79">
        <v>720</v>
      </c>
      <c r="I79" t="s">
        <v>11076</v>
      </c>
    </row>
    <row r="80" spans="1:9" ht="14.5">
      <c r="A80" s="892" t="s">
        <v>4601</v>
      </c>
      <c r="B80" s="892" t="s">
        <v>330</v>
      </c>
      <c r="C80" s="892" t="s">
        <v>11075</v>
      </c>
      <c r="D80" t="s">
        <v>331</v>
      </c>
      <c r="E80" s="894" t="s">
        <v>94</v>
      </c>
      <c r="F80" s="894" t="s">
        <v>11035</v>
      </c>
      <c r="G80">
        <v>36</v>
      </c>
      <c r="H80">
        <v>720</v>
      </c>
      <c r="I80" t="s">
        <v>11076</v>
      </c>
    </row>
    <row r="81" spans="1:12" ht="14">
      <c r="A81" s="892" t="s">
        <v>7719</v>
      </c>
      <c r="B81" s="892" t="s">
        <v>11084</v>
      </c>
      <c r="C81" s="892" t="s">
        <v>992</v>
      </c>
      <c r="D81" t="s">
        <v>73</v>
      </c>
      <c r="E81" s="894" t="s">
        <v>94</v>
      </c>
      <c r="F81" s="894" t="s">
        <v>11035</v>
      </c>
      <c r="G81">
        <v>33</v>
      </c>
      <c r="H81">
        <v>594</v>
      </c>
      <c r="I81" t="s">
        <v>11036</v>
      </c>
    </row>
    <row r="82" spans="1:12" ht="15">
      <c r="A82" s="892" t="s">
        <v>11085</v>
      </c>
      <c r="B82" s="892" t="s">
        <v>11086</v>
      </c>
      <c r="C82" s="892" t="s">
        <v>992</v>
      </c>
      <c r="D82" t="s">
        <v>73</v>
      </c>
      <c r="E82" s="894" t="s">
        <v>108</v>
      </c>
      <c r="F82" s="894" t="s">
        <v>11033</v>
      </c>
      <c r="G82">
        <v>37</v>
      </c>
      <c r="H82">
        <v>962</v>
      </c>
      <c r="I82" s="1269" t="s">
        <v>11087</v>
      </c>
    </row>
    <row r="83" spans="1:12" ht="14.5">
      <c r="A83" s="892" t="s">
        <v>2308</v>
      </c>
      <c r="B83" s="892" t="s">
        <v>1484</v>
      </c>
      <c r="C83" s="892" t="s">
        <v>11075</v>
      </c>
      <c r="D83" t="s">
        <v>73</v>
      </c>
      <c r="E83" s="894" t="s">
        <v>94</v>
      </c>
      <c r="F83" s="894" t="s">
        <v>11035</v>
      </c>
      <c r="G83">
        <v>33</v>
      </c>
      <c r="H83">
        <v>594</v>
      </c>
      <c r="I83" t="s">
        <v>11076</v>
      </c>
    </row>
    <row r="84" spans="1:12" ht="14.5">
      <c r="A84" s="892" t="s">
        <v>2299</v>
      </c>
      <c r="B84" s="892" t="s">
        <v>1682</v>
      </c>
      <c r="C84" s="892" t="s">
        <v>11075</v>
      </c>
      <c r="D84" t="s">
        <v>73</v>
      </c>
      <c r="E84" s="894" t="s">
        <v>94</v>
      </c>
      <c r="F84" s="894" t="s">
        <v>11035</v>
      </c>
      <c r="G84">
        <v>33</v>
      </c>
      <c r="H84">
        <v>594</v>
      </c>
      <c r="I84" t="s">
        <v>11088</v>
      </c>
    </row>
    <row r="85" spans="1:12" ht="14">
      <c r="A85" s="892" t="s">
        <v>11089</v>
      </c>
      <c r="B85" s="892" t="s">
        <v>330</v>
      </c>
      <c r="C85" s="892" t="s">
        <v>992</v>
      </c>
      <c r="D85" t="s">
        <v>73</v>
      </c>
      <c r="E85" s="894" t="s">
        <v>94</v>
      </c>
      <c r="F85" s="894" t="s">
        <v>11035</v>
      </c>
      <c r="G85">
        <v>36</v>
      </c>
      <c r="H85">
        <v>720</v>
      </c>
      <c r="I85" t="s">
        <v>11036</v>
      </c>
    </row>
    <row r="86" spans="1:12" ht="14">
      <c r="A86" s="892" t="s">
        <v>11090</v>
      </c>
      <c r="B86" s="892" t="s">
        <v>1356</v>
      </c>
      <c r="C86" s="892" t="s">
        <v>992</v>
      </c>
      <c r="D86" t="s">
        <v>73</v>
      </c>
      <c r="E86" s="894" t="s">
        <v>94</v>
      </c>
      <c r="F86" s="894" t="s">
        <v>11035</v>
      </c>
      <c r="G86">
        <v>33</v>
      </c>
      <c r="H86">
        <v>594</v>
      </c>
      <c r="I86" t="s">
        <v>11036</v>
      </c>
    </row>
    <row r="87" spans="1:12" ht="15">
      <c r="A87" s="892" t="s">
        <v>11091</v>
      </c>
      <c r="B87" s="892" t="s">
        <v>4039</v>
      </c>
      <c r="C87" s="892" t="s">
        <v>992</v>
      </c>
      <c r="D87" t="s">
        <v>73</v>
      </c>
      <c r="E87" s="894" t="s">
        <v>108</v>
      </c>
      <c r="F87" s="894" t="s">
        <v>11035</v>
      </c>
      <c r="G87">
        <v>36</v>
      </c>
      <c r="H87">
        <v>720</v>
      </c>
      <c r="I87" s="1269" t="s">
        <v>11058</v>
      </c>
    </row>
    <row r="88" spans="1:12" ht="14">
      <c r="A88" s="892" t="s">
        <v>11092</v>
      </c>
      <c r="B88" s="892" t="s">
        <v>886</v>
      </c>
      <c r="C88" s="892" t="s">
        <v>992</v>
      </c>
      <c r="D88" t="s">
        <v>331</v>
      </c>
      <c r="E88" s="894" t="s">
        <v>94</v>
      </c>
      <c r="F88" s="894" t="s">
        <v>11035</v>
      </c>
      <c r="G88">
        <v>36</v>
      </c>
      <c r="H88">
        <v>720</v>
      </c>
      <c r="I88" t="s">
        <v>11036</v>
      </c>
    </row>
    <row r="89" spans="1:12" ht="14">
      <c r="A89" s="892" t="s">
        <v>5758</v>
      </c>
      <c r="B89" s="892" t="s">
        <v>1484</v>
      </c>
      <c r="C89" s="892" t="s">
        <v>992</v>
      </c>
      <c r="D89" t="s">
        <v>73</v>
      </c>
      <c r="E89" s="894" t="s">
        <v>94</v>
      </c>
      <c r="F89" s="894" t="s">
        <v>11035</v>
      </c>
      <c r="G89">
        <v>33</v>
      </c>
      <c r="H89">
        <v>594</v>
      </c>
      <c r="I89" t="s">
        <v>11036</v>
      </c>
    </row>
    <row r="90" spans="1:12" ht="15">
      <c r="A90" s="892" t="s">
        <v>11093</v>
      </c>
      <c r="B90" s="892" t="s">
        <v>4030</v>
      </c>
      <c r="C90" s="892" t="s">
        <v>992</v>
      </c>
      <c r="D90" t="s">
        <v>73</v>
      </c>
      <c r="E90" s="894" t="s">
        <v>108</v>
      </c>
      <c r="F90" s="894" t="s">
        <v>11035</v>
      </c>
      <c r="G90">
        <v>36</v>
      </c>
      <c r="H90">
        <v>720</v>
      </c>
      <c r="I90" s="1269" t="s">
        <v>11058</v>
      </c>
    </row>
    <row r="91" spans="1:12" ht="14.5">
      <c r="A91" s="892" t="s">
        <v>1806</v>
      </c>
      <c r="B91" s="892" t="s">
        <v>1807</v>
      </c>
      <c r="C91" s="892" t="s">
        <v>11075</v>
      </c>
      <c r="D91" t="s">
        <v>331</v>
      </c>
      <c r="E91" s="894" t="s">
        <v>94</v>
      </c>
      <c r="F91" s="894" t="s">
        <v>11035</v>
      </c>
      <c r="G91">
        <v>33</v>
      </c>
      <c r="H91">
        <v>594</v>
      </c>
      <c r="I91" t="s">
        <v>11076</v>
      </c>
    </row>
    <row r="92" spans="1:12" ht="14">
      <c r="A92" s="892" t="s">
        <v>1334</v>
      </c>
      <c r="B92" s="892" t="s">
        <v>11094</v>
      </c>
      <c r="C92" s="892" t="s">
        <v>992</v>
      </c>
      <c r="D92" t="s">
        <v>73</v>
      </c>
      <c r="E92" s="894" t="s">
        <v>94</v>
      </c>
      <c r="F92" s="894" t="s">
        <v>11035</v>
      </c>
      <c r="G92">
        <v>36</v>
      </c>
      <c r="H92">
        <v>720</v>
      </c>
      <c r="I92" t="s">
        <v>11036</v>
      </c>
    </row>
    <row r="93" spans="1:12" ht="14">
      <c r="A93" s="892" t="s">
        <v>2134</v>
      </c>
      <c r="B93" s="892" t="s">
        <v>2135</v>
      </c>
      <c r="C93" s="892" t="s">
        <v>2136</v>
      </c>
      <c r="D93" t="s">
        <v>73</v>
      </c>
      <c r="E93" s="894" t="s">
        <v>85</v>
      </c>
      <c r="F93" s="894" t="s">
        <v>11033</v>
      </c>
      <c r="G93">
        <v>36</v>
      </c>
      <c r="H93">
        <v>792</v>
      </c>
      <c r="I93" t="s">
        <v>11052</v>
      </c>
    </row>
    <row r="94" spans="1:12" ht="14.5">
      <c r="A94" s="892" t="s">
        <v>1681</v>
      </c>
      <c r="B94" s="892" t="s">
        <v>1682</v>
      </c>
      <c r="C94" s="892" t="s">
        <v>992</v>
      </c>
      <c r="D94" t="s">
        <v>73</v>
      </c>
      <c r="E94" s="894" t="s">
        <v>94</v>
      </c>
      <c r="F94" s="894" t="s">
        <v>11035</v>
      </c>
      <c r="G94">
        <v>33</v>
      </c>
      <c r="H94">
        <f>18*33</f>
        <v>594</v>
      </c>
      <c r="I94" t="s">
        <v>11036</v>
      </c>
      <c r="L94" s="893"/>
    </row>
    <row r="95" spans="1:12" ht="15">
      <c r="A95" s="892" t="s">
        <v>1164</v>
      </c>
      <c r="B95" s="892" t="s">
        <v>1165</v>
      </c>
      <c r="C95" s="892" t="s">
        <v>1166</v>
      </c>
      <c r="D95" t="s">
        <v>73</v>
      </c>
      <c r="E95" s="894" t="s">
        <v>108</v>
      </c>
      <c r="F95" s="894" t="s">
        <v>11035</v>
      </c>
      <c r="G95">
        <v>36</v>
      </c>
      <c r="H95">
        <f>16*36</f>
        <v>576</v>
      </c>
      <c r="I95" s="1269" t="s">
        <v>11051</v>
      </c>
      <c r="K95" s="893"/>
    </row>
    <row r="96" spans="1:12" ht="15">
      <c r="A96" s="892" t="s">
        <v>1628</v>
      </c>
      <c r="B96" s="892" t="s">
        <v>1629</v>
      </c>
      <c r="C96" s="892" t="s">
        <v>1166</v>
      </c>
      <c r="D96" t="s">
        <v>73</v>
      </c>
      <c r="E96" s="894" t="s">
        <v>108</v>
      </c>
      <c r="F96" s="894" t="s">
        <v>11035</v>
      </c>
      <c r="G96">
        <v>36</v>
      </c>
      <c r="H96">
        <f>16*36</f>
        <v>576</v>
      </c>
      <c r="I96" s="1269" t="s">
        <v>11051</v>
      </c>
      <c r="K96" s="893"/>
    </row>
    <row r="97" spans="1:10" ht="14.5">
      <c r="A97" s="892" t="s">
        <v>1234</v>
      </c>
      <c r="B97" s="892" t="s">
        <v>1235</v>
      </c>
      <c r="C97" s="892" t="s">
        <v>992</v>
      </c>
      <c r="D97" t="s">
        <v>73</v>
      </c>
      <c r="E97" s="894" t="s">
        <v>85</v>
      </c>
      <c r="F97" s="894" t="s">
        <v>11033</v>
      </c>
      <c r="G97">
        <v>36</v>
      </c>
      <c r="H97">
        <f>26*36</f>
        <v>936</v>
      </c>
      <c r="I97" t="s">
        <v>11063</v>
      </c>
      <c r="J97" s="893"/>
    </row>
    <row r="98" spans="1:10" ht="14.5">
      <c r="A98" s="892" t="s">
        <v>1250</v>
      </c>
      <c r="B98" s="892" t="s">
        <v>1251</v>
      </c>
      <c r="C98" s="892" t="s">
        <v>992</v>
      </c>
      <c r="D98" t="s">
        <v>73</v>
      </c>
      <c r="E98" s="894" t="s">
        <v>85</v>
      </c>
      <c r="F98" s="894" t="s">
        <v>11033</v>
      </c>
      <c r="G98">
        <v>36</v>
      </c>
      <c r="H98">
        <f>26*36</f>
        <v>936</v>
      </c>
      <c r="I98" t="s">
        <v>11063</v>
      </c>
      <c r="J98" s="893"/>
    </row>
    <row r="99" spans="1:10" ht="14.5">
      <c r="A99" s="892" t="s">
        <v>1255</v>
      </c>
      <c r="B99" s="892" t="s">
        <v>72</v>
      </c>
      <c r="C99" s="892" t="s">
        <v>992</v>
      </c>
      <c r="D99" t="s">
        <v>73</v>
      </c>
      <c r="E99" s="894" t="s">
        <v>85</v>
      </c>
      <c r="F99" s="894" t="s">
        <v>11033</v>
      </c>
      <c r="G99">
        <v>36</v>
      </c>
      <c r="H99">
        <f>24*36</f>
        <v>864</v>
      </c>
      <c r="I99" t="s">
        <v>11063</v>
      </c>
      <c r="J99" s="893"/>
    </row>
    <row r="100" spans="1:10" ht="14.5">
      <c r="A100" s="892" t="s">
        <v>1259</v>
      </c>
      <c r="B100" s="892" t="s">
        <v>421</v>
      </c>
      <c r="C100" s="892" t="s">
        <v>992</v>
      </c>
      <c r="D100" t="s">
        <v>73</v>
      </c>
      <c r="E100" s="894" t="s">
        <v>85</v>
      </c>
      <c r="F100" s="894" t="s">
        <v>11033</v>
      </c>
      <c r="G100">
        <v>36</v>
      </c>
      <c r="H100">
        <f>24*36</f>
        <v>864</v>
      </c>
      <c r="I100" t="s">
        <v>11063</v>
      </c>
      <c r="J100" s="893"/>
    </row>
    <row r="101" spans="1:10" ht="15">
      <c r="A101" s="892" t="s">
        <v>11095</v>
      </c>
      <c r="B101" s="892" t="s">
        <v>11096</v>
      </c>
      <c r="C101" s="892" t="s">
        <v>967</v>
      </c>
      <c r="D101" t="s">
        <v>73</v>
      </c>
      <c r="E101" s="894" t="s">
        <v>85</v>
      </c>
      <c r="F101" s="894" t="s">
        <v>11033</v>
      </c>
      <c r="G101">
        <v>36</v>
      </c>
      <c r="H101">
        <f>24*36</f>
        <v>864</v>
      </c>
      <c r="I101" s="1269" t="s">
        <v>11097</v>
      </c>
      <c r="J101" s="893"/>
    </row>
    <row r="102" spans="1:10" ht="15">
      <c r="A102" s="892" t="s">
        <v>7049</v>
      </c>
      <c r="B102" s="892" t="s">
        <v>7050</v>
      </c>
      <c r="C102" s="892" t="s">
        <v>967</v>
      </c>
      <c r="D102" t="s">
        <v>73</v>
      </c>
      <c r="E102" s="894" t="s">
        <v>85</v>
      </c>
      <c r="F102" s="894" t="s">
        <v>11033</v>
      </c>
      <c r="G102">
        <v>36</v>
      </c>
      <c r="H102">
        <f>24*36</f>
        <v>864</v>
      </c>
      <c r="I102" s="1269" t="s">
        <v>11097</v>
      </c>
      <c r="J102" s="893"/>
    </row>
    <row r="103" spans="1:10" ht="14.5">
      <c r="A103" s="892" t="s">
        <v>791</v>
      </c>
      <c r="B103" s="892" t="s">
        <v>571</v>
      </c>
      <c r="C103" s="892" t="s">
        <v>992</v>
      </c>
      <c r="D103" t="s">
        <v>73</v>
      </c>
      <c r="E103" s="894" t="s">
        <v>85</v>
      </c>
      <c r="F103" s="894" t="s">
        <v>11033</v>
      </c>
      <c r="G103">
        <v>36</v>
      </c>
      <c r="H103">
        <f>26*36</f>
        <v>936</v>
      </c>
      <c r="I103" t="s">
        <v>11098</v>
      </c>
      <c r="J103" s="893"/>
    </row>
    <row r="104" spans="1:10" ht="14.5">
      <c r="A104" s="892" t="s">
        <v>1247</v>
      </c>
      <c r="B104" s="892" t="s">
        <v>196</v>
      </c>
      <c r="C104" s="892" t="s">
        <v>992</v>
      </c>
      <c r="D104" t="s">
        <v>73</v>
      </c>
      <c r="E104" s="894" t="s">
        <v>85</v>
      </c>
      <c r="F104" s="894" t="s">
        <v>11033</v>
      </c>
      <c r="G104">
        <v>36</v>
      </c>
      <c r="H104">
        <f>26*36</f>
        <v>936</v>
      </c>
      <c r="I104" t="s">
        <v>11098</v>
      </c>
      <c r="J104" s="893"/>
    </row>
    <row r="105" spans="1:10" ht="14.5">
      <c r="A105" s="892" t="s">
        <v>1109</v>
      </c>
      <c r="B105" s="892" t="s">
        <v>454</v>
      </c>
      <c r="C105" s="892" t="s">
        <v>992</v>
      </c>
      <c r="D105" t="s">
        <v>73</v>
      </c>
      <c r="E105" s="894" t="s">
        <v>108</v>
      </c>
      <c r="F105" s="894" t="s">
        <v>11033</v>
      </c>
      <c r="G105">
        <v>36</v>
      </c>
      <c r="H105">
        <f>24*36</f>
        <v>864</v>
      </c>
      <c r="I105" t="s">
        <v>11042</v>
      </c>
      <c r="J105" s="893"/>
    </row>
    <row r="106" spans="1:10" ht="14.5">
      <c r="A106" s="892" t="s">
        <v>4529</v>
      </c>
      <c r="B106" s="892" t="s">
        <v>4530</v>
      </c>
      <c r="C106" s="892" t="s">
        <v>992</v>
      </c>
      <c r="D106" t="s">
        <v>73</v>
      </c>
      <c r="E106" s="894" t="s">
        <v>94</v>
      </c>
      <c r="F106" s="894" t="s">
        <v>11035</v>
      </c>
      <c r="G106">
        <v>36</v>
      </c>
      <c r="H106">
        <f>20*36</f>
        <v>720</v>
      </c>
      <c r="I106" t="s">
        <v>11099</v>
      </c>
      <c r="J106" s="893"/>
    </row>
    <row r="107" spans="1:10" ht="14.5">
      <c r="A107" s="892" t="s">
        <v>4496</v>
      </c>
      <c r="B107" s="892" t="s">
        <v>4497</v>
      </c>
      <c r="C107" s="892" t="s">
        <v>992</v>
      </c>
      <c r="D107" t="s">
        <v>73</v>
      </c>
      <c r="E107" s="894" t="s">
        <v>94</v>
      </c>
      <c r="F107" s="894" t="s">
        <v>11035</v>
      </c>
      <c r="G107">
        <v>36</v>
      </c>
      <c r="H107">
        <f>20*36</f>
        <v>720</v>
      </c>
      <c r="J107" s="893"/>
    </row>
    <row r="108" spans="1:10" ht="14.5">
      <c r="A108" s="892" t="s">
        <v>420</v>
      </c>
      <c r="B108" s="892" t="s">
        <v>421</v>
      </c>
      <c r="C108" s="892" t="s">
        <v>992</v>
      </c>
      <c r="D108" t="s">
        <v>73</v>
      </c>
      <c r="E108" s="894" t="s">
        <v>85</v>
      </c>
      <c r="F108" s="894" t="s">
        <v>11033</v>
      </c>
      <c r="G108">
        <v>36</v>
      </c>
      <c r="H108">
        <f>24*36</f>
        <v>864</v>
      </c>
      <c r="J108" s="893"/>
    </row>
    <row r="109" spans="1:10" ht="14.5">
      <c r="A109" s="892" t="s">
        <v>1221</v>
      </c>
      <c r="B109" s="892" t="s">
        <v>1222</v>
      </c>
      <c r="C109" s="892" t="s">
        <v>1187</v>
      </c>
      <c r="D109" t="s">
        <v>73</v>
      </c>
      <c r="E109" s="894" t="s">
        <v>108</v>
      </c>
      <c r="F109" s="894" t="s">
        <v>11035</v>
      </c>
      <c r="G109">
        <v>33</v>
      </c>
      <c r="H109">
        <f>20*33</f>
        <v>660</v>
      </c>
      <c r="I109" t="s">
        <v>11050</v>
      </c>
      <c r="J109" s="893"/>
    </row>
    <row r="110" spans="1:10" ht="14.5">
      <c r="A110" s="892" t="s">
        <v>5036</v>
      </c>
      <c r="B110" s="892" t="s">
        <v>886</v>
      </c>
      <c r="C110" s="892" t="s">
        <v>992</v>
      </c>
      <c r="D110" t="s">
        <v>73</v>
      </c>
      <c r="E110" s="894" t="s">
        <v>94</v>
      </c>
      <c r="F110" s="894" t="s">
        <v>11035</v>
      </c>
      <c r="G110">
        <v>36</v>
      </c>
      <c r="H110">
        <f>20*36</f>
        <v>720</v>
      </c>
      <c r="I110" t="s">
        <v>11036</v>
      </c>
      <c r="J110" s="893"/>
    </row>
    <row r="111" spans="1:10" ht="14.5">
      <c r="A111" s="892" t="s">
        <v>6687</v>
      </c>
      <c r="B111" s="892" t="s">
        <v>6688</v>
      </c>
      <c r="C111" s="892" t="s">
        <v>967</v>
      </c>
      <c r="D111" t="s">
        <v>73</v>
      </c>
      <c r="E111" s="894" t="s">
        <v>85</v>
      </c>
      <c r="F111" s="894" t="s">
        <v>11033</v>
      </c>
      <c r="G111">
        <v>36</v>
      </c>
      <c r="H111">
        <v>936</v>
      </c>
      <c r="I111" t="s">
        <v>11100</v>
      </c>
      <c r="J111" s="893"/>
    </row>
    <row r="112" spans="1:10" ht="14.5">
      <c r="A112" s="892" t="s">
        <v>6781</v>
      </c>
      <c r="B112" s="892" t="s">
        <v>6782</v>
      </c>
      <c r="C112" s="892" t="s">
        <v>967</v>
      </c>
      <c r="D112" t="s">
        <v>73</v>
      </c>
      <c r="E112" s="894" t="s">
        <v>85</v>
      </c>
      <c r="F112" s="894" t="s">
        <v>11033</v>
      </c>
      <c r="G112">
        <v>36</v>
      </c>
      <c r="H112">
        <v>936</v>
      </c>
      <c r="I112" t="s">
        <v>11100</v>
      </c>
      <c r="J112" s="893"/>
    </row>
    <row r="113" spans="1:9" ht="14">
      <c r="A113" s="892" t="s">
        <v>5389</v>
      </c>
      <c r="B113" s="892" t="s">
        <v>5390</v>
      </c>
      <c r="C113" s="892" t="s">
        <v>967</v>
      </c>
      <c r="D113" t="s">
        <v>73</v>
      </c>
      <c r="E113" s="894" t="s">
        <v>85</v>
      </c>
      <c r="F113" s="894" t="s">
        <v>11033</v>
      </c>
      <c r="G113">
        <v>36</v>
      </c>
      <c r="H113">
        <v>936</v>
      </c>
      <c r="I113" t="s">
        <v>11100</v>
      </c>
    </row>
    <row r="114" spans="1:9" ht="14">
      <c r="A114" s="892" t="s">
        <v>5409</v>
      </c>
      <c r="B114" s="892" t="s">
        <v>5410</v>
      </c>
      <c r="C114" s="892" t="s">
        <v>967</v>
      </c>
      <c r="D114" t="s">
        <v>73</v>
      </c>
      <c r="E114" s="894" t="s">
        <v>85</v>
      </c>
      <c r="F114" s="894" t="s">
        <v>11033</v>
      </c>
      <c r="G114">
        <v>36</v>
      </c>
      <c r="H114">
        <v>936</v>
      </c>
      <c r="I114" t="s">
        <v>11100</v>
      </c>
    </row>
    <row r="115" spans="1:9" ht="14">
      <c r="A115" s="892" t="s">
        <v>11101</v>
      </c>
      <c r="B115" s="892" t="s">
        <v>330</v>
      </c>
      <c r="C115" s="892" t="s">
        <v>992</v>
      </c>
      <c r="D115" t="s">
        <v>331</v>
      </c>
      <c r="E115" s="894" t="s">
        <v>108</v>
      </c>
      <c r="F115" s="894" t="s">
        <v>11035</v>
      </c>
      <c r="G115">
        <v>36</v>
      </c>
      <c r="H115">
        <v>720</v>
      </c>
      <c r="I115" t="s">
        <v>11102</v>
      </c>
    </row>
    <row r="116" spans="1:9" ht="14">
      <c r="A116" s="892" t="s">
        <v>7549</v>
      </c>
      <c r="B116" s="892" t="s">
        <v>103</v>
      </c>
      <c r="C116" s="892" t="s">
        <v>992</v>
      </c>
      <c r="D116" t="s">
        <v>331</v>
      </c>
      <c r="E116" s="894" t="s">
        <v>108</v>
      </c>
      <c r="F116" s="894" t="s">
        <v>11035</v>
      </c>
      <c r="G116">
        <v>36</v>
      </c>
      <c r="H116">
        <v>720</v>
      </c>
      <c r="I116" t="s">
        <v>11102</v>
      </c>
    </row>
    <row r="117" spans="1:9" ht="14">
      <c r="A117" s="894" t="s">
        <v>11103</v>
      </c>
      <c r="B117" s="892" t="s">
        <v>11104</v>
      </c>
      <c r="C117" s="892" t="s">
        <v>992</v>
      </c>
      <c r="D117" t="s">
        <v>73</v>
      </c>
      <c r="E117" s="894" t="s">
        <v>94</v>
      </c>
      <c r="F117" s="894" t="s">
        <v>11035</v>
      </c>
      <c r="G117">
        <v>33</v>
      </c>
      <c r="H117">
        <v>594</v>
      </c>
      <c r="I117" t="s">
        <v>11105</v>
      </c>
    </row>
    <row r="118" spans="1:9" ht="14">
      <c r="A118" s="894" t="s">
        <v>11106</v>
      </c>
      <c r="B118" s="892" t="s">
        <v>11107</v>
      </c>
      <c r="C118" s="892" t="s">
        <v>992</v>
      </c>
      <c r="D118" t="s">
        <v>73</v>
      </c>
      <c r="E118" s="894" t="s">
        <v>94</v>
      </c>
      <c r="F118" s="894" t="s">
        <v>11035</v>
      </c>
      <c r="G118">
        <v>33</v>
      </c>
      <c r="H118">
        <v>594</v>
      </c>
      <c r="I118" t="s">
        <v>11105</v>
      </c>
    </row>
    <row r="119" spans="1:9" ht="15">
      <c r="A119" s="892" t="s">
        <v>6169</v>
      </c>
      <c r="B119" s="892" t="s">
        <v>1570</v>
      </c>
      <c r="C119" s="892" t="s">
        <v>992</v>
      </c>
      <c r="D119" t="s">
        <v>73</v>
      </c>
      <c r="E119" s="894" t="s">
        <v>108</v>
      </c>
      <c r="F119" s="894" t="s">
        <v>11035</v>
      </c>
      <c r="G119">
        <v>36</v>
      </c>
      <c r="H119">
        <v>720</v>
      </c>
      <c r="I119" s="1269" t="s">
        <v>11108</v>
      </c>
    </row>
    <row r="120" spans="1:9" ht="15">
      <c r="A120" s="892" t="s">
        <v>5592</v>
      </c>
      <c r="B120" s="892" t="s">
        <v>1570</v>
      </c>
      <c r="C120" s="892" t="s">
        <v>992</v>
      </c>
      <c r="D120" t="s">
        <v>331</v>
      </c>
      <c r="E120" s="894" t="s">
        <v>108</v>
      </c>
      <c r="F120" s="894" t="s">
        <v>11035</v>
      </c>
      <c r="G120">
        <v>36</v>
      </c>
      <c r="H120">
        <v>720</v>
      </c>
      <c r="I120" s="1269" t="s">
        <v>11108</v>
      </c>
    </row>
    <row r="121" spans="1:9" ht="14">
      <c r="A121" s="892" t="s">
        <v>5552</v>
      </c>
      <c r="B121" s="892" t="s">
        <v>5553</v>
      </c>
      <c r="C121" s="892" t="s">
        <v>992</v>
      </c>
      <c r="D121" t="s">
        <v>73</v>
      </c>
      <c r="E121" s="894" t="s">
        <v>108</v>
      </c>
      <c r="F121" s="894" t="s">
        <v>11035</v>
      </c>
      <c r="G121">
        <v>33</v>
      </c>
      <c r="H121">
        <v>660</v>
      </c>
    </row>
    <row r="122" spans="1:9" ht="14">
      <c r="A122" s="894" t="s">
        <v>5882</v>
      </c>
      <c r="B122" s="892" t="s">
        <v>5883</v>
      </c>
      <c r="C122" s="892" t="s">
        <v>992</v>
      </c>
      <c r="D122" t="s">
        <v>73</v>
      </c>
      <c r="E122" s="894" t="s">
        <v>108</v>
      </c>
      <c r="F122" s="894" t="s">
        <v>11035</v>
      </c>
      <c r="G122">
        <v>33</v>
      </c>
      <c r="H122">
        <v>594</v>
      </c>
    </row>
    <row r="123" spans="1:9" ht="14">
      <c r="A123" s="894" t="s">
        <v>11109</v>
      </c>
      <c r="B123" s="892" t="s">
        <v>134</v>
      </c>
      <c r="C123" s="892" t="s">
        <v>992</v>
      </c>
      <c r="D123" t="s">
        <v>73</v>
      </c>
      <c r="E123" s="894" t="s">
        <v>108</v>
      </c>
      <c r="F123" s="894" t="s">
        <v>11035</v>
      </c>
      <c r="G123">
        <v>33</v>
      </c>
      <c r="H123">
        <v>594</v>
      </c>
    </row>
    <row r="124" spans="1:9" ht="14">
      <c r="A124" s="894" t="s">
        <v>5924</v>
      </c>
      <c r="B124" s="892" t="s">
        <v>1807</v>
      </c>
      <c r="C124" s="892" t="s">
        <v>992</v>
      </c>
      <c r="D124" t="s">
        <v>73</v>
      </c>
      <c r="E124" s="894" t="s">
        <v>128</v>
      </c>
      <c r="F124" s="894" t="s">
        <v>11035</v>
      </c>
      <c r="G124">
        <v>33</v>
      </c>
      <c r="H124">
        <v>594</v>
      </c>
    </row>
    <row r="125" spans="1:9" ht="14">
      <c r="A125" s="894" t="s">
        <v>5346</v>
      </c>
      <c r="B125" s="892" t="s">
        <v>5347</v>
      </c>
      <c r="C125" s="892" t="s">
        <v>992</v>
      </c>
      <c r="D125" t="s">
        <v>73</v>
      </c>
      <c r="E125" s="894" t="s">
        <v>94</v>
      </c>
      <c r="F125" s="894" t="s">
        <v>11035</v>
      </c>
      <c r="G125">
        <v>36</v>
      </c>
      <c r="H125">
        <v>720</v>
      </c>
    </row>
    <row r="126" spans="1:9" ht="14">
      <c r="A126" s="894" t="s">
        <v>5564</v>
      </c>
      <c r="B126" s="892" t="s">
        <v>5565</v>
      </c>
      <c r="C126" s="892" t="s">
        <v>992</v>
      </c>
      <c r="D126" t="s">
        <v>73</v>
      </c>
      <c r="E126" s="894" t="s">
        <v>94</v>
      </c>
      <c r="F126" s="894" t="s">
        <v>11035</v>
      </c>
      <c r="G126">
        <v>36</v>
      </c>
      <c r="H126">
        <v>720</v>
      </c>
    </row>
    <row r="127" spans="1:9" ht="15">
      <c r="A127" s="892" t="s">
        <v>5505</v>
      </c>
      <c r="B127" s="892" t="s">
        <v>5355</v>
      </c>
      <c r="C127" s="892" t="s">
        <v>992</v>
      </c>
      <c r="D127" t="s">
        <v>331</v>
      </c>
      <c r="E127" s="894" t="s">
        <v>108</v>
      </c>
      <c r="F127" s="894" t="s">
        <v>11035</v>
      </c>
      <c r="G127">
        <v>36</v>
      </c>
      <c r="H127">
        <v>720</v>
      </c>
      <c r="I127" s="1269" t="s">
        <v>11108</v>
      </c>
    </row>
    <row r="128" spans="1:9" ht="15">
      <c r="A128" s="892" t="s">
        <v>5860</v>
      </c>
      <c r="B128" s="892" t="s">
        <v>5861</v>
      </c>
      <c r="C128" s="892" t="s">
        <v>967</v>
      </c>
      <c r="D128" t="s">
        <v>73</v>
      </c>
      <c r="E128" s="894" t="s">
        <v>85</v>
      </c>
      <c r="F128" s="894" t="s">
        <v>11033</v>
      </c>
      <c r="G128">
        <v>36</v>
      </c>
      <c r="H128">
        <v>936</v>
      </c>
      <c r="I128" s="1269" t="s">
        <v>11048</v>
      </c>
    </row>
    <row r="129" spans="1:9" ht="14">
      <c r="A129" s="894" t="s">
        <v>11110</v>
      </c>
      <c r="B129" s="892" t="s">
        <v>11111</v>
      </c>
      <c r="C129" s="892" t="s">
        <v>967</v>
      </c>
      <c r="D129" t="s">
        <v>73</v>
      </c>
      <c r="E129" s="894" t="s">
        <v>108</v>
      </c>
      <c r="F129" s="894" t="s">
        <v>11033</v>
      </c>
      <c r="G129">
        <v>36</v>
      </c>
      <c r="H129">
        <v>936</v>
      </c>
    </row>
    <row r="130" spans="1:9" ht="14">
      <c r="A130" s="894" t="s">
        <v>5952</v>
      </c>
      <c r="B130" s="892" t="s">
        <v>5953</v>
      </c>
      <c r="C130" s="892" t="s">
        <v>967</v>
      </c>
      <c r="D130" t="s">
        <v>73</v>
      </c>
      <c r="E130" s="894" t="s">
        <v>108</v>
      </c>
      <c r="F130" s="894" t="s">
        <v>11033</v>
      </c>
      <c r="G130">
        <v>36</v>
      </c>
      <c r="H130">
        <v>936</v>
      </c>
    </row>
    <row r="131" spans="1:9" ht="14">
      <c r="A131" s="894" t="s">
        <v>5744</v>
      </c>
      <c r="B131" s="892" t="s">
        <v>5745</v>
      </c>
      <c r="C131" s="892" t="s">
        <v>967</v>
      </c>
      <c r="D131" t="s">
        <v>73</v>
      </c>
      <c r="E131" s="894" t="s">
        <v>108</v>
      </c>
      <c r="F131" s="894" t="s">
        <v>11033</v>
      </c>
      <c r="G131">
        <v>36</v>
      </c>
      <c r="H131">
        <v>936</v>
      </c>
    </row>
    <row r="132" spans="1:9" ht="14">
      <c r="A132" s="894" t="s">
        <v>6291</v>
      </c>
      <c r="B132" s="892" t="s">
        <v>6292</v>
      </c>
      <c r="C132" s="892" t="s">
        <v>967</v>
      </c>
      <c r="D132" t="s">
        <v>73</v>
      </c>
      <c r="E132" s="894" t="s">
        <v>108</v>
      </c>
      <c r="F132" s="894" t="s">
        <v>11033</v>
      </c>
      <c r="G132">
        <v>36</v>
      </c>
      <c r="H132">
        <v>936</v>
      </c>
    </row>
    <row r="133" spans="1:9" ht="15">
      <c r="A133" s="894" t="s">
        <v>7538</v>
      </c>
      <c r="B133" s="892" t="s">
        <v>1300</v>
      </c>
      <c r="C133" s="892" t="s">
        <v>11112</v>
      </c>
      <c r="D133" t="s">
        <v>73</v>
      </c>
      <c r="E133" s="894" t="s">
        <v>108</v>
      </c>
      <c r="F133" s="894" t="s">
        <v>11035</v>
      </c>
      <c r="G133">
        <v>33</v>
      </c>
      <c r="H133">
        <v>594</v>
      </c>
      <c r="I133" s="1269"/>
    </row>
    <row r="134" spans="1:9" ht="15">
      <c r="A134" s="894" t="s">
        <v>5354</v>
      </c>
      <c r="B134" s="892" t="s">
        <v>5355</v>
      </c>
      <c r="C134" s="892" t="s">
        <v>992</v>
      </c>
      <c r="D134" t="s">
        <v>73</v>
      </c>
      <c r="E134" s="894" t="s">
        <v>108</v>
      </c>
      <c r="F134" s="894" t="s">
        <v>11035</v>
      </c>
      <c r="G134">
        <v>36</v>
      </c>
      <c r="H134">
        <v>720</v>
      </c>
      <c r="I134" s="1269" t="s">
        <v>11108</v>
      </c>
    </row>
    <row r="135" spans="1:9" ht="14">
      <c r="A135" s="892" t="s">
        <v>1483</v>
      </c>
      <c r="B135" s="892" t="s">
        <v>1484</v>
      </c>
      <c r="C135" s="892" t="s">
        <v>992</v>
      </c>
      <c r="D135" t="s">
        <v>73</v>
      </c>
      <c r="E135" s="894" t="s">
        <v>128</v>
      </c>
      <c r="F135" s="894" t="s">
        <v>11035</v>
      </c>
      <c r="G135">
        <v>33</v>
      </c>
      <c r="H135">
        <v>594</v>
      </c>
      <c r="I135" t="s">
        <v>11036</v>
      </c>
    </row>
    <row r="136" spans="1:9" ht="15">
      <c r="A136" s="894" t="s">
        <v>6219</v>
      </c>
      <c r="B136" s="892" t="s">
        <v>6220</v>
      </c>
      <c r="C136" s="892" t="s">
        <v>967</v>
      </c>
      <c r="D136" t="s">
        <v>73</v>
      </c>
      <c r="E136" s="894" t="s">
        <v>85</v>
      </c>
      <c r="F136" s="894" t="s">
        <v>11033</v>
      </c>
      <c r="G136">
        <v>36</v>
      </c>
      <c r="H136">
        <v>936</v>
      </c>
      <c r="I136" s="1269" t="s">
        <v>11048</v>
      </c>
    </row>
    <row r="137" spans="1:9" ht="14.5">
      <c r="A137" s="894" t="s">
        <v>6492</v>
      </c>
      <c r="B137" s="892" t="s">
        <v>103</v>
      </c>
      <c r="C137" s="892" t="s">
        <v>11075</v>
      </c>
      <c r="D137" t="s">
        <v>331</v>
      </c>
      <c r="E137" s="894" t="s">
        <v>128</v>
      </c>
      <c r="F137" s="894" t="s">
        <v>11035</v>
      </c>
      <c r="G137">
        <v>36</v>
      </c>
      <c r="H137">
        <v>720</v>
      </c>
      <c r="I137" t="s">
        <v>11113</v>
      </c>
    </row>
    <row r="138" spans="1:9" ht="14.5">
      <c r="A138" s="909" t="s">
        <v>6245</v>
      </c>
      <c r="B138" s="892" t="s">
        <v>330</v>
      </c>
      <c r="C138" s="892" t="s">
        <v>11075</v>
      </c>
      <c r="D138" t="s">
        <v>331</v>
      </c>
      <c r="E138" s="894" t="s">
        <v>128</v>
      </c>
      <c r="F138" s="894" t="s">
        <v>11035</v>
      </c>
      <c r="G138">
        <v>36</v>
      </c>
      <c r="H138">
        <v>720</v>
      </c>
      <c r="I138" t="s">
        <v>11113</v>
      </c>
    </row>
    <row r="139" spans="1:9" ht="14.5">
      <c r="A139" s="909" t="s">
        <v>6470</v>
      </c>
      <c r="B139" s="892" t="s">
        <v>4607</v>
      </c>
      <c r="C139" s="892" t="s">
        <v>11075</v>
      </c>
      <c r="D139" t="s">
        <v>331</v>
      </c>
      <c r="E139" s="894" t="s">
        <v>128</v>
      </c>
      <c r="F139" s="894" t="s">
        <v>11035</v>
      </c>
      <c r="G139">
        <v>36</v>
      </c>
      <c r="H139">
        <v>720</v>
      </c>
      <c r="I139" t="s">
        <v>11113</v>
      </c>
    </row>
    <row r="140" spans="1:9" ht="14">
      <c r="A140" s="909" t="s">
        <v>6849</v>
      </c>
      <c r="B140" s="892" t="s">
        <v>6850</v>
      </c>
      <c r="C140" s="892" t="s">
        <v>967</v>
      </c>
      <c r="D140" t="s">
        <v>73</v>
      </c>
      <c r="E140" s="894" t="s">
        <v>85</v>
      </c>
      <c r="F140" s="894" t="s">
        <v>11033</v>
      </c>
      <c r="G140">
        <v>36</v>
      </c>
      <c r="H140">
        <v>936</v>
      </c>
      <c r="I140" t="s">
        <v>11114</v>
      </c>
    </row>
    <row r="141" spans="1:9" ht="14">
      <c r="A141" s="909" t="s">
        <v>6856</v>
      </c>
      <c r="B141" s="892" t="s">
        <v>6857</v>
      </c>
      <c r="C141" s="892" t="s">
        <v>967</v>
      </c>
      <c r="D141" t="s">
        <v>73</v>
      </c>
      <c r="E141" s="894" t="s">
        <v>85</v>
      </c>
      <c r="F141" s="894" t="s">
        <v>11033</v>
      </c>
      <c r="G141">
        <v>36</v>
      </c>
      <c r="H141">
        <v>936</v>
      </c>
      <c r="I141" t="s">
        <v>11114</v>
      </c>
    </row>
    <row r="142" spans="1:9" ht="15">
      <c r="A142" s="909" t="s">
        <v>6730</v>
      </c>
      <c r="B142" s="892" t="s">
        <v>1570</v>
      </c>
      <c r="C142" s="892" t="s">
        <v>11075</v>
      </c>
      <c r="D142" t="s">
        <v>331</v>
      </c>
      <c r="E142" s="894" t="s">
        <v>108</v>
      </c>
      <c r="F142" s="894" t="s">
        <v>11035</v>
      </c>
      <c r="G142">
        <v>36</v>
      </c>
      <c r="H142">
        <v>720</v>
      </c>
      <c r="I142" s="1269" t="s">
        <v>11115</v>
      </c>
    </row>
    <row r="143" spans="1:9" ht="15">
      <c r="A143" s="909" t="s">
        <v>6737</v>
      </c>
      <c r="B143" s="892" t="s">
        <v>5355</v>
      </c>
      <c r="C143" s="892" t="s">
        <v>11075</v>
      </c>
      <c r="D143" t="s">
        <v>331</v>
      </c>
      <c r="E143" s="894" t="s">
        <v>108</v>
      </c>
      <c r="F143" s="894" t="s">
        <v>11035</v>
      </c>
      <c r="G143">
        <v>36</v>
      </c>
      <c r="H143">
        <v>720</v>
      </c>
      <c r="I143" s="1269" t="s">
        <v>11115</v>
      </c>
    </row>
    <row r="144" spans="1:9" ht="14">
      <c r="A144" s="909" t="s">
        <v>7223</v>
      </c>
      <c r="B144" s="892" t="s">
        <v>7224</v>
      </c>
      <c r="C144" s="892" t="s">
        <v>967</v>
      </c>
      <c r="D144" t="s">
        <v>73</v>
      </c>
      <c r="E144" s="894" t="s">
        <v>85</v>
      </c>
      <c r="F144" s="894" t="s">
        <v>11033</v>
      </c>
      <c r="G144">
        <v>36</v>
      </c>
      <c r="H144">
        <v>936</v>
      </c>
      <c r="I144" t="s">
        <v>11116</v>
      </c>
    </row>
    <row r="145" spans="1:9" ht="14">
      <c r="A145" s="909" t="s">
        <v>7266</v>
      </c>
      <c r="B145" s="892" t="s">
        <v>7267</v>
      </c>
      <c r="C145" s="892" t="s">
        <v>967</v>
      </c>
      <c r="D145" t="s">
        <v>73</v>
      </c>
      <c r="E145" s="894" t="s">
        <v>108</v>
      </c>
      <c r="F145" s="894" t="s">
        <v>11035</v>
      </c>
      <c r="G145">
        <v>36</v>
      </c>
      <c r="H145">
        <v>936</v>
      </c>
      <c r="I145" t="s">
        <v>11117</v>
      </c>
    </row>
    <row r="146" spans="1:9" ht="14">
      <c r="A146" s="909" t="s">
        <v>7610</v>
      </c>
      <c r="B146" s="892" t="s">
        <v>4607</v>
      </c>
      <c r="C146" s="892" t="s">
        <v>992</v>
      </c>
      <c r="D146" t="s">
        <v>331</v>
      </c>
      <c r="E146" s="894" t="s">
        <v>108</v>
      </c>
      <c r="F146" s="894" t="s">
        <v>11035</v>
      </c>
      <c r="G146">
        <v>36</v>
      </c>
      <c r="H146">
        <v>720</v>
      </c>
      <c r="I146" t="s">
        <v>11118</v>
      </c>
    </row>
    <row r="147" spans="1:9" ht="14">
      <c r="A147" s="909" t="s">
        <v>7616</v>
      </c>
      <c r="B147" s="892" t="s">
        <v>7617</v>
      </c>
      <c r="C147" s="892" t="s">
        <v>992</v>
      </c>
      <c r="D147" t="s">
        <v>331</v>
      </c>
      <c r="E147" s="894" t="s">
        <v>108</v>
      </c>
      <c r="F147" s="894" t="s">
        <v>11035</v>
      </c>
      <c r="G147">
        <v>36</v>
      </c>
      <c r="H147">
        <v>720</v>
      </c>
      <c r="I147" t="s">
        <v>11118</v>
      </c>
    </row>
    <row r="148" spans="1:9" ht="14">
      <c r="A148" s="909" t="s">
        <v>7330</v>
      </c>
      <c r="B148" s="892" t="s">
        <v>1484</v>
      </c>
      <c r="C148" s="892" t="s">
        <v>992</v>
      </c>
      <c r="D148" t="s">
        <v>331</v>
      </c>
      <c r="E148" s="894" t="s">
        <v>128</v>
      </c>
      <c r="F148" s="894" t="s">
        <v>11035</v>
      </c>
      <c r="G148">
        <v>33</v>
      </c>
      <c r="H148">
        <v>594</v>
      </c>
      <c r="I148" t="s">
        <v>11119</v>
      </c>
    </row>
    <row r="149" spans="1:9" ht="14">
      <c r="A149" s="909" t="s">
        <v>7336</v>
      </c>
      <c r="B149" s="892" t="s">
        <v>1682</v>
      </c>
      <c r="C149" s="892" t="s">
        <v>992</v>
      </c>
      <c r="D149" t="s">
        <v>331</v>
      </c>
      <c r="E149" s="894" t="s">
        <v>128</v>
      </c>
      <c r="F149" s="894" t="s">
        <v>11035</v>
      </c>
      <c r="G149">
        <v>36</v>
      </c>
      <c r="H149">
        <v>720</v>
      </c>
      <c r="I149" t="s">
        <v>11119</v>
      </c>
    </row>
    <row r="150" spans="1:9" ht="14">
      <c r="A150" s="909" t="s">
        <v>7681</v>
      </c>
      <c r="B150" s="892" t="s">
        <v>7682</v>
      </c>
      <c r="C150" s="892" t="s">
        <v>967</v>
      </c>
      <c r="D150" t="s">
        <v>73</v>
      </c>
      <c r="E150" s="894" t="s">
        <v>85</v>
      </c>
      <c r="F150" s="894" t="s">
        <v>11033</v>
      </c>
      <c r="G150">
        <v>36</v>
      </c>
      <c r="H150">
        <v>936</v>
      </c>
      <c r="I150" t="s">
        <v>11120</v>
      </c>
    </row>
    <row r="151" spans="1:9" ht="14">
      <c r="A151" s="909" t="s">
        <v>7319</v>
      </c>
      <c r="B151" s="892" t="s">
        <v>7320</v>
      </c>
      <c r="C151" s="892" t="s">
        <v>967</v>
      </c>
      <c r="D151" t="s">
        <v>73</v>
      </c>
      <c r="E151" s="894" t="s">
        <v>108</v>
      </c>
      <c r="F151" s="894" t="s">
        <v>11035</v>
      </c>
      <c r="G151">
        <v>36</v>
      </c>
      <c r="H151">
        <v>936</v>
      </c>
      <c r="I151" t="s">
        <v>11121</v>
      </c>
    </row>
    <row r="152" spans="1:9" ht="14">
      <c r="A152" s="909" t="s">
        <v>7244</v>
      </c>
      <c r="B152" s="892" t="s">
        <v>7245</v>
      </c>
      <c r="C152" s="892" t="s">
        <v>11122</v>
      </c>
      <c r="D152" t="s">
        <v>73</v>
      </c>
      <c r="E152" s="894" t="s">
        <v>128</v>
      </c>
      <c r="F152" s="894" t="s">
        <v>11035</v>
      </c>
      <c r="G152">
        <v>36</v>
      </c>
      <c r="H152">
        <v>720</v>
      </c>
      <c r="I152" t="s">
        <v>11123</v>
      </c>
    </row>
    <row r="153" spans="1:9" ht="14">
      <c r="A153" s="1280" t="s">
        <v>7698</v>
      </c>
      <c r="B153" s="1267" t="s">
        <v>7699</v>
      </c>
      <c r="C153" s="892" t="s">
        <v>992</v>
      </c>
      <c r="D153" t="s">
        <v>73</v>
      </c>
      <c r="E153" s="894" t="s">
        <v>128</v>
      </c>
      <c r="F153" s="894" t="s">
        <v>11035</v>
      </c>
      <c r="G153">
        <v>33</v>
      </c>
      <c r="H153">
        <v>594</v>
      </c>
      <c r="I153" s="1501" t="s">
        <v>11124</v>
      </c>
    </row>
    <row r="154" spans="1:9" ht="14">
      <c r="A154" s="1281" t="s">
        <v>7719</v>
      </c>
      <c r="B154" s="1268" t="s">
        <v>7720</v>
      </c>
      <c r="C154" s="892" t="s">
        <v>992</v>
      </c>
      <c r="D154" t="s">
        <v>73</v>
      </c>
      <c r="E154" s="894" t="s">
        <v>128</v>
      </c>
      <c r="F154" s="894" t="s">
        <v>11035</v>
      </c>
      <c r="G154">
        <v>33</v>
      </c>
      <c r="H154">
        <v>594</v>
      </c>
      <c r="I154" s="1270" t="s">
        <v>11124</v>
      </c>
    </row>
    <row r="155" spans="1:9" ht="15">
      <c r="A155" s="1281" t="s">
        <v>7735</v>
      </c>
      <c r="B155" s="1268" t="s">
        <v>7736</v>
      </c>
      <c r="C155" s="892" t="s">
        <v>11125</v>
      </c>
      <c r="D155" t="s">
        <v>73</v>
      </c>
      <c r="E155" s="894" t="s">
        <v>108</v>
      </c>
      <c r="F155" s="894" t="s">
        <v>11035</v>
      </c>
      <c r="G155">
        <v>36</v>
      </c>
      <c r="H155">
        <v>720</v>
      </c>
      <c r="I155" s="1269" t="s">
        <v>11126</v>
      </c>
    </row>
    <row r="156" spans="1:9" ht="15">
      <c r="A156" s="1281" t="s">
        <v>7744</v>
      </c>
      <c r="B156" s="1268" t="s">
        <v>7745</v>
      </c>
      <c r="C156" s="892" t="s">
        <v>992</v>
      </c>
      <c r="D156" t="s">
        <v>73</v>
      </c>
      <c r="E156" s="894" t="s">
        <v>108</v>
      </c>
      <c r="F156" s="894" t="s">
        <v>11035</v>
      </c>
      <c r="G156">
        <v>36</v>
      </c>
      <c r="H156">
        <v>720</v>
      </c>
      <c r="I156" s="1269" t="s">
        <v>11127</v>
      </c>
    </row>
    <row r="157" spans="1:9" ht="15">
      <c r="A157" s="1281" t="s">
        <v>7756</v>
      </c>
      <c r="B157" s="1268" t="s">
        <v>7736</v>
      </c>
      <c r="C157" s="892" t="s">
        <v>992</v>
      </c>
      <c r="D157" t="s">
        <v>73</v>
      </c>
      <c r="E157" s="894" t="s">
        <v>108</v>
      </c>
      <c r="F157" s="894" t="s">
        <v>11035</v>
      </c>
      <c r="G157">
        <v>36</v>
      </c>
      <c r="H157">
        <v>720</v>
      </c>
      <c r="I157" s="1269" t="s">
        <v>11127</v>
      </c>
    </row>
    <row r="158" spans="1:9" ht="15">
      <c r="A158" s="1280" t="s">
        <v>7770</v>
      </c>
      <c r="B158" s="1267" t="s">
        <v>7745</v>
      </c>
      <c r="C158" s="892" t="s">
        <v>11125</v>
      </c>
      <c r="D158" t="s">
        <v>73</v>
      </c>
      <c r="E158" s="894" t="s">
        <v>108</v>
      </c>
      <c r="F158" s="894" t="s">
        <v>11035</v>
      </c>
      <c r="G158">
        <v>36</v>
      </c>
      <c r="H158">
        <v>720</v>
      </c>
      <c r="I158" s="1269" t="s">
        <v>11126</v>
      </c>
    </row>
    <row r="159" spans="1:9" ht="14">
      <c r="A159" s="1280" t="s">
        <v>7695</v>
      </c>
      <c r="B159" s="1267" t="s">
        <v>7245</v>
      </c>
      <c r="C159" s="892" t="s">
        <v>992</v>
      </c>
      <c r="D159" t="s">
        <v>73</v>
      </c>
      <c r="E159" s="894" t="s">
        <v>128</v>
      </c>
      <c r="F159" s="894" t="s">
        <v>11035</v>
      </c>
      <c r="G159">
        <v>36</v>
      </c>
      <c r="H159">
        <v>720</v>
      </c>
      <c r="I159" s="1501" t="s">
        <v>11128</v>
      </c>
    </row>
  </sheetData>
  <protectedRanges>
    <protectedRange sqref="B135" name="PV_Data"/>
  </protectedRanges>
  <sortState xmlns:xlrd2="http://schemas.microsoft.com/office/spreadsheetml/2017/richdata2" ref="M7:N17">
    <sortCondition ref="M7:M17"/>
  </sortState>
  <phoneticPr fontId="64" type="noConversion"/>
  <conditionalFormatting sqref="A117:A118 D123:D137 A142:B152">
    <cfRule type="cellIs" dxfId="51" priority="85" operator="equal">
      <formula>"No"</formula>
    </cfRule>
    <cfRule type="cellIs" dxfId="50" priority="86" operator="equal">
      <formula>"Yes"</formula>
    </cfRule>
  </conditionalFormatting>
  <conditionalFormatting sqref="A122:A126">
    <cfRule type="cellIs" dxfId="49" priority="77" operator="equal">
      <formula>"No"</formula>
    </cfRule>
    <cfRule type="cellIs" dxfId="48" priority="78" operator="equal">
      <formula>"Yes"</formula>
    </cfRule>
  </conditionalFormatting>
  <conditionalFormatting sqref="A129:A134">
    <cfRule type="cellIs" dxfId="47" priority="69" operator="equal">
      <formula>"No"</formula>
    </cfRule>
    <cfRule type="cellIs" dxfId="46" priority="70" operator="equal">
      <formula>"Yes"</formula>
    </cfRule>
  </conditionalFormatting>
  <conditionalFormatting sqref="A136:A137">
    <cfRule type="cellIs" dxfId="45" priority="79" operator="equal">
      <formula>"No"</formula>
    </cfRule>
    <cfRule type="cellIs" dxfId="44" priority="80" operator="equal">
      <formula>"Yes"</formula>
    </cfRule>
  </conditionalFormatting>
  <conditionalFormatting sqref="B117:F118">
    <cfRule type="cellIs" dxfId="43" priority="53" operator="equal">
      <formula>"No"</formula>
    </cfRule>
    <cfRule type="cellIs" dxfId="42" priority="54" operator="equal">
      <formula>"Yes"</formula>
    </cfRule>
  </conditionalFormatting>
  <conditionalFormatting sqref="B122:F126">
    <cfRule type="cellIs" dxfId="41" priority="49" operator="equal">
      <formula>"No"</formula>
    </cfRule>
    <cfRule type="cellIs" dxfId="40" priority="50" operator="equal">
      <formula>"Yes"</formula>
    </cfRule>
  </conditionalFormatting>
  <conditionalFormatting sqref="B129:F134">
    <cfRule type="cellIs" dxfId="39" priority="47" operator="equal">
      <formula>"No"</formula>
    </cfRule>
    <cfRule type="cellIs" dxfId="38" priority="48" operator="equal">
      <formula>"Yes"</formula>
    </cfRule>
  </conditionalFormatting>
  <conditionalFormatting sqref="B136:F137">
    <cfRule type="cellIs" dxfId="37" priority="51" operator="equal">
      <formula>"No"</formula>
    </cfRule>
    <cfRule type="cellIs" dxfId="36" priority="52" operator="equal">
      <formula>"Yes"</formula>
    </cfRule>
  </conditionalFormatting>
  <conditionalFormatting sqref="C145">
    <cfRule type="cellIs" dxfId="35" priority="25" operator="equal">
      <formula>"No"</formula>
    </cfRule>
    <cfRule type="cellIs" dxfId="34" priority="26" operator="equal">
      <formula>"Yes"</formula>
    </cfRule>
  </conditionalFormatting>
  <conditionalFormatting sqref="C150:C151">
    <cfRule type="cellIs" dxfId="33" priority="27" operator="equal">
      <formula>"No"</formula>
    </cfRule>
    <cfRule type="cellIs" dxfId="32" priority="28" operator="equal">
      <formula>"Yes"</formula>
    </cfRule>
  </conditionalFormatting>
  <conditionalFormatting sqref="C140:F144">
    <cfRule type="cellIs" dxfId="31" priority="41" operator="equal">
      <formula>"No"</formula>
    </cfRule>
    <cfRule type="cellIs" dxfId="30" priority="42" operator="equal">
      <formula>"Yes"</formula>
    </cfRule>
  </conditionalFormatting>
  <conditionalFormatting sqref="D140:D155">
    <cfRule type="cellIs" dxfId="29" priority="5" operator="equal">
      <formula>"No"</formula>
    </cfRule>
    <cfRule type="cellIs" dxfId="28" priority="6" operator="equal">
      <formula>"Yes"</formula>
    </cfRule>
  </conditionalFormatting>
  <conditionalFormatting sqref="D159">
    <cfRule type="cellIs" dxfId="27" priority="1" operator="equal">
      <formula>"No"</formula>
    </cfRule>
    <cfRule type="cellIs" dxfId="26" priority="2" operator="equal">
      <formula>"Yes"</formula>
    </cfRule>
  </conditionalFormatting>
  <conditionalFormatting sqref="E145:E147">
    <cfRule type="cellIs" dxfId="25" priority="7" operator="equal">
      <formula>"No"</formula>
    </cfRule>
    <cfRule type="cellIs" dxfId="24" priority="8" operator="equal">
      <formula>"Yes"</formula>
    </cfRule>
  </conditionalFormatting>
  <conditionalFormatting sqref="E151">
    <cfRule type="cellIs" dxfId="23" priority="9" operator="equal">
      <formula>"No"</formula>
    </cfRule>
    <cfRule type="cellIs" dxfId="22" priority="10" operator="equal">
      <formula>"Yes"</formula>
    </cfRule>
  </conditionalFormatting>
  <conditionalFormatting sqref="E150:F150">
    <cfRule type="cellIs" dxfId="21" priority="11" operator="equal">
      <formula>"No"</formula>
    </cfRule>
    <cfRule type="cellIs" dxfId="20" priority="12" operator="equal">
      <formula>"Yes"</formula>
    </cfRule>
  </conditionalFormatting>
  <conditionalFormatting sqref="F145:F149 F151:F154">
    <cfRule type="cellIs" dxfId="19" priority="19" operator="equal">
      <formula>"No"</formula>
    </cfRule>
    <cfRule type="cellIs" dxfId="18" priority="20" operator="equal">
      <formula>"Yes"</formula>
    </cfRule>
  </conditionalFormatting>
  <conditionalFormatting sqref="F159">
    <cfRule type="cellIs" dxfId="17" priority="3" operator="equal">
      <formula>"No"</formula>
    </cfRule>
    <cfRule type="cellIs" dxfId="16" priority="4" operator="equal">
      <formula>"Yes"</formula>
    </cfRule>
  </conditionalFormatting>
  <dataValidations count="1">
    <dataValidation allowBlank="1" showInputMessage="1" showErrorMessage="1" sqref="B135 A137:B137 A144:B145" xr:uid="{0D085914-34C6-4B08-82D5-C6B766D606BC}"/>
  </dataValidations>
  <pageMargins left="0.7" right="0.7" top="0.75" bottom="0.75" header="0.3" footer="0.3"/>
  <pageSetup paperSize="9" orientation="portrait" horizontalDpi="1200" verticalDpi="1200" r:id="rId1"/>
  <legacy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A3840-0D78-40A3-A808-F8EF2B16332F}">
  <sheetPr>
    <tabColor rgb="FFFFFF00"/>
  </sheetPr>
  <dimension ref="A1:P1403"/>
  <sheetViews>
    <sheetView zoomScale="55" zoomScaleNormal="55" workbookViewId="0">
      <selection activeCell="E31" sqref="E31"/>
    </sheetView>
  </sheetViews>
  <sheetFormatPr defaultColWidth="9" defaultRowHeight="13"/>
  <cols>
    <col min="1" max="1" width="37" bestFit="1" customWidth="1"/>
    <col min="2" max="2" width="27.19921875" bestFit="1" customWidth="1"/>
    <col min="3" max="3" width="34.5" bestFit="1" customWidth="1"/>
    <col min="4" max="4" width="23.19921875" bestFit="1" customWidth="1"/>
    <col min="5" max="5" width="33.19921875" bestFit="1" customWidth="1"/>
    <col min="6" max="6" width="75.69921875" bestFit="1" customWidth="1"/>
    <col min="7" max="7" width="17" bestFit="1" customWidth="1"/>
    <col min="8" max="8" width="38.796875" bestFit="1" customWidth="1"/>
    <col min="9" max="9" width="35.8984375" bestFit="1" customWidth="1"/>
    <col min="10" max="12" width="19.8984375" bestFit="1" customWidth="1"/>
    <col min="13" max="13" width="17" bestFit="1" customWidth="1"/>
    <col min="14" max="14" width="30.09765625" bestFit="1" customWidth="1"/>
    <col min="15" max="15" width="24.296875" bestFit="1" customWidth="1"/>
    <col min="16" max="16" width="37.3984375" bestFit="1" customWidth="1"/>
    <col min="17" max="17" width="24.8984375" bestFit="1" customWidth="1"/>
    <col min="18" max="18" width="15.8984375" bestFit="1" customWidth="1"/>
    <col min="19" max="20" width="30.8984375" bestFit="1" customWidth="1"/>
    <col min="21" max="21" width="18.09765625" bestFit="1" customWidth="1"/>
  </cols>
  <sheetData>
    <row r="1" spans="1:16">
      <c r="A1" t="s">
        <v>0</v>
      </c>
      <c r="B1" t="s">
        <v>4</v>
      </c>
      <c r="C1" t="s">
        <v>5</v>
      </c>
      <c r="D1" t="s">
        <v>14</v>
      </c>
      <c r="E1" t="s">
        <v>15</v>
      </c>
      <c r="F1" t="s">
        <v>16</v>
      </c>
      <c r="G1" t="s">
        <v>20</v>
      </c>
      <c r="H1" t="s">
        <v>7810</v>
      </c>
      <c r="I1" t="s">
        <v>29</v>
      </c>
      <c r="J1" t="s">
        <v>4416</v>
      </c>
      <c r="K1" t="s">
        <v>37</v>
      </c>
      <c r="L1" t="s">
        <v>38</v>
      </c>
      <c r="M1" t="s">
        <v>39</v>
      </c>
      <c r="N1" t="s">
        <v>2466</v>
      </c>
      <c r="O1" t="s">
        <v>50</v>
      </c>
      <c r="P1" t="s">
        <v>52</v>
      </c>
    </row>
    <row r="2" spans="1:16">
      <c r="A2" t="s">
        <v>4994</v>
      </c>
      <c r="B2" t="s">
        <v>64</v>
      </c>
      <c r="C2" t="s">
        <v>310</v>
      </c>
      <c r="D2" t="s">
        <v>4540</v>
      </c>
      <c r="E2" t="s">
        <v>4601</v>
      </c>
      <c r="F2" t="s">
        <v>330</v>
      </c>
      <c r="G2">
        <v>720</v>
      </c>
      <c r="H2" t="s">
        <v>75</v>
      </c>
      <c r="I2" t="s">
        <v>4995</v>
      </c>
      <c r="J2" s="1520">
        <v>46189</v>
      </c>
      <c r="K2" s="1520">
        <v>46248</v>
      </c>
      <c r="L2" s="1520">
        <v>46254.75</v>
      </c>
      <c r="M2" s="1520">
        <v>46254</v>
      </c>
      <c r="N2" t="s">
        <v>11129</v>
      </c>
      <c r="O2" s="1520" t="s">
        <v>2480</v>
      </c>
      <c r="P2" s="1520">
        <v>46264</v>
      </c>
    </row>
    <row r="3" spans="1:16">
      <c r="A3" t="s">
        <v>5910</v>
      </c>
      <c r="B3" t="s">
        <v>144</v>
      </c>
      <c r="C3" t="s">
        <v>145</v>
      </c>
      <c r="D3" t="s">
        <v>4540</v>
      </c>
      <c r="E3" t="s">
        <v>4606</v>
      </c>
      <c r="F3" t="s">
        <v>4607</v>
      </c>
      <c r="G3">
        <v>2160</v>
      </c>
      <c r="H3" t="s">
        <v>75</v>
      </c>
      <c r="I3" t="s">
        <v>5911</v>
      </c>
      <c r="J3" s="1520">
        <v>46237</v>
      </c>
      <c r="K3" s="1520">
        <v>46274</v>
      </c>
      <c r="L3" s="1520">
        <v>46284</v>
      </c>
      <c r="M3" s="1520">
        <v>46287</v>
      </c>
      <c r="N3" t="s">
        <v>11129</v>
      </c>
      <c r="O3" s="1520" t="s">
        <v>2480</v>
      </c>
      <c r="P3" s="1520">
        <v>46287</v>
      </c>
    </row>
    <row r="4" spans="1:16">
      <c r="A4" t="s">
        <v>5912</v>
      </c>
      <c r="B4" t="s">
        <v>144</v>
      </c>
      <c r="C4" t="s">
        <v>145</v>
      </c>
      <c r="D4" t="s">
        <v>4540</v>
      </c>
      <c r="E4" t="s">
        <v>4606</v>
      </c>
      <c r="F4" t="s">
        <v>4607</v>
      </c>
      <c r="G4">
        <v>1440</v>
      </c>
      <c r="H4" t="s">
        <v>75</v>
      </c>
      <c r="I4" t="s">
        <v>5913</v>
      </c>
      <c r="J4" s="1520">
        <v>46237</v>
      </c>
      <c r="K4" s="1520">
        <v>46274</v>
      </c>
      <c r="L4" s="1520">
        <v>46305</v>
      </c>
      <c r="M4" s="1520">
        <v>46307</v>
      </c>
      <c r="N4" t="s">
        <v>11129</v>
      </c>
      <c r="O4" s="1520" t="s">
        <v>2480</v>
      </c>
      <c r="P4" s="1520">
        <v>46307</v>
      </c>
    </row>
    <row r="5" spans="1:16">
      <c r="A5" t="s">
        <v>155</v>
      </c>
      <c r="B5" t="s">
        <v>144</v>
      </c>
      <c r="C5" t="s">
        <v>145</v>
      </c>
      <c r="D5" t="s">
        <v>70</v>
      </c>
      <c r="E5" t="s">
        <v>71</v>
      </c>
      <c r="F5" t="s">
        <v>72</v>
      </c>
      <c r="G5">
        <v>2592</v>
      </c>
      <c r="H5" t="s">
        <v>75</v>
      </c>
      <c r="I5" t="s">
        <v>158</v>
      </c>
      <c r="J5" s="1520">
        <v>46020</v>
      </c>
      <c r="K5" s="1520">
        <v>46088</v>
      </c>
      <c r="L5" s="1520">
        <v>46106</v>
      </c>
      <c r="M5" s="1520">
        <v>46106</v>
      </c>
      <c r="N5" t="s">
        <v>84</v>
      </c>
      <c r="O5" s="1520">
        <v>46026</v>
      </c>
      <c r="P5" s="1520">
        <v>46106</v>
      </c>
    </row>
    <row r="6" spans="1:16">
      <c r="A6" t="s">
        <v>153</v>
      </c>
      <c r="B6" t="s">
        <v>144</v>
      </c>
      <c r="C6" t="s">
        <v>145</v>
      </c>
      <c r="D6" t="s">
        <v>70</v>
      </c>
      <c r="E6" t="s">
        <v>91</v>
      </c>
      <c r="F6" t="s">
        <v>92</v>
      </c>
      <c r="G6">
        <v>936</v>
      </c>
      <c r="H6" t="s">
        <v>75</v>
      </c>
      <c r="I6" t="s">
        <v>154</v>
      </c>
      <c r="J6" s="1520">
        <v>46017</v>
      </c>
      <c r="K6" s="1520">
        <v>46077</v>
      </c>
      <c r="L6" s="1520">
        <v>46090</v>
      </c>
      <c r="M6" s="1520">
        <v>46090</v>
      </c>
      <c r="N6" t="s">
        <v>84</v>
      </c>
      <c r="O6" s="1520">
        <v>46026</v>
      </c>
      <c r="P6" s="1520">
        <v>46090</v>
      </c>
    </row>
    <row r="7" spans="1:16">
      <c r="A7" t="s">
        <v>143</v>
      </c>
      <c r="B7" t="s">
        <v>144</v>
      </c>
      <c r="C7" t="s">
        <v>145</v>
      </c>
      <c r="D7" t="s">
        <v>70</v>
      </c>
      <c r="E7" t="s">
        <v>91</v>
      </c>
      <c r="F7" t="s">
        <v>92</v>
      </c>
      <c r="G7">
        <v>936</v>
      </c>
      <c r="H7" t="s">
        <v>75</v>
      </c>
      <c r="I7" t="s">
        <v>148</v>
      </c>
      <c r="J7" s="1520">
        <v>46017</v>
      </c>
      <c r="K7" s="1520">
        <v>46077</v>
      </c>
      <c r="L7" s="1520">
        <v>46090</v>
      </c>
      <c r="M7" s="1520">
        <v>46090</v>
      </c>
      <c r="N7" t="s">
        <v>84</v>
      </c>
      <c r="O7" s="1520">
        <v>46026</v>
      </c>
      <c r="P7" s="1520">
        <v>46090</v>
      </c>
    </row>
    <row r="8" spans="1:16">
      <c r="A8" t="s">
        <v>87</v>
      </c>
      <c r="B8" t="s">
        <v>64</v>
      </c>
      <c r="C8" t="s">
        <v>65</v>
      </c>
      <c r="D8" t="s">
        <v>70</v>
      </c>
      <c r="E8" t="s">
        <v>91</v>
      </c>
      <c r="F8" t="s">
        <v>92</v>
      </c>
      <c r="G8">
        <v>936</v>
      </c>
      <c r="H8" t="s">
        <v>75</v>
      </c>
      <c r="I8" t="s">
        <v>93</v>
      </c>
      <c r="J8" s="1520">
        <v>46009</v>
      </c>
      <c r="K8" s="1520">
        <v>46076</v>
      </c>
      <c r="L8" s="1520">
        <v>46098</v>
      </c>
      <c r="M8" s="1520">
        <v>46099</v>
      </c>
      <c r="N8" t="s">
        <v>84</v>
      </c>
      <c r="O8" s="1520">
        <v>46112</v>
      </c>
      <c r="P8" s="1520">
        <v>46107</v>
      </c>
    </row>
    <row r="9" spans="1:16">
      <c r="A9" t="s">
        <v>95</v>
      </c>
      <c r="B9" t="s">
        <v>64</v>
      </c>
      <c r="C9" t="s">
        <v>65</v>
      </c>
      <c r="D9" t="s">
        <v>70</v>
      </c>
      <c r="E9" t="s">
        <v>91</v>
      </c>
      <c r="F9" t="s">
        <v>92</v>
      </c>
      <c r="G9">
        <v>2808</v>
      </c>
      <c r="H9" t="s">
        <v>75</v>
      </c>
      <c r="I9" t="s">
        <v>97</v>
      </c>
      <c r="J9" s="1520">
        <v>46009</v>
      </c>
      <c r="K9" s="1520">
        <v>46076</v>
      </c>
      <c r="L9" s="1520">
        <v>46098</v>
      </c>
      <c r="M9" s="1520">
        <v>46099</v>
      </c>
      <c r="N9" t="s">
        <v>84</v>
      </c>
      <c r="O9" s="1520">
        <v>46112</v>
      </c>
      <c r="P9" s="1520">
        <v>46107</v>
      </c>
    </row>
    <row r="10" spans="1:16">
      <c r="A10" t="s">
        <v>60</v>
      </c>
      <c r="B10" t="s">
        <v>64</v>
      </c>
      <c r="C10" t="s">
        <v>65</v>
      </c>
      <c r="D10" t="s">
        <v>70</v>
      </c>
      <c r="E10" t="s">
        <v>71</v>
      </c>
      <c r="F10" t="s">
        <v>72</v>
      </c>
      <c r="G10">
        <v>2592</v>
      </c>
      <c r="H10" t="s">
        <v>75</v>
      </c>
      <c r="I10" t="s">
        <v>76</v>
      </c>
      <c r="J10" s="1520">
        <v>46009</v>
      </c>
      <c r="K10" s="1520">
        <v>46076</v>
      </c>
      <c r="L10" s="1520">
        <v>46098</v>
      </c>
      <c r="M10" s="1520">
        <v>46099</v>
      </c>
      <c r="N10" t="s">
        <v>84</v>
      </c>
      <c r="O10" s="1520">
        <v>46112</v>
      </c>
      <c r="P10" s="1520">
        <v>46107</v>
      </c>
    </row>
    <row r="11" spans="1:16">
      <c r="A11" t="s">
        <v>192</v>
      </c>
      <c r="B11" t="s">
        <v>64</v>
      </c>
      <c r="C11" t="s">
        <v>100</v>
      </c>
      <c r="D11" t="s">
        <v>70</v>
      </c>
      <c r="E11" t="s">
        <v>195</v>
      </c>
      <c r="F11" t="s">
        <v>196</v>
      </c>
      <c r="G11">
        <v>1872</v>
      </c>
      <c r="H11" t="s">
        <v>75</v>
      </c>
      <c r="I11" t="s">
        <v>198</v>
      </c>
      <c r="J11" s="1520">
        <v>46027</v>
      </c>
      <c r="K11" s="1520">
        <v>46081</v>
      </c>
      <c r="L11" s="1520">
        <v>46094</v>
      </c>
      <c r="M11" s="1520">
        <v>46094</v>
      </c>
      <c r="N11" t="s">
        <v>84</v>
      </c>
      <c r="O11" s="1520">
        <v>46097</v>
      </c>
      <c r="P11" s="1520">
        <v>46101</v>
      </c>
    </row>
    <row r="12" spans="1:16">
      <c r="A12" t="s">
        <v>110</v>
      </c>
      <c r="B12" t="s">
        <v>64</v>
      </c>
      <c r="C12" t="s">
        <v>114</v>
      </c>
      <c r="D12" t="s">
        <v>70</v>
      </c>
      <c r="E12" t="s">
        <v>118</v>
      </c>
      <c r="F12" t="s">
        <v>119</v>
      </c>
      <c r="G12">
        <v>2304</v>
      </c>
      <c r="H12" t="s">
        <v>75</v>
      </c>
      <c r="I12" t="s">
        <v>121</v>
      </c>
      <c r="J12" s="1520">
        <v>46020</v>
      </c>
      <c r="K12" s="1520">
        <v>46072</v>
      </c>
      <c r="L12" s="1520">
        <v>46092</v>
      </c>
      <c r="M12" s="1520">
        <v>46094</v>
      </c>
      <c r="N12" t="s">
        <v>84</v>
      </c>
      <c r="O12" s="1520">
        <v>46104</v>
      </c>
      <c r="P12" s="1520">
        <v>46103</v>
      </c>
    </row>
    <row r="13" spans="1:16">
      <c r="A13" t="s">
        <v>177</v>
      </c>
      <c r="B13" t="s">
        <v>64</v>
      </c>
      <c r="C13" t="s">
        <v>114</v>
      </c>
      <c r="D13" t="s">
        <v>70</v>
      </c>
      <c r="E13" t="s">
        <v>118</v>
      </c>
      <c r="F13" t="s">
        <v>119</v>
      </c>
      <c r="G13">
        <v>1152</v>
      </c>
      <c r="H13" t="s">
        <v>75</v>
      </c>
      <c r="I13" t="s">
        <v>178</v>
      </c>
      <c r="J13" s="1520">
        <v>46021</v>
      </c>
      <c r="K13" s="1520">
        <v>46065</v>
      </c>
      <c r="L13" s="1520">
        <v>46088</v>
      </c>
      <c r="M13" s="1520">
        <v>46089</v>
      </c>
      <c r="N13" t="s">
        <v>84</v>
      </c>
      <c r="O13" s="1520">
        <v>46100</v>
      </c>
      <c r="P13" s="1520">
        <v>46098</v>
      </c>
    </row>
    <row r="14" spans="1:16">
      <c r="A14" t="s">
        <v>547</v>
      </c>
      <c r="B14" t="s">
        <v>144</v>
      </c>
      <c r="C14" t="s">
        <v>145</v>
      </c>
      <c r="D14" t="s">
        <v>550</v>
      </c>
      <c r="E14" t="s">
        <v>551</v>
      </c>
      <c r="F14" t="s">
        <v>552</v>
      </c>
      <c r="G14">
        <v>2376</v>
      </c>
      <c r="H14" t="s">
        <v>75</v>
      </c>
      <c r="I14" t="s">
        <v>554</v>
      </c>
      <c r="J14" s="1520">
        <v>46047</v>
      </c>
      <c r="K14" s="1520">
        <v>46093</v>
      </c>
      <c r="L14" s="1520">
        <v>46107</v>
      </c>
      <c r="M14" s="1520">
        <v>46107</v>
      </c>
      <c r="N14" t="s">
        <v>84</v>
      </c>
      <c r="O14" s="1520">
        <v>46104</v>
      </c>
      <c r="P14" s="1520">
        <v>46107</v>
      </c>
    </row>
    <row r="15" spans="1:16">
      <c r="A15" t="s">
        <v>400</v>
      </c>
      <c r="B15" t="s">
        <v>144</v>
      </c>
      <c r="C15" t="s">
        <v>145</v>
      </c>
      <c r="D15" t="s">
        <v>132</v>
      </c>
      <c r="E15" t="s">
        <v>405</v>
      </c>
      <c r="F15" t="s">
        <v>406</v>
      </c>
      <c r="G15">
        <v>2376</v>
      </c>
      <c r="H15" t="s">
        <v>75</v>
      </c>
      <c r="I15" t="s">
        <v>407</v>
      </c>
      <c r="J15" s="1520">
        <v>46042</v>
      </c>
      <c r="K15" s="1520">
        <v>46086</v>
      </c>
      <c r="L15" s="1520">
        <v>46079</v>
      </c>
      <c r="M15" s="1520">
        <v>46079</v>
      </c>
      <c r="N15" t="s">
        <v>84</v>
      </c>
      <c r="O15" s="1520">
        <v>46086</v>
      </c>
      <c r="P15" s="1520">
        <v>46079</v>
      </c>
    </row>
    <row r="16" spans="1:16">
      <c r="A16" t="s">
        <v>537</v>
      </c>
      <c r="B16" t="s">
        <v>144</v>
      </c>
      <c r="C16" t="s">
        <v>145</v>
      </c>
      <c r="D16" t="s">
        <v>473</v>
      </c>
      <c r="E16" t="s">
        <v>529</v>
      </c>
      <c r="F16" t="s">
        <v>530</v>
      </c>
      <c r="G16">
        <v>1728</v>
      </c>
      <c r="H16" t="s">
        <v>75</v>
      </c>
      <c r="I16" t="s">
        <v>540</v>
      </c>
      <c r="J16" s="1520">
        <v>46047</v>
      </c>
      <c r="K16" s="1520">
        <v>46093</v>
      </c>
      <c r="L16" s="1520">
        <v>46107</v>
      </c>
      <c r="M16" s="1520">
        <v>46107</v>
      </c>
      <c r="N16" t="s">
        <v>84</v>
      </c>
      <c r="O16" s="1520">
        <v>46104</v>
      </c>
      <c r="P16" s="1520">
        <v>46107</v>
      </c>
    </row>
    <row r="17" spans="1:16">
      <c r="A17" t="s">
        <v>555</v>
      </c>
      <c r="B17" t="s">
        <v>144</v>
      </c>
      <c r="C17" t="s">
        <v>145</v>
      </c>
      <c r="D17" t="s">
        <v>473</v>
      </c>
      <c r="E17" t="s">
        <v>529</v>
      </c>
      <c r="F17" t="s">
        <v>530</v>
      </c>
      <c r="G17">
        <v>5184</v>
      </c>
      <c r="H17" t="s">
        <v>75</v>
      </c>
      <c r="I17" t="s">
        <v>556</v>
      </c>
      <c r="J17" s="1520">
        <v>46047</v>
      </c>
      <c r="K17" s="1520">
        <v>46093</v>
      </c>
      <c r="L17" s="1520">
        <v>46107</v>
      </c>
      <c r="M17" s="1520">
        <v>46107</v>
      </c>
      <c r="N17" t="s">
        <v>84</v>
      </c>
      <c r="O17" s="1520">
        <v>46104</v>
      </c>
      <c r="P17" s="1520">
        <v>46107</v>
      </c>
    </row>
    <row r="18" spans="1:16">
      <c r="A18" t="s">
        <v>545</v>
      </c>
      <c r="B18" t="s">
        <v>144</v>
      </c>
      <c r="C18" t="s">
        <v>145</v>
      </c>
      <c r="D18" t="s">
        <v>473</v>
      </c>
      <c r="E18" t="s">
        <v>529</v>
      </c>
      <c r="F18" t="s">
        <v>530</v>
      </c>
      <c r="G18">
        <v>2592</v>
      </c>
      <c r="H18" t="s">
        <v>75</v>
      </c>
      <c r="I18" t="s">
        <v>546</v>
      </c>
      <c r="J18" s="1520">
        <v>46047</v>
      </c>
      <c r="K18" s="1520">
        <v>46093</v>
      </c>
      <c r="L18" s="1520">
        <v>46107</v>
      </c>
      <c r="M18" s="1520">
        <v>46107</v>
      </c>
      <c r="N18" t="s">
        <v>84</v>
      </c>
      <c r="O18" s="1520">
        <v>46104</v>
      </c>
      <c r="P18" s="1520">
        <v>46107</v>
      </c>
    </row>
    <row r="19" spans="1:16">
      <c r="A19" t="s">
        <v>573</v>
      </c>
      <c r="B19" t="s">
        <v>144</v>
      </c>
      <c r="C19" t="s">
        <v>145</v>
      </c>
      <c r="D19" t="s">
        <v>70</v>
      </c>
      <c r="E19" t="s">
        <v>570</v>
      </c>
      <c r="F19" t="s">
        <v>571</v>
      </c>
      <c r="G19">
        <v>4680</v>
      </c>
      <c r="H19" t="s">
        <v>75</v>
      </c>
      <c r="I19" t="s">
        <v>575</v>
      </c>
      <c r="J19" s="1520">
        <v>46050</v>
      </c>
      <c r="K19" s="1520">
        <v>46119</v>
      </c>
      <c r="L19" s="1520">
        <v>46128</v>
      </c>
      <c r="M19" s="1520">
        <v>46128</v>
      </c>
      <c r="N19" t="s">
        <v>84</v>
      </c>
      <c r="O19" s="1520">
        <v>46118</v>
      </c>
      <c r="P19" s="1520">
        <v>46128</v>
      </c>
    </row>
    <row r="20" spans="1:16">
      <c r="A20" t="s">
        <v>557</v>
      </c>
      <c r="B20" t="s">
        <v>144</v>
      </c>
      <c r="C20" t="s">
        <v>145</v>
      </c>
      <c r="D20" t="s">
        <v>70</v>
      </c>
      <c r="E20" t="s">
        <v>560</v>
      </c>
      <c r="F20" t="s">
        <v>196</v>
      </c>
      <c r="G20">
        <v>1872</v>
      </c>
      <c r="H20" t="s">
        <v>75</v>
      </c>
      <c r="I20" t="s">
        <v>561</v>
      </c>
      <c r="J20" s="1520">
        <v>46050</v>
      </c>
      <c r="K20" s="1520">
        <v>46119</v>
      </c>
      <c r="L20" s="1520">
        <v>46128</v>
      </c>
      <c r="M20" s="1520">
        <v>46128</v>
      </c>
      <c r="N20" t="s">
        <v>84</v>
      </c>
      <c r="O20" s="1520">
        <v>46118</v>
      </c>
      <c r="P20" s="1520">
        <v>46128</v>
      </c>
    </row>
    <row r="21" spans="1:16">
      <c r="A21" t="s">
        <v>565</v>
      </c>
      <c r="B21" t="s">
        <v>144</v>
      </c>
      <c r="C21" t="s">
        <v>145</v>
      </c>
      <c r="D21" t="s">
        <v>70</v>
      </c>
      <c r="E21" t="s">
        <v>560</v>
      </c>
      <c r="F21" t="s">
        <v>196</v>
      </c>
      <c r="G21">
        <v>1872</v>
      </c>
      <c r="H21" t="s">
        <v>75</v>
      </c>
      <c r="I21" t="s">
        <v>567</v>
      </c>
      <c r="J21" s="1520">
        <v>46050</v>
      </c>
      <c r="K21" s="1520">
        <v>46119</v>
      </c>
      <c r="L21" s="1520">
        <v>46128</v>
      </c>
      <c r="M21" s="1520">
        <v>46128</v>
      </c>
      <c r="N21" t="s">
        <v>84</v>
      </c>
      <c r="O21" s="1520">
        <v>46118</v>
      </c>
      <c r="P21" s="1520">
        <v>46128</v>
      </c>
    </row>
    <row r="22" spans="1:16">
      <c r="A22" t="s">
        <v>568</v>
      </c>
      <c r="B22" t="s">
        <v>144</v>
      </c>
      <c r="C22" t="s">
        <v>145</v>
      </c>
      <c r="D22" t="s">
        <v>70</v>
      </c>
      <c r="E22" t="s">
        <v>570</v>
      </c>
      <c r="F22" t="s">
        <v>571</v>
      </c>
      <c r="G22">
        <v>3744</v>
      </c>
      <c r="H22" t="s">
        <v>75</v>
      </c>
      <c r="I22" t="s">
        <v>572</v>
      </c>
      <c r="J22" s="1520">
        <v>46050</v>
      </c>
      <c r="K22" s="1520">
        <v>46119</v>
      </c>
      <c r="L22" s="1520">
        <v>46128</v>
      </c>
      <c r="M22" s="1520">
        <v>46128</v>
      </c>
      <c r="N22" t="s">
        <v>84</v>
      </c>
      <c r="O22" s="1520">
        <v>46118</v>
      </c>
      <c r="P22" s="1520">
        <v>46128</v>
      </c>
    </row>
    <row r="23" spans="1:16">
      <c r="A23" t="s">
        <v>592</v>
      </c>
      <c r="B23" t="s">
        <v>144</v>
      </c>
      <c r="C23" t="s">
        <v>145</v>
      </c>
      <c r="D23" t="s">
        <v>70</v>
      </c>
      <c r="E23" t="s">
        <v>195</v>
      </c>
      <c r="F23" t="s">
        <v>196</v>
      </c>
      <c r="G23">
        <v>1872</v>
      </c>
      <c r="H23" t="s">
        <v>75</v>
      </c>
      <c r="I23" t="s">
        <v>596</v>
      </c>
      <c r="J23" s="1520">
        <v>46048</v>
      </c>
      <c r="K23" s="1520">
        <v>46114</v>
      </c>
      <c r="L23" s="1520"/>
      <c r="M23" s="1520">
        <v>46112</v>
      </c>
      <c r="N23" t="s">
        <v>84</v>
      </c>
      <c r="O23" s="1520">
        <v>46114</v>
      </c>
      <c r="P23" s="1520">
        <v>46112</v>
      </c>
    </row>
    <row r="24" spans="1:16">
      <c r="A24" t="s">
        <v>341</v>
      </c>
      <c r="B24" t="s">
        <v>64</v>
      </c>
      <c r="C24" t="s">
        <v>100</v>
      </c>
      <c r="D24" t="s">
        <v>70</v>
      </c>
      <c r="E24" t="s">
        <v>329</v>
      </c>
      <c r="F24" t="s">
        <v>330</v>
      </c>
      <c r="G24">
        <v>7200</v>
      </c>
      <c r="H24" t="s">
        <v>75</v>
      </c>
      <c r="I24" t="s">
        <v>342</v>
      </c>
      <c r="J24" s="1520">
        <v>46036</v>
      </c>
      <c r="K24" s="1520">
        <v>46077</v>
      </c>
      <c r="L24" s="1520">
        <v>46094</v>
      </c>
      <c r="M24" s="1520">
        <v>46094</v>
      </c>
      <c r="N24" t="s">
        <v>84</v>
      </c>
      <c r="O24" s="1520">
        <v>46107</v>
      </c>
      <c r="P24" s="1520">
        <v>46101</v>
      </c>
    </row>
    <row r="25" spans="1:16">
      <c r="A25" t="s">
        <v>336</v>
      </c>
      <c r="B25" t="s">
        <v>64</v>
      </c>
      <c r="C25" t="s">
        <v>100</v>
      </c>
      <c r="D25" t="s">
        <v>70</v>
      </c>
      <c r="E25" t="s">
        <v>195</v>
      </c>
      <c r="F25" t="s">
        <v>196</v>
      </c>
      <c r="G25">
        <v>936</v>
      </c>
      <c r="H25" t="s">
        <v>75</v>
      </c>
      <c r="I25" t="s">
        <v>337</v>
      </c>
      <c r="J25" s="1520">
        <v>46036</v>
      </c>
      <c r="K25" s="1520">
        <v>46077</v>
      </c>
      <c r="L25" s="1520">
        <v>46094</v>
      </c>
      <c r="M25" s="1520">
        <v>46094</v>
      </c>
      <c r="N25" t="s">
        <v>84</v>
      </c>
      <c r="O25" s="1520">
        <v>46107</v>
      </c>
      <c r="P25" s="1520">
        <v>46101</v>
      </c>
    </row>
    <row r="26" spans="1:16">
      <c r="A26" t="s">
        <v>292</v>
      </c>
      <c r="B26" t="s">
        <v>64</v>
      </c>
      <c r="C26" t="s">
        <v>100</v>
      </c>
      <c r="D26" t="s">
        <v>284</v>
      </c>
      <c r="E26" t="s">
        <v>285</v>
      </c>
      <c r="F26" t="s">
        <v>286</v>
      </c>
      <c r="G26">
        <v>4810</v>
      </c>
      <c r="H26" t="s">
        <v>75</v>
      </c>
      <c r="I26" t="s">
        <v>294</v>
      </c>
      <c r="J26" s="1520">
        <v>46038</v>
      </c>
      <c r="K26" s="1520">
        <v>46069</v>
      </c>
      <c r="L26" s="1520">
        <v>46087</v>
      </c>
      <c r="M26" s="1520">
        <v>46087</v>
      </c>
      <c r="N26" t="s">
        <v>84</v>
      </c>
      <c r="O26" s="1520">
        <v>46094</v>
      </c>
      <c r="P26" s="1520">
        <v>46094</v>
      </c>
    </row>
    <row r="27" spans="1:16">
      <c r="A27" t="s">
        <v>295</v>
      </c>
      <c r="B27" t="s">
        <v>64</v>
      </c>
      <c r="C27" t="s">
        <v>100</v>
      </c>
      <c r="D27" t="s">
        <v>298</v>
      </c>
      <c r="E27" t="s">
        <v>299</v>
      </c>
      <c r="F27" t="s">
        <v>300</v>
      </c>
      <c r="G27">
        <v>1924</v>
      </c>
      <c r="H27" t="s">
        <v>75</v>
      </c>
      <c r="I27" t="s">
        <v>301</v>
      </c>
      <c r="J27" s="1520">
        <v>46038</v>
      </c>
      <c r="K27" s="1520">
        <v>46069</v>
      </c>
      <c r="L27" s="1520">
        <v>46087</v>
      </c>
      <c r="M27" s="1520">
        <v>46087</v>
      </c>
      <c r="N27" t="s">
        <v>84</v>
      </c>
      <c r="O27" s="1520">
        <v>46101</v>
      </c>
      <c r="P27" s="1520">
        <v>46094</v>
      </c>
    </row>
    <row r="28" spans="1:16">
      <c r="A28" t="s">
        <v>280</v>
      </c>
      <c r="B28" t="s">
        <v>64</v>
      </c>
      <c r="C28" t="s">
        <v>100</v>
      </c>
      <c r="D28" t="s">
        <v>284</v>
      </c>
      <c r="E28" t="s">
        <v>285</v>
      </c>
      <c r="F28" t="s">
        <v>286</v>
      </c>
      <c r="G28">
        <v>962</v>
      </c>
      <c r="H28" t="s">
        <v>75</v>
      </c>
      <c r="I28" t="s">
        <v>287</v>
      </c>
      <c r="J28" s="1520">
        <v>46038</v>
      </c>
      <c r="K28" s="1520">
        <v>46069</v>
      </c>
      <c r="L28" s="1520">
        <v>46087</v>
      </c>
      <c r="M28" s="1520">
        <v>46087</v>
      </c>
      <c r="N28" t="s">
        <v>84</v>
      </c>
      <c r="O28" s="1520">
        <v>46094</v>
      </c>
      <c r="P28" s="1520">
        <v>46094</v>
      </c>
    </row>
    <row r="29" spans="1:16">
      <c r="A29" t="s">
        <v>209</v>
      </c>
      <c r="B29" t="s">
        <v>64</v>
      </c>
      <c r="C29" t="s">
        <v>100</v>
      </c>
      <c r="D29" t="s">
        <v>170</v>
      </c>
      <c r="E29" t="s">
        <v>171</v>
      </c>
      <c r="F29" t="s">
        <v>172</v>
      </c>
      <c r="G29">
        <v>660</v>
      </c>
      <c r="H29" t="s">
        <v>75</v>
      </c>
      <c r="I29" t="s">
        <v>210</v>
      </c>
      <c r="J29" s="1520">
        <v>46031</v>
      </c>
      <c r="K29" s="1520">
        <v>46069</v>
      </c>
      <c r="L29" s="1520">
        <v>46087</v>
      </c>
      <c r="M29" s="1520">
        <v>46087</v>
      </c>
      <c r="N29" t="s">
        <v>84</v>
      </c>
      <c r="O29" s="1520">
        <v>46101</v>
      </c>
      <c r="P29" s="1520">
        <v>46094</v>
      </c>
    </row>
    <row r="30" spans="1:16">
      <c r="A30" t="s">
        <v>304</v>
      </c>
      <c r="B30" t="s">
        <v>64</v>
      </c>
      <c r="C30" t="s">
        <v>100</v>
      </c>
      <c r="D30" t="s">
        <v>298</v>
      </c>
      <c r="E30" t="s">
        <v>306</v>
      </c>
      <c r="F30" t="s">
        <v>307</v>
      </c>
      <c r="G30">
        <v>2886</v>
      </c>
      <c r="H30" t="s">
        <v>75</v>
      </c>
      <c r="I30" t="s">
        <v>308</v>
      </c>
      <c r="J30" s="1520">
        <v>46038</v>
      </c>
      <c r="K30" s="1520">
        <v>46069</v>
      </c>
      <c r="L30" s="1520">
        <v>46087</v>
      </c>
      <c r="M30" s="1520">
        <v>46087</v>
      </c>
      <c r="N30" t="s">
        <v>84</v>
      </c>
      <c r="O30" s="1520">
        <v>46101</v>
      </c>
      <c r="P30" s="1520">
        <v>46094</v>
      </c>
    </row>
    <row r="31" spans="1:16">
      <c r="A31" t="s">
        <v>214</v>
      </c>
      <c r="B31" t="s">
        <v>64</v>
      </c>
      <c r="C31" t="s">
        <v>100</v>
      </c>
      <c r="D31" t="s">
        <v>70</v>
      </c>
      <c r="E31" t="s">
        <v>218</v>
      </c>
      <c r="F31" t="s">
        <v>219</v>
      </c>
      <c r="G31">
        <v>2880</v>
      </c>
      <c r="H31" t="s">
        <v>75</v>
      </c>
      <c r="I31" t="s">
        <v>220</v>
      </c>
      <c r="J31" s="1520">
        <v>46033</v>
      </c>
      <c r="K31" s="1520">
        <v>46070</v>
      </c>
      <c r="L31" s="1520">
        <v>46074</v>
      </c>
      <c r="M31" s="1520">
        <v>46078</v>
      </c>
      <c r="N31" t="s">
        <v>84</v>
      </c>
      <c r="O31" s="1520">
        <v>46090</v>
      </c>
      <c r="P31" s="1520">
        <v>46085</v>
      </c>
    </row>
    <row r="32" spans="1:16">
      <c r="A32" t="s">
        <v>224</v>
      </c>
      <c r="B32" t="s">
        <v>64</v>
      </c>
      <c r="C32" t="s">
        <v>100</v>
      </c>
      <c r="D32" t="s">
        <v>70</v>
      </c>
      <c r="E32" t="s">
        <v>218</v>
      </c>
      <c r="F32" t="s">
        <v>219</v>
      </c>
      <c r="G32">
        <v>5040</v>
      </c>
      <c r="H32" t="s">
        <v>75</v>
      </c>
      <c r="I32" t="s">
        <v>225</v>
      </c>
      <c r="J32" s="1520">
        <v>46033</v>
      </c>
      <c r="K32" s="1520">
        <v>46070</v>
      </c>
      <c r="L32" s="1520">
        <v>46074</v>
      </c>
      <c r="M32" s="1520">
        <v>46078</v>
      </c>
      <c r="N32" t="s">
        <v>84</v>
      </c>
      <c r="O32" s="1520">
        <v>46090</v>
      </c>
      <c r="P32" s="1520">
        <v>46085</v>
      </c>
    </row>
    <row r="33" spans="1:16">
      <c r="A33" t="s">
        <v>235</v>
      </c>
      <c r="B33" t="s">
        <v>64</v>
      </c>
      <c r="C33" t="s">
        <v>114</v>
      </c>
      <c r="D33" t="s">
        <v>70</v>
      </c>
      <c r="E33" t="s">
        <v>118</v>
      </c>
      <c r="F33" t="s">
        <v>119</v>
      </c>
      <c r="G33">
        <v>1152</v>
      </c>
      <c r="H33" t="s">
        <v>75</v>
      </c>
      <c r="I33" t="s">
        <v>236</v>
      </c>
      <c r="J33" s="1520">
        <v>46028</v>
      </c>
      <c r="K33" s="1520">
        <v>46072</v>
      </c>
      <c r="L33" s="1520">
        <v>46072</v>
      </c>
      <c r="M33" s="1520">
        <v>46075</v>
      </c>
      <c r="N33" t="s">
        <v>84</v>
      </c>
      <c r="O33" s="1520">
        <v>46086</v>
      </c>
      <c r="P33" s="1520">
        <v>46084</v>
      </c>
    </row>
    <row r="34" spans="1:16">
      <c r="A34" t="s">
        <v>260</v>
      </c>
      <c r="B34" t="s">
        <v>64</v>
      </c>
      <c r="C34" t="s">
        <v>100</v>
      </c>
      <c r="D34" t="s">
        <v>170</v>
      </c>
      <c r="E34" t="s">
        <v>171</v>
      </c>
      <c r="F34" t="s">
        <v>172</v>
      </c>
      <c r="G34">
        <v>1320</v>
      </c>
      <c r="H34" t="s">
        <v>75</v>
      </c>
      <c r="I34" t="s">
        <v>261</v>
      </c>
      <c r="J34" s="1520">
        <v>46035</v>
      </c>
      <c r="K34" s="1520">
        <v>46071</v>
      </c>
      <c r="L34" s="1520">
        <v>46083</v>
      </c>
      <c r="M34" s="1520">
        <v>46083</v>
      </c>
      <c r="N34" t="s">
        <v>84</v>
      </c>
      <c r="O34" s="1520">
        <v>46097</v>
      </c>
      <c r="P34" s="1520">
        <v>46090</v>
      </c>
    </row>
    <row r="35" spans="1:16">
      <c r="A35" t="s">
        <v>239</v>
      </c>
      <c r="B35" t="s">
        <v>64</v>
      </c>
      <c r="C35" t="s">
        <v>114</v>
      </c>
      <c r="D35" t="s">
        <v>70</v>
      </c>
      <c r="E35" t="s">
        <v>118</v>
      </c>
      <c r="F35" t="s">
        <v>119</v>
      </c>
      <c r="G35">
        <v>967</v>
      </c>
      <c r="H35" t="s">
        <v>75</v>
      </c>
      <c r="I35" t="s">
        <v>240</v>
      </c>
      <c r="J35" s="1520">
        <v>46032</v>
      </c>
      <c r="K35" s="1520">
        <v>46072</v>
      </c>
      <c r="L35" s="1520">
        <v>46076</v>
      </c>
      <c r="M35" s="1520">
        <v>46078</v>
      </c>
      <c r="N35" t="s">
        <v>84</v>
      </c>
      <c r="O35" s="1520">
        <v>46092</v>
      </c>
      <c r="P35" s="1520">
        <v>46087</v>
      </c>
    </row>
    <row r="36" spans="1:16">
      <c r="A36" t="s">
        <v>244</v>
      </c>
      <c r="B36" t="s">
        <v>64</v>
      </c>
      <c r="C36" t="s">
        <v>114</v>
      </c>
      <c r="D36" t="s">
        <v>70</v>
      </c>
      <c r="E36" t="s">
        <v>118</v>
      </c>
      <c r="F36" t="s">
        <v>119</v>
      </c>
      <c r="G36">
        <v>761</v>
      </c>
      <c r="H36" t="s">
        <v>75</v>
      </c>
      <c r="I36" t="s">
        <v>240</v>
      </c>
      <c r="J36" s="1520">
        <v>46032</v>
      </c>
      <c r="K36" s="1520">
        <v>46072</v>
      </c>
      <c r="L36" s="1520">
        <v>46076</v>
      </c>
      <c r="M36" s="1520">
        <v>46078</v>
      </c>
      <c r="N36" t="s">
        <v>84</v>
      </c>
      <c r="O36" s="1520">
        <v>46092</v>
      </c>
      <c r="P36" s="1520">
        <v>46087</v>
      </c>
    </row>
    <row r="37" spans="1:16">
      <c r="A37" t="s">
        <v>226</v>
      </c>
      <c r="B37" t="s">
        <v>64</v>
      </c>
      <c r="C37" t="s">
        <v>65</v>
      </c>
      <c r="D37" t="s">
        <v>170</v>
      </c>
      <c r="E37" t="s">
        <v>171</v>
      </c>
      <c r="F37" t="s">
        <v>172</v>
      </c>
      <c r="G37">
        <v>1320</v>
      </c>
      <c r="H37" t="s">
        <v>75</v>
      </c>
      <c r="I37" t="s">
        <v>227</v>
      </c>
      <c r="J37" s="1520">
        <v>46028</v>
      </c>
      <c r="K37" s="1520">
        <v>46077</v>
      </c>
      <c r="L37" s="1520">
        <v>46083</v>
      </c>
      <c r="M37" s="1520">
        <v>46083</v>
      </c>
      <c r="N37" t="s">
        <v>84</v>
      </c>
      <c r="O37" s="1520">
        <v>46097</v>
      </c>
      <c r="P37" s="1520">
        <v>46091</v>
      </c>
    </row>
    <row r="38" spans="1:16">
      <c r="A38" t="s">
        <v>325</v>
      </c>
      <c r="B38" t="s">
        <v>64</v>
      </c>
      <c r="C38" t="s">
        <v>100</v>
      </c>
      <c r="D38" t="s">
        <v>70</v>
      </c>
      <c r="E38" t="s">
        <v>329</v>
      </c>
      <c r="F38" t="s">
        <v>330</v>
      </c>
      <c r="G38">
        <v>7200</v>
      </c>
      <c r="H38" t="s">
        <v>75</v>
      </c>
      <c r="I38" t="s">
        <v>332</v>
      </c>
      <c r="J38" s="1520">
        <v>46036</v>
      </c>
      <c r="K38" s="1520">
        <v>46077</v>
      </c>
      <c r="L38" s="1520">
        <v>46094</v>
      </c>
      <c r="M38" s="1520">
        <v>46094</v>
      </c>
      <c r="N38" t="s">
        <v>84</v>
      </c>
      <c r="O38" s="1520">
        <v>46104</v>
      </c>
      <c r="P38" s="1520">
        <v>46101</v>
      </c>
    </row>
    <row r="39" spans="1:16">
      <c r="A39" t="s">
        <v>231</v>
      </c>
      <c r="B39" t="s">
        <v>64</v>
      </c>
      <c r="C39" t="s">
        <v>65</v>
      </c>
      <c r="D39" t="s">
        <v>170</v>
      </c>
      <c r="E39" t="s">
        <v>171</v>
      </c>
      <c r="F39" t="s">
        <v>172</v>
      </c>
      <c r="G39">
        <v>1320</v>
      </c>
      <c r="H39" t="s">
        <v>75</v>
      </c>
      <c r="I39" t="s">
        <v>233</v>
      </c>
      <c r="J39" s="1520">
        <v>46028</v>
      </c>
      <c r="K39" s="1520">
        <v>46077</v>
      </c>
      <c r="L39" s="1520">
        <v>46083</v>
      </c>
      <c r="M39" s="1520">
        <v>46083</v>
      </c>
      <c r="N39" t="s">
        <v>84</v>
      </c>
      <c r="O39" s="1520">
        <v>46097</v>
      </c>
      <c r="P39" s="1520">
        <v>46091</v>
      </c>
    </row>
    <row r="40" spans="1:16">
      <c r="A40" t="s">
        <v>669</v>
      </c>
      <c r="B40" t="s">
        <v>144</v>
      </c>
      <c r="C40" t="s">
        <v>145</v>
      </c>
      <c r="D40" t="s">
        <v>284</v>
      </c>
      <c r="E40" t="s">
        <v>602</v>
      </c>
      <c r="F40" t="s">
        <v>603</v>
      </c>
      <c r="G40">
        <v>13468</v>
      </c>
      <c r="H40" t="s">
        <v>75</v>
      </c>
      <c r="I40" t="s">
        <v>673</v>
      </c>
      <c r="J40" s="1520">
        <v>46045</v>
      </c>
      <c r="K40" s="1520">
        <v>46071</v>
      </c>
      <c r="L40" s="1520">
        <v>46080</v>
      </c>
      <c r="M40" s="1520">
        <v>46084</v>
      </c>
      <c r="N40" t="s">
        <v>84</v>
      </c>
      <c r="O40" s="1520">
        <v>46085</v>
      </c>
      <c r="P40" s="1520">
        <v>46084</v>
      </c>
    </row>
    <row r="41" spans="1:16">
      <c r="A41" t="s">
        <v>276</v>
      </c>
      <c r="B41" t="s">
        <v>64</v>
      </c>
      <c r="C41" t="s">
        <v>114</v>
      </c>
      <c r="D41" t="s">
        <v>70</v>
      </c>
      <c r="E41" t="s">
        <v>118</v>
      </c>
      <c r="F41" t="s">
        <v>119</v>
      </c>
      <c r="G41">
        <v>180</v>
      </c>
      <c r="H41" t="s">
        <v>75</v>
      </c>
      <c r="I41" t="s">
        <v>277</v>
      </c>
      <c r="J41" s="1520">
        <v>46035</v>
      </c>
      <c r="K41" s="1520">
        <v>46079</v>
      </c>
      <c r="L41" s="1520">
        <v>46079</v>
      </c>
      <c r="M41" s="1520">
        <v>46079</v>
      </c>
      <c r="N41" t="s">
        <v>84</v>
      </c>
      <c r="O41" s="1520">
        <v>46093</v>
      </c>
      <c r="P41" s="1520">
        <v>46088</v>
      </c>
    </row>
    <row r="42" spans="1:16">
      <c r="A42" t="s">
        <v>271</v>
      </c>
      <c r="B42" t="s">
        <v>64</v>
      </c>
      <c r="C42" t="s">
        <v>114</v>
      </c>
      <c r="D42" t="s">
        <v>70</v>
      </c>
      <c r="E42" t="s">
        <v>118</v>
      </c>
      <c r="F42" t="s">
        <v>119</v>
      </c>
      <c r="G42">
        <v>2124</v>
      </c>
      <c r="H42" t="s">
        <v>75</v>
      </c>
      <c r="I42" t="s">
        <v>272</v>
      </c>
      <c r="J42" s="1520">
        <v>46035</v>
      </c>
      <c r="K42" s="1520">
        <v>46079</v>
      </c>
      <c r="L42" s="1520">
        <v>46079</v>
      </c>
      <c r="M42" s="1520">
        <v>46079</v>
      </c>
      <c r="N42" t="s">
        <v>84</v>
      </c>
      <c r="O42" s="1520">
        <v>46093</v>
      </c>
      <c r="P42" s="1520">
        <v>46088</v>
      </c>
    </row>
    <row r="43" spans="1:16">
      <c r="A43" t="s">
        <v>345</v>
      </c>
      <c r="B43" t="s">
        <v>144</v>
      </c>
      <c r="C43" t="s">
        <v>145</v>
      </c>
      <c r="D43" t="s">
        <v>70</v>
      </c>
      <c r="E43" t="s">
        <v>71</v>
      </c>
      <c r="F43" t="s">
        <v>72</v>
      </c>
      <c r="G43">
        <v>864</v>
      </c>
      <c r="H43" t="s">
        <v>75</v>
      </c>
      <c r="I43" t="s">
        <v>347</v>
      </c>
      <c r="J43" s="1520">
        <v>46032</v>
      </c>
      <c r="K43" s="1520">
        <v>46091</v>
      </c>
      <c r="L43" s="1520">
        <v>46095</v>
      </c>
      <c r="M43" s="1520">
        <v>46096</v>
      </c>
      <c r="N43" t="s">
        <v>84</v>
      </c>
      <c r="O43" s="1520">
        <v>46105</v>
      </c>
      <c r="P43" s="1520">
        <v>46096</v>
      </c>
    </row>
    <row r="44" spans="1:16">
      <c r="A44" t="s">
        <v>396</v>
      </c>
      <c r="B44" t="s">
        <v>64</v>
      </c>
      <c r="C44" t="s">
        <v>114</v>
      </c>
      <c r="D44" t="s">
        <v>70</v>
      </c>
      <c r="E44" t="s">
        <v>118</v>
      </c>
      <c r="F44" t="s">
        <v>119</v>
      </c>
      <c r="G44">
        <v>1152</v>
      </c>
      <c r="H44" t="s">
        <v>75</v>
      </c>
      <c r="I44" t="s">
        <v>397</v>
      </c>
      <c r="J44" s="1520">
        <v>46043</v>
      </c>
      <c r="K44" s="1520">
        <v>46081</v>
      </c>
      <c r="L44" s="1520">
        <v>46091</v>
      </c>
      <c r="M44" s="1520">
        <v>46092</v>
      </c>
      <c r="N44" t="s">
        <v>84</v>
      </c>
      <c r="O44" s="1520">
        <v>46097</v>
      </c>
      <c r="P44" s="1520">
        <v>46101</v>
      </c>
    </row>
    <row r="45" spans="1:16">
      <c r="A45" t="s">
        <v>309</v>
      </c>
      <c r="B45" t="s">
        <v>64</v>
      </c>
      <c r="C45" t="s">
        <v>310</v>
      </c>
      <c r="D45" t="s">
        <v>298</v>
      </c>
      <c r="E45" t="s">
        <v>299</v>
      </c>
      <c r="F45" t="s">
        <v>300</v>
      </c>
      <c r="G45">
        <v>1924</v>
      </c>
      <c r="H45" t="s">
        <v>75</v>
      </c>
      <c r="I45" t="s">
        <v>313</v>
      </c>
      <c r="J45" s="1520">
        <v>46037</v>
      </c>
      <c r="K45" s="1520">
        <v>46078</v>
      </c>
      <c r="L45" s="1520">
        <v>46078</v>
      </c>
      <c r="M45" s="1520">
        <v>46078</v>
      </c>
      <c r="N45" t="s">
        <v>84</v>
      </c>
      <c r="O45" s="1520">
        <v>46092</v>
      </c>
      <c r="P45" s="1520">
        <v>46091</v>
      </c>
    </row>
    <row r="46" spans="1:16">
      <c r="A46" t="s">
        <v>278</v>
      </c>
      <c r="B46" t="s">
        <v>64</v>
      </c>
      <c r="C46" t="s">
        <v>114</v>
      </c>
      <c r="D46" t="s">
        <v>70</v>
      </c>
      <c r="E46" t="s">
        <v>118</v>
      </c>
      <c r="F46" t="s">
        <v>119</v>
      </c>
      <c r="G46">
        <v>1152</v>
      </c>
      <c r="H46" t="s">
        <v>75</v>
      </c>
      <c r="I46" t="s">
        <v>279</v>
      </c>
      <c r="J46" s="1520">
        <v>46035</v>
      </c>
      <c r="K46" s="1520">
        <v>46079</v>
      </c>
      <c r="L46" s="1520">
        <v>46079</v>
      </c>
      <c r="M46" s="1520">
        <v>46079</v>
      </c>
      <c r="N46" t="s">
        <v>84</v>
      </c>
      <c r="O46" s="1520">
        <v>46093</v>
      </c>
      <c r="P46" s="1520">
        <v>46088</v>
      </c>
    </row>
    <row r="47" spans="1:16">
      <c r="A47" t="s">
        <v>351</v>
      </c>
      <c r="B47" t="s">
        <v>64</v>
      </c>
      <c r="C47" t="s">
        <v>65</v>
      </c>
      <c r="D47" t="s">
        <v>70</v>
      </c>
      <c r="E47" t="s">
        <v>218</v>
      </c>
      <c r="F47" t="s">
        <v>219</v>
      </c>
      <c r="G47">
        <v>2880</v>
      </c>
      <c r="H47" t="s">
        <v>75</v>
      </c>
      <c r="I47" t="s">
        <v>355</v>
      </c>
      <c r="J47" s="1520">
        <v>46040</v>
      </c>
      <c r="K47" s="1520">
        <v>46077</v>
      </c>
      <c r="L47" s="1520">
        <v>46077</v>
      </c>
      <c r="M47" s="1520">
        <v>46079</v>
      </c>
      <c r="N47" t="s">
        <v>84</v>
      </c>
      <c r="O47" s="1520">
        <v>46091</v>
      </c>
      <c r="P47" s="1520">
        <v>46087</v>
      </c>
    </row>
    <row r="48" spans="1:16">
      <c r="A48" t="s">
        <v>360</v>
      </c>
      <c r="B48" t="s">
        <v>64</v>
      </c>
      <c r="C48" t="s">
        <v>65</v>
      </c>
      <c r="D48" t="s">
        <v>70</v>
      </c>
      <c r="E48" t="s">
        <v>218</v>
      </c>
      <c r="F48" t="s">
        <v>219</v>
      </c>
      <c r="G48">
        <v>1440</v>
      </c>
      <c r="H48" t="s">
        <v>75</v>
      </c>
      <c r="I48" t="s">
        <v>361</v>
      </c>
      <c r="J48" s="1520">
        <v>46040</v>
      </c>
      <c r="K48" s="1520">
        <v>46077</v>
      </c>
      <c r="L48" s="1520">
        <v>46077</v>
      </c>
      <c r="M48" s="1520">
        <v>46079</v>
      </c>
      <c r="N48" t="s">
        <v>84</v>
      </c>
      <c r="O48" s="1520">
        <v>46091</v>
      </c>
      <c r="P48" s="1520">
        <v>46087</v>
      </c>
    </row>
    <row r="49" spans="1:16">
      <c r="A49" t="s">
        <v>366</v>
      </c>
      <c r="B49" t="s">
        <v>64</v>
      </c>
      <c r="C49" t="s">
        <v>65</v>
      </c>
      <c r="D49" t="s">
        <v>70</v>
      </c>
      <c r="E49" t="s">
        <v>218</v>
      </c>
      <c r="F49" t="s">
        <v>219</v>
      </c>
      <c r="G49">
        <v>1440</v>
      </c>
      <c r="H49" t="s">
        <v>75</v>
      </c>
      <c r="I49" t="s">
        <v>367</v>
      </c>
      <c r="J49" s="1520">
        <v>46040</v>
      </c>
      <c r="K49" s="1520">
        <v>46077</v>
      </c>
      <c r="L49" s="1520">
        <v>46077</v>
      </c>
      <c r="M49" s="1520">
        <v>46079</v>
      </c>
      <c r="N49" t="s">
        <v>84</v>
      </c>
      <c r="O49" s="1520">
        <v>46091</v>
      </c>
      <c r="P49" s="1520">
        <v>46087</v>
      </c>
    </row>
    <row r="50" spans="1:16">
      <c r="A50" t="s">
        <v>362</v>
      </c>
      <c r="B50" t="s">
        <v>64</v>
      </c>
      <c r="C50" t="s">
        <v>65</v>
      </c>
      <c r="D50" t="s">
        <v>70</v>
      </c>
      <c r="E50" t="s">
        <v>218</v>
      </c>
      <c r="F50" t="s">
        <v>219</v>
      </c>
      <c r="G50">
        <v>2880</v>
      </c>
      <c r="H50" t="s">
        <v>75</v>
      </c>
      <c r="I50" t="s">
        <v>365</v>
      </c>
      <c r="J50" s="1520">
        <v>46040</v>
      </c>
      <c r="K50" s="1520">
        <v>46077</v>
      </c>
      <c r="L50" s="1520">
        <v>46077</v>
      </c>
      <c r="M50" s="1520">
        <v>46079</v>
      </c>
      <c r="N50" t="s">
        <v>84</v>
      </c>
      <c r="O50" s="1520">
        <v>46091</v>
      </c>
      <c r="P50" s="1520">
        <v>46087</v>
      </c>
    </row>
    <row r="51" spans="1:16">
      <c r="A51" t="s">
        <v>368</v>
      </c>
      <c r="B51" t="s">
        <v>64</v>
      </c>
      <c r="C51" t="s">
        <v>65</v>
      </c>
      <c r="D51" t="s">
        <v>70</v>
      </c>
      <c r="E51" t="s">
        <v>218</v>
      </c>
      <c r="F51" t="s">
        <v>219</v>
      </c>
      <c r="G51">
        <v>72</v>
      </c>
      <c r="H51" t="s">
        <v>75</v>
      </c>
      <c r="I51" t="s">
        <v>369</v>
      </c>
      <c r="J51" s="1520">
        <v>46040</v>
      </c>
      <c r="K51" s="1520">
        <v>46077</v>
      </c>
      <c r="L51" s="1520">
        <v>46077</v>
      </c>
      <c r="M51" s="1520">
        <v>46078</v>
      </c>
      <c r="N51" t="s">
        <v>84</v>
      </c>
      <c r="O51" s="1520">
        <v>46091</v>
      </c>
      <c r="P51" s="1520">
        <v>46086</v>
      </c>
    </row>
    <row r="52" spans="1:16">
      <c r="A52" t="s">
        <v>373</v>
      </c>
      <c r="B52" t="s">
        <v>64</v>
      </c>
      <c r="C52" t="s">
        <v>65</v>
      </c>
      <c r="D52" t="s">
        <v>70</v>
      </c>
      <c r="E52" t="s">
        <v>218</v>
      </c>
      <c r="F52" t="s">
        <v>219</v>
      </c>
      <c r="G52">
        <v>324</v>
      </c>
      <c r="H52" t="s">
        <v>75</v>
      </c>
      <c r="I52" t="s">
        <v>374</v>
      </c>
      <c r="J52" s="1520">
        <v>46040</v>
      </c>
      <c r="K52" s="1520">
        <v>46077</v>
      </c>
      <c r="L52" s="1520">
        <v>46077</v>
      </c>
      <c r="M52" s="1520">
        <v>46078</v>
      </c>
      <c r="N52" t="s">
        <v>84</v>
      </c>
      <c r="O52" s="1520">
        <v>46091</v>
      </c>
      <c r="P52" s="1520">
        <v>46086</v>
      </c>
    </row>
    <row r="53" spans="1:16">
      <c r="A53" t="s">
        <v>375</v>
      </c>
      <c r="B53" t="s">
        <v>64</v>
      </c>
      <c r="C53" t="s">
        <v>65</v>
      </c>
      <c r="D53" t="s">
        <v>70</v>
      </c>
      <c r="E53" t="s">
        <v>378</v>
      </c>
      <c r="F53" t="s">
        <v>379</v>
      </c>
      <c r="G53">
        <v>324</v>
      </c>
      <c r="H53" t="s">
        <v>75</v>
      </c>
      <c r="I53" t="s">
        <v>380</v>
      </c>
      <c r="J53" s="1520">
        <v>46040</v>
      </c>
      <c r="K53" s="1520">
        <v>46077</v>
      </c>
      <c r="L53" s="1520">
        <v>46077</v>
      </c>
      <c r="M53" s="1520">
        <v>46078</v>
      </c>
      <c r="N53" t="s">
        <v>84</v>
      </c>
      <c r="O53" s="1520">
        <v>46091</v>
      </c>
      <c r="P53" s="1520">
        <v>46086</v>
      </c>
    </row>
    <row r="54" spans="1:16">
      <c r="A54" t="s">
        <v>417</v>
      </c>
      <c r="B54" t="s">
        <v>64</v>
      </c>
      <c r="C54" t="s">
        <v>100</v>
      </c>
      <c r="D54" t="s">
        <v>70</v>
      </c>
      <c r="E54" t="s">
        <v>420</v>
      </c>
      <c r="F54" t="s">
        <v>421</v>
      </c>
      <c r="G54">
        <v>1728</v>
      </c>
      <c r="H54" t="s">
        <v>75</v>
      </c>
      <c r="I54" t="s">
        <v>422</v>
      </c>
      <c r="J54" s="1520">
        <v>46036</v>
      </c>
      <c r="K54" s="1520">
        <v>46077</v>
      </c>
      <c r="L54" s="1520">
        <v>46094</v>
      </c>
      <c r="M54" s="1520">
        <v>46094</v>
      </c>
      <c r="N54" t="s">
        <v>84</v>
      </c>
      <c r="O54" s="1520">
        <v>46104</v>
      </c>
      <c r="P54" s="1520">
        <v>46101</v>
      </c>
    </row>
    <row r="55" spans="1:16">
      <c r="A55" t="s">
        <v>317</v>
      </c>
      <c r="B55" t="s">
        <v>64</v>
      </c>
      <c r="C55" t="s">
        <v>310</v>
      </c>
      <c r="D55" t="s">
        <v>298</v>
      </c>
      <c r="E55" t="s">
        <v>306</v>
      </c>
      <c r="F55" t="s">
        <v>307</v>
      </c>
      <c r="G55">
        <v>1924</v>
      </c>
      <c r="H55" t="s">
        <v>75</v>
      </c>
      <c r="I55" t="s">
        <v>318</v>
      </c>
      <c r="J55" s="1520">
        <v>46037</v>
      </c>
      <c r="K55" s="1520">
        <v>46078</v>
      </c>
      <c r="L55" s="1520">
        <v>46078</v>
      </c>
      <c r="M55" s="1520">
        <v>46078</v>
      </c>
      <c r="N55" t="s">
        <v>84</v>
      </c>
      <c r="O55" s="1520">
        <v>46092</v>
      </c>
      <c r="P55" s="1520">
        <v>46091</v>
      </c>
    </row>
    <row r="56" spans="1:16">
      <c r="A56" t="s">
        <v>681</v>
      </c>
      <c r="B56" t="s">
        <v>144</v>
      </c>
      <c r="C56" t="s">
        <v>145</v>
      </c>
      <c r="D56" t="s">
        <v>284</v>
      </c>
      <c r="E56" t="s">
        <v>602</v>
      </c>
      <c r="F56" t="s">
        <v>603</v>
      </c>
      <c r="G56">
        <v>1924</v>
      </c>
      <c r="H56" t="s">
        <v>75</v>
      </c>
      <c r="I56" t="s">
        <v>682</v>
      </c>
      <c r="J56" s="1520">
        <v>46053</v>
      </c>
      <c r="K56" s="1520">
        <v>46087</v>
      </c>
      <c r="L56" s="1520">
        <v>46113</v>
      </c>
      <c r="M56" s="1520">
        <v>46114</v>
      </c>
      <c r="N56" t="s">
        <v>84</v>
      </c>
      <c r="O56" s="1520">
        <v>46101</v>
      </c>
      <c r="P56" s="1520">
        <v>46114</v>
      </c>
    </row>
    <row r="57" spans="1:16">
      <c r="A57" t="s">
        <v>676</v>
      </c>
      <c r="B57" t="s">
        <v>144</v>
      </c>
      <c r="C57" t="s">
        <v>145</v>
      </c>
      <c r="D57" t="s">
        <v>284</v>
      </c>
      <c r="E57" t="s">
        <v>602</v>
      </c>
      <c r="F57" t="s">
        <v>603</v>
      </c>
      <c r="G57">
        <v>10582</v>
      </c>
      <c r="H57" t="s">
        <v>75</v>
      </c>
      <c r="I57" t="s">
        <v>678</v>
      </c>
      <c r="J57" s="1520">
        <v>46056</v>
      </c>
      <c r="K57" s="1520">
        <v>46090</v>
      </c>
      <c r="L57" s="1520">
        <v>46091</v>
      </c>
      <c r="M57" s="1520">
        <v>46092</v>
      </c>
      <c r="N57" t="s">
        <v>84</v>
      </c>
      <c r="O57" s="1520">
        <v>46104</v>
      </c>
      <c r="P57" s="1520">
        <v>46092</v>
      </c>
    </row>
    <row r="58" spans="1:16">
      <c r="A58" t="s">
        <v>962</v>
      </c>
      <c r="B58" t="s">
        <v>144</v>
      </c>
      <c r="C58" t="s">
        <v>145</v>
      </c>
      <c r="D58" t="s">
        <v>70</v>
      </c>
      <c r="E58" t="s">
        <v>965</v>
      </c>
      <c r="F58" t="s">
        <v>966</v>
      </c>
      <c r="G58">
        <v>9360</v>
      </c>
      <c r="H58" t="s">
        <v>75</v>
      </c>
      <c r="I58" t="s">
        <v>968</v>
      </c>
      <c r="J58" s="1520">
        <v>46053</v>
      </c>
      <c r="K58" s="1520">
        <v>46120</v>
      </c>
      <c r="L58" s="1520">
        <v>46127</v>
      </c>
      <c r="M58" s="1520">
        <v>46127</v>
      </c>
      <c r="N58" t="s">
        <v>973</v>
      </c>
      <c r="O58" s="1520">
        <v>46134</v>
      </c>
      <c r="P58" s="1520">
        <v>46127</v>
      </c>
    </row>
    <row r="59" spans="1:16">
      <c r="A59" t="s">
        <v>524</v>
      </c>
      <c r="B59" t="s">
        <v>144</v>
      </c>
      <c r="C59" t="s">
        <v>145</v>
      </c>
      <c r="D59" t="s">
        <v>473</v>
      </c>
      <c r="E59" t="s">
        <v>529</v>
      </c>
      <c r="F59" t="s">
        <v>530</v>
      </c>
      <c r="G59">
        <v>4320</v>
      </c>
      <c r="H59" t="s">
        <v>75</v>
      </c>
      <c r="I59" t="s">
        <v>531</v>
      </c>
      <c r="J59" s="1520">
        <v>46055</v>
      </c>
      <c r="K59" s="1520">
        <v>46106</v>
      </c>
      <c r="L59" s="1520">
        <v>46121</v>
      </c>
      <c r="M59" s="1520">
        <v>46122</v>
      </c>
      <c r="N59" t="s">
        <v>84</v>
      </c>
      <c r="O59" s="1520">
        <v>46120</v>
      </c>
      <c r="P59" s="1520">
        <v>46122</v>
      </c>
    </row>
    <row r="60" spans="1:16">
      <c r="A60" t="s">
        <v>352</v>
      </c>
      <c r="B60" t="s">
        <v>64</v>
      </c>
      <c r="C60" t="s">
        <v>65</v>
      </c>
      <c r="D60" t="s">
        <v>70</v>
      </c>
      <c r="E60" t="s">
        <v>218</v>
      </c>
      <c r="F60" t="s">
        <v>219</v>
      </c>
      <c r="G60">
        <v>720</v>
      </c>
      <c r="H60" t="s">
        <v>75</v>
      </c>
      <c r="I60" t="s">
        <v>445</v>
      </c>
      <c r="J60" s="1520">
        <v>45682</v>
      </c>
      <c r="K60" s="1520">
        <v>46084</v>
      </c>
      <c r="L60" s="1520">
        <v>46086</v>
      </c>
      <c r="M60" s="1520">
        <v>46086</v>
      </c>
      <c r="N60" t="s">
        <v>84</v>
      </c>
      <c r="O60" s="1520">
        <v>46099</v>
      </c>
      <c r="P60" s="1520">
        <v>46094</v>
      </c>
    </row>
    <row r="61" spans="1:16">
      <c r="A61" t="s">
        <v>425</v>
      </c>
      <c r="B61" t="s">
        <v>64</v>
      </c>
      <c r="C61" t="s">
        <v>100</v>
      </c>
      <c r="D61" t="s">
        <v>70</v>
      </c>
      <c r="E61" t="s">
        <v>329</v>
      </c>
      <c r="F61" t="s">
        <v>330</v>
      </c>
      <c r="G61">
        <v>7200</v>
      </c>
      <c r="H61" t="s">
        <v>75</v>
      </c>
      <c r="I61" t="s">
        <v>426</v>
      </c>
      <c r="J61" s="1520">
        <v>46040</v>
      </c>
      <c r="K61" s="1520">
        <v>46084</v>
      </c>
      <c r="L61" s="1520">
        <v>46103</v>
      </c>
      <c r="M61" s="1520">
        <v>46103</v>
      </c>
      <c r="N61" t="s">
        <v>84</v>
      </c>
      <c r="O61" s="1520">
        <v>46118</v>
      </c>
      <c r="P61" s="1520">
        <v>46110</v>
      </c>
    </row>
    <row r="62" spans="1:16">
      <c r="A62" t="s">
        <v>430</v>
      </c>
      <c r="B62" t="s">
        <v>64</v>
      </c>
      <c r="C62" t="s">
        <v>65</v>
      </c>
      <c r="D62" t="s">
        <v>70</v>
      </c>
      <c r="E62" t="s">
        <v>218</v>
      </c>
      <c r="F62" t="s">
        <v>219</v>
      </c>
      <c r="G62">
        <v>2880</v>
      </c>
      <c r="H62" t="s">
        <v>75</v>
      </c>
      <c r="I62" t="s">
        <v>431</v>
      </c>
      <c r="J62" s="1520">
        <v>46047</v>
      </c>
      <c r="K62" s="1520">
        <v>46084</v>
      </c>
      <c r="L62" s="1520">
        <v>46092</v>
      </c>
      <c r="M62" s="1520">
        <v>46092</v>
      </c>
      <c r="N62" t="s">
        <v>84</v>
      </c>
      <c r="O62" s="1520">
        <v>46105</v>
      </c>
      <c r="P62" s="1520">
        <v>46100</v>
      </c>
    </row>
    <row r="63" spans="1:16">
      <c r="A63" t="s">
        <v>437</v>
      </c>
      <c r="B63" t="s">
        <v>64</v>
      </c>
      <c r="C63" t="s">
        <v>65</v>
      </c>
      <c r="D63" t="s">
        <v>70</v>
      </c>
      <c r="E63" t="s">
        <v>218</v>
      </c>
      <c r="F63" t="s">
        <v>219</v>
      </c>
      <c r="G63">
        <v>2592</v>
      </c>
      <c r="H63" t="s">
        <v>75</v>
      </c>
      <c r="I63" t="s">
        <v>439</v>
      </c>
      <c r="J63" s="1520">
        <v>46047</v>
      </c>
      <c r="K63" s="1520">
        <v>46084</v>
      </c>
      <c r="L63" s="1520">
        <v>46092</v>
      </c>
      <c r="M63" s="1520">
        <v>46092</v>
      </c>
      <c r="N63" t="s">
        <v>84</v>
      </c>
      <c r="O63" s="1520">
        <v>46105</v>
      </c>
      <c r="P63" s="1520">
        <v>46100</v>
      </c>
    </row>
    <row r="64" spans="1:16">
      <c r="A64" t="s">
        <v>435</v>
      </c>
      <c r="B64" t="s">
        <v>64</v>
      </c>
      <c r="C64" t="s">
        <v>65</v>
      </c>
      <c r="D64" t="s">
        <v>70</v>
      </c>
      <c r="E64" t="s">
        <v>218</v>
      </c>
      <c r="F64" t="s">
        <v>219</v>
      </c>
      <c r="G64">
        <v>1440</v>
      </c>
      <c r="H64" t="s">
        <v>75</v>
      </c>
      <c r="I64" t="s">
        <v>436</v>
      </c>
      <c r="J64" s="1520">
        <v>46047</v>
      </c>
      <c r="K64" s="1520">
        <v>46084</v>
      </c>
      <c r="L64" s="1520">
        <v>46092</v>
      </c>
      <c r="M64" s="1520">
        <v>46092</v>
      </c>
      <c r="N64" t="s">
        <v>84</v>
      </c>
      <c r="O64" s="1520">
        <v>46105</v>
      </c>
      <c r="P64" s="1520">
        <v>46100</v>
      </c>
    </row>
    <row r="65" spans="1:16">
      <c r="A65" t="s">
        <v>440</v>
      </c>
      <c r="B65" t="s">
        <v>64</v>
      </c>
      <c r="C65" t="s">
        <v>65</v>
      </c>
      <c r="D65" t="s">
        <v>70</v>
      </c>
      <c r="E65" t="s">
        <v>218</v>
      </c>
      <c r="F65" t="s">
        <v>219</v>
      </c>
      <c r="G65">
        <v>72</v>
      </c>
      <c r="H65" t="s">
        <v>75</v>
      </c>
      <c r="I65" t="s">
        <v>441</v>
      </c>
      <c r="J65" s="1520">
        <v>45682</v>
      </c>
      <c r="K65" s="1520">
        <v>46084</v>
      </c>
      <c r="L65" s="1520">
        <v>46092</v>
      </c>
      <c r="M65" s="1520">
        <v>46092</v>
      </c>
      <c r="N65" t="s">
        <v>84</v>
      </c>
      <c r="O65" s="1520">
        <v>46105</v>
      </c>
      <c r="P65" s="1520">
        <v>46100</v>
      </c>
    </row>
    <row r="66" spans="1:16">
      <c r="A66" t="s">
        <v>443</v>
      </c>
      <c r="B66" t="s">
        <v>64</v>
      </c>
      <c r="C66" t="s">
        <v>65</v>
      </c>
      <c r="D66" t="s">
        <v>70</v>
      </c>
      <c r="E66" t="s">
        <v>378</v>
      </c>
      <c r="F66" t="s">
        <v>379</v>
      </c>
      <c r="G66">
        <v>216</v>
      </c>
      <c r="H66" t="s">
        <v>75</v>
      </c>
      <c r="I66" t="s">
        <v>444</v>
      </c>
      <c r="J66" s="1520">
        <v>45682</v>
      </c>
      <c r="K66" s="1520">
        <v>46084</v>
      </c>
      <c r="L66" s="1520">
        <v>46092</v>
      </c>
      <c r="M66" s="1520">
        <v>46092</v>
      </c>
      <c r="N66" t="s">
        <v>84</v>
      </c>
      <c r="O66" s="1520">
        <v>46105</v>
      </c>
      <c r="P66" s="1520">
        <v>46100</v>
      </c>
    </row>
    <row r="67" spans="1:16">
      <c r="A67" t="s">
        <v>202</v>
      </c>
      <c r="B67" t="s">
        <v>64</v>
      </c>
      <c r="C67" t="s">
        <v>65</v>
      </c>
      <c r="D67" t="s">
        <v>70</v>
      </c>
      <c r="E67" t="s">
        <v>204</v>
      </c>
      <c r="F67" t="s">
        <v>205</v>
      </c>
      <c r="G67">
        <v>5616</v>
      </c>
      <c r="H67" t="s">
        <v>75</v>
      </c>
      <c r="I67" t="s">
        <v>206</v>
      </c>
      <c r="J67" s="1520">
        <v>46027</v>
      </c>
      <c r="K67" s="1520">
        <v>46090</v>
      </c>
      <c r="L67" s="1520">
        <v>46101</v>
      </c>
      <c r="M67" s="1520">
        <v>46102</v>
      </c>
      <c r="N67" t="s">
        <v>84</v>
      </c>
      <c r="O67" s="1520">
        <v>46115</v>
      </c>
      <c r="P67" s="1520">
        <v>46110</v>
      </c>
    </row>
    <row r="68" spans="1:16">
      <c r="A68" t="s">
        <v>415</v>
      </c>
      <c r="B68" t="s">
        <v>64</v>
      </c>
      <c r="C68" t="s">
        <v>65</v>
      </c>
      <c r="D68" t="s">
        <v>170</v>
      </c>
      <c r="E68" t="s">
        <v>171</v>
      </c>
      <c r="F68" t="s">
        <v>172</v>
      </c>
      <c r="G68">
        <v>1320</v>
      </c>
      <c r="H68" t="s">
        <v>75</v>
      </c>
      <c r="I68" t="s">
        <v>416</v>
      </c>
      <c r="J68" s="1520">
        <v>46042</v>
      </c>
      <c r="K68" s="1520">
        <v>46091</v>
      </c>
      <c r="L68" s="1520">
        <v>46090</v>
      </c>
      <c r="M68" s="1520">
        <v>46090</v>
      </c>
      <c r="N68" t="s">
        <v>84</v>
      </c>
      <c r="O68" s="1520">
        <v>46104</v>
      </c>
      <c r="P68" s="1520">
        <v>46098</v>
      </c>
    </row>
    <row r="69" spans="1:16">
      <c r="A69" t="s">
        <v>615</v>
      </c>
      <c r="B69" t="s">
        <v>64</v>
      </c>
      <c r="C69" t="s">
        <v>100</v>
      </c>
      <c r="D69" t="s">
        <v>284</v>
      </c>
      <c r="E69" t="s">
        <v>602</v>
      </c>
      <c r="F69" t="s">
        <v>603</v>
      </c>
      <c r="G69">
        <v>4810</v>
      </c>
      <c r="H69" t="s">
        <v>75</v>
      </c>
      <c r="I69" t="s">
        <v>616</v>
      </c>
      <c r="J69" s="1520">
        <v>46048</v>
      </c>
      <c r="K69" s="1520">
        <v>46090</v>
      </c>
      <c r="L69" s="1520">
        <v>46091</v>
      </c>
      <c r="M69" s="1520">
        <v>46089</v>
      </c>
      <c r="N69" t="s">
        <v>84</v>
      </c>
      <c r="O69" s="1520">
        <v>46105</v>
      </c>
      <c r="P69" s="1520">
        <v>46096</v>
      </c>
    </row>
    <row r="70" spans="1:16">
      <c r="A70" t="s">
        <v>411</v>
      </c>
      <c r="B70" t="s">
        <v>64</v>
      </c>
      <c r="C70" t="s">
        <v>65</v>
      </c>
      <c r="D70" t="s">
        <v>170</v>
      </c>
      <c r="E70" t="s">
        <v>171</v>
      </c>
      <c r="F70" t="s">
        <v>172</v>
      </c>
      <c r="G70">
        <v>660</v>
      </c>
      <c r="H70" t="s">
        <v>75</v>
      </c>
      <c r="I70" t="s">
        <v>412</v>
      </c>
      <c r="J70" s="1520">
        <v>46042</v>
      </c>
      <c r="K70" s="1520">
        <v>46091</v>
      </c>
      <c r="L70" s="1520">
        <v>46090</v>
      </c>
      <c r="M70" s="1520">
        <v>46090</v>
      </c>
      <c r="N70" t="s">
        <v>84</v>
      </c>
      <c r="O70" s="1520">
        <v>46104</v>
      </c>
      <c r="P70" s="1520">
        <v>46098</v>
      </c>
    </row>
    <row r="71" spans="1:16">
      <c r="A71" t="s">
        <v>448</v>
      </c>
      <c r="B71" t="s">
        <v>64</v>
      </c>
      <c r="C71" t="s">
        <v>450</v>
      </c>
      <c r="D71" t="s">
        <v>132</v>
      </c>
      <c r="E71" t="s">
        <v>453</v>
      </c>
      <c r="F71" t="s">
        <v>454</v>
      </c>
      <c r="G71">
        <v>1728</v>
      </c>
      <c r="H71" t="s">
        <v>75</v>
      </c>
      <c r="I71" t="s">
        <v>455</v>
      </c>
      <c r="J71" s="1520">
        <v>46050</v>
      </c>
      <c r="K71" s="1520">
        <v>46089</v>
      </c>
      <c r="L71" s="1520">
        <v>46108</v>
      </c>
      <c r="M71" s="1520">
        <v>46108</v>
      </c>
      <c r="N71" t="s">
        <v>84</v>
      </c>
      <c r="O71" s="1520">
        <v>46120</v>
      </c>
      <c r="P71" s="1520">
        <v>46115</v>
      </c>
    </row>
    <row r="72" spans="1:16">
      <c r="A72" t="s">
        <v>282</v>
      </c>
      <c r="B72" t="s">
        <v>64</v>
      </c>
      <c r="C72" t="s">
        <v>100</v>
      </c>
      <c r="D72" t="s">
        <v>284</v>
      </c>
      <c r="E72" t="s">
        <v>285</v>
      </c>
      <c r="F72" t="s">
        <v>286</v>
      </c>
      <c r="G72">
        <v>1924</v>
      </c>
      <c r="H72" t="s">
        <v>75</v>
      </c>
      <c r="I72" t="s">
        <v>666</v>
      </c>
      <c r="J72" s="1520">
        <v>46057</v>
      </c>
      <c r="K72" s="1520">
        <v>46087</v>
      </c>
      <c r="L72" s="1520">
        <v>46097</v>
      </c>
      <c r="M72" s="1520">
        <v>46099</v>
      </c>
      <c r="N72" t="s">
        <v>84</v>
      </c>
      <c r="O72" s="1520">
        <v>46111</v>
      </c>
      <c r="P72" s="1520">
        <v>46106</v>
      </c>
    </row>
    <row r="73" spans="1:16">
      <c r="A73" t="s">
        <v>600</v>
      </c>
      <c r="B73" t="s">
        <v>64</v>
      </c>
      <c r="C73" t="s">
        <v>100</v>
      </c>
      <c r="D73" t="s">
        <v>284</v>
      </c>
      <c r="E73" t="s">
        <v>602</v>
      </c>
      <c r="F73" t="s">
        <v>603</v>
      </c>
      <c r="G73">
        <v>14430</v>
      </c>
      <c r="H73" t="s">
        <v>75</v>
      </c>
      <c r="I73" t="s">
        <v>604</v>
      </c>
      <c r="J73" s="1520">
        <v>46050</v>
      </c>
      <c r="K73" s="1520">
        <v>46087</v>
      </c>
      <c r="L73" s="1520">
        <v>46102</v>
      </c>
      <c r="M73" s="1520">
        <v>46102</v>
      </c>
      <c r="N73" t="s">
        <v>84</v>
      </c>
      <c r="O73" s="1520">
        <v>46114</v>
      </c>
      <c r="P73" s="1520">
        <v>46109</v>
      </c>
    </row>
    <row r="74" spans="1:16">
      <c r="A74" t="s">
        <v>609</v>
      </c>
      <c r="B74" t="s">
        <v>64</v>
      </c>
      <c r="C74" t="s">
        <v>100</v>
      </c>
      <c r="D74" t="s">
        <v>284</v>
      </c>
      <c r="E74" t="s">
        <v>602</v>
      </c>
      <c r="F74" t="s">
        <v>603</v>
      </c>
      <c r="G74">
        <v>4810</v>
      </c>
      <c r="H74" t="s">
        <v>75</v>
      </c>
      <c r="I74" t="s">
        <v>610</v>
      </c>
      <c r="J74" s="1520">
        <v>46045</v>
      </c>
      <c r="K74" s="1520">
        <v>46087</v>
      </c>
      <c r="L74" s="1520">
        <v>46097</v>
      </c>
      <c r="M74" s="1520">
        <v>46100</v>
      </c>
      <c r="N74" t="s">
        <v>84</v>
      </c>
      <c r="O74" s="1520">
        <v>46104</v>
      </c>
      <c r="P74" s="1520">
        <v>46107</v>
      </c>
    </row>
    <row r="75" spans="1:16">
      <c r="A75" t="s">
        <v>697</v>
      </c>
      <c r="B75" t="s">
        <v>64</v>
      </c>
      <c r="C75" t="s">
        <v>65</v>
      </c>
      <c r="D75" t="s">
        <v>70</v>
      </c>
      <c r="E75" t="s">
        <v>691</v>
      </c>
      <c r="F75" t="s">
        <v>692</v>
      </c>
      <c r="G75">
        <v>1728</v>
      </c>
      <c r="H75" t="s">
        <v>75</v>
      </c>
      <c r="I75" t="s">
        <v>698</v>
      </c>
      <c r="J75" s="1520">
        <v>46057</v>
      </c>
      <c r="K75" s="1520">
        <v>46112</v>
      </c>
      <c r="L75" s="1520">
        <v>46132</v>
      </c>
      <c r="M75" s="1520">
        <v>46132</v>
      </c>
      <c r="N75" t="s">
        <v>84</v>
      </c>
      <c r="O75" s="1520">
        <v>46146</v>
      </c>
      <c r="P75" s="1520">
        <v>46140</v>
      </c>
    </row>
    <row r="76" spans="1:16">
      <c r="A76" t="s">
        <v>687</v>
      </c>
      <c r="B76" t="s">
        <v>64</v>
      </c>
      <c r="C76" t="s">
        <v>65</v>
      </c>
      <c r="D76" t="s">
        <v>70</v>
      </c>
      <c r="E76" t="s">
        <v>691</v>
      </c>
      <c r="F76" t="s">
        <v>692</v>
      </c>
      <c r="G76">
        <v>1728</v>
      </c>
      <c r="H76" t="s">
        <v>75</v>
      </c>
      <c r="I76" t="s">
        <v>693</v>
      </c>
      <c r="J76" s="1520">
        <v>46057</v>
      </c>
      <c r="K76" s="1520">
        <v>46112</v>
      </c>
      <c r="L76" s="1520">
        <v>46132</v>
      </c>
      <c r="M76" s="1520">
        <v>46132</v>
      </c>
      <c r="N76" t="s">
        <v>84</v>
      </c>
      <c r="O76" s="1520">
        <v>46146</v>
      </c>
      <c r="P76" s="1520">
        <v>46140</v>
      </c>
    </row>
    <row r="77" spans="1:16">
      <c r="A77" t="s">
        <v>651</v>
      </c>
      <c r="B77" t="s">
        <v>64</v>
      </c>
      <c r="C77" t="s">
        <v>65</v>
      </c>
      <c r="D77" t="s">
        <v>473</v>
      </c>
      <c r="E77" t="s">
        <v>474</v>
      </c>
      <c r="F77" t="s">
        <v>475</v>
      </c>
      <c r="G77">
        <v>2592</v>
      </c>
      <c r="H77" t="s">
        <v>75</v>
      </c>
      <c r="I77" t="s">
        <v>652</v>
      </c>
      <c r="J77" s="1520">
        <v>46055</v>
      </c>
      <c r="K77" s="1520">
        <v>46098</v>
      </c>
      <c r="L77" s="1520">
        <v>46101</v>
      </c>
      <c r="M77" s="1520">
        <v>46103</v>
      </c>
      <c r="N77" t="s">
        <v>84</v>
      </c>
      <c r="O77" s="1520">
        <v>46115</v>
      </c>
      <c r="P77" s="1520">
        <v>46111</v>
      </c>
    </row>
    <row r="78" spans="1:16">
      <c r="A78" t="s">
        <v>471</v>
      </c>
      <c r="B78" t="s">
        <v>64</v>
      </c>
      <c r="C78" t="s">
        <v>65</v>
      </c>
      <c r="D78" t="s">
        <v>473</v>
      </c>
      <c r="E78" t="s">
        <v>474</v>
      </c>
      <c r="F78" t="s">
        <v>475</v>
      </c>
      <c r="G78">
        <v>2592</v>
      </c>
      <c r="H78" t="s">
        <v>75</v>
      </c>
      <c r="I78" t="s">
        <v>476</v>
      </c>
      <c r="J78" s="1520">
        <v>46049</v>
      </c>
      <c r="K78" s="1520">
        <v>46098</v>
      </c>
      <c r="L78" s="1520">
        <v>46101</v>
      </c>
      <c r="M78" s="1520">
        <v>46103</v>
      </c>
      <c r="N78" t="s">
        <v>84</v>
      </c>
      <c r="O78" s="1520">
        <v>46115</v>
      </c>
      <c r="P78" s="1520">
        <v>46111</v>
      </c>
    </row>
    <row r="79" spans="1:16">
      <c r="A79" t="s">
        <v>621</v>
      </c>
      <c r="B79" t="s">
        <v>64</v>
      </c>
      <c r="C79" t="s">
        <v>100</v>
      </c>
      <c r="D79" t="s">
        <v>284</v>
      </c>
      <c r="E79" t="s">
        <v>602</v>
      </c>
      <c r="F79" t="s">
        <v>603</v>
      </c>
      <c r="G79">
        <v>9620</v>
      </c>
      <c r="H79" t="s">
        <v>75</v>
      </c>
      <c r="I79" t="s">
        <v>622</v>
      </c>
      <c r="J79" s="1520">
        <v>46057</v>
      </c>
      <c r="K79" s="1520">
        <v>46094</v>
      </c>
      <c r="L79" s="1520">
        <v>46106</v>
      </c>
      <c r="M79" s="1520">
        <v>46107</v>
      </c>
      <c r="N79" t="s">
        <v>84</v>
      </c>
      <c r="O79" s="1520">
        <v>46120</v>
      </c>
      <c r="P79" s="1520">
        <v>46114</v>
      </c>
    </row>
    <row r="80" spans="1:16">
      <c r="A80" t="s">
        <v>469</v>
      </c>
      <c r="B80" t="s">
        <v>64</v>
      </c>
      <c r="C80" t="s">
        <v>65</v>
      </c>
      <c r="D80" t="s">
        <v>170</v>
      </c>
      <c r="E80" t="s">
        <v>462</v>
      </c>
      <c r="F80" t="s">
        <v>463</v>
      </c>
      <c r="G80">
        <v>1320</v>
      </c>
      <c r="H80" t="s">
        <v>75</v>
      </c>
      <c r="I80" t="s">
        <v>470</v>
      </c>
      <c r="J80" s="1520">
        <v>46049</v>
      </c>
      <c r="K80" s="1520">
        <v>46098</v>
      </c>
      <c r="L80" s="1520">
        <v>46101</v>
      </c>
      <c r="M80" s="1520">
        <v>46103</v>
      </c>
      <c r="N80" t="s">
        <v>84</v>
      </c>
      <c r="O80" s="1520">
        <v>46115</v>
      </c>
      <c r="P80" s="1520">
        <v>46111</v>
      </c>
    </row>
    <row r="81" spans="1:16">
      <c r="A81" t="s">
        <v>460</v>
      </c>
      <c r="B81" t="s">
        <v>64</v>
      </c>
      <c r="C81" t="s">
        <v>65</v>
      </c>
      <c r="D81" t="s">
        <v>170</v>
      </c>
      <c r="E81" t="s">
        <v>462</v>
      </c>
      <c r="F81" t="s">
        <v>463</v>
      </c>
      <c r="G81">
        <v>660</v>
      </c>
      <c r="H81" t="s">
        <v>75</v>
      </c>
      <c r="I81" t="s">
        <v>465</v>
      </c>
      <c r="J81" s="1520">
        <v>46049</v>
      </c>
      <c r="K81" s="1520">
        <v>46098</v>
      </c>
      <c r="L81" s="1520">
        <v>46101</v>
      </c>
      <c r="M81" s="1520">
        <v>46103</v>
      </c>
      <c r="N81" t="s">
        <v>84</v>
      </c>
      <c r="O81" s="1520">
        <v>46115</v>
      </c>
      <c r="P81" s="1520">
        <v>46111</v>
      </c>
    </row>
    <row r="82" spans="1:16">
      <c r="A82" t="s">
        <v>477</v>
      </c>
      <c r="B82" t="s">
        <v>64</v>
      </c>
      <c r="C82" t="s">
        <v>65</v>
      </c>
      <c r="D82" t="s">
        <v>170</v>
      </c>
      <c r="E82" t="s">
        <v>462</v>
      </c>
      <c r="F82" t="s">
        <v>463</v>
      </c>
      <c r="G82">
        <v>660</v>
      </c>
      <c r="H82" t="s">
        <v>75</v>
      </c>
      <c r="I82" t="s">
        <v>478</v>
      </c>
      <c r="J82" s="1520">
        <v>46045</v>
      </c>
      <c r="K82" s="1520">
        <v>46097</v>
      </c>
      <c r="L82" s="1520">
        <v>46111</v>
      </c>
      <c r="M82" s="1520">
        <v>46111</v>
      </c>
      <c r="N82" t="s">
        <v>84</v>
      </c>
      <c r="O82" s="1520">
        <v>46120</v>
      </c>
      <c r="P82" s="1520">
        <v>46119</v>
      </c>
    </row>
    <row r="83" spans="1:16">
      <c r="A83" t="s">
        <v>699</v>
      </c>
      <c r="B83" t="s">
        <v>64</v>
      </c>
      <c r="C83" t="s">
        <v>100</v>
      </c>
      <c r="D83" t="s">
        <v>70</v>
      </c>
      <c r="E83" t="s">
        <v>329</v>
      </c>
      <c r="F83" t="s">
        <v>330</v>
      </c>
      <c r="G83">
        <v>2880</v>
      </c>
      <c r="H83" t="s">
        <v>75</v>
      </c>
      <c r="I83" t="s">
        <v>700</v>
      </c>
      <c r="J83" s="1520">
        <v>46054</v>
      </c>
      <c r="K83" s="1520">
        <v>46094</v>
      </c>
      <c r="L83" s="1520">
        <v>46116</v>
      </c>
      <c r="M83" s="1520">
        <v>46118</v>
      </c>
      <c r="N83" t="s">
        <v>84</v>
      </c>
      <c r="O83" s="1520">
        <v>46129</v>
      </c>
      <c r="P83" s="1520">
        <v>46125</v>
      </c>
    </row>
    <row r="84" spans="1:16">
      <c r="A84" t="s">
        <v>645</v>
      </c>
      <c r="B84" t="s">
        <v>64</v>
      </c>
      <c r="C84" t="s">
        <v>114</v>
      </c>
      <c r="D84" t="s">
        <v>473</v>
      </c>
      <c r="E84" t="s">
        <v>529</v>
      </c>
      <c r="F84" t="s">
        <v>530</v>
      </c>
      <c r="G84">
        <v>2592</v>
      </c>
      <c r="H84" t="s">
        <v>75</v>
      </c>
      <c r="I84" t="s">
        <v>647</v>
      </c>
      <c r="J84" s="1520">
        <v>46055</v>
      </c>
      <c r="K84" s="1520">
        <v>46093</v>
      </c>
      <c r="L84" s="1520">
        <v>46095</v>
      </c>
      <c r="M84" s="1520">
        <v>46095</v>
      </c>
      <c r="N84" t="s">
        <v>84</v>
      </c>
      <c r="O84" s="1520">
        <v>46111</v>
      </c>
      <c r="P84" s="1520">
        <v>46104</v>
      </c>
    </row>
    <row r="85" spans="1:16">
      <c r="A85" t="s">
        <v>640</v>
      </c>
      <c r="B85" t="s">
        <v>64</v>
      </c>
      <c r="C85" t="s">
        <v>100</v>
      </c>
      <c r="D85" t="s">
        <v>473</v>
      </c>
      <c r="E85" t="s">
        <v>474</v>
      </c>
      <c r="F85" t="s">
        <v>475</v>
      </c>
      <c r="G85">
        <v>2592</v>
      </c>
      <c r="H85" t="s">
        <v>75</v>
      </c>
      <c r="I85" t="s">
        <v>641</v>
      </c>
      <c r="J85" s="1520">
        <v>46055</v>
      </c>
      <c r="K85" s="1520">
        <v>46092</v>
      </c>
      <c r="L85" s="1520">
        <v>46102</v>
      </c>
      <c r="M85" s="1520">
        <v>46103</v>
      </c>
      <c r="N85" t="s">
        <v>84</v>
      </c>
      <c r="O85" s="1520">
        <v>46115</v>
      </c>
      <c r="P85" s="1520">
        <v>46110</v>
      </c>
    </row>
    <row r="86" spans="1:16">
      <c r="A86" t="s">
        <v>626</v>
      </c>
      <c r="B86" t="s">
        <v>64</v>
      </c>
      <c r="C86" t="s">
        <v>100</v>
      </c>
      <c r="D86" t="s">
        <v>284</v>
      </c>
      <c r="E86" t="s">
        <v>602</v>
      </c>
      <c r="F86" t="s">
        <v>603</v>
      </c>
      <c r="G86">
        <v>9620</v>
      </c>
      <c r="H86" t="s">
        <v>75</v>
      </c>
      <c r="I86" t="s">
        <v>627</v>
      </c>
      <c r="J86" s="1520">
        <v>46057</v>
      </c>
      <c r="K86" s="1520">
        <v>46094</v>
      </c>
      <c r="L86" s="1520">
        <v>46106</v>
      </c>
      <c r="M86" s="1520">
        <v>46107</v>
      </c>
      <c r="N86" t="s">
        <v>84</v>
      </c>
      <c r="O86" s="1520">
        <v>46120</v>
      </c>
      <c r="P86" s="1520">
        <v>46114</v>
      </c>
    </row>
    <row r="87" spans="1:16">
      <c r="A87" t="s">
        <v>576</v>
      </c>
      <c r="B87" t="s">
        <v>64</v>
      </c>
      <c r="C87" t="s">
        <v>100</v>
      </c>
      <c r="D87" t="s">
        <v>70</v>
      </c>
      <c r="E87" t="s">
        <v>71</v>
      </c>
      <c r="F87" t="s">
        <v>72</v>
      </c>
      <c r="G87">
        <v>8640</v>
      </c>
      <c r="H87" t="s">
        <v>75</v>
      </c>
      <c r="I87" t="s">
        <v>579</v>
      </c>
      <c r="J87" s="1520">
        <v>46054</v>
      </c>
      <c r="K87" s="1520">
        <v>46094</v>
      </c>
      <c r="L87" s="1520">
        <v>46116</v>
      </c>
      <c r="M87" s="1520">
        <v>46118</v>
      </c>
      <c r="N87" t="s">
        <v>84</v>
      </c>
      <c r="O87" s="1520">
        <v>46129</v>
      </c>
      <c r="P87" s="1520">
        <v>46125</v>
      </c>
    </row>
    <row r="88" spans="1:16">
      <c r="A88" t="s">
        <v>637</v>
      </c>
      <c r="B88" t="s">
        <v>64</v>
      </c>
      <c r="C88" t="s">
        <v>65</v>
      </c>
      <c r="D88" t="s">
        <v>473</v>
      </c>
      <c r="E88" t="s">
        <v>474</v>
      </c>
      <c r="F88" t="s">
        <v>475</v>
      </c>
      <c r="G88">
        <v>2592</v>
      </c>
      <c r="H88" t="s">
        <v>75</v>
      </c>
      <c r="I88" t="s">
        <v>639</v>
      </c>
      <c r="J88" s="1520">
        <v>46054</v>
      </c>
      <c r="K88" s="1520">
        <v>46091</v>
      </c>
      <c r="L88" s="1520">
        <v>46109</v>
      </c>
      <c r="M88" s="1520">
        <v>46110</v>
      </c>
      <c r="N88" t="s">
        <v>84</v>
      </c>
      <c r="O88" s="1520">
        <v>46121</v>
      </c>
      <c r="P88" s="1520">
        <v>46118</v>
      </c>
    </row>
    <row r="89" spans="1:16">
      <c r="A89" t="s">
        <v>984</v>
      </c>
      <c r="B89" t="s">
        <v>64</v>
      </c>
      <c r="C89" t="s">
        <v>100</v>
      </c>
      <c r="D89" t="s">
        <v>70</v>
      </c>
      <c r="E89" t="s">
        <v>195</v>
      </c>
      <c r="F89" t="s">
        <v>196</v>
      </c>
      <c r="G89">
        <v>1872</v>
      </c>
      <c r="H89" t="s">
        <v>75</v>
      </c>
      <c r="I89" t="s">
        <v>987</v>
      </c>
      <c r="J89" s="1520">
        <v>46054</v>
      </c>
      <c r="K89" s="1520">
        <v>46094</v>
      </c>
      <c r="L89" s="1520">
        <v>46116</v>
      </c>
      <c r="M89" s="1520">
        <v>46118</v>
      </c>
      <c r="N89" t="s">
        <v>973</v>
      </c>
      <c r="O89" s="1520">
        <v>46129</v>
      </c>
      <c r="P89" s="1520">
        <v>46125</v>
      </c>
    </row>
    <row r="90" spans="1:16">
      <c r="A90" t="s">
        <v>630</v>
      </c>
      <c r="B90" t="s">
        <v>64</v>
      </c>
      <c r="C90" t="s">
        <v>65</v>
      </c>
      <c r="D90" t="s">
        <v>170</v>
      </c>
      <c r="E90" t="s">
        <v>171</v>
      </c>
      <c r="F90" t="s">
        <v>172</v>
      </c>
      <c r="G90">
        <v>3300</v>
      </c>
      <c r="H90" t="s">
        <v>75</v>
      </c>
      <c r="I90" t="s">
        <v>631</v>
      </c>
      <c r="J90" s="1520">
        <v>46054</v>
      </c>
      <c r="K90" s="1520">
        <v>46091</v>
      </c>
      <c r="L90" s="1520">
        <v>46109</v>
      </c>
      <c r="M90" s="1520">
        <v>46110</v>
      </c>
      <c r="N90" t="s">
        <v>84</v>
      </c>
      <c r="O90" s="1520">
        <v>46121</v>
      </c>
      <c r="P90" s="1520">
        <v>46118</v>
      </c>
    </row>
    <row r="91" spans="1:16">
      <c r="A91" t="s">
        <v>635</v>
      </c>
      <c r="B91" t="s">
        <v>64</v>
      </c>
      <c r="C91" t="s">
        <v>65</v>
      </c>
      <c r="D91" t="s">
        <v>170</v>
      </c>
      <c r="E91" t="s">
        <v>462</v>
      </c>
      <c r="F91" t="s">
        <v>463</v>
      </c>
      <c r="G91">
        <v>1320</v>
      </c>
      <c r="H91" t="s">
        <v>75</v>
      </c>
      <c r="I91" t="s">
        <v>636</v>
      </c>
      <c r="J91" s="1520">
        <v>46054</v>
      </c>
      <c r="K91" s="1520">
        <v>46091</v>
      </c>
      <c r="L91" s="1520">
        <v>46109</v>
      </c>
      <c r="M91" s="1520">
        <v>46110</v>
      </c>
      <c r="N91" t="s">
        <v>84</v>
      </c>
      <c r="O91" s="1520">
        <v>46121</v>
      </c>
      <c r="P91" s="1520">
        <v>46118</v>
      </c>
    </row>
    <row r="92" spans="1:16">
      <c r="A92" t="s">
        <v>974</v>
      </c>
      <c r="B92" t="s">
        <v>64</v>
      </c>
      <c r="C92" t="s">
        <v>100</v>
      </c>
      <c r="D92" t="s">
        <v>70</v>
      </c>
      <c r="E92" t="s">
        <v>965</v>
      </c>
      <c r="F92" t="s">
        <v>966</v>
      </c>
      <c r="G92">
        <v>3744</v>
      </c>
      <c r="H92" t="s">
        <v>75</v>
      </c>
      <c r="I92" t="s">
        <v>975</v>
      </c>
      <c r="J92" s="1520">
        <v>46054</v>
      </c>
      <c r="K92" s="1520">
        <v>46094</v>
      </c>
      <c r="L92" s="1520">
        <v>46109</v>
      </c>
      <c r="M92" s="1520">
        <v>46118</v>
      </c>
      <c r="N92" t="s">
        <v>973</v>
      </c>
      <c r="O92" s="1520">
        <v>46125</v>
      </c>
      <c r="P92" s="1520">
        <v>46125</v>
      </c>
    </row>
    <row r="93" spans="1:16">
      <c r="A93" t="s">
        <v>978</v>
      </c>
      <c r="B93" t="s">
        <v>64</v>
      </c>
      <c r="C93" t="s">
        <v>100</v>
      </c>
      <c r="D93" t="s">
        <v>70</v>
      </c>
      <c r="E93" t="s">
        <v>965</v>
      </c>
      <c r="F93" t="s">
        <v>966</v>
      </c>
      <c r="G93">
        <v>2808</v>
      </c>
      <c r="H93" t="s">
        <v>75</v>
      </c>
      <c r="I93" t="s">
        <v>981</v>
      </c>
      <c r="J93" s="1520">
        <v>46054</v>
      </c>
      <c r="K93" s="1520">
        <v>46094</v>
      </c>
      <c r="L93" s="1520">
        <v>46109</v>
      </c>
      <c r="M93" s="1520">
        <v>46118</v>
      </c>
      <c r="N93" t="s">
        <v>973</v>
      </c>
      <c r="O93" s="1520">
        <v>46129</v>
      </c>
      <c r="P93" s="1520">
        <v>46125</v>
      </c>
    </row>
    <row r="94" spans="1:16">
      <c r="A94" t="s">
        <v>88</v>
      </c>
      <c r="B94" t="s">
        <v>64</v>
      </c>
      <c r="C94" t="s">
        <v>65</v>
      </c>
      <c r="D94" t="s">
        <v>70</v>
      </c>
      <c r="E94" t="s">
        <v>91</v>
      </c>
      <c r="F94" t="s">
        <v>92</v>
      </c>
      <c r="G94">
        <v>936</v>
      </c>
      <c r="H94" t="s">
        <v>75</v>
      </c>
      <c r="I94" t="s">
        <v>722</v>
      </c>
      <c r="J94" s="1520">
        <v>46057</v>
      </c>
      <c r="K94" s="1520">
        <v>46125</v>
      </c>
      <c r="L94" s="1520">
        <v>46136</v>
      </c>
      <c r="M94" s="1520">
        <v>46137</v>
      </c>
      <c r="N94" t="s">
        <v>84</v>
      </c>
      <c r="O94" s="1520">
        <v>46150</v>
      </c>
      <c r="P94" s="1520">
        <v>46145</v>
      </c>
    </row>
    <row r="95" spans="1:16">
      <c r="A95" t="s">
        <v>720</v>
      </c>
      <c r="B95" t="s">
        <v>64</v>
      </c>
      <c r="C95" t="s">
        <v>65</v>
      </c>
      <c r="D95" t="s">
        <v>70</v>
      </c>
      <c r="E95" t="s">
        <v>691</v>
      </c>
      <c r="F95" t="s">
        <v>692</v>
      </c>
      <c r="G95">
        <v>684</v>
      </c>
      <c r="H95" t="s">
        <v>75</v>
      </c>
      <c r="I95" t="s">
        <v>721</v>
      </c>
      <c r="J95" s="1520">
        <v>46057</v>
      </c>
      <c r="K95" s="1520">
        <v>46125</v>
      </c>
      <c r="L95" s="1520">
        <v>46136</v>
      </c>
      <c r="M95" s="1520">
        <v>46137</v>
      </c>
      <c r="N95" t="s">
        <v>84</v>
      </c>
      <c r="O95" s="1520">
        <v>46150</v>
      </c>
      <c r="P95" s="1520">
        <v>46145</v>
      </c>
    </row>
    <row r="96" spans="1:16">
      <c r="A96" t="s">
        <v>704</v>
      </c>
      <c r="B96" t="s">
        <v>64</v>
      </c>
      <c r="C96" t="s">
        <v>65</v>
      </c>
      <c r="D96" t="s">
        <v>70</v>
      </c>
      <c r="E96" t="s">
        <v>706</v>
      </c>
      <c r="F96" t="s">
        <v>707</v>
      </c>
      <c r="G96">
        <v>1728</v>
      </c>
      <c r="H96" t="s">
        <v>75</v>
      </c>
      <c r="I96" t="s">
        <v>708</v>
      </c>
      <c r="J96" s="1520">
        <v>46057</v>
      </c>
      <c r="K96" s="1520">
        <v>46119</v>
      </c>
      <c r="L96" s="1520">
        <v>46125</v>
      </c>
      <c r="M96" s="1520">
        <v>46125</v>
      </c>
      <c r="N96" t="s">
        <v>84</v>
      </c>
      <c r="O96" s="1520">
        <v>46139</v>
      </c>
      <c r="P96" s="1520">
        <v>46133</v>
      </c>
    </row>
    <row r="97" spans="1:16">
      <c r="A97" t="s">
        <v>711</v>
      </c>
      <c r="B97" t="s">
        <v>64</v>
      </c>
      <c r="C97" t="s">
        <v>65</v>
      </c>
      <c r="D97" t="s">
        <v>713</v>
      </c>
      <c r="E97" t="s">
        <v>714</v>
      </c>
      <c r="F97" t="s">
        <v>715</v>
      </c>
      <c r="G97">
        <v>108</v>
      </c>
      <c r="H97" t="s">
        <v>75</v>
      </c>
      <c r="I97" t="s">
        <v>717</v>
      </c>
      <c r="J97" s="1520">
        <v>46057</v>
      </c>
      <c r="K97" s="1520">
        <v>46125</v>
      </c>
      <c r="L97" s="1520">
        <v>46136</v>
      </c>
      <c r="M97" s="1520">
        <v>46137</v>
      </c>
      <c r="N97" t="s">
        <v>84</v>
      </c>
      <c r="O97" s="1520">
        <v>46150</v>
      </c>
      <c r="P97" s="1520">
        <v>46145</v>
      </c>
    </row>
    <row r="98" spans="1:16">
      <c r="A98" t="s">
        <v>514</v>
      </c>
      <c r="B98" t="s">
        <v>64</v>
      </c>
      <c r="C98" t="s">
        <v>114</v>
      </c>
      <c r="D98" t="s">
        <v>70</v>
      </c>
      <c r="E98" t="s">
        <v>118</v>
      </c>
      <c r="F98" t="s">
        <v>119</v>
      </c>
      <c r="G98" t="s">
        <v>197</v>
      </c>
      <c r="H98" t="s">
        <v>75</v>
      </c>
      <c r="I98" t="s">
        <v>517</v>
      </c>
      <c r="J98" s="1520">
        <v>46045</v>
      </c>
      <c r="K98" s="1520">
        <v>46100</v>
      </c>
      <c r="L98" s="1520">
        <v>46114</v>
      </c>
      <c r="M98" s="1520">
        <v>46117</v>
      </c>
      <c r="N98" t="s">
        <v>84</v>
      </c>
      <c r="O98" s="1520">
        <v>46120</v>
      </c>
      <c r="P98" s="1520">
        <v>46126</v>
      </c>
    </row>
    <row r="99" spans="1:16">
      <c r="A99" t="s">
        <v>520</v>
      </c>
      <c r="B99" t="s">
        <v>64</v>
      </c>
      <c r="C99" t="s">
        <v>114</v>
      </c>
      <c r="D99" t="s">
        <v>70</v>
      </c>
      <c r="E99" t="s">
        <v>118</v>
      </c>
      <c r="F99" t="s">
        <v>119</v>
      </c>
      <c r="G99">
        <v>1152</v>
      </c>
      <c r="H99" t="s">
        <v>75</v>
      </c>
      <c r="I99" t="s">
        <v>521</v>
      </c>
      <c r="J99" s="1520">
        <v>46051</v>
      </c>
      <c r="K99" s="1520">
        <v>46093</v>
      </c>
      <c r="L99" s="1520">
        <v>46095</v>
      </c>
      <c r="M99" s="1520">
        <v>46095</v>
      </c>
      <c r="N99" t="s">
        <v>84</v>
      </c>
      <c r="O99" s="1520">
        <v>46107</v>
      </c>
      <c r="P99" s="1520">
        <v>46104</v>
      </c>
    </row>
    <row r="100" spans="1:16">
      <c r="A100" t="s">
        <v>265</v>
      </c>
      <c r="B100" t="s">
        <v>64</v>
      </c>
      <c r="C100" t="s">
        <v>114</v>
      </c>
      <c r="D100" t="s">
        <v>70</v>
      </c>
      <c r="E100" t="s">
        <v>118</v>
      </c>
      <c r="F100" t="s">
        <v>119</v>
      </c>
      <c r="G100">
        <v>1152</v>
      </c>
      <c r="H100" t="s">
        <v>75</v>
      </c>
      <c r="I100" t="s">
        <v>267</v>
      </c>
      <c r="J100" s="1520">
        <v>46042</v>
      </c>
      <c r="K100" s="1520">
        <v>46081</v>
      </c>
      <c r="L100" s="1520">
        <v>46083</v>
      </c>
      <c r="M100" s="1520">
        <v>46084</v>
      </c>
      <c r="N100" t="s">
        <v>84</v>
      </c>
      <c r="O100" s="1520">
        <v>46095</v>
      </c>
      <c r="P100" s="1520">
        <v>46093</v>
      </c>
    </row>
    <row r="101" spans="1:16">
      <c r="A101" t="s">
        <v>245</v>
      </c>
      <c r="B101" t="s">
        <v>64</v>
      </c>
      <c r="C101" t="s">
        <v>114</v>
      </c>
      <c r="D101" t="s">
        <v>70</v>
      </c>
      <c r="E101" t="s">
        <v>118</v>
      </c>
      <c r="F101" t="s">
        <v>119</v>
      </c>
      <c r="G101">
        <v>1728</v>
      </c>
      <c r="H101" t="s">
        <v>75</v>
      </c>
      <c r="I101" t="s">
        <v>246</v>
      </c>
      <c r="J101" s="1520">
        <v>46031</v>
      </c>
      <c r="K101" s="1520">
        <v>46086</v>
      </c>
      <c r="L101" s="1520">
        <v>46088</v>
      </c>
      <c r="M101" s="1520">
        <v>46089</v>
      </c>
      <c r="N101" t="s">
        <v>84</v>
      </c>
      <c r="O101" s="1520">
        <v>46100</v>
      </c>
      <c r="P101" s="1520">
        <v>46098</v>
      </c>
    </row>
    <row r="102" spans="1:16">
      <c r="A102" t="s">
        <v>811</v>
      </c>
      <c r="B102" t="s">
        <v>64</v>
      </c>
      <c r="C102" t="s">
        <v>450</v>
      </c>
      <c r="D102" t="s">
        <v>70</v>
      </c>
      <c r="E102" t="s">
        <v>420</v>
      </c>
      <c r="F102" t="s">
        <v>421</v>
      </c>
      <c r="G102">
        <v>864</v>
      </c>
      <c r="H102" t="s">
        <v>75</v>
      </c>
      <c r="I102" t="s">
        <v>813</v>
      </c>
      <c r="J102" s="1520">
        <v>46070</v>
      </c>
      <c r="K102" s="1520">
        <v>46131</v>
      </c>
      <c r="L102" s="1520">
        <v>46138</v>
      </c>
      <c r="M102" s="1520">
        <v>46138</v>
      </c>
      <c r="N102" t="s">
        <v>84</v>
      </c>
      <c r="O102" s="1520">
        <v>46153</v>
      </c>
      <c r="P102" s="1520">
        <v>46145</v>
      </c>
    </row>
    <row r="103" spans="1:16">
      <c r="A103" t="s">
        <v>801</v>
      </c>
      <c r="B103" t="s">
        <v>64</v>
      </c>
      <c r="C103" t="s">
        <v>100</v>
      </c>
      <c r="D103" t="s">
        <v>70</v>
      </c>
      <c r="E103" t="s">
        <v>420</v>
      </c>
      <c r="F103" t="s">
        <v>421</v>
      </c>
      <c r="G103">
        <v>4320</v>
      </c>
      <c r="H103" t="s">
        <v>75</v>
      </c>
      <c r="I103" t="s">
        <v>808</v>
      </c>
      <c r="J103" s="1520">
        <v>46066</v>
      </c>
      <c r="K103" s="1520">
        <v>46119</v>
      </c>
      <c r="L103" s="1520">
        <v>46141</v>
      </c>
      <c r="M103" s="1520">
        <v>46137</v>
      </c>
      <c r="N103" t="s">
        <v>84</v>
      </c>
      <c r="O103" s="1520">
        <v>46150</v>
      </c>
      <c r="P103" s="1520">
        <v>46144</v>
      </c>
    </row>
    <row r="104" spans="1:16">
      <c r="A104" t="s">
        <v>1026</v>
      </c>
      <c r="B104" t="s">
        <v>64</v>
      </c>
      <c r="C104" t="s">
        <v>100</v>
      </c>
      <c r="D104" t="s">
        <v>70</v>
      </c>
      <c r="E104" t="s">
        <v>965</v>
      </c>
      <c r="F104" t="s">
        <v>966</v>
      </c>
      <c r="G104">
        <v>3744</v>
      </c>
      <c r="H104" t="s">
        <v>75</v>
      </c>
      <c r="I104" t="s">
        <v>1027</v>
      </c>
      <c r="J104" s="1520">
        <v>46066</v>
      </c>
      <c r="K104" s="1520">
        <v>46119</v>
      </c>
      <c r="L104" s="1520">
        <v>46141</v>
      </c>
      <c r="M104" s="1520">
        <v>46137</v>
      </c>
      <c r="N104" t="s">
        <v>973</v>
      </c>
      <c r="O104" s="1520">
        <v>46150</v>
      </c>
      <c r="P104" s="1520">
        <v>46144</v>
      </c>
    </row>
    <row r="105" spans="1:16">
      <c r="A105" t="s">
        <v>1023</v>
      </c>
      <c r="B105" t="s">
        <v>64</v>
      </c>
      <c r="C105" t="s">
        <v>100</v>
      </c>
      <c r="D105" t="s">
        <v>70</v>
      </c>
      <c r="E105" t="s">
        <v>965</v>
      </c>
      <c r="F105" t="s">
        <v>966</v>
      </c>
      <c r="G105">
        <v>3744</v>
      </c>
      <c r="H105" t="s">
        <v>75</v>
      </c>
      <c r="I105" t="s">
        <v>1025</v>
      </c>
      <c r="J105" s="1520">
        <v>46066</v>
      </c>
      <c r="K105" s="1520">
        <v>46119</v>
      </c>
      <c r="L105" s="1520">
        <v>46141</v>
      </c>
      <c r="M105" s="1520">
        <v>46137</v>
      </c>
      <c r="N105" t="s">
        <v>973</v>
      </c>
      <c r="O105" s="1520">
        <v>46150</v>
      </c>
      <c r="P105" s="1520">
        <v>46144</v>
      </c>
    </row>
    <row r="106" spans="1:16">
      <c r="A106" t="s">
        <v>1020</v>
      </c>
      <c r="B106" t="s">
        <v>64</v>
      </c>
      <c r="C106" t="s">
        <v>100</v>
      </c>
      <c r="D106" t="s">
        <v>70</v>
      </c>
      <c r="E106" t="s">
        <v>965</v>
      </c>
      <c r="F106" t="s">
        <v>966</v>
      </c>
      <c r="G106">
        <v>7488</v>
      </c>
      <c r="H106" t="s">
        <v>75</v>
      </c>
      <c r="I106" t="s">
        <v>1022</v>
      </c>
      <c r="J106" s="1520">
        <v>46066</v>
      </c>
      <c r="K106" s="1520">
        <v>46119</v>
      </c>
      <c r="L106" s="1520">
        <v>46141</v>
      </c>
      <c r="M106" s="1520">
        <v>46137</v>
      </c>
      <c r="N106" t="s">
        <v>973</v>
      </c>
      <c r="O106" s="1520">
        <v>46150</v>
      </c>
      <c r="P106" s="1520">
        <v>46144</v>
      </c>
    </row>
    <row r="107" spans="1:16">
      <c r="A107" t="s">
        <v>805</v>
      </c>
      <c r="B107" t="s">
        <v>64</v>
      </c>
      <c r="C107" t="s">
        <v>100</v>
      </c>
      <c r="D107" t="s">
        <v>70</v>
      </c>
      <c r="E107" t="s">
        <v>420</v>
      </c>
      <c r="F107" t="s">
        <v>421</v>
      </c>
      <c r="G107">
        <v>3456</v>
      </c>
      <c r="H107" t="s">
        <v>75</v>
      </c>
      <c r="I107" t="s">
        <v>806</v>
      </c>
      <c r="J107" s="1520">
        <v>46066</v>
      </c>
      <c r="K107" s="1520">
        <v>46119</v>
      </c>
      <c r="L107" s="1520">
        <v>46141</v>
      </c>
      <c r="M107" s="1520">
        <v>46137</v>
      </c>
      <c r="N107" t="s">
        <v>84</v>
      </c>
      <c r="O107" s="1520">
        <v>46150</v>
      </c>
      <c r="P107" s="1520">
        <v>46144</v>
      </c>
    </row>
    <row r="108" spans="1:16">
      <c r="A108" t="s">
        <v>1015</v>
      </c>
      <c r="B108" t="s">
        <v>64</v>
      </c>
      <c r="C108" t="s">
        <v>100</v>
      </c>
      <c r="D108" t="s">
        <v>70</v>
      </c>
      <c r="E108" t="s">
        <v>195</v>
      </c>
      <c r="F108" t="s">
        <v>196</v>
      </c>
      <c r="G108">
        <v>1872</v>
      </c>
      <c r="H108" t="s">
        <v>75</v>
      </c>
      <c r="I108" t="s">
        <v>1017</v>
      </c>
      <c r="J108" s="1520">
        <v>46066</v>
      </c>
      <c r="K108" s="1520">
        <v>46119</v>
      </c>
      <c r="L108" s="1520">
        <v>46141</v>
      </c>
      <c r="M108" s="1520">
        <v>46137</v>
      </c>
      <c r="N108" t="s">
        <v>973</v>
      </c>
      <c r="O108" s="1520">
        <v>46150</v>
      </c>
      <c r="P108" s="1520">
        <v>46144</v>
      </c>
    </row>
    <row r="109" spans="1:16">
      <c r="A109" t="s">
        <v>799</v>
      </c>
      <c r="B109" t="s">
        <v>64</v>
      </c>
      <c r="C109" t="s">
        <v>100</v>
      </c>
      <c r="D109" t="s">
        <v>70</v>
      </c>
      <c r="E109" t="s">
        <v>420</v>
      </c>
      <c r="F109" t="s">
        <v>421</v>
      </c>
      <c r="G109">
        <v>864</v>
      </c>
      <c r="H109" t="s">
        <v>75</v>
      </c>
      <c r="I109" t="s">
        <v>802</v>
      </c>
      <c r="J109" s="1520">
        <v>46066</v>
      </c>
      <c r="K109" s="1520">
        <v>46119</v>
      </c>
      <c r="L109" s="1520">
        <v>46141</v>
      </c>
      <c r="M109" s="1520">
        <v>46137</v>
      </c>
      <c r="N109" t="s">
        <v>84</v>
      </c>
      <c r="O109" s="1520">
        <v>46150</v>
      </c>
      <c r="P109" s="1520">
        <v>46144</v>
      </c>
    </row>
    <row r="110" spans="1:16">
      <c r="A110" t="s">
        <v>1013</v>
      </c>
      <c r="B110" t="s">
        <v>64</v>
      </c>
      <c r="C110" t="s">
        <v>100</v>
      </c>
      <c r="D110" t="s">
        <v>70</v>
      </c>
      <c r="E110" t="s">
        <v>965</v>
      </c>
      <c r="F110" t="s">
        <v>966</v>
      </c>
      <c r="G110">
        <v>2808</v>
      </c>
      <c r="H110" t="s">
        <v>75</v>
      </c>
      <c r="I110" t="s">
        <v>1014</v>
      </c>
      <c r="J110" s="1520">
        <v>46066</v>
      </c>
      <c r="K110" s="1520">
        <v>46119</v>
      </c>
      <c r="L110" s="1520">
        <v>46141</v>
      </c>
      <c r="M110" s="1520">
        <v>46137</v>
      </c>
      <c r="N110" t="s">
        <v>973</v>
      </c>
      <c r="O110" s="1520">
        <v>46150</v>
      </c>
      <c r="P110" s="1520">
        <v>46144</v>
      </c>
    </row>
    <row r="111" spans="1:16">
      <c r="A111" t="s">
        <v>193</v>
      </c>
      <c r="B111" t="s">
        <v>64</v>
      </c>
      <c r="C111" t="s">
        <v>100</v>
      </c>
      <c r="D111" t="s">
        <v>70</v>
      </c>
      <c r="E111" t="s">
        <v>195</v>
      </c>
      <c r="F111" t="s">
        <v>196</v>
      </c>
      <c r="G111">
        <v>4680</v>
      </c>
      <c r="H111" t="s">
        <v>75</v>
      </c>
      <c r="I111" t="s">
        <v>798</v>
      </c>
      <c r="J111" s="1520">
        <v>46066</v>
      </c>
      <c r="K111" s="1520">
        <v>46119</v>
      </c>
      <c r="L111" s="1520">
        <v>46141</v>
      </c>
      <c r="M111" s="1520">
        <v>46137</v>
      </c>
      <c r="N111" t="s">
        <v>84</v>
      </c>
      <c r="O111" s="1520">
        <v>46150</v>
      </c>
      <c r="P111" s="1520">
        <v>46144</v>
      </c>
    </row>
    <row r="112" spans="1:16">
      <c r="A112" t="s">
        <v>817</v>
      </c>
      <c r="B112" t="s">
        <v>64</v>
      </c>
      <c r="C112" t="s">
        <v>100</v>
      </c>
      <c r="D112" t="s">
        <v>70</v>
      </c>
      <c r="E112" t="s">
        <v>570</v>
      </c>
      <c r="F112" t="s">
        <v>571</v>
      </c>
      <c r="G112">
        <v>4680</v>
      </c>
      <c r="H112" t="s">
        <v>75</v>
      </c>
      <c r="I112" t="s">
        <v>818</v>
      </c>
      <c r="J112" s="1520">
        <v>46066</v>
      </c>
      <c r="K112" s="1520">
        <v>46119</v>
      </c>
      <c r="L112" s="1520">
        <v>46133</v>
      </c>
      <c r="M112" s="1520">
        <v>46133</v>
      </c>
      <c r="N112" t="s">
        <v>84</v>
      </c>
      <c r="O112" s="1520">
        <v>46147</v>
      </c>
      <c r="P112" s="1520">
        <v>46140</v>
      </c>
    </row>
    <row r="113" spans="1:16">
      <c r="A113" t="s">
        <v>795</v>
      </c>
      <c r="B113" t="s">
        <v>64</v>
      </c>
      <c r="C113" t="s">
        <v>100</v>
      </c>
      <c r="D113" t="s">
        <v>70</v>
      </c>
      <c r="E113" t="s">
        <v>570</v>
      </c>
      <c r="F113" t="s">
        <v>571</v>
      </c>
      <c r="G113">
        <v>3744</v>
      </c>
      <c r="H113" t="s">
        <v>75</v>
      </c>
      <c r="I113" t="s">
        <v>797</v>
      </c>
      <c r="J113" s="1520">
        <v>46066</v>
      </c>
      <c r="K113" s="1520">
        <v>46119</v>
      </c>
      <c r="L113" s="1520">
        <v>46141</v>
      </c>
      <c r="M113" s="1520">
        <v>46137</v>
      </c>
      <c r="N113" t="s">
        <v>84</v>
      </c>
      <c r="O113" s="1520">
        <v>46150</v>
      </c>
      <c r="P113" s="1520">
        <v>46144</v>
      </c>
    </row>
    <row r="114" spans="1:16">
      <c r="A114" t="s">
        <v>790</v>
      </c>
      <c r="B114" t="s">
        <v>64</v>
      </c>
      <c r="C114" t="s">
        <v>100</v>
      </c>
      <c r="D114" t="s">
        <v>70</v>
      </c>
      <c r="E114" t="s">
        <v>791</v>
      </c>
      <c r="F114" t="s">
        <v>571</v>
      </c>
      <c r="G114">
        <v>4680</v>
      </c>
      <c r="H114" t="s">
        <v>75</v>
      </c>
      <c r="I114" t="s">
        <v>792</v>
      </c>
      <c r="J114" s="1520">
        <v>46066</v>
      </c>
      <c r="K114" s="1520">
        <v>46119</v>
      </c>
      <c r="L114" s="1520">
        <v>46141</v>
      </c>
      <c r="M114" s="1520">
        <v>46137</v>
      </c>
      <c r="N114" t="s">
        <v>84</v>
      </c>
      <c r="O114" s="1520">
        <v>46150</v>
      </c>
      <c r="P114" s="1520">
        <v>46144</v>
      </c>
    </row>
    <row r="115" spans="1:16">
      <c r="A115" t="s">
        <v>786</v>
      </c>
      <c r="B115" t="s">
        <v>64</v>
      </c>
      <c r="C115" t="s">
        <v>65</v>
      </c>
      <c r="D115" t="s">
        <v>70</v>
      </c>
      <c r="E115" t="s">
        <v>691</v>
      </c>
      <c r="F115" t="s">
        <v>692</v>
      </c>
      <c r="G115">
        <v>2592</v>
      </c>
      <c r="H115" t="s">
        <v>75</v>
      </c>
      <c r="I115" t="s">
        <v>787</v>
      </c>
      <c r="J115" s="1520">
        <v>46066</v>
      </c>
      <c r="K115" s="1520">
        <v>46139</v>
      </c>
      <c r="L115" s="1520">
        <v>46146</v>
      </c>
      <c r="M115" s="1520">
        <v>46144</v>
      </c>
      <c r="N115" t="s">
        <v>84</v>
      </c>
      <c r="O115" s="1520">
        <v>46160</v>
      </c>
      <c r="P115" s="1520">
        <v>46152</v>
      </c>
    </row>
    <row r="116" spans="1:16">
      <c r="A116" t="s">
        <v>784</v>
      </c>
      <c r="B116" t="s">
        <v>64</v>
      </c>
      <c r="C116" t="s">
        <v>65</v>
      </c>
      <c r="D116" t="s">
        <v>70</v>
      </c>
      <c r="E116" t="s">
        <v>691</v>
      </c>
      <c r="F116" t="s">
        <v>692</v>
      </c>
      <c r="G116">
        <v>864</v>
      </c>
      <c r="H116" t="s">
        <v>75</v>
      </c>
      <c r="I116" t="s">
        <v>785</v>
      </c>
      <c r="J116" s="1520">
        <v>46066</v>
      </c>
      <c r="K116" s="1520">
        <v>46139</v>
      </c>
      <c r="L116" s="1520">
        <v>46146</v>
      </c>
      <c r="M116" s="1520">
        <v>46144</v>
      </c>
      <c r="N116" t="s">
        <v>84</v>
      </c>
      <c r="O116" s="1520">
        <v>46160</v>
      </c>
      <c r="P116" s="1520">
        <v>46152</v>
      </c>
    </row>
    <row r="117" spans="1:16">
      <c r="A117" t="s">
        <v>782</v>
      </c>
      <c r="B117" t="s">
        <v>64</v>
      </c>
      <c r="C117" t="s">
        <v>65</v>
      </c>
      <c r="D117" t="s">
        <v>70</v>
      </c>
      <c r="E117" t="s">
        <v>691</v>
      </c>
      <c r="F117" t="s">
        <v>692</v>
      </c>
      <c r="G117">
        <v>864</v>
      </c>
      <c r="H117" t="s">
        <v>75</v>
      </c>
      <c r="I117" t="s">
        <v>783</v>
      </c>
      <c r="J117" s="1520">
        <v>46066</v>
      </c>
      <c r="K117" s="1520">
        <v>46139</v>
      </c>
      <c r="L117" s="1520">
        <v>46146</v>
      </c>
      <c r="M117" s="1520">
        <v>46144</v>
      </c>
      <c r="N117" t="s">
        <v>84</v>
      </c>
      <c r="O117" s="1520">
        <v>46160</v>
      </c>
      <c r="P117" s="1520">
        <v>46152</v>
      </c>
    </row>
    <row r="118" spans="1:16">
      <c r="A118" t="s">
        <v>779</v>
      </c>
      <c r="B118" t="s">
        <v>64</v>
      </c>
      <c r="C118" t="s">
        <v>65</v>
      </c>
      <c r="D118" t="s">
        <v>70</v>
      </c>
      <c r="E118" t="s">
        <v>204</v>
      </c>
      <c r="F118" t="s">
        <v>205</v>
      </c>
      <c r="G118">
        <v>5868</v>
      </c>
      <c r="H118" t="s">
        <v>75</v>
      </c>
      <c r="I118" t="s">
        <v>781</v>
      </c>
      <c r="J118" s="1520">
        <v>46066</v>
      </c>
      <c r="K118" s="1520">
        <v>46139</v>
      </c>
      <c r="L118" s="1520">
        <v>46146</v>
      </c>
      <c r="M118" s="1520">
        <v>46144</v>
      </c>
      <c r="N118" t="s">
        <v>84</v>
      </c>
      <c r="O118" s="1520">
        <v>46160</v>
      </c>
      <c r="P118" s="1520">
        <v>46152</v>
      </c>
    </row>
    <row r="119" spans="1:16">
      <c r="A119" t="s">
        <v>775</v>
      </c>
      <c r="B119" t="s">
        <v>64</v>
      </c>
      <c r="C119" t="s">
        <v>65</v>
      </c>
      <c r="D119" t="s">
        <v>70</v>
      </c>
      <c r="E119" t="s">
        <v>91</v>
      </c>
      <c r="F119" t="s">
        <v>92</v>
      </c>
      <c r="G119">
        <v>4428</v>
      </c>
      <c r="H119" t="s">
        <v>75</v>
      </c>
      <c r="I119" t="s">
        <v>776</v>
      </c>
      <c r="J119" s="1520">
        <v>46066</v>
      </c>
      <c r="K119" s="1520">
        <v>46139</v>
      </c>
      <c r="L119" s="1520">
        <v>46146</v>
      </c>
      <c r="M119" s="1520">
        <v>46144</v>
      </c>
      <c r="N119" t="s">
        <v>84</v>
      </c>
      <c r="O119" s="1520">
        <v>46160</v>
      </c>
      <c r="P119" s="1520">
        <v>46152</v>
      </c>
    </row>
    <row r="120" spans="1:16">
      <c r="A120" t="s">
        <v>774</v>
      </c>
      <c r="B120" t="s">
        <v>64</v>
      </c>
      <c r="C120" t="s">
        <v>65</v>
      </c>
      <c r="D120" t="s">
        <v>70</v>
      </c>
      <c r="E120" t="s">
        <v>91</v>
      </c>
      <c r="F120" t="s">
        <v>92</v>
      </c>
      <c r="G120">
        <v>1872</v>
      </c>
      <c r="H120" t="s">
        <v>75</v>
      </c>
      <c r="I120" t="s">
        <v>776</v>
      </c>
      <c r="J120" s="1520">
        <v>46066</v>
      </c>
      <c r="K120" s="1520">
        <v>46139</v>
      </c>
      <c r="L120" s="1520">
        <v>46146</v>
      </c>
      <c r="M120" s="1520">
        <v>46144</v>
      </c>
      <c r="N120" t="s">
        <v>84</v>
      </c>
      <c r="O120" s="1520">
        <v>46160</v>
      </c>
      <c r="P120" s="1520">
        <v>46152</v>
      </c>
    </row>
    <row r="121" spans="1:16">
      <c r="A121" t="s">
        <v>1011</v>
      </c>
      <c r="B121" t="s">
        <v>64</v>
      </c>
      <c r="C121" t="s">
        <v>100</v>
      </c>
      <c r="D121" t="s">
        <v>70</v>
      </c>
      <c r="E121" t="s">
        <v>965</v>
      </c>
      <c r="F121" t="s">
        <v>966</v>
      </c>
      <c r="G121">
        <v>936</v>
      </c>
      <c r="H121" t="s">
        <v>75</v>
      </c>
      <c r="I121" t="s">
        <v>1012</v>
      </c>
      <c r="J121" s="1520">
        <v>46066</v>
      </c>
      <c r="K121" s="1520">
        <v>46119</v>
      </c>
      <c r="L121" s="1520">
        <v>46141</v>
      </c>
      <c r="M121" s="1520">
        <v>46137</v>
      </c>
      <c r="N121" t="s">
        <v>973</v>
      </c>
      <c r="O121" s="1520">
        <v>46148</v>
      </c>
      <c r="P121" s="1520">
        <v>46144</v>
      </c>
    </row>
    <row r="122" spans="1:16">
      <c r="A122" t="s">
        <v>768</v>
      </c>
      <c r="B122" t="s">
        <v>64</v>
      </c>
      <c r="C122" t="s">
        <v>100</v>
      </c>
      <c r="D122" t="s">
        <v>70</v>
      </c>
      <c r="E122" t="s">
        <v>560</v>
      </c>
      <c r="F122" t="s">
        <v>196</v>
      </c>
      <c r="G122">
        <v>2736</v>
      </c>
      <c r="H122" t="s">
        <v>75</v>
      </c>
      <c r="I122" t="s">
        <v>770</v>
      </c>
      <c r="J122" s="1520">
        <v>46066</v>
      </c>
      <c r="K122" s="1520">
        <v>46119</v>
      </c>
      <c r="L122" s="1520">
        <v>46141</v>
      </c>
      <c r="M122" s="1520">
        <v>46137</v>
      </c>
      <c r="N122" t="s">
        <v>84</v>
      </c>
      <c r="O122" s="1520">
        <v>46150</v>
      </c>
      <c r="P122" s="1520">
        <v>46144</v>
      </c>
    </row>
    <row r="123" spans="1:16">
      <c r="A123" t="s">
        <v>985</v>
      </c>
      <c r="B123" t="s">
        <v>64</v>
      </c>
      <c r="C123" t="s">
        <v>100</v>
      </c>
      <c r="D123" t="s">
        <v>70</v>
      </c>
      <c r="E123" t="s">
        <v>195</v>
      </c>
      <c r="F123" t="s">
        <v>196</v>
      </c>
      <c r="G123">
        <v>936</v>
      </c>
      <c r="H123" t="s">
        <v>75</v>
      </c>
      <c r="I123" t="s">
        <v>1010</v>
      </c>
      <c r="J123" s="1520">
        <v>46066</v>
      </c>
      <c r="K123" s="1520">
        <v>46119</v>
      </c>
      <c r="L123" s="1520">
        <v>46141</v>
      </c>
      <c r="M123" s="1520">
        <v>46137</v>
      </c>
      <c r="N123" t="s">
        <v>973</v>
      </c>
      <c r="O123" s="1520">
        <v>46150</v>
      </c>
      <c r="P123" s="1520">
        <v>46144</v>
      </c>
    </row>
    <row r="124" spans="1:16">
      <c r="A124" t="s">
        <v>762</v>
      </c>
      <c r="B124" t="s">
        <v>64</v>
      </c>
      <c r="C124" t="s">
        <v>65</v>
      </c>
      <c r="D124" t="s">
        <v>473</v>
      </c>
      <c r="E124" t="s">
        <v>763</v>
      </c>
      <c r="F124" t="s">
        <v>764</v>
      </c>
      <c r="G124">
        <v>864</v>
      </c>
      <c r="H124" t="s">
        <v>75</v>
      </c>
      <c r="I124" t="s">
        <v>765</v>
      </c>
      <c r="J124" s="1520">
        <v>46063</v>
      </c>
      <c r="K124" s="1520">
        <v>46092</v>
      </c>
      <c r="L124" s="1520">
        <v>46115</v>
      </c>
      <c r="M124" s="1520">
        <v>46119</v>
      </c>
      <c r="N124" t="s">
        <v>84</v>
      </c>
      <c r="O124" s="1520">
        <v>46129</v>
      </c>
      <c r="P124" s="1520">
        <v>46127</v>
      </c>
    </row>
    <row r="125" spans="1:16">
      <c r="A125" t="s">
        <v>112</v>
      </c>
      <c r="B125" t="s">
        <v>64</v>
      </c>
      <c r="C125" t="s">
        <v>114</v>
      </c>
      <c r="D125" t="s">
        <v>70</v>
      </c>
      <c r="E125" t="s">
        <v>118</v>
      </c>
      <c r="F125" t="s">
        <v>119</v>
      </c>
      <c r="G125">
        <v>2787</v>
      </c>
      <c r="H125" t="s">
        <v>75</v>
      </c>
      <c r="I125" t="s">
        <v>761</v>
      </c>
      <c r="J125" s="1520">
        <v>46063</v>
      </c>
      <c r="K125" s="1520">
        <v>46114</v>
      </c>
      <c r="L125" s="1520">
        <v>46125</v>
      </c>
      <c r="M125" s="1520">
        <v>46126</v>
      </c>
      <c r="N125" t="s">
        <v>84</v>
      </c>
      <c r="O125" s="1520">
        <v>46135</v>
      </c>
      <c r="P125" s="1520">
        <v>46135</v>
      </c>
    </row>
    <row r="126" spans="1:16">
      <c r="A126" t="s">
        <v>757</v>
      </c>
      <c r="B126" t="s">
        <v>64</v>
      </c>
      <c r="C126" t="s">
        <v>114</v>
      </c>
      <c r="D126" t="s">
        <v>70</v>
      </c>
      <c r="E126" t="s">
        <v>118</v>
      </c>
      <c r="F126" t="s">
        <v>119</v>
      </c>
      <c r="G126">
        <v>5760</v>
      </c>
      <c r="H126" t="s">
        <v>75</v>
      </c>
      <c r="I126" t="s">
        <v>758</v>
      </c>
      <c r="J126" s="1520">
        <v>46063</v>
      </c>
      <c r="K126" s="1520">
        <v>46114</v>
      </c>
      <c r="L126" s="1520">
        <v>46125</v>
      </c>
      <c r="M126" s="1520">
        <v>46126</v>
      </c>
      <c r="N126" t="s">
        <v>84</v>
      </c>
      <c r="O126" s="1520">
        <v>46135</v>
      </c>
      <c r="P126" s="1520">
        <v>46135</v>
      </c>
    </row>
    <row r="127" spans="1:16">
      <c r="A127" t="s">
        <v>755</v>
      </c>
      <c r="B127" t="s">
        <v>64</v>
      </c>
      <c r="C127" t="s">
        <v>114</v>
      </c>
      <c r="D127" t="s">
        <v>70</v>
      </c>
      <c r="E127" t="s">
        <v>118</v>
      </c>
      <c r="F127" t="s">
        <v>119</v>
      </c>
      <c r="G127">
        <v>4032</v>
      </c>
      <c r="H127" t="s">
        <v>75</v>
      </c>
      <c r="I127" t="s">
        <v>756</v>
      </c>
      <c r="J127" s="1520">
        <v>46063</v>
      </c>
      <c r="K127" s="1520">
        <v>46114</v>
      </c>
      <c r="L127" s="1520">
        <v>46125</v>
      </c>
      <c r="M127" s="1520">
        <v>46126</v>
      </c>
      <c r="N127" t="s">
        <v>84</v>
      </c>
      <c r="O127" s="1520">
        <v>46135</v>
      </c>
      <c r="P127" s="1520">
        <v>46135</v>
      </c>
    </row>
    <row r="128" spans="1:16">
      <c r="A128" t="s">
        <v>751</v>
      </c>
      <c r="B128" t="s">
        <v>64</v>
      </c>
      <c r="C128" t="s">
        <v>114</v>
      </c>
      <c r="D128" t="s">
        <v>70</v>
      </c>
      <c r="E128" t="s">
        <v>118</v>
      </c>
      <c r="F128" t="s">
        <v>119</v>
      </c>
      <c r="G128">
        <v>1152</v>
      </c>
      <c r="H128" t="s">
        <v>75</v>
      </c>
      <c r="I128" t="s">
        <v>752</v>
      </c>
      <c r="J128" s="1520">
        <v>46063</v>
      </c>
      <c r="K128" s="1520">
        <v>46114</v>
      </c>
      <c r="L128" s="1520">
        <v>46125</v>
      </c>
      <c r="M128" s="1520">
        <v>46126</v>
      </c>
      <c r="N128" t="s">
        <v>84</v>
      </c>
      <c r="O128" s="1520">
        <v>46135</v>
      </c>
      <c r="P128" s="1520">
        <v>46135</v>
      </c>
    </row>
    <row r="129" spans="1:16">
      <c r="A129" t="s">
        <v>746</v>
      </c>
      <c r="B129" t="s">
        <v>64</v>
      </c>
      <c r="C129" t="s">
        <v>114</v>
      </c>
      <c r="D129" t="s">
        <v>70</v>
      </c>
      <c r="E129" t="s">
        <v>118</v>
      </c>
      <c r="F129" t="s">
        <v>119</v>
      </c>
      <c r="G129">
        <v>3456</v>
      </c>
      <c r="H129" t="s">
        <v>75</v>
      </c>
      <c r="I129" t="s">
        <v>747</v>
      </c>
      <c r="J129" s="1520">
        <v>46063</v>
      </c>
      <c r="K129" s="1520">
        <v>46107</v>
      </c>
      <c r="L129" s="1520">
        <v>46112</v>
      </c>
      <c r="M129" s="1520">
        <v>46112</v>
      </c>
      <c r="N129" t="s">
        <v>84</v>
      </c>
      <c r="O129" s="1520">
        <v>46121</v>
      </c>
      <c r="P129" s="1520">
        <v>46121</v>
      </c>
    </row>
    <row r="130" spans="1:16">
      <c r="A130" t="s">
        <v>744</v>
      </c>
      <c r="B130" t="s">
        <v>64</v>
      </c>
      <c r="C130" t="s">
        <v>65</v>
      </c>
      <c r="D130" t="s">
        <v>170</v>
      </c>
      <c r="E130" t="s">
        <v>171</v>
      </c>
      <c r="F130" t="s">
        <v>172</v>
      </c>
      <c r="G130">
        <v>660</v>
      </c>
      <c r="H130" t="s">
        <v>75</v>
      </c>
      <c r="I130" t="s">
        <v>745</v>
      </c>
      <c r="J130" s="1520">
        <v>46063</v>
      </c>
      <c r="K130" s="1520">
        <v>46108</v>
      </c>
      <c r="L130" s="1520">
        <v>46136</v>
      </c>
      <c r="M130" s="1520">
        <v>46137</v>
      </c>
      <c r="N130" t="s">
        <v>84</v>
      </c>
      <c r="O130" s="1520">
        <v>46150</v>
      </c>
      <c r="P130" s="1520">
        <v>46145</v>
      </c>
    </row>
    <row r="131" spans="1:16">
      <c r="A131" t="s">
        <v>1006</v>
      </c>
      <c r="B131" t="s">
        <v>64</v>
      </c>
      <c r="C131" t="s">
        <v>65</v>
      </c>
      <c r="D131" t="s">
        <v>70</v>
      </c>
      <c r="E131" t="s">
        <v>102</v>
      </c>
      <c r="F131" t="s">
        <v>103</v>
      </c>
      <c r="G131">
        <v>1440</v>
      </c>
      <c r="H131" t="s">
        <v>75</v>
      </c>
      <c r="I131" t="s">
        <v>1009</v>
      </c>
      <c r="J131" s="1520">
        <v>46063</v>
      </c>
      <c r="K131" s="1520">
        <v>46101</v>
      </c>
      <c r="L131" s="1520">
        <v>46136</v>
      </c>
      <c r="M131" s="1520">
        <v>46137</v>
      </c>
      <c r="N131" t="s">
        <v>973</v>
      </c>
      <c r="O131" s="1520">
        <v>46150</v>
      </c>
      <c r="P131" s="1520">
        <v>46145</v>
      </c>
    </row>
    <row r="132" spans="1:16">
      <c r="A132" t="s">
        <v>742</v>
      </c>
      <c r="B132" t="s">
        <v>64</v>
      </c>
      <c r="C132" t="s">
        <v>65</v>
      </c>
      <c r="D132" t="s">
        <v>170</v>
      </c>
      <c r="E132" t="s">
        <v>171</v>
      </c>
      <c r="F132" t="s">
        <v>172</v>
      </c>
      <c r="G132">
        <v>660</v>
      </c>
      <c r="H132" t="s">
        <v>75</v>
      </c>
      <c r="I132" t="s">
        <v>743</v>
      </c>
      <c r="J132" s="1520">
        <v>46063</v>
      </c>
      <c r="K132" s="1520">
        <v>46101</v>
      </c>
      <c r="L132" s="1520">
        <v>46136</v>
      </c>
      <c r="M132" s="1520">
        <v>46137</v>
      </c>
      <c r="N132" t="s">
        <v>84</v>
      </c>
      <c r="O132" s="1520">
        <v>46150</v>
      </c>
      <c r="P132" s="1520">
        <v>46145</v>
      </c>
    </row>
    <row r="133" spans="1:16">
      <c r="A133" t="s">
        <v>736</v>
      </c>
      <c r="B133" t="s">
        <v>64</v>
      </c>
      <c r="C133" t="s">
        <v>65</v>
      </c>
      <c r="D133" t="s">
        <v>170</v>
      </c>
      <c r="E133" t="s">
        <v>171</v>
      </c>
      <c r="F133" t="s">
        <v>172</v>
      </c>
      <c r="G133">
        <v>3960</v>
      </c>
      <c r="H133" t="s">
        <v>75</v>
      </c>
      <c r="I133" t="s">
        <v>738</v>
      </c>
      <c r="J133" s="1520">
        <v>46063</v>
      </c>
      <c r="K133" s="1520">
        <v>46111</v>
      </c>
      <c r="L133" s="1520">
        <v>46136</v>
      </c>
      <c r="M133" s="1520">
        <v>46137</v>
      </c>
      <c r="N133" t="s">
        <v>84</v>
      </c>
      <c r="O133" s="1520">
        <v>46150</v>
      </c>
      <c r="P133" s="1520">
        <v>46145</v>
      </c>
    </row>
    <row r="134" spans="1:16">
      <c r="A134" t="s">
        <v>1000</v>
      </c>
      <c r="B134" t="s">
        <v>64</v>
      </c>
      <c r="C134" t="s">
        <v>100</v>
      </c>
      <c r="D134" t="s">
        <v>70</v>
      </c>
      <c r="E134" t="s">
        <v>1002</v>
      </c>
      <c r="F134" t="s">
        <v>330</v>
      </c>
      <c r="G134">
        <v>7920</v>
      </c>
      <c r="H134" t="s">
        <v>75</v>
      </c>
      <c r="I134" t="s">
        <v>1003</v>
      </c>
      <c r="J134" s="1520">
        <v>46063</v>
      </c>
      <c r="K134" s="1520">
        <v>46098</v>
      </c>
      <c r="L134" s="1520">
        <v>46109</v>
      </c>
      <c r="M134" s="1520">
        <v>46109</v>
      </c>
      <c r="N134" t="s">
        <v>973</v>
      </c>
      <c r="O134" s="1520">
        <v>46125</v>
      </c>
      <c r="P134" s="1520">
        <v>46116</v>
      </c>
    </row>
    <row r="135" spans="1:16">
      <c r="A135" t="s">
        <v>994</v>
      </c>
      <c r="B135" t="s">
        <v>64</v>
      </c>
      <c r="C135" t="s">
        <v>100</v>
      </c>
      <c r="D135" t="s">
        <v>132</v>
      </c>
      <c r="E135" t="s">
        <v>133</v>
      </c>
      <c r="F135" t="s">
        <v>134</v>
      </c>
      <c r="G135">
        <v>5940</v>
      </c>
      <c r="H135" t="s">
        <v>75</v>
      </c>
      <c r="I135" t="s">
        <v>996</v>
      </c>
      <c r="J135" s="1520">
        <v>46063</v>
      </c>
      <c r="K135" s="1520">
        <v>46102</v>
      </c>
      <c r="L135" s="1520">
        <v>46126</v>
      </c>
      <c r="M135" s="1520">
        <v>46127</v>
      </c>
      <c r="N135" t="s">
        <v>973</v>
      </c>
      <c r="O135" s="1520">
        <v>46134</v>
      </c>
      <c r="P135" s="1520">
        <v>46134</v>
      </c>
    </row>
    <row r="136" spans="1:16">
      <c r="A136" t="s">
        <v>990</v>
      </c>
      <c r="B136" t="s">
        <v>64</v>
      </c>
      <c r="C136" t="s">
        <v>100</v>
      </c>
      <c r="D136" t="s">
        <v>132</v>
      </c>
      <c r="E136" t="s">
        <v>133</v>
      </c>
      <c r="F136" t="s">
        <v>134</v>
      </c>
      <c r="G136">
        <v>2376</v>
      </c>
      <c r="H136" t="s">
        <v>75</v>
      </c>
      <c r="I136" t="s">
        <v>993</v>
      </c>
      <c r="J136" s="1520">
        <v>46062</v>
      </c>
      <c r="K136" s="1520">
        <v>46099</v>
      </c>
      <c r="L136" s="1520">
        <v>46126</v>
      </c>
      <c r="M136" s="1520">
        <v>46127</v>
      </c>
      <c r="N136" t="s">
        <v>973</v>
      </c>
      <c r="O136" s="1520">
        <v>46134</v>
      </c>
      <c r="P136" s="1520">
        <v>46134</v>
      </c>
    </row>
    <row r="137" spans="1:16">
      <c r="A137" t="s">
        <v>734</v>
      </c>
      <c r="B137" t="s">
        <v>64</v>
      </c>
      <c r="C137" t="s">
        <v>100</v>
      </c>
      <c r="D137" t="s">
        <v>132</v>
      </c>
      <c r="E137" t="s">
        <v>189</v>
      </c>
      <c r="F137" t="s">
        <v>190</v>
      </c>
      <c r="G137">
        <v>2592</v>
      </c>
      <c r="H137" t="s">
        <v>75</v>
      </c>
      <c r="I137" t="s">
        <v>735</v>
      </c>
      <c r="J137" s="1520">
        <v>46062</v>
      </c>
      <c r="K137" s="1520">
        <v>46099</v>
      </c>
      <c r="L137" s="1520">
        <v>46126</v>
      </c>
      <c r="M137" s="1520">
        <v>46127</v>
      </c>
      <c r="N137" t="s">
        <v>84</v>
      </c>
      <c r="O137" s="1520">
        <v>46134</v>
      </c>
      <c r="P137" s="1520">
        <v>46134</v>
      </c>
    </row>
    <row r="138" spans="1:16">
      <c r="A138" t="s">
        <v>525</v>
      </c>
      <c r="B138" t="s">
        <v>64</v>
      </c>
      <c r="C138" t="s">
        <v>100</v>
      </c>
      <c r="D138" t="s">
        <v>473</v>
      </c>
      <c r="E138" t="s">
        <v>529</v>
      </c>
      <c r="F138" t="s">
        <v>530</v>
      </c>
      <c r="G138">
        <v>1728</v>
      </c>
      <c r="H138" t="s">
        <v>75</v>
      </c>
      <c r="I138" t="s">
        <v>729</v>
      </c>
      <c r="J138" s="1520">
        <v>46062</v>
      </c>
      <c r="K138" s="1520">
        <v>46102</v>
      </c>
      <c r="L138" s="1520">
        <v>46111</v>
      </c>
      <c r="M138" s="1520">
        <v>46113</v>
      </c>
      <c r="N138" t="s">
        <v>84</v>
      </c>
      <c r="O138" s="1520">
        <v>46125</v>
      </c>
      <c r="P138" s="1520">
        <v>46120</v>
      </c>
    </row>
    <row r="139" spans="1:16">
      <c r="A139" t="s">
        <v>638</v>
      </c>
      <c r="B139" t="s">
        <v>64</v>
      </c>
      <c r="C139" t="s">
        <v>100</v>
      </c>
      <c r="D139" t="s">
        <v>473</v>
      </c>
      <c r="E139" t="s">
        <v>474</v>
      </c>
      <c r="F139" t="s">
        <v>475</v>
      </c>
      <c r="G139">
        <v>864</v>
      </c>
      <c r="H139" t="s">
        <v>75</v>
      </c>
      <c r="I139" t="s">
        <v>730</v>
      </c>
      <c r="J139" s="1520">
        <v>46062</v>
      </c>
      <c r="K139" s="1520">
        <v>46099</v>
      </c>
      <c r="L139" s="1520">
        <v>46126</v>
      </c>
      <c r="M139" s="1520">
        <v>46127</v>
      </c>
      <c r="N139" t="s">
        <v>84</v>
      </c>
      <c r="O139" s="1520">
        <v>46134</v>
      </c>
      <c r="P139" s="1520">
        <v>46134</v>
      </c>
    </row>
    <row r="140" spans="1:16">
      <c r="A140" t="s">
        <v>727</v>
      </c>
      <c r="B140" t="s">
        <v>64</v>
      </c>
      <c r="C140" t="s">
        <v>100</v>
      </c>
      <c r="D140" t="s">
        <v>170</v>
      </c>
      <c r="E140" t="s">
        <v>171</v>
      </c>
      <c r="F140" t="s">
        <v>172</v>
      </c>
      <c r="G140">
        <v>3300</v>
      </c>
      <c r="H140" t="s">
        <v>75</v>
      </c>
      <c r="I140" t="s">
        <v>728</v>
      </c>
      <c r="J140" s="1520">
        <v>46062</v>
      </c>
      <c r="K140" s="1520">
        <v>46102</v>
      </c>
      <c r="L140" s="1520">
        <v>46111</v>
      </c>
      <c r="M140" s="1520">
        <v>46113</v>
      </c>
      <c r="N140" t="s">
        <v>84</v>
      </c>
      <c r="O140" s="1520">
        <v>46125</v>
      </c>
      <c r="P140" s="1520">
        <v>46120</v>
      </c>
    </row>
    <row r="141" spans="1:16">
      <c r="A141" t="s">
        <v>723</v>
      </c>
      <c r="B141" t="s">
        <v>64</v>
      </c>
      <c r="C141" t="s">
        <v>100</v>
      </c>
      <c r="D141" t="s">
        <v>170</v>
      </c>
      <c r="E141" t="s">
        <v>171</v>
      </c>
      <c r="F141" t="s">
        <v>172</v>
      </c>
      <c r="G141">
        <v>1980</v>
      </c>
      <c r="H141" t="s">
        <v>75</v>
      </c>
      <c r="I141" t="s">
        <v>724</v>
      </c>
      <c r="J141" s="1520">
        <v>46062</v>
      </c>
      <c r="K141" s="1520">
        <v>46102</v>
      </c>
      <c r="L141" s="1520">
        <v>46111</v>
      </c>
      <c r="M141" s="1520">
        <v>46113</v>
      </c>
      <c r="N141" t="s">
        <v>84</v>
      </c>
      <c r="O141" s="1520">
        <v>46125</v>
      </c>
      <c r="P141" s="1520">
        <v>46120</v>
      </c>
    </row>
    <row r="142" spans="1:16">
      <c r="A142" t="s">
        <v>319</v>
      </c>
      <c r="B142" t="s">
        <v>64</v>
      </c>
      <c r="C142" t="s">
        <v>100</v>
      </c>
      <c r="D142" t="s">
        <v>298</v>
      </c>
      <c r="E142" t="s">
        <v>306</v>
      </c>
      <c r="F142" t="s">
        <v>307</v>
      </c>
      <c r="G142">
        <v>962</v>
      </c>
      <c r="H142" t="s">
        <v>75</v>
      </c>
      <c r="I142" t="s">
        <v>320</v>
      </c>
      <c r="J142" s="1520">
        <v>46041</v>
      </c>
      <c r="K142" s="1520">
        <v>46090</v>
      </c>
      <c r="L142" s="1520">
        <v>46111</v>
      </c>
      <c r="M142" s="1520">
        <v>46111</v>
      </c>
      <c r="N142" t="s">
        <v>84</v>
      </c>
      <c r="O142" s="1520">
        <v>46125</v>
      </c>
      <c r="P142" s="1520">
        <v>46118</v>
      </c>
    </row>
    <row r="143" spans="1:16">
      <c r="A143" t="s">
        <v>664</v>
      </c>
      <c r="B143" t="s">
        <v>64</v>
      </c>
      <c r="C143" t="s">
        <v>100</v>
      </c>
      <c r="D143" t="s">
        <v>170</v>
      </c>
      <c r="E143" t="s">
        <v>171</v>
      </c>
      <c r="F143" t="s">
        <v>172</v>
      </c>
      <c r="G143">
        <v>1320</v>
      </c>
      <c r="H143" t="s">
        <v>75</v>
      </c>
      <c r="I143" t="s">
        <v>665</v>
      </c>
      <c r="J143" s="1520">
        <v>46055</v>
      </c>
      <c r="K143" s="1520">
        <v>46101</v>
      </c>
      <c r="L143" s="1520">
        <v>46111</v>
      </c>
      <c r="M143" s="1520">
        <v>46118</v>
      </c>
      <c r="N143" t="s">
        <v>84</v>
      </c>
      <c r="O143" s="1520">
        <v>46133</v>
      </c>
      <c r="P143" s="1520">
        <v>46125</v>
      </c>
    </row>
    <row r="144" spans="1:16">
      <c r="A144" t="s">
        <v>660</v>
      </c>
      <c r="B144" t="s">
        <v>64</v>
      </c>
      <c r="C144" t="s">
        <v>100</v>
      </c>
      <c r="D144" t="s">
        <v>170</v>
      </c>
      <c r="E144" t="s">
        <v>462</v>
      </c>
      <c r="F144" t="s">
        <v>463</v>
      </c>
      <c r="G144">
        <v>660</v>
      </c>
      <c r="H144" t="s">
        <v>75</v>
      </c>
      <c r="I144" t="s">
        <v>661</v>
      </c>
      <c r="J144" s="1520">
        <v>46055</v>
      </c>
      <c r="K144" s="1520">
        <v>46101</v>
      </c>
      <c r="L144" s="1520">
        <v>46111</v>
      </c>
      <c r="M144" s="1520">
        <v>46118</v>
      </c>
      <c r="N144" t="s">
        <v>84</v>
      </c>
      <c r="O144" s="1520">
        <v>46133</v>
      </c>
      <c r="P144" s="1520">
        <v>46125</v>
      </c>
    </row>
    <row r="145" spans="1:16">
      <c r="A145" t="s">
        <v>498</v>
      </c>
      <c r="B145" t="s">
        <v>64</v>
      </c>
      <c r="C145" t="s">
        <v>100</v>
      </c>
      <c r="D145" t="s">
        <v>170</v>
      </c>
      <c r="E145" t="s">
        <v>462</v>
      </c>
      <c r="F145" t="s">
        <v>463</v>
      </c>
      <c r="G145">
        <v>660</v>
      </c>
      <c r="H145" t="s">
        <v>75</v>
      </c>
      <c r="I145" t="s">
        <v>499</v>
      </c>
      <c r="J145" s="1520">
        <v>46045</v>
      </c>
      <c r="K145" s="1520">
        <v>46089</v>
      </c>
      <c r="L145" s="1520">
        <v>46111</v>
      </c>
      <c r="M145" s="1520">
        <v>46111</v>
      </c>
      <c r="N145" t="s">
        <v>84</v>
      </c>
      <c r="O145" s="1520">
        <v>46125</v>
      </c>
      <c r="P145" s="1520">
        <v>46118</v>
      </c>
    </row>
    <row r="146" spans="1:16">
      <c r="A146" t="s">
        <v>496</v>
      </c>
      <c r="B146" t="s">
        <v>64</v>
      </c>
      <c r="C146" t="s">
        <v>100</v>
      </c>
      <c r="D146" t="s">
        <v>170</v>
      </c>
      <c r="E146" t="s">
        <v>462</v>
      </c>
      <c r="F146" t="s">
        <v>463</v>
      </c>
      <c r="G146">
        <v>660</v>
      </c>
      <c r="H146" t="s">
        <v>75</v>
      </c>
      <c r="I146" t="s">
        <v>497</v>
      </c>
      <c r="J146" s="1520">
        <v>46045</v>
      </c>
      <c r="K146" s="1520">
        <v>46089</v>
      </c>
      <c r="L146" s="1520">
        <v>46111</v>
      </c>
      <c r="M146" s="1520">
        <v>46111</v>
      </c>
      <c r="N146" t="s">
        <v>84</v>
      </c>
      <c r="O146" s="1520">
        <v>46125</v>
      </c>
      <c r="P146" s="1520">
        <v>46118</v>
      </c>
    </row>
    <row r="147" spans="1:16">
      <c r="A147" t="s">
        <v>488</v>
      </c>
      <c r="B147" t="s">
        <v>64</v>
      </c>
      <c r="C147" t="s">
        <v>100</v>
      </c>
      <c r="D147" t="s">
        <v>132</v>
      </c>
      <c r="E147" t="s">
        <v>189</v>
      </c>
      <c r="F147" t="s">
        <v>190</v>
      </c>
      <c r="G147">
        <v>1728</v>
      </c>
      <c r="H147" t="s">
        <v>75</v>
      </c>
      <c r="I147" t="s">
        <v>489</v>
      </c>
      <c r="J147" s="1520">
        <v>46050</v>
      </c>
      <c r="K147" s="1520">
        <v>46101</v>
      </c>
      <c r="L147" s="1520">
        <v>46116</v>
      </c>
      <c r="M147" s="1520">
        <v>46118</v>
      </c>
      <c r="N147" t="s">
        <v>84</v>
      </c>
      <c r="O147" s="1520">
        <v>46132</v>
      </c>
      <c r="P147" s="1520">
        <v>46125</v>
      </c>
    </row>
    <row r="148" spans="1:16">
      <c r="A148" t="s">
        <v>494</v>
      </c>
      <c r="B148" t="s">
        <v>64</v>
      </c>
      <c r="C148" t="s">
        <v>100</v>
      </c>
      <c r="D148" t="s">
        <v>132</v>
      </c>
      <c r="E148" t="s">
        <v>189</v>
      </c>
      <c r="F148" t="s">
        <v>190</v>
      </c>
      <c r="G148">
        <v>864</v>
      </c>
      <c r="H148" t="s">
        <v>75</v>
      </c>
      <c r="I148" t="s">
        <v>495</v>
      </c>
      <c r="J148" s="1520">
        <v>46045</v>
      </c>
      <c r="K148" s="1520">
        <v>46089</v>
      </c>
      <c r="L148" s="1520">
        <v>46111</v>
      </c>
      <c r="M148" s="1520">
        <v>46111</v>
      </c>
      <c r="N148" t="s">
        <v>84</v>
      </c>
      <c r="O148" s="1520">
        <v>46125</v>
      </c>
      <c r="P148" s="1520">
        <v>46118</v>
      </c>
    </row>
    <row r="149" spans="1:16">
      <c r="A149" t="s">
        <v>490</v>
      </c>
      <c r="B149" t="s">
        <v>64</v>
      </c>
      <c r="C149" t="s">
        <v>100</v>
      </c>
      <c r="D149" t="s">
        <v>132</v>
      </c>
      <c r="E149" t="s">
        <v>189</v>
      </c>
      <c r="F149" t="s">
        <v>190</v>
      </c>
      <c r="G149">
        <v>1728</v>
      </c>
      <c r="H149" t="s">
        <v>75</v>
      </c>
      <c r="I149" t="s">
        <v>491</v>
      </c>
      <c r="J149" s="1520">
        <v>46045</v>
      </c>
      <c r="K149" s="1520">
        <v>46089</v>
      </c>
      <c r="L149" s="1520">
        <v>46111</v>
      </c>
      <c r="M149" s="1520">
        <v>46111</v>
      </c>
      <c r="N149" t="s">
        <v>84</v>
      </c>
      <c r="O149" s="1520">
        <v>46125</v>
      </c>
      <c r="P149" s="1520">
        <v>46118</v>
      </c>
    </row>
    <row r="150" spans="1:16">
      <c r="A150" t="s">
        <v>482</v>
      </c>
      <c r="B150" t="s">
        <v>64</v>
      </c>
      <c r="C150" t="s">
        <v>100</v>
      </c>
      <c r="D150" t="s">
        <v>132</v>
      </c>
      <c r="E150" t="s">
        <v>189</v>
      </c>
      <c r="F150" t="s">
        <v>190</v>
      </c>
      <c r="G150">
        <v>864</v>
      </c>
      <c r="H150" t="s">
        <v>75</v>
      </c>
      <c r="I150" t="s">
        <v>484</v>
      </c>
      <c r="J150" s="1520">
        <v>46050</v>
      </c>
      <c r="K150" s="1520">
        <v>46101</v>
      </c>
      <c r="L150" s="1520">
        <v>46116</v>
      </c>
      <c r="M150" s="1520">
        <v>46118</v>
      </c>
      <c r="N150" t="s">
        <v>84</v>
      </c>
      <c r="O150" s="1520">
        <v>46132</v>
      </c>
      <c r="P150" s="1520">
        <v>46125</v>
      </c>
    </row>
    <row r="151" spans="1:16">
      <c r="A151" t="s">
        <v>391</v>
      </c>
      <c r="B151" t="s">
        <v>64</v>
      </c>
      <c r="C151" t="s">
        <v>100</v>
      </c>
      <c r="D151" t="s">
        <v>132</v>
      </c>
      <c r="E151" t="s">
        <v>189</v>
      </c>
      <c r="F151" t="s">
        <v>190</v>
      </c>
      <c r="G151">
        <v>1728</v>
      </c>
      <c r="H151" t="s">
        <v>75</v>
      </c>
      <c r="I151" t="s">
        <v>392</v>
      </c>
      <c r="J151" s="1520">
        <v>46045</v>
      </c>
      <c r="K151" s="1520">
        <v>46096</v>
      </c>
      <c r="L151" s="1520">
        <v>46111</v>
      </c>
      <c r="M151" s="1520">
        <v>46116</v>
      </c>
      <c r="N151" t="s">
        <v>84</v>
      </c>
      <c r="O151" s="1520">
        <v>46129</v>
      </c>
      <c r="P151" s="1520">
        <v>46123</v>
      </c>
    </row>
    <row r="152" spans="1:16">
      <c r="A152" t="s">
        <v>323</v>
      </c>
      <c r="B152" t="s">
        <v>64</v>
      </c>
      <c r="C152" t="s">
        <v>100</v>
      </c>
      <c r="D152" t="s">
        <v>298</v>
      </c>
      <c r="E152" t="s">
        <v>299</v>
      </c>
      <c r="F152" t="s">
        <v>300</v>
      </c>
      <c r="G152">
        <v>962</v>
      </c>
      <c r="H152" t="s">
        <v>75</v>
      </c>
      <c r="I152" t="s">
        <v>324</v>
      </c>
      <c r="J152" s="1520">
        <v>46041</v>
      </c>
      <c r="K152" s="1520">
        <v>46090</v>
      </c>
      <c r="L152" s="1520">
        <v>46111</v>
      </c>
      <c r="M152" s="1520">
        <v>46111</v>
      </c>
      <c r="N152" t="s">
        <v>84</v>
      </c>
      <c r="O152" s="1520">
        <v>46125</v>
      </c>
      <c r="P152" s="1520">
        <v>46118</v>
      </c>
    </row>
    <row r="153" spans="1:16">
      <c r="A153" t="s">
        <v>167</v>
      </c>
      <c r="B153" t="s">
        <v>64</v>
      </c>
      <c r="C153" t="s">
        <v>100</v>
      </c>
      <c r="D153" t="s">
        <v>170</v>
      </c>
      <c r="E153" t="s">
        <v>171</v>
      </c>
      <c r="F153" t="s">
        <v>172</v>
      </c>
      <c r="G153">
        <v>1320</v>
      </c>
      <c r="H153" t="s">
        <v>75</v>
      </c>
      <c r="I153" t="s">
        <v>173</v>
      </c>
      <c r="J153" s="1520">
        <v>46021</v>
      </c>
      <c r="K153" s="1520">
        <v>46075</v>
      </c>
      <c r="L153" s="1520">
        <v>46111</v>
      </c>
      <c r="M153" s="1520">
        <v>46111</v>
      </c>
      <c r="N153" t="s">
        <v>84</v>
      </c>
      <c r="O153" s="1520">
        <v>46125</v>
      </c>
      <c r="P153" s="1520">
        <v>46118</v>
      </c>
    </row>
    <row r="154" spans="1:16">
      <c r="A154" t="s">
        <v>258</v>
      </c>
      <c r="B154" t="s">
        <v>64</v>
      </c>
      <c r="C154" t="s">
        <v>100</v>
      </c>
      <c r="D154" t="s">
        <v>170</v>
      </c>
      <c r="E154" t="s">
        <v>171</v>
      </c>
      <c r="F154" t="s">
        <v>172</v>
      </c>
      <c r="G154">
        <v>660</v>
      </c>
      <c r="H154" t="s">
        <v>75</v>
      </c>
      <c r="I154" t="s">
        <v>259</v>
      </c>
      <c r="J154" s="1520">
        <v>46031</v>
      </c>
      <c r="K154" s="1520">
        <v>46080</v>
      </c>
      <c r="L154" s="1520">
        <v>46111</v>
      </c>
      <c r="M154" s="1520">
        <v>46111</v>
      </c>
      <c r="N154" t="s">
        <v>84</v>
      </c>
      <c r="O154" s="1520">
        <v>46125</v>
      </c>
      <c r="P154" s="1520">
        <v>46118</v>
      </c>
    </row>
    <row r="155" spans="1:16">
      <c r="A155" t="s">
        <v>138</v>
      </c>
      <c r="B155" t="s">
        <v>64</v>
      </c>
      <c r="C155" t="s">
        <v>100</v>
      </c>
      <c r="D155" t="s">
        <v>132</v>
      </c>
      <c r="E155" t="s">
        <v>133</v>
      </c>
      <c r="F155" t="s">
        <v>134</v>
      </c>
      <c r="G155">
        <v>1782</v>
      </c>
      <c r="H155" t="s">
        <v>75</v>
      </c>
      <c r="I155" t="s">
        <v>139</v>
      </c>
      <c r="J155" s="1520">
        <v>46014</v>
      </c>
      <c r="K155" s="1520">
        <v>46073</v>
      </c>
      <c r="L155" s="1520">
        <v>46090</v>
      </c>
      <c r="M155" s="1520">
        <v>46090</v>
      </c>
      <c r="N155" t="s">
        <v>84</v>
      </c>
      <c r="O155" s="1520">
        <v>46104</v>
      </c>
      <c r="P155" s="1520">
        <v>46097</v>
      </c>
    </row>
    <row r="156" spans="1:16">
      <c r="A156" t="s">
        <v>98</v>
      </c>
      <c r="B156" t="s">
        <v>64</v>
      </c>
      <c r="C156" t="s">
        <v>100</v>
      </c>
      <c r="D156" t="s">
        <v>70</v>
      </c>
      <c r="E156" t="s">
        <v>102</v>
      </c>
      <c r="F156" t="s">
        <v>103</v>
      </c>
      <c r="G156">
        <v>4320</v>
      </c>
      <c r="H156" t="s">
        <v>75</v>
      </c>
      <c r="I156" t="s">
        <v>104</v>
      </c>
      <c r="J156" s="1520">
        <v>46009</v>
      </c>
      <c r="K156" s="1520">
        <v>46061</v>
      </c>
      <c r="L156" s="1520">
        <v>46111</v>
      </c>
      <c r="M156" s="1520">
        <v>46111</v>
      </c>
      <c r="N156" t="s">
        <v>84</v>
      </c>
      <c r="O156" s="1520">
        <v>46125</v>
      </c>
      <c r="P156" s="1520">
        <v>46118</v>
      </c>
    </row>
    <row r="157" spans="1:16">
      <c r="A157" t="s">
        <v>163</v>
      </c>
      <c r="B157" t="s">
        <v>64</v>
      </c>
      <c r="C157" t="s">
        <v>100</v>
      </c>
      <c r="D157" t="s">
        <v>70</v>
      </c>
      <c r="E157" t="s">
        <v>102</v>
      </c>
      <c r="F157" t="s">
        <v>103</v>
      </c>
      <c r="G157">
        <v>4320</v>
      </c>
      <c r="H157" t="s">
        <v>75</v>
      </c>
      <c r="I157" t="s">
        <v>164</v>
      </c>
      <c r="J157" s="1520">
        <v>46017</v>
      </c>
      <c r="K157" s="1520">
        <v>46078</v>
      </c>
      <c r="L157" s="1520">
        <v>46111</v>
      </c>
      <c r="M157" s="1520">
        <v>46111</v>
      </c>
      <c r="N157" t="s">
        <v>84</v>
      </c>
      <c r="O157" s="1520">
        <v>46125</v>
      </c>
      <c r="P157" s="1520">
        <v>46118</v>
      </c>
    </row>
    <row r="158" spans="1:16">
      <c r="A158" t="s">
        <v>250</v>
      </c>
      <c r="B158" t="s">
        <v>64</v>
      </c>
      <c r="C158" t="s">
        <v>65</v>
      </c>
      <c r="D158" t="s">
        <v>132</v>
      </c>
      <c r="E158" t="s">
        <v>189</v>
      </c>
      <c r="F158" t="s">
        <v>190</v>
      </c>
      <c r="G158">
        <v>1728</v>
      </c>
      <c r="H158" t="s">
        <v>75</v>
      </c>
      <c r="I158" t="s">
        <v>251</v>
      </c>
      <c r="J158" s="1520">
        <v>46031</v>
      </c>
      <c r="K158" s="1520">
        <v>46078</v>
      </c>
      <c r="L158" s="1520">
        <v>46083</v>
      </c>
      <c r="M158" s="1520">
        <v>46084</v>
      </c>
      <c r="N158" t="s">
        <v>84</v>
      </c>
      <c r="O158" s="1520">
        <v>46097</v>
      </c>
      <c r="P158" s="1520">
        <v>46092</v>
      </c>
    </row>
    <row r="159" spans="1:16">
      <c r="A159" t="s">
        <v>181</v>
      </c>
      <c r="B159" t="s">
        <v>64</v>
      </c>
      <c r="C159" t="s">
        <v>65</v>
      </c>
      <c r="D159" t="s">
        <v>132</v>
      </c>
      <c r="E159" t="s">
        <v>133</v>
      </c>
      <c r="F159" t="s">
        <v>134</v>
      </c>
      <c r="G159">
        <v>4752</v>
      </c>
      <c r="H159" t="s">
        <v>75</v>
      </c>
      <c r="I159" t="s">
        <v>182</v>
      </c>
      <c r="J159" s="1520">
        <v>46027</v>
      </c>
      <c r="K159" s="1520">
        <v>46073</v>
      </c>
      <c r="L159" s="1520">
        <v>46098</v>
      </c>
      <c r="M159" s="1520">
        <v>46099</v>
      </c>
      <c r="N159" t="s">
        <v>84</v>
      </c>
      <c r="O159" s="1520">
        <v>46112</v>
      </c>
      <c r="P159" s="1520">
        <v>46107</v>
      </c>
    </row>
    <row r="160" spans="1:16">
      <c r="A160" t="s">
        <v>186</v>
      </c>
      <c r="B160" t="s">
        <v>64</v>
      </c>
      <c r="C160" t="s">
        <v>65</v>
      </c>
      <c r="D160" t="s">
        <v>132</v>
      </c>
      <c r="E160" t="s">
        <v>189</v>
      </c>
      <c r="F160" t="s">
        <v>190</v>
      </c>
      <c r="G160">
        <v>4320</v>
      </c>
      <c r="H160" t="s">
        <v>75</v>
      </c>
      <c r="I160" t="s">
        <v>191</v>
      </c>
      <c r="J160" s="1520">
        <v>46027</v>
      </c>
      <c r="K160" s="1520">
        <v>46073</v>
      </c>
      <c r="L160" s="1520">
        <v>46098</v>
      </c>
      <c r="M160" s="1520">
        <v>46099</v>
      </c>
      <c r="N160" t="s">
        <v>84</v>
      </c>
      <c r="O160" s="1520">
        <v>46112</v>
      </c>
      <c r="P160" s="1520">
        <v>46107</v>
      </c>
    </row>
    <row r="161" spans="1:16">
      <c r="A161" t="s">
        <v>129</v>
      </c>
      <c r="B161" t="s">
        <v>64</v>
      </c>
      <c r="C161" t="s">
        <v>65</v>
      </c>
      <c r="D161" t="s">
        <v>132</v>
      </c>
      <c r="E161" t="s">
        <v>133</v>
      </c>
      <c r="F161" t="s">
        <v>134</v>
      </c>
      <c r="G161">
        <v>1782</v>
      </c>
      <c r="H161" t="s">
        <v>75</v>
      </c>
      <c r="I161" t="s">
        <v>135</v>
      </c>
      <c r="J161" s="1520">
        <v>46020</v>
      </c>
      <c r="K161" s="1520">
        <v>46064</v>
      </c>
      <c r="L161" s="1520">
        <v>46098</v>
      </c>
      <c r="M161" s="1520">
        <v>46099</v>
      </c>
      <c r="N161" t="s">
        <v>84</v>
      </c>
      <c r="O161" s="1520">
        <v>46112</v>
      </c>
      <c r="P161" s="1520">
        <v>46107</v>
      </c>
    </row>
    <row r="162" spans="1:16">
      <c r="A162" t="s">
        <v>1040</v>
      </c>
      <c r="B162" t="s">
        <v>144</v>
      </c>
      <c r="C162" t="s">
        <v>145</v>
      </c>
      <c r="D162" t="s">
        <v>1032</v>
      </c>
      <c r="E162" t="s">
        <v>102</v>
      </c>
      <c r="F162" t="s">
        <v>103</v>
      </c>
      <c r="G162">
        <v>1584</v>
      </c>
      <c r="H162" t="s">
        <v>75</v>
      </c>
      <c r="I162" t="s">
        <v>1041</v>
      </c>
      <c r="J162" s="1520">
        <v>46070</v>
      </c>
      <c r="K162" s="1520">
        <v>46120</v>
      </c>
      <c r="L162" s="1520">
        <v>46126</v>
      </c>
      <c r="M162" s="1520">
        <v>46125</v>
      </c>
      <c r="N162" t="s">
        <v>973</v>
      </c>
      <c r="O162" s="1520">
        <v>46134</v>
      </c>
      <c r="P162" s="1520">
        <v>46125</v>
      </c>
    </row>
    <row r="163" spans="1:16">
      <c r="A163" t="s">
        <v>1042</v>
      </c>
      <c r="B163" t="s">
        <v>144</v>
      </c>
      <c r="C163" t="s">
        <v>145</v>
      </c>
      <c r="D163" t="s">
        <v>1032</v>
      </c>
      <c r="E163" t="s">
        <v>1043</v>
      </c>
      <c r="F163" t="s">
        <v>330</v>
      </c>
      <c r="G163">
        <v>144</v>
      </c>
      <c r="H163" t="s">
        <v>75</v>
      </c>
      <c r="I163" t="s">
        <v>1044</v>
      </c>
      <c r="J163" s="1520">
        <v>46070</v>
      </c>
      <c r="K163" s="1520">
        <v>46120</v>
      </c>
      <c r="L163" s="1520">
        <v>46126</v>
      </c>
      <c r="M163" s="1520">
        <v>46125</v>
      </c>
      <c r="N163" t="s">
        <v>973</v>
      </c>
      <c r="O163" s="1520">
        <v>46134</v>
      </c>
      <c r="P163" s="1520">
        <v>46125</v>
      </c>
    </row>
    <row r="164" spans="1:16">
      <c r="A164" t="s">
        <v>1038</v>
      </c>
      <c r="B164" t="s">
        <v>144</v>
      </c>
      <c r="C164" t="s">
        <v>145</v>
      </c>
      <c r="D164" t="s">
        <v>1032</v>
      </c>
      <c r="E164" t="s">
        <v>943</v>
      </c>
      <c r="F164" t="s">
        <v>886</v>
      </c>
      <c r="G164">
        <v>684</v>
      </c>
      <c r="H164" t="s">
        <v>75</v>
      </c>
      <c r="I164" t="s">
        <v>1039</v>
      </c>
      <c r="J164" s="1520">
        <v>46070</v>
      </c>
      <c r="K164" s="1520">
        <v>46120</v>
      </c>
      <c r="L164" s="1520">
        <v>46126</v>
      </c>
      <c r="M164" s="1520">
        <v>46125</v>
      </c>
      <c r="N164" t="s">
        <v>973</v>
      </c>
      <c r="O164" s="1520">
        <v>46134</v>
      </c>
      <c r="P164" s="1520">
        <v>46125</v>
      </c>
    </row>
    <row r="165" spans="1:16">
      <c r="A165" t="s">
        <v>1052</v>
      </c>
      <c r="B165" t="s">
        <v>64</v>
      </c>
      <c r="C165" t="s">
        <v>100</v>
      </c>
      <c r="D165" t="s">
        <v>70</v>
      </c>
      <c r="E165" t="s">
        <v>1002</v>
      </c>
      <c r="F165" t="s">
        <v>330</v>
      </c>
      <c r="G165">
        <v>3600</v>
      </c>
      <c r="H165" t="s">
        <v>75</v>
      </c>
      <c r="I165" t="s">
        <v>1053</v>
      </c>
      <c r="J165" s="1520">
        <v>46070</v>
      </c>
      <c r="K165" s="1520">
        <v>46109</v>
      </c>
      <c r="L165" s="1520">
        <v>46133</v>
      </c>
      <c r="M165" s="1520">
        <v>46133</v>
      </c>
      <c r="N165" t="s">
        <v>973</v>
      </c>
      <c r="O165" s="1520">
        <v>46147</v>
      </c>
      <c r="P165" s="1520">
        <v>46140</v>
      </c>
    </row>
    <row r="166" spans="1:16">
      <c r="A166" t="s">
        <v>1045</v>
      </c>
      <c r="B166" t="s">
        <v>64</v>
      </c>
      <c r="C166" t="s">
        <v>100</v>
      </c>
      <c r="D166" t="s">
        <v>70</v>
      </c>
      <c r="E166" t="s">
        <v>1002</v>
      </c>
      <c r="F166" t="s">
        <v>330</v>
      </c>
      <c r="G166">
        <v>5040</v>
      </c>
      <c r="H166" t="s">
        <v>75</v>
      </c>
      <c r="I166" t="s">
        <v>1048</v>
      </c>
      <c r="J166" s="1520">
        <v>46070</v>
      </c>
      <c r="K166" s="1520">
        <v>46109</v>
      </c>
      <c r="L166" s="1520">
        <v>46126</v>
      </c>
      <c r="M166" s="1520">
        <v>46127</v>
      </c>
      <c r="N166" t="s">
        <v>973</v>
      </c>
      <c r="O166" s="1520">
        <v>46134</v>
      </c>
      <c r="P166" s="1520">
        <v>46134</v>
      </c>
    </row>
    <row r="167" spans="1:16">
      <c r="A167" t="s">
        <v>1028</v>
      </c>
      <c r="B167" t="s">
        <v>144</v>
      </c>
      <c r="C167" t="s">
        <v>145</v>
      </c>
      <c r="D167" t="s">
        <v>1032</v>
      </c>
      <c r="E167" t="s">
        <v>1033</v>
      </c>
      <c r="F167" t="s">
        <v>886</v>
      </c>
      <c r="G167">
        <v>468</v>
      </c>
      <c r="H167" t="s">
        <v>75</v>
      </c>
      <c r="I167" t="s">
        <v>1034</v>
      </c>
      <c r="J167" s="1520">
        <v>46070</v>
      </c>
      <c r="K167" s="1520">
        <v>46120</v>
      </c>
      <c r="L167" s="1520">
        <v>46126</v>
      </c>
      <c r="M167" s="1520">
        <v>46125</v>
      </c>
      <c r="N167" t="s">
        <v>973</v>
      </c>
      <c r="O167" s="1520">
        <v>46134</v>
      </c>
      <c r="P167" s="1520">
        <v>46125</v>
      </c>
    </row>
    <row r="168" spans="1:16">
      <c r="A168" t="s">
        <v>504</v>
      </c>
      <c r="B168" t="s">
        <v>64</v>
      </c>
      <c r="C168" t="s">
        <v>65</v>
      </c>
      <c r="D168" t="s">
        <v>132</v>
      </c>
      <c r="E168" t="s">
        <v>133</v>
      </c>
      <c r="F168" t="s">
        <v>134</v>
      </c>
      <c r="G168">
        <v>594</v>
      </c>
      <c r="H168" t="s">
        <v>75</v>
      </c>
      <c r="I168" t="s">
        <v>505</v>
      </c>
      <c r="J168" s="1520">
        <v>46045</v>
      </c>
      <c r="K168" s="1520">
        <v>46092</v>
      </c>
      <c r="L168" s="1520">
        <v>46111</v>
      </c>
      <c r="M168" s="1520">
        <v>46111</v>
      </c>
      <c r="N168" t="s">
        <v>84</v>
      </c>
      <c r="O168" s="1520">
        <v>46120</v>
      </c>
      <c r="P168" s="1520">
        <v>46119</v>
      </c>
    </row>
    <row r="169" spans="1:16">
      <c r="A169" t="s">
        <v>821</v>
      </c>
      <c r="B169" t="s">
        <v>64</v>
      </c>
      <c r="C169" t="s">
        <v>65</v>
      </c>
      <c r="D169" t="s">
        <v>70</v>
      </c>
      <c r="E169" t="s">
        <v>378</v>
      </c>
      <c r="F169" t="s">
        <v>379</v>
      </c>
      <c r="G169">
        <v>10800</v>
      </c>
      <c r="H169" t="s">
        <v>75</v>
      </c>
      <c r="I169" t="s">
        <v>823</v>
      </c>
      <c r="J169" s="1520">
        <v>46068</v>
      </c>
      <c r="K169" s="1520">
        <v>46095</v>
      </c>
      <c r="L169" s="1520">
        <v>46112</v>
      </c>
      <c r="M169" s="1520">
        <v>46115</v>
      </c>
      <c r="N169" t="s">
        <v>84</v>
      </c>
      <c r="O169" s="1520">
        <v>46127</v>
      </c>
      <c r="P169" s="1520">
        <v>46123</v>
      </c>
    </row>
    <row r="170" spans="1:16">
      <c r="A170" t="s">
        <v>1056</v>
      </c>
      <c r="B170" t="s">
        <v>64</v>
      </c>
      <c r="C170" t="s">
        <v>100</v>
      </c>
      <c r="D170" t="s">
        <v>70</v>
      </c>
      <c r="E170" t="s">
        <v>102</v>
      </c>
      <c r="F170" t="s">
        <v>103</v>
      </c>
      <c r="G170">
        <v>5040</v>
      </c>
      <c r="H170" t="s">
        <v>75</v>
      </c>
      <c r="I170" t="s">
        <v>1057</v>
      </c>
      <c r="J170" s="1520">
        <v>46067</v>
      </c>
      <c r="K170" s="1520">
        <v>46108</v>
      </c>
      <c r="L170" s="1520">
        <v>46133</v>
      </c>
      <c r="M170" s="1520">
        <v>46133</v>
      </c>
      <c r="N170" t="s">
        <v>973</v>
      </c>
      <c r="O170" s="1520">
        <v>46147</v>
      </c>
      <c r="P170" s="1520">
        <v>46140</v>
      </c>
    </row>
    <row r="171" spans="1:16">
      <c r="A171" t="s">
        <v>506</v>
      </c>
      <c r="B171" t="s">
        <v>64</v>
      </c>
      <c r="C171" t="s">
        <v>65</v>
      </c>
      <c r="D171" t="s">
        <v>132</v>
      </c>
      <c r="E171" t="s">
        <v>189</v>
      </c>
      <c r="F171" t="s">
        <v>190</v>
      </c>
      <c r="G171">
        <v>3456</v>
      </c>
      <c r="H171" t="s">
        <v>75</v>
      </c>
      <c r="I171" t="s">
        <v>507</v>
      </c>
      <c r="J171" s="1520">
        <v>46045</v>
      </c>
      <c r="K171" s="1520">
        <v>46092</v>
      </c>
      <c r="L171" s="1520">
        <v>46111</v>
      </c>
      <c r="M171" s="1520">
        <v>46111</v>
      </c>
      <c r="N171" t="s">
        <v>84</v>
      </c>
      <c r="O171" s="1520">
        <v>46120</v>
      </c>
      <c r="P171" s="1520">
        <v>46119</v>
      </c>
    </row>
    <row r="172" spans="1:16">
      <c r="A172" t="s">
        <v>500</v>
      </c>
      <c r="B172" t="s">
        <v>64</v>
      </c>
      <c r="C172" t="s">
        <v>65</v>
      </c>
      <c r="D172" t="s">
        <v>132</v>
      </c>
      <c r="E172" t="s">
        <v>189</v>
      </c>
      <c r="F172" t="s">
        <v>190</v>
      </c>
      <c r="G172">
        <v>1728</v>
      </c>
      <c r="H172" t="s">
        <v>75</v>
      </c>
      <c r="I172" t="s">
        <v>501</v>
      </c>
      <c r="J172" s="1520">
        <v>46045</v>
      </c>
      <c r="K172" s="1520">
        <v>46092</v>
      </c>
      <c r="L172" s="1520">
        <v>46111</v>
      </c>
      <c r="M172" s="1520">
        <v>46111</v>
      </c>
      <c r="N172" t="s">
        <v>84</v>
      </c>
      <c r="O172" s="1520">
        <v>46120</v>
      </c>
      <c r="P172" s="1520">
        <v>46119</v>
      </c>
    </row>
    <row r="173" spans="1:16">
      <c r="A173" t="s">
        <v>827</v>
      </c>
      <c r="B173" t="s">
        <v>64</v>
      </c>
      <c r="C173" t="s">
        <v>100</v>
      </c>
      <c r="D173" t="s">
        <v>70</v>
      </c>
      <c r="E173" t="s">
        <v>171</v>
      </c>
      <c r="F173" t="s">
        <v>172</v>
      </c>
      <c r="G173">
        <v>1320</v>
      </c>
      <c r="H173" t="s">
        <v>75</v>
      </c>
      <c r="I173" t="s">
        <v>828</v>
      </c>
      <c r="J173" s="1520">
        <v>46067</v>
      </c>
      <c r="K173" s="1520">
        <v>46108</v>
      </c>
      <c r="L173" s="1520">
        <v>46133</v>
      </c>
      <c r="M173" s="1520">
        <v>46133</v>
      </c>
      <c r="N173" t="s">
        <v>84</v>
      </c>
      <c r="O173" s="1520">
        <v>46147</v>
      </c>
      <c r="P173" s="1520">
        <v>46140</v>
      </c>
    </row>
    <row r="174" spans="1:16">
      <c r="A174" t="s">
        <v>389</v>
      </c>
      <c r="B174" t="s">
        <v>64</v>
      </c>
      <c r="C174" t="s">
        <v>65</v>
      </c>
      <c r="D174" t="s">
        <v>132</v>
      </c>
      <c r="E174" t="s">
        <v>189</v>
      </c>
      <c r="F174" t="s">
        <v>190</v>
      </c>
      <c r="G174">
        <v>1728</v>
      </c>
      <c r="H174" t="s">
        <v>75</v>
      </c>
      <c r="I174" t="s">
        <v>390</v>
      </c>
      <c r="J174" s="1520">
        <v>46042</v>
      </c>
      <c r="K174" s="1520">
        <v>46085</v>
      </c>
      <c r="L174" s="1520">
        <v>46101</v>
      </c>
      <c r="M174" s="1520">
        <v>46102</v>
      </c>
      <c r="N174" t="s">
        <v>84</v>
      </c>
      <c r="O174" s="1520">
        <v>46115</v>
      </c>
      <c r="P174" s="1520">
        <v>46110</v>
      </c>
    </row>
    <row r="175" spans="1:16">
      <c r="A175" t="s">
        <v>386</v>
      </c>
      <c r="B175" t="s">
        <v>64</v>
      </c>
      <c r="C175" t="s">
        <v>65</v>
      </c>
      <c r="D175" t="s">
        <v>132</v>
      </c>
      <c r="E175" t="s">
        <v>189</v>
      </c>
      <c r="F175" t="s">
        <v>190</v>
      </c>
      <c r="G175">
        <v>2592</v>
      </c>
      <c r="H175" t="s">
        <v>75</v>
      </c>
      <c r="I175" t="s">
        <v>388</v>
      </c>
      <c r="J175" s="1520">
        <v>46042</v>
      </c>
      <c r="K175" s="1520">
        <v>46085</v>
      </c>
      <c r="L175" s="1520">
        <v>46101</v>
      </c>
      <c r="M175" s="1520">
        <v>46102</v>
      </c>
      <c r="N175" t="s">
        <v>84</v>
      </c>
      <c r="O175" s="1520">
        <v>46115</v>
      </c>
      <c r="P175" s="1520">
        <v>46110</v>
      </c>
    </row>
    <row r="176" spans="1:16">
      <c r="A176" t="s">
        <v>381</v>
      </c>
      <c r="B176" t="s">
        <v>64</v>
      </c>
      <c r="C176" t="s">
        <v>65</v>
      </c>
      <c r="D176" t="s">
        <v>132</v>
      </c>
      <c r="E176" t="s">
        <v>189</v>
      </c>
      <c r="F176" t="s">
        <v>190</v>
      </c>
      <c r="G176">
        <v>1728</v>
      </c>
      <c r="H176" t="s">
        <v>75</v>
      </c>
      <c r="I176" t="s">
        <v>382</v>
      </c>
      <c r="J176" s="1520">
        <v>46042</v>
      </c>
      <c r="K176" s="1520">
        <v>46085</v>
      </c>
      <c r="L176" s="1520">
        <v>46101</v>
      </c>
      <c r="M176" s="1520">
        <v>46102</v>
      </c>
      <c r="N176" t="s">
        <v>84</v>
      </c>
      <c r="O176" s="1520">
        <v>46115</v>
      </c>
      <c r="P176" s="1520">
        <v>46110</v>
      </c>
    </row>
    <row r="177" spans="1:16">
      <c r="A177" t="s">
        <v>855</v>
      </c>
      <c r="B177" t="s">
        <v>64</v>
      </c>
      <c r="C177" t="s">
        <v>100</v>
      </c>
      <c r="D177" t="s">
        <v>70</v>
      </c>
      <c r="E177" t="s">
        <v>585</v>
      </c>
      <c r="F177" t="s">
        <v>103</v>
      </c>
      <c r="G177">
        <v>612</v>
      </c>
      <c r="H177" t="s">
        <v>75</v>
      </c>
      <c r="I177" t="s">
        <v>857</v>
      </c>
      <c r="J177" s="1520">
        <v>46080</v>
      </c>
      <c r="K177" s="1520">
        <v>46139</v>
      </c>
      <c r="L177" s="1520">
        <v>46141</v>
      </c>
      <c r="M177" s="1520">
        <v>46137</v>
      </c>
      <c r="N177" t="s">
        <v>84</v>
      </c>
      <c r="O177" s="1520">
        <v>46150</v>
      </c>
      <c r="P177" s="1520">
        <v>46144</v>
      </c>
    </row>
    <row r="178" spans="1:16">
      <c r="A178" t="s">
        <v>688</v>
      </c>
      <c r="B178" t="s">
        <v>64</v>
      </c>
      <c r="C178" t="s">
        <v>100</v>
      </c>
      <c r="D178" t="s">
        <v>70</v>
      </c>
      <c r="E178" t="s">
        <v>691</v>
      </c>
      <c r="F178" t="s">
        <v>692</v>
      </c>
      <c r="G178">
        <v>36</v>
      </c>
      <c r="H178" t="s">
        <v>75</v>
      </c>
      <c r="I178" t="s">
        <v>854</v>
      </c>
      <c r="J178" s="1520">
        <v>46080</v>
      </c>
      <c r="K178" s="1520">
        <v>46139</v>
      </c>
      <c r="L178" s="1520">
        <v>46141</v>
      </c>
      <c r="M178" s="1520">
        <v>46137</v>
      </c>
      <c r="N178" t="s">
        <v>84</v>
      </c>
      <c r="O178" s="1520">
        <v>46150</v>
      </c>
      <c r="P178" s="1520">
        <v>46144</v>
      </c>
    </row>
    <row r="179" spans="1:16">
      <c r="A179" t="s">
        <v>847</v>
      </c>
      <c r="B179" t="s">
        <v>64</v>
      </c>
      <c r="C179" t="s">
        <v>100</v>
      </c>
      <c r="D179" t="s">
        <v>70</v>
      </c>
      <c r="E179" t="s">
        <v>706</v>
      </c>
      <c r="F179" t="s">
        <v>707</v>
      </c>
      <c r="G179">
        <v>72</v>
      </c>
      <c r="H179" t="s">
        <v>75</v>
      </c>
      <c r="I179" t="s">
        <v>849</v>
      </c>
      <c r="J179" s="1520">
        <v>46080</v>
      </c>
      <c r="K179" s="1520">
        <v>46139</v>
      </c>
      <c r="L179" s="1520">
        <v>46141</v>
      </c>
      <c r="M179" s="1520">
        <v>46137</v>
      </c>
      <c r="N179" t="s">
        <v>84</v>
      </c>
      <c r="O179" s="1520">
        <v>46150</v>
      </c>
      <c r="P179" s="1520">
        <v>46144</v>
      </c>
    </row>
    <row r="180" spans="1:16">
      <c r="A180" t="s">
        <v>1072</v>
      </c>
      <c r="B180" t="s">
        <v>144</v>
      </c>
      <c r="C180" t="s">
        <v>145</v>
      </c>
      <c r="D180" t="s">
        <v>1032</v>
      </c>
      <c r="E180" t="s">
        <v>885</v>
      </c>
      <c r="F180" t="s">
        <v>886</v>
      </c>
      <c r="G180">
        <v>144</v>
      </c>
      <c r="H180" t="s">
        <v>75</v>
      </c>
      <c r="I180" t="s">
        <v>1073</v>
      </c>
      <c r="J180" s="1520">
        <v>46080</v>
      </c>
      <c r="K180" s="1520">
        <v>46141</v>
      </c>
      <c r="L180" s="1520">
        <v>46148</v>
      </c>
      <c r="M180" s="1520">
        <v>46147</v>
      </c>
      <c r="N180" t="s">
        <v>973</v>
      </c>
      <c r="O180" s="1520">
        <v>46155</v>
      </c>
      <c r="P180" s="1520">
        <v>46147</v>
      </c>
    </row>
    <row r="181" spans="1:16">
      <c r="A181" t="s">
        <v>837</v>
      </c>
      <c r="B181" t="s">
        <v>144</v>
      </c>
      <c r="C181" t="s">
        <v>145</v>
      </c>
      <c r="D181" t="s">
        <v>132</v>
      </c>
      <c r="E181" t="s">
        <v>841</v>
      </c>
      <c r="F181" t="s">
        <v>842</v>
      </c>
      <c r="G181">
        <v>3168</v>
      </c>
      <c r="H181" t="s">
        <v>75</v>
      </c>
      <c r="I181" t="s">
        <v>843</v>
      </c>
      <c r="J181" s="1520">
        <v>46069</v>
      </c>
      <c r="K181" s="1520">
        <v>46121</v>
      </c>
      <c r="L181" s="1520">
        <v>46123</v>
      </c>
      <c r="M181" s="1520">
        <v>46127</v>
      </c>
      <c r="N181" t="s">
        <v>84</v>
      </c>
      <c r="O181" s="1520">
        <v>46135</v>
      </c>
      <c r="P181" s="1520">
        <v>46127</v>
      </c>
    </row>
    <row r="182" spans="1:16">
      <c r="A182" t="s">
        <v>1076</v>
      </c>
      <c r="B182" t="s">
        <v>144</v>
      </c>
      <c r="C182" t="s">
        <v>145</v>
      </c>
      <c r="D182" t="s">
        <v>1032</v>
      </c>
      <c r="E182" t="s">
        <v>1077</v>
      </c>
      <c r="F182" t="s">
        <v>103</v>
      </c>
      <c r="G182">
        <v>2736</v>
      </c>
      <c r="H182" t="s">
        <v>75</v>
      </c>
      <c r="I182" t="s">
        <v>1078</v>
      </c>
      <c r="J182" s="1520">
        <v>46080</v>
      </c>
      <c r="K182" s="1520">
        <v>46141</v>
      </c>
      <c r="L182" s="1520">
        <v>46148</v>
      </c>
      <c r="M182" s="1520">
        <v>46147</v>
      </c>
      <c r="N182" t="s">
        <v>973</v>
      </c>
      <c r="O182" s="1520">
        <v>46155</v>
      </c>
      <c r="P182" s="1520">
        <v>46147</v>
      </c>
    </row>
    <row r="183" spans="1:16">
      <c r="A183" t="s">
        <v>832</v>
      </c>
      <c r="B183" t="s">
        <v>64</v>
      </c>
      <c r="C183" t="s">
        <v>65</v>
      </c>
      <c r="D183" t="s">
        <v>70</v>
      </c>
      <c r="E183" t="s">
        <v>378</v>
      </c>
      <c r="F183" t="s">
        <v>379</v>
      </c>
      <c r="G183">
        <v>5040</v>
      </c>
      <c r="H183" t="s">
        <v>75</v>
      </c>
      <c r="I183" t="s">
        <v>833</v>
      </c>
      <c r="J183" s="1520">
        <v>46071</v>
      </c>
      <c r="K183" s="1520">
        <v>46119</v>
      </c>
      <c r="L183" s="1520">
        <v>46125</v>
      </c>
      <c r="M183" s="1520">
        <v>46125</v>
      </c>
      <c r="N183" t="s">
        <v>84</v>
      </c>
      <c r="O183" s="1520">
        <v>46133</v>
      </c>
      <c r="P183" s="1520">
        <v>46133</v>
      </c>
    </row>
    <row r="184" spans="1:16">
      <c r="A184" t="s">
        <v>1068</v>
      </c>
      <c r="B184" t="s">
        <v>64</v>
      </c>
      <c r="C184" t="s">
        <v>450</v>
      </c>
      <c r="D184" t="s">
        <v>132</v>
      </c>
      <c r="E184" t="s">
        <v>1062</v>
      </c>
      <c r="F184" t="s">
        <v>1063</v>
      </c>
      <c r="G184">
        <v>864</v>
      </c>
      <c r="H184" t="s">
        <v>75</v>
      </c>
      <c r="I184" t="s">
        <v>1069</v>
      </c>
      <c r="J184" s="1520">
        <v>46070</v>
      </c>
      <c r="K184" s="1520">
        <v>46110</v>
      </c>
      <c r="L184" s="1520">
        <v>46124</v>
      </c>
      <c r="M184" s="1520">
        <v>46124</v>
      </c>
      <c r="N184" t="s">
        <v>973</v>
      </c>
      <c r="O184" s="1520">
        <v>46132</v>
      </c>
      <c r="P184" s="1520">
        <v>46131</v>
      </c>
    </row>
    <row r="185" spans="1:16">
      <c r="A185" t="s">
        <v>1060</v>
      </c>
      <c r="B185" t="s">
        <v>64</v>
      </c>
      <c r="C185" t="s">
        <v>100</v>
      </c>
      <c r="D185" t="s">
        <v>132</v>
      </c>
      <c r="E185" t="s">
        <v>1062</v>
      </c>
      <c r="F185" t="s">
        <v>1063</v>
      </c>
      <c r="G185">
        <v>3456</v>
      </c>
      <c r="H185" t="s">
        <v>75</v>
      </c>
      <c r="I185" t="s">
        <v>1064</v>
      </c>
      <c r="J185" s="1520">
        <v>46071</v>
      </c>
      <c r="K185" s="1520">
        <v>46106</v>
      </c>
      <c r="L185" s="1520">
        <v>46114</v>
      </c>
      <c r="M185" s="1520">
        <v>46116</v>
      </c>
      <c r="N185" t="s">
        <v>973</v>
      </c>
      <c r="O185" s="1520">
        <v>46126</v>
      </c>
      <c r="P185" s="1520">
        <v>46123</v>
      </c>
    </row>
    <row r="186" spans="1:16">
      <c r="A186" t="s">
        <v>1058</v>
      </c>
      <c r="B186" t="s">
        <v>64</v>
      </c>
      <c r="C186" t="s">
        <v>100</v>
      </c>
      <c r="D186" t="s">
        <v>132</v>
      </c>
      <c r="E186" t="s">
        <v>133</v>
      </c>
      <c r="F186" t="s">
        <v>134</v>
      </c>
      <c r="G186">
        <v>594</v>
      </c>
      <c r="H186" t="s">
        <v>75</v>
      </c>
      <c r="I186" t="s">
        <v>1059</v>
      </c>
      <c r="J186" s="1520">
        <v>46067</v>
      </c>
      <c r="K186" s="1520">
        <v>46108</v>
      </c>
      <c r="L186" s="1520">
        <v>46133</v>
      </c>
      <c r="M186" s="1520">
        <v>46133</v>
      </c>
      <c r="N186" t="s">
        <v>973</v>
      </c>
      <c r="O186" s="1520">
        <v>46147</v>
      </c>
      <c r="P186" s="1520">
        <v>46140</v>
      </c>
    </row>
    <row r="187" spans="1:16">
      <c r="A187" t="s">
        <v>1088</v>
      </c>
      <c r="B187" t="s">
        <v>144</v>
      </c>
      <c r="C187" t="s">
        <v>145</v>
      </c>
      <c r="D187" t="s">
        <v>70</v>
      </c>
      <c r="E187" t="s">
        <v>965</v>
      </c>
      <c r="F187" t="s">
        <v>966</v>
      </c>
      <c r="G187">
        <v>1872</v>
      </c>
      <c r="H187" t="s">
        <v>75</v>
      </c>
      <c r="I187" t="s">
        <v>1089</v>
      </c>
      <c r="J187" s="1520">
        <v>46070</v>
      </c>
      <c r="K187" s="1520">
        <v>46131</v>
      </c>
      <c r="L187" s="1520">
        <v>46138</v>
      </c>
      <c r="M187" s="1520">
        <v>46139</v>
      </c>
      <c r="N187" t="s">
        <v>973</v>
      </c>
      <c r="O187" s="1520">
        <v>46153</v>
      </c>
      <c r="P187" s="1520">
        <v>46139</v>
      </c>
    </row>
    <row r="188" spans="1:16">
      <c r="A188" t="s">
        <v>1079</v>
      </c>
      <c r="B188" t="s">
        <v>144</v>
      </c>
      <c r="C188" t="s">
        <v>145</v>
      </c>
      <c r="D188" t="s">
        <v>70</v>
      </c>
      <c r="E188" t="s">
        <v>965</v>
      </c>
      <c r="F188" t="s">
        <v>966</v>
      </c>
      <c r="G188">
        <v>1872</v>
      </c>
      <c r="H188" t="s">
        <v>75</v>
      </c>
      <c r="I188" t="s">
        <v>1083</v>
      </c>
      <c r="J188" s="1520">
        <v>46070</v>
      </c>
      <c r="K188" s="1520">
        <v>46131</v>
      </c>
      <c r="L188" s="1520">
        <v>46138</v>
      </c>
      <c r="M188" s="1520">
        <v>46139</v>
      </c>
      <c r="N188" t="s">
        <v>973</v>
      </c>
      <c r="O188" s="1520">
        <v>46153</v>
      </c>
      <c r="P188" s="1520">
        <v>46139</v>
      </c>
    </row>
    <row r="189" spans="1:16">
      <c r="A189" t="s">
        <v>780</v>
      </c>
      <c r="B189" t="s">
        <v>64</v>
      </c>
      <c r="C189" t="s">
        <v>65</v>
      </c>
      <c r="D189" t="s">
        <v>70</v>
      </c>
      <c r="E189" t="s">
        <v>204</v>
      </c>
      <c r="F189" t="s">
        <v>205</v>
      </c>
      <c r="G189">
        <v>360</v>
      </c>
      <c r="H189" t="s">
        <v>75</v>
      </c>
      <c r="I189" t="s">
        <v>866</v>
      </c>
      <c r="J189" s="1520">
        <v>46070</v>
      </c>
      <c r="K189" s="1520">
        <v>46146</v>
      </c>
      <c r="L189" s="1520">
        <v>46153</v>
      </c>
      <c r="M189" s="1520">
        <v>46159</v>
      </c>
      <c r="N189" t="s">
        <v>84</v>
      </c>
      <c r="O189" s="1520">
        <v>46171</v>
      </c>
      <c r="P189" s="1520">
        <v>46167</v>
      </c>
    </row>
    <row r="190" spans="1:16">
      <c r="A190" t="s">
        <v>858</v>
      </c>
      <c r="B190" t="s">
        <v>64</v>
      </c>
      <c r="C190" t="s">
        <v>65</v>
      </c>
      <c r="D190" t="s">
        <v>70</v>
      </c>
      <c r="E190" t="s">
        <v>860</v>
      </c>
      <c r="F190" t="s">
        <v>861</v>
      </c>
      <c r="G190">
        <v>576</v>
      </c>
      <c r="H190" t="s">
        <v>75</v>
      </c>
      <c r="I190" t="s">
        <v>862</v>
      </c>
      <c r="J190" s="1520">
        <v>46070</v>
      </c>
      <c r="K190" s="1520">
        <v>46146</v>
      </c>
      <c r="L190" s="1520">
        <v>46153</v>
      </c>
      <c r="M190" s="1520">
        <v>46159</v>
      </c>
      <c r="N190" t="s">
        <v>84</v>
      </c>
      <c r="O190" s="1520">
        <v>46171</v>
      </c>
      <c r="P190" s="1520">
        <v>46167</v>
      </c>
    </row>
    <row r="191" spans="1:16">
      <c r="A191" t="s">
        <v>461</v>
      </c>
      <c r="B191" t="s">
        <v>64</v>
      </c>
      <c r="C191" t="s">
        <v>65</v>
      </c>
      <c r="D191" t="s">
        <v>170</v>
      </c>
      <c r="E191" t="s">
        <v>462</v>
      </c>
      <c r="F191" t="s">
        <v>463</v>
      </c>
      <c r="G191">
        <v>2640</v>
      </c>
      <c r="H191" t="s">
        <v>75</v>
      </c>
      <c r="I191" t="s">
        <v>656</v>
      </c>
      <c r="J191" s="1520">
        <v>46055</v>
      </c>
      <c r="K191" s="1520">
        <v>46099</v>
      </c>
      <c r="L191" s="1520">
        <v>46112</v>
      </c>
      <c r="M191" s="1520">
        <v>46120</v>
      </c>
      <c r="N191" t="s">
        <v>84</v>
      </c>
      <c r="O191" s="1520">
        <v>46132</v>
      </c>
      <c r="P191" s="1520">
        <v>46128</v>
      </c>
    </row>
    <row r="192" spans="1:16">
      <c r="A192" t="s">
        <v>512</v>
      </c>
      <c r="B192" t="s">
        <v>64</v>
      </c>
      <c r="C192" t="s">
        <v>65</v>
      </c>
      <c r="D192" t="s">
        <v>132</v>
      </c>
      <c r="E192" t="s">
        <v>133</v>
      </c>
      <c r="F192" t="s">
        <v>134</v>
      </c>
      <c r="G192">
        <v>2376</v>
      </c>
      <c r="H192" t="s">
        <v>75</v>
      </c>
      <c r="I192" t="s">
        <v>513</v>
      </c>
      <c r="J192" s="1520">
        <v>46045</v>
      </c>
      <c r="K192" s="1520">
        <v>46092</v>
      </c>
      <c r="L192" s="1520">
        <v>46111</v>
      </c>
      <c r="M192" s="1520">
        <v>46111</v>
      </c>
      <c r="N192" t="s">
        <v>84</v>
      </c>
      <c r="O192" s="1520">
        <v>46120</v>
      </c>
      <c r="P192" s="1520">
        <v>46119</v>
      </c>
    </row>
    <row r="193" spans="1:16">
      <c r="A193" t="s">
        <v>1119</v>
      </c>
      <c r="B193" t="s">
        <v>64</v>
      </c>
      <c r="C193" t="s">
        <v>65</v>
      </c>
      <c r="D193" t="s">
        <v>132</v>
      </c>
      <c r="E193" t="s">
        <v>1062</v>
      </c>
      <c r="F193" t="s">
        <v>1063</v>
      </c>
      <c r="G193">
        <v>6048</v>
      </c>
      <c r="H193" t="s">
        <v>75</v>
      </c>
      <c r="I193" t="s">
        <v>1120</v>
      </c>
      <c r="J193" s="1520">
        <v>46076</v>
      </c>
      <c r="K193" s="1520">
        <v>46125</v>
      </c>
      <c r="L193" s="1520">
        <v>46136</v>
      </c>
      <c r="M193" s="1520">
        <v>46137</v>
      </c>
      <c r="N193" t="s">
        <v>973</v>
      </c>
      <c r="O193" s="1520">
        <v>46150</v>
      </c>
      <c r="P193" s="1520">
        <v>46145</v>
      </c>
    </row>
    <row r="194" spans="1:16">
      <c r="A194" t="s">
        <v>508</v>
      </c>
      <c r="B194" t="s">
        <v>64</v>
      </c>
      <c r="C194" t="s">
        <v>65</v>
      </c>
      <c r="D194" t="s">
        <v>132</v>
      </c>
      <c r="E194" t="s">
        <v>133</v>
      </c>
      <c r="F194" t="s">
        <v>134</v>
      </c>
      <c r="G194">
        <v>1782</v>
      </c>
      <c r="H194" t="s">
        <v>75</v>
      </c>
      <c r="I194" t="s">
        <v>509</v>
      </c>
      <c r="J194" s="1520">
        <v>46045</v>
      </c>
      <c r="K194" s="1520">
        <v>46092</v>
      </c>
      <c r="L194" s="1520">
        <v>46111</v>
      </c>
      <c r="M194" s="1520">
        <v>46111</v>
      </c>
      <c r="N194" t="s">
        <v>84</v>
      </c>
      <c r="O194" s="1520">
        <v>46120</v>
      </c>
      <c r="P194" s="1520">
        <v>46119</v>
      </c>
    </row>
    <row r="195" spans="1:16">
      <c r="A195" t="s">
        <v>1117</v>
      </c>
      <c r="B195" t="s">
        <v>64</v>
      </c>
      <c r="C195" t="s">
        <v>450</v>
      </c>
      <c r="D195" t="s">
        <v>132</v>
      </c>
      <c r="E195" t="s">
        <v>1062</v>
      </c>
      <c r="F195" t="s">
        <v>1063</v>
      </c>
      <c r="G195">
        <v>2592</v>
      </c>
      <c r="H195" t="s">
        <v>75</v>
      </c>
      <c r="I195" t="s">
        <v>1118</v>
      </c>
      <c r="J195" s="1520">
        <v>46076</v>
      </c>
      <c r="K195" s="1520">
        <v>46117</v>
      </c>
      <c r="L195" s="1520">
        <v>46124</v>
      </c>
      <c r="M195" s="1520">
        <v>46124</v>
      </c>
      <c r="N195" t="s">
        <v>973</v>
      </c>
      <c r="O195" s="1520">
        <v>46139</v>
      </c>
      <c r="P195" s="1520">
        <v>46131</v>
      </c>
    </row>
    <row r="196" spans="1:16">
      <c r="A196" t="s">
        <v>1111</v>
      </c>
      <c r="B196" t="s">
        <v>64</v>
      </c>
      <c r="C196" t="s">
        <v>450</v>
      </c>
      <c r="D196" t="s">
        <v>132</v>
      </c>
      <c r="E196" t="s">
        <v>189</v>
      </c>
      <c r="F196" t="s">
        <v>190</v>
      </c>
      <c r="G196">
        <v>1728</v>
      </c>
      <c r="H196" t="s">
        <v>75</v>
      </c>
      <c r="I196" t="s">
        <v>1114</v>
      </c>
      <c r="J196" s="1520">
        <v>46076</v>
      </c>
      <c r="K196" s="1520">
        <v>46117</v>
      </c>
      <c r="L196" s="1520">
        <v>46124</v>
      </c>
      <c r="M196" s="1520">
        <v>46124</v>
      </c>
      <c r="N196" t="s">
        <v>973</v>
      </c>
      <c r="O196" s="1520">
        <v>46132</v>
      </c>
      <c r="P196" s="1520">
        <v>46131</v>
      </c>
    </row>
    <row r="197" spans="1:16">
      <c r="A197" t="s">
        <v>1107</v>
      </c>
      <c r="B197" t="s">
        <v>64</v>
      </c>
      <c r="C197" t="s">
        <v>100</v>
      </c>
      <c r="D197" t="s">
        <v>713</v>
      </c>
      <c r="E197" t="s">
        <v>1109</v>
      </c>
      <c r="F197" t="s">
        <v>454</v>
      </c>
      <c r="G197">
        <v>576</v>
      </c>
      <c r="H197" t="s">
        <v>75</v>
      </c>
      <c r="I197" t="s">
        <v>1110</v>
      </c>
      <c r="J197" s="1520">
        <v>46076</v>
      </c>
      <c r="K197" s="1520">
        <v>46113</v>
      </c>
      <c r="L197" s="1520">
        <v>46122</v>
      </c>
      <c r="M197" s="1520">
        <v>46122</v>
      </c>
      <c r="N197" t="s">
        <v>973</v>
      </c>
      <c r="O197" s="1520">
        <v>46132</v>
      </c>
      <c r="P197" s="1520">
        <v>46129</v>
      </c>
    </row>
    <row r="198" spans="1:16">
      <c r="A198" t="s">
        <v>1098</v>
      </c>
      <c r="B198" t="s">
        <v>64</v>
      </c>
      <c r="C198" t="s">
        <v>100</v>
      </c>
      <c r="D198" t="s">
        <v>132</v>
      </c>
      <c r="E198" t="s">
        <v>1062</v>
      </c>
      <c r="F198" t="s">
        <v>1063</v>
      </c>
      <c r="G198">
        <v>3456</v>
      </c>
      <c r="H198" t="s">
        <v>75</v>
      </c>
      <c r="I198" t="s">
        <v>1099</v>
      </c>
      <c r="J198" s="1520">
        <v>46076</v>
      </c>
      <c r="K198" s="1520">
        <v>46113</v>
      </c>
      <c r="L198" s="1520">
        <v>46122</v>
      </c>
      <c r="M198" s="1520">
        <v>46122</v>
      </c>
      <c r="N198" t="s">
        <v>973</v>
      </c>
      <c r="O198" s="1520">
        <v>46132</v>
      </c>
      <c r="P198" s="1520">
        <v>46129</v>
      </c>
    </row>
    <row r="199" spans="1:16">
      <c r="A199" t="s">
        <v>1102</v>
      </c>
      <c r="B199" t="s">
        <v>64</v>
      </c>
      <c r="C199" t="s">
        <v>100</v>
      </c>
      <c r="D199" t="s">
        <v>713</v>
      </c>
      <c r="E199" t="s">
        <v>1104</v>
      </c>
      <c r="F199" t="s">
        <v>1105</v>
      </c>
      <c r="G199">
        <v>288</v>
      </c>
      <c r="H199" t="s">
        <v>75</v>
      </c>
      <c r="I199" t="s">
        <v>1106</v>
      </c>
      <c r="J199" s="1520">
        <v>46076</v>
      </c>
      <c r="K199" s="1520">
        <v>46113</v>
      </c>
      <c r="L199" s="1520">
        <v>46122</v>
      </c>
      <c r="M199" s="1520">
        <v>46122</v>
      </c>
      <c r="N199" t="s">
        <v>973</v>
      </c>
      <c r="O199" s="1520">
        <v>46132</v>
      </c>
      <c r="P199" s="1520">
        <v>46129</v>
      </c>
    </row>
    <row r="200" spans="1:16">
      <c r="A200" t="s">
        <v>1095</v>
      </c>
      <c r="B200" t="s">
        <v>64</v>
      </c>
      <c r="C200" t="s">
        <v>100</v>
      </c>
      <c r="D200" t="s">
        <v>132</v>
      </c>
      <c r="E200" t="s">
        <v>1062</v>
      </c>
      <c r="F200" t="s">
        <v>1063</v>
      </c>
      <c r="G200">
        <v>4320</v>
      </c>
      <c r="H200" t="s">
        <v>75</v>
      </c>
      <c r="I200" t="s">
        <v>1097</v>
      </c>
      <c r="J200" s="1520">
        <v>46076</v>
      </c>
      <c r="K200" s="1520">
        <v>46113</v>
      </c>
      <c r="L200" s="1520">
        <v>46122</v>
      </c>
      <c r="M200" s="1520">
        <v>46122</v>
      </c>
      <c r="N200" t="s">
        <v>973</v>
      </c>
      <c r="O200" s="1520">
        <v>46132</v>
      </c>
      <c r="P200" s="1520">
        <v>46129</v>
      </c>
    </row>
    <row r="201" spans="1:16">
      <c r="A201" t="s">
        <v>1090</v>
      </c>
      <c r="B201" t="s">
        <v>64</v>
      </c>
      <c r="C201" t="s">
        <v>100</v>
      </c>
      <c r="D201" t="s">
        <v>132</v>
      </c>
      <c r="E201" t="s">
        <v>189</v>
      </c>
      <c r="F201" t="s">
        <v>190</v>
      </c>
      <c r="G201">
        <v>4320</v>
      </c>
      <c r="H201" t="s">
        <v>75</v>
      </c>
      <c r="I201" t="s">
        <v>1092</v>
      </c>
      <c r="J201" s="1520">
        <v>46076</v>
      </c>
      <c r="K201" s="1520">
        <v>46113</v>
      </c>
      <c r="L201" s="1520">
        <v>46122</v>
      </c>
      <c r="M201" s="1520">
        <v>46122</v>
      </c>
      <c r="N201" t="s">
        <v>973</v>
      </c>
      <c r="O201" s="1520">
        <v>46132</v>
      </c>
      <c r="P201" s="1520">
        <v>46129</v>
      </c>
    </row>
    <row r="202" spans="1:16">
      <c r="A202" t="s">
        <v>1129</v>
      </c>
      <c r="B202" t="s">
        <v>144</v>
      </c>
      <c r="C202" t="s">
        <v>145</v>
      </c>
      <c r="D202" t="s">
        <v>132</v>
      </c>
      <c r="E202" t="s">
        <v>133</v>
      </c>
      <c r="F202" t="s">
        <v>134</v>
      </c>
      <c r="G202">
        <v>2970</v>
      </c>
      <c r="H202" t="s">
        <v>75</v>
      </c>
      <c r="I202" t="s">
        <v>1130</v>
      </c>
      <c r="J202" s="1520">
        <v>46076</v>
      </c>
      <c r="K202" s="1520">
        <v>46128</v>
      </c>
      <c r="L202" s="1520">
        <v>46134</v>
      </c>
      <c r="M202" s="1520">
        <v>46134</v>
      </c>
      <c r="N202" t="s">
        <v>973</v>
      </c>
      <c r="O202" s="1520">
        <v>46142</v>
      </c>
      <c r="P202" s="1520">
        <v>46134</v>
      </c>
    </row>
    <row r="203" spans="1:16">
      <c r="A203" t="s">
        <v>1123</v>
      </c>
      <c r="B203" t="s">
        <v>144</v>
      </c>
      <c r="C203" t="s">
        <v>145</v>
      </c>
      <c r="D203" t="s">
        <v>70</v>
      </c>
      <c r="E203" t="s">
        <v>102</v>
      </c>
      <c r="F203" t="s">
        <v>103</v>
      </c>
      <c r="G203">
        <v>1440</v>
      </c>
      <c r="H203" t="s">
        <v>75</v>
      </c>
      <c r="I203" t="s">
        <v>1125</v>
      </c>
      <c r="J203" s="1520">
        <v>46076</v>
      </c>
      <c r="K203" s="1520">
        <v>46128</v>
      </c>
      <c r="L203" s="1520">
        <v>46134</v>
      </c>
      <c r="M203" s="1520">
        <v>46134</v>
      </c>
      <c r="N203" t="s">
        <v>973</v>
      </c>
      <c r="O203" s="1520">
        <v>46142</v>
      </c>
      <c r="P203" s="1520">
        <v>46134</v>
      </c>
    </row>
    <row r="204" spans="1:16">
      <c r="A204" t="s">
        <v>62</v>
      </c>
      <c r="B204" t="s">
        <v>64</v>
      </c>
      <c r="C204" t="s">
        <v>65</v>
      </c>
      <c r="D204" t="s">
        <v>70</v>
      </c>
      <c r="E204" t="s">
        <v>71</v>
      </c>
      <c r="F204" t="s">
        <v>72</v>
      </c>
      <c r="G204">
        <v>1728</v>
      </c>
      <c r="H204" t="s">
        <v>75</v>
      </c>
      <c r="I204" t="s">
        <v>879</v>
      </c>
      <c r="J204" s="1520">
        <v>46084</v>
      </c>
      <c r="K204" s="1520">
        <v>46160</v>
      </c>
      <c r="L204" s="1520">
        <v>46169</v>
      </c>
      <c r="M204" s="1520">
        <v>46165</v>
      </c>
      <c r="N204" t="s">
        <v>84</v>
      </c>
      <c r="O204" s="1520">
        <v>46181</v>
      </c>
      <c r="P204" s="1520">
        <v>46173</v>
      </c>
    </row>
    <row r="205" spans="1:16">
      <c r="A205" t="s">
        <v>1176</v>
      </c>
      <c r="B205" t="s">
        <v>64</v>
      </c>
      <c r="C205" t="s">
        <v>65</v>
      </c>
      <c r="D205" t="s">
        <v>713</v>
      </c>
      <c r="E205" t="s">
        <v>714</v>
      </c>
      <c r="F205" t="s">
        <v>1173</v>
      </c>
      <c r="G205">
        <v>4032</v>
      </c>
      <c r="H205" t="s">
        <v>75</v>
      </c>
      <c r="I205" t="s">
        <v>1179</v>
      </c>
      <c r="J205" s="1520">
        <v>46083</v>
      </c>
      <c r="K205" s="1520">
        <v>46133</v>
      </c>
      <c r="L205" s="1520">
        <v>46139</v>
      </c>
      <c r="M205" s="1520">
        <v>46140</v>
      </c>
      <c r="N205" t="s">
        <v>973</v>
      </c>
      <c r="O205" s="1520">
        <v>46153</v>
      </c>
      <c r="P205" s="1520">
        <v>46150</v>
      </c>
    </row>
    <row r="206" spans="1:16">
      <c r="A206" t="s">
        <v>1175</v>
      </c>
      <c r="B206" t="s">
        <v>64</v>
      </c>
      <c r="C206" t="s">
        <v>65</v>
      </c>
      <c r="D206" t="s">
        <v>713</v>
      </c>
      <c r="E206" t="s">
        <v>714</v>
      </c>
      <c r="F206" t="s">
        <v>1173</v>
      </c>
      <c r="G206">
        <v>3600</v>
      </c>
      <c r="H206" t="s">
        <v>75</v>
      </c>
      <c r="I206" t="s">
        <v>1178</v>
      </c>
      <c r="J206" s="1520">
        <v>46083</v>
      </c>
      <c r="K206" s="1520">
        <v>46133</v>
      </c>
      <c r="L206" s="1520">
        <v>46139</v>
      </c>
      <c r="M206" s="1520">
        <v>46140</v>
      </c>
      <c r="N206" t="s">
        <v>973</v>
      </c>
      <c r="O206" s="1520">
        <v>46153</v>
      </c>
      <c r="P206" s="1520">
        <v>46150</v>
      </c>
    </row>
    <row r="207" spans="1:16">
      <c r="A207" t="s">
        <v>1171</v>
      </c>
      <c r="B207" t="s">
        <v>64</v>
      </c>
      <c r="C207" t="s">
        <v>65</v>
      </c>
      <c r="D207" t="s">
        <v>713</v>
      </c>
      <c r="E207" t="s">
        <v>714</v>
      </c>
      <c r="F207" t="s">
        <v>1173</v>
      </c>
      <c r="G207">
        <v>288</v>
      </c>
      <c r="H207" t="s">
        <v>75</v>
      </c>
      <c r="I207" t="s">
        <v>1174</v>
      </c>
      <c r="J207" s="1520">
        <v>46083</v>
      </c>
      <c r="K207" s="1520">
        <v>46133</v>
      </c>
      <c r="L207" s="1520">
        <v>46139</v>
      </c>
      <c r="M207" s="1520">
        <v>46140</v>
      </c>
      <c r="N207" t="s">
        <v>973</v>
      </c>
      <c r="O207" s="1520">
        <v>46153</v>
      </c>
      <c r="P207" s="1520">
        <v>46150</v>
      </c>
    </row>
    <row r="208" spans="1:16">
      <c r="A208" t="s">
        <v>1161</v>
      </c>
      <c r="B208" t="s">
        <v>64</v>
      </c>
      <c r="C208" t="s">
        <v>65</v>
      </c>
      <c r="D208" t="s">
        <v>713</v>
      </c>
      <c r="E208" t="s">
        <v>1164</v>
      </c>
      <c r="F208" t="s">
        <v>1165</v>
      </c>
      <c r="G208">
        <v>144</v>
      </c>
      <c r="H208" t="s">
        <v>75</v>
      </c>
      <c r="I208" t="s">
        <v>1167</v>
      </c>
      <c r="J208" s="1520">
        <v>46083</v>
      </c>
      <c r="K208" s="1520">
        <v>46133</v>
      </c>
      <c r="L208" s="1520">
        <v>46139</v>
      </c>
      <c r="M208" s="1520">
        <v>46140</v>
      </c>
      <c r="N208" t="s">
        <v>973</v>
      </c>
      <c r="O208" s="1520">
        <v>46153</v>
      </c>
      <c r="P208" s="1520">
        <v>46150</v>
      </c>
    </row>
    <row r="209" spans="1:16">
      <c r="A209" t="s">
        <v>1143</v>
      </c>
      <c r="B209" t="s">
        <v>64</v>
      </c>
      <c r="C209" t="s">
        <v>100</v>
      </c>
      <c r="D209" t="s">
        <v>70</v>
      </c>
      <c r="E209" t="s">
        <v>195</v>
      </c>
      <c r="F209" t="s">
        <v>196</v>
      </c>
      <c r="G209">
        <v>1872</v>
      </c>
      <c r="H209" t="s">
        <v>75</v>
      </c>
      <c r="I209" t="s">
        <v>1145</v>
      </c>
      <c r="J209" s="1520">
        <v>46084</v>
      </c>
      <c r="K209" s="1520">
        <v>46126</v>
      </c>
      <c r="L209" s="1520">
        <v>46142</v>
      </c>
      <c r="M209" s="1520">
        <v>46141</v>
      </c>
      <c r="N209" t="s">
        <v>973</v>
      </c>
      <c r="O209" s="1520">
        <v>46163</v>
      </c>
      <c r="P209" s="1520">
        <v>46148</v>
      </c>
    </row>
    <row r="210" spans="1:16">
      <c r="A210" t="s">
        <v>1136</v>
      </c>
      <c r="B210" t="s">
        <v>144</v>
      </c>
      <c r="C210" t="s">
        <v>145</v>
      </c>
      <c r="D210" t="s">
        <v>70</v>
      </c>
      <c r="E210" t="s">
        <v>965</v>
      </c>
      <c r="F210" t="s">
        <v>966</v>
      </c>
      <c r="G210">
        <v>3744</v>
      </c>
      <c r="H210" t="s">
        <v>75</v>
      </c>
      <c r="I210" t="s">
        <v>1140</v>
      </c>
      <c r="J210" s="1520">
        <v>46084</v>
      </c>
      <c r="K210" s="1520">
        <v>46126</v>
      </c>
      <c r="L210" s="1520">
        <v>46142</v>
      </c>
      <c r="M210" s="1520">
        <v>46141</v>
      </c>
      <c r="N210" t="s">
        <v>973</v>
      </c>
      <c r="O210" s="1520">
        <v>46140</v>
      </c>
      <c r="P210" s="1520">
        <v>46141</v>
      </c>
    </row>
    <row r="211" spans="1:16">
      <c r="A211" t="s">
        <v>1131</v>
      </c>
      <c r="B211" t="s">
        <v>64</v>
      </c>
      <c r="C211" t="s">
        <v>100</v>
      </c>
      <c r="D211" t="s">
        <v>70</v>
      </c>
      <c r="E211" t="s">
        <v>195</v>
      </c>
      <c r="F211" t="s">
        <v>196</v>
      </c>
      <c r="G211">
        <v>4680</v>
      </c>
      <c r="H211" t="s">
        <v>75</v>
      </c>
      <c r="I211" t="s">
        <v>1133</v>
      </c>
      <c r="J211" s="1520">
        <v>46084</v>
      </c>
      <c r="K211" s="1520">
        <v>46126</v>
      </c>
      <c r="L211" s="1520">
        <v>46142</v>
      </c>
      <c r="M211" s="1520">
        <v>46142</v>
      </c>
      <c r="N211" t="s">
        <v>973</v>
      </c>
      <c r="O211" s="1520">
        <v>46163</v>
      </c>
      <c r="P211" s="1520">
        <v>46149</v>
      </c>
    </row>
    <row r="212" spans="1:16">
      <c r="A212" t="s">
        <v>1257</v>
      </c>
      <c r="B212" t="s">
        <v>144</v>
      </c>
      <c r="C212" t="s">
        <v>145</v>
      </c>
      <c r="D212" t="s">
        <v>1032</v>
      </c>
      <c r="E212" t="s">
        <v>1259</v>
      </c>
      <c r="F212" t="s">
        <v>421</v>
      </c>
      <c r="G212">
        <v>684</v>
      </c>
      <c r="H212" t="s">
        <v>75</v>
      </c>
      <c r="I212" t="s">
        <v>1260</v>
      </c>
      <c r="J212" s="1520">
        <v>46088</v>
      </c>
      <c r="K212" s="1520">
        <v>46154</v>
      </c>
      <c r="L212" s="1520">
        <v>46168</v>
      </c>
      <c r="M212" s="1520">
        <v>46164</v>
      </c>
      <c r="N212" t="s">
        <v>973</v>
      </c>
      <c r="O212" s="1520">
        <v>46168</v>
      </c>
      <c r="P212" s="1520">
        <v>46164</v>
      </c>
    </row>
    <row r="213" spans="1:16">
      <c r="A213" t="s">
        <v>1249</v>
      </c>
      <c r="B213" t="s">
        <v>144</v>
      </c>
      <c r="C213" t="s">
        <v>145</v>
      </c>
      <c r="D213" t="s">
        <v>1032</v>
      </c>
      <c r="E213" t="s">
        <v>1250</v>
      </c>
      <c r="F213" t="s">
        <v>1251</v>
      </c>
      <c r="G213">
        <v>108</v>
      </c>
      <c r="H213" t="s">
        <v>75</v>
      </c>
      <c r="I213" t="s">
        <v>1252</v>
      </c>
      <c r="J213" s="1520">
        <v>46088</v>
      </c>
      <c r="K213" s="1520">
        <v>46154</v>
      </c>
      <c r="L213" s="1520">
        <v>46168</v>
      </c>
      <c r="M213" s="1520">
        <v>46164</v>
      </c>
      <c r="N213" t="s">
        <v>973</v>
      </c>
      <c r="O213" s="1520">
        <v>46168</v>
      </c>
      <c r="P213" s="1520">
        <v>46164</v>
      </c>
    </row>
    <row r="214" spans="1:16">
      <c r="A214" t="s">
        <v>1253</v>
      </c>
      <c r="B214" t="s">
        <v>144</v>
      </c>
      <c r="C214" t="s">
        <v>145</v>
      </c>
      <c r="D214" t="s">
        <v>1032</v>
      </c>
      <c r="E214" t="s">
        <v>1255</v>
      </c>
      <c r="F214" t="s">
        <v>72</v>
      </c>
      <c r="G214">
        <v>180</v>
      </c>
      <c r="H214" t="s">
        <v>75</v>
      </c>
      <c r="I214" t="s">
        <v>1256</v>
      </c>
      <c r="J214" s="1520">
        <v>46088</v>
      </c>
      <c r="K214" s="1520">
        <v>46154</v>
      </c>
      <c r="L214" s="1520">
        <v>46168</v>
      </c>
      <c r="M214" s="1520">
        <v>46164</v>
      </c>
      <c r="N214" t="s">
        <v>973</v>
      </c>
      <c r="O214" s="1520">
        <v>46168</v>
      </c>
      <c r="P214" s="1520">
        <v>46164</v>
      </c>
    </row>
    <row r="215" spans="1:16">
      <c r="A215" t="s">
        <v>1246</v>
      </c>
      <c r="B215" t="s">
        <v>144</v>
      </c>
      <c r="C215" t="s">
        <v>145</v>
      </c>
      <c r="D215" t="s">
        <v>1032</v>
      </c>
      <c r="E215" t="s">
        <v>1247</v>
      </c>
      <c r="F215" t="s">
        <v>196</v>
      </c>
      <c r="G215">
        <v>360</v>
      </c>
      <c r="H215" t="s">
        <v>75</v>
      </c>
      <c r="I215" t="s">
        <v>1248</v>
      </c>
      <c r="J215" s="1520">
        <v>46088</v>
      </c>
      <c r="K215" s="1520">
        <v>46154</v>
      </c>
      <c r="L215" s="1520">
        <v>46168</v>
      </c>
      <c r="M215" s="1520">
        <v>46164</v>
      </c>
      <c r="N215" t="s">
        <v>973</v>
      </c>
      <c r="O215" s="1520">
        <v>46168</v>
      </c>
      <c r="P215" s="1520">
        <v>46164</v>
      </c>
    </row>
    <row r="216" spans="1:16">
      <c r="A216" t="s">
        <v>1242</v>
      </c>
      <c r="B216" t="s">
        <v>144</v>
      </c>
      <c r="C216" t="s">
        <v>145</v>
      </c>
      <c r="D216" t="s">
        <v>1032</v>
      </c>
      <c r="E216" t="s">
        <v>791</v>
      </c>
      <c r="F216" t="s">
        <v>571</v>
      </c>
      <c r="G216">
        <v>720</v>
      </c>
      <c r="H216" t="s">
        <v>75</v>
      </c>
      <c r="I216" t="s">
        <v>1243</v>
      </c>
      <c r="J216" s="1520">
        <v>46088</v>
      </c>
      <c r="K216" s="1520">
        <v>46154</v>
      </c>
      <c r="L216" s="1520">
        <v>46168</v>
      </c>
      <c r="M216" s="1520">
        <v>46164</v>
      </c>
      <c r="N216" t="s">
        <v>973</v>
      </c>
      <c r="O216" s="1520">
        <v>46168</v>
      </c>
      <c r="P216" s="1520">
        <v>46164</v>
      </c>
    </row>
    <row r="217" spans="1:16">
      <c r="A217" t="s">
        <v>1244</v>
      </c>
      <c r="B217" t="s">
        <v>144</v>
      </c>
      <c r="C217" t="s">
        <v>145</v>
      </c>
      <c r="D217" t="s">
        <v>1032</v>
      </c>
      <c r="E217" t="s">
        <v>560</v>
      </c>
      <c r="F217" t="s">
        <v>196</v>
      </c>
      <c r="G217">
        <v>1044</v>
      </c>
      <c r="H217" t="s">
        <v>75</v>
      </c>
      <c r="I217" t="s">
        <v>1245</v>
      </c>
      <c r="J217" s="1520">
        <v>46088</v>
      </c>
      <c r="K217" s="1520">
        <v>46154</v>
      </c>
      <c r="L217" s="1520">
        <v>46168</v>
      </c>
      <c r="M217" s="1520">
        <v>46164</v>
      </c>
      <c r="N217" t="s">
        <v>973</v>
      </c>
      <c r="O217" s="1520">
        <v>46168</v>
      </c>
      <c r="P217" s="1520">
        <v>46164</v>
      </c>
    </row>
    <row r="218" spans="1:16">
      <c r="A218" t="s">
        <v>1231</v>
      </c>
      <c r="B218" t="s">
        <v>144</v>
      </c>
      <c r="C218" t="s">
        <v>145</v>
      </c>
      <c r="D218" t="s">
        <v>1032</v>
      </c>
      <c r="E218" t="s">
        <v>1234</v>
      </c>
      <c r="F218" t="s">
        <v>1235</v>
      </c>
      <c r="G218">
        <v>4392</v>
      </c>
      <c r="H218" t="s">
        <v>75</v>
      </c>
      <c r="I218" t="s">
        <v>1236</v>
      </c>
      <c r="J218" s="1520">
        <v>46088</v>
      </c>
      <c r="K218" s="1520">
        <v>46154</v>
      </c>
      <c r="L218" s="1520">
        <v>46168</v>
      </c>
      <c r="M218" s="1520">
        <v>46164</v>
      </c>
      <c r="N218" t="s">
        <v>973</v>
      </c>
      <c r="O218" s="1520">
        <v>46168</v>
      </c>
      <c r="P218" s="1520">
        <v>46164</v>
      </c>
    </row>
    <row r="219" spans="1:16">
      <c r="A219" t="s">
        <v>1240</v>
      </c>
      <c r="B219" t="s">
        <v>144</v>
      </c>
      <c r="C219" t="s">
        <v>145</v>
      </c>
      <c r="D219" t="s">
        <v>1032</v>
      </c>
      <c r="E219" t="s">
        <v>570</v>
      </c>
      <c r="F219" t="s">
        <v>571</v>
      </c>
      <c r="G219">
        <v>8352</v>
      </c>
      <c r="H219" t="s">
        <v>75</v>
      </c>
      <c r="I219" t="s">
        <v>1241</v>
      </c>
      <c r="J219" s="1520">
        <v>46088</v>
      </c>
      <c r="K219" s="1520">
        <v>46154</v>
      </c>
      <c r="L219" s="1520">
        <v>46168</v>
      </c>
      <c r="M219" s="1520">
        <v>46164</v>
      </c>
      <c r="N219" t="s">
        <v>973</v>
      </c>
      <c r="O219" s="1520">
        <v>46168</v>
      </c>
      <c r="P219" s="1520">
        <v>46164</v>
      </c>
    </row>
    <row r="220" spans="1:16">
      <c r="A220" t="s">
        <v>1208</v>
      </c>
      <c r="B220" t="s">
        <v>64</v>
      </c>
      <c r="C220" t="s">
        <v>65</v>
      </c>
      <c r="D220" t="s">
        <v>713</v>
      </c>
      <c r="E220" t="s">
        <v>1185</v>
      </c>
      <c r="F220" t="s">
        <v>1186</v>
      </c>
      <c r="G220">
        <v>720</v>
      </c>
      <c r="H220" t="s">
        <v>75</v>
      </c>
      <c r="I220" t="s">
        <v>1209</v>
      </c>
      <c r="J220" s="1520">
        <v>46089</v>
      </c>
      <c r="K220" s="1520">
        <v>46126</v>
      </c>
      <c r="L220" s="1520">
        <v>46126</v>
      </c>
      <c r="M220" s="1520">
        <v>46124</v>
      </c>
      <c r="N220" t="s">
        <v>973</v>
      </c>
      <c r="O220" s="1520">
        <v>46133</v>
      </c>
      <c r="P220" s="1520">
        <v>46134</v>
      </c>
    </row>
    <row r="221" spans="1:16">
      <c r="A221" t="s">
        <v>897</v>
      </c>
      <c r="B221" t="s">
        <v>64</v>
      </c>
      <c r="C221" t="s">
        <v>65</v>
      </c>
      <c r="D221" t="s">
        <v>70</v>
      </c>
      <c r="E221" t="s">
        <v>378</v>
      </c>
      <c r="F221" t="s">
        <v>379</v>
      </c>
      <c r="G221">
        <v>648</v>
      </c>
      <c r="H221" t="s">
        <v>75</v>
      </c>
      <c r="I221" t="s">
        <v>898</v>
      </c>
      <c r="J221" s="1520">
        <v>46089</v>
      </c>
      <c r="K221" s="1520">
        <v>46126</v>
      </c>
      <c r="L221" s="1520">
        <v>46126</v>
      </c>
      <c r="M221" s="1520">
        <v>46124</v>
      </c>
      <c r="N221" t="s">
        <v>84</v>
      </c>
      <c r="O221" s="1520">
        <v>46133</v>
      </c>
      <c r="P221" s="1520">
        <v>46132</v>
      </c>
    </row>
    <row r="222" spans="1:16">
      <c r="A222" t="s">
        <v>892</v>
      </c>
      <c r="B222" t="s">
        <v>64</v>
      </c>
      <c r="C222" t="s">
        <v>65</v>
      </c>
      <c r="D222" t="s">
        <v>70</v>
      </c>
      <c r="E222" t="s">
        <v>378</v>
      </c>
      <c r="F222" t="s">
        <v>379</v>
      </c>
      <c r="G222">
        <v>8640</v>
      </c>
      <c r="H222" t="s">
        <v>75</v>
      </c>
      <c r="I222" t="s">
        <v>893</v>
      </c>
      <c r="J222" s="1520">
        <v>46089</v>
      </c>
      <c r="K222" s="1520">
        <v>46126</v>
      </c>
      <c r="L222" s="1520">
        <v>46126</v>
      </c>
      <c r="M222" s="1520">
        <v>46124</v>
      </c>
      <c r="N222" t="s">
        <v>84</v>
      </c>
      <c r="O222" s="1520">
        <v>46139</v>
      </c>
      <c r="P222" s="1520">
        <v>46132</v>
      </c>
    </row>
    <row r="223" spans="1:16">
      <c r="A223" t="s">
        <v>1202</v>
      </c>
      <c r="B223" t="s">
        <v>64</v>
      </c>
      <c r="C223" t="s">
        <v>450</v>
      </c>
      <c r="D223" t="s">
        <v>132</v>
      </c>
      <c r="E223" t="s">
        <v>189</v>
      </c>
      <c r="F223" t="s">
        <v>190</v>
      </c>
      <c r="G223">
        <v>864</v>
      </c>
      <c r="H223" t="s">
        <v>75</v>
      </c>
      <c r="I223" t="s">
        <v>1204</v>
      </c>
      <c r="J223" s="1520">
        <v>46083</v>
      </c>
      <c r="K223" s="1520">
        <v>46124</v>
      </c>
      <c r="L223" s="1520">
        <v>46131</v>
      </c>
      <c r="M223" s="1520">
        <v>46131</v>
      </c>
      <c r="N223" t="s">
        <v>973</v>
      </c>
      <c r="O223" s="1520">
        <v>46146</v>
      </c>
      <c r="P223" s="1520">
        <v>46138</v>
      </c>
    </row>
    <row r="224" spans="1:16">
      <c r="A224" t="s">
        <v>1200</v>
      </c>
      <c r="B224" t="s">
        <v>64</v>
      </c>
      <c r="C224" t="s">
        <v>100</v>
      </c>
      <c r="D224" t="s">
        <v>132</v>
      </c>
      <c r="E224" t="s">
        <v>1062</v>
      </c>
      <c r="F224" t="s">
        <v>1063</v>
      </c>
      <c r="G224">
        <v>864</v>
      </c>
      <c r="H224" t="s">
        <v>75</v>
      </c>
      <c r="I224" t="s">
        <v>1201</v>
      </c>
      <c r="J224" s="1520">
        <v>46088</v>
      </c>
      <c r="K224" s="1520">
        <v>46122</v>
      </c>
      <c r="L224" s="1520">
        <v>46141</v>
      </c>
      <c r="M224" s="1520">
        <v>46137</v>
      </c>
      <c r="N224" t="s">
        <v>973</v>
      </c>
      <c r="O224" s="1520">
        <v>46150</v>
      </c>
      <c r="P224" s="1520">
        <v>46144</v>
      </c>
    </row>
    <row r="225" spans="1:16">
      <c r="A225" t="s">
        <v>1196</v>
      </c>
      <c r="B225" t="s">
        <v>64</v>
      </c>
      <c r="C225" t="s">
        <v>100</v>
      </c>
      <c r="D225" t="s">
        <v>132</v>
      </c>
      <c r="E225" t="s">
        <v>189</v>
      </c>
      <c r="F225" t="s">
        <v>190</v>
      </c>
      <c r="G225">
        <v>5184</v>
      </c>
      <c r="H225" t="s">
        <v>75</v>
      </c>
      <c r="I225" t="s">
        <v>1198</v>
      </c>
      <c r="J225" s="1520">
        <v>46088</v>
      </c>
      <c r="K225" s="1520">
        <v>46122</v>
      </c>
      <c r="L225" s="1520">
        <v>46141</v>
      </c>
      <c r="M225" s="1520">
        <v>46137</v>
      </c>
      <c r="N225" t="s">
        <v>973</v>
      </c>
      <c r="O225" s="1520">
        <v>46150</v>
      </c>
      <c r="P225" s="1520">
        <v>46144</v>
      </c>
    </row>
    <row r="226" spans="1:16">
      <c r="A226" t="s">
        <v>1192</v>
      </c>
      <c r="B226" t="s">
        <v>64</v>
      </c>
      <c r="C226" t="s">
        <v>100</v>
      </c>
      <c r="D226" t="s">
        <v>132</v>
      </c>
      <c r="E226" t="s">
        <v>189</v>
      </c>
      <c r="F226" t="s">
        <v>190</v>
      </c>
      <c r="G226">
        <v>4320</v>
      </c>
      <c r="H226" t="s">
        <v>75</v>
      </c>
      <c r="I226" t="s">
        <v>1193</v>
      </c>
      <c r="J226" s="1520">
        <v>46088</v>
      </c>
      <c r="K226" s="1520">
        <v>46122</v>
      </c>
      <c r="L226" s="1520">
        <v>46141</v>
      </c>
      <c r="M226" s="1520">
        <v>46137</v>
      </c>
      <c r="N226" t="s">
        <v>973</v>
      </c>
      <c r="O226" s="1520">
        <v>46150</v>
      </c>
      <c r="P226" s="1520">
        <v>46144</v>
      </c>
    </row>
    <row r="227" spans="1:16">
      <c r="A227" t="s">
        <v>1182</v>
      </c>
      <c r="B227" t="s">
        <v>64</v>
      </c>
      <c r="C227" t="s">
        <v>65</v>
      </c>
      <c r="D227" t="s">
        <v>713</v>
      </c>
      <c r="E227" t="s">
        <v>1185</v>
      </c>
      <c r="F227" t="s">
        <v>1186</v>
      </c>
      <c r="G227">
        <v>1440</v>
      </c>
      <c r="H227" t="s">
        <v>75</v>
      </c>
      <c r="I227" t="s">
        <v>1188</v>
      </c>
      <c r="J227" s="1520">
        <v>46079</v>
      </c>
      <c r="K227" s="1520">
        <v>46132</v>
      </c>
      <c r="L227" s="1520">
        <v>46135</v>
      </c>
      <c r="M227" s="1520">
        <v>46135</v>
      </c>
      <c r="N227" t="s">
        <v>973</v>
      </c>
      <c r="O227" s="1520">
        <v>46149</v>
      </c>
      <c r="P227" s="1520">
        <v>46145</v>
      </c>
    </row>
    <row r="228" spans="1:16">
      <c r="A228" t="s">
        <v>907</v>
      </c>
      <c r="B228" t="s">
        <v>64</v>
      </c>
      <c r="C228" t="s">
        <v>100</v>
      </c>
      <c r="D228" t="s">
        <v>70</v>
      </c>
      <c r="E228" t="s">
        <v>585</v>
      </c>
      <c r="F228" t="s">
        <v>103</v>
      </c>
      <c r="G228">
        <v>5760</v>
      </c>
      <c r="H228" t="s">
        <v>75</v>
      </c>
      <c r="I228" t="s">
        <v>908</v>
      </c>
      <c r="J228" s="1520">
        <v>46091</v>
      </c>
      <c r="K228" s="1520">
        <v>46126</v>
      </c>
      <c r="L228" s="1520">
        <v>46142</v>
      </c>
      <c r="M228" s="1520">
        <v>46141</v>
      </c>
      <c r="N228" t="s">
        <v>84</v>
      </c>
      <c r="O228" s="1520">
        <v>46163</v>
      </c>
      <c r="P228" s="1520">
        <v>46148</v>
      </c>
    </row>
    <row r="229" spans="1:16">
      <c r="A229" t="s">
        <v>902</v>
      </c>
      <c r="B229" t="s">
        <v>64</v>
      </c>
      <c r="C229" t="s">
        <v>100</v>
      </c>
      <c r="D229" t="s">
        <v>70</v>
      </c>
      <c r="E229" t="s">
        <v>585</v>
      </c>
      <c r="F229" t="s">
        <v>103</v>
      </c>
      <c r="G229">
        <v>7200</v>
      </c>
      <c r="H229" t="s">
        <v>75</v>
      </c>
      <c r="I229" t="s">
        <v>904</v>
      </c>
      <c r="J229" s="1520">
        <v>46091</v>
      </c>
      <c r="K229" s="1520">
        <v>46126</v>
      </c>
      <c r="L229" s="1520">
        <v>46142</v>
      </c>
      <c r="M229" s="1520">
        <v>46141</v>
      </c>
      <c r="N229" t="s">
        <v>84</v>
      </c>
      <c r="O229" s="1520">
        <v>46163</v>
      </c>
      <c r="P229" s="1520">
        <v>46148</v>
      </c>
    </row>
    <row r="230" spans="1:16">
      <c r="A230" t="s">
        <v>880</v>
      </c>
      <c r="B230" t="s">
        <v>144</v>
      </c>
      <c r="C230" t="s">
        <v>145</v>
      </c>
      <c r="D230" t="s">
        <v>70</v>
      </c>
      <c r="E230" t="s">
        <v>885</v>
      </c>
      <c r="F230" t="s">
        <v>886</v>
      </c>
      <c r="G230">
        <v>2880</v>
      </c>
      <c r="H230" t="s">
        <v>75</v>
      </c>
      <c r="I230" t="s">
        <v>887</v>
      </c>
      <c r="J230" s="1520">
        <v>46088</v>
      </c>
      <c r="K230" s="1520">
        <v>46148</v>
      </c>
      <c r="L230" s="1520">
        <v>46169</v>
      </c>
      <c r="M230" s="1520">
        <v>46169</v>
      </c>
      <c r="N230" t="s">
        <v>84</v>
      </c>
      <c r="O230" s="1520">
        <v>46162</v>
      </c>
      <c r="P230" s="1520">
        <v>46169</v>
      </c>
    </row>
    <row r="231" spans="1:16">
      <c r="A231" t="s">
        <v>1394</v>
      </c>
      <c r="B231" t="s">
        <v>64</v>
      </c>
      <c r="C231" t="s">
        <v>65</v>
      </c>
      <c r="D231" t="s">
        <v>70</v>
      </c>
      <c r="E231" t="s">
        <v>1151</v>
      </c>
      <c r="F231" t="s">
        <v>421</v>
      </c>
      <c r="G231">
        <v>4320</v>
      </c>
      <c r="H231" t="s">
        <v>75</v>
      </c>
      <c r="I231" t="s">
        <v>1396</v>
      </c>
      <c r="J231" s="1520">
        <v>46088</v>
      </c>
      <c r="K231" s="1520">
        <v>46153</v>
      </c>
      <c r="L231" s="1520">
        <v>46184</v>
      </c>
      <c r="M231" s="1520">
        <v>46184</v>
      </c>
      <c r="N231" t="s">
        <v>973</v>
      </c>
      <c r="O231" s="1520">
        <v>46199</v>
      </c>
      <c r="P231" s="1520">
        <v>46192</v>
      </c>
    </row>
    <row r="232" spans="1:16">
      <c r="A232" t="s">
        <v>1375</v>
      </c>
      <c r="B232" t="s">
        <v>64</v>
      </c>
      <c r="C232" t="s">
        <v>100</v>
      </c>
      <c r="D232" t="s">
        <v>70</v>
      </c>
      <c r="E232" t="s">
        <v>1151</v>
      </c>
      <c r="F232" t="s">
        <v>421</v>
      </c>
      <c r="G232">
        <v>6912</v>
      </c>
      <c r="H232" t="s">
        <v>75</v>
      </c>
      <c r="I232" t="s">
        <v>1377</v>
      </c>
      <c r="J232" s="1520">
        <v>46088</v>
      </c>
      <c r="K232" s="1520">
        <v>46133</v>
      </c>
      <c r="L232" s="1520">
        <v>46142</v>
      </c>
      <c r="M232" s="1520">
        <v>46141</v>
      </c>
      <c r="N232" t="s">
        <v>973</v>
      </c>
      <c r="O232" s="1520">
        <v>46163</v>
      </c>
      <c r="P232" s="1520">
        <v>46148</v>
      </c>
    </row>
    <row r="233" spans="1:16">
      <c r="A233" t="s">
        <v>1373</v>
      </c>
      <c r="B233" t="s">
        <v>64</v>
      </c>
      <c r="C233" t="s">
        <v>100</v>
      </c>
      <c r="D233" t="s">
        <v>70</v>
      </c>
      <c r="E233" t="s">
        <v>1151</v>
      </c>
      <c r="F233" t="s">
        <v>421</v>
      </c>
      <c r="G233">
        <v>2592</v>
      </c>
      <c r="H233" t="s">
        <v>75</v>
      </c>
      <c r="I233" t="s">
        <v>1374</v>
      </c>
      <c r="J233" s="1520">
        <v>46088</v>
      </c>
      <c r="K233" s="1520">
        <v>46133</v>
      </c>
      <c r="L233" s="1520">
        <v>46142</v>
      </c>
      <c r="M233" s="1520">
        <v>46141</v>
      </c>
      <c r="N233" t="s">
        <v>973</v>
      </c>
      <c r="O233" s="1520">
        <v>46163</v>
      </c>
      <c r="P233" s="1520">
        <v>46148</v>
      </c>
    </row>
    <row r="234" spans="1:16">
      <c r="A234" t="s">
        <v>1370</v>
      </c>
      <c r="B234" t="s">
        <v>64</v>
      </c>
      <c r="C234" t="s">
        <v>100</v>
      </c>
      <c r="D234" t="s">
        <v>70</v>
      </c>
      <c r="E234" t="s">
        <v>195</v>
      </c>
      <c r="F234" t="s">
        <v>196</v>
      </c>
      <c r="G234">
        <v>936</v>
      </c>
      <c r="H234" t="s">
        <v>75</v>
      </c>
      <c r="I234" t="s">
        <v>1372</v>
      </c>
      <c r="J234" s="1520">
        <v>46088</v>
      </c>
      <c r="K234" s="1520">
        <v>46133</v>
      </c>
      <c r="L234" s="1520">
        <v>46142</v>
      </c>
      <c r="M234" s="1520">
        <v>46141</v>
      </c>
      <c r="N234" t="s">
        <v>973</v>
      </c>
      <c r="O234" s="1520">
        <v>46163</v>
      </c>
      <c r="P234" s="1520">
        <v>46148</v>
      </c>
    </row>
    <row r="235" spans="1:16">
      <c r="A235" t="s">
        <v>1367</v>
      </c>
      <c r="B235" t="s">
        <v>64</v>
      </c>
      <c r="C235" t="s">
        <v>100</v>
      </c>
      <c r="D235" t="s">
        <v>70</v>
      </c>
      <c r="E235" t="s">
        <v>195</v>
      </c>
      <c r="F235" t="s">
        <v>196</v>
      </c>
      <c r="G235">
        <v>1872</v>
      </c>
      <c r="H235" t="s">
        <v>75</v>
      </c>
      <c r="I235" t="s">
        <v>1369</v>
      </c>
      <c r="J235" s="1520">
        <v>46088</v>
      </c>
      <c r="K235" s="1520">
        <v>46133</v>
      </c>
      <c r="L235" s="1520">
        <v>46142</v>
      </c>
      <c r="M235" s="1520">
        <v>46141</v>
      </c>
      <c r="N235" t="s">
        <v>973</v>
      </c>
      <c r="O235" s="1520">
        <v>46163</v>
      </c>
      <c r="P235" s="1520">
        <v>46148</v>
      </c>
    </row>
    <row r="236" spans="1:16">
      <c r="A236" t="s">
        <v>1362</v>
      </c>
      <c r="B236" t="s">
        <v>64</v>
      </c>
      <c r="C236" t="s">
        <v>100</v>
      </c>
      <c r="D236" t="s">
        <v>70</v>
      </c>
      <c r="E236" t="s">
        <v>195</v>
      </c>
      <c r="F236" t="s">
        <v>196</v>
      </c>
      <c r="G236">
        <v>1872</v>
      </c>
      <c r="H236" t="s">
        <v>75</v>
      </c>
      <c r="I236" t="s">
        <v>1364</v>
      </c>
      <c r="J236" s="1520">
        <v>46088</v>
      </c>
      <c r="K236" s="1520">
        <v>46133</v>
      </c>
      <c r="L236" s="1520">
        <v>46142</v>
      </c>
      <c r="M236" s="1520">
        <v>46141</v>
      </c>
      <c r="N236" t="s">
        <v>973</v>
      </c>
      <c r="O236" s="1520">
        <v>46163</v>
      </c>
      <c r="P236" s="1520">
        <v>46148</v>
      </c>
    </row>
    <row r="237" spans="1:16">
      <c r="A237" t="s">
        <v>1358</v>
      </c>
      <c r="B237" t="s">
        <v>64</v>
      </c>
      <c r="C237" t="s">
        <v>100</v>
      </c>
      <c r="D237" t="s">
        <v>70</v>
      </c>
      <c r="E237" t="s">
        <v>195</v>
      </c>
      <c r="F237" t="s">
        <v>196</v>
      </c>
      <c r="G237">
        <v>4680</v>
      </c>
      <c r="H237" t="s">
        <v>75</v>
      </c>
      <c r="I237" t="s">
        <v>1359</v>
      </c>
      <c r="J237" s="1520">
        <v>46088</v>
      </c>
      <c r="K237" s="1520">
        <v>46141</v>
      </c>
      <c r="L237" s="1520">
        <v>46142</v>
      </c>
      <c r="M237" s="1520">
        <v>46141</v>
      </c>
      <c r="N237" t="s">
        <v>973</v>
      </c>
      <c r="O237" s="1520">
        <v>46163</v>
      </c>
      <c r="P237" s="1520">
        <v>46148</v>
      </c>
    </row>
    <row r="238" spans="1:16">
      <c r="A238" t="s">
        <v>1321</v>
      </c>
      <c r="B238" t="s">
        <v>64</v>
      </c>
      <c r="C238" t="s">
        <v>100</v>
      </c>
      <c r="D238" t="s">
        <v>132</v>
      </c>
      <c r="E238" t="s">
        <v>1062</v>
      </c>
      <c r="F238" t="s">
        <v>1063</v>
      </c>
      <c r="G238">
        <v>1728</v>
      </c>
      <c r="H238" t="s">
        <v>75</v>
      </c>
      <c r="I238" t="s">
        <v>1322</v>
      </c>
      <c r="J238" s="1520">
        <v>46091</v>
      </c>
      <c r="K238" s="1520">
        <v>46122</v>
      </c>
      <c r="L238" s="1520">
        <v>46141</v>
      </c>
      <c r="M238" s="1520">
        <v>46137</v>
      </c>
      <c r="N238" t="s">
        <v>973</v>
      </c>
      <c r="O238" s="1520">
        <v>46150</v>
      </c>
      <c r="P238" s="1520">
        <v>46144</v>
      </c>
    </row>
    <row r="239" spans="1:16">
      <c r="A239" t="s">
        <v>1317</v>
      </c>
      <c r="B239" t="s">
        <v>64</v>
      </c>
      <c r="C239" t="s">
        <v>100</v>
      </c>
      <c r="D239" t="s">
        <v>473</v>
      </c>
      <c r="E239" t="s">
        <v>474</v>
      </c>
      <c r="F239" t="s">
        <v>1319</v>
      </c>
      <c r="G239">
        <v>1728</v>
      </c>
      <c r="H239" t="s">
        <v>75</v>
      </c>
      <c r="I239" t="s">
        <v>1320</v>
      </c>
      <c r="J239" s="1520">
        <v>46091</v>
      </c>
      <c r="K239" s="1520">
        <v>46122</v>
      </c>
      <c r="L239" s="1520">
        <v>46141</v>
      </c>
      <c r="M239" s="1520">
        <v>46137</v>
      </c>
      <c r="N239" t="s">
        <v>973</v>
      </c>
      <c r="O239" s="1520">
        <v>46150</v>
      </c>
      <c r="P239" s="1520">
        <v>46144</v>
      </c>
    </row>
    <row r="240" spans="1:16">
      <c r="A240" t="s">
        <v>1315</v>
      </c>
      <c r="B240" t="s">
        <v>64</v>
      </c>
      <c r="C240" t="s">
        <v>100</v>
      </c>
      <c r="D240" t="s">
        <v>132</v>
      </c>
      <c r="E240" t="s">
        <v>189</v>
      </c>
      <c r="F240" t="s">
        <v>190</v>
      </c>
      <c r="G240">
        <v>3456</v>
      </c>
      <c r="H240" t="s">
        <v>75</v>
      </c>
      <c r="I240" t="s">
        <v>1316</v>
      </c>
      <c r="J240" s="1520">
        <v>46091</v>
      </c>
      <c r="K240" s="1520">
        <v>46122</v>
      </c>
      <c r="L240" s="1520">
        <v>46141</v>
      </c>
      <c r="M240" s="1520">
        <v>46137</v>
      </c>
      <c r="N240" t="s">
        <v>973</v>
      </c>
      <c r="O240" s="1520">
        <v>46150</v>
      </c>
      <c r="P240" s="1520">
        <v>46144</v>
      </c>
    </row>
    <row r="241" spans="1:16">
      <c r="A241" t="s">
        <v>1309</v>
      </c>
      <c r="B241" t="s">
        <v>64</v>
      </c>
      <c r="C241" t="s">
        <v>100</v>
      </c>
      <c r="D241" t="s">
        <v>473</v>
      </c>
      <c r="E241" t="s">
        <v>529</v>
      </c>
      <c r="F241" t="s">
        <v>1311</v>
      </c>
      <c r="G241">
        <v>3456</v>
      </c>
      <c r="H241" t="s">
        <v>75</v>
      </c>
      <c r="I241" t="s">
        <v>1312</v>
      </c>
      <c r="J241" s="1520">
        <v>46091</v>
      </c>
      <c r="K241" s="1520">
        <v>46122</v>
      </c>
      <c r="L241" s="1520">
        <v>46141</v>
      </c>
      <c r="M241" s="1520">
        <v>46137</v>
      </c>
      <c r="N241" t="s">
        <v>973</v>
      </c>
      <c r="O241" s="1520">
        <v>46150</v>
      </c>
      <c r="P241" s="1520">
        <v>46144</v>
      </c>
    </row>
    <row r="242" spans="1:16">
      <c r="A242" t="s">
        <v>1294</v>
      </c>
      <c r="B242" t="s">
        <v>64</v>
      </c>
      <c r="C242" t="s">
        <v>450</v>
      </c>
      <c r="D242" t="s">
        <v>70</v>
      </c>
      <c r="E242" t="s">
        <v>1151</v>
      </c>
      <c r="F242" t="s">
        <v>421</v>
      </c>
      <c r="G242">
        <v>1728</v>
      </c>
      <c r="H242" t="s">
        <v>75</v>
      </c>
      <c r="I242" t="s">
        <v>1295</v>
      </c>
      <c r="J242" s="1520">
        <v>46088</v>
      </c>
      <c r="K242" s="1520">
        <v>46138</v>
      </c>
      <c r="L242" s="1520">
        <v>46160</v>
      </c>
      <c r="M242" s="1520">
        <v>46160</v>
      </c>
      <c r="N242" t="s">
        <v>973</v>
      </c>
      <c r="O242" s="1520">
        <v>46174</v>
      </c>
      <c r="P242" s="1520">
        <v>46167</v>
      </c>
    </row>
    <row r="243" spans="1:16">
      <c r="A243" t="s">
        <v>1285</v>
      </c>
      <c r="B243" t="s">
        <v>64</v>
      </c>
      <c r="C243" t="s">
        <v>450</v>
      </c>
      <c r="D243" t="s">
        <v>70</v>
      </c>
      <c r="E243" t="s">
        <v>1151</v>
      </c>
      <c r="F243" t="s">
        <v>421</v>
      </c>
      <c r="G243">
        <v>864</v>
      </c>
      <c r="H243" t="s">
        <v>75</v>
      </c>
      <c r="I243" t="s">
        <v>1288</v>
      </c>
      <c r="J243" s="1520">
        <v>46088</v>
      </c>
      <c r="K243" s="1520">
        <v>46138</v>
      </c>
      <c r="L243" s="1520">
        <v>46160</v>
      </c>
      <c r="M243" s="1520">
        <v>46160</v>
      </c>
      <c r="N243" t="s">
        <v>973</v>
      </c>
      <c r="O243" s="1520">
        <v>46174</v>
      </c>
      <c r="P243" s="1520">
        <v>46167</v>
      </c>
    </row>
    <row r="244" spans="1:16">
      <c r="A244" t="s">
        <v>1291</v>
      </c>
      <c r="B244" t="s">
        <v>64</v>
      </c>
      <c r="C244" t="s">
        <v>450</v>
      </c>
      <c r="D244" t="s">
        <v>70</v>
      </c>
      <c r="E244" t="s">
        <v>1151</v>
      </c>
      <c r="F244" t="s">
        <v>421</v>
      </c>
      <c r="G244">
        <v>1728</v>
      </c>
      <c r="H244" t="s">
        <v>75</v>
      </c>
      <c r="I244" t="s">
        <v>1293</v>
      </c>
      <c r="J244" s="1520">
        <v>46088</v>
      </c>
      <c r="K244" s="1520">
        <v>46138</v>
      </c>
      <c r="L244" s="1520">
        <v>46160</v>
      </c>
      <c r="M244" s="1520">
        <v>46160</v>
      </c>
      <c r="N244" t="s">
        <v>973</v>
      </c>
      <c r="O244" s="1520">
        <v>46174</v>
      </c>
      <c r="P244" s="1520">
        <v>46167</v>
      </c>
    </row>
    <row r="245" spans="1:16">
      <c r="A245" t="s">
        <v>1217</v>
      </c>
      <c r="B245" t="s">
        <v>64</v>
      </c>
      <c r="C245" t="s">
        <v>100</v>
      </c>
      <c r="D245" t="s">
        <v>132</v>
      </c>
      <c r="E245" t="s">
        <v>133</v>
      </c>
      <c r="F245" t="s">
        <v>134</v>
      </c>
      <c r="G245">
        <v>1188</v>
      </c>
      <c r="H245" t="s">
        <v>75</v>
      </c>
      <c r="I245" t="s">
        <v>1218</v>
      </c>
      <c r="J245" s="1520">
        <v>46091</v>
      </c>
      <c r="K245" s="1520">
        <v>46126</v>
      </c>
      <c r="L245" s="1520">
        <v>46142</v>
      </c>
      <c r="M245" s="1520">
        <v>46141</v>
      </c>
      <c r="N245" t="s">
        <v>973</v>
      </c>
      <c r="O245" s="1520">
        <v>46163</v>
      </c>
      <c r="P245" s="1520">
        <v>46148</v>
      </c>
    </row>
    <row r="246" spans="1:16">
      <c r="A246" t="s">
        <v>1215</v>
      </c>
      <c r="B246" t="s">
        <v>64</v>
      </c>
      <c r="C246" t="s">
        <v>100</v>
      </c>
      <c r="D246" t="s">
        <v>132</v>
      </c>
      <c r="E246" t="s">
        <v>1062</v>
      </c>
      <c r="F246" t="s">
        <v>1063</v>
      </c>
      <c r="G246">
        <v>3456</v>
      </c>
      <c r="H246" t="s">
        <v>75</v>
      </c>
      <c r="I246" t="s">
        <v>1216</v>
      </c>
      <c r="J246" s="1520">
        <v>46091</v>
      </c>
      <c r="K246" s="1520">
        <v>46126</v>
      </c>
      <c r="L246" s="1520">
        <v>46142</v>
      </c>
      <c r="M246" s="1520">
        <v>46141</v>
      </c>
      <c r="N246" t="s">
        <v>973</v>
      </c>
      <c r="O246" s="1520">
        <v>46163</v>
      </c>
      <c r="P246" s="1520">
        <v>46148</v>
      </c>
    </row>
    <row r="247" spans="1:16">
      <c r="A247" t="s">
        <v>1210</v>
      </c>
      <c r="B247" t="s">
        <v>64</v>
      </c>
      <c r="C247" t="s">
        <v>100</v>
      </c>
      <c r="D247" t="s">
        <v>132</v>
      </c>
      <c r="E247" t="s">
        <v>133</v>
      </c>
      <c r="F247" t="s">
        <v>134</v>
      </c>
      <c r="G247">
        <v>2970</v>
      </c>
      <c r="H247" t="s">
        <v>75</v>
      </c>
      <c r="I247" t="s">
        <v>1211</v>
      </c>
      <c r="J247" s="1520">
        <v>46091</v>
      </c>
      <c r="K247" s="1520">
        <v>46127</v>
      </c>
      <c r="L247" s="1520">
        <v>46137</v>
      </c>
      <c r="M247" s="1520">
        <v>46137</v>
      </c>
      <c r="N247" t="s">
        <v>973</v>
      </c>
      <c r="O247" s="1520">
        <v>46150</v>
      </c>
      <c r="P247" s="1520">
        <v>46144</v>
      </c>
    </row>
    <row r="248" spans="1:16">
      <c r="A248" t="s">
        <v>1390</v>
      </c>
      <c r="B248" t="s">
        <v>64</v>
      </c>
      <c r="C248" t="s">
        <v>65</v>
      </c>
      <c r="D248" t="s">
        <v>713</v>
      </c>
      <c r="E248" t="s">
        <v>714</v>
      </c>
      <c r="F248" t="s">
        <v>1173</v>
      </c>
      <c r="G248">
        <v>7488</v>
      </c>
      <c r="H248" t="s">
        <v>75</v>
      </c>
      <c r="I248" t="s">
        <v>1391</v>
      </c>
      <c r="J248" s="1520">
        <v>46091</v>
      </c>
      <c r="K248" s="1520">
        <v>46140</v>
      </c>
      <c r="L248" s="1520">
        <v>46140</v>
      </c>
      <c r="M248" s="1520">
        <v>46140</v>
      </c>
      <c r="N248" t="s">
        <v>973</v>
      </c>
      <c r="O248" s="1520">
        <v>46153</v>
      </c>
      <c r="P248" s="1520">
        <v>46150</v>
      </c>
    </row>
    <row r="249" spans="1:16">
      <c r="A249" t="s">
        <v>1354</v>
      </c>
      <c r="B249" t="s">
        <v>144</v>
      </c>
      <c r="C249" t="s">
        <v>145</v>
      </c>
      <c r="D249" t="s">
        <v>1032</v>
      </c>
      <c r="E249" t="s">
        <v>1355</v>
      </c>
      <c r="F249" t="s">
        <v>1356</v>
      </c>
      <c r="G249">
        <v>462</v>
      </c>
      <c r="H249" t="s">
        <v>75</v>
      </c>
      <c r="I249" t="s">
        <v>1357</v>
      </c>
      <c r="J249" s="1520">
        <v>46091</v>
      </c>
      <c r="K249" s="1520">
        <v>46154</v>
      </c>
      <c r="L249" s="1520">
        <v>46161</v>
      </c>
      <c r="M249" s="1520">
        <v>46162</v>
      </c>
      <c r="N249" t="s">
        <v>973</v>
      </c>
      <c r="O249" s="1520">
        <v>46168</v>
      </c>
      <c r="P249" s="1520">
        <v>46162</v>
      </c>
    </row>
    <row r="250" spans="1:16">
      <c r="A250" t="s">
        <v>1346</v>
      </c>
      <c r="B250" t="s">
        <v>144</v>
      </c>
      <c r="C250" t="s">
        <v>145</v>
      </c>
      <c r="D250" t="s">
        <v>1032</v>
      </c>
      <c r="E250" t="s">
        <v>1347</v>
      </c>
      <c r="F250" t="s">
        <v>1348</v>
      </c>
      <c r="G250">
        <v>132</v>
      </c>
      <c r="H250" t="s">
        <v>75</v>
      </c>
      <c r="I250" t="s">
        <v>1349</v>
      </c>
      <c r="J250" s="1520">
        <v>46091</v>
      </c>
      <c r="K250" s="1520">
        <v>46154</v>
      </c>
      <c r="L250" s="1520">
        <v>46161</v>
      </c>
      <c r="M250" s="1520">
        <v>46162</v>
      </c>
      <c r="N250" t="s">
        <v>973</v>
      </c>
      <c r="O250" s="1520">
        <v>46168</v>
      </c>
      <c r="P250" s="1520">
        <v>46162</v>
      </c>
    </row>
    <row r="251" spans="1:16">
      <c r="A251" t="s">
        <v>1341</v>
      </c>
      <c r="B251" t="s">
        <v>64</v>
      </c>
      <c r="C251" t="s">
        <v>310</v>
      </c>
      <c r="D251" t="s">
        <v>473</v>
      </c>
      <c r="E251" t="s">
        <v>474</v>
      </c>
      <c r="F251" t="s">
        <v>1319</v>
      </c>
      <c r="G251">
        <v>3456</v>
      </c>
      <c r="H251" t="s">
        <v>75</v>
      </c>
      <c r="I251" t="s">
        <v>1343</v>
      </c>
      <c r="J251" s="1520">
        <v>46092</v>
      </c>
      <c r="K251" s="1520">
        <v>46138</v>
      </c>
      <c r="L251" s="1520">
        <v>46148</v>
      </c>
      <c r="M251" s="1520">
        <v>46148</v>
      </c>
      <c r="N251" t="s">
        <v>973</v>
      </c>
      <c r="O251" s="1520">
        <v>46162</v>
      </c>
      <c r="P251" s="1520">
        <v>46158</v>
      </c>
    </row>
    <row r="252" spans="1:16">
      <c r="A252" t="s">
        <v>1337</v>
      </c>
      <c r="B252" t="s">
        <v>64</v>
      </c>
      <c r="C252" t="s">
        <v>65</v>
      </c>
      <c r="D252" t="s">
        <v>70</v>
      </c>
      <c r="E252" t="s">
        <v>1334</v>
      </c>
      <c r="F252" t="s">
        <v>1335</v>
      </c>
      <c r="G252">
        <v>5760</v>
      </c>
      <c r="H252" t="s">
        <v>75</v>
      </c>
      <c r="I252" t="s">
        <v>1338</v>
      </c>
      <c r="J252" s="1520">
        <v>46092</v>
      </c>
      <c r="K252" s="1520">
        <v>46143</v>
      </c>
      <c r="L252" s="1520">
        <v>46144</v>
      </c>
      <c r="M252" s="1520">
        <v>46144</v>
      </c>
      <c r="N252" t="s">
        <v>973</v>
      </c>
      <c r="O252" s="1520">
        <v>46160</v>
      </c>
      <c r="P252" s="1520">
        <v>46152</v>
      </c>
    </row>
    <row r="253" spans="1:16">
      <c r="A253" t="s">
        <v>1325</v>
      </c>
      <c r="B253" t="s">
        <v>64</v>
      </c>
      <c r="C253" t="s">
        <v>65</v>
      </c>
      <c r="D253" t="s">
        <v>70</v>
      </c>
      <c r="E253" t="s">
        <v>218</v>
      </c>
      <c r="F253" t="s">
        <v>219</v>
      </c>
      <c r="G253">
        <v>1440</v>
      </c>
      <c r="H253" t="s">
        <v>75</v>
      </c>
      <c r="I253" t="s">
        <v>1328</v>
      </c>
      <c r="J253" s="1520">
        <v>46094</v>
      </c>
      <c r="K253" s="1520">
        <v>46140</v>
      </c>
      <c r="L253" s="1520">
        <v>46145</v>
      </c>
      <c r="M253" s="1520">
        <v>46148</v>
      </c>
      <c r="N253" t="s">
        <v>973</v>
      </c>
      <c r="O253" s="1520">
        <v>46160</v>
      </c>
      <c r="P253" s="1520">
        <v>46156</v>
      </c>
    </row>
    <row r="254" spans="1:16">
      <c r="A254" t="s">
        <v>1305</v>
      </c>
      <c r="B254" t="s">
        <v>64</v>
      </c>
      <c r="C254" t="s">
        <v>100</v>
      </c>
      <c r="D254" t="s">
        <v>70</v>
      </c>
      <c r="E254" t="s">
        <v>1002</v>
      </c>
      <c r="F254" t="s">
        <v>330</v>
      </c>
      <c r="G254">
        <v>7920</v>
      </c>
      <c r="H254" t="s">
        <v>75</v>
      </c>
      <c r="I254" t="s">
        <v>1306</v>
      </c>
      <c r="J254" s="1520">
        <v>46091</v>
      </c>
      <c r="K254" s="1520">
        <v>46126</v>
      </c>
      <c r="L254" s="1520">
        <v>46142</v>
      </c>
      <c r="M254" s="1520">
        <v>46141</v>
      </c>
      <c r="N254" t="s">
        <v>973</v>
      </c>
      <c r="O254" s="1520">
        <v>46163</v>
      </c>
      <c r="P254" s="1520">
        <v>46148</v>
      </c>
    </row>
    <row r="255" spans="1:16">
      <c r="A255" t="s">
        <v>1297</v>
      </c>
      <c r="B255" t="s">
        <v>144</v>
      </c>
      <c r="C255" t="s">
        <v>145</v>
      </c>
      <c r="D255" t="s">
        <v>713</v>
      </c>
      <c r="E255" t="s">
        <v>1299</v>
      </c>
      <c r="F255" t="s">
        <v>1300</v>
      </c>
      <c r="G255">
        <v>1782</v>
      </c>
      <c r="H255" t="s">
        <v>75</v>
      </c>
      <c r="I255" t="s">
        <v>1301</v>
      </c>
      <c r="J255" s="1520">
        <v>46091</v>
      </c>
      <c r="K255" s="1520">
        <v>46141</v>
      </c>
      <c r="L255" s="1520">
        <v>46140</v>
      </c>
      <c r="M255" s="1520">
        <v>46140</v>
      </c>
      <c r="N255" t="s">
        <v>973</v>
      </c>
      <c r="O255" s="1520">
        <v>46155</v>
      </c>
      <c r="P255" s="1520">
        <v>46140</v>
      </c>
    </row>
    <row r="256" spans="1:16">
      <c r="A256" t="s">
        <v>1227</v>
      </c>
      <c r="B256" t="s">
        <v>64</v>
      </c>
      <c r="C256" t="s">
        <v>65</v>
      </c>
      <c r="D256" t="s">
        <v>713</v>
      </c>
      <c r="E256" t="s">
        <v>462</v>
      </c>
      <c r="F256" t="s">
        <v>1229</v>
      </c>
      <c r="G256">
        <v>462</v>
      </c>
      <c r="H256" t="s">
        <v>75</v>
      </c>
      <c r="I256" t="s">
        <v>1230</v>
      </c>
      <c r="J256" s="1520">
        <v>46092</v>
      </c>
      <c r="K256" s="1520">
        <v>46143</v>
      </c>
      <c r="L256" s="1520">
        <v>46144</v>
      </c>
      <c r="M256" s="1520">
        <v>46144</v>
      </c>
      <c r="N256" t="s">
        <v>973</v>
      </c>
      <c r="O256" s="1520">
        <v>46160</v>
      </c>
      <c r="P256" s="1520">
        <v>46152</v>
      </c>
    </row>
    <row r="257" spans="1:16">
      <c r="A257" t="s">
        <v>1219</v>
      </c>
      <c r="B257" t="s">
        <v>64</v>
      </c>
      <c r="C257" t="s">
        <v>65</v>
      </c>
      <c r="D257" t="s">
        <v>713</v>
      </c>
      <c r="E257" t="s">
        <v>1221</v>
      </c>
      <c r="F257" t="s">
        <v>1222</v>
      </c>
      <c r="G257">
        <v>3498</v>
      </c>
      <c r="H257" t="s">
        <v>75</v>
      </c>
      <c r="I257" t="s">
        <v>1223</v>
      </c>
      <c r="J257" s="1520">
        <v>46092</v>
      </c>
      <c r="K257" s="1520">
        <v>46143</v>
      </c>
      <c r="L257" s="1520">
        <v>46144</v>
      </c>
      <c r="M257" s="1520">
        <v>46144</v>
      </c>
      <c r="N257" t="s">
        <v>973</v>
      </c>
      <c r="O257" s="1520">
        <v>46160</v>
      </c>
      <c r="P257" s="1520">
        <v>46152</v>
      </c>
    </row>
    <row r="258" spans="1:16">
      <c r="A258" t="s">
        <v>1332</v>
      </c>
      <c r="B258" t="s">
        <v>64</v>
      </c>
      <c r="C258" t="s">
        <v>65</v>
      </c>
      <c r="D258" t="s">
        <v>70</v>
      </c>
      <c r="E258" t="s">
        <v>1334</v>
      </c>
      <c r="F258" t="s">
        <v>1335</v>
      </c>
      <c r="G258">
        <v>3600</v>
      </c>
      <c r="H258" t="s">
        <v>75</v>
      </c>
      <c r="I258" t="s">
        <v>1336</v>
      </c>
      <c r="J258" s="1520">
        <v>46094</v>
      </c>
      <c r="K258" s="1520">
        <v>46140</v>
      </c>
      <c r="L258" s="1520">
        <v>46145</v>
      </c>
      <c r="M258" s="1520">
        <v>46148</v>
      </c>
      <c r="N258" t="s">
        <v>973</v>
      </c>
      <c r="O258" s="1520">
        <v>46160</v>
      </c>
      <c r="P258" s="1520">
        <v>46156</v>
      </c>
    </row>
    <row r="259" spans="1:16">
      <c r="A259" t="s">
        <v>1489</v>
      </c>
      <c r="B259" t="s">
        <v>64</v>
      </c>
      <c r="C259" t="s">
        <v>100</v>
      </c>
      <c r="D259" t="s">
        <v>473</v>
      </c>
      <c r="E259" t="s">
        <v>529</v>
      </c>
      <c r="F259" t="s">
        <v>1311</v>
      </c>
      <c r="G259">
        <v>4320</v>
      </c>
      <c r="H259" t="s">
        <v>75</v>
      </c>
      <c r="I259" t="s">
        <v>1492</v>
      </c>
      <c r="J259" s="1520">
        <v>46097</v>
      </c>
      <c r="K259" s="1520">
        <v>46134</v>
      </c>
      <c r="L259" s="1520">
        <v>46143</v>
      </c>
      <c r="M259" s="1520">
        <v>46144</v>
      </c>
      <c r="N259" t="s">
        <v>973</v>
      </c>
      <c r="O259" s="1520">
        <v>46156</v>
      </c>
      <c r="P259" s="1520">
        <v>46151</v>
      </c>
    </row>
    <row r="260" spans="1:16">
      <c r="A260" t="s">
        <v>1513</v>
      </c>
      <c r="B260" t="s">
        <v>64</v>
      </c>
      <c r="C260" t="s">
        <v>114</v>
      </c>
      <c r="D260" t="s">
        <v>473</v>
      </c>
      <c r="E260" t="s">
        <v>474</v>
      </c>
      <c r="F260" t="s">
        <v>1319</v>
      </c>
      <c r="G260">
        <v>1728</v>
      </c>
      <c r="H260" t="s">
        <v>75</v>
      </c>
      <c r="I260" t="s">
        <v>1515</v>
      </c>
      <c r="J260" s="1520">
        <v>46096</v>
      </c>
      <c r="K260" s="1520">
        <v>46149</v>
      </c>
      <c r="L260" s="1520">
        <v>46162</v>
      </c>
      <c r="M260" s="1520">
        <v>46162</v>
      </c>
      <c r="N260" t="s">
        <v>973</v>
      </c>
      <c r="O260" s="1520">
        <v>46176</v>
      </c>
      <c r="P260" s="1520">
        <v>46171</v>
      </c>
    </row>
    <row r="261" spans="1:16">
      <c r="A261" t="s">
        <v>1511</v>
      </c>
      <c r="B261" t="s">
        <v>64</v>
      </c>
      <c r="C261" t="s">
        <v>65</v>
      </c>
      <c r="D261" t="s">
        <v>70</v>
      </c>
      <c r="E261" t="s">
        <v>1334</v>
      </c>
      <c r="F261" t="s">
        <v>1335</v>
      </c>
      <c r="G261">
        <v>4320</v>
      </c>
      <c r="H261" t="s">
        <v>75</v>
      </c>
      <c r="I261" t="s">
        <v>1512</v>
      </c>
      <c r="J261" s="1520">
        <v>46096</v>
      </c>
      <c r="K261" s="1520">
        <v>46146</v>
      </c>
      <c r="L261" s="1520">
        <v>46153</v>
      </c>
      <c r="M261" s="1520">
        <v>46159</v>
      </c>
      <c r="N261" t="s">
        <v>973</v>
      </c>
      <c r="O261" s="1520">
        <v>46171</v>
      </c>
      <c r="P261" s="1520">
        <v>46167</v>
      </c>
    </row>
    <row r="262" spans="1:16">
      <c r="A262" t="s">
        <v>1506</v>
      </c>
      <c r="B262" t="s">
        <v>64</v>
      </c>
      <c r="C262" t="s">
        <v>65</v>
      </c>
      <c r="D262" t="s">
        <v>70</v>
      </c>
      <c r="E262" t="s">
        <v>218</v>
      </c>
      <c r="F262" t="s">
        <v>219</v>
      </c>
      <c r="G262">
        <v>6480</v>
      </c>
      <c r="H262" t="s">
        <v>75</v>
      </c>
      <c r="I262" t="s">
        <v>1507</v>
      </c>
      <c r="J262" s="1520">
        <v>46096</v>
      </c>
      <c r="K262" s="1520">
        <v>46146</v>
      </c>
      <c r="L262" s="1520">
        <v>46153</v>
      </c>
      <c r="M262" s="1520">
        <v>46159</v>
      </c>
      <c r="N262" t="s">
        <v>973</v>
      </c>
      <c r="O262" s="1520">
        <v>46171</v>
      </c>
      <c r="P262" s="1520">
        <v>46167</v>
      </c>
    </row>
    <row r="263" spans="1:16">
      <c r="A263" t="s">
        <v>1503</v>
      </c>
      <c r="B263" t="s">
        <v>64</v>
      </c>
      <c r="C263" t="s">
        <v>100</v>
      </c>
      <c r="D263" t="s">
        <v>473</v>
      </c>
      <c r="E263" t="s">
        <v>529</v>
      </c>
      <c r="F263" t="s">
        <v>1311</v>
      </c>
      <c r="G263">
        <v>6912</v>
      </c>
      <c r="H263" t="s">
        <v>75</v>
      </c>
      <c r="I263" t="s">
        <v>1505</v>
      </c>
      <c r="J263" s="1520">
        <v>46097</v>
      </c>
      <c r="K263" s="1520">
        <v>46134</v>
      </c>
      <c r="L263" s="1520">
        <v>46151</v>
      </c>
      <c r="M263" s="1520">
        <v>46153</v>
      </c>
      <c r="N263" t="s">
        <v>973</v>
      </c>
      <c r="O263" s="1520">
        <v>46160</v>
      </c>
      <c r="P263" s="1520">
        <v>46160</v>
      </c>
    </row>
    <row r="264" spans="1:16">
      <c r="A264" t="s">
        <v>1482</v>
      </c>
      <c r="B264" t="s">
        <v>64</v>
      </c>
      <c r="C264" t="s">
        <v>100</v>
      </c>
      <c r="D264" t="s">
        <v>70</v>
      </c>
      <c r="E264" t="s">
        <v>1483</v>
      </c>
      <c r="F264" t="s">
        <v>1484</v>
      </c>
      <c r="G264">
        <v>594</v>
      </c>
      <c r="H264" t="s">
        <v>75</v>
      </c>
      <c r="I264" t="s">
        <v>1502</v>
      </c>
      <c r="J264" s="1520">
        <v>46097</v>
      </c>
      <c r="K264" s="1520">
        <v>46134</v>
      </c>
      <c r="L264" s="1520">
        <v>46151</v>
      </c>
      <c r="M264" s="1520">
        <v>46153</v>
      </c>
      <c r="N264" t="s">
        <v>973</v>
      </c>
      <c r="O264" s="1520">
        <v>46160</v>
      </c>
      <c r="P264" s="1520">
        <v>46160</v>
      </c>
    </row>
    <row r="265" spans="1:16">
      <c r="A265" t="s">
        <v>1499</v>
      </c>
      <c r="B265" t="s">
        <v>64</v>
      </c>
      <c r="C265" t="s">
        <v>100</v>
      </c>
      <c r="D265" t="s">
        <v>473</v>
      </c>
      <c r="E265" t="s">
        <v>474</v>
      </c>
      <c r="F265" t="s">
        <v>1319</v>
      </c>
      <c r="G265">
        <v>864</v>
      </c>
      <c r="H265" t="s">
        <v>75</v>
      </c>
      <c r="I265" t="s">
        <v>1501</v>
      </c>
      <c r="J265" s="1520">
        <v>46097</v>
      </c>
      <c r="K265" s="1520">
        <v>46134</v>
      </c>
      <c r="L265" s="1520">
        <v>46151</v>
      </c>
      <c r="M265" s="1520">
        <v>46153</v>
      </c>
      <c r="N265" t="s">
        <v>973</v>
      </c>
      <c r="O265" s="1520">
        <v>46160</v>
      </c>
      <c r="P265" s="1520">
        <v>46160</v>
      </c>
    </row>
    <row r="266" spans="1:16">
      <c r="A266" t="s">
        <v>1495</v>
      </c>
      <c r="B266" t="s">
        <v>64</v>
      </c>
      <c r="C266" t="s">
        <v>100</v>
      </c>
      <c r="D266" t="s">
        <v>70</v>
      </c>
      <c r="E266" t="s">
        <v>1002</v>
      </c>
      <c r="F266" t="s">
        <v>330</v>
      </c>
      <c r="G266">
        <v>720</v>
      </c>
      <c r="H266" t="s">
        <v>75</v>
      </c>
      <c r="I266" t="s">
        <v>1496</v>
      </c>
      <c r="J266" s="1520">
        <v>46096</v>
      </c>
      <c r="K266" s="1520">
        <v>46133</v>
      </c>
      <c r="L266" s="1520">
        <v>46151</v>
      </c>
      <c r="M266" s="1520">
        <v>46153</v>
      </c>
      <c r="N266" t="s">
        <v>973</v>
      </c>
      <c r="O266" s="1520">
        <v>46160</v>
      </c>
      <c r="P266" s="1520">
        <v>46160</v>
      </c>
    </row>
    <row r="267" spans="1:16">
      <c r="A267" t="s">
        <v>1471</v>
      </c>
      <c r="B267" t="s">
        <v>64</v>
      </c>
      <c r="C267" t="s">
        <v>100</v>
      </c>
      <c r="D267" t="s">
        <v>70</v>
      </c>
      <c r="E267" t="s">
        <v>1002</v>
      </c>
      <c r="F267" t="s">
        <v>330</v>
      </c>
      <c r="G267">
        <v>7200</v>
      </c>
      <c r="H267" t="s">
        <v>75</v>
      </c>
      <c r="I267" t="s">
        <v>1473</v>
      </c>
      <c r="J267" s="1520">
        <v>46096</v>
      </c>
      <c r="K267" s="1520">
        <v>46133</v>
      </c>
      <c r="L267" s="1520">
        <v>46150</v>
      </c>
      <c r="M267" s="1520">
        <v>46148</v>
      </c>
      <c r="N267" t="s">
        <v>973</v>
      </c>
      <c r="O267" s="1520">
        <v>46164</v>
      </c>
      <c r="P267" s="1520">
        <v>46155</v>
      </c>
    </row>
    <row r="268" spans="1:16">
      <c r="A268" t="s">
        <v>1476</v>
      </c>
      <c r="B268" t="s">
        <v>64</v>
      </c>
      <c r="C268" t="s">
        <v>100</v>
      </c>
      <c r="D268" t="s">
        <v>473</v>
      </c>
      <c r="E268" t="s">
        <v>474</v>
      </c>
      <c r="F268" t="s">
        <v>1319</v>
      </c>
      <c r="G268">
        <v>8640</v>
      </c>
      <c r="H268" t="s">
        <v>75</v>
      </c>
      <c r="I268" t="s">
        <v>1478</v>
      </c>
      <c r="J268" s="1520">
        <v>46096</v>
      </c>
      <c r="K268" s="1520">
        <v>46133</v>
      </c>
      <c r="L268" s="1520">
        <v>46150</v>
      </c>
      <c r="M268" s="1520">
        <v>46148</v>
      </c>
      <c r="N268" t="s">
        <v>973</v>
      </c>
      <c r="O268" s="1520">
        <v>46164</v>
      </c>
      <c r="P268" s="1520">
        <v>46155</v>
      </c>
    </row>
    <row r="269" spans="1:16">
      <c r="A269" t="s">
        <v>1467</v>
      </c>
      <c r="B269" t="s">
        <v>64</v>
      </c>
      <c r="C269" t="s">
        <v>100</v>
      </c>
      <c r="D269" t="s">
        <v>70</v>
      </c>
      <c r="E269" t="s">
        <v>1461</v>
      </c>
      <c r="F269" t="s">
        <v>103</v>
      </c>
      <c r="G269">
        <v>2160</v>
      </c>
      <c r="H269" t="s">
        <v>75</v>
      </c>
      <c r="I269" t="s">
        <v>1468</v>
      </c>
      <c r="J269" s="1520">
        <v>46096</v>
      </c>
      <c r="K269" s="1520">
        <v>46133</v>
      </c>
      <c r="L269" s="1520">
        <v>46150</v>
      </c>
      <c r="M269" s="1520">
        <v>46148</v>
      </c>
      <c r="N269" t="s">
        <v>973</v>
      </c>
      <c r="O269" s="1520">
        <v>46164</v>
      </c>
      <c r="P269" s="1520">
        <v>46155</v>
      </c>
    </row>
    <row r="270" spans="1:16">
      <c r="A270" t="s">
        <v>1469</v>
      </c>
      <c r="B270" t="s">
        <v>64</v>
      </c>
      <c r="C270" t="s">
        <v>100</v>
      </c>
      <c r="D270" t="s">
        <v>70</v>
      </c>
      <c r="E270" t="s">
        <v>1461</v>
      </c>
      <c r="F270" t="s">
        <v>103</v>
      </c>
      <c r="G270">
        <v>2880</v>
      </c>
      <c r="H270" t="s">
        <v>75</v>
      </c>
      <c r="I270" t="s">
        <v>1470</v>
      </c>
      <c r="J270" s="1520">
        <v>46096</v>
      </c>
      <c r="K270" s="1520">
        <v>46133</v>
      </c>
      <c r="L270" s="1520">
        <v>46150</v>
      </c>
      <c r="M270" s="1520">
        <v>46148</v>
      </c>
      <c r="N270" t="s">
        <v>973</v>
      </c>
      <c r="O270" s="1520">
        <v>46164</v>
      </c>
      <c r="P270" s="1520">
        <v>46155</v>
      </c>
    </row>
    <row r="271" spans="1:16">
      <c r="A271" t="s">
        <v>1465</v>
      </c>
      <c r="B271" t="s">
        <v>64</v>
      </c>
      <c r="C271" t="s">
        <v>100</v>
      </c>
      <c r="D271" t="s">
        <v>132</v>
      </c>
      <c r="E271" t="s">
        <v>1062</v>
      </c>
      <c r="F271" t="s">
        <v>1063</v>
      </c>
      <c r="G271">
        <v>3456</v>
      </c>
      <c r="H271" t="s">
        <v>75</v>
      </c>
      <c r="I271" t="s">
        <v>1466</v>
      </c>
      <c r="J271" s="1520">
        <v>46096</v>
      </c>
      <c r="K271" s="1520">
        <v>46133</v>
      </c>
      <c r="L271" s="1520">
        <v>46150</v>
      </c>
      <c r="M271" s="1520">
        <v>46148</v>
      </c>
      <c r="N271" t="s">
        <v>973</v>
      </c>
      <c r="O271" s="1520">
        <v>46164</v>
      </c>
      <c r="P271" s="1520">
        <v>46155</v>
      </c>
    </row>
    <row r="272" spans="1:16">
      <c r="A272" t="s">
        <v>916</v>
      </c>
      <c r="B272" t="s">
        <v>64</v>
      </c>
      <c r="C272" t="s">
        <v>100</v>
      </c>
      <c r="D272" t="s">
        <v>70</v>
      </c>
      <c r="E272" t="s">
        <v>585</v>
      </c>
      <c r="F272" t="s">
        <v>103</v>
      </c>
      <c r="G272">
        <v>5760</v>
      </c>
      <c r="H272" t="s">
        <v>75</v>
      </c>
      <c r="I272" t="s">
        <v>918</v>
      </c>
      <c r="J272" s="1520">
        <v>46096</v>
      </c>
      <c r="K272" s="1520">
        <v>46133</v>
      </c>
      <c r="L272" s="1520">
        <v>46150</v>
      </c>
      <c r="M272" s="1520">
        <v>46148</v>
      </c>
      <c r="N272" t="s">
        <v>84</v>
      </c>
      <c r="O272" s="1520">
        <v>46164</v>
      </c>
      <c r="P272" s="1520">
        <v>46155</v>
      </c>
    </row>
    <row r="273" spans="1:16">
      <c r="A273" t="s">
        <v>1458</v>
      </c>
      <c r="B273" t="s">
        <v>64</v>
      </c>
      <c r="C273" t="s">
        <v>100</v>
      </c>
      <c r="D273" t="s">
        <v>70</v>
      </c>
      <c r="E273" t="s">
        <v>1461</v>
      </c>
      <c r="F273" t="s">
        <v>103</v>
      </c>
      <c r="G273">
        <v>7920</v>
      </c>
      <c r="H273" t="s">
        <v>75</v>
      </c>
      <c r="I273" t="s">
        <v>1462</v>
      </c>
      <c r="J273" s="1520">
        <v>46096</v>
      </c>
      <c r="K273" s="1520">
        <v>46133</v>
      </c>
      <c r="L273" s="1520">
        <v>46150</v>
      </c>
      <c r="M273" s="1520">
        <v>46148</v>
      </c>
      <c r="N273" t="s">
        <v>973</v>
      </c>
      <c r="O273" s="1520">
        <v>46164</v>
      </c>
      <c r="P273" s="1520">
        <v>46155</v>
      </c>
    </row>
    <row r="274" spans="1:16">
      <c r="A274" t="s">
        <v>911</v>
      </c>
      <c r="B274" t="s">
        <v>64</v>
      </c>
      <c r="C274" t="s">
        <v>100</v>
      </c>
      <c r="D274" t="s">
        <v>70</v>
      </c>
      <c r="E274" t="s">
        <v>585</v>
      </c>
      <c r="F274" t="s">
        <v>103</v>
      </c>
      <c r="G274">
        <v>10800</v>
      </c>
      <c r="H274" t="s">
        <v>75</v>
      </c>
      <c r="I274" t="s">
        <v>913</v>
      </c>
      <c r="J274" s="1520">
        <v>46096</v>
      </c>
      <c r="K274" s="1520">
        <v>46133</v>
      </c>
      <c r="L274" s="1520">
        <v>46142</v>
      </c>
      <c r="M274" s="1520">
        <v>46141</v>
      </c>
      <c r="N274" t="s">
        <v>84</v>
      </c>
      <c r="O274" s="1520">
        <v>46163</v>
      </c>
      <c r="P274" s="1520">
        <v>46148</v>
      </c>
    </row>
    <row r="275" spans="1:16">
      <c r="A275" t="s">
        <v>1444</v>
      </c>
      <c r="B275" t="s">
        <v>64</v>
      </c>
      <c r="C275" t="s">
        <v>100</v>
      </c>
      <c r="D275" t="s">
        <v>713</v>
      </c>
      <c r="E275" t="s">
        <v>1429</v>
      </c>
      <c r="F275" t="s">
        <v>1430</v>
      </c>
      <c r="G275">
        <v>3348</v>
      </c>
      <c r="H275" t="s">
        <v>75</v>
      </c>
      <c r="I275" t="s">
        <v>1447</v>
      </c>
      <c r="J275" s="1520">
        <v>46096</v>
      </c>
      <c r="K275" s="1520">
        <v>46133</v>
      </c>
      <c r="L275" s="1520">
        <v>46150</v>
      </c>
      <c r="M275" s="1520">
        <v>46148</v>
      </c>
      <c r="N275" t="s">
        <v>973</v>
      </c>
      <c r="O275" s="1520">
        <v>46164</v>
      </c>
      <c r="P275" s="1520">
        <v>46155</v>
      </c>
    </row>
    <row r="276" spans="1:16">
      <c r="A276" t="s">
        <v>1439</v>
      </c>
      <c r="B276" t="s">
        <v>64</v>
      </c>
      <c r="C276" t="s">
        <v>100</v>
      </c>
      <c r="D276" t="s">
        <v>713</v>
      </c>
      <c r="E276" t="s">
        <v>1185</v>
      </c>
      <c r="F276" t="s">
        <v>1186</v>
      </c>
      <c r="G276">
        <v>3852</v>
      </c>
      <c r="H276" t="s">
        <v>75</v>
      </c>
      <c r="I276" t="s">
        <v>1441</v>
      </c>
      <c r="J276" s="1520">
        <v>46096</v>
      </c>
      <c r="K276" s="1520">
        <v>46133</v>
      </c>
      <c r="L276" s="1520">
        <v>46150</v>
      </c>
      <c r="M276" s="1520">
        <v>46148</v>
      </c>
      <c r="N276" t="s">
        <v>973</v>
      </c>
      <c r="O276" s="1520">
        <v>46164</v>
      </c>
      <c r="P276" s="1520">
        <v>46155</v>
      </c>
    </row>
    <row r="277" spans="1:16">
      <c r="A277" t="s">
        <v>1437</v>
      </c>
      <c r="B277" t="s">
        <v>64</v>
      </c>
      <c r="C277" t="s">
        <v>65</v>
      </c>
      <c r="D277" t="s">
        <v>713</v>
      </c>
      <c r="E277" t="s">
        <v>1185</v>
      </c>
      <c r="F277" t="s">
        <v>1186</v>
      </c>
      <c r="G277">
        <v>3240</v>
      </c>
      <c r="H277" t="s">
        <v>75</v>
      </c>
      <c r="I277" t="s">
        <v>1438</v>
      </c>
      <c r="J277" s="1520">
        <v>46096</v>
      </c>
      <c r="K277" s="1520">
        <v>46133</v>
      </c>
      <c r="L277" s="1520">
        <v>46139</v>
      </c>
      <c r="M277" s="1520">
        <v>46141</v>
      </c>
      <c r="N277" t="s">
        <v>973</v>
      </c>
      <c r="O277" s="1520">
        <v>46153</v>
      </c>
      <c r="P277" s="1520">
        <v>46151</v>
      </c>
    </row>
    <row r="278" spans="1:16">
      <c r="A278" t="s">
        <v>1435</v>
      </c>
      <c r="B278" t="s">
        <v>64</v>
      </c>
      <c r="C278" t="s">
        <v>65</v>
      </c>
      <c r="D278" t="s">
        <v>713</v>
      </c>
      <c r="E278" t="s">
        <v>1429</v>
      </c>
      <c r="F278" t="s">
        <v>1430</v>
      </c>
      <c r="G278">
        <v>3960</v>
      </c>
      <c r="H278" t="s">
        <v>75</v>
      </c>
      <c r="I278" t="s">
        <v>1436</v>
      </c>
      <c r="J278" s="1520">
        <v>46096</v>
      </c>
      <c r="K278" s="1520">
        <v>46133</v>
      </c>
      <c r="L278" s="1520">
        <v>46139</v>
      </c>
      <c r="M278" s="1520">
        <v>46141</v>
      </c>
      <c r="N278" t="s">
        <v>973</v>
      </c>
      <c r="O278" s="1520">
        <v>46153</v>
      </c>
      <c r="P278" s="1520">
        <v>46151</v>
      </c>
    </row>
    <row r="279" spans="1:16">
      <c r="A279" t="s">
        <v>1426</v>
      </c>
      <c r="B279" t="s">
        <v>64</v>
      </c>
      <c r="C279" t="s">
        <v>65</v>
      </c>
      <c r="D279" t="s">
        <v>713</v>
      </c>
      <c r="E279" t="s">
        <v>1429</v>
      </c>
      <c r="F279" t="s">
        <v>1430</v>
      </c>
      <c r="G279">
        <v>4248</v>
      </c>
      <c r="H279" t="s">
        <v>75</v>
      </c>
      <c r="I279" t="s">
        <v>1431</v>
      </c>
      <c r="J279" s="1520">
        <v>46096</v>
      </c>
      <c r="K279" s="1520">
        <v>46133</v>
      </c>
      <c r="L279" s="1520">
        <v>46139</v>
      </c>
      <c r="M279" s="1520">
        <v>46141</v>
      </c>
      <c r="N279" t="s">
        <v>973</v>
      </c>
      <c r="O279" s="1520">
        <v>46153</v>
      </c>
      <c r="P279" s="1520">
        <v>46151</v>
      </c>
    </row>
    <row r="280" spans="1:16">
      <c r="A280" t="s">
        <v>1614</v>
      </c>
      <c r="B280" t="s">
        <v>144</v>
      </c>
      <c r="C280" t="s">
        <v>145</v>
      </c>
      <c r="D280" t="s">
        <v>70</v>
      </c>
      <c r="E280" t="s">
        <v>195</v>
      </c>
      <c r="F280" t="s">
        <v>196</v>
      </c>
      <c r="G280">
        <v>8424</v>
      </c>
      <c r="H280" t="s">
        <v>75</v>
      </c>
      <c r="I280" t="s">
        <v>1616</v>
      </c>
      <c r="J280" s="1520">
        <v>46098</v>
      </c>
      <c r="K280" s="1520">
        <v>46168</v>
      </c>
      <c r="L280" s="1520">
        <v>46157</v>
      </c>
      <c r="M280" s="1520">
        <v>46158</v>
      </c>
      <c r="N280" t="s">
        <v>973</v>
      </c>
      <c r="O280" s="1520">
        <v>46182</v>
      </c>
      <c r="P280" s="1520">
        <v>46158</v>
      </c>
    </row>
    <row r="281" spans="1:16">
      <c r="A281" t="s">
        <v>1547</v>
      </c>
      <c r="B281" t="s">
        <v>144</v>
      </c>
      <c r="C281" t="s">
        <v>145</v>
      </c>
      <c r="D281" t="s">
        <v>473</v>
      </c>
      <c r="E281" t="s">
        <v>474</v>
      </c>
      <c r="F281" t="s">
        <v>1319</v>
      </c>
      <c r="G281">
        <v>8640</v>
      </c>
      <c r="H281" t="s">
        <v>75</v>
      </c>
      <c r="I281" t="s">
        <v>1549</v>
      </c>
      <c r="J281" s="1520">
        <v>46103</v>
      </c>
      <c r="K281" s="1520">
        <v>46161</v>
      </c>
      <c r="L281" s="1520">
        <v>46163</v>
      </c>
      <c r="M281" s="1520">
        <v>46163</v>
      </c>
      <c r="N281" t="s">
        <v>973</v>
      </c>
      <c r="O281" s="1520">
        <v>46178</v>
      </c>
      <c r="P281" s="1520">
        <v>46163</v>
      </c>
    </row>
    <row r="282" spans="1:16">
      <c r="A282" t="s">
        <v>1543</v>
      </c>
      <c r="B282" t="s">
        <v>144</v>
      </c>
      <c r="C282" t="s">
        <v>145</v>
      </c>
      <c r="D282" t="s">
        <v>284</v>
      </c>
      <c r="E282" t="s">
        <v>1521</v>
      </c>
      <c r="F282" t="s">
        <v>1522</v>
      </c>
      <c r="G282">
        <v>1728</v>
      </c>
      <c r="H282" t="s">
        <v>75</v>
      </c>
      <c r="I282" t="s">
        <v>1545</v>
      </c>
      <c r="J282" s="1520">
        <v>46101</v>
      </c>
      <c r="K282" s="1520">
        <v>46161</v>
      </c>
      <c r="L282" s="1520">
        <v>46171</v>
      </c>
      <c r="M282" s="1520">
        <v>46172</v>
      </c>
      <c r="N282" t="s">
        <v>973</v>
      </c>
      <c r="O282" s="1520">
        <v>46178</v>
      </c>
      <c r="P282" s="1520">
        <v>46172</v>
      </c>
    </row>
    <row r="283" spans="1:16">
      <c r="A283" t="s">
        <v>1536</v>
      </c>
      <c r="B283" t="s">
        <v>144</v>
      </c>
      <c r="C283" t="s">
        <v>145</v>
      </c>
      <c r="D283" t="s">
        <v>284</v>
      </c>
      <c r="E283" t="s">
        <v>1532</v>
      </c>
      <c r="F283" t="s">
        <v>1533</v>
      </c>
      <c r="G283">
        <v>864</v>
      </c>
      <c r="H283" t="s">
        <v>75</v>
      </c>
      <c r="I283" t="s">
        <v>1539</v>
      </c>
      <c r="J283" s="1520">
        <v>46101</v>
      </c>
      <c r="K283" s="1520">
        <v>46161</v>
      </c>
      <c r="L283" s="1520">
        <v>46171</v>
      </c>
      <c r="M283" s="1520">
        <v>46172</v>
      </c>
      <c r="N283" t="s">
        <v>973</v>
      </c>
      <c r="O283" s="1520">
        <v>46178</v>
      </c>
      <c r="P283" s="1520">
        <v>46172</v>
      </c>
    </row>
    <row r="284" spans="1:16">
      <c r="A284" t="s">
        <v>1607</v>
      </c>
      <c r="B284" t="s">
        <v>64</v>
      </c>
      <c r="C284" t="s">
        <v>65</v>
      </c>
      <c r="D284" t="s">
        <v>70</v>
      </c>
      <c r="E284" t="s">
        <v>71</v>
      </c>
      <c r="F284" t="s">
        <v>72</v>
      </c>
      <c r="G284">
        <v>5184</v>
      </c>
      <c r="H284" t="s">
        <v>75</v>
      </c>
      <c r="I284" t="s">
        <v>1609</v>
      </c>
      <c r="J284" s="1520">
        <v>46098</v>
      </c>
      <c r="K284" s="1520">
        <v>46147</v>
      </c>
      <c r="L284" s="1520">
        <v>46144</v>
      </c>
      <c r="M284" s="1520">
        <v>46144</v>
      </c>
      <c r="N284" t="s">
        <v>973</v>
      </c>
      <c r="O284" s="1520">
        <v>46158</v>
      </c>
      <c r="P284" s="1520">
        <v>46154</v>
      </c>
    </row>
    <row r="285" spans="1:16">
      <c r="A285" t="s">
        <v>1610</v>
      </c>
      <c r="B285" t="s">
        <v>64</v>
      </c>
      <c r="C285" t="s">
        <v>100</v>
      </c>
      <c r="D285" t="s">
        <v>70</v>
      </c>
      <c r="E285" t="s">
        <v>1151</v>
      </c>
      <c r="F285" t="s">
        <v>421</v>
      </c>
      <c r="G285">
        <v>2592</v>
      </c>
      <c r="H285" t="s">
        <v>75</v>
      </c>
      <c r="I285" t="s">
        <v>1611</v>
      </c>
      <c r="J285" s="1520">
        <v>46095</v>
      </c>
      <c r="K285" s="1520">
        <v>46142</v>
      </c>
      <c r="L285" s="1520">
        <v>46150</v>
      </c>
      <c r="M285" s="1520">
        <v>46148</v>
      </c>
      <c r="N285" t="s">
        <v>973</v>
      </c>
      <c r="O285" s="1520">
        <v>46164</v>
      </c>
      <c r="P285" s="1520">
        <v>46155</v>
      </c>
    </row>
    <row r="286" spans="1:16">
      <c r="A286" t="s">
        <v>1592</v>
      </c>
      <c r="B286" t="s">
        <v>64</v>
      </c>
      <c r="C286" t="s">
        <v>65</v>
      </c>
      <c r="D286" t="s">
        <v>70</v>
      </c>
      <c r="E286" t="s">
        <v>71</v>
      </c>
      <c r="F286" t="s">
        <v>72</v>
      </c>
      <c r="G286">
        <v>6912</v>
      </c>
      <c r="H286" t="s">
        <v>75</v>
      </c>
      <c r="I286" t="s">
        <v>1595</v>
      </c>
      <c r="J286" s="1520">
        <v>46098</v>
      </c>
      <c r="K286" s="1520">
        <v>46147</v>
      </c>
      <c r="L286" s="1520">
        <v>46144</v>
      </c>
      <c r="M286" s="1520">
        <v>46144</v>
      </c>
      <c r="N286" t="s">
        <v>973</v>
      </c>
      <c r="O286" s="1520">
        <v>46158</v>
      </c>
      <c r="P286" s="1520">
        <v>46154</v>
      </c>
    </row>
    <row r="287" spans="1:16">
      <c r="A287" t="s">
        <v>1558</v>
      </c>
      <c r="B287" t="s">
        <v>64</v>
      </c>
      <c r="C287" t="s">
        <v>310</v>
      </c>
      <c r="D287" t="s">
        <v>284</v>
      </c>
      <c r="E287" t="s">
        <v>1521</v>
      </c>
      <c r="F287" t="s">
        <v>1522</v>
      </c>
      <c r="G287">
        <v>2592</v>
      </c>
      <c r="H287" t="s">
        <v>75</v>
      </c>
      <c r="I287" t="s">
        <v>1560</v>
      </c>
      <c r="J287" s="1520">
        <v>46099</v>
      </c>
      <c r="K287" s="1520">
        <v>46157</v>
      </c>
      <c r="L287" s="1520">
        <v>46159</v>
      </c>
      <c r="M287" s="1520">
        <v>46158</v>
      </c>
      <c r="N287" t="s">
        <v>973</v>
      </c>
      <c r="O287" s="1520">
        <v>46171</v>
      </c>
      <c r="P287" s="1520">
        <v>46168</v>
      </c>
    </row>
    <row r="288" spans="1:16">
      <c r="A288" t="s">
        <v>1565</v>
      </c>
      <c r="B288" t="s">
        <v>64</v>
      </c>
      <c r="C288" t="s">
        <v>100</v>
      </c>
      <c r="D288" t="s">
        <v>284</v>
      </c>
      <c r="E288" t="s">
        <v>1569</v>
      </c>
      <c r="F288" t="s">
        <v>1570</v>
      </c>
      <c r="G288">
        <v>4320</v>
      </c>
      <c r="H288" t="s">
        <v>75</v>
      </c>
      <c r="I288" t="s">
        <v>1572</v>
      </c>
      <c r="J288" s="1520">
        <v>46100</v>
      </c>
      <c r="K288" s="1520">
        <v>46144</v>
      </c>
      <c r="L288" s="1520">
        <v>46159</v>
      </c>
      <c r="M288" s="1520">
        <v>46159</v>
      </c>
      <c r="N288" t="s">
        <v>973</v>
      </c>
      <c r="O288" s="1520">
        <v>46176</v>
      </c>
      <c r="P288" s="1520">
        <v>46166</v>
      </c>
    </row>
    <row r="289" spans="1:16">
      <c r="A289" t="s">
        <v>1621</v>
      </c>
      <c r="B289" t="s">
        <v>64</v>
      </c>
      <c r="C289" t="s">
        <v>100</v>
      </c>
      <c r="D289" t="s">
        <v>70</v>
      </c>
      <c r="E289" t="s">
        <v>1151</v>
      </c>
      <c r="F289" t="s">
        <v>421</v>
      </c>
      <c r="G289">
        <v>8640</v>
      </c>
      <c r="H289" t="s">
        <v>75</v>
      </c>
      <c r="I289" t="s">
        <v>1623</v>
      </c>
      <c r="J289" s="1520">
        <v>46095</v>
      </c>
      <c r="K289" s="1520">
        <v>46142</v>
      </c>
      <c r="L289" s="1520">
        <v>46150</v>
      </c>
      <c r="M289" s="1520">
        <v>46148</v>
      </c>
      <c r="N289" t="s">
        <v>973</v>
      </c>
      <c r="O289" s="1520">
        <v>46164</v>
      </c>
      <c r="P289" s="1520">
        <v>46155</v>
      </c>
    </row>
    <row r="290" spans="1:16">
      <c r="A290" t="s">
        <v>1554</v>
      </c>
      <c r="B290" t="s">
        <v>64</v>
      </c>
      <c r="C290" t="s">
        <v>310</v>
      </c>
      <c r="D290" t="s">
        <v>284</v>
      </c>
      <c r="E290" t="s">
        <v>1532</v>
      </c>
      <c r="F290" t="s">
        <v>1533</v>
      </c>
      <c r="G290">
        <v>5184</v>
      </c>
      <c r="H290" t="s">
        <v>75</v>
      </c>
      <c r="I290" t="s">
        <v>1555</v>
      </c>
      <c r="J290" s="1520">
        <v>46096</v>
      </c>
      <c r="K290" s="1520">
        <v>46141</v>
      </c>
      <c r="L290" s="1520">
        <v>46155</v>
      </c>
      <c r="M290" s="1520">
        <v>46155</v>
      </c>
      <c r="N290" t="s">
        <v>973</v>
      </c>
      <c r="O290" s="1520">
        <v>46169</v>
      </c>
      <c r="P290" s="1520">
        <v>46165</v>
      </c>
    </row>
    <row r="291" spans="1:16">
      <c r="A291" t="s">
        <v>1626</v>
      </c>
      <c r="B291" t="s">
        <v>64</v>
      </c>
      <c r="C291" t="s">
        <v>100</v>
      </c>
      <c r="D291" t="s">
        <v>713</v>
      </c>
      <c r="E291" t="s">
        <v>1628</v>
      </c>
      <c r="F291" t="s">
        <v>1629</v>
      </c>
      <c r="G291">
        <v>108</v>
      </c>
      <c r="H291" t="s">
        <v>75</v>
      </c>
      <c r="I291" t="s">
        <v>1630</v>
      </c>
      <c r="J291" s="1520">
        <v>46096</v>
      </c>
      <c r="K291" s="1520">
        <v>46139</v>
      </c>
      <c r="L291" s="1520">
        <v>46147</v>
      </c>
      <c r="M291" s="1520">
        <v>46147</v>
      </c>
      <c r="N291" t="s">
        <v>973</v>
      </c>
      <c r="O291" s="1520">
        <v>46154</v>
      </c>
      <c r="P291" s="1520">
        <v>46154</v>
      </c>
    </row>
    <row r="292" spans="1:16">
      <c r="A292" t="s">
        <v>1637</v>
      </c>
      <c r="B292" t="s">
        <v>64</v>
      </c>
      <c r="C292" t="s">
        <v>100</v>
      </c>
      <c r="D292" t="s">
        <v>713</v>
      </c>
      <c r="E292" t="s">
        <v>1164</v>
      </c>
      <c r="F292" t="s">
        <v>1165</v>
      </c>
      <c r="G292">
        <v>4608</v>
      </c>
      <c r="H292" t="s">
        <v>75</v>
      </c>
      <c r="I292" t="s">
        <v>1638</v>
      </c>
      <c r="J292" s="1520">
        <v>46096</v>
      </c>
      <c r="K292" s="1520">
        <v>46139</v>
      </c>
      <c r="L292" s="1520">
        <v>46147</v>
      </c>
      <c r="M292" s="1520">
        <v>46147</v>
      </c>
      <c r="N292" t="s">
        <v>973</v>
      </c>
      <c r="O292" s="1520">
        <v>46154</v>
      </c>
      <c r="P292" s="1520">
        <v>46154</v>
      </c>
    </row>
    <row r="293" spans="1:16">
      <c r="A293" t="s">
        <v>1634</v>
      </c>
      <c r="B293" t="s">
        <v>64</v>
      </c>
      <c r="C293" t="s">
        <v>100</v>
      </c>
      <c r="D293" t="s">
        <v>713</v>
      </c>
      <c r="E293" t="s">
        <v>1164</v>
      </c>
      <c r="F293" t="s">
        <v>1165</v>
      </c>
      <c r="G293">
        <v>4500</v>
      </c>
      <c r="H293" t="s">
        <v>75</v>
      </c>
      <c r="I293" t="s">
        <v>1636</v>
      </c>
      <c r="J293" s="1520">
        <v>46096</v>
      </c>
      <c r="K293" s="1520">
        <v>46139</v>
      </c>
      <c r="L293" s="1520">
        <v>46147</v>
      </c>
      <c r="M293" s="1520">
        <v>46147</v>
      </c>
      <c r="N293" t="s">
        <v>973</v>
      </c>
      <c r="O293" s="1520">
        <v>46154</v>
      </c>
      <c r="P293" s="1520">
        <v>46154</v>
      </c>
    </row>
    <row r="294" spans="1:16">
      <c r="A294" t="s">
        <v>1530</v>
      </c>
      <c r="B294" t="s">
        <v>64</v>
      </c>
      <c r="C294" t="s">
        <v>100</v>
      </c>
      <c r="D294" t="s">
        <v>284</v>
      </c>
      <c r="E294" t="s">
        <v>1532</v>
      </c>
      <c r="F294" t="s">
        <v>1533</v>
      </c>
      <c r="G294">
        <v>864</v>
      </c>
      <c r="H294" t="s">
        <v>75</v>
      </c>
      <c r="I294" t="s">
        <v>1535</v>
      </c>
      <c r="J294" s="1520">
        <v>46100</v>
      </c>
      <c r="K294" s="1520">
        <v>46143</v>
      </c>
      <c r="L294" s="1520">
        <v>46148</v>
      </c>
      <c r="M294" s="1520">
        <v>46161</v>
      </c>
      <c r="N294" t="s">
        <v>973</v>
      </c>
      <c r="O294" s="1520">
        <v>46175</v>
      </c>
      <c r="P294" s="1520">
        <v>46168</v>
      </c>
    </row>
    <row r="295" spans="1:16">
      <c r="A295" t="s">
        <v>1518</v>
      </c>
      <c r="B295" t="s">
        <v>64</v>
      </c>
      <c r="C295" t="s">
        <v>100</v>
      </c>
      <c r="D295" t="s">
        <v>284</v>
      </c>
      <c r="E295" t="s">
        <v>1521</v>
      </c>
      <c r="F295" t="s">
        <v>1522</v>
      </c>
      <c r="G295">
        <v>3456</v>
      </c>
      <c r="H295" t="s">
        <v>75</v>
      </c>
      <c r="I295" t="s">
        <v>1524</v>
      </c>
      <c r="J295" s="1520">
        <v>46100</v>
      </c>
      <c r="K295" s="1520">
        <v>46143</v>
      </c>
      <c r="L295" s="1520">
        <v>46148</v>
      </c>
      <c r="M295" s="1520">
        <v>46161</v>
      </c>
      <c r="N295" t="s">
        <v>973</v>
      </c>
      <c r="O295" s="1520">
        <v>46176</v>
      </c>
      <c r="P295" s="1520">
        <v>46168</v>
      </c>
    </row>
    <row r="296" spans="1:16">
      <c r="A296" t="s">
        <v>921</v>
      </c>
      <c r="B296" t="s">
        <v>64</v>
      </c>
      <c r="C296" t="s">
        <v>100</v>
      </c>
      <c r="D296" t="s">
        <v>70</v>
      </c>
      <c r="E296" t="s">
        <v>885</v>
      </c>
      <c r="F296" t="s">
        <v>886</v>
      </c>
      <c r="G296">
        <v>720</v>
      </c>
      <c r="H296" t="s">
        <v>75</v>
      </c>
      <c r="I296" t="s">
        <v>924</v>
      </c>
      <c r="J296" s="1520">
        <v>46095</v>
      </c>
      <c r="K296" s="1520">
        <v>46142</v>
      </c>
      <c r="L296" s="1520">
        <v>46154</v>
      </c>
      <c r="M296" s="1520">
        <v>46157</v>
      </c>
      <c r="N296" t="s">
        <v>84</v>
      </c>
      <c r="O296" s="1520">
        <v>46171</v>
      </c>
      <c r="P296" s="1520">
        <v>46164</v>
      </c>
    </row>
    <row r="297" spans="1:16">
      <c r="A297" t="s">
        <v>1639</v>
      </c>
      <c r="B297" t="s">
        <v>64</v>
      </c>
      <c r="C297" t="s">
        <v>100</v>
      </c>
      <c r="D297" t="s">
        <v>70</v>
      </c>
      <c r="E297" t="s">
        <v>1151</v>
      </c>
      <c r="F297" t="s">
        <v>421</v>
      </c>
      <c r="G297">
        <v>9504</v>
      </c>
      <c r="H297" t="s">
        <v>75</v>
      </c>
      <c r="I297" t="s">
        <v>1640</v>
      </c>
      <c r="J297" s="1520">
        <v>46095</v>
      </c>
      <c r="K297" s="1520">
        <v>46142</v>
      </c>
      <c r="L297" s="1520">
        <v>46154</v>
      </c>
      <c r="M297" s="1520">
        <v>46157</v>
      </c>
      <c r="N297" t="s">
        <v>973</v>
      </c>
      <c r="O297" s="1520">
        <v>46171</v>
      </c>
      <c r="P297" s="1520">
        <v>46164</v>
      </c>
    </row>
    <row r="298" spans="1:16">
      <c r="A298" t="s">
        <v>1582</v>
      </c>
      <c r="B298" t="s">
        <v>64</v>
      </c>
      <c r="C298" t="s">
        <v>100</v>
      </c>
      <c r="D298" t="s">
        <v>284</v>
      </c>
      <c r="E298" t="s">
        <v>1584</v>
      </c>
      <c r="F298" t="s">
        <v>1585</v>
      </c>
      <c r="G298">
        <v>1440</v>
      </c>
      <c r="H298" t="s">
        <v>75</v>
      </c>
      <c r="I298" t="s">
        <v>1586</v>
      </c>
      <c r="J298" s="1520">
        <v>46100</v>
      </c>
      <c r="K298" s="1520">
        <v>46144</v>
      </c>
      <c r="L298" s="1520">
        <v>46159</v>
      </c>
      <c r="M298" s="1520">
        <v>46159</v>
      </c>
      <c r="N298" t="s">
        <v>973</v>
      </c>
      <c r="O298" s="1520">
        <v>46176</v>
      </c>
      <c r="P298" s="1520">
        <v>46166</v>
      </c>
    </row>
    <row r="299" spans="1:16">
      <c r="A299" t="s">
        <v>1576</v>
      </c>
      <c r="B299" t="s">
        <v>64</v>
      </c>
      <c r="C299" t="s">
        <v>100</v>
      </c>
      <c r="D299" t="s">
        <v>284</v>
      </c>
      <c r="E299" t="s">
        <v>1569</v>
      </c>
      <c r="F299" t="s">
        <v>1570</v>
      </c>
      <c r="G299">
        <v>5760</v>
      </c>
      <c r="H299" t="s">
        <v>75</v>
      </c>
      <c r="I299" t="s">
        <v>1578</v>
      </c>
      <c r="J299" s="1520">
        <v>46100</v>
      </c>
      <c r="K299" s="1520">
        <v>46144</v>
      </c>
      <c r="L299" s="1520">
        <v>46159</v>
      </c>
      <c r="M299" s="1520">
        <v>46159</v>
      </c>
      <c r="N299" t="s">
        <v>973</v>
      </c>
      <c r="O299" s="1520">
        <v>46176</v>
      </c>
      <c r="P299" s="1520">
        <v>46166</v>
      </c>
    </row>
    <row r="300" spans="1:16">
      <c r="A300" t="s">
        <v>1481</v>
      </c>
      <c r="B300" t="s">
        <v>64</v>
      </c>
      <c r="C300" t="s">
        <v>100</v>
      </c>
      <c r="D300" t="s">
        <v>70</v>
      </c>
      <c r="E300" t="s">
        <v>1483</v>
      </c>
      <c r="F300" t="s">
        <v>1484</v>
      </c>
      <c r="G300">
        <v>8910</v>
      </c>
      <c r="H300" t="s">
        <v>75</v>
      </c>
      <c r="I300" t="s">
        <v>1485</v>
      </c>
      <c r="J300" s="1520">
        <v>46097</v>
      </c>
      <c r="K300" s="1520">
        <v>46134</v>
      </c>
      <c r="L300" s="1520">
        <v>46154</v>
      </c>
      <c r="M300" s="1520">
        <v>46157</v>
      </c>
      <c r="N300" t="s">
        <v>973</v>
      </c>
      <c r="O300" s="1520">
        <v>46169</v>
      </c>
      <c r="P300" s="1520">
        <v>46164</v>
      </c>
    </row>
    <row r="301" spans="1:16">
      <c r="A301" t="s">
        <v>1678</v>
      </c>
      <c r="B301" t="s">
        <v>64</v>
      </c>
      <c r="C301" t="s">
        <v>100</v>
      </c>
      <c r="D301" t="s">
        <v>70</v>
      </c>
      <c r="E301" t="s">
        <v>1681</v>
      </c>
      <c r="F301" t="s">
        <v>1682</v>
      </c>
      <c r="G301">
        <v>1782</v>
      </c>
      <c r="H301" t="s">
        <v>75</v>
      </c>
      <c r="I301" t="s">
        <v>1683</v>
      </c>
      <c r="J301" s="1520">
        <v>46103</v>
      </c>
      <c r="K301" s="1520">
        <v>46140</v>
      </c>
      <c r="L301" s="1520">
        <v>46151</v>
      </c>
      <c r="M301" s="1520">
        <v>46148</v>
      </c>
      <c r="N301" t="s">
        <v>973</v>
      </c>
      <c r="O301" s="1520">
        <v>46156</v>
      </c>
      <c r="P301" s="1520">
        <v>46155</v>
      </c>
    </row>
    <row r="302" spans="1:16">
      <c r="A302" t="s">
        <v>1688</v>
      </c>
      <c r="B302" t="s">
        <v>64</v>
      </c>
      <c r="C302" t="s">
        <v>100</v>
      </c>
      <c r="D302" t="s">
        <v>70</v>
      </c>
      <c r="E302" t="s">
        <v>1461</v>
      </c>
      <c r="F302" t="s">
        <v>103</v>
      </c>
      <c r="G302">
        <v>2160</v>
      </c>
      <c r="H302" t="s">
        <v>75</v>
      </c>
      <c r="I302" t="s">
        <v>1689</v>
      </c>
      <c r="J302" s="1520">
        <v>46103</v>
      </c>
      <c r="K302" s="1520">
        <v>46140</v>
      </c>
      <c r="L302" s="1520">
        <v>46151</v>
      </c>
      <c r="M302" s="1520">
        <v>46148</v>
      </c>
      <c r="N302" t="s">
        <v>973</v>
      </c>
      <c r="O302" s="1520">
        <v>46156</v>
      </c>
      <c r="P302" s="1520">
        <v>46155</v>
      </c>
    </row>
    <row r="303" spans="1:16">
      <c r="A303" t="s">
        <v>1779</v>
      </c>
      <c r="B303" t="s">
        <v>64</v>
      </c>
      <c r="C303" t="s">
        <v>100</v>
      </c>
      <c r="D303" t="s">
        <v>284</v>
      </c>
      <c r="E303" t="s">
        <v>1584</v>
      </c>
      <c r="F303" t="s">
        <v>1585</v>
      </c>
      <c r="G303">
        <v>4320</v>
      </c>
      <c r="H303" t="s">
        <v>75</v>
      </c>
      <c r="I303" t="s">
        <v>1781</v>
      </c>
      <c r="J303" s="1520">
        <v>46103</v>
      </c>
      <c r="K303" s="1520">
        <v>46150</v>
      </c>
      <c r="L303" s="1520">
        <v>46148</v>
      </c>
      <c r="M303" s="1520">
        <v>46148</v>
      </c>
      <c r="N303" t="s">
        <v>973</v>
      </c>
      <c r="O303" s="1520">
        <v>46164</v>
      </c>
      <c r="P303" s="1520">
        <v>46155</v>
      </c>
    </row>
    <row r="304" spans="1:16">
      <c r="A304" t="s">
        <v>1772</v>
      </c>
      <c r="B304" t="s">
        <v>64</v>
      </c>
      <c r="C304" t="s">
        <v>100</v>
      </c>
      <c r="D304" t="s">
        <v>70</v>
      </c>
      <c r="E304" t="s">
        <v>1151</v>
      </c>
      <c r="F304" t="s">
        <v>421</v>
      </c>
      <c r="G304">
        <v>4320</v>
      </c>
      <c r="H304" t="s">
        <v>75</v>
      </c>
      <c r="I304" t="s">
        <v>1774</v>
      </c>
      <c r="J304" s="1520">
        <v>46103</v>
      </c>
      <c r="K304" s="1520">
        <v>46144</v>
      </c>
      <c r="L304" s="1520">
        <v>46151</v>
      </c>
      <c r="M304" s="1520">
        <v>46153</v>
      </c>
      <c r="N304" t="s">
        <v>973</v>
      </c>
      <c r="O304" s="1520">
        <v>46160</v>
      </c>
      <c r="P304" s="1520">
        <v>46160</v>
      </c>
    </row>
    <row r="305" spans="1:16">
      <c r="A305" t="s">
        <v>1785</v>
      </c>
      <c r="B305" t="s">
        <v>64</v>
      </c>
      <c r="C305" t="s">
        <v>100</v>
      </c>
      <c r="D305" t="s">
        <v>284</v>
      </c>
      <c r="E305" t="s">
        <v>1569</v>
      </c>
      <c r="F305" t="s">
        <v>1570</v>
      </c>
      <c r="G305">
        <v>2880</v>
      </c>
      <c r="H305" t="s">
        <v>75</v>
      </c>
      <c r="I305" t="s">
        <v>1786</v>
      </c>
      <c r="J305" s="1520">
        <v>46103</v>
      </c>
      <c r="K305" s="1520">
        <v>46150</v>
      </c>
      <c r="L305" s="1520">
        <v>46148</v>
      </c>
      <c r="M305" s="1520">
        <v>46148</v>
      </c>
      <c r="N305" t="s">
        <v>973</v>
      </c>
      <c r="O305" s="1520">
        <v>46164</v>
      </c>
      <c r="P305" s="1520">
        <v>46155</v>
      </c>
    </row>
    <row r="306" spans="1:16">
      <c r="A306" t="s">
        <v>1766</v>
      </c>
      <c r="B306" t="s">
        <v>64</v>
      </c>
      <c r="C306" t="s">
        <v>100</v>
      </c>
      <c r="D306" t="s">
        <v>70</v>
      </c>
      <c r="E306" t="s">
        <v>71</v>
      </c>
      <c r="F306" t="s">
        <v>72</v>
      </c>
      <c r="G306">
        <v>2592</v>
      </c>
      <c r="H306" t="s">
        <v>75</v>
      </c>
      <c r="I306" t="s">
        <v>1769</v>
      </c>
      <c r="J306" s="1520">
        <v>46103</v>
      </c>
      <c r="K306" s="1520">
        <v>46144</v>
      </c>
      <c r="L306" s="1520">
        <v>46151</v>
      </c>
      <c r="M306" s="1520">
        <v>46153</v>
      </c>
      <c r="N306" t="s">
        <v>973</v>
      </c>
      <c r="O306" s="1520">
        <v>46160</v>
      </c>
      <c r="P306" s="1520">
        <v>46160</v>
      </c>
    </row>
    <row r="307" spans="1:16">
      <c r="A307" t="s">
        <v>1717</v>
      </c>
      <c r="B307" t="s">
        <v>64</v>
      </c>
      <c r="C307" t="s">
        <v>100</v>
      </c>
      <c r="D307" t="s">
        <v>132</v>
      </c>
      <c r="E307" t="s">
        <v>189</v>
      </c>
      <c r="F307" t="s">
        <v>190</v>
      </c>
      <c r="G307">
        <v>2592</v>
      </c>
      <c r="H307" t="s">
        <v>75</v>
      </c>
      <c r="I307" t="s">
        <v>1718</v>
      </c>
      <c r="J307" s="1520">
        <v>46103</v>
      </c>
      <c r="K307" s="1520">
        <v>46140</v>
      </c>
      <c r="L307" s="1520">
        <v>46154</v>
      </c>
      <c r="M307" s="1520">
        <v>46157</v>
      </c>
      <c r="N307" t="s">
        <v>973</v>
      </c>
      <c r="O307" s="1520">
        <v>46171</v>
      </c>
      <c r="P307" s="1520">
        <v>46164</v>
      </c>
    </row>
    <row r="308" spans="1:16">
      <c r="A308" t="s">
        <v>1787</v>
      </c>
      <c r="B308" t="s">
        <v>64</v>
      </c>
      <c r="C308" t="s">
        <v>100</v>
      </c>
      <c r="D308" t="s">
        <v>284</v>
      </c>
      <c r="E308" t="s">
        <v>1584</v>
      </c>
      <c r="F308" t="s">
        <v>1585</v>
      </c>
      <c r="G308">
        <v>6480</v>
      </c>
      <c r="H308" t="s">
        <v>75</v>
      </c>
      <c r="I308" t="s">
        <v>1789</v>
      </c>
      <c r="J308" s="1520">
        <v>46103</v>
      </c>
      <c r="K308" s="1520">
        <v>46150</v>
      </c>
      <c r="L308" s="1520">
        <v>46148</v>
      </c>
      <c r="M308" s="1520">
        <v>46148</v>
      </c>
      <c r="N308" t="s">
        <v>973</v>
      </c>
      <c r="O308" s="1520">
        <v>46156</v>
      </c>
      <c r="P308" s="1520">
        <v>46155</v>
      </c>
    </row>
    <row r="309" spans="1:16">
      <c r="A309" t="s">
        <v>1719</v>
      </c>
      <c r="B309" t="s">
        <v>64</v>
      </c>
      <c r="C309" t="s">
        <v>100</v>
      </c>
      <c r="D309" t="s">
        <v>473</v>
      </c>
      <c r="E309" t="s">
        <v>529</v>
      </c>
      <c r="F309" t="s">
        <v>1311</v>
      </c>
      <c r="G309">
        <v>4320</v>
      </c>
      <c r="H309" t="s">
        <v>75</v>
      </c>
      <c r="I309" t="s">
        <v>1716</v>
      </c>
      <c r="J309" s="1520">
        <v>46103</v>
      </c>
      <c r="K309" s="1520">
        <v>46140</v>
      </c>
      <c r="L309" s="1520">
        <v>46169</v>
      </c>
      <c r="M309" s="1520">
        <v>46170</v>
      </c>
      <c r="N309" t="s">
        <v>973</v>
      </c>
      <c r="O309" s="1520">
        <v>46171</v>
      </c>
      <c r="P309" s="1520">
        <v>46177</v>
      </c>
    </row>
    <row r="310" spans="1:16">
      <c r="A310" t="s">
        <v>1715</v>
      </c>
      <c r="B310" t="s">
        <v>64</v>
      </c>
      <c r="C310" t="s">
        <v>100</v>
      </c>
      <c r="D310" t="s">
        <v>473</v>
      </c>
      <c r="E310" t="s">
        <v>529</v>
      </c>
      <c r="F310" t="s">
        <v>1311</v>
      </c>
      <c r="G310">
        <v>1728</v>
      </c>
      <c r="H310" t="s">
        <v>75</v>
      </c>
      <c r="I310" t="s">
        <v>1716</v>
      </c>
      <c r="J310" s="1520">
        <v>46103</v>
      </c>
      <c r="K310" s="1520">
        <v>46140</v>
      </c>
      <c r="L310" s="1520">
        <v>46154</v>
      </c>
      <c r="M310" s="1520">
        <v>46157</v>
      </c>
      <c r="N310" t="s">
        <v>973</v>
      </c>
      <c r="O310" s="1520">
        <v>46171</v>
      </c>
      <c r="P310" s="1520">
        <v>46164</v>
      </c>
    </row>
    <row r="311" spans="1:16">
      <c r="A311" t="s">
        <v>1713</v>
      </c>
      <c r="B311" t="s">
        <v>64</v>
      </c>
      <c r="C311" t="s">
        <v>100</v>
      </c>
      <c r="D311" t="s">
        <v>473</v>
      </c>
      <c r="E311" t="s">
        <v>474</v>
      </c>
      <c r="F311" t="s">
        <v>1319</v>
      </c>
      <c r="G311">
        <v>2592</v>
      </c>
      <c r="H311" t="s">
        <v>75</v>
      </c>
      <c r="I311" t="s">
        <v>1714</v>
      </c>
      <c r="J311" s="1520">
        <v>46103</v>
      </c>
      <c r="K311" s="1520">
        <v>46140</v>
      </c>
      <c r="L311" s="1520">
        <v>46154</v>
      </c>
      <c r="M311" s="1520">
        <v>46157</v>
      </c>
      <c r="N311" t="s">
        <v>973</v>
      </c>
      <c r="O311" s="1520">
        <v>46171</v>
      </c>
      <c r="P311" s="1520">
        <v>46164</v>
      </c>
    </row>
    <row r="312" spans="1:16">
      <c r="A312" t="s">
        <v>1793</v>
      </c>
      <c r="B312" t="s">
        <v>64</v>
      </c>
      <c r="C312" t="s">
        <v>100</v>
      </c>
      <c r="D312" t="s">
        <v>284</v>
      </c>
      <c r="E312" t="s">
        <v>1569</v>
      </c>
      <c r="F312" t="s">
        <v>1570</v>
      </c>
      <c r="G312">
        <v>2880</v>
      </c>
      <c r="H312" t="s">
        <v>75</v>
      </c>
      <c r="I312" t="s">
        <v>1795</v>
      </c>
      <c r="J312" s="1520">
        <v>46103</v>
      </c>
      <c r="K312" s="1520">
        <v>46150</v>
      </c>
      <c r="L312" s="1520">
        <v>46148</v>
      </c>
      <c r="M312" s="1520">
        <v>46148</v>
      </c>
      <c r="N312" t="s">
        <v>973</v>
      </c>
      <c r="O312" s="1520">
        <v>46164</v>
      </c>
      <c r="P312" s="1520">
        <v>46155</v>
      </c>
    </row>
    <row r="313" spans="1:16">
      <c r="A313" t="s">
        <v>1709</v>
      </c>
      <c r="B313" t="s">
        <v>64</v>
      </c>
      <c r="C313" t="s">
        <v>100</v>
      </c>
      <c r="D313" t="s">
        <v>473</v>
      </c>
      <c r="E313" t="s">
        <v>529</v>
      </c>
      <c r="F313" t="s">
        <v>1311</v>
      </c>
      <c r="G313">
        <v>1728</v>
      </c>
      <c r="H313" t="s">
        <v>75</v>
      </c>
      <c r="I313" t="s">
        <v>1710</v>
      </c>
      <c r="J313" s="1520">
        <v>46103</v>
      </c>
      <c r="K313" s="1520">
        <v>46140</v>
      </c>
      <c r="L313" s="1520">
        <v>46154</v>
      </c>
      <c r="M313" s="1520">
        <v>46157</v>
      </c>
      <c r="N313" t="s">
        <v>973</v>
      </c>
      <c r="O313" s="1520">
        <v>46171</v>
      </c>
      <c r="P313" s="1520">
        <v>46164</v>
      </c>
    </row>
    <row r="314" spans="1:16">
      <c r="A314" t="s">
        <v>1799</v>
      </c>
      <c r="B314" t="s">
        <v>64</v>
      </c>
      <c r="C314" t="s">
        <v>100</v>
      </c>
      <c r="D314" t="s">
        <v>284</v>
      </c>
      <c r="E314" t="s">
        <v>1584</v>
      </c>
      <c r="F314" t="s">
        <v>1585</v>
      </c>
      <c r="G314">
        <v>3600</v>
      </c>
      <c r="H314" t="s">
        <v>75</v>
      </c>
      <c r="I314" t="s">
        <v>1800</v>
      </c>
      <c r="J314" s="1520">
        <v>46103</v>
      </c>
      <c r="K314" s="1520">
        <v>46150</v>
      </c>
      <c r="L314" s="1520">
        <v>46148</v>
      </c>
      <c r="M314" s="1520">
        <v>46148</v>
      </c>
      <c r="N314" t="s">
        <v>973</v>
      </c>
      <c r="O314" s="1520">
        <v>46156</v>
      </c>
      <c r="P314" s="1520">
        <v>46155</v>
      </c>
    </row>
    <row r="315" spans="1:16">
      <c r="A315" t="s">
        <v>1706</v>
      </c>
      <c r="B315" t="s">
        <v>64</v>
      </c>
      <c r="C315" t="s">
        <v>100</v>
      </c>
      <c r="D315" t="s">
        <v>70</v>
      </c>
      <c r="E315" t="s">
        <v>1002</v>
      </c>
      <c r="F315" t="s">
        <v>330</v>
      </c>
      <c r="G315">
        <v>5040</v>
      </c>
      <c r="H315" t="s">
        <v>75</v>
      </c>
      <c r="I315" t="s">
        <v>1708</v>
      </c>
      <c r="J315" s="1520">
        <v>46103</v>
      </c>
      <c r="K315" s="1520">
        <v>46140</v>
      </c>
      <c r="L315" s="1520">
        <v>46154</v>
      </c>
      <c r="M315" s="1520">
        <v>46157</v>
      </c>
      <c r="N315" t="s">
        <v>973</v>
      </c>
      <c r="O315" s="1520">
        <v>46169</v>
      </c>
      <c r="P315" s="1520">
        <v>46164</v>
      </c>
    </row>
    <row r="316" spans="1:16">
      <c r="A316" t="s">
        <v>1704</v>
      </c>
      <c r="B316" t="s">
        <v>64</v>
      </c>
      <c r="C316" t="s">
        <v>100</v>
      </c>
      <c r="D316" t="s">
        <v>473</v>
      </c>
      <c r="E316" t="s">
        <v>474</v>
      </c>
      <c r="F316" t="s">
        <v>1319</v>
      </c>
      <c r="G316">
        <v>3456</v>
      </c>
      <c r="H316" t="s">
        <v>75</v>
      </c>
      <c r="I316" t="s">
        <v>1705</v>
      </c>
      <c r="J316" s="1520">
        <v>46103</v>
      </c>
      <c r="K316" s="1520">
        <v>46140</v>
      </c>
      <c r="L316" s="1520">
        <v>46154</v>
      </c>
      <c r="M316" s="1520">
        <v>46157</v>
      </c>
      <c r="N316" t="s">
        <v>973</v>
      </c>
      <c r="O316" s="1520">
        <v>46171</v>
      </c>
      <c r="P316" s="1520">
        <v>46164</v>
      </c>
    </row>
    <row r="317" spans="1:16">
      <c r="A317" t="s">
        <v>1701</v>
      </c>
      <c r="B317" t="s">
        <v>64</v>
      </c>
      <c r="C317" t="s">
        <v>100</v>
      </c>
      <c r="D317" t="s">
        <v>132</v>
      </c>
      <c r="E317" t="s">
        <v>1062</v>
      </c>
      <c r="F317" t="s">
        <v>1063</v>
      </c>
      <c r="G317">
        <v>1728</v>
      </c>
      <c r="H317" t="s">
        <v>75</v>
      </c>
      <c r="I317" t="s">
        <v>1703</v>
      </c>
      <c r="J317" s="1520">
        <v>46103</v>
      </c>
      <c r="K317" s="1520">
        <v>46140</v>
      </c>
      <c r="L317" s="1520">
        <v>46154</v>
      </c>
      <c r="M317" s="1520">
        <v>46157</v>
      </c>
      <c r="N317" t="s">
        <v>973</v>
      </c>
      <c r="O317" s="1520">
        <v>46171</v>
      </c>
      <c r="P317" s="1520">
        <v>46164</v>
      </c>
    </row>
    <row r="318" spans="1:16">
      <c r="A318" t="s">
        <v>1697</v>
      </c>
      <c r="B318" t="s">
        <v>64</v>
      </c>
      <c r="C318" t="s">
        <v>100</v>
      </c>
      <c r="D318" t="s">
        <v>70</v>
      </c>
      <c r="E318" t="s">
        <v>1461</v>
      </c>
      <c r="F318" t="s">
        <v>103</v>
      </c>
      <c r="G318">
        <v>1440</v>
      </c>
      <c r="H318" t="s">
        <v>75</v>
      </c>
      <c r="I318" t="s">
        <v>1698</v>
      </c>
      <c r="J318" s="1520">
        <v>46103</v>
      </c>
      <c r="K318" s="1520">
        <v>46140</v>
      </c>
      <c r="L318" s="1520">
        <v>46154</v>
      </c>
      <c r="M318" s="1520">
        <v>46157</v>
      </c>
      <c r="N318" t="s">
        <v>973</v>
      </c>
      <c r="O318" s="1520">
        <v>46171</v>
      </c>
      <c r="P318" s="1520">
        <v>46164</v>
      </c>
    </row>
    <row r="319" spans="1:16">
      <c r="A319" t="s">
        <v>1679</v>
      </c>
      <c r="B319" t="s">
        <v>64</v>
      </c>
      <c r="C319" t="s">
        <v>100</v>
      </c>
      <c r="D319" t="s">
        <v>70</v>
      </c>
      <c r="E319" t="s">
        <v>1681</v>
      </c>
      <c r="F319" t="s">
        <v>1682</v>
      </c>
      <c r="G319">
        <v>6534</v>
      </c>
      <c r="H319" t="s">
        <v>75</v>
      </c>
      <c r="I319" t="s">
        <v>1694</v>
      </c>
      <c r="J319" s="1520">
        <v>46102</v>
      </c>
      <c r="K319" s="1520">
        <v>46140</v>
      </c>
      <c r="L319" s="1520">
        <v>46154</v>
      </c>
      <c r="M319" s="1520">
        <v>46157</v>
      </c>
      <c r="N319" t="s">
        <v>973</v>
      </c>
      <c r="O319" s="1520">
        <v>46171</v>
      </c>
      <c r="P319" s="1520">
        <v>46164</v>
      </c>
    </row>
    <row r="320" spans="1:16">
      <c r="A320" t="s">
        <v>1801</v>
      </c>
      <c r="B320" t="s">
        <v>144</v>
      </c>
      <c r="C320" t="s">
        <v>145</v>
      </c>
      <c r="D320" t="s">
        <v>70</v>
      </c>
      <c r="E320" t="s">
        <v>1806</v>
      </c>
      <c r="F320" t="s">
        <v>1807</v>
      </c>
      <c r="G320">
        <v>3564</v>
      </c>
      <c r="H320" t="s">
        <v>75</v>
      </c>
      <c r="I320" t="s">
        <v>1810</v>
      </c>
      <c r="J320" s="1520">
        <v>46101</v>
      </c>
      <c r="K320" s="1520">
        <v>46139</v>
      </c>
      <c r="L320" s="1520">
        <v>46143</v>
      </c>
      <c r="M320" s="1520">
        <v>46143</v>
      </c>
      <c r="N320" t="s">
        <v>973</v>
      </c>
      <c r="O320" s="1520">
        <v>46153</v>
      </c>
      <c r="P320" s="1520">
        <v>46143</v>
      </c>
    </row>
    <row r="321" spans="1:16">
      <c r="A321" t="s">
        <v>1690</v>
      </c>
      <c r="B321" t="s">
        <v>64</v>
      </c>
      <c r="C321" t="s">
        <v>100</v>
      </c>
      <c r="D321" t="s">
        <v>70</v>
      </c>
      <c r="E321" t="s">
        <v>1461</v>
      </c>
      <c r="F321" t="s">
        <v>103</v>
      </c>
      <c r="G321">
        <v>10800</v>
      </c>
      <c r="H321" t="s">
        <v>75</v>
      </c>
      <c r="I321" t="s">
        <v>1691</v>
      </c>
      <c r="J321" s="1520">
        <v>46102</v>
      </c>
      <c r="K321" s="1520">
        <v>46140</v>
      </c>
      <c r="L321" s="1520">
        <v>46154</v>
      </c>
      <c r="M321" s="1520">
        <v>46157</v>
      </c>
      <c r="N321" t="s">
        <v>973</v>
      </c>
      <c r="O321" s="1520">
        <v>46171</v>
      </c>
      <c r="P321" s="1520">
        <v>46164</v>
      </c>
    </row>
    <row r="322" spans="1:16">
      <c r="A322" t="s">
        <v>1672</v>
      </c>
      <c r="B322" t="s">
        <v>64</v>
      </c>
      <c r="C322" t="s">
        <v>100</v>
      </c>
      <c r="D322" t="s">
        <v>473</v>
      </c>
      <c r="E322" t="s">
        <v>474</v>
      </c>
      <c r="F322" t="s">
        <v>1319</v>
      </c>
      <c r="G322">
        <v>6048</v>
      </c>
      <c r="H322" t="s">
        <v>75</v>
      </c>
      <c r="I322" t="s">
        <v>1673</v>
      </c>
      <c r="J322" s="1520">
        <v>46100</v>
      </c>
      <c r="K322" s="1520">
        <v>46147</v>
      </c>
      <c r="L322" s="1520">
        <v>46151</v>
      </c>
      <c r="M322" s="1520">
        <v>46152</v>
      </c>
      <c r="N322" t="s">
        <v>973</v>
      </c>
      <c r="O322" s="1520">
        <v>46154</v>
      </c>
      <c r="P322" s="1520">
        <v>46159</v>
      </c>
    </row>
    <row r="323" spans="1:16">
      <c r="A323" t="s">
        <v>1664</v>
      </c>
      <c r="B323" t="s">
        <v>64</v>
      </c>
      <c r="C323" t="s">
        <v>100</v>
      </c>
      <c r="D323" t="s">
        <v>70</v>
      </c>
      <c r="E323" t="s">
        <v>1483</v>
      </c>
      <c r="F323" t="s">
        <v>1484</v>
      </c>
      <c r="G323">
        <v>594</v>
      </c>
      <c r="H323" t="s">
        <v>75</v>
      </c>
      <c r="I323" t="s">
        <v>1665</v>
      </c>
      <c r="J323" s="1520">
        <v>46100</v>
      </c>
      <c r="K323" s="1520">
        <v>46140</v>
      </c>
      <c r="L323" s="1520">
        <v>46151</v>
      </c>
      <c r="M323" s="1520">
        <v>46151</v>
      </c>
      <c r="N323" t="s">
        <v>973</v>
      </c>
      <c r="O323" s="1520">
        <v>46154</v>
      </c>
      <c r="P323" s="1520">
        <v>46158</v>
      </c>
    </row>
    <row r="324" spans="1:16">
      <c r="A324" t="s">
        <v>1670</v>
      </c>
      <c r="B324" t="s">
        <v>64</v>
      </c>
      <c r="C324" t="s">
        <v>100</v>
      </c>
      <c r="D324" t="s">
        <v>132</v>
      </c>
      <c r="E324" t="s">
        <v>133</v>
      </c>
      <c r="F324" t="s">
        <v>134</v>
      </c>
      <c r="G324">
        <v>2970</v>
      </c>
      <c r="H324" t="s">
        <v>75</v>
      </c>
      <c r="I324" t="s">
        <v>1671</v>
      </c>
      <c r="J324" s="1520">
        <v>46100</v>
      </c>
      <c r="K324" s="1520">
        <v>46140</v>
      </c>
      <c r="L324" s="1520">
        <v>46151</v>
      </c>
      <c r="M324" s="1520">
        <v>46151</v>
      </c>
      <c r="N324" t="s">
        <v>973</v>
      </c>
      <c r="O324" s="1520">
        <v>46154</v>
      </c>
      <c r="P324" s="1520">
        <v>46158</v>
      </c>
    </row>
    <row r="325" spans="1:16">
      <c r="A325" t="s">
        <v>1660</v>
      </c>
      <c r="B325" t="s">
        <v>64</v>
      </c>
      <c r="C325" t="s">
        <v>100</v>
      </c>
      <c r="D325" t="s">
        <v>70</v>
      </c>
      <c r="E325" t="s">
        <v>1483</v>
      </c>
      <c r="F325" t="s">
        <v>1484</v>
      </c>
      <c r="G325">
        <v>8910</v>
      </c>
      <c r="H325" t="s">
        <v>75</v>
      </c>
      <c r="I325" t="s">
        <v>1661</v>
      </c>
      <c r="J325" s="1520">
        <v>46102</v>
      </c>
      <c r="K325" s="1520">
        <v>46144</v>
      </c>
      <c r="L325" s="1520">
        <v>46154</v>
      </c>
      <c r="M325" s="1520">
        <v>46157</v>
      </c>
      <c r="N325" t="s">
        <v>973</v>
      </c>
      <c r="O325" s="1520">
        <v>46169</v>
      </c>
      <c r="P325" s="1520">
        <v>46164</v>
      </c>
    </row>
    <row r="326" spans="1:16">
      <c r="A326" t="s">
        <v>1656</v>
      </c>
      <c r="B326" t="s">
        <v>64</v>
      </c>
      <c r="C326" t="s">
        <v>100</v>
      </c>
      <c r="D326" t="s">
        <v>70</v>
      </c>
      <c r="E326" t="s">
        <v>1002</v>
      </c>
      <c r="F326" t="s">
        <v>330</v>
      </c>
      <c r="G326">
        <v>7920</v>
      </c>
      <c r="H326" t="s">
        <v>75</v>
      </c>
      <c r="I326" t="s">
        <v>1657</v>
      </c>
      <c r="J326" s="1520">
        <v>46103</v>
      </c>
      <c r="K326" s="1520">
        <v>46140</v>
      </c>
      <c r="L326" s="1520">
        <v>46150</v>
      </c>
      <c r="M326" s="1520">
        <v>46148</v>
      </c>
      <c r="N326" t="s">
        <v>973</v>
      </c>
      <c r="O326" s="1520">
        <v>46164</v>
      </c>
      <c r="P326" s="1520">
        <v>46155</v>
      </c>
    </row>
    <row r="327" spans="1:16">
      <c r="A327" t="s">
        <v>1813</v>
      </c>
      <c r="B327" t="s">
        <v>144</v>
      </c>
      <c r="C327" t="s">
        <v>145</v>
      </c>
      <c r="D327" t="s">
        <v>70</v>
      </c>
      <c r="E327" t="s">
        <v>1806</v>
      </c>
      <c r="F327" t="s">
        <v>1807</v>
      </c>
      <c r="G327">
        <v>4158</v>
      </c>
      <c r="H327" t="s">
        <v>75</v>
      </c>
      <c r="I327" t="s">
        <v>1815</v>
      </c>
      <c r="J327" s="1520">
        <v>46101</v>
      </c>
      <c r="K327" s="1520">
        <v>46139</v>
      </c>
      <c r="L327" s="1520">
        <v>46143</v>
      </c>
      <c r="M327" s="1520">
        <v>46143</v>
      </c>
      <c r="N327" t="s">
        <v>973</v>
      </c>
      <c r="O327" s="1520">
        <v>46153</v>
      </c>
      <c r="P327" s="1520">
        <v>46143</v>
      </c>
    </row>
    <row r="328" spans="1:16">
      <c r="A328" t="s">
        <v>1653</v>
      </c>
      <c r="B328" t="s">
        <v>64</v>
      </c>
      <c r="C328" t="s">
        <v>100</v>
      </c>
      <c r="D328" t="s">
        <v>132</v>
      </c>
      <c r="E328" t="s">
        <v>133</v>
      </c>
      <c r="F328" t="s">
        <v>134</v>
      </c>
      <c r="G328">
        <v>1188</v>
      </c>
      <c r="H328" t="s">
        <v>75</v>
      </c>
      <c r="I328" t="s">
        <v>1655</v>
      </c>
      <c r="J328" s="1520">
        <v>46102</v>
      </c>
      <c r="K328" s="1520">
        <v>46144</v>
      </c>
      <c r="L328" s="1520">
        <v>46151</v>
      </c>
      <c r="M328" s="1520">
        <v>46153</v>
      </c>
      <c r="N328" t="s">
        <v>973</v>
      </c>
      <c r="O328" s="1520">
        <v>46160</v>
      </c>
      <c r="P328" s="1520">
        <v>46160</v>
      </c>
    </row>
    <row r="329" spans="1:16">
      <c r="A329" t="s">
        <v>1831</v>
      </c>
      <c r="B329" t="s">
        <v>64</v>
      </c>
      <c r="C329" t="s">
        <v>450</v>
      </c>
      <c r="D329" t="s">
        <v>70</v>
      </c>
      <c r="E329" t="s">
        <v>1151</v>
      </c>
      <c r="F329" t="s">
        <v>421</v>
      </c>
      <c r="G329">
        <v>1728</v>
      </c>
      <c r="H329" t="s">
        <v>75</v>
      </c>
      <c r="I329" t="s">
        <v>1833</v>
      </c>
      <c r="J329" s="1520">
        <v>46102</v>
      </c>
      <c r="K329" s="1520">
        <v>46152</v>
      </c>
      <c r="L329" s="1520">
        <v>46154</v>
      </c>
      <c r="M329" s="1520">
        <v>46155</v>
      </c>
      <c r="N329" t="s">
        <v>973</v>
      </c>
      <c r="O329" s="1520">
        <v>46167</v>
      </c>
      <c r="P329" s="1520">
        <v>46162</v>
      </c>
    </row>
    <row r="330" spans="1:16">
      <c r="A330" t="s">
        <v>1651</v>
      </c>
      <c r="B330" t="s">
        <v>64</v>
      </c>
      <c r="C330" t="s">
        <v>100</v>
      </c>
      <c r="D330" t="s">
        <v>132</v>
      </c>
      <c r="E330" t="s">
        <v>133</v>
      </c>
      <c r="F330" t="s">
        <v>134</v>
      </c>
      <c r="G330">
        <v>4158</v>
      </c>
      <c r="H330" t="s">
        <v>75</v>
      </c>
      <c r="I330" t="s">
        <v>1652</v>
      </c>
      <c r="J330" s="1520">
        <v>46102</v>
      </c>
      <c r="K330" s="1520">
        <v>46144</v>
      </c>
      <c r="L330" s="1520">
        <v>46151</v>
      </c>
      <c r="M330" s="1520">
        <v>46153</v>
      </c>
      <c r="N330" t="s">
        <v>973</v>
      </c>
      <c r="O330" s="1520">
        <v>46160</v>
      </c>
      <c r="P330" s="1520">
        <v>46160</v>
      </c>
    </row>
    <row r="331" spans="1:16">
      <c r="A331" t="s">
        <v>1647</v>
      </c>
      <c r="B331" t="s">
        <v>64</v>
      </c>
      <c r="C331" t="s">
        <v>100</v>
      </c>
      <c r="D331" t="s">
        <v>132</v>
      </c>
      <c r="E331" t="s">
        <v>1062</v>
      </c>
      <c r="F331" t="s">
        <v>1063</v>
      </c>
      <c r="G331">
        <v>5184</v>
      </c>
      <c r="H331" t="s">
        <v>75</v>
      </c>
      <c r="I331" t="s">
        <v>1648</v>
      </c>
      <c r="J331" s="1520">
        <v>46102</v>
      </c>
      <c r="K331" s="1520">
        <v>46144</v>
      </c>
      <c r="L331" s="1520">
        <v>46151</v>
      </c>
      <c r="M331" s="1520">
        <v>46153</v>
      </c>
      <c r="N331" t="s">
        <v>973</v>
      </c>
      <c r="O331" s="1520">
        <v>46160</v>
      </c>
      <c r="P331" s="1520">
        <v>46160</v>
      </c>
    </row>
    <row r="332" spans="1:16">
      <c r="A332" t="s">
        <v>1837</v>
      </c>
      <c r="B332" t="s">
        <v>64</v>
      </c>
      <c r="C332" t="s">
        <v>65</v>
      </c>
      <c r="D332" t="s">
        <v>70</v>
      </c>
      <c r="E332" t="s">
        <v>204</v>
      </c>
      <c r="F332" t="s">
        <v>205</v>
      </c>
      <c r="G332">
        <v>936</v>
      </c>
      <c r="H332" t="s">
        <v>75</v>
      </c>
      <c r="I332" t="s">
        <v>1840</v>
      </c>
      <c r="J332" s="1520">
        <v>46103</v>
      </c>
      <c r="K332" s="1520">
        <v>46154</v>
      </c>
      <c r="L332" s="1520">
        <v>46161</v>
      </c>
      <c r="M332" s="1520">
        <v>46162</v>
      </c>
      <c r="N332" t="s">
        <v>973</v>
      </c>
      <c r="O332" s="1520">
        <v>46176</v>
      </c>
      <c r="P332" s="1520">
        <v>46172</v>
      </c>
    </row>
    <row r="333" spans="1:16">
      <c r="A333" t="s">
        <v>1641</v>
      </c>
      <c r="B333" t="s">
        <v>64</v>
      </c>
      <c r="C333" t="s">
        <v>450</v>
      </c>
      <c r="D333" t="s">
        <v>132</v>
      </c>
      <c r="E333" t="s">
        <v>1062</v>
      </c>
      <c r="F333" t="s">
        <v>1063</v>
      </c>
      <c r="G333">
        <v>3456</v>
      </c>
      <c r="H333" t="s">
        <v>75</v>
      </c>
      <c r="I333" t="s">
        <v>1642</v>
      </c>
      <c r="J333" s="1520">
        <v>46103</v>
      </c>
      <c r="K333" s="1520">
        <v>46141</v>
      </c>
      <c r="L333" s="1520">
        <v>46160</v>
      </c>
      <c r="M333" s="1520">
        <v>46157</v>
      </c>
      <c r="N333" t="s">
        <v>973</v>
      </c>
      <c r="O333" s="1520">
        <v>46171</v>
      </c>
      <c r="P333" s="1520">
        <v>46164</v>
      </c>
    </row>
    <row r="334" spans="1:16">
      <c r="A334" t="s">
        <v>935</v>
      </c>
      <c r="B334" t="s">
        <v>64</v>
      </c>
      <c r="C334" t="s">
        <v>100</v>
      </c>
      <c r="D334" t="s">
        <v>70</v>
      </c>
      <c r="E334" t="s">
        <v>885</v>
      </c>
      <c r="F334" t="s">
        <v>886</v>
      </c>
      <c r="G334">
        <v>720</v>
      </c>
      <c r="H334" t="s">
        <v>75</v>
      </c>
      <c r="I334" t="s">
        <v>936</v>
      </c>
      <c r="J334" s="1520">
        <v>46103</v>
      </c>
      <c r="K334" s="1520">
        <v>46147</v>
      </c>
      <c r="L334" s="1520">
        <v>46154</v>
      </c>
      <c r="M334" s="1520">
        <v>46157</v>
      </c>
      <c r="N334" t="s">
        <v>84</v>
      </c>
      <c r="O334" s="1520">
        <v>46171</v>
      </c>
      <c r="P334" s="1520">
        <v>46164</v>
      </c>
    </row>
    <row r="335" spans="1:16">
      <c r="A335" t="s">
        <v>1849</v>
      </c>
      <c r="B335" t="s">
        <v>64</v>
      </c>
      <c r="C335" t="s">
        <v>65</v>
      </c>
      <c r="D335" t="s">
        <v>70</v>
      </c>
      <c r="E335" t="s">
        <v>204</v>
      </c>
      <c r="F335" t="s">
        <v>205</v>
      </c>
      <c r="G335">
        <v>1872</v>
      </c>
      <c r="H335" t="s">
        <v>75</v>
      </c>
      <c r="I335" t="s">
        <v>1850</v>
      </c>
      <c r="J335" s="1520">
        <v>46103</v>
      </c>
      <c r="K335" s="1520">
        <v>46161</v>
      </c>
      <c r="L335" s="1520">
        <v>46166</v>
      </c>
      <c r="M335" s="1520">
        <v>46164</v>
      </c>
      <c r="N335" t="s">
        <v>973</v>
      </c>
      <c r="O335" s="1520">
        <v>46178</v>
      </c>
      <c r="P335" s="1520">
        <v>46172</v>
      </c>
    </row>
    <row r="336" spans="1:16">
      <c r="A336" t="s">
        <v>1843</v>
      </c>
      <c r="B336" t="s">
        <v>64</v>
      </c>
      <c r="C336" t="s">
        <v>65</v>
      </c>
      <c r="D336" t="s">
        <v>70</v>
      </c>
      <c r="E336" t="s">
        <v>204</v>
      </c>
      <c r="F336" t="s">
        <v>205</v>
      </c>
      <c r="G336">
        <v>1872</v>
      </c>
      <c r="H336" t="s">
        <v>75</v>
      </c>
      <c r="I336" t="s">
        <v>1844</v>
      </c>
      <c r="J336" s="1520">
        <v>46103</v>
      </c>
      <c r="K336" s="1520">
        <v>46161</v>
      </c>
      <c r="L336" s="1520">
        <v>46182</v>
      </c>
      <c r="M336" s="1520">
        <v>46183</v>
      </c>
      <c r="N336" t="s">
        <v>973</v>
      </c>
      <c r="O336" s="1520">
        <v>46195</v>
      </c>
      <c r="P336" s="1520">
        <v>46191</v>
      </c>
    </row>
    <row r="337" spans="1:16">
      <c r="A337" t="s">
        <v>1737</v>
      </c>
      <c r="B337" t="s">
        <v>64</v>
      </c>
      <c r="C337" t="s">
        <v>65</v>
      </c>
      <c r="D337" t="s">
        <v>70</v>
      </c>
      <c r="E337" t="s">
        <v>378</v>
      </c>
      <c r="F337" t="s">
        <v>379</v>
      </c>
      <c r="G337">
        <v>612</v>
      </c>
      <c r="H337" t="s">
        <v>75</v>
      </c>
      <c r="I337" t="s">
        <v>1738</v>
      </c>
      <c r="J337" s="1520">
        <v>46105</v>
      </c>
      <c r="K337" s="1520">
        <v>46154</v>
      </c>
      <c r="L337" s="1520">
        <v>46151</v>
      </c>
      <c r="M337" s="1520">
        <v>46151</v>
      </c>
      <c r="N337" t="s">
        <v>973</v>
      </c>
      <c r="O337" s="1520">
        <v>46161</v>
      </c>
      <c r="P337" s="1520">
        <v>46159</v>
      </c>
    </row>
    <row r="338" spans="1:16">
      <c r="A338" t="s">
        <v>1733</v>
      </c>
      <c r="B338" t="s">
        <v>64</v>
      </c>
      <c r="C338" t="s">
        <v>65</v>
      </c>
      <c r="D338" t="s">
        <v>70</v>
      </c>
      <c r="E338" t="s">
        <v>378</v>
      </c>
      <c r="F338" t="s">
        <v>379</v>
      </c>
      <c r="G338">
        <v>1440</v>
      </c>
      <c r="H338" t="s">
        <v>75</v>
      </c>
      <c r="I338" t="s">
        <v>1736</v>
      </c>
      <c r="J338" s="1520">
        <v>46105</v>
      </c>
      <c r="K338" s="1520">
        <v>46154</v>
      </c>
      <c r="L338" s="1520">
        <v>46151</v>
      </c>
      <c r="M338" s="1520">
        <v>46151</v>
      </c>
      <c r="N338" t="s">
        <v>973</v>
      </c>
      <c r="O338" s="1520">
        <v>46161</v>
      </c>
      <c r="P338" s="1520">
        <v>46159</v>
      </c>
    </row>
    <row r="339" spans="1:16">
      <c r="A339" t="s">
        <v>1749</v>
      </c>
      <c r="B339" t="s">
        <v>144</v>
      </c>
      <c r="C339" t="s">
        <v>145</v>
      </c>
      <c r="D339" t="s">
        <v>132</v>
      </c>
      <c r="E339" t="s">
        <v>133</v>
      </c>
      <c r="F339" t="s">
        <v>134</v>
      </c>
      <c r="G339">
        <v>2970</v>
      </c>
      <c r="H339" t="s">
        <v>75</v>
      </c>
      <c r="I339" t="s">
        <v>1751</v>
      </c>
      <c r="J339" s="1520">
        <v>46106</v>
      </c>
      <c r="K339" s="1520">
        <v>46149</v>
      </c>
      <c r="L339" s="1520">
        <v>46149</v>
      </c>
      <c r="M339" s="1520">
        <v>46149</v>
      </c>
      <c r="N339" t="s">
        <v>973</v>
      </c>
      <c r="O339" s="1520">
        <v>46163</v>
      </c>
      <c r="P339" s="1520">
        <v>46149</v>
      </c>
    </row>
    <row r="340" spans="1:16">
      <c r="A340" t="s">
        <v>401</v>
      </c>
      <c r="B340" t="s">
        <v>64</v>
      </c>
      <c r="C340" t="s">
        <v>65</v>
      </c>
      <c r="D340" t="s">
        <v>132</v>
      </c>
      <c r="E340" t="s">
        <v>405</v>
      </c>
      <c r="F340" t="s">
        <v>406</v>
      </c>
      <c r="G340">
        <v>252</v>
      </c>
      <c r="H340" t="s">
        <v>75</v>
      </c>
      <c r="I340" t="s">
        <v>934</v>
      </c>
      <c r="J340" s="1520">
        <v>46105</v>
      </c>
      <c r="K340" s="1520">
        <v>46154</v>
      </c>
      <c r="L340" s="1520">
        <v>46151</v>
      </c>
      <c r="M340" s="1520">
        <v>46151</v>
      </c>
      <c r="N340" t="s">
        <v>84</v>
      </c>
      <c r="O340" s="1520">
        <v>46173</v>
      </c>
      <c r="P340" s="1520">
        <v>46159</v>
      </c>
    </row>
    <row r="341" spans="1:16">
      <c r="A341" t="s">
        <v>584</v>
      </c>
      <c r="B341" t="s">
        <v>64</v>
      </c>
      <c r="C341" t="s">
        <v>65</v>
      </c>
      <c r="D341" t="s">
        <v>70</v>
      </c>
      <c r="E341" t="s">
        <v>585</v>
      </c>
      <c r="F341" t="s">
        <v>103</v>
      </c>
      <c r="G341">
        <v>108</v>
      </c>
      <c r="H341" t="s">
        <v>75</v>
      </c>
      <c r="I341" t="s">
        <v>929</v>
      </c>
      <c r="J341" s="1520">
        <v>46105</v>
      </c>
      <c r="K341" s="1520">
        <v>46154</v>
      </c>
      <c r="L341" s="1520">
        <v>46151</v>
      </c>
      <c r="M341" s="1520">
        <v>46151</v>
      </c>
      <c r="N341" t="s">
        <v>84</v>
      </c>
      <c r="O341" s="1520">
        <v>46173</v>
      </c>
      <c r="P341" s="1520">
        <v>46159</v>
      </c>
    </row>
    <row r="342" spans="1:16">
      <c r="A342" t="s">
        <v>1445</v>
      </c>
      <c r="B342" t="s">
        <v>64</v>
      </c>
      <c r="C342" t="s">
        <v>65</v>
      </c>
      <c r="D342" t="s">
        <v>713</v>
      </c>
      <c r="E342" t="s">
        <v>1429</v>
      </c>
      <c r="F342" t="s">
        <v>1430</v>
      </c>
      <c r="G342">
        <v>72</v>
      </c>
      <c r="H342" t="s">
        <v>75</v>
      </c>
      <c r="I342" t="s">
        <v>1748</v>
      </c>
      <c r="J342" s="1520">
        <v>46105</v>
      </c>
      <c r="K342" s="1520">
        <v>46154</v>
      </c>
      <c r="L342" s="1520">
        <v>46151</v>
      </c>
      <c r="M342" s="1520">
        <v>46151</v>
      </c>
      <c r="N342" t="s">
        <v>973</v>
      </c>
      <c r="O342" s="1520">
        <v>46161</v>
      </c>
      <c r="P342" s="1520">
        <v>46159</v>
      </c>
    </row>
    <row r="343" spans="1:16">
      <c r="A343" t="s">
        <v>1744</v>
      </c>
      <c r="B343" t="s">
        <v>64</v>
      </c>
      <c r="C343" t="s">
        <v>65</v>
      </c>
      <c r="D343" t="s">
        <v>70</v>
      </c>
      <c r="E343" t="s">
        <v>378</v>
      </c>
      <c r="F343" t="s">
        <v>379</v>
      </c>
      <c r="G343">
        <v>288</v>
      </c>
      <c r="H343" t="s">
        <v>75</v>
      </c>
      <c r="I343" t="s">
        <v>1746</v>
      </c>
      <c r="J343" s="1520">
        <v>46105</v>
      </c>
      <c r="K343" s="1520">
        <v>46154</v>
      </c>
      <c r="L343" s="1520">
        <v>46151</v>
      </c>
      <c r="M343" s="1520">
        <v>46151</v>
      </c>
      <c r="N343" t="s">
        <v>973</v>
      </c>
      <c r="O343" s="1520">
        <v>46161</v>
      </c>
      <c r="P343" s="1520">
        <v>46159</v>
      </c>
    </row>
    <row r="344" spans="1:16">
      <c r="A344" t="s">
        <v>1740</v>
      </c>
      <c r="B344" t="s">
        <v>64</v>
      </c>
      <c r="C344" t="s">
        <v>65</v>
      </c>
      <c r="D344" t="s">
        <v>70</v>
      </c>
      <c r="E344" t="s">
        <v>218</v>
      </c>
      <c r="F344" t="s">
        <v>219</v>
      </c>
      <c r="G344">
        <v>1008</v>
      </c>
      <c r="H344" t="s">
        <v>75</v>
      </c>
      <c r="I344" t="s">
        <v>1741</v>
      </c>
      <c r="J344" s="1520">
        <v>46105</v>
      </c>
      <c r="K344" s="1520">
        <v>46154</v>
      </c>
      <c r="L344" s="1520">
        <v>46151</v>
      </c>
      <c r="M344" s="1520">
        <v>46151</v>
      </c>
      <c r="N344" t="s">
        <v>973</v>
      </c>
      <c r="O344" s="1520">
        <v>46161</v>
      </c>
      <c r="P344" s="1520">
        <v>46159</v>
      </c>
    </row>
    <row r="345" spans="1:16">
      <c r="A345" t="s">
        <v>1742</v>
      </c>
      <c r="B345" t="s">
        <v>64</v>
      </c>
      <c r="C345" t="s">
        <v>65</v>
      </c>
      <c r="D345" t="s">
        <v>70</v>
      </c>
      <c r="E345" t="s">
        <v>1334</v>
      </c>
      <c r="F345" t="s">
        <v>1335</v>
      </c>
      <c r="G345">
        <v>540</v>
      </c>
      <c r="H345" t="s">
        <v>75</v>
      </c>
      <c r="I345" t="s">
        <v>1743</v>
      </c>
      <c r="J345" s="1520">
        <v>46105</v>
      </c>
      <c r="K345" s="1520">
        <v>46154</v>
      </c>
      <c r="L345" s="1520">
        <v>46151</v>
      </c>
      <c r="M345" s="1520">
        <v>46151</v>
      </c>
      <c r="N345" t="s">
        <v>973</v>
      </c>
      <c r="O345" s="1520">
        <v>46161</v>
      </c>
      <c r="P345" s="1520">
        <v>46159</v>
      </c>
    </row>
    <row r="346" spans="1:16">
      <c r="A346" t="s">
        <v>1822</v>
      </c>
      <c r="B346" t="s">
        <v>144</v>
      </c>
      <c r="C346" t="s">
        <v>145</v>
      </c>
      <c r="D346" t="s">
        <v>70</v>
      </c>
      <c r="E346" t="s">
        <v>1806</v>
      </c>
      <c r="F346" t="s">
        <v>1807</v>
      </c>
      <c r="G346">
        <v>5346</v>
      </c>
      <c r="H346" t="s">
        <v>75</v>
      </c>
      <c r="I346" t="s">
        <v>1824</v>
      </c>
      <c r="J346" s="1520">
        <v>46105</v>
      </c>
      <c r="K346" s="1520">
        <v>46147</v>
      </c>
      <c r="L346" s="1520">
        <v>46166</v>
      </c>
      <c r="M346" s="1520">
        <v>46167</v>
      </c>
      <c r="N346" t="s">
        <v>973</v>
      </c>
      <c r="O346" s="1520">
        <v>46161</v>
      </c>
      <c r="P346" s="1520">
        <v>46167</v>
      </c>
    </row>
    <row r="347" spans="1:16">
      <c r="A347" t="s">
        <v>1816</v>
      </c>
      <c r="B347" t="s">
        <v>144</v>
      </c>
      <c r="C347" t="s">
        <v>145</v>
      </c>
      <c r="D347" t="s">
        <v>70</v>
      </c>
      <c r="E347" t="s">
        <v>1806</v>
      </c>
      <c r="F347" t="s">
        <v>1807</v>
      </c>
      <c r="G347">
        <v>5940</v>
      </c>
      <c r="H347" t="s">
        <v>75</v>
      </c>
      <c r="I347" t="s">
        <v>1818</v>
      </c>
      <c r="J347" s="1520">
        <v>46105</v>
      </c>
      <c r="K347" s="1520">
        <v>46147</v>
      </c>
      <c r="L347" s="1520">
        <v>46166</v>
      </c>
      <c r="M347" s="1520">
        <v>46167</v>
      </c>
      <c r="N347" t="s">
        <v>973</v>
      </c>
      <c r="O347" s="1520">
        <v>46161</v>
      </c>
      <c r="P347" s="1520">
        <v>46167</v>
      </c>
    </row>
    <row r="348" spans="1:16">
      <c r="A348" t="s">
        <v>1825</v>
      </c>
      <c r="B348" t="s">
        <v>144</v>
      </c>
      <c r="C348" t="s">
        <v>145</v>
      </c>
      <c r="D348" t="s">
        <v>70</v>
      </c>
      <c r="E348" t="s">
        <v>1806</v>
      </c>
      <c r="F348" t="s">
        <v>1807</v>
      </c>
      <c r="G348">
        <v>4752</v>
      </c>
      <c r="H348" t="s">
        <v>75</v>
      </c>
      <c r="I348" t="s">
        <v>1827</v>
      </c>
      <c r="J348" s="1520">
        <v>46105</v>
      </c>
      <c r="K348" s="1520">
        <v>46150</v>
      </c>
      <c r="L348" s="1520">
        <v>46148</v>
      </c>
      <c r="M348" s="1520">
        <v>46148</v>
      </c>
      <c r="N348" t="s">
        <v>973</v>
      </c>
      <c r="O348" s="1520">
        <v>46164</v>
      </c>
      <c r="P348" s="1520">
        <v>46148</v>
      </c>
    </row>
    <row r="349" spans="1:16">
      <c r="A349" t="s">
        <v>1862</v>
      </c>
      <c r="B349" t="s">
        <v>64</v>
      </c>
      <c r="C349" t="s">
        <v>100</v>
      </c>
      <c r="D349" t="s">
        <v>132</v>
      </c>
      <c r="E349" t="s">
        <v>189</v>
      </c>
      <c r="F349" t="s">
        <v>190</v>
      </c>
      <c r="G349">
        <v>864</v>
      </c>
      <c r="H349" t="s">
        <v>75</v>
      </c>
      <c r="I349" t="s">
        <v>1863</v>
      </c>
      <c r="J349" s="1520">
        <v>46110</v>
      </c>
      <c r="K349" s="1520">
        <v>46147</v>
      </c>
      <c r="L349" s="1520">
        <v>46154</v>
      </c>
      <c r="M349" s="1520">
        <v>46157</v>
      </c>
      <c r="N349" t="s">
        <v>973</v>
      </c>
      <c r="O349" s="1520">
        <v>46167</v>
      </c>
      <c r="P349" s="1520">
        <v>46164</v>
      </c>
    </row>
    <row r="350" spans="1:16">
      <c r="A350" t="s">
        <v>1875</v>
      </c>
      <c r="B350" t="s">
        <v>64</v>
      </c>
      <c r="C350" t="s">
        <v>100</v>
      </c>
      <c r="D350" t="s">
        <v>473</v>
      </c>
      <c r="E350" t="s">
        <v>529</v>
      </c>
      <c r="F350" t="s">
        <v>1311</v>
      </c>
      <c r="G350">
        <v>4320</v>
      </c>
      <c r="H350" t="s">
        <v>75</v>
      </c>
      <c r="I350" t="s">
        <v>1877</v>
      </c>
      <c r="J350" s="1520">
        <v>46111</v>
      </c>
      <c r="K350" s="1520">
        <v>46148</v>
      </c>
      <c r="L350" s="1520">
        <v>46157</v>
      </c>
      <c r="M350" s="1520">
        <v>46156</v>
      </c>
      <c r="N350" t="s">
        <v>973</v>
      </c>
      <c r="O350" s="1520">
        <v>46170</v>
      </c>
      <c r="P350" s="1520">
        <v>46163</v>
      </c>
    </row>
    <row r="351" spans="1:16">
      <c r="A351" t="s">
        <v>1939</v>
      </c>
      <c r="B351" t="s">
        <v>64</v>
      </c>
      <c r="C351" t="s">
        <v>65</v>
      </c>
      <c r="D351" t="s">
        <v>70</v>
      </c>
      <c r="E351" t="s">
        <v>91</v>
      </c>
      <c r="F351" t="s">
        <v>92</v>
      </c>
      <c r="G351">
        <v>936</v>
      </c>
      <c r="H351" t="s">
        <v>75</v>
      </c>
      <c r="I351" t="s">
        <v>1941</v>
      </c>
      <c r="J351" s="1520">
        <v>46110</v>
      </c>
      <c r="K351" s="1520">
        <v>46168</v>
      </c>
      <c r="L351" s="1520">
        <v>46190</v>
      </c>
      <c r="M351" s="1520">
        <v>46191</v>
      </c>
      <c r="N351" t="s">
        <v>973</v>
      </c>
      <c r="O351" s="1520">
        <v>46205</v>
      </c>
      <c r="P351" s="1520">
        <v>46199</v>
      </c>
    </row>
    <row r="352" spans="1:16">
      <c r="A352" t="s">
        <v>1933</v>
      </c>
      <c r="B352" t="s">
        <v>64</v>
      </c>
      <c r="C352" t="s">
        <v>65</v>
      </c>
      <c r="D352" t="s">
        <v>70</v>
      </c>
      <c r="E352" t="s">
        <v>204</v>
      </c>
      <c r="F352" t="s">
        <v>205</v>
      </c>
      <c r="G352">
        <v>936</v>
      </c>
      <c r="H352" t="s">
        <v>75</v>
      </c>
      <c r="I352" t="s">
        <v>1934</v>
      </c>
      <c r="J352" s="1520">
        <v>46110</v>
      </c>
      <c r="K352" s="1520">
        <v>46168</v>
      </c>
      <c r="L352" s="1520">
        <v>46190</v>
      </c>
      <c r="M352" s="1520">
        <v>46191</v>
      </c>
      <c r="N352" t="s">
        <v>973</v>
      </c>
      <c r="O352" s="1520">
        <v>46205</v>
      </c>
      <c r="P352" s="1520">
        <v>46199</v>
      </c>
    </row>
    <row r="353" spans="1:16">
      <c r="A353" t="s">
        <v>1931</v>
      </c>
      <c r="B353" t="s">
        <v>144</v>
      </c>
      <c r="C353" t="s">
        <v>145</v>
      </c>
      <c r="D353" t="s">
        <v>70</v>
      </c>
      <c r="E353" t="s">
        <v>71</v>
      </c>
      <c r="F353" t="s">
        <v>72</v>
      </c>
      <c r="G353">
        <v>1728</v>
      </c>
      <c r="H353" t="s">
        <v>75</v>
      </c>
      <c r="I353" t="s">
        <v>1932</v>
      </c>
      <c r="J353" s="1520">
        <v>46108</v>
      </c>
      <c r="K353" s="1520">
        <v>46172</v>
      </c>
      <c r="L353" s="1520">
        <v>46172</v>
      </c>
      <c r="M353" s="1520">
        <v>46174</v>
      </c>
      <c r="N353" t="s">
        <v>973</v>
      </c>
      <c r="O353" s="1520">
        <v>46185</v>
      </c>
      <c r="P353" s="1520">
        <v>46174</v>
      </c>
    </row>
    <row r="354" spans="1:16">
      <c r="A354" t="s">
        <v>1923</v>
      </c>
      <c r="B354" t="s">
        <v>144</v>
      </c>
      <c r="C354" t="s">
        <v>145</v>
      </c>
      <c r="D354" t="s">
        <v>70</v>
      </c>
      <c r="E354" t="s">
        <v>71</v>
      </c>
      <c r="F354" t="s">
        <v>72</v>
      </c>
      <c r="G354">
        <v>2592</v>
      </c>
      <c r="H354" t="s">
        <v>75</v>
      </c>
      <c r="I354" t="s">
        <v>1927</v>
      </c>
      <c r="J354" s="1520">
        <v>46108</v>
      </c>
      <c r="K354" s="1520">
        <v>46172</v>
      </c>
      <c r="L354" s="1520">
        <v>46172</v>
      </c>
      <c r="M354" s="1520">
        <v>46174</v>
      </c>
      <c r="N354" t="s">
        <v>973</v>
      </c>
      <c r="O354" s="1520">
        <v>46185</v>
      </c>
      <c r="P354" s="1520">
        <v>46174</v>
      </c>
    </row>
    <row r="355" spans="1:16">
      <c r="A355" t="s">
        <v>1858</v>
      </c>
      <c r="B355" t="s">
        <v>144</v>
      </c>
      <c r="C355" t="s">
        <v>145</v>
      </c>
      <c r="D355" t="s">
        <v>70</v>
      </c>
      <c r="E355" t="s">
        <v>1806</v>
      </c>
      <c r="F355" t="s">
        <v>1807</v>
      </c>
      <c r="G355">
        <v>1188</v>
      </c>
      <c r="H355" t="s">
        <v>75</v>
      </c>
      <c r="I355" t="s">
        <v>1859</v>
      </c>
      <c r="J355" s="1520">
        <v>46110</v>
      </c>
      <c r="K355" s="1520">
        <v>46147</v>
      </c>
      <c r="L355" s="1520">
        <v>46154</v>
      </c>
      <c r="M355" s="1520">
        <v>46157</v>
      </c>
      <c r="N355" t="s">
        <v>973</v>
      </c>
      <c r="O355" s="1520">
        <v>46161</v>
      </c>
      <c r="P355" s="1520">
        <v>46157</v>
      </c>
    </row>
    <row r="356" spans="1:16">
      <c r="A356" t="s">
        <v>1756</v>
      </c>
      <c r="B356" t="s">
        <v>144</v>
      </c>
      <c r="C356" t="s">
        <v>145</v>
      </c>
      <c r="D356" t="s">
        <v>70</v>
      </c>
      <c r="E356" t="s">
        <v>71</v>
      </c>
      <c r="F356" t="s">
        <v>72</v>
      </c>
      <c r="G356">
        <v>2592</v>
      </c>
      <c r="H356" t="s">
        <v>75</v>
      </c>
      <c r="I356" t="s">
        <v>1761</v>
      </c>
      <c r="J356" s="1520">
        <v>46112</v>
      </c>
      <c r="K356" s="1520">
        <v>46162</v>
      </c>
      <c r="L356" s="1520">
        <v>46162</v>
      </c>
      <c r="M356" s="1520">
        <v>46162</v>
      </c>
      <c r="N356" t="s">
        <v>973</v>
      </c>
      <c r="O356" s="1520">
        <v>46176</v>
      </c>
      <c r="P356" s="1520">
        <v>46162</v>
      </c>
    </row>
    <row r="357" spans="1:16">
      <c r="A357" t="s">
        <v>1853</v>
      </c>
      <c r="B357" t="s">
        <v>144</v>
      </c>
      <c r="C357" t="s">
        <v>145</v>
      </c>
      <c r="D357" t="s">
        <v>70</v>
      </c>
      <c r="E357" t="s">
        <v>1806</v>
      </c>
      <c r="F357" t="s">
        <v>1807</v>
      </c>
      <c r="G357">
        <v>1782</v>
      </c>
      <c r="H357" t="s">
        <v>75</v>
      </c>
      <c r="I357" t="s">
        <v>1855</v>
      </c>
      <c r="J357" s="1520">
        <v>46110</v>
      </c>
      <c r="K357" s="1520">
        <v>46150</v>
      </c>
      <c r="L357" s="1520">
        <v>46169</v>
      </c>
      <c r="M357" s="1520">
        <v>46170</v>
      </c>
      <c r="N357" t="s">
        <v>973</v>
      </c>
      <c r="O357" s="1520">
        <v>46164</v>
      </c>
      <c r="P357" s="1520">
        <v>46170</v>
      </c>
    </row>
    <row r="358" spans="1:16">
      <c r="A358" t="s">
        <v>1901</v>
      </c>
      <c r="B358" t="s">
        <v>144</v>
      </c>
      <c r="C358" t="s">
        <v>145</v>
      </c>
      <c r="D358" t="s">
        <v>132</v>
      </c>
      <c r="E358" t="s">
        <v>1905</v>
      </c>
      <c r="F358" t="s">
        <v>1906</v>
      </c>
      <c r="G358">
        <v>2640</v>
      </c>
      <c r="H358" t="s">
        <v>75</v>
      </c>
      <c r="I358" t="s">
        <v>1908</v>
      </c>
      <c r="J358" s="1520">
        <v>46111</v>
      </c>
      <c r="K358" s="1520">
        <v>46163</v>
      </c>
      <c r="L358" s="1520">
        <v>46170</v>
      </c>
      <c r="M358" s="1520">
        <v>46171</v>
      </c>
      <c r="N358" t="s">
        <v>973</v>
      </c>
      <c r="O358" s="1520">
        <v>46177</v>
      </c>
      <c r="P358" s="1520">
        <v>46171</v>
      </c>
    </row>
    <row r="359" spans="1:16">
      <c r="A359" t="s">
        <v>1911</v>
      </c>
      <c r="B359" t="s">
        <v>144</v>
      </c>
      <c r="C359" t="s">
        <v>145</v>
      </c>
      <c r="D359" t="s">
        <v>132</v>
      </c>
      <c r="E359" t="s">
        <v>1905</v>
      </c>
      <c r="F359" t="s">
        <v>1906</v>
      </c>
      <c r="G359">
        <v>1320</v>
      </c>
      <c r="H359" t="s">
        <v>75</v>
      </c>
      <c r="I359" t="s">
        <v>1915</v>
      </c>
      <c r="J359" s="1520">
        <v>46111</v>
      </c>
      <c r="K359" s="1520">
        <v>46163</v>
      </c>
      <c r="L359" s="1520">
        <v>46170</v>
      </c>
      <c r="M359" s="1520">
        <v>46171</v>
      </c>
      <c r="N359" t="s">
        <v>973</v>
      </c>
      <c r="O359" s="1520">
        <v>46177</v>
      </c>
      <c r="P359" s="1520">
        <v>46171</v>
      </c>
    </row>
    <row r="360" spans="1:16">
      <c r="A360" t="s">
        <v>1892</v>
      </c>
      <c r="B360" t="s">
        <v>144</v>
      </c>
      <c r="C360" t="s">
        <v>145</v>
      </c>
      <c r="D360" t="s">
        <v>132</v>
      </c>
      <c r="E360" t="s">
        <v>1894</v>
      </c>
      <c r="F360" t="s">
        <v>1895</v>
      </c>
      <c r="G360">
        <v>3300</v>
      </c>
      <c r="H360" t="s">
        <v>75</v>
      </c>
      <c r="I360" t="s">
        <v>1897</v>
      </c>
      <c r="J360" s="1520">
        <v>46114</v>
      </c>
      <c r="K360" s="1520">
        <v>46156</v>
      </c>
      <c r="L360" s="1520">
        <v>46156</v>
      </c>
      <c r="M360" s="1520">
        <v>46158</v>
      </c>
      <c r="N360" t="s">
        <v>973</v>
      </c>
      <c r="O360" s="1520">
        <v>46170</v>
      </c>
      <c r="P360" s="1520">
        <v>46158</v>
      </c>
    </row>
    <row r="361" spans="1:16">
      <c r="A361" t="s">
        <v>1918</v>
      </c>
      <c r="B361" t="s">
        <v>144</v>
      </c>
      <c r="C361" t="s">
        <v>145</v>
      </c>
      <c r="D361" t="s">
        <v>132</v>
      </c>
      <c r="E361" t="s">
        <v>1905</v>
      </c>
      <c r="F361" t="s">
        <v>1906</v>
      </c>
      <c r="G361">
        <v>1320</v>
      </c>
      <c r="H361" t="s">
        <v>75</v>
      </c>
      <c r="I361" t="s">
        <v>1919</v>
      </c>
      <c r="J361" s="1520">
        <v>46114</v>
      </c>
      <c r="K361" s="1520">
        <v>46156</v>
      </c>
      <c r="L361" s="1520">
        <v>46164</v>
      </c>
      <c r="M361" s="1520">
        <v>46165</v>
      </c>
      <c r="N361" t="s">
        <v>973</v>
      </c>
      <c r="O361" s="1520">
        <v>46170</v>
      </c>
      <c r="P361" s="1520">
        <v>46165</v>
      </c>
    </row>
    <row r="362" spans="1:16">
      <c r="A362" t="s">
        <v>1887</v>
      </c>
      <c r="B362" t="s">
        <v>144</v>
      </c>
      <c r="C362" t="s">
        <v>145</v>
      </c>
      <c r="D362" t="s">
        <v>70</v>
      </c>
      <c r="E362" t="s">
        <v>195</v>
      </c>
      <c r="F362" t="s">
        <v>196</v>
      </c>
      <c r="G362">
        <v>1872</v>
      </c>
      <c r="H362" t="s">
        <v>75</v>
      </c>
      <c r="I362" t="s">
        <v>1890</v>
      </c>
      <c r="J362" s="1520">
        <v>46113</v>
      </c>
      <c r="K362" s="1520">
        <v>46172</v>
      </c>
      <c r="L362" s="1520">
        <v>46172</v>
      </c>
      <c r="M362" s="1520">
        <v>46172</v>
      </c>
      <c r="N362" t="s">
        <v>973</v>
      </c>
      <c r="O362" s="1520">
        <v>46185</v>
      </c>
      <c r="P362" s="1520">
        <v>46172</v>
      </c>
    </row>
    <row r="363" spans="1:16">
      <c r="A363" t="s">
        <v>1881</v>
      </c>
      <c r="B363" t="s">
        <v>144</v>
      </c>
      <c r="C363" t="s">
        <v>145</v>
      </c>
      <c r="D363" t="s">
        <v>70</v>
      </c>
      <c r="E363" t="s">
        <v>1151</v>
      </c>
      <c r="F363" t="s">
        <v>421</v>
      </c>
      <c r="G363">
        <v>1728</v>
      </c>
      <c r="H363" t="s">
        <v>75</v>
      </c>
      <c r="I363" t="s">
        <v>1884</v>
      </c>
      <c r="J363" s="1520">
        <v>46113</v>
      </c>
      <c r="K363" s="1520">
        <v>46172</v>
      </c>
      <c r="L363" s="1520">
        <v>46172</v>
      </c>
      <c r="M363" s="1520">
        <v>46172</v>
      </c>
      <c r="N363" t="s">
        <v>973</v>
      </c>
      <c r="O363" s="1520">
        <v>46185</v>
      </c>
      <c r="P363" s="1520">
        <v>46172</v>
      </c>
    </row>
    <row r="364" spans="1:16">
      <c r="A364" t="s">
        <v>590</v>
      </c>
      <c r="B364" t="s">
        <v>64</v>
      </c>
      <c r="C364" t="s">
        <v>310</v>
      </c>
      <c r="D364" t="s">
        <v>70</v>
      </c>
      <c r="E364" t="s">
        <v>420</v>
      </c>
      <c r="F364" t="s">
        <v>421</v>
      </c>
      <c r="G364">
        <v>2592</v>
      </c>
      <c r="H364" t="s">
        <v>75</v>
      </c>
      <c r="I364" t="s">
        <v>591</v>
      </c>
      <c r="J364" s="1520">
        <v>46048</v>
      </c>
      <c r="K364" s="1520">
        <v>46106</v>
      </c>
      <c r="L364" s="1520">
        <v>46120</v>
      </c>
      <c r="M364" s="1520">
        <v>46120</v>
      </c>
      <c r="N364" t="s">
        <v>84</v>
      </c>
      <c r="O364" s="1520">
        <v>46133</v>
      </c>
      <c r="P364" s="1520">
        <v>46133</v>
      </c>
    </row>
    <row r="365" spans="1:16">
      <c r="A365" t="s">
        <v>583</v>
      </c>
      <c r="B365" t="s">
        <v>64</v>
      </c>
      <c r="C365" t="s">
        <v>310</v>
      </c>
      <c r="D365" t="s">
        <v>70</v>
      </c>
      <c r="E365" t="s">
        <v>585</v>
      </c>
      <c r="F365" t="s">
        <v>103</v>
      </c>
      <c r="G365">
        <v>1440</v>
      </c>
      <c r="H365" t="s">
        <v>75</v>
      </c>
      <c r="I365" t="s">
        <v>586</v>
      </c>
      <c r="J365" s="1520">
        <v>46048</v>
      </c>
      <c r="K365" s="1520">
        <v>46106</v>
      </c>
      <c r="L365" s="1520">
        <v>46120</v>
      </c>
      <c r="M365" s="1520">
        <v>46120</v>
      </c>
      <c r="N365" t="s">
        <v>84</v>
      </c>
      <c r="O365" s="1520">
        <v>46132</v>
      </c>
      <c r="P365" s="1520">
        <v>46133</v>
      </c>
    </row>
    <row r="366" spans="1:16">
      <c r="A366" t="s">
        <v>1603</v>
      </c>
      <c r="B366" t="s">
        <v>64</v>
      </c>
      <c r="C366" t="s">
        <v>65</v>
      </c>
      <c r="D366" t="s">
        <v>70</v>
      </c>
      <c r="E366" t="s">
        <v>71</v>
      </c>
      <c r="F366" t="s">
        <v>72</v>
      </c>
      <c r="G366">
        <v>1728</v>
      </c>
      <c r="H366" t="s">
        <v>75</v>
      </c>
      <c r="I366" t="s">
        <v>1605</v>
      </c>
      <c r="J366" s="1520">
        <v>46098</v>
      </c>
      <c r="K366" s="1520">
        <v>46147</v>
      </c>
      <c r="L366" s="1520">
        <v>46144</v>
      </c>
      <c r="M366" s="1520">
        <v>46144</v>
      </c>
      <c r="N366" t="s">
        <v>973</v>
      </c>
      <c r="O366" s="1520">
        <v>46160</v>
      </c>
      <c r="P366" s="1520">
        <v>46154</v>
      </c>
    </row>
    <row r="367" spans="1:16">
      <c r="A367" t="s">
        <v>1598</v>
      </c>
      <c r="B367" t="s">
        <v>144</v>
      </c>
      <c r="C367" t="s">
        <v>145</v>
      </c>
      <c r="D367" t="s">
        <v>70</v>
      </c>
      <c r="E367" t="s">
        <v>71</v>
      </c>
      <c r="F367" t="s">
        <v>72</v>
      </c>
      <c r="G367">
        <v>1728</v>
      </c>
      <c r="H367" t="s">
        <v>75</v>
      </c>
      <c r="I367" t="s">
        <v>1600</v>
      </c>
      <c r="J367" s="1520">
        <v>46098</v>
      </c>
      <c r="K367" s="1520">
        <v>46147</v>
      </c>
      <c r="L367" s="1520">
        <v>46144</v>
      </c>
      <c r="M367" s="1520">
        <v>46144</v>
      </c>
      <c r="N367" t="s">
        <v>973</v>
      </c>
      <c r="O367" s="1520">
        <v>46161</v>
      </c>
      <c r="P367" s="1520">
        <v>46144</v>
      </c>
    </row>
    <row r="368" spans="1:16">
      <c r="A368" t="s">
        <v>876</v>
      </c>
      <c r="B368" t="s">
        <v>64</v>
      </c>
      <c r="C368" t="s">
        <v>65</v>
      </c>
      <c r="D368" t="s">
        <v>70</v>
      </c>
      <c r="E368" t="s">
        <v>71</v>
      </c>
      <c r="F368" t="s">
        <v>72</v>
      </c>
      <c r="G368">
        <v>1728</v>
      </c>
      <c r="H368" t="s">
        <v>75</v>
      </c>
      <c r="I368" t="s">
        <v>877</v>
      </c>
      <c r="J368" s="1520">
        <v>46084</v>
      </c>
      <c r="K368" s="1520">
        <v>46160</v>
      </c>
      <c r="L368" s="1520">
        <v>46169</v>
      </c>
      <c r="M368" s="1520">
        <v>46165</v>
      </c>
      <c r="N368" t="s">
        <v>84</v>
      </c>
      <c r="O368" s="1520">
        <v>46177</v>
      </c>
      <c r="P368" s="1520">
        <v>46173</v>
      </c>
    </row>
    <row r="369" spans="1:16">
      <c r="A369" t="s">
        <v>867</v>
      </c>
      <c r="B369" t="s">
        <v>144</v>
      </c>
      <c r="C369" t="s">
        <v>145</v>
      </c>
      <c r="D369" t="s">
        <v>70</v>
      </c>
      <c r="E369" t="s">
        <v>71</v>
      </c>
      <c r="F369" t="s">
        <v>72</v>
      </c>
      <c r="G369">
        <v>864</v>
      </c>
      <c r="H369" t="s">
        <v>75</v>
      </c>
      <c r="I369" t="s">
        <v>871</v>
      </c>
      <c r="J369" s="1520">
        <v>46084</v>
      </c>
      <c r="K369" s="1520">
        <v>46160</v>
      </c>
      <c r="L369" s="1520">
        <v>46169</v>
      </c>
      <c r="M369" s="1520">
        <v>46165</v>
      </c>
      <c r="N369" t="s">
        <v>84</v>
      </c>
      <c r="O369" s="1520">
        <v>46174</v>
      </c>
      <c r="P369" s="1520">
        <v>46165</v>
      </c>
    </row>
    <row r="370" spans="1:16">
      <c r="A370" t="s">
        <v>1728</v>
      </c>
      <c r="B370" t="s">
        <v>64</v>
      </c>
      <c r="C370" t="s">
        <v>310</v>
      </c>
      <c r="D370" t="s">
        <v>170</v>
      </c>
      <c r="E370" t="s">
        <v>171</v>
      </c>
      <c r="F370" t="s">
        <v>1731</v>
      </c>
      <c r="G370">
        <v>1320</v>
      </c>
      <c r="H370" t="s">
        <v>75</v>
      </c>
      <c r="I370" t="s">
        <v>1732</v>
      </c>
      <c r="J370" s="1520">
        <v>46111</v>
      </c>
      <c r="K370" s="1520">
        <v>46155</v>
      </c>
      <c r="L370" s="1520">
        <v>46162</v>
      </c>
      <c r="M370" s="1520">
        <v>46162</v>
      </c>
      <c r="N370" t="s">
        <v>973</v>
      </c>
      <c r="O370" s="1520">
        <v>46176</v>
      </c>
      <c r="P370" s="1520">
        <v>46172</v>
      </c>
    </row>
    <row r="371" spans="1:16">
      <c r="A371" t="s">
        <v>1775</v>
      </c>
      <c r="B371" t="s">
        <v>64</v>
      </c>
      <c r="C371" t="s">
        <v>310</v>
      </c>
      <c r="D371" t="s">
        <v>284</v>
      </c>
      <c r="E371" t="s">
        <v>1521</v>
      </c>
      <c r="F371" t="s">
        <v>1522</v>
      </c>
      <c r="G371">
        <v>6048</v>
      </c>
      <c r="H371" t="s">
        <v>75</v>
      </c>
      <c r="I371" t="s">
        <v>1776</v>
      </c>
      <c r="J371" s="1520">
        <v>46111</v>
      </c>
      <c r="K371" s="1520">
        <v>46155</v>
      </c>
      <c r="L371" s="1520">
        <v>46159</v>
      </c>
      <c r="M371" s="1520">
        <v>46162</v>
      </c>
      <c r="N371" t="s">
        <v>973</v>
      </c>
      <c r="O371" s="1520">
        <v>46176</v>
      </c>
      <c r="P371" s="1520">
        <v>46172</v>
      </c>
    </row>
    <row r="372" spans="1:16">
      <c r="A372" t="s">
        <v>1723</v>
      </c>
      <c r="B372" t="s">
        <v>64</v>
      </c>
      <c r="C372" t="s">
        <v>310</v>
      </c>
      <c r="D372" t="s">
        <v>473</v>
      </c>
      <c r="E372" t="s">
        <v>474</v>
      </c>
      <c r="F372" t="s">
        <v>1319</v>
      </c>
      <c r="G372">
        <v>2592</v>
      </c>
      <c r="H372" t="s">
        <v>75</v>
      </c>
      <c r="I372" t="s">
        <v>1724</v>
      </c>
      <c r="J372" s="1520">
        <v>46111</v>
      </c>
      <c r="K372" s="1520">
        <v>46155</v>
      </c>
      <c r="L372" s="1520">
        <v>46162</v>
      </c>
      <c r="M372" s="1520">
        <v>46162</v>
      </c>
      <c r="N372" t="s">
        <v>973</v>
      </c>
      <c r="O372" s="1520">
        <v>46176</v>
      </c>
      <c r="P372" s="1520">
        <v>46172</v>
      </c>
    </row>
    <row r="373" spans="1:16">
      <c r="A373" t="s">
        <v>1983</v>
      </c>
      <c r="B373" t="s">
        <v>64</v>
      </c>
      <c r="C373" t="s">
        <v>310</v>
      </c>
      <c r="D373" t="s">
        <v>170</v>
      </c>
      <c r="E373" t="s">
        <v>171</v>
      </c>
      <c r="F373" t="s">
        <v>1731</v>
      </c>
      <c r="G373">
        <v>1980</v>
      </c>
      <c r="H373" t="s">
        <v>75</v>
      </c>
      <c r="I373" t="s">
        <v>1984</v>
      </c>
      <c r="J373" s="1520">
        <v>46115</v>
      </c>
      <c r="K373" s="1520">
        <v>46162</v>
      </c>
      <c r="L373" s="1520">
        <v>46169</v>
      </c>
      <c r="M373" s="1520">
        <v>46169</v>
      </c>
      <c r="N373" t="s">
        <v>973</v>
      </c>
      <c r="O373" s="1520">
        <v>46183</v>
      </c>
      <c r="P373" s="1520">
        <v>46179</v>
      </c>
    </row>
    <row r="374" spans="1:16">
      <c r="A374" t="s">
        <v>1985</v>
      </c>
      <c r="B374" t="s">
        <v>64</v>
      </c>
      <c r="C374" t="s">
        <v>310</v>
      </c>
      <c r="D374" t="s">
        <v>170</v>
      </c>
      <c r="E374" t="s">
        <v>1977</v>
      </c>
      <c r="F374" t="s">
        <v>1978</v>
      </c>
      <c r="G374">
        <v>5940</v>
      </c>
      <c r="H374" t="s">
        <v>75</v>
      </c>
      <c r="I374" t="s">
        <v>1987</v>
      </c>
      <c r="J374" s="1520">
        <v>46116</v>
      </c>
      <c r="K374" s="1520">
        <v>46162</v>
      </c>
      <c r="L374" s="1520">
        <v>46169</v>
      </c>
      <c r="M374" s="1520">
        <v>46169</v>
      </c>
      <c r="N374" t="s">
        <v>973</v>
      </c>
      <c r="O374" s="1520">
        <v>46183</v>
      </c>
      <c r="P374" s="1520">
        <v>46179</v>
      </c>
    </row>
    <row r="375" spans="1:16">
      <c r="A375" t="s">
        <v>1975</v>
      </c>
      <c r="B375" t="s">
        <v>64</v>
      </c>
      <c r="C375" t="s">
        <v>310</v>
      </c>
      <c r="D375" t="s">
        <v>170</v>
      </c>
      <c r="E375" t="s">
        <v>1977</v>
      </c>
      <c r="F375" t="s">
        <v>1978</v>
      </c>
      <c r="G375">
        <v>3300</v>
      </c>
      <c r="H375" t="s">
        <v>75</v>
      </c>
      <c r="I375" t="s">
        <v>1979</v>
      </c>
      <c r="J375" s="1520">
        <v>46115</v>
      </c>
      <c r="K375" s="1520">
        <v>46162</v>
      </c>
      <c r="L375" s="1520">
        <v>46169</v>
      </c>
      <c r="M375" s="1520">
        <v>46169</v>
      </c>
      <c r="N375" t="s">
        <v>973</v>
      </c>
      <c r="O375" s="1520">
        <v>46183</v>
      </c>
      <c r="P375" s="1520">
        <v>46179</v>
      </c>
    </row>
    <row r="376" spans="1:16">
      <c r="A376" t="s">
        <v>1952</v>
      </c>
      <c r="B376" t="s">
        <v>144</v>
      </c>
      <c r="C376" t="s">
        <v>145</v>
      </c>
      <c r="D376" t="s">
        <v>70</v>
      </c>
      <c r="E376" t="s">
        <v>1806</v>
      </c>
      <c r="F376" t="s">
        <v>1807</v>
      </c>
      <c r="G376">
        <v>1782</v>
      </c>
      <c r="H376" t="s">
        <v>75</v>
      </c>
      <c r="I376" t="s">
        <v>1953</v>
      </c>
      <c r="J376" s="1520">
        <v>46118</v>
      </c>
      <c r="K376" s="1520">
        <v>46155</v>
      </c>
      <c r="L376" s="1520">
        <v>46163</v>
      </c>
      <c r="M376" s="1520">
        <v>46163</v>
      </c>
      <c r="N376" t="s">
        <v>973</v>
      </c>
      <c r="O376" s="1520">
        <v>46155</v>
      </c>
      <c r="P376" s="1520">
        <v>46163</v>
      </c>
    </row>
    <row r="377" spans="1:16">
      <c r="A377" t="s">
        <v>2013</v>
      </c>
      <c r="B377" t="s">
        <v>64</v>
      </c>
      <c r="C377" t="s">
        <v>65</v>
      </c>
      <c r="D377" t="s">
        <v>70</v>
      </c>
      <c r="E377" t="s">
        <v>91</v>
      </c>
      <c r="F377" t="s">
        <v>92</v>
      </c>
      <c r="G377">
        <v>936</v>
      </c>
      <c r="H377" t="s">
        <v>75</v>
      </c>
      <c r="I377" t="s">
        <v>2014</v>
      </c>
      <c r="J377" s="1520">
        <v>46116</v>
      </c>
      <c r="K377" s="1520">
        <v>46168</v>
      </c>
      <c r="L377" s="1520">
        <v>46170</v>
      </c>
      <c r="M377" s="1520">
        <v>46170</v>
      </c>
      <c r="N377" t="s">
        <v>973</v>
      </c>
      <c r="O377" s="1520">
        <v>46184</v>
      </c>
      <c r="P377" s="1520">
        <v>46180</v>
      </c>
    </row>
    <row r="378" spans="1:16">
      <c r="A378" t="s">
        <v>2009</v>
      </c>
      <c r="B378" t="s">
        <v>64</v>
      </c>
      <c r="C378" t="s">
        <v>65</v>
      </c>
      <c r="D378" t="s">
        <v>70</v>
      </c>
      <c r="E378" t="s">
        <v>204</v>
      </c>
      <c r="F378" t="s">
        <v>205</v>
      </c>
      <c r="G378">
        <v>3744</v>
      </c>
      <c r="H378" t="s">
        <v>75</v>
      </c>
      <c r="I378" t="s">
        <v>2010</v>
      </c>
      <c r="J378" s="1520">
        <v>46116</v>
      </c>
      <c r="K378" s="1520">
        <v>46181</v>
      </c>
      <c r="L378" s="1520">
        <v>46181</v>
      </c>
      <c r="M378" s="1520">
        <v>46179</v>
      </c>
      <c r="N378" t="s">
        <v>973</v>
      </c>
      <c r="O378" s="1520">
        <v>46192</v>
      </c>
      <c r="P378" s="1520">
        <v>46187</v>
      </c>
    </row>
    <row r="379" spans="1:16">
      <c r="A379" t="s">
        <v>2003</v>
      </c>
      <c r="B379" t="s">
        <v>64</v>
      </c>
      <c r="C379" t="s">
        <v>65</v>
      </c>
      <c r="D379" t="s">
        <v>70</v>
      </c>
      <c r="E379" t="s">
        <v>204</v>
      </c>
      <c r="F379" t="s">
        <v>205</v>
      </c>
      <c r="G379">
        <v>1872</v>
      </c>
      <c r="H379" t="s">
        <v>75</v>
      </c>
      <c r="I379" t="s">
        <v>2005</v>
      </c>
      <c r="J379" s="1520">
        <v>46116</v>
      </c>
      <c r="K379" s="1520">
        <v>46181</v>
      </c>
      <c r="L379" s="1520">
        <v>46171</v>
      </c>
      <c r="M379" s="1520">
        <v>46175</v>
      </c>
      <c r="N379" t="s">
        <v>973</v>
      </c>
      <c r="O379" s="1520">
        <v>46188</v>
      </c>
      <c r="P379" s="1520">
        <v>46183</v>
      </c>
    </row>
    <row r="380" spans="1:16">
      <c r="A380" t="s">
        <v>1947</v>
      </c>
      <c r="B380" t="s">
        <v>64</v>
      </c>
      <c r="C380" t="s">
        <v>450</v>
      </c>
      <c r="D380" t="s">
        <v>70</v>
      </c>
      <c r="E380" t="s">
        <v>1151</v>
      </c>
      <c r="F380" t="s">
        <v>421</v>
      </c>
      <c r="G380">
        <v>1728</v>
      </c>
      <c r="H380" t="s">
        <v>75</v>
      </c>
      <c r="I380" t="s">
        <v>1948</v>
      </c>
      <c r="J380" s="1520">
        <v>46118</v>
      </c>
      <c r="K380" s="1520">
        <v>46155</v>
      </c>
      <c r="L380" s="1520">
        <v>46166</v>
      </c>
      <c r="M380" s="1520">
        <v>46167</v>
      </c>
      <c r="N380" t="s">
        <v>973</v>
      </c>
      <c r="O380" s="1520">
        <v>46181</v>
      </c>
      <c r="P380" s="1520">
        <v>46174</v>
      </c>
    </row>
    <row r="381" spans="1:16">
      <c r="A381" t="s">
        <v>1956</v>
      </c>
      <c r="B381" t="s">
        <v>144</v>
      </c>
      <c r="C381" t="s">
        <v>145</v>
      </c>
      <c r="D381" t="s">
        <v>70</v>
      </c>
      <c r="E381" t="s">
        <v>1806</v>
      </c>
      <c r="F381" t="s">
        <v>1807</v>
      </c>
      <c r="G381">
        <v>3564</v>
      </c>
      <c r="H381" t="s">
        <v>75</v>
      </c>
      <c r="I381" t="s">
        <v>1959</v>
      </c>
      <c r="J381" s="1520">
        <v>46117</v>
      </c>
      <c r="K381" s="1520">
        <v>46154</v>
      </c>
      <c r="L381" s="1520">
        <v>46164</v>
      </c>
      <c r="M381" s="1520">
        <v>46164</v>
      </c>
      <c r="N381" t="s">
        <v>973</v>
      </c>
      <c r="O381" s="1520">
        <v>46154</v>
      </c>
      <c r="P381" s="1520">
        <v>46164</v>
      </c>
    </row>
    <row r="382" spans="1:16">
      <c r="A382" t="s">
        <v>1963</v>
      </c>
      <c r="B382" t="s">
        <v>144</v>
      </c>
      <c r="C382" t="s">
        <v>145</v>
      </c>
      <c r="D382" t="s">
        <v>70</v>
      </c>
      <c r="E382" t="s">
        <v>1806</v>
      </c>
      <c r="F382" t="s">
        <v>1807</v>
      </c>
      <c r="G382">
        <v>1188</v>
      </c>
      <c r="H382" t="s">
        <v>75</v>
      </c>
      <c r="I382" t="s">
        <v>1965</v>
      </c>
      <c r="J382" s="1520">
        <v>46117</v>
      </c>
      <c r="K382" s="1520">
        <v>46154</v>
      </c>
      <c r="L382" s="1520">
        <v>46164</v>
      </c>
      <c r="M382" s="1520">
        <v>46164</v>
      </c>
      <c r="N382" t="s">
        <v>973</v>
      </c>
      <c r="O382" s="1520">
        <v>46154</v>
      </c>
      <c r="P382" s="1520">
        <v>46164</v>
      </c>
    </row>
    <row r="383" spans="1:16">
      <c r="A383" t="s">
        <v>1942</v>
      </c>
      <c r="B383" t="s">
        <v>144</v>
      </c>
      <c r="C383" t="s">
        <v>145</v>
      </c>
      <c r="D383" t="s">
        <v>70</v>
      </c>
      <c r="E383" t="s">
        <v>71</v>
      </c>
      <c r="F383" t="s">
        <v>72</v>
      </c>
      <c r="G383">
        <v>2592</v>
      </c>
      <c r="H383" t="s">
        <v>75</v>
      </c>
      <c r="I383" t="s">
        <v>1943</v>
      </c>
      <c r="J383" s="1520">
        <v>46120</v>
      </c>
      <c r="K383" s="1520">
        <v>46169</v>
      </c>
      <c r="L383" s="1520">
        <v>46169</v>
      </c>
      <c r="M383" s="1520">
        <v>46169</v>
      </c>
      <c r="N383" t="s">
        <v>973</v>
      </c>
      <c r="O383" s="1520">
        <v>46183</v>
      </c>
      <c r="P383" s="1520">
        <v>46169</v>
      </c>
    </row>
    <row r="384" spans="1:16">
      <c r="A384" t="s">
        <v>1968</v>
      </c>
      <c r="B384" t="s">
        <v>144</v>
      </c>
      <c r="C384" t="s">
        <v>145</v>
      </c>
      <c r="D384" t="s">
        <v>70</v>
      </c>
      <c r="E384" t="s">
        <v>1806</v>
      </c>
      <c r="F384" t="s">
        <v>1807</v>
      </c>
      <c r="G384">
        <v>1782</v>
      </c>
      <c r="H384" t="s">
        <v>75</v>
      </c>
      <c r="I384" t="s">
        <v>1969</v>
      </c>
      <c r="J384" s="1520">
        <v>46117</v>
      </c>
      <c r="K384" s="1520">
        <v>46154</v>
      </c>
      <c r="L384" s="1520">
        <v>46164</v>
      </c>
      <c r="M384" s="1520">
        <v>46164</v>
      </c>
      <c r="N384" t="s">
        <v>973</v>
      </c>
      <c r="O384" s="1520">
        <v>46168</v>
      </c>
      <c r="P384" s="1520">
        <v>46164</v>
      </c>
    </row>
    <row r="385" spans="1:16">
      <c r="A385" t="s">
        <v>1970</v>
      </c>
      <c r="B385" t="s">
        <v>144</v>
      </c>
      <c r="C385" t="s">
        <v>145</v>
      </c>
      <c r="D385" t="s">
        <v>70</v>
      </c>
      <c r="E385" t="s">
        <v>1806</v>
      </c>
      <c r="F385" t="s">
        <v>1807</v>
      </c>
      <c r="G385">
        <v>594</v>
      </c>
      <c r="H385" t="s">
        <v>75</v>
      </c>
      <c r="I385" t="s">
        <v>1971</v>
      </c>
      <c r="J385" s="1520">
        <v>46116</v>
      </c>
      <c r="K385" s="1520">
        <v>46158</v>
      </c>
      <c r="L385" s="1520">
        <v>46159</v>
      </c>
      <c r="M385" s="1520">
        <v>46159</v>
      </c>
      <c r="N385" t="s">
        <v>973</v>
      </c>
      <c r="O385" s="1520">
        <v>46157</v>
      </c>
      <c r="P385" s="1520">
        <v>46159</v>
      </c>
    </row>
    <row r="386" spans="1:16">
      <c r="A386" t="s">
        <v>1893</v>
      </c>
      <c r="B386" t="s">
        <v>144</v>
      </c>
      <c r="C386" t="s">
        <v>145</v>
      </c>
      <c r="D386" t="s">
        <v>132</v>
      </c>
      <c r="E386" t="s">
        <v>1894</v>
      </c>
      <c r="F386" t="s">
        <v>1895</v>
      </c>
      <c r="G386">
        <v>2640</v>
      </c>
      <c r="H386" t="s">
        <v>75</v>
      </c>
      <c r="I386" t="s">
        <v>2072</v>
      </c>
      <c r="J386" s="1520">
        <v>46122</v>
      </c>
      <c r="K386" s="1520">
        <v>46177</v>
      </c>
      <c r="L386" s="1520">
        <v>46207</v>
      </c>
      <c r="M386" s="1520">
        <v>46207</v>
      </c>
      <c r="N386" t="s">
        <v>973</v>
      </c>
      <c r="O386" s="1520">
        <v>46191</v>
      </c>
      <c r="P386" s="1520">
        <v>46207</v>
      </c>
    </row>
    <row r="387" spans="1:16">
      <c r="A387" t="s">
        <v>2017</v>
      </c>
      <c r="B387" t="s">
        <v>144</v>
      </c>
      <c r="C387" t="s">
        <v>145</v>
      </c>
      <c r="D387" t="s">
        <v>70</v>
      </c>
      <c r="E387" t="s">
        <v>71</v>
      </c>
      <c r="F387" t="s">
        <v>72</v>
      </c>
      <c r="G387">
        <v>3456</v>
      </c>
      <c r="H387" t="s">
        <v>75</v>
      </c>
      <c r="I387" t="s">
        <v>2018</v>
      </c>
      <c r="J387" s="1520">
        <v>46123</v>
      </c>
      <c r="K387" s="1520">
        <v>46177</v>
      </c>
      <c r="L387" s="1520">
        <v>46174</v>
      </c>
      <c r="M387" s="1520">
        <v>46176</v>
      </c>
      <c r="N387" t="s">
        <v>973</v>
      </c>
      <c r="O387" s="1520">
        <v>46195</v>
      </c>
      <c r="P387" s="1520">
        <v>46176</v>
      </c>
    </row>
    <row r="388" spans="1:16">
      <c r="A388" t="s">
        <v>2027</v>
      </c>
      <c r="B388" t="s">
        <v>144</v>
      </c>
      <c r="C388" t="s">
        <v>145</v>
      </c>
      <c r="D388" t="s">
        <v>70</v>
      </c>
      <c r="E388" t="s">
        <v>71</v>
      </c>
      <c r="F388" t="s">
        <v>72</v>
      </c>
      <c r="G388">
        <v>4320</v>
      </c>
      <c r="H388" t="s">
        <v>75</v>
      </c>
      <c r="I388" t="s">
        <v>2030</v>
      </c>
      <c r="J388" s="1520">
        <v>46123</v>
      </c>
      <c r="K388" s="1520">
        <v>46177</v>
      </c>
      <c r="L388" s="1520">
        <v>46174</v>
      </c>
      <c r="M388" s="1520">
        <v>46176</v>
      </c>
      <c r="N388" t="s">
        <v>973</v>
      </c>
      <c r="O388" s="1520">
        <v>46195</v>
      </c>
      <c r="P388" s="1520">
        <v>46176</v>
      </c>
    </row>
    <row r="389" spans="1:16">
      <c r="A389" t="s">
        <v>2023</v>
      </c>
      <c r="B389" t="s">
        <v>144</v>
      </c>
      <c r="C389" t="s">
        <v>145</v>
      </c>
      <c r="D389" t="s">
        <v>70</v>
      </c>
      <c r="E389" t="s">
        <v>71</v>
      </c>
      <c r="F389" t="s">
        <v>72</v>
      </c>
      <c r="G389">
        <v>4320</v>
      </c>
      <c r="H389" t="s">
        <v>75</v>
      </c>
      <c r="I389" t="s">
        <v>2025</v>
      </c>
      <c r="J389" s="1520">
        <v>46123</v>
      </c>
      <c r="K389" s="1520">
        <v>46177</v>
      </c>
      <c r="L389" s="1520">
        <v>46174</v>
      </c>
      <c r="M389" s="1520">
        <v>46176</v>
      </c>
      <c r="N389" t="s">
        <v>973</v>
      </c>
      <c r="O389" s="1520">
        <v>46195</v>
      </c>
      <c r="P389" s="1520">
        <v>46176</v>
      </c>
    </row>
    <row r="390" spans="1:16">
      <c r="A390" t="s">
        <v>2068</v>
      </c>
      <c r="B390" t="s">
        <v>64</v>
      </c>
      <c r="C390" t="s">
        <v>100</v>
      </c>
      <c r="D390" t="s">
        <v>70</v>
      </c>
      <c r="E390" t="s">
        <v>195</v>
      </c>
      <c r="F390" t="s">
        <v>196</v>
      </c>
      <c r="G390">
        <v>936</v>
      </c>
      <c r="H390" t="s">
        <v>75</v>
      </c>
      <c r="I390" t="s">
        <v>2069</v>
      </c>
      <c r="J390" s="1520">
        <v>46124</v>
      </c>
      <c r="K390" s="1520">
        <v>46165</v>
      </c>
      <c r="L390" s="1520">
        <v>46165</v>
      </c>
      <c r="M390" s="1520">
        <v>46166</v>
      </c>
      <c r="N390" t="s">
        <v>973</v>
      </c>
      <c r="O390" s="1520">
        <v>46181</v>
      </c>
      <c r="P390" s="1520">
        <v>46173</v>
      </c>
    </row>
    <row r="391" spans="1:16">
      <c r="A391" t="s">
        <v>2063</v>
      </c>
      <c r="B391" t="s">
        <v>64</v>
      </c>
      <c r="C391" t="s">
        <v>100</v>
      </c>
      <c r="D391" t="s">
        <v>70</v>
      </c>
      <c r="E391" t="s">
        <v>195</v>
      </c>
      <c r="F391" t="s">
        <v>196</v>
      </c>
      <c r="G391">
        <v>936</v>
      </c>
      <c r="H391" t="s">
        <v>75</v>
      </c>
      <c r="I391" t="s">
        <v>2064</v>
      </c>
      <c r="J391" s="1520">
        <v>46124</v>
      </c>
      <c r="K391" s="1520">
        <v>46165</v>
      </c>
      <c r="L391" s="1520">
        <v>46165</v>
      </c>
      <c r="M391" s="1520">
        <v>46166</v>
      </c>
      <c r="N391" t="s">
        <v>973</v>
      </c>
      <c r="O391" s="1520">
        <v>46181</v>
      </c>
      <c r="P391" s="1520">
        <v>46173</v>
      </c>
    </row>
    <row r="392" spans="1:16">
      <c r="A392" t="s">
        <v>1996</v>
      </c>
      <c r="B392" t="s">
        <v>64</v>
      </c>
      <c r="C392" t="s">
        <v>310</v>
      </c>
      <c r="D392" t="s">
        <v>170</v>
      </c>
      <c r="E392" t="s">
        <v>171</v>
      </c>
      <c r="F392" t="s">
        <v>1731</v>
      </c>
      <c r="G392">
        <v>3300</v>
      </c>
      <c r="H392" t="s">
        <v>75</v>
      </c>
      <c r="I392" t="s">
        <v>1998</v>
      </c>
      <c r="J392" s="1520">
        <v>46124</v>
      </c>
      <c r="K392" s="1520">
        <v>46167</v>
      </c>
      <c r="L392" s="1520">
        <v>46182</v>
      </c>
      <c r="M392" s="1520">
        <v>46182</v>
      </c>
      <c r="N392" t="s">
        <v>973</v>
      </c>
      <c r="O392" s="1520">
        <v>46202</v>
      </c>
      <c r="P392" s="1520">
        <v>46192</v>
      </c>
    </row>
    <row r="393" spans="1:16">
      <c r="A393" t="s">
        <v>2048</v>
      </c>
      <c r="B393" t="s">
        <v>144</v>
      </c>
      <c r="C393" t="s">
        <v>145</v>
      </c>
      <c r="D393" t="s">
        <v>70</v>
      </c>
      <c r="E393" t="s">
        <v>1806</v>
      </c>
      <c r="F393" t="s">
        <v>1807</v>
      </c>
      <c r="G393">
        <v>2970</v>
      </c>
      <c r="H393" t="s">
        <v>75</v>
      </c>
      <c r="I393" t="s">
        <v>2049</v>
      </c>
      <c r="J393" s="1520">
        <v>46124</v>
      </c>
      <c r="K393" s="1520">
        <v>46169</v>
      </c>
      <c r="L393" s="1520">
        <v>46172</v>
      </c>
      <c r="M393" s="1520">
        <v>46170</v>
      </c>
      <c r="N393" t="s">
        <v>973</v>
      </c>
      <c r="O393" s="1520">
        <v>46177</v>
      </c>
      <c r="P393" s="1520">
        <v>46170</v>
      </c>
    </row>
    <row r="394" spans="1:16">
      <c r="A394" t="s">
        <v>2031</v>
      </c>
      <c r="B394" t="s">
        <v>64</v>
      </c>
      <c r="C394" t="s">
        <v>450</v>
      </c>
      <c r="D394" t="s">
        <v>70</v>
      </c>
      <c r="E394" t="s">
        <v>1151</v>
      </c>
      <c r="F394" t="s">
        <v>421</v>
      </c>
      <c r="G394">
        <v>3456</v>
      </c>
      <c r="H394" t="s">
        <v>75</v>
      </c>
      <c r="I394" t="s">
        <v>2032</v>
      </c>
      <c r="J394" s="1520">
        <v>46125</v>
      </c>
      <c r="K394" s="1520">
        <v>46171</v>
      </c>
      <c r="L394" s="1520">
        <v>46176</v>
      </c>
      <c r="M394" s="1520">
        <v>46178</v>
      </c>
      <c r="N394" t="s">
        <v>973</v>
      </c>
      <c r="O394" s="1520">
        <v>46192</v>
      </c>
      <c r="P394" s="1520">
        <v>46185</v>
      </c>
    </row>
    <row r="395" spans="1:16">
      <c r="A395" t="s">
        <v>2037</v>
      </c>
      <c r="B395" t="s">
        <v>64</v>
      </c>
      <c r="C395" t="s">
        <v>450</v>
      </c>
      <c r="D395" t="s">
        <v>70</v>
      </c>
      <c r="E395" t="s">
        <v>195</v>
      </c>
      <c r="F395" t="s">
        <v>196</v>
      </c>
      <c r="G395">
        <v>1872</v>
      </c>
      <c r="H395" t="s">
        <v>75</v>
      </c>
      <c r="I395" t="s">
        <v>2039</v>
      </c>
      <c r="J395" s="1520">
        <v>46125</v>
      </c>
      <c r="K395" s="1520">
        <v>46171</v>
      </c>
      <c r="L395" s="1520">
        <v>46176</v>
      </c>
      <c r="M395" s="1520">
        <v>46178</v>
      </c>
      <c r="N395" t="s">
        <v>973</v>
      </c>
      <c r="O395" s="1520">
        <v>46192</v>
      </c>
      <c r="P395" s="1520">
        <v>46185</v>
      </c>
    </row>
    <row r="396" spans="1:16">
      <c r="A396" t="s">
        <v>2076</v>
      </c>
      <c r="B396" t="s">
        <v>64</v>
      </c>
      <c r="C396" t="s">
        <v>310</v>
      </c>
      <c r="D396" t="s">
        <v>170</v>
      </c>
      <c r="E396" t="s">
        <v>171</v>
      </c>
      <c r="F396" t="s">
        <v>1731</v>
      </c>
      <c r="G396">
        <v>2640</v>
      </c>
      <c r="H396" t="s">
        <v>75</v>
      </c>
      <c r="I396" t="s">
        <v>2078</v>
      </c>
      <c r="J396" s="1520">
        <v>46122</v>
      </c>
      <c r="K396" s="1520">
        <v>46169</v>
      </c>
      <c r="L396" s="1520">
        <v>46169</v>
      </c>
      <c r="M396" s="1520">
        <v>46175</v>
      </c>
      <c r="N396" t="s">
        <v>973</v>
      </c>
      <c r="O396" s="1520">
        <v>46190</v>
      </c>
      <c r="P396" s="1520">
        <v>46185</v>
      </c>
    </row>
    <row r="397" spans="1:16">
      <c r="A397" t="s">
        <v>2043</v>
      </c>
      <c r="B397" t="s">
        <v>64</v>
      </c>
      <c r="C397" t="s">
        <v>450</v>
      </c>
      <c r="D397" t="s">
        <v>70</v>
      </c>
      <c r="E397" t="s">
        <v>1151</v>
      </c>
      <c r="F397" t="s">
        <v>421</v>
      </c>
      <c r="G397">
        <v>4320</v>
      </c>
      <c r="H397" t="s">
        <v>75</v>
      </c>
      <c r="I397" t="s">
        <v>2044</v>
      </c>
      <c r="J397" s="1520">
        <v>46124</v>
      </c>
      <c r="K397" s="1520">
        <v>46165</v>
      </c>
      <c r="L397" s="1520">
        <v>46165</v>
      </c>
      <c r="M397" s="1520">
        <v>46168</v>
      </c>
      <c r="N397" t="s">
        <v>973</v>
      </c>
      <c r="O397" s="1520">
        <v>46181</v>
      </c>
      <c r="P397" s="1520">
        <v>46175</v>
      </c>
    </row>
    <row r="398" spans="1:16">
      <c r="A398" t="s">
        <v>2093</v>
      </c>
      <c r="B398" t="s">
        <v>64</v>
      </c>
      <c r="C398" t="s">
        <v>65</v>
      </c>
      <c r="D398" t="s">
        <v>70</v>
      </c>
      <c r="E398" t="s">
        <v>91</v>
      </c>
      <c r="F398" t="s">
        <v>92</v>
      </c>
      <c r="G398">
        <v>936</v>
      </c>
      <c r="H398" t="s">
        <v>75</v>
      </c>
      <c r="I398" t="s">
        <v>2094</v>
      </c>
      <c r="J398" s="1520">
        <v>46123</v>
      </c>
      <c r="K398" s="1520">
        <v>46175</v>
      </c>
      <c r="L398" s="1520">
        <v>46174</v>
      </c>
      <c r="M398" s="1520">
        <v>46175</v>
      </c>
      <c r="N398" t="s">
        <v>973</v>
      </c>
      <c r="O398" s="1520">
        <v>46189</v>
      </c>
      <c r="P398" s="1520">
        <v>46185</v>
      </c>
    </row>
    <row r="399" spans="1:16">
      <c r="A399" t="s">
        <v>2086</v>
      </c>
      <c r="B399" t="s">
        <v>64</v>
      </c>
      <c r="C399" t="s">
        <v>65</v>
      </c>
      <c r="D399" t="s">
        <v>70</v>
      </c>
      <c r="E399" t="s">
        <v>706</v>
      </c>
      <c r="F399" t="s">
        <v>707</v>
      </c>
      <c r="G399">
        <v>3456</v>
      </c>
      <c r="H399" t="s">
        <v>75</v>
      </c>
      <c r="I399" t="s">
        <v>2089</v>
      </c>
      <c r="J399" s="1520">
        <v>46123</v>
      </c>
      <c r="K399" s="1520">
        <v>46188</v>
      </c>
      <c r="L399" s="1520">
        <v>46193</v>
      </c>
      <c r="M399" s="1520">
        <v>46195</v>
      </c>
      <c r="N399" t="s">
        <v>973</v>
      </c>
      <c r="O399" s="1520">
        <v>46206</v>
      </c>
      <c r="P399" s="1520">
        <v>46203</v>
      </c>
    </row>
    <row r="400" spans="1:16">
      <c r="A400" t="s">
        <v>2081</v>
      </c>
      <c r="B400" t="s">
        <v>64</v>
      </c>
      <c r="C400" t="s">
        <v>310</v>
      </c>
      <c r="D400" t="s">
        <v>170</v>
      </c>
      <c r="E400" t="s">
        <v>171</v>
      </c>
      <c r="F400" t="s">
        <v>1731</v>
      </c>
      <c r="G400">
        <v>660</v>
      </c>
      <c r="H400" t="s">
        <v>75</v>
      </c>
      <c r="I400" t="s">
        <v>2083</v>
      </c>
      <c r="J400" s="1520">
        <v>46122</v>
      </c>
      <c r="K400" s="1520">
        <v>46166</v>
      </c>
      <c r="L400" s="1520">
        <v>46174</v>
      </c>
      <c r="M400" s="1520">
        <v>46174</v>
      </c>
      <c r="N400" t="s">
        <v>973</v>
      </c>
      <c r="O400" s="1520">
        <v>46189</v>
      </c>
      <c r="P400" s="1520">
        <v>46184</v>
      </c>
    </row>
    <row r="401" spans="1:16">
      <c r="A401" t="s">
        <v>1990</v>
      </c>
      <c r="B401" t="s">
        <v>64</v>
      </c>
      <c r="C401" t="s">
        <v>65</v>
      </c>
      <c r="D401" t="s">
        <v>170</v>
      </c>
      <c r="E401" t="s">
        <v>1977</v>
      </c>
      <c r="F401" t="s">
        <v>1978</v>
      </c>
      <c r="G401">
        <v>3267</v>
      </c>
      <c r="H401" t="s">
        <v>75</v>
      </c>
      <c r="I401" t="s">
        <v>1992</v>
      </c>
      <c r="J401" s="1520">
        <v>46119</v>
      </c>
      <c r="K401" s="1520">
        <v>46168</v>
      </c>
      <c r="L401" s="1520">
        <v>46166</v>
      </c>
      <c r="M401" s="1520">
        <v>46164</v>
      </c>
      <c r="N401" t="s">
        <v>973</v>
      </c>
      <c r="O401" s="1520">
        <v>46178</v>
      </c>
      <c r="P401" s="1520">
        <v>46172</v>
      </c>
    </row>
    <row r="402" spans="1:16">
      <c r="A402" t="s">
        <v>2166</v>
      </c>
      <c r="B402" t="s">
        <v>64</v>
      </c>
      <c r="C402" t="s">
        <v>65</v>
      </c>
      <c r="D402" t="s">
        <v>70</v>
      </c>
      <c r="E402" t="s">
        <v>706</v>
      </c>
      <c r="F402" t="s">
        <v>707</v>
      </c>
      <c r="G402">
        <v>864</v>
      </c>
      <c r="H402" t="s">
        <v>75</v>
      </c>
      <c r="I402" t="s">
        <v>2167</v>
      </c>
      <c r="J402" s="1520">
        <v>46129</v>
      </c>
      <c r="K402" s="1520">
        <v>46182</v>
      </c>
      <c r="L402" s="1520">
        <v>46183</v>
      </c>
      <c r="M402" s="1520">
        <v>46182</v>
      </c>
      <c r="N402" t="s">
        <v>973</v>
      </c>
      <c r="O402" s="1520">
        <v>46198</v>
      </c>
      <c r="P402" s="1520">
        <v>46192</v>
      </c>
    </row>
    <row r="403" spans="1:16">
      <c r="A403" t="s">
        <v>2177</v>
      </c>
      <c r="B403" t="s">
        <v>64</v>
      </c>
      <c r="C403" t="s">
        <v>65</v>
      </c>
      <c r="D403" t="s">
        <v>70</v>
      </c>
      <c r="E403" t="s">
        <v>691</v>
      </c>
      <c r="F403" t="s">
        <v>692</v>
      </c>
      <c r="G403">
        <v>1728</v>
      </c>
      <c r="H403" t="s">
        <v>75</v>
      </c>
      <c r="I403" t="s">
        <v>2178</v>
      </c>
      <c r="J403" s="1520">
        <v>46129</v>
      </c>
      <c r="K403" s="1520">
        <v>46189</v>
      </c>
      <c r="L403" s="1520">
        <v>46184</v>
      </c>
      <c r="M403" s="1520">
        <v>46184</v>
      </c>
      <c r="N403" t="s">
        <v>973</v>
      </c>
      <c r="O403" s="1520">
        <v>46197</v>
      </c>
      <c r="P403" s="1520">
        <v>46192</v>
      </c>
    </row>
    <row r="404" spans="1:16">
      <c r="A404" t="s">
        <v>2164</v>
      </c>
      <c r="B404" t="s">
        <v>64</v>
      </c>
      <c r="C404" t="s">
        <v>65</v>
      </c>
      <c r="D404" t="s">
        <v>70</v>
      </c>
      <c r="E404" t="s">
        <v>91</v>
      </c>
      <c r="F404" t="s">
        <v>92</v>
      </c>
      <c r="G404">
        <v>1872</v>
      </c>
      <c r="H404" t="s">
        <v>75</v>
      </c>
      <c r="I404" t="s">
        <v>2165</v>
      </c>
      <c r="J404" s="1520">
        <v>46131</v>
      </c>
      <c r="K404" s="1520">
        <v>46182</v>
      </c>
      <c r="L404" s="1520">
        <v>46196</v>
      </c>
      <c r="M404" s="1520">
        <v>46190</v>
      </c>
      <c r="N404" t="s">
        <v>973</v>
      </c>
      <c r="O404" s="1520">
        <v>46204</v>
      </c>
      <c r="P404" s="1520">
        <v>46200</v>
      </c>
    </row>
    <row r="405" spans="1:16">
      <c r="A405" t="s">
        <v>2160</v>
      </c>
      <c r="B405" t="s">
        <v>64</v>
      </c>
      <c r="C405" t="s">
        <v>65</v>
      </c>
      <c r="D405" t="s">
        <v>70</v>
      </c>
      <c r="E405" t="s">
        <v>91</v>
      </c>
      <c r="F405" t="s">
        <v>92</v>
      </c>
      <c r="G405">
        <v>7488</v>
      </c>
      <c r="H405" t="s">
        <v>75</v>
      </c>
      <c r="I405" t="s">
        <v>2161</v>
      </c>
      <c r="J405" s="1520">
        <v>46131</v>
      </c>
      <c r="K405" s="1520">
        <v>46182</v>
      </c>
      <c r="L405" s="1520">
        <v>46196</v>
      </c>
      <c r="M405" s="1520">
        <v>46190</v>
      </c>
      <c r="N405" t="s">
        <v>973</v>
      </c>
      <c r="O405" s="1520">
        <v>46204</v>
      </c>
      <c r="P405" s="1520">
        <v>46200</v>
      </c>
    </row>
    <row r="406" spans="1:16">
      <c r="A406" t="s">
        <v>2146</v>
      </c>
      <c r="B406" t="s">
        <v>64</v>
      </c>
      <c r="C406" t="s">
        <v>310</v>
      </c>
      <c r="D406" t="s">
        <v>170</v>
      </c>
      <c r="E406" t="s">
        <v>1977</v>
      </c>
      <c r="F406" t="s">
        <v>1978</v>
      </c>
      <c r="G406">
        <v>1320</v>
      </c>
      <c r="H406" t="s">
        <v>75</v>
      </c>
      <c r="I406" t="s">
        <v>2148</v>
      </c>
      <c r="J406" s="1520">
        <v>46129</v>
      </c>
      <c r="K406" s="1520">
        <v>46176</v>
      </c>
      <c r="L406" s="1520">
        <v>46182</v>
      </c>
      <c r="M406" s="1520">
        <v>46182</v>
      </c>
      <c r="N406" t="s">
        <v>973</v>
      </c>
      <c r="O406" s="1520">
        <v>46196</v>
      </c>
      <c r="P406" s="1520">
        <v>46192</v>
      </c>
    </row>
    <row r="407" spans="1:16">
      <c r="A407" t="s">
        <v>2141</v>
      </c>
      <c r="B407" t="s">
        <v>64</v>
      </c>
      <c r="C407" t="s">
        <v>310</v>
      </c>
      <c r="D407" t="s">
        <v>170</v>
      </c>
      <c r="E407" t="s">
        <v>171</v>
      </c>
      <c r="F407" t="s">
        <v>1731</v>
      </c>
      <c r="G407">
        <v>3960</v>
      </c>
      <c r="H407" t="s">
        <v>75</v>
      </c>
      <c r="I407" t="s">
        <v>2142</v>
      </c>
      <c r="J407" s="1520">
        <v>46129</v>
      </c>
      <c r="K407" s="1520">
        <v>46176</v>
      </c>
      <c r="L407" s="1520">
        <v>46182</v>
      </c>
      <c r="M407" s="1520">
        <v>46182</v>
      </c>
      <c r="N407" t="s">
        <v>973</v>
      </c>
      <c r="O407" s="1520">
        <v>46196</v>
      </c>
      <c r="P407" s="1520">
        <v>46192</v>
      </c>
    </row>
    <row r="408" spans="1:16">
      <c r="A408" t="s">
        <v>2131</v>
      </c>
      <c r="B408" t="s">
        <v>64</v>
      </c>
      <c r="C408" t="s">
        <v>100</v>
      </c>
      <c r="D408" t="s">
        <v>550</v>
      </c>
      <c r="E408" t="s">
        <v>2134</v>
      </c>
      <c r="F408" t="s">
        <v>2135</v>
      </c>
      <c r="G408">
        <v>792</v>
      </c>
      <c r="H408" t="s">
        <v>75</v>
      </c>
      <c r="I408" t="s">
        <v>2137</v>
      </c>
      <c r="J408" s="1520">
        <v>46131</v>
      </c>
      <c r="K408" s="1520">
        <v>46172</v>
      </c>
      <c r="L408" s="1520">
        <v>46175</v>
      </c>
      <c r="M408" s="1520">
        <v>46175</v>
      </c>
      <c r="N408" t="s">
        <v>973</v>
      </c>
      <c r="O408" s="1520">
        <v>46189</v>
      </c>
      <c r="P408" s="1520">
        <v>46182</v>
      </c>
    </row>
    <row r="409" spans="1:16">
      <c r="A409" t="s">
        <v>2116</v>
      </c>
      <c r="B409" t="s">
        <v>144</v>
      </c>
      <c r="C409" t="s">
        <v>145</v>
      </c>
      <c r="D409" t="s">
        <v>70</v>
      </c>
      <c r="E409" t="s">
        <v>195</v>
      </c>
      <c r="F409" t="s">
        <v>196</v>
      </c>
      <c r="G409">
        <v>4680</v>
      </c>
      <c r="H409" t="s">
        <v>75</v>
      </c>
      <c r="I409" t="s">
        <v>2117</v>
      </c>
      <c r="J409" s="1520">
        <v>46131</v>
      </c>
      <c r="K409" s="1520">
        <v>46192</v>
      </c>
      <c r="L409" s="1520">
        <v>46188</v>
      </c>
      <c r="M409" s="1520">
        <v>46190</v>
      </c>
      <c r="N409" t="s">
        <v>973</v>
      </c>
      <c r="O409" s="1520">
        <v>46192</v>
      </c>
      <c r="P409" s="1520">
        <v>46190</v>
      </c>
    </row>
    <row r="410" spans="1:16">
      <c r="A410" t="s">
        <v>2111</v>
      </c>
      <c r="B410" t="s">
        <v>144</v>
      </c>
      <c r="C410" t="s">
        <v>145</v>
      </c>
      <c r="D410" t="s">
        <v>70</v>
      </c>
      <c r="E410" t="s">
        <v>195</v>
      </c>
      <c r="F410" t="s">
        <v>196</v>
      </c>
      <c r="G410">
        <v>936</v>
      </c>
      <c r="H410" t="s">
        <v>75</v>
      </c>
      <c r="I410" t="s">
        <v>2112</v>
      </c>
      <c r="J410" s="1520">
        <v>46131</v>
      </c>
      <c r="K410" s="1520">
        <v>46192</v>
      </c>
      <c r="L410" s="1520">
        <v>46188</v>
      </c>
      <c r="M410" s="1520">
        <v>46190</v>
      </c>
      <c r="N410" t="s">
        <v>973</v>
      </c>
      <c r="O410" s="1520">
        <v>46192</v>
      </c>
      <c r="P410" s="1520">
        <v>46190</v>
      </c>
    </row>
    <row r="411" spans="1:16">
      <c r="A411" t="s">
        <v>2109</v>
      </c>
      <c r="B411" t="s">
        <v>64</v>
      </c>
      <c r="C411" t="s">
        <v>65</v>
      </c>
      <c r="D411" t="s">
        <v>70</v>
      </c>
      <c r="E411" t="s">
        <v>204</v>
      </c>
      <c r="F411" t="s">
        <v>205</v>
      </c>
      <c r="G411">
        <v>5616</v>
      </c>
      <c r="H411" t="s">
        <v>75</v>
      </c>
      <c r="I411" t="s">
        <v>2110</v>
      </c>
      <c r="J411" s="1520">
        <v>46131</v>
      </c>
      <c r="K411" s="1520">
        <v>46182</v>
      </c>
      <c r="L411" s="1520">
        <v>46196</v>
      </c>
      <c r="M411" s="1520">
        <v>46190</v>
      </c>
      <c r="N411" t="s">
        <v>973</v>
      </c>
      <c r="O411" s="1520">
        <v>46203</v>
      </c>
      <c r="P411" s="1520">
        <v>46200</v>
      </c>
    </row>
    <row r="412" spans="1:16">
      <c r="A412" t="s">
        <v>2104</v>
      </c>
      <c r="B412" t="s">
        <v>64</v>
      </c>
      <c r="C412" t="s">
        <v>65</v>
      </c>
      <c r="D412" t="s">
        <v>70</v>
      </c>
      <c r="E412" t="s">
        <v>204</v>
      </c>
      <c r="F412" t="s">
        <v>205</v>
      </c>
      <c r="G412">
        <v>3744</v>
      </c>
      <c r="H412" t="s">
        <v>75</v>
      </c>
      <c r="I412" t="s">
        <v>2105</v>
      </c>
      <c r="J412" s="1520">
        <v>46131</v>
      </c>
      <c r="K412" s="1520">
        <v>46182</v>
      </c>
      <c r="L412" s="1520">
        <v>46196</v>
      </c>
      <c r="M412" s="1520">
        <v>46190</v>
      </c>
      <c r="N412" t="s">
        <v>973</v>
      </c>
      <c r="O412" s="1520">
        <v>46203</v>
      </c>
      <c r="P412" s="1520">
        <v>46200</v>
      </c>
    </row>
    <row r="413" spans="1:16">
      <c r="A413" t="s">
        <v>1148</v>
      </c>
      <c r="B413" t="s">
        <v>64</v>
      </c>
      <c r="C413" t="s">
        <v>100</v>
      </c>
      <c r="D413" t="s">
        <v>70</v>
      </c>
      <c r="E413" t="s">
        <v>1151</v>
      </c>
      <c r="F413" t="s">
        <v>421</v>
      </c>
      <c r="G413">
        <v>2592</v>
      </c>
      <c r="H413" t="s">
        <v>75</v>
      </c>
      <c r="I413" t="s">
        <v>1152</v>
      </c>
      <c r="J413" s="1520">
        <v>46084</v>
      </c>
      <c r="K413" s="1520">
        <v>46126</v>
      </c>
      <c r="L413" s="1520">
        <v>46142</v>
      </c>
      <c r="M413" s="1520">
        <v>46141</v>
      </c>
      <c r="N413" t="s">
        <v>973</v>
      </c>
      <c r="O413" s="1520">
        <v>46153</v>
      </c>
      <c r="P413" s="1520">
        <v>46148</v>
      </c>
    </row>
    <row r="414" spans="1:16">
      <c r="A414" t="s">
        <v>1279</v>
      </c>
      <c r="B414" t="s">
        <v>144</v>
      </c>
      <c r="C414" t="s">
        <v>145</v>
      </c>
      <c r="D414" t="s">
        <v>70</v>
      </c>
      <c r="E414" t="s">
        <v>195</v>
      </c>
      <c r="F414" t="s">
        <v>196</v>
      </c>
      <c r="G414">
        <v>1872</v>
      </c>
      <c r="H414" t="s">
        <v>75</v>
      </c>
      <c r="I414" t="s">
        <v>1282</v>
      </c>
      <c r="J414" s="1520">
        <v>46088</v>
      </c>
      <c r="K414" s="1520">
        <v>46133</v>
      </c>
      <c r="L414" s="1520">
        <v>46142</v>
      </c>
      <c r="M414" s="1520">
        <v>46141</v>
      </c>
      <c r="N414" t="s">
        <v>973</v>
      </c>
      <c r="O414" s="1520">
        <v>46146</v>
      </c>
      <c r="P414" s="1520">
        <v>46141</v>
      </c>
    </row>
    <row r="415" spans="1:16">
      <c r="A415" t="s">
        <v>1380</v>
      </c>
      <c r="B415" t="s">
        <v>144</v>
      </c>
      <c r="C415" t="s">
        <v>145</v>
      </c>
      <c r="D415" t="s">
        <v>70</v>
      </c>
      <c r="E415" t="s">
        <v>195</v>
      </c>
      <c r="F415" t="s">
        <v>196</v>
      </c>
      <c r="G415">
        <v>1872</v>
      </c>
      <c r="H415" t="s">
        <v>75</v>
      </c>
      <c r="I415" t="s">
        <v>1383</v>
      </c>
      <c r="J415" s="1520">
        <v>46088</v>
      </c>
      <c r="K415" s="1520">
        <v>46133</v>
      </c>
      <c r="L415" s="1520">
        <v>46142</v>
      </c>
      <c r="M415" s="1520">
        <v>46141</v>
      </c>
      <c r="N415" t="s">
        <v>973</v>
      </c>
      <c r="O415" s="1520">
        <v>46146</v>
      </c>
      <c r="P415" s="1520">
        <v>46141</v>
      </c>
    </row>
    <row r="416" spans="1:16">
      <c r="A416" t="s">
        <v>1389</v>
      </c>
      <c r="B416" t="s">
        <v>144</v>
      </c>
      <c r="C416" t="s">
        <v>145</v>
      </c>
      <c r="D416" t="s">
        <v>70</v>
      </c>
      <c r="E416" t="s">
        <v>195</v>
      </c>
      <c r="F416" t="s">
        <v>196</v>
      </c>
      <c r="G416">
        <v>4680</v>
      </c>
      <c r="H416" t="s">
        <v>75</v>
      </c>
      <c r="I416" t="s">
        <v>1383</v>
      </c>
      <c r="J416" s="1520">
        <v>46088</v>
      </c>
      <c r="K416" s="1520">
        <v>46133</v>
      </c>
      <c r="L416" s="1520">
        <v>46142</v>
      </c>
      <c r="M416" s="1520">
        <v>46141</v>
      </c>
      <c r="N416" t="s">
        <v>973</v>
      </c>
      <c r="O416" s="1520">
        <v>46146</v>
      </c>
      <c r="P416" s="1520">
        <v>46141</v>
      </c>
    </row>
    <row r="417" spans="1:16">
      <c r="A417" t="s">
        <v>1268</v>
      </c>
      <c r="B417" t="s">
        <v>144</v>
      </c>
      <c r="C417" t="s">
        <v>145</v>
      </c>
      <c r="D417" t="s">
        <v>70</v>
      </c>
      <c r="E417" t="s">
        <v>195</v>
      </c>
      <c r="F417" t="s">
        <v>196</v>
      </c>
      <c r="G417">
        <v>1872</v>
      </c>
      <c r="H417" t="s">
        <v>75</v>
      </c>
      <c r="I417" t="s">
        <v>1272</v>
      </c>
      <c r="J417" s="1520">
        <v>46088</v>
      </c>
      <c r="K417" s="1520">
        <v>46133</v>
      </c>
      <c r="L417" s="1520">
        <v>46142</v>
      </c>
      <c r="M417" s="1520">
        <v>46141</v>
      </c>
      <c r="N417" t="s">
        <v>973</v>
      </c>
      <c r="O417" s="1520">
        <v>46146</v>
      </c>
      <c r="P417" s="1520">
        <v>46141</v>
      </c>
    </row>
    <row r="418" spans="1:16">
      <c r="A418" t="s">
        <v>254</v>
      </c>
      <c r="B418" t="s">
        <v>64</v>
      </c>
      <c r="C418" t="s">
        <v>100</v>
      </c>
      <c r="D418" t="s">
        <v>132</v>
      </c>
      <c r="E418" t="s">
        <v>189</v>
      </c>
      <c r="F418" t="s">
        <v>190</v>
      </c>
      <c r="G418">
        <v>864</v>
      </c>
      <c r="H418" t="s">
        <v>75</v>
      </c>
      <c r="I418" t="s">
        <v>255</v>
      </c>
      <c r="J418" s="1520">
        <v>46031</v>
      </c>
      <c r="K418" s="1520">
        <v>46080</v>
      </c>
      <c r="L418" s="1520">
        <v>46111</v>
      </c>
      <c r="M418" s="1520">
        <v>46111</v>
      </c>
      <c r="N418" t="s">
        <v>84</v>
      </c>
      <c r="O418" s="1520">
        <v>46146</v>
      </c>
      <c r="P418" s="1520">
        <v>46118</v>
      </c>
    </row>
    <row r="419" spans="1:16">
      <c r="A419" t="s">
        <v>2097</v>
      </c>
      <c r="B419" t="s">
        <v>64</v>
      </c>
      <c r="C419" t="s">
        <v>65</v>
      </c>
      <c r="D419" t="s">
        <v>70</v>
      </c>
      <c r="E419" t="s">
        <v>706</v>
      </c>
      <c r="F419" t="s">
        <v>707</v>
      </c>
      <c r="G419">
        <v>864</v>
      </c>
      <c r="H419" t="s">
        <v>75</v>
      </c>
      <c r="I419" t="s">
        <v>2098</v>
      </c>
      <c r="J419" s="1520">
        <v>46128</v>
      </c>
      <c r="K419" s="1520">
        <v>46182</v>
      </c>
      <c r="L419" s="1520">
        <v>46196</v>
      </c>
      <c r="M419" s="1520">
        <v>46203</v>
      </c>
      <c r="N419" t="s">
        <v>973</v>
      </c>
      <c r="O419" s="1520">
        <v>46210</v>
      </c>
      <c r="P419" s="1520">
        <v>46213</v>
      </c>
    </row>
    <row r="420" spans="1:16">
      <c r="A420" t="s">
        <v>2102</v>
      </c>
      <c r="B420" t="s">
        <v>64</v>
      </c>
      <c r="C420" t="s">
        <v>65</v>
      </c>
      <c r="D420" t="s">
        <v>70</v>
      </c>
      <c r="E420" t="s">
        <v>91</v>
      </c>
      <c r="F420" t="s">
        <v>92</v>
      </c>
      <c r="G420">
        <v>0</v>
      </c>
      <c r="H420" t="s">
        <v>75</v>
      </c>
      <c r="I420" t="s">
        <v>2103</v>
      </c>
      <c r="J420" s="1520">
        <v>46128</v>
      </c>
      <c r="K420" s="1520">
        <v>46182</v>
      </c>
      <c r="L420" s="1520">
        <v>46196</v>
      </c>
      <c r="M420" s="1520">
        <v>46203</v>
      </c>
      <c r="N420" t="s">
        <v>973</v>
      </c>
      <c r="O420" s="1520">
        <v>46209</v>
      </c>
      <c r="P420" s="1520">
        <v>46213</v>
      </c>
    </row>
    <row r="421" spans="1:16">
      <c r="A421" t="s">
        <v>2171</v>
      </c>
      <c r="B421" t="s">
        <v>64</v>
      </c>
      <c r="C421" t="s">
        <v>65</v>
      </c>
      <c r="D421" t="s">
        <v>70</v>
      </c>
      <c r="E421" t="s">
        <v>691</v>
      </c>
      <c r="F421" t="s">
        <v>692</v>
      </c>
      <c r="G421">
        <v>3456</v>
      </c>
      <c r="H421" t="s">
        <v>75</v>
      </c>
      <c r="I421" t="s">
        <v>2173</v>
      </c>
      <c r="J421" s="1520">
        <v>46133</v>
      </c>
      <c r="K421" s="1520">
        <v>46195</v>
      </c>
      <c r="L421" s="1520">
        <v>46200</v>
      </c>
      <c r="M421" s="1520">
        <v>46203</v>
      </c>
      <c r="N421" t="s">
        <v>973</v>
      </c>
      <c r="O421" s="1520">
        <v>46216</v>
      </c>
      <c r="P421" s="1520">
        <v>46211</v>
      </c>
    </row>
    <row r="422" spans="1:16">
      <c r="A422" t="s">
        <v>1155</v>
      </c>
      <c r="B422" t="s">
        <v>144</v>
      </c>
      <c r="C422" t="s">
        <v>145</v>
      </c>
      <c r="D422" t="s">
        <v>70</v>
      </c>
      <c r="E422" t="s">
        <v>1151</v>
      </c>
      <c r="F422" t="s">
        <v>421</v>
      </c>
      <c r="G422">
        <v>1728</v>
      </c>
      <c r="H422" t="s">
        <v>75</v>
      </c>
      <c r="I422" t="s">
        <v>1159</v>
      </c>
      <c r="J422" s="1520">
        <v>46084</v>
      </c>
      <c r="K422" s="1520">
        <v>46126</v>
      </c>
      <c r="L422" s="1520">
        <v>46142</v>
      </c>
      <c r="M422" s="1520">
        <v>46141</v>
      </c>
      <c r="N422" t="s">
        <v>973</v>
      </c>
      <c r="O422" s="1520">
        <v>46153</v>
      </c>
      <c r="P422" s="1520">
        <v>46141</v>
      </c>
    </row>
    <row r="423" spans="1:16">
      <c r="A423" t="s">
        <v>2157</v>
      </c>
      <c r="B423" t="s">
        <v>64</v>
      </c>
      <c r="C423" t="s">
        <v>65</v>
      </c>
      <c r="D423" t="s">
        <v>550</v>
      </c>
      <c r="E423" t="s">
        <v>2134</v>
      </c>
      <c r="F423" t="s">
        <v>2135</v>
      </c>
      <c r="G423">
        <v>792</v>
      </c>
      <c r="H423" t="s">
        <v>75</v>
      </c>
      <c r="I423" t="s">
        <v>2158</v>
      </c>
      <c r="J423" s="1520">
        <v>46134</v>
      </c>
      <c r="K423" s="1520">
        <v>46175</v>
      </c>
      <c r="L423" s="1520">
        <v>46188</v>
      </c>
      <c r="M423" s="1520">
        <v>46191</v>
      </c>
      <c r="N423" t="s">
        <v>973</v>
      </c>
      <c r="O423" s="1520">
        <v>46205</v>
      </c>
      <c r="P423" s="1520">
        <v>46199</v>
      </c>
    </row>
    <row r="424" spans="1:16">
      <c r="A424" t="s">
        <v>2149</v>
      </c>
      <c r="B424" t="s">
        <v>64</v>
      </c>
      <c r="C424" t="s">
        <v>65</v>
      </c>
      <c r="D424" t="s">
        <v>550</v>
      </c>
      <c r="E424" t="s">
        <v>551</v>
      </c>
      <c r="F424" t="s">
        <v>2151</v>
      </c>
      <c r="G424">
        <v>792</v>
      </c>
      <c r="H424" t="s">
        <v>75</v>
      </c>
      <c r="I424" t="s">
        <v>2153</v>
      </c>
      <c r="J424" s="1520">
        <v>46134</v>
      </c>
      <c r="K424" s="1520">
        <v>46175</v>
      </c>
      <c r="L424" s="1520">
        <v>46188</v>
      </c>
      <c r="M424" s="1520">
        <v>46191</v>
      </c>
      <c r="N424" t="s">
        <v>973</v>
      </c>
      <c r="O424" s="1520">
        <v>46205</v>
      </c>
      <c r="P424" s="1520">
        <v>46199</v>
      </c>
    </row>
    <row r="425" spans="1:16">
      <c r="A425" t="s">
        <v>2206</v>
      </c>
      <c r="B425" t="s">
        <v>64</v>
      </c>
      <c r="C425" t="s">
        <v>310</v>
      </c>
      <c r="D425" t="s">
        <v>550</v>
      </c>
      <c r="E425" t="s">
        <v>2134</v>
      </c>
      <c r="F425" t="s">
        <v>2135</v>
      </c>
      <c r="G425">
        <v>1584</v>
      </c>
      <c r="H425" t="s">
        <v>75</v>
      </c>
      <c r="I425" t="s">
        <v>2207</v>
      </c>
      <c r="J425" s="1520">
        <v>46136</v>
      </c>
      <c r="K425" s="1520">
        <v>46183</v>
      </c>
      <c r="L425" s="1520">
        <v>46190</v>
      </c>
      <c r="M425" s="1520">
        <v>46190</v>
      </c>
      <c r="N425" t="s">
        <v>973</v>
      </c>
      <c r="O425" s="1520">
        <v>46204</v>
      </c>
      <c r="P425" s="1520">
        <v>46200</v>
      </c>
    </row>
    <row r="426" spans="1:16">
      <c r="A426" t="s">
        <v>2208</v>
      </c>
      <c r="B426" t="s">
        <v>64</v>
      </c>
      <c r="C426" t="s">
        <v>310</v>
      </c>
      <c r="D426" t="s">
        <v>550</v>
      </c>
      <c r="E426" t="s">
        <v>2134</v>
      </c>
      <c r="F426" t="s">
        <v>2135</v>
      </c>
      <c r="G426">
        <v>3960</v>
      </c>
      <c r="H426" t="s">
        <v>75</v>
      </c>
      <c r="I426" t="s">
        <v>2210</v>
      </c>
      <c r="J426" s="1520">
        <v>46136</v>
      </c>
      <c r="K426" s="1520">
        <v>46183</v>
      </c>
      <c r="L426" s="1520">
        <v>46190</v>
      </c>
      <c r="M426" s="1520">
        <v>46190</v>
      </c>
      <c r="N426" t="s">
        <v>973</v>
      </c>
      <c r="O426" s="1520">
        <v>46204</v>
      </c>
      <c r="P426" s="1520">
        <v>46200</v>
      </c>
    </row>
    <row r="427" spans="1:16">
      <c r="A427" t="s">
        <v>2200</v>
      </c>
      <c r="B427" t="s">
        <v>64</v>
      </c>
      <c r="C427" t="s">
        <v>310</v>
      </c>
      <c r="D427" t="s">
        <v>550</v>
      </c>
      <c r="E427" t="s">
        <v>551</v>
      </c>
      <c r="F427" t="s">
        <v>2151</v>
      </c>
      <c r="G427">
        <v>792</v>
      </c>
      <c r="H427" t="s">
        <v>75</v>
      </c>
      <c r="I427" t="s">
        <v>2202</v>
      </c>
      <c r="J427" s="1520">
        <v>46136</v>
      </c>
      <c r="K427" s="1520">
        <v>46183</v>
      </c>
      <c r="L427" s="1520">
        <v>46190</v>
      </c>
      <c r="M427" s="1520">
        <v>46190</v>
      </c>
      <c r="N427" t="s">
        <v>973</v>
      </c>
      <c r="O427" s="1520">
        <v>46204</v>
      </c>
      <c r="P427" s="1520">
        <v>46200</v>
      </c>
    </row>
    <row r="428" spans="1:16">
      <c r="A428" t="s">
        <v>2195</v>
      </c>
      <c r="B428" t="s">
        <v>64</v>
      </c>
      <c r="C428" t="s">
        <v>450</v>
      </c>
      <c r="D428" t="s">
        <v>550</v>
      </c>
      <c r="E428" t="s">
        <v>2134</v>
      </c>
      <c r="F428" t="s">
        <v>2135</v>
      </c>
      <c r="G428">
        <v>3168</v>
      </c>
      <c r="H428" t="s">
        <v>75</v>
      </c>
      <c r="I428" t="s">
        <v>2196</v>
      </c>
      <c r="J428" s="1520">
        <v>46139</v>
      </c>
      <c r="K428" s="1520">
        <v>46180</v>
      </c>
      <c r="L428" s="1520">
        <v>46190</v>
      </c>
      <c r="M428" s="1520">
        <v>46194</v>
      </c>
      <c r="N428" t="s">
        <v>973</v>
      </c>
      <c r="O428" s="1520">
        <v>46205</v>
      </c>
      <c r="P428" s="1520">
        <v>46201</v>
      </c>
    </row>
    <row r="429" spans="1:16">
      <c r="A429" t="s">
        <v>2189</v>
      </c>
      <c r="B429" t="s">
        <v>64</v>
      </c>
      <c r="C429" t="s">
        <v>100</v>
      </c>
      <c r="D429" t="s">
        <v>473</v>
      </c>
      <c r="E429" t="s">
        <v>474</v>
      </c>
      <c r="F429" t="s">
        <v>1319</v>
      </c>
      <c r="G429">
        <v>6912</v>
      </c>
      <c r="H429" t="s">
        <v>75</v>
      </c>
      <c r="I429" t="s">
        <v>2192</v>
      </c>
      <c r="J429" s="1520">
        <v>46138</v>
      </c>
      <c r="K429" s="1520">
        <v>46188</v>
      </c>
      <c r="L429" s="1520">
        <v>46188</v>
      </c>
      <c r="M429" s="1520">
        <v>46195</v>
      </c>
      <c r="N429" t="s">
        <v>973</v>
      </c>
      <c r="O429" s="1520">
        <v>46203</v>
      </c>
      <c r="P429" s="1520">
        <v>46202</v>
      </c>
    </row>
    <row r="430" spans="1:16">
      <c r="A430" t="s">
        <v>2225</v>
      </c>
      <c r="B430" t="s">
        <v>64</v>
      </c>
      <c r="C430" t="s">
        <v>65</v>
      </c>
      <c r="D430" t="s">
        <v>70</v>
      </c>
      <c r="E430" t="s">
        <v>91</v>
      </c>
      <c r="F430" t="s">
        <v>92</v>
      </c>
      <c r="G430">
        <v>1872</v>
      </c>
      <c r="H430" t="s">
        <v>75</v>
      </c>
      <c r="I430" t="s">
        <v>2226</v>
      </c>
      <c r="J430" s="1520">
        <v>46138</v>
      </c>
      <c r="K430" s="1520">
        <v>46196</v>
      </c>
      <c r="L430" s="1520">
        <v>46207</v>
      </c>
      <c r="M430" s="1520">
        <v>46207</v>
      </c>
      <c r="N430" t="s">
        <v>973</v>
      </c>
      <c r="O430" s="1520">
        <v>46220</v>
      </c>
      <c r="P430" s="1520">
        <v>46215</v>
      </c>
    </row>
    <row r="431" spans="1:16">
      <c r="A431" t="s">
        <v>2259</v>
      </c>
      <c r="B431" t="s">
        <v>64</v>
      </c>
      <c r="C431" t="s">
        <v>450</v>
      </c>
      <c r="D431" t="s">
        <v>70</v>
      </c>
      <c r="E431" t="s">
        <v>1151</v>
      </c>
      <c r="F431" t="s">
        <v>421</v>
      </c>
      <c r="G431">
        <v>4320</v>
      </c>
      <c r="H431" t="s">
        <v>75</v>
      </c>
      <c r="I431" t="s">
        <v>2262</v>
      </c>
      <c r="J431" s="1520">
        <v>46137</v>
      </c>
      <c r="K431" s="1520">
        <v>46187</v>
      </c>
      <c r="L431" s="1520">
        <v>46193</v>
      </c>
      <c r="M431" s="1520">
        <v>46195</v>
      </c>
      <c r="N431" t="s">
        <v>973</v>
      </c>
      <c r="O431" s="1520">
        <v>46206</v>
      </c>
      <c r="P431" s="1520">
        <v>46202</v>
      </c>
    </row>
    <row r="432" spans="1:16">
      <c r="A432" t="s">
        <v>2251</v>
      </c>
      <c r="B432" t="s">
        <v>144</v>
      </c>
      <c r="C432" t="s">
        <v>145</v>
      </c>
      <c r="D432" t="s">
        <v>70</v>
      </c>
      <c r="E432" t="s">
        <v>195</v>
      </c>
      <c r="F432" t="s">
        <v>196</v>
      </c>
      <c r="G432">
        <v>1872</v>
      </c>
      <c r="H432" t="s">
        <v>75</v>
      </c>
      <c r="I432" t="s">
        <v>2254</v>
      </c>
      <c r="J432" s="1520">
        <v>46137</v>
      </c>
      <c r="K432" s="1520">
        <v>46182</v>
      </c>
      <c r="L432" s="1520">
        <v>46182</v>
      </c>
      <c r="M432" s="1520">
        <v>46193</v>
      </c>
      <c r="N432" t="s">
        <v>973</v>
      </c>
      <c r="O432" s="1520">
        <v>46178</v>
      </c>
      <c r="P432" s="1520">
        <v>46193</v>
      </c>
    </row>
    <row r="433" spans="1:16">
      <c r="A433" t="s">
        <v>2245</v>
      </c>
      <c r="B433" t="s">
        <v>64</v>
      </c>
      <c r="C433" t="s">
        <v>450</v>
      </c>
      <c r="D433" t="s">
        <v>70</v>
      </c>
      <c r="E433" t="s">
        <v>195</v>
      </c>
      <c r="F433" t="s">
        <v>196</v>
      </c>
      <c r="G433">
        <v>1872</v>
      </c>
      <c r="H433" t="s">
        <v>75</v>
      </c>
      <c r="I433" t="s">
        <v>2246</v>
      </c>
      <c r="J433" s="1520">
        <v>46132</v>
      </c>
      <c r="K433" s="1520">
        <v>46183</v>
      </c>
      <c r="L433" s="1520">
        <v>46189</v>
      </c>
      <c r="M433" s="1520">
        <v>46191</v>
      </c>
      <c r="N433" t="s">
        <v>973</v>
      </c>
      <c r="O433" s="1520">
        <v>46204</v>
      </c>
      <c r="P433" s="1520">
        <v>46198</v>
      </c>
    </row>
    <row r="434" spans="1:16">
      <c r="A434" t="s">
        <v>2274</v>
      </c>
      <c r="B434" t="s">
        <v>64</v>
      </c>
      <c r="C434" t="s">
        <v>100</v>
      </c>
      <c r="D434" t="s">
        <v>70</v>
      </c>
      <c r="E434" t="s">
        <v>1151</v>
      </c>
      <c r="F434" t="s">
        <v>421</v>
      </c>
      <c r="G434">
        <v>4320</v>
      </c>
      <c r="H434" t="s">
        <v>75</v>
      </c>
      <c r="I434" t="s">
        <v>2276</v>
      </c>
      <c r="J434" s="1520">
        <v>46138</v>
      </c>
      <c r="K434" s="1520">
        <v>46182</v>
      </c>
      <c r="L434" s="1520">
        <v>46185</v>
      </c>
      <c r="M434" s="1520">
        <v>46189</v>
      </c>
      <c r="N434" t="s">
        <v>973</v>
      </c>
      <c r="O434" s="1520">
        <v>46203</v>
      </c>
      <c r="P434" s="1520">
        <v>46196</v>
      </c>
    </row>
    <row r="435" spans="1:16">
      <c r="A435" t="s">
        <v>2267</v>
      </c>
      <c r="B435" t="s">
        <v>64</v>
      </c>
      <c r="C435" t="s">
        <v>100</v>
      </c>
      <c r="D435" t="s">
        <v>70</v>
      </c>
      <c r="E435" t="s">
        <v>71</v>
      </c>
      <c r="F435" t="s">
        <v>72</v>
      </c>
      <c r="G435">
        <v>5184</v>
      </c>
      <c r="H435" t="s">
        <v>75</v>
      </c>
      <c r="I435" t="s">
        <v>2270</v>
      </c>
      <c r="J435" s="1520">
        <v>46138</v>
      </c>
      <c r="K435" s="1520">
        <v>46186</v>
      </c>
      <c r="L435" s="1520">
        <v>46186</v>
      </c>
      <c r="M435" s="1520">
        <v>46189</v>
      </c>
      <c r="N435" t="s">
        <v>973</v>
      </c>
      <c r="O435" s="1520">
        <v>46202</v>
      </c>
      <c r="P435" s="1520">
        <v>46196</v>
      </c>
    </row>
    <row r="436" spans="1:16">
      <c r="A436" t="s">
        <v>2279</v>
      </c>
      <c r="B436" t="s">
        <v>64</v>
      </c>
      <c r="C436" t="s">
        <v>100</v>
      </c>
      <c r="D436" t="s">
        <v>70</v>
      </c>
      <c r="E436" t="s">
        <v>1151</v>
      </c>
      <c r="F436" t="s">
        <v>421</v>
      </c>
      <c r="G436">
        <v>5184</v>
      </c>
      <c r="H436" t="s">
        <v>75</v>
      </c>
      <c r="I436" t="s">
        <v>2280</v>
      </c>
      <c r="J436" s="1520">
        <v>46139</v>
      </c>
      <c r="K436" s="1520">
        <v>46207</v>
      </c>
      <c r="L436" s="1520">
        <v>46200</v>
      </c>
      <c r="M436" s="1520">
        <v>46200</v>
      </c>
      <c r="N436" t="s">
        <v>973</v>
      </c>
      <c r="O436" s="1520">
        <v>46213</v>
      </c>
      <c r="P436" s="1520">
        <v>46207</v>
      </c>
    </row>
    <row r="437" spans="1:16">
      <c r="A437" t="s">
        <v>2243</v>
      </c>
      <c r="B437" t="s">
        <v>64</v>
      </c>
      <c r="C437" t="s">
        <v>65</v>
      </c>
      <c r="D437" t="s">
        <v>70</v>
      </c>
      <c r="E437" t="s">
        <v>91</v>
      </c>
      <c r="F437" t="s">
        <v>92</v>
      </c>
      <c r="G437">
        <v>2808</v>
      </c>
      <c r="H437" t="s">
        <v>75</v>
      </c>
      <c r="I437" t="s">
        <v>2244</v>
      </c>
      <c r="J437" s="1520">
        <v>46136</v>
      </c>
      <c r="K437" s="1520">
        <v>46192</v>
      </c>
      <c r="L437" s="1520">
        <v>46196</v>
      </c>
      <c r="M437" s="1520">
        <v>46198</v>
      </c>
      <c r="N437" t="s">
        <v>973</v>
      </c>
      <c r="O437" s="1520">
        <v>46210</v>
      </c>
      <c r="P437" s="1520">
        <v>46208</v>
      </c>
    </row>
    <row r="438" spans="1:16">
      <c r="A438" t="s">
        <v>2241</v>
      </c>
      <c r="B438" t="s">
        <v>64</v>
      </c>
      <c r="C438" t="s">
        <v>65</v>
      </c>
      <c r="D438" t="s">
        <v>70</v>
      </c>
      <c r="E438" t="s">
        <v>91</v>
      </c>
      <c r="F438" t="s">
        <v>92</v>
      </c>
      <c r="G438">
        <v>936</v>
      </c>
      <c r="H438" t="s">
        <v>75</v>
      </c>
      <c r="I438" t="s">
        <v>2242</v>
      </c>
      <c r="J438" s="1520">
        <v>46136</v>
      </c>
      <c r="K438" s="1520">
        <v>46192</v>
      </c>
      <c r="L438" s="1520">
        <v>46196</v>
      </c>
      <c r="M438" s="1520">
        <v>46198</v>
      </c>
      <c r="N438" t="s">
        <v>973</v>
      </c>
      <c r="O438" s="1520">
        <v>46210</v>
      </c>
      <c r="P438" s="1520">
        <v>46208</v>
      </c>
    </row>
    <row r="439" spans="1:16">
      <c r="A439" t="s">
        <v>2237</v>
      </c>
      <c r="B439" t="s">
        <v>64</v>
      </c>
      <c r="C439" t="s">
        <v>65</v>
      </c>
      <c r="D439" t="s">
        <v>70</v>
      </c>
      <c r="E439" t="s">
        <v>91</v>
      </c>
      <c r="F439" t="s">
        <v>92</v>
      </c>
      <c r="G439">
        <v>936</v>
      </c>
      <c r="H439" t="s">
        <v>75</v>
      </c>
      <c r="I439" t="s">
        <v>2238</v>
      </c>
      <c r="J439" s="1520">
        <v>46136</v>
      </c>
      <c r="K439" s="1520">
        <v>46192</v>
      </c>
      <c r="L439" s="1520">
        <v>46196</v>
      </c>
      <c r="M439" s="1520">
        <v>46198</v>
      </c>
      <c r="N439" t="s">
        <v>973</v>
      </c>
      <c r="O439" s="1520">
        <v>46210</v>
      </c>
      <c r="P439" s="1520">
        <v>46208</v>
      </c>
    </row>
    <row r="440" spans="1:16">
      <c r="A440" t="s">
        <v>2239</v>
      </c>
      <c r="B440" t="s">
        <v>64</v>
      </c>
      <c r="C440" t="s">
        <v>65</v>
      </c>
      <c r="D440" t="s">
        <v>70</v>
      </c>
      <c r="E440" t="s">
        <v>91</v>
      </c>
      <c r="F440" t="s">
        <v>92</v>
      </c>
      <c r="G440">
        <v>936</v>
      </c>
      <c r="H440" t="s">
        <v>75</v>
      </c>
      <c r="I440" t="s">
        <v>2240</v>
      </c>
      <c r="J440" s="1520">
        <v>46136</v>
      </c>
      <c r="K440" s="1520">
        <v>46192</v>
      </c>
      <c r="L440" s="1520">
        <v>46196</v>
      </c>
      <c r="M440" s="1520">
        <v>46198</v>
      </c>
      <c r="N440" t="s">
        <v>973</v>
      </c>
      <c r="O440" s="1520">
        <v>46210</v>
      </c>
      <c r="P440" s="1520">
        <v>46208</v>
      </c>
    </row>
    <row r="441" spans="1:16">
      <c r="A441" t="s">
        <v>2235</v>
      </c>
      <c r="B441" t="s">
        <v>64</v>
      </c>
      <c r="C441" t="s">
        <v>65</v>
      </c>
      <c r="D441" t="s">
        <v>70</v>
      </c>
      <c r="E441" t="s">
        <v>91</v>
      </c>
      <c r="F441" t="s">
        <v>92</v>
      </c>
      <c r="G441">
        <v>1872</v>
      </c>
      <c r="H441" t="s">
        <v>75</v>
      </c>
      <c r="I441" t="s">
        <v>2236</v>
      </c>
      <c r="J441" s="1520">
        <v>46136</v>
      </c>
      <c r="K441" s="1520">
        <v>46192</v>
      </c>
      <c r="L441" s="1520">
        <v>46196</v>
      </c>
      <c r="M441" s="1520">
        <v>46198</v>
      </c>
      <c r="N441" t="s">
        <v>973</v>
      </c>
      <c r="O441" s="1520">
        <v>46210</v>
      </c>
      <c r="P441" s="1520">
        <v>46208</v>
      </c>
    </row>
    <row r="442" spans="1:16">
      <c r="A442" t="s">
        <v>2230</v>
      </c>
      <c r="B442" t="s">
        <v>64</v>
      </c>
      <c r="C442" t="s">
        <v>65</v>
      </c>
      <c r="D442" t="s">
        <v>70</v>
      </c>
      <c r="E442" t="s">
        <v>91</v>
      </c>
      <c r="F442" t="s">
        <v>92</v>
      </c>
      <c r="G442">
        <v>3744</v>
      </c>
      <c r="H442" t="s">
        <v>75</v>
      </c>
      <c r="I442" t="s">
        <v>2231</v>
      </c>
      <c r="J442" s="1520">
        <v>46136</v>
      </c>
      <c r="K442" s="1520">
        <v>46192</v>
      </c>
      <c r="L442" s="1520">
        <v>46196</v>
      </c>
      <c r="M442" s="1520">
        <v>46198</v>
      </c>
      <c r="N442" t="s">
        <v>973</v>
      </c>
      <c r="O442" s="1520">
        <v>46209</v>
      </c>
      <c r="P442" s="1520">
        <v>46208</v>
      </c>
    </row>
    <row r="443" spans="1:16">
      <c r="A443" t="s">
        <v>2187</v>
      </c>
      <c r="B443" t="s">
        <v>64</v>
      </c>
      <c r="C443" t="s">
        <v>100</v>
      </c>
      <c r="D443" t="s">
        <v>550</v>
      </c>
      <c r="E443" t="s">
        <v>2134</v>
      </c>
      <c r="F443" t="s">
        <v>2135</v>
      </c>
      <c r="G443">
        <v>2376</v>
      </c>
      <c r="H443" t="s">
        <v>75</v>
      </c>
      <c r="I443" t="s">
        <v>2188</v>
      </c>
      <c r="J443" s="1520">
        <v>46139</v>
      </c>
      <c r="K443" s="1520">
        <v>46175</v>
      </c>
      <c r="L443" s="1520">
        <v>46179</v>
      </c>
      <c r="M443" s="1520">
        <v>46180</v>
      </c>
      <c r="N443" t="s">
        <v>973</v>
      </c>
      <c r="O443" s="1520">
        <v>46192</v>
      </c>
      <c r="P443" s="1520">
        <v>46187</v>
      </c>
    </row>
    <row r="444" spans="1:16">
      <c r="A444" t="s">
        <v>2182</v>
      </c>
      <c r="B444" t="s">
        <v>64</v>
      </c>
      <c r="C444" t="s">
        <v>100</v>
      </c>
      <c r="D444" t="s">
        <v>550</v>
      </c>
      <c r="E444" t="s">
        <v>551</v>
      </c>
      <c r="F444" t="s">
        <v>2151</v>
      </c>
      <c r="G444">
        <v>1584</v>
      </c>
      <c r="H444" t="s">
        <v>75</v>
      </c>
      <c r="I444" t="s">
        <v>2184</v>
      </c>
      <c r="J444" s="1520">
        <v>46139</v>
      </c>
      <c r="K444" s="1520">
        <v>46175</v>
      </c>
      <c r="L444" s="1520">
        <v>46179</v>
      </c>
      <c r="M444" s="1520">
        <v>46180</v>
      </c>
      <c r="N444" t="s">
        <v>973</v>
      </c>
      <c r="O444" s="1520">
        <v>46192</v>
      </c>
      <c r="P444" s="1520">
        <v>46187</v>
      </c>
    </row>
    <row r="445" spans="1:16">
      <c r="A445" t="s">
        <v>1847</v>
      </c>
      <c r="B445" t="s">
        <v>64</v>
      </c>
      <c r="C445" t="s">
        <v>65</v>
      </c>
      <c r="D445" t="s">
        <v>70</v>
      </c>
      <c r="E445" t="s">
        <v>204</v>
      </c>
      <c r="F445" t="s">
        <v>205</v>
      </c>
      <c r="G445">
        <v>1872</v>
      </c>
      <c r="H445" t="s">
        <v>75</v>
      </c>
      <c r="I445" t="s">
        <v>1848</v>
      </c>
      <c r="J445" s="1520">
        <v>46103</v>
      </c>
      <c r="K445" s="1520">
        <v>46161</v>
      </c>
      <c r="L445" s="1520">
        <v>46182</v>
      </c>
      <c r="M445" s="1520">
        <v>46183</v>
      </c>
      <c r="N445" t="s">
        <v>973</v>
      </c>
      <c r="O445" s="1520">
        <v>46196</v>
      </c>
      <c r="P445" s="1520">
        <v>46191</v>
      </c>
    </row>
    <row r="446" spans="1:16">
      <c r="A446" t="s">
        <v>2221</v>
      </c>
      <c r="B446" t="s">
        <v>64</v>
      </c>
      <c r="C446" t="s">
        <v>114</v>
      </c>
      <c r="D446" t="s">
        <v>550</v>
      </c>
      <c r="E446" t="s">
        <v>2134</v>
      </c>
      <c r="F446" t="s">
        <v>2135</v>
      </c>
      <c r="G446">
        <v>1584</v>
      </c>
      <c r="H446" t="s">
        <v>75</v>
      </c>
      <c r="I446" t="s">
        <v>2222</v>
      </c>
      <c r="J446" s="1520">
        <v>46139</v>
      </c>
      <c r="K446" s="1520">
        <v>46184</v>
      </c>
      <c r="L446" s="1520">
        <v>46177</v>
      </c>
      <c r="M446" s="1520">
        <v>46178</v>
      </c>
      <c r="N446" t="s">
        <v>973</v>
      </c>
      <c r="O446" s="1520">
        <v>46191</v>
      </c>
      <c r="P446" s="1520">
        <v>46187</v>
      </c>
    </row>
    <row r="447" spans="1:16">
      <c r="A447" t="s">
        <v>2216</v>
      </c>
      <c r="B447" t="s">
        <v>64</v>
      </c>
      <c r="C447" t="s">
        <v>310</v>
      </c>
      <c r="D447" t="s">
        <v>550</v>
      </c>
      <c r="E447" t="s">
        <v>2134</v>
      </c>
      <c r="F447" t="s">
        <v>2135</v>
      </c>
      <c r="G447">
        <v>2376</v>
      </c>
      <c r="H447" t="s">
        <v>75</v>
      </c>
      <c r="I447" t="s">
        <v>2217</v>
      </c>
      <c r="J447" s="1520">
        <v>46140</v>
      </c>
      <c r="K447" s="1520">
        <v>46199</v>
      </c>
      <c r="L447" s="1520">
        <v>46201</v>
      </c>
      <c r="M447" s="1520">
        <v>46198</v>
      </c>
      <c r="N447" t="s">
        <v>973</v>
      </c>
      <c r="O447" s="1520">
        <v>46212</v>
      </c>
      <c r="P447" s="1520">
        <v>46208</v>
      </c>
    </row>
    <row r="448" spans="1:16">
      <c r="A448" t="s">
        <v>2211</v>
      </c>
      <c r="B448" t="s">
        <v>64</v>
      </c>
      <c r="C448" t="s">
        <v>65</v>
      </c>
      <c r="D448" t="s">
        <v>550</v>
      </c>
      <c r="E448" t="s">
        <v>2134</v>
      </c>
      <c r="F448" t="s">
        <v>2135</v>
      </c>
      <c r="G448">
        <v>3168</v>
      </c>
      <c r="H448" t="s">
        <v>75</v>
      </c>
      <c r="I448" t="s">
        <v>2213</v>
      </c>
      <c r="J448" s="1520">
        <v>46136</v>
      </c>
      <c r="K448" s="1520">
        <v>46188</v>
      </c>
      <c r="L448" s="1520">
        <v>46184</v>
      </c>
      <c r="M448" s="1520">
        <v>46184</v>
      </c>
      <c r="N448" t="s">
        <v>973</v>
      </c>
      <c r="O448" s="1520">
        <v>46199</v>
      </c>
      <c r="P448" s="1520">
        <v>46192</v>
      </c>
    </row>
    <row r="449" spans="1:16">
      <c r="A449" t="s">
        <v>1448</v>
      </c>
      <c r="B449" t="s">
        <v>144</v>
      </c>
      <c r="C449" t="s">
        <v>145</v>
      </c>
      <c r="D449" t="s">
        <v>132</v>
      </c>
      <c r="E449" t="s">
        <v>1062</v>
      </c>
      <c r="F449" t="s">
        <v>1063</v>
      </c>
      <c r="G449">
        <v>2592</v>
      </c>
      <c r="H449" t="s">
        <v>75</v>
      </c>
      <c r="I449" t="s">
        <v>1452</v>
      </c>
      <c r="J449" s="1520">
        <v>46096</v>
      </c>
      <c r="K449" s="1520">
        <v>46133</v>
      </c>
      <c r="L449" s="1520">
        <v>46150</v>
      </c>
      <c r="M449" s="1520">
        <v>46148</v>
      </c>
      <c r="N449" t="s">
        <v>973</v>
      </c>
      <c r="O449" s="1520">
        <v>46139</v>
      </c>
      <c r="P449" s="1520">
        <v>46148</v>
      </c>
    </row>
    <row r="450" spans="1:16">
      <c r="A450" t="s">
        <v>1455</v>
      </c>
      <c r="B450" t="s">
        <v>144</v>
      </c>
      <c r="C450" t="s">
        <v>145</v>
      </c>
      <c r="D450" t="s">
        <v>132</v>
      </c>
      <c r="E450" t="s">
        <v>1062</v>
      </c>
      <c r="F450" t="s">
        <v>1063</v>
      </c>
      <c r="G450">
        <v>1728</v>
      </c>
      <c r="H450" t="s">
        <v>75</v>
      </c>
      <c r="I450" t="s">
        <v>1457</v>
      </c>
      <c r="J450" s="1520">
        <v>46096</v>
      </c>
      <c r="K450" s="1520">
        <v>46133</v>
      </c>
      <c r="L450" s="1520">
        <v>46150</v>
      </c>
      <c r="M450" s="1520">
        <v>46148</v>
      </c>
      <c r="N450" t="s">
        <v>973</v>
      </c>
      <c r="O450" s="1520">
        <v>46164</v>
      </c>
      <c r="P450" s="1520">
        <v>46148</v>
      </c>
    </row>
    <row r="451" spans="1:16">
      <c r="A451" t="s">
        <v>1261</v>
      </c>
      <c r="B451" t="s">
        <v>144</v>
      </c>
      <c r="C451" t="s">
        <v>145</v>
      </c>
      <c r="D451" t="s">
        <v>70</v>
      </c>
      <c r="E451" t="s">
        <v>195</v>
      </c>
      <c r="F451" t="s">
        <v>196</v>
      </c>
      <c r="G451">
        <v>936</v>
      </c>
      <c r="H451" t="s">
        <v>75</v>
      </c>
      <c r="I451" t="s">
        <v>1265</v>
      </c>
      <c r="J451" s="1520">
        <v>46088</v>
      </c>
      <c r="K451" s="1520">
        <v>46133</v>
      </c>
      <c r="L451" s="1520">
        <v>46142</v>
      </c>
      <c r="M451" s="1520">
        <v>46141</v>
      </c>
      <c r="N451" t="s">
        <v>973</v>
      </c>
      <c r="O451" s="1520">
        <v>46146</v>
      </c>
      <c r="P451" s="1520">
        <v>46141</v>
      </c>
    </row>
    <row r="452" spans="1:16">
      <c r="A452" t="s">
        <v>1274</v>
      </c>
      <c r="B452" t="s">
        <v>144</v>
      </c>
      <c r="C452" t="s">
        <v>145</v>
      </c>
      <c r="D452" t="s">
        <v>70</v>
      </c>
      <c r="E452" t="s">
        <v>195</v>
      </c>
      <c r="F452" t="s">
        <v>196</v>
      </c>
      <c r="G452">
        <v>936</v>
      </c>
      <c r="H452" t="s">
        <v>75</v>
      </c>
      <c r="I452" t="s">
        <v>1277</v>
      </c>
      <c r="J452" s="1520">
        <v>46088</v>
      </c>
      <c r="K452" s="1520">
        <v>46133</v>
      </c>
      <c r="L452" s="1520">
        <v>46142</v>
      </c>
      <c r="M452" s="1520">
        <v>46141</v>
      </c>
      <c r="N452" t="s">
        <v>973</v>
      </c>
      <c r="O452" s="1520">
        <v>46146</v>
      </c>
      <c r="P452" s="1520">
        <v>46141</v>
      </c>
    </row>
    <row r="453" spans="1:16">
      <c r="A453" t="s">
        <v>1284</v>
      </c>
      <c r="B453" t="s">
        <v>144</v>
      </c>
      <c r="C453" t="s">
        <v>145</v>
      </c>
      <c r="D453" t="s">
        <v>70</v>
      </c>
      <c r="E453" t="s">
        <v>195</v>
      </c>
      <c r="F453" t="s">
        <v>196</v>
      </c>
      <c r="G453">
        <v>3744</v>
      </c>
      <c r="H453" t="s">
        <v>75</v>
      </c>
      <c r="I453" t="s">
        <v>1277</v>
      </c>
      <c r="J453" s="1520">
        <v>46088</v>
      </c>
      <c r="K453" s="1520">
        <v>46133</v>
      </c>
      <c r="L453" s="1520">
        <v>46142</v>
      </c>
      <c r="M453" s="1520">
        <v>46141</v>
      </c>
      <c r="N453" t="s">
        <v>973</v>
      </c>
      <c r="O453" s="1520">
        <v>46146</v>
      </c>
      <c r="P453" s="1520">
        <v>46141</v>
      </c>
    </row>
    <row r="454" spans="1:16">
      <c r="A454" t="s">
        <v>1867</v>
      </c>
      <c r="B454" t="s">
        <v>144</v>
      </c>
      <c r="C454" t="s">
        <v>145</v>
      </c>
      <c r="D454" t="s">
        <v>132</v>
      </c>
      <c r="E454" t="s">
        <v>189</v>
      </c>
      <c r="F454" t="s">
        <v>190</v>
      </c>
      <c r="G454">
        <v>3456</v>
      </c>
      <c r="H454" t="s">
        <v>75</v>
      </c>
      <c r="I454" t="s">
        <v>1869</v>
      </c>
      <c r="J454" s="1520">
        <v>46110</v>
      </c>
      <c r="K454" s="1520">
        <v>46147</v>
      </c>
      <c r="L454" s="1520">
        <v>46154</v>
      </c>
      <c r="M454" s="1520">
        <v>46157</v>
      </c>
      <c r="N454" t="s">
        <v>973</v>
      </c>
      <c r="O454" s="1520">
        <v>46139</v>
      </c>
      <c r="P454" s="1520">
        <v>46157</v>
      </c>
    </row>
    <row r="455" spans="1:16">
      <c r="A455" t="s">
        <v>1871</v>
      </c>
      <c r="B455" t="s">
        <v>144</v>
      </c>
      <c r="C455" t="s">
        <v>145</v>
      </c>
      <c r="D455" t="s">
        <v>132</v>
      </c>
      <c r="E455" t="s">
        <v>189</v>
      </c>
      <c r="F455" t="s">
        <v>190</v>
      </c>
      <c r="G455">
        <v>864</v>
      </c>
      <c r="H455" t="s">
        <v>75</v>
      </c>
      <c r="I455" t="s">
        <v>1872</v>
      </c>
      <c r="J455" s="1520">
        <v>46110</v>
      </c>
      <c r="K455" s="1520">
        <v>46147</v>
      </c>
      <c r="L455" s="1520">
        <v>46154</v>
      </c>
      <c r="M455" s="1520">
        <v>46157</v>
      </c>
      <c r="N455" t="s">
        <v>973</v>
      </c>
      <c r="O455" s="1520">
        <v>46167</v>
      </c>
      <c r="P455" s="1520">
        <v>46157</v>
      </c>
    </row>
    <row r="456" spans="1:16">
      <c r="A456" t="s">
        <v>1873</v>
      </c>
      <c r="B456" t="s">
        <v>64</v>
      </c>
      <c r="C456" t="s">
        <v>100</v>
      </c>
      <c r="D456" t="s">
        <v>132</v>
      </c>
      <c r="E456" t="s">
        <v>189</v>
      </c>
      <c r="F456" t="s">
        <v>190</v>
      </c>
      <c r="G456">
        <v>2592</v>
      </c>
      <c r="H456" t="s">
        <v>75</v>
      </c>
      <c r="I456" t="s">
        <v>1874</v>
      </c>
      <c r="J456" s="1520">
        <v>46110</v>
      </c>
      <c r="K456" s="1520">
        <v>46147</v>
      </c>
      <c r="L456" s="1520">
        <v>46154</v>
      </c>
      <c r="M456" s="1520">
        <v>46157</v>
      </c>
      <c r="N456" t="s">
        <v>973</v>
      </c>
      <c r="O456" s="1520">
        <v>46173</v>
      </c>
      <c r="P456" s="1520">
        <v>46164</v>
      </c>
    </row>
    <row r="457" spans="1:16">
      <c r="A457" t="s">
        <v>2052</v>
      </c>
      <c r="B457" t="s">
        <v>144</v>
      </c>
      <c r="C457" t="s">
        <v>145</v>
      </c>
      <c r="D457" t="s">
        <v>70</v>
      </c>
      <c r="E457" t="s">
        <v>195</v>
      </c>
      <c r="F457" t="s">
        <v>196</v>
      </c>
      <c r="G457">
        <v>10296</v>
      </c>
      <c r="H457" t="s">
        <v>75</v>
      </c>
      <c r="I457" t="s">
        <v>2055</v>
      </c>
      <c r="J457" s="1520">
        <v>46124</v>
      </c>
      <c r="K457" s="1520">
        <v>46161</v>
      </c>
      <c r="L457" s="1520">
        <v>46172</v>
      </c>
      <c r="M457" s="1520">
        <v>46174</v>
      </c>
      <c r="N457" t="s">
        <v>973</v>
      </c>
      <c r="O457" s="1520">
        <v>46168</v>
      </c>
      <c r="P457" s="1520">
        <v>46174</v>
      </c>
    </row>
    <row r="458" spans="1:16">
      <c r="A458" t="s">
        <v>2059</v>
      </c>
      <c r="B458" t="s">
        <v>144</v>
      </c>
      <c r="C458" t="s">
        <v>145</v>
      </c>
      <c r="D458" t="s">
        <v>70</v>
      </c>
      <c r="E458" t="s">
        <v>195</v>
      </c>
      <c r="F458" t="s">
        <v>196</v>
      </c>
      <c r="G458">
        <v>2808</v>
      </c>
      <c r="H458" t="s">
        <v>75</v>
      </c>
      <c r="I458" t="s">
        <v>2060</v>
      </c>
      <c r="J458" s="1520">
        <v>46124</v>
      </c>
      <c r="K458" s="1520">
        <v>46169</v>
      </c>
      <c r="L458" s="1520">
        <v>46172</v>
      </c>
      <c r="M458" s="1520">
        <v>46170</v>
      </c>
      <c r="N458" t="s">
        <v>973</v>
      </c>
      <c r="O458" s="1520">
        <v>46184</v>
      </c>
      <c r="P458" s="1520">
        <v>46170</v>
      </c>
    </row>
    <row r="459" spans="1:16">
      <c r="A459" t="s">
        <v>2402</v>
      </c>
      <c r="B459" t="s">
        <v>144</v>
      </c>
      <c r="C459" t="s">
        <v>145</v>
      </c>
      <c r="D459" t="s">
        <v>70</v>
      </c>
      <c r="E459" t="s">
        <v>71</v>
      </c>
      <c r="F459" t="s">
        <v>72</v>
      </c>
      <c r="G459">
        <v>4320</v>
      </c>
      <c r="H459" t="s">
        <v>75</v>
      </c>
      <c r="I459" t="s">
        <v>2403</v>
      </c>
      <c r="J459" s="1520">
        <v>46144</v>
      </c>
      <c r="K459" s="1520">
        <v>46208</v>
      </c>
      <c r="L459" s="1520">
        <v>46206</v>
      </c>
      <c r="M459" s="1520">
        <v>46207</v>
      </c>
      <c r="N459" t="s">
        <v>973</v>
      </c>
      <c r="O459" s="1520">
        <v>46203</v>
      </c>
      <c r="P459" s="1520">
        <v>46207</v>
      </c>
    </row>
    <row r="460" spans="1:16">
      <c r="A460" t="s">
        <v>2393</v>
      </c>
      <c r="B460" t="s">
        <v>144</v>
      </c>
      <c r="C460" t="s">
        <v>145</v>
      </c>
      <c r="D460" t="s">
        <v>70</v>
      </c>
      <c r="E460" t="s">
        <v>71</v>
      </c>
      <c r="F460" t="s">
        <v>72</v>
      </c>
      <c r="G460">
        <v>5184</v>
      </c>
      <c r="H460" t="s">
        <v>75</v>
      </c>
      <c r="I460" t="s">
        <v>2397</v>
      </c>
      <c r="J460" s="1520">
        <v>46144</v>
      </c>
      <c r="K460" s="1520">
        <v>46208</v>
      </c>
      <c r="L460" s="1520">
        <v>46206</v>
      </c>
      <c r="M460" s="1520">
        <v>46207</v>
      </c>
      <c r="N460" t="s">
        <v>973</v>
      </c>
      <c r="O460" s="1520">
        <v>46203</v>
      </c>
      <c r="P460" s="1520">
        <v>46207</v>
      </c>
    </row>
    <row r="461" spans="1:16">
      <c r="A461" t="s">
        <v>2354</v>
      </c>
      <c r="B461" t="s">
        <v>64</v>
      </c>
      <c r="C461" t="s">
        <v>310</v>
      </c>
      <c r="D461" t="s">
        <v>550</v>
      </c>
      <c r="E461" t="s">
        <v>551</v>
      </c>
      <c r="F461" t="s">
        <v>2151</v>
      </c>
      <c r="G461">
        <v>2376</v>
      </c>
      <c r="H461" t="s">
        <v>75</v>
      </c>
      <c r="I461" t="s">
        <v>2355</v>
      </c>
      <c r="J461" s="1520">
        <v>46143</v>
      </c>
      <c r="K461" s="1520">
        <v>46190</v>
      </c>
      <c r="L461" s="1520">
        <v>46197</v>
      </c>
      <c r="M461" s="1520">
        <v>46198</v>
      </c>
      <c r="N461" t="s">
        <v>973</v>
      </c>
      <c r="O461" s="1520">
        <v>46212</v>
      </c>
      <c r="P461" s="1520">
        <v>46208</v>
      </c>
    </row>
    <row r="462" spans="1:16">
      <c r="A462" t="s">
        <v>2348</v>
      </c>
      <c r="B462" t="s">
        <v>64</v>
      </c>
      <c r="C462" t="s">
        <v>310</v>
      </c>
      <c r="D462" t="s">
        <v>550</v>
      </c>
      <c r="E462" t="s">
        <v>2134</v>
      </c>
      <c r="F462" t="s">
        <v>2135</v>
      </c>
      <c r="G462">
        <v>792</v>
      </c>
      <c r="H462" t="s">
        <v>75</v>
      </c>
      <c r="I462" t="s">
        <v>2350</v>
      </c>
      <c r="J462" s="1520">
        <v>46143</v>
      </c>
      <c r="K462" s="1520">
        <v>46190</v>
      </c>
      <c r="L462" s="1520">
        <v>46197</v>
      </c>
      <c r="M462" s="1520">
        <v>46198</v>
      </c>
      <c r="N462" t="s">
        <v>973</v>
      </c>
      <c r="O462" s="1520">
        <v>46212</v>
      </c>
      <c r="P462" s="1520">
        <v>46208</v>
      </c>
    </row>
    <row r="463" spans="1:16">
      <c r="A463" t="s">
        <v>2338</v>
      </c>
      <c r="B463" t="s">
        <v>64</v>
      </c>
      <c r="C463" t="s">
        <v>100</v>
      </c>
      <c r="D463" t="s">
        <v>473</v>
      </c>
      <c r="E463" t="s">
        <v>474</v>
      </c>
      <c r="F463" t="s">
        <v>1319</v>
      </c>
      <c r="G463">
        <v>1728</v>
      </c>
      <c r="H463" t="s">
        <v>75</v>
      </c>
      <c r="I463" t="s">
        <v>2339</v>
      </c>
      <c r="J463" s="1520">
        <v>46144</v>
      </c>
      <c r="K463" s="1520">
        <v>46186</v>
      </c>
      <c r="L463" s="1520">
        <v>46200</v>
      </c>
      <c r="M463" s="1520">
        <v>46201</v>
      </c>
      <c r="N463" t="s">
        <v>973</v>
      </c>
      <c r="O463" s="1520">
        <v>46213</v>
      </c>
      <c r="P463" s="1520">
        <v>46208</v>
      </c>
    </row>
    <row r="464" spans="1:16">
      <c r="A464" t="s">
        <v>2340</v>
      </c>
      <c r="B464" t="s">
        <v>64</v>
      </c>
      <c r="C464" t="s">
        <v>100</v>
      </c>
      <c r="D464" t="s">
        <v>473</v>
      </c>
      <c r="E464" t="s">
        <v>474</v>
      </c>
      <c r="F464" t="s">
        <v>1319</v>
      </c>
      <c r="G464">
        <v>2592</v>
      </c>
      <c r="H464" t="s">
        <v>75</v>
      </c>
      <c r="I464" t="s">
        <v>2341</v>
      </c>
      <c r="J464" s="1520">
        <v>46144</v>
      </c>
      <c r="K464" s="1520">
        <v>46186</v>
      </c>
      <c r="L464" s="1520">
        <v>46200</v>
      </c>
      <c r="M464" s="1520">
        <v>46201</v>
      </c>
      <c r="N464" t="s">
        <v>973</v>
      </c>
      <c r="O464" s="1520">
        <v>46213</v>
      </c>
      <c r="P464" s="1520">
        <v>46208</v>
      </c>
    </row>
    <row r="465" spans="1:16">
      <c r="A465" t="s">
        <v>2334</v>
      </c>
      <c r="B465" t="s">
        <v>64</v>
      </c>
      <c r="C465" t="s">
        <v>100</v>
      </c>
      <c r="D465" t="s">
        <v>473</v>
      </c>
      <c r="E465" t="s">
        <v>474</v>
      </c>
      <c r="F465" t="s">
        <v>1319</v>
      </c>
      <c r="G465">
        <v>1728</v>
      </c>
      <c r="H465" t="s">
        <v>75</v>
      </c>
      <c r="I465" t="s">
        <v>2335</v>
      </c>
      <c r="J465" s="1520">
        <v>46144</v>
      </c>
      <c r="K465" s="1520">
        <v>46186</v>
      </c>
      <c r="L465" s="1520">
        <v>46200</v>
      </c>
      <c r="M465" s="1520">
        <v>46201</v>
      </c>
      <c r="N465" t="s">
        <v>973</v>
      </c>
      <c r="O465" s="1520">
        <v>46213</v>
      </c>
      <c r="P465" s="1520">
        <v>46208</v>
      </c>
    </row>
    <row r="466" spans="1:16">
      <c r="A466" t="s">
        <v>2306</v>
      </c>
      <c r="B466" t="s">
        <v>64</v>
      </c>
      <c r="C466">
        <v>0</v>
      </c>
      <c r="D466" t="s">
        <v>70</v>
      </c>
      <c r="E466" t="s">
        <v>2308</v>
      </c>
      <c r="F466" t="s">
        <v>1484</v>
      </c>
      <c r="G466">
        <v>1188</v>
      </c>
      <c r="H466" t="s">
        <v>75</v>
      </c>
      <c r="I466" t="s">
        <v>2309</v>
      </c>
      <c r="J466" s="1520">
        <v>46144</v>
      </c>
      <c r="K466" s="1520">
        <v>46197</v>
      </c>
      <c r="L466" s="1520">
        <v>46214</v>
      </c>
      <c r="M466" s="1520">
        <v>46213</v>
      </c>
      <c r="N466" t="s">
        <v>973</v>
      </c>
      <c r="O466" s="1520">
        <v>46231</v>
      </c>
      <c r="P466" s="1520">
        <v>46220</v>
      </c>
    </row>
    <row r="467" spans="1:16">
      <c r="A467" t="s">
        <v>2296</v>
      </c>
      <c r="B467" t="s">
        <v>64</v>
      </c>
      <c r="C467">
        <v>0</v>
      </c>
      <c r="D467" t="s">
        <v>70</v>
      </c>
      <c r="E467" t="s">
        <v>2299</v>
      </c>
      <c r="F467" t="s">
        <v>1682</v>
      </c>
      <c r="G467">
        <v>4752</v>
      </c>
      <c r="H467" t="s">
        <v>75</v>
      </c>
      <c r="I467" t="s">
        <v>2300</v>
      </c>
      <c r="J467" s="1520">
        <v>46144</v>
      </c>
      <c r="K467" s="1520">
        <v>46197</v>
      </c>
      <c r="L467" s="1520">
        <v>46214</v>
      </c>
      <c r="M467" s="1520">
        <v>46213</v>
      </c>
      <c r="N467" t="s">
        <v>973</v>
      </c>
      <c r="O467" s="1520">
        <v>46231</v>
      </c>
      <c r="P467" s="1520">
        <v>46220</v>
      </c>
    </row>
    <row r="468" spans="1:16">
      <c r="A468" t="s">
        <v>2371</v>
      </c>
      <c r="B468" t="s">
        <v>64</v>
      </c>
      <c r="C468" t="s">
        <v>100</v>
      </c>
      <c r="D468" t="s">
        <v>70</v>
      </c>
      <c r="E468" t="s">
        <v>965</v>
      </c>
      <c r="F468" t="s">
        <v>966</v>
      </c>
      <c r="G468">
        <v>4680</v>
      </c>
      <c r="H468" t="s">
        <v>75</v>
      </c>
      <c r="I468" t="s">
        <v>2374</v>
      </c>
      <c r="J468" s="1520">
        <v>46146</v>
      </c>
      <c r="K468" s="1520">
        <v>46189</v>
      </c>
      <c r="L468" s="1520">
        <v>46197</v>
      </c>
      <c r="M468" s="1520">
        <v>46197</v>
      </c>
      <c r="N468" t="s">
        <v>973</v>
      </c>
      <c r="O468" s="1520">
        <v>46211</v>
      </c>
      <c r="P468" s="1520">
        <v>46204</v>
      </c>
    </row>
    <row r="469" spans="1:16">
      <c r="A469" t="s">
        <v>2366</v>
      </c>
      <c r="B469" t="s">
        <v>64</v>
      </c>
      <c r="C469" t="s">
        <v>100</v>
      </c>
      <c r="D469" t="s">
        <v>70</v>
      </c>
      <c r="E469" t="s">
        <v>1151</v>
      </c>
      <c r="F469" t="s">
        <v>421</v>
      </c>
      <c r="G469">
        <v>864</v>
      </c>
      <c r="H469" t="s">
        <v>75</v>
      </c>
      <c r="I469" t="s">
        <v>2367</v>
      </c>
      <c r="J469" s="1520">
        <v>46146</v>
      </c>
      <c r="K469" s="1520">
        <v>46200</v>
      </c>
      <c r="L469" s="1520">
        <v>46200</v>
      </c>
      <c r="M469" s="1520">
        <v>46202</v>
      </c>
      <c r="N469" t="s">
        <v>973</v>
      </c>
      <c r="O469" s="1520">
        <v>46216</v>
      </c>
      <c r="P469" s="1520">
        <v>46209</v>
      </c>
    </row>
    <row r="470" spans="1:16">
      <c r="A470" t="s">
        <v>2387</v>
      </c>
      <c r="B470" t="s">
        <v>144</v>
      </c>
      <c r="C470" t="s">
        <v>145</v>
      </c>
      <c r="D470" t="s">
        <v>70</v>
      </c>
      <c r="E470" t="s">
        <v>71</v>
      </c>
      <c r="F470" t="s">
        <v>72</v>
      </c>
      <c r="G470">
        <v>864</v>
      </c>
      <c r="H470" t="s">
        <v>75</v>
      </c>
      <c r="I470" t="s">
        <v>2390</v>
      </c>
      <c r="J470" s="1520">
        <v>46146</v>
      </c>
      <c r="K470" s="1520">
        <v>46204</v>
      </c>
      <c r="L470" s="1520">
        <v>46211</v>
      </c>
      <c r="M470" s="1520">
        <v>46211</v>
      </c>
      <c r="N470" t="s">
        <v>973</v>
      </c>
      <c r="O470" s="1520">
        <v>46204</v>
      </c>
      <c r="P470" s="1520">
        <v>46211</v>
      </c>
    </row>
    <row r="471" spans="1:16">
      <c r="A471" t="s">
        <v>2362</v>
      </c>
      <c r="B471" t="s">
        <v>64</v>
      </c>
      <c r="C471" t="s">
        <v>114</v>
      </c>
      <c r="D471" t="s">
        <v>550</v>
      </c>
      <c r="E471" t="s">
        <v>551</v>
      </c>
      <c r="F471" t="s">
        <v>2151</v>
      </c>
      <c r="G471">
        <v>1584</v>
      </c>
      <c r="H471" t="s">
        <v>75</v>
      </c>
      <c r="I471" t="s">
        <v>2363</v>
      </c>
      <c r="J471" s="1520">
        <v>46147</v>
      </c>
      <c r="K471" s="1520">
        <v>46184</v>
      </c>
      <c r="L471" s="1520">
        <v>46185</v>
      </c>
      <c r="M471" s="1520">
        <v>46192</v>
      </c>
      <c r="N471" t="s">
        <v>973</v>
      </c>
      <c r="O471" s="1520">
        <v>46206</v>
      </c>
      <c r="P471" s="1520">
        <v>46201</v>
      </c>
    </row>
    <row r="472" spans="1:16">
      <c r="A472" t="s">
        <v>2356</v>
      </c>
      <c r="B472" t="s">
        <v>64</v>
      </c>
      <c r="C472" t="s">
        <v>310</v>
      </c>
      <c r="D472" t="s">
        <v>550</v>
      </c>
      <c r="E472" t="s">
        <v>551</v>
      </c>
      <c r="F472" t="s">
        <v>2151</v>
      </c>
      <c r="G472">
        <v>1584</v>
      </c>
      <c r="H472" t="s">
        <v>75</v>
      </c>
      <c r="I472" t="s">
        <v>2358</v>
      </c>
      <c r="J472" s="1520">
        <v>46147</v>
      </c>
      <c r="K472" s="1520">
        <v>46206</v>
      </c>
      <c r="L472" s="1520"/>
      <c r="M472" s="1520">
        <v>46205</v>
      </c>
      <c r="N472" t="s">
        <v>973</v>
      </c>
      <c r="O472" s="1520">
        <v>46219</v>
      </c>
      <c r="P472" s="1520">
        <v>46215</v>
      </c>
    </row>
    <row r="473" spans="1:16">
      <c r="A473" t="s">
        <v>2332</v>
      </c>
      <c r="B473" t="s">
        <v>64</v>
      </c>
      <c r="C473" t="s">
        <v>100</v>
      </c>
      <c r="D473" t="s">
        <v>550</v>
      </c>
      <c r="E473" t="s">
        <v>2134</v>
      </c>
      <c r="F473" t="s">
        <v>2135</v>
      </c>
      <c r="G473">
        <v>1584</v>
      </c>
      <c r="H473" t="s">
        <v>75</v>
      </c>
      <c r="I473" t="s">
        <v>2333</v>
      </c>
      <c r="J473" s="1520">
        <v>46144</v>
      </c>
      <c r="K473" s="1520">
        <v>46186</v>
      </c>
      <c r="L473" s="1520">
        <v>46200</v>
      </c>
      <c r="M473" s="1520">
        <v>46201</v>
      </c>
      <c r="N473" t="s">
        <v>973</v>
      </c>
      <c r="O473" s="1520">
        <v>46213</v>
      </c>
      <c r="P473" s="1520">
        <v>46208</v>
      </c>
    </row>
    <row r="474" spans="1:16">
      <c r="A474" t="s">
        <v>2342</v>
      </c>
      <c r="B474" t="s">
        <v>64</v>
      </c>
      <c r="C474" t="s">
        <v>65</v>
      </c>
      <c r="D474" t="s">
        <v>550</v>
      </c>
      <c r="E474" t="s">
        <v>551</v>
      </c>
      <c r="F474" t="s">
        <v>2151</v>
      </c>
      <c r="G474">
        <v>1584</v>
      </c>
      <c r="H474" t="s">
        <v>75</v>
      </c>
      <c r="I474" t="s">
        <v>2344</v>
      </c>
      <c r="J474" s="1520">
        <v>46147</v>
      </c>
      <c r="K474" s="1520">
        <v>46189</v>
      </c>
      <c r="L474" s="1520">
        <v>46196</v>
      </c>
      <c r="M474" s="1520">
        <v>46196</v>
      </c>
      <c r="N474" t="s">
        <v>973</v>
      </c>
      <c r="O474" s="1520">
        <v>46209</v>
      </c>
      <c r="P474" s="1520">
        <v>46204</v>
      </c>
    </row>
    <row r="475" spans="1:16">
      <c r="A475" t="s">
        <v>2327</v>
      </c>
      <c r="B475" t="s">
        <v>64</v>
      </c>
      <c r="C475" t="s">
        <v>100</v>
      </c>
      <c r="D475" t="s">
        <v>550</v>
      </c>
      <c r="E475" t="s">
        <v>551</v>
      </c>
      <c r="F475" t="s">
        <v>2151</v>
      </c>
      <c r="G475">
        <v>1584</v>
      </c>
      <c r="H475" t="s">
        <v>75</v>
      </c>
      <c r="I475" t="s">
        <v>2329</v>
      </c>
      <c r="J475" s="1520">
        <v>46144</v>
      </c>
      <c r="K475" s="1520">
        <v>46186</v>
      </c>
      <c r="L475" s="1520">
        <v>46200</v>
      </c>
      <c r="M475" s="1520">
        <v>46201</v>
      </c>
      <c r="N475" t="s">
        <v>973</v>
      </c>
      <c r="O475" s="1520">
        <v>46213</v>
      </c>
      <c r="P475" s="1520">
        <v>46208</v>
      </c>
    </row>
    <row r="476" spans="1:16">
      <c r="A476" t="s">
        <v>1016</v>
      </c>
      <c r="B476" t="s">
        <v>64</v>
      </c>
      <c r="C476" t="s">
        <v>100</v>
      </c>
      <c r="D476" t="s">
        <v>70</v>
      </c>
      <c r="E476" t="s">
        <v>195</v>
      </c>
      <c r="F476" t="s">
        <v>196</v>
      </c>
      <c r="G476">
        <v>3744</v>
      </c>
      <c r="H476" t="s">
        <v>75</v>
      </c>
      <c r="I476" t="s">
        <v>2324</v>
      </c>
      <c r="J476" s="1520">
        <v>46144</v>
      </c>
      <c r="K476" s="1520">
        <v>46186</v>
      </c>
      <c r="L476" s="1520">
        <v>46200</v>
      </c>
      <c r="M476" s="1520">
        <v>46201</v>
      </c>
      <c r="N476" t="s">
        <v>973</v>
      </c>
      <c r="O476" s="1520">
        <v>46213</v>
      </c>
      <c r="P476" s="1520">
        <v>46208</v>
      </c>
    </row>
    <row r="477" spans="1:16">
      <c r="A477" t="s">
        <v>2318</v>
      </c>
      <c r="B477" t="s">
        <v>64</v>
      </c>
      <c r="C477" t="s">
        <v>65</v>
      </c>
      <c r="D477" t="s">
        <v>550</v>
      </c>
      <c r="E477" t="s">
        <v>551</v>
      </c>
      <c r="F477" t="s">
        <v>2151</v>
      </c>
      <c r="G477">
        <v>3168</v>
      </c>
      <c r="H477" t="s">
        <v>75</v>
      </c>
      <c r="I477" t="s">
        <v>2320</v>
      </c>
      <c r="J477" s="1520">
        <v>46144</v>
      </c>
      <c r="K477" s="1520">
        <v>46181</v>
      </c>
      <c r="L477" s="1520">
        <v>46183</v>
      </c>
      <c r="M477" s="1520">
        <v>46183</v>
      </c>
      <c r="N477" t="s">
        <v>973</v>
      </c>
      <c r="O477" s="1520">
        <v>46198</v>
      </c>
      <c r="P477" s="1520">
        <v>46193</v>
      </c>
    </row>
    <row r="478" spans="1:16">
      <c r="A478" t="s">
        <v>2316</v>
      </c>
      <c r="B478" t="s">
        <v>64</v>
      </c>
      <c r="C478">
        <v>0</v>
      </c>
      <c r="D478" t="s">
        <v>70</v>
      </c>
      <c r="E478" t="s">
        <v>2299</v>
      </c>
      <c r="F478" t="s">
        <v>1682</v>
      </c>
      <c r="G478">
        <v>2970</v>
      </c>
      <c r="H478" t="s">
        <v>75</v>
      </c>
      <c r="I478" t="s">
        <v>2317</v>
      </c>
      <c r="J478" s="1520">
        <v>46148</v>
      </c>
      <c r="K478" s="1520">
        <v>46199</v>
      </c>
      <c r="L478" s="1520">
        <v>46210</v>
      </c>
      <c r="M478" s="1520">
        <v>46211</v>
      </c>
      <c r="N478" t="s">
        <v>973</v>
      </c>
      <c r="O478" s="1520">
        <v>46231</v>
      </c>
      <c r="P478" s="1520">
        <v>46218</v>
      </c>
    </row>
    <row r="479" spans="1:16">
      <c r="A479" t="s">
        <v>2310</v>
      </c>
      <c r="B479" t="s">
        <v>64</v>
      </c>
      <c r="C479">
        <v>0</v>
      </c>
      <c r="D479" t="s">
        <v>70</v>
      </c>
      <c r="E479" t="s">
        <v>2308</v>
      </c>
      <c r="F479" t="s">
        <v>1484</v>
      </c>
      <c r="G479">
        <v>2970</v>
      </c>
      <c r="H479" t="s">
        <v>75</v>
      </c>
      <c r="I479" t="s">
        <v>2311</v>
      </c>
      <c r="J479" s="1520">
        <v>46148</v>
      </c>
      <c r="K479" s="1520">
        <v>46199</v>
      </c>
      <c r="L479" s="1520">
        <v>46210</v>
      </c>
      <c r="M479" s="1520">
        <v>46211</v>
      </c>
      <c r="N479" t="s">
        <v>973</v>
      </c>
      <c r="O479" s="1520">
        <v>46231</v>
      </c>
      <c r="P479" s="1520">
        <v>46218</v>
      </c>
    </row>
    <row r="480" spans="1:16">
      <c r="A480" t="s">
        <v>4454</v>
      </c>
      <c r="B480" t="s">
        <v>64</v>
      </c>
      <c r="C480" t="s">
        <v>114</v>
      </c>
      <c r="D480" t="s">
        <v>550</v>
      </c>
      <c r="E480" t="s">
        <v>2134</v>
      </c>
      <c r="F480" t="s">
        <v>2135</v>
      </c>
      <c r="G480">
        <v>792</v>
      </c>
      <c r="H480" t="s">
        <v>75</v>
      </c>
      <c r="I480" t="s">
        <v>4455</v>
      </c>
      <c r="J480" s="1520">
        <v>46148</v>
      </c>
      <c r="K480" s="1520">
        <v>46205</v>
      </c>
      <c r="L480" s="1520"/>
      <c r="M480" s="1520">
        <v>46205</v>
      </c>
      <c r="N480" t="s">
        <v>973</v>
      </c>
      <c r="O480" s="1520">
        <v>46218</v>
      </c>
      <c r="P480" s="1520">
        <v>46214</v>
      </c>
    </row>
    <row r="481" spans="1:16">
      <c r="A481" t="s">
        <v>4433</v>
      </c>
      <c r="B481" t="s">
        <v>64</v>
      </c>
      <c r="C481" t="s">
        <v>450</v>
      </c>
      <c r="D481" t="s">
        <v>550</v>
      </c>
      <c r="E481" t="s">
        <v>2134</v>
      </c>
      <c r="F481" t="s">
        <v>2135</v>
      </c>
      <c r="G481">
        <v>792</v>
      </c>
      <c r="H481" t="s">
        <v>75</v>
      </c>
      <c r="I481" t="s">
        <v>4434</v>
      </c>
      <c r="J481" s="1520">
        <v>46148</v>
      </c>
      <c r="K481" s="1520">
        <v>46201</v>
      </c>
      <c r="L481" s="1520">
        <v>46208</v>
      </c>
      <c r="M481" s="1520">
        <v>46208</v>
      </c>
      <c r="N481" t="s">
        <v>973</v>
      </c>
      <c r="O481" s="1520">
        <v>46223</v>
      </c>
      <c r="P481" s="1520">
        <v>46215</v>
      </c>
    </row>
    <row r="482" spans="1:16">
      <c r="A482" t="s">
        <v>2421</v>
      </c>
      <c r="B482" t="s">
        <v>64</v>
      </c>
      <c r="C482" t="s">
        <v>100</v>
      </c>
      <c r="D482" t="s">
        <v>132</v>
      </c>
      <c r="E482" t="s">
        <v>1062</v>
      </c>
      <c r="F482" t="s">
        <v>1063</v>
      </c>
      <c r="G482">
        <v>6912</v>
      </c>
      <c r="H482" t="s">
        <v>75</v>
      </c>
      <c r="I482" t="s">
        <v>2424</v>
      </c>
      <c r="J482" s="1520">
        <v>46152</v>
      </c>
      <c r="K482" s="1520">
        <v>46189</v>
      </c>
      <c r="L482" s="1520">
        <v>46197</v>
      </c>
      <c r="M482" s="1520">
        <v>46197</v>
      </c>
      <c r="N482" t="s">
        <v>973</v>
      </c>
      <c r="O482" s="1520">
        <v>46211</v>
      </c>
      <c r="P482" s="1520">
        <v>46204</v>
      </c>
    </row>
    <row r="483" spans="1:16">
      <c r="A483" t="s">
        <v>2407</v>
      </c>
      <c r="B483" t="s">
        <v>144</v>
      </c>
      <c r="C483" t="s">
        <v>145</v>
      </c>
      <c r="D483" t="s">
        <v>70</v>
      </c>
      <c r="E483" t="s">
        <v>195</v>
      </c>
      <c r="F483" t="s">
        <v>196</v>
      </c>
      <c r="G483">
        <v>1872</v>
      </c>
      <c r="H483" t="s">
        <v>75</v>
      </c>
      <c r="I483" t="s">
        <v>2409</v>
      </c>
      <c r="J483" s="1520">
        <v>46150</v>
      </c>
      <c r="K483" s="1520">
        <v>46191</v>
      </c>
      <c r="L483" s="1520">
        <v>46196</v>
      </c>
      <c r="M483" s="1520">
        <v>46196</v>
      </c>
      <c r="N483" t="s">
        <v>973</v>
      </c>
      <c r="O483" s="1520">
        <v>46191</v>
      </c>
      <c r="P483" s="1520">
        <v>46196</v>
      </c>
    </row>
    <row r="484" spans="1:16">
      <c r="A484" t="s">
        <v>4450</v>
      </c>
      <c r="B484" t="s">
        <v>64</v>
      </c>
      <c r="C484" t="s">
        <v>114</v>
      </c>
      <c r="D484" t="s">
        <v>550</v>
      </c>
      <c r="E484" t="s">
        <v>2134</v>
      </c>
      <c r="F484" t="s">
        <v>2135</v>
      </c>
      <c r="G484">
        <v>792</v>
      </c>
      <c r="H484" t="s">
        <v>75</v>
      </c>
      <c r="I484" t="s">
        <v>4451</v>
      </c>
      <c r="J484" s="1520">
        <v>46155</v>
      </c>
      <c r="K484" s="1520">
        <v>46204</v>
      </c>
      <c r="L484" s="1520"/>
      <c r="M484" s="1520">
        <v>46204</v>
      </c>
      <c r="N484" t="s">
        <v>973</v>
      </c>
      <c r="O484" s="1520">
        <v>46218</v>
      </c>
      <c r="P484" s="1520">
        <v>46213</v>
      </c>
    </row>
    <row r="485" spans="1:16">
      <c r="A485" t="s">
        <v>4442</v>
      </c>
      <c r="B485" t="s">
        <v>64</v>
      </c>
      <c r="C485" t="s">
        <v>65</v>
      </c>
      <c r="D485" t="s">
        <v>550</v>
      </c>
      <c r="E485" t="s">
        <v>551</v>
      </c>
      <c r="F485" t="s">
        <v>2151</v>
      </c>
      <c r="G485">
        <v>3168</v>
      </c>
      <c r="H485" t="s">
        <v>75</v>
      </c>
      <c r="I485" t="s">
        <v>4443</v>
      </c>
      <c r="J485" s="1520">
        <v>46155</v>
      </c>
      <c r="K485" s="1520">
        <v>46216</v>
      </c>
      <c r="L485" s="1520"/>
      <c r="M485" s="1520">
        <v>46215</v>
      </c>
      <c r="N485" t="s">
        <v>973</v>
      </c>
      <c r="O485" s="1520">
        <v>46230</v>
      </c>
      <c r="P485" s="1520">
        <v>46223</v>
      </c>
    </row>
    <row r="486" spans="1:16">
      <c r="A486" t="s">
        <v>4438</v>
      </c>
      <c r="B486" t="s">
        <v>64</v>
      </c>
      <c r="C486" t="s">
        <v>100</v>
      </c>
      <c r="D486" t="s">
        <v>550</v>
      </c>
      <c r="E486" t="s">
        <v>2134</v>
      </c>
      <c r="F486" t="s">
        <v>2135</v>
      </c>
      <c r="G486">
        <v>3960</v>
      </c>
      <c r="H486" t="s">
        <v>75</v>
      </c>
      <c r="I486" t="s">
        <v>4439</v>
      </c>
      <c r="J486" s="1520">
        <v>46155</v>
      </c>
      <c r="K486" s="1520">
        <v>46196</v>
      </c>
      <c r="L486" s="1520"/>
      <c r="M486" s="1520">
        <v>46203</v>
      </c>
      <c r="N486" t="s">
        <v>973</v>
      </c>
      <c r="O486" s="1520">
        <v>46217</v>
      </c>
      <c r="P486" s="1520">
        <v>46210</v>
      </c>
    </row>
    <row r="487" spans="1:16">
      <c r="A487" t="s">
        <v>4446</v>
      </c>
      <c r="B487" t="s">
        <v>64</v>
      </c>
      <c r="C487" t="s">
        <v>65</v>
      </c>
      <c r="D487" t="s">
        <v>550</v>
      </c>
      <c r="E487" t="s">
        <v>551</v>
      </c>
      <c r="F487" t="s">
        <v>2151</v>
      </c>
      <c r="G487">
        <v>792</v>
      </c>
      <c r="H487" t="s">
        <v>75</v>
      </c>
      <c r="I487" t="s">
        <v>4447</v>
      </c>
      <c r="J487" s="1520">
        <v>46155</v>
      </c>
      <c r="K487" s="1520">
        <v>46210</v>
      </c>
      <c r="L487" s="1520"/>
      <c r="M487" s="1520">
        <v>46211</v>
      </c>
      <c r="N487" t="s">
        <v>973</v>
      </c>
      <c r="O487" s="1520">
        <v>46225</v>
      </c>
      <c r="P487" s="1520">
        <v>46219</v>
      </c>
    </row>
    <row r="488" spans="1:16">
      <c r="A488" t="s">
        <v>2447</v>
      </c>
      <c r="B488" t="s">
        <v>64</v>
      </c>
      <c r="C488" t="s">
        <v>65</v>
      </c>
      <c r="D488" t="s">
        <v>550</v>
      </c>
      <c r="E488" t="s">
        <v>551</v>
      </c>
      <c r="F488" t="s">
        <v>2151</v>
      </c>
      <c r="G488">
        <v>792</v>
      </c>
      <c r="H488" t="s">
        <v>75</v>
      </c>
      <c r="I488" t="s">
        <v>2448</v>
      </c>
      <c r="J488" s="1520">
        <v>46155</v>
      </c>
      <c r="K488" s="1520">
        <v>46203</v>
      </c>
      <c r="L488" s="1520"/>
      <c r="M488" s="1520">
        <v>46202</v>
      </c>
      <c r="N488" t="s">
        <v>973</v>
      </c>
      <c r="O488" s="1520">
        <v>46217</v>
      </c>
      <c r="P488" s="1520">
        <v>46212</v>
      </c>
    </row>
    <row r="489" spans="1:16">
      <c r="A489" t="s">
        <v>2437</v>
      </c>
      <c r="B489" t="s">
        <v>64</v>
      </c>
      <c r="C489" t="s">
        <v>310</v>
      </c>
      <c r="D489" t="s">
        <v>170</v>
      </c>
      <c r="E489" t="s">
        <v>1977</v>
      </c>
      <c r="F489" t="s">
        <v>1978</v>
      </c>
      <c r="G489">
        <v>5280</v>
      </c>
      <c r="H489" t="s">
        <v>75</v>
      </c>
      <c r="I489" t="s">
        <v>2440</v>
      </c>
      <c r="J489" s="1520">
        <v>46157</v>
      </c>
      <c r="K489" s="1520">
        <v>46204</v>
      </c>
      <c r="L489" s="1520">
        <v>46205</v>
      </c>
      <c r="M489" s="1520">
        <v>46205</v>
      </c>
      <c r="N489" t="s">
        <v>973</v>
      </c>
      <c r="O489" s="1520">
        <v>46219</v>
      </c>
      <c r="P489" s="1520">
        <v>46215</v>
      </c>
    </row>
    <row r="490" spans="1:16">
      <c r="A490" t="s">
        <v>2444</v>
      </c>
      <c r="B490" t="s">
        <v>64</v>
      </c>
      <c r="C490" t="s">
        <v>310</v>
      </c>
      <c r="D490" t="s">
        <v>550</v>
      </c>
      <c r="E490" t="s">
        <v>2134</v>
      </c>
      <c r="F490" t="s">
        <v>2135</v>
      </c>
      <c r="G490">
        <v>3960</v>
      </c>
      <c r="H490" t="s">
        <v>75</v>
      </c>
      <c r="I490" t="s">
        <v>2446</v>
      </c>
      <c r="J490" s="1520">
        <v>46157</v>
      </c>
      <c r="K490" s="1520">
        <v>46204</v>
      </c>
      <c r="L490" s="1520">
        <v>46205</v>
      </c>
      <c r="M490" s="1520">
        <v>46205</v>
      </c>
      <c r="N490" t="s">
        <v>973</v>
      </c>
      <c r="O490" s="1520">
        <v>46219</v>
      </c>
      <c r="P490" s="1520">
        <v>46215</v>
      </c>
    </row>
    <row r="491" spans="1:16">
      <c r="A491" t="s">
        <v>2118</v>
      </c>
      <c r="B491" t="s">
        <v>64</v>
      </c>
      <c r="C491" t="s">
        <v>100</v>
      </c>
      <c r="D491" t="s">
        <v>70</v>
      </c>
      <c r="E491" t="s">
        <v>195</v>
      </c>
      <c r="F491" t="s">
        <v>196</v>
      </c>
      <c r="G491">
        <v>1872</v>
      </c>
      <c r="H491" t="s">
        <v>75</v>
      </c>
      <c r="I491" t="s">
        <v>2119</v>
      </c>
      <c r="J491" s="1520">
        <v>46129</v>
      </c>
      <c r="K491" s="1520">
        <v>46172</v>
      </c>
      <c r="L491" s="1520">
        <v>46179</v>
      </c>
      <c r="M491" s="1520">
        <v>46180</v>
      </c>
      <c r="N491" t="s">
        <v>973</v>
      </c>
      <c r="O491" s="1520">
        <v>46195</v>
      </c>
      <c r="P491" s="1520">
        <v>46187</v>
      </c>
    </row>
    <row r="492" spans="1:16">
      <c r="A492" t="s">
        <v>2124</v>
      </c>
      <c r="B492" t="s">
        <v>144</v>
      </c>
      <c r="C492" t="s">
        <v>145</v>
      </c>
      <c r="D492" t="s">
        <v>70</v>
      </c>
      <c r="E492" t="s">
        <v>195</v>
      </c>
      <c r="F492" t="s">
        <v>196</v>
      </c>
      <c r="G492">
        <v>4680</v>
      </c>
      <c r="H492" t="s">
        <v>75</v>
      </c>
      <c r="I492" t="s">
        <v>2126</v>
      </c>
      <c r="J492" s="1520">
        <v>46129</v>
      </c>
      <c r="K492" s="1520">
        <v>46172</v>
      </c>
      <c r="L492" s="1520">
        <v>46179</v>
      </c>
      <c r="M492" s="1520">
        <v>46180</v>
      </c>
      <c r="N492" t="s">
        <v>973</v>
      </c>
      <c r="O492" s="1520">
        <v>46178</v>
      </c>
      <c r="P492" s="1520">
        <v>46180</v>
      </c>
    </row>
    <row r="493" spans="1:16">
      <c r="A493" t="s">
        <v>2129</v>
      </c>
      <c r="B493" t="s">
        <v>144</v>
      </c>
      <c r="C493" t="s">
        <v>145</v>
      </c>
      <c r="D493" t="s">
        <v>70</v>
      </c>
      <c r="E493" t="s">
        <v>195</v>
      </c>
      <c r="F493" t="s">
        <v>196</v>
      </c>
      <c r="G493">
        <v>4680</v>
      </c>
      <c r="H493" t="s">
        <v>75</v>
      </c>
      <c r="I493" t="s">
        <v>2130</v>
      </c>
      <c r="J493" s="1520">
        <v>46129</v>
      </c>
      <c r="K493" s="1520">
        <v>46172</v>
      </c>
      <c r="L493" s="1520">
        <v>46179</v>
      </c>
      <c r="M493" s="1520">
        <v>46180</v>
      </c>
      <c r="N493" t="s">
        <v>973</v>
      </c>
      <c r="O493" s="1520">
        <v>46178</v>
      </c>
      <c r="P493" s="1520">
        <v>46180</v>
      </c>
    </row>
    <row r="494" spans="1:16">
      <c r="A494" t="s">
        <v>1387</v>
      </c>
      <c r="B494" t="s">
        <v>64</v>
      </c>
      <c r="C494" t="s">
        <v>100</v>
      </c>
      <c r="D494" t="s">
        <v>70</v>
      </c>
      <c r="E494" t="s">
        <v>195</v>
      </c>
      <c r="F494" t="s">
        <v>196</v>
      </c>
      <c r="G494">
        <v>2808</v>
      </c>
      <c r="H494" t="s">
        <v>75</v>
      </c>
      <c r="I494" t="s">
        <v>1388</v>
      </c>
      <c r="J494" s="1520">
        <v>46088</v>
      </c>
      <c r="K494" s="1520">
        <v>46133</v>
      </c>
      <c r="L494" s="1520">
        <v>46142</v>
      </c>
      <c r="M494" s="1520">
        <v>46141</v>
      </c>
      <c r="N494" t="s">
        <v>973</v>
      </c>
      <c r="O494" s="1520">
        <v>46154</v>
      </c>
      <c r="P494" s="1520">
        <v>46148</v>
      </c>
    </row>
    <row r="495" spans="1:16">
      <c r="A495" t="s">
        <v>4458</v>
      </c>
      <c r="B495" t="s">
        <v>64</v>
      </c>
      <c r="C495">
        <v>0</v>
      </c>
      <c r="D495" t="s">
        <v>70</v>
      </c>
      <c r="E495" t="s">
        <v>2308</v>
      </c>
      <c r="F495" t="s">
        <v>1484</v>
      </c>
      <c r="G495">
        <v>2970</v>
      </c>
      <c r="H495" t="s">
        <v>75</v>
      </c>
      <c r="I495" t="s">
        <v>4460</v>
      </c>
      <c r="J495" s="1520">
        <v>46155</v>
      </c>
      <c r="K495" s="1520">
        <v>46208</v>
      </c>
      <c r="L495" s="1520">
        <v>46212</v>
      </c>
      <c r="M495" s="1520">
        <v>46212</v>
      </c>
      <c r="N495" t="s">
        <v>973</v>
      </c>
      <c r="O495" s="1520">
        <v>46239</v>
      </c>
      <c r="P495" s="1520">
        <v>46219</v>
      </c>
    </row>
    <row r="496" spans="1:16">
      <c r="A496" t="s">
        <v>4465</v>
      </c>
      <c r="B496" t="s">
        <v>64</v>
      </c>
      <c r="C496">
        <v>0</v>
      </c>
      <c r="D496" t="s">
        <v>70</v>
      </c>
      <c r="E496" t="s">
        <v>2299</v>
      </c>
      <c r="F496" t="s">
        <v>1682</v>
      </c>
      <c r="G496">
        <v>1188</v>
      </c>
      <c r="H496" t="s">
        <v>75</v>
      </c>
      <c r="I496" t="s">
        <v>4466</v>
      </c>
      <c r="J496" s="1520">
        <v>46155</v>
      </c>
      <c r="K496" s="1520">
        <v>46208</v>
      </c>
      <c r="L496" s="1520">
        <v>46212</v>
      </c>
      <c r="M496" s="1520">
        <v>46212</v>
      </c>
      <c r="N496" t="s">
        <v>973</v>
      </c>
      <c r="O496" s="1520">
        <v>46239</v>
      </c>
      <c r="P496" s="1520">
        <v>46219</v>
      </c>
    </row>
    <row r="497" spans="1:16">
      <c r="A497" t="s">
        <v>4467</v>
      </c>
      <c r="B497" t="s">
        <v>64</v>
      </c>
      <c r="C497">
        <v>0</v>
      </c>
      <c r="D497" t="s">
        <v>70</v>
      </c>
      <c r="E497" t="s">
        <v>2299</v>
      </c>
      <c r="F497" t="s">
        <v>1682</v>
      </c>
      <c r="G497">
        <v>1782</v>
      </c>
      <c r="H497" t="s">
        <v>75</v>
      </c>
      <c r="I497" t="s">
        <v>4468</v>
      </c>
      <c r="J497" s="1520">
        <v>46155</v>
      </c>
      <c r="K497" s="1520">
        <v>46208</v>
      </c>
      <c r="L497" s="1520">
        <v>46212</v>
      </c>
      <c r="M497" s="1520">
        <v>46212</v>
      </c>
      <c r="N497" t="s">
        <v>973</v>
      </c>
      <c r="O497" s="1520">
        <v>46239</v>
      </c>
      <c r="P497" s="1520">
        <v>46219</v>
      </c>
    </row>
    <row r="498" spans="1:16">
      <c r="A498" t="s">
        <v>4472</v>
      </c>
      <c r="B498" t="s">
        <v>64</v>
      </c>
      <c r="C498" t="s">
        <v>450</v>
      </c>
      <c r="D498" t="s">
        <v>132</v>
      </c>
      <c r="E498" t="s">
        <v>1062</v>
      </c>
      <c r="F498" t="s">
        <v>1063</v>
      </c>
      <c r="G498">
        <v>2592</v>
      </c>
      <c r="H498" t="s">
        <v>75</v>
      </c>
      <c r="I498" t="s">
        <v>4473</v>
      </c>
      <c r="J498" s="1520">
        <v>46160</v>
      </c>
      <c r="K498" s="1520">
        <v>46201</v>
      </c>
      <c r="L498" s="1520"/>
      <c r="M498" s="1520">
        <v>46200</v>
      </c>
      <c r="N498" t="s">
        <v>973</v>
      </c>
      <c r="O498" s="1520">
        <v>46216</v>
      </c>
      <c r="P498" s="1520">
        <v>46207</v>
      </c>
    </row>
    <row r="499" spans="1:16">
      <c r="A499" t="s">
        <v>4477</v>
      </c>
      <c r="B499" t="s">
        <v>64</v>
      </c>
      <c r="C499" t="s">
        <v>450</v>
      </c>
      <c r="D499" t="s">
        <v>550</v>
      </c>
      <c r="E499" t="s">
        <v>2134</v>
      </c>
      <c r="F499" t="s">
        <v>2135</v>
      </c>
      <c r="G499">
        <v>1584</v>
      </c>
      <c r="H499" t="s">
        <v>75</v>
      </c>
      <c r="I499" t="s">
        <v>4478</v>
      </c>
      <c r="J499" s="1520">
        <v>46158</v>
      </c>
      <c r="K499" s="1520">
        <v>46199</v>
      </c>
      <c r="L499" s="1520"/>
      <c r="M499" s="1520">
        <v>46202</v>
      </c>
      <c r="N499" t="s">
        <v>973</v>
      </c>
      <c r="O499" s="1520">
        <v>46217</v>
      </c>
      <c r="P499" s="1520">
        <v>46209</v>
      </c>
    </row>
    <row r="500" spans="1:16">
      <c r="A500" t="s">
        <v>4482</v>
      </c>
      <c r="B500" t="s">
        <v>64</v>
      </c>
      <c r="C500" t="s">
        <v>100</v>
      </c>
      <c r="D500" t="s">
        <v>170</v>
      </c>
      <c r="E500" t="s">
        <v>1977</v>
      </c>
      <c r="F500" t="s">
        <v>1978</v>
      </c>
      <c r="G500">
        <v>1980</v>
      </c>
      <c r="H500" t="s">
        <v>75</v>
      </c>
      <c r="I500" t="s">
        <v>4484</v>
      </c>
      <c r="J500" s="1520">
        <v>46161</v>
      </c>
      <c r="K500" s="1520">
        <v>46196</v>
      </c>
      <c r="L500" s="1520"/>
      <c r="M500" s="1520">
        <v>46203</v>
      </c>
      <c r="N500" t="s">
        <v>973</v>
      </c>
      <c r="O500" s="1520">
        <v>46217</v>
      </c>
      <c r="P500" s="1520">
        <v>46210</v>
      </c>
    </row>
    <row r="501" spans="1:16">
      <c r="A501" t="s">
        <v>4487</v>
      </c>
      <c r="B501" t="s">
        <v>64</v>
      </c>
      <c r="C501" t="s">
        <v>100</v>
      </c>
      <c r="D501" t="s">
        <v>132</v>
      </c>
      <c r="E501" t="s">
        <v>1062</v>
      </c>
      <c r="F501" t="s">
        <v>1063</v>
      </c>
      <c r="G501">
        <v>4320</v>
      </c>
      <c r="H501" t="s">
        <v>75</v>
      </c>
      <c r="I501" t="s">
        <v>4488</v>
      </c>
      <c r="J501" s="1520">
        <v>46161</v>
      </c>
      <c r="K501" s="1520">
        <v>46196</v>
      </c>
      <c r="L501" s="1520"/>
      <c r="M501" s="1520">
        <v>46203</v>
      </c>
      <c r="N501" t="s">
        <v>973</v>
      </c>
      <c r="O501" s="1520">
        <v>46217</v>
      </c>
      <c r="P501" s="1520">
        <v>46210</v>
      </c>
    </row>
    <row r="502" spans="1:16">
      <c r="A502" t="s">
        <v>4489</v>
      </c>
      <c r="B502" t="s">
        <v>64</v>
      </c>
      <c r="C502" t="s">
        <v>100</v>
      </c>
      <c r="D502" t="s">
        <v>132</v>
      </c>
      <c r="E502" t="s">
        <v>1062</v>
      </c>
      <c r="F502" t="s">
        <v>1063</v>
      </c>
      <c r="G502">
        <v>5184</v>
      </c>
      <c r="H502" t="s">
        <v>75</v>
      </c>
      <c r="I502" t="s">
        <v>4490</v>
      </c>
      <c r="J502" s="1520">
        <v>46158</v>
      </c>
      <c r="K502" s="1520">
        <v>46202</v>
      </c>
      <c r="L502" s="1520">
        <v>46210</v>
      </c>
      <c r="M502" s="1520">
        <v>46211</v>
      </c>
      <c r="N502" t="s">
        <v>973</v>
      </c>
      <c r="O502" s="1520">
        <v>46225</v>
      </c>
      <c r="P502" s="1520">
        <v>46218</v>
      </c>
    </row>
    <row r="503" spans="1:16">
      <c r="A503" t="s">
        <v>4494</v>
      </c>
      <c r="B503" t="s">
        <v>64</v>
      </c>
      <c r="C503" t="s">
        <v>100</v>
      </c>
      <c r="D503" t="s">
        <v>4495</v>
      </c>
      <c r="E503" t="s">
        <v>4496</v>
      </c>
      <c r="F503" t="s">
        <v>4497</v>
      </c>
      <c r="G503">
        <v>720</v>
      </c>
      <c r="H503" t="s">
        <v>75</v>
      </c>
      <c r="I503" t="s">
        <v>4498</v>
      </c>
      <c r="J503" s="1520">
        <v>46160</v>
      </c>
      <c r="K503" s="1520">
        <v>46196</v>
      </c>
      <c r="L503" s="1520"/>
      <c r="M503" s="1520">
        <v>46203</v>
      </c>
      <c r="N503" t="s">
        <v>973</v>
      </c>
      <c r="O503" s="1520">
        <v>46217</v>
      </c>
      <c r="P503" s="1520">
        <v>46210</v>
      </c>
    </row>
    <row r="504" spans="1:16">
      <c r="A504" t="s">
        <v>4509</v>
      </c>
      <c r="B504" t="s">
        <v>64</v>
      </c>
      <c r="C504" t="s">
        <v>65</v>
      </c>
      <c r="D504" t="s">
        <v>132</v>
      </c>
      <c r="E504" t="s">
        <v>1062</v>
      </c>
      <c r="F504" t="s">
        <v>1063</v>
      </c>
      <c r="G504">
        <v>5184</v>
      </c>
      <c r="H504" t="s">
        <v>75</v>
      </c>
      <c r="I504" t="s">
        <v>4511</v>
      </c>
      <c r="J504" s="1520">
        <v>46161</v>
      </c>
      <c r="K504" s="1520">
        <v>46203</v>
      </c>
      <c r="L504" s="1520">
        <v>46207</v>
      </c>
      <c r="M504" s="1520">
        <v>46207</v>
      </c>
      <c r="N504" t="s">
        <v>973</v>
      </c>
      <c r="O504" s="1520">
        <v>46220</v>
      </c>
      <c r="P504" s="1520">
        <v>46215</v>
      </c>
    </row>
    <row r="505" spans="1:16">
      <c r="A505" t="s">
        <v>4518</v>
      </c>
      <c r="B505" t="s">
        <v>64</v>
      </c>
      <c r="C505" t="s">
        <v>310</v>
      </c>
      <c r="D505" t="s">
        <v>473</v>
      </c>
      <c r="E505" t="s">
        <v>529</v>
      </c>
      <c r="F505" t="s">
        <v>1311</v>
      </c>
      <c r="G505">
        <v>6048</v>
      </c>
      <c r="H505" t="s">
        <v>75</v>
      </c>
      <c r="I505" t="s">
        <v>4519</v>
      </c>
      <c r="J505" s="1520">
        <v>46164</v>
      </c>
      <c r="K505" s="1520">
        <v>46211</v>
      </c>
      <c r="L505" s="1520">
        <v>46218</v>
      </c>
      <c r="M505" s="1520">
        <v>46217</v>
      </c>
      <c r="N505" t="s">
        <v>973</v>
      </c>
      <c r="O505" s="1520">
        <v>46232</v>
      </c>
      <c r="P505" s="1520">
        <v>46227</v>
      </c>
    </row>
    <row r="506" spans="1:16">
      <c r="A506" t="s">
        <v>4526</v>
      </c>
      <c r="B506" t="s">
        <v>144</v>
      </c>
      <c r="C506" t="s">
        <v>145</v>
      </c>
      <c r="D506" t="s">
        <v>4495</v>
      </c>
      <c r="E506" t="s">
        <v>4529</v>
      </c>
      <c r="F506" t="s">
        <v>4530</v>
      </c>
      <c r="G506">
        <v>2160</v>
      </c>
      <c r="H506" t="s">
        <v>75</v>
      </c>
      <c r="I506" t="s">
        <v>4531</v>
      </c>
      <c r="J506" s="1520">
        <v>46161</v>
      </c>
      <c r="K506" s="1520">
        <v>46205</v>
      </c>
      <c r="L506" s="1520"/>
      <c r="M506" s="1520">
        <v>46205</v>
      </c>
      <c r="N506" t="s">
        <v>973</v>
      </c>
      <c r="O506" s="1520">
        <v>46205</v>
      </c>
      <c r="P506" s="1520">
        <v>46205</v>
      </c>
    </row>
    <row r="507" spans="1:16">
      <c r="A507" t="s">
        <v>4535</v>
      </c>
      <c r="B507" t="s">
        <v>64</v>
      </c>
      <c r="C507" t="s">
        <v>114</v>
      </c>
      <c r="D507" t="s">
        <v>473</v>
      </c>
      <c r="E507" t="s">
        <v>474</v>
      </c>
      <c r="F507" t="s">
        <v>1319</v>
      </c>
      <c r="G507">
        <v>1728</v>
      </c>
      <c r="H507" t="s">
        <v>75</v>
      </c>
      <c r="I507" t="s">
        <v>4536</v>
      </c>
      <c r="J507" s="1520">
        <v>46161</v>
      </c>
      <c r="K507" s="1520">
        <v>46205</v>
      </c>
      <c r="L507" s="1520"/>
      <c r="M507" s="1520">
        <v>46205</v>
      </c>
      <c r="N507" t="s">
        <v>973</v>
      </c>
      <c r="O507" s="1520">
        <v>46219</v>
      </c>
      <c r="P507" s="1520">
        <v>46214</v>
      </c>
    </row>
    <row r="508" spans="1:16">
      <c r="A508" t="s">
        <v>4539</v>
      </c>
      <c r="B508" t="s">
        <v>64</v>
      </c>
      <c r="C508" t="s">
        <v>450</v>
      </c>
      <c r="D508" t="s">
        <v>4540</v>
      </c>
      <c r="E508" t="s">
        <v>1151</v>
      </c>
      <c r="F508" t="s">
        <v>421</v>
      </c>
      <c r="G508">
        <v>864</v>
      </c>
      <c r="H508" t="s">
        <v>75</v>
      </c>
      <c r="I508" t="s">
        <v>4542</v>
      </c>
      <c r="J508" s="1520">
        <v>46164</v>
      </c>
      <c r="K508" s="1520">
        <v>46216</v>
      </c>
      <c r="L508" s="1520"/>
      <c r="M508" s="1520">
        <v>46215</v>
      </c>
      <c r="N508" t="s">
        <v>973</v>
      </c>
      <c r="O508" s="1520">
        <v>46230</v>
      </c>
      <c r="P508" s="1520">
        <v>46222</v>
      </c>
    </row>
    <row r="509" spans="1:16">
      <c r="A509" t="s">
        <v>4546</v>
      </c>
      <c r="B509" t="s">
        <v>64</v>
      </c>
      <c r="C509" t="s">
        <v>100</v>
      </c>
      <c r="D509" t="s">
        <v>4540</v>
      </c>
      <c r="E509" t="s">
        <v>1151</v>
      </c>
      <c r="F509" t="s">
        <v>421</v>
      </c>
      <c r="G509">
        <v>4320</v>
      </c>
      <c r="H509" t="s">
        <v>75</v>
      </c>
      <c r="I509" t="s">
        <v>4547</v>
      </c>
      <c r="J509" s="1520">
        <v>46164</v>
      </c>
      <c r="K509" s="1520">
        <v>46203</v>
      </c>
      <c r="L509" s="1520">
        <v>46210</v>
      </c>
      <c r="M509" s="1520">
        <v>46211</v>
      </c>
      <c r="N509" t="s">
        <v>973</v>
      </c>
      <c r="O509" s="1520">
        <v>46225</v>
      </c>
      <c r="P509" s="1520">
        <v>46218</v>
      </c>
    </row>
    <row r="510" spans="1:16">
      <c r="A510" t="s">
        <v>4553</v>
      </c>
      <c r="B510" t="s">
        <v>144</v>
      </c>
      <c r="C510" t="s">
        <v>145</v>
      </c>
      <c r="D510" t="s">
        <v>4540</v>
      </c>
      <c r="E510" t="s">
        <v>71</v>
      </c>
      <c r="F510" t="s">
        <v>72</v>
      </c>
      <c r="G510">
        <v>864</v>
      </c>
      <c r="H510" t="s">
        <v>75</v>
      </c>
      <c r="I510" t="s">
        <v>4556</v>
      </c>
      <c r="J510" s="1520">
        <v>46164</v>
      </c>
      <c r="K510" s="1520">
        <v>46225</v>
      </c>
      <c r="L510" s="1520">
        <v>46226</v>
      </c>
      <c r="M510" s="1520">
        <v>46225</v>
      </c>
      <c r="N510" t="s">
        <v>973</v>
      </c>
      <c r="O510" s="1520">
        <v>46225</v>
      </c>
      <c r="P510" s="1520">
        <v>46225</v>
      </c>
    </row>
    <row r="511" spans="1:16">
      <c r="A511" t="s">
        <v>4550</v>
      </c>
      <c r="B511" t="s">
        <v>64</v>
      </c>
      <c r="C511" t="s">
        <v>100</v>
      </c>
      <c r="D511" t="s">
        <v>70</v>
      </c>
      <c r="E511" t="s">
        <v>195</v>
      </c>
      <c r="F511" t="s">
        <v>196</v>
      </c>
      <c r="G511">
        <v>3744</v>
      </c>
      <c r="H511" t="s">
        <v>75</v>
      </c>
      <c r="I511" t="s">
        <v>4552</v>
      </c>
      <c r="J511" s="1520">
        <v>46164</v>
      </c>
      <c r="K511" s="1520">
        <v>46203</v>
      </c>
      <c r="L511" s="1520">
        <v>46210</v>
      </c>
      <c r="M511" s="1520">
        <v>46211</v>
      </c>
      <c r="N511" t="s">
        <v>973</v>
      </c>
      <c r="O511" s="1520">
        <v>46225</v>
      </c>
      <c r="P511" s="1520">
        <v>46218</v>
      </c>
    </row>
    <row r="512" spans="1:16">
      <c r="A512" t="s">
        <v>4569</v>
      </c>
      <c r="B512" t="s">
        <v>64</v>
      </c>
      <c r="C512" t="s">
        <v>114</v>
      </c>
      <c r="D512" t="s">
        <v>170</v>
      </c>
      <c r="E512" t="s">
        <v>1977</v>
      </c>
      <c r="F512" t="s">
        <v>1978</v>
      </c>
      <c r="G512">
        <v>1320</v>
      </c>
      <c r="H512" t="s">
        <v>75</v>
      </c>
      <c r="I512" t="s">
        <v>4571</v>
      </c>
      <c r="J512" s="1520">
        <v>46164</v>
      </c>
      <c r="K512" s="1520">
        <v>46218</v>
      </c>
      <c r="L512" s="1520">
        <v>46220</v>
      </c>
      <c r="M512" s="1520">
        <v>46221</v>
      </c>
      <c r="N512" t="s">
        <v>973</v>
      </c>
      <c r="O512" s="1520">
        <v>46234</v>
      </c>
      <c r="P512" s="1520">
        <v>46230</v>
      </c>
    </row>
    <row r="513" spans="1:16">
      <c r="A513" t="s">
        <v>4574</v>
      </c>
      <c r="B513" t="s">
        <v>64</v>
      </c>
      <c r="C513" t="s">
        <v>114</v>
      </c>
      <c r="D513" t="s">
        <v>170</v>
      </c>
      <c r="E513" t="s">
        <v>1977</v>
      </c>
      <c r="F513" t="s">
        <v>1978</v>
      </c>
      <c r="G513">
        <v>660</v>
      </c>
      <c r="H513" t="s">
        <v>75</v>
      </c>
      <c r="I513" t="s">
        <v>4575</v>
      </c>
      <c r="J513" s="1520">
        <v>46164</v>
      </c>
      <c r="K513" s="1520">
        <v>46219</v>
      </c>
      <c r="L513" s="1520"/>
      <c r="M513" s="1520">
        <v>46219</v>
      </c>
      <c r="N513" t="s">
        <v>973</v>
      </c>
      <c r="O513" s="1520">
        <v>46233</v>
      </c>
      <c r="P513" s="1520">
        <v>46228</v>
      </c>
    </row>
    <row r="514" spans="1:16">
      <c r="A514" t="s">
        <v>2414</v>
      </c>
      <c r="B514" t="s">
        <v>64</v>
      </c>
      <c r="C514" t="s">
        <v>65</v>
      </c>
      <c r="D514" t="s">
        <v>550</v>
      </c>
      <c r="E514" t="s">
        <v>551</v>
      </c>
      <c r="F514" t="s">
        <v>2151</v>
      </c>
      <c r="G514">
        <v>3168</v>
      </c>
      <c r="H514" t="s">
        <v>75</v>
      </c>
      <c r="I514" t="s">
        <v>2417</v>
      </c>
      <c r="J514" s="1520">
        <v>46158</v>
      </c>
      <c r="K514" s="1520">
        <v>46214</v>
      </c>
      <c r="L514" s="1520"/>
      <c r="M514" s="1520">
        <v>46217</v>
      </c>
      <c r="N514" t="s">
        <v>973</v>
      </c>
      <c r="O514" s="1520">
        <v>46227</v>
      </c>
      <c r="P514" s="1520">
        <v>46227</v>
      </c>
    </row>
    <row r="515" spans="1:16">
      <c r="A515" t="s">
        <v>2435</v>
      </c>
      <c r="B515" t="s">
        <v>64</v>
      </c>
      <c r="C515" t="s">
        <v>450</v>
      </c>
      <c r="D515" t="s">
        <v>473</v>
      </c>
      <c r="E515" t="s">
        <v>474</v>
      </c>
      <c r="F515" t="s">
        <v>1319</v>
      </c>
      <c r="G515">
        <v>1728</v>
      </c>
      <c r="H515" t="s">
        <v>75</v>
      </c>
      <c r="I515" t="s">
        <v>2436</v>
      </c>
      <c r="J515" s="1520">
        <v>46156</v>
      </c>
      <c r="K515" s="1520">
        <v>46193</v>
      </c>
      <c r="L515" s="1520">
        <v>46212</v>
      </c>
      <c r="M515" s="1520">
        <v>46213</v>
      </c>
      <c r="N515" t="s">
        <v>973</v>
      </c>
      <c r="O515" s="1520">
        <v>46226</v>
      </c>
      <c r="P515" s="1520">
        <v>46220</v>
      </c>
    </row>
    <row r="516" spans="1:16">
      <c r="A516" t="s">
        <v>2427</v>
      </c>
      <c r="B516" t="s">
        <v>64</v>
      </c>
      <c r="C516" t="s">
        <v>450</v>
      </c>
      <c r="D516" t="s">
        <v>132</v>
      </c>
      <c r="E516" t="s">
        <v>1062</v>
      </c>
      <c r="F516" t="s">
        <v>1063</v>
      </c>
      <c r="G516">
        <v>1728</v>
      </c>
      <c r="H516" t="s">
        <v>75</v>
      </c>
      <c r="I516" t="s">
        <v>2429</v>
      </c>
      <c r="J516" s="1520">
        <v>46156</v>
      </c>
      <c r="K516" s="1520">
        <v>46193</v>
      </c>
      <c r="L516" s="1520">
        <v>46212</v>
      </c>
      <c r="M516" s="1520">
        <v>46213</v>
      </c>
      <c r="N516" t="s">
        <v>2434</v>
      </c>
      <c r="O516" s="1520">
        <v>46226</v>
      </c>
      <c r="P516" s="1520">
        <v>46220</v>
      </c>
    </row>
    <row r="517" spans="1:16">
      <c r="A517" t="s">
        <v>4515</v>
      </c>
      <c r="B517" t="s">
        <v>64</v>
      </c>
      <c r="C517" t="s">
        <v>65</v>
      </c>
      <c r="D517" t="s">
        <v>132</v>
      </c>
      <c r="E517" t="s">
        <v>1062</v>
      </c>
      <c r="F517" t="s">
        <v>1063</v>
      </c>
      <c r="G517">
        <v>864</v>
      </c>
      <c r="H517" t="s">
        <v>75</v>
      </c>
      <c r="I517" t="s">
        <v>4517</v>
      </c>
      <c r="J517" s="1520">
        <v>46161</v>
      </c>
      <c r="K517" s="1520">
        <v>46203</v>
      </c>
      <c r="L517" s="1520">
        <v>46207</v>
      </c>
      <c r="M517" s="1520">
        <v>46207</v>
      </c>
      <c r="N517" t="s">
        <v>973</v>
      </c>
      <c r="O517" s="1520">
        <v>46220</v>
      </c>
      <c r="P517" s="1520">
        <v>46215</v>
      </c>
    </row>
    <row r="518" spans="1:16">
      <c r="A518" t="s">
        <v>4501</v>
      </c>
      <c r="B518" t="s">
        <v>64</v>
      </c>
      <c r="C518" t="s">
        <v>65</v>
      </c>
      <c r="D518" t="s">
        <v>132</v>
      </c>
      <c r="E518" t="s">
        <v>189</v>
      </c>
      <c r="F518" t="s">
        <v>190</v>
      </c>
      <c r="G518">
        <v>5184</v>
      </c>
      <c r="H518" t="s">
        <v>75</v>
      </c>
      <c r="I518" t="s">
        <v>4503</v>
      </c>
      <c r="J518" s="1520">
        <v>46164</v>
      </c>
      <c r="K518" s="1520">
        <v>46216</v>
      </c>
      <c r="L518" s="1520"/>
      <c r="M518" s="1520">
        <v>46215</v>
      </c>
      <c r="N518" t="s">
        <v>973</v>
      </c>
      <c r="O518" s="1520">
        <v>46230</v>
      </c>
      <c r="P518" s="1520">
        <v>46223</v>
      </c>
    </row>
    <row r="519" spans="1:16">
      <c r="A519" t="s">
        <v>4507</v>
      </c>
      <c r="B519" t="s">
        <v>64</v>
      </c>
      <c r="C519" t="s">
        <v>65</v>
      </c>
      <c r="D519" t="s">
        <v>132</v>
      </c>
      <c r="E519" t="s">
        <v>1062</v>
      </c>
      <c r="F519" t="s">
        <v>1063</v>
      </c>
      <c r="G519">
        <v>864</v>
      </c>
      <c r="H519" t="s">
        <v>75</v>
      </c>
      <c r="I519" t="s">
        <v>4508</v>
      </c>
      <c r="J519" s="1520">
        <v>46164</v>
      </c>
      <c r="K519" s="1520">
        <v>46216</v>
      </c>
      <c r="L519" s="1520"/>
      <c r="M519" s="1520">
        <v>46215</v>
      </c>
      <c r="N519" t="s">
        <v>973</v>
      </c>
      <c r="O519" s="1520">
        <v>46230</v>
      </c>
      <c r="P519" s="1520">
        <v>46223</v>
      </c>
    </row>
    <row r="520" spans="1:16">
      <c r="A520" t="s">
        <v>4666</v>
      </c>
      <c r="B520" t="s">
        <v>144</v>
      </c>
      <c r="C520" t="s">
        <v>145</v>
      </c>
      <c r="D520" t="s">
        <v>4540</v>
      </c>
      <c r="E520" t="s">
        <v>71</v>
      </c>
      <c r="F520" t="s">
        <v>72</v>
      </c>
      <c r="G520">
        <v>4320</v>
      </c>
      <c r="H520" t="s">
        <v>75</v>
      </c>
      <c r="I520" t="s">
        <v>4667</v>
      </c>
      <c r="J520" s="1520">
        <v>46164</v>
      </c>
      <c r="K520" s="1520">
        <v>46225</v>
      </c>
      <c r="L520" s="1520"/>
      <c r="M520" s="1520">
        <v>46225</v>
      </c>
      <c r="N520" t="s">
        <v>973</v>
      </c>
      <c r="O520" s="1520">
        <v>46225</v>
      </c>
      <c r="P520" s="1520">
        <v>46225</v>
      </c>
    </row>
    <row r="521" spans="1:16">
      <c r="A521" t="s">
        <v>4522</v>
      </c>
      <c r="B521" t="s">
        <v>64</v>
      </c>
      <c r="C521" t="s">
        <v>310</v>
      </c>
      <c r="D521" t="s">
        <v>170</v>
      </c>
      <c r="E521" t="s">
        <v>1977</v>
      </c>
      <c r="F521" t="s">
        <v>1978</v>
      </c>
      <c r="G521">
        <v>3960</v>
      </c>
      <c r="H521" t="s">
        <v>75</v>
      </c>
      <c r="I521" t="s">
        <v>4523</v>
      </c>
      <c r="J521" s="1520">
        <v>46164</v>
      </c>
      <c r="K521" s="1520">
        <v>46211</v>
      </c>
      <c r="L521" s="1520">
        <v>46218</v>
      </c>
      <c r="M521" s="1520">
        <v>46217</v>
      </c>
      <c r="N521" t="s">
        <v>973</v>
      </c>
      <c r="O521" s="1520">
        <v>46232</v>
      </c>
      <c r="P521" s="1520">
        <v>46227</v>
      </c>
    </row>
    <row r="522" spans="1:16">
      <c r="A522" t="s">
        <v>4670</v>
      </c>
      <c r="B522" t="s">
        <v>64</v>
      </c>
      <c r="C522" t="s">
        <v>100</v>
      </c>
      <c r="D522" t="s">
        <v>4540</v>
      </c>
      <c r="E522" t="s">
        <v>71</v>
      </c>
      <c r="F522" t="s">
        <v>72</v>
      </c>
      <c r="G522">
        <v>1728</v>
      </c>
      <c r="H522" t="s">
        <v>75</v>
      </c>
      <c r="I522" t="s">
        <v>4671</v>
      </c>
      <c r="J522" s="1520">
        <v>46164</v>
      </c>
      <c r="K522" s="1520">
        <v>46214</v>
      </c>
      <c r="L522" s="1520"/>
      <c r="M522" s="1520">
        <v>46218</v>
      </c>
      <c r="N522" t="s">
        <v>973</v>
      </c>
      <c r="O522" s="1520">
        <v>46230</v>
      </c>
      <c r="P522" s="1520">
        <v>46225</v>
      </c>
    </row>
    <row r="523" spans="1:16">
      <c r="A523" t="s">
        <v>4578</v>
      </c>
      <c r="B523" t="s">
        <v>64</v>
      </c>
      <c r="C523">
        <v>0</v>
      </c>
      <c r="D523" t="s">
        <v>70</v>
      </c>
      <c r="E523" t="s">
        <v>2299</v>
      </c>
      <c r="F523" t="s">
        <v>1682</v>
      </c>
      <c r="G523">
        <v>297</v>
      </c>
      <c r="H523" t="s">
        <v>75</v>
      </c>
      <c r="I523" t="s">
        <v>4579</v>
      </c>
      <c r="J523" s="1520">
        <v>46162</v>
      </c>
      <c r="K523" s="1520">
        <v>46212</v>
      </c>
      <c r="L523" s="1520">
        <v>46235</v>
      </c>
      <c r="M523" s="1520">
        <v>46235</v>
      </c>
      <c r="N523" t="s">
        <v>973</v>
      </c>
      <c r="O523" s="1520">
        <v>46248</v>
      </c>
      <c r="P523" s="1520">
        <v>46242</v>
      </c>
    </row>
    <row r="524" spans="1:16">
      <c r="A524" t="s">
        <v>4584</v>
      </c>
      <c r="B524" t="s">
        <v>64</v>
      </c>
      <c r="C524">
        <v>0</v>
      </c>
      <c r="D524" t="s">
        <v>70</v>
      </c>
      <c r="E524" t="s">
        <v>2308</v>
      </c>
      <c r="F524" t="s">
        <v>1484</v>
      </c>
      <c r="G524">
        <v>3861</v>
      </c>
      <c r="H524" t="s">
        <v>75</v>
      </c>
      <c r="I524" t="s">
        <v>4585</v>
      </c>
      <c r="J524" s="1520">
        <v>46162</v>
      </c>
      <c r="K524" s="1520">
        <v>46212</v>
      </c>
      <c r="L524" s="1520">
        <v>46235</v>
      </c>
      <c r="M524" s="1520">
        <v>46235</v>
      </c>
      <c r="N524" t="s">
        <v>973</v>
      </c>
      <c r="O524" s="1520">
        <v>46248</v>
      </c>
      <c r="P524" s="1520">
        <v>46242</v>
      </c>
    </row>
    <row r="525" spans="1:16">
      <c r="A525" t="s">
        <v>4593</v>
      </c>
      <c r="B525" t="s">
        <v>64</v>
      </c>
      <c r="C525" t="s">
        <v>100</v>
      </c>
      <c r="D525" t="s">
        <v>132</v>
      </c>
      <c r="E525" t="s">
        <v>1062</v>
      </c>
      <c r="F525" t="s">
        <v>1063</v>
      </c>
      <c r="G525">
        <v>3456</v>
      </c>
      <c r="H525" t="s">
        <v>75</v>
      </c>
      <c r="I525" t="s">
        <v>4594</v>
      </c>
      <c r="J525" s="1520">
        <v>46170</v>
      </c>
      <c r="K525" s="1520">
        <v>46203</v>
      </c>
      <c r="L525" s="1520">
        <v>46211</v>
      </c>
      <c r="M525" s="1520">
        <v>46211</v>
      </c>
      <c r="N525" t="s">
        <v>973</v>
      </c>
      <c r="O525" s="1520">
        <v>46225</v>
      </c>
      <c r="P525" s="1520">
        <v>46218</v>
      </c>
    </row>
    <row r="526" spans="1:16">
      <c r="A526" t="s">
        <v>4586</v>
      </c>
      <c r="B526" t="s">
        <v>64</v>
      </c>
      <c r="C526" t="s">
        <v>450</v>
      </c>
      <c r="D526" t="s">
        <v>132</v>
      </c>
      <c r="E526" t="s">
        <v>1062</v>
      </c>
      <c r="F526" t="s">
        <v>1063</v>
      </c>
      <c r="G526">
        <v>2592</v>
      </c>
      <c r="H526" t="s">
        <v>75</v>
      </c>
      <c r="I526" t="s">
        <v>4589</v>
      </c>
      <c r="J526" s="1520">
        <v>46168</v>
      </c>
      <c r="K526" s="1520">
        <v>46208</v>
      </c>
      <c r="L526" s="1520"/>
      <c r="M526" s="1520">
        <v>46208</v>
      </c>
      <c r="N526" t="s">
        <v>973</v>
      </c>
      <c r="O526" s="1520">
        <v>46223</v>
      </c>
      <c r="P526" s="1520">
        <v>46215</v>
      </c>
    </row>
    <row r="527" spans="1:16">
      <c r="A527" t="s">
        <v>4597</v>
      </c>
      <c r="B527" t="s">
        <v>64</v>
      </c>
      <c r="C527" t="s">
        <v>100</v>
      </c>
      <c r="D527" t="s">
        <v>4495</v>
      </c>
      <c r="E527" t="s">
        <v>4496</v>
      </c>
      <c r="F527" t="s">
        <v>4497</v>
      </c>
      <c r="G527">
        <v>1440</v>
      </c>
      <c r="H527" t="s">
        <v>75</v>
      </c>
      <c r="I527" t="s">
        <v>4598</v>
      </c>
      <c r="J527" s="1520">
        <v>46170</v>
      </c>
      <c r="K527" s="1520">
        <v>46203</v>
      </c>
      <c r="L527" s="1520">
        <v>46211</v>
      </c>
      <c r="M527" s="1520">
        <v>46211</v>
      </c>
      <c r="N527" t="s">
        <v>973</v>
      </c>
      <c r="O527" s="1520">
        <v>46225</v>
      </c>
      <c r="P527" s="1520">
        <v>46218</v>
      </c>
    </row>
    <row r="528" spans="1:16">
      <c r="A528" t="s">
        <v>4599</v>
      </c>
      <c r="B528" t="s">
        <v>144</v>
      </c>
      <c r="C528" t="s">
        <v>145</v>
      </c>
      <c r="D528" t="s">
        <v>4540</v>
      </c>
      <c r="E528" t="s">
        <v>4601</v>
      </c>
      <c r="F528" t="s">
        <v>330</v>
      </c>
      <c r="G528">
        <v>2160</v>
      </c>
      <c r="H528" t="s">
        <v>75</v>
      </c>
      <c r="I528" t="s">
        <v>4602</v>
      </c>
      <c r="J528" s="1520">
        <v>46170</v>
      </c>
      <c r="K528" s="1520">
        <v>46203</v>
      </c>
      <c r="L528" s="1520">
        <v>46210</v>
      </c>
      <c r="M528" s="1520">
        <v>46211</v>
      </c>
      <c r="N528" t="s">
        <v>973</v>
      </c>
      <c r="O528" s="1520">
        <v>46203</v>
      </c>
      <c r="P528" s="1520">
        <v>46211</v>
      </c>
    </row>
    <row r="529" spans="1:16">
      <c r="A529" t="s">
        <v>4605</v>
      </c>
      <c r="B529" t="s">
        <v>144</v>
      </c>
      <c r="C529" t="s">
        <v>145</v>
      </c>
      <c r="D529" t="s">
        <v>4540</v>
      </c>
      <c r="E529" t="s">
        <v>4606</v>
      </c>
      <c r="F529" t="s">
        <v>4607</v>
      </c>
      <c r="G529">
        <v>1440</v>
      </c>
      <c r="H529" t="s">
        <v>75</v>
      </c>
      <c r="I529" t="s">
        <v>4608</v>
      </c>
      <c r="J529" s="1520">
        <v>46170</v>
      </c>
      <c r="K529" s="1520">
        <v>46203</v>
      </c>
      <c r="L529" s="1520">
        <v>46210</v>
      </c>
      <c r="M529" s="1520">
        <v>46211</v>
      </c>
      <c r="N529" t="s">
        <v>973</v>
      </c>
      <c r="O529" s="1520">
        <v>46203</v>
      </c>
      <c r="P529" s="1520">
        <v>46211</v>
      </c>
    </row>
    <row r="530" spans="1:16">
      <c r="A530" t="s">
        <v>4609</v>
      </c>
      <c r="B530" t="s">
        <v>144</v>
      </c>
      <c r="C530" t="s">
        <v>145</v>
      </c>
      <c r="D530" t="s">
        <v>4540</v>
      </c>
      <c r="E530" t="s">
        <v>4601</v>
      </c>
      <c r="F530" t="s">
        <v>330</v>
      </c>
      <c r="G530">
        <v>2160</v>
      </c>
      <c r="H530" t="s">
        <v>75</v>
      </c>
      <c r="I530" t="s">
        <v>4610</v>
      </c>
      <c r="J530" s="1520">
        <v>46167</v>
      </c>
      <c r="K530" s="1520">
        <v>46204</v>
      </c>
      <c r="L530" s="1520">
        <v>46226</v>
      </c>
      <c r="M530" s="1520">
        <v>46227</v>
      </c>
      <c r="N530" t="s">
        <v>973</v>
      </c>
      <c r="O530" s="1520">
        <v>46204</v>
      </c>
      <c r="P530" s="1520">
        <v>46227</v>
      </c>
    </row>
    <row r="531" spans="1:16">
      <c r="A531" t="s">
        <v>4614</v>
      </c>
      <c r="B531" t="s">
        <v>144</v>
      </c>
      <c r="C531" t="s">
        <v>145</v>
      </c>
      <c r="D531" t="s">
        <v>4540</v>
      </c>
      <c r="E531" t="s">
        <v>4606</v>
      </c>
      <c r="F531" t="s">
        <v>4607</v>
      </c>
      <c r="G531">
        <v>1440</v>
      </c>
      <c r="H531" t="s">
        <v>75</v>
      </c>
      <c r="I531" t="s">
        <v>4615</v>
      </c>
      <c r="J531" s="1520">
        <v>46167</v>
      </c>
      <c r="K531" s="1520">
        <v>46204</v>
      </c>
      <c r="L531" s="1520">
        <v>46226</v>
      </c>
      <c r="M531" s="1520">
        <v>46227</v>
      </c>
      <c r="N531" t="s">
        <v>973</v>
      </c>
      <c r="O531" s="1520">
        <v>46204</v>
      </c>
      <c r="P531" s="1520">
        <v>46227</v>
      </c>
    </row>
    <row r="532" spans="1:16">
      <c r="A532" t="s">
        <v>4650</v>
      </c>
      <c r="B532" t="s">
        <v>144</v>
      </c>
      <c r="C532" t="s">
        <v>145</v>
      </c>
      <c r="D532" t="s">
        <v>4495</v>
      </c>
      <c r="E532" t="s">
        <v>4529</v>
      </c>
      <c r="F532" t="s">
        <v>4530</v>
      </c>
      <c r="G532">
        <v>720</v>
      </c>
      <c r="H532" t="s">
        <v>75</v>
      </c>
      <c r="I532" t="s">
        <v>4652</v>
      </c>
      <c r="J532" s="1520">
        <v>46168</v>
      </c>
      <c r="K532" s="1520">
        <v>46204</v>
      </c>
      <c r="L532" s="1520"/>
      <c r="M532" s="1520">
        <v>46204</v>
      </c>
      <c r="N532" t="s">
        <v>973</v>
      </c>
      <c r="O532" s="1520">
        <v>46204</v>
      </c>
      <c r="P532" s="1520">
        <v>46204</v>
      </c>
    </row>
    <row r="533" spans="1:16">
      <c r="A533" t="s">
        <v>4674</v>
      </c>
      <c r="B533" t="s">
        <v>64</v>
      </c>
      <c r="C533" t="s">
        <v>100</v>
      </c>
      <c r="D533" t="s">
        <v>4540</v>
      </c>
      <c r="E533" t="s">
        <v>1151</v>
      </c>
      <c r="F533" t="s">
        <v>421</v>
      </c>
      <c r="G533">
        <v>1728</v>
      </c>
      <c r="H533" t="s">
        <v>75</v>
      </c>
      <c r="I533" t="s">
        <v>4675</v>
      </c>
      <c r="J533" s="1520">
        <v>46164</v>
      </c>
      <c r="K533" s="1520">
        <v>46214</v>
      </c>
      <c r="L533" s="1520"/>
      <c r="M533" s="1520">
        <v>46218</v>
      </c>
      <c r="N533" t="s">
        <v>973</v>
      </c>
      <c r="O533" s="1520">
        <v>46230</v>
      </c>
      <c r="P533" s="1520">
        <v>46225</v>
      </c>
    </row>
    <row r="534" spans="1:16">
      <c r="A534" t="s">
        <v>4676</v>
      </c>
      <c r="B534" t="s">
        <v>64</v>
      </c>
      <c r="C534" t="s">
        <v>100</v>
      </c>
      <c r="D534" t="s">
        <v>4540</v>
      </c>
      <c r="E534" t="s">
        <v>71</v>
      </c>
      <c r="F534" t="s">
        <v>72</v>
      </c>
      <c r="G534">
        <v>4320</v>
      </c>
      <c r="H534" t="s">
        <v>75</v>
      </c>
      <c r="I534" t="s">
        <v>4678</v>
      </c>
      <c r="J534" s="1520">
        <v>46173</v>
      </c>
      <c r="K534" s="1520">
        <v>46214</v>
      </c>
      <c r="L534" s="1520"/>
      <c r="M534" s="1520">
        <v>46218</v>
      </c>
      <c r="N534" t="s">
        <v>973</v>
      </c>
      <c r="O534" s="1520">
        <v>46230</v>
      </c>
      <c r="P534" s="1520">
        <v>46225</v>
      </c>
    </row>
    <row r="535" spans="1:16">
      <c r="A535" t="s">
        <v>4682</v>
      </c>
      <c r="B535" t="s">
        <v>144</v>
      </c>
      <c r="C535" t="s">
        <v>145</v>
      </c>
      <c r="D535" t="s">
        <v>70</v>
      </c>
      <c r="E535" t="s">
        <v>1151</v>
      </c>
      <c r="F535" t="s">
        <v>421</v>
      </c>
      <c r="G535">
        <v>2592</v>
      </c>
      <c r="H535" t="s">
        <v>75</v>
      </c>
      <c r="I535" t="s">
        <v>4684</v>
      </c>
      <c r="J535" s="1520">
        <v>46165</v>
      </c>
      <c r="K535" s="1520">
        <v>46226</v>
      </c>
      <c r="L535" s="1520">
        <v>46231</v>
      </c>
      <c r="M535" s="1520">
        <v>46229</v>
      </c>
      <c r="N535" t="s">
        <v>973</v>
      </c>
      <c r="O535" s="1520">
        <v>46206</v>
      </c>
      <c r="P535" s="1520">
        <v>46229</v>
      </c>
    </row>
    <row r="536" spans="1:16">
      <c r="A536" t="s">
        <v>4689</v>
      </c>
      <c r="B536" t="s">
        <v>64</v>
      </c>
      <c r="C536" t="s">
        <v>310</v>
      </c>
      <c r="D536" t="s">
        <v>170</v>
      </c>
      <c r="E536" t="s">
        <v>1977</v>
      </c>
      <c r="F536" t="s">
        <v>1978</v>
      </c>
      <c r="G536">
        <v>2640</v>
      </c>
      <c r="H536" t="s">
        <v>75</v>
      </c>
      <c r="I536" t="s">
        <v>4690</v>
      </c>
      <c r="J536" s="1520">
        <v>46173</v>
      </c>
      <c r="K536" s="1520">
        <v>46232</v>
      </c>
      <c r="L536" s="1520">
        <v>46239.5</v>
      </c>
      <c r="M536" s="1520">
        <v>46239.457638888889</v>
      </c>
      <c r="N536" t="s">
        <v>973</v>
      </c>
      <c r="O536" s="1520">
        <v>46246</v>
      </c>
      <c r="P536" s="1520">
        <v>46249.457638888889</v>
      </c>
    </row>
    <row r="537" spans="1:16">
      <c r="A537" t="s">
        <v>4693</v>
      </c>
      <c r="B537" t="s">
        <v>64</v>
      </c>
      <c r="C537" t="s">
        <v>65</v>
      </c>
      <c r="D537" t="s">
        <v>4540</v>
      </c>
      <c r="E537" t="s">
        <v>71</v>
      </c>
      <c r="F537" t="s">
        <v>72</v>
      </c>
      <c r="G537">
        <v>1728</v>
      </c>
      <c r="H537" t="s">
        <v>75</v>
      </c>
      <c r="I537" t="s">
        <v>4695</v>
      </c>
      <c r="J537" s="1520">
        <v>46173</v>
      </c>
      <c r="K537" s="1520">
        <v>46231</v>
      </c>
      <c r="L537" s="1520">
        <v>46234</v>
      </c>
      <c r="M537" s="1520">
        <v>46235.175381944442</v>
      </c>
      <c r="N537" t="s">
        <v>973</v>
      </c>
      <c r="O537" s="1520">
        <v>46247</v>
      </c>
      <c r="P537" s="1520">
        <v>46243.175381944442</v>
      </c>
    </row>
    <row r="538" spans="1:16">
      <c r="A538" t="s">
        <v>4698</v>
      </c>
      <c r="B538" t="s">
        <v>64</v>
      </c>
      <c r="C538" t="s">
        <v>450</v>
      </c>
      <c r="D538" t="s">
        <v>4540</v>
      </c>
      <c r="E538" t="s">
        <v>1151</v>
      </c>
      <c r="F538" t="s">
        <v>421</v>
      </c>
      <c r="G538">
        <v>864</v>
      </c>
      <c r="H538" t="s">
        <v>75</v>
      </c>
      <c r="I538" t="s">
        <v>4699</v>
      </c>
      <c r="J538" s="1520">
        <v>46173</v>
      </c>
      <c r="K538" s="1520">
        <v>46222</v>
      </c>
      <c r="L538" s="1520">
        <v>46224</v>
      </c>
      <c r="M538" s="1520">
        <v>46224</v>
      </c>
      <c r="N538" t="s">
        <v>973</v>
      </c>
      <c r="O538" s="1520">
        <v>46238</v>
      </c>
      <c r="P538" s="1520">
        <v>46231</v>
      </c>
    </row>
    <row r="539" spans="1:16">
      <c r="A539" t="s">
        <v>4702</v>
      </c>
      <c r="B539" t="s">
        <v>144</v>
      </c>
      <c r="C539" t="s">
        <v>145</v>
      </c>
      <c r="D539" t="s">
        <v>4540</v>
      </c>
      <c r="E539" t="s">
        <v>1151</v>
      </c>
      <c r="F539" t="s">
        <v>421</v>
      </c>
      <c r="G539">
        <v>864</v>
      </c>
      <c r="H539" t="s">
        <v>75</v>
      </c>
      <c r="I539" t="s">
        <v>4705</v>
      </c>
      <c r="J539" s="1520">
        <v>46173</v>
      </c>
      <c r="K539" s="1520">
        <v>46226</v>
      </c>
      <c r="L539" s="1520">
        <v>46229</v>
      </c>
      <c r="M539" s="1520">
        <v>46229</v>
      </c>
      <c r="N539" t="s">
        <v>973</v>
      </c>
      <c r="O539" s="1520">
        <v>46226</v>
      </c>
      <c r="P539" s="1520">
        <v>46229</v>
      </c>
    </row>
    <row r="540" spans="1:16">
      <c r="A540" t="s">
        <v>4648</v>
      </c>
      <c r="B540" t="s">
        <v>64</v>
      </c>
      <c r="C540" t="s">
        <v>310</v>
      </c>
      <c r="D540" t="s">
        <v>170</v>
      </c>
      <c r="E540" t="s">
        <v>171</v>
      </c>
      <c r="F540" t="s">
        <v>1731</v>
      </c>
      <c r="G540">
        <v>1980</v>
      </c>
      <c r="H540" t="s">
        <v>75</v>
      </c>
      <c r="I540" t="s">
        <v>4649</v>
      </c>
      <c r="J540" s="1520">
        <v>46171</v>
      </c>
      <c r="K540" s="1520">
        <v>46220</v>
      </c>
      <c r="L540" s="1520">
        <v>46231</v>
      </c>
      <c r="M540" s="1520">
        <v>46227</v>
      </c>
      <c r="N540" t="s">
        <v>973</v>
      </c>
      <c r="O540" s="1520">
        <v>46241</v>
      </c>
      <c r="P540" s="1520">
        <v>46237</v>
      </c>
    </row>
    <row r="541" spans="1:16">
      <c r="A541" t="s">
        <v>4646</v>
      </c>
      <c r="B541" t="s">
        <v>64</v>
      </c>
      <c r="C541" t="s">
        <v>310</v>
      </c>
      <c r="D541" t="s">
        <v>170</v>
      </c>
      <c r="E541" t="s">
        <v>1977</v>
      </c>
      <c r="F541" t="s">
        <v>1978</v>
      </c>
      <c r="G541">
        <v>1320</v>
      </c>
      <c r="H541" t="s">
        <v>75</v>
      </c>
      <c r="I541" t="s">
        <v>4647</v>
      </c>
      <c r="J541" s="1520">
        <v>46171</v>
      </c>
      <c r="K541" s="1520">
        <v>46220</v>
      </c>
      <c r="L541" s="1520">
        <v>46231</v>
      </c>
      <c r="M541" s="1520">
        <v>46227</v>
      </c>
      <c r="N541" t="s">
        <v>973</v>
      </c>
      <c r="O541" s="1520">
        <v>46241</v>
      </c>
      <c r="P541" s="1520">
        <v>46237</v>
      </c>
    </row>
    <row r="542" spans="1:16">
      <c r="A542" t="s">
        <v>4642</v>
      </c>
      <c r="B542" t="s">
        <v>64</v>
      </c>
      <c r="C542" t="s">
        <v>310</v>
      </c>
      <c r="D542" t="s">
        <v>170</v>
      </c>
      <c r="E542" t="s">
        <v>1977</v>
      </c>
      <c r="F542" t="s">
        <v>1978</v>
      </c>
      <c r="G542">
        <v>1980</v>
      </c>
      <c r="H542" t="s">
        <v>75</v>
      </c>
      <c r="I542" t="s">
        <v>4643</v>
      </c>
      <c r="J542" s="1520">
        <v>46171</v>
      </c>
      <c r="K542" s="1520">
        <v>46220</v>
      </c>
      <c r="L542" s="1520">
        <v>46231</v>
      </c>
      <c r="M542" s="1520">
        <v>46227</v>
      </c>
      <c r="N542" t="s">
        <v>973</v>
      </c>
      <c r="O542" s="1520">
        <v>46241</v>
      </c>
      <c r="P542" s="1520">
        <v>46237</v>
      </c>
    </row>
    <row r="543" spans="1:16">
      <c r="A543" t="s">
        <v>4640</v>
      </c>
      <c r="B543" t="s">
        <v>64</v>
      </c>
      <c r="C543" t="s">
        <v>310</v>
      </c>
      <c r="D543" t="s">
        <v>170</v>
      </c>
      <c r="E543" t="s">
        <v>1977</v>
      </c>
      <c r="F543" t="s">
        <v>1978</v>
      </c>
      <c r="G543">
        <v>660</v>
      </c>
      <c r="H543" t="s">
        <v>75</v>
      </c>
      <c r="I543" t="s">
        <v>4641</v>
      </c>
      <c r="J543" s="1520">
        <v>46171</v>
      </c>
      <c r="K543" s="1520">
        <v>46218</v>
      </c>
      <c r="L543" s="1520">
        <v>46225</v>
      </c>
      <c r="M543" s="1520">
        <v>46225</v>
      </c>
      <c r="N543" t="s">
        <v>973</v>
      </c>
      <c r="O543" s="1520">
        <v>46239</v>
      </c>
      <c r="P543" s="1520">
        <v>46235</v>
      </c>
    </row>
    <row r="544" spans="1:16">
      <c r="A544" t="s">
        <v>4634</v>
      </c>
      <c r="B544" t="s">
        <v>64</v>
      </c>
      <c r="C544" t="s">
        <v>310</v>
      </c>
      <c r="D544" t="s">
        <v>170</v>
      </c>
      <c r="E544" t="s">
        <v>171</v>
      </c>
      <c r="F544" t="s">
        <v>1731</v>
      </c>
      <c r="G544">
        <v>3960</v>
      </c>
      <c r="H544" t="s">
        <v>75</v>
      </c>
      <c r="I544" t="s">
        <v>4636</v>
      </c>
      <c r="J544" s="1520">
        <v>46171</v>
      </c>
      <c r="K544" s="1520">
        <v>46218</v>
      </c>
      <c r="L544" s="1520">
        <v>46225</v>
      </c>
      <c r="M544" s="1520">
        <v>46225</v>
      </c>
      <c r="N544" t="s">
        <v>973</v>
      </c>
      <c r="O544" s="1520">
        <v>46239</v>
      </c>
      <c r="P544" s="1520">
        <v>46235</v>
      </c>
    </row>
    <row r="545" spans="1:16">
      <c r="A545" t="s">
        <v>4627</v>
      </c>
      <c r="B545" t="s">
        <v>144</v>
      </c>
      <c r="C545" t="s">
        <v>145</v>
      </c>
      <c r="D545" t="s">
        <v>132</v>
      </c>
      <c r="E545" t="s">
        <v>189</v>
      </c>
      <c r="F545" t="s">
        <v>190</v>
      </c>
      <c r="G545">
        <v>12960</v>
      </c>
      <c r="H545" t="s">
        <v>75</v>
      </c>
      <c r="I545" t="s">
        <v>4631</v>
      </c>
      <c r="J545" s="1520">
        <v>46173</v>
      </c>
      <c r="K545" s="1520">
        <v>46223</v>
      </c>
      <c r="L545" s="1520">
        <v>46234</v>
      </c>
      <c r="M545" s="1520">
        <v>46234</v>
      </c>
      <c r="N545" t="s">
        <v>973</v>
      </c>
      <c r="O545" s="1520">
        <v>46226</v>
      </c>
      <c r="P545" s="1520">
        <v>46234</v>
      </c>
    </row>
    <row r="546" spans="1:16">
      <c r="A546" t="s">
        <v>4625</v>
      </c>
      <c r="B546" t="s">
        <v>144</v>
      </c>
      <c r="C546" t="s">
        <v>145</v>
      </c>
      <c r="D546" t="s">
        <v>4540</v>
      </c>
      <c r="E546" t="s">
        <v>4606</v>
      </c>
      <c r="F546" t="s">
        <v>4607</v>
      </c>
      <c r="G546">
        <v>5760</v>
      </c>
      <c r="H546" t="s">
        <v>75</v>
      </c>
      <c r="I546" t="s">
        <v>4626</v>
      </c>
      <c r="J546" s="1520">
        <v>46173</v>
      </c>
      <c r="K546" s="1520">
        <v>46223</v>
      </c>
      <c r="L546" s="1520">
        <v>46234</v>
      </c>
      <c r="M546" s="1520">
        <v>46234</v>
      </c>
      <c r="N546" t="s">
        <v>973</v>
      </c>
      <c r="O546" s="1520">
        <v>46223</v>
      </c>
      <c r="P546" s="1520">
        <v>46234</v>
      </c>
    </row>
    <row r="547" spans="1:16">
      <c r="A547" t="s">
        <v>4621</v>
      </c>
      <c r="B547" t="s">
        <v>144</v>
      </c>
      <c r="C547" t="s">
        <v>145</v>
      </c>
      <c r="D547" t="s">
        <v>4540</v>
      </c>
      <c r="E547" t="s">
        <v>4606</v>
      </c>
      <c r="F547" t="s">
        <v>4607</v>
      </c>
      <c r="G547">
        <v>5040</v>
      </c>
      <c r="H547" t="s">
        <v>75</v>
      </c>
      <c r="I547" t="s">
        <v>4622</v>
      </c>
      <c r="J547" s="1520">
        <v>46173</v>
      </c>
      <c r="K547" s="1520">
        <v>46223</v>
      </c>
      <c r="L547" s="1520">
        <v>46234</v>
      </c>
      <c r="M547" s="1520">
        <v>46234</v>
      </c>
      <c r="N547" t="s">
        <v>973</v>
      </c>
      <c r="O547" s="1520">
        <v>46223</v>
      </c>
      <c r="P547" s="1520">
        <v>46234</v>
      </c>
    </row>
    <row r="548" spans="1:16">
      <c r="A548" t="s">
        <v>4616</v>
      </c>
      <c r="B548" t="s">
        <v>144</v>
      </c>
      <c r="C548" t="s">
        <v>145</v>
      </c>
      <c r="D548" t="s">
        <v>4540</v>
      </c>
      <c r="E548" t="s">
        <v>4606</v>
      </c>
      <c r="F548" t="s">
        <v>4607</v>
      </c>
      <c r="G548">
        <v>5760</v>
      </c>
      <c r="H548" t="s">
        <v>75</v>
      </c>
      <c r="I548" t="s">
        <v>4617</v>
      </c>
      <c r="J548" s="1520">
        <v>46173</v>
      </c>
      <c r="K548" s="1520">
        <v>46223</v>
      </c>
      <c r="L548" s="1520">
        <v>46234</v>
      </c>
      <c r="M548" s="1520">
        <v>46234</v>
      </c>
      <c r="N548" t="s">
        <v>973</v>
      </c>
      <c r="O548" s="1520">
        <v>46223</v>
      </c>
      <c r="P548" s="1520">
        <v>46234</v>
      </c>
    </row>
    <row r="549" spans="1:16">
      <c r="A549" t="s">
        <v>4737</v>
      </c>
      <c r="B549" t="s">
        <v>64</v>
      </c>
      <c r="C549" t="s">
        <v>310</v>
      </c>
      <c r="D549" t="s">
        <v>170</v>
      </c>
      <c r="E549" t="s">
        <v>171</v>
      </c>
      <c r="F549" t="s">
        <v>1731</v>
      </c>
      <c r="G549">
        <v>3960</v>
      </c>
      <c r="H549" t="s">
        <v>75</v>
      </c>
      <c r="I549" t="s">
        <v>4739</v>
      </c>
      <c r="J549" s="1520">
        <v>46178</v>
      </c>
      <c r="K549" s="1520">
        <v>46225</v>
      </c>
      <c r="L549" s="1520">
        <v>46236</v>
      </c>
      <c r="M549" s="1520">
        <v>46232</v>
      </c>
      <c r="N549" t="s">
        <v>973</v>
      </c>
      <c r="O549" s="1520">
        <v>46246</v>
      </c>
      <c r="P549" s="1520">
        <v>46242</v>
      </c>
    </row>
    <row r="550" spans="1:16">
      <c r="A550" t="s">
        <v>4719</v>
      </c>
      <c r="B550" t="s">
        <v>64</v>
      </c>
      <c r="C550" t="s">
        <v>100</v>
      </c>
      <c r="D550" t="s">
        <v>170</v>
      </c>
      <c r="E550" t="s">
        <v>1977</v>
      </c>
      <c r="F550" t="s">
        <v>1978</v>
      </c>
      <c r="G550">
        <v>3300</v>
      </c>
      <c r="H550" t="s">
        <v>75</v>
      </c>
      <c r="I550" t="s">
        <v>4721</v>
      </c>
      <c r="J550" s="1520">
        <v>46174</v>
      </c>
      <c r="K550" s="1520">
        <v>46211</v>
      </c>
      <c r="L550" s="1520">
        <v>46221</v>
      </c>
      <c r="M550" s="1520">
        <v>46222</v>
      </c>
      <c r="N550" t="s">
        <v>973</v>
      </c>
      <c r="O550" s="1520">
        <v>46237</v>
      </c>
      <c r="P550" s="1520">
        <v>46229</v>
      </c>
    </row>
    <row r="551" spans="1:16">
      <c r="A551" t="s">
        <v>4774</v>
      </c>
      <c r="B551" t="s">
        <v>144</v>
      </c>
      <c r="C551" t="s">
        <v>145</v>
      </c>
      <c r="D551" t="s">
        <v>4540</v>
      </c>
      <c r="E551" t="s">
        <v>1151</v>
      </c>
      <c r="F551" t="s">
        <v>421</v>
      </c>
      <c r="G551">
        <v>1728</v>
      </c>
      <c r="H551" t="s">
        <v>75</v>
      </c>
      <c r="I551" t="s">
        <v>4776</v>
      </c>
      <c r="J551" s="1520">
        <v>46177</v>
      </c>
      <c r="K551" s="1520">
        <v>46232</v>
      </c>
      <c r="L551" s="1520">
        <v>46235</v>
      </c>
      <c r="M551" s="1520">
        <v>46236.419953703706</v>
      </c>
      <c r="N551" t="s">
        <v>973</v>
      </c>
      <c r="O551" s="1520">
        <v>46232</v>
      </c>
      <c r="P551" s="1520">
        <v>46236.419953703706</v>
      </c>
    </row>
    <row r="552" spans="1:16">
      <c r="A552" t="s">
        <v>4770</v>
      </c>
      <c r="B552" t="s">
        <v>64</v>
      </c>
      <c r="C552" t="s">
        <v>114</v>
      </c>
      <c r="D552" t="s">
        <v>170</v>
      </c>
      <c r="E552" t="s">
        <v>1977</v>
      </c>
      <c r="F552" t="s">
        <v>1978</v>
      </c>
      <c r="G552">
        <v>2640</v>
      </c>
      <c r="H552" t="s">
        <v>75</v>
      </c>
      <c r="I552" t="s">
        <v>4771</v>
      </c>
      <c r="J552" s="1520">
        <v>46177</v>
      </c>
      <c r="K552" s="1520">
        <v>46247</v>
      </c>
      <c r="L552" s="1520">
        <v>46262</v>
      </c>
      <c r="M552" s="1520">
        <v>46262</v>
      </c>
      <c r="N552" t="s">
        <v>973</v>
      </c>
      <c r="O552" s="1520">
        <v>46274</v>
      </c>
      <c r="P552" s="1520">
        <v>46271</v>
      </c>
    </row>
    <row r="553" spans="1:16">
      <c r="A553" t="s">
        <v>4764</v>
      </c>
      <c r="B553" t="s">
        <v>64</v>
      </c>
      <c r="C553" t="s">
        <v>100</v>
      </c>
      <c r="D553" t="s">
        <v>4540</v>
      </c>
      <c r="E553" t="s">
        <v>965</v>
      </c>
      <c r="F553" t="s">
        <v>966</v>
      </c>
      <c r="G553">
        <v>1872</v>
      </c>
      <c r="H553" t="s">
        <v>75</v>
      </c>
      <c r="I553" t="s">
        <v>4765</v>
      </c>
      <c r="J553" s="1520">
        <v>46177</v>
      </c>
      <c r="K553" s="1520">
        <v>46217</v>
      </c>
      <c r="L553" s="1520">
        <v>46223</v>
      </c>
      <c r="M553" s="1520">
        <v>46223</v>
      </c>
      <c r="N553" t="s">
        <v>973</v>
      </c>
      <c r="O553" s="1520">
        <v>46237</v>
      </c>
      <c r="P553" s="1520">
        <v>46230</v>
      </c>
    </row>
    <row r="554" spans="1:16">
      <c r="A554" t="s">
        <v>4766</v>
      </c>
      <c r="B554" t="s">
        <v>64</v>
      </c>
      <c r="C554" t="s">
        <v>114</v>
      </c>
      <c r="D554" t="s">
        <v>170</v>
      </c>
      <c r="E554" t="s">
        <v>1977</v>
      </c>
      <c r="F554" t="s">
        <v>1978</v>
      </c>
      <c r="G554">
        <v>660</v>
      </c>
      <c r="H554" t="s">
        <v>75</v>
      </c>
      <c r="I554" t="s">
        <v>4767</v>
      </c>
      <c r="J554" s="1520">
        <v>46177</v>
      </c>
      <c r="K554" s="1520">
        <v>46233</v>
      </c>
      <c r="L554" s="1520"/>
      <c r="M554" s="1520">
        <v>46233</v>
      </c>
      <c r="N554" t="s">
        <v>973</v>
      </c>
      <c r="O554" s="1520">
        <v>46247</v>
      </c>
      <c r="P554" s="1520">
        <v>46242</v>
      </c>
    </row>
    <row r="555" spans="1:16">
      <c r="A555" t="s">
        <v>4759</v>
      </c>
      <c r="B555" t="s">
        <v>64</v>
      </c>
      <c r="C555" t="s">
        <v>100</v>
      </c>
      <c r="D555" t="s">
        <v>4540</v>
      </c>
      <c r="E555" t="s">
        <v>71</v>
      </c>
      <c r="F555" t="s">
        <v>72</v>
      </c>
      <c r="G555">
        <v>2592</v>
      </c>
      <c r="H555" t="s">
        <v>75</v>
      </c>
      <c r="I555" t="s">
        <v>4760</v>
      </c>
      <c r="J555" s="1520">
        <v>46177</v>
      </c>
      <c r="K555" s="1520">
        <v>46217</v>
      </c>
      <c r="L555" s="1520">
        <v>46223</v>
      </c>
      <c r="M555" s="1520">
        <v>46223</v>
      </c>
      <c r="N555" t="s">
        <v>973</v>
      </c>
      <c r="O555" s="1520">
        <v>46237</v>
      </c>
      <c r="P555" s="1520">
        <v>46230</v>
      </c>
    </row>
    <row r="556" spans="1:16">
      <c r="A556" t="s">
        <v>4750</v>
      </c>
      <c r="B556" t="s">
        <v>64</v>
      </c>
      <c r="C556" t="s">
        <v>114</v>
      </c>
      <c r="D556" t="s">
        <v>4495</v>
      </c>
      <c r="E556" t="s">
        <v>4496</v>
      </c>
      <c r="F556" t="s">
        <v>4497</v>
      </c>
      <c r="G556">
        <v>2160</v>
      </c>
      <c r="H556" t="s">
        <v>75</v>
      </c>
      <c r="I556" t="s">
        <v>4751</v>
      </c>
      <c r="J556" s="1520">
        <v>46175</v>
      </c>
      <c r="K556" s="1520">
        <v>46219</v>
      </c>
      <c r="L556" s="1520"/>
      <c r="M556" s="1520">
        <v>46219</v>
      </c>
      <c r="N556" t="s">
        <v>973</v>
      </c>
      <c r="O556" s="1520">
        <v>46233</v>
      </c>
      <c r="P556" s="1520">
        <v>46228</v>
      </c>
    </row>
    <row r="557" spans="1:16">
      <c r="A557" t="s">
        <v>4745</v>
      </c>
      <c r="B557" t="s">
        <v>144</v>
      </c>
      <c r="C557" t="s">
        <v>145</v>
      </c>
      <c r="D557" t="s">
        <v>132</v>
      </c>
      <c r="E557" t="s">
        <v>1062</v>
      </c>
      <c r="F557" t="s">
        <v>1063</v>
      </c>
      <c r="G557">
        <v>1728</v>
      </c>
      <c r="H557" t="s">
        <v>75</v>
      </c>
      <c r="I557" t="s">
        <v>4746</v>
      </c>
      <c r="J557" s="1520">
        <v>46175</v>
      </c>
      <c r="K557" s="1520">
        <v>46219</v>
      </c>
      <c r="L557" s="1520"/>
      <c r="M557" s="1520">
        <v>46219</v>
      </c>
      <c r="N557" t="s">
        <v>973</v>
      </c>
      <c r="O557" s="1520">
        <v>46219</v>
      </c>
      <c r="P557" s="1520">
        <v>46219</v>
      </c>
    </row>
    <row r="558" spans="1:16">
      <c r="A558" t="s">
        <v>4708</v>
      </c>
      <c r="B558" t="s">
        <v>64</v>
      </c>
      <c r="C558" t="s">
        <v>100</v>
      </c>
      <c r="D558" t="s">
        <v>4495</v>
      </c>
      <c r="E558" t="s">
        <v>4496</v>
      </c>
      <c r="F558" t="s">
        <v>4497</v>
      </c>
      <c r="G558">
        <v>1440</v>
      </c>
      <c r="H558" t="s">
        <v>75</v>
      </c>
      <c r="I558" t="s">
        <v>4710</v>
      </c>
      <c r="J558" s="1520">
        <v>46179</v>
      </c>
      <c r="K558" s="1520">
        <v>46214</v>
      </c>
      <c r="L558" s="1520"/>
      <c r="M558" s="1520">
        <v>46218</v>
      </c>
      <c r="N558" t="s">
        <v>973</v>
      </c>
      <c r="O558" s="1520">
        <v>46232</v>
      </c>
      <c r="P558" s="1520">
        <v>46225</v>
      </c>
    </row>
    <row r="559" spans="1:16">
      <c r="A559" t="s">
        <v>4880</v>
      </c>
      <c r="B559" t="s">
        <v>144</v>
      </c>
      <c r="C559" t="s">
        <v>145</v>
      </c>
      <c r="D559" t="s">
        <v>4540</v>
      </c>
      <c r="E559" t="s">
        <v>71</v>
      </c>
      <c r="F559" t="s">
        <v>72</v>
      </c>
      <c r="G559">
        <v>5184</v>
      </c>
      <c r="H559" t="s">
        <v>75</v>
      </c>
      <c r="I559" t="s">
        <v>4883</v>
      </c>
      <c r="J559" s="1520">
        <v>46187</v>
      </c>
      <c r="K559" s="1520">
        <v>46238</v>
      </c>
      <c r="L559" s="1520">
        <v>46240</v>
      </c>
      <c r="M559" s="1520">
        <v>46243</v>
      </c>
      <c r="N559" t="s">
        <v>973</v>
      </c>
      <c r="O559" s="1520">
        <v>46238</v>
      </c>
      <c r="P559" s="1520">
        <v>46243</v>
      </c>
    </row>
    <row r="560" spans="1:16">
      <c r="A560" t="s">
        <v>4886</v>
      </c>
      <c r="B560" t="s">
        <v>144</v>
      </c>
      <c r="C560" t="s">
        <v>145</v>
      </c>
      <c r="D560" t="s">
        <v>4540</v>
      </c>
      <c r="E560" t="s">
        <v>71</v>
      </c>
      <c r="F560" t="s">
        <v>72</v>
      </c>
      <c r="G560">
        <v>6912</v>
      </c>
      <c r="H560" t="s">
        <v>75</v>
      </c>
      <c r="I560" t="s">
        <v>4889</v>
      </c>
      <c r="J560" s="1520">
        <v>46187</v>
      </c>
      <c r="K560" s="1520">
        <v>46238</v>
      </c>
      <c r="L560" s="1520">
        <v>46240</v>
      </c>
      <c r="M560" s="1520">
        <v>46243</v>
      </c>
      <c r="N560" t="s">
        <v>973</v>
      </c>
      <c r="O560" s="1520">
        <v>46238</v>
      </c>
      <c r="P560" s="1520">
        <v>46243</v>
      </c>
    </row>
    <row r="561" spans="1:16">
      <c r="A561" t="s">
        <v>4819</v>
      </c>
      <c r="B561" t="s">
        <v>64</v>
      </c>
      <c r="C561" t="s">
        <v>65</v>
      </c>
      <c r="D561" t="s">
        <v>4540</v>
      </c>
      <c r="E561" t="s">
        <v>4606</v>
      </c>
      <c r="F561" t="s">
        <v>4607</v>
      </c>
      <c r="G561">
        <v>2160</v>
      </c>
      <c r="H561" t="s">
        <v>75</v>
      </c>
      <c r="I561" t="s">
        <v>4820</v>
      </c>
      <c r="J561" s="1520">
        <v>46182</v>
      </c>
      <c r="K561" s="1520">
        <v>46224</v>
      </c>
      <c r="L561" s="1520">
        <v>46234</v>
      </c>
      <c r="M561" s="1520">
        <v>46235.175381944442</v>
      </c>
      <c r="N561" t="s">
        <v>973</v>
      </c>
      <c r="O561" s="1520">
        <v>46246</v>
      </c>
      <c r="P561" s="1520">
        <v>46243.175381944442</v>
      </c>
    </row>
    <row r="562" spans="1:16">
      <c r="A562" t="s">
        <v>4824</v>
      </c>
      <c r="B562" t="s">
        <v>64</v>
      </c>
      <c r="C562" t="s">
        <v>310</v>
      </c>
      <c r="D562" t="s">
        <v>170</v>
      </c>
      <c r="E562" t="s">
        <v>171</v>
      </c>
      <c r="F562" t="s">
        <v>1731</v>
      </c>
      <c r="G562">
        <v>1980</v>
      </c>
      <c r="H562" t="s">
        <v>75</v>
      </c>
      <c r="I562" t="s">
        <v>4825</v>
      </c>
      <c r="J562" s="1520">
        <v>46185</v>
      </c>
      <c r="K562" s="1520">
        <v>46232</v>
      </c>
      <c r="L562" s="1520">
        <v>46239.5</v>
      </c>
      <c r="M562" s="1520">
        <v>46239.457638888889</v>
      </c>
      <c r="N562" t="s">
        <v>973</v>
      </c>
      <c r="O562" s="1520">
        <v>46253</v>
      </c>
      <c r="P562" s="1520">
        <v>46249.457638888889</v>
      </c>
    </row>
    <row r="563" spans="1:16">
      <c r="A563" t="s">
        <v>4813</v>
      </c>
      <c r="B563" t="s">
        <v>64</v>
      </c>
      <c r="C563" t="s">
        <v>65</v>
      </c>
      <c r="D563" t="s">
        <v>170</v>
      </c>
      <c r="E563" t="s">
        <v>1977</v>
      </c>
      <c r="F563" t="s">
        <v>1978</v>
      </c>
      <c r="G563">
        <v>1320</v>
      </c>
      <c r="H563" t="s">
        <v>75</v>
      </c>
      <c r="I563" t="s">
        <v>4815</v>
      </c>
      <c r="J563" s="1520">
        <v>46185</v>
      </c>
      <c r="K563" s="1520">
        <v>46237</v>
      </c>
      <c r="L563" s="1520">
        <v>46239.5</v>
      </c>
      <c r="M563" s="1520">
        <v>46245.821898148148</v>
      </c>
      <c r="N563" t="s">
        <v>973</v>
      </c>
      <c r="O563" s="1520">
        <v>46259</v>
      </c>
      <c r="P563" s="1520">
        <v>46253.821898148148</v>
      </c>
    </row>
    <row r="564" spans="1:16">
      <c r="A564" t="s">
        <v>4828</v>
      </c>
      <c r="B564" t="s">
        <v>64</v>
      </c>
      <c r="C564" t="s">
        <v>310</v>
      </c>
      <c r="D564" t="s">
        <v>170</v>
      </c>
      <c r="E564" t="s">
        <v>1977</v>
      </c>
      <c r="F564" t="s">
        <v>1978</v>
      </c>
      <c r="G564">
        <v>4620</v>
      </c>
      <c r="H564" t="s">
        <v>75</v>
      </c>
      <c r="I564" t="s">
        <v>4830</v>
      </c>
      <c r="J564" s="1520">
        <v>46185</v>
      </c>
      <c r="K564" s="1520">
        <v>46232</v>
      </c>
      <c r="L564" s="1520">
        <v>46239.5</v>
      </c>
      <c r="M564" s="1520">
        <v>46239.457638888889</v>
      </c>
      <c r="N564" t="s">
        <v>973</v>
      </c>
      <c r="O564" s="1520">
        <v>46253</v>
      </c>
      <c r="P564" s="1520">
        <v>46249.457638888889</v>
      </c>
    </row>
    <row r="565" spans="1:16">
      <c r="A565" t="s">
        <v>4842</v>
      </c>
      <c r="B565" t="s">
        <v>64</v>
      </c>
      <c r="C565" t="s">
        <v>114</v>
      </c>
      <c r="D565" t="s">
        <v>4495</v>
      </c>
      <c r="E565" t="s">
        <v>4496</v>
      </c>
      <c r="F565" t="s">
        <v>4497</v>
      </c>
      <c r="G565">
        <v>720</v>
      </c>
      <c r="H565" t="s">
        <v>75</v>
      </c>
      <c r="I565" t="s">
        <v>4844</v>
      </c>
      <c r="J565" s="1520">
        <v>46185</v>
      </c>
      <c r="K565" s="1520">
        <v>46240</v>
      </c>
      <c r="L565" s="1520"/>
      <c r="M565" s="1520">
        <v>46250.44736111111</v>
      </c>
      <c r="N565" t="s">
        <v>973</v>
      </c>
      <c r="O565" s="1520">
        <v>46265</v>
      </c>
      <c r="P565" s="1520">
        <v>46259.44736111111</v>
      </c>
    </row>
    <row r="566" spans="1:16">
      <c r="A566" t="s">
        <v>4910</v>
      </c>
      <c r="B566" t="s">
        <v>64</v>
      </c>
      <c r="C566" t="s">
        <v>65</v>
      </c>
      <c r="D566" t="s">
        <v>4540</v>
      </c>
      <c r="E566" t="s">
        <v>71</v>
      </c>
      <c r="F566" t="s">
        <v>72</v>
      </c>
      <c r="G566">
        <v>3456</v>
      </c>
      <c r="H566" t="s">
        <v>75</v>
      </c>
      <c r="I566" t="s">
        <v>4912</v>
      </c>
      <c r="J566" s="1520">
        <v>46186</v>
      </c>
      <c r="K566" s="1520">
        <v>46251</v>
      </c>
      <c r="L566" s="1520">
        <v>46259.25</v>
      </c>
      <c r="M566" s="1520">
        <v>46259.238761574074</v>
      </c>
      <c r="N566" t="s">
        <v>973</v>
      </c>
      <c r="O566" s="1520">
        <v>46272</v>
      </c>
      <c r="P566" s="1520">
        <v>46267.238761574074</v>
      </c>
    </row>
    <row r="567" spans="1:16">
      <c r="A567" t="s">
        <v>4915</v>
      </c>
      <c r="B567" t="s">
        <v>64</v>
      </c>
      <c r="C567" t="s">
        <v>65</v>
      </c>
      <c r="D567" t="s">
        <v>4540</v>
      </c>
      <c r="E567" t="s">
        <v>71</v>
      </c>
      <c r="F567" t="s">
        <v>72</v>
      </c>
      <c r="G567">
        <v>864</v>
      </c>
      <c r="H567" t="s">
        <v>75</v>
      </c>
      <c r="I567" t="s">
        <v>4916</v>
      </c>
      <c r="J567" s="1520">
        <v>46186</v>
      </c>
      <c r="K567" s="1520">
        <v>46245</v>
      </c>
      <c r="L567" s="1520">
        <v>46253.541666666664</v>
      </c>
      <c r="M567" s="1520">
        <v>46253.474305555559</v>
      </c>
      <c r="N567" t="s">
        <v>973</v>
      </c>
      <c r="O567" s="1520">
        <v>46267</v>
      </c>
      <c r="P567" s="1520">
        <v>46261.474305555559</v>
      </c>
    </row>
    <row r="568" spans="1:16">
      <c r="A568" t="s">
        <v>4919</v>
      </c>
      <c r="B568" t="s">
        <v>144</v>
      </c>
      <c r="C568" t="s">
        <v>145</v>
      </c>
      <c r="D568" t="s">
        <v>4540</v>
      </c>
      <c r="E568" t="s">
        <v>1151</v>
      </c>
      <c r="F568" t="s">
        <v>421</v>
      </c>
      <c r="G568">
        <v>864</v>
      </c>
      <c r="H568" t="s">
        <v>75</v>
      </c>
      <c r="I568" t="s">
        <v>4921</v>
      </c>
      <c r="J568" s="1520">
        <v>46186</v>
      </c>
      <c r="K568" s="1520">
        <v>46239</v>
      </c>
      <c r="L568" s="1520">
        <v>46247.083333333336</v>
      </c>
      <c r="M568" s="1520" t="s">
        <v>4922</v>
      </c>
      <c r="N568" t="s">
        <v>973</v>
      </c>
      <c r="O568" s="1520">
        <v>46239</v>
      </c>
      <c r="P568" s="1520">
        <v>46247</v>
      </c>
    </row>
    <row r="569" spans="1:16">
      <c r="A569" t="s">
        <v>4896</v>
      </c>
      <c r="B569" t="s">
        <v>144</v>
      </c>
      <c r="C569" t="s">
        <v>145</v>
      </c>
      <c r="D569" t="s">
        <v>4540</v>
      </c>
      <c r="E569" t="s">
        <v>195</v>
      </c>
      <c r="F569" t="s">
        <v>196</v>
      </c>
      <c r="G569">
        <v>4680</v>
      </c>
      <c r="H569" t="s">
        <v>75</v>
      </c>
      <c r="I569" t="s">
        <v>4899</v>
      </c>
      <c r="J569" s="1520">
        <v>46186</v>
      </c>
      <c r="K569" s="1520">
        <v>46226</v>
      </c>
      <c r="L569" s="1520">
        <v>46233</v>
      </c>
      <c r="M569" s="1520">
        <v>46233</v>
      </c>
      <c r="N569" t="s">
        <v>973</v>
      </c>
      <c r="O569" s="1520">
        <v>46226</v>
      </c>
      <c r="P569" s="1520">
        <v>46233</v>
      </c>
    </row>
    <row r="570" spans="1:16">
      <c r="A570" t="s">
        <v>4804</v>
      </c>
      <c r="B570" t="s">
        <v>144</v>
      </c>
      <c r="C570" t="s">
        <v>145</v>
      </c>
      <c r="D570" t="s">
        <v>4540</v>
      </c>
      <c r="E570" t="s">
        <v>4601</v>
      </c>
      <c r="F570" t="s">
        <v>330</v>
      </c>
      <c r="G570">
        <v>720</v>
      </c>
      <c r="H570" t="s">
        <v>75</v>
      </c>
      <c r="I570" t="s">
        <v>4805</v>
      </c>
      <c r="J570" s="1520">
        <v>46184</v>
      </c>
      <c r="K570" s="1520">
        <v>46217</v>
      </c>
      <c r="L570" s="1520">
        <v>46226</v>
      </c>
      <c r="M570" s="1520">
        <v>46226</v>
      </c>
      <c r="N570" t="s">
        <v>973</v>
      </c>
      <c r="O570" s="1520">
        <v>46217</v>
      </c>
      <c r="P570" s="1520">
        <v>46226</v>
      </c>
    </row>
    <row r="571" spans="1:16">
      <c r="A571" t="s">
        <v>4800</v>
      </c>
      <c r="B571" t="s">
        <v>144</v>
      </c>
      <c r="C571" t="s">
        <v>145</v>
      </c>
      <c r="D571" t="s">
        <v>4540</v>
      </c>
      <c r="E571" t="s">
        <v>4601</v>
      </c>
      <c r="F571" t="s">
        <v>330</v>
      </c>
      <c r="G571">
        <v>6480</v>
      </c>
      <c r="H571" t="s">
        <v>75</v>
      </c>
      <c r="I571" t="s">
        <v>4801</v>
      </c>
      <c r="J571" s="1520">
        <v>46184</v>
      </c>
      <c r="K571" s="1520">
        <v>46217</v>
      </c>
      <c r="L571" s="1520">
        <v>46223</v>
      </c>
      <c r="M571" s="1520">
        <v>46223</v>
      </c>
      <c r="N571" t="s">
        <v>973</v>
      </c>
      <c r="O571" s="1520">
        <v>46217</v>
      </c>
      <c r="P571" s="1520">
        <v>46223</v>
      </c>
    </row>
    <row r="572" spans="1:16">
      <c r="A572" t="s">
        <v>4808</v>
      </c>
      <c r="B572" t="s">
        <v>144</v>
      </c>
      <c r="C572" t="s">
        <v>145</v>
      </c>
      <c r="D572" t="s">
        <v>4540</v>
      </c>
      <c r="E572" t="s">
        <v>4606</v>
      </c>
      <c r="F572" t="s">
        <v>4607</v>
      </c>
      <c r="G572">
        <v>2880</v>
      </c>
      <c r="H572" t="s">
        <v>75</v>
      </c>
      <c r="I572" t="s">
        <v>4809</v>
      </c>
      <c r="J572" s="1520">
        <v>46183</v>
      </c>
      <c r="K572" s="1520">
        <v>46233</v>
      </c>
      <c r="L572" s="1520">
        <v>46235</v>
      </c>
      <c r="M572" s="1520">
        <v>46240</v>
      </c>
      <c r="N572" t="s">
        <v>973</v>
      </c>
      <c r="O572" s="1520">
        <v>46233</v>
      </c>
      <c r="P572" s="1520">
        <v>46240</v>
      </c>
    </row>
    <row r="573" spans="1:16">
      <c r="A573" t="s">
        <v>4794</v>
      </c>
      <c r="B573" t="s">
        <v>64</v>
      </c>
      <c r="C573" t="s">
        <v>450</v>
      </c>
      <c r="D573" t="s">
        <v>132</v>
      </c>
      <c r="E573" t="s">
        <v>1062</v>
      </c>
      <c r="F573" t="s">
        <v>1063</v>
      </c>
      <c r="G573">
        <v>1728</v>
      </c>
      <c r="H573" t="s">
        <v>75</v>
      </c>
      <c r="I573" t="s">
        <v>4796</v>
      </c>
      <c r="J573" s="1520">
        <v>46181</v>
      </c>
      <c r="K573" s="1520">
        <v>46222</v>
      </c>
      <c r="L573" s="1520">
        <v>46224</v>
      </c>
      <c r="M573" s="1520">
        <v>46224</v>
      </c>
      <c r="N573" t="s">
        <v>973</v>
      </c>
      <c r="O573" s="1520">
        <v>46238</v>
      </c>
      <c r="P573" s="1520">
        <v>46231</v>
      </c>
    </row>
    <row r="574" spans="1:16">
      <c r="A574" t="s">
        <v>4742</v>
      </c>
      <c r="B574" t="s">
        <v>64</v>
      </c>
      <c r="C574" t="s">
        <v>310</v>
      </c>
      <c r="D574" t="s">
        <v>170</v>
      </c>
      <c r="E574" t="s">
        <v>171</v>
      </c>
      <c r="F574" t="s">
        <v>1731</v>
      </c>
      <c r="G574">
        <v>1980</v>
      </c>
      <c r="H574" t="s">
        <v>75</v>
      </c>
      <c r="I574" t="s">
        <v>4744</v>
      </c>
      <c r="J574" s="1520">
        <v>46178</v>
      </c>
      <c r="K574" s="1520">
        <v>46225</v>
      </c>
      <c r="L574" s="1520">
        <v>46236</v>
      </c>
      <c r="M574" s="1520">
        <v>46232</v>
      </c>
      <c r="N574" t="s">
        <v>973</v>
      </c>
      <c r="O574" s="1520">
        <v>46246</v>
      </c>
      <c r="P574" s="1520">
        <v>46242</v>
      </c>
    </row>
    <row r="575" spans="1:16">
      <c r="A575" t="s">
        <v>4732</v>
      </c>
      <c r="B575" t="s">
        <v>64</v>
      </c>
      <c r="C575" t="s">
        <v>65</v>
      </c>
      <c r="D575" t="s">
        <v>132</v>
      </c>
      <c r="E575" t="s">
        <v>1062</v>
      </c>
      <c r="F575" t="s">
        <v>1063</v>
      </c>
      <c r="G575">
        <v>7776</v>
      </c>
      <c r="H575" t="s">
        <v>75</v>
      </c>
      <c r="I575" t="s">
        <v>4733</v>
      </c>
      <c r="J575" s="1520">
        <v>46178</v>
      </c>
      <c r="K575" s="1520">
        <v>46230</v>
      </c>
      <c r="L575" s="1520">
        <v>46235</v>
      </c>
      <c r="M575" s="1520">
        <v>46236.239571759259</v>
      </c>
      <c r="N575" t="s">
        <v>973</v>
      </c>
      <c r="O575" s="1520">
        <v>46248</v>
      </c>
      <c r="P575" s="1520">
        <v>46244.239571759259</v>
      </c>
    </row>
    <row r="576" spans="1:16">
      <c r="A576" t="s">
        <v>4779</v>
      </c>
      <c r="B576" t="s">
        <v>144</v>
      </c>
      <c r="C576" t="s">
        <v>145</v>
      </c>
      <c r="D576" t="s">
        <v>4540</v>
      </c>
      <c r="E576" t="s">
        <v>71</v>
      </c>
      <c r="F576" t="s">
        <v>72</v>
      </c>
      <c r="G576">
        <v>5184</v>
      </c>
      <c r="H576" t="s">
        <v>75</v>
      </c>
      <c r="I576" t="s">
        <v>4782</v>
      </c>
      <c r="J576" s="1520">
        <v>46178</v>
      </c>
      <c r="K576" s="1520">
        <v>46237</v>
      </c>
      <c r="L576" s="1520">
        <v>46245</v>
      </c>
      <c r="M576" s="1520">
        <v>46247</v>
      </c>
      <c r="N576" t="s">
        <v>973</v>
      </c>
      <c r="O576" s="1520">
        <v>46237</v>
      </c>
      <c r="P576" s="1520">
        <v>46247</v>
      </c>
    </row>
    <row r="577" spans="1:16">
      <c r="A577" t="s">
        <v>4730</v>
      </c>
      <c r="B577" t="s">
        <v>64</v>
      </c>
      <c r="C577" t="s">
        <v>100</v>
      </c>
      <c r="D577" t="s">
        <v>170</v>
      </c>
      <c r="E577" t="s">
        <v>171</v>
      </c>
      <c r="F577" t="s">
        <v>1731</v>
      </c>
      <c r="G577">
        <v>3960</v>
      </c>
      <c r="H577" t="s">
        <v>75</v>
      </c>
      <c r="I577" t="s">
        <v>4731</v>
      </c>
      <c r="J577" s="1520">
        <v>46180</v>
      </c>
      <c r="K577" s="1520">
        <v>46221</v>
      </c>
      <c r="L577" s="1520">
        <v>46229</v>
      </c>
      <c r="M577" s="1520">
        <v>46228</v>
      </c>
      <c r="N577" t="s">
        <v>973</v>
      </c>
      <c r="O577" s="1520">
        <v>46241</v>
      </c>
      <c r="P577" s="1520">
        <v>46235</v>
      </c>
    </row>
    <row r="578" spans="1:16">
      <c r="A578" t="s">
        <v>4725</v>
      </c>
      <c r="B578" t="s">
        <v>64</v>
      </c>
      <c r="C578" t="s">
        <v>100</v>
      </c>
      <c r="D578" t="s">
        <v>132</v>
      </c>
      <c r="E578" t="s">
        <v>1062</v>
      </c>
      <c r="F578" t="s">
        <v>1063</v>
      </c>
      <c r="G578">
        <v>1728</v>
      </c>
      <c r="H578" t="s">
        <v>75</v>
      </c>
      <c r="I578" t="s">
        <v>4726</v>
      </c>
      <c r="J578" s="1520">
        <v>46180</v>
      </c>
      <c r="K578" s="1520">
        <v>46221</v>
      </c>
      <c r="L578" s="1520">
        <v>46229</v>
      </c>
      <c r="M578" s="1520">
        <v>46228</v>
      </c>
      <c r="N578" t="s">
        <v>973</v>
      </c>
      <c r="O578" s="1520">
        <v>46241</v>
      </c>
      <c r="P578" s="1520">
        <v>46235</v>
      </c>
    </row>
    <row r="579" spans="1:16">
      <c r="A579" t="s">
        <v>4715</v>
      </c>
      <c r="B579" t="s">
        <v>144</v>
      </c>
      <c r="C579" t="s">
        <v>145</v>
      </c>
      <c r="D579" t="s">
        <v>132</v>
      </c>
      <c r="E579" t="s">
        <v>1062</v>
      </c>
      <c r="F579" t="s">
        <v>1063</v>
      </c>
      <c r="G579">
        <v>2592</v>
      </c>
      <c r="H579" t="s">
        <v>75</v>
      </c>
      <c r="I579" t="s">
        <v>4716</v>
      </c>
      <c r="J579" s="1520">
        <v>46179</v>
      </c>
      <c r="K579" s="1520">
        <v>46214</v>
      </c>
      <c r="L579" s="1520"/>
      <c r="M579" s="1520">
        <v>46218</v>
      </c>
      <c r="N579" t="s">
        <v>973</v>
      </c>
      <c r="O579" s="1520">
        <v>46214</v>
      </c>
      <c r="P579" s="1520">
        <v>46218</v>
      </c>
    </row>
    <row r="580" spans="1:16">
      <c r="A580" t="s">
        <v>4713</v>
      </c>
      <c r="B580" t="s">
        <v>64</v>
      </c>
      <c r="C580" t="s">
        <v>100</v>
      </c>
      <c r="D580" t="s">
        <v>4495</v>
      </c>
      <c r="E580" t="s">
        <v>4529</v>
      </c>
      <c r="F580" t="s">
        <v>4530</v>
      </c>
      <c r="G580">
        <v>4320</v>
      </c>
      <c r="H580" t="s">
        <v>75</v>
      </c>
      <c r="I580" t="s">
        <v>4714</v>
      </c>
      <c r="J580" s="1520">
        <v>46179</v>
      </c>
      <c r="K580" s="1520">
        <v>46214</v>
      </c>
      <c r="L580" s="1520"/>
      <c r="M580" s="1520">
        <v>46218</v>
      </c>
      <c r="N580" t="s">
        <v>973</v>
      </c>
      <c r="O580" s="1520">
        <v>46232</v>
      </c>
      <c r="P580" s="1520">
        <v>46225</v>
      </c>
    </row>
    <row r="581" spans="1:16">
      <c r="A581" t="s">
        <v>4847</v>
      </c>
      <c r="B581" t="s">
        <v>64</v>
      </c>
      <c r="C581" t="s">
        <v>114</v>
      </c>
      <c r="D581" t="s">
        <v>132</v>
      </c>
      <c r="E581" t="s">
        <v>1062</v>
      </c>
      <c r="F581" t="s">
        <v>1063</v>
      </c>
      <c r="G581">
        <v>1728</v>
      </c>
      <c r="H581" t="s">
        <v>75</v>
      </c>
      <c r="I581" t="s">
        <v>4848</v>
      </c>
      <c r="J581" s="1520">
        <v>46185</v>
      </c>
      <c r="K581" s="1520">
        <v>46240</v>
      </c>
      <c r="L581" s="1520"/>
      <c r="M581" s="1520">
        <v>46250.44736111111</v>
      </c>
      <c r="N581" t="s">
        <v>973</v>
      </c>
      <c r="O581" s="1520">
        <v>46265</v>
      </c>
      <c r="P581" s="1520">
        <v>46259.44736111111</v>
      </c>
    </row>
    <row r="582" spans="1:16">
      <c r="A582" t="s">
        <v>4851</v>
      </c>
      <c r="B582" t="s">
        <v>64</v>
      </c>
      <c r="C582" t="s">
        <v>114</v>
      </c>
      <c r="D582" t="s">
        <v>132</v>
      </c>
      <c r="E582" t="s">
        <v>1062</v>
      </c>
      <c r="F582" t="s">
        <v>1063</v>
      </c>
      <c r="G582">
        <v>1728</v>
      </c>
      <c r="H582" t="s">
        <v>75</v>
      </c>
      <c r="I582" t="s">
        <v>4852</v>
      </c>
      <c r="J582" s="1520">
        <v>46185</v>
      </c>
      <c r="K582" s="1520">
        <v>46240</v>
      </c>
      <c r="L582" s="1520"/>
      <c r="M582" s="1520">
        <v>46250.44736111111</v>
      </c>
      <c r="N582" t="s">
        <v>973</v>
      </c>
      <c r="O582" s="1520">
        <v>46265</v>
      </c>
      <c r="P582" s="1520">
        <v>46259.44736111111</v>
      </c>
    </row>
    <row r="583" spans="1:16">
      <c r="A583" t="s">
        <v>4890</v>
      </c>
      <c r="B583" t="s">
        <v>144</v>
      </c>
      <c r="C583" t="s">
        <v>145</v>
      </c>
      <c r="D583" t="s">
        <v>4540</v>
      </c>
      <c r="E583" t="s">
        <v>195</v>
      </c>
      <c r="F583" t="s">
        <v>196</v>
      </c>
      <c r="G583">
        <v>936</v>
      </c>
      <c r="H583" t="s">
        <v>75</v>
      </c>
      <c r="I583" t="s">
        <v>4892</v>
      </c>
      <c r="J583" s="1520">
        <v>46186</v>
      </c>
      <c r="K583" s="1520">
        <v>46235</v>
      </c>
      <c r="L583" s="1520">
        <v>46242.041666666664</v>
      </c>
      <c r="M583" s="1520">
        <v>46241.871620370373</v>
      </c>
      <c r="N583" t="s">
        <v>973</v>
      </c>
      <c r="O583" s="1520">
        <v>46235</v>
      </c>
      <c r="P583" s="1520">
        <v>46241.871620370373</v>
      </c>
    </row>
    <row r="584" spans="1:16">
      <c r="A584" t="s">
        <v>4925</v>
      </c>
      <c r="B584" t="s">
        <v>144</v>
      </c>
      <c r="C584" t="s">
        <v>145</v>
      </c>
      <c r="D584" t="s">
        <v>4540</v>
      </c>
      <c r="E584" t="s">
        <v>1151</v>
      </c>
      <c r="F584" t="s">
        <v>421</v>
      </c>
      <c r="G584">
        <v>864</v>
      </c>
      <c r="H584" t="s">
        <v>75</v>
      </c>
      <c r="I584" t="s">
        <v>4926</v>
      </c>
      <c r="J584" s="1520">
        <v>46186</v>
      </c>
      <c r="K584" s="1520">
        <v>46240</v>
      </c>
      <c r="L584" s="1520">
        <v>46247.375</v>
      </c>
      <c r="M584" s="1520" t="s">
        <v>4922</v>
      </c>
      <c r="N584" t="s">
        <v>973</v>
      </c>
      <c r="O584" s="1520">
        <v>46240</v>
      </c>
      <c r="P584" s="1520">
        <v>46247</v>
      </c>
    </row>
    <row r="585" spans="1:16">
      <c r="A585" t="s">
        <v>4857</v>
      </c>
      <c r="B585" t="s">
        <v>144</v>
      </c>
      <c r="C585" t="s">
        <v>145</v>
      </c>
      <c r="D585" t="s">
        <v>4540</v>
      </c>
      <c r="E585" t="s">
        <v>71</v>
      </c>
      <c r="F585" t="s">
        <v>72</v>
      </c>
      <c r="G585">
        <v>5184</v>
      </c>
      <c r="H585" t="s">
        <v>75</v>
      </c>
      <c r="I585" t="s">
        <v>4859</v>
      </c>
      <c r="J585" s="1520">
        <v>46187</v>
      </c>
      <c r="K585" s="1520">
        <v>46240</v>
      </c>
      <c r="L585" s="1520">
        <v>46242</v>
      </c>
      <c r="M585" s="1520">
        <v>46240</v>
      </c>
      <c r="N585" t="s">
        <v>973</v>
      </c>
      <c r="O585" s="1520">
        <v>46240</v>
      </c>
      <c r="P585" s="1520">
        <v>46240</v>
      </c>
    </row>
    <row r="586" spans="1:16">
      <c r="A586" t="s">
        <v>4863</v>
      </c>
      <c r="B586" t="s">
        <v>144</v>
      </c>
      <c r="C586" t="s">
        <v>145</v>
      </c>
      <c r="D586" t="s">
        <v>4540</v>
      </c>
      <c r="E586" t="s">
        <v>71</v>
      </c>
      <c r="F586" t="s">
        <v>72</v>
      </c>
      <c r="G586">
        <v>5184</v>
      </c>
      <c r="H586" t="s">
        <v>75</v>
      </c>
      <c r="I586" t="s">
        <v>4865</v>
      </c>
      <c r="J586" s="1520">
        <v>46187</v>
      </c>
      <c r="K586" s="1520">
        <v>46238</v>
      </c>
      <c r="L586" s="1520">
        <v>46240</v>
      </c>
      <c r="M586" s="1520">
        <v>46243</v>
      </c>
      <c r="N586" t="s">
        <v>973</v>
      </c>
      <c r="O586" s="1520">
        <v>46238</v>
      </c>
      <c r="P586" s="1520">
        <v>46243</v>
      </c>
    </row>
    <row r="587" spans="1:16">
      <c r="A587" t="s">
        <v>4831</v>
      </c>
      <c r="B587" t="s">
        <v>64</v>
      </c>
      <c r="C587" t="s">
        <v>310</v>
      </c>
      <c r="D587" t="s">
        <v>170</v>
      </c>
      <c r="E587" t="s">
        <v>1977</v>
      </c>
      <c r="F587" t="s">
        <v>1978</v>
      </c>
      <c r="G587">
        <v>2640</v>
      </c>
      <c r="H587" t="s">
        <v>75</v>
      </c>
      <c r="I587" t="s">
        <v>4832</v>
      </c>
      <c r="J587" s="1520">
        <v>46182</v>
      </c>
      <c r="K587" s="1520">
        <v>46241</v>
      </c>
      <c r="L587" s="1520">
        <v>46254.75</v>
      </c>
      <c r="M587" s="1520">
        <v>46254</v>
      </c>
      <c r="N587" t="s">
        <v>973</v>
      </c>
      <c r="O587" s="1520">
        <v>46268</v>
      </c>
      <c r="P587" s="1520">
        <v>46264</v>
      </c>
    </row>
    <row r="588" spans="1:16">
      <c r="A588" t="s">
        <v>4988</v>
      </c>
      <c r="B588" t="s">
        <v>64</v>
      </c>
      <c r="C588" t="s">
        <v>310</v>
      </c>
      <c r="D588" t="s">
        <v>4540</v>
      </c>
      <c r="E588" t="s">
        <v>4601</v>
      </c>
      <c r="F588" t="s">
        <v>330</v>
      </c>
      <c r="G588">
        <v>2160</v>
      </c>
      <c r="H588" t="s">
        <v>75</v>
      </c>
      <c r="I588" t="s">
        <v>4990</v>
      </c>
      <c r="J588" s="1520">
        <v>46189</v>
      </c>
      <c r="K588" s="1520">
        <v>46248</v>
      </c>
      <c r="L588" s="1520">
        <v>46254.75</v>
      </c>
      <c r="M588" s="1520">
        <v>46254</v>
      </c>
      <c r="N588" t="s">
        <v>973</v>
      </c>
      <c r="O588" s="1520">
        <v>46268</v>
      </c>
      <c r="P588" s="1520">
        <v>46264</v>
      </c>
    </row>
    <row r="589" spans="1:16">
      <c r="A589" t="s">
        <v>4964</v>
      </c>
      <c r="B589" t="s">
        <v>64</v>
      </c>
      <c r="C589" t="s">
        <v>65</v>
      </c>
      <c r="D589" t="s">
        <v>170</v>
      </c>
      <c r="E589" t="s">
        <v>1977</v>
      </c>
      <c r="F589" t="s">
        <v>1978</v>
      </c>
      <c r="G589">
        <v>1320</v>
      </c>
      <c r="H589" t="s">
        <v>75</v>
      </c>
      <c r="I589" t="s">
        <v>4965</v>
      </c>
      <c r="J589" s="1520">
        <v>46189</v>
      </c>
      <c r="K589" s="1520">
        <v>46231</v>
      </c>
      <c r="L589" s="1520">
        <v>46234</v>
      </c>
      <c r="M589" s="1520">
        <v>46235.175381944442</v>
      </c>
      <c r="N589" t="s">
        <v>973</v>
      </c>
      <c r="O589" s="1520">
        <v>46246</v>
      </c>
      <c r="P589" s="1520">
        <v>46243.175381944442</v>
      </c>
    </row>
    <row r="590" spans="1:16">
      <c r="A590" t="s">
        <v>4949</v>
      </c>
      <c r="B590" t="s">
        <v>144</v>
      </c>
      <c r="C590" t="s">
        <v>145</v>
      </c>
      <c r="D590" t="s">
        <v>4540</v>
      </c>
      <c r="E590" t="s">
        <v>4601</v>
      </c>
      <c r="F590" t="s">
        <v>330</v>
      </c>
      <c r="G590">
        <v>3600</v>
      </c>
      <c r="H590" t="s">
        <v>75</v>
      </c>
      <c r="I590" t="s">
        <v>4950</v>
      </c>
      <c r="J590" s="1520">
        <v>46188</v>
      </c>
      <c r="K590" s="1520">
        <v>46225</v>
      </c>
      <c r="L590" s="1520">
        <v>46233</v>
      </c>
      <c r="M590" s="1520">
        <v>46234</v>
      </c>
      <c r="N590" t="s">
        <v>973</v>
      </c>
      <c r="O590" s="1520">
        <v>46225</v>
      </c>
      <c r="P590" s="1520">
        <v>46234</v>
      </c>
    </row>
    <row r="591" spans="1:16">
      <c r="A591" t="s">
        <v>4939</v>
      </c>
      <c r="B591" t="s">
        <v>144</v>
      </c>
      <c r="C591" t="s">
        <v>145</v>
      </c>
      <c r="D591" t="s">
        <v>132</v>
      </c>
      <c r="E591" t="s">
        <v>1062</v>
      </c>
      <c r="F591" t="s">
        <v>1063</v>
      </c>
      <c r="G591">
        <v>6048</v>
      </c>
      <c r="H591" t="s">
        <v>75</v>
      </c>
      <c r="I591" t="s">
        <v>4940</v>
      </c>
      <c r="J591" s="1520">
        <v>46192</v>
      </c>
      <c r="K591" s="1520">
        <v>46226</v>
      </c>
      <c r="L591" s="1520">
        <v>46233</v>
      </c>
      <c r="M591" s="1520">
        <v>46233</v>
      </c>
      <c r="N591" t="s">
        <v>973</v>
      </c>
      <c r="O591" s="1520">
        <v>46226</v>
      </c>
      <c r="P591" s="1520">
        <v>46233</v>
      </c>
    </row>
    <row r="592" spans="1:16">
      <c r="A592" t="s">
        <v>4944</v>
      </c>
      <c r="B592" t="s">
        <v>144</v>
      </c>
      <c r="C592" t="s">
        <v>145</v>
      </c>
      <c r="D592" t="s">
        <v>4540</v>
      </c>
      <c r="E592" t="s">
        <v>4601</v>
      </c>
      <c r="F592" t="s">
        <v>330</v>
      </c>
      <c r="G592">
        <v>3600</v>
      </c>
      <c r="H592" t="s">
        <v>75</v>
      </c>
      <c r="I592" t="s">
        <v>4945</v>
      </c>
      <c r="J592" s="1520">
        <v>46187</v>
      </c>
      <c r="K592" s="1520">
        <v>46237</v>
      </c>
      <c r="L592" s="1520"/>
      <c r="M592" s="1520">
        <v>46239.203981481478</v>
      </c>
      <c r="N592" t="s">
        <v>973</v>
      </c>
      <c r="O592" s="1520">
        <v>46237</v>
      </c>
      <c r="P592" s="1520">
        <v>46239.203981481478</v>
      </c>
    </row>
    <row r="593" spans="1:16">
      <c r="A593" t="s">
        <v>4935</v>
      </c>
      <c r="B593" t="s">
        <v>64</v>
      </c>
      <c r="C593" t="s">
        <v>450</v>
      </c>
      <c r="D593" t="s">
        <v>4540</v>
      </c>
      <c r="E593" t="s">
        <v>4601</v>
      </c>
      <c r="F593" t="s">
        <v>330</v>
      </c>
      <c r="G593">
        <v>1440</v>
      </c>
      <c r="H593" t="s">
        <v>75</v>
      </c>
      <c r="I593" t="s">
        <v>4936</v>
      </c>
      <c r="J593" s="1520">
        <v>46188</v>
      </c>
      <c r="K593" s="1520">
        <v>46229</v>
      </c>
      <c r="L593" s="1520">
        <v>46232</v>
      </c>
      <c r="M593" s="1520">
        <v>46232</v>
      </c>
      <c r="N593" t="s">
        <v>973</v>
      </c>
      <c r="O593" s="1520">
        <v>46245</v>
      </c>
      <c r="P593" s="1520">
        <v>46239</v>
      </c>
    </row>
    <row r="594" spans="1:16">
      <c r="A594" t="s">
        <v>4754</v>
      </c>
      <c r="B594" t="s">
        <v>64</v>
      </c>
      <c r="C594" t="s">
        <v>450</v>
      </c>
      <c r="D594" t="s">
        <v>4540</v>
      </c>
      <c r="E594" t="s">
        <v>1151</v>
      </c>
      <c r="F594" t="s">
        <v>421</v>
      </c>
      <c r="G594">
        <v>3456</v>
      </c>
      <c r="H594" t="s">
        <v>75</v>
      </c>
      <c r="I594" t="s">
        <v>4755</v>
      </c>
      <c r="J594" s="1520">
        <v>46183</v>
      </c>
      <c r="K594" s="1520">
        <v>46236</v>
      </c>
      <c r="L594" s="1520">
        <v>46253</v>
      </c>
      <c r="M594" s="1520">
        <v>46258</v>
      </c>
      <c r="N594" t="s">
        <v>973</v>
      </c>
      <c r="O594" s="1520">
        <v>46267</v>
      </c>
      <c r="P594" s="1520">
        <v>46265</v>
      </c>
    </row>
    <row r="595" spans="1:16">
      <c r="A595" t="s">
        <v>5014</v>
      </c>
      <c r="B595" t="s">
        <v>64</v>
      </c>
      <c r="C595" t="s">
        <v>450</v>
      </c>
      <c r="D595" t="s">
        <v>4540</v>
      </c>
      <c r="E595" t="s">
        <v>195</v>
      </c>
      <c r="F595" t="s">
        <v>196</v>
      </c>
      <c r="G595">
        <v>936</v>
      </c>
      <c r="H595" t="s">
        <v>75</v>
      </c>
      <c r="I595" t="s">
        <v>5015</v>
      </c>
      <c r="J595" s="1520">
        <v>46193</v>
      </c>
      <c r="K595" s="1520">
        <v>46243</v>
      </c>
      <c r="L595" s="1520">
        <v>46244.40625</v>
      </c>
      <c r="M595" s="1520">
        <v>46244.405787037038</v>
      </c>
      <c r="N595" t="s">
        <v>973</v>
      </c>
      <c r="O595" s="1520">
        <v>46258</v>
      </c>
      <c r="P595" s="1520">
        <v>46251.405787037038</v>
      </c>
    </row>
    <row r="596" spans="1:16">
      <c r="A596" t="s">
        <v>5018</v>
      </c>
      <c r="B596" t="s">
        <v>144</v>
      </c>
      <c r="C596" t="s">
        <v>145</v>
      </c>
      <c r="D596" t="s">
        <v>4540</v>
      </c>
      <c r="E596" t="s">
        <v>195</v>
      </c>
      <c r="F596" t="s">
        <v>196</v>
      </c>
      <c r="G596">
        <v>3744</v>
      </c>
      <c r="H596" t="s">
        <v>75</v>
      </c>
      <c r="I596" t="s">
        <v>5019</v>
      </c>
      <c r="J596" s="1520">
        <v>46193</v>
      </c>
      <c r="K596" s="1520">
        <v>46232</v>
      </c>
      <c r="L596" s="1520">
        <v>46240.020833333336</v>
      </c>
      <c r="M596" s="1520">
        <v>46240.041226851848</v>
      </c>
      <c r="N596" t="s">
        <v>973</v>
      </c>
      <c r="O596" s="1520">
        <v>46232</v>
      </c>
      <c r="P596" s="1520">
        <v>46240.041226851848</v>
      </c>
    </row>
    <row r="597" spans="1:16">
      <c r="A597" t="s">
        <v>5022</v>
      </c>
      <c r="B597" t="s">
        <v>64</v>
      </c>
      <c r="C597" t="s">
        <v>100</v>
      </c>
      <c r="D597" t="s">
        <v>4540</v>
      </c>
      <c r="E597" t="s">
        <v>195</v>
      </c>
      <c r="F597" t="s">
        <v>196</v>
      </c>
      <c r="G597">
        <v>936</v>
      </c>
      <c r="H597" t="s">
        <v>75</v>
      </c>
      <c r="I597" t="s">
        <v>5023</v>
      </c>
      <c r="J597" s="1520">
        <v>46193</v>
      </c>
      <c r="K597" s="1520">
        <v>46232</v>
      </c>
      <c r="L597" s="1520">
        <v>46240.020833333336</v>
      </c>
      <c r="M597" s="1520">
        <v>46240.041226851848</v>
      </c>
      <c r="N597" t="s">
        <v>973</v>
      </c>
      <c r="O597" s="1520">
        <v>46253</v>
      </c>
      <c r="P597" s="1520">
        <v>46247.041226851848</v>
      </c>
    </row>
    <row r="598" spans="1:16">
      <c r="A598" t="s">
        <v>4998</v>
      </c>
      <c r="B598" t="s">
        <v>64</v>
      </c>
      <c r="C598" t="s">
        <v>310</v>
      </c>
      <c r="D598" t="s">
        <v>170</v>
      </c>
      <c r="E598" t="s">
        <v>1221</v>
      </c>
      <c r="F598" t="s">
        <v>1222</v>
      </c>
      <c r="G598">
        <v>660</v>
      </c>
      <c r="H598" t="s">
        <v>75</v>
      </c>
      <c r="I598" t="s">
        <v>5000</v>
      </c>
      <c r="J598" s="1520">
        <v>46189</v>
      </c>
      <c r="K598" s="1520">
        <v>46248</v>
      </c>
      <c r="L598" s="1520">
        <v>46254.75</v>
      </c>
      <c r="M598" s="1520">
        <v>46254</v>
      </c>
      <c r="N598" t="s">
        <v>973</v>
      </c>
      <c r="O598" s="1520">
        <v>46268</v>
      </c>
      <c r="P598" s="1520">
        <v>46264</v>
      </c>
    </row>
    <row r="599" spans="1:16">
      <c r="A599" t="s">
        <v>4962</v>
      </c>
      <c r="B599" t="s">
        <v>144</v>
      </c>
      <c r="C599" t="s">
        <v>145</v>
      </c>
      <c r="D599" t="s">
        <v>4540</v>
      </c>
      <c r="E599" t="s">
        <v>4606</v>
      </c>
      <c r="F599" t="s">
        <v>4607</v>
      </c>
      <c r="G599">
        <v>720</v>
      </c>
      <c r="H599" t="s">
        <v>75</v>
      </c>
      <c r="I599" t="s">
        <v>4963</v>
      </c>
      <c r="J599" s="1520">
        <v>46188</v>
      </c>
      <c r="K599" s="1520">
        <v>46225</v>
      </c>
      <c r="L599" s="1520">
        <v>46234</v>
      </c>
      <c r="M599" s="1520">
        <v>46237</v>
      </c>
      <c r="N599" t="s">
        <v>973</v>
      </c>
      <c r="O599" s="1520">
        <v>46225</v>
      </c>
      <c r="P599" s="1520">
        <v>46237</v>
      </c>
    </row>
    <row r="600" spans="1:16">
      <c r="A600" t="s">
        <v>4958</v>
      </c>
      <c r="B600" t="s">
        <v>144</v>
      </c>
      <c r="C600" t="s">
        <v>145</v>
      </c>
      <c r="D600" t="s">
        <v>4540</v>
      </c>
      <c r="E600" t="s">
        <v>4606</v>
      </c>
      <c r="F600" t="s">
        <v>4607</v>
      </c>
      <c r="G600">
        <v>4320</v>
      </c>
      <c r="H600" t="s">
        <v>75</v>
      </c>
      <c r="I600" t="s">
        <v>4959</v>
      </c>
      <c r="J600" s="1520">
        <v>46188</v>
      </c>
      <c r="K600" s="1520">
        <v>46225</v>
      </c>
      <c r="L600" s="1520">
        <v>46234</v>
      </c>
      <c r="M600" s="1520">
        <v>46237</v>
      </c>
      <c r="N600" t="s">
        <v>973</v>
      </c>
      <c r="O600" s="1520">
        <v>46225</v>
      </c>
      <c r="P600" s="1520">
        <v>46237</v>
      </c>
    </row>
    <row r="601" spans="1:16">
      <c r="A601" t="s">
        <v>4954</v>
      </c>
      <c r="B601" t="s">
        <v>144</v>
      </c>
      <c r="C601" t="s">
        <v>145</v>
      </c>
      <c r="D601" t="s">
        <v>4540</v>
      </c>
      <c r="E601" t="s">
        <v>4606</v>
      </c>
      <c r="F601" t="s">
        <v>4607</v>
      </c>
      <c r="G601">
        <v>2160</v>
      </c>
      <c r="H601" t="s">
        <v>75</v>
      </c>
      <c r="I601" t="s">
        <v>4955</v>
      </c>
      <c r="J601" s="1520">
        <v>46188</v>
      </c>
      <c r="K601" s="1520">
        <v>46225</v>
      </c>
      <c r="L601" s="1520">
        <v>46233</v>
      </c>
      <c r="M601" s="1520">
        <v>46234</v>
      </c>
      <c r="N601" t="s">
        <v>973</v>
      </c>
      <c r="O601" s="1520">
        <v>46225</v>
      </c>
      <c r="P601" s="1520">
        <v>46234</v>
      </c>
    </row>
    <row r="602" spans="1:16">
      <c r="A602" t="s">
        <v>5128</v>
      </c>
      <c r="B602" t="s">
        <v>64</v>
      </c>
      <c r="C602" t="s">
        <v>100</v>
      </c>
      <c r="D602" t="s">
        <v>4540</v>
      </c>
      <c r="E602" t="s">
        <v>195</v>
      </c>
      <c r="F602" t="s">
        <v>196</v>
      </c>
      <c r="G602">
        <v>936</v>
      </c>
      <c r="H602" t="s">
        <v>75</v>
      </c>
      <c r="I602" t="s">
        <v>5129</v>
      </c>
      <c r="J602" s="1520">
        <v>46197</v>
      </c>
      <c r="K602" s="1520">
        <v>46256</v>
      </c>
      <c r="L602" s="1520">
        <v>46262.1875</v>
      </c>
      <c r="M602" s="1520">
        <v>46262</v>
      </c>
      <c r="N602" t="s">
        <v>973</v>
      </c>
      <c r="O602" s="1520">
        <v>46276</v>
      </c>
      <c r="P602" s="1520">
        <v>46269</v>
      </c>
    </row>
    <row r="603" spans="1:16">
      <c r="A603" t="s">
        <v>5115</v>
      </c>
      <c r="B603" t="s">
        <v>64</v>
      </c>
      <c r="C603" t="s">
        <v>65</v>
      </c>
      <c r="D603" t="s">
        <v>132</v>
      </c>
      <c r="E603" t="s">
        <v>1062</v>
      </c>
      <c r="F603" t="s">
        <v>1063</v>
      </c>
      <c r="G603">
        <v>2592</v>
      </c>
      <c r="H603" t="s">
        <v>75</v>
      </c>
      <c r="I603" t="s">
        <v>5117</v>
      </c>
      <c r="J603" s="1520">
        <v>46199</v>
      </c>
      <c r="K603" s="1520">
        <v>46251</v>
      </c>
      <c r="L603" s="1520"/>
      <c r="M603" s="1520">
        <v>46259.238761574074</v>
      </c>
      <c r="N603" t="s">
        <v>973</v>
      </c>
      <c r="O603" s="1520">
        <v>46272</v>
      </c>
      <c r="P603" s="1520">
        <v>46267.238761574074</v>
      </c>
    </row>
    <row r="604" spans="1:16">
      <c r="A604" t="s">
        <v>5093</v>
      </c>
      <c r="B604" t="s">
        <v>64</v>
      </c>
      <c r="C604" t="s">
        <v>65</v>
      </c>
      <c r="D604" t="s">
        <v>4540</v>
      </c>
      <c r="E604" t="s">
        <v>4606</v>
      </c>
      <c r="F604" t="s">
        <v>4607</v>
      </c>
      <c r="G604">
        <v>2160</v>
      </c>
      <c r="H604" t="s">
        <v>75</v>
      </c>
      <c r="I604" t="s">
        <v>5094</v>
      </c>
      <c r="J604" s="1520">
        <v>46199</v>
      </c>
      <c r="K604" s="1520">
        <v>46251</v>
      </c>
      <c r="L604" s="1520"/>
      <c r="M604" s="1520">
        <v>46259.238761574074</v>
      </c>
      <c r="N604" t="s">
        <v>973</v>
      </c>
      <c r="O604" s="1520">
        <v>46272</v>
      </c>
      <c r="P604" s="1520">
        <v>46267.238761574074</v>
      </c>
    </row>
    <row r="605" spans="1:16">
      <c r="A605" t="s">
        <v>5090</v>
      </c>
      <c r="B605" t="s">
        <v>64</v>
      </c>
      <c r="C605" t="s">
        <v>65</v>
      </c>
      <c r="D605" t="s">
        <v>4540</v>
      </c>
      <c r="E605" t="s">
        <v>4606</v>
      </c>
      <c r="F605" t="s">
        <v>4607</v>
      </c>
      <c r="G605">
        <v>2160</v>
      </c>
      <c r="H605" t="s">
        <v>75</v>
      </c>
      <c r="I605" t="s">
        <v>5092</v>
      </c>
      <c r="J605" s="1520">
        <v>46196</v>
      </c>
      <c r="K605" s="1520">
        <v>46238</v>
      </c>
      <c r="L605" s="1520">
        <v>46242.25</v>
      </c>
      <c r="M605" s="1520">
        <v>46242.239039351851</v>
      </c>
      <c r="N605" t="s">
        <v>973</v>
      </c>
      <c r="O605" s="1520">
        <v>46254</v>
      </c>
      <c r="P605" s="1520">
        <v>46250.239039351851</v>
      </c>
    </row>
    <row r="606" spans="1:16">
      <c r="A606" t="s">
        <v>5085</v>
      </c>
      <c r="B606" t="s">
        <v>64</v>
      </c>
      <c r="C606" t="s">
        <v>65</v>
      </c>
      <c r="D606" t="s">
        <v>4540</v>
      </c>
      <c r="E606" t="s">
        <v>4606</v>
      </c>
      <c r="F606" t="s">
        <v>4607</v>
      </c>
      <c r="G606">
        <v>2880</v>
      </c>
      <c r="H606" t="s">
        <v>75</v>
      </c>
      <c r="I606" t="s">
        <v>5086</v>
      </c>
      <c r="J606" s="1520">
        <v>46196</v>
      </c>
      <c r="K606" s="1520">
        <v>46238</v>
      </c>
      <c r="L606" s="1520">
        <v>46242.25</v>
      </c>
      <c r="M606" s="1520">
        <v>46242.239039351851</v>
      </c>
      <c r="N606" t="s">
        <v>973</v>
      </c>
      <c r="O606" s="1520">
        <v>46254</v>
      </c>
      <c r="P606" s="1520">
        <v>46250.239039351851</v>
      </c>
    </row>
    <row r="607" spans="1:16">
      <c r="A607" t="s">
        <v>5080</v>
      </c>
      <c r="B607" t="s">
        <v>144</v>
      </c>
      <c r="C607" t="s">
        <v>145</v>
      </c>
      <c r="D607" t="s">
        <v>4540</v>
      </c>
      <c r="E607" t="s">
        <v>4601</v>
      </c>
      <c r="F607" t="s">
        <v>330</v>
      </c>
      <c r="G607">
        <v>5760</v>
      </c>
      <c r="H607" t="s">
        <v>75</v>
      </c>
      <c r="I607" t="s">
        <v>5081</v>
      </c>
      <c r="J607" s="1520">
        <v>46194</v>
      </c>
      <c r="K607" s="1520">
        <v>46244</v>
      </c>
      <c r="L607" s="1520"/>
      <c r="M607" s="1520">
        <v>46249.489212962966</v>
      </c>
      <c r="N607" t="s">
        <v>973</v>
      </c>
      <c r="O607" s="1520">
        <v>46244</v>
      </c>
      <c r="P607" s="1520">
        <v>46249.489212962966</v>
      </c>
    </row>
    <row r="608" spans="1:16">
      <c r="A608" t="s">
        <v>5074</v>
      </c>
      <c r="B608" t="s">
        <v>144</v>
      </c>
      <c r="C608" t="s">
        <v>145</v>
      </c>
      <c r="D608" t="s">
        <v>4540</v>
      </c>
      <c r="E608" t="s">
        <v>4601</v>
      </c>
      <c r="F608" t="s">
        <v>330</v>
      </c>
      <c r="G608">
        <v>720</v>
      </c>
      <c r="H608" t="s">
        <v>75</v>
      </c>
      <c r="I608" t="s">
        <v>5076</v>
      </c>
      <c r="J608" s="1520">
        <v>46195</v>
      </c>
      <c r="K608" s="1520">
        <v>46232</v>
      </c>
      <c r="L608" s="1520">
        <v>46242.416666666664</v>
      </c>
      <c r="M608" s="1520">
        <v>46242.416134259256</v>
      </c>
      <c r="N608" t="s">
        <v>973</v>
      </c>
      <c r="O608" s="1520">
        <v>46232</v>
      </c>
      <c r="P608" s="1520">
        <v>46242.416134259256</v>
      </c>
    </row>
    <row r="609" spans="1:16">
      <c r="A609" t="s">
        <v>5072</v>
      </c>
      <c r="B609" t="s">
        <v>144</v>
      </c>
      <c r="C609" t="s">
        <v>145</v>
      </c>
      <c r="D609" t="s">
        <v>4540</v>
      </c>
      <c r="E609" t="s">
        <v>5066</v>
      </c>
      <c r="F609" t="s">
        <v>1484</v>
      </c>
      <c r="G609">
        <v>4158</v>
      </c>
      <c r="H609" t="s">
        <v>75</v>
      </c>
      <c r="I609" t="s">
        <v>5073</v>
      </c>
      <c r="J609" s="1520">
        <v>46198</v>
      </c>
      <c r="K609" s="1520">
        <v>46232</v>
      </c>
      <c r="L609" s="1520">
        <v>46240.020833333336</v>
      </c>
      <c r="M609" s="1520">
        <v>46240.041226851848</v>
      </c>
      <c r="N609" t="s">
        <v>973</v>
      </c>
      <c r="O609" s="1520">
        <v>46232</v>
      </c>
      <c r="P609" s="1520">
        <v>46240.041226851848</v>
      </c>
    </row>
    <row r="610" spans="1:16">
      <c r="A610" t="s">
        <v>5064</v>
      </c>
      <c r="B610" t="s">
        <v>144</v>
      </c>
      <c r="C610" t="s">
        <v>145</v>
      </c>
      <c r="D610" t="s">
        <v>4540</v>
      </c>
      <c r="E610" t="s">
        <v>5066</v>
      </c>
      <c r="F610" t="s">
        <v>1484</v>
      </c>
      <c r="G610">
        <v>1782</v>
      </c>
      <c r="H610" t="s">
        <v>75</v>
      </c>
      <c r="I610" t="s">
        <v>5068</v>
      </c>
      <c r="J610" s="1520">
        <v>46198</v>
      </c>
      <c r="K610" s="1520">
        <v>46232</v>
      </c>
      <c r="L610" s="1520">
        <v>46240.020833333336</v>
      </c>
      <c r="M610" s="1520">
        <v>46240</v>
      </c>
      <c r="N610" t="s">
        <v>973</v>
      </c>
      <c r="O610" s="1520">
        <v>46232</v>
      </c>
      <c r="P610" s="1520">
        <v>46240</v>
      </c>
    </row>
    <row r="611" spans="1:16">
      <c r="A611" t="s">
        <v>5055</v>
      </c>
      <c r="B611" t="s">
        <v>144</v>
      </c>
      <c r="C611" t="s">
        <v>145</v>
      </c>
      <c r="D611" t="s">
        <v>4540</v>
      </c>
      <c r="E611" t="s">
        <v>5050</v>
      </c>
      <c r="F611" t="s">
        <v>1807</v>
      </c>
      <c r="G611">
        <v>1188</v>
      </c>
      <c r="H611" t="s">
        <v>75</v>
      </c>
      <c r="I611" t="s">
        <v>5057</v>
      </c>
      <c r="J611" s="1520">
        <v>46194</v>
      </c>
      <c r="K611" s="1520">
        <v>46232</v>
      </c>
      <c r="L611" s="1520">
        <v>46241</v>
      </c>
      <c r="M611" s="1520">
        <v>46245</v>
      </c>
      <c r="N611" t="s">
        <v>973</v>
      </c>
      <c r="O611" s="1520">
        <v>46232</v>
      </c>
      <c r="P611" s="1520">
        <v>46245</v>
      </c>
    </row>
    <row r="612" spans="1:16">
      <c r="A612" t="s">
        <v>5058</v>
      </c>
      <c r="B612" t="s">
        <v>144</v>
      </c>
      <c r="C612" t="s">
        <v>145</v>
      </c>
      <c r="D612" t="s">
        <v>4540</v>
      </c>
      <c r="E612" t="s">
        <v>5050</v>
      </c>
      <c r="F612" t="s">
        <v>1807</v>
      </c>
      <c r="G612">
        <v>1188</v>
      </c>
      <c r="H612" t="s">
        <v>75</v>
      </c>
      <c r="I612" t="s">
        <v>5060</v>
      </c>
      <c r="J612" s="1520">
        <v>46194</v>
      </c>
      <c r="K612" s="1520">
        <v>46237</v>
      </c>
      <c r="L612" s="1520"/>
      <c r="M612" s="1520">
        <v>46249</v>
      </c>
      <c r="N612" t="s">
        <v>973</v>
      </c>
      <c r="O612" s="1520">
        <v>46237</v>
      </c>
      <c r="P612" s="1520">
        <v>46249</v>
      </c>
    </row>
    <row r="613" spans="1:16">
      <c r="A613" t="s">
        <v>5006</v>
      </c>
      <c r="B613" t="s">
        <v>64</v>
      </c>
      <c r="C613" t="s">
        <v>65</v>
      </c>
      <c r="D613" t="s">
        <v>4540</v>
      </c>
      <c r="E613" t="s">
        <v>71</v>
      </c>
      <c r="F613" t="s">
        <v>72</v>
      </c>
      <c r="G613">
        <v>2592</v>
      </c>
      <c r="H613" t="s">
        <v>75</v>
      </c>
      <c r="I613" t="s">
        <v>5007</v>
      </c>
      <c r="J613" s="1520">
        <v>46193</v>
      </c>
      <c r="K613" s="1520">
        <v>46258</v>
      </c>
      <c r="L613" s="1520">
        <v>46271.25</v>
      </c>
      <c r="M613" s="1520">
        <v>46271.279085648152</v>
      </c>
      <c r="N613" t="s">
        <v>2434</v>
      </c>
      <c r="O613" s="1520">
        <v>46283</v>
      </c>
      <c r="P613" s="1520">
        <v>46279.279085648152</v>
      </c>
    </row>
    <row r="614" spans="1:16">
      <c r="A614" t="s">
        <v>4985</v>
      </c>
      <c r="B614" t="s">
        <v>64</v>
      </c>
      <c r="C614" t="s">
        <v>65</v>
      </c>
      <c r="D614" t="s">
        <v>4540</v>
      </c>
      <c r="E614" t="s">
        <v>4606</v>
      </c>
      <c r="F614" t="s">
        <v>4607</v>
      </c>
      <c r="G614">
        <v>6480</v>
      </c>
      <c r="H614" t="s">
        <v>75</v>
      </c>
      <c r="I614" t="s">
        <v>4987</v>
      </c>
      <c r="J614" s="1520">
        <v>46195</v>
      </c>
      <c r="K614" s="1520">
        <v>46244</v>
      </c>
      <c r="L614" s="1520"/>
      <c r="M614" s="1520">
        <v>46250.848819444444</v>
      </c>
      <c r="N614" t="s">
        <v>973</v>
      </c>
      <c r="O614" s="1520">
        <v>46265</v>
      </c>
      <c r="P614" s="1520">
        <v>46258.848819444444</v>
      </c>
    </row>
    <row r="615" spans="1:16">
      <c r="A615" t="s">
        <v>5001</v>
      </c>
      <c r="B615" t="s">
        <v>64</v>
      </c>
      <c r="C615" t="s">
        <v>65</v>
      </c>
      <c r="D615" t="s">
        <v>4540</v>
      </c>
      <c r="E615" t="s">
        <v>71</v>
      </c>
      <c r="F615" t="s">
        <v>72</v>
      </c>
      <c r="G615">
        <v>1728</v>
      </c>
      <c r="H615" t="s">
        <v>75</v>
      </c>
      <c r="I615" t="s">
        <v>5002</v>
      </c>
      <c r="J615" s="1520">
        <v>46193</v>
      </c>
      <c r="K615" s="1520">
        <v>46252</v>
      </c>
      <c r="L615" s="1520">
        <v>46261.25</v>
      </c>
      <c r="M615" s="1520">
        <v>46261</v>
      </c>
      <c r="N615" t="s">
        <v>2434</v>
      </c>
      <c r="O615" s="1520">
        <v>46273</v>
      </c>
      <c r="P615" s="1520">
        <v>46269</v>
      </c>
    </row>
    <row r="616" spans="1:16">
      <c r="A616" t="s">
        <v>4980</v>
      </c>
      <c r="B616" t="s">
        <v>64</v>
      </c>
      <c r="C616" t="s">
        <v>65</v>
      </c>
      <c r="D616" t="s">
        <v>4540</v>
      </c>
      <c r="E616" t="s">
        <v>1151</v>
      </c>
      <c r="F616" t="s">
        <v>421</v>
      </c>
      <c r="G616">
        <v>3456</v>
      </c>
      <c r="H616" t="s">
        <v>75</v>
      </c>
      <c r="I616" t="s">
        <v>4981</v>
      </c>
      <c r="J616" s="1520">
        <v>46195</v>
      </c>
      <c r="K616" s="1520">
        <v>46244</v>
      </c>
      <c r="L616" s="1520"/>
      <c r="M616" s="1520">
        <v>46250.848819444444</v>
      </c>
      <c r="N616" t="s">
        <v>973</v>
      </c>
      <c r="O616" s="1520">
        <v>46265</v>
      </c>
      <c r="P616" s="1520">
        <v>46258.848819444444</v>
      </c>
    </row>
    <row r="617" spans="1:16">
      <c r="A617" t="s">
        <v>5133</v>
      </c>
      <c r="B617" t="s">
        <v>64</v>
      </c>
      <c r="C617" t="s">
        <v>100</v>
      </c>
      <c r="D617" t="s">
        <v>4540</v>
      </c>
      <c r="E617" t="s">
        <v>195</v>
      </c>
      <c r="F617" t="s">
        <v>196</v>
      </c>
      <c r="G617">
        <v>4680</v>
      </c>
      <c r="H617" t="s">
        <v>75</v>
      </c>
      <c r="I617" t="s">
        <v>5135</v>
      </c>
      <c r="J617" s="1520">
        <v>46197</v>
      </c>
      <c r="K617" s="1520">
        <v>46238</v>
      </c>
      <c r="L617" s="1520">
        <v>46244.291666666664</v>
      </c>
      <c r="M617" s="1520">
        <v>46244.348958333336</v>
      </c>
      <c r="N617" t="s">
        <v>973</v>
      </c>
      <c r="O617" s="1520">
        <v>46259</v>
      </c>
      <c r="P617" s="1520">
        <v>46251.348958333336</v>
      </c>
    </row>
    <row r="618" spans="1:16">
      <c r="A618" t="s">
        <v>4929</v>
      </c>
      <c r="B618" t="s">
        <v>64</v>
      </c>
      <c r="C618" t="s">
        <v>450</v>
      </c>
      <c r="D618" t="s">
        <v>4540</v>
      </c>
      <c r="E618" t="s">
        <v>1151</v>
      </c>
      <c r="F618" t="s">
        <v>421</v>
      </c>
      <c r="G618">
        <v>864</v>
      </c>
      <c r="H618" t="s">
        <v>75</v>
      </c>
      <c r="I618" t="s">
        <v>4931</v>
      </c>
      <c r="J618" s="1520">
        <v>46188</v>
      </c>
      <c r="K618" s="1520">
        <v>46229</v>
      </c>
      <c r="L618" s="1520">
        <v>46232</v>
      </c>
      <c r="M618" s="1520">
        <v>46232</v>
      </c>
      <c r="N618" t="s">
        <v>973</v>
      </c>
      <c r="O618" s="1520">
        <v>46245</v>
      </c>
      <c r="P618" s="1520">
        <v>46239</v>
      </c>
    </row>
    <row r="619" spans="1:16">
      <c r="A619" t="s">
        <v>5138</v>
      </c>
      <c r="B619" t="s">
        <v>64</v>
      </c>
      <c r="C619" t="s">
        <v>65</v>
      </c>
      <c r="D619" t="s">
        <v>550</v>
      </c>
      <c r="E619" t="s">
        <v>551</v>
      </c>
      <c r="F619" t="s">
        <v>2151</v>
      </c>
      <c r="G619">
        <v>3168</v>
      </c>
      <c r="H619" t="s">
        <v>75</v>
      </c>
      <c r="I619" t="s">
        <v>5139</v>
      </c>
      <c r="J619" s="1520">
        <v>46197</v>
      </c>
      <c r="K619" s="1520">
        <v>46265</v>
      </c>
      <c r="L619" s="1520">
        <v>46278.083333333336</v>
      </c>
      <c r="M619" s="1520">
        <v>46278.186840277776</v>
      </c>
      <c r="N619" t="s">
        <v>2434</v>
      </c>
      <c r="O619" s="1520">
        <v>46290</v>
      </c>
      <c r="P619" s="1520">
        <v>46286.186840277776</v>
      </c>
    </row>
    <row r="620" spans="1:16">
      <c r="A620" t="s">
        <v>5142</v>
      </c>
      <c r="B620" t="s">
        <v>64</v>
      </c>
      <c r="C620" t="s">
        <v>65</v>
      </c>
      <c r="D620" t="s">
        <v>70</v>
      </c>
      <c r="E620" t="s">
        <v>1077</v>
      </c>
      <c r="F620" t="s">
        <v>103</v>
      </c>
      <c r="G620">
        <v>1440</v>
      </c>
      <c r="H620" t="s">
        <v>75</v>
      </c>
      <c r="I620" t="s">
        <v>5143</v>
      </c>
      <c r="J620" s="1520">
        <v>46197</v>
      </c>
      <c r="K620" s="1520">
        <v>46259</v>
      </c>
      <c r="L620" s="1520">
        <v>46272.833333333336</v>
      </c>
      <c r="M620" s="1520">
        <v>46272</v>
      </c>
      <c r="N620" t="s">
        <v>2434</v>
      </c>
      <c r="O620" s="1520">
        <v>46289</v>
      </c>
      <c r="P620" s="1520">
        <v>46280</v>
      </c>
    </row>
    <row r="621" spans="1:16">
      <c r="A621" t="s">
        <v>5146</v>
      </c>
      <c r="B621" t="s">
        <v>64</v>
      </c>
      <c r="C621" t="s">
        <v>450</v>
      </c>
      <c r="D621" t="s">
        <v>4540</v>
      </c>
      <c r="E621" t="s">
        <v>1151</v>
      </c>
      <c r="F621" t="s">
        <v>421</v>
      </c>
      <c r="G621">
        <v>864</v>
      </c>
      <c r="H621" t="s">
        <v>75</v>
      </c>
      <c r="I621" t="s">
        <v>5148</v>
      </c>
      <c r="J621" s="1520">
        <v>46197</v>
      </c>
      <c r="K621" s="1520">
        <v>46250</v>
      </c>
      <c r="L621" s="1520">
        <v>46253.75</v>
      </c>
      <c r="M621" s="1520">
        <v>46253.739166666666</v>
      </c>
      <c r="N621" t="s">
        <v>973</v>
      </c>
      <c r="O621" s="1520">
        <v>46267</v>
      </c>
      <c r="P621" s="1520">
        <v>46260.739166666666</v>
      </c>
    </row>
    <row r="622" spans="1:16">
      <c r="A622" t="s">
        <v>5151</v>
      </c>
      <c r="B622" t="s">
        <v>64</v>
      </c>
      <c r="C622" t="s">
        <v>65</v>
      </c>
      <c r="D622" t="s">
        <v>4540</v>
      </c>
      <c r="E622" t="s">
        <v>5111</v>
      </c>
      <c r="F622" t="s">
        <v>103</v>
      </c>
      <c r="G622">
        <v>720</v>
      </c>
      <c r="H622" t="s">
        <v>75</v>
      </c>
      <c r="I622" t="s">
        <v>5152</v>
      </c>
      <c r="J622" s="1520">
        <v>46197</v>
      </c>
      <c r="K622" s="1520">
        <v>46254</v>
      </c>
      <c r="L622" s="1520">
        <v>46272.833333333336</v>
      </c>
      <c r="M622" s="1520">
        <v>46272</v>
      </c>
      <c r="N622" t="s">
        <v>2434</v>
      </c>
      <c r="O622" s="1520">
        <v>46286</v>
      </c>
      <c r="P622" s="1520">
        <v>46280</v>
      </c>
    </row>
    <row r="623" spans="1:16">
      <c r="A623" t="s">
        <v>5049</v>
      </c>
      <c r="B623" t="s">
        <v>144</v>
      </c>
      <c r="C623" t="s">
        <v>145</v>
      </c>
      <c r="D623" t="s">
        <v>4540</v>
      </c>
      <c r="E623" t="s">
        <v>5050</v>
      </c>
      <c r="F623" t="s">
        <v>1807</v>
      </c>
      <c r="G623">
        <v>2970</v>
      </c>
      <c r="H623" t="s">
        <v>75</v>
      </c>
      <c r="I623" t="s">
        <v>5052</v>
      </c>
      <c r="J623" s="1520">
        <v>46194</v>
      </c>
      <c r="K623" s="1520">
        <v>46232</v>
      </c>
      <c r="L623" s="1520">
        <v>46241</v>
      </c>
      <c r="M623" s="1520">
        <v>46245</v>
      </c>
      <c r="N623" t="s">
        <v>973</v>
      </c>
      <c r="O623" s="1520">
        <v>46232</v>
      </c>
      <c r="P623" s="1520">
        <v>46245</v>
      </c>
    </row>
    <row r="624" spans="1:16">
      <c r="A624" t="s">
        <v>5010</v>
      </c>
      <c r="B624" t="s">
        <v>144</v>
      </c>
      <c r="C624" t="s">
        <v>145</v>
      </c>
      <c r="D624" t="s">
        <v>4540</v>
      </c>
      <c r="E624" t="s">
        <v>195</v>
      </c>
      <c r="F624" t="s">
        <v>196</v>
      </c>
      <c r="G624">
        <v>4680</v>
      </c>
      <c r="H624" t="s">
        <v>75</v>
      </c>
      <c r="I624" t="s">
        <v>5011</v>
      </c>
      <c r="J624" s="1520">
        <v>46186</v>
      </c>
      <c r="K624" s="1520">
        <v>46238</v>
      </c>
      <c r="L624" s="1520" t="s">
        <v>2480</v>
      </c>
      <c r="M624" s="1520">
        <v>46244</v>
      </c>
      <c r="N624" t="s">
        <v>973</v>
      </c>
      <c r="O624" s="1520">
        <v>46238</v>
      </c>
      <c r="P624" s="1520">
        <v>46244</v>
      </c>
    </row>
    <row r="625" spans="1:16">
      <c r="A625" t="s">
        <v>4908</v>
      </c>
      <c r="B625" t="s">
        <v>64</v>
      </c>
      <c r="C625" t="s">
        <v>100</v>
      </c>
      <c r="D625" t="s">
        <v>4540</v>
      </c>
      <c r="E625" t="s">
        <v>965</v>
      </c>
      <c r="F625" t="s">
        <v>966</v>
      </c>
      <c r="G625">
        <v>1872</v>
      </c>
      <c r="H625" t="s">
        <v>75</v>
      </c>
      <c r="I625" t="s">
        <v>4909</v>
      </c>
      <c r="J625" s="1520">
        <v>46186</v>
      </c>
      <c r="K625" s="1520">
        <v>46226</v>
      </c>
      <c r="L625" s="1520">
        <v>46243</v>
      </c>
      <c r="M625" s="1520">
        <v>46246</v>
      </c>
      <c r="N625" t="s">
        <v>973</v>
      </c>
      <c r="O625" s="1520">
        <v>46258</v>
      </c>
      <c r="P625" s="1520">
        <v>46253</v>
      </c>
    </row>
    <row r="626" spans="1:16">
      <c r="A626" t="s">
        <v>4902</v>
      </c>
      <c r="B626" t="s">
        <v>64</v>
      </c>
      <c r="C626" t="s">
        <v>100</v>
      </c>
      <c r="D626" t="s">
        <v>4540</v>
      </c>
      <c r="E626" t="s">
        <v>195</v>
      </c>
      <c r="F626" t="s">
        <v>196</v>
      </c>
      <c r="G626">
        <v>1872</v>
      </c>
      <c r="H626" t="s">
        <v>75</v>
      </c>
      <c r="I626" t="s">
        <v>4904</v>
      </c>
      <c r="J626" s="1520">
        <v>46186</v>
      </c>
      <c r="K626" s="1520">
        <v>46226</v>
      </c>
      <c r="L626" s="1520">
        <v>46243</v>
      </c>
      <c r="M626" s="1520">
        <v>46246</v>
      </c>
      <c r="N626" t="s">
        <v>973</v>
      </c>
      <c r="O626" s="1520">
        <v>46258</v>
      </c>
      <c r="P626" s="1520">
        <v>46253</v>
      </c>
    </row>
    <row r="627" spans="1:16">
      <c r="A627" t="s">
        <v>4875</v>
      </c>
      <c r="B627" t="s">
        <v>64</v>
      </c>
      <c r="C627" t="s">
        <v>450</v>
      </c>
      <c r="D627" t="s">
        <v>4540</v>
      </c>
      <c r="E627" t="s">
        <v>195</v>
      </c>
      <c r="F627" t="s">
        <v>196</v>
      </c>
      <c r="G627">
        <v>3744</v>
      </c>
      <c r="H627" t="s">
        <v>75</v>
      </c>
      <c r="I627" t="s">
        <v>4876</v>
      </c>
      <c r="J627" s="1520">
        <v>46184</v>
      </c>
      <c r="K627" s="1520">
        <v>46231</v>
      </c>
      <c r="L627" s="1520">
        <v>46238</v>
      </c>
      <c r="M627" s="1520">
        <v>46248</v>
      </c>
      <c r="N627" t="s">
        <v>973</v>
      </c>
      <c r="O627" s="1520">
        <v>46262</v>
      </c>
      <c r="P627" s="1520">
        <v>46255</v>
      </c>
    </row>
    <row r="628" spans="1:16">
      <c r="A628" t="s">
        <v>4869</v>
      </c>
      <c r="B628" t="s">
        <v>144</v>
      </c>
      <c r="C628" t="s">
        <v>145</v>
      </c>
      <c r="D628" t="s">
        <v>70</v>
      </c>
      <c r="E628" t="s">
        <v>965</v>
      </c>
      <c r="F628" t="s">
        <v>966</v>
      </c>
      <c r="G628">
        <v>1872</v>
      </c>
      <c r="H628" t="s">
        <v>75</v>
      </c>
      <c r="I628" t="s">
        <v>4872</v>
      </c>
      <c r="J628" s="1520">
        <v>46182</v>
      </c>
      <c r="K628" s="1520">
        <v>46250</v>
      </c>
      <c r="L628" s="1520">
        <v>46260</v>
      </c>
      <c r="M628" s="1520">
        <v>46261</v>
      </c>
      <c r="N628" t="s">
        <v>973</v>
      </c>
      <c r="O628" s="1520">
        <v>46251</v>
      </c>
      <c r="P628" s="1520">
        <v>46261</v>
      </c>
    </row>
    <row r="629" spans="1:16">
      <c r="A629" t="s">
        <v>5245</v>
      </c>
      <c r="B629" t="s">
        <v>64</v>
      </c>
      <c r="C629" t="s">
        <v>310</v>
      </c>
      <c r="D629" t="s">
        <v>550</v>
      </c>
      <c r="E629" t="s">
        <v>2134</v>
      </c>
      <c r="F629" t="s">
        <v>2135</v>
      </c>
      <c r="G629">
        <v>1584</v>
      </c>
      <c r="H629" t="s">
        <v>75</v>
      </c>
      <c r="I629" t="s">
        <v>5246</v>
      </c>
      <c r="J629" s="1520">
        <v>46204</v>
      </c>
      <c r="K629" s="1520">
        <v>46257</v>
      </c>
      <c r="L629" s="1520">
        <v>46272.25</v>
      </c>
      <c r="M629" s="1520">
        <v>46272.251446759263</v>
      </c>
      <c r="N629" t="s">
        <v>2434</v>
      </c>
      <c r="O629" s="1520">
        <v>46300</v>
      </c>
      <c r="P629" s="1520">
        <v>46282.251446759263</v>
      </c>
    </row>
    <row r="630" spans="1:16">
      <c r="A630" t="s">
        <v>5243</v>
      </c>
      <c r="B630" t="s">
        <v>64</v>
      </c>
      <c r="C630" t="s">
        <v>114</v>
      </c>
      <c r="D630" t="s">
        <v>4540</v>
      </c>
      <c r="E630" t="s">
        <v>118</v>
      </c>
      <c r="F630" t="s">
        <v>119</v>
      </c>
      <c r="G630">
        <v>144</v>
      </c>
      <c r="H630" t="s">
        <v>75</v>
      </c>
      <c r="I630" t="s">
        <v>5244</v>
      </c>
      <c r="J630" s="1520">
        <v>46204</v>
      </c>
      <c r="K630" s="1520">
        <v>46249</v>
      </c>
      <c r="L630" s="1520"/>
      <c r="M630" s="1520">
        <v>46258.289537037039</v>
      </c>
      <c r="N630" t="s">
        <v>973</v>
      </c>
      <c r="O630" s="1520">
        <v>46272</v>
      </c>
      <c r="P630" s="1520">
        <v>46267.289537037039</v>
      </c>
    </row>
    <row r="631" spans="1:16">
      <c r="A631" t="s">
        <v>5236</v>
      </c>
      <c r="B631" t="s">
        <v>64</v>
      </c>
      <c r="C631" t="s">
        <v>114</v>
      </c>
      <c r="D631" t="s">
        <v>550</v>
      </c>
      <c r="E631" t="s">
        <v>2134</v>
      </c>
      <c r="F631" t="s">
        <v>2135</v>
      </c>
      <c r="G631">
        <v>792</v>
      </c>
      <c r="H631" t="s">
        <v>75</v>
      </c>
      <c r="I631" t="s">
        <v>5237</v>
      </c>
      <c r="J631" s="1520">
        <v>46204</v>
      </c>
      <c r="K631" s="1520">
        <v>46249</v>
      </c>
      <c r="L631" s="1520"/>
      <c r="M631" s="1520">
        <v>46258.289537037039</v>
      </c>
      <c r="N631" t="s">
        <v>973</v>
      </c>
      <c r="O631" s="1520">
        <v>46272</v>
      </c>
      <c r="P631" s="1520">
        <v>46267.289537037039</v>
      </c>
    </row>
    <row r="632" spans="1:16">
      <c r="A632" t="s">
        <v>5241</v>
      </c>
      <c r="B632" t="s">
        <v>64</v>
      </c>
      <c r="C632" t="s">
        <v>114</v>
      </c>
      <c r="D632" t="s">
        <v>550</v>
      </c>
      <c r="E632" t="s">
        <v>2134</v>
      </c>
      <c r="F632" t="s">
        <v>2135</v>
      </c>
      <c r="G632">
        <v>648</v>
      </c>
      <c r="H632" t="s">
        <v>75</v>
      </c>
      <c r="I632" t="s">
        <v>5242</v>
      </c>
      <c r="J632" s="1520">
        <v>46204</v>
      </c>
      <c r="K632" s="1520">
        <v>46249</v>
      </c>
      <c r="L632" s="1520"/>
      <c r="M632" s="1520">
        <v>46258.289537037039</v>
      </c>
      <c r="N632" t="s">
        <v>973</v>
      </c>
      <c r="O632" s="1520">
        <v>46272</v>
      </c>
      <c r="P632" s="1520">
        <v>46267.289537037039</v>
      </c>
    </row>
    <row r="633" spans="1:16">
      <c r="A633" t="s">
        <v>5209</v>
      </c>
      <c r="B633" t="s">
        <v>64</v>
      </c>
      <c r="C633" t="s">
        <v>65</v>
      </c>
      <c r="D633" t="s">
        <v>132</v>
      </c>
      <c r="E633" t="s">
        <v>1062</v>
      </c>
      <c r="F633" t="s">
        <v>1063</v>
      </c>
      <c r="G633">
        <v>4320</v>
      </c>
      <c r="H633" t="s">
        <v>75</v>
      </c>
      <c r="I633" t="s">
        <v>5210</v>
      </c>
      <c r="J633" s="1520">
        <v>46203</v>
      </c>
      <c r="K633" s="1520">
        <v>46246</v>
      </c>
      <c r="L633" s="1520"/>
      <c r="M633" s="1520">
        <v>46253.474305555559</v>
      </c>
      <c r="N633" t="s">
        <v>973</v>
      </c>
      <c r="O633" s="1520">
        <v>46267</v>
      </c>
      <c r="P633" s="1520">
        <v>46261.474305555559</v>
      </c>
    </row>
    <row r="634" spans="1:16">
      <c r="A634" t="s">
        <v>5199</v>
      </c>
      <c r="B634" t="s">
        <v>144</v>
      </c>
      <c r="C634" t="s">
        <v>145</v>
      </c>
      <c r="D634" t="s">
        <v>4540</v>
      </c>
      <c r="E634" t="s">
        <v>5050</v>
      </c>
      <c r="F634" t="s">
        <v>1807</v>
      </c>
      <c r="G634">
        <v>1188</v>
      </c>
      <c r="H634" t="s">
        <v>75</v>
      </c>
      <c r="I634" t="s">
        <v>5200</v>
      </c>
      <c r="J634" s="1520">
        <v>46204</v>
      </c>
      <c r="K634" s="1520">
        <v>46238</v>
      </c>
      <c r="L634" s="1520">
        <v>46244.291666666664</v>
      </c>
      <c r="M634" s="1520">
        <v>46244.348958333336</v>
      </c>
      <c r="N634" t="s">
        <v>973</v>
      </c>
      <c r="O634" s="1520">
        <v>46238</v>
      </c>
      <c r="P634" s="1520">
        <v>46244.348958333336</v>
      </c>
    </row>
    <row r="635" spans="1:16">
      <c r="A635" t="s">
        <v>5197</v>
      </c>
      <c r="B635" t="s">
        <v>144</v>
      </c>
      <c r="C635" t="s">
        <v>145</v>
      </c>
      <c r="D635" t="s">
        <v>4540</v>
      </c>
      <c r="E635" t="s">
        <v>5066</v>
      </c>
      <c r="F635" t="s">
        <v>1484</v>
      </c>
      <c r="G635">
        <v>2970</v>
      </c>
      <c r="H635" t="s">
        <v>75</v>
      </c>
      <c r="I635" t="s">
        <v>5198</v>
      </c>
      <c r="J635" s="1520">
        <v>46204</v>
      </c>
      <c r="K635" s="1520">
        <v>46249</v>
      </c>
      <c r="L635" s="1520">
        <v>46244.291666666664</v>
      </c>
      <c r="M635" s="1520">
        <v>46244.348958333336</v>
      </c>
      <c r="N635" t="s">
        <v>973</v>
      </c>
      <c r="O635" s="1520">
        <v>46249</v>
      </c>
      <c r="P635" s="1520">
        <v>46244.348958333336</v>
      </c>
    </row>
    <row r="636" spans="1:16">
      <c r="A636" t="s">
        <v>5193</v>
      </c>
      <c r="B636" t="s">
        <v>144</v>
      </c>
      <c r="C636" t="s">
        <v>145</v>
      </c>
      <c r="D636" t="s">
        <v>4540</v>
      </c>
      <c r="E636" t="s">
        <v>5066</v>
      </c>
      <c r="F636" t="s">
        <v>1484</v>
      </c>
      <c r="G636">
        <v>594</v>
      </c>
      <c r="H636" t="s">
        <v>75</v>
      </c>
      <c r="I636" t="s">
        <v>5194</v>
      </c>
      <c r="J636" s="1520">
        <v>46204</v>
      </c>
      <c r="K636" s="1520">
        <v>46249</v>
      </c>
      <c r="L636" s="1520">
        <v>46244.291666666664</v>
      </c>
      <c r="M636" s="1520">
        <v>46244.348958333336</v>
      </c>
      <c r="N636" t="s">
        <v>973</v>
      </c>
      <c r="O636" s="1520">
        <v>46249</v>
      </c>
      <c r="P636" s="1520">
        <v>46244.348958333336</v>
      </c>
    </row>
    <row r="637" spans="1:16">
      <c r="A637" t="s">
        <v>5188</v>
      </c>
      <c r="B637" t="s">
        <v>144</v>
      </c>
      <c r="C637" t="s">
        <v>145</v>
      </c>
      <c r="D637" t="s">
        <v>4540</v>
      </c>
      <c r="E637" t="s">
        <v>5066</v>
      </c>
      <c r="F637" t="s">
        <v>1484</v>
      </c>
      <c r="G637">
        <v>2970</v>
      </c>
      <c r="H637" t="s">
        <v>75</v>
      </c>
      <c r="I637" t="s">
        <v>5189</v>
      </c>
      <c r="J637" s="1520">
        <v>46203</v>
      </c>
      <c r="K637" s="1520">
        <v>46239</v>
      </c>
      <c r="L637" s="1520">
        <v>46260.5</v>
      </c>
      <c r="M637" s="1520">
        <v>46260</v>
      </c>
      <c r="N637" t="s">
        <v>973</v>
      </c>
      <c r="O637" s="1520">
        <v>46239</v>
      </c>
      <c r="P637" s="1520">
        <v>46260</v>
      </c>
    </row>
    <row r="638" spans="1:16">
      <c r="A638" t="s">
        <v>5181</v>
      </c>
      <c r="B638" t="s">
        <v>144</v>
      </c>
      <c r="C638" t="s">
        <v>145</v>
      </c>
      <c r="D638" t="s">
        <v>4540</v>
      </c>
      <c r="E638" t="s">
        <v>5050</v>
      </c>
      <c r="F638" t="s">
        <v>1807</v>
      </c>
      <c r="G638">
        <v>594</v>
      </c>
      <c r="H638" t="s">
        <v>75</v>
      </c>
      <c r="I638" t="s">
        <v>5183</v>
      </c>
      <c r="J638" s="1520">
        <v>46204</v>
      </c>
      <c r="K638" s="1520">
        <v>46238</v>
      </c>
      <c r="L638" s="1520">
        <v>46244.291666666664</v>
      </c>
      <c r="M638" s="1520">
        <v>46244.348958333336</v>
      </c>
      <c r="N638" t="s">
        <v>973</v>
      </c>
      <c r="O638" s="1520">
        <v>46238</v>
      </c>
      <c r="P638" s="1520">
        <v>46244.348958333336</v>
      </c>
    </row>
    <row r="639" spans="1:16">
      <c r="A639" t="s">
        <v>5176</v>
      </c>
      <c r="B639" t="s">
        <v>64</v>
      </c>
      <c r="C639" t="s">
        <v>450</v>
      </c>
      <c r="D639" t="s">
        <v>550</v>
      </c>
      <c r="E639" t="s">
        <v>2134</v>
      </c>
      <c r="F639" t="s">
        <v>2135</v>
      </c>
      <c r="G639">
        <v>1584</v>
      </c>
      <c r="H639" t="s">
        <v>75</v>
      </c>
      <c r="I639" t="s">
        <v>5178</v>
      </c>
      <c r="J639" s="1520">
        <v>46202</v>
      </c>
      <c r="K639" s="1520">
        <v>46243</v>
      </c>
      <c r="L639" s="1520"/>
      <c r="M639" s="1520">
        <v>46256.481874999998</v>
      </c>
      <c r="N639" t="s">
        <v>973</v>
      </c>
      <c r="O639" s="1520">
        <v>46269</v>
      </c>
      <c r="P639" s="1520">
        <v>46263.481874999998</v>
      </c>
    </row>
    <row r="640" spans="1:16">
      <c r="A640" t="s">
        <v>5171</v>
      </c>
      <c r="B640" t="s">
        <v>64</v>
      </c>
      <c r="C640" t="s">
        <v>450</v>
      </c>
      <c r="D640" t="s">
        <v>4540</v>
      </c>
      <c r="E640" t="s">
        <v>1151</v>
      </c>
      <c r="F640" t="s">
        <v>421</v>
      </c>
      <c r="G640">
        <v>864</v>
      </c>
      <c r="H640" t="s">
        <v>75</v>
      </c>
      <c r="I640" t="s">
        <v>5172</v>
      </c>
      <c r="J640" s="1520">
        <v>46202</v>
      </c>
      <c r="K640" s="1520">
        <v>46243</v>
      </c>
      <c r="L640" s="1520"/>
      <c r="M640" s="1520">
        <v>46256.481874999998</v>
      </c>
      <c r="N640" t="s">
        <v>973</v>
      </c>
      <c r="O640" s="1520">
        <v>46269</v>
      </c>
      <c r="P640" s="1520">
        <v>46263.481874999998</v>
      </c>
    </row>
    <row r="641" spans="1:16">
      <c r="A641" t="s">
        <v>5155</v>
      </c>
      <c r="B641" t="s">
        <v>144</v>
      </c>
      <c r="C641" t="s">
        <v>145</v>
      </c>
      <c r="D641" t="s">
        <v>4540</v>
      </c>
      <c r="E641" t="s">
        <v>71</v>
      </c>
      <c r="F641" t="s">
        <v>72</v>
      </c>
      <c r="G641">
        <v>3456</v>
      </c>
      <c r="H641" t="s">
        <v>75</v>
      </c>
      <c r="I641" t="s">
        <v>5158</v>
      </c>
      <c r="J641" s="1520">
        <v>46201</v>
      </c>
      <c r="K641" s="1520">
        <v>46257</v>
      </c>
      <c r="L641" s="1520"/>
      <c r="M641" s="1520">
        <v>46260</v>
      </c>
      <c r="N641" t="s">
        <v>973</v>
      </c>
      <c r="O641" s="1520">
        <v>46257</v>
      </c>
      <c r="P641" s="1520">
        <v>46260</v>
      </c>
    </row>
    <row r="642" spans="1:16">
      <c r="A642" t="s">
        <v>5164</v>
      </c>
      <c r="B642" t="s">
        <v>144</v>
      </c>
      <c r="C642" t="s">
        <v>145</v>
      </c>
      <c r="D642" t="s">
        <v>4540</v>
      </c>
      <c r="E642" t="s">
        <v>71</v>
      </c>
      <c r="F642" t="s">
        <v>72</v>
      </c>
      <c r="G642">
        <v>4320</v>
      </c>
      <c r="H642" t="s">
        <v>75</v>
      </c>
      <c r="I642" t="s">
        <v>5166</v>
      </c>
      <c r="J642" s="1520">
        <v>46203</v>
      </c>
      <c r="K642" s="1520">
        <v>46249</v>
      </c>
      <c r="L642" s="1520">
        <v>46257</v>
      </c>
      <c r="M642" s="1520">
        <v>46252</v>
      </c>
      <c r="N642" t="s">
        <v>973</v>
      </c>
      <c r="O642" s="1520">
        <v>46249</v>
      </c>
      <c r="P642" s="1520">
        <v>46252</v>
      </c>
    </row>
    <row r="643" spans="1:16">
      <c r="A643" t="s">
        <v>5125</v>
      </c>
      <c r="B643" t="s">
        <v>64</v>
      </c>
      <c r="C643" t="s">
        <v>310</v>
      </c>
      <c r="D643" t="s">
        <v>132</v>
      </c>
      <c r="E643" t="s">
        <v>133</v>
      </c>
      <c r="F643" t="s">
        <v>134</v>
      </c>
      <c r="G643">
        <v>1188</v>
      </c>
      <c r="H643" t="s">
        <v>75</v>
      </c>
      <c r="I643" t="s">
        <v>9216</v>
      </c>
      <c r="J643" s="1520">
        <v>46201</v>
      </c>
      <c r="K643" s="1520">
        <v>46250</v>
      </c>
      <c r="L643" s="1520">
        <v>46264.25</v>
      </c>
      <c r="M643" s="1520">
        <v>46264</v>
      </c>
      <c r="N643" t="s">
        <v>2434</v>
      </c>
      <c r="O643" s="1520">
        <v>46279</v>
      </c>
      <c r="P643" s="1520">
        <v>46274</v>
      </c>
    </row>
    <row r="644" spans="1:16">
      <c r="A644" t="s">
        <v>5120</v>
      </c>
      <c r="B644" t="s">
        <v>64</v>
      </c>
      <c r="C644" t="s">
        <v>310</v>
      </c>
      <c r="D644" t="s">
        <v>4540</v>
      </c>
      <c r="E644" t="s">
        <v>4601</v>
      </c>
      <c r="F644" t="s">
        <v>330</v>
      </c>
      <c r="G644">
        <v>2160</v>
      </c>
      <c r="H644" t="s">
        <v>75</v>
      </c>
      <c r="I644" t="s">
        <v>9214</v>
      </c>
      <c r="J644" s="1520">
        <v>46201</v>
      </c>
      <c r="K644" s="1520">
        <v>46250</v>
      </c>
      <c r="L644" s="1520">
        <v>46264</v>
      </c>
      <c r="M644" s="1520">
        <v>46264</v>
      </c>
      <c r="N644" t="s">
        <v>2434</v>
      </c>
      <c r="O644" s="1520">
        <v>46279</v>
      </c>
      <c r="P644" s="1520">
        <v>46274</v>
      </c>
    </row>
    <row r="645" spans="1:16">
      <c r="A645" t="s">
        <v>5110</v>
      </c>
      <c r="B645" t="s">
        <v>64</v>
      </c>
      <c r="C645" t="s">
        <v>65</v>
      </c>
      <c r="D645" t="s">
        <v>4540</v>
      </c>
      <c r="E645" t="s">
        <v>5111</v>
      </c>
      <c r="F645" t="s">
        <v>103</v>
      </c>
      <c r="G645">
        <v>4320</v>
      </c>
      <c r="H645" t="s">
        <v>75</v>
      </c>
      <c r="I645" t="s">
        <v>5112</v>
      </c>
      <c r="J645" s="1520">
        <v>46199</v>
      </c>
      <c r="K645" s="1520">
        <v>46251</v>
      </c>
      <c r="L645" s="1520"/>
      <c r="M645" s="1520">
        <v>46259.238761574074</v>
      </c>
      <c r="N645" t="s">
        <v>973</v>
      </c>
      <c r="O645" s="1520">
        <v>46272</v>
      </c>
      <c r="P645" s="1520">
        <v>46267.238761574074</v>
      </c>
    </row>
    <row r="646" spans="1:16">
      <c r="A646" t="s">
        <v>5108</v>
      </c>
      <c r="B646" t="s">
        <v>64</v>
      </c>
      <c r="C646" t="s">
        <v>65</v>
      </c>
      <c r="D646" t="s">
        <v>132</v>
      </c>
      <c r="E646" t="s">
        <v>189</v>
      </c>
      <c r="F646" t="s">
        <v>190</v>
      </c>
      <c r="G646">
        <v>4320</v>
      </c>
      <c r="H646" t="s">
        <v>75</v>
      </c>
      <c r="I646" t="s">
        <v>9211</v>
      </c>
      <c r="J646" s="1520">
        <v>46199</v>
      </c>
      <c r="K646" s="1520">
        <v>46251</v>
      </c>
      <c r="L646" s="1520"/>
      <c r="M646" s="1520">
        <v>46259.238761574074</v>
      </c>
      <c r="N646" t="s">
        <v>973</v>
      </c>
      <c r="O646" s="1520">
        <v>46272</v>
      </c>
      <c r="P646" s="1520">
        <v>46267.238761574074</v>
      </c>
    </row>
    <row r="647" spans="1:16">
      <c r="A647" t="s">
        <v>5104</v>
      </c>
      <c r="B647" t="s">
        <v>64</v>
      </c>
      <c r="C647" t="s">
        <v>65</v>
      </c>
      <c r="D647" t="s">
        <v>4540</v>
      </c>
      <c r="E647" t="s">
        <v>5099</v>
      </c>
      <c r="F647" t="s">
        <v>330</v>
      </c>
      <c r="G647">
        <v>1440</v>
      </c>
      <c r="H647" t="s">
        <v>75</v>
      </c>
      <c r="I647" t="s">
        <v>9209</v>
      </c>
      <c r="J647" s="1520">
        <v>46199</v>
      </c>
      <c r="K647" s="1520">
        <v>46251</v>
      </c>
      <c r="L647" s="1520"/>
      <c r="M647" s="1520">
        <v>46259.238761574074</v>
      </c>
      <c r="N647" t="s">
        <v>973</v>
      </c>
      <c r="O647" s="1520">
        <v>46272</v>
      </c>
      <c r="P647" s="1520">
        <v>46267.238761574074</v>
      </c>
    </row>
    <row r="648" spans="1:16">
      <c r="A648" t="s">
        <v>5046</v>
      </c>
      <c r="B648" t="s">
        <v>64</v>
      </c>
      <c r="C648" t="s">
        <v>65</v>
      </c>
      <c r="D648" t="s">
        <v>4540</v>
      </c>
      <c r="E648" t="s">
        <v>1151</v>
      </c>
      <c r="F648" t="s">
        <v>421</v>
      </c>
      <c r="G648">
        <v>5184</v>
      </c>
      <c r="H648" t="s">
        <v>75</v>
      </c>
      <c r="I648" t="s">
        <v>5048</v>
      </c>
      <c r="J648" s="1520">
        <v>46198</v>
      </c>
      <c r="K648" s="1520">
        <v>46246</v>
      </c>
      <c r="L648" s="1520"/>
      <c r="M648" s="1520">
        <v>46246</v>
      </c>
      <c r="N648" t="s">
        <v>973</v>
      </c>
      <c r="O648" s="1520">
        <v>46260</v>
      </c>
      <c r="P648" s="1520">
        <v>46254</v>
      </c>
    </row>
    <row r="649" spans="1:16">
      <c r="A649" t="s">
        <v>5040</v>
      </c>
      <c r="B649" t="s">
        <v>64</v>
      </c>
      <c r="C649" t="s">
        <v>65</v>
      </c>
      <c r="D649" t="s">
        <v>4540</v>
      </c>
      <c r="E649" t="s">
        <v>71</v>
      </c>
      <c r="F649" t="s">
        <v>72</v>
      </c>
      <c r="G649">
        <v>5184</v>
      </c>
      <c r="H649" t="s">
        <v>75</v>
      </c>
      <c r="I649" t="s">
        <v>5042</v>
      </c>
      <c r="J649" s="1520">
        <v>46198</v>
      </c>
      <c r="K649" s="1520">
        <v>46246</v>
      </c>
      <c r="L649" s="1520"/>
      <c r="M649" s="1520">
        <v>46246</v>
      </c>
      <c r="N649" t="s">
        <v>973</v>
      </c>
      <c r="O649" s="1520">
        <v>46260</v>
      </c>
      <c r="P649" s="1520">
        <v>46254</v>
      </c>
    </row>
    <row r="650" spans="1:16">
      <c r="A650" t="s">
        <v>5203</v>
      </c>
      <c r="B650" t="s">
        <v>64</v>
      </c>
      <c r="C650" t="s">
        <v>65</v>
      </c>
      <c r="D650" t="s">
        <v>132</v>
      </c>
      <c r="E650" t="s">
        <v>1062</v>
      </c>
      <c r="F650" t="s">
        <v>1063</v>
      </c>
      <c r="G650">
        <v>1728</v>
      </c>
      <c r="H650" t="s">
        <v>75</v>
      </c>
      <c r="I650" t="s">
        <v>5205</v>
      </c>
      <c r="J650" s="1520">
        <v>46203</v>
      </c>
      <c r="K650" s="1520">
        <v>46246</v>
      </c>
      <c r="L650" s="1520"/>
      <c r="M650" s="1520">
        <v>46253.474305555559</v>
      </c>
      <c r="N650" t="s">
        <v>973</v>
      </c>
      <c r="O650" s="1520">
        <v>46267</v>
      </c>
      <c r="P650" s="1520">
        <v>46261.474305555559</v>
      </c>
    </row>
    <row r="651" spans="1:16">
      <c r="A651" t="s">
        <v>5259</v>
      </c>
      <c r="B651" t="s">
        <v>64</v>
      </c>
      <c r="C651" t="s">
        <v>100</v>
      </c>
      <c r="D651" t="s">
        <v>4540</v>
      </c>
      <c r="E651" t="s">
        <v>195</v>
      </c>
      <c r="F651" t="s">
        <v>196</v>
      </c>
      <c r="G651">
        <v>3744</v>
      </c>
      <c r="H651" t="s">
        <v>75</v>
      </c>
      <c r="I651" t="s">
        <v>9204</v>
      </c>
      <c r="J651" s="1520">
        <v>46201</v>
      </c>
      <c r="K651" s="1520">
        <v>46245</v>
      </c>
      <c r="L651" s="1520"/>
      <c r="M651" s="1520">
        <v>46253.479062500002</v>
      </c>
      <c r="N651" t="s">
        <v>973</v>
      </c>
      <c r="O651" s="1520">
        <v>46272</v>
      </c>
      <c r="P651" s="1520">
        <v>46260.479062500002</v>
      </c>
    </row>
    <row r="652" spans="1:16">
      <c r="A652" t="s">
        <v>5249</v>
      </c>
      <c r="B652" t="s">
        <v>64</v>
      </c>
      <c r="C652" t="s">
        <v>310</v>
      </c>
      <c r="D652" t="s">
        <v>132</v>
      </c>
      <c r="E652" t="s">
        <v>133</v>
      </c>
      <c r="F652" t="s">
        <v>134</v>
      </c>
      <c r="G652">
        <v>594</v>
      </c>
      <c r="H652" t="s">
        <v>75</v>
      </c>
      <c r="I652" t="s">
        <v>5250</v>
      </c>
      <c r="J652" s="1520">
        <v>46204</v>
      </c>
      <c r="K652" s="1520">
        <v>46257</v>
      </c>
      <c r="L652" s="1520">
        <v>46272.25</v>
      </c>
      <c r="M652" s="1520">
        <v>46272.251446759263</v>
      </c>
      <c r="N652" t="s">
        <v>2434</v>
      </c>
      <c r="O652" s="1520">
        <v>46300</v>
      </c>
      <c r="P652" s="1520">
        <v>46282.251446759263</v>
      </c>
    </row>
    <row r="653" spans="1:16">
      <c r="A653" t="s">
        <v>5264</v>
      </c>
      <c r="B653" t="s">
        <v>64</v>
      </c>
      <c r="C653" t="s">
        <v>100</v>
      </c>
      <c r="D653" t="s">
        <v>4540</v>
      </c>
      <c r="E653" t="s">
        <v>195</v>
      </c>
      <c r="F653" t="s">
        <v>196</v>
      </c>
      <c r="G653">
        <v>936</v>
      </c>
      <c r="H653" t="s">
        <v>75</v>
      </c>
      <c r="I653" t="s">
        <v>5265</v>
      </c>
      <c r="J653" s="1520">
        <v>46201</v>
      </c>
      <c r="K653" s="1520">
        <v>46245</v>
      </c>
      <c r="L653" s="1520"/>
      <c r="M653" s="1520">
        <v>46253.479062500002</v>
      </c>
      <c r="N653" t="s">
        <v>973</v>
      </c>
      <c r="O653" s="1520">
        <v>46272</v>
      </c>
      <c r="P653" s="1520">
        <v>46260.479062500002</v>
      </c>
    </row>
    <row r="654" spans="1:16">
      <c r="A654" t="s">
        <v>5266</v>
      </c>
      <c r="B654" t="s">
        <v>64</v>
      </c>
      <c r="C654" t="s">
        <v>100</v>
      </c>
      <c r="D654" t="s">
        <v>70</v>
      </c>
      <c r="E654" t="s">
        <v>195</v>
      </c>
      <c r="F654" t="s">
        <v>196</v>
      </c>
      <c r="G654">
        <v>936</v>
      </c>
      <c r="H654" t="s">
        <v>75</v>
      </c>
      <c r="I654" t="s">
        <v>5268</v>
      </c>
      <c r="J654" s="1520">
        <v>46201</v>
      </c>
      <c r="K654" s="1520">
        <v>46263</v>
      </c>
      <c r="L654" s="1520">
        <v>46293.083333333336</v>
      </c>
      <c r="M654" s="1520">
        <v>46292.966608796298</v>
      </c>
      <c r="N654" t="s">
        <v>2434</v>
      </c>
      <c r="O654" s="1520">
        <v>46297</v>
      </c>
      <c r="P654" s="1520">
        <v>46299.966608796298</v>
      </c>
    </row>
    <row r="655" spans="1:16">
      <c r="A655" t="s">
        <v>5271</v>
      </c>
      <c r="B655" t="s">
        <v>64</v>
      </c>
      <c r="C655" t="s">
        <v>450</v>
      </c>
      <c r="D655" t="s">
        <v>4540</v>
      </c>
      <c r="E655" t="s">
        <v>1151</v>
      </c>
      <c r="F655" t="s">
        <v>421</v>
      </c>
      <c r="G655">
        <v>864</v>
      </c>
      <c r="H655" t="s">
        <v>75</v>
      </c>
      <c r="I655" t="s">
        <v>5272</v>
      </c>
      <c r="J655" s="1520">
        <v>46201</v>
      </c>
      <c r="K655" s="1520">
        <v>46264</v>
      </c>
      <c r="L655" s="1520">
        <v>46274.999305555553</v>
      </c>
      <c r="M655" s="1520">
        <v>46275.009525462963</v>
      </c>
      <c r="N655" t="s">
        <v>2434</v>
      </c>
      <c r="O655" s="1520">
        <v>46288</v>
      </c>
      <c r="P655" s="1520">
        <v>46282.009525462963</v>
      </c>
    </row>
    <row r="656" spans="1:16">
      <c r="A656" t="s">
        <v>5098</v>
      </c>
      <c r="B656" t="s">
        <v>64</v>
      </c>
      <c r="C656" t="s">
        <v>65</v>
      </c>
      <c r="D656" t="s">
        <v>4540</v>
      </c>
      <c r="E656" t="s">
        <v>5099</v>
      </c>
      <c r="F656" t="s">
        <v>330</v>
      </c>
      <c r="G656">
        <v>720</v>
      </c>
      <c r="H656" t="s">
        <v>75</v>
      </c>
      <c r="I656" t="s">
        <v>5101</v>
      </c>
      <c r="J656" s="1520">
        <v>46199</v>
      </c>
      <c r="K656" s="1520">
        <v>46251</v>
      </c>
      <c r="L656" s="1520"/>
      <c r="M656" s="1520">
        <v>46259.238761574074</v>
      </c>
      <c r="N656" t="s">
        <v>973</v>
      </c>
      <c r="O656" s="1520">
        <v>46272</v>
      </c>
      <c r="P656" s="1520">
        <v>46267.238761574074</v>
      </c>
    </row>
    <row r="657" spans="1:16">
      <c r="A657" t="s">
        <v>2285</v>
      </c>
      <c r="B657" t="s">
        <v>144</v>
      </c>
      <c r="C657" t="s">
        <v>145</v>
      </c>
      <c r="D657" t="s">
        <v>70</v>
      </c>
      <c r="E657" t="s">
        <v>195</v>
      </c>
      <c r="F657" t="s">
        <v>196</v>
      </c>
      <c r="G657">
        <v>2808</v>
      </c>
      <c r="H657" t="s">
        <v>75</v>
      </c>
      <c r="I657" t="s">
        <v>2289</v>
      </c>
      <c r="J657" s="1520">
        <v>46139</v>
      </c>
      <c r="K657" s="1520">
        <v>46207</v>
      </c>
      <c r="L657" s="1520">
        <v>46200</v>
      </c>
      <c r="M657" s="1520">
        <v>46200</v>
      </c>
      <c r="N657" t="s">
        <v>973</v>
      </c>
      <c r="O657" s="1520">
        <v>46213</v>
      </c>
      <c r="P657" s="1520">
        <v>46200</v>
      </c>
    </row>
    <row r="658" spans="1:16">
      <c r="A658" t="s">
        <v>2293</v>
      </c>
      <c r="B658" t="s">
        <v>64</v>
      </c>
      <c r="C658" t="s">
        <v>100</v>
      </c>
      <c r="D658" t="s">
        <v>70</v>
      </c>
      <c r="E658" t="s">
        <v>195</v>
      </c>
      <c r="F658" t="s">
        <v>196</v>
      </c>
      <c r="G658">
        <v>11232</v>
      </c>
      <c r="H658" t="s">
        <v>75</v>
      </c>
      <c r="I658" t="s">
        <v>2294</v>
      </c>
      <c r="J658" s="1520">
        <v>46139</v>
      </c>
      <c r="K658" s="1520">
        <v>46207</v>
      </c>
      <c r="L658" s="1520">
        <v>46200</v>
      </c>
      <c r="M658" s="1520">
        <v>46200</v>
      </c>
      <c r="N658" t="s">
        <v>973</v>
      </c>
      <c r="O658" s="1520">
        <v>46213</v>
      </c>
      <c r="P658" s="1520">
        <v>46207</v>
      </c>
    </row>
    <row r="659" spans="1:16">
      <c r="A659" t="s">
        <v>5221</v>
      </c>
      <c r="B659" t="s">
        <v>64</v>
      </c>
      <c r="C659" t="s">
        <v>65</v>
      </c>
      <c r="D659" t="s">
        <v>4540</v>
      </c>
      <c r="E659" t="s">
        <v>71</v>
      </c>
      <c r="F659" t="s">
        <v>72</v>
      </c>
      <c r="G659">
        <v>2592</v>
      </c>
      <c r="H659" t="s">
        <v>75</v>
      </c>
      <c r="I659" t="s">
        <v>5222</v>
      </c>
      <c r="J659" s="1520">
        <v>46207</v>
      </c>
      <c r="K659" s="1520">
        <v>46258</v>
      </c>
      <c r="L659" s="1520">
        <v>46271.25</v>
      </c>
      <c r="M659" s="1520">
        <v>46271.279085648152</v>
      </c>
      <c r="N659" t="s">
        <v>2434</v>
      </c>
      <c r="O659" s="1520">
        <v>46283</v>
      </c>
      <c r="P659" s="1520">
        <v>46279.279085648152</v>
      </c>
    </row>
    <row r="660" spans="1:16">
      <c r="A660" t="s">
        <v>5218</v>
      </c>
      <c r="B660" t="s">
        <v>64</v>
      </c>
      <c r="C660" t="s">
        <v>65</v>
      </c>
      <c r="D660" t="s">
        <v>550</v>
      </c>
      <c r="E660" t="s">
        <v>551</v>
      </c>
      <c r="F660" t="s">
        <v>2151</v>
      </c>
      <c r="G660">
        <v>1584</v>
      </c>
      <c r="H660" t="s">
        <v>75</v>
      </c>
      <c r="I660" t="s">
        <v>5219</v>
      </c>
      <c r="J660" s="1520">
        <v>46207</v>
      </c>
      <c r="K660" s="1520">
        <v>46258</v>
      </c>
      <c r="L660" s="1520">
        <v>46271.25</v>
      </c>
      <c r="M660" s="1520">
        <v>46271.279085648152</v>
      </c>
      <c r="N660" t="s">
        <v>2434</v>
      </c>
      <c r="O660" s="1520">
        <v>46283</v>
      </c>
      <c r="P660" s="1520">
        <v>46279.279085648152</v>
      </c>
    </row>
    <row r="661" spans="1:16">
      <c r="A661" t="s">
        <v>5211</v>
      </c>
      <c r="B661" t="s">
        <v>64</v>
      </c>
      <c r="C661" t="s">
        <v>65</v>
      </c>
      <c r="D661" t="s">
        <v>4540</v>
      </c>
      <c r="E661" t="s">
        <v>5099</v>
      </c>
      <c r="F661" t="s">
        <v>330</v>
      </c>
      <c r="G661">
        <v>1440</v>
      </c>
      <c r="H661" t="s">
        <v>75</v>
      </c>
      <c r="I661" t="s">
        <v>5214</v>
      </c>
      <c r="J661" s="1520">
        <v>46207</v>
      </c>
      <c r="K661" s="1520">
        <v>46258</v>
      </c>
      <c r="L661" s="1520">
        <v>46271.25</v>
      </c>
      <c r="M661" s="1520">
        <v>46271.279085648152</v>
      </c>
      <c r="N661" t="s">
        <v>2434</v>
      </c>
      <c r="O661" s="1520">
        <v>46283</v>
      </c>
      <c r="P661" s="1520">
        <v>46279.279085648152</v>
      </c>
    </row>
    <row r="662" spans="1:16">
      <c r="A662" t="s">
        <v>5227</v>
      </c>
      <c r="B662" t="s">
        <v>64</v>
      </c>
      <c r="C662" t="s">
        <v>65</v>
      </c>
      <c r="D662" t="s">
        <v>4540</v>
      </c>
      <c r="E662" t="s">
        <v>71</v>
      </c>
      <c r="F662" t="s">
        <v>72</v>
      </c>
      <c r="G662">
        <v>2592</v>
      </c>
      <c r="H662" t="s">
        <v>75</v>
      </c>
      <c r="I662" t="s">
        <v>5228</v>
      </c>
      <c r="J662" s="1520">
        <v>46207</v>
      </c>
      <c r="K662" s="1520">
        <v>46258</v>
      </c>
      <c r="L662" s="1520">
        <v>46271.25</v>
      </c>
      <c r="M662" s="1520">
        <v>46271.279085648152</v>
      </c>
      <c r="N662" t="s">
        <v>2434</v>
      </c>
      <c r="O662" s="1520">
        <v>46283</v>
      </c>
      <c r="P662" s="1520">
        <v>46279.279085648152</v>
      </c>
    </row>
    <row r="663" spans="1:16">
      <c r="A663" t="s">
        <v>5251</v>
      </c>
      <c r="B663" t="s">
        <v>64</v>
      </c>
      <c r="C663" t="s">
        <v>450</v>
      </c>
      <c r="D663" t="s">
        <v>4540</v>
      </c>
      <c r="E663" t="s">
        <v>195</v>
      </c>
      <c r="F663" t="s">
        <v>196</v>
      </c>
      <c r="G663">
        <v>936</v>
      </c>
      <c r="H663" t="s">
        <v>75</v>
      </c>
      <c r="I663" t="s">
        <v>5252</v>
      </c>
      <c r="J663" s="1520">
        <v>46206</v>
      </c>
      <c r="K663" s="1520">
        <v>46257</v>
      </c>
      <c r="L663" s="1520">
        <v>46264.041666666664</v>
      </c>
      <c r="M663" s="1520">
        <v>46263.989421296297</v>
      </c>
      <c r="N663" t="s">
        <v>973</v>
      </c>
      <c r="O663" s="1520">
        <v>46276</v>
      </c>
      <c r="P663" s="1520">
        <v>46270.989421296297</v>
      </c>
    </row>
    <row r="664" spans="1:16">
      <c r="A664" t="s">
        <v>5275</v>
      </c>
      <c r="B664" t="s">
        <v>144</v>
      </c>
      <c r="C664" t="s">
        <v>145</v>
      </c>
      <c r="D664" t="s">
        <v>4540</v>
      </c>
      <c r="E664" t="s">
        <v>4601</v>
      </c>
      <c r="F664" t="s">
        <v>330</v>
      </c>
      <c r="G664">
        <v>3600</v>
      </c>
      <c r="H664" t="s">
        <v>75</v>
      </c>
      <c r="I664" t="s">
        <v>5280</v>
      </c>
      <c r="J664" s="1520">
        <v>46208</v>
      </c>
      <c r="K664" s="1520">
        <v>46269</v>
      </c>
      <c r="L664" s="1520"/>
      <c r="M664" s="1520">
        <v>46264</v>
      </c>
      <c r="N664" t="s">
        <v>11129</v>
      </c>
      <c r="O664" s="1520" t="s">
        <v>2480</v>
      </c>
      <c r="P664" s="1520">
        <v>46264</v>
      </c>
    </row>
    <row r="665" spans="1:16">
      <c r="A665" t="s">
        <v>5255</v>
      </c>
      <c r="B665" t="s">
        <v>64</v>
      </c>
      <c r="C665" t="s">
        <v>65</v>
      </c>
      <c r="D665" t="s">
        <v>4540</v>
      </c>
      <c r="E665" t="s">
        <v>691</v>
      </c>
      <c r="F665" t="s">
        <v>692</v>
      </c>
      <c r="G665">
        <v>864</v>
      </c>
      <c r="H665" t="s">
        <v>75</v>
      </c>
      <c r="I665" t="s">
        <v>5256</v>
      </c>
      <c r="J665" s="1520">
        <v>46206</v>
      </c>
      <c r="K665" s="1520">
        <v>46260</v>
      </c>
      <c r="L665" s="1520">
        <v>46275.291666666664</v>
      </c>
      <c r="M665" s="1520">
        <v>46275.245208333334</v>
      </c>
      <c r="N665" t="s">
        <v>2434</v>
      </c>
      <c r="O665" s="1520">
        <v>46286</v>
      </c>
      <c r="P665" s="1520">
        <v>46285.245208333334</v>
      </c>
    </row>
    <row r="666" spans="1:16">
      <c r="A666" t="s">
        <v>5290</v>
      </c>
      <c r="B666" t="s">
        <v>144</v>
      </c>
      <c r="C666" t="s">
        <v>145</v>
      </c>
      <c r="D666" t="s">
        <v>4540</v>
      </c>
      <c r="E666" t="s">
        <v>5050</v>
      </c>
      <c r="F666" t="s">
        <v>1807</v>
      </c>
      <c r="G666">
        <v>1188</v>
      </c>
      <c r="H666" t="s">
        <v>75</v>
      </c>
      <c r="I666" t="s">
        <v>5291</v>
      </c>
      <c r="J666" s="1520">
        <v>46208</v>
      </c>
      <c r="K666" s="1520">
        <v>46245</v>
      </c>
      <c r="L666" s="1520"/>
      <c r="M666" s="1520">
        <v>46253.479062500002</v>
      </c>
      <c r="N666" t="s">
        <v>973</v>
      </c>
      <c r="O666" s="1520">
        <v>46245</v>
      </c>
      <c r="P666" s="1520">
        <v>46253.479062500002</v>
      </c>
    </row>
    <row r="667" spans="1:16">
      <c r="A667" t="s">
        <v>5296</v>
      </c>
      <c r="B667" t="s">
        <v>144</v>
      </c>
      <c r="C667" t="s">
        <v>145</v>
      </c>
      <c r="D667" t="s">
        <v>4540</v>
      </c>
      <c r="E667" t="s">
        <v>5050</v>
      </c>
      <c r="F667" t="s">
        <v>1807</v>
      </c>
      <c r="G667">
        <v>4752</v>
      </c>
      <c r="H667" t="s">
        <v>75</v>
      </c>
      <c r="I667" t="s">
        <v>5297</v>
      </c>
      <c r="J667" s="1520">
        <v>46208</v>
      </c>
      <c r="K667" s="1520">
        <v>46256</v>
      </c>
      <c r="L667" s="1520"/>
      <c r="M667" s="1520">
        <v>46253.479062500002</v>
      </c>
      <c r="N667" t="s">
        <v>973</v>
      </c>
      <c r="O667" s="1520">
        <v>46256</v>
      </c>
      <c r="P667" s="1520">
        <v>46253.479062500002</v>
      </c>
    </row>
    <row r="668" spans="1:16">
      <c r="A668" t="s">
        <v>5301</v>
      </c>
      <c r="B668" t="s">
        <v>144</v>
      </c>
      <c r="C668" t="s">
        <v>145</v>
      </c>
      <c r="D668" t="s">
        <v>4540</v>
      </c>
      <c r="E668" t="s">
        <v>5050</v>
      </c>
      <c r="F668" t="s">
        <v>1807</v>
      </c>
      <c r="G668">
        <v>2970</v>
      </c>
      <c r="H668" t="s">
        <v>75</v>
      </c>
      <c r="I668" t="s">
        <v>5302</v>
      </c>
      <c r="J668" s="1520">
        <v>46209</v>
      </c>
      <c r="K668" s="1520">
        <v>46246</v>
      </c>
      <c r="L668" s="1520">
        <v>46260.5</v>
      </c>
      <c r="M668" s="1520">
        <v>46260</v>
      </c>
      <c r="N668" t="s">
        <v>973</v>
      </c>
      <c r="O668" s="1520">
        <v>46246</v>
      </c>
      <c r="P668" s="1520">
        <v>46260</v>
      </c>
    </row>
    <row r="669" spans="1:16">
      <c r="A669" t="s">
        <v>5186</v>
      </c>
      <c r="B669" t="s">
        <v>144</v>
      </c>
      <c r="C669" t="s">
        <v>145</v>
      </c>
      <c r="D669" t="s">
        <v>4540</v>
      </c>
      <c r="E669" t="s">
        <v>5050</v>
      </c>
      <c r="F669" t="s">
        <v>1807</v>
      </c>
      <c r="G669">
        <v>5940</v>
      </c>
      <c r="H669" t="s">
        <v>75</v>
      </c>
      <c r="I669" t="s">
        <v>5187</v>
      </c>
      <c r="J669" s="1520">
        <v>46204</v>
      </c>
      <c r="K669" s="1520">
        <v>46238</v>
      </c>
      <c r="L669" s="1520">
        <v>46244.291666666664</v>
      </c>
      <c r="M669" s="1520">
        <v>46244.348958333336</v>
      </c>
      <c r="N669" t="s">
        <v>973</v>
      </c>
      <c r="O669" s="1520">
        <v>46238</v>
      </c>
      <c r="P669" s="1520">
        <v>46244.348958333336</v>
      </c>
    </row>
    <row r="670" spans="1:16">
      <c r="A670" t="s">
        <v>5294</v>
      </c>
      <c r="B670" t="s">
        <v>144</v>
      </c>
      <c r="C670" t="s">
        <v>145</v>
      </c>
      <c r="D670" t="s">
        <v>4540</v>
      </c>
      <c r="E670" t="s">
        <v>5066</v>
      </c>
      <c r="F670" t="s">
        <v>1484</v>
      </c>
      <c r="G670">
        <v>5346</v>
      </c>
      <c r="H670" t="s">
        <v>75</v>
      </c>
      <c r="I670" t="s">
        <v>5295</v>
      </c>
      <c r="J670" s="1520">
        <v>46208</v>
      </c>
      <c r="K670" s="1520">
        <v>46245</v>
      </c>
      <c r="L670" s="1520"/>
      <c r="M670" s="1520">
        <v>46253.479062500002</v>
      </c>
      <c r="N670" t="s">
        <v>973</v>
      </c>
      <c r="O670" s="1520">
        <v>46245</v>
      </c>
      <c r="P670" s="1520">
        <v>46253.479062500002</v>
      </c>
    </row>
    <row r="671" spans="1:16">
      <c r="A671" t="s">
        <v>5225</v>
      </c>
      <c r="B671" t="s">
        <v>64</v>
      </c>
      <c r="C671" t="s">
        <v>65</v>
      </c>
      <c r="D671" t="s">
        <v>4540</v>
      </c>
      <c r="E671" t="s">
        <v>1151</v>
      </c>
      <c r="F671" t="s">
        <v>421</v>
      </c>
      <c r="G671">
        <v>5184</v>
      </c>
      <c r="H671" t="s">
        <v>75</v>
      </c>
      <c r="I671" t="s">
        <v>5226</v>
      </c>
      <c r="J671" s="1520">
        <v>46207</v>
      </c>
      <c r="K671" s="1520">
        <v>46258</v>
      </c>
      <c r="L671" s="1520">
        <v>46271.25</v>
      </c>
      <c r="M671" s="1520">
        <v>46271.279085648152</v>
      </c>
      <c r="N671" t="s">
        <v>2434</v>
      </c>
      <c r="O671" s="1520">
        <v>46283</v>
      </c>
      <c r="P671" s="1520">
        <v>46279.279085648152</v>
      </c>
    </row>
    <row r="672" spans="1:16">
      <c r="A672" t="s">
        <v>5231</v>
      </c>
      <c r="B672" t="s">
        <v>64</v>
      </c>
      <c r="C672" t="s">
        <v>65</v>
      </c>
      <c r="D672" t="s">
        <v>4540</v>
      </c>
      <c r="E672" t="s">
        <v>1151</v>
      </c>
      <c r="F672" t="s">
        <v>421</v>
      </c>
      <c r="G672">
        <v>2592</v>
      </c>
      <c r="H672" t="s">
        <v>75</v>
      </c>
      <c r="I672" t="s">
        <v>5233</v>
      </c>
      <c r="J672" s="1520">
        <v>46207</v>
      </c>
      <c r="K672" s="1520">
        <v>46258</v>
      </c>
      <c r="L672" s="1520">
        <v>46271.25</v>
      </c>
      <c r="M672" s="1520">
        <v>46271.279085648152</v>
      </c>
      <c r="N672" t="s">
        <v>2434</v>
      </c>
      <c r="O672" s="1520">
        <v>46283</v>
      </c>
      <c r="P672" s="1520">
        <v>46279.279085648152</v>
      </c>
    </row>
    <row r="673" spans="1:16">
      <c r="A673" t="s">
        <v>5284</v>
      </c>
      <c r="B673" t="s">
        <v>144</v>
      </c>
      <c r="C673" t="s">
        <v>145</v>
      </c>
      <c r="D673" t="s">
        <v>4540</v>
      </c>
      <c r="E673" t="s">
        <v>71</v>
      </c>
      <c r="F673" t="s">
        <v>72</v>
      </c>
      <c r="G673">
        <v>2592</v>
      </c>
      <c r="H673" t="s">
        <v>75</v>
      </c>
      <c r="I673" t="s">
        <v>5286</v>
      </c>
      <c r="J673" s="1520">
        <v>46209</v>
      </c>
      <c r="K673" s="1520">
        <v>46260</v>
      </c>
      <c r="L673" s="1520">
        <v>46264.541666666664</v>
      </c>
      <c r="M673" s="1520">
        <v>46264</v>
      </c>
      <c r="N673" t="s">
        <v>973</v>
      </c>
      <c r="O673" s="1520">
        <v>46260</v>
      </c>
      <c r="P673" s="1520">
        <v>46264</v>
      </c>
    </row>
    <row r="674" spans="1:16">
      <c r="A674" t="s">
        <v>5234</v>
      </c>
      <c r="B674" t="s">
        <v>64</v>
      </c>
      <c r="C674" t="s">
        <v>65</v>
      </c>
      <c r="D674" t="s">
        <v>4540</v>
      </c>
      <c r="E674" t="s">
        <v>1151</v>
      </c>
      <c r="F674" t="s">
        <v>421</v>
      </c>
      <c r="G674">
        <v>864</v>
      </c>
      <c r="H674" t="s">
        <v>75</v>
      </c>
      <c r="I674" t="s">
        <v>5235</v>
      </c>
      <c r="J674" s="1520">
        <v>46207</v>
      </c>
      <c r="K674" s="1520">
        <v>46258</v>
      </c>
      <c r="L674" s="1520">
        <v>46271.25</v>
      </c>
      <c r="M674" s="1520">
        <v>46271.279085648152</v>
      </c>
      <c r="N674" t="s">
        <v>2434</v>
      </c>
      <c r="O674" s="1520">
        <v>46283</v>
      </c>
      <c r="P674" s="1520">
        <v>46279.279085648152</v>
      </c>
    </row>
    <row r="675" spans="1:16">
      <c r="A675" t="s">
        <v>2377</v>
      </c>
      <c r="B675" t="s">
        <v>64</v>
      </c>
      <c r="C675" t="s">
        <v>65</v>
      </c>
      <c r="D675" t="s">
        <v>70</v>
      </c>
      <c r="E675" t="s">
        <v>1151</v>
      </c>
      <c r="F675" t="s">
        <v>421</v>
      </c>
      <c r="G675">
        <v>1728</v>
      </c>
      <c r="H675" t="s">
        <v>75</v>
      </c>
      <c r="I675" t="s">
        <v>2378</v>
      </c>
      <c r="J675" s="1520">
        <v>46146</v>
      </c>
      <c r="K675" s="1520">
        <v>46209</v>
      </c>
      <c r="L675" s="1520">
        <v>46209</v>
      </c>
      <c r="M675" s="1520">
        <v>46210</v>
      </c>
      <c r="N675" t="s">
        <v>973</v>
      </c>
      <c r="O675" s="1520">
        <v>46223</v>
      </c>
      <c r="P675" s="1520">
        <v>46218</v>
      </c>
    </row>
    <row r="676" spans="1:16">
      <c r="A676" t="s">
        <v>2381</v>
      </c>
      <c r="B676" t="s">
        <v>144</v>
      </c>
      <c r="C676" t="s">
        <v>145</v>
      </c>
      <c r="D676" t="s">
        <v>70</v>
      </c>
      <c r="E676" t="s">
        <v>1151</v>
      </c>
      <c r="F676" t="s">
        <v>421</v>
      </c>
      <c r="G676">
        <v>1728</v>
      </c>
      <c r="H676" t="s">
        <v>75</v>
      </c>
      <c r="I676" t="s">
        <v>2385</v>
      </c>
      <c r="J676" s="1520">
        <v>46146</v>
      </c>
      <c r="K676" s="1520">
        <v>46209</v>
      </c>
      <c r="L676" s="1520">
        <v>46209</v>
      </c>
      <c r="M676" s="1520">
        <v>46210</v>
      </c>
      <c r="N676" t="s">
        <v>973</v>
      </c>
      <c r="O676" s="1520">
        <v>46223</v>
      </c>
      <c r="P676" s="1520">
        <v>46210</v>
      </c>
    </row>
    <row r="677" spans="1:16">
      <c r="A677" t="s">
        <v>4559</v>
      </c>
      <c r="B677" t="s">
        <v>144</v>
      </c>
      <c r="C677" t="s">
        <v>145</v>
      </c>
      <c r="D677" t="s">
        <v>70</v>
      </c>
      <c r="E677" t="s">
        <v>1151</v>
      </c>
      <c r="F677" t="s">
        <v>421</v>
      </c>
      <c r="G677">
        <v>864</v>
      </c>
      <c r="H677" t="s">
        <v>75</v>
      </c>
      <c r="I677" t="s">
        <v>4562</v>
      </c>
      <c r="J677" s="1520">
        <v>46164</v>
      </c>
      <c r="K677" s="1520">
        <v>46223</v>
      </c>
      <c r="L677" s="1520">
        <v>46235</v>
      </c>
      <c r="M677" s="1520">
        <v>46236.239571759259</v>
      </c>
      <c r="N677" t="s">
        <v>973</v>
      </c>
      <c r="O677" s="1520">
        <v>46244</v>
      </c>
      <c r="P677" s="1520">
        <v>46236.239571759259</v>
      </c>
    </row>
    <row r="678" spans="1:16">
      <c r="A678" t="s">
        <v>4565</v>
      </c>
      <c r="B678" t="s">
        <v>144</v>
      </c>
      <c r="C678" t="s">
        <v>145</v>
      </c>
      <c r="D678" t="s">
        <v>70</v>
      </c>
      <c r="E678" t="s">
        <v>1151</v>
      </c>
      <c r="F678" t="s">
        <v>421</v>
      </c>
      <c r="G678">
        <v>2592</v>
      </c>
      <c r="H678" t="s">
        <v>75</v>
      </c>
      <c r="I678" t="s">
        <v>4568</v>
      </c>
      <c r="J678" s="1520">
        <v>46164</v>
      </c>
      <c r="K678" s="1520">
        <v>46223</v>
      </c>
      <c r="L678" s="1520">
        <v>46235</v>
      </c>
      <c r="M678" s="1520">
        <v>46236.239571759259</v>
      </c>
      <c r="N678" t="s">
        <v>973</v>
      </c>
      <c r="O678" s="1520">
        <v>46244</v>
      </c>
      <c r="P678" s="1520">
        <v>46236.239571759259</v>
      </c>
    </row>
    <row r="679" spans="1:16">
      <c r="A679" t="s">
        <v>4656</v>
      </c>
      <c r="B679" t="s">
        <v>64</v>
      </c>
      <c r="C679" t="s">
        <v>114</v>
      </c>
      <c r="D679" t="s">
        <v>132</v>
      </c>
      <c r="E679" t="s">
        <v>1062</v>
      </c>
      <c r="F679" t="s">
        <v>1063</v>
      </c>
      <c r="G679">
        <v>864</v>
      </c>
      <c r="H679" t="s">
        <v>75</v>
      </c>
      <c r="I679" t="s">
        <v>4658</v>
      </c>
      <c r="J679" s="1520">
        <v>46168</v>
      </c>
      <c r="K679" s="1520">
        <v>46204</v>
      </c>
      <c r="L679" s="1520"/>
      <c r="M679" s="1520">
        <v>46204</v>
      </c>
      <c r="N679" t="s">
        <v>973</v>
      </c>
      <c r="O679" s="1520">
        <v>46218</v>
      </c>
      <c r="P679" s="1520">
        <v>46213</v>
      </c>
    </row>
    <row r="680" spans="1:16">
      <c r="A680" t="s">
        <v>4661</v>
      </c>
      <c r="B680" t="s">
        <v>64</v>
      </c>
      <c r="C680" t="s">
        <v>114</v>
      </c>
      <c r="D680" t="s">
        <v>132</v>
      </c>
      <c r="E680" t="s">
        <v>189</v>
      </c>
      <c r="F680" t="s">
        <v>190</v>
      </c>
      <c r="G680">
        <v>3456</v>
      </c>
      <c r="H680" t="s">
        <v>75</v>
      </c>
      <c r="I680" t="s">
        <v>4663</v>
      </c>
      <c r="J680" s="1520">
        <v>46168</v>
      </c>
      <c r="K680" s="1520">
        <v>46204</v>
      </c>
      <c r="L680" s="1520"/>
      <c r="M680" s="1520">
        <v>46204</v>
      </c>
      <c r="N680" t="s">
        <v>973</v>
      </c>
      <c r="O680" s="1520">
        <v>46218</v>
      </c>
      <c r="P680" s="1520">
        <v>46213</v>
      </c>
    </row>
    <row r="681" spans="1:16">
      <c r="A681" t="s">
        <v>4664</v>
      </c>
      <c r="B681" t="s">
        <v>64</v>
      </c>
      <c r="C681" t="s">
        <v>114</v>
      </c>
      <c r="D681" t="s">
        <v>132</v>
      </c>
      <c r="E681" t="s">
        <v>189</v>
      </c>
      <c r="F681" t="s">
        <v>190</v>
      </c>
      <c r="G681">
        <v>864</v>
      </c>
      <c r="H681" t="s">
        <v>75</v>
      </c>
      <c r="I681" t="s">
        <v>4665</v>
      </c>
      <c r="J681" s="1520">
        <v>46168</v>
      </c>
      <c r="K681" s="1520">
        <v>46204</v>
      </c>
      <c r="L681" s="1520"/>
      <c r="M681" s="1520">
        <v>46204</v>
      </c>
      <c r="N681" t="s">
        <v>973</v>
      </c>
      <c r="O681" s="1520">
        <v>46215</v>
      </c>
      <c r="P681" s="1520">
        <v>46213</v>
      </c>
    </row>
    <row r="682" spans="1:16">
      <c r="A682" t="s">
        <v>5371</v>
      </c>
      <c r="B682" t="s">
        <v>144</v>
      </c>
      <c r="C682" t="s">
        <v>145</v>
      </c>
      <c r="D682" t="s">
        <v>4540</v>
      </c>
      <c r="E682" t="s">
        <v>706</v>
      </c>
      <c r="F682" t="s">
        <v>707</v>
      </c>
      <c r="G682">
        <v>864</v>
      </c>
      <c r="H682" t="s">
        <v>75</v>
      </c>
      <c r="I682" t="s">
        <v>5373</v>
      </c>
      <c r="J682" s="1520">
        <v>46212</v>
      </c>
      <c r="K682" s="1520">
        <v>46274</v>
      </c>
      <c r="L682" s="1520">
        <v>46290.25</v>
      </c>
      <c r="M682" s="1520">
        <v>46290.232800925929</v>
      </c>
      <c r="N682" t="s">
        <v>973</v>
      </c>
      <c r="O682" s="1520">
        <v>46274</v>
      </c>
      <c r="P682" s="1520">
        <v>46290.232800925929</v>
      </c>
    </row>
    <row r="683" spans="1:16">
      <c r="A683" t="s">
        <v>5376</v>
      </c>
      <c r="B683" t="s">
        <v>144</v>
      </c>
      <c r="C683" t="s">
        <v>145</v>
      </c>
      <c r="D683" t="s">
        <v>4540</v>
      </c>
      <c r="E683" t="s">
        <v>706</v>
      </c>
      <c r="F683" t="s">
        <v>707</v>
      </c>
      <c r="G683">
        <v>864</v>
      </c>
      <c r="H683" t="s">
        <v>75</v>
      </c>
      <c r="I683" t="s">
        <v>5378</v>
      </c>
      <c r="J683" s="1520">
        <v>46212</v>
      </c>
      <c r="K683" s="1520">
        <v>46274</v>
      </c>
      <c r="L683" s="1520">
        <v>46290.25</v>
      </c>
      <c r="M683" s="1520">
        <v>46290.232800925929</v>
      </c>
      <c r="N683" t="s">
        <v>973</v>
      </c>
      <c r="O683" s="1520">
        <v>46274</v>
      </c>
      <c r="P683" s="1520">
        <v>46290.232800925929</v>
      </c>
    </row>
    <row r="684" spans="1:16">
      <c r="A684" t="s">
        <v>5366</v>
      </c>
      <c r="B684" t="s">
        <v>144</v>
      </c>
      <c r="C684" t="s">
        <v>145</v>
      </c>
      <c r="D684" t="s">
        <v>4540</v>
      </c>
      <c r="E684" t="s">
        <v>706</v>
      </c>
      <c r="F684" t="s">
        <v>707</v>
      </c>
      <c r="G684">
        <v>864</v>
      </c>
      <c r="H684" t="s">
        <v>75</v>
      </c>
      <c r="I684" t="s">
        <v>5368</v>
      </c>
      <c r="J684" s="1520">
        <v>46212</v>
      </c>
      <c r="K684" s="1520">
        <v>46279</v>
      </c>
      <c r="L684" s="1520">
        <v>46285.041666666664</v>
      </c>
      <c r="M684" s="1520">
        <v>46284.921701388892</v>
      </c>
      <c r="N684" t="s">
        <v>973</v>
      </c>
      <c r="O684" s="1520">
        <v>46279</v>
      </c>
      <c r="P684" s="1520">
        <v>46284.921701388892</v>
      </c>
    </row>
    <row r="685" spans="1:16">
      <c r="A685" t="s">
        <v>5340</v>
      </c>
      <c r="B685" t="s">
        <v>64</v>
      </c>
      <c r="C685" t="s">
        <v>65</v>
      </c>
      <c r="D685" t="s">
        <v>550</v>
      </c>
      <c r="E685" t="s">
        <v>551</v>
      </c>
      <c r="F685" t="s">
        <v>2151</v>
      </c>
      <c r="G685">
        <v>2376</v>
      </c>
      <c r="H685" t="s">
        <v>75</v>
      </c>
      <c r="I685" t="s">
        <v>5341</v>
      </c>
      <c r="J685" s="1520">
        <v>46210</v>
      </c>
      <c r="K685" s="1520">
        <v>46253</v>
      </c>
      <c r="L685" s="1520">
        <v>46272.833333333336</v>
      </c>
      <c r="M685" s="1520">
        <v>46272.251446759263</v>
      </c>
      <c r="N685" t="s">
        <v>2434</v>
      </c>
      <c r="O685" s="1520">
        <v>46286</v>
      </c>
      <c r="P685" s="1520">
        <v>46280.251446759263</v>
      </c>
    </row>
    <row r="686" spans="1:16">
      <c r="A686" t="s">
        <v>5334</v>
      </c>
      <c r="B686" t="s">
        <v>64</v>
      </c>
      <c r="C686" t="s">
        <v>65</v>
      </c>
      <c r="D686" t="s">
        <v>550</v>
      </c>
      <c r="E686" t="s">
        <v>551</v>
      </c>
      <c r="F686" t="s">
        <v>2151</v>
      </c>
      <c r="G686">
        <v>2376</v>
      </c>
      <c r="H686" t="s">
        <v>75</v>
      </c>
      <c r="I686" t="s">
        <v>5336</v>
      </c>
      <c r="J686" s="1520">
        <v>46210</v>
      </c>
      <c r="K686" s="1520">
        <v>46253</v>
      </c>
      <c r="L686" s="1520">
        <v>46272.833333333336</v>
      </c>
      <c r="M686" s="1520">
        <v>46272.251446759263</v>
      </c>
      <c r="N686" t="s">
        <v>2434</v>
      </c>
      <c r="O686" s="1520">
        <v>46286</v>
      </c>
      <c r="P686" s="1520">
        <v>46280.251446759263</v>
      </c>
    </row>
    <row r="687" spans="1:16">
      <c r="A687" t="s">
        <v>5361</v>
      </c>
      <c r="B687" t="s">
        <v>144</v>
      </c>
      <c r="C687" t="s">
        <v>145</v>
      </c>
      <c r="D687" t="s">
        <v>4540</v>
      </c>
      <c r="E687" t="s">
        <v>706</v>
      </c>
      <c r="F687" t="s">
        <v>707</v>
      </c>
      <c r="G687">
        <v>2592</v>
      </c>
      <c r="H687" t="s">
        <v>75</v>
      </c>
      <c r="I687" t="s">
        <v>5363</v>
      </c>
      <c r="J687" s="1520">
        <v>46212</v>
      </c>
      <c r="K687" s="1520">
        <v>46279</v>
      </c>
      <c r="L687" s="1520">
        <v>46285.041666666664</v>
      </c>
      <c r="M687" s="1520">
        <v>46284.921701388892</v>
      </c>
      <c r="N687" t="s">
        <v>973</v>
      </c>
      <c r="O687" s="1520">
        <v>46279</v>
      </c>
      <c r="P687" s="1520">
        <v>46284.921701388892</v>
      </c>
    </row>
    <row r="688" spans="1:16">
      <c r="A688" t="s">
        <v>5353</v>
      </c>
      <c r="B688" t="s">
        <v>64</v>
      </c>
      <c r="C688" t="s">
        <v>310</v>
      </c>
      <c r="D688" t="s">
        <v>284</v>
      </c>
      <c r="E688" t="s">
        <v>5354</v>
      </c>
      <c r="F688" t="s">
        <v>5355</v>
      </c>
      <c r="G688">
        <v>720</v>
      </c>
      <c r="H688" t="s">
        <v>75</v>
      </c>
      <c r="I688" t="s">
        <v>5357</v>
      </c>
      <c r="J688" s="1520">
        <v>46212</v>
      </c>
      <c r="K688" s="1520">
        <v>46283</v>
      </c>
      <c r="L688" s="1520">
        <v>46299.875</v>
      </c>
      <c r="M688" s="1520">
        <v>46299</v>
      </c>
      <c r="N688" t="s">
        <v>2434</v>
      </c>
      <c r="O688" s="1520">
        <v>46307</v>
      </c>
      <c r="P688" s="1520">
        <v>46309</v>
      </c>
    </row>
    <row r="689" spans="1:16">
      <c r="A689" t="s">
        <v>5387</v>
      </c>
      <c r="B689" t="s">
        <v>64</v>
      </c>
      <c r="C689" t="s">
        <v>450</v>
      </c>
      <c r="D689" t="s">
        <v>5388</v>
      </c>
      <c r="E689" t="s">
        <v>5389</v>
      </c>
      <c r="F689" t="s">
        <v>5390</v>
      </c>
      <c r="G689">
        <v>936</v>
      </c>
      <c r="H689" t="s">
        <v>75</v>
      </c>
      <c r="I689" t="s">
        <v>5391</v>
      </c>
      <c r="J689" s="1520">
        <v>46220</v>
      </c>
      <c r="K689" s="1520">
        <v>46257</v>
      </c>
      <c r="L689" s="1520"/>
      <c r="M689" s="1520">
        <v>46253.739166666666</v>
      </c>
      <c r="N689" t="s">
        <v>973</v>
      </c>
      <c r="O689" s="1520">
        <v>46267</v>
      </c>
      <c r="P689" s="1520">
        <v>46260.739166666666</v>
      </c>
    </row>
    <row r="690" spans="1:16">
      <c r="A690" t="s">
        <v>5496</v>
      </c>
      <c r="B690" t="s">
        <v>64</v>
      </c>
      <c r="C690" t="s">
        <v>65</v>
      </c>
      <c r="D690" t="s">
        <v>4540</v>
      </c>
      <c r="E690" t="s">
        <v>691</v>
      </c>
      <c r="F690" t="s">
        <v>692</v>
      </c>
      <c r="G690">
        <v>1728</v>
      </c>
      <c r="H690" t="s">
        <v>75</v>
      </c>
      <c r="I690" t="s">
        <v>5497</v>
      </c>
      <c r="J690" s="1520">
        <v>46218</v>
      </c>
      <c r="K690" s="1520">
        <v>46281</v>
      </c>
      <c r="L690" s="1520">
        <v>46283.416666666664</v>
      </c>
      <c r="M690" s="1520">
        <v>46283.4372337963</v>
      </c>
      <c r="N690" t="s">
        <v>2434</v>
      </c>
      <c r="O690" s="1520">
        <v>46295</v>
      </c>
      <c r="P690" s="1520">
        <v>46291.4372337963</v>
      </c>
    </row>
    <row r="691" spans="1:16">
      <c r="A691" t="s">
        <v>5491</v>
      </c>
      <c r="B691" t="s">
        <v>64</v>
      </c>
      <c r="C691" t="s">
        <v>65</v>
      </c>
      <c r="D691" t="s">
        <v>4540</v>
      </c>
      <c r="E691" t="s">
        <v>691</v>
      </c>
      <c r="F691" t="s">
        <v>692</v>
      </c>
      <c r="G691">
        <v>3456</v>
      </c>
      <c r="H691" t="s">
        <v>75</v>
      </c>
      <c r="I691" t="s">
        <v>5492</v>
      </c>
      <c r="J691" s="1520">
        <v>46218</v>
      </c>
      <c r="K691" s="1520">
        <v>46286</v>
      </c>
      <c r="L691" s="1520">
        <v>46300.375</v>
      </c>
      <c r="M691" s="1520">
        <v>46299</v>
      </c>
      <c r="N691" t="s">
        <v>2434</v>
      </c>
      <c r="O691" s="1520">
        <v>46300</v>
      </c>
      <c r="P691" s="1520">
        <v>46307</v>
      </c>
    </row>
    <row r="692" spans="1:16">
      <c r="A692" t="s">
        <v>5488</v>
      </c>
      <c r="B692" t="s">
        <v>144</v>
      </c>
      <c r="C692" t="s">
        <v>145</v>
      </c>
      <c r="D692" t="s">
        <v>4540</v>
      </c>
      <c r="E692" t="s">
        <v>706</v>
      </c>
      <c r="F692" t="s">
        <v>707</v>
      </c>
      <c r="G692">
        <v>864</v>
      </c>
      <c r="H692" t="s">
        <v>75</v>
      </c>
      <c r="I692" t="s">
        <v>5490</v>
      </c>
      <c r="J692" s="1520">
        <v>46216</v>
      </c>
      <c r="K692" s="1520">
        <v>46260</v>
      </c>
      <c r="L692" s="1520">
        <v>46272.833333333336</v>
      </c>
      <c r="M692" s="1520">
        <v>46272.644375000003</v>
      </c>
      <c r="N692" t="s">
        <v>973</v>
      </c>
      <c r="O692" s="1520">
        <v>46260</v>
      </c>
      <c r="P692" s="1520">
        <v>46272.644375000003</v>
      </c>
    </row>
    <row r="693" spans="1:16">
      <c r="A693" t="s">
        <v>5485</v>
      </c>
      <c r="B693" t="s">
        <v>144</v>
      </c>
      <c r="C693" t="s">
        <v>145</v>
      </c>
      <c r="D693" t="s">
        <v>4540</v>
      </c>
      <c r="E693" t="s">
        <v>706</v>
      </c>
      <c r="F693" t="s">
        <v>707</v>
      </c>
      <c r="G693">
        <v>864</v>
      </c>
      <c r="H693" t="s">
        <v>75</v>
      </c>
      <c r="I693" t="s">
        <v>5487</v>
      </c>
      <c r="J693" s="1520">
        <v>46216</v>
      </c>
      <c r="K693" s="1520">
        <v>46260</v>
      </c>
      <c r="L693" s="1520">
        <v>46272.833333333336</v>
      </c>
      <c r="M693" s="1520">
        <v>46272.644375000003</v>
      </c>
      <c r="N693" t="s">
        <v>973</v>
      </c>
      <c r="O693" s="1520">
        <v>46260</v>
      </c>
      <c r="P693" s="1520">
        <v>46272.644375000003</v>
      </c>
    </row>
    <row r="694" spans="1:16">
      <c r="A694" t="s">
        <v>5482</v>
      </c>
      <c r="B694" t="s">
        <v>144</v>
      </c>
      <c r="C694" t="s">
        <v>145</v>
      </c>
      <c r="D694" t="s">
        <v>4540</v>
      </c>
      <c r="E694" t="s">
        <v>706</v>
      </c>
      <c r="F694" t="s">
        <v>707</v>
      </c>
      <c r="G694">
        <v>864</v>
      </c>
      <c r="H694" t="s">
        <v>75</v>
      </c>
      <c r="I694" t="s">
        <v>5484</v>
      </c>
      <c r="J694" s="1520">
        <v>46216</v>
      </c>
      <c r="K694" s="1520">
        <v>46260</v>
      </c>
      <c r="L694" s="1520">
        <v>46272.833333333336</v>
      </c>
      <c r="M694" s="1520">
        <v>46272.644375000003</v>
      </c>
      <c r="N694" t="s">
        <v>973</v>
      </c>
      <c r="O694" s="1520">
        <v>46260</v>
      </c>
      <c r="P694" s="1520">
        <v>46272.644375000003</v>
      </c>
    </row>
    <row r="695" spans="1:16">
      <c r="A695" t="s">
        <v>5476</v>
      </c>
      <c r="B695" t="s">
        <v>144</v>
      </c>
      <c r="C695" t="s">
        <v>145</v>
      </c>
      <c r="D695" t="s">
        <v>4540</v>
      </c>
      <c r="E695" t="s">
        <v>706</v>
      </c>
      <c r="F695" t="s">
        <v>707</v>
      </c>
      <c r="G695">
        <v>864</v>
      </c>
      <c r="H695" t="s">
        <v>75</v>
      </c>
      <c r="I695" t="s">
        <v>5478</v>
      </c>
      <c r="J695" s="1520">
        <v>46216</v>
      </c>
      <c r="K695" s="1520">
        <v>46260</v>
      </c>
      <c r="L695" s="1520">
        <v>46272.833333333336</v>
      </c>
      <c r="M695" s="1520">
        <v>46272.644375000003</v>
      </c>
      <c r="N695" t="s">
        <v>973</v>
      </c>
      <c r="O695" s="1520">
        <v>46260</v>
      </c>
      <c r="P695" s="1520">
        <v>46272.644375000003</v>
      </c>
    </row>
    <row r="696" spans="1:16">
      <c r="A696" t="s">
        <v>5471</v>
      </c>
      <c r="B696" t="s">
        <v>144</v>
      </c>
      <c r="C696" t="s">
        <v>145</v>
      </c>
      <c r="D696" t="s">
        <v>4540</v>
      </c>
      <c r="E696" t="s">
        <v>706</v>
      </c>
      <c r="F696" t="s">
        <v>707</v>
      </c>
      <c r="G696">
        <v>1728</v>
      </c>
      <c r="H696" t="s">
        <v>75</v>
      </c>
      <c r="I696" t="s">
        <v>5472</v>
      </c>
      <c r="J696" s="1520">
        <v>46216</v>
      </c>
      <c r="K696" s="1520">
        <v>46260</v>
      </c>
      <c r="L696" s="1520">
        <v>46272.833333333336</v>
      </c>
      <c r="M696" s="1520">
        <v>46272.644375000003</v>
      </c>
      <c r="N696" t="s">
        <v>973</v>
      </c>
      <c r="O696" s="1520">
        <v>46260</v>
      </c>
      <c r="P696" s="1520">
        <v>46272.644375000003</v>
      </c>
    </row>
    <row r="697" spans="1:16">
      <c r="A697" t="s">
        <v>5326</v>
      </c>
      <c r="B697" t="s">
        <v>144</v>
      </c>
      <c r="C697" t="s">
        <v>145</v>
      </c>
      <c r="D697" t="s">
        <v>4540</v>
      </c>
      <c r="E697" t="s">
        <v>706</v>
      </c>
      <c r="F697" t="s">
        <v>707</v>
      </c>
      <c r="G697">
        <v>864</v>
      </c>
      <c r="H697" t="s">
        <v>75</v>
      </c>
      <c r="I697" t="s">
        <v>5331</v>
      </c>
      <c r="J697" s="1520">
        <v>46217</v>
      </c>
      <c r="K697" s="1520">
        <v>46265</v>
      </c>
      <c r="L697" s="1520">
        <v>46278.083333333336</v>
      </c>
      <c r="M697" s="1520">
        <v>46278.186840277776</v>
      </c>
      <c r="N697" t="s">
        <v>973</v>
      </c>
      <c r="O697" s="1520">
        <v>46265</v>
      </c>
      <c r="P697" s="1520">
        <v>46278.186840277776</v>
      </c>
    </row>
    <row r="698" spans="1:16">
      <c r="A698" t="s">
        <v>5500</v>
      </c>
      <c r="B698" t="s">
        <v>64</v>
      </c>
      <c r="C698" t="s">
        <v>100</v>
      </c>
      <c r="D698" t="s">
        <v>4540</v>
      </c>
      <c r="E698" t="s">
        <v>195</v>
      </c>
      <c r="F698" t="s">
        <v>196</v>
      </c>
      <c r="G698">
        <v>4680</v>
      </c>
      <c r="H698" t="s">
        <v>75</v>
      </c>
      <c r="I698" t="s">
        <v>5501</v>
      </c>
      <c r="J698" s="1520">
        <v>46218</v>
      </c>
      <c r="K698" s="1520">
        <v>46252</v>
      </c>
      <c r="L698" s="1520">
        <v>46266</v>
      </c>
      <c r="M698" s="1520">
        <v>46265</v>
      </c>
      <c r="N698" t="s">
        <v>2434</v>
      </c>
      <c r="O698" s="1520">
        <v>46279</v>
      </c>
      <c r="P698" s="1520">
        <v>46272</v>
      </c>
    </row>
    <row r="699" spans="1:16">
      <c r="A699" t="s">
        <v>5381</v>
      </c>
      <c r="B699" t="s">
        <v>144</v>
      </c>
      <c r="C699" t="s">
        <v>145</v>
      </c>
      <c r="D699" t="s">
        <v>4540</v>
      </c>
      <c r="E699" t="s">
        <v>71</v>
      </c>
      <c r="F699" t="s">
        <v>72</v>
      </c>
      <c r="G699">
        <v>3456</v>
      </c>
      <c r="H699" t="s">
        <v>75</v>
      </c>
      <c r="I699" t="s">
        <v>5383</v>
      </c>
      <c r="J699" s="1520">
        <v>46219</v>
      </c>
      <c r="K699" s="1520">
        <v>46267</v>
      </c>
      <c r="L699" s="1520">
        <v>46284.916666666664</v>
      </c>
      <c r="M699" s="1520">
        <v>46285.259710648148</v>
      </c>
      <c r="N699" t="s">
        <v>973</v>
      </c>
      <c r="O699" s="1520">
        <v>46267</v>
      </c>
      <c r="P699" s="1520">
        <v>46285.259710648148</v>
      </c>
    </row>
    <row r="700" spans="1:16">
      <c r="A700" t="s">
        <v>5320</v>
      </c>
      <c r="B700" t="s">
        <v>64</v>
      </c>
      <c r="C700" t="s">
        <v>65</v>
      </c>
      <c r="D700" t="s">
        <v>4540</v>
      </c>
      <c r="E700" t="s">
        <v>5111</v>
      </c>
      <c r="F700" t="s">
        <v>103</v>
      </c>
      <c r="G700">
        <v>2880</v>
      </c>
      <c r="H700" t="s">
        <v>75</v>
      </c>
      <c r="I700" t="s">
        <v>5321</v>
      </c>
      <c r="J700" s="1520">
        <v>46217</v>
      </c>
      <c r="K700" s="1520">
        <v>46265</v>
      </c>
      <c r="L700" s="1520">
        <v>46278.083333333336</v>
      </c>
      <c r="M700" s="1520">
        <v>46278.186840277776</v>
      </c>
      <c r="N700" t="s">
        <v>2434</v>
      </c>
      <c r="O700" s="1520">
        <v>46290</v>
      </c>
      <c r="P700" s="1520">
        <v>46286.186840277776</v>
      </c>
    </row>
    <row r="701" spans="1:16">
      <c r="A701" t="s">
        <v>5423</v>
      </c>
      <c r="B701" t="s">
        <v>64</v>
      </c>
      <c r="C701" t="s">
        <v>100</v>
      </c>
      <c r="D701" t="s">
        <v>132</v>
      </c>
      <c r="E701" t="s">
        <v>189</v>
      </c>
      <c r="F701" t="s">
        <v>190</v>
      </c>
      <c r="G701">
        <v>3456</v>
      </c>
      <c r="H701" t="s">
        <v>75</v>
      </c>
      <c r="I701" t="s">
        <v>5424</v>
      </c>
      <c r="J701" s="1520">
        <v>46215</v>
      </c>
      <c r="K701" s="1520">
        <v>46263</v>
      </c>
      <c r="L701" s="1520">
        <v>46274.291666666664</v>
      </c>
      <c r="M701" s="1520">
        <v>46274.338287037041</v>
      </c>
      <c r="N701" t="s">
        <v>2434</v>
      </c>
      <c r="O701" s="1520">
        <v>46286</v>
      </c>
      <c r="P701" s="1520">
        <v>46281.338287037041</v>
      </c>
    </row>
    <row r="702" spans="1:16">
      <c r="A702" t="s">
        <v>5428</v>
      </c>
      <c r="B702" t="s">
        <v>64</v>
      </c>
      <c r="C702" t="s">
        <v>100</v>
      </c>
      <c r="D702" t="s">
        <v>550</v>
      </c>
      <c r="E702" t="s">
        <v>2134</v>
      </c>
      <c r="F702" t="s">
        <v>2135</v>
      </c>
      <c r="G702">
        <v>1584</v>
      </c>
      <c r="H702" t="s">
        <v>75</v>
      </c>
      <c r="I702" t="s">
        <v>5429</v>
      </c>
      <c r="J702" s="1520">
        <v>46215</v>
      </c>
      <c r="K702" s="1520">
        <v>46263</v>
      </c>
      <c r="L702" s="1520">
        <v>46274.291666666664</v>
      </c>
      <c r="M702" s="1520">
        <v>46274.338287037041</v>
      </c>
      <c r="N702" t="s">
        <v>2434</v>
      </c>
      <c r="O702" s="1520">
        <v>46286</v>
      </c>
      <c r="P702" s="1520">
        <v>46281.338287037041</v>
      </c>
    </row>
    <row r="703" spans="1:16">
      <c r="A703" t="s">
        <v>5312</v>
      </c>
      <c r="B703" t="s">
        <v>64</v>
      </c>
      <c r="C703" t="s">
        <v>310</v>
      </c>
      <c r="D703" t="s">
        <v>550</v>
      </c>
      <c r="E703" t="s">
        <v>2134</v>
      </c>
      <c r="F703" t="s">
        <v>2135</v>
      </c>
      <c r="G703">
        <v>2376</v>
      </c>
      <c r="H703" t="s">
        <v>75</v>
      </c>
      <c r="I703" t="s">
        <v>5314</v>
      </c>
      <c r="J703" s="1520">
        <v>46217</v>
      </c>
      <c r="K703" s="1520">
        <v>46260</v>
      </c>
      <c r="L703" s="1520">
        <v>46274.333333333336</v>
      </c>
      <c r="M703" s="1520">
        <v>46274.416041666664</v>
      </c>
      <c r="N703" t="s">
        <v>2434</v>
      </c>
      <c r="O703" s="1520">
        <v>46288</v>
      </c>
      <c r="P703" s="1520">
        <v>46284.416041666664</v>
      </c>
    </row>
    <row r="704" spans="1:16">
      <c r="A704" t="s">
        <v>5315</v>
      </c>
      <c r="B704" t="s">
        <v>64</v>
      </c>
      <c r="C704" t="s">
        <v>65</v>
      </c>
      <c r="D704" t="s">
        <v>4540</v>
      </c>
      <c r="E704" t="s">
        <v>5111</v>
      </c>
      <c r="F704" t="s">
        <v>103</v>
      </c>
      <c r="G704">
        <v>4320</v>
      </c>
      <c r="H704" t="s">
        <v>75</v>
      </c>
      <c r="I704" t="s">
        <v>5317</v>
      </c>
      <c r="J704" s="1520">
        <v>46217</v>
      </c>
      <c r="K704" s="1520">
        <v>46265</v>
      </c>
      <c r="L704" s="1520">
        <v>46278.083333333336</v>
      </c>
      <c r="M704" s="1520">
        <v>46278.186840277776</v>
      </c>
      <c r="N704" t="s">
        <v>2434</v>
      </c>
      <c r="O704" s="1520">
        <v>46290</v>
      </c>
      <c r="P704" s="1520">
        <v>46286.186840277776</v>
      </c>
    </row>
    <row r="705" spans="1:16">
      <c r="A705" t="s">
        <v>5306</v>
      </c>
      <c r="B705" t="s">
        <v>64</v>
      </c>
      <c r="C705" t="s">
        <v>310</v>
      </c>
      <c r="D705" t="s">
        <v>550</v>
      </c>
      <c r="E705" t="s">
        <v>2134</v>
      </c>
      <c r="F705" t="s">
        <v>2135</v>
      </c>
      <c r="G705">
        <v>1584</v>
      </c>
      <c r="H705" t="s">
        <v>75</v>
      </c>
      <c r="I705" t="s">
        <v>5308</v>
      </c>
      <c r="J705" s="1520">
        <v>46217</v>
      </c>
      <c r="K705" s="1520">
        <v>46260</v>
      </c>
      <c r="L705" s="1520">
        <v>46274.333333333336</v>
      </c>
      <c r="M705" s="1520">
        <v>46274.416041666664</v>
      </c>
      <c r="N705" t="s">
        <v>2434</v>
      </c>
      <c r="O705" s="1520">
        <v>46288</v>
      </c>
      <c r="P705" s="1520">
        <v>46284.416041666664</v>
      </c>
    </row>
    <row r="706" spans="1:16">
      <c r="A706" t="s">
        <v>5324</v>
      </c>
      <c r="B706" t="s">
        <v>64</v>
      </c>
      <c r="C706" t="s">
        <v>65</v>
      </c>
      <c r="D706" t="s">
        <v>550</v>
      </c>
      <c r="E706" t="s">
        <v>551</v>
      </c>
      <c r="F706" t="s">
        <v>2151</v>
      </c>
      <c r="G706">
        <v>1584</v>
      </c>
      <c r="H706" t="s">
        <v>75</v>
      </c>
      <c r="I706" t="s">
        <v>5325</v>
      </c>
      <c r="J706" s="1520">
        <v>46217</v>
      </c>
      <c r="K706" s="1520">
        <v>46265</v>
      </c>
      <c r="L706" s="1520">
        <v>46278.083333333336</v>
      </c>
      <c r="M706" s="1520">
        <v>46278.186840277776</v>
      </c>
      <c r="N706" t="s">
        <v>2434</v>
      </c>
      <c r="O706" s="1520">
        <v>46290</v>
      </c>
      <c r="P706" s="1520">
        <v>46286.186840277776</v>
      </c>
    </row>
    <row r="707" spans="1:16">
      <c r="A707" t="s">
        <v>5322</v>
      </c>
      <c r="B707" t="s">
        <v>64</v>
      </c>
      <c r="C707" t="s">
        <v>65</v>
      </c>
      <c r="D707" t="s">
        <v>550</v>
      </c>
      <c r="E707" t="s">
        <v>551</v>
      </c>
      <c r="F707" t="s">
        <v>2151</v>
      </c>
      <c r="G707">
        <v>792</v>
      </c>
      <c r="H707" t="s">
        <v>75</v>
      </c>
      <c r="I707" t="s">
        <v>5323</v>
      </c>
      <c r="J707" s="1520">
        <v>46217</v>
      </c>
      <c r="K707" s="1520">
        <v>46265</v>
      </c>
      <c r="L707" s="1520">
        <v>46278.083333333336</v>
      </c>
      <c r="M707" s="1520">
        <v>46278.186840277776</v>
      </c>
      <c r="N707" t="s">
        <v>2434</v>
      </c>
      <c r="O707" s="1520">
        <v>46290</v>
      </c>
      <c r="P707" s="1520">
        <v>46286.186840277776</v>
      </c>
    </row>
    <row r="708" spans="1:16">
      <c r="A708" t="s">
        <v>5430</v>
      </c>
      <c r="B708" t="s">
        <v>64</v>
      </c>
      <c r="C708" t="s">
        <v>100</v>
      </c>
      <c r="D708" t="s">
        <v>5388</v>
      </c>
      <c r="E708" t="s">
        <v>5389</v>
      </c>
      <c r="F708" t="s">
        <v>5390</v>
      </c>
      <c r="G708">
        <v>1872</v>
      </c>
      <c r="H708" t="s">
        <v>75</v>
      </c>
      <c r="I708" t="s">
        <v>5432</v>
      </c>
      <c r="J708" s="1520">
        <v>46215</v>
      </c>
      <c r="K708" s="1520">
        <v>46263</v>
      </c>
      <c r="L708" s="1520">
        <v>46274.291666666664</v>
      </c>
      <c r="M708" s="1520">
        <v>46274.338287037041</v>
      </c>
      <c r="N708" t="s">
        <v>2434</v>
      </c>
      <c r="O708" s="1520">
        <v>46286</v>
      </c>
      <c r="P708" s="1520">
        <v>46281.338287037041</v>
      </c>
    </row>
    <row r="709" spans="1:16">
      <c r="A709" t="s">
        <v>5415</v>
      </c>
      <c r="B709" t="s">
        <v>144</v>
      </c>
      <c r="C709" t="s">
        <v>145</v>
      </c>
      <c r="D709" t="s">
        <v>4540</v>
      </c>
      <c r="E709" t="s">
        <v>5050</v>
      </c>
      <c r="F709" t="s">
        <v>1807</v>
      </c>
      <c r="G709">
        <v>1782</v>
      </c>
      <c r="H709" t="s">
        <v>75</v>
      </c>
      <c r="I709" t="s">
        <v>5417</v>
      </c>
      <c r="J709" s="1520">
        <v>46216</v>
      </c>
      <c r="K709" s="1520">
        <v>46253</v>
      </c>
      <c r="L709" s="1520">
        <v>46260.5</v>
      </c>
      <c r="M709" s="1520">
        <v>46260</v>
      </c>
      <c r="N709" t="s">
        <v>973</v>
      </c>
      <c r="O709" s="1520">
        <v>46253</v>
      </c>
      <c r="P709" s="1520">
        <v>46260</v>
      </c>
    </row>
    <row r="710" spans="1:16">
      <c r="A710" t="s">
        <v>5421</v>
      </c>
      <c r="B710" t="s">
        <v>144</v>
      </c>
      <c r="C710" t="s">
        <v>145</v>
      </c>
      <c r="D710" t="s">
        <v>4540</v>
      </c>
      <c r="E710" t="s">
        <v>5050</v>
      </c>
      <c r="F710" t="s">
        <v>1807</v>
      </c>
      <c r="G710">
        <v>1188</v>
      </c>
      <c r="H710" t="s">
        <v>75</v>
      </c>
      <c r="I710" t="s">
        <v>5422</v>
      </c>
      <c r="J710" s="1520">
        <v>46216</v>
      </c>
      <c r="K710" s="1520">
        <v>46253</v>
      </c>
      <c r="L710" s="1520">
        <v>46260.5</v>
      </c>
      <c r="M710" s="1520">
        <v>46260</v>
      </c>
      <c r="N710" t="s">
        <v>973</v>
      </c>
      <c r="O710" s="1520">
        <v>46253</v>
      </c>
      <c r="P710" s="1520">
        <v>46260</v>
      </c>
    </row>
    <row r="711" spans="1:16">
      <c r="A711" t="s">
        <v>5583</v>
      </c>
      <c r="B711" t="s">
        <v>64</v>
      </c>
      <c r="C711" t="s">
        <v>65</v>
      </c>
      <c r="D711" t="s">
        <v>4540</v>
      </c>
      <c r="E711" t="s">
        <v>691</v>
      </c>
      <c r="F711" t="s">
        <v>692</v>
      </c>
      <c r="G711">
        <v>864</v>
      </c>
      <c r="H711" t="s">
        <v>75</v>
      </c>
      <c r="I711" t="s">
        <v>5584</v>
      </c>
      <c r="J711" s="1520">
        <v>46222</v>
      </c>
      <c r="K711" s="1520">
        <v>46288</v>
      </c>
      <c r="L711" s="1520">
        <v>46290.25</v>
      </c>
      <c r="M711" s="1520">
        <v>46290.232800925929</v>
      </c>
      <c r="N711" t="s">
        <v>2434</v>
      </c>
      <c r="O711" s="1520">
        <v>46314</v>
      </c>
      <c r="P711" s="1520">
        <v>46298.232800925929</v>
      </c>
    </row>
    <row r="712" spans="1:16">
      <c r="A712" t="s">
        <v>5579</v>
      </c>
      <c r="B712" t="s">
        <v>64</v>
      </c>
      <c r="C712" t="s">
        <v>65</v>
      </c>
      <c r="D712" t="s">
        <v>4540</v>
      </c>
      <c r="E712" t="s">
        <v>691</v>
      </c>
      <c r="F712" t="s">
        <v>692</v>
      </c>
      <c r="G712">
        <v>864</v>
      </c>
      <c r="H712" t="s">
        <v>75</v>
      </c>
      <c r="I712" t="s">
        <v>5580</v>
      </c>
      <c r="J712" s="1520">
        <v>46222.458333333336</v>
      </c>
      <c r="K712" s="1520">
        <v>46288</v>
      </c>
      <c r="L712" s="1520">
        <v>46290.25</v>
      </c>
      <c r="M712" s="1520">
        <v>46290.232800925929</v>
      </c>
      <c r="N712" t="s">
        <v>2434</v>
      </c>
      <c r="O712" s="1520">
        <v>46314</v>
      </c>
      <c r="P712" s="1520">
        <v>46298.232800925929</v>
      </c>
    </row>
    <row r="713" spans="1:16">
      <c r="A713" t="s">
        <v>5574</v>
      </c>
      <c r="B713" t="s">
        <v>64</v>
      </c>
      <c r="C713" t="s">
        <v>65</v>
      </c>
      <c r="D713" t="s">
        <v>4540</v>
      </c>
      <c r="E713" t="s">
        <v>691</v>
      </c>
      <c r="F713" t="s">
        <v>692</v>
      </c>
      <c r="G713">
        <v>3456</v>
      </c>
      <c r="H713" t="s">
        <v>75</v>
      </c>
      <c r="I713" t="s">
        <v>5575</v>
      </c>
      <c r="J713" s="1520">
        <v>46222.458333333336</v>
      </c>
      <c r="K713" s="1520">
        <v>46293</v>
      </c>
      <c r="L713" s="1520">
        <v>46320.645833333336</v>
      </c>
      <c r="M713" s="1520">
        <v>46320.713321759256</v>
      </c>
      <c r="N713" t="s">
        <v>2434</v>
      </c>
      <c r="O713" s="1520">
        <v>46314</v>
      </c>
      <c r="P713" s="1520">
        <v>46328.713321759256</v>
      </c>
    </row>
    <row r="714" spans="1:16">
      <c r="A714" t="s">
        <v>5461</v>
      </c>
      <c r="B714" t="s">
        <v>64</v>
      </c>
      <c r="C714" t="s">
        <v>65</v>
      </c>
      <c r="D714" t="s">
        <v>4540</v>
      </c>
      <c r="E714" t="s">
        <v>691</v>
      </c>
      <c r="F714" t="s">
        <v>692</v>
      </c>
      <c r="G714">
        <v>2592</v>
      </c>
      <c r="H714" t="s">
        <v>75</v>
      </c>
      <c r="I714" t="s">
        <v>5462</v>
      </c>
      <c r="J714" s="1520">
        <v>46222</v>
      </c>
      <c r="K714" s="1520">
        <v>46272</v>
      </c>
      <c r="L714" s="1520">
        <v>46278.083333333336</v>
      </c>
      <c r="M714" s="1520">
        <v>46278.186840277776</v>
      </c>
      <c r="N714" t="s">
        <v>2434</v>
      </c>
      <c r="O714" s="1520">
        <v>46290</v>
      </c>
      <c r="P714" s="1520">
        <v>46286.186840277776</v>
      </c>
    </row>
    <row r="715" spans="1:16">
      <c r="A715" t="s">
        <v>5455</v>
      </c>
      <c r="B715" t="s">
        <v>64</v>
      </c>
      <c r="C715" t="s">
        <v>65</v>
      </c>
      <c r="D715" t="s">
        <v>4540</v>
      </c>
      <c r="E715" t="s">
        <v>691</v>
      </c>
      <c r="F715" t="s">
        <v>692</v>
      </c>
      <c r="G715">
        <v>5184</v>
      </c>
      <c r="H715" t="s">
        <v>75</v>
      </c>
      <c r="I715" t="s">
        <v>5456</v>
      </c>
      <c r="J715" s="1520">
        <v>46222</v>
      </c>
      <c r="K715" s="1520">
        <v>46272</v>
      </c>
      <c r="L715" s="1520">
        <v>46278.083333333336</v>
      </c>
      <c r="M715" s="1520">
        <v>46278.186840277776</v>
      </c>
      <c r="N715" t="s">
        <v>2434</v>
      </c>
      <c r="O715" s="1520">
        <v>46290</v>
      </c>
      <c r="P715" s="1520">
        <v>46286.186840277776</v>
      </c>
    </row>
    <row r="716" spans="1:16">
      <c r="A716" t="s">
        <v>5468</v>
      </c>
      <c r="B716" t="s">
        <v>144</v>
      </c>
      <c r="C716" t="s">
        <v>145</v>
      </c>
      <c r="D716" t="s">
        <v>4540</v>
      </c>
      <c r="E716" t="s">
        <v>706</v>
      </c>
      <c r="F716" t="s">
        <v>707</v>
      </c>
      <c r="G716">
        <v>864</v>
      </c>
      <c r="H716" t="s">
        <v>75</v>
      </c>
      <c r="I716" t="s">
        <v>5470</v>
      </c>
      <c r="J716" s="1520">
        <v>46222</v>
      </c>
      <c r="K716" s="1520">
        <v>46272</v>
      </c>
      <c r="L716" s="1520">
        <v>46278.083333333336</v>
      </c>
      <c r="M716" s="1520">
        <v>46278.186840277776</v>
      </c>
      <c r="N716" t="s">
        <v>973</v>
      </c>
      <c r="O716" s="1520">
        <v>46272</v>
      </c>
      <c r="P716" s="1520">
        <v>46278.186840277776</v>
      </c>
    </row>
    <row r="717" spans="1:16">
      <c r="A717" t="s">
        <v>5463</v>
      </c>
      <c r="B717" t="s">
        <v>144</v>
      </c>
      <c r="C717" t="s">
        <v>145</v>
      </c>
      <c r="D717" t="s">
        <v>4540</v>
      </c>
      <c r="E717" t="s">
        <v>706</v>
      </c>
      <c r="F717" t="s">
        <v>707</v>
      </c>
      <c r="G717">
        <v>2592</v>
      </c>
      <c r="H717" t="s">
        <v>75</v>
      </c>
      <c r="I717" t="s">
        <v>5465</v>
      </c>
      <c r="J717" s="1520">
        <v>46222</v>
      </c>
      <c r="K717" s="1520">
        <v>46272</v>
      </c>
      <c r="L717" s="1520">
        <v>46278.083333333336</v>
      </c>
      <c r="M717" s="1520">
        <v>46278.186840277776</v>
      </c>
      <c r="N717" t="s">
        <v>973</v>
      </c>
      <c r="O717" s="1520">
        <v>46272</v>
      </c>
      <c r="P717" s="1520">
        <v>46278.186840277776</v>
      </c>
    </row>
    <row r="718" spans="1:16">
      <c r="A718" t="s">
        <v>5459</v>
      </c>
      <c r="B718" t="s">
        <v>64</v>
      </c>
      <c r="C718" t="s">
        <v>65</v>
      </c>
      <c r="D718" t="s">
        <v>4540</v>
      </c>
      <c r="E718" t="s">
        <v>706</v>
      </c>
      <c r="F718" t="s">
        <v>707</v>
      </c>
      <c r="G718">
        <v>864</v>
      </c>
      <c r="H718" t="s">
        <v>75</v>
      </c>
      <c r="I718" t="s">
        <v>5460</v>
      </c>
      <c r="J718" s="1520">
        <v>46222</v>
      </c>
      <c r="K718" s="1520">
        <v>46272</v>
      </c>
      <c r="L718" s="1520">
        <v>46278.083333333336</v>
      </c>
      <c r="M718" s="1520">
        <v>46278.186840277776</v>
      </c>
      <c r="N718" t="s">
        <v>2434</v>
      </c>
      <c r="O718" s="1520">
        <v>46290</v>
      </c>
      <c r="P718" s="1520">
        <v>46286.186840277776</v>
      </c>
    </row>
    <row r="719" spans="1:16">
      <c r="A719" t="s">
        <v>5445</v>
      </c>
      <c r="B719" t="s">
        <v>64</v>
      </c>
      <c r="C719" t="s">
        <v>100</v>
      </c>
      <c r="D719" t="s">
        <v>4540</v>
      </c>
      <c r="E719" t="s">
        <v>1151</v>
      </c>
      <c r="F719" t="s">
        <v>421</v>
      </c>
      <c r="G719">
        <v>5184</v>
      </c>
      <c r="H719" t="s">
        <v>75</v>
      </c>
      <c r="I719" t="s">
        <v>5446</v>
      </c>
      <c r="J719" s="1520">
        <v>46221</v>
      </c>
      <c r="K719" s="1520">
        <v>46263</v>
      </c>
      <c r="L719" s="1520"/>
      <c r="M719" s="1520">
        <v>46267</v>
      </c>
      <c r="N719" t="s">
        <v>2434</v>
      </c>
      <c r="O719" s="1520">
        <v>46279</v>
      </c>
      <c r="P719" s="1520">
        <v>46274</v>
      </c>
    </row>
    <row r="720" spans="1:16">
      <c r="A720" t="s">
        <v>5439</v>
      </c>
      <c r="B720" t="s">
        <v>64</v>
      </c>
      <c r="C720" t="s">
        <v>100</v>
      </c>
      <c r="D720" t="s">
        <v>4540</v>
      </c>
      <c r="E720" t="s">
        <v>1151</v>
      </c>
      <c r="F720" t="s">
        <v>421</v>
      </c>
      <c r="G720">
        <v>2592</v>
      </c>
      <c r="H720" t="s">
        <v>75</v>
      </c>
      <c r="I720" t="s">
        <v>5440</v>
      </c>
      <c r="J720" s="1520">
        <v>46221</v>
      </c>
      <c r="K720" s="1520">
        <v>46263</v>
      </c>
      <c r="L720" s="1520"/>
      <c r="M720" s="1520">
        <v>46267</v>
      </c>
      <c r="N720" t="s">
        <v>2434</v>
      </c>
      <c r="O720" s="1520">
        <v>46279</v>
      </c>
      <c r="P720" s="1520">
        <v>46274</v>
      </c>
    </row>
    <row r="721" spans="1:16">
      <c r="A721" t="s">
        <v>5433</v>
      </c>
      <c r="B721" t="s">
        <v>64</v>
      </c>
      <c r="C721" t="s">
        <v>100</v>
      </c>
      <c r="D721" t="s">
        <v>4540</v>
      </c>
      <c r="E721" t="s">
        <v>1151</v>
      </c>
      <c r="F721" t="s">
        <v>421</v>
      </c>
      <c r="G721">
        <v>4320</v>
      </c>
      <c r="H721" t="s">
        <v>75</v>
      </c>
      <c r="I721" t="s">
        <v>5434</v>
      </c>
      <c r="J721" s="1520">
        <v>46221</v>
      </c>
      <c r="K721" s="1520">
        <v>46263</v>
      </c>
      <c r="L721" s="1520"/>
      <c r="M721" s="1520">
        <v>46267</v>
      </c>
      <c r="N721" t="s">
        <v>2434</v>
      </c>
      <c r="O721" s="1520">
        <v>46279</v>
      </c>
      <c r="P721" s="1520">
        <v>46274</v>
      </c>
    </row>
    <row r="722" spans="1:16">
      <c r="A722" t="s">
        <v>5589</v>
      </c>
      <c r="B722" t="s">
        <v>64</v>
      </c>
      <c r="C722" t="s">
        <v>100</v>
      </c>
      <c r="D722" t="s">
        <v>4540</v>
      </c>
      <c r="E722" t="s">
        <v>195</v>
      </c>
      <c r="F722" t="s">
        <v>196</v>
      </c>
      <c r="G722">
        <v>936</v>
      </c>
      <c r="H722" t="s">
        <v>75</v>
      </c>
      <c r="I722" t="s">
        <v>5590</v>
      </c>
      <c r="J722" s="1520">
        <v>46222</v>
      </c>
      <c r="K722" s="1520">
        <v>46266</v>
      </c>
      <c r="L722" s="1520">
        <v>46270.645833333336</v>
      </c>
      <c r="M722" s="1520">
        <v>46270.66238425926</v>
      </c>
      <c r="N722" t="s">
        <v>2434</v>
      </c>
      <c r="O722" s="1520">
        <v>46283</v>
      </c>
      <c r="P722" s="1520">
        <v>46277.66238425926</v>
      </c>
    </row>
    <row r="723" spans="1:16">
      <c r="A723" t="s">
        <v>5585</v>
      </c>
      <c r="B723" t="s">
        <v>64</v>
      </c>
      <c r="C723" t="s">
        <v>100</v>
      </c>
      <c r="D723" t="s">
        <v>4540</v>
      </c>
      <c r="E723" t="s">
        <v>195</v>
      </c>
      <c r="F723" t="s">
        <v>196</v>
      </c>
      <c r="G723">
        <v>2808</v>
      </c>
      <c r="H723" t="s">
        <v>75</v>
      </c>
      <c r="I723" t="s">
        <v>5586</v>
      </c>
      <c r="J723" s="1520">
        <v>46222</v>
      </c>
      <c r="K723" s="1520">
        <v>46266</v>
      </c>
      <c r="L723" s="1520">
        <v>46270.645833333336</v>
      </c>
      <c r="M723" s="1520">
        <v>46270.66238425926</v>
      </c>
      <c r="N723" t="s">
        <v>2434</v>
      </c>
      <c r="O723" s="1520">
        <v>46283</v>
      </c>
      <c r="P723" s="1520">
        <v>46277.66238425926</v>
      </c>
    </row>
    <row r="724" spans="1:16">
      <c r="A724" t="s">
        <v>5524</v>
      </c>
      <c r="B724" t="s">
        <v>64</v>
      </c>
      <c r="C724" t="s">
        <v>100</v>
      </c>
      <c r="D724" t="s">
        <v>4540</v>
      </c>
      <c r="E724" t="s">
        <v>5099</v>
      </c>
      <c r="F724" t="s">
        <v>330</v>
      </c>
      <c r="G724">
        <v>720</v>
      </c>
      <c r="H724" t="s">
        <v>75</v>
      </c>
      <c r="I724" t="s">
        <v>5525</v>
      </c>
      <c r="J724" s="1520">
        <v>46223</v>
      </c>
      <c r="K724" s="1520">
        <v>46260</v>
      </c>
      <c r="L724" s="1520">
        <v>46270.833333333336</v>
      </c>
      <c r="M724" s="1520">
        <v>46270.874618055554</v>
      </c>
      <c r="N724" t="s">
        <v>2434</v>
      </c>
      <c r="O724" s="1520">
        <v>46282</v>
      </c>
      <c r="P724" s="1520">
        <v>46277.874618055554</v>
      </c>
    </row>
    <row r="725" spans="1:16">
      <c r="A725" t="s">
        <v>5518</v>
      </c>
      <c r="B725" t="s">
        <v>64</v>
      </c>
      <c r="C725" t="s">
        <v>100</v>
      </c>
      <c r="D725" t="s">
        <v>4540</v>
      </c>
      <c r="E725" t="s">
        <v>5099</v>
      </c>
      <c r="F725" t="s">
        <v>330</v>
      </c>
      <c r="G725">
        <v>2880</v>
      </c>
      <c r="H725" t="s">
        <v>75</v>
      </c>
      <c r="I725" t="s">
        <v>5520</v>
      </c>
      <c r="J725" s="1520">
        <v>46223</v>
      </c>
      <c r="K725" s="1520">
        <v>46260</v>
      </c>
      <c r="L725" s="1520">
        <v>46270.833333333336</v>
      </c>
      <c r="M725" s="1520">
        <v>46270.874618055554</v>
      </c>
      <c r="N725" t="s">
        <v>2434</v>
      </c>
      <c r="O725" s="1520">
        <v>46282</v>
      </c>
      <c r="P725" s="1520">
        <v>46277.874618055554</v>
      </c>
    </row>
    <row r="726" spans="1:16">
      <c r="A726" t="s">
        <v>5453</v>
      </c>
      <c r="B726" t="s">
        <v>64</v>
      </c>
      <c r="C726" t="s">
        <v>65</v>
      </c>
      <c r="D726" t="s">
        <v>5388</v>
      </c>
      <c r="E726" t="s">
        <v>5409</v>
      </c>
      <c r="F726" t="s">
        <v>5410</v>
      </c>
      <c r="G726">
        <v>936</v>
      </c>
      <c r="H726" t="s">
        <v>75</v>
      </c>
      <c r="I726" t="s">
        <v>5454</v>
      </c>
      <c r="J726" s="1520">
        <v>46222</v>
      </c>
      <c r="K726" s="1520">
        <v>46272</v>
      </c>
      <c r="L726" s="1520">
        <v>46278.083333333336</v>
      </c>
      <c r="M726" s="1520">
        <v>46278.186840277776</v>
      </c>
      <c r="N726" t="s">
        <v>2434</v>
      </c>
      <c r="O726" s="1520">
        <v>46290</v>
      </c>
      <c r="P726" s="1520">
        <v>46286.186840277776</v>
      </c>
    </row>
    <row r="727" spans="1:16">
      <c r="A727" t="s">
        <v>5447</v>
      </c>
      <c r="B727" t="s">
        <v>64</v>
      </c>
      <c r="C727" t="s">
        <v>65</v>
      </c>
      <c r="D727" t="s">
        <v>5388</v>
      </c>
      <c r="E727" t="s">
        <v>5409</v>
      </c>
      <c r="F727" t="s">
        <v>5410</v>
      </c>
      <c r="G727">
        <v>4680</v>
      </c>
      <c r="H727" t="s">
        <v>75</v>
      </c>
      <c r="I727" t="s">
        <v>5449</v>
      </c>
      <c r="J727" s="1520">
        <v>46222</v>
      </c>
      <c r="K727" s="1520">
        <v>46272</v>
      </c>
      <c r="L727" s="1520">
        <v>46278.083333333336</v>
      </c>
      <c r="M727" s="1520">
        <v>46278.186840277776</v>
      </c>
      <c r="N727" t="s">
        <v>2434</v>
      </c>
      <c r="O727" s="1520">
        <v>46290</v>
      </c>
      <c r="P727" s="1520">
        <v>46286.186840277776</v>
      </c>
    </row>
    <row r="728" spans="1:16">
      <c r="A728" t="s">
        <v>5509</v>
      </c>
      <c r="B728" t="s">
        <v>64</v>
      </c>
      <c r="C728" t="s">
        <v>450</v>
      </c>
      <c r="D728" t="s">
        <v>5388</v>
      </c>
      <c r="E728" t="s">
        <v>5389</v>
      </c>
      <c r="F728" t="s">
        <v>5390</v>
      </c>
      <c r="G728">
        <v>1872</v>
      </c>
      <c r="H728" t="s">
        <v>75</v>
      </c>
      <c r="I728" t="s">
        <v>5510</v>
      </c>
      <c r="J728" s="1520">
        <v>46224</v>
      </c>
      <c r="K728" s="1520">
        <v>46264</v>
      </c>
      <c r="L728" s="1520">
        <v>46274.999305555553</v>
      </c>
      <c r="M728" s="1520">
        <v>46275.009525462963</v>
      </c>
      <c r="N728" t="s">
        <v>2434</v>
      </c>
      <c r="O728" s="1520">
        <v>46288</v>
      </c>
      <c r="P728" s="1520">
        <v>46282.009525462963</v>
      </c>
    </row>
    <row r="729" spans="1:16">
      <c r="A729" t="s">
        <v>5591</v>
      </c>
      <c r="B729" t="s">
        <v>64</v>
      </c>
      <c r="C729" t="s">
        <v>310</v>
      </c>
      <c r="D729" t="s">
        <v>284</v>
      </c>
      <c r="E729" t="s">
        <v>5592</v>
      </c>
      <c r="F729" t="s">
        <v>1570</v>
      </c>
      <c r="G729">
        <v>720</v>
      </c>
      <c r="H729" t="s">
        <v>75</v>
      </c>
      <c r="I729" t="s">
        <v>5593</v>
      </c>
      <c r="J729" s="1520">
        <v>46222.458333333336</v>
      </c>
      <c r="K729" s="1520">
        <v>46271</v>
      </c>
      <c r="L729" s="1520">
        <v>46299.875</v>
      </c>
      <c r="M729" s="1520">
        <v>46299</v>
      </c>
      <c r="N729" t="s">
        <v>2434</v>
      </c>
      <c r="O729" s="1520">
        <v>46304</v>
      </c>
      <c r="P729" s="1520">
        <v>46309</v>
      </c>
    </row>
    <row r="730" spans="1:16">
      <c r="A730" t="s">
        <v>5504</v>
      </c>
      <c r="B730" t="s">
        <v>64</v>
      </c>
      <c r="C730" t="s">
        <v>310</v>
      </c>
      <c r="D730" t="s">
        <v>284</v>
      </c>
      <c r="E730" t="s">
        <v>5505</v>
      </c>
      <c r="F730" t="s">
        <v>5355</v>
      </c>
      <c r="G730">
        <v>720</v>
      </c>
      <c r="H730" t="s">
        <v>75</v>
      </c>
      <c r="I730" t="s">
        <v>5507</v>
      </c>
      <c r="J730" s="1520">
        <v>46218</v>
      </c>
      <c r="K730" s="1520">
        <v>46278</v>
      </c>
      <c r="L730" s="1520">
        <v>46313.875</v>
      </c>
      <c r="M730" s="1520">
        <v>46313.624143518522</v>
      </c>
      <c r="N730" t="s">
        <v>2434</v>
      </c>
      <c r="O730" s="1520">
        <v>46290</v>
      </c>
      <c r="P730" s="1520">
        <v>46323.624143518522</v>
      </c>
    </row>
    <row r="731" spans="1:16">
      <c r="A731" t="s">
        <v>4836</v>
      </c>
      <c r="B731" t="s">
        <v>64</v>
      </c>
      <c r="C731" t="s">
        <v>114</v>
      </c>
      <c r="D731" t="s">
        <v>4495</v>
      </c>
      <c r="E731" t="s">
        <v>4529</v>
      </c>
      <c r="F731" t="s">
        <v>4530</v>
      </c>
      <c r="G731">
        <v>2160</v>
      </c>
      <c r="H731" t="s">
        <v>75</v>
      </c>
      <c r="I731" t="s">
        <v>4839</v>
      </c>
      <c r="J731" s="1520">
        <v>46185</v>
      </c>
      <c r="K731" s="1520">
        <v>46240</v>
      </c>
      <c r="L731" s="1520"/>
      <c r="M731" s="1520">
        <v>46250.44736111111</v>
      </c>
      <c r="N731" t="s">
        <v>973</v>
      </c>
      <c r="O731" s="1520">
        <v>46265</v>
      </c>
      <c r="P731" s="1520">
        <v>46259.44736111111</v>
      </c>
    </row>
    <row r="732" spans="1:16">
      <c r="A732" t="s">
        <v>5026</v>
      </c>
      <c r="B732" t="s">
        <v>64</v>
      </c>
      <c r="C732" t="s">
        <v>114</v>
      </c>
      <c r="D732" t="s">
        <v>4540</v>
      </c>
      <c r="E732" t="s">
        <v>1151</v>
      </c>
      <c r="F732" t="s">
        <v>421</v>
      </c>
      <c r="G732">
        <v>864</v>
      </c>
      <c r="H732" t="s">
        <v>75</v>
      </c>
      <c r="I732" t="s">
        <v>5028</v>
      </c>
      <c r="J732" s="1520">
        <v>46193</v>
      </c>
      <c r="K732" s="1520">
        <v>46249</v>
      </c>
      <c r="L732" s="1520">
        <v>46258.375</v>
      </c>
      <c r="M732" s="1520">
        <v>46258.289537037039</v>
      </c>
      <c r="N732" t="s">
        <v>973</v>
      </c>
      <c r="O732" s="1520">
        <v>46272</v>
      </c>
      <c r="P732" s="1520">
        <v>46267.289537037039</v>
      </c>
    </row>
    <row r="733" spans="1:16">
      <c r="A733" t="s">
        <v>5031</v>
      </c>
      <c r="B733" t="s">
        <v>64</v>
      </c>
      <c r="C733" t="s">
        <v>114</v>
      </c>
      <c r="D733" t="s">
        <v>4540</v>
      </c>
      <c r="E733" t="s">
        <v>1151</v>
      </c>
      <c r="F733" t="s">
        <v>421</v>
      </c>
      <c r="G733">
        <v>864</v>
      </c>
      <c r="H733" t="s">
        <v>75</v>
      </c>
      <c r="I733" t="s">
        <v>5032</v>
      </c>
      <c r="J733" s="1520">
        <v>46193</v>
      </c>
      <c r="K733" s="1520">
        <v>46255</v>
      </c>
      <c r="L733" s="1520">
        <v>46275.083333333336</v>
      </c>
      <c r="M733" s="1520">
        <v>46275.045995370368</v>
      </c>
      <c r="N733" t="s">
        <v>2434</v>
      </c>
      <c r="O733" s="1520">
        <v>46283</v>
      </c>
      <c r="P733" s="1520">
        <v>46284.045995370368</v>
      </c>
    </row>
    <row r="734" spans="1:16">
      <c r="A734" t="s">
        <v>5400</v>
      </c>
      <c r="B734" t="s">
        <v>144</v>
      </c>
      <c r="C734" t="s">
        <v>145</v>
      </c>
      <c r="D734" t="s">
        <v>4540</v>
      </c>
      <c r="E734" t="s">
        <v>4601</v>
      </c>
      <c r="F734" t="s">
        <v>330</v>
      </c>
      <c r="G734">
        <v>3600</v>
      </c>
      <c r="H734" t="s">
        <v>75</v>
      </c>
      <c r="I734" t="s">
        <v>5404</v>
      </c>
      <c r="J734" s="1520">
        <v>46228</v>
      </c>
      <c r="K734" s="1520">
        <v>46256</v>
      </c>
      <c r="L734" s="1520">
        <v>46266</v>
      </c>
      <c r="M734" s="1520">
        <v>46265.971226851849</v>
      </c>
      <c r="N734" t="s">
        <v>973</v>
      </c>
      <c r="O734" s="1520">
        <v>46262</v>
      </c>
      <c r="P734" s="1520">
        <v>46265.971226851849</v>
      </c>
    </row>
    <row r="735" spans="1:16">
      <c r="A735" t="s">
        <v>5557</v>
      </c>
      <c r="B735" t="s">
        <v>144</v>
      </c>
      <c r="C735" t="s">
        <v>145</v>
      </c>
      <c r="D735" t="s">
        <v>5345</v>
      </c>
      <c r="E735" t="s">
        <v>5346</v>
      </c>
      <c r="F735" t="s">
        <v>5347</v>
      </c>
      <c r="G735">
        <v>720</v>
      </c>
      <c r="H735" t="s">
        <v>75</v>
      </c>
      <c r="I735" t="s">
        <v>5559</v>
      </c>
      <c r="J735" s="1520">
        <v>46229</v>
      </c>
      <c r="K735" s="1520">
        <v>46268</v>
      </c>
      <c r="L735" s="1520">
        <v>46280.541666666664</v>
      </c>
      <c r="M735" s="1520">
        <v>46280.541666666664</v>
      </c>
      <c r="N735" t="s">
        <v>973</v>
      </c>
      <c r="O735" s="1520">
        <v>46268</v>
      </c>
      <c r="P735" s="1520">
        <v>46280.541666666664</v>
      </c>
    </row>
    <row r="736" spans="1:16">
      <c r="A736" t="s">
        <v>5563</v>
      </c>
      <c r="B736" t="s">
        <v>144</v>
      </c>
      <c r="C736" t="s">
        <v>145</v>
      </c>
      <c r="D736" t="s">
        <v>5345</v>
      </c>
      <c r="E736" t="s">
        <v>5564</v>
      </c>
      <c r="F736" t="s">
        <v>5565</v>
      </c>
      <c r="G736">
        <v>720</v>
      </c>
      <c r="H736" t="s">
        <v>75</v>
      </c>
      <c r="I736" t="s">
        <v>5566</v>
      </c>
      <c r="J736" s="1520">
        <v>46229</v>
      </c>
      <c r="K736" s="1520">
        <v>46268</v>
      </c>
      <c r="L736" s="1520">
        <v>46280.541666666664</v>
      </c>
      <c r="M736" s="1520">
        <v>46280.541666666664</v>
      </c>
      <c r="N736" t="s">
        <v>973</v>
      </c>
      <c r="O736" s="1520">
        <v>46268</v>
      </c>
      <c r="P736" s="1520">
        <v>46280.541666666664</v>
      </c>
    </row>
    <row r="737" spans="1:16">
      <c r="A737" t="s">
        <v>5407</v>
      </c>
      <c r="B737" t="s">
        <v>144</v>
      </c>
      <c r="C737" t="s">
        <v>145</v>
      </c>
      <c r="D737" t="s">
        <v>5388</v>
      </c>
      <c r="E737" t="s">
        <v>5409</v>
      </c>
      <c r="F737" t="s">
        <v>5410</v>
      </c>
      <c r="G737">
        <v>3744</v>
      </c>
      <c r="H737" t="s">
        <v>75</v>
      </c>
      <c r="I737" t="s">
        <v>5412</v>
      </c>
      <c r="J737" s="1520">
        <v>46228</v>
      </c>
      <c r="K737" s="1520">
        <v>46256</v>
      </c>
      <c r="L737" s="1520">
        <v>46266</v>
      </c>
      <c r="M737" s="1520">
        <v>46265.971226851849</v>
      </c>
      <c r="N737" t="s">
        <v>973</v>
      </c>
      <c r="O737" s="1520">
        <v>46262</v>
      </c>
      <c r="P737" s="1520">
        <v>46265.971226851849</v>
      </c>
    </row>
    <row r="738" spans="1:16">
      <c r="A738" t="s">
        <v>4969</v>
      </c>
      <c r="B738" t="s">
        <v>64</v>
      </c>
      <c r="C738" t="s">
        <v>65</v>
      </c>
      <c r="D738" t="s">
        <v>4540</v>
      </c>
      <c r="E738" t="s">
        <v>71</v>
      </c>
      <c r="F738" t="s">
        <v>72</v>
      </c>
      <c r="G738">
        <v>3456</v>
      </c>
      <c r="H738" t="s">
        <v>75</v>
      </c>
      <c r="I738" t="s">
        <v>4971</v>
      </c>
      <c r="J738" s="1520">
        <v>46189</v>
      </c>
      <c r="K738" s="1520">
        <v>46231</v>
      </c>
      <c r="L738" s="1520">
        <v>46234</v>
      </c>
      <c r="M738" s="1520">
        <v>46235.175381944442</v>
      </c>
      <c r="N738" t="s">
        <v>973</v>
      </c>
      <c r="O738" s="1520">
        <v>46246</v>
      </c>
      <c r="P738" s="1520">
        <v>46243.175381944442</v>
      </c>
    </row>
    <row r="739" spans="1:16">
      <c r="A739" t="s">
        <v>4972</v>
      </c>
      <c r="B739" t="s">
        <v>144</v>
      </c>
      <c r="C739" t="s">
        <v>145</v>
      </c>
      <c r="D739" t="s">
        <v>4540</v>
      </c>
      <c r="E739" t="s">
        <v>71</v>
      </c>
      <c r="F739" t="s">
        <v>72</v>
      </c>
      <c r="G739">
        <v>864</v>
      </c>
      <c r="H739" t="s">
        <v>75</v>
      </c>
      <c r="I739" t="s">
        <v>4977</v>
      </c>
      <c r="J739" s="1520">
        <v>46189</v>
      </c>
      <c r="K739" s="1520">
        <v>46231</v>
      </c>
      <c r="L739" s="1520">
        <v>46234</v>
      </c>
      <c r="M739" s="1520">
        <v>46235.175381944442</v>
      </c>
      <c r="N739" t="s">
        <v>973</v>
      </c>
      <c r="O739" s="1520">
        <v>46246</v>
      </c>
      <c r="P739" s="1520">
        <v>46235.175381944442</v>
      </c>
    </row>
    <row r="740" spans="1:16">
      <c r="A740" t="s">
        <v>4853</v>
      </c>
      <c r="B740" t="s">
        <v>64</v>
      </c>
      <c r="C740" t="s">
        <v>114</v>
      </c>
      <c r="D740" t="s">
        <v>132</v>
      </c>
      <c r="E740" t="s">
        <v>1062</v>
      </c>
      <c r="F740" t="s">
        <v>1063</v>
      </c>
      <c r="G740">
        <v>3456</v>
      </c>
      <c r="H740" t="s">
        <v>75</v>
      </c>
      <c r="I740" t="s">
        <v>4854</v>
      </c>
      <c r="J740" s="1520">
        <v>46182</v>
      </c>
      <c r="K740" s="1520">
        <v>46218</v>
      </c>
      <c r="L740" s="1520">
        <v>46220</v>
      </c>
      <c r="M740" s="1520">
        <v>46221</v>
      </c>
      <c r="N740" t="s">
        <v>973</v>
      </c>
      <c r="O740" s="1520">
        <v>46238</v>
      </c>
      <c r="P740" s="1520">
        <v>46230</v>
      </c>
    </row>
    <row r="741" spans="1:16">
      <c r="A741" t="s">
        <v>5663</v>
      </c>
      <c r="B741" t="s">
        <v>64</v>
      </c>
      <c r="C741" t="s">
        <v>450</v>
      </c>
      <c r="D741" t="s">
        <v>4540</v>
      </c>
      <c r="E741" t="s">
        <v>195</v>
      </c>
      <c r="F741" t="s">
        <v>196</v>
      </c>
      <c r="G741">
        <v>936</v>
      </c>
      <c r="H741" t="s">
        <v>75</v>
      </c>
      <c r="I741" t="s">
        <v>5665</v>
      </c>
      <c r="J741" s="1520">
        <v>46229</v>
      </c>
      <c r="K741" s="1520">
        <v>46278</v>
      </c>
      <c r="L741" s="1520">
        <v>46290.041666666664</v>
      </c>
      <c r="M741" s="1520">
        <v>46290.087800925925</v>
      </c>
      <c r="N741" t="s">
        <v>2434</v>
      </c>
      <c r="O741" s="1520">
        <v>46668</v>
      </c>
      <c r="P741" s="1520">
        <v>46297.087800925925</v>
      </c>
    </row>
    <row r="742" spans="1:16">
      <c r="A742" t="s">
        <v>5548</v>
      </c>
      <c r="B742" t="s">
        <v>64</v>
      </c>
      <c r="C742" t="s">
        <v>65</v>
      </c>
      <c r="D742" t="s">
        <v>4540</v>
      </c>
      <c r="E742" t="s">
        <v>691</v>
      </c>
      <c r="F742" t="s">
        <v>692</v>
      </c>
      <c r="G742">
        <v>2592</v>
      </c>
      <c r="H742" t="s">
        <v>75</v>
      </c>
      <c r="I742" t="s">
        <v>5550</v>
      </c>
      <c r="J742" s="1520">
        <v>46230</v>
      </c>
      <c r="K742" s="1520">
        <v>46279</v>
      </c>
      <c r="L742" s="1520">
        <v>46285.041666666664</v>
      </c>
      <c r="M742" s="1520">
        <v>46284.921701388892</v>
      </c>
      <c r="N742" t="s">
        <v>2434</v>
      </c>
      <c r="O742" s="1520">
        <v>46297</v>
      </c>
      <c r="P742" s="1520">
        <v>46292.921701388892</v>
      </c>
    </row>
    <row r="743" spans="1:16">
      <c r="A743" t="s">
        <v>5531</v>
      </c>
      <c r="B743" t="s">
        <v>64</v>
      </c>
      <c r="C743" t="s">
        <v>65</v>
      </c>
      <c r="D743" t="s">
        <v>4540</v>
      </c>
      <c r="E743" t="s">
        <v>1151</v>
      </c>
      <c r="F743" t="s">
        <v>421</v>
      </c>
      <c r="G743">
        <v>4320</v>
      </c>
      <c r="H743" t="s">
        <v>75</v>
      </c>
      <c r="I743" t="s">
        <v>5533</v>
      </c>
      <c r="J743" s="1520">
        <v>46230</v>
      </c>
      <c r="K743" s="1520">
        <v>46279</v>
      </c>
      <c r="L743" s="1520">
        <v>46285.041666666664</v>
      </c>
      <c r="M743" s="1520">
        <v>46284.921701388892</v>
      </c>
      <c r="N743" t="s">
        <v>2434</v>
      </c>
      <c r="O743" s="1520">
        <v>46297</v>
      </c>
      <c r="P743" s="1520">
        <v>46292.921701388892</v>
      </c>
    </row>
    <row r="744" spans="1:16">
      <c r="A744" t="s">
        <v>5631</v>
      </c>
      <c r="B744" t="s">
        <v>64</v>
      </c>
      <c r="C744" t="s">
        <v>100</v>
      </c>
      <c r="D744" t="s">
        <v>4540</v>
      </c>
      <c r="E744" t="s">
        <v>1151</v>
      </c>
      <c r="F744" t="s">
        <v>421</v>
      </c>
      <c r="G744">
        <v>1728</v>
      </c>
      <c r="H744" t="s">
        <v>75</v>
      </c>
      <c r="I744" t="s">
        <v>5632</v>
      </c>
      <c r="J744" s="1520">
        <v>46225</v>
      </c>
      <c r="K744" s="1520">
        <v>46260</v>
      </c>
      <c r="L744" s="1520">
        <v>46275.083333333336</v>
      </c>
      <c r="M744" s="1520">
        <v>46275.088877314818</v>
      </c>
      <c r="N744" t="s">
        <v>2434</v>
      </c>
      <c r="O744" s="1520">
        <v>46286</v>
      </c>
      <c r="P744" s="1520">
        <v>46282.088877314818</v>
      </c>
    </row>
    <row r="745" spans="1:16">
      <c r="A745" t="s">
        <v>5622</v>
      </c>
      <c r="B745" t="s">
        <v>64</v>
      </c>
      <c r="C745" t="s">
        <v>450</v>
      </c>
      <c r="D745" t="s">
        <v>4540</v>
      </c>
      <c r="E745" t="s">
        <v>1151</v>
      </c>
      <c r="F745" t="s">
        <v>421</v>
      </c>
      <c r="G745">
        <v>1728</v>
      </c>
      <c r="H745" t="s">
        <v>75</v>
      </c>
      <c r="I745" t="s">
        <v>5624</v>
      </c>
      <c r="J745" s="1520">
        <v>46225</v>
      </c>
      <c r="K745" s="1520">
        <v>46260</v>
      </c>
      <c r="L745" s="1520">
        <v>46274.999305555553</v>
      </c>
      <c r="M745" s="1520">
        <v>46275.009525462963</v>
      </c>
      <c r="N745" t="s">
        <v>2434</v>
      </c>
      <c r="O745" s="1520">
        <v>46288</v>
      </c>
      <c r="P745" s="1520">
        <v>46282.009525462963</v>
      </c>
    </row>
    <row r="746" spans="1:16">
      <c r="A746" t="s">
        <v>5603</v>
      </c>
      <c r="B746" t="s">
        <v>64</v>
      </c>
      <c r="C746" t="s">
        <v>100</v>
      </c>
      <c r="D746" t="s">
        <v>4540</v>
      </c>
      <c r="E746" t="s">
        <v>1151</v>
      </c>
      <c r="F746" t="s">
        <v>421</v>
      </c>
      <c r="G746">
        <v>3456</v>
      </c>
      <c r="H746" t="s">
        <v>75</v>
      </c>
      <c r="I746" t="s">
        <v>5604</v>
      </c>
      <c r="J746" s="1520">
        <v>46232</v>
      </c>
      <c r="K746" s="1520">
        <v>46277</v>
      </c>
      <c r="L746" s="1520">
        <v>46266</v>
      </c>
      <c r="M746" s="1520">
        <v>46265</v>
      </c>
      <c r="N746" t="s">
        <v>2434</v>
      </c>
      <c r="O746" s="1520">
        <v>46279</v>
      </c>
      <c r="P746" s="1520">
        <v>46272</v>
      </c>
    </row>
    <row r="747" spans="1:16">
      <c r="A747" t="s">
        <v>5601</v>
      </c>
      <c r="B747" t="s">
        <v>64</v>
      </c>
      <c r="C747" t="s">
        <v>100</v>
      </c>
      <c r="D747" t="s">
        <v>4540</v>
      </c>
      <c r="E747" t="s">
        <v>1151</v>
      </c>
      <c r="F747" t="s">
        <v>421</v>
      </c>
      <c r="G747">
        <v>1728</v>
      </c>
      <c r="H747" t="s">
        <v>75</v>
      </c>
      <c r="I747" t="s">
        <v>5602</v>
      </c>
      <c r="J747" s="1520">
        <v>46232</v>
      </c>
      <c r="K747" s="1520">
        <v>46277</v>
      </c>
      <c r="L747" s="1520">
        <v>46266</v>
      </c>
      <c r="M747" s="1520">
        <v>46265</v>
      </c>
      <c r="N747" t="s">
        <v>2434</v>
      </c>
      <c r="O747" s="1520">
        <v>46279</v>
      </c>
      <c r="P747" s="1520">
        <v>46272</v>
      </c>
    </row>
    <row r="748" spans="1:16">
      <c r="A748" t="s">
        <v>5596</v>
      </c>
      <c r="B748" t="s">
        <v>64</v>
      </c>
      <c r="C748" t="s">
        <v>100</v>
      </c>
      <c r="D748" t="s">
        <v>4540</v>
      </c>
      <c r="E748" t="s">
        <v>1151</v>
      </c>
      <c r="F748" t="s">
        <v>421</v>
      </c>
      <c r="G748">
        <v>1728</v>
      </c>
      <c r="H748" t="s">
        <v>75</v>
      </c>
      <c r="I748" t="s">
        <v>5597</v>
      </c>
      <c r="J748" s="1520">
        <v>46232</v>
      </c>
      <c r="K748" s="1520">
        <v>46277</v>
      </c>
      <c r="L748" s="1520">
        <v>46266</v>
      </c>
      <c r="M748" s="1520">
        <v>46265</v>
      </c>
      <c r="N748" t="s">
        <v>2434</v>
      </c>
      <c r="O748" s="1520">
        <v>46279</v>
      </c>
      <c r="P748" s="1520">
        <v>46272</v>
      </c>
    </row>
    <row r="749" spans="1:16">
      <c r="A749" t="s">
        <v>5539</v>
      </c>
      <c r="B749" t="s">
        <v>64</v>
      </c>
      <c r="C749" t="s">
        <v>65</v>
      </c>
      <c r="D749" t="s">
        <v>4540</v>
      </c>
      <c r="E749" t="s">
        <v>1151</v>
      </c>
      <c r="F749" t="s">
        <v>421</v>
      </c>
      <c r="G749">
        <v>1728</v>
      </c>
      <c r="H749" t="s">
        <v>75</v>
      </c>
      <c r="I749" t="s">
        <v>5540</v>
      </c>
      <c r="J749" s="1520">
        <v>46230</v>
      </c>
      <c r="K749" s="1520">
        <v>46279</v>
      </c>
      <c r="L749" s="1520">
        <v>46285.041666666664</v>
      </c>
      <c r="M749" s="1520">
        <v>46284.921701388892</v>
      </c>
      <c r="N749" t="s">
        <v>2434</v>
      </c>
      <c r="O749" s="1520">
        <v>46297</v>
      </c>
      <c r="P749" s="1520">
        <v>46292.921701388892</v>
      </c>
    </row>
    <row r="750" spans="1:16">
      <c r="A750" t="s">
        <v>5514</v>
      </c>
      <c r="B750" t="s">
        <v>64</v>
      </c>
      <c r="C750" t="s">
        <v>450</v>
      </c>
      <c r="D750" t="s">
        <v>4540</v>
      </c>
      <c r="E750" t="s">
        <v>1151</v>
      </c>
      <c r="F750" t="s">
        <v>421</v>
      </c>
      <c r="G750">
        <v>2592</v>
      </c>
      <c r="H750" t="s">
        <v>75</v>
      </c>
      <c r="I750" t="s">
        <v>5515</v>
      </c>
      <c r="J750" s="1520">
        <v>46224</v>
      </c>
      <c r="K750" s="1520">
        <v>46264</v>
      </c>
      <c r="L750" s="1520">
        <v>46274.999305555553</v>
      </c>
      <c r="M750" s="1520">
        <v>46275.009525462963</v>
      </c>
      <c r="N750" t="s">
        <v>2434</v>
      </c>
      <c r="O750" s="1520">
        <v>46288</v>
      </c>
      <c r="P750" s="1520">
        <v>46282.009525462963</v>
      </c>
    </row>
    <row r="751" spans="1:16">
      <c r="A751" t="s">
        <v>5636</v>
      </c>
      <c r="B751" t="s">
        <v>64</v>
      </c>
      <c r="C751" t="s">
        <v>100</v>
      </c>
      <c r="D751" t="s">
        <v>4540</v>
      </c>
      <c r="E751" t="s">
        <v>71</v>
      </c>
      <c r="F751" t="s">
        <v>72</v>
      </c>
      <c r="G751">
        <v>864</v>
      </c>
      <c r="H751" t="s">
        <v>75</v>
      </c>
      <c r="I751" t="s">
        <v>5637</v>
      </c>
      <c r="J751" s="1520">
        <v>46225</v>
      </c>
      <c r="K751" s="1520">
        <v>46260</v>
      </c>
      <c r="L751" s="1520">
        <v>46275.083333333336</v>
      </c>
      <c r="M751" s="1520">
        <v>46275.088877314818</v>
      </c>
      <c r="N751" t="s">
        <v>2434</v>
      </c>
      <c r="O751" s="1520">
        <v>46286</v>
      </c>
      <c r="P751" s="1520">
        <v>46282.088877314818</v>
      </c>
    </row>
    <row r="752" spans="1:16">
      <c r="A752" t="s">
        <v>5627</v>
      </c>
      <c r="B752" t="s">
        <v>64</v>
      </c>
      <c r="C752" t="s">
        <v>100</v>
      </c>
      <c r="D752" t="s">
        <v>4540</v>
      </c>
      <c r="E752" t="s">
        <v>71</v>
      </c>
      <c r="F752" t="s">
        <v>72</v>
      </c>
      <c r="G752">
        <v>4320</v>
      </c>
      <c r="H752" t="s">
        <v>75</v>
      </c>
      <c r="I752" t="s">
        <v>5628</v>
      </c>
      <c r="J752" s="1520">
        <v>46231</v>
      </c>
      <c r="K752" s="1520">
        <v>46266</v>
      </c>
      <c r="L752" s="1520">
        <v>46270.645833333336</v>
      </c>
      <c r="M752" s="1520">
        <v>46270.66238425926</v>
      </c>
      <c r="N752" t="s">
        <v>2434</v>
      </c>
      <c r="O752" s="1520">
        <v>46283</v>
      </c>
      <c r="P752" s="1520">
        <v>46277.66238425926</v>
      </c>
    </row>
    <row r="753" spans="1:16">
      <c r="A753" t="s">
        <v>5672</v>
      </c>
      <c r="B753" t="s">
        <v>64</v>
      </c>
      <c r="C753" t="s">
        <v>100</v>
      </c>
      <c r="D753" t="s">
        <v>70</v>
      </c>
      <c r="E753" t="s">
        <v>195</v>
      </c>
      <c r="F753" t="s">
        <v>196</v>
      </c>
      <c r="G753">
        <v>936</v>
      </c>
      <c r="H753" t="s">
        <v>75</v>
      </c>
      <c r="I753" t="s">
        <v>5673</v>
      </c>
      <c r="J753" s="1520">
        <v>46229</v>
      </c>
      <c r="K753" s="1520">
        <v>46271</v>
      </c>
      <c r="L753" s="1520">
        <v>46279.958333333336</v>
      </c>
      <c r="M753" s="1520">
        <v>46279</v>
      </c>
      <c r="N753" t="s">
        <v>2434</v>
      </c>
      <c r="O753" s="1520">
        <v>46293</v>
      </c>
      <c r="P753" s="1520">
        <v>46286</v>
      </c>
    </row>
    <row r="754" spans="1:16">
      <c r="A754" t="s">
        <v>5653</v>
      </c>
      <c r="B754" t="s">
        <v>64</v>
      </c>
      <c r="C754" t="s">
        <v>65</v>
      </c>
      <c r="D754" t="s">
        <v>4540</v>
      </c>
      <c r="E754" t="s">
        <v>71</v>
      </c>
      <c r="F754" t="s">
        <v>72</v>
      </c>
      <c r="G754">
        <v>864</v>
      </c>
      <c r="H754" t="s">
        <v>75</v>
      </c>
      <c r="I754" t="s">
        <v>5654</v>
      </c>
      <c r="J754" s="1520">
        <v>46227</v>
      </c>
      <c r="K754" s="1520">
        <v>46272</v>
      </c>
      <c r="L754" s="1520">
        <v>46296.916666666664</v>
      </c>
      <c r="M754" s="1520">
        <v>46296</v>
      </c>
      <c r="N754" t="s">
        <v>2434</v>
      </c>
      <c r="O754" s="1520">
        <v>46293</v>
      </c>
      <c r="P754" s="1520">
        <v>46304</v>
      </c>
    </row>
    <row r="755" spans="1:16">
      <c r="A755" t="s">
        <v>5537</v>
      </c>
      <c r="B755" t="s">
        <v>64</v>
      </c>
      <c r="C755" t="s">
        <v>65</v>
      </c>
      <c r="D755" t="s">
        <v>4540</v>
      </c>
      <c r="E755" t="s">
        <v>71</v>
      </c>
      <c r="F755" t="s">
        <v>72</v>
      </c>
      <c r="G755">
        <v>1728</v>
      </c>
      <c r="H755" t="s">
        <v>75</v>
      </c>
      <c r="I755" t="s">
        <v>5538</v>
      </c>
      <c r="J755" s="1520">
        <v>46230</v>
      </c>
      <c r="K755" s="1520">
        <v>46279</v>
      </c>
      <c r="L755" s="1520">
        <v>46285.041666666664</v>
      </c>
      <c r="M755" s="1520">
        <v>46284.921701388892</v>
      </c>
      <c r="N755" t="s">
        <v>2434</v>
      </c>
      <c r="O755" s="1520">
        <v>46297</v>
      </c>
      <c r="P755" s="1520">
        <v>46292.921701388892</v>
      </c>
    </row>
    <row r="756" spans="1:16">
      <c r="A756" t="s">
        <v>5394</v>
      </c>
      <c r="B756" t="s">
        <v>64</v>
      </c>
      <c r="C756" t="s">
        <v>100</v>
      </c>
      <c r="D756" t="s">
        <v>4540</v>
      </c>
      <c r="E756" t="s">
        <v>5099</v>
      </c>
      <c r="F756" t="s">
        <v>330</v>
      </c>
      <c r="G756">
        <v>7920</v>
      </c>
      <c r="H756" t="s">
        <v>75</v>
      </c>
      <c r="I756" t="s">
        <v>5396</v>
      </c>
      <c r="J756" s="1520">
        <v>46228</v>
      </c>
      <c r="K756" s="1520">
        <v>46256</v>
      </c>
      <c r="L756" s="1520">
        <v>46266</v>
      </c>
      <c r="M756" s="1520">
        <v>46265.971226851849</v>
      </c>
      <c r="N756" t="s">
        <v>2434</v>
      </c>
      <c r="O756" s="1520">
        <v>46279</v>
      </c>
      <c r="P756" s="1520">
        <v>46272.971226851849</v>
      </c>
    </row>
    <row r="757" spans="1:16">
      <c r="A757" t="s">
        <v>5541</v>
      </c>
      <c r="B757" t="s">
        <v>64</v>
      </c>
      <c r="C757" t="s">
        <v>65</v>
      </c>
      <c r="D757" t="s">
        <v>4540</v>
      </c>
      <c r="E757" t="s">
        <v>5111</v>
      </c>
      <c r="F757" t="s">
        <v>103</v>
      </c>
      <c r="G757">
        <v>720</v>
      </c>
      <c r="H757" t="s">
        <v>75</v>
      </c>
      <c r="I757" t="s">
        <v>5543</v>
      </c>
      <c r="J757" s="1520">
        <v>46230</v>
      </c>
      <c r="K757" s="1520">
        <v>46279</v>
      </c>
      <c r="L757" s="1520">
        <v>46285.041666666664</v>
      </c>
      <c r="M757" s="1520">
        <v>46284.921701388892</v>
      </c>
      <c r="N757" t="s">
        <v>2434</v>
      </c>
      <c r="O757" s="1520">
        <v>46297</v>
      </c>
      <c r="P757" s="1520">
        <v>46292.921701388892</v>
      </c>
    </row>
    <row r="758" spans="1:16">
      <c r="A758" t="s">
        <v>5546</v>
      </c>
      <c r="B758" t="s">
        <v>64</v>
      </c>
      <c r="C758" t="s">
        <v>65</v>
      </c>
      <c r="D758" t="s">
        <v>4540</v>
      </c>
      <c r="E758" t="s">
        <v>1461</v>
      </c>
      <c r="F758" t="s">
        <v>103</v>
      </c>
      <c r="G758">
        <v>720</v>
      </c>
      <c r="H758" t="s">
        <v>75</v>
      </c>
      <c r="I758" t="s">
        <v>5547</v>
      </c>
      <c r="J758" s="1520">
        <v>46230</v>
      </c>
      <c r="K758" s="1520">
        <v>46279</v>
      </c>
      <c r="L758" s="1520">
        <v>46285.041666666664</v>
      </c>
      <c r="M758" s="1520">
        <v>46284.921701388892</v>
      </c>
      <c r="N758" t="s">
        <v>2434</v>
      </c>
      <c r="O758" s="1520">
        <v>46297</v>
      </c>
      <c r="P758" s="1520">
        <v>46292.921701388892</v>
      </c>
    </row>
    <row r="759" spans="1:16">
      <c r="A759" t="s">
        <v>5617</v>
      </c>
      <c r="B759" t="s">
        <v>64</v>
      </c>
      <c r="C759" t="s">
        <v>65</v>
      </c>
      <c r="D759" t="s">
        <v>550</v>
      </c>
      <c r="E759" t="s">
        <v>551</v>
      </c>
      <c r="F759" t="s">
        <v>2151</v>
      </c>
      <c r="G759">
        <v>2376</v>
      </c>
      <c r="H759" t="s">
        <v>75</v>
      </c>
      <c r="I759" t="s">
        <v>5618</v>
      </c>
      <c r="J759" s="1520">
        <v>46231</v>
      </c>
      <c r="K759" s="1520">
        <v>46274</v>
      </c>
      <c r="L759" s="1520">
        <v>46272.833333333336</v>
      </c>
      <c r="M759" s="1520">
        <v>46272.833333333336</v>
      </c>
      <c r="N759" t="s">
        <v>2434</v>
      </c>
      <c r="O759" s="1520">
        <v>46282</v>
      </c>
      <c r="P759" s="1520">
        <v>46280.833333333336</v>
      </c>
    </row>
    <row r="760" spans="1:16">
      <c r="A760" t="s">
        <v>5668</v>
      </c>
      <c r="B760" t="s">
        <v>64</v>
      </c>
      <c r="C760" t="s">
        <v>100</v>
      </c>
      <c r="D760" t="s">
        <v>284</v>
      </c>
      <c r="E760" t="s">
        <v>5592</v>
      </c>
      <c r="F760" t="s">
        <v>1570</v>
      </c>
      <c r="G760">
        <v>5040</v>
      </c>
      <c r="H760" t="s">
        <v>75</v>
      </c>
      <c r="I760" t="s">
        <v>5669</v>
      </c>
      <c r="J760" s="1520">
        <v>46229</v>
      </c>
      <c r="K760" s="1520">
        <v>46271</v>
      </c>
      <c r="L760" s="1520">
        <v>46279.958333333336</v>
      </c>
      <c r="M760" s="1520">
        <v>46279</v>
      </c>
      <c r="N760" t="s">
        <v>2434</v>
      </c>
      <c r="O760" s="1520">
        <v>46293</v>
      </c>
      <c r="P760" s="1520">
        <v>46286</v>
      </c>
    </row>
    <row r="761" spans="1:16">
      <c r="A761" t="s">
        <v>5567</v>
      </c>
      <c r="B761" t="s">
        <v>64</v>
      </c>
      <c r="C761" t="s">
        <v>114</v>
      </c>
      <c r="D761" t="s">
        <v>550</v>
      </c>
      <c r="E761" t="s">
        <v>2134</v>
      </c>
      <c r="F761" t="s">
        <v>2135</v>
      </c>
      <c r="G761">
        <v>144</v>
      </c>
      <c r="H761" t="s">
        <v>75</v>
      </c>
      <c r="I761" t="s">
        <v>5569</v>
      </c>
      <c r="J761" s="1520">
        <v>46229</v>
      </c>
      <c r="K761" s="1520">
        <v>46268</v>
      </c>
      <c r="L761" s="1520">
        <v>46280.541666666664</v>
      </c>
      <c r="M761" s="1520">
        <v>46280.541666666664</v>
      </c>
      <c r="N761" t="s">
        <v>2434</v>
      </c>
      <c r="O761" s="1520">
        <v>46294</v>
      </c>
      <c r="P761" s="1520">
        <v>46289.541666666664</v>
      </c>
    </row>
    <row r="762" spans="1:16">
      <c r="A762" t="s">
        <v>5572</v>
      </c>
      <c r="B762" t="s">
        <v>64</v>
      </c>
      <c r="C762" t="s">
        <v>114</v>
      </c>
      <c r="D762" t="s">
        <v>550</v>
      </c>
      <c r="E762" t="s">
        <v>2134</v>
      </c>
      <c r="F762" t="s">
        <v>2135</v>
      </c>
      <c r="G762">
        <v>2232</v>
      </c>
      <c r="H762" t="s">
        <v>75</v>
      </c>
      <c r="I762" t="s">
        <v>5573</v>
      </c>
      <c r="J762" s="1520">
        <v>46229</v>
      </c>
      <c r="K762" s="1520">
        <v>46268</v>
      </c>
      <c r="L762" s="1520">
        <v>46280.541666666664</v>
      </c>
      <c r="M762" s="1520">
        <v>46280.541666666664</v>
      </c>
      <c r="N762" t="s">
        <v>2434</v>
      </c>
      <c r="O762" s="1520">
        <v>46294</v>
      </c>
      <c r="P762" s="1520">
        <v>46289.541666666664</v>
      </c>
    </row>
    <row r="763" spans="1:16">
      <c r="A763" t="s">
        <v>5613</v>
      </c>
      <c r="B763" t="s">
        <v>144</v>
      </c>
      <c r="C763" t="s">
        <v>145</v>
      </c>
      <c r="D763" t="s">
        <v>4540</v>
      </c>
      <c r="E763" t="s">
        <v>4601</v>
      </c>
      <c r="F763" t="s">
        <v>330</v>
      </c>
      <c r="G763">
        <v>3600</v>
      </c>
      <c r="H763" t="s">
        <v>75</v>
      </c>
      <c r="I763" t="s">
        <v>5614</v>
      </c>
      <c r="J763" s="1520">
        <v>46234</v>
      </c>
      <c r="K763" s="1520">
        <v>46277</v>
      </c>
      <c r="L763" s="1520">
        <v>46279.083333333336</v>
      </c>
      <c r="M763" s="1520">
        <v>46279.139525462961</v>
      </c>
      <c r="N763" t="s">
        <v>973</v>
      </c>
      <c r="O763" s="1520">
        <v>46276</v>
      </c>
      <c r="P763" s="1520">
        <v>46279.139525462961</v>
      </c>
    </row>
    <row r="764" spans="1:16">
      <c r="A764" t="s">
        <v>5638</v>
      </c>
      <c r="B764" t="s">
        <v>64</v>
      </c>
      <c r="C764" t="s">
        <v>65</v>
      </c>
      <c r="D764" t="s">
        <v>4540</v>
      </c>
      <c r="E764" t="s">
        <v>71</v>
      </c>
      <c r="F764" t="s">
        <v>72</v>
      </c>
      <c r="G764">
        <v>864</v>
      </c>
      <c r="H764" t="s">
        <v>75</v>
      </c>
      <c r="I764" t="s">
        <v>5640</v>
      </c>
      <c r="J764" s="1520">
        <v>46233</v>
      </c>
      <c r="K764" s="1520">
        <v>46274</v>
      </c>
      <c r="L764" s="1520">
        <v>46276.625</v>
      </c>
      <c r="M764" s="1520">
        <v>46276.681458333333</v>
      </c>
      <c r="N764" t="s">
        <v>2434</v>
      </c>
      <c r="O764" s="1520">
        <v>46288</v>
      </c>
      <c r="P764" s="1520">
        <v>46284.681458333333</v>
      </c>
    </row>
    <row r="765" spans="1:16">
      <c r="A765" t="s">
        <v>5710</v>
      </c>
      <c r="B765" t="s">
        <v>144</v>
      </c>
      <c r="C765" t="s">
        <v>145</v>
      </c>
      <c r="D765" t="s">
        <v>4540</v>
      </c>
      <c r="E765" t="s">
        <v>5050</v>
      </c>
      <c r="F765" t="s">
        <v>1807</v>
      </c>
      <c r="G765">
        <v>2970</v>
      </c>
      <c r="H765" t="s">
        <v>75</v>
      </c>
      <c r="I765" t="s">
        <v>5711</v>
      </c>
      <c r="J765" s="1520">
        <v>46235</v>
      </c>
      <c r="K765" s="1520">
        <v>46277</v>
      </c>
      <c r="L765" s="1520">
        <v>46285</v>
      </c>
      <c r="M765" s="1520">
        <v>46285</v>
      </c>
      <c r="N765" t="s">
        <v>973</v>
      </c>
      <c r="O765" s="1520">
        <v>46277</v>
      </c>
      <c r="P765" s="1520">
        <v>46285</v>
      </c>
    </row>
    <row r="766" spans="1:16">
      <c r="A766" t="s">
        <v>5703</v>
      </c>
      <c r="B766" t="s">
        <v>144</v>
      </c>
      <c r="C766" t="s">
        <v>145</v>
      </c>
      <c r="D766" t="s">
        <v>4540</v>
      </c>
      <c r="E766" t="s">
        <v>5066</v>
      </c>
      <c r="F766" t="s">
        <v>1484</v>
      </c>
      <c r="G766">
        <v>2376</v>
      </c>
      <c r="H766" t="s">
        <v>75</v>
      </c>
      <c r="I766" t="s">
        <v>5704</v>
      </c>
      <c r="J766" s="1520">
        <v>46235</v>
      </c>
      <c r="K766" s="1520">
        <v>46277</v>
      </c>
      <c r="L766" s="1520">
        <v>46285</v>
      </c>
      <c r="M766" s="1520">
        <v>46285</v>
      </c>
      <c r="N766" t="s">
        <v>973</v>
      </c>
      <c r="O766" s="1520">
        <v>46277</v>
      </c>
      <c r="P766" s="1520">
        <v>46285</v>
      </c>
    </row>
    <row r="767" spans="1:16">
      <c r="A767" t="s">
        <v>5708</v>
      </c>
      <c r="B767" t="s">
        <v>144</v>
      </c>
      <c r="C767" t="s">
        <v>145</v>
      </c>
      <c r="D767" t="s">
        <v>4540</v>
      </c>
      <c r="E767" t="s">
        <v>5066</v>
      </c>
      <c r="F767" t="s">
        <v>1484</v>
      </c>
      <c r="G767">
        <v>3564</v>
      </c>
      <c r="H767" t="s">
        <v>75</v>
      </c>
      <c r="I767" t="s">
        <v>5709</v>
      </c>
      <c r="J767" s="1520">
        <v>46235</v>
      </c>
      <c r="K767" s="1520">
        <v>46277</v>
      </c>
      <c r="L767" s="1520">
        <v>46285</v>
      </c>
      <c r="M767" s="1520">
        <v>46285</v>
      </c>
      <c r="N767" t="s">
        <v>973</v>
      </c>
      <c r="O767" s="1520">
        <v>46276</v>
      </c>
      <c r="P767" s="1520">
        <v>46285</v>
      </c>
    </row>
    <row r="768" spans="1:16">
      <c r="A768" t="s">
        <v>5821</v>
      </c>
      <c r="B768" t="s">
        <v>64</v>
      </c>
      <c r="C768" t="s">
        <v>100</v>
      </c>
      <c r="D768" t="s">
        <v>284</v>
      </c>
      <c r="E768" t="s">
        <v>5592</v>
      </c>
      <c r="F768" t="s">
        <v>1570</v>
      </c>
      <c r="G768">
        <v>3600</v>
      </c>
      <c r="H768" t="s">
        <v>75</v>
      </c>
      <c r="I768" t="s">
        <v>5822</v>
      </c>
      <c r="J768" s="1520">
        <v>46242</v>
      </c>
      <c r="K768" s="1520">
        <v>46284</v>
      </c>
      <c r="L768" s="1520">
        <v>46308</v>
      </c>
      <c r="M768" s="1520">
        <v>46308</v>
      </c>
      <c r="N768" t="s">
        <v>2434</v>
      </c>
      <c r="O768" s="1520">
        <v>46293</v>
      </c>
      <c r="P768" s="1520">
        <v>46315</v>
      </c>
    </row>
    <row r="769" spans="1:16">
      <c r="A769" t="s">
        <v>5816</v>
      </c>
      <c r="B769" t="s">
        <v>64</v>
      </c>
      <c r="C769" t="s">
        <v>100</v>
      </c>
      <c r="D769" t="s">
        <v>4540</v>
      </c>
      <c r="E769" t="s">
        <v>195</v>
      </c>
      <c r="F769" t="s">
        <v>196</v>
      </c>
      <c r="G769">
        <v>5616</v>
      </c>
      <c r="H769" t="s">
        <v>75</v>
      </c>
      <c r="I769" t="s">
        <v>5817</v>
      </c>
      <c r="J769" s="1520">
        <v>46242</v>
      </c>
      <c r="K769" s="1520">
        <v>46284</v>
      </c>
      <c r="L769" s="1520">
        <v>46308</v>
      </c>
      <c r="M769" s="1520">
        <v>46308</v>
      </c>
      <c r="N769" t="s">
        <v>2434</v>
      </c>
      <c r="O769" s="1520">
        <v>46293</v>
      </c>
      <c r="P769" s="1520">
        <v>46315</v>
      </c>
    </row>
    <row r="770" spans="1:16">
      <c r="A770" t="s">
        <v>5716</v>
      </c>
      <c r="B770" t="s">
        <v>144</v>
      </c>
      <c r="C770" t="s">
        <v>145</v>
      </c>
      <c r="D770" t="s">
        <v>5388</v>
      </c>
      <c r="E770" t="s">
        <v>5409</v>
      </c>
      <c r="F770" t="s">
        <v>5410</v>
      </c>
      <c r="G770">
        <v>3744</v>
      </c>
      <c r="H770" t="s">
        <v>75</v>
      </c>
      <c r="I770" t="s">
        <v>5717</v>
      </c>
      <c r="J770" s="1520">
        <v>46239</v>
      </c>
      <c r="K770" s="1520">
        <v>46274</v>
      </c>
      <c r="L770" s="1520">
        <v>46279.958333333336</v>
      </c>
      <c r="M770" s="1520">
        <v>46279.935393518521</v>
      </c>
      <c r="N770" t="s">
        <v>973</v>
      </c>
      <c r="O770" s="1520">
        <v>46274</v>
      </c>
      <c r="P770" s="1520">
        <v>46279.935393518521</v>
      </c>
    </row>
    <row r="771" spans="1:16">
      <c r="A771" t="s">
        <v>5800</v>
      </c>
      <c r="B771" t="s">
        <v>144</v>
      </c>
      <c r="C771" t="s">
        <v>145</v>
      </c>
      <c r="D771" t="s">
        <v>70</v>
      </c>
      <c r="E771" t="s">
        <v>965</v>
      </c>
      <c r="F771" t="s">
        <v>966</v>
      </c>
      <c r="G771">
        <v>1872</v>
      </c>
      <c r="H771" t="s">
        <v>75</v>
      </c>
      <c r="I771" t="s">
        <v>5802</v>
      </c>
      <c r="J771" s="1520">
        <v>46239</v>
      </c>
      <c r="K771" s="1520">
        <v>46294</v>
      </c>
      <c r="L771" s="1520">
        <v>46317</v>
      </c>
      <c r="M771" s="1520">
        <v>46318</v>
      </c>
      <c r="N771" t="s">
        <v>973</v>
      </c>
      <c r="O771" s="1520">
        <v>46294</v>
      </c>
      <c r="P771" s="1520">
        <v>46318</v>
      </c>
    </row>
    <row r="772" spans="1:16">
      <c r="A772" t="s">
        <v>5791</v>
      </c>
      <c r="B772" t="s">
        <v>144</v>
      </c>
      <c r="C772" t="s">
        <v>145</v>
      </c>
      <c r="D772" t="s">
        <v>4540</v>
      </c>
      <c r="E772" t="s">
        <v>965</v>
      </c>
      <c r="F772" t="s">
        <v>966</v>
      </c>
      <c r="G772">
        <v>1872</v>
      </c>
      <c r="H772" t="s">
        <v>951</v>
      </c>
      <c r="I772" t="s">
        <v>5795</v>
      </c>
      <c r="J772" s="1520">
        <v>46240</v>
      </c>
      <c r="K772" s="1520">
        <v>46307</v>
      </c>
      <c r="L772" s="1520">
        <v>46332</v>
      </c>
      <c r="M772" s="1520"/>
      <c r="N772" t="s">
        <v>973</v>
      </c>
      <c r="O772" s="1520">
        <v>46307</v>
      </c>
      <c r="P772" s="1520">
        <v>46332</v>
      </c>
    </row>
    <row r="773" spans="1:16">
      <c r="A773" t="s">
        <v>5699</v>
      </c>
      <c r="B773" t="s">
        <v>64</v>
      </c>
      <c r="C773" t="s">
        <v>100</v>
      </c>
      <c r="D773" t="s">
        <v>550</v>
      </c>
      <c r="E773" t="s">
        <v>2134</v>
      </c>
      <c r="F773" t="s">
        <v>2135</v>
      </c>
      <c r="G773">
        <v>1584</v>
      </c>
      <c r="H773" t="s">
        <v>75</v>
      </c>
      <c r="I773" t="s">
        <v>5700</v>
      </c>
      <c r="J773" s="1520">
        <v>46235</v>
      </c>
      <c r="K773" s="1520">
        <v>46277</v>
      </c>
      <c r="L773" s="1520">
        <v>46285</v>
      </c>
      <c r="M773" s="1520">
        <v>46285</v>
      </c>
      <c r="N773" t="s">
        <v>2434</v>
      </c>
      <c r="O773" s="1520">
        <v>46283</v>
      </c>
      <c r="P773" s="1520">
        <v>46292</v>
      </c>
    </row>
    <row r="774" spans="1:16">
      <c r="A774" t="s">
        <v>5526</v>
      </c>
      <c r="B774" t="s">
        <v>64</v>
      </c>
      <c r="C774" t="s">
        <v>310</v>
      </c>
      <c r="D774" t="s">
        <v>550</v>
      </c>
      <c r="E774" t="s">
        <v>2134</v>
      </c>
      <c r="F774" t="s">
        <v>2135</v>
      </c>
      <c r="G774">
        <v>2376</v>
      </c>
      <c r="H774" t="s">
        <v>75</v>
      </c>
      <c r="I774" t="s">
        <v>5527</v>
      </c>
      <c r="J774" s="1520">
        <v>46230</v>
      </c>
      <c r="K774" s="1520">
        <v>46274</v>
      </c>
      <c r="L774" s="1520">
        <v>46288.666666666664</v>
      </c>
      <c r="M774" s="1520">
        <v>46288.792233796295</v>
      </c>
      <c r="N774" t="s">
        <v>2434</v>
      </c>
      <c r="O774" s="1520">
        <v>46293</v>
      </c>
      <c r="P774" s="1520">
        <v>46298.792233796295</v>
      </c>
    </row>
    <row r="775" spans="1:16">
      <c r="A775" t="s">
        <v>5687</v>
      </c>
      <c r="B775" t="s">
        <v>64</v>
      </c>
      <c r="C775" t="s">
        <v>100</v>
      </c>
      <c r="D775" t="s">
        <v>132</v>
      </c>
      <c r="E775" t="s">
        <v>1062</v>
      </c>
      <c r="F775" t="s">
        <v>1063</v>
      </c>
      <c r="G775">
        <v>4320</v>
      </c>
      <c r="H775" t="s">
        <v>75</v>
      </c>
      <c r="I775" t="s">
        <v>5688</v>
      </c>
      <c r="J775" s="1520">
        <v>46235</v>
      </c>
      <c r="K775" s="1520">
        <v>46277</v>
      </c>
      <c r="L775" s="1520">
        <v>46285</v>
      </c>
      <c r="M775" s="1520">
        <v>46285</v>
      </c>
      <c r="N775" t="s">
        <v>2434</v>
      </c>
      <c r="O775" s="1520">
        <v>46290</v>
      </c>
      <c r="P775" s="1520">
        <v>46292</v>
      </c>
    </row>
    <row r="776" spans="1:16">
      <c r="A776" t="s">
        <v>5685</v>
      </c>
      <c r="B776" t="s">
        <v>64</v>
      </c>
      <c r="C776" t="s">
        <v>450</v>
      </c>
      <c r="D776" t="s">
        <v>550</v>
      </c>
      <c r="E776" t="s">
        <v>2134</v>
      </c>
      <c r="F776" t="s">
        <v>2135</v>
      </c>
      <c r="G776">
        <v>792</v>
      </c>
      <c r="H776" t="s">
        <v>75</v>
      </c>
      <c r="I776" t="s">
        <v>5686</v>
      </c>
      <c r="J776" s="1520">
        <v>46239</v>
      </c>
      <c r="K776" s="1520">
        <v>46278</v>
      </c>
      <c r="L776" s="1520">
        <v>46286.270833333336</v>
      </c>
      <c r="M776" s="1520">
        <v>46286.275081018517</v>
      </c>
      <c r="N776" t="s">
        <v>2434</v>
      </c>
      <c r="O776" s="1520">
        <v>46288</v>
      </c>
      <c r="P776" s="1520">
        <v>46293.275081018517</v>
      </c>
    </row>
    <row r="777" spans="1:16">
      <c r="A777" t="s">
        <v>5701</v>
      </c>
      <c r="B777" t="s">
        <v>64</v>
      </c>
      <c r="C777" t="s">
        <v>100</v>
      </c>
      <c r="D777" t="s">
        <v>132</v>
      </c>
      <c r="E777" t="s">
        <v>1062</v>
      </c>
      <c r="F777" t="s">
        <v>1063</v>
      </c>
      <c r="G777">
        <v>2592</v>
      </c>
      <c r="H777" t="s">
        <v>75</v>
      </c>
      <c r="I777" t="s">
        <v>5702</v>
      </c>
      <c r="J777" s="1520">
        <v>46235</v>
      </c>
      <c r="K777" s="1520">
        <v>46277</v>
      </c>
      <c r="L777" s="1520">
        <v>46285</v>
      </c>
      <c r="M777" s="1520">
        <v>46285</v>
      </c>
      <c r="N777" t="s">
        <v>2434</v>
      </c>
      <c r="O777" s="1520">
        <v>46290</v>
      </c>
      <c r="P777" s="1520">
        <v>46292</v>
      </c>
    </row>
    <row r="778" spans="1:16">
      <c r="A778" t="s">
        <v>5730</v>
      </c>
      <c r="B778" t="s">
        <v>64</v>
      </c>
      <c r="C778" t="s">
        <v>100</v>
      </c>
      <c r="D778" t="s">
        <v>132</v>
      </c>
      <c r="E778" t="s">
        <v>1062</v>
      </c>
      <c r="F778" t="s">
        <v>1063</v>
      </c>
      <c r="G778">
        <v>2592</v>
      </c>
      <c r="H778" t="s">
        <v>75</v>
      </c>
      <c r="I778" t="s">
        <v>5731</v>
      </c>
      <c r="J778" s="1520">
        <v>46237</v>
      </c>
      <c r="K778" s="1520">
        <v>46274</v>
      </c>
      <c r="L778" s="1520">
        <v>46283.875</v>
      </c>
      <c r="M778" s="1520">
        <v>46283.912627314814</v>
      </c>
      <c r="N778" t="s">
        <v>2434</v>
      </c>
      <c r="O778" s="1520">
        <v>46296</v>
      </c>
      <c r="P778" s="1520">
        <v>46290.912627314814</v>
      </c>
    </row>
    <row r="779" spans="1:16">
      <c r="A779" t="s">
        <v>5681</v>
      </c>
      <c r="B779" t="s">
        <v>64</v>
      </c>
      <c r="C779" t="s">
        <v>450</v>
      </c>
      <c r="D779" t="s">
        <v>550</v>
      </c>
      <c r="E779" t="s">
        <v>2134</v>
      </c>
      <c r="F779" t="s">
        <v>2135</v>
      </c>
      <c r="G779">
        <v>792</v>
      </c>
      <c r="H779" t="s">
        <v>75</v>
      </c>
      <c r="I779" t="s">
        <v>5682</v>
      </c>
      <c r="J779" s="1520">
        <v>46239</v>
      </c>
      <c r="K779" s="1520">
        <v>46278</v>
      </c>
      <c r="L779" s="1520">
        <v>46286.270833333336</v>
      </c>
      <c r="M779" s="1520">
        <v>46286.275081018517</v>
      </c>
      <c r="N779" t="s">
        <v>2434</v>
      </c>
      <c r="O779" s="1520">
        <v>46288</v>
      </c>
      <c r="P779" s="1520">
        <v>46293.275081018517</v>
      </c>
    </row>
    <row r="780" spans="1:16">
      <c r="A780" t="s">
        <v>5812</v>
      </c>
      <c r="B780" t="s">
        <v>64</v>
      </c>
      <c r="C780" t="s">
        <v>450</v>
      </c>
      <c r="D780" t="s">
        <v>4540</v>
      </c>
      <c r="E780" t="s">
        <v>1151</v>
      </c>
      <c r="F780" t="s">
        <v>421</v>
      </c>
      <c r="G780">
        <v>864</v>
      </c>
      <c r="H780" t="s">
        <v>75</v>
      </c>
      <c r="I780" t="s">
        <v>5813</v>
      </c>
      <c r="J780" s="1520">
        <v>46237</v>
      </c>
      <c r="K780" s="1520">
        <v>46292</v>
      </c>
      <c r="L780" s="1520">
        <v>46299.166666666664</v>
      </c>
      <c r="M780" s="1520">
        <v>46299</v>
      </c>
      <c r="N780" t="s">
        <v>2434</v>
      </c>
      <c r="O780" s="1520">
        <v>46308</v>
      </c>
      <c r="P780" s="1520">
        <v>46306</v>
      </c>
    </row>
    <row r="781" spans="1:16">
      <c r="A781" t="s">
        <v>5769</v>
      </c>
      <c r="B781" t="s">
        <v>64</v>
      </c>
      <c r="C781" t="s">
        <v>100</v>
      </c>
      <c r="D781" t="s">
        <v>4540</v>
      </c>
      <c r="E781" t="s">
        <v>1151</v>
      </c>
      <c r="F781" t="s">
        <v>421</v>
      </c>
      <c r="G781">
        <v>4320</v>
      </c>
      <c r="H781" t="s">
        <v>75</v>
      </c>
      <c r="I781" t="s">
        <v>5770</v>
      </c>
      <c r="J781" s="1520">
        <v>46238</v>
      </c>
      <c r="K781" s="1520">
        <v>46274</v>
      </c>
      <c r="L781" s="1520">
        <v>46279.958333333336</v>
      </c>
      <c r="M781" s="1520">
        <v>46279.958333333336</v>
      </c>
      <c r="N781" t="s">
        <v>2434</v>
      </c>
      <c r="O781" s="1520">
        <v>46293</v>
      </c>
      <c r="P781" s="1520">
        <v>46286.958333333336</v>
      </c>
    </row>
    <row r="782" spans="1:16">
      <c r="A782" t="s">
        <v>5823</v>
      </c>
      <c r="B782" t="s">
        <v>64</v>
      </c>
      <c r="C782" t="s">
        <v>100</v>
      </c>
      <c r="D782" t="s">
        <v>70</v>
      </c>
      <c r="E782" t="s">
        <v>195</v>
      </c>
      <c r="F782" t="s">
        <v>196</v>
      </c>
      <c r="G782">
        <v>1872</v>
      </c>
      <c r="H782" t="s">
        <v>75</v>
      </c>
      <c r="I782" t="s">
        <v>5824</v>
      </c>
      <c r="J782" s="1520">
        <v>46235</v>
      </c>
      <c r="K782" s="1520">
        <v>46281</v>
      </c>
      <c r="L782" s="1520">
        <v>46284.875</v>
      </c>
      <c r="M782" s="1520">
        <v>46285.134953703702</v>
      </c>
      <c r="N782" t="s">
        <v>2434</v>
      </c>
      <c r="O782" s="1520">
        <v>46300</v>
      </c>
      <c r="P782" s="1520">
        <v>46292.134953703702</v>
      </c>
    </row>
    <row r="783" spans="1:16">
      <c r="A783" t="s">
        <v>5807</v>
      </c>
      <c r="B783" t="s">
        <v>64</v>
      </c>
      <c r="C783" t="s">
        <v>450</v>
      </c>
      <c r="D783" t="s">
        <v>4540</v>
      </c>
      <c r="E783" t="s">
        <v>195</v>
      </c>
      <c r="F783" t="s">
        <v>196</v>
      </c>
      <c r="G783">
        <v>936</v>
      </c>
      <c r="H783" t="s">
        <v>75</v>
      </c>
      <c r="I783" t="s">
        <v>5808</v>
      </c>
      <c r="J783" s="1520">
        <v>46236</v>
      </c>
      <c r="K783" s="1520">
        <v>46285</v>
      </c>
      <c r="L783" s="1520">
        <v>46299.166666666664</v>
      </c>
      <c r="M783" s="1520">
        <v>46299</v>
      </c>
      <c r="N783" t="s">
        <v>2434</v>
      </c>
      <c r="O783" s="1520">
        <v>46308</v>
      </c>
      <c r="P783" s="1520">
        <v>46306</v>
      </c>
    </row>
    <row r="784" spans="1:16">
      <c r="A784" t="s">
        <v>5921</v>
      </c>
      <c r="B784" t="s">
        <v>144</v>
      </c>
      <c r="C784" t="s">
        <v>145</v>
      </c>
      <c r="D784" t="s">
        <v>4540</v>
      </c>
      <c r="E784" t="s">
        <v>4601</v>
      </c>
      <c r="F784" t="s">
        <v>330</v>
      </c>
      <c r="G784">
        <v>720</v>
      </c>
      <c r="H784" t="s">
        <v>75</v>
      </c>
      <c r="I784" t="s">
        <v>5922</v>
      </c>
      <c r="J784" s="1520">
        <v>46237</v>
      </c>
      <c r="K784" s="1520">
        <v>46274</v>
      </c>
      <c r="L784" s="1520">
        <v>46284</v>
      </c>
      <c r="M784" s="1520">
        <v>46287</v>
      </c>
      <c r="N784" t="s">
        <v>973</v>
      </c>
      <c r="O784" s="1520">
        <v>46274</v>
      </c>
      <c r="P784" s="1520">
        <v>46287</v>
      </c>
    </row>
    <row r="785" spans="1:16">
      <c r="A785" t="s">
        <v>5906</v>
      </c>
      <c r="B785" t="s">
        <v>64</v>
      </c>
      <c r="C785" t="s">
        <v>100</v>
      </c>
      <c r="D785" t="s">
        <v>4540</v>
      </c>
      <c r="E785" t="s">
        <v>4601</v>
      </c>
      <c r="F785" t="s">
        <v>330</v>
      </c>
      <c r="G785">
        <v>1440</v>
      </c>
      <c r="H785" t="s">
        <v>75</v>
      </c>
      <c r="I785" t="s">
        <v>5908</v>
      </c>
      <c r="J785" s="1520">
        <v>46237</v>
      </c>
      <c r="K785" s="1520">
        <v>46274</v>
      </c>
      <c r="L785" s="1520">
        <v>46284</v>
      </c>
      <c r="M785" s="1520">
        <v>46287</v>
      </c>
      <c r="N785" t="s">
        <v>2434</v>
      </c>
      <c r="O785" s="1520">
        <v>46295</v>
      </c>
      <c r="P785" s="1520">
        <v>46294</v>
      </c>
    </row>
    <row r="786" spans="1:16">
      <c r="A786" t="s">
        <v>5917</v>
      </c>
      <c r="B786" t="s">
        <v>144</v>
      </c>
      <c r="C786" t="s">
        <v>145</v>
      </c>
      <c r="D786" t="s">
        <v>4540</v>
      </c>
      <c r="E786" t="s">
        <v>4601</v>
      </c>
      <c r="F786" t="s">
        <v>330</v>
      </c>
      <c r="G786">
        <v>2880</v>
      </c>
      <c r="H786" t="s">
        <v>75</v>
      </c>
      <c r="I786" t="s">
        <v>5918</v>
      </c>
      <c r="J786" s="1520">
        <v>46237</v>
      </c>
      <c r="K786" s="1520">
        <v>46274</v>
      </c>
      <c r="L786" s="1520">
        <v>46284</v>
      </c>
      <c r="M786" s="1520">
        <v>46287</v>
      </c>
      <c r="N786" t="s">
        <v>973</v>
      </c>
      <c r="O786" s="1520">
        <v>46274</v>
      </c>
      <c r="P786" s="1520">
        <v>46287</v>
      </c>
    </row>
    <row r="787" spans="1:16">
      <c r="A787" t="s">
        <v>5712</v>
      </c>
      <c r="B787" t="s">
        <v>144</v>
      </c>
      <c r="C787" t="s">
        <v>145</v>
      </c>
      <c r="D787" t="s">
        <v>4540</v>
      </c>
      <c r="E787" t="s">
        <v>4601</v>
      </c>
      <c r="F787" t="s">
        <v>330</v>
      </c>
      <c r="G787">
        <v>4320</v>
      </c>
      <c r="H787" t="s">
        <v>75</v>
      </c>
      <c r="I787" t="s">
        <v>5713</v>
      </c>
      <c r="J787" s="1520">
        <v>46239</v>
      </c>
      <c r="K787" s="1520">
        <v>46274</v>
      </c>
      <c r="L787" s="1520">
        <v>46279.958333333336</v>
      </c>
      <c r="M787" s="1520">
        <v>46279.958333333336</v>
      </c>
      <c r="N787" t="s">
        <v>973</v>
      </c>
      <c r="O787" s="1520">
        <v>46280</v>
      </c>
      <c r="P787" s="1520">
        <v>46279.958333333336</v>
      </c>
    </row>
    <row r="788" spans="1:16">
      <c r="A788" t="s">
        <v>5674</v>
      </c>
      <c r="B788" t="s">
        <v>64</v>
      </c>
      <c r="C788" t="s">
        <v>450</v>
      </c>
      <c r="D788" t="s">
        <v>4540</v>
      </c>
      <c r="E788" t="s">
        <v>1151</v>
      </c>
      <c r="F788" t="s">
        <v>421</v>
      </c>
      <c r="G788">
        <v>2592</v>
      </c>
      <c r="H788" t="s">
        <v>75</v>
      </c>
      <c r="I788" t="s">
        <v>5677</v>
      </c>
      <c r="J788" s="1520">
        <v>46239</v>
      </c>
      <c r="K788" s="1520">
        <v>46278</v>
      </c>
      <c r="L788" s="1520">
        <v>46286.270833333336</v>
      </c>
      <c r="M788" s="1520">
        <v>46286.275081018517</v>
      </c>
      <c r="N788" t="s">
        <v>2434</v>
      </c>
      <c r="O788" s="1520">
        <v>46288</v>
      </c>
      <c r="P788" s="1520">
        <v>46293.275081018517</v>
      </c>
    </row>
    <row r="789" spans="1:16">
      <c r="A789" t="s">
        <v>5773</v>
      </c>
      <c r="B789" t="s">
        <v>64</v>
      </c>
      <c r="C789" t="s">
        <v>65</v>
      </c>
      <c r="D789" t="s">
        <v>4540</v>
      </c>
      <c r="E789" t="s">
        <v>1151</v>
      </c>
      <c r="F789" t="s">
        <v>421</v>
      </c>
      <c r="G789">
        <v>864</v>
      </c>
      <c r="H789" t="s">
        <v>75</v>
      </c>
      <c r="I789" t="s">
        <v>5774</v>
      </c>
      <c r="J789" s="1520">
        <v>46238</v>
      </c>
      <c r="K789" s="1520">
        <v>46281</v>
      </c>
      <c r="L789" s="1520">
        <v>46283.416666666664</v>
      </c>
      <c r="M789" s="1520">
        <v>46283.4372337963</v>
      </c>
      <c r="N789" t="s">
        <v>2434</v>
      </c>
      <c r="O789" s="1520">
        <v>46295</v>
      </c>
      <c r="P789" s="1520">
        <v>46291.4372337963</v>
      </c>
    </row>
    <row r="790" spans="1:16">
      <c r="A790" t="s">
        <v>5767</v>
      </c>
      <c r="B790" t="s">
        <v>64</v>
      </c>
      <c r="C790" t="s">
        <v>100</v>
      </c>
      <c r="D790" t="s">
        <v>132</v>
      </c>
      <c r="E790" t="s">
        <v>1062</v>
      </c>
      <c r="F790" t="s">
        <v>1063</v>
      </c>
      <c r="G790">
        <v>2592</v>
      </c>
      <c r="H790" t="s">
        <v>75</v>
      </c>
      <c r="I790" t="s">
        <v>5768</v>
      </c>
      <c r="J790" s="1520">
        <v>46242</v>
      </c>
      <c r="K790" s="1520">
        <v>46284</v>
      </c>
      <c r="L790" s="1520">
        <v>46293</v>
      </c>
      <c r="M790" s="1520">
        <v>46293</v>
      </c>
      <c r="N790" t="s">
        <v>2434</v>
      </c>
      <c r="O790" s="1520">
        <v>46290</v>
      </c>
      <c r="P790" s="1520">
        <v>46300</v>
      </c>
    </row>
    <row r="791" spans="1:16">
      <c r="A791" t="s">
        <v>5605</v>
      </c>
      <c r="B791" t="s">
        <v>64</v>
      </c>
      <c r="C791" t="s">
        <v>100</v>
      </c>
      <c r="D791" t="s">
        <v>4540</v>
      </c>
      <c r="E791" t="s">
        <v>5099</v>
      </c>
      <c r="F791" t="s">
        <v>330</v>
      </c>
      <c r="G791">
        <v>4320</v>
      </c>
      <c r="H791" t="s">
        <v>75</v>
      </c>
      <c r="I791" t="s">
        <v>5607</v>
      </c>
      <c r="J791" s="1520">
        <v>46236</v>
      </c>
      <c r="K791" s="1520">
        <v>46273</v>
      </c>
      <c r="L791" s="1520">
        <v>46279.5</v>
      </c>
      <c r="M791" s="1520">
        <v>46284</v>
      </c>
      <c r="N791" t="s">
        <v>2434</v>
      </c>
      <c r="O791" s="1520">
        <v>46287</v>
      </c>
      <c r="P791" s="1520">
        <v>46291</v>
      </c>
    </row>
    <row r="792" spans="1:16">
      <c r="A792" t="s">
        <v>5644</v>
      </c>
      <c r="B792" t="s">
        <v>64</v>
      </c>
      <c r="C792" t="s">
        <v>65</v>
      </c>
      <c r="D792" t="s">
        <v>4540</v>
      </c>
      <c r="E792" t="s">
        <v>71</v>
      </c>
      <c r="F792" t="s">
        <v>72</v>
      </c>
      <c r="G792">
        <v>864</v>
      </c>
      <c r="H792" t="s">
        <v>75</v>
      </c>
      <c r="I792" t="s">
        <v>5645</v>
      </c>
      <c r="J792" s="1520">
        <v>46234</v>
      </c>
      <c r="K792" s="1520">
        <v>46279</v>
      </c>
      <c r="L792" s="1520">
        <v>46285.041666666664</v>
      </c>
      <c r="M792" s="1520">
        <v>46284.921701388892</v>
      </c>
      <c r="N792" t="s">
        <v>2434</v>
      </c>
      <c r="O792" s="1520">
        <v>46297</v>
      </c>
      <c r="P792" s="1520">
        <v>46292.921701388892</v>
      </c>
    </row>
    <row r="793" spans="1:16">
      <c r="A793" t="s">
        <v>5648</v>
      </c>
      <c r="B793" t="s">
        <v>64</v>
      </c>
      <c r="C793" t="s">
        <v>65</v>
      </c>
      <c r="D793" t="s">
        <v>4540</v>
      </c>
      <c r="E793" t="s">
        <v>71</v>
      </c>
      <c r="F793" t="s">
        <v>72</v>
      </c>
      <c r="G793">
        <v>864</v>
      </c>
      <c r="H793" t="s">
        <v>75</v>
      </c>
      <c r="I793" t="s">
        <v>5649</v>
      </c>
      <c r="J793" s="1520">
        <v>46235</v>
      </c>
      <c r="K793" s="1520">
        <v>46286</v>
      </c>
      <c r="L793" s="1520">
        <v>46320.645833333336</v>
      </c>
      <c r="M793" s="1520">
        <v>46320.713321759256</v>
      </c>
      <c r="N793" t="s">
        <v>2434</v>
      </c>
      <c r="O793" s="1520">
        <v>46321</v>
      </c>
      <c r="P793" s="1520">
        <v>46328.713321759256</v>
      </c>
    </row>
    <row r="794" spans="1:16">
      <c r="A794" t="s">
        <v>5829</v>
      </c>
      <c r="B794" t="s">
        <v>64</v>
      </c>
      <c r="C794" t="s">
        <v>65</v>
      </c>
      <c r="D794" t="s">
        <v>4540</v>
      </c>
      <c r="E794" t="s">
        <v>691</v>
      </c>
      <c r="F794" t="s">
        <v>692</v>
      </c>
      <c r="G794">
        <v>864</v>
      </c>
      <c r="H794" t="s">
        <v>75</v>
      </c>
      <c r="I794" t="s">
        <v>5830</v>
      </c>
      <c r="J794" s="1520">
        <v>46235</v>
      </c>
      <c r="K794" s="1520">
        <v>46310</v>
      </c>
      <c r="L794" s="1520">
        <v>46318.302083333336</v>
      </c>
      <c r="M794" s="1520">
        <v>46318.374756944446</v>
      </c>
      <c r="N794" t="s">
        <v>2434</v>
      </c>
      <c r="O794" s="1520">
        <v>46324</v>
      </c>
      <c r="P794" s="1520">
        <v>46326.374756944446</v>
      </c>
    </row>
    <row r="795" spans="1:16">
      <c r="A795" t="s">
        <v>5693</v>
      </c>
      <c r="B795" t="s">
        <v>64</v>
      </c>
      <c r="C795" t="s">
        <v>100</v>
      </c>
      <c r="D795" t="s">
        <v>5388</v>
      </c>
      <c r="E795" t="s">
        <v>5389</v>
      </c>
      <c r="F795" t="s">
        <v>5390</v>
      </c>
      <c r="G795">
        <v>936</v>
      </c>
      <c r="H795" t="s">
        <v>75</v>
      </c>
      <c r="I795" t="s">
        <v>5694</v>
      </c>
      <c r="J795" s="1520">
        <v>46235</v>
      </c>
      <c r="K795" s="1520">
        <v>46277</v>
      </c>
      <c r="L795" s="1520">
        <v>46285</v>
      </c>
      <c r="M795" s="1520">
        <v>46285</v>
      </c>
      <c r="N795" t="s">
        <v>2434</v>
      </c>
      <c r="O795" s="1520">
        <v>46290</v>
      </c>
      <c r="P795" s="1520">
        <v>46292</v>
      </c>
    </row>
    <row r="796" spans="1:16">
      <c r="A796" t="s">
        <v>5611</v>
      </c>
      <c r="B796" t="s">
        <v>64</v>
      </c>
      <c r="C796" t="s">
        <v>100</v>
      </c>
      <c r="D796" t="s">
        <v>5388</v>
      </c>
      <c r="E796" t="s">
        <v>5409</v>
      </c>
      <c r="F796" t="s">
        <v>5410</v>
      </c>
      <c r="G796">
        <v>936</v>
      </c>
      <c r="H796" t="s">
        <v>75</v>
      </c>
      <c r="I796" t="s">
        <v>5612</v>
      </c>
      <c r="J796" s="1520">
        <v>46236</v>
      </c>
      <c r="K796" s="1520">
        <v>46273</v>
      </c>
      <c r="L796" s="1520">
        <v>46279.5</v>
      </c>
      <c r="M796" s="1520">
        <v>46284</v>
      </c>
      <c r="N796" t="s">
        <v>2434</v>
      </c>
      <c r="O796" s="1520">
        <v>46287</v>
      </c>
      <c r="P796" s="1520">
        <v>46291</v>
      </c>
    </row>
    <row r="797" spans="1:16">
      <c r="A797" t="s">
        <v>5724</v>
      </c>
      <c r="B797" t="s">
        <v>64</v>
      </c>
      <c r="C797" t="s">
        <v>100</v>
      </c>
      <c r="D797" t="s">
        <v>5388</v>
      </c>
      <c r="E797" t="s">
        <v>5409</v>
      </c>
      <c r="F797" t="s">
        <v>5410</v>
      </c>
      <c r="G797">
        <v>1872</v>
      </c>
      <c r="H797" t="s">
        <v>75</v>
      </c>
      <c r="I797" t="s">
        <v>5726</v>
      </c>
      <c r="J797" s="1520">
        <v>46237</v>
      </c>
      <c r="K797" s="1520">
        <v>46274</v>
      </c>
      <c r="L797" s="1520">
        <v>46283.875</v>
      </c>
      <c r="M797" s="1520">
        <v>46283.912627314814</v>
      </c>
      <c r="N797" t="s">
        <v>2434</v>
      </c>
      <c r="O797" s="1520">
        <v>46296</v>
      </c>
      <c r="P797" s="1520">
        <v>46290.912627314814</v>
      </c>
    </row>
    <row r="798" spans="1:16">
      <c r="A798" t="s">
        <v>5697</v>
      </c>
      <c r="B798" t="s">
        <v>64</v>
      </c>
      <c r="C798" t="s">
        <v>100</v>
      </c>
      <c r="D798" t="s">
        <v>5388</v>
      </c>
      <c r="E798" t="s">
        <v>5389</v>
      </c>
      <c r="F798" t="s">
        <v>5390</v>
      </c>
      <c r="G798">
        <v>1872</v>
      </c>
      <c r="H798" t="s">
        <v>75</v>
      </c>
      <c r="I798" t="s">
        <v>5698</v>
      </c>
      <c r="J798" s="1520">
        <v>46235</v>
      </c>
      <c r="K798" s="1520">
        <v>46277</v>
      </c>
      <c r="L798" s="1520">
        <v>46285</v>
      </c>
      <c r="M798" s="1520">
        <v>46285</v>
      </c>
      <c r="N798" t="s">
        <v>2434</v>
      </c>
      <c r="O798" s="1520">
        <v>46290</v>
      </c>
      <c r="P798" s="1520">
        <v>46292</v>
      </c>
    </row>
    <row r="799" spans="1:16">
      <c r="A799" t="s">
        <v>5720</v>
      </c>
      <c r="B799" t="s">
        <v>64</v>
      </c>
      <c r="C799" t="s">
        <v>100</v>
      </c>
      <c r="D799" t="s">
        <v>5388</v>
      </c>
      <c r="E799" t="s">
        <v>5389</v>
      </c>
      <c r="F799" t="s">
        <v>5390</v>
      </c>
      <c r="G799">
        <v>936</v>
      </c>
      <c r="H799" t="s">
        <v>75</v>
      </c>
      <c r="I799" t="s">
        <v>5721</v>
      </c>
      <c r="J799" s="1520">
        <v>46239</v>
      </c>
      <c r="K799" s="1520">
        <v>46274</v>
      </c>
      <c r="L799" s="1520">
        <v>46279.958333333336</v>
      </c>
      <c r="M799" s="1520">
        <v>46279.935393518521</v>
      </c>
      <c r="N799" t="s">
        <v>2434</v>
      </c>
      <c r="O799" s="1520">
        <v>46293</v>
      </c>
      <c r="P799" s="1520">
        <v>46286.935393518521</v>
      </c>
    </row>
    <row r="800" spans="1:16">
      <c r="A800" t="s">
        <v>5833</v>
      </c>
      <c r="B800" t="s">
        <v>64</v>
      </c>
      <c r="C800" t="s">
        <v>65</v>
      </c>
      <c r="D800" t="s">
        <v>4540</v>
      </c>
      <c r="E800" t="s">
        <v>691</v>
      </c>
      <c r="F800" t="s">
        <v>692</v>
      </c>
      <c r="G800">
        <v>1728</v>
      </c>
      <c r="H800" t="s">
        <v>75</v>
      </c>
      <c r="I800" t="s">
        <v>5834</v>
      </c>
      <c r="J800" s="1520">
        <v>46235</v>
      </c>
      <c r="K800" s="1520">
        <v>46295</v>
      </c>
      <c r="L800" s="1520">
        <v>46296.916666666664</v>
      </c>
      <c r="M800" s="1520">
        <v>46296</v>
      </c>
      <c r="N800" t="s">
        <v>2434</v>
      </c>
      <c r="O800" s="1520">
        <v>46309</v>
      </c>
      <c r="P800" s="1520">
        <v>46304</v>
      </c>
    </row>
    <row r="801" spans="1:16">
      <c r="A801" t="s">
        <v>5551</v>
      </c>
      <c r="B801" t="s">
        <v>64</v>
      </c>
      <c r="C801" t="s">
        <v>114</v>
      </c>
      <c r="D801" t="s">
        <v>132</v>
      </c>
      <c r="E801" t="s">
        <v>5552</v>
      </c>
      <c r="F801" t="s">
        <v>5553</v>
      </c>
      <c r="G801">
        <v>660</v>
      </c>
      <c r="H801" t="s">
        <v>75</v>
      </c>
      <c r="I801" t="s">
        <v>5554</v>
      </c>
      <c r="J801" s="1520">
        <v>46230</v>
      </c>
      <c r="K801" s="1520">
        <v>46282</v>
      </c>
      <c r="L801" s="1520">
        <v>46296.25</v>
      </c>
      <c r="M801" s="1520">
        <v>46295</v>
      </c>
      <c r="N801" t="s">
        <v>2434</v>
      </c>
      <c r="O801" s="1520">
        <v>46300</v>
      </c>
      <c r="P801" s="1520">
        <v>46304</v>
      </c>
    </row>
    <row r="802" spans="1:16">
      <c r="A802" t="s">
        <v>5695</v>
      </c>
      <c r="B802" t="s">
        <v>64</v>
      </c>
      <c r="C802" t="s">
        <v>100</v>
      </c>
      <c r="D802" t="s">
        <v>132</v>
      </c>
      <c r="E802" t="s">
        <v>1062</v>
      </c>
      <c r="F802" t="s">
        <v>1063</v>
      </c>
      <c r="G802">
        <v>1728</v>
      </c>
      <c r="H802" t="s">
        <v>75</v>
      </c>
      <c r="I802" t="s">
        <v>5696</v>
      </c>
      <c r="J802" s="1520">
        <v>46235</v>
      </c>
      <c r="K802" s="1520">
        <v>46277</v>
      </c>
      <c r="L802" s="1520">
        <v>46285</v>
      </c>
      <c r="M802" s="1520">
        <v>46285</v>
      </c>
      <c r="N802" t="s">
        <v>2434</v>
      </c>
      <c r="O802" s="1520">
        <v>46283</v>
      </c>
      <c r="P802" s="1520">
        <v>46292</v>
      </c>
    </row>
    <row r="803" spans="1:16">
      <c r="A803" t="s">
        <v>5747</v>
      </c>
      <c r="B803" t="s">
        <v>64</v>
      </c>
      <c r="C803" t="s">
        <v>65</v>
      </c>
      <c r="D803" t="s">
        <v>550</v>
      </c>
      <c r="E803" t="s">
        <v>551</v>
      </c>
      <c r="F803" t="s">
        <v>2151</v>
      </c>
      <c r="G803">
        <v>1584</v>
      </c>
      <c r="H803" t="s">
        <v>75</v>
      </c>
      <c r="I803" t="s">
        <v>5748</v>
      </c>
      <c r="J803" s="1520">
        <v>46238</v>
      </c>
      <c r="K803" s="1520">
        <v>46281</v>
      </c>
      <c r="L803" s="1520">
        <v>46283.416666666664</v>
      </c>
      <c r="M803" s="1520">
        <v>46283.4372337963</v>
      </c>
      <c r="N803" t="s">
        <v>2434</v>
      </c>
      <c r="O803" s="1520">
        <v>46289</v>
      </c>
      <c r="P803" s="1520">
        <v>46291.4372337963</v>
      </c>
    </row>
    <row r="804" spans="1:16">
      <c r="A804" t="s">
        <v>5827</v>
      </c>
      <c r="B804" t="s">
        <v>64</v>
      </c>
      <c r="C804" t="s">
        <v>100</v>
      </c>
      <c r="D804" t="s">
        <v>284</v>
      </c>
      <c r="E804" t="s">
        <v>5592</v>
      </c>
      <c r="F804" t="s">
        <v>1570</v>
      </c>
      <c r="G804">
        <v>4320</v>
      </c>
      <c r="H804" t="s">
        <v>75</v>
      </c>
      <c r="I804" t="s">
        <v>5828</v>
      </c>
      <c r="J804" s="1520">
        <v>46235</v>
      </c>
      <c r="K804" s="1520">
        <v>46281</v>
      </c>
      <c r="L804" s="1520">
        <v>46284.875</v>
      </c>
      <c r="M804" s="1520">
        <v>46285.134953703702</v>
      </c>
      <c r="N804" t="s">
        <v>2434</v>
      </c>
      <c r="O804" s="1520">
        <v>46300</v>
      </c>
      <c r="P804" s="1520">
        <v>46292.134953703702</v>
      </c>
    </row>
    <row r="805" spans="1:16">
      <c r="A805" t="s">
        <v>5837</v>
      </c>
      <c r="B805" t="s">
        <v>64</v>
      </c>
      <c r="C805" t="s">
        <v>310</v>
      </c>
      <c r="D805" t="s">
        <v>284</v>
      </c>
      <c r="E805" t="s">
        <v>5592</v>
      </c>
      <c r="F805" t="s">
        <v>1570</v>
      </c>
      <c r="G805">
        <v>2160</v>
      </c>
      <c r="H805" t="s">
        <v>75</v>
      </c>
      <c r="I805" t="s">
        <v>5838</v>
      </c>
      <c r="J805" s="1520">
        <v>46235</v>
      </c>
      <c r="K805" s="1520">
        <v>46292</v>
      </c>
      <c r="L805" s="1520">
        <v>46322.666666666664</v>
      </c>
      <c r="M805" s="1520">
        <v>46322.689768518518</v>
      </c>
      <c r="N805" t="s">
        <v>2434</v>
      </c>
      <c r="O805" s="1520">
        <v>46314</v>
      </c>
      <c r="P805" s="1520">
        <v>46332.689768518518</v>
      </c>
    </row>
    <row r="806" spans="1:16">
      <c r="A806" t="s">
        <v>5841</v>
      </c>
      <c r="B806" t="s">
        <v>64</v>
      </c>
      <c r="C806" t="s">
        <v>310</v>
      </c>
      <c r="D806" t="s">
        <v>284</v>
      </c>
      <c r="E806" t="s">
        <v>5592</v>
      </c>
      <c r="F806" t="s">
        <v>1570</v>
      </c>
      <c r="G806">
        <v>720</v>
      </c>
      <c r="H806" t="s">
        <v>75</v>
      </c>
      <c r="I806" t="s">
        <v>5842</v>
      </c>
      <c r="J806" s="1520">
        <v>46235</v>
      </c>
      <c r="K806" s="1520">
        <v>46299</v>
      </c>
      <c r="L806" s="1520">
        <v>46313.875</v>
      </c>
      <c r="M806" s="1520">
        <v>46313.624143518522</v>
      </c>
      <c r="N806" t="s">
        <v>2434</v>
      </c>
      <c r="O806" s="1520">
        <v>46315</v>
      </c>
      <c r="P806" s="1520">
        <v>46323.624143518522</v>
      </c>
    </row>
    <row r="807" spans="1:16">
      <c r="A807" t="s">
        <v>5658</v>
      </c>
      <c r="B807" t="s">
        <v>64</v>
      </c>
      <c r="C807" t="s">
        <v>114</v>
      </c>
      <c r="D807" t="s">
        <v>5345</v>
      </c>
      <c r="E807" t="s">
        <v>5346</v>
      </c>
      <c r="F807" t="s">
        <v>5347</v>
      </c>
      <c r="G807">
        <v>720</v>
      </c>
      <c r="H807" t="s">
        <v>75</v>
      </c>
      <c r="I807" t="s">
        <v>5660</v>
      </c>
      <c r="J807" s="1520">
        <v>46227</v>
      </c>
      <c r="K807" s="1520">
        <v>46268</v>
      </c>
      <c r="L807" s="1520">
        <v>46280.541666666664</v>
      </c>
      <c r="M807" s="1520">
        <v>46280.541666666664</v>
      </c>
      <c r="N807" t="s">
        <v>2434</v>
      </c>
      <c r="O807" s="1520">
        <v>46294</v>
      </c>
      <c r="P807" s="1520">
        <v>46289.541666666664</v>
      </c>
    </row>
    <row r="808" spans="1:16">
      <c r="A808" t="s">
        <v>5765</v>
      </c>
      <c r="B808" t="s">
        <v>64</v>
      </c>
      <c r="C808" t="s">
        <v>100</v>
      </c>
      <c r="D808" t="s">
        <v>70</v>
      </c>
      <c r="E808" t="s">
        <v>1681</v>
      </c>
      <c r="F808" t="s">
        <v>1682</v>
      </c>
      <c r="G808">
        <v>1782</v>
      </c>
      <c r="H808" t="s">
        <v>75</v>
      </c>
      <c r="I808" t="s">
        <v>5766</v>
      </c>
      <c r="J808" s="1520">
        <v>46242</v>
      </c>
      <c r="K808" s="1520">
        <v>46284</v>
      </c>
      <c r="L808" s="1520">
        <v>46293</v>
      </c>
      <c r="M808" s="1520">
        <v>46293</v>
      </c>
      <c r="N808" t="s">
        <v>2434</v>
      </c>
      <c r="O808" s="1520">
        <v>46290</v>
      </c>
      <c r="P808" s="1520">
        <v>46300</v>
      </c>
    </row>
    <row r="809" spans="1:16">
      <c r="A809" t="s">
        <v>5871</v>
      </c>
      <c r="B809" t="s">
        <v>64</v>
      </c>
      <c r="C809" t="s">
        <v>100</v>
      </c>
      <c r="D809" t="s">
        <v>550</v>
      </c>
      <c r="E809" t="s">
        <v>2134</v>
      </c>
      <c r="F809" t="s">
        <v>2135</v>
      </c>
      <c r="G809">
        <v>1584</v>
      </c>
      <c r="H809" t="s">
        <v>75</v>
      </c>
      <c r="I809" t="s">
        <v>5872</v>
      </c>
      <c r="J809" s="1520">
        <v>46245</v>
      </c>
      <c r="K809" s="1520">
        <v>46281</v>
      </c>
      <c r="L809" s="1520">
        <v>46284.875</v>
      </c>
      <c r="M809" s="1520">
        <v>46285.134953703702</v>
      </c>
      <c r="N809" t="s">
        <v>2434</v>
      </c>
      <c r="O809" s="1520">
        <v>46300</v>
      </c>
      <c r="P809" s="1520">
        <v>46292.134953703702</v>
      </c>
    </row>
    <row r="810" spans="1:16">
      <c r="A810" t="s">
        <v>5885</v>
      </c>
      <c r="B810" t="s">
        <v>64</v>
      </c>
      <c r="C810" t="s">
        <v>100</v>
      </c>
      <c r="D810" t="s">
        <v>550</v>
      </c>
      <c r="E810" t="s">
        <v>2134</v>
      </c>
      <c r="F810" t="s">
        <v>2135</v>
      </c>
      <c r="G810">
        <v>2376</v>
      </c>
      <c r="H810" t="s">
        <v>75</v>
      </c>
      <c r="I810" t="s">
        <v>5886</v>
      </c>
      <c r="J810" s="1520">
        <v>46248</v>
      </c>
      <c r="K810" s="1520">
        <v>46291</v>
      </c>
      <c r="L810" s="1520">
        <v>46284.875</v>
      </c>
      <c r="M810" s="1520">
        <v>46285.134953703702</v>
      </c>
      <c r="N810" t="s">
        <v>2434</v>
      </c>
      <c r="O810" s="1520">
        <v>46300</v>
      </c>
      <c r="P810" s="1520">
        <v>46292.134953703702</v>
      </c>
    </row>
    <row r="811" spans="1:16">
      <c r="A811" t="s">
        <v>5897</v>
      </c>
      <c r="B811" t="s">
        <v>64</v>
      </c>
      <c r="C811" t="s">
        <v>100</v>
      </c>
      <c r="D811" t="s">
        <v>550</v>
      </c>
      <c r="E811" t="s">
        <v>2134</v>
      </c>
      <c r="F811" t="s">
        <v>2135</v>
      </c>
      <c r="G811">
        <v>1584</v>
      </c>
      <c r="H811" t="s">
        <v>75</v>
      </c>
      <c r="I811" t="s">
        <v>5898</v>
      </c>
      <c r="J811" s="1520">
        <v>46244</v>
      </c>
      <c r="K811" s="1520">
        <v>46281</v>
      </c>
      <c r="L811" s="1520">
        <v>46300.4375</v>
      </c>
      <c r="M811" s="1520">
        <v>46300</v>
      </c>
      <c r="N811" t="s">
        <v>2434</v>
      </c>
      <c r="O811" s="1520">
        <v>46309</v>
      </c>
      <c r="P811" s="1520">
        <v>46307</v>
      </c>
    </row>
    <row r="812" spans="1:16">
      <c r="A812" t="s">
        <v>5941</v>
      </c>
      <c r="B812" t="s">
        <v>64</v>
      </c>
      <c r="C812" t="s">
        <v>310</v>
      </c>
      <c r="D812" t="s">
        <v>550</v>
      </c>
      <c r="E812" t="s">
        <v>2134</v>
      </c>
      <c r="F812" t="s">
        <v>2135</v>
      </c>
      <c r="G812">
        <v>1584</v>
      </c>
      <c r="H812" t="s">
        <v>75</v>
      </c>
      <c r="I812" t="s">
        <v>5943</v>
      </c>
      <c r="J812" s="1520">
        <v>46245</v>
      </c>
      <c r="K812" s="1520">
        <v>46304</v>
      </c>
      <c r="L812" s="1520">
        <v>46299.875</v>
      </c>
      <c r="M812" s="1520">
        <v>46299</v>
      </c>
      <c r="N812" t="s">
        <v>2434</v>
      </c>
      <c r="O812" s="1520">
        <v>46300</v>
      </c>
      <c r="P812" s="1520">
        <v>46309</v>
      </c>
    </row>
    <row r="813" spans="1:16">
      <c r="A813" t="s">
        <v>5757</v>
      </c>
      <c r="B813" t="s">
        <v>64</v>
      </c>
      <c r="C813" t="s">
        <v>100</v>
      </c>
      <c r="D813" t="s">
        <v>70</v>
      </c>
      <c r="E813" t="s">
        <v>5758</v>
      </c>
      <c r="F813" t="s">
        <v>1484</v>
      </c>
      <c r="G813">
        <v>1188</v>
      </c>
      <c r="H813" t="s">
        <v>75</v>
      </c>
      <c r="I813" t="s">
        <v>5760</v>
      </c>
      <c r="J813" s="1520">
        <v>46242</v>
      </c>
      <c r="K813" s="1520">
        <v>46284</v>
      </c>
      <c r="L813" s="1520">
        <v>46293</v>
      </c>
      <c r="M813" s="1520">
        <v>46293</v>
      </c>
      <c r="N813" t="s">
        <v>2434</v>
      </c>
      <c r="O813" s="1520">
        <v>46290</v>
      </c>
      <c r="P813" s="1520">
        <v>46300</v>
      </c>
    </row>
    <row r="814" spans="1:16">
      <c r="A814" t="s">
        <v>5989</v>
      </c>
      <c r="B814" t="s">
        <v>64</v>
      </c>
      <c r="C814" t="s">
        <v>100</v>
      </c>
      <c r="D814" t="s">
        <v>4540</v>
      </c>
      <c r="E814" t="s">
        <v>71</v>
      </c>
      <c r="F814" t="s">
        <v>72</v>
      </c>
      <c r="G814">
        <v>2592</v>
      </c>
      <c r="H814" t="s">
        <v>75</v>
      </c>
      <c r="I814" t="s">
        <v>5990</v>
      </c>
      <c r="J814" s="1520">
        <v>46239</v>
      </c>
      <c r="K814" s="1520">
        <v>46274</v>
      </c>
      <c r="L814" s="1520">
        <v>46283.875</v>
      </c>
      <c r="M814" s="1520">
        <v>46283.912627314814</v>
      </c>
      <c r="N814" t="s">
        <v>2434</v>
      </c>
      <c r="O814" s="1520">
        <v>46296</v>
      </c>
      <c r="P814" s="1520">
        <v>46290.912627314814</v>
      </c>
    </row>
    <row r="815" spans="1:16">
      <c r="A815" t="s">
        <v>5930</v>
      </c>
      <c r="B815" t="s">
        <v>64</v>
      </c>
      <c r="C815" t="s">
        <v>100</v>
      </c>
      <c r="D815" t="s">
        <v>70</v>
      </c>
      <c r="E815" t="s">
        <v>5758</v>
      </c>
      <c r="F815" t="s">
        <v>1484</v>
      </c>
      <c r="G815">
        <v>5940</v>
      </c>
      <c r="H815" t="s">
        <v>75</v>
      </c>
      <c r="I815" t="s">
        <v>5931</v>
      </c>
      <c r="J815" s="1520">
        <v>46244</v>
      </c>
      <c r="K815" s="1520">
        <v>46281</v>
      </c>
      <c r="L815" s="1520">
        <v>46299.25</v>
      </c>
      <c r="M815" s="1520">
        <v>46300</v>
      </c>
      <c r="N815" t="s">
        <v>2434</v>
      </c>
      <c r="O815" s="1520">
        <v>46309</v>
      </c>
      <c r="P815" s="1520">
        <v>46307</v>
      </c>
    </row>
    <row r="816" spans="1:16">
      <c r="A816" t="s">
        <v>5923</v>
      </c>
      <c r="B816" t="s">
        <v>64</v>
      </c>
      <c r="C816" t="s">
        <v>100</v>
      </c>
      <c r="D816" t="s">
        <v>70</v>
      </c>
      <c r="E816" t="s">
        <v>5924</v>
      </c>
      <c r="F816" t="s">
        <v>1807</v>
      </c>
      <c r="G816">
        <v>594</v>
      </c>
      <c r="H816" t="s">
        <v>75</v>
      </c>
      <c r="I816" t="s">
        <v>5925</v>
      </c>
      <c r="J816" s="1520">
        <v>46244</v>
      </c>
      <c r="K816" s="1520">
        <v>46281</v>
      </c>
      <c r="L816" s="1520">
        <v>46299.25</v>
      </c>
      <c r="M816" s="1520">
        <v>46300</v>
      </c>
      <c r="N816" t="s">
        <v>2434</v>
      </c>
      <c r="O816" s="1520">
        <v>46309</v>
      </c>
      <c r="P816" s="1520">
        <v>46307</v>
      </c>
    </row>
    <row r="817" spans="1:16">
      <c r="A817" t="s">
        <v>5984</v>
      </c>
      <c r="B817" t="s">
        <v>64</v>
      </c>
      <c r="C817" t="s">
        <v>450</v>
      </c>
      <c r="D817" t="s">
        <v>4540</v>
      </c>
      <c r="E817" t="s">
        <v>1151</v>
      </c>
      <c r="F817" t="s">
        <v>421</v>
      </c>
      <c r="G817">
        <v>1728</v>
      </c>
      <c r="H817" t="s">
        <v>75</v>
      </c>
      <c r="I817" t="s">
        <v>5986</v>
      </c>
      <c r="J817" s="1520">
        <v>46243</v>
      </c>
      <c r="K817" s="1520">
        <v>46279</v>
      </c>
      <c r="L817" s="1520">
        <v>46286.270833333336</v>
      </c>
      <c r="M817" s="1520">
        <v>46286.275081018517</v>
      </c>
      <c r="N817" t="s">
        <v>2434</v>
      </c>
      <c r="O817" s="1520">
        <v>46300</v>
      </c>
      <c r="P817" s="1520">
        <v>46293.275081018517</v>
      </c>
    </row>
    <row r="818" spans="1:16">
      <c r="A818" t="s">
        <v>5877</v>
      </c>
      <c r="B818" t="s">
        <v>64</v>
      </c>
      <c r="C818" t="s">
        <v>100</v>
      </c>
      <c r="D818" t="s">
        <v>132</v>
      </c>
      <c r="E818" t="s">
        <v>133</v>
      </c>
      <c r="F818" t="s">
        <v>134</v>
      </c>
      <c r="G818">
        <v>594</v>
      </c>
      <c r="H818" t="s">
        <v>75</v>
      </c>
      <c r="I818" t="s">
        <v>5879</v>
      </c>
      <c r="J818" s="1520">
        <v>46245</v>
      </c>
      <c r="K818" s="1520">
        <v>46281</v>
      </c>
      <c r="L818" s="1520">
        <v>46284.875</v>
      </c>
      <c r="M818" s="1520">
        <v>46285.134953703702</v>
      </c>
      <c r="N818" t="s">
        <v>2434</v>
      </c>
      <c r="O818" s="1520">
        <v>46300</v>
      </c>
      <c r="P818" s="1520">
        <v>46292.134953703702</v>
      </c>
    </row>
    <row r="819" spans="1:16">
      <c r="A819" t="s">
        <v>5880</v>
      </c>
      <c r="B819" t="s">
        <v>64</v>
      </c>
      <c r="C819" t="s">
        <v>100</v>
      </c>
      <c r="D819" t="s">
        <v>132</v>
      </c>
      <c r="E819" t="s">
        <v>5882</v>
      </c>
      <c r="F819" t="s">
        <v>5883</v>
      </c>
      <c r="G819">
        <v>594</v>
      </c>
      <c r="H819" t="s">
        <v>75</v>
      </c>
      <c r="I819" t="s">
        <v>5884</v>
      </c>
      <c r="J819" s="1520">
        <v>46245</v>
      </c>
      <c r="K819" s="1520">
        <v>46281</v>
      </c>
      <c r="L819" s="1520">
        <v>46284.875</v>
      </c>
      <c r="M819" s="1520">
        <v>46285.134953703702</v>
      </c>
      <c r="N819" t="s">
        <v>2434</v>
      </c>
      <c r="O819" s="1520">
        <v>46288</v>
      </c>
      <c r="P819" s="1520">
        <v>46292.134953703702</v>
      </c>
    </row>
    <row r="820" spans="1:16">
      <c r="A820" t="s">
        <v>5892</v>
      </c>
      <c r="B820" t="s">
        <v>64</v>
      </c>
      <c r="C820" t="s">
        <v>100</v>
      </c>
      <c r="D820" t="s">
        <v>5388</v>
      </c>
      <c r="E820" t="s">
        <v>5409</v>
      </c>
      <c r="F820" t="s">
        <v>5410</v>
      </c>
      <c r="G820">
        <v>2808</v>
      </c>
      <c r="H820" t="s">
        <v>75</v>
      </c>
      <c r="I820" t="s">
        <v>5893</v>
      </c>
      <c r="J820" s="1520">
        <v>46244</v>
      </c>
      <c r="K820" s="1520">
        <v>46281</v>
      </c>
      <c r="L820" s="1520">
        <v>46300.4375</v>
      </c>
      <c r="M820" s="1520">
        <v>46300</v>
      </c>
      <c r="N820" t="s">
        <v>2434</v>
      </c>
      <c r="O820" s="1520">
        <v>46288</v>
      </c>
      <c r="P820" s="1520">
        <v>46307</v>
      </c>
    </row>
    <row r="821" spans="1:16">
      <c r="A821" t="s">
        <v>5959</v>
      </c>
      <c r="B821" t="s">
        <v>64</v>
      </c>
      <c r="C821" t="s">
        <v>65</v>
      </c>
      <c r="D821" t="s">
        <v>284</v>
      </c>
      <c r="E821" t="s">
        <v>5592</v>
      </c>
      <c r="F821" t="s">
        <v>1570</v>
      </c>
      <c r="G821">
        <v>720</v>
      </c>
      <c r="H821" t="s">
        <v>951</v>
      </c>
      <c r="I821" t="s">
        <v>5960</v>
      </c>
      <c r="J821" s="1520">
        <v>46243</v>
      </c>
      <c r="K821" s="1520">
        <v>46314</v>
      </c>
      <c r="L821" s="1520">
        <v>46342.25</v>
      </c>
      <c r="M821" s="1520" t="s">
        <v>2480</v>
      </c>
      <c r="N821" t="s">
        <v>2434</v>
      </c>
      <c r="O821" s="1520">
        <v>46342</v>
      </c>
      <c r="P821" s="1520">
        <v>46350.25</v>
      </c>
    </row>
    <row r="822" spans="1:16">
      <c r="A822" t="s">
        <v>5890</v>
      </c>
      <c r="B822" t="s">
        <v>64</v>
      </c>
      <c r="C822" t="s">
        <v>100</v>
      </c>
      <c r="D822" t="s">
        <v>5388</v>
      </c>
      <c r="E822" t="s">
        <v>5409</v>
      </c>
      <c r="F822" t="s">
        <v>5410</v>
      </c>
      <c r="G822">
        <v>4680</v>
      </c>
      <c r="H822" t="s">
        <v>75</v>
      </c>
      <c r="I822" t="s">
        <v>5891</v>
      </c>
      <c r="J822" s="1520">
        <v>46248</v>
      </c>
      <c r="K822" s="1520">
        <v>46291</v>
      </c>
      <c r="L822" s="1520">
        <v>46284.875</v>
      </c>
      <c r="M822" s="1520">
        <v>46285.134953703702</v>
      </c>
      <c r="N822" t="s">
        <v>2434</v>
      </c>
      <c r="O822" s="1520">
        <v>46300</v>
      </c>
      <c r="P822" s="1520">
        <v>46292.134953703702</v>
      </c>
    </row>
    <row r="823" spans="1:16">
      <c r="A823" t="s">
        <v>5964</v>
      </c>
      <c r="B823" t="s">
        <v>64</v>
      </c>
      <c r="C823" t="s">
        <v>310</v>
      </c>
      <c r="D823" t="s">
        <v>284</v>
      </c>
      <c r="E823" t="s">
        <v>5592</v>
      </c>
      <c r="F823" t="s">
        <v>1570</v>
      </c>
      <c r="G823">
        <v>720</v>
      </c>
      <c r="H823" t="s">
        <v>951</v>
      </c>
      <c r="I823" t="s">
        <v>5965</v>
      </c>
      <c r="J823" s="1520">
        <v>46243</v>
      </c>
      <c r="K823" s="1520">
        <v>46306</v>
      </c>
      <c r="L823" s="1520">
        <v>46330.75</v>
      </c>
      <c r="M823" s="1520" t="s">
        <v>2480</v>
      </c>
      <c r="N823" t="s">
        <v>2434</v>
      </c>
      <c r="O823" s="1520">
        <v>46321</v>
      </c>
      <c r="P823" s="1520">
        <v>46340.75</v>
      </c>
    </row>
    <row r="824" spans="1:16">
      <c r="A824" t="s">
        <v>5867</v>
      </c>
      <c r="B824" t="s">
        <v>64</v>
      </c>
      <c r="C824" t="s">
        <v>100</v>
      </c>
      <c r="D824" t="s">
        <v>5388</v>
      </c>
      <c r="E824" t="s">
        <v>5409</v>
      </c>
      <c r="F824" t="s">
        <v>5410</v>
      </c>
      <c r="G824">
        <v>1872</v>
      </c>
      <c r="H824" t="s">
        <v>75</v>
      </c>
      <c r="I824" t="s">
        <v>5868</v>
      </c>
      <c r="J824" s="1520">
        <v>46245</v>
      </c>
      <c r="K824" s="1520">
        <v>46281</v>
      </c>
      <c r="L824" s="1520">
        <v>46284.875</v>
      </c>
      <c r="M824" s="1520">
        <v>46285.134953703702</v>
      </c>
      <c r="N824" t="s">
        <v>2434</v>
      </c>
      <c r="O824" s="1520">
        <v>46300</v>
      </c>
      <c r="P824" s="1520">
        <v>46292.134953703702</v>
      </c>
    </row>
    <row r="825" spans="1:16">
      <c r="A825" t="s">
        <v>5928</v>
      </c>
      <c r="B825" t="s">
        <v>64</v>
      </c>
      <c r="C825" t="s">
        <v>100</v>
      </c>
      <c r="D825" t="s">
        <v>132</v>
      </c>
      <c r="E825" t="s">
        <v>1062</v>
      </c>
      <c r="F825" t="s">
        <v>1063</v>
      </c>
      <c r="G825">
        <v>3456</v>
      </c>
      <c r="H825" t="s">
        <v>75</v>
      </c>
      <c r="I825" t="s">
        <v>5929</v>
      </c>
      <c r="J825" s="1520">
        <v>46244</v>
      </c>
      <c r="K825" s="1520">
        <v>46281</v>
      </c>
      <c r="L825" s="1520">
        <v>46299.25</v>
      </c>
      <c r="M825" s="1520">
        <v>46300</v>
      </c>
      <c r="N825" t="s">
        <v>2434</v>
      </c>
      <c r="O825" s="1520">
        <v>46309</v>
      </c>
      <c r="P825" s="1520">
        <v>46307</v>
      </c>
    </row>
    <row r="826" spans="1:16">
      <c r="A826" t="s">
        <v>5980</v>
      </c>
      <c r="B826" t="s">
        <v>64</v>
      </c>
      <c r="C826" t="s">
        <v>100</v>
      </c>
      <c r="D826" t="s">
        <v>4540</v>
      </c>
      <c r="E826" t="s">
        <v>195</v>
      </c>
      <c r="F826" t="s">
        <v>196</v>
      </c>
      <c r="G826">
        <v>2808</v>
      </c>
      <c r="H826" t="s">
        <v>75</v>
      </c>
      <c r="I826" t="s">
        <v>5981</v>
      </c>
      <c r="J826" s="1520">
        <v>46243</v>
      </c>
      <c r="K826" s="1520">
        <v>46287</v>
      </c>
      <c r="L826" s="1520">
        <v>46289.958333333336</v>
      </c>
      <c r="M826" s="1520">
        <v>46290.180347222224</v>
      </c>
      <c r="N826" t="s">
        <v>2434</v>
      </c>
      <c r="O826" s="1520">
        <v>46303</v>
      </c>
      <c r="P826" s="1520">
        <v>46297.180347222224</v>
      </c>
    </row>
    <row r="827" spans="1:16">
      <c r="A827" t="s">
        <v>5875</v>
      </c>
      <c r="B827" t="s">
        <v>64</v>
      </c>
      <c r="C827" t="s">
        <v>100</v>
      </c>
      <c r="D827" t="s">
        <v>132</v>
      </c>
      <c r="E827" t="s">
        <v>1062</v>
      </c>
      <c r="F827" t="s">
        <v>1063</v>
      </c>
      <c r="G827">
        <v>4320</v>
      </c>
      <c r="H827" t="s">
        <v>75</v>
      </c>
      <c r="I827" t="s">
        <v>5876</v>
      </c>
      <c r="J827" s="1520">
        <v>46245</v>
      </c>
      <c r="K827" s="1520">
        <v>46281</v>
      </c>
      <c r="L827" s="1520">
        <v>46284.875</v>
      </c>
      <c r="M827" s="1520">
        <v>46285.134953703702</v>
      </c>
      <c r="N827" t="s">
        <v>2434</v>
      </c>
      <c r="O827" s="1520">
        <v>46300</v>
      </c>
      <c r="P827" s="1520">
        <v>46292.134953703702</v>
      </c>
    </row>
    <row r="828" spans="1:16">
      <c r="A828" t="s">
        <v>5968</v>
      </c>
      <c r="B828" t="s">
        <v>64</v>
      </c>
      <c r="C828" t="s">
        <v>310</v>
      </c>
      <c r="D828" t="s">
        <v>284</v>
      </c>
      <c r="E828" t="s">
        <v>5592</v>
      </c>
      <c r="F828" t="s">
        <v>1570</v>
      </c>
      <c r="G828">
        <v>2160</v>
      </c>
      <c r="H828" t="s">
        <v>951</v>
      </c>
      <c r="I828" t="s">
        <v>5969</v>
      </c>
      <c r="J828" s="1520">
        <v>46243</v>
      </c>
      <c r="K828" s="1520">
        <v>46306</v>
      </c>
      <c r="L828" s="1520">
        <v>46338.75</v>
      </c>
      <c r="M828" s="1520" t="s">
        <v>2480</v>
      </c>
      <c r="N828" t="s">
        <v>2434</v>
      </c>
      <c r="O828" s="1520">
        <v>46331</v>
      </c>
      <c r="P828" s="1520">
        <v>46348.75</v>
      </c>
    </row>
    <row r="829" spans="1:16">
      <c r="A829" t="s">
        <v>5972</v>
      </c>
      <c r="B829" t="s">
        <v>64</v>
      </c>
      <c r="C829" t="s">
        <v>100</v>
      </c>
      <c r="D829" t="s">
        <v>284</v>
      </c>
      <c r="E829" t="s">
        <v>5592</v>
      </c>
      <c r="F829" t="s">
        <v>1570</v>
      </c>
      <c r="G829">
        <v>2160</v>
      </c>
      <c r="H829" t="s">
        <v>75</v>
      </c>
      <c r="I829" t="s">
        <v>5973</v>
      </c>
      <c r="J829" s="1520">
        <v>46243</v>
      </c>
      <c r="K829" s="1520">
        <v>46287</v>
      </c>
      <c r="L829" s="1520">
        <v>46289.958333333336</v>
      </c>
      <c r="M829" s="1520">
        <v>46290.180347222224</v>
      </c>
      <c r="N829" t="s">
        <v>2434</v>
      </c>
      <c r="O829" s="1520">
        <v>46303</v>
      </c>
      <c r="P829" s="1520">
        <v>46297.180347222224</v>
      </c>
    </row>
    <row r="830" spans="1:16">
      <c r="A830" t="s">
        <v>5976</v>
      </c>
      <c r="B830" t="s">
        <v>64</v>
      </c>
      <c r="C830" t="s">
        <v>100</v>
      </c>
      <c r="D830" t="s">
        <v>284</v>
      </c>
      <c r="E830" t="s">
        <v>5592</v>
      </c>
      <c r="F830" t="s">
        <v>1570</v>
      </c>
      <c r="G830">
        <v>1440</v>
      </c>
      <c r="H830" t="s">
        <v>75</v>
      </c>
      <c r="I830" t="s">
        <v>5977</v>
      </c>
      <c r="J830" s="1520">
        <v>46243</v>
      </c>
      <c r="K830" s="1520">
        <v>46287</v>
      </c>
      <c r="L830" s="1520">
        <v>46289.958333333336</v>
      </c>
      <c r="M830" s="1520">
        <v>46290.180347222224</v>
      </c>
      <c r="N830" t="s">
        <v>2434</v>
      </c>
      <c r="O830" s="1520">
        <v>46303</v>
      </c>
      <c r="P830" s="1520">
        <v>46297.180347222224</v>
      </c>
    </row>
    <row r="831" spans="1:16">
      <c r="A831" t="s">
        <v>5752</v>
      </c>
      <c r="B831" t="s">
        <v>64</v>
      </c>
      <c r="C831" t="s">
        <v>114</v>
      </c>
      <c r="D831" t="s">
        <v>5345</v>
      </c>
      <c r="E831" t="s">
        <v>5346</v>
      </c>
      <c r="F831" t="s">
        <v>5347</v>
      </c>
      <c r="G831">
        <v>1440</v>
      </c>
      <c r="H831" t="s">
        <v>75</v>
      </c>
      <c r="I831" t="s">
        <v>5753</v>
      </c>
      <c r="J831" s="1520">
        <v>46241</v>
      </c>
      <c r="K831" s="1520">
        <v>46282</v>
      </c>
      <c r="L831" s="1520">
        <v>46306</v>
      </c>
      <c r="M831" s="1520">
        <v>46304.744097222225</v>
      </c>
      <c r="N831" t="s">
        <v>2434</v>
      </c>
      <c r="O831" s="1520">
        <v>46303</v>
      </c>
      <c r="P831" s="1520">
        <v>46313.744097222225</v>
      </c>
    </row>
    <row r="832" spans="1:16">
      <c r="A832" t="s">
        <v>5778</v>
      </c>
      <c r="B832" t="s">
        <v>64</v>
      </c>
      <c r="C832" t="s">
        <v>114</v>
      </c>
      <c r="D832" t="s">
        <v>5345</v>
      </c>
      <c r="E832" t="s">
        <v>5564</v>
      </c>
      <c r="F832" t="s">
        <v>5565</v>
      </c>
      <c r="G832">
        <v>720</v>
      </c>
      <c r="H832" t="s">
        <v>75</v>
      </c>
      <c r="I832" t="s">
        <v>5779</v>
      </c>
      <c r="J832" s="1520">
        <v>46245</v>
      </c>
      <c r="K832" s="1520">
        <v>46282</v>
      </c>
      <c r="L832" s="1520">
        <v>46284</v>
      </c>
      <c r="M832" s="1520">
        <v>46284.052731481483</v>
      </c>
      <c r="N832" t="s">
        <v>2434</v>
      </c>
      <c r="O832" s="1520">
        <v>46296</v>
      </c>
      <c r="P832" s="1520">
        <v>46293.052731481483</v>
      </c>
    </row>
    <row r="833" spans="1:16">
      <c r="A833" t="s">
        <v>6025</v>
      </c>
      <c r="B833" t="s">
        <v>64</v>
      </c>
      <c r="C833" t="s">
        <v>100</v>
      </c>
      <c r="D833" t="s">
        <v>550</v>
      </c>
      <c r="E833" t="s">
        <v>2134</v>
      </c>
      <c r="F833" t="s">
        <v>2135</v>
      </c>
      <c r="G833">
        <v>1584</v>
      </c>
      <c r="H833" t="s">
        <v>75</v>
      </c>
      <c r="I833" t="s">
        <v>6026</v>
      </c>
      <c r="J833" s="1520">
        <v>46250</v>
      </c>
      <c r="K833" s="1520">
        <v>46298</v>
      </c>
      <c r="L833" s="1520">
        <v>46284.875</v>
      </c>
      <c r="M833" s="1520">
        <v>46285.134953703702</v>
      </c>
      <c r="N833" t="s">
        <v>2434</v>
      </c>
      <c r="O833" s="1520">
        <v>46303</v>
      </c>
      <c r="P833" s="1520">
        <v>46292.134953703702</v>
      </c>
    </row>
    <row r="834" spans="1:16">
      <c r="A834" t="s">
        <v>6107</v>
      </c>
      <c r="B834" t="s">
        <v>64</v>
      </c>
      <c r="C834" t="s">
        <v>310</v>
      </c>
      <c r="D834" t="s">
        <v>550</v>
      </c>
      <c r="E834" t="s">
        <v>2134</v>
      </c>
      <c r="F834" t="s">
        <v>2135</v>
      </c>
      <c r="G834">
        <v>792</v>
      </c>
      <c r="H834" t="s">
        <v>75</v>
      </c>
      <c r="I834" t="s">
        <v>6108</v>
      </c>
      <c r="J834" s="1520">
        <v>46252</v>
      </c>
      <c r="K834" s="1520">
        <v>46311</v>
      </c>
      <c r="L834" s="1520">
        <v>46313.875</v>
      </c>
      <c r="M834" s="1520">
        <v>46313.624143518522</v>
      </c>
      <c r="N834" t="s">
        <v>2434</v>
      </c>
      <c r="O834" s="1520">
        <v>46315</v>
      </c>
      <c r="P834" s="1520">
        <v>46323.624143518522</v>
      </c>
    </row>
    <row r="835" spans="1:16">
      <c r="A835" t="s">
        <v>6033</v>
      </c>
      <c r="B835" t="s">
        <v>64</v>
      </c>
      <c r="C835" t="s">
        <v>100</v>
      </c>
      <c r="D835" t="s">
        <v>550</v>
      </c>
      <c r="E835" t="s">
        <v>2134</v>
      </c>
      <c r="F835" t="s">
        <v>2135</v>
      </c>
      <c r="G835">
        <v>1584</v>
      </c>
      <c r="H835" t="s">
        <v>75</v>
      </c>
      <c r="I835" t="s">
        <v>6034</v>
      </c>
      <c r="J835" s="1520">
        <v>46250</v>
      </c>
      <c r="K835" s="1520">
        <v>46298</v>
      </c>
      <c r="L835" s="1520">
        <v>46284.875</v>
      </c>
      <c r="M835" s="1520">
        <v>46285.134953703702</v>
      </c>
      <c r="N835" t="s">
        <v>2434</v>
      </c>
      <c r="O835" s="1520">
        <v>46303</v>
      </c>
      <c r="P835" s="1520">
        <v>46292.134953703702</v>
      </c>
    </row>
    <row r="836" spans="1:16">
      <c r="A836" t="s">
        <v>6112</v>
      </c>
      <c r="B836" t="s">
        <v>64</v>
      </c>
      <c r="C836" t="s">
        <v>310</v>
      </c>
      <c r="D836" t="s">
        <v>550</v>
      </c>
      <c r="E836" t="s">
        <v>2134</v>
      </c>
      <c r="F836" t="s">
        <v>2135</v>
      </c>
      <c r="G836">
        <v>792</v>
      </c>
      <c r="H836" t="s">
        <v>75</v>
      </c>
      <c r="I836" t="s">
        <v>6113</v>
      </c>
      <c r="J836" s="1520">
        <v>46252</v>
      </c>
      <c r="K836" s="1520">
        <v>46311</v>
      </c>
      <c r="L836" s="1520">
        <v>46313.875</v>
      </c>
      <c r="M836" s="1520">
        <v>46313.624143518522</v>
      </c>
      <c r="N836" t="s">
        <v>2434</v>
      </c>
      <c r="O836" s="1520">
        <v>46315</v>
      </c>
      <c r="P836" s="1520">
        <v>46323.624143518522</v>
      </c>
    </row>
    <row r="837" spans="1:16">
      <c r="A837" t="s">
        <v>5932</v>
      </c>
      <c r="B837" t="s">
        <v>64</v>
      </c>
      <c r="C837" t="s">
        <v>65</v>
      </c>
      <c r="D837" t="s">
        <v>550</v>
      </c>
      <c r="E837" t="s">
        <v>551</v>
      </c>
      <c r="F837" t="s">
        <v>2151</v>
      </c>
      <c r="G837">
        <v>1584</v>
      </c>
      <c r="H837" t="s">
        <v>75</v>
      </c>
      <c r="I837" t="s">
        <v>5933</v>
      </c>
      <c r="J837" s="1520">
        <v>46246</v>
      </c>
      <c r="K837" s="1520">
        <v>46288</v>
      </c>
      <c r="L837" s="1520">
        <v>46290.25</v>
      </c>
      <c r="M837" s="1520">
        <v>46290.232800925929</v>
      </c>
      <c r="N837" t="s">
        <v>2434</v>
      </c>
      <c r="O837" s="1520">
        <v>46302</v>
      </c>
      <c r="P837" s="1520">
        <v>46298.232800925929</v>
      </c>
    </row>
    <row r="838" spans="1:16">
      <c r="A838" t="s">
        <v>6068</v>
      </c>
      <c r="B838" t="s">
        <v>64</v>
      </c>
      <c r="C838" t="s">
        <v>65</v>
      </c>
      <c r="D838" t="s">
        <v>132</v>
      </c>
      <c r="E838" t="s">
        <v>189</v>
      </c>
      <c r="F838" t="s">
        <v>190</v>
      </c>
      <c r="G838">
        <v>864</v>
      </c>
      <c r="H838" t="s">
        <v>75</v>
      </c>
      <c r="I838" t="s">
        <v>6069</v>
      </c>
      <c r="J838" s="1520">
        <v>46254</v>
      </c>
      <c r="K838" s="1520">
        <v>46295</v>
      </c>
      <c r="L838" s="1520">
        <v>46290.25</v>
      </c>
      <c r="M838" s="1520">
        <v>46290.232800925929</v>
      </c>
      <c r="N838" t="s">
        <v>2434</v>
      </c>
      <c r="O838" s="1520">
        <v>46302</v>
      </c>
      <c r="P838" s="1520">
        <v>46298.232800925929</v>
      </c>
    </row>
    <row r="839" spans="1:16">
      <c r="A839" t="s">
        <v>6168</v>
      </c>
      <c r="B839" t="s">
        <v>64</v>
      </c>
      <c r="C839" t="s">
        <v>100</v>
      </c>
      <c r="D839" t="s">
        <v>284</v>
      </c>
      <c r="E839" t="s">
        <v>6169</v>
      </c>
      <c r="F839" t="s">
        <v>1570</v>
      </c>
      <c r="G839">
        <v>1440</v>
      </c>
      <c r="H839" t="s">
        <v>75</v>
      </c>
      <c r="I839" t="s">
        <v>6170</v>
      </c>
      <c r="J839" s="1520">
        <v>46249</v>
      </c>
      <c r="K839" s="1520">
        <v>46309</v>
      </c>
      <c r="L839" s="1520"/>
      <c r="M839" s="1520">
        <v>46308</v>
      </c>
      <c r="N839" t="s">
        <v>2434</v>
      </c>
      <c r="O839" s="1520">
        <v>46305</v>
      </c>
      <c r="P839" s="1520">
        <v>46315</v>
      </c>
    </row>
    <row r="840" spans="1:16">
      <c r="A840" t="s">
        <v>6073</v>
      </c>
      <c r="B840" t="s">
        <v>64</v>
      </c>
      <c r="C840" t="s">
        <v>65</v>
      </c>
      <c r="D840" t="s">
        <v>132</v>
      </c>
      <c r="E840" t="s">
        <v>189</v>
      </c>
      <c r="F840" t="s">
        <v>190</v>
      </c>
      <c r="G840">
        <v>2592</v>
      </c>
      <c r="H840" t="s">
        <v>75</v>
      </c>
      <c r="I840" t="s">
        <v>6074</v>
      </c>
      <c r="J840" s="1520">
        <v>46254</v>
      </c>
      <c r="K840" s="1520">
        <v>46295</v>
      </c>
      <c r="L840" s="1520">
        <v>46290.25</v>
      </c>
      <c r="M840" s="1520">
        <v>46290.232800925929</v>
      </c>
      <c r="N840" t="s">
        <v>2434</v>
      </c>
      <c r="O840" s="1520">
        <v>46302</v>
      </c>
      <c r="P840" s="1520">
        <v>46298.232800925929</v>
      </c>
    </row>
    <row r="841" spans="1:16">
      <c r="A841" t="s">
        <v>5851</v>
      </c>
      <c r="B841" t="s">
        <v>144</v>
      </c>
      <c r="C841" t="s">
        <v>145</v>
      </c>
      <c r="D841" t="s">
        <v>4540</v>
      </c>
      <c r="E841" t="s">
        <v>71</v>
      </c>
      <c r="F841" t="s">
        <v>72</v>
      </c>
      <c r="G841">
        <v>3456</v>
      </c>
      <c r="H841" t="s">
        <v>75</v>
      </c>
      <c r="I841" t="s">
        <v>5853</v>
      </c>
      <c r="J841" s="1520">
        <v>46249</v>
      </c>
      <c r="K841" s="1520">
        <v>46295</v>
      </c>
      <c r="L841" s="1520">
        <v>46301.229166666664</v>
      </c>
      <c r="M841" s="1520">
        <v>46301</v>
      </c>
      <c r="N841" t="s">
        <v>973</v>
      </c>
      <c r="O841" s="1520">
        <v>46296</v>
      </c>
      <c r="P841" s="1520">
        <v>46301</v>
      </c>
    </row>
    <row r="842" spans="1:16">
      <c r="A842" t="s">
        <v>6135</v>
      </c>
      <c r="B842" t="s">
        <v>64</v>
      </c>
      <c r="C842" t="s">
        <v>65</v>
      </c>
      <c r="D842" t="s">
        <v>4540</v>
      </c>
      <c r="E842" t="s">
        <v>71</v>
      </c>
      <c r="F842" t="s">
        <v>72</v>
      </c>
      <c r="G842">
        <v>864</v>
      </c>
      <c r="H842" t="s">
        <v>75</v>
      </c>
      <c r="I842" t="s">
        <v>6136</v>
      </c>
      <c r="J842" s="1520">
        <v>46249</v>
      </c>
      <c r="K842" s="1520">
        <v>46300</v>
      </c>
      <c r="L842" s="1520">
        <v>46320.645833333336</v>
      </c>
      <c r="M842" s="1520">
        <v>46320.713321759256</v>
      </c>
      <c r="N842" t="s">
        <v>2434</v>
      </c>
      <c r="O842" s="1520">
        <v>46314</v>
      </c>
      <c r="P842" s="1520">
        <v>46328.713321759256</v>
      </c>
    </row>
    <row r="843" spans="1:16">
      <c r="A843" t="s">
        <v>6410</v>
      </c>
      <c r="B843" t="s">
        <v>64</v>
      </c>
      <c r="C843" t="s">
        <v>100</v>
      </c>
      <c r="D843" t="s">
        <v>4540</v>
      </c>
      <c r="E843" t="s">
        <v>1002</v>
      </c>
      <c r="F843" t="s">
        <v>330</v>
      </c>
      <c r="G843">
        <v>2880</v>
      </c>
      <c r="H843" t="s">
        <v>75</v>
      </c>
      <c r="I843" t="s">
        <v>6411</v>
      </c>
      <c r="J843" s="1520">
        <v>46253</v>
      </c>
      <c r="K843" s="1520">
        <v>46305</v>
      </c>
      <c r="L843" s="1520"/>
      <c r="M843" s="1520">
        <v>46305</v>
      </c>
      <c r="N843" t="s">
        <v>2434</v>
      </c>
      <c r="O843" s="1520">
        <v>46312</v>
      </c>
      <c r="P843" s="1520">
        <v>46312</v>
      </c>
    </row>
    <row r="844" spans="1:16">
      <c r="A844" t="s">
        <v>6181</v>
      </c>
      <c r="B844" t="s">
        <v>64</v>
      </c>
      <c r="C844" t="s">
        <v>100</v>
      </c>
      <c r="D844" t="s">
        <v>4540</v>
      </c>
      <c r="E844" t="s">
        <v>1002</v>
      </c>
      <c r="F844" t="s">
        <v>330</v>
      </c>
      <c r="G844">
        <v>1440</v>
      </c>
      <c r="H844" t="s">
        <v>75</v>
      </c>
      <c r="I844" t="s">
        <v>6182</v>
      </c>
      <c r="J844" s="1520">
        <v>46249</v>
      </c>
      <c r="K844" s="1520">
        <v>46305</v>
      </c>
      <c r="L844" s="1520">
        <v>46314</v>
      </c>
      <c r="M844" s="1520">
        <v>46316</v>
      </c>
      <c r="N844" t="s">
        <v>2434</v>
      </c>
      <c r="O844" s="1520">
        <v>46312</v>
      </c>
      <c r="P844" s="1520">
        <v>46323</v>
      </c>
    </row>
    <row r="845" spans="1:16">
      <c r="A845" t="s">
        <v>6149</v>
      </c>
      <c r="B845" t="s">
        <v>64</v>
      </c>
      <c r="C845" t="s">
        <v>100</v>
      </c>
      <c r="D845" t="s">
        <v>4540</v>
      </c>
      <c r="E845" t="s">
        <v>1002</v>
      </c>
      <c r="F845" t="s">
        <v>330</v>
      </c>
      <c r="G845">
        <v>3600</v>
      </c>
      <c r="H845" t="s">
        <v>951</v>
      </c>
      <c r="I845" t="s">
        <v>6150</v>
      </c>
      <c r="J845" s="1520">
        <v>46253</v>
      </c>
      <c r="K845" s="1520">
        <v>46314</v>
      </c>
      <c r="L845" s="1520">
        <v>46338</v>
      </c>
      <c r="M845" s="1520"/>
      <c r="N845" t="s">
        <v>2434</v>
      </c>
      <c r="O845" s="1520">
        <v>46321</v>
      </c>
      <c r="P845" s="1520">
        <v>46345</v>
      </c>
    </row>
    <row r="846" spans="1:16">
      <c r="A846" t="s">
        <v>6405</v>
      </c>
      <c r="B846" t="s">
        <v>64</v>
      </c>
      <c r="C846" t="s">
        <v>100</v>
      </c>
      <c r="D846" t="s">
        <v>4540</v>
      </c>
      <c r="E846" t="s">
        <v>1461</v>
      </c>
      <c r="F846" t="s">
        <v>103</v>
      </c>
      <c r="G846">
        <v>1440</v>
      </c>
      <c r="H846" t="s">
        <v>75</v>
      </c>
      <c r="I846" t="s">
        <v>6406</v>
      </c>
      <c r="J846" s="1520">
        <v>46253</v>
      </c>
      <c r="K846" s="1520">
        <v>46305</v>
      </c>
      <c r="L846" s="1520"/>
      <c r="M846" s="1520">
        <v>46305</v>
      </c>
      <c r="N846" t="s">
        <v>2434</v>
      </c>
      <c r="O846" s="1520">
        <v>46312</v>
      </c>
      <c r="P846" s="1520">
        <v>46312</v>
      </c>
    </row>
    <row r="847" spans="1:16">
      <c r="A847" t="s">
        <v>6171</v>
      </c>
      <c r="B847" t="s">
        <v>64</v>
      </c>
      <c r="C847" t="s">
        <v>100</v>
      </c>
      <c r="D847" t="s">
        <v>4540</v>
      </c>
      <c r="E847" t="s">
        <v>965</v>
      </c>
      <c r="F847" t="s">
        <v>966</v>
      </c>
      <c r="G847">
        <v>2808</v>
      </c>
      <c r="H847" t="s">
        <v>75</v>
      </c>
      <c r="I847" t="s">
        <v>6172</v>
      </c>
      <c r="J847" s="1520">
        <v>46249</v>
      </c>
      <c r="K847" s="1520">
        <v>46305</v>
      </c>
      <c r="L847" s="1520">
        <v>46314</v>
      </c>
      <c r="M847" s="1520">
        <v>46316</v>
      </c>
      <c r="N847" t="s">
        <v>2434</v>
      </c>
      <c r="O847" s="1520">
        <v>46312</v>
      </c>
      <c r="P847" s="1520">
        <v>46323</v>
      </c>
    </row>
    <row r="848" spans="1:16">
      <c r="A848" t="s">
        <v>6436</v>
      </c>
      <c r="B848" t="s">
        <v>64</v>
      </c>
      <c r="C848" t="s">
        <v>100</v>
      </c>
      <c r="D848" t="s">
        <v>4540</v>
      </c>
      <c r="E848" t="s">
        <v>965</v>
      </c>
      <c r="F848" t="s">
        <v>966</v>
      </c>
      <c r="G848">
        <v>5616</v>
      </c>
      <c r="H848" t="s">
        <v>75</v>
      </c>
      <c r="I848" t="s">
        <v>6437</v>
      </c>
      <c r="J848" s="1520">
        <v>46253</v>
      </c>
      <c r="K848" s="1520">
        <v>46313</v>
      </c>
      <c r="L848" s="1520">
        <v>46322</v>
      </c>
      <c r="M848" s="1520">
        <v>46324</v>
      </c>
      <c r="N848" t="s">
        <v>2434</v>
      </c>
      <c r="O848" s="1520">
        <v>46304</v>
      </c>
      <c r="P848" s="1520">
        <v>46331</v>
      </c>
    </row>
    <row r="849" spans="1:16">
      <c r="A849" t="s">
        <v>6132</v>
      </c>
      <c r="B849" t="s">
        <v>64</v>
      </c>
      <c r="C849" t="s">
        <v>100</v>
      </c>
      <c r="D849" t="s">
        <v>4540</v>
      </c>
      <c r="E849" t="s">
        <v>195</v>
      </c>
      <c r="F849" t="s">
        <v>196</v>
      </c>
      <c r="G849">
        <v>4680</v>
      </c>
      <c r="H849" t="s">
        <v>75</v>
      </c>
      <c r="I849" t="s">
        <v>6134</v>
      </c>
      <c r="J849" s="1520">
        <v>46249</v>
      </c>
      <c r="K849" s="1520">
        <v>46292</v>
      </c>
      <c r="L849" s="1520">
        <v>46299</v>
      </c>
      <c r="M849" s="1520">
        <v>46300</v>
      </c>
      <c r="N849" t="s">
        <v>2434</v>
      </c>
      <c r="O849" s="1520">
        <v>46309</v>
      </c>
      <c r="P849" s="1520">
        <v>46307</v>
      </c>
    </row>
    <row r="850" spans="1:16">
      <c r="A850" t="s">
        <v>6130</v>
      </c>
      <c r="B850" t="s">
        <v>64</v>
      </c>
      <c r="C850" t="s">
        <v>100</v>
      </c>
      <c r="D850" t="s">
        <v>4540</v>
      </c>
      <c r="E850" t="s">
        <v>195</v>
      </c>
      <c r="F850" t="s">
        <v>196</v>
      </c>
      <c r="G850">
        <v>2808</v>
      </c>
      <c r="H850" t="s">
        <v>75</v>
      </c>
      <c r="I850" t="s">
        <v>6131</v>
      </c>
      <c r="J850" s="1520">
        <v>46249</v>
      </c>
      <c r="K850" s="1520">
        <v>46292</v>
      </c>
      <c r="L850" s="1520">
        <v>46299</v>
      </c>
      <c r="M850" s="1520">
        <v>46300</v>
      </c>
      <c r="N850" t="s">
        <v>2434</v>
      </c>
      <c r="O850" s="1520">
        <v>46309</v>
      </c>
      <c r="P850" s="1520">
        <v>46307</v>
      </c>
    </row>
    <row r="851" spans="1:16">
      <c r="A851" t="s">
        <v>6126</v>
      </c>
      <c r="B851" t="s">
        <v>64</v>
      </c>
      <c r="C851" t="s">
        <v>100</v>
      </c>
      <c r="D851" t="s">
        <v>4540</v>
      </c>
      <c r="E851" t="s">
        <v>195</v>
      </c>
      <c r="F851" t="s">
        <v>196</v>
      </c>
      <c r="G851">
        <v>1872</v>
      </c>
      <c r="H851" t="s">
        <v>75</v>
      </c>
      <c r="I851" t="s">
        <v>6127</v>
      </c>
      <c r="J851" s="1520">
        <v>46249</v>
      </c>
      <c r="K851" s="1520">
        <v>46292</v>
      </c>
      <c r="L851" s="1520">
        <v>46299</v>
      </c>
      <c r="M851" s="1520">
        <v>46300</v>
      </c>
      <c r="N851" t="s">
        <v>2434</v>
      </c>
      <c r="O851" s="1520">
        <v>46309</v>
      </c>
      <c r="P851" s="1520">
        <v>46307</v>
      </c>
    </row>
    <row r="852" spans="1:16">
      <c r="A852" t="s">
        <v>6124</v>
      </c>
      <c r="B852" t="s">
        <v>64</v>
      </c>
      <c r="C852" t="s">
        <v>100</v>
      </c>
      <c r="D852" t="s">
        <v>4540</v>
      </c>
      <c r="E852" t="s">
        <v>195</v>
      </c>
      <c r="F852" t="s">
        <v>196</v>
      </c>
      <c r="G852">
        <v>936</v>
      </c>
      <c r="H852" t="s">
        <v>75</v>
      </c>
      <c r="I852" t="s">
        <v>6125</v>
      </c>
      <c r="J852" s="1520">
        <v>46249</v>
      </c>
      <c r="K852" s="1520">
        <v>46292</v>
      </c>
      <c r="L852" s="1520">
        <v>46299</v>
      </c>
      <c r="M852" s="1520">
        <v>46300</v>
      </c>
      <c r="N852" t="s">
        <v>2434</v>
      </c>
      <c r="O852" s="1520">
        <v>46309</v>
      </c>
      <c r="P852" s="1520">
        <v>46307</v>
      </c>
    </row>
    <row r="853" spans="1:16">
      <c r="A853" t="s">
        <v>6121</v>
      </c>
      <c r="B853" t="s">
        <v>64</v>
      </c>
      <c r="C853" t="s">
        <v>100</v>
      </c>
      <c r="D853" t="s">
        <v>4540</v>
      </c>
      <c r="E853" t="s">
        <v>195</v>
      </c>
      <c r="F853" t="s">
        <v>196</v>
      </c>
      <c r="G853">
        <v>3744</v>
      </c>
      <c r="H853" t="s">
        <v>75</v>
      </c>
      <c r="I853" t="s">
        <v>6123</v>
      </c>
      <c r="J853" s="1520">
        <v>46249</v>
      </c>
      <c r="K853" s="1520">
        <v>46292</v>
      </c>
      <c r="L853" s="1520">
        <v>46299</v>
      </c>
      <c r="M853" s="1520">
        <v>46300</v>
      </c>
      <c r="N853" t="s">
        <v>2434</v>
      </c>
      <c r="O853" s="1520">
        <v>46309</v>
      </c>
      <c r="P853" s="1520">
        <v>46307</v>
      </c>
    </row>
    <row r="854" spans="1:16">
      <c r="A854" t="s">
        <v>6114</v>
      </c>
      <c r="B854" t="s">
        <v>64</v>
      </c>
      <c r="C854" t="s">
        <v>100</v>
      </c>
      <c r="D854" t="s">
        <v>4540</v>
      </c>
      <c r="E854" t="s">
        <v>195</v>
      </c>
      <c r="F854" t="s">
        <v>196</v>
      </c>
      <c r="G854">
        <v>3744</v>
      </c>
      <c r="H854" t="s">
        <v>75</v>
      </c>
      <c r="I854" t="s">
        <v>6116</v>
      </c>
      <c r="J854" s="1520">
        <v>46249</v>
      </c>
      <c r="K854" s="1520">
        <v>46292</v>
      </c>
      <c r="L854" s="1520">
        <v>46299</v>
      </c>
      <c r="M854" s="1520">
        <v>46300</v>
      </c>
      <c r="N854" t="s">
        <v>2434</v>
      </c>
      <c r="O854" s="1520">
        <v>46309</v>
      </c>
      <c r="P854" s="1520">
        <v>46307</v>
      </c>
    </row>
    <row r="855" spans="1:16">
      <c r="A855" t="s">
        <v>6177</v>
      </c>
      <c r="B855" t="s">
        <v>64</v>
      </c>
      <c r="C855" t="s">
        <v>100</v>
      </c>
      <c r="D855" t="s">
        <v>4540</v>
      </c>
      <c r="E855" t="s">
        <v>195</v>
      </c>
      <c r="F855" t="s">
        <v>196</v>
      </c>
      <c r="G855">
        <v>2808</v>
      </c>
      <c r="H855" t="s">
        <v>75</v>
      </c>
      <c r="I855" t="s">
        <v>6178</v>
      </c>
      <c r="J855" s="1520">
        <v>46249</v>
      </c>
      <c r="K855" s="1520">
        <v>46305</v>
      </c>
      <c r="L855" s="1520">
        <v>46314</v>
      </c>
      <c r="M855" s="1520">
        <v>46316</v>
      </c>
      <c r="N855" t="s">
        <v>2434</v>
      </c>
      <c r="O855" s="1520">
        <v>46312</v>
      </c>
      <c r="P855" s="1520">
        <v>46323</v>
      </c>
    </row>
    <row r="856" spans="1:16">
      <c r="A856" t="s">
        <v>6166</v>
      </c>
      <c r="B856" t="s">
        <v>64</v>
      </c>
      <c r="C856" t="s">
        <v>100</v>
      </c>
      <c r="D856" t="s">
        <v>4540</v>
      </c>
      <c r="E856" t="s">
        <v>195</v>
      </c>
      <c r="F856" t="s">
        <v>196</v>
      </c>
      <c r="G856">
        <v>936</v>
      </c>
      <c r="H856" t="s">
        <v>75</v>
      </c>
      <c r="I856" t="s">
        <v>6167</v>
      </c>
      <c r="J856" s="1520">
        <v>46249</v>
      </c>
      <c r="K856" s="1520">
        <v>46309</v>
      </c>
      <c r="L856" s="1520"/>
      <c r="M856" s="1520">
        <v>46308</v>
      </c>
      <c r="N856" t="s">
        <v>2434</v>
      </c>
      <c r="O856" s="1520">
        <v>46305</v>
      </c>
      <c r="P856" s="1520">
        <v>46315</v>
      </c>
    </row>
    <row r="857" spans="1:16">
      <c r="A857" t="s">
        <v>6164</v>
      </c>
      <c r="B857" t="s">
        <v>64</v>
      </c>
      <c r="C857" t="s">
        <v>100</v>
      </c>
      <c r="D857" t="s">
        <v>4540</v>
      </c>
      <c r="E857" t="s">
        <v>195</v>
      </c>
      <c r="F857" t="s">
        <v>196</v>
      </c>
      <c r="G857">
        <v>4680</v>
      </c>
      <c r="H857" t="s">
        <v>75</v>
      </c>
      <c r="I857" t="s">
        <v>6165</v>
      </c>
      <c r="J857" s="1520">
        <v>46249</v>
      </c>
      <c r="K857" s="1520">
        <v>46309</v>
      </c>
      <c r="L857" s="1520"/>
      <c r="M857" s="1520">
        <v>46308</v>
      </c>
      <c r="N857" t="s">
        <v>2434</v>
      </c>
      <c r="O857" s="1520">
        <v>46305</v>
      </c>
      <c r="P857" s="1520">
        <v>46315</v>
      </c>
    </row>
    <row r="858" spans="1:16">
      <c r="A858" t="s">
        <v>6159</v>
      </c>
      <c r="B858" t="s">
        <v>64</v>
      </c>
      <c r="C858" t="s">
        <v>100</v>
      </c>
      <c r="D858" t="s">
        <v>4540</v>
      </c>
      <c r="E858" t="s">
        <v>195</v>
      </c>
      <c r="F858" t="s">
        <v>196</v>
      </c>
      <c r="G858">
        <v>3744</v>
      </c>
      <c r="H858" t="s">
        <v>75</v>
      </c>
      <c r="I858" t="s">
        <v>6160</v>
      </c>
      <c r="J858" s="1520">
        <v>46249</v>
      </c>
      <c r="K858" s="1520">
        <v>46309</v>
      </c>
      <c r="L858" s="1520"/>
      <c r="M858" s="1520">
        <v>46308</v>
      </c>
      <c r="N858" t="s">
        <v>2434</v>
      </c>
      <c r="O858" s="1520">
        <v>46305</v>
      </c>
      <c r="P858" s="1520">
        <v>46315</v>
      </c>
    </row>
    <row r="859" spans="1:16">
      <c r="A859" t="s">
        <v>6004</v>
      </c>
      <c r="B859" t="s">
        <v>64</v>
      </c>
      <c r="C859" t="s">
        <v>65</v>
      </c>
      <c r="D859" t="s">
        <v>4540</v>
      </c>
      <c r="E859" t="s">
        <v>1151</v>
      </c>
      <c r="F859" t="s">
        <v>421</v>
      </c>
      <c r="G859">
        <v>864</v>
      </c>
      <c r="H859" t="s">
        <v>75</v>
      </c>
      <c r="I859" t="s">
        <v>6005</v>
      </c>
      <c r="J859" s="1520">
        <v>46248</v>
      </c>
      <c r="K859" s="1520">
        <v>46288</v>
      </c>
      <c r="L859" s="1520">
        <v>46296.916666666664</v>
      </c>
      <c r="M859" s="1520">
        <v>46296</v>
      </c>
      <c r="N859" t="s">
        <v>2434</v>
      </c>
      <c r="O859" s="1520">
        <v>46309</v>
      </c>
      <c r="P859" s="1520">
        <v>46304</v>
      </c>
    </row>
    <row r="860" spans="1:16">
      <c r="A860" t="s">
        <v>6154</v>
      </c>
      <c r="B860" t="s">
        <v>64</v>
      </c>
      <c r="C860" t="s">
        <v>100</v>
      </c>
      <c r="D860" t="s">
        <v>4540</v>
      </c>
      <c r="E860" t="s">
        <v>195</v>
      </c>
      <c r="F860" t="s">
        <v>196</v>
      </c>
      <c r="G860">
        <v>3744</v>
      </c>
      <c r="H860" t="s">
        <v>75</v>
      </c>
      <c r="I860" t="s">
        <v>6155</v>
      </c>
      <c r="J860" s="1520">
        <v>46246</v>
      </c>
      <c r="K860" s="1520">
        <v>46307</v>
      </c>
      <c r="L860" s="1520">
        <v>46308</v>
      </c>
      <c r="M860" s="1520">
        <v>46308</v>
      </c>
      <c r="N860" t="s">
        <v>2434</v>
      </c>
      <c r="O860" s="1520">
        <v>46311</v>
      </c>
      <c r="P860" s="1520">
        <v>46315</v>
      </c>
    </row>
    <row r="861" spans="1:16">
      <c r="A861" t="s">
        <v>5999</v>
      </c>
      <c r="B861" t="s">
        <v>64</v>
      </c>
      <c r="C861" t="s">
        <v>100</v>
      </c>
      <c r="D861" t="s">
        <v>4540</v>
      </c>
      <c r="E861" t="s">
        <v>1151</v>
      </c>
      <c r="F861" t="s">
        <v>421</v>
      </c>
      <c r="G861">
        <v>864</v>
      </c>
      <c r="H861" t="s">
        <v>75</v>
      </c>
      <c r="I861" t="s">
        <v>6000</v>
      </c>
      <c r="J861" s="1520">
        <v>46246</v>
      </c>
      <c r="K861" s="1520">
        <v>46281</v>
      </c>
      <c r="L861" s="1520">
        <v>46300.4375</v>
      </c>
      <c r="M861" s="1520">
        <v>46300</v>
      </c>
      <c r="N861" t="s">
        <v>2434</v>
      </c>
      <c r="O861" s="1520">
        <v>46309</v>
      </c>
      <c r="P861" s="1520">
        <v>46307</v>
      </c>
    </row>
    <row r="862" spans="1:16">
      <c r="A862" t="s">
        <v>5994</v>
      </c>
      <c r="B862" t="s">
        <v>64</v>
      </c>
      <c r="C862" t="s">
        <v>100</v>
      </c>
      <c r="D862" t="s">
        <v>4540</v>
      </c>
      <c r="E862" t="s">
        <v>1151</v>
      </c>
      <c r="F862" t="s">
        <v>421</v>
      </c>
      <c r="G862">
        <v>864</v>
      </c>
      <c r="H862" t="s">
        <v>75</v>
      </c>
      <c r="I862" t="s">
        <v>5995</v>
      </c>
      <c r="J862" s="1520">
        <v>46246</v>
      </c>
      <c r="K862" s="1520">
        <v>46281</v>
      </c>
      <c r="L862" s="1520">
        <v>46300.4375</v>
      </c>
      <c r="M862" s="1520">
        <v>46300</v>
      </c>
      <c r="N862" t="s">
        <v>2434</v>
      </c>
      <c r="O862" s="1520">
        <v>46309</v>
      </c>
      <c r="P862" s="1520">
        <v>46307</v>
      </c>
    </row>
    <row r="863" spans="1:16">
      <c r="A863" t="s">
        <v>6353</v>
      </c>
      <c r="B863" t="s">
        <v>144</v>
      </c>
      <c r="C863" t="s">
        <v>145</v>
      </c>
      <c r="D863" t="s">
        <v>4540</v>
      </c>
      <c r="E863" t="s">
        <v>1151</v>
      </c>
      <c r="F863" t="s">
        <v>421</v>
      </c>
      <c r="G863">
        <v>864</v>
      </c>
      <c r="H863" t="s">
        <v>75</v>
      </c>
      <c r="I863" t="s">
        <v>6354</v>
      </c>
      <c r="J863" s="1520">
        <v>46251</v>
      </c>
      <c r="K863" s="1520">
        <v>46295</v>
      </c>
      <c r="L863" s="1520">
        <v>46296.916666666664</v>
      </c>
      <c r="M863" s="1520">
        <v>46296</v>
      </c>
      <c r="N863" t="s">
        <v>973</v>
      </c>
      <c r="O863" s="1520">
        <v>46295</v>
      </c>
      <c r="P863" s="1520">
        <v>46296</v>
      </c>
    </row>
    <row r="864" spans="1:16">
      <c r="A864" t="s">
        <v>6035</v>
      </c>
      <c r="B864" t="s">
        <v>64</v>
      </c>
      <c r="C864" t="s">
        <v>100</v>
      </c>
      <c r="D864" t="s">
        <v>4540</v>
      </c>
      <c r="E864" t="s">
        <v>5066</v>
      </c>
      <c r="F864" t="s">
        <v>1484</v>
      </c>
      <c r="G864">
        <v>594</v>
      </c>
      <c r="H864" t="s">
        <v>75</v>
      </c>
      <c r="I864" t="s">
        <v>6036</v>
      </c>
      <c r="J864" s="1520">
        <v>46250</v>
      </c>
      <c r="K864" s="1520">
        <v>46298</v>
      </c>
      <c r="L864" s="1520">
        <v>46284.875</v>
      </c>
      <c r="M864" s="1520">
        <v>46285.134953703702</v>
      </c>
      <c r="N864" t="s">
        <v>2434</v>
      </c>
      <c r="O864" s="1520">
        <v>46300</v>
      </c>
      <c r="P864" s="1520">
        <v>46292.134953703702</v>
      </c>
    </row>
    <row r="865" spans="1:16">
      <c r="A865" t="s">
        <v>6039</v>
      </c>
      <c r="B865" t="s">
        <v>64</v>
      </c>
      <c r="C865" t="s">
        <v>100</v>
      </c>
      <c r="D865" t="s">
        <v>4540</v>
      </c>
      <c r="E865" t="s">
        <v>5066</v>
      </c>
      <c r="F865" t="s">
        <v>1484</v>
      </c>
      <c r="G865">
        <v>594</v>
      </c>
      <c r="H865" t="s">
        <v>75</v>
      </c>
      <c r="I865" t="s">
        <v>6040</v>
      </c>
      <c r="J865" s="1520">
        <v>46250</v>
      </c>
      <c r="K865" s="1520">
        <v>46298</v>
      </c>
      <c r="L865" s="1520">
        <v>46284.875</v>
      </c>
      <c r="M865" s="1520">
        <v>46285.134953703702</v>
      </c>
      <c r="N865" t="s">
        <v>2434</v>
      </c>
      <c r="O865" s="1520">
        <v>46300</v>
      </c>
      <c r="P865" s="1520">
        <v>46292.134953703702</v>
      </c>
    </row>
    <row r="866" spans="1:16">
      <c r="A866" t="s">
        <v>6060</v>
      </c>
      <c r="B866" t="s">
        <v>64</v>
      </c>
      <c r="C866" t="s">
        <v>100</v>
      </c>
      <c r="D866" t="s">
        <v>4540</v>
      </c>
      <c r="E866" t="s">
        <v>5050</v>
      </c>
      <c r="F866" t="s">
        <v>1807</v>
      </c>
      <c r="G866">
        <v>1782</v>
      </c>
      <c r="H866" t="s">
        <v>75</v>
      </c>
      <c r="I866" t="s">
        <v>6061</v>
      </c>
      <c r="J866" s="1520">
        <v>46249</v>
      </c>
      <c r="K866" s="1520">
        <v>46282</v>
      </c>
      <c r="L866" s="1520">
        <v>46284.875</v>
      </c>
      <c r="M866" s="1520">
        <v>46285.134953703702</v>
      </c>
      <c r="N866" t="s">
        <v>2434</v>
      </c>
      <c r="O866" s="1520">
        <v>46300</v>
      </c>
      <c r="P866" s="1520">
        <v>46292.134953703702</v>
      </c>
    </row>
    <row r="867" spans="1:16">
      <c r="A867" t="s">
        <v>5845</v>
      </c>
      <c r="B867" t="s">
        <v>144</v>
      </c>
      <c r="C867" t="s">
        <v>145</v>
      </c>
      <c r="D867" t="s">
        <v>4540</v>
      </c>
      <c r="E867" t="s">
        <v>4606</v>
      </c>
      <c r="F867" t="s">
        <v>4607</v>
      </c>
      <c r="G867">
        <v>720</v>
      </c>
      <c r="H867" t="s">
        <v>75</v>
      </c>
      <c r="I867" t="s">
        <v>5846</v>
      </c>
      <c r="J867" s="1520">
        <v>46248</v>
      </c>
      <c r="K867" s="1520">
        <v>46308</v>
      </c>
      <c r="L867" s="1520">
        <v>46315</v>
      </c>
      <c r="M867" s="1520">
        <v>46315</v>
      </c>
      <c r="N867" t="s">
        <v>973</v>
      </c>
      <c r="O867" s="1520">
        <v>46315</v>
      </c>
      <c r="P867" s="1520">
        <v>46315</v>
      </c>
    </row>
    <row r="868" spans="1:16">
      <c r="A868" t="s">
        <v>6041</v>
      </c>
      <c r="B868" t="s">
        <v>64</v>
      </c>
      <c r="C868" t="s">
        <v>100</v>
      </c>
      <c r="D868" t="s">
        <v>4540</v>
      </c>
      <c r="E868" t="s">
        <v>4601</v>
      </c>
      <c r="F868" t="s">
        <v>330</v>
      </c>
      <c r="G868">
        <v>720</v>
      </c>
      <c r="H868" t="s">
        <v>75</v>
      </c>
      <c r="I868" t="s">
        <v>6042</v>
      </c>
      <c r="J868" s="1520">
        <v>46250</v>
      </c>
      <c r="K868" s="1520">
        <v>46298</v>
      </c>
      <c r="L868" s="1520">
        <v>46284.875</v>
      </c>
      <c r="M868" s="1520">
        <v>46285.134953703702</v>
      </c>
      <c r="N868" t="s">
        <v>2434</v>
      </c>
      <c r="O868" s="1520">
        <v>46300</v>
      </c>
      <c r="P868" s="1520">
        <v>46292.134953703702</v>
      </c>
    </row>
    <row r="869" spans="1:16">
      <c r="A869" t="s">
        <v>6030</v>
      </c>
      <c r="B869" t="s">
        <v>64</v>
      </c>
      <c r="C869" t="s">
        <v>100</v>
      </c>
      <c r="D869" t="s">
        <v>132</v>
      </c>
      <c r="E869" t="s">
        <v>1062</v>
      </c>
      <c r="F869" t="s">
        <v>1063</v>
      </c>
      <c r="G869">
        <v>2592</v>
      </c>
      <c r="H869" t="s">
        <v>75</v>
      </c>
      <c r="I869" t="s">
        <v>6032</v>
      </c>
      <c r="J869" s="1520">
        <v>46250</v>
      </c>
      <c r="K869" s="1520">
        <v>46298</v>
      </c>
      <c r="L869" s="1520">
        <v>46284.875</v>
      </c>
      <c r="M869" s="1520">
        <v>46285.134953703702</v>
      </c>
      <c r="N869" t="s">
        <v>2434</v>
      </c>
      <c r="O869" s="1520">
        <v>46303</v>
      </c>
      <c r="P869" s="1520">
        <v>46292.134953703702</v>
      </c>
    </row>
    <row r="870" spans="1:16">
      <c r="A870" t="s">
        <v>5937</v>
      </c>
      <c r="B870" t="s">
        <v>144</v>
      </c>
      <c r="C870" t="s">
        <v>145</v>
      </c>
      <c r="D870" t="s">
        <v>5345</v>
      </c>
      <c r="E870" t="s">
        <v>5346</v>
      </c>
      <c r="F870" t="s">
        <v>5347</v>
      </c>
      <c r="G870">
        <v>2160</v>
      </c>
      <c r="H870" t="s">
        <v>75</v>
      </c>
      <c r="I870" t="s">
        <v>5938</v>
      </c>
      <c r="J870" s="1520">
        <v>46246</v>
      </c>
      <c r="K870" s="1520">
        <v>46282</v>
      </c>
      <c r="L870" s="1520">
        <v>46284.333333333336</v>
      </c>
      <c r="M870" s="1520">
        <v>46284.41574074074</v>
      </c>
      <c r="N870" t="s">
        <v>973</v>
      </c>
      <c r="O870" s="1520">
        <v>46282</v>
      </c>
      <c r="P870" s="1520">
        <v>46284.41574074074</v>
      </c>
    </row>
    <row r="871" spans="1:16">
      <c r="A871" t="s">
        <v>5858</v>
      </c>
      <c r="B871" t="s">
        <v>64</v>
      </c>
      <c r="C871" t="s">
        <v>450</v>
      </c>
      <c r="D871" t="s">
        <v>284</v>
      </c>
      <c r="E871" t="s">
        <v>5860</v>
      </c>
      <c r="F871" t="s">
        <v>5861</v>
      </c>
      <c r="G871">
        <v>936</v>
      </c>
      <c r="H871" t="s">
        <v>75</v>
      </c>
      <c r="I871" t="s">
        <v>5863</v>
      </c>
      <c r="J871" s="1520">
        <v>46249</v>
      </c>
      <c r="K871" s="1520">
        <v>46285</v>
      </c>
      <c r="L871" s="1520">
        <v>46290.041666666664</v>
      </c>
      <c r="M871" s="1520">
        <v>46290.087800925925</v>
      </c>
      <c r="N871" t="s">
        <v>2434</v>
      </c>
      <c r="O871" s="1520">
        <v>46303</v>
      </c>
      <c r="P871" s="1520">
        <v>46297.087800925925</v>
      </c>
    </row>
    <row r="872" spans="1:16">
      <c r="A872" t="s">
        <v>6001</v>
      </c>
      <c r="B872" t="s">
        <v>64</v>
      </c>
      <c r="C872" t="s">
        <v>100</v>
      </c>
      <c r="D872" t="s">
        <v>284</v>
      </c>
      <c r="E872" t="s">
        <v>5860</v>
      </c>
      <c r="F872" t="s">
        <v>5861</v>
      </c>
      <c r="G872">
        <v>936</v>
      </c>
      <c r="H872" t="s">
        <v>75</v>
      </c>
      <c r="I872" t="s">
        <v>6002</v>
      </c>
      <c r="J872" s="1520">
        <v>46246</v>
      </c>
      <c r="K872" s="1520">
        <v>46281</v>
      </c>
      <c r="L872" s="1520">
        <v>46300.4375</v>
      </c>
      <c r="M872" s="1520">
        <v>46300</v>
      </c>
      <c r="N872" t="s">
        <v>2434</v>
      </c>
      <c r="O872" s="1520">
        <v>46309</v>
      </c>
      <c r="P872" s="1520">
        <v>46307</v>
      </c>
    </row>
    <row r="873" spans="1:16">
      <c r="A873" t="s">
        <v>6144</v>
      </c>
      <c r="B873" t="s">
        <v>64</v>
      </c>
      <c r="C873" t="s">
        <v>100</v>
      </c>
      <c r="D873" t="s">
        <v>284</v>
      </c>
      <c r="E873" t="s">
        <v>5860</v>
      </c>
      <c r="F873" t="s">
        <v>5861</v>
      </c>
      <c r="G873">
        <v>4680</v>
      </c>
      <c r="H873" t="s">
        <v>75</v>
      </c>
      <c r="I873" t="s">
        <v>6145</v>
      </c>
      <c r="J873" s="1520">
        <v>46248</v>
      </c>
      <c r="K873" s="1520">
        <v>46281</v>
      </c>
      <c r="L873" s="1520">
        <v>46289.958333333336</v>
      </c>
      <c r="M873" s="1520">
        <v>46290.180347222224</v>
      </c>
      <c r="N873" t="s">
        <v>2434</v>
      </c>
      <c r="O873" s="1520">
        <v>46303</v>
      </c>
      <c r="P873" s="1520">
        <v>46297.180347222224</v>
      </c>
    </row>
    <row r="874" spans="1:16">
      <c r="A874" t="s">
        <v>5342</v>
      </c>
      <c r="B874" t="s">
        <v>64</v>
      </c>
      <c r="C874" t="s">
        <v>114</v>
      </c>
      <c r="D874" t="s">
        <v>5345</v>
      </c>
      <c r="E874" t="s">
        <v>5346</v>
      </c>
      <c r="F874" t="s">
        <v>5347</v>
      </c>
      <c r="G874">
        <v>3600</v>
      </c>
      <c r="H874" t="s">
        <v>75</v>
      </c>
      <c r="I874" t="s">
        <v>5349</v>
      </c>
      <c r="J874" s="1520">
        <v>46217</v>
      </c>
      <c r="K874" s="1520">
        <v>46254</v>
      </c>
      <c r="L874" s="1520">
        <v>46267.791666666664</v>
      </c>
      <c r="M874" s="1520">
        <v>46268.28087962963</v>
      </c>
      <c r="N874" t="s">
        <v>2434</v>
      </c>
      <c r="O874" s="1520">
        <v>46267</v>
      </c>
      <c r="P874" s="1520">
        <v>46277.28087962963</v>
      </c>
    </row>
    <row r="875" spans="1:16">
      <c r="A875" t="s">
        <v>6013</v>
      </c>
      <c r="B875" t="s">
        <v>144</v>
      </c>
      <c r="C875" t="s">
        <v>145</v>
      </c>
      <c r="D875" t="s">
        <v>5388</v>
      </c>
      <c r="E875" t="s">
        <v>5409</v>
      </c>
      <c r="F875" t="s">
        <v>5410</v>
      </c>
      <c r="G875">
        <v>936</v>
      </c>
      <c r="H875" t="s">
        <v>75</v>
      </c>
      <c r="I875" t="s">
        <v>6014</v>
      </c>
      <c r="J875" s="1520">
        <v>46253</v>
      </c>
      <c r="K875" s="1520">
        <v>46287</v>
      </c>
      <c r="L875" s="1520">
        <v>46289.958333333336</v>
      </c>
      <c r="M875" s="1520">
        <v>46290.180347222224</v>
      </c>
      <c r="N875" t="s">
        <v>973</v>
      </c>
      <c r="O875" s="1520">
        <v>46287</v>
      </c>
      <c r="P875" s="1520">
        <v>46290.180347222224</v>
      </c>
    </row>
    <row r="876" spans="1:16">
      <c r="A876" t="s">
        <v>6243</v>
      </c>
      <c r="B876" t="s">
        <v>144</v>
      </c>
      <c r="C876" t="s">
        <v>145</v>
      </c>
      <c r="D876" t="s">
        <v>4540</v>
      </c>
      <c r="E876" t="s">
        <v>6245</v>
      </c>
      <c r="F876" t="s">
        <v>330</v>
      </c>
      <c r="G876">
        <v>4320</v>
      </c>
      <c r="H876" t="s">
        <v>75</v>
      </c>
      <c r="I876" t="s">
        <v>6247</v>
      </c>
      <c r="J876" s="1520">
        <v>46256</v>
      </c>
      <c r="K876" s="1520">
        <v>46305</v>
      </c>
      <c r="L876" s="1520">
        <v>46306.791666666664</v>
      </c>
      <c r="M876" s="1520">
        <v>46306.860671296294</v>
      </c>
      <c r="N876" t="s">
        <v>973</v>
      </c>
      <c r="O876" s="1520">
        <v>46305</v>
      </c>
      <c r="P876" s="1520">
        <v>46306.860671296294</v>
      </c>
    </row>
    <row r="877" spans="1:16">
      <c r="A877" t="s">
        <v>6418</v>
      </c>
      <c r="B877" t="s">
        <v>144</v>
      </c>
      <c r="C877" t="s">
        <v>145</v>
      </c>
      <c r="D877" t="s">
        <v>4540</v>
      </c>
      <c r="E877" t="s">
        <v>1151</v>
      </c>
      <c r="F877" t="s">
        <v>421</v>
      </c>
      <c r="G877">
        <v>1728</v>
      </c>
      <c r="H877" t="s">
        <v>75</v>
      </c>
      <c r="I877" t="s">
        <v>6420</v>
      </c>
      <c r="J877" s="1520">
        <v>46258</v>
      </c>
      <c r="K877" s="1520">
        <v>46316</v>
      </c>
      <c r="L877" s="1520">
        <v>46322.666666666664</v>
      </c>
      <c r="M877" s="1520">
        <v>46322.787372685183</v>
      </c>
      <c r="N877" t="s">
        <v>973</v>
      </c>
      <c r="O877" s="1520">
        <v>46316</v>
      </c>
      <c r="P877" s="1520">
        <v>46322.787372685183</v>
      </c>
    </row>
    <row r="878" spans="1:16">
      <c r="A878" t="s">
        <v>5947</v>
      </c>
      <c r="B878" t="s">
        <v>64</v>
      </c>
      <c r="C878" t="s">
        <v>65</v>
      </c>
      <c r="D878" t="s">
        <v>132</v>
      </c>
      <c r="E878" t="s">
        <v>1062</v>
      </c>
      <c r="F878" t="s">
        <v>1063</v>
      </c>
      <c r="G878">
        <v>1728</v>
      </c>
      <c r="H878" t="s">
        <v>75</v>
      </c>
      <c r="I878" t="s">
        <v>5948</v>
      </c>
      <c r="J878" s="1520">
        <v>46249</v>
      </c>
      <c r="K878" s="1520">
        <v>46295</v>
      </c>
      <c r="L878" s="1520">
        <v>46296.75</v>
      </c>
      <c r="M878" s="1520">
        <v>46296</v>
      </c>
      <c r="N878" t="s">
        <v>2434</v>
      </c>
      <c r="O878" s="1520">
        <v>46309</v>
      </c>
      <c r="P878" s="1520">
        <v>46304</v>
      </c>
    </row>
    <row r="879" spans="1:16">
      <c r="A879" t="s">
        <v>6075</v>
      </c>
      <c r="B879" t="s">
        <v>64</v>
      </c>
      <c r="C879" t="s">
        <v>65</v>
      </c>
      <c r="D879" t="s">
        <v>132</v>
      </c>
      <c r="E879" t="s">
        <v>1062</v>
      </c>
      <c r="F879" t="s">
        <v>1063</v>
      </c>
      <c r="G879">
        <v>2592</v>
      </c>
      <c r="H879" t="s">
        <v>75</v>
      </c>
      <c r="I879" t="s">
        <v>6076</v>
      </c>
      <c r="J879" s="1520">
        <v>46259</v>
      </c>
      <c r="K879" s="1520">
        <v>46307</v>
      </c>
      <c r="L879" s="1520">
        <v>46318.302083333336</v>
      </c>
      <c r="M879" s="1520">
        <v>46318.374756944446</v>
      </c>
      <c r="N879" t="s">
        <v>2434</v>
      </c>
      <c r="O879" s="1520">
        <v>46316</v>
      </c>
      <c r="P879" s="1520">
        <v>46326.374756944446</v>
      </c>
    </row>
    <row r="880" spans="1:16">
      <c r="A880" t="s">
        <v>6275</v>
      </c>
      <c r="B880" t="s">
        <v>144</v>
      </c>
      <c r="C880" t="s">
        <v>145</v>
      </c>
      <c r="D880" t="s">
        <v>4540</v>
      </c>
      <c r="E880" t="s">
        <v>6245</v>
      </c>
      <c r="F880" t="s">
        <v>330</v>
      </c>
      <c r="G880">
        <v>3600</v>
      </c>
      <c r="H880" t="s">
        <v>75</v>
      </c>
      <c r="I880" t="s">
        <v>6277</v>
      </c>
      <c r="J880" s="1520">
        <v>46257</v>
      </c>
      <c r="K880" s="1520">
        <v>46298</v>
      </c>
      <c r="L880" s="1520">
        <v>46308</v>
      </c>
      <c r="M880" s="1520">
        <v>46308</v>
      </c>
      <c r="N880" t="s">
        <v>973</v>
      </c>
      <c r="O880" s="1520">
        <v>46298</v>
      </c>
      <c r="P880" s="1520">
        <v>46308</v>
      </c>
    </row>
    <row r="881" spans="1:16">
      <c r="A881" t="s">
        <v>5955</v>
      </c>
      <c r="B881" t="s">
        <v>64</v>
      </c>
      <c r="C881" t="s">
        <v>65</v>
      </c>
      <c r="D881" t="s">
        <v>4540</v>
      </c>
      <c r="E881" t="s">
        <v>71</v>
      </c>
      <c r="F881" t="s">
        <v>72</v>
      </c>
      <c r="G881">
        <v>5184</v>
      </c>
      <c r="H881" t="s">
        <v>75</v>
      </c>
      <c r="I881" t="s">
        <v>5956</v>
      </c>
      <c r="J881" s="1520">
        <v>46249</v>
      </c>
      <c r="K881" s="1520">
        <v>46295</v>
      </c>
      <c r="L881" s="1520">
        <v>46296.75</v>
      </c>
      <c r="M881" s="1520">
        <v>46296</v>
      </c>
      <c r="N881" t="s">
        <v>2434</v>
      </c>
      <c r="O881" s="1520">
        <v>46309</v>
      </c>
      <c r="P881" s="1520">
        <v>46304</v>
      </c>
    </row>
    <row r="882" spans="1:16">
      <c r="A882" t="s">
        <v>6196</v>
      </c>
      <c r="B882" t="s">
        <v>64</v>
      </c>
      <c r="C882" t="s">
        <v>65</v>
      </c>
      <c r="D882" t="s">
        <v>284</v>
      </c>
      <c r="E882" t="s">
        <v>5505</v>
      </c>
      <c r="F882" t="s">
        <v>5355</v>
      </c>
      <c r="G882">
        <v>1440</v>
      </c>
      <c r="H882" t="s">
        <v>75</v>
      </c>
      <c r="I882" t="s">
        <v>6197</v>
      </c>
      <c r="J882" s="1520">
        <v>46254</v>
      </c>
      <c r="K882" s="1520">
        <v>46309</v>
      </c>
      <c r="L882" s="1520">
        <v>46322.666666666664</v>
      </c>
      <c r="M882" s="1520">
        <v>46322.787372685183</v>
      </c>
      <c r="N882" t="s">
        <v>2434</v>
      </c>
      <c r="O882" s="1520">
        <v>46328</v>
      </c>
      <c r="P882" s="1520">
        <v>46330.787372685183</v>
      </c>
    </row>
    <row r="883" spans="1:16">
      <c r="A883" t="s">
        <v>6101</v>
      </c>
      <c r="B883" t="s">
        <v>64</v>
      </c>
      <c r="C883" t="s">
        <v>114</v>
      </c>
      <c r="D883" t="s">
        <v>5345</v>
      </c>
      <c r="E883" t="s">
        <v>5346</v>
      </c>
      <c r="F883" t="s">
        <v>5347</v>
      </c>
      <c r="G883">
        <v>720</v>
      </c>
      <c r="H883" t="s">
        <v>951</v>
      </c>
      <c r="I883" t="s">
        <v>6102</v>
      </c>
      <c r="J883" s="1520">
        <v>46259</v>
      </c>
      <c r="K883" s="1520">
        <v>46310</v>
      </c>
      <c r="L883" s="1520">
        <v>46329.583333333336</v>
      </c>
      <c r="M883" s="1520" t="s">
        <v>2480</v>
      </c>
      <c r="N883" t="s">
        <v>2434</v>
      </c>
      <c r="O883" s="1520">
        <v>46320</v>
      </c>
      <c r="P883" s="1520">
        <v>46338.583333333336</v>
      </c>
    </row>
    <row r="884" spans="1:16">
      <c r="A884" t="s">
        <v>6103</v>
      </c>
      <c r="B884" t="s">
        <v>64</v>
      </c>
      <c r="C884" t="s">
        <v>114</v>
      </c>
      <c r="D884" t="s">
        <v>5345</v>
      </c>
      <c r="E884" t="s">
        <v>5564</v>
      </c>
      <c r="F884" t="s">
        <v>5565</v>
      </c>
      <c r="G884">
        <v>1440</v>
      </c>
      <c r="H884" t="s">
        <v>951</v>
      </c>
      <c r="I884" t="s">
        <v>6104</v>
      </c>
      <c r="J884" s="1520">
        <v>46259</v>
      </c>
      <c r="K884" s="1520">
        <v>46310</v>
      </c>
      <c r="L884" s="1520">
        <v>46329.583333333336</v>
      </c>
      <c r="M884" s="1520" t="s">
        <v>2480</v>
      </c>
      <c r="N884" t="s">
        <v>2434</v>
      </c>
      <c r="O884" s="1520">
        <v>46320</v>
      </c>
      <c r="P884" s="1520">
        <v>46338.583333333336</v>
      </c>
    </row>
    <row r="885" spans="1:16">
      <c r="A885" t="s">
        <v>6097</v>
      </c>
      <c r="B885" t="s">
        <v>64</v>
      </c>
      <c r="C885" t="s">
        <v>114</v>
      </c>
      <c r="D885" t="s">
        <v>5345</v>
      </c>
      <c r="E885" t="s">
        <v>5346</v>
      </c>
      <c r="F885" t="s">
        <v>5347</v>
      </c>
      <c r="G885">
        <v>720</v>
      </c>
      <c r="H885" t="s">
        <v>951</v>
      </c>
      <c r="I885" t="s">
        <v>6098</v>
      </c>
      <c r="J885" s="1520">
        <v>46259</v>
      </c>
      <c r="K885" s="1520">
        <v>46310</v>
      </c>
      <c r="L885" s="1520">
        <v>46329.583333333336</v>
      </c>
      <c r="M885" s="1520" t="s">
        <v>2480</v>
      </c>
      <c r="N885" t="s">
        <v>2434</v>
      </c>
      <c r="O885" s="1520">
        <v>46320</v>
      </c>
      <c r="P885" s="1520">
        <v>46338.583333333336</v>
      </c>
    </row>
    <row r="886" spans="1:16">
      <c r="A886" t="s">
        <v>5951</v>
      </c>
      <c r="B886" t="s">
        <v>64</v>
      </c>
      <c r="C886" t="s">
        <v>65</v>
      </c>
      <c r="D886" t="s">
        <v>5388</v>
      </c>
      <c r="E886" t="s">
        <v>5952</v>
      </c>
      <c r="F886" t="s">
        <v>5953</v>
      </c>
      <c r="G886">
        <v>5616</v>
      </c>
      <c r="H886" t="s">
        <v>75</v>
      </c>
      <c r="I886" t="s">
        <v>5954</v>
      </c>
      <c r="J886" s="1520">
        <v>46249</v>
      </c>
      <c r="K886" s="1520">
        <v>46295</v>
      </c>
      <c r="L886" s="1520">
        <v>46296.75</v>
      </c>
      <c r="M886" s="1520">
        <v>46296</v>
      </c>
      <c r="N886" t="s">
        <v>2434</v>
      </c>
      <c r="O886" s="1520">
        <v>46309</v>
      </c>
      <c r="P886" s="1520">
        <v>46304</v>
      </c>
    </row>
    <row r="887" spans="1:16">
      <c r="A887" t="s">
        <v>6194</v>
      </c>
      <c r="B887" t="s">
        <v>64</v>
      </c>
      <c r="C887" t="s">
        <v>65</v>
      </c>
      <c r="D887" t="s">
        <v>284</v>
      </c>
      <c r="E887" t="s">
        <v>5505</v>
      </c>
      <c r="F887" t="s">
        <v>5355</v>
      </c>
      <c r="G887">
        <v>720</v>
      </c>
      <c r="H887" t="s">
        <v>951</v>
      </c>
      <c r="I887" t="s">
        <v>6195</v>
      </c>
      <c r="J887" s="1520">
        <v>46254</v>
      </c>
      <c r="K887" s="1520">
        <v>46321</v>
      </c>
      <c r="L887" s="1520">
        <v>46330.916666666664</v>
      </c>
      <c r="M887" s="1520" t="s">
        <v>2480</v>
      </c>
      <c r="N887" t="s">
        <v>2434</v>
      </c>
      <c r="O887" s="1520">
        <v>46328</v>
      </c>
      <c r="P887" s="1520">
        <v>46338.916666666664</v>
      </c>
    </row>
    <row r="888" spans="1:16">
      <c r="A888" t="s">
        <v>6183</v>
      </c>
      <c r="B888" t="s">
        <v>64</v>
      </c>
      <c r="C888" t="s">
        <v>100</v>
      </c>
      <c r="D888" t="s">
        <v>284</v>
      </c>
      <c r="E888" t="s">
        <v>5592</v>
      </c>
      <c r="F888" t="s">
        <v>1570</v>
      </c>
      <c r="G888">
        <v>4320</v>
      </c>
      <c r="H888" t="s">
        <v>75</v>
      </c>
      <c r="I888" t="s">
        <v>6184</v>
      </c>
      <c r="J888" s="1520">
        <v>46254</v>
      </c>
      <c r="K888" s="1520">
        <v>46298</v>
      </c>
      <c r="L888" s="1520">
        <v>46304.020833333336</v>
      </c>
      <c r="M888" s="1520">
        <v>46304.003923611112</v>
      </c>
      <c r="N888" t="s">
        <v>2434</v>
      </c>
      <c r="O888" s="1520">
        <v>46305</v>
      </c>
      <c r="P888" s="1520">
        <v>46311.003923611112</v>
      </c>
    </row>
    <row r="889" spans="1:16">
      <c r="A889" t="s">
        <v>6392</v>
      </c>
      <c r="B889" t="s">
        <v>64</v>
      </c>
      <c r="C889" t="s">
        <v>100</v>
      </c>
      <c r="D889" t="s">
        <v>4540</v>
      </c>
      <c r="E889" t="s">
        <v>71</v>
      </c>
      <c r="F889" t="s">
        <v>72</v>
      </c>
      <c r="G889">
        <v>5184</v>
      </c>
      <c r="H889" t="s">
        <v>75</v>
      </c>
      <c r="I889" t="s">
        <v>6393</v>
      </c>
      <c r="J889" s="1520">
        <v>46258</v>
      </c>
      <c r="K889" s="1520">
        <v>46303</v>
      </c>
      <c r="L889" s="1520">
        <v>46308.083333333336</v>
      </c>
      <c r="M889" s="1520">
        <v>46308.112372685187</v>
      </c>
      <c r="N889" t="s">
        <v>2434</v>
      </c>
      <c r="O889" s="1520">
        <v>46310</v>
      </c>
      <c r="P889" s="1520">
        <v>46315.112372685187</v>
      </c>
    </row>
    <row r="890" spans="1:16">
      <c r="A890" t="s">
        <v>6270</v>
      </c>
      <c r="B890" t="s">
        <v>144</v>
      </c>
      <c r="C890" t="s">
        <v>145</v>
      </c>
      <c r="D890" t="s">
        <v>4540</v>
      </c>
      <c r="E890" t="s">
        <v>6245</v>
      </c>
      <c r="F890" t="s">
        <v>330</v>
      </c>
      <c r="G890">
        <v>3600</v>
      </c>
      <c r="H890" t="s">
        <v>75</v>
      </c>
      <c r="I890" t="s">
        <v>6272</v>
      </c>
      <c r="J890" s="1520">
        <v>46257</v>
      </c>
      <c r="K890" s="1520">
        <v>46298</v>
      </c>
      <c r="L890" s="1520">
        <v>46308</v>
      </c>
      <c r="M890" s="1520">
        <v>46308</v>
      </c>
      <c r="N890" t="s">
        <v>973</v>
      </c>
      <c r="O890" s="1520">
        <v>46298</v>
      </c>
      <c r="P890" s="1520">
        <v>46308</v>
      </c>
    </row>
    <row r="891" spans="1:16">
      <c r="A891" t="s">
        <v>6343</v>
      </c>
      <c r="B891" t="s">
        <v>64</v>
      </c>
      <c r="C891" t="s">
        <v>310</v>
      </c>
      <c r="D891" t="s">
        <v>550</v>
      </c>
      <c r="E891" t="s">
        <v>2134</v>
      </c>
      <c r="F891" t="s">
        <v>2135</v>
      </c>
      <c r="G891">
        <v>792</v>
      </c>
      <c r="H891" t="s">
        <v>75</v>
      </c>
      <c r="I891" t="s">
        <v>6344</v>
      </c>
      <c r="J891" s="1520">
        <v>46254</v>
      </c>
      <c r="K891" s="1520">
        <v>46308</v>
      </c>
      <c r="L891" s="1520">
        <v>46313.875</v>
      </c>
      <c r="M891" s="1520">
        <v>46313.624143518522</v>
      </c>
      <c r="N891" t="s">
        <v>2434</v>
      </c>
      <c r="O891" s="1520">
        <v>46310</v>
      </c>
      <c r="P891" s="1520">
        <v>46323.624143518522</v>
      </c>
    </row>
    <row r="892" spans="1:16">
      <c r="A892" t="s">
        <v>6305</v>
      </c>
      <c r="B892" t="s">
        <v>64</v>
      </c>
      <c r="C892" t="s">
        <v>310</v>
      </c>
      <c r="D892" t="s">
        <v>550</v>
      </c>
      <c r="E892" t="s">
        <v>2134</v>
      </c>
      <c r="F892" t="s">
        <v>2135</v>
      </c>
      <c r="G892">
        <v>1584</v>
      </c>
      <c r="H892" t="s">
        <v>951</v>
      </c>
      <c r="I892" t="s">
        <v>6306</v>
      </c>
      <c r="J892" s="1520">
        <v>46262</v>
      </c>
      <c r="K892" s="1520">
        <v>46318</v>
      </c>
      <c r="L892" s="1520">
        <v>46330.75</v>
      </c>
      <c r="M892" s="1520" t="s">
        <v>2480</v>
      </c>
      <c r="N892" t="s">
        <v>2434</v>
      </c>
      <c r="O892" s="1520">
        <v>46321</v>
      </c>
      <c r="P892" s="1520">
        <v>46340.75</v>
      </c>
    </row>
    <row r="893" spans="1:16">
      <c r="A893" t="s">
        <v>6140</v>
      </c>
      <c r="B893" t="s">
        <v>64</v>
      </c>
      <c r="C893" t="s">
        <v>310</v>
      </c>
      <c r="D893" t="s">
        <v>550</v>
      </c>
      <c r="E893" t="s">
        <v>2134</v>
      </c>
      <c r="F893" t="s">
        <v>2135</v>
      </c>
      <c r="G893">
        <v>792</v>
      </c>
      <c r="H893" t="s">
        <v>75</v>
      </c>
      <c r="I893" t="s">
        <v>6141</v>
      </c>
      <c r="J893" s="1520">
        <v>46247</v>
      </c>
      <c r="K893" s="1520">
        <v>46303</v>
      </c>
      <c r="L893" s="1520">
        <v>46313.875</v>
      </c>
      <c r="M893" s="1520">
        <v>46313.624143518522</v>
      </c>
      <c r="N893" t="s">
        <v>2434</v>
      </c>
      <c r="O893" s="1520">
        <v>46310</v>
      </c>
      <c r="P893" s="1520">
        <v>46323.624143518522</v>
      </c>
    </row>
    <row r="894" spans="1:16">
      <c r="A894" t="s">
        <v>6105</v>
      </c>
      <c r="B894" t="s">
        <v>64</v>
      </c>
      <c r="C894" t="s">
        <v>114</v>
      </c>
      <c r="D894" t="s">
        <v>550</v>
      </c>
      <c r="E894" t="s">
        <v>2134</v>
      </c>
      <c r="F894" t="s">
        <v>2135</v>
      </c>
      <c r="G894">
        <v>792</v>
      </c>
      <c r="H894" t="s">
        <v>951</v>
      </c>
      <c r="I894" t="s">
        <v>6106</v>
      </c>
      <c r="J894" s="1520">
        <v>46259</v>
      </c>
      <c r="K894" s="1520">
        <v>46310</v>
      </c>
      <c r="L894" s="1520">
        <v>46329.583333333336</v>
      </c>
      <c r="M894" s="1520" t="s">
        <v>2480</v>
      </c>
      <c r="N894" t="s">
        <v>2434</v>
      </c>
      <c r="O894" s="1520">
        <v>46321</v>
      </c>
      <c r="P894" s="1520">
        <v>46338.583333333336</v>
      </c>
    </row>
    <row r="895" spans="1:16">
      <c r="A895" t="s">
        <v>5741</v>
      </c>
      <c r="B895" t="s">
        <v>64</v>
      </c>
      <c r="C895" t="s">
        <v>65</v>
      </c>
      <c r="D895" t="s">
        <v>550</v>
      </c>
      <c r="E895" t="s">
        <v>551</v>
      </c>
      <c r="F895" t="s">
        <v>2151</v>
      </c>
      <c r="G895">
        <v>792</v>
      </c>
      <c r="H895" t="s">
        <v>75</v>
      </c>
      <c r="I895" t="s">
        <v>5742</v>
      </c>
      <c r="J895" s="1520">
        <v>46248</v>
      </c>
      <c r="K895" s="1520">
        <v>46300</v>
      </c>
      <c r="L895" s="1520">
        <v>46318.302083333336</v>
      </c>
      <c r="M895" s="1520">
        <v>46318.374756944446</v>
      </c>
      <c r="N895" t="s">
        <v>2434</v>
      </c>
      <c r="O895" s="1520">
        <v>46322</v>
      </c>
      <c r="P895" s="1520">
        <v>46326.374756944446</v>
      </c>
    </row>
    <row r="896" spans="1:16">
      <c r="A896" t="s">
        <v>6080</v>
      </c>
      <c r="B896" t="s">
        <v>64</v>
      </c>
      <c r="C896" t="s">
        <v>65</v>
      </c>
      <c r="D896" t="s">
        <v>550</v>
      </c>
      <c r="E896" t="s">
        <v>551</v>
      </c>
      <c r="F896" t="s">
        <v>2151</v>
      </c>
      <c r="G896">
        <v>1584</v>
      </c>
      <c r="H896" t="s">
        <v>75</v>
      </c>
      <c r="I896" t="s">
        <v>6081</v>
      </c>
      <c r="J896" s="1520">
        <v>46259</v>
      </c>
      <c r="K896" s="1520">
        <v>46307</v>
      </c>
      <c r="L896" s="1520">
        <v>46318.302083333336</v>
      </c>
      <c r="M896" s="1520">
        <v>46318.374756944446</v>
      </c>
      <c r="N896" t="s">
        <v>2434</v>
      </c>
      <c r="O896" s="1520">
        <v>46316</v>
      </c>
      <c r="P896" s="1520">
        <v>46326.374756944446</v>
      </c>
    </row>
    <row r="897" spans="1:16">
      <c r="A897" t="s">
        <v>5732</v>
      </c>
      <c r="B897" t="s">
        <v>64</v>
      </c>
      <c r="C897" t="s">
        <v>310</v>
      </c>
      <c r="D897" t="s">
        <v>550</v>
      </c>
      <c r="E897" t="s">
        <v>2134</v>
      </c>
      <c r="F897" t="s">
        <v>2135</v>
      </c>
      <c r="G897">
        <v>2376</v>
      </c>
      <c r="H897" t="s">
        <v>75</v>
      </c>
      <c r="I897" t="s">
        <v>5733</v>
      </c>
      <c r="J897" s="1520">
        <v>46248</v>
      </c>
      <c r="K897" s="1520">
        <v>46295</v>
      </c>
      <c r="L897" s="1520">
        <v>46323.25</v>
      </c>
      <c r="M897" s="1520">
        <v>46323.510312500002</v>
      </c>
      <c r="N897" t="s">
        <v>2434</v>
      </c>
      <c r="O897" s="1520">
        <v>46321</v>
      </c>
      <c r="P897" s="1520">
        <v>46333.510312500002</v>
      </c>
    </row>
    <row r="898" spans="1:16">
      <c r="A898" t="s">
        <v>6020</v>
      </c>
      <c r="B898" t="s">
        <v>64</v>
      </c>
      <c r="C898" t="s">
        <v>100</v>
      </c>
      <c r="D898" t="s">
        <v>550</v>
      </c>
      <c r="E898" t="s">
        <v>2134</v>
      </c>
      <c r="F898" t="s">
        <v>2135</v>
      </c>
      <c r="G898">
        <v>3960</v>
      </c>
      <c r="H898" t="s">
        <v>75</v>
      </c>
      <c r="I898" t="s">
        <v>6021</v>
      </c>
      <c r="J898" s="1520">
        <v>46251</v>
      </c>
      <c r="K898" s="1520">
        <v>46288</v>
      </c>
      <c r="L898" s="1520">
        <v>46289.958333333336</v>
      </c>
      <c r="M898" s="1520">
        <v>46290.180347222224</v>
      </c>
      <c r="N898" t="s">
        <v>2434</v>
      </c>
      <c r="O898" s="1520">
        <v>46303</v>
      </c>
      <c r="P898" s="1520">
        <v>46297.180347222224</v>
      </c>
    </row>
    <row r="899" spans="1:16">
      <c r="A899" t="s">
        <v>6430</v>
      </c>
      <c r="B899" t="s">
        <v>64</v>
      </c>
      <c r="C899" t="s">
        <v>100</v>
      </c>
      <c r="D899" t="s">
        <v>284</v>
      </c>
      <c r="E899" t="s">
        <v>6169</v>
      </c>
      <c r="F899" t="s">
        <v>1570</v>
      </c>
      <c r="G899">
        <v>720</v>
      </c>
      <c r="H899" t="s">
        <v>951</v>
      </c>
      <c r="I899" t="s">
        <v>6432</v>
      </c>
      <c r="J899" s="1520">
        <v>46259</v>
      </c>
      <c r="K899" s="1520">
        <v>46319</v>
      </c>
      <c r="L899" s="1520">
        <v>46336</v>
      </c>
      <c r="M899" s="1520"/>
      <c r="N899" t="s">
        <v>2434</v>
      </c>
      <c r="O899" s="1520">
        <v>46336</v>
      </c>
      <c r="P899" s="1520">
        <v>46343</v>
      </c>
    </row>
    <row r="900" spans="1:16">
      <c r="A900" t="s">
        <v>6200</v>
      </c>
      <c r="B900" t="s">
        <v>64</v>
      </c>
      <c r="C900" t="s">
        <v>310</v>
      </c>
      <c r="D900" t="s">
        <v>284</v>
      </c>
      <c r="E900" t="s">
        <v>6169</v>
      </c>
      <c r="F900" t="s">
        <v>1570</v>
      </c>
      <c r="G900">
        <v>720</v>
      </c>
      <c r="H900" t="s">
        <v>951</v>
      </c>
      <c r="I900" t="s">
        <v>6201</v>
      </c>
      <c r="J900" s="1520">
        <v>46254</v>
      </c>
      <c r="K900" s="1520">
        <v>46327</v>
      </c>
      <c r="L900" s="1520">
        <v>46330.75</v>
      </c>
      <c r="M900" s="1520" t="s">
        <v>2480</v>
      </c>
      <c r="N900" t="s">
        <v>2434</v>
      </c>
      <c r="O900" s="1520">
        <v>46328</v>
      </c>
      <c r="P900" s="1520">
        <v>46340.75</v>
      </c>
    </row>
    <row r="901" spans="1:16">
      <c r="A901" t="s">
        <v>6016</v>
      </c>
      <c r="B901" t="s">
        <v>64</v>
      </c>
      <c r="C901" t="s">
        <v>100</v>
      </c>
      <c r="D901" t="s">
        <v>4540</v>
      </c>
      <c r="E901" t="s">
        <v>5050</v>
      </c>
      <c r="F901" t="s">
        <v>1807</v>
      </c>
      <c r="G901">
        <v>5346</v>
      </c>
      <c r="H901" t="s">
        <v>75</v>
      </c>
      <c r="I901" t="s">
        <v>6017</v>
      </c>
      <c r="J901" s="1520">
        <v>46253</v>
      </c>
      <c r="K901" s="1520">
        <v>46287</v>
      </c>
      <c r="L901" s="1520">
        <v>46298.333333333336</v>
      </c>
      <c r="M901" s="1520">
        <v>46298</v>
      </c>
      <c r="N901" t="s">
        <v>2434</v>
      </c>
      <c r="O901" s="1520">
        <v>46311</v>
      </c>
      <c r="P901" s="1520">
        <v>46305</v>
      </c>
    </row>
    <row r="902" spans="1:16">
      <c r="A902" t="s">
        <v>6385</v>
      </c>
      <c r="B902" t="s">
        <v>64</v>
      </c>
      <c r="C902" t="s">
        <v>100</v>
      </c>
      <c r="D902" t="s">
        <v>4540</v>
      </c>
      <c r="E902" t="s">
        <v>1461</v>
      </c>
      <c r="F902" t="s">
        <v>103</v>
      </c>
      <c r="G902">
        <v>720</v>
      </c>
      <c r="H902" t="s">
        <v>75</v>
      </c>
      <c r="I902" t="s">
        <v>6386</v>
      </c>
      <c r="J902" s="1520">
        <v>46258</v>
      </c>
      <c r="K902" s="1520">
        <v>46303</v>
      </c>
      <c r="L902" s="1520">
        <v>46308.083333333336</v>
      </c>
      <c r="M902" s="1520">
        <v>46308.112372685187</v>
      </c>
      <c r="N902" t="s">
        <v>2434</v>
      </c>
      <c r="O902" s="1520">
        <v>46310</v>
      </c>
      <c r="P902" s="1520">
        <v>46315.112372685187</v>
      </c>
    </row>
    <row r="903" spans="1:16">
      <c r="A903" t="s">
        <v>5743</v>
      </c>
      <c r="B903" t="s">
        <v>64</v>
      </c>
      <c r="C903" t="s">
        <v>65</v>
      </c>
      <c r="D903" t="s">
        <v>5388</v>
      </c>
      <c r="E903" t="s">
        <v>5744</v>
      </c>
      <c r="F903" t="s">
        <v>5745</v>
      </c>
      <c r="G903">
        <v>936</v>
      </c>
      <c r="H903" t="s">
        <v>75</v>
      </c>
      <c r="I903" t="s">
        <v>5746</v>
      </c>
      <c r="J903" s="1520">
        <v>46248</v>
      </c>
      <c r="K903" s="1520">
        <v>46300</v>
      </c>
      <c r="L903" s="1520">
        <v>46318.302083333336</v>
      </c>
      <c r="M903" s="1520">
        <v>46318.374756944446</v>
      </c>
      <c r="N903" t="s">
        <v>2434</v>
      </c>
      <c r="O903" s="1520">
        <v>46322</v>
      </c>
      <c r="P903" s="1520">
        <v>46326.374756944446</v>
      </c>
    </row>
    <row r="904" spans="1:16">
      <c r="A904" t="s">
        <v>6190</v>
      </c>
      <c r="B904" t="s">
        <v>64</v>
      </c>
      <c r="C904" t="s">
        <v>65</v>
      </c>
      <c r="D904" t="s">
        <v>284</v>
      </c>
      <c r="E904" t="s">
        <v>6169</v>
      </c>
      <c r="F904" t="s">
        <v>1570</v>
      </c>
      <c r="G904">
        <v>2160</v>
      </c>
      <c r="H904" t="s">
        <v>951</v>
      </c>
      <c r="I904" t="s">
        <v>6191</v>
      </c>
      <c r="J904" s="1520">
        <v>46254</v>
      </c>
      <c r="K904" s="1520">
        <v>46321</v>
      </c>
      <c r="L904" s="1520">
        <v>46330.916666666664</v>
      </c>
      <c r="M904" s="1520" t="s">
        <v>2480</v>
      </c>
      <c r="N904" t="s">
        <v>2434</v>
      </c>
      <c r="O904" s="1520">
        <v>46328</v>
      </c>
      <c r="P904" s="1520">
        <v>46338.916666666664</v>
      </c>
    </row>
    <row r="905" spans="1:16">
      <c r="A905" t="s">
        <v>6416</v>
      </c>
      <c r="B905" t="s">
        <v>64</v>
      </c>
      <c r="C905" t="s">
        <v>65</v>
      </c>
      <c r="D905" t="s">
        <v>284</v>
      </c>
      <c r="E905" t="s">
        <v>6169</v>
      </c>
      <c r="F905" t="s">
        <v>1570</v>
      </c>
      <c r="G905">
        <v>720</v>
      </c>
      <c r="H905" t="s">
        <v>951</v>
      </c>
      <c r="I905" t="s">
        <v>6417</v>
      </c>
      <c r="J905" s="1520">
        <v>46258</v>
      </c>
      <c r="K905" s="1520">
        <v>46321</v>
      </c>
      <c r="L905" s="1520">
        <v>46336.25</v>
      </c>
      <c r="M905" s="1520" t="s">
        <v>2480</v>
      </c>
      <c r="N905" t="s">
        <v>2434</v>
      </c>
      <c r="O905" s="1520">
        <v>46329</v>
      </c>
      <c r="P905" s="1520">
        <v>46344.25</v>
      </c>
    </row>
    <row r="906" spans="1:16">
      <c r="A906" t="s">
        <v>6258</v>
      </c>
      <c r="B906" t="s">
        <v>64</v>
      </c>
      <c r="C906" t="s">
        <v>100</v>
      </c>
      <c r="D906" t="s">
        <v>284</v>
      </c>
      <c r="E906" t="s">
        <v>5860</v>
      </c>
      <c r="F906" t="s">
        <v>5861</v>
      </c>
      <c r="G906">
        <v>2808</v>
      </c>
      <c r="H906" t="s">
        <v>75</v>
      </c>
      <c r="I906" t="s">
        <v>6259</v>
      </c>
      <c r="J906" s="1520">
        <v>46257</v>
      </c>
      <c r="K906" s="1520">
        <v>46298</v>
      </c>
      <c r="L906" s="1520">
        <v>46308</v>
      </c>
      <c r="M906" s="1520">
        <v>46308</v>
      </c>
      <c r="N906" t="s">
        <v>2434</v>
      </c>
      <c r="O906" s="1520">
        <v>46305</v>
      </c>
      <c r="P906" s="1520">
        <v>46315</v>
      </c>
    </row>
    <row r="907" spans="1:16">
      <c r="A907" t="s">
        <v>6390</v>
      </c>
      <c r="B907" t="s">
        <v>64</v>
      </c>
      <c r="C907" t="s">
        <v>100</v>
      </c>
      <c r="D907" t="s">
        <v>284</v>
      </c>
      <c r="E907" t="s">
        <v>6169</v>
      </c>
      <c r="F907" t="s">
        <v>1570</v>
      </c>
      <c r="G907">
        <v>720</v>
      </c>
      <c r="H907" t="s">
        <v>75</v>
      </c>
      <c r="I907" t="s">
        <v>6391</v>
      </c>
      <c r="J907" s="1520">
        <v>46258</v>
      </c>
      <c r="K907" s="1520">
        <v>46303</v>
      </c>
      <c r="L907" s="1520">
        <v>46308.083333333336</v>
      </c>
      <c r="M907" s="1520">
        <v>46308.112372685187</v>
      </c>
      <c r="N907" t="s">
        <v>2434</v>
      </c>
      <c r="O907" s="1520">
        <v>46310</v>
      </c>
      <c r="P907" s="1520">
        <v>46315.112372685187</v>
      </c>
    </row>
    <row r="908" spans="1:16">
      <c r="A908" t="s">
        <v>6238</v>
      </c>
      <c r="B908" t="s">
        <v>144</v>
      </c>
      <c r="C908" t="s">
        <v>145</v>
      </c>
      <c r="D908" t="s">
        <v>5388</v>
      </c>
      <c r="E908" t="s">
        <v>5409</v>
      </c>
      <c r="F908" t="s">
        <v>5410</v>
      </c>
      <c r="G908">
        <v>1872</v>
      </c>
      <c r="H908" t="s">
        <v>75</v>
      </c>
      <c r="I908" t="s">
        <v>6239</v>
      </c>
      <c r="J908" s="1520">
        <v>46256</v>
      </c>
      <c r="K908" s="1520">
        <v>46305</v>
      </c>
      <c r="L908" s="1520">
        <v>46306.791666666664</v>
      </c>
      <c r="M908" s="1520">
        <v>46306.860671296294</v>
      </c>
      <c r="N908" t="s">
        <v>973</v>
      </c>
      <c r="O908" s="1520">
        <v>46305</v>
      </c>
      <c r="P908" s="1520">
        <v>46306.860671296294</v>
      </c>
    </row>
    <row r="909" spans="1:16">
      <c r="A909" t="s">
        <v>5737</v>
      </c>
      <c r="B909" t="s">
        <v>64</v>
      </c>
      <c r="C909" t="s">
        <v>65</v>
      </c>
      <c r="D909" t="s">
        <v>5388</v>
      </c>
      <c r="E909" t="s">
        <v>5409</v>
      </c>
      <c r="F909" t="s">
        <v>5410</v>
      </c>
      <c r="G909">
        <v>4680</v>
      </c>
      <c r="H909" t="s">
        <v>75</v>
      </c>
      <c r="I909" t="s">
        <v>5738</v>
      </c>
      <c r="J909" s="1520">
        <v>46248</v>
      </c>
      <c r="K909" s="1520">
        <v>46300</v>
      </c>
      <c r="L909" s="1520">
        <v>46318.302083333336</v>
      </c>
      <c r="M909" s="1520">
        <v>46318.374756944446</v>
      </c>
      <c r="N909" t="s">
        <v>2434</v>
      </c>
      <c r="O909" s="1520">
        <v>46322</v>
      </c>
      <c r="P909" s="1520">
        <v>46326.374756944446</v>
      </c>
    </row>
    <row r="910" spans="1:16">
      <c r="A910" t="s">
        <v>6228</v>
      </c>
      <c r="B910" t="s">
        <v>64</v>
      </c>
      <c r="C910" t="s">
        <v>450</v>
      </c>
      <c r="D910" t="s">
        <v>284</v>
      </c>
      <c r="E910" t="s">
        <v>5860</v>
      </c>
      <c r="F910" t="s">
        <v>5861</v>
      </c>
      <c r="G910">
        <v>936</v>
      </c>
      <c r="H910" t="s">
        <v>75</v>
      </c>
      <c r="I910" t="s">
        <v>6230</v>
      </c>
      <c r="J910" s="1520">
        <v>46258</v>
      </c>
      <c r="K910" s="1520">
        <v>46299</v>
      </c>
      <c r="L910" s="1520">
        <v>46299.166666666664</v>
      </c>
      <c r="M910" s="1520">
        <v>46299</v>
      </c>
      <c r="N910" t="s">
        <v>2434</v>
      </c>
      <c r="O910" s="1520">
        <v>46306</v>
      </c>
      <c r="P910" s="1520">
        <v>46306</v>
      </c>
    </row>
    <row r="911" spans="1:16">
      <c r="A911" t="s">
        <v>6231</v>
      </c>
      <c r="B911" t="s">
        <v>64</v>
      </c>
      <c r="C911" t="s">
        <v>450</v>
      </c>
      <c r="D911" t="s">
        <v>284</v>
      </c>
      <c r="E911" t="s">
        <v>5860</v>
      </c>
      <c r="F911" t="s">
        <v>5861</v>
      </c>
      <c r="G911">
        <v>936</v>
      </c>
      <c r="H911" t="s">
        <v>75</v>
      </c>
      <c r="I911" t="s">
        <v>6232</v>
      </c>
      <c r="J911" s="1520">
        <v>46258</v>
      </c>
      <c r="K911" s="1520">
        <v>46299</v>
      </c>
      <c r="L911" s="1520">
        <v>46299.166666666664</v>
      </c>
      <c r="M911" s="1520">
        <v>46299</v>
      </c>
      <c r="N911" t="s">
        <v>2434</v>
      </c>
      <c r="O911" s="1520">
        <v>46306</v>
      </c>
      <c r="P911" s="1520">
        <v>46306</v>
      </c>
    </row>
    <row r="912" spans="1:16">
      <c r="A912" t="s">
        <v>6188</v>
      </c>
      <c r="B912" t="s">
        <v>64</v>
      </c>
      <c r="C912" t="s">
        <v>100</v>
      </c>
      <c r="D912" t="s">
        <v>4540</v>
      </c>
      <c r="E912" t="s">
        <v>1002</v>
      </c>
      <c r="F912" t="s">
        <v>330</v>
      </c>
      <c r="G912">
        <v>1440</v>
      </c>
      <c r="H912" t="s">
        <v>75</v>
      </c>
      <c r="I912" t="s">
        <v>6189</v>
      </c>
      <c r="J912" s="1520">
        <v>46254</v>
      </c>
      <c r="K912" s="1520">
        <v>46298</v>
      </c>
      <c r="L912" s="1520">
        <v>46304.020833333336</v>
      </c>
      <c r="M912" s="1520">
        <v>46304.003923611112</v>
      </c>
      <c r="N912" t="s">
        <v>2434</v>
      </c>
      <c r="O912" s="1520">
        <v>46311</v>
      </c>
      <c r="P912" s="1520">
        <v>46311.003923611112</v>
      </c>
    </row>
    <row r="913" spans="1:16">
      <c r="A913" t="s">
        <v>6412</v>
      </c>
      <c r="B913" t="s">
        <v>64</v>
      </c>
      <c r="C913" t="s">
        <v>65</v>
      </c>
      <c r="D913" t="s">
        <v>4540</v>
      </c>
      <c r="E913" t="s">
        <v>1461</v>
      </c>
      <c r="F913" t="s">
        <v>103</v>
      </c>
      <c r="G913">
        <v>2160</v>
      </c>
      <c r="H913" t="s">
        <v>951</v>
      </c>
      <c r="I913" t="s">
        <v>6413</v>
      </c>
      <c r="J913" s="1520">
        <v>46258</v>
      </c>
      <c r="K913" s="1520">
        <v>46321</v>
      </c>
      <c r="L913" s="1520">
        <v>46336.25</v>
      </c>
      <c r="M913" s="1520" t="s">
        <v>2480</v>
      </c>
      <c r="N913" t="s">
        <v>2434</v>
      </c>
      <c r="O913" s="1520">
        <v>46329</v>
      </c>
      <c r="P913" s="1520">
        <v>46344.25</v>
      </c>
    </row>
    <row r="914" spans="1:16">
      <c r="A914" t="s">
        <v>6263</v>
      </c>
      <c r="B914" t="s">
        <v>64</v>
      </c>
      <c r="C914" t="s">
        <v>100</v>
      </c>
      <c r="D914" t="s">
        <v>284</v>
      </c>
      <c r="E914" t="s">
        <v>5860</v>
      </c>
      <c r="F914" t="s">
        <v>5861</v>
      </c>
      <c r="G914">
        <v>1872</v>
      </c>
      <c r="H914" t="s">
        <v>75</v>
      </c>
      <c r="I914" t="s">
        <v>6264</v>
      </c>
      <c r="J914" s="1520">
        <v>46257</v>
      </c>
      <c r="K914" s="1520">
        <v>46298</v>
      </c>
      <c r="L914" s="1520">
        <v>46308</v>
      </c>
      <c r="M914" s="1520">
        <v>46308</v>
      </c>
      <c r="N914" t="s">
        <v>2434</v>
      </c>
      <c r="O914" s="1520">
        <v>46305</v>
      </c>
      <c r="P914" s="1520">
        <v>46315</v>
      </c>
    </row>
    <row r="915" spans="1:16">
      <c r="A915" t="s">
        <v>6233</v>
      </c>
      <c r="B915" t="s">
        <v>144</v>
      </c>
      <c r="C915" t="s">
        <v>145</v>
      </c>
      <c r="D915" t="s">
        <v>284</v>
      </c>
      <c r="E915" t="s">
        <v>5860</v>
      </c>
      <c r="F915" t="s">
        <v>5861</v>
      </c>
      <c r="G915">
        <v>4680</v>
      </c>
      <c r="H915" t="s">
        <v>75</v>
      </c>
      <c r="I915" t="s">
        <v>6235</v>
      </c>
      <c r="J915" s="1520">
        <v>46258</v>
      </c>
      <c r="K915" s="1520">
        <v>46299</v>
      </c>
      <c r="L915" s="1520">
        <v>46299.166666666664</v>
      </c>
      <c r="M915" s="1520">
        <v>46299</v>
      </c>
      <c r="N915" t="s">
        <v>973</v>
      </c>
      <c r="O915" s="1520">
        <v>46294</v>
      </c>
      <c r="P915" s="1520">
        <v>46299</v>
      </c>
    </row>
    <row r="916" spans="1:16">
      <c r="A916" t="s">
        <v>6394</v>
      </c>
      <c r="B916" t="s">
        <v>64</v>
      </c>
      <c r="C916" t="s">
        <v>100</v>
      </c>
      <c r="D916" t="s">
        <v>4540</v>
      </c>
      <c r="E916" t="s">
        <v>1461</v>
      </c>
      <c r="F916" t="s">
        <v>103</v>
      </c>
      <c r="G916">
        <v>1440</v>
      </c>
      <c r="H916" t="s">
        <v>75</v>
      </c>
      <c r="I916" t="s">
        <v>6395</v>
      </c>
      <c r="J916" s="1520">
        <v>46257</v>
      </c>
      <c r="K916" s="1520">
        <v>46305</v>
      </c>
      <c r="L916" s="1520">
        <v>46322</v>
      </c>
      <c r="M916" s="1520">
        <v>46324</v>
      </c>
      <c r="N916" t="s">
        <v>2434</v>
      </c>
      <c r="O916" s="1520">
        <v>46318</v>
      </c>
      <c r="P916" s="1520">
        <v>46331</v>
      </c>
    </row>
    <row r="917" spans="1:16">
      <c r="A917" t="s">
        <v>6265</v>
      </c>
      <c r="B917" t="s">
        <v>64</v>
      </c>
      <c r="C917" t="s">
        <v>100</v>
      </c>
      <c r="D917" t="s">
        <v>284</v>
      </c>
      <c r="E917" t="s">
        <v>5860</v>
      </c>
      <c r="F917" t="s">
        <v>5861</v>
      </c>
      <c r="G917">
        <v>2808</v>
      </c>
      <c r="H917" t="s">
        <v>75</v>
      </c>
      <c r="I917" t="s">
        <v>6266</v>
      </c>
      <c r="J917" s="1520">
        <v>46257</v>
      </c>
      <c r="K917" s="1520">
        <v>46298</v>
      </c>
      <c r="L917" s="1520">
        <v>46308</v>
      </c>
      <c r="M917" s="1520">
        <v>46308</v>
      </c>
      <c r="N917" t="s">
        <v>2434</v>
      </c>
      <c r="O917" s="1520">
        <v>46305</v>
      </c>
      <c r="P917" s="1520">
        <v>46315</v>
      </c>
    </row>
    <row r="918" spans="1:16">
      <c r="A918" t="s">
        <v>6268</v>
      </c>
      <c r="B918" t="s">
        <v>64</v>
      </c>
      <c r="C918" t="s">
        <v>100</v>
      </c>
      <c r="D918" t="s">
        <v>284</v>
      </c>
      <c r="E918" t="s">
        <v>5860</v>
      </c>
      <c r="F918" t="s">
        <v>5861</v>
      </c>
      <c r="G918">
        <v>1872</v>
      </c>
      <c r="H918" t="s">
        <v>75</v>
      </c>
      <c r="I918" t="s">
        <v>6269</v>
      </c>
      <c r="J918" s="1520">
        <v>46257</v>
      </c>
      <c r="K918" s="1520">
        <v>46298</v>
      </c>
      <c r="L918" s="1520">
        <v>46308</v>
      </c>
      <c r="M918" s="1520">
        <v>46308</v>
      </c>
      <c r="N918" t="s">
        <v>2434</v>
      </c>
      <c r="O918" s="1520">
        <v>46305</v>
      </c>
      <c r="P918" s="1520">
        <v>46315</v>
      </c>
    </row>
    <row r="919" spans="1:16">
      <c r="A919" t="s">
        <v>6225</v>
      </c>
      <c r="B919" t="s">
        <v>64</v>
      </c>
      <c r="C919" t="s">
        <v>450</v>
      </c>
      <c r="D919" t="s">
        <v>284</v>
      </c>
      <c r="E919" t="s">
        <v>6219</v>
      </c>
      <c r="F919" t="s">
        <v>6220</v>
      </c>
      <c r="G919">
        <v>1872</v>
      </c>
      <c r="H919" t="s">
        <v>75</v>
      </c>
      <c r="I919" t="s">
        <v>6227</v>
      </c>
      <c r="J919" s="1520">
        <v>46258</v>
      </c>
      <c r="K919" s="1520">
        <v>46299</v>
      </c>
      <c r="L919" s="1520">
        <v>46299.166666666664</v>
      </c>
      <c r="M919" s="1520">
        <v>46299</v>
      </c>
      <c r="N919" t="s">
        <v>2434</v>
      </c>
      <c r="O919" s="1520">
        <v>46306</v>
      </c>
      <c r="P919" s="1520">
        <v>46306</v>
      </c>
    </row>
    <row r="920" spans="1:16">
      <c r="A920" t="s">
        <v>8874</v>
      </c>
      <c r="B920" t="s">
        <v>64</v>
      </c>
      <c r="C920" t="s">
        <v>450</v>
      </c>
      <c r="D920" t="s">
        <v>284</v>
      </c>
      <c r="E920" t="s">
        <v>6219</v>
      </c>
      <c r="F920" t="s">
        <v>6220</v>
      </c>
      <c r="G920">
        <v>936</v>
      </c>
      <c r="H920" t="s">
        <v>75</v>
      </c>
      <c r="I920" t="s">
        <v>6221</v>
      </c>
      <c r="J920" s="1520">
        <v>46258</v>
      </c>
      <c r="K920" s="1520">
        <v>46299</v>
      </c>
      <c r="L920" s="1520">
        <v>46299.166666666664</v>
      </c>
      <c r="M920" s="1520">
        <v>46299</v>
      </c>
      <c r="N920" t="s">
        <v>2434</v>
      </c>
      <c r="O920" s="1520">
        <v>46306</v>
      </c>
      <c r="P920" s="1520">
        <v>46306</v>
      </c>
    </row>
    <row r="921" spans="1:16">
      <c r="A921" t="s">
        <v>6399</v>
      </c>
      <c r="B921" t="s">
        <v>64</v>
      </c>
      <c r="C921" t="s">
        <v>100</v>
      </c>
      <c r="D921" t="s">
        <v>4540</v>
      </c>
      <c r="E921" t="s">
        <v>1151</v>
      </c>
      <c r="F921" t="s">
        <v>421</v>
      </c>
      <c r="G921">
        <v>5184</v>
      </c>
      <c r="H921" t="s">
        <v>75</v>
      </c>
      <c r="I921" t="s">
        <v>6401</v>
      </c>
      <c r="J921" s="1520">
        <v>46257</v>
      </c>
      <c r="K921" s="1520">
        <v>46305</v>
      </c>
      <c r="L921" s="1520">
        <v>46322</v>
      </c>
      <c r="M921" s="1520">
        <v>46324</v>
      </c>
      <c r="N921" t="s">
        <v>2434</v>
      </c>
      <c r="O921" s="1520">
        <v>46318</v>
      </c>
      <c r="P921" s="1520">
        <v>46331</v>
      </c>
    </row>
    <row r="922" spans="1:16">
      <c r="A922" t="s">
        <v>6402</v>
      </c>
      <c r="B922" t="s">
        <v>64</v>
      </c>
      <c r="C922" t="s">
        <v>100</v>
      </c>
      <c r="D922" t="s">
        <v>4540</v>
      </c>
      <c r="E922" t="s">
        <v>1151</v>
      </c>
      <c r="F922" t="s">
        <v>421</v>
      </c>
      <c r="G922">
        <v>5184</v>
      </c>
      <c r="H922" t="s">
        <v>75</v>
      </c>
      <c r="I922" t="s">
        <v>6404</v>
      </c>
      <c r="J922" s="1520">
        <v>46257</v>
      </c>
      <c r="K922" s="1520">
        <v>46305</v>
      </c>
      <c r="L922" s="1520">
        <v>46322</v>
      </c>
      <c r="M922" s="1520">
        <v>46324</v>
      </c>
      <c r="N922" t="s">
        <v>2434</v>
      </c>
      <c r="O922" s="1520">
        <v>46318</v>
      </c>
      <c r="P922" s="1520">
        <v>46331</v>
      </c>
    </row>
    <row r="923" spans="1:16">
      <c r="A923" t="s">
        <v>6204</v>
      </c>
      <c r="B923" t="s">
        <v>64</v>
      </c>
      <c r="C923" t="s">
        <v>450</v>
      </c>
      <c r="D923" t="s">
        <v>4540</v>
      </c>
      <c r="E923" t="s">
        <v>1151</v>
      </c>
      <c r="F923" t="s">
        <v>421</v>
      </c>
      <c r="G923">
        <v>864</v>
      </c>
      <c r="H923" t="s">
        <v>75</v>
      </c>
      <c r="I923" t="s">
        <v>6206</v>
      </c>
      <c r="J923" s="1520">
        <v>46254</v>
      </c>
      <c r="K923" s="1520">
        <v>46306</v>
      </c>
      <c r="L923" s="1520">
        <v>46312.583333333336</v>
      </c>
      <c r="M923" s="1520">
        <v>46312.600763888891</v>
      </c>
      <c r="N923" t="s">
        <v>2434</v>
      </c>
      <c r="O923" s="1520">
        <v>46328</v>
      </c>
      <c r="P923" s="1520">
        <v>46319.600763888891</v>
      </c>
    </row>
    <row r="924" spans="1:16">
      <c r="A924" t="s">
        <v>6441</v>
      </c>
      <c r="B924" t="s">
        <v>64</v>
      </c>
      <c r="C924" t="s">
        <v>450</v>
      </c>
      <c r="D924" t="s">
        <v>4540</v>
      </c>
      <c r="E924" t="s">
        <v>1151</v>
      </c>
      <c r="F924" t="s">
        <v>421</v>
      </c>
      <c r="G924">
        <v>864</v>
      </c>
      <c r="H924" t="s">
        <v>75</v>
      </c>
      <c r="I924" t="s">
        <v>6442</v>
      </c>
      <c r="J924" s="1520">
        <v>46258</v>
      </c>
      <c r="K924" s="1520">
        <v>46313</v>
      </c>
      <c r="L924" s="1520">
        <v>46322.958333333336</v>
      </c>
      <c r="M924" s="1520">
        <v>46322.921701388892</v>
      </c>
      <c r="N924" t="s">
        <v>2434</v>
      </c>
      <c r="O924" s="1520">
        <v>46321</v>
      </c>
      <c r="P924" s="1520">
        <v>46329.921701388892</v>
      </c>
    </row>
    <row r="925" spans="1:16">
      <c r="A925" t="s">
        <v>6179</v>
      </c>
      <c r="B925" t="s">
        <v>64</v>
      </c>
      <c r="C925" t="s">
        <v>100</v>
      </c>
      <c r="D925" t="s">
        <v>70</v>
      </c>
      <c r="E925" t="s">
        <v>329</v>
      </c>
      <c r="F925" t="s">
        <v>330</v>
      </c>
      <c r="G925">
        <v>3600</v>
      </c>
      <c r="H925" t="s">
        <v>75</v>
      </c>
      <c r="I925" t="s">
        <v>6180</v>
      </c>
      <c r="J925" s="1520">
        <v>46249</v>
      </c>
      <c r="K925" s="1520">
        <v>46305</v>
      </c>
      <c r="L925" s="1520">
        <v>46314</v>
      </c>
      <c r="M925" s="1520">
        <v>46316</v>
      </c>
      <c r="N925" t="s">
        <v>2434</v>
      </c>
      <c r="O925" s="1520">
        <v>46312</v>
      </c>
      <c r="P925" s="1520">
        <v>46323</v>
      </c>
    </row>
    <row r="926" spans="1:16">
      <c r="A926" t="s">
        <v>6054</v>
      </c>
      <c r="B926" t="s">
        <v>64</v>
      </c>
      <c r="C926" t="s">
        <v>100</v>
      </c>
      <c r="D926" t="s">
        <v>4540</v>
      </c>
      <c r="E926" t="s">
        <v>5066</v>
      </c>
      <c r="F926" t="s">
        <v>1484</v>
      </c>
      <c r="G926">
        <v>4752</v>
      </c>
      <c r="H926" t="s">
        <v>75</v>
      </c>
      <c r="I926" t="s">
        <v>6055</v>
      </c>
      <c r="J926" s="1520">
        <v>46249</v>
      </c>
      <c r="K926" s="1520">
        <v>46282</v>
      </c>
      <c r="L926" s="1520">
        <v>46284.875</v>
      </c>
      <c r="M926" s="1520">
        <v>46285.134953703702</v>
      </c>
      <c r="N926" t="s">
        <v>2434</v>
      </c>
      <c r="O926" s="1520">
        <v>46300</v>
      </c>
      <c r="P926" s="1520">
        <v>46292.134953703702</v>
      </c>
    </row>
    <row r="927" spans="1:16">
      <c r="A927" t="s">
        <v>6058</v>
      </c>
      <c r="B927" t="s">
        <v>64</v>
      </c>
      <c r="C927" t="s">
        <v>100</v>
      </c>
      <c r="D927" t="s">
        <v>4540</v>
      </c>
      <c r="E927" t="s">
        <v>5066</v>
      </c>
      <c r="F927" t="s">
        <v>1484</v>
      </c>
      <c r="G927">
        <v>1188</v>
      </c>
      <c r="H927" t="s">
        <v>75</v>
      </c>
      <c r="I927" t="s">
        <v>6059</v>
      </c>
      <c r="J927" s="1520">
        <v>46249</v>
      </c>
      <c r="K927" s="1520">
        <v>46282</v>
      </c>
      <c r="L927" s="1520">
        <v>46284.875</v>
      </c>
      <c r="M927" s="1520">
        <v>46285.134953703702</v>
      </c>
      <c r="N927" t="s">
        <v>2434</v>
      </c>
      <c r="O927" s="1520">
        <v>46269</v>
      </c>
      <c r="P927" s="1520">
        <v>46292.134953703702</v>
      </c>
    </row>
    <row r="928" spans="1:16">
      <c r="A928" t="s">
        <v>6303</v>
      </c>
      <c r="B928" t="s">
        <v>64</v>
      </c>
      <c r="C928" t="s">
        <v>114</v>
      </c>
      <c r="D928" t="s">
        <v>550</v>
      </c>
      <c r="E928" t="s">
        <v>2134</v>
      </c>
      <c r="F928" t="s">
        <v>2135</v>
      </c>
      <c r="G928">
        <v>792</v>
      </c>
      <c r="H928" t="s">
        <v>951</v>
      </c>
      <c r="I928" t="s">
        <v>6304</v>
      </c>
      <c r="J928" s="1520">
        <v>46264</v>
      </c>
      <c r="K928" s="1520">
        <v>46317</v>
      </c>
      <c r="L928" s="1520">
        <v>46336.583333333336</v>
      </c>
      <c r="M928" s="1520" t="s">
        <v>2480</v>
      </c>
      <c r="N928" t="s">
        <v>2434</v>
      </c>
      <c r="O928" s="1520">
        <v>46325</v>
      </c>
      <c r="P928" s="1520">
        <v>46345.583333333336</v>
      </c>
    </row>
    <row r="929" spans="1:16">
      <c r="A929" t="s">
        <v>6255</v>
      </c>
      <c r="B929" t="s">
        <v>64</v>
      </c>
      <c r="C929" t="s">
        <v>100</v>
      </c>
      <c r="D929" t="s">
        <v>550</v>
      </c>
      <c r="E929" t="s">
        <v>2134</v>
      </c>
      <c r="F929" t="s">
        <v>2135</v>
      </c>
      <c r="G929">
        <v>792</v>
      </c>
      <c r="H929" t="s">
        <v>75</v>
      </c>
      <c r="I929" t="s">
        <v>6256</v>
      </c>
      <c r="J929" s="1520">
        <v>46257</v>
      </c>
      <c r="K929" s="1520">
        <v>46298</v>
      </c>
      <c r="L929" s="1520">
        <v>46308</v>
      </c>
      <c r="M929" s="1520">
        <v>46308</v>
      </c>
      <c r="N929" t="s">
        <v>2434</v>
      </c>
      <c r="O929" s="1520">
        <v>46304</v>
      </c>
      <c r="P929" s="1520">
        <v>46315</v>
      </c>
    </row>
    <row r="930" spans="1:16">
      <c r="A930" t="s">
        <v>6082</v>
      </c>
      <c r="B930" t="s">
        <v>64</v>
      </c>
      <c r="C930" t="s">
        <v>65</v>
      </c>
      <c r="D930" t="s">
        <v>4540</v>
      </c>
      <c r="E930" t="s">
        <v>71</v>
      </c>
      <c r="F930" t="s">
        <v>72</v>
      </c>
      <c r="G930">
        <v>864</v>
      </c>
      <c r="H930" t="s">
        <v>75</v>
      </c>
      <c r="I930" t="s">
        <v>6083</v>
      </c>
      <c r="J930" s="1520">
        <v>46253</v>
      </c>
      <c r="K930" s="1520">
        <v>46309</v>
      </c>
      <c r="L930" s="1520"/>
      <c r="M930" s="1520">
        <v>46309</v>
      </c>
      <c r="N930" t="s">
        <v>2434</v>
      </c>
      <c r="O930" s="1520">
        <v>46310</v>
      </c>
      <c r="P930" s="1520">
        <v>46317</v>
      </c>
    </row>
    <row r="931" spans="1:16">
      <c r="A931" t="s">
        <v>6086</v>
      </c>
      <c r="B931" t="s">
        <v>64</v>
      </c>
      <c r="C931" t="s">
        <v>65</v>
      </c>
      <c r="D931" t="s">
        <v>4540</v>
      </c>
      <c r="E931" t="s">
        <v>71</v>
      </c>
      <c r="F931" t="s">
        <v>72</v>
      </c>
      <c r="G931">
        <v>3456</v>
      </c>
      <c r="H931" t="s">
        <v>75</v>
      </c>
      <c r="I931" t="s">
        <v>6087</v>
      </c>
      <c r="J931" s="1520">
        <v>46253</v>
      </c>
      <c r="K931" s="1520">
        <v>46309</v>
      </c>
      <c r="L931" s="1520"/>
      <c r="M931" s="1520">
        <v>46309</v>
      </c>
      <c r="N931" t="s">
        <v>2434</v>
      </c>
      <c r="O931" s="1520">
        <v>46310</v>
      </c>
      <c r="P931" s="1520">
        <v>46317</v>
      </c>
    </row>
    <row r="932" spans="1:16">
      <c r="A932" t="s">
        <v>6279</v>
      </c>
      <c r="B932" t="s">
        <v>64</v>
      </c>
      <c r="C932" t="s">
        <v>65</v>
      </c>
      <c r="D932" t="s">
        <v>132</v>
      </c>
      <c r="E932" t="s">
        <v>189</v>
      </c>
      <c r="F932" t="s">
        <v>190</v>
      </c>
      <c r="G932">
        <v>1728</v>
      </c>
      <c r="H932" t="s">
        <v>951</v>
      </c>
      <c r="I932" t="s">
        <v>6280</v>
      </c>
      <c r="J932" s="1520">
        <v>46264</v>
      </c>
      <c r="K932" s="1520">
        <v>46314</v>
      </c>
      <c r="L932" s="1520">
        <v>46330.916666666664</v>
      </c>
      <c r="M932" s="1520" t="s">
        <v>2480</v>
      </c>
      <c r="N932" t="s">
        <v>2434</v>
      </c>
      <c r="O932" s="1520">
        <v>46322</v>
      </c>
      <c r="P932" s="1520">
        <v>46338.916666666664</v>
      </c>
    </row>
    <row r="933" spans="1:16">
      <c r="A933" t="s">
        <v>6048</v>
      </c>
      <c r="B933" t="s">
        <v>64</v>
      </c>
      <c r="C933" t="s">
        <v>100</v>
      </c>
      <c r="D933" t="s">
        <v>4540</v>
      </c>
      <c r="E933" t="s">
        <v>5066</v>
      </c>
      <c r="F933" t="s">
        <v>1484</v>
      </c>
      <c r="G933">
        <v>1188</v>
      </c>
      <c r="H933" t="s">
        <v>75</v>
      </c>
      <c r="I933" t="s">
        <v>6049</v>
      </c>
      <c r="J933" s="1520">
        <v>46258</v>
      </c>
      <c r="K933" s="1520">
        <v>46295</v>
      </c>
      <c r="L933" s="1520">
        <v>46322</v>
      </c>
      <c r="M933" s="1520">
        <v>46324</v>
      </c>
      <c r="N933" t="s">
        <v>2434</v>
      </c>
      <c r="O933" s="1520">
        <v>46302</v>
      </c>
      <c r="P933" s="1520">
        <v>46331</v>
      </c>
    </row>
    <row r="934" spans="1:16">
      <c r="A934" t="s">
        <v>6043</v>
      </c>
      <c r="B934" t="s">
        <v>64</v>
      </c>
      <c r="C934" t="s">
        <v>100</v>
      </c>
      <c r="D934" t="s">
        <v>4540</v>
      </c>
      <c r="E934" t="s">
        <v>5066</v>
      </c>
      <c r="F934" t="s">
        <v>1484</v>
      </c>
      <c r="G934">
        <v>2970</v>
      </c>
      <c r="H934" t="s">
        <v>75</v>
      </c>
      <c r="I934" t="s">
        <v>6044</v>
      </c>
      <c r="J934" s="1520">
        <v>46258</v>
      </c>
      <c r="K934" s="1520">
        <v>46295</v>
      </c>
      <c r="L934" s="1520">
        <v>46322</v>
      </c>
      <c r="M934" s="1520">
        <v>46324</v>
      </c>
      <c r="N934" t="s">
        <v>2434</v>
      </c>
      <c r="O934" s="1520">
        <v>46302</v>
      </c>
      <c r="P934" s="1520">
        <v>46331</v>
      </c>
    </row>
    <row r="935" spans="1:16">
      <c r="A935" t="s">
        <v>6250</v>
      </c>
      <c r="B935" t="s">
        <v>64</v>
      </c>
      <c r="C935" t="s">
        <v>100</v>
      </c>
      <c r="D935" t="s">
        <v>4540</v>
      </c>
      <c r="E935" t="s">
        <v>4601</v>
      </c>
      <c r="F935" t="s">
        <v>330</v>
      </c>
      <c r="G935">
        <v>720</v>
      </c>
      <c r="H935" t="s">
        <v>75</v>
      </c>
      <c r="I935" t="s">
        <v>6251</v>
      </c>
      <c r="J935" s="1520">
        <v>46257</v>
      </c>
      <c r="K935" s="1520">
        <v>46298</v>
      </c>
      <c r="L935" s="1520">
        <v>46308</v>
      </c>
      <c r="M935" s="1520">
        <v>46308</v>
      </c>
      <c r="N935" t="s">
        <v>2434</v>
      </c>
      <c r="O935" s="1520">
        <v>46305</v>
      </c>
      <c r="P935" s="1520">
        <v>46315</v>
      </c>
    </row>
    <row r="936" spans="1:16">
      <c r="A936" t="s">
        <v>6051</v>
      </c>
      <c r="B936" t="s">
        <v>64</v>
      </c>
      <c r="C936" t="s">
        <v>100</v>
      </c>
      <c r="D936" t="s">
        <v>4540</v>
      </c>
      <c r="E936" t="s">
        <v>4601</v>
      </c>
      <c r="F936" t="s">
        <v>330</v>
      </c>
      <c r="G936">
        <v>720</v>
      </c>
      <c r="H936" t="s">
        <v>75</v>
      </c>
      <c r="I936" t="s">
        <v>6052</v>
      </c>
      <c r="J936" s="1520">
        <v>46258</v>
      </c>
      <c r="K936" s="1520">
        <v>46295</v>
      </c>
      <c r="L936" s="1520">
        <v>46322</v>
      </c>
      <c r="M936" s="1520">
        <v>46324</v>
      </c>
      <c r="N936" t="s">
        <v>2434</v>
      </c>
      <c r="O936" s="1520">
        <v>46302</v>
      </c>
      <c r="P936" s="1520">
        <v>46331</v>
      </c>
    </row>
    <row r="937" spans="1:16">
      <c r="A937" t="s">
        <v>6301</v>
      </c>
      <c r="B937" t="s">
        <v>64</v>
      </c>
      <c r="C937" t="s">
        <v>114</v>
      </c>
      <c r="D937" t="s">
        <v>5345</v>
      </c>
      <c r="E937" t="s">
        <v>5346</v>
      </c>
      <c r="F937" t="s">
        <v>5347</v>
      </c>
      <c r="G937">
        <v>1440</v>
      </c>
      <c r="H937" t="s">
        <v>951</v>
      </c>
      <c r="I937" t="s">
        <v>6302</v>
      </c>
      <c r="J937" s="1520">
        <v>46264</v>
      </c>
      <c r="K937" s="1520">
        <v>46317</v>
      </c>
      <c r="L937" s="1520">
        <v>46336.583333333336</v>
      </c>
      <c r="M937" s="1520" t="s">
        <v>2480</v>
      </c>
      <c r="N937" t="s">
        <v>2434</v>
      </c>
      <c r="O937" s="1520">
        <v>46326</v>
      </c>
      <c r="P937" s="1520">
        <v>46345.583333333336</v>
      </c>
    </row>
    <row r="938" spans="1:16">
      <c r="A938" t="s">
        <v>6297</v>
      </c>
      <c r="B938" t="s">
        <v>64</v>
      </c>
      <c r="C938" t="s">
        <v>114</v>
      </c>
      <c r="D938" t="s">
        <v>5345</v>
      </c>
      <c r="E938" t="s">
        <v>5564</v>
      </c>
      <c r="F938" t="s">
        <v>5565</v>
      </c>
      <c r="G938">
        <v>1440</v>
      </c>
      <c r="H938" t="s">
        <v>951</v>
      </c>
      <c r="I938" t="s">
        <v>6298</v>
      </c>
      <c r="J938" s="1520">
        <v>46264</v>
      </c>
      <c r="K938" s="1520">
        <v>46317</v>
      </c>
      <c r="L938" s="1520">
        <v>46336.583333333336</v>
      </c>
      <c r="M938" s="1520" t="s">
        <v>2480</v>
      </c>
      <c r="N938" t="s">
        <v>2434</v>
      </c>
      <c r="O938" s="1520">
        <v>46326</v>
      </c>
      <c r="P938" s="1520">
        <v>46345.583333333336</v>
      </c>
    </row>
    <row r="939" spans="1:16">
      <c r="A939" t="s">
        <v>6088</v>
      </c>
      <c r="B939" t="s">
        <v>64</v>
      </c>
      <c r="C939" t="s">
        <v>65</v>
      </c>
      <c r="D939" t="s">
        <v>5388</v>
      </c>
      <c r="E939" t="s">
        <v>5744</v>
      </c>
      <c r="F939" t="s">
        <v>5745</v>
      </c>
      <c r="G939">
        <v>11232</v>
      </c>
      <c r="H939" t="s">
        <v>75</v>
      </c>
      <c r="I939" t="s">
        <v>6089</v>
      </c>
      <c r="J939" s="1520">
        <v>46253</v>
      </c>
      <c r="K939" s="1520">
        <v>46309</v>
      </c>
      <c r="L939" s="1520"/>
      <c r="M939" s="1520">
        <v>46309</v>
      </c>
      <c r="N939" t="s">
        <v>2434</v>
      </c>
      <c r="O939" s="1520">
        <v>46310</v>
      </c>
      <c r="P939" s="1520">
        <v>46317</v>
      </c>
    </row>
    <row r="940" spans="1:16">
      <c r="A940" t="s">
        <v>6423</v>
      </c>
      <c r="B940" t="s">
        <v>64</v>
      </c>
      <c r="C940" t="s">
        <v>100</v>
      </c>
      <c r="D940" t="s">
        <v>4540</v>
      </c>
      <c r="E940" t="s">
        <v>1151</v>
      </c>
      <c r="F940" t="s">
        <v>421</v>
      </c>
      <c r="G940">
        <v>1728</v>
      </c>
      <c r="H940" t="s">
        <v>951</v>
      </c>
      <c r="I940" t="s">
        <v>6426</v>
      </c>
      <c r="J940" s="1520">
        <v>46263</v>
      </c>
      <c r="K940" s="1520">
        <v>46321</v>
      </c>
      <c r="L940" s="1520">
        <v>46338</v>
      </c>
      <c r="M940" s="1520"/>
      <c r="N940" t="s">
        <v>2434</v>
      </c>
      <c r="O940" s="1520">
        <v>46328</v>
      </c>
      <c r="P940" s="1520">
        <v>46345</v>
      </c>
    </row>
    <row r="941" spans="1:16">
      <c r="A941" t="s">
        <v>6209</v>
      </c>
      <c r="B941" t="s">
        <v>144</v>
      </c>
      <c r="C941" t="s">
        <v>145</v>
      </c>
      <c r="D941" t="s">
        <v>284</v>
      </c>
      <c r="E941" t="s">
        <v>5860</v>
      </c>
      <c r="F941" t="s">
        <v>5861</v>
      </c>
      <c r="G941">
        <v>10296</v>
      </c>
      <c r="H941" t="s">
        <v>75</v>
      </c>
      <c r="I941" t="s">
        <v>6213</v>
      </c>
      <c r="J941" s="1520">
        <v>46263</v>
      </c>
      <c r="K941" s="1520">
        <v>46304</v>
      </c>
      <c r="L941" s="1520">
        <v>46316.25</v>
      </c>
      <c r="M941" s="1520">
        <v>46316.045949074076</v>
      </c>
      <c r="N941" t="s">
        <v>973</v>
      </c>
      <c r="O941" s="1520">
        <v>46304</v>
      </c>
      <c r="P941" s="1520">
        <v>46316.045949074076</v>
      </c>
    </row>
    <row r="942" spans="1:16">
      <c r="A942" t="s">
        <v>6368</v>
      </c>
      <c r="B942" t="s">
        <v>144</v>
      </c>
      <c r="C942" t="s">
        <v>145</v>
      </c>
      <c r="D942" t="s">
        <v>284</v>
      </c>
      <c r="E942" t="s">
        <v>5860</v>
      </c>
      <c r="F942" t="s">
        <v>5861</v>
      </c>
      <c r="G942">
        <v>4680</v>
      </c>
      <c r="H942" t="s">
        <v>75</v>
      </c>
      <c r="I942" t="s">
        <v>6369</v>
      </c>
      <c r="J942" s="1520">
        <v>46255</v>
      </c>
      <c r="K942" s="1520">
        <v>46297</v>
      </c>
      <c r="L942" s="1520">
        <v>46301.833333333336</v>
      </c>
      <c r="M942" s="1520">
        <v>46301</v>
      </c>
      <c r="N942" t="s">
        <v>973</v>
      </c>
      <c r="O942" s="1520">
        <v>46297</v>
      </c>
      <c r="P942" s="1520">
        <v>46301</v>
      </c>
    </row>
    <row r="943" spans="1:16">
      <c r="A943" t="s">
        <v>6377</v>
      </c>
      <c r="B943" t="s">
        <v>144</v>
      </c>
      <c r="C943" t="s">
        <v>145</v>
      </c>
      <c r="D943" t="s">
        <v>284</v>
      </c>
      <c r="E943" t="s">
        <v>5860</v>
      </c>
      <c r="F943" t="s">
        <v>5861</v>
      </c>
      <c r="G943">
        <v>1872</v>
      </c>
      <c r="H943" t="s">
        <v>75</v>
      </c>
      <c r="I943" t="s">
        <v>6378</v>
      </c>
      <c r="J943" s="1520">
        <v>46253</v>
      </c>
      <c r="K943" s="1520">
        <v>46292</v>
      </c>
      <c r="L943" s="1520">
        <v>46305.041666666664</v>
      </c>
      <c r="M943" s="1520">
        <v>46305.05978009259</v>
      </c>
      <c r="N943" t="s">
        <v>973</v>
      </c>
      <c r="O943" s="1520">
        <v>46296</v>
      </c>
      <c r="P943" s="1520">
        <v>46305.05978009259</v>
      </c>
    </row>
    <row r="944" spans="1:16">
      <c r="A944" t="s">
        <v>6372</v>
      </c>
      <c r="B944" t="s">
        <v>144</v>
      </c>
      <c r="C944" t="s">
        <v>145</v>
      </c>
      <c r="D944" t="s">
        <v>284</v>
      </c>
      <c r="E944" t="s">
        <v>5860</v>
      </c>
      <c r="F944" t="s">
        <v>5861</v>
      </c>
      <c r="G944">
        <v>1872</v>
      </c>
      <c r="H944" t="s">
        <v>75</v>
      </c>
      <c r="I944" t="s">
        <v>6373</v>
      </c>
      <c r="J944" s="1520">
        <v>46256</v>
      </c>
      <c r="K944" s="1520">
        <v>46292</v>
      </c>
      <c r="L944" s="1520">
        <v>46305.041666666664</v>
      </c>
      <c r="M944" s="1520">
        <v>46305.05978009259</v>
      </c>
      <c r="N944" t="s">
        <v>973</v>
      </c>
      <c r="O944" s="1520">
        <v>46296</v>
      </c>
      <c r="P944" s="1520">
        <v>46305.05978009259</v>
      </c>
    </row>
    <row r="945" spans="1:16">
      <c r="A945" t="s">
        <v>6363</v>
      </c>
      <c r="B945" t="s">
        <v>144</v>
      </c>
      <c r="C945" t="s">
        <v>145</v>
      </c>
      <c r="D945" t="s">
        <v>284</v>
      </c>
      <c r="E945" t="s">
        <v>5860</v>
      </c>
      <c r="F945" t="s">
        <v>5861</v>
      </c>
      <c r="G945">
        <v>1872</v>
      </c>
      <c r="H945" t="s">
        <v>75</v>
      </c>
      <c r="I945" t="s">
        <v>6364</v>
      </c>
      <c r="J945" s="1520">
        <v>46259</v>
      </c>
      <c r="K945" s="1520">
        <v>46296</v>
      </c>
      <c r="L945" s="1520">
        <v>46305.041666666664</v>
      </c>
      <c r="M945" s="1520">
        <v>46305.05978009259</v>
      </c>
      <c r="N945" t="s">
        <v>973</v>
      </c>
      <c r="O945" s="1520">
        <v>46296</v>
      </c>
      <c r="P945" s="1520">
        <v>46305.05978009259</v>
      </c>
    </row>
    <row r="946" spans="1:16">
      <c r="A946" t="s">
        <v>6095</v>
      </c>
      <c r="B946" t="s">
        <v>64</v>
      </c>
      <c r="C946" t="s">
        <v>65</v>
      </c>
      <c r="D946" t="s">
        <v>550</v>
      </c>
      <c r="E946" t="s">
        <v>551</v>
      </c>
      <c r="F946" t="s">
        <v>2151</v>
      </c>
      <c r="G946">
        <v>3168</v>
      </c>
      <c r="H946" t="s">
        <v>75</v>
      </c>
      <c r="I946" t="s">
        <v>6096</v>
      </c>
      <c r="J946" s="1520">
        <v>46256</v>
      </c>
      <c r="K946" s="1520">
        <v>46303</v>
      </c>
      <c r="L946" s="1520"/>
      <c r="M946" s="1520">
        <v>46303</v>
      </c>
      <c r="N946" t="s">
        <v>2434</v>
      </c>
      <c r="O946" s="1520">
        <v>46310</v>
      </c>
      <c r="P946" s="1520">
        <v>46311</v>
      </c>
    </row>
    <row r="947" spans="1:16">
      <c r="A947" t="s">
        <v>6295</v>
      </c>
      <c r="B947" t="s">
        <v>64</v>
      </c>
      <c r="C947" t="s">
        <v>65</v>
      </c>
      <c r="D947" t="s">
        <v>5388</v>
      </c>
      <c r="E947" t="s">
        <v>5744</v>
      </c>
      <c r="F947" t="s">
        <v>5745</v>
      </c>
      <c r="G947">
        <v>2808</v>
      </c>
      <c r="H947" t="s">
        <v>75</v>
      </c>
      <c r="I947" t="s">
        <v>6296</v>
      </c>
      <c r="J947" s="1520">
        <v>46256</v>
      </c>
      <c r="K947" s="1520">
        <v>46302</v>
      </c>
      <c r="L947" s="1520">
        <v>46303</v>
      </c>
      <c r="M947" s="1520">
        <v>46303</v>
      </c>
      <c r="N947" t="s">
        <v>2434</v>
      </c>
      <c r="O947" s="1520">
        <v>46310</v>
      </c>
      <c r="P947" s="1520">
        <v>46311</v>
      </c>
    </row>
    <row r="948" spans="1:16">
      <c r="A948" t="s">
        <v>6495</v>
      </c>
      <c r="B948" t="s">
        <v>64</v>
      </c>
      <c r="C948" t="s">
        <v>100</v>
      </c>
      <c r="D948" t="s">
        <v>5388</v>
      </c>
      <c r="E948" t="s">
        <v>5389</v>
      </c>
      <c r="F948" t="s">
        <v>5390</v>
      </c>
      <c r="G948">
        <v>1872</v>
      </c>
      <c r="H948" t="s">
        <v>75</v>
      </c>
      <c r="I948" t="s">
        <v>6496</v>
      </c>
      <c r="J948" s="1520">
        <v>46264</v>
      </c>
      <c r="K948" s="1520">
        <v>46305</v>
      </c>
      <c r="L948" s="1520">
        <v>46314</v>
      </c>
      <c r="M948" s="1520">
        <v>46314</v>
      </c>
      <c r="N948" t="s">
        <v>2434</v>
      </c>
      <c r="O948" s="1520">
        <v>46312</v>
      </c>
      <c r="P948" s="1520">
        <v>46321</v>
      </c>
    </row>
    <row r="949" spans="1:16">
      <c r="A949" t="s">
        <v>6587</v>
      </c>
      <c r="B949" t="s">
        <v>144</v>
      </c>
      <c r="C949" t="s">
        <v>145</v>
      </c>
      <c r="D949" t="s">
        <v>4540</v>
      </c>
      <c r="E949" t="s">
        <v>1151</v>
      </c>
      <c r="F949" t="s">
        <v>421</v>
      </c>
      <c r="G949">
        <v>1728</v>
      </c>
      <c r="H949" t="s">
        <v>951</v>
      </c>
      <c r="I949" t="s">
        <v>6588</v>
      </c>
      <c r="J949" s="1520">
        <v>46268</v>
      </c>
      <c r="K949" s="1520">
        <v>46323</v>
      </c>
      <c r="L949" s="1520">
        <v>46325.833333333336</v>
      </c>
      <c r="M949" s="1520" t="s">
        <v>2480</v>
      </c>
      <c r="N949" t="s">
        <v>973</v>
      </c>
      <c r="O949" s="1520">
        <v>46323</v>
      </c>
      <c r="P949" s="1520">
        <v>46325.833333333336</v>
      </c>
    </row>
    <row r="950" spans="1:16">
      <c r="A950" t="s">
        <v>6091</v>
      </c>
      <c r="B950" t="s">
        <v>64</v>
      </c>
      <c r="C950" t="s">
        <v>65</v>
      </c>
      <c r="D950" t="s">
        <v>132</v>
      </c>
      <c r="E950" t="s">
        <v>1062</v>
      </c>
      <c r="F950" t="s">
        <v>1063</v>
      </c>
      <c r="G950">
        <v>864</v>
      </c>
      <c r="H950" t="s">
        <v>75</v>
      </c>
      <c r="I950" t="s">
        <v>6092</v>
      </c>
      <c r="J950" s="1520">
        <v>46256</v>
      </c>
      <c r="K950" s="1520">
        <v>46303</v>
      </c>
      <c r="L950" s="1520"/>
      <c r="M950" s="1520">
        <v>46303</v>
      </c>
      <c r="N950" t="s">
        <v>2434</v>
      </c>
      <c r="O950" s="1520">
        <v>46310</v>
      </c>
      <c r="P950" s="1520">
        <v>46311</v>
      </c>
    </row>
    <row r="951" spans="1:16">
      <c r="A951" t="s">
        <v>6290</v>
      </c>
      <c r="B951" t="s">
        <v>64</v>
      </c>
      <c r="C951" t="s">
        <v>65</v>
      </c>
      <c r="D951" t="s">
        <v>5388</v>
      </c>
      <c r="E951" t="s">
        <v>6291</v>
      </c>
      <c r="F951" t="s">
        <v>6292</v>
      </c>
      <c r="G951">
        <v>3744</v>
      </c>
      <c r="H951" t="s">
        <v>75</v>
      </c>
      <c r="I951" t="s">
        <v>6293</v>
      </c>
      <c r="J951" s="1520">
        <v>46256</v>
      </c>
      <c r="K951" s="1520">
        <v>46302</v>
      </c>
      <c r="L951" s="1520">
        <v>46303</v>
      </c>
      <c r="M951" s="1520">
        <v>46303</v>
      </c>
      <c r="N951" t="s">
        <v>2434</v>
      </c>
      <c r="O951" s="1520">
        <v>46310</v>
      </c>
      <c r="P951" s="1520">
        <v>46311</v>
      </c>
    </row>
    <row r="952" spans="1:16">
      <c r="A952" t="s">
        <v>6445</v>
      </c>
      <c r="B952" t="s">
        <v>144</v>
      </c>
      <c r="C952" t="s">
        <v>145</v>
      </c>
      <c r="D952" t="s">
        <v>5388</v>
      </c>
      <c r="E952" t="s">
        <v>6291</v>
      </c>
      <c r="F952" t="s">
        <v>6292</v>
      </c>
      <c r="G952">
        <v>1872</v>
      </c>
      <c r="H952" t="s">
        <v>75</v>
      </c>
      <c r="I952" t="s">
        <v>6448</v>
      </c>
      <c r="J952" s="1520">
        <v>46269</v>
      </c>
      <c r="K952" s="1520">
        <v>46313</v>
      </c>
      <c r="L952" s="1520">
        <v>46321.291666666664</v>
      </c>
      <c r="M952" s="1520">
        <v>46321.413657407407</v>
      </c>
      <c r="N952" t="s">
        <v>973</v>
      </c>
      <c r="O952" s="1520">
        <v>46313</v>
      </c>
      <c r="P952" s="1520">
        <v>46321.413657407407</v>
      </c>
    </row>
    <row r="953" spans="1:16">
      <c r="A953" t="s">
        <v>6461</v>
      </c>
      <c r="B953" t="s">
        <v>144</v>
      </c>
      <c r="C953" t="s">
        <v>145</v>
      </c>
      <c r="D953" t="s">
        <v>4540</v>
      </c>
      <c r="E953" t="s">
        <v>6245</v>
      </c>
      <c r="F953" t="s">
        <v>330</v>
      </c>
      <c r="G953">
        <v>2160</v>
      </c>
      <c r="H953" t="s">
        <v>75</v>
      </c>
      <c r="I953" t="s">
        <v>6462</v>
      </c>
      <c r="J953" s="1520">
        <v>46267</v>
      </c>
      <c r="K953" s="1520">
        <v>46302</v>
      </c>
      <c r="L953" s="1520">
        <v>46308.083333333336</v>
      </c>
      <c r="M953" s="1520">
        <v>46308.112372685187</v>
      </c>
      <c r="N953" t="s">
        <v>973</v>
      </c>
      <c r="O953" s="1520">
        <v>46305</v>
      </c>
      <c r="P953" s="1520">
        <v>46308.112372685187</v>
      </c>
    </row>
    <row r="954" spans="1:16">
      <c r="A954" t="s">
        <v>6465</v>
      </c>
      <c r="B954" t="s">
        <v>144</v>
      </c>
      <c r="C954" t="s">
        <v>145</v>
      </c>
      <c r="D954" t="s">
        <v>4540</v>
      </c>
      <c r="E954" t="s">
        <v>6245</v>
      </c>
      <c r="F954" t="s">
        <v>330</v>
      </c>
      <c r="G954">
        <v>7920</v>
      </c>
      <c r="H954" t="s">
        <v>75</v>
      </c>
      <c r="I954" t="s">
        <v>6466</v>
      </c>
      <c r="J954" s="1520">
        <v>46268</v>
      </c>
      <c r="K954" s="1520">
        <v>46303</v>
      </c>
      <c r="L954" s="1520">
        <v>46308.083333333336</v>
      </c>
      <c r="M954" s="1520">
        <v>46308.112372685187</v>
      </c>
      <c r="N954" t="s">
        <v>973</v>
      </c>
      <c r="O954" s="1520">
        <v>46303</v>
      </c>
      <c r="P954" s="1520">
        <v>46308.112372685187</v>
      </c>
    </row>
    <row r="955" spans="1:16">
      <c r="A955" t="s">
        <v>6474</v>
      </c>
      <c r="B955" t="s">
        <v>144</v>
      </c>
      <c r="C955" t="s">
        <v>145</v>
      </c>
      <c r="D955" t="s">
        <v>4540</v>
      </c>
      <c r="E955" t="s">
        <v>6245</v>
      </c>
      <c r="F955" t="s">
        <v>330</v>
      </c>
      <c r="G955">
        <v>3600</v>
      </c>
      <c r="H955" t="s">
        <v>75</v>
      </c>
      <c r="I955" t="s">
        <v>6475</v>
      </c>
      <c r="J955" s="1520">
        <v>46264</v>
      </c>
      <c r="K955" s="1520">
        <v>46305</v>
      </c>
      <c r="L955" s="1520">
        <v>46314</v>
      </c>
      <c r="M955" s="1520">
        <v>46314</v>
      </c>
      <c r="N955" t="s">
        <v>973</v>
      </c>
      <c r="O955" s="1520">
        <v>46305</v>
      </c>
      <c r="P955" s="1520">
        <v>46314</v>
      </c>
    </row>
    <row r="956" spans="1:16">
      <c r="A956" t="s">
        <v>6479</v>
      </c>
      <c r="B956" t="s">
        <v>144</v>
      </c>
      <c r="C956" t="s">
        <v>145</v>
      </c>
      <c r="D956" t="s">
        <v>4540</v>
      </c>
      <c r="E956" t="s">
        <v>6245</v>
      </c>
      <c r="F956" t="s">
        <v>330</v>
      </c>
      <c r="G956">
        <v>3600</v>
      </c>
      <c r="H956" t="s">
        <v>75</v>
      </c>
      <c r="I956" t="s">
        <v>6480</v>
      </c>
      <c r="J956" s="1520">
        <v>46264</v>
      </c>
      <c r="K956" s="1520">
        <v>46305</v>
      </c>
      <c r="L956" s="1520">
        <v>46314</v>
      </c>
      <c r="M956" s="1520">
        <v>46314</v>
      </c>
      <c r="N956" t="s">
        <v>973</v>
      </c>
      <c r="O956" s="1520">
        <v>46305</v>
      </c>
      <c r="P956" s="1520">
        <v>46314</v>
      </c>
    </row>
    <row r="957" spans="1:16">
      <c r="A957" t="s">
        <v>6482</v>
      </c>
      <c r="B957" t="s">
        <v>144</v>
      </c>
      <c r="C957" t="s">
        <v>145</v>
      </c>
      <c r="D957" t="s">
        <v>4540</v>
      </c>
      <c r="E957" t="s">
        <v>6245</v>
      </c>
      <c r="F957" t="s">
        <v>330</v>
      </c>
      <c r="G957">
        <v>3600</v>
      </c>
      <c r="H957" t="s">
        <v>75</v>
      </c>
      <c r="I957" t="s">
        <v>6483</v>
      </c>
      <c r="J957" s="1520">
        <v>46264</v>
      </c>
      <c r="K957" s="1520">
        <v>46305</v>
      </c>
      <c r="L957" s="1520">
        <v>46314</v>
      </c>
      <c r="M957" s="1520">
        <v>46314</v>
      </c>
      <c r="N957" t="s">
        <v>973</v>
      </c>
      <c r="O957" s="1520">
        <v>46305</v>
      </c>
      <c r="P957" s="1520">
        <v>46314</v>
      </c>
    </row>
    <row r="958" spans="1:16">
      <c r="A958" t="s">
        <v>6486</v>
      </c>
      <c r="B958" t="s">
        <v>144</v>
      </c>
      <c r="C958" t="s">
        <v>145</v>
      </c>
      <c r="D958" t="s">
        <v>4540</v>
      </c>
      <c r="E958" t="s">
        <v>6470</v>
      </c>
      <c r="F958" t="s">
        <v>4607</v>
      </c>
      <c r="G958">
        <v>720</v>
      </c>
      <c r="H958" t="s">
        <v>75</v>
      </c>
      <c r="I958" t="s">
        <v>6487</v>
      </c>
      <c r="J958" s="1520">
        <v>46264</v>
      </c>
      <c r="K958" s="1520">
        <v>46305</v>
      </c>
      <c r="L958" s="1520">
        <v>46314</v>
      </c>
      <c r="M958" s="1520">
        <v>46314</v>
      </c>
      <c r="N958" t="s">
        <v>973</v>
      </c>
      <c r="O958" s="1520">
        <v>46305</v>
      </c>
      <c r="P958" s="1520">
        <v>46314</v>
      </c>
    </row>
    <row r="959" spans="1:16">
      <c r="A959" t="s">
        <v>6491</v>
      </c>
      <c r="B959" t="s">
        <v>144</v>
      </c>
      <c r="C959" t="s">
        <v>145</v>
      </c>
      <c r="D959" t="s">
        <v>4540</v>
      </c>
      <c r="E959" t="s">
        <v>6492</v>
      </c>
      <c r="F959" t="s">
        <v>103</v>
      </c>
      <c r="G959">
        <v>1440</v>
      </c>
      <c r="H959" t="s">
        <v>75</v>
      </c>
      <c r="I959" t="s">
        <v>6494</v>
      </c>
      <c r="J959" s="1520">
        <v>46264</v>
      </c>
      <c r="K959" s="1520">
        <v>46305</v>
      </c>
      <c r="L959" s="1520">
        <v>46314</v>
      </c>
      <c r="M959" s="1520">
        <v>46314</v>
      </c>
      <c r="N959" t="s">
        <v>973</v>
      </c>
      <c r="O959" s="1520">
        <v>46305</v>
      </c>
      <c r="P959" s="1520">
        <v>46314</v>
      </c>
    </row>
    <row r="960" spans="1:16">
      <c r="A960" t="s">
        <v>6469</v>
      </c>
      <c r="B960" t="s">
        <v>144</v>
      </c>
      <c r="C960" t="s">
        <v>145</v>
      </c>
      <c r="D960" t="s">
        <v>4540</v>
      </c>
      <c r="E960" t="s">
        <v>6470</v>
      </c>
      <c r="F960" t="s">
        <v>4607</v>
      </c>
      <c r="G960">
        <v>5760</v>
      </c>
      <c r="H960" t="s">
        <v>75</v>
      </c>
      <c r="I960" t="s">
        <v>6471</v>
      </c>
      <c r="J960" s="1520">
        <v>46270</v>
      </c>
      <c r="K960" s="1520">
        <v>46312</v>
      </c>
      <c r="L960" s="1520">
        <v>46317</v>
      </c>
      <c r="M960" s="1520">
        <v>46317</v>
      </c>
      <c r="N960" t="s">
        <v>973</v>
      </c>
      <c r="O960" s="1520">
        <v>46302</v>
      </c>
      <c r="P960" s="1520">
        <v>46317</v>
      </c>
    </row>
    <row r="961" spans="1:16">
      <c r="A961" t="s">
        <v>6284</v>
      </c>
      <c r="B961" t="s">
        <v>144</v>
      </c>
      <c r="C961" t="s">
        <v>145</v>
      </c>
      <c r="D961" t="s">
        <v>284</v>
      </c>
      <c r="E961" t="s">
        <v>5860</v>
      </c>
      <c r="F961" t="s">
        <v>5861</v>
      </c>
      <c r="G961">
        <v>936</v>
      </c>
      <c r="H961" t="s">
        <v>75</v>
      </c>
      <c r="I961" t="s">
        <v>6286</v>
      </c>
      <c r="J961" s="1520">
        <v>46253</v>
      </c>
      <c r="K961" s="1520">
        <v>46304</v>
      </c>
      <c r="L961" s="1520">
        <v>46316.25</v>
      </c>
      <c r="M961" s="1520">
        <v>46316.045949074076</v>
      </c>
      <c r="N961" t="s">
        <v>973</v>
      </c>
      <c r="O961" s="1520">
        <v>46304</v>
      </c>
      <c r="P961" s="1520">
        <v>46316.045949074076</v>
      </c>
    </row>
    <row r="962" spans="1:16">
      <c r="A962" t="s">
        <v>6064</v>
      </c>
      <c r="B962" t="s">
        <v>144</v>
      </c>
      <c r="C962" t="s">
        <v>145</v>
      </c>
      <c r="D962" t="s">
        <v>4540</v>
      </c>
      <c r="E962" t="s">
        <v>4606</v>
      </c>
      <c r="F962" t="s">
        <v>4607</v>
      </c>
      <c r="G962">
        <v>4320</v>
      </c>
      <c r="H962" t="s">
        <v>75</v>
      </c>
      <c r="I962" t="s">
        <v>6065</v>
      </c>
      <c r="J962" s="1520">
        <v>46249</v>
      </c>
      <c r="K962" s="1520">
        <v>46282</v>
      </c>
      <c r="L962" s="1520">
        <v>46284.875</v>
      </c>
      <c r="M962" s="1520">
        <v>46285.134953703702</v>
      </c>
      <c r="N962" t="s">
        <v>973</v>
      </c>
      <c r="O962" s="1520">
        <v>46300</v>
      </c>
      <c r="P962" s="1520">
        <v>46285.134953703702</v>
      </c>
    </row>
    <row r="963" spans="1:16">
      <c r="A963" t="s">
        <v>6523</v>
      </c>
      <c r="B963" t="s">
        <v>64</v>
      </c>
      <c r="C963" t="s">
        <v>310</v>
      </c>
      <c r="D963" t="s">
        <v>550</v>
      </c>
      <c r="E963" t="s">
        <v>2134</v>
      </c>
      <c r="F963" t="s">
        <v>2135</v>
      </c>
      <c r="G963">
        <v>4752</v>
      </c>
      <c r="H963" t="s">
        <v>951</v>
      </c>
      <c r="I963" t="s">
        <v>6524</v>
      </c>
      <c r="J963" s="1520">
        <v>46274</v>
      </c>
      <c r="K963" s="1520">
        <v>46316</v>
      </c>
      <c r="L963" s="1520">
        <v>46330.75</v>
      </c>
      <c r="M963" s="1520" t="s">
        <v>2480</v>
      </c>
      <c r="N963" t="s">
        <v>2434</v>
      </c>
      <c r="O963" s="1520">
        <v>46329</v>
      </c>
      <c r="P963" s="1520">
        <v>46340.75</v>
      </c>
    </row>
    <row r="964" spans="1:16">
      <c r="A964" t="s">
        <v>6456</v>
      </c>
      <c r="B964" t="s">
        <v>64</v>
      </c>
      <c r="C964" t="s">
        <v>100</v>
      </c>
      <c r="D964" t="s">
        <v>550</v>
      </c>
      <c r="E964" t="s">
        <v>2134</v>
      </c>
      <c r="F964" t="s">
        <v>2135</v>
      </c>
      <c r="G964">
        <v>1584</v>
      </c>
      <c r="H964" t="s">
        <v>75</v>
      </c>
      <c r="I964" t="s">
        <v>6457</v>
      </c>
      <c r="J964" s="1520">
        <v>46267</v>
      </c>
      <c r="K964" s="1520">
        <v>46302</v>
      </c>
      <c r="L964" s="1520">
        <v>46308.083333333336</v>
      </c>
      <c r="M964" s="1520">
        <v>46308.112372685187</v>
      </c>
      <c r="N964" t="s">
        <v>2434</v>
      </c>
      <c r="O964" s="1520">
        <v>46311</v>
      </c>
      <c r="P964" s="1520">
        <v>46315.112372685187</v>
      </c>
    </row>
    <row r="965" spans="1:16">
      <c r="A965" t="s">
        <v>6564</v>
      </c>
      <c r="B965" t="s">
        <v>144</v>
      </c>
      <c r="C965" t="s">
        <v>145</v>
      </c>
      <c r="D965" t="s">
        <v>284</v>
      </c>
      <c r="E965" t="s">
        <v>5860</v>
      </c>
      <c r="F965" t="s">
        <v>5861</v>
      </c>
      <c r="G965">
        <v>1872</v>
      </c>
      <c r="H965" t="s">
        <v>75</v>
      </c>
      <c r="I965" t="s">
        <v>6565</v>
      </c>
      <c r="J965" s="1520">
        <v>46267</v>
      </c>
      <c r="K965" s="1520">
        <v>46309</v>
      </c>
      <c r="L965" s="1520">
        <v>46320</v>
      </c>
      <c r="M965" s="1520">
        <v>46321</v>
      </c>
      <c r="N965" t="s">
        <v>973</v>
      </c>
      <c r="O965" s="1520">
        <v>46309</v>
      </c>
      <c r="P965" s="1520">
        <v>46321</v>
      </c>
    </row>
    <row r="966" spans="1:16">
      <c r="A966" t="s">
        <v>6381</v>
      </c>
      <c r="B966" t="s">
        <v>144</v>
      </c>
      <c r="C966" t="s">
        <v>145</v>
      </c>
      <c r="D966" t="s">
        <v>284</v>
      </c>
      <c r="E966" t="s">
        <v>5860</v>
      </c>
      <c r="F966" t="s">
        <v>5861</v>
      </c>
      <c r="G966">
        <v>4680</v>
      </c>
      <c r="H966" t="s">
        <v>75</v>
      </c>
      <c r="I966" t="s">
        <v>6382</v>
      </c>
      <c r="J966" s="1520">
        <v>46259</v>
      </c>
      <c r="K966" s="1520">
        <v>46304</v>
      </c>
      <c r="L966" s="1520">
        <v>46316.25</v>
      </c>
      <c r="M966" s="1520">
        <v>46316.045949074076</v>
      </c>
      <c r="N966" t="s">
        <v>973</v>
      </c>
      <c r="O966" s="1520">
        <v>46304</v>
      </c>
      <c r="P966" s="1520">
        <v>46316.045949074076</v>
      </c>
    </row>
    <row r="967" spans="1:16">
      <c r="A967" t="s">
        <v>6452</v>
      </c>
      <c r="B967" t="s">
        <v>64</v>
      </c>
      <c r="C967" t="s">
        <v>450</v>
      </c>
      <c r="D967" t="s">
        <v>284</v>
      </c>
      <c r="E967" t="s">
        <v>5860</v>
      </c>
      <c r="F967" t="s">
        <v>5861</v>
      </c>
      <c r="G967">
        <v>2808</v>
      </c>
      <c r="H967" t="s">
        <v>951</v>
      </c>
      <c r="I967" t="s">
        <v>6453</v>
      </c>
      <c r="J967" s="1520">
        <v>46269</v>
      </c>
      <c r="K967" s="1520">
        <v>46306</v>
      </c>
      <c r="L967" s="1520">
        <v>46335.25</v>
      </c>
      <c r="M967" s="1520" t="s">
        <v>2480</v>
      </c>
      <c r="N967" t="s">
        <v>2434</v>
      </c>
      <c r="O967" s="1520">
        <v>46314</v>
      </c>
      <c r="P967" s="1520">
        <v>46342.25</v>
      </c>
    </row>
    <row r="968" spans="1:16">
      <c r="A968" t="s">
        <v>6527</v>
      </c>
      <c r="B968" t="s">
        <v>64</v>
      </c>
      <c r="C968" t="s">
        <v>65</v>
      </c>
      <c r="D968" t="s">
        <v>5388</v>
      </c>
      <c r="E968" t="s">
        <v>5744</v>
      </c>
      <c r="F968" t="s">
        <v>5745</v>
      </c>
      <c r="G968">
        <v>2808</v>
      </c>
      <c r="H968" t="s">
        <v>75</v>
      </c>
      <c r="I968" t="s">
        <v>6528</v>
      </c>
      <c r="J968" s="1520">
        <v>46268</v>
      </c>
      <c r="K968" s="1520">
        <v>46309</v>
      </c>
      <c r="L968" s="1520">
        <v>46310.833333333336</v>
      </c>
      <c r="M968" s="1520">
        <v>46310.812465277777</v>
      </c>
      <c r="N968" t="s">
        <v>2434</v>
      </c>
      <c r="O968" s="1520">
        <v>46317</v>
      </c>
      <c r="P968" s="1520">
        <v>46318.812465277777</v>
      </c>
    </row>
    <row r="969" spans="1:16">
      <c r="A969" t="s">
        <v>6547</v>
      </c>
      <c r="B969" t="s">
        <v>64</v>
      </c>
      <c r="C969" t="s">
        <v>114</v>
      </c>
      <c r="D969" t="s">
        <v>5345</v>
      </c>
      <c r="E969" t="s">
        <v>5564</v>
      </c>
      <c r="F969" t="s">
        <v>5565</v>
      </c>
      <c r="G969">
        <v>1440</v>
      </c>
      <c r="H969" t="s">
        <v>75</v>
      </c>
      <c r="I969" t="s">
        <v>6548</v>
      </c>
      <c r="J969" s="1520">
        <v>46268</v>
      </c>
      <c r="K969" s="1520">
        <v>46303</v>
      </c>
      <c r="L969" s="1520">
        <v>46304.333333333336</v>
      </c>
      <c r="M969" s="1520">
        <v>46304.309965277775</v>
      </c>
      <c r="N969" t="s">
        <v>2434</v>
      </c>
      <c r="O969" s="1520">
        <v>46311</v>
      </c>
      <c r="P969" s="1520">
        <v>46313.309965277775</v>
      </c>
    </row>
    <row r="970" spans="1:16">
      <c r="A970" t="s">
        <v>6580</v>
      </c>
      <c r="B970" t="s">
        <v>64</v>
      </c>
      <c r="C970" t="s">
        <v>100</v>
      </c>
      <c r="D970" t="s">
        <v>4540</v>
      </c>
      <c r="E970" t="s">
        <v>71</v>
      </c>
      <c r="F970" t="s">
        <v>72</v>
      </c>
      <c r="G970">
        <v>4320</v>
      </c>
      <c r="I970" t="s">
        <v>6581</v>
      </c>
      <c r="J970" s="1520">
        <v>46268</v>
      </c>
      <c r="K970" s="1520">
        <v>46313</v>
      </c>
      <c r="L970" s="1520">
        <v>46316.583333333336</v>
      </c>
      <c r="M970" s="1520">
        <v>46316.635636574072</v>
      </c>
      <c r="N970" t="s">
        <v>2434</v>
      </c>
      <c r="O970" s="1520">
        <v>46321</v>
      </c>
      <c r="P970" s="1520">
        <v>46323.635636574072</v>
      </c>
    </row>
    <row r="971" spans="1:16">
      <c r="A971" t="s">
        <v>6575</v>
      </c>
      <c r="B971" t="s">
        <v>64</v>
      </c>
      <c r="C971" t="s">
        <v>65</v>
      </c>
      <c r="D971" t="s">
        <v>4540</v>
      </c>
      <c r="E971" t="s">
        <v>71</v>
      </c>
      <c r="F971" t="s">
        <v>72</v>
      </c>
      <c r="G971">
        <v>864</v>
      </c>
      <c r="H971" t="s">
        <v>75</v>
      </c>
      <c r="I971" t="s">
        <v>6576</v>
      </c>
      <c r="J971" s="1520">
        <v>46268</v>
      </c>
      <c r="K971" s="1520">
        <v>46316</v>
      </c>
      <c r="L971" s="1520">
        <v>46310.833333333336</v>
      </c>
      <c r="M971" s="1520">
        <v>46310.812465277777</v>
      </c>
      <c r="N971" t="s">
        <v>2434</v>
      </c>
      <c r="O971" s="1520">
        <v>46317</v>
      </c>
      <c r="P971" s="1520">
        <v>46318.812465277777</v>
      </c>
    </row>
    <row r="972" spans="1:16">
      <c r="A972" t="s">
        <v>6585</v>
      </c>
      <c r="B972" t="s">
        <v>64</v>
      </c>
      <c r="C972" t="s">
        <v>100</v>
      </c>
      <c r="D972" t="s">
        <v>4540</v>
      </c>
      <c r="E972" t="s">
        <v>1151</v>
      </c>
      <c r="F972" t="s">
        <v>421</v>
      </c>
      <c r="G972">
        <v>2592</v>
      </c>
      <c r="H972" t="s">
        <v>75</v>
      </c>
      <c r="I972" t="s">
        <v>6586</v>
      </c>
      <c r="J972" s="1520">
        <v>46268</v>
      </c>
      <c r="K972" s="1520">
        <v>46313</v>
      </c>
      <c r="L972" s="1520">
        <v>46316.583333333336</v>
      </c>
      <c r="M972" s="1520">
        <v>46316.635636574072</v>
      </c>
      <c r="N972" t="s">
        <v>2434</v>
      </c>
      <c r="O972" s="1520">
        <v>46321</v>
      </c>
      <c r="P972" s="1520">
        <v>46323.635636574072</v>
      </c>
    </row>
    <row r="973" spans="1:16">
      <c r="A973" t="s">
        <v>6515</v>
      </c>
      <c r="B973" t="s">
        <v>144</v>
      </c>
      <c r="C973" t="s">
        <v>145</v>
      </c>
      <c r="D973" t="s">
        <v>4540</v>
      </c>
      <c r="E973" t="s">
        <v>6245</v>
      </c>
      <c r="F973" t="s">
        <v>330</v>
      </c>
      <c r="G973">
        <v>7920</v>
      </c>
      <c r="H973" t="s">
        <v>951</v>
      </c>
      <c r="I973" t="s">
        <v>6518</v>
      </c>
      <c r="J973" s="1520">
        <v>46276</v>
      </c>
      <c r="K973" s="1520">
        <v>46314</v>
      </c>
      <c r="L973" s="1520">
        <v>46328</v>
      </c>
      <c r="M973" s="1520"/>
      <c r="N973" t="s">
        <v>973</v>
      </c>
      <c r="O973" s="1520">
        <v>46314</v>
      </c>
      <c r="P973" s="1520">
        <v>46328</v>
      </c>
    </row>
    <row r="974" spans="1:16">
      <c r="A974" t="s">
        <v>6540</v>
      </c>
      <c r="B974" t="s">
        <v>64</v>
      </c>
      <c r="C974" t="s">
        <v>65</v>
      </c>
      <c r="D974" t="s">
        <v>132</v>
      </c>
      <c r="E974" t="s">
        <v>1062</v>
      </c>
      <c r="F974" t="s">
        <v>1063</v>
      </c>
      <c r="G974">
        <v>864</v>
      </c>
      <c r="H974" t="s">
        <v>951</v>
      </c>
      <c r="I974" t="s">
        <v>6541</v>
      </c>
      <c r="J974" s="1520">
        <v>46274</v>
      </c>
      <c r="K974" s="1520">
        <v>46321</v>
      </c>
      <c r="L974" s="1520">
        <v>46336.25</v>
      </c>
      <c r="M974" s="1520" t="s">
        <v>2480</v>
      </c>
      <c r="N974" t="s">
        <v>2434</v>
      </c>
      <c r="O974" s="1520">
        <v>46329</v>
      </c>
      <c r="P974" s="1520">
        <v>46344.25</v>
      </c>
    </row>
    <row r="975" spans="1:16">
      <c r="A975" t="s">
        <v>6596</v>
      </c>
      <c r="B975" t="s">
        <v>64</v>
      </c>
      <c r="C975" t="s">
        <v>310</v>
      </c>
      <c r="D975" t="s">
        <v>284</v>
      </c>
      <c r="E975" t="s">
        <v>6169</v>
      </c>
      <c r="F975" t="s">
        <v>1570</v>
      </c>
      <c r="G975">
        <v>720</v>
      </c>
      <c r="H975" t="s">
        <v>951</v>
      </c>
      <c r="I975" t="s">
        <v>6597</v>
      </c>
      <c r="J975" s="1520">
        <v>46268</v>
      </c>
      <c r="K975" s="1520">
        <v>46334</v>
      </c>
      <c r="L975" s="1520">
        <v>46346.75</v>
      </c>
      <c r="M975" s="1520" t="s">
        <v>2480</v>
      </c>
      <c r="N975" t="s">
        <v>2434</v>
      </c>
      <c r="O975" s="1520">
        <v>46346</v>
      </c>
      <c r="P975" s="1520">
        <v>46356.75</v>
      </c>
    </row>
    <row r="976" spans="1:16">
      <c r="A976" t="s">
        <v>6591</v>
      </c>
      <c r="B976" t="s">
        <v>64</v>
      </c>
      <c r="C976" t="s">
        <v>65</v>
      </c>
      <c r="D976" t="s">
        <v>4540</v>
      </c>
      <c r="E976" t="s">
        <v>691</v>
      </c>
      <c r="F976" t="s">
        <v>692</v>
      </c>
      <c r="G976">
        <v>3456</v>
      </c>
      <c r="H976" t="s">
        <v>951</v>
      </c>
      <c r="I976" t="s">
        <v>6593</v>
      </c>
      <c r="J976" s="1520">
        <v>46268</v>
      </c>
      <c r="K976" s="1520">
        <v>46335</v>
      </c>
      <c r="L976" s="1520">
        <v>46350.791666666664</v>
      </c>
      <c r="M976" s="1520" t="s">
        <v>2480</v>
      </c>
      <c r="N976" t="s">
        <v>2434</v>
      </c>
      <c r="O976" s="1520">
        <v>46343</v>
      </c>
      <c r="P976" s="1520">
        <v>46358.791666666664</v>
      </c>
    </row>
    <row r="977" spans="1:16">
      <c r="A977" t="s">
        <v>6600</v>
      </c>
      <c r="B977" t="s">
        <v>64</v>
      </c>
      <c r="C977" t="s">
        <v>100</v>
      </c>
      <c r="D977" t="s">
        <v>284</v>
      </c>
      <c r="E977" t="s">
        <v>6169</v>
      </c>
      <c r="F977" t="s">
        <v>1570</v>
      </c>
      <c r="G977">
        <v>1440</v>
      </c>
      <c r="H977" t="s">
        <v>951</v>
      </c>
      <c r="I977" t="s">
        <v>6601</v>
      </c>
      <c r="J977" s="1520">
        <v>46267</v>
      </c>
      <c r="K977" s="1520">
        <v>46335</v>
      </c>
      <c r="L977" s="1520"/>
      <c r="M977" s="1520"/>
      <c r="N977" t="s">
        <v>2434</v>
      </c>
      <c r="O977" s="1520">
        <v>46342</v>
      </c>
      <c r="P977" s="1520">
        <v>46342</v>
      </c>
    </row>
    <row r="978" spans="1:16">
      <c r="A978" t="s">
        <v>6330</v>
      </c>
      <c r="B978" t="s">
        <v>144</v>
      </c>
      <c r="C978" t="s">
        <v>145</v>
      </c>
      <c r="D978" t="s">
        <v>284</v>
      </c>
      <c r="E978" t="s">
        <v>6219</v>
      </c>
      <c r="F978" t="s">
        <v>6220</v>
      </c>
      <c r="G978">
        <v>936</v>
      </c>
      <c r="H978" t="s">
        <v>75</v>
      </c>
      <c r="I978" t="s">
        <v>6334</v>
      </c>
      <c r="J978" s="1520">
        <v>46262</v>
      </c>
      <c r="K978" s="1520">
        <v>46299</v>
      </c>
      <c r="L978" s="1520">
        <v>46317.25</v>
      </c>
      <c r="M978" s="1520">
        <v>46317.282534722224</v>
      </c>
      <c r="N978" t="s">
        <v>973</v>
      </c>
      <c r="O978" s="1520">
        <v>46307</v>
      </c>
      <c r="P978" s="1520">
        <v>46317.282534722224</v>
      </c>
    </row>
    <row r="979" spans="1:16">
      <c r="A979" t="s">
        <v>6338</v>
      </c>
      <c r="B979" t="s">
        <v>64</v>
      </c>
      <c r="C979" t="s">
        <v>450</v>
      </c>
      <c r="D979" t="s">
        <v>284</v>
      </c>
      <c r="E979" t="s">
        <v>6219</v>
      </c>
      <c r="F979" t="s">
        <v>6220</v>
      </c>
      <c r="G979">
        <v>1872</v>
      </c>
      <c r="H979" t="s">
        <v>75</v>
      </c>
      <c r="I979" t="s">
        <v>6340</v>
      </c>
      <c r="J979" s="1520">
        <v>46260</v>
      </c>
      <c r="K979" s="1520">
        <v>46299</v>
      </c>
      <c r="L979" s="1520">
        <v>46317.25</v>
      </c>
      <c r="M979" s="1520">
        <v>46317.282534722224</v>
      </c>
      <c r="N979" t="s">
        <v>2434</v>
      </c>
      <c r="O979" s="1520">
        <v>46314</v>
      </c>
      <c r="P979" s="1520">
        <v>46324.282534722224</v>
      </c>
    </row>
    <row r="980" spans="1:16">
      <c r="A980" t="s">
        <v>6570</v>
      </c>
      <c r="B980" t="s">
        <v>64</v>
      </c>
      <c r="C980" t="s">
        <v>450</v>
      </c>
      <c r="D980" t="s">
        <v>284</v>
      </c>
      <c r="E980" t="s">
        <v>6219</v>
      </c>
      <c r="F980" t="s">
        <v>6220</v>
      </c>
      <c r="G980">
        <v>2808</v>
      </c>
      <c r="H980" t="s">
        <v>75</v>
      </c>
      <c r="I980" t="s">
        <v>6571</v>
      </c>
      <c r="J980" s="1520">
        <v>46269</v>
      </c>
      <c r="K980" s="1520">
        <v>46306</v>
      </c>
      <c r="L980" s="1520">
        <v>46317.25</v>
      </c>
      <c r="M980" s="1520">
        <v>46317.282534722224</v>
      </c>
      <c r="N980" t="s">
        <v>2434</v>
      </c>
      <c r="O980" s="1520">
        <v>46314</v>
      </c>
      <c r="P980" s="1520">
        <v>46324.282534722224</v>
      </c>
    </row>
    <row r="981" spans="1:16">
      <c r="A981" t="s">
        <v>6605</v>
      </c>
      <c r="B981" t="s">
        <v>64</v>
      </c>
      <c r="C981" t="s">
        <v>100</v>
      </c>
      <c r="D981" t="s">
        <v>4540</v>
      </c>
      <c r="E981" t="s">
        <v>1151</v>
      </c>
      <c r="F981" t="s">
        <v>421</v>
      </c>
      <c r="G981">
        <v>864</v>
      </c>
      <c r="H981" t="s">
        <v>951</v>
      </c>
      <c r="I981" t="s">
        <v>6606</v>
      </c>
      <c r="J981" s="1520">
        <v>46267</v>
      </c>
      <c r="K981" s="1520">
        <v>46335</v>
      </c>
      <c r="L981" s="1520"/>
      <c r="M981" s="1520"/>
      <c r="N981" t="s">
        <v>2434</v>
      </c>
      <c r="O981" s="1520">
        <v>46342</v>
      </c>
      <c r="P981" s="1520">
        <v>46342</v>
      </c>
    </row>
    <row r="982" spans="1:16">
      <c r="A982" t="s">
        <v>6544</v>
      </c>
      <c r="B982" t="s">
        <v>64</v>
      </c>
      <c r="C982" t="s">
        <v>65</v>
      </c>
      <c r="D982" t="s">
        <v>132</v>
      </c>
      <c r="E982" t="s">
        <v>189</v>
      </c>
      <c r="F982" t="s">
        <v>190</v>
      </c>
      <c r="G982">
        <v>864</v>
      </c>
      <c r="I982" t="s">
        <v>6546</v>
      </c>
      <c r="J982" s="1520">
        <v>46274</v>
      </c>
      <c r="K982" s="1520">
        <v>46321</v>
      </c>
      <c r="L982" s="1520">
        <v>46336.25</v>
      </c>
      <c r="M982" s="1520" t="s">
        <v>2480</v>
      </c>
      <c r="N982" t="s">
        <v>2434</v>
      </c>
      <c r="O982" s="1520">
        <v>46329</v>
      </c>
      <c r="P982" s="1520">
        <v>46344.25</v>
      </c>
    </row>
    <row r="983" spans="1:16">
      <c r="A983" t="s">
        <v>5899</v>
      </c>
      <c r="B983" t="s">
        <v>144</v>
      </c>
      <c r="C983" t="s">
        <v>145</v>
      </c>
      <c r="D983" t="s">
        <v>4540</v>
      </c>
      <c r="E983" t="s">
        <v>4606</v>
      </c>
      <c r="F983" t="s">
        <v>4607</v>
      </c>
      <c r="G983">
        <v>2160</v>
      </c>
      <c r="H983" t="s">
        <v>75</v>
      </c>
      <c r="I983" t="s">
        <v>5902</v>
      </c>
      <c r="J983" s="1520">
        <v>46237</v>
      </c>
      <c r="K983" s="1520">
        <v>46274</v>
      </c>
      <c r="L983" s="1520">
        <v>46284</v>
      </c>
      <c r="M983" s="1520">
        <v>46287</v>
      </c>
      <c r="N983" t="s">
        <v>973</v>
      </c>
      <c r="O983" s="1520">
        <v>46276</v>
      </c>
      <c r="P983" s="1520">
        <v>46287</v>
      </c>
    </row>
    <row r="984" spans="1:16">
      <c r="A984" t="s">
        <v>6556</v>
      </c>
      <c r="B984" t="s">
        <v>144</v>
      </c>
      <c r="C984" t="s">
        <v>145</v>
      </c>
      <c r="D984" t="s">
        <v>284</v>
      </c>
      <c r="E984" t="s">
        <v>5860</v>
      </c>
      <c r="F984" t="s">
        <v>5861</v>
      </c>
      <c r="G984">
        <v>936</v>
      </c>
      <c r="H984" t="s">
        <v>75</v>
      </c>
      <c r="I984" t="s">
        <v>6557</v>
      </c>
      <c r="J984" s="1520">
        <v>46267</v>
      </c>
      <c r="K984" s="1520">
        <v>46337</v>
      </c>
      <c r="L984" s="1520">
        <v>46312.583333333336</v>
      </c>
      <c r="M984" s="1520">
        <v>46312.600763888891</v>
      </c>
      <c r="N984" t="s">
        <v>11129</v>
      </c>
      <c r="O984" s="1520" t="s">
        <v>2480</v>
      </c>
      <c r="P984" s="1520">
        <v>46312.600763888891</v>
      </c>
    </row>
    <row r="985" spans="1:16">
      <c r="A985" t="s">
        <v>6560</v>
      </c>
      <c r="B985" t="s">
        <v>64</v>
      </c>
      <c r="C985" t="s">
        <v>100</v>
      </c>
      <c r="D985" t="s">
        <v>284</v>
      </c>
      <c r="E985" t="s">
        <v>5860</v>
      </c>
      <c r="F985" t="s">
        <v>5861</v>
      </c>
      <c r="G985">
        <v>4680</v>
      </c>
      <c r="H985" t="s">
        <v>75</v>
      </c>
      <c r="I985" t="s">
        <v>6561</v>
      </c>
      <c r="J985" s="1520">
        <v>46266</v>
      </c>
      <c r="K985" s="1520">
        <v>46305</v>
      </c>
      <c r="L985" s="1520">
        <v>46308.083333333336</v>
      </c>
      <c r="M985" s="1520">
        <v>46308.112372685187</v>
      </c>
      <c r="N985" t="s">
        <v>11129</v>
      </c>
      <c r="O985" s="1520" t="s">
        <v>2480</v>
      </c>
      <c r="P985" s="1520">
        <v>46315.112372685187</v>
      </c>
    </row>
    <row r="986" spans="1:16">
      <c r="A986" t="s">
        <v>6499</v>
      </c>
      <c r="B986" t="s">
        <v>144</v>
      </c>
      <c r="C986" t="s">
        <v>145</v>
      </c>
      <c r="D986" t="s">
        <v>4540</v>
      </c>
      <c r="E986" t="s">
        <v>6492</v>
      </c>
      <c r="F986" t="s">
        <v>103</v>
      </c>
      <c r="G986">
        <v>2160</v>
      </c>
      <c r="H986" t="s">
        <v>75</v>
      </c>
      <c r="I986" t="s">
        <v>6500</v>
      </c>
      <c r="J986" s="1520">
        <v>46270</v>
      </c>
      <c r="K986" s="1520">
        <v>46302</v>
      </c>
      <c r="L986" s="1520">
        <v>46316</v>
      </c>
      <c r="M986" s="1520">
        <v>46317</v>
      </c>
      <c r="N986" t="s">
        <v>11129</v>
      </c>
      <c r="O986" s="1520" t="s">
        <v>2480</v>
      </c>
      <c r="P986" s="1520">
        <v>46317</v>
      </c>
    </row>
    <row r="987" spans="1:16">
      <c r="A987" t="s">
        <v>6648</v>
      </c>
      <c r="B987" t="s">
        <v>64</v>
      </c>
      <c r="C987" t="s">
        <v>114</v>
      </c>
      <c r="D987" t="s">
        <v>4540</v>
      </c>
      <c r="E987" t="s">
        <v>6245</v>
      </c>
      <c r="F987" t="s">
        <v>330</v>
      </c>
      <c r="G987">
        <v>1440</v>
      </c>
      <c r="H987" t="s">
        <v>951</v>
      </c>
      <c r="I987" t="s">
        <v>6649</v>
      </c>
      <c r="J987" s="1520">
        <v>46273</v>
      </c>
      <c r="K987" s="1520">
        <v>46317</v>
      </c>
      <c r="L987" s="1520">
        <v>46340.333333333336</v>
      </c>
      <c r="M987" s="1520" t="s">
        <v>2480</v>
      </c>
      <c r="N987" t="s">
        <v>11129</v>
      </c>
      <c r="O987" s="1520" t="s">
        <v>2480</v>
      </c>
      <c r="P987" s="1520">
        <v>46349.333333333336</v>
      </c>
    </row>
    <row r="988" spans="1:16">
      <c r="A988" t="s">
        <v>6552</v>
      </c>
      <c r="B988" t="s">
        <v>64</v>
      </c>
      <c r="C988" t="s">
        <v>450</v>
      </c>
      <c r="D988" t="s">
        <v>284</v>
      </c>
      <c r="E988" t="s">
        <v>5860</v>
      </c>
      <c r="F988" t="s">
        <v>5861</v>
      </c>
      <c r="G988">
        <v>936</v>
      </c>
      <c r="H988" t="s">
        <v>75</v>
      </c>
      <c r="I988" t="s">
        <v>6553</v>
      </c>
      <c r="J988" s="1520">
        <v>46267</v>
      </c>
      <c r="K988" s="1520"/>
      <c r="L988" s="1520">
        <v>46312.583333333336</v>
      </c>
      <c r="M988" s="1520">
        <v>46312.600763888891</v>
      </c>
      <c r="N988" t="s">
        <v>11129</v>
      </c>
      <c r="O988" s="1520" t="s">
        <v>2480</v>
      </c>
      <c r="P988" s="1520">
        <v>46319.600763888891</v>
      </c>
    </row>
    <row r="989" spans="1:16">
      <c r="A989" t="s">
        <v>6505</v>
      </c>
      <c r="B989" t="s">
        <v>64</v>
      </c>
      <c r="C989" t="s">
        <v>100</v>
      </c>
      <c r="D989" t="s">
        <v>5388</v>
      </c>
      <c r="E989" t="s">
        <v>5389</v>
      </c>
      <c r="F989" t="s">
        <v>5390</v>
      </c>
      <c r="G989">
        <v>1872</v>
      </c>
      <c r="H989" t="s">
        <v>75</v>
      </c>
      <c r="I989" t="s">
        <v>6506</v>
      </c>
      <c r="J989" s="1520">
        <v>46270</v>
      </c>
      <c r="K989" s="1520">
        <v>46302</v>
      </c>
      <c r="L989" s="1520">
        <v>46316</v>
      </c>
      <c r="M989" s="1520">
        <v>46317</v>
      </c>
      <c r="N989" t="s">
        <v>11129</v>
      </c>
      <c r="O989" s="1520" t="s">
        <v>2480</v>
      </c>
      <c r="P989" s="1520">
        <v>46324</v>
      </c>
    </row>
    <row r="990" spans="1:16">
      <c r="A990" t="s">
        <v>6719</v>
      </c>
      <c r="B990" t="s">
        <v>64</v>
      </c>
      <c r="C990" t="s">
        <v>100</v>
      </c>
      <c r="D990" t="s">
        <v>284</v>
      </c>
      <c r="E990" t="s">
        <v>6169</v>
      </c>
      <c r="F990" t="s">
        <v>1570</v>
      </c>
      <c r="G990">
        <v>5760</v>
      </c>
      <c r="H990" t="s">
        <v>951</v>
      </c>
      <c r="I990" t="s">
        <v>6721</v>
      </c>
      <c r="J990" s="1520">
        <v>46276</v>
      </c>
      <c r="K990" s="1520">
        <v>46321</v>
      </c>
      <c r="L990" s="1520">
        <v>46327.166666666664</v>
      </c>
      <c r="M990" s="1520" t="s">
        <v>2480</v>
      </c>
      <c r="N990" t="s">
        <v>11129</v>
      </c>
      <c r="O990" s="1520" t="s">
        <v>2480</v>
      </c>
      <c r="P990" s="1520">
        <v>46334.166666666664</v>
      </c>
    </row>
    <row r="991" spans="1:16">
      <c r="A991" t="s">
        <v>6509</v>
      </c>
      <c r="B991" t="s">
        <v>144</v>
      </c>
      <c r="C991" t="s">
        <v>145</v>
      </c>
      <c r="D991" t="s">
        <v>5388</v>
      </c>
      <c r="E991" t="s">
        <v>5409</v>
      </c>
      <c r="F991" t="s">
        <v>5410</v>
      </c>
      <c r="G991">
        <v>936</v>
      </c>
      <c r="H991" t="s">
        <v>75</v>
      </c>
      <c r="I991" t="s">
        <v>6512</v>
      </c>
      <c r="J991" s="1520">
        <v>46270</v>
      </c>
      <c r="K991" s="1520">
        <v>46302</v>
      </c>
      <c r="L991" s="1520">
        <v>46316</v>
      </c>
      <c r="M991" s="1520">
        <v>46317</v>
      </c>
      <c r="N991" t="s">
        <v>11129</v>
      </c>
      <c r="O991" s="1520" t="s">
        <v>2480</v>
      </c>
      <c r="P991" s="1520">
        <v>46317</v>
      </c>
    </row>
    <row r="992" spans="1:16">
      <c r="A992" t="s">
        <v>6503</v>
      </c>
      <c r="B992" t="s">
        <v>144</v>
      </c>
      <c r="C992" t="s">
        <v>145</v>
      </c>
      <c r="D992" t="s">
        <v>4540</v>
      </c>
      <c r="E992" t="s">
        <v>6470</v>
      </c>
      <c r="F992" t="s">
        <v>4607</v>
      </c>
      <c r="G992">
        <v>720</v>
      </c>
      <c r="H992" t="s">
        <v>75</v>
      </c>
      <c r="I992" t="s">
        <v>6504</v>
      </c>
      <c r="J992" s="1520">
        <v>46270</v>
      </c>
      <c r="K992" s="1520">
        <v>46302</v>
      </c>
      <c r="L992" s="1520">
        <v>46316</v>
      </c>
      <c r="M992" s="1520">
        <v>46317</v>
      </c>
      <c r="N992" t="s">
        <v>11129</v>
      </c>
      <c r="O992" s="1520" t="s">
        <v>2480</v>
      </c>
      <c r="P992" s="1520">
        <v>46317</v>
      </c>
    </row>
    <row r="993" spans="1:16">
      <c r="A993" t="s">
        <v>6614</v>
      </c>
      <c r="B993" t="s">
        <v>64</v>
      </c>
      <c r="C993" t="s">
        <v>450</v>
      </c>
      <c r="D993" t="s">
        <v>550</v>
      </c>
      <c r="E993" t="s">
        <v>2134</v>
      </c>
      <c r="F993" t="s">
        <v>2135</v>
      </c>
      <c r="G993">
        <v>2376</v>
      </c>
      <c r="H993" t="s">
        <v>75</v>
      </c>
      <c r="I993" t="s">
        <v>6615</v>
      </c>
      <c r="J993" s="1520">
        <v>46273</v>
      </c>
      <c r="K993" s="1520">
        <v>46313</v>
      </c>
      <c r="L993" s="1520">
        <v>46322.958333333336</v>
      </c>
      <c r="M993" s="1520">
        <v>46322.921701388892</v>
      </c>
      <c r="N993" t="s">
        <v>11129</v>
      </c>
      <c r="O993" s="1520" t="s">
        <v>2480</v>
      </c>
      <c r="P993" s="1520">
        <v>46329.921701388892</v>
      </c>
    </row>
    <row r="994" spans="1:16">
      <c r="A994" t="s">
        <v>6324</v>
      </c>
      <c r="B994" t="s">
        <v>64</v>
      </c>
      <c r="C994" t="s">
        <v>310</v>
      </c>
      <c r="D994" t="s">
        <v>550</v>
      </c>
      <c r="E994" t="s">
        <v>2134</v>
      </c>
      <c r="F994" t="s">
        <v>2135</v>
      </c>
      <c r="G994">
        <v>792</v>
      </c>
      <c r="H994" t="s">
        <v>951</v>
      </c>
      <c r="I994" t="s">
        <v>6326</v>
      </c>
      <c r="J994" s="1520">
        <v>46263</v>
      </c>
      <c r="K994" s="1520">
        <v>46318</v>
      </c>
      <c r="L994" s="1520">
        <v>46330.75</v>
      </c>
      <c r="M994" s="1520" t="s">
        <v>2480</v>
      </c>
      <c r="N994" t="s">
        <v>11129</v>
      </c>
      <c r="O994" s="1520" t="s">
        <v>2480</v>
      </c>
      <c r="P994" s="1520">
        <v>46340.75</v>
      </c>
    </row>
    <row r="995" spans="1:16">
      <c r="A995" t="s">
        <v>6710</v>
      </c>
      <c r="B995" t="s">
        <v>64</v>
      </c>
      <c r="C995" t="s">
        <v>65</v>
      </c>
      <c r="D995" t="s">
        <v>4540</v>
      </c>
      <c r="E995" t="s">
        <v>706</v>
      </c>
      <c r="F995" t="s">
        <v>707</v>
      </c>
      <c r="G995">
        <v>1728</v>
      </c>
      <c r="H995" t="s">
        <v>951</v>
      </c>
      <c r="I995" t="s">
        <v>6711</v>
      </c>
      <c r="J995" s="1520">
        <v>46276</v>
      </c>
      <c r="K995" s="1520">
        <v>46330</v>
      </c>
      <c r="L995" s="1520">
        <v>46332.833333333336</v>
      </c>
      <c r="M995" s="1520" t="s">
        <v>2480</v>
      </c>
      <c r="N995" t="s">
        <v>11129</v>
      </c>
      <c r="O995" s="1520" t="s">
        <v>2480</v>
      </c>
      <c r="P995" s="1520">
        <v>46340.833333333336</v>
      </c>
    </row>
    <row r="996" spans="1:16">
      <c r="A996" t="s">
        <v>6715</v>
      </c>
      <c r="B996" t="s">
        <v>64</v>
      </c>
      <c r="C996" t="s">
        <v>65</v>
      </c>
      <c r="D996" t="s">
        <v>4540</v>
      </c>
      <c r="E996" t="s">
        <v>706</v>
      </c>
      <c r="F996" t="s">
        <v>707</v>
      </c>
      <c r="G996">
        <v>3456</v>
      </c>
      <c r="H996" t="s">
        <v>951</v>
      </c>
      <c r="I996" t="s">
        <v>6716</v>
      </c>
      <c r="J996" s="1520">
        <v>46276</v>
      </c>
      <c r="K996" s="1520">
        <v>46342</v>
      </c>
      <c r="L996" s="1520">
        <v>46348.25</v>
      </c>
      <c r="M996" s="1520" t="s">
        <v>2480</v>
      </c>
      <c r="N996" t="s">
        <v>11129</v>
      </c>
      <c r="O996" s="1520" t="s">
        <v>2480</v>
      </c>
      <c r="P996" s="1520">
        <v>46356.25</v>
      </c>
    </row>
    <row r="997" spans="1:16">
      <c r="A997" t="s">
        <v>6728</v>
      </c>
      <c r="B997" t="s">
        <v>144</v>
      </c>
      <c r="C997" t="s">
        <v>145</v>
      </c>
      <c r="D997" t="s">
        <v>284</v>
      </c>
      <c r="E997" t="s">
        <v>6730</v>
      </c>
      <c r="F997" t="s">
        <v>1570</v>
      </c>
      <c r="G997">
        <v>1440</v>
      </c>
      <c r="H997" t="s">
        <v>951</v>
      </c>
      <c r="I997" t="s">
        <v>6731</v>
      </c>
      <c r="J997" s="1520">
        <v>46272</v>
      </c>
      <c r="K997" s="1520">
        <v>46319</v>
      </c>
      <c r="L997" s="1520">
        <v>46324</v>
      </c>
      <c r="M997" s="1520"/>
      <c r="N997" t="s">
        <v>11129</v>
      </c>
      <c r="O997" s="1520" t="s">
        <v>2480</v>
      </c>
      <c r="P997" s="1520">
        <v>46324</v>
      </c>
    </row>
    <row r="998" spans="1:16">
      <c r="A998" t="s">
        <v>6828</v>
      </c>
      <c r="B998" t="s">
        <v>144</v>
      </c>
      <c r="C998" t="s">
        <v>145</v>
      </c>
      <c r="D998" t="s">
        <v>284</v>
      </c>
      <c r="E998" t="s">
        <v>6730</v>
      </c>
      <c r="F998" t="s">
        <v>1570</v>
      </c>
      <c r="G998">
        <v>6480</v>
      </c>
      <c r="H998" t="s">
        <v>951</v>
      </c>
      <c r="I998" t="s">
        <v>6829</v>
      </c>
      <c r="J998" s="1520">
        <v>46279</v>
      </c>
      <c r="K998" s="1520">
        <v>46327</v>
      </c>
      <c r="L998" s="1520"/>
      <c r="M998" s="1520"/>
      <c r="N998" t="s">
        <v>11129</v>
      </c>
      <c r="O998" s="1520" t="s">
        <v>2480</v>
      </c>
      <c r="P998" s="1520">
        <v>46327</v>
      </c>
    </row>
    <row r="999" spans="1:16">
      <c r="A999" t="s">
        <v>6834</v>
      </c>
      <c r="B999" t="s">
        <v>144</v>
      </c>
      <c r="C999" t="s">
        <v>145</v>
      </c>
      <c r="D999" t="s">
        <v>284</v>
      </c>
      <c r="E999" t="s">
        <v>6737</v>
      </c>
      <c r="F999" t="s">
        <v>5355</v>
      </c>
      <c r="G999">
        <v>7200</v>
      </c>
      <c r="I999" t="s">
        <v>6835</v>
      </c>
      <c r="J999" s="1520">
        <v>46279</v>
      </c>
      <c r="K999" s="1520">
        <v>46327</v>
      </c>
      <c r="L999" s="1520"/>
      <c r="M999" s="1520"/>
      <c r="N999" t="s">
        <v>11129</v>
      </c>
      <c r="O999" s="1520" t="s">
        <v>2480</v>
      </c>
      <c r="P999" s="1520">
        <v>46327</v>
      </c>
    </row>
    <row r="1000" spans="1:16">
      <c r="A1000" t="s">
        <v>6607</v>
      </c>
      <c r="B1000" t="s">
        <v>144</v>
      </c>
      <c r="C1000" t="s">
        <v>145</v>
      </c>
      <c r="D1000" t="s">
        <v>4540</v>
      </c>
      <c r="E1000" t="s">
        <v>6492</v>
      </c>
      <c r="F1000" t="s">
        <v>103</v>
      </c>
      <c r="G1000">
        <v>720</v>
      </c>
      <c r="H1000" t="s">
        <v>951</v>
      </c>
      <c r="I1000" t="s">
        <v>6608</v>
      </c>
      <c r="J1000" s="1520">
        <v>46271</v>
      </c>
      <c r="K1000" s="1520">
        <v>46312</v>
      </c>
      <c r="L1000" s="1520">
        <v>46326</v>
      </c>
      <c r="M1000" s="1520"/>
      <c r="N1000" t="s">
        <v>11129</v>
      </c>
      <c r="O1000" s="1520" t="s">
        <v>2480</v>
      </c>
      <c r="P1000" s="1520">
        <v>46326</v>
      </c>
    </row>
    <row r="1001" spans="1:16">
      <c r="A1001" t="s">
        <v>6736</v>
      </c>
      <c r="B1001" t="s">
        <v>144</v>
      </c>
      <c r="C1001" t="s">
        <v>145</v>
      </c>
      <c r="D1001" t="s">
        <v>284</v>
      </c>
      <c r="E1001" t="s">
        <v>6737</v>
      </c>
      <c r="F1001" t="s">
        <v>5355</v>
      </c>
      <c r="G1001">
        <v>2160</v>
      </c>
      <c r="H1001" t="s">
        <v>951</v>
      </c>
      <c r="I1001" t="s">
        <v>6738</v>
      </c>
      <c r="J1001" s="1520">
        <v>46272</v>
      </c>
      <c r="K1001" s="1520">
        <v>46319</v>
      </c>
      <c r="L1001" s="1520">
        <v>46324</v>
      </c>
      <c r="M1001" s="1520"/>
      <c r="N1001" t="s">
        <v>11129</v>
      </c>
      <c r="O1001" s="1520" t="s">
        <v>2480</v>
      </c>
      <c r="P1001" s="1520">
        <v>46324</v>
      </c>
    </row>
    <row r="1002" spans="1:16">
      <c r="A1002" t="s">
        <v>6773</v>
      </c>
      <c r="B1002" t="s">
        <v>64</v>
      </c>
      <c r="C1002" t="s">
        <v>100</v>
      </c>
      <c r="D1002" t="s">
        <v>70</v>
      </c>
      <c r="E1002" t="s">
        <v>5758</v>
      </c>
      <c r="F1002" t="s">
        <v>1484</v>
      </c>
      <c r="G1002">
        <v>1782</v>
      </c>
      <c r="H1002" t="s">
        <v>951</v>
      </c>
      <c r="I1002" t="s">
        <v>6774</v>
      </c>
      <c r="J1002" s="1520">
        <v>46279</v>
      </c>
      <c r="K1002" s="1520">
        <v>46319</v>
      </c>
      <c r="L1002" s="1520">
        <v>46333.625</v>
      </c>
      <c r="M1002" s="1520" t="s">
        <v>2480</v>
      </c>
      <c r="N1002" t="s">
        <v>11129</v>
      </c>
      <c r="O1002" s="1520" t="s">
        <v>2480</v>
      </c>
      <c r="P1002" s="1520">
        <v>46340.625</v>
      </c>
    </row>
    <row r="1003" spans="1:16">
      <c r="A1003" t="s">
        <v>6701</v>
      </c>
      <c r="B1003" t="s">
        <v>144</v>
      </c>
      <c r="C1003" t="s">
        <v>145</v>
      </c>
      <c r="D1003" t="s">
        <v>4540</v>
      </c>
      <c r="E1003" t="s">
        <v>71</v>
      </c>
      <c r="F1003" t="s">
        <v>72</v>
      </c>
      <c r="G1003">
        <v>1728</v>
      </c>
      <c r="H1003" t="s">
        <v>951</v>
      </c>
      <c r="I1003" t="s">
        <v>6703</v>
      </c>
      <c r="J1003" s="1520">
        <v>46274</v>
      </c>
      <c r="K1003" s="1520">
        <v>46323</v>
      </c>
      <c r="L1003" s="1520">
        <v>46331.75</v>
      </c>
      <c r="M1003" s="1520" t="s">
        <v>2480</v>
      </c>
      <c r="N1003" t="s">
        <v>11129</v>
      </c>
      <c r="O1003" s="1520" t="s">
        <v>2480</v>
      </c>
      <c r="P1003" s="1520">
        <v>46331.75</v>
      </c>
    </row>
    <row r="1004" spans="1:16">
      <c r="A1004" t="s">
        <v>6619</v>
      </c>
      <c r="B1004" t="s">
        <v>144</v>
      </c>
      <c r="C1004" t="s">
        <v>145</v>
      </c>
      <c r="D1004" t="s">
        <v>4540</v>
      </c>
      <c r="E1004" t="s">
        <v>6492</v>
      </c>
      <c r="F1004" t="s">
        <v>103</v>
      </c>
      <c r="G1004">
        <v>7920</v>
      </c>
      <c r="H1004" t="s">
        <v>75</v>
      </c>
      <c r="I1004" t="s">
        <v>6620</v>
      </c>
      <c r="J1004" s="1520">
        <v>46278</v>
      </c>
      <c r="K1004" s="1520">
        <v>46313</v>
      </c>
      <c r="L1004" s="1520">
        <v>46316.583333333336</v>
      </c>
      <c r="M1004" s="1520">
        <v>46316.635636574072</v>
      </c>
      <c r="N1004" t="s">
        <v>11129</v>
      </c>
      <c r="O1004" s="1520" t="s">
        <v>2480</v>
      </c>
      <c r="P1004" s="1520">
        <v>46316.635636574072</v>
      </c>
    </row>
    <row r="1005" spans="1:16">
      <c r="A1005" t="s">
        <v>6706</v>
      </c>
      <c r="B1005" t="s">
        <v>64</v>
      </c>
      <c r="C1005" t="s">
        <v>65</v>
      </c>
      <c r="D1005" t="s">
        <v>4540</v>
      </c>
      <c r="E1005" t="s">
        <v>71</v>
      </c>
      <c r="F1005" t="s">
        <v>72</v>
      </c>
      <c r="G1005">
        <v>864</v>
      </c>
      <c r="H1005" t="s">
        <v>951</v>
      </c>
      <c r="I1005" t="s">
        <v>6707</v>
      </c>
      <c r="J1005" s="1520">
        <v>46277</v>
      </c>
      <c r="K1005" s="1520">
        <v>46321</v>
      </c>
      <c r="L1005" s="1520">
        <v>46336.25</v>
      </c>
      <c r="M1005" s="1520" t="s">
        <v>2480</v>
      </c>
      <c r="N1005" t="s">
        <v>11129</v>
      </c>
      <c r="O1005" s="1520" t="s">
        <v>2480</v>
      </c>
      <c r="P1005" s="1520">
        <v>46344.25</v>
      </c>
    </row>
    <row r="1006" spans="1:16">
      <c r="A1006" t="s">
        <v>6358</v>
      </c>
      <c r="B1006" t="s">
        <v>64</v>
      </c>
      <c r="C1006" t="s">
        <v>65</v>
      </c>
      <c r="D1006" t="s">
        <v>4540</v>
      </c>
      <c r="E1006" t="s">
        <v>71</v>
      </c>
      <c r="F1006" t="s">
        <v>72</v>
      </c>
      <c r="G1006">
        <v>864</v>
      </c>
      <c r="H1006" t="s">
        <v>951</v>
      </c>
      <c r="I1006" t="s">
        <v>6359</v>
      </c>
      <c r="J1006" s="1520">
        <v>46265</v>
      </c>
      <c r="K1006" s="1520">
        <v>46314</v>
      </c>
      <c r="L1006" s="1520">
        <v>46330.916666666664</v>
      </c>
      <c r="M1006" s="1520" t="s">
        <v>2480</v>
      </c>
      <c r="N1006" t="s">
        <v>11129</v>
      </c>
      <c r="O1006" s="1520" t="s">
        <v>2480</v>
      </c>
      <c r="P1006" s="1520">
        <v>46338.916666666664</v>
      </c>
    </row>
    <row r="1007" spans="1:16">
      <c r="A1007" t="s">
        <v>6623</v>
      </c>
      <c r="B1007" t="s">
        <v>144</v>
      </c>
      <c r="C1007" t="s">
        <v>145</v>
      </c>
      <c r="D1007" t="s">
        <v>4540</v>
      </c>
      <c r="E1007" t="s">
        <v>6492</v>
      </c>
      <c r="F1007" t="s">
        <v>103</v>
      </c>
      <c r="G1007">
        <v>3600</v>
      </c>
      <c r="H1007" t="s">
        <v>951</v>
      </c>
      <c r="I1007" t="s">
        <v>6624</v>
      </c>
      <c r="J1007" s="1520">
        <v>46272</v>
      </c>
      <c r="K1007" s="1520">
        <v>46309</v>
      </c>
      <c r="L1007" s="1520">
        <v>46324.833333333336</v>
      </c>
      <c r="M1007" s="1520" t="s">
        <v>2480</v>
      </c>
      <c r="N1007" t="s">
        <v>11129</v>
      </c>
      <c r="O1007" s="1520" t="s">
        <v>2480</v>
      </c>
      <c r="P1007" s="1520">
        <v>46324.833333333336</v>
      </c>
    </row>
    <row r="1008" spans="1:16">
      <c r="A1008" t="s">
        <v>6628</v>
      </c>
      <c r="B1008" t="s">
        <v>144</v>
      </c>
      <c r="C1008" t="s">
        <v>145</v>
      </c>
      <c r="D1008" t="s">
        <v>4540</v>
      </c>
      <c r="E1008" t="s">
        <v>6492</v>
      </c>
      <c r="F1008" t="s">
        <v>103</v>
      </c>
      <c r="G1008">
        <v>5760</v>
      </c>
      <c r="H1008" t="s">
        <v>75</v>
      </c>
      <c r="I1008" t="s">
        <v>6629</v>
      </c>
      <c r="J1008" s="1520">
        <v>46275</v>
      </c>
      <c r="K1008" s="1520">
        <v>46319</v>
      </c>
      <c r="L1008" s="1520">
        <v>46322.833333333336</v>
      </c>
      <c r="M1008" s="1520">
        <v>46322.775902777779</v>
      </c>
      <c r="N1008" t="s">
        <v>11129</v>
      </c>
      <c r="O1008" s="1520" t="s">
        <v>2480</v>
      </c>
      <c r="P1008" s="1520">
        <v>46322.775902777779</v>
      </c>
    </row>
    <row r="1009" spans="1:16">
      <c r="A1009" t="s">
        <v>6653</v>
      </c>
      <c r="B1009" t="s">
        <v>64</v>
      </c>
      <c r="C1009" t="s">
        <v>114</v>
      </c>
      <c r="D1009" t="s">
        <v>4540</v>
      </c>
      <c r="E1009" t="s">
        <v>6245</v>
      </c>
      <c r="F1009" t="s">
        <v>330</v>
      </c>
      <c r="G1009">
        <v>720</v>
      </c>
      <c r="H1009" t="s">
        <v>75</v>
      </c>
      <c r="I1009" t="s">
        <v>6654</v>
      </c>
      <c r="J1009" s="1520">
        <v>46277</v>
      </c>
      <c r="K1009" s="1520">
        <v>46310</v>
      </c>
      <c r="L1009" s="1520">
        <v>46315.342361111114</v>
      </c>
      <c r="M1009" s="1520">
        <v>46315.492418981485</v>
      </c>
      <c r="N1009" t="s">
        <v>11129</v>
      </c>
      <c r="O1009" s="1520" t="s">
        <v>2480</v>
      </c>
      <c r="P1009" s="1520">
        <v>46324.492418981485</v>
      </c>
    </row>
    <row r="1010" spans="1:16">
      <c r="A1010" t="s">
        <v>6612</v>
      </c>
      <c r="B1010" t="s">
        <v>144</v>
      </c>
      <c r="C1010" t="s">
        <v>145</v>
      </c>
      <c r="D1010" t="s">
        <v>4540</v>
      </c>
      <c r="E1010" t="s">
        <v>6470</v>
      </c>
      <c r="F1010" t="s">
        <v>4607</v>
      </c>
      <c r="G1010">
        <v>2880</v>
      </c>
      <c r="H1010" t="s">
        <v>951</v>
      </c>
      <c r="I1010" t="s">
        <v>6613</v>
      </c>
      <c r="J1010" s="1520">
        <v>46271</v>
      </c>
      <c r="K1010" s="1520">
        <v>46312</v>
      </c>
      <c r="L1010" s="1520">
        <v>46326</v>
      </c>
      <c r="M1010" s="1520"/>
      <c r="N1010" t="s">
        <v>11129</v>
      </c>
      <c r="O1010" s="1520" t="s">
        <v>2480</v>
      </c>
      <c r="P1010" s="1520">
        <v>46326</v>
      </c>
    </row>
    <row r="1011" spans="1:16">
      <c r="A1011" t="s">
        <v>6310</v>
      </c>
      <c r="B1011" t="s">
        <v>64</v>
      </c>
      <c r="C1011" t="s">
        <v>65</v>
      </c>
      <c r="D1011" t="s">
        <v>132</v>
      </c>
      <c r="E1011" t="s">
        <v>1062</v>
      </c>
      <c r="F1011" t="s">
        <v>1063</v>
      </c>
      <c r="G1011">
        <v>1728</v>
      </c>
      <c r="H1011" t="s">
        <v>75</v>
      </c>
      <c r="I1011" t="s">
        <v>6311</v>
      </c>
      <c r="J1011" s="1520">
        <v>46260</v>
      </c>
      <c r="K1011" s="1520">
        <v>46309</v>
      </c>
      <c r="L1011" s="1520">
        <v>46317</v>
      </c>
      <c r="M1011" s="1520">
        <v>46318</v>
      </c>
      <c r="N1011" t="s">
        <v>11129</v>
      </c>
      <c r="O1011" s="1520" t="s">
        <v>2480</v>
      </c>
      <c r="P1011" s="1520">
        <v>46326</v>
      </c>
    </row>
    <row r="1012" spans="1:16">
      <c r="A1012" t="s">
        <v>6536</v>
      </c>
      <c r="B1012" t="s">
        <v>64</v>
      </c>
      <c r="C1012" t="s">
        <v>65</v>
      </c>
      <c r="D1012" t="s">
        <v>5388</v>
      </c>
      <c r="E1012" t="s">
        <v>5744</v>
      </c>
      <c r="F1012" t="s">
        <v>5745</v>
      </c>
      <c r="G1012">
        <v>2808</v>
      </c>
      <c r="H1012" t="s">
        <v>75</v>
      </c>
      <c r="I1012" t="s">
        <v>6537</v>
      </c>
      <c r="J1012" s="1520">
        <v>46271</v>
      </c>
      <c r="K1012" s="1520">
        <v>46316</v>
      </c>
      <c r="L1012" s="1520">
        <v>46317</v>
      </c>
      <c r="M1012" s="1520">
        <v>46318</v>
      </c>
      <c r="N1012" t="s">
        <v>11129</v>
      </c>
      <c r="O1012" s="1520" t="s">
        <v>2480</v>
      </c>
      <c r="P1012" s="1520">
        <v>46326</v>
      </c>
    </row>
    <row r="1013" spans="1:16">
      <c r="A1013" t="s">
        <v>6314</v>
      </c>
      <c r="B1013" t="s">
        <v>64</v>
      </c>
      <c r="C1013" t="s">
        <v>65</v>
      </c>
      <c r="D1013" t="s">
        <v>5388</v>
      </c>
      <c r="E1013" t="s">
        <v>5744</v>
      </c>
      <c r="F1013" t="s">
        <v>5745</v>
      </c>
      <c r="G1013">
        <v>7488</v>
      </c>
      <c r="H1013" t="s">
        <v>75</v>
      </c>
      <c r="I1013" t="s">
        <v>6315</v>
      </c>
      <c r="J1013" s="1520">
        <v>46260</v>
      </c>
      <c r="K1013" s="1520">
        <v>46309</v>
      </c>
      <c r="L1013" s="1520">
        <v>46317</v>
      </c>
      <c r="M1013" s="1520">
        <v>46318</v>
      </c>
      <c r="N1013" t="s">
        <v>11129</v>
      </c>
      <c r="O1013" s="1520" t="s">
        <v>2480</v>
      </c>
      <c r="P1013" s="1520">
        <v>46326</v>
      </c>
    </row>
    <row r="1014" spans="1:16">
      <c r="A1014" t="s">
        <v>6657</v>
      </c>
      <c r="B1014" t="s">
        <v>64</v>
      </c>
      <c r="C1014" t="s">
        <v>65</v>
      </c>
      <c r="D1014" t="s">
        <v>132</v>
      </c>
      <c r="E1014" t="s">
        <v>1062</v>
      </c>
      <c r="F1014" t="s">
        <v>1063</v>
      </c>
      <c r="G1014">
        <v>2592</v>
      </c>
      <c r="I1014" t="s">
        <v>6658</v>
      </c>
      <c r="J1014" s="1520">
        <v>46278</v>
      </c>
      <c r="K1014" s="1520">
        <v>46330</v>
      </c>
      <c r="L1014" s="1520"/>
      <c r="M1014" s="1520"/>
      <c r="N1014" t="s">
        <v>11129</v>
      </c>
      <c r="O1014" s="1520" t="s">
        <v>2480</v>
      </c>
      <c r="P1014" s="1520">
        <v>46338</v>
      </c>
    </row>
    <row r="1015" spans="1:16">
      <c r="A1015" t="s">
        <v>6775</v>
      </c>
      <c r="B1015" t="s">
        <v>64</v>
      </c>
      <c r="C1015" t="s">
        <v>100</v>
      </c>
      <c r="D1015" t="s">
        <v>5388</v>
      </c>
      <c r="E1015" t="s">
        <v>6687</v>
      </c>
      <c r="F1015" t="s">
        <v>6688</v>
      </c>
      <c r="G1015">
        <v>1872</v>
      </c>
      <c r="H1015" t="s">
        <v>951</v>
      </c>
      <c r="I1015" t="s">
        <v>6776</v>
      </c>
      <c r="J1015" s="1520">
        <v>46277</v>
      </c>
      <c r="K1015" s="1520">
        <v>46326</v>
      </c>
      <c r="L1015" s="1520">
        <v>46324.791666666664</v>
      </c>
      <c r="M1015" s="1520" t="s">
        <v>2480</v>
      </c>
      <c r="N1015" t="s">
        <v>11129</v>
      </c>
      <c r="O1015" s="1520" t="s">
        <v>2480</v>
      </c>
      <c r="P1015" s="1520">
        <v>46331.791666666664</v>
      </c>
    </row>
    <row r="1016" spans="1:16">
      <c r="A1016" t="s">
        <v>6316</v>
      </c>
      <c r="B1016" t="s">
        <v>64</v>
      </c>
      <c r="C1016" t="s">
        <v>65</v>
      </c>
      <c r="D1016" t="s">
        <v>5388</v>
      </c>
      <c r="E1016" t="s">
        <v>5744</v>
      </c>
      <c r="F1016" t="s">
        <v>5745</v>
      </c>
      <c r="G1016">
        <v>936</v>
      </c>
      <c r="H1016" t="s">
        <v>75</v>
      </c>
      <c r="I1016" t="s">
        <v>6318</v>
      </c>
      <c r="J1016" s="1520">
        <v>46260</v>
      </c>
      <c r="K1016" s="1520">
        <v>46309</v>
      </c>
      <c r="L1016" s="1520">
        <v>46317</v>
      </c>
      <c r="M1016" s="1520">
        <v>46318</v>
      </c>
      <c r="N1016" t="s">
        <v>11129</v>
      </c>
      <c r="O1016" s="1520" t="s">
        <v>2480</v>
      </c>
      <c r="P1016" s="1520">
        <v>46326</v>
      </c>
    </row>
    <row r="1017" spans="1:16">
      <c r="A1017" t="s">
        <v>6322</v>
      </c>
      <c r="B1017" t="s">
        <v>64</v>
      </c>
      <c r="C1017" t="s">
        <v>65</v>
      </c>
      <c r="D1017" t="s">
        <v>5388</v>
      </c>
      <c r="E1017" t="s">
        <v>6291</v>
      </c>
      <c r="F1017" t="s">
        <v>6292</v>
      </c>
      <c r="G1017">
        <v>1872</v>
      </c>
      <c r="H1017" t="s">
        <v>75</v>
      </c>
      <c r="I1017" t="s">
        <v>6323</v>
      </c>
      <c r="J1017" s="1520">
        <v>46260</v>
      </c>
      <c r="K1017" s="1520">
        <v>46309</v>
      </c>
      <c r="L1017" s="1520">
        <v>46317</v>
      </c>
      <c r="M1017" s="1520">
        <v>46318</v>
      </c>
      <c r="N1017" t="s">
        <v>11129</v>
      </c>
      <c r="O1017" s="1520" t="s">
        <v>2480</v>
      </c>
      <c r="P1017" s="1520">
        <v>46326</v>
      </c>
    </row>
    <row r="1018" spans="1:16">
      <c r="A1018" t="s">
        <v>6780</v>
      </c>
      <c r="B1018" t="s">
        <v>64</v>
      </c>
      <c r="C1018" t="s">
        <v>100</v>
      </c>
      <c r="D1018" t="s">
        <v>5388</v>
      </c>
      <c r="E1018" t="s">
        <v>6781</v>
      </c>
      <c r="F1018" t="s">
        <v>6782</v>
      </c>
      <c r="G1018">
        <v>5616</v>
      </c>
      <c r="H1018" t="s">
        <v>951</v>
      </c>
      <c r="I1018" t="s">
        <v>6783</v>
      </c>
      <c r="J1018" s="1520">
        <v>46277</v>
      </c>
      <c r="K1018" s="1520">
        <v>46326</v>
      </c>
      <c r="L1018" s="1520">
        <v>46324.791666666664</v>
      </c>
      <c r="M1018" s="1520" t="s">
        <v>2480</v>
      </c>
      <c r="N1018" t="s">
        <v>11129</v>
      </c>
      <c r="O1018" s="1520" t="s">
        <v>2480</v>
      </c>
      <c r="P1018" s="1520">
        <v>46331.791666666664</v>
      </c>
    </row>
    <row r="1019" spans="1:16">
      <c r="A1019" t="s">
        <v>6538</v>
      </c>
      <c r="B1019" t="s">
        <v>64</v>
      </c>
      <c r="C1019" t="s">
        <v>65</v>
      </c>
      <c r="D1019" t="s">
        <v>132</v>
      </c>
      <c r="E1019" t="s">
        <v>189</v>
      </c>
      <c r="F1019" t="s">
        <v>190</v>
      </c>
      <c r="G1019">
        <v>864</v>
      </c>
      <c r="I1019" t="s">
        <v>6539</v>
      </c>
      <c r="J1019" s="1520">
        <v>46271</v>
      </c>
      <c r="K1019" s="1520">
        <v>46316</v>
      </c>
      <c r="L1019" s="1520">
        <v>46317</v>
      </c>
      <c r="M1019" s="1520">
        <v>46318</v>
      </c>
      <c r="N1019" t="s">
        <v>11129</v>
      </c>
      <c r="O1019" s="1520" t="s">
        <v>2480</v>
      </c>
      <c r="P1019" s="1520">
        <v>46326</v>
      </c>
    </row>
    <row r="1020" spans="1:16">
      <c r="A1020" t="s">
        <v>6633</v>
      </c>
      <c r="B1020" t="s">
        <v>64</v>
      </c>
      <c r="C1020" t="s">
        <v>65</v>
      </c>
      <c r="D1020" t="s">
        <v>132</v>
      </c>
      <c r="E1020" t="s">
        <v>189</v>
      </c>
      <c r="F1020" t="s">
        <v>190</v>
      </c>
      <c r="G1020">
        <v>3456</v>
      </c>
      <c r="I1020" t="s">
        <v>6634</v>
      </c>
      <c r="J1020" s="1520">
        <v>46277</v>
      </c>
      <c r="K1020" s="1520">
        <v>46316</v>
      </c>
      <c r="L1020" s="1520">
        <v>46322.666666666664</v>
      </c>
      <c r="M1020" s="1520">
        <v>46322.787372685183</v>
      </c>
      <c r="N1020" t="s">
        <v>11129</v>
      </c>
      <c r="O1020" s="1520" t="s">
        <v>2480</v>
      </c>
      <c r="P1020" s="1520">
        <v>46330.787372685183</v>
      </c>
    </row>
    <row r="1021" spans="1:16">
      <c r="A1021" t="s">
        <v>6768</v>
      </c>
      <c r="B1021" t="s">
        <v>64</v>
      </c>
      <c r="C1021" t="s">
        <v>100</v>
      </c>
      <c r="D1021" t="s">
        <v>550</v>
      </c>
      <c r="E1021" t="s">
        <v>2134</v>
      </c>
      <c r="F1021" t="s">
        <v>2135</v>
      </c>
      <c r="G1021">
        <v>1584</v>
      </c>
      <c r="H1021" t="s">
        <v>951</v>
      </c>
      <c r="I1021" t="s">
        <v>6769</v>
      </c>
      <c r="J1021" s="1520">
        <v>46279</v>
      </c>
      <c r="K1021" s="1520">
        <v>46319</v>
      </c>
      <c r="L1021" s="1520">
        <v>46333.625</v>
      </c>
      <c r="M1021" s="1520" t="s">
        <v>2480</v>
      </c>
      <c r="N1021" t="s">
        <v>11129</v>
      </c>
      <c r="O1021" s="1520" t="s">
        <v>2480</v>
      </c>
      <c r="P1021" s="1520">
        <v>46340.625</v>
      </c>
    </row>
    <row r="1022" spans="1:16">
      <c r="A1022" t="s">
        <v>6532</v>
      </c>
      <c r="B1022" t="s">
        <v>64</v>
      </c>
      <c r="C1022" t="s">
        <v>65</v>
      </c>
      <c r="D1022" t="s">
        <v>550</v>
      </c>
      <c r="E1022" t="s">
        <v>551</v>
      </c>
      <c r="F1022" t="s">
        <v>2151</v>
      </c>
      <c r="G1022">
        <v>1584</v>
      </c>
      <c r="H1022" t="s">
        <v>75</v>
      </c>
      <c r="I1022" t="s">
        <v>6533</v>
      </c>
      <c r="J1022" s="1520">
        <v>46271</v>
      </c>
      <c r="K1022" s="1520">
        <v>46316</v>
      </c>
      <c r="L1022" s="1520">
        <v>46317</v>
      </c>
      <c r="M1022" s="1520">
        <v>46318</v>
      </c>
      <c r="N1022" t="s">
        <v>11129</v>
      </c>
      <c r="O1022" s="1520" t="s">
        <v>2480</v>
      </c>
      <c r="P1022" s="1520">
        <v>46326</v>
      </c>
    </row>
    <row r="1023" spans="1:16">
      <c r="A1023" t="s">
        <v>6320</v>
      </c>
      <c r="B1023" t="s">
        <v>64</v>
      </c>
      <c r="C1023" t="s">
        <v>65</v>
      </c>
      <c r="D1023" t="s">
        <v>550</v>
      </c>
      <c r="E1023" t="s">
        <v>551</v>
      </c>
      <c r="F1023" t="s">
        <v>2151</v>
      </c>
      <c r="G1023">
        <v>3168</v>
      </c>
      <c r="H1023" t="s">
        <v>75</v>
      </c>
      <c r="I1023" t="s">
        <v>6321</v>
      </c>
      <c r="J1023" s="1520">
        <v>46260</v>
      </c>
      <c r="K1023" s="1520">
        <v>46309</v>
      </c>
      <c r="L1023" s="1520">
        <v>46317</v>
      </c>
      <c r="M1023" s="1520">
        <v>46318</v>
      </c>
      <c r="N1023" t="s">
        <v>11129</v>
      </c>
      <c r="O1023" s="1520" t="s">
        <v>2480</v>
      </c>
      <c r="P1023" s="1520">
        <v>46326</v>
      </c>
    </row>
    <row r="1024" spans="1:16">
      <c r="A1024" t="s">
        <v>6638</v>
      </c>
      <c r="B1024" t="s">
        <v>64</v>
      </c>
      <c r="C1024" t="s">
        <v>65</v>
      </c>
      <c r="D1024" t="s">
        <v>4540</v>
      </c>
      <c r="E1024" t="s">
        <v>706</v>
      </c>
      <c r="F1024" t="s">
        <v>707</v>
      </c>
      <c r="G1024">
        <v>4320</v>
      </c>
      <c r="H1024" t="s">
        <v>951</v>
      </c>
      <c r="I1024" t="s">
        <v>6641</v>
      </c>
      <c r="J1024" s="1520">
        <v>46280</v>
      </c>
      <c r="K1024" s="1520">
        <v>46328</v>
      </c>
      <c r="L1024" s="1520">
        <v>46342.25</v>
      </c>
      <c r="M1024" s="1520" t="s">
        <v>2480</v>
      </c>
      <c r="N1024" t="s">
        <v>11129</v>
      </c>
      <c r="O1024" s="1520" t="s">
        <v>2480</v>
      </c>
      <c r="P1024" s="1520">
        <v>46350.25</v>
      </c>
    </row>
    <row r="1025" spans="1:16">
      <c r="A1025" t="s">
        <v>6818</v>
      </c>
      <c r="B1025" t="s">
        <v>64</v>
      </c>
      <c r="C1025" t="s">
        <v>65</v>
      </c>
      <c r="D1025" t="s">
        <v>4540</v>
      </c>
      <c r="E1025" t="s">
        <v>706</v>
      </c>
      <c r="F1025" t="s">
        <v>707</v>
      </c>
      <c r="G1025">
        <v>3456</v>
      </c>
      <c r="H1025" t="s">
        <v>951</v>
      </c>
      <c r="I1025" t="s">
        <v>6820</v>
      </c>
      <c r="J1025" s="1520">
        <v>46279</v>
      </c>
      <c r="K1025" s="1520">
        <v>46349</v>
      </c>
      <c r="L1025" s="1520">
        <v>46359.791666666664</v>
      </c>
      <c r="M1025" s="1520" t="s">
        <v>2480</v>
      </c>
      <c r="N1025" t="s">
        <v>11129</v>
      </c>
      <c r="O1025" s="1520" t="s">
        <v>2480</v>
      </c>
      <c r="P1025" s="1520">
        <v>46367.791666666664</v>
      </c>
    </row>
    <row r="1026" spans="1:16">
      <c r="A1026" t="s">
        <v>6824</v>
      </c>
      <c r="B1026" t="s">
        <v>64</v>
      </c>
      <c r="C1026" t="s">
        <v>65</v>
      </c>
      <c r="D1026" t="s">
        <v>4540</v>
      </c>
      <c r="E1026" t="s">
        <v>706</v>
      </c>
      <c r="F1026" t="s">
        <v>707</v>
      </c>
      <c r="G1026">
        <v>1728</v>
      </c>
      <c r="H1026" t="s">
        <v>951</v>
      </c>
      <c r="I1026" t="s">
        <v>6825</v>
      </c>
      <c r="J1026" s="1520">
        <v>46279</v>
      </c>
      <c r="K1026" s="1520">
        <v>46337</v>
      </c>
      <c r="L1026" s="1520">
        <v>46337.25</v>
      </c>
      <c r="M1026" s="1520" t="s">
        <v>2480</v>
      </c>
      <c r="N1026" t="s">
        <v>11129</v>
      </c>
      <c r="O1026" s="1520" t="s">
        <v>2480</v>
      </c>
      <c r="P1026" s="1520">
        <v>46345.25</v>
      </c>
    </row>
    <row r="1027" spans="1:16">
      <c r="A1027" t="s">
        <v>6645</v>
      </c>
      <c r="B1027" t="s">
        <v>64</v>
      </c>
      <c r="C1027" t="s">
        <v>65</v>
      </c>
      <c r="D1027" t="s">
        <v>4540</v>
      </c>
      <c r="E1027" t="s">
        <v>691</v>
      </c>
      <c r="F1027" t="s">
        <v>692</v>
      </c>
      <c r="G1027">
        <v>3456</v>
      </c>
      <c r="H1027" t="s">
        <v>951</v>
      </c>
      <c r="I1027" t="s">
        <v>6647</v>
      </c>
      <c r="J1027" s="1520">
        <v>46280</v>
      </c>
      <c r="K1027" s="1520">
        <v>46328</v>
      </c>
      <c r="L1027" s="1520">
        <v>46342.25</v>
      </c>
      <c r="M1027" s="1520" t="s">
        <v>2480</v>
      </c>
      <c r="N1027" t="s">
        <v>11129</v>
      </c>
      <c r="O1027" s="1520" t="s">
        <v>2480</v>
      </c>
      <c r="P1027" s="1520">
        <v>46350.25</v>
      </c>
    </row>
    <row r="1028" spans="1:16">
      <c r="A1028" t="s">
        <v>6724</v>
      </c>
      <c r="B1028" t="s">
        <v>64</v>
      </c>
      <c r="C1028" t="s">
        <v>100</v>
      </c>
      <c r="D1028" t="s">
        <v>284</v>
      </c>
      <c r="E1028" t="s">
        <v>6169</v>
      </c>
      <c r="F1028" t="s">
        <v>1570</v>
      </c>
      <c r="G1028">
        <v>5760</v>
      </c>
      <c r="H1028" t="s">
        <v>951</v>
      </c>
      <c r="I1028" t="s">
        <v>6725</v>
      </c>
      <c r="J1028" s="1520">
        <v>46276</v>
      </c>
      <c r="K1028" s="1520">
        <v>46321</v>
      </c>
      <c r="L1028" s="1520">
        <v>46327.166666666664</v>
      </c>
      <c r="M1028" s="1520" t="s">
        <v>2480</v>
      </c>
      <c r="N1028" t="s">
        <v>11129</v>
      </c>
      <c r="O1028" s="1520" t="s">
        <v>2480</v>
      </c>
      <c r="P1028" s="1520">
        <v>46334.166666666664</v>
      </c>
    </row>
    <row r="1029" spans="1:16">
      <c r="A1029" t="s">
        <v>6739</v>
      </c>
      <c r="B1029" t="s">
        <v>144</v>
      </c>
      <c r="C1029" t="s">
        <v>145</v>
      </c>
      <c r="D1029" t="s">
        <v>4540</v>
      </c>
      <c r="E1029" t="s">
        <v>71</v>
      </c>
      <c r="F1029" t="s">
        <v>72</v>
      </c>
      <c r="G1029">
        <v>4320</v>
      </c>
      <c r="I1029" t="s">
        <v>6743</v>
      </c>
      <c r="J1029" s="1520">
        <v>46279</v>
      </c>
      <c r="K1029" s="1520">
        <v>46330</v>
      </c>
      <c r="L1029" s="1520">
        <v>46338.25</v>
      </c>
      <c r="M1029" s="1520" t="s">
        <v>2480</v>
      </c>
      <c r="N1029" t="s">
        <v>11129</v>
      </c>
      <c r="O1029" s="1520" t="s">
        <v>2480</v>
      </c>
      <c r="P1029" s="1520">
        <v>46338.25</v>
      </c>
    </row>
    <row r="1030" spans="1:16">
      <c r="A1030" t="s">
        <v>6886</v>
      </c>
      <c r="B1030" t="s">
        <v>64</v>
      </c>
      <c r="C1030" t="s">
        <v>114</v>
      </c>
      <c r="D1030" t="s">
        <v>550</v>
      </c>
      <c r="E1030" t="s">
        <v>2134</v>
      </c>
      <c r="F1030" t="s">
        <v>2135</v>
      </c>
      <c r="G1030">
        <v>792</v>
      </c>
      <c r="H1030" t="s">
        <v>951</v>
      </c>
      <c r="I1030" t="s">
        <v>6887</v>
      </c>
      <c r="J1030" s="1520">
        <v>46292</v>
      </c>
      <c r="K1030" s="1520">
        <v>46345</v>
      </c>
      <c r="L1030" s="1520">
        <v>46351.333333333336</v>
      </c>
      <c r="M1030" s="1520" t="s">
        <v>2480</v>
      </c>
      <c r="N1030" t="s">
        <v>11129</v>
      </c>
      <c r="O1030" s="1520" t="s">
        <v>2480</v>
      </c>
      <c r="P1030" s="1520">
        <v>46360.333333333336</v>
      </c>
    </row>
    <row r="1031" spans="1:16">
      <c r="A1031" t="s">
        <v>6875</v>
      </c>
      <c r="B1031" t="s">
        <v>64</v>
      </c>
      <c r="C1031" t="s">
        <v>65</v>
      </c>
      <c r="D1031" t="s">
        <v>550</v>
      </c>
      <c r="E1031" t="s">
        <v>551</v>
      </c>
      <c r="F1031" t="s">
        <v>2151</v>
      </c>
      <c r="G1031">
        <v>3168</v>
      </c>
      <c r="H1031" t="s">
        <v>951</v>
      </c>
      <c r="I1031" t="s">
        <v>6876</v>
      </c>
      <c r="J1031" s="1520">
        <v>46292</v>
      </c>
      <c r="K1031" s="1520">
        <v>46342</v>
      </c>
      <c r="L1031" s="1520">
        <v>46348.25</v>
      </c>
      <c r="M1031" s="1520" t="s">
        <v>2480</v>
      </c>
      <c r="N1031" t="s">
        <v>11129</v>
      </c>
      <c r="O1031" s="1520" t="s">
        <v>2480</v>
      </c>
      <c r="P1031" s="1520">
        <v>46356.25</v>
      </c>
    </row>
    <row r="1032" spans="1:16">
      <c r="A1032" t="s">
        <v>6855</v>
      </c>
      <c r="B1032" t="s">
        <v>144</v>
      </c>
      <c r="C1032" t="s">
        <v>145</v>
      </c>
      <c r="D1032" t="s">
        <v>284</v>
      </c>
      <c r="E1032" t="s">
        <v>6856</v>
      </c>
      <c r="F1032" t="s">
        <v>6857</v>
      </c>
      <c r="G1032">
        <v>1872</v>
      </c>
      <c r="H1032" t="s">
        <v>951</v>
      </c>
      <c r="I1032" t="s">
        <v>6858</v>
      </c>
      <c r="J1032" s="1520">
        <v>46288</v>
      </c>
      <c r="K1032" s="1520">
        <v>46324</v>
      </c>
      <c r="L1032" s="1520">
        <v>46332.625</v>
      </c>
      <c r="M1032" s="1520" t="s">
        <v>2480</v>
      </c>
      <c r="N1032" t="s">
        <v>11129</v>
      </c>
      <c r="O1032" s="1520" t="s">
        <v>2480</v>
      </c>
      <c r="P1032" s="1520">
        <v>46332.625</v>
      </c>
    </row>
    <row r="1033" spans="1:16">
      <c r="A1033" t="s">
        <v>6847</v>
      </c>
      <c r="B1033" t="s">
        <v>144</v>
      </c>
      <c r="C1033" t="s">
        <v>145</v>
      </c>
      <c r="D1033" t="s">
        <v>284</v>
      </c>
      <c r="E1033" t="s">
        <v>6849</v>
      </c>
      <c r="F1033" t="s">
        <v>6850</v>
      </c>
      <c r="G1033">
        <v>8424</v>
      </c>
      <c r="H1033" t="s">
        <v>951</v>
      </c>
      <c r="I1033" t="s">
        <v>6852</v>
      </c>
      <c r="J1033" s="1520">
        <v>46288</v>
      </c>
      <c r="K1033" s="1520">
        <v>46324</v>
      </c>
      <c r="L1033" s="1520">
        <v>46332.625</v>
      </c>
      <c r="M1033" s="1520" t="s">
        <v>2480</v>
      </c>
      <c r="N1033" t="s">
        <v>11129</v>
      </c>
      <c r="O1033" s="1520" t="s">
        <v>2480</v>
      </c>
      <c r="P1033" s="1520">
        <v>46332.625</v>
      </c>
    </row>
    <row r="1034" spans="1:16">
      <c r="A1034" t="s">
        <v>6792</v>
      </c>
      <c r="B1034" t="s">
        <v>144</v>
      </c>
      <c r="C1034" t="s">
        <v>145</v>
      </c>
      <c r="D1034" t="s">
        <v>4540</v>
      </c>
      <c r="E1034" t="s">
        <v>6470</v>
      </c>
      <c r="F1034" t="s">
        <v>4607</v>
      </c>
      <c r="G1034">
        <v>4320</v>
      </c>
      <c r="H1034" t="s">
        <v>951</v>
      </c>
      <c r="I1034" t="s">
        <v>6793</v>
      </c>
      <c r="J1034" s="1520">
        <v>46284</v>
      </c>
      <c r="K1034" s="1520">
        <v>46316</v>
      </c>
      <c r="L1034" s="1520">
        <v>46333</v>
      </c>
      <c r="M1034" s="1520"/>
      <c r="N1034" t="s">
        <v>11129</v>
      </c>
      <c r="O1034" s="1520" t="s">
        <v>2480</v>
      </c>
      <c r="P1034" s="1520">
        <v>46333</v>
      </c>
    </row>
    <row r="1035" spans="1:16">
      <c r="A1035" t="s">
        <v>6747</v>
      </c>
      <c r="B1035" t="s">
        <v>64</v>
      </c>
      <c r="C1035" t="s">
        <v>100</v>
      </c>
      <c r="D1035" t="s">
        <v>132</v>
      </c>
      <c r="E1035" t="s">
        <v>1062</v>
      </c>
      <c r="F1035" t="s">
        <v>1063</v>
      </c>
      <c r="G1035">
        <v>4320</v>
      </c>
      <c r="I1035" t="s">
        <v>6748</v>
      </c>
      <c r="J1035" s="1520">
        <v>46279</v>
      </c>
      <c r="K1035" s="1520">
        <v>46319</v>
      </c>
      <c r="L1035" s="1520">
        <v>46338</v>
      </c>
      <c r="M1035" s="1520"/>
      <c r="N1035" t="s">
        <v>11129</v>
      </c>
      <c r="O1035" s="1520" t="s">
        <v>2480</v>
      </c>
      <c r="P1035" s="1520">
        <v>46345</v>
      </c>
    </row>
    <row r="1036" spans="1:16">
      <c r="A1036" t="s">
        <v>6755</v>
      </c>
      <c r="B1036" t="s">
        <v>64</v>
      </c>
      <c r="C1036" t="s">
        <v>100</v>
      </c>
      <c r="D1036" t="s">
        <v>132</v>
      </c>
      <c r="E1036" t="s">
        <v>1062</v>
      </c>
      <c r="F1036" t="s">
        <v>1063</v>
      </c>
      <c r="G1036">
        <v>1728</v>
      </c>
      <c r="I1036" t="s">
        <v>6756</v>
      </c>
      <c r="J1036" s="1520">
        <v>46279</v>
      </c>
      <c r="K1036" s="1520">
        <v>46319</v>
      </c>
      <c r="L1036" s="1520">
        <v>46338</v>
      </c>
      <c r="M1036" s="1520" t="s">
        <v>2480</v>
      </c>
      <c r="N1036" t="s">
        <v>11129</v>
      </c>
      <c r="O1036" s="1520" t="s">
        <v>2480</v>
      </c>
      <c r="P1036" s="1520">
        <v>46345</v>
      </c>
    </row>
    <row r="1037" spans="1:16">
      <c r="A1037" t="s">
        <v>6788</v>
      </c>
      <c r="B1037" t="s">
        <v>144</v>
      </c>
      <c r="C1037" t="s">
        <v>145</v>
      </c>
      <c r="D1037" t="s">
        <v>4540</v>
      </c>
      <c r="E1037" t="s">
        <v>6492</v>
      </c>
      <c r="F1037" t="s">
        <v>103</v>
      </c>
      <c r="G1037">
        <v>2880</v>
      </c>
      <c r="H1037" t="s">
        <v>951</v>
      </c>
      <c r="I1037" t="s">
        <v>6789</v>
      </c>
      <c r="J1037" s="1520">
        <v>46284</v>
      </c>
      <c r="K1037" s="1520">
        <v>46316</v>
      </c>
      <c r="L1037" s="1520">
        <v>46333</v>
      </c>
      <c r="M1037" s="1520"/>
      <c r="N1037" t="s">
        <v>11129</v>
      </c>
      <c r="O1037" s="1520" t="s">
        <v>2480</v>
      </c>
      <c r="P1037" s="1520">
        <v>46333</v>
      </c>
    </row>
    <row r="1038" spans="1:16">
      <c r="A1038" t="s">
        <v>6784</v>
      </c>
      <c r="B1038" t="s">
        <v>144</v>
      </c>
      <c r="C1038" t="s">
        <v>145</v>
      </c>
      <c r="D1038" t="s">
        <v>4540</v>
      </c>
      <c r="E1038" t="s">
        <v>6492</v>
      </c>
      <c r="F1038" t="s">
        <v>103</v>
      </c>
      <c r="G1038">
        <v>7920</v>
      </c>
      <c r="H1038" t="s">
        <v>951</v>
      </c>
      <c r="I1038" t="s">
        <v>6785</v>
      </c>
      <c r="J1038" s="1520">
        <v>46285</v>
      </c>
      <c r="K1038" s="1520">
        <v>46321</v>
      </c>
      <c r="L1038" s="1520">
        <v>46327.166666666664</v>
      </c>
      <c r="M1038" s="1520" t="s">
        <v>2480</v>
      </c>
      <c r="N1038" t="s">
        <v>11129</v>
      </c>
      <c r="O1038" s="1520" t="s">
        <v>2480</v>
      </c>
      <c r="P1038" s="1520">
        <v>46327.166666666664</v>
      </c>
    </row>
    <row r="1039" spans="1:16">
      <c r="A1039" t="s">
        <v>6914</v>
      </c>
      <c r="B1039" t="s">
        <v>64</v>
      </c>
      <c r="C1039" t="s">
        <v>65</v>
      </c>
      <c r="D1039" t="s">
        <v>4540</v>
      </c>
      <c r="E1039" t="s">
        <v>691</v>
      </c>
      <c r="F1039" t="s">
        <v>692</v>
      </c>
      <c r="G1039">
        <v>1728</v>
      </c>
      <c r="H1039" t="s">
        <v>951</v>
      </c>
      <c r="I1039" t="s">
        <v>6915</v>
      </c>
      <c r="J1039" s="1520">
        <v>46284</v>
      </c>
      <c r="K1039" s="1520">
        <v>46344</v>
      </c>
      <c r="L1039" s="1520">
        <v>46346.25</v>
      </c>
      <c r="M1039" s="1520" t="s">
        <v>2480</v>
      </c>
      <c r="N1039" t="s">
        <v>11129</v>
      </c>
      <c r="O1039" s="1520" t="s">
        <v>2480</v>
      </c>
      <c r="P1039" s="1520">
        <v>46354.25</v>
      </c>
    </row>
    <row r="1040" spans="1:16">
      <c r="A1040" t="s">
        <v>6669</v>
      </c>
      <c r="B1040" t="s">
        <v>64</v>
      </c>
      <c r="C1040" t="s">
        <v>65</v>
      </c>
      <c r="D1040" t="s">
        <v>4540</v>
      </c>
      <c r="E1040" t="s">
        <v>691</v>
      </c>
      <c r="F1040" t="s">
        <v>692</v>
      </c>
      <c r="G1040">
        <v>864</v>
      </c>
      <c r="H1040" t="s">
        <v>951</v>
      </c>
      <c r="I1040" t="s">
        <v>6671</v>
      </c>
      <c r="J1040" s="1520">
        <v>46280</v>
      </c>
      <c r="K1040" s="1520">
        <v>46323</v>
      </c>
      <c r="L1040" s="1520">
        <v>46325.833333333336</v>
      </c>
      <c r="M1040" s="1520" t="s">
        <v>2480</v>
      </c>
      <c r="N1040" t="s">
        <v>11129</v>
      </c>
      <c r="O1040" s="1520" t="s">
        <v>2480</v>
      </c>
      <c r="P1040" s="1520">
        <v>46333.833333333336</v>
      </c>
    </row>
    <row r="1041" spans="1:16">
      <c r="A1041" t="s">
        <v>6794</v>
      </c>
      <c r="B1041" t="s">
        <v>64</v>
      </c>
      <c r="C1041" t="s">
        <v>65</v>
      </c>
      <c r="D1041" t="s">
        <v>4540</v>
      </c>
      <c r="E1041" t="s">
        <v>691</v>
      </c>
      <c r="F1041" t="s">
        <v>692</v>
      </c>
      <c r="G1041">
        <v>4320</v>
      </c>
      <c r="H1041" t="s">
        <v>951</v>
      </c>
      <c r="I1041" t="s">
        <v>6795</v>
      </c>
      <c r="J1041" s="1520">
        <v>46282</v>
      </c>
      <c r="K1041" s="1520">
        <v>46323</v>
      </c>
      <c r="L1041" s="1520">
        <v>46325.833333333336</v>
      </c>
      <c r="M1041" s="1520" t="s">
        <v>2480</v>
      </c>
      <c r="N1041" t="s">
        <v>11129</v>
      </c>
      <c r="O1041" s="1520" t="s">
        <v>2480</v>
      </c>
      <c r="P1041" s="1520">
        <v>46333.833333333336</v>
      </c>
    </row>
    <row r="1042" spans="1:16">
      <c r="A1042" t="s">
        <v>6870</v>
      </c>
      <c r="B1042" t="s">
        <v>64</v>
      </c>
      <c r="C1042" t="s">
        <v>65</v>
      </c>
      <c r="D1042" t="s">
        <v>4540</v>
      </c>
      <c r="E1042" t="s">
        <v>706</v>
      </c>
      <c r="F1042" t="s">
        <v>707</v>
      </c>
      <c r="G1042">
        <v>3456</v>
      </c>
      <c r="H1042" t="s">
        <v>951</v>
      </c>
      <c r="I1042" t="s">
        <v>6871</v>
      </c>
      <c r="J1042" s="1520">
        <v>46288</v>
      </c>
      <c r="K1042" s="1520">
        <v>46330</v>
      </c>
      <c r="L1042" s="1520">
        <v>46332.833333333336</v>
      </c>
      <c r="M1042" s="1520" t="s">
        <v>2480</v>
      </c>
      <c r="N1042" t="s">
        <v>11129</v>
      </c>
      <c r="O1042" s="1520" t="s">
        <v>2480</v>
      </c>
      <c r="P1042" s="1520">
        <v>46340.833333333336</v>
      </c>
    </row>
    <row r="1043" spans="1:16">
      <c r="A1043" t="s">
        <v>6766</v>
      </c>
      <c r="B1043" t="s">
        <v>64</v>
      </c>
      <c r="C1043" t="s">
        <v>100</v>
      </c>
      <c r="D1043" t="s">
        <v>132</v>
      </c>
      <c r="E1043" t="s">
        <v>1062</v>
      </c>
      <c r="F1043" t="s">
        <v>1063</v>
      </c>
      <c r="G1043">
        <v>3456</v>
      </c>
      <c r="I1043" t="s">
        <v>6767</v>
      </c>
      <c r="J1043" s="1520">
        <v>46279</v>
      </c>
      <c r="K1043" s="1520">
        <v>46319</v>
      </c>
      <c r="L1043" s="1520">
        <v>46331</v>
      </c>
      <c r="M1043" s="1520"/>
      <c r="N1043" t="s">
        <v>11129</v>
      </c>
      <c r="O1043" s="1520" t="s">
        <v>2480</v>
      </c>
      <c r="P1043" s="1520">
        <v>46338</v>
      </c>
    </row>
    <row r="1044" spans="1:16">
      <c r="A1044" t="s">
        <v>6909</v>
      </c>
      <c r="B1044" t="s">
        <v>64</v>
      </c>
      <c r="C1044" t="s">
        <v>100</v>
      </c>
      <c r="D1044" t="s">
        <v>284</v>
      </c>
      <c r="E1044" t="s">
        <v>6169</v>
      </c>
      <c r="F1044" t="s">
        <v>1570</v>
      </c>
      <c r="G1044">
        <v>5760</v>
      </c>
      <c r="H1044" t="s">
        <v>951</v>
      </c>
      <c r="I1044" t="s">
        <v>6910</v>
      </c>
      <c r="J1044" s="1520">
        <v>46284</v>
      </c>
      <c r="K1044" s="1520">
        <v>46329</v>
      </c>
      <c r="L1044" s="1520">
        <v>46336.708333333336</v>
      </c>
      <c r="M1044" s="1520" t="s">
        <v>2480</v>
      </c>
      <c r="N1044" t="s">
        <v>11129</v>
      </c>
      <c r="O1044" s="1520" t="s">
        <v>2480</v>
      </c>
      <c r="P1044" s="1520">
        <v>46343.708333333336</v>
      </c>
    </row>
    <row r="1045" spans="1:16">
      <c r="A1045" t="s">
        <v>6763</v>
      </c>
      <c r="B1045" t="s">
        <v>64</v>
      </c>
      <c r="C1045" t="s">
        <v>100</v>
      </c>
      <c r="D1045" t="s">
        <v>5388</v>
      </c>
      <c r="E1045" t="s">
        <v>6687</v>
      </c>
      <c r="F1045" t="s">
        <v>6688</v>
      </c>
      <c r="G1045">
        <v>936</v>
      </c>
      <c r="H1045" t="s">
        <v>951</v>
      </c>
      <c r="I1045" t="s">
        <v>6764</v>
      </c>
      <c r="J1045" s="1520">
        <v>46279</v>
      </c>
      <c r="K1045" s="1520">
        <v>46319</v>
      </c>
      <c r="L1045" s="1520">
        <v>46331</v>
      </c>
      <c r="M1045" s="1520" t="s">
        <v>2480</v>
      </c>
      <c r="N1045" t="s">
        <v>11129</v>
      </c>
      <c r="O1045" s="1520" t="s">
        <v>2480</v>
      </c>
      <c r="P1045" s="1520">
        <v>46338</v>
      </c>
    </row>
    <row r="1046" spans="1:16">
      <c r="A1046" t="s">
        <v>6752</v>
      </c>
      <c r="B1046" t="s">
        <v>64</v>
      </c>
      <c r="C1046" t="s">
        <v>100</v>
      </c>
      <c r="D1046" t="s">
        <v>5388</v>
      </c>
      <c r="E1046" t="s">
        <v>6687</v>
      </c>
      <c r="F1046" t="s">
        <v>6688</v>
      </c>
      <c r="G1046">
        <v>2808</v>
      </c>
      <c r="H1046" t="s">
        <v>951</v>
      </c>
      <c r="I1046" t="s">
        <v>6753</v>
      </c>
      <c r="J1046" s="1520">
        <v>46279</v>
      </c>
      <c r="K1046" s="1520">
        <v>46319</v>
      </c>
      <c r="L1046" s="1520">
        <v>46338</v>
      </c>
      <c r="M1046" s="1520" t="s">
        <v>2480</v>
      </c>
      <c r="N1046" t="s">
        <v>11129</v>
      </c>
      <c r="O1046" s="1520" t="s">
        <v>2480</v>
      </c>
      <c r="P1046" s="1520">
        <v>46345</v>
      </c>
    </row>
    <row r="1047" spans="1:16">
      <c r="A1047" t="s">
        <v>6692</v>
      </c>
      <c r="B1047" t="s">
        <v>64</v>
      </c>
      <c r="C1047" t="s">
        <v>100</v>
      </c>
      <c r="D1047" t="s">
        <v>5388</v>
      </c>
      <c r="E1047" t="s">
        <v>6687</v>
      </c>
      <c r="F1047" t="s">
        <v>6688</v>
      </c>
      <c r="G1047">
        <v>936</v>
      </c>
      <c r="H1047" t="s">
        <v>951</v>
      </c>
      <c r="I1047" t="s">
        <v>6693</v>
      </c>
      <c r="J1047" s="1520">
        <v>46282</v>
      </c>
      <c r="K1047" s="1520">
        <v>46315</v>
      </c>
      <c r="L1047" s="1520">
        <v>46324.833333333336</v>
      </c>
      <c r="M1047" s="1520" t="s">
        <v>2480</v>
      </c>
      <c r="N1047" t="s">
        <v>11129</v>
      </c>
      <c r="O1047" s="1520" t="s">
        <v>2480</v>
      </c>
      <c r="P1047" s="1520">
        <v>46331.833333333336</v>
      </c>
    </row>
    <row r="1048" spans="1:16">
      <c r="A1048" t="s">
        <v>6686</v>
      </c>
      <c r="B1048" t="s">
        <v>64</v>
      </c>
      <c r="C1048" t="s">
        <v>100</v>
      </c>
      <c r="D1048" t="s">
        <v>5388</v>
      </c>
      <c r="E1048" t="s">
        <v>6687</v>
      </c>
      <c r="F1048" t="s">
        <v>6688</v>
      </c>
      <c r="G1048">
        <v>4680</v>
      </c>
      <c r="H1048" t="s">
        <v>75</v>
      </c>
      <c r="I1048" t="s">
        <v>6689</v>
      </c>
      <c r="J1048" s="1520">
        <v>46280</v>
      </c>
      <c r="K1048" s="1520">
        <v>46313</v>
      </c>
      <c r="L1048" s="1520">
        <v>46316.583333333336</v>
      </c>
      <c r="M1048" s="1520">
        <v>46316.635636574072</v>
      </c>
      <c r="N1048" t="s">
        <v>11129</v>
      </c>
      <c r="O1048" s="1520" t="s">
        <v>2480</v>
      </c>
      <c r="P1048" s="1520">
        <v>46323.635636574072</v>
      </c>
    </row>
    <row r="1049" spans="1:16">
      <c r="A1049" t="s">
        <v>6805</v>
      </c>
      <c r="B1049" t="s">
        <v>64</v>
      </c>
      <c r="C1049" t="s">
        <v>100</v>
      </c>
      <c r="D1049" t="s">
        <v>4540</v>
      </c>
      <c r="E1049" t="s">
        <v>965</v>
      </c>
      <c r="F1049" t="s">
        <v>966</v>
      </c>
      <c r="G1049">
        <v>3744</v>
      </c>
      <c r="H1049" t="s">
        <v>951</v>
      </c>
      <c r="I1049" t="s">
        <v>6806</v>
      </c>
      <c r="J1049" s="1520">
        <v>46287</v>
      </c>
      <c r="K1049" s="1520">
        <v>46319</v>
      </c>
      <c r="L1049" s="1520">
        <v>46327.166666666664</v>
      </c>
      <c r="M1049" s="1520" t="s">
        <v>2480</v>
      </c>
      <c r="N1049" t="s">
        <v>11129</v>
      </c>
      <c r="O1049" s="1520" t="s">
        <v>2480</v>
      </c>
      <c r="P1049" s="1520">
        <v>46334.166666666664</v>
      </c>
    </row>
    <row r="1050" spans="1:16">
      <c r="A1050" t="s">
        <v>6814</v>
      </c>
      <c r="B1050" t="s">
        <v>64</v>
      </c>
      <c r="C1050" t="s">
        <v>100</v>
      </c>
      <c r="D1050" t="s">
        <v>132</v>
      </c>
      <c r="E1050" t="s">
        <v>1062</v>
      </c>
      <c r="F1050" t="s">
        <v>1063</v>
      </c>
      <c r="G1050">
        <v>864</v>
      </c>
      <c r="I1050" t="s">
        <v>6815</v>
      </c>
      <c r="J1050" s="1520">
        <v>46287</v>
      </c>
      <c r="K1050" s="1520">
        <v>46319</v>
      </c>
      <c r="L1050" s="1520">
        <v>46327.166666666664</v>
      </c>
      <c r="M1050" s="1520" t="s">
        <v>2480</v>
      </c>
      <c r="N1050" t="s">
        <v>11129</v>
      </c>
      <c r="O1050" s="1520" t="s">
        <v>2480</v>
      </c>
      <c r="P1050" s="1520">
        <v>46334.166666666664</v>
      </c>
    </row>
    <row r="1051" spans="1:16">
      <c r="A1051" t="s">
        <v>6757</v>
      </c>
      <c r="B1051" t="s">
        <v>64</v>
      </c>
      <c r="C1051" t="s">
        <v>100</v>
      </c>
      <c r="D1051" t="s">
        <v>70</v>
      </c>
      <c r="E1051" t="s">
        <v>5758</v>
      </c>
      <c r="F1051" t="s">
        <v>1484</v>
      </c>
      <c r="G1051">
        <v>2970</v>
      </c>
      <c r="H1051" t="s">
        <v>951</v>
      </c>
      <c r="I1051" t="s">
        <v>6759</v>
      </c>
      <c r="J1051" s="1520">
        <v>46279</v>
      </c>
      <c r="K1051" s="1520">
        <v>46319</v>
      </c>
      <c r="L1051" s="1520">
        <v>46331</v>
      </c>
      <c r="M1051" s="1520"/>
      <c r="N1051" t="s">
        <v>11129</v>
      </c>
      <c r="O1051" s="1520" t="s">
        <v>2480</v>
      </c>
      <c r="P1051" s="1520">
        <v>46338</v>
      </c>
    </row>
    <row r="1052" spans="1:16">
      <c r="A1052" t="s">
        <v>6927</v>
      </c>
      <c r="B1052" t="s">
        <v>144</v>
      </c>
      <c r="C1052" t="s">
        <v>145</v>
      </c>
      <c r="D1052" t="s">
        <v>284</v>
      </c>
      <c r="E1052" t="s">
        <v>6730</v>
      </c>
      <c r="F1052" t="s">
        <v>1570</v>
      </c>
      <c r="G1052">
        <v>5760</v>
      </c>
      <c r="H1052" t="s">
        <v>951</v>
      </c>
      <c r="I1052" t="s">
        <v>6928</v>
      </c>
      <c r="J1052" s="1520">
        <v>46287</v>
      </c>
      <c r="K1052" s="1520">
        <v>46333</v>
      </c>
      <c r="L1052" s="1520"/>
      <c r="M1052" s="1520"/>
      <c r="N1052" t="s">
        <v>11129</v>
      </c>
      <c r="O1052" s="1520" t="s">
        <v>2480</v>
      </c>
      <c r="P1052" s="1520">
        <v>46333</v>
      </c>
    </row>
    <row r="1053" spans="1:16">
      <c r="A1053" t="s">
        <v>6924</v>
      </c>
      <c r="B1053" t="s">
        <v>144</v>
      </c>
      <c r="C1053" t="s">
        <v>145</v>
      </c>
      <c r="D1053" t="s">
        <v>284</v>
      </c>
      <c r="E1053" t="s">
        <v>6730</v>
      </c>
      <c r="F1053" t="s">
        <v>1570</v>
      </c>
      <c r="G1053">
        <v>5040</v>
      </c>
      <c r="H1053" t="s">
        <v>951</v>
      </c>
      <c r="I1053" t="s">
        <v>6925</v>
      </c>
      <c r="J1053" s="1520">
        <v>46287</v>
      </c>
      <c r="K1053" s="1520">
        <v>46333</v>
      </c>
      <c r="L1053" s="1520"/>
      <c r="M1053" s="1520"/>
      <c r="N1053" t="s">
        <v>11129</v>
      </c>
      <c r="O1053" s="1520" t="s">
        <v>2480</v>
      </c>
      <c r="P1053" s="1520">
        <v>46333</v>
      </c>
    </row>
    <row r="1054" spans="1:16">
      <c r="A1054" t="s">
        <v>6918</v>
      </c>
      <c r="B1054" t="s">
        <v>144</v>
      </c>
      <c r="C1054" t="s">
        <v>145</v>
      </c>
      <c r="D1054" t="s">
        <v>284</v>
      </c>
      <c r="E1054" t="s">
        <v>6730</v>
      </c>
      <c r="F1054" t="s">
        <v>1570</v>
      </c>
      <c r="G1054">
        <v>10800</v>
      </c>
      <c r="H1054" t="s">
        <v>951</v>
      </c>
      <c r="I1054" t="s">
        <v>6919</v>
      </c>
      <c r="J1054" s="1520">
        <v>46287</v>
      </c>
      <c r="K1054" s="1520">
        <v>46333</v>
      </c>
      <c r="L1054" s="1520"/>
      <c r="M1054" s="1520"/>
      <c r="N1054" t="s">
        <v>11129</v>
      </c>
      <c r="O1054" s="1520" t="s">
        <v>2480</v>
      </c>
      <c r="P1054" s="1520">
        <v>46333</v>
      </c>
    </row>
    <row r="1055" spans="1:16">
      <c r="A1055" t="s">
        <v>6699</v>
      </c>
      <c r="B1055" t="s">
        <v>64</v>
      </c>
      <c r="C1055" t="s">
        <v>100</v>
      </c>
      <c r="D1055" t="s">
        <v>132</v>
      </c>
      <c r="E1055" t="s">
        <v>1062</v>
      </c>
      <c r="F1055" t="s">
        <v>1063</v>
      </c>
      <c r="G1055">
        <v>864</v>
      </c>
      <c r="I1055" t="s">
        <v>6700</v>
      </c>
      <c r="J1055" s="1520">
        <v>46282</v>
      </c>
      <c r="K1055" s="1520">
        <v>46315</v>
      </c>
      <c r="L1055" s="1520">
        <v>46324.833333333336</v>
      </c>
      <c r="M1055" s="1520" t="s">
        <v>2480</v>
      </c>
      <c r="N1055" t="s">
        <v>11129</v>
      </c>
      <c r="O1055" s="1520" t="s">
        <v>2480</v>
      </c>
      <c r="P1055" s="1520">
        <v>46331.833333333336</v>
      </c>
    </row>
    <row r="1056" spans="1:16">
      <c r="A1056" t="s">
        <v>6879</v>
      </c>
      <c r="B1056" t="s">
        <v>64</v>
      </c>
      <c r="C1056" t="s">
        <v>114</v>
      </c>
      <c r="D1056" t="s">
        <v>4540</v>
      </c>
      <c r="E1056" t="s">
        <v>6245</v>
      </c>
      <c r="F1056" t="s">
        <v>330</v>
      </c>
      <c r="G1056">
        <v>720</v>
      </c>
      <c r="H1056" t="s">
        <v>951</v>
      </c>
      <c r="I1056" t="s">
        <v>6883</v>
      </c>
      <c r="J1056" s="1520">
        <v>46292</v>
      </c>
      <c r="K1056" s="1520">
        <v>46345</v>
      </c>
      <c r="L1056" s="1520">
        <v>46351.333333333336</v>
      </c>
      <c r="M1056" s="1520" t="s">
        <v>2480</v>
      </c>
      <c r="N1056" t="s">
        <v>11129</v>
      </c>
      <c r="O1056" s="1520" t="s">
        <v>2480</v>
      </c>
      <c r="P1056" s="1520">
        <v>46360.333333333336</v>
      </c>
    </row>
    <row r="1057" spans="1:16">
      <c r="A1057" t="s">
        <v>6661</v>
      </c>
      <c r="B1057" t="s">
        <v>144</v>
      </c>
      <c r="C1057" t="s">
        <v>145</v>
      </c>
      <c r="D1057" t="s">
        <v>4540</v>
      </c>
      <c r="E1057" t="s">
        <v>6245</v>
      </c>
      <c r="F1057" t="s">
        <v>330</v>
      </c>
      <c r="G1057">
        <v>5760</v>
      </c>
      <c r="H1057" t="s">
        <v>951</v>
      </c>
      <c r="I1057" t="s">
        <v>6666</v>
      </c>
      <c r="J1057" s="1520">
        <v>46280</v>
      </c>
      <c r="K1057" s="1520">
        <v>46324</v>
      </c>
      <c r="L1057" s="1520">
        <v>46325</v>
      </c>
      <c r="M1057" s="1520"/>
      <c r="N1057" t="s">
        <v>11129</v>
      </c>
      <c r="O1057" s="1520" t="s">
        <v>2480</v>
      </c>
      <c r="P1057" s="1520">
        <v>46325</v>
      </c>
    </row>
    <row r="1058" spans="1:16">
      <c r="A1058" t="s">
        <v>6799</v>
      </c>
      <c r="B1058" t="s">
        <v>144</v>
      </c>
      <c r="C1058" t="s">
        <v>145</v>
      </c>
      <c r="D1058" t="s">
        <v>4540</v>
      </c>
      <c r="E1058" t="s">
        <v>6245</v>
      </c>
      <c r="F1058" t="s">
        <v>330</v>
      </c>
      <c r="G1058">
        <v>10080</v>
      </c>
      <c r="H1058" t="s">
        <v>951</v>
      </c>
      <c r="I1058" t="s">
        <v>6801</v>
      </c>
      <c r="J1058" s="1520">
        <v>46280</v>
      </c>
      <c r="K1058" s="1520">
        <v>46332</v>
      </c>
      <c r="L1058" s="1520"/>
      <c r="M1058" s="1520"/>
      <c r="N1058" t="s">
        <v>11129</v>
      </c>
      <c r="O1058" s="1520" t="s">
        <v>2480</v>
      </c>
      <c r="P1058" s="1520">
        <v>46332</v>
      </c>
    </row>
    <row r="1059" spans="1:16">
      <c r="A1059" t="s">
        <v>6842</v>
      </c>
      <c r="B1059" t="s">
        <v>64</v>
      </c>
      <c r="C1059" t="s">
        <v>100</v>
      </c>
      <c r="D1059" t="s">
        <v>4540</v>
      </c>
      <c r="E1059" t="s">
        <v>6245</v>
      </c>
      <c r="F1059" t="s">
        <v>330</v>
      </c>
      <c r="G1059">
        <v>3600</v>
      </c>
      <c r="H1059" t="s">
        <v>951</v>
      </c>
      <c r="I1059" t="s">
        <v>6843</v>
      </c>
      <c r="J1059" s="1520">
        <v>46287</v>
      </c>
      <c r="K1059" s="1520">
        <v>46323</v>
      </c>
      <c r="L1059" s="1520">
        <v>46338.875</v>
      </c>
      <c r="M1059" s="1520" t="s">
        <v>2480</v>
      </c>
      <c r="N1059" t="s">
        <v>11129</v>
      </c>
      <c r="O1059" s="1520" t="s">
        <v>2480</v>
      </c>
      <c r="P1059" s="1520">
        <v>46345.875</v>
      </c>
    </row>
    <row r="1060" spans="1:16">
      <c r="A1060" t="s">
        <v>6697</v>
      </c>
      <c r="B1060" t="s">
        <v>64</v>
      </c>
      <c r="C1060" t="s">
        <v>100</v>
      </c>
      <c r="D1060" t="s">
        <v>4540</v>
      </c>
      <c r="E1060" t="s">
        <v>6245</v>
      </c>
      <c r="F1060" t="s">
        <v>330</v>
      </c>
      <c r="G1060">
        <v>720</v>
      </c>
      <c r="H1060" t="s">
        <v>951</v>
      </c>
      <c r="I1060" t="s">
        <v>6698</v>
      </c>
      <c r="J1060" s="1520">
        <v>46282</v>
      </c>
      <c r="K1060" s="1520">
        <v>46315</v>
      </c>
      <c r="L1060" s="1520">
        <v>46324.833333333336</v>
      </c>
      <c r="M1060" s="1520" t="s">
        <v>2480</v>
      </c>
      <c r="N1060" t="s">
        <v>11129</v>
      </c>
      <c r="O1060" s="1520" t="s">
        <v>2480</v>
      </c>
      <c r="P1060" s="1520">
        <v>46331.833333333336</v>
      </c>
    </row>
    <row r="1061" spans="1:16">
      <c r="A1061" t="s">
        <v>6929</v>
      </c>
      <c r="B1061" t="s">
        <v>144</v>
      </c>
      <c r="C1061" t="s">
        <v>145</v>
      </c>
      <c r="D1061" t="s">
        <v>284</v>
      </c>
      <c r="E1061" t="s">
        <v>6730</v>
      </c>
      <c r="F1061" t="s">
        <v>1570</v>
      </c>
      <c r="G1061">
        <v>6480</v>
      </c>
      <c r="H1061" t="s">
        <v>951</v>
      </c>
      <c r="I1061" t="s">
        <v>6930</v>
      </c>
      <c r="J1061" s="1520">
        <v>46286</v>
      </c>
      <c r="K1061" s="1520">
        <v>46340</v>
      </c>
      <c r="L1061" s="1520">
        <v>46330</v>
      </c>
      <c r="M1061" s="1520"/>
      <c r="N1061" t="s">
        <v>11129</v>
      </c>
      <c r="O1061" s="1520" t="s">
        <v>2480</v>
      </c>
      <c r="P1061" s="1520">
        <v>46330</v>
      </c>
    </row>
    <row r="1062" spans="1:16">
      <c r="A1062" t="s">
        <v>6937</v>
      </c>
      <c r="B1062" t="s">
        <v>144</v>
      </c>
      <c r="C1062" t="s">
        <v>145</v>
      </c>
      <c r="D1062" t="s">
        <v>4540</v>
      </c>
      <c r="E1062" t="s">
        <v>6470</v>
      </c>
      <c r="F1062" t="s">
        <v>4607</v>
      </c>
      <c r="G1062">
        <v>7920</v>
      </c>
      <c r="H1062" t="s">
        <v>951</v>
      </c>
      <c r="I1062" t="s">
        <v>6938</v>
      </c>
      <c r="J1062" s="1520">
        <v>46288</v>
      </c>
      <c r="K1062" s="1520">
        <v>46326</v>
      </c>
      <c r="L1062" s="1520"/>
      <c r="M1062" s="1520" t="s">
        <v>2480</v>
      </c>
      <c r="N1062" t="s">
        <v>11129</v>
      </c>
      <c r="O1062" s="1520" t="s">
        <v>2480</v>
      </c>
      <c r="P1062" s="1520">
        <v>46326</v>
      </c>
    </row>
    <row r="1063" spans="1:16">
      <c r="A1063" t="s">
        <v>6942</v>
      </c>
      <c r="B1063" t="s">
        <v>64</v>
      </c>
      <c r="C1063" t="s">
        <v>100</v>
      </c>
      <c r="D1063" t="s">
        <v>550</v>
      </c>
      <c r="E1063" t="s">
        <v>551</v>
      </c>
      <c r="F1063" t="s">
        <v>2151</v>
      </c>
      <c r="G1063">
        <v>792</v>
      </c>
      <c r="H1063" t="s">
        <v>951</v>
      </c>
      <c r="I1063" t="s">
        <v>6943</v>
      </c>
      <c r="J1063" s="1520">
        <v>46288</v>
      </c>
      <c r="K1063" s="1520">
        <v>46326</v>
      </c>
      <c r="L1063" s="1520"/>
      <c r="M1063" s="1520" t="s">
        <v>2480</v>
      </c>
      <c r="N1063" t="s">
        <v>11129</v>
      </c>
      <c r="O1063" s="1520" t="s">
        <v>2480</v>
      </c>
      <c r="P1063" s="1520">
        <v>46333</v>
      </c>
    </row>
    <row r="1064" spans="1:16">
      <c r="A1064" t="s">
        <v>6836</v>
      </c>
      <c r="B1064" t="s">
        <v>144</v>
      </c>
      <c r="C1064" t="s">
        <v>145</v>
      </c>
      <c r="D1064" t="s">
        <v>4540</v>
      </c>
      <c r="E1064" t="s">
        <v>71</v>
      </c>
      <c r="F1064" t="s">
        <v>72</v>
      </c>
      <c r="G1064">
        <v>4320</v>
      </c>
      <c r="H1064" t="s">
        <v>951</v>
      </c>
      <c r="I1064" t="s">
        <v>6838</v>
      </c>
      <c r="J1064" s="1520">
        <v>46295</v>
      </c>
      <c r="K1064" s="1520">
        <v>46338</v>
      </c>
      <c r="L1064" s="1520">
        <v>46344.875</v>
      </c>
      <c r="M1064" s="1520" t="s">
        <v>2480</v>
      </c>
      <c r="N1064" t="s">
        <v>11129</v>
      </c>
      <c r="O1064" s="1520" t="s">
        <v>2480</v>
      </c>
      <c r="P1064" s="1520">
        <v>46344.875</v>
      </c>
    </row>
    <row r="1065" spans="1:16">
      <c r="A1065" t="s">
        <v>6935</v>
      </c>
      <c r="B1065" t="s">
        <v>144</v>
      </c>
      <c r="C1065" t="s">
        <v>145</v>
      </c>
      <c r="D1065" t="s">
        <v>284</v>
      </c>
      <c r="E1065" t="s">
        <v>6737</v>
      </c>
      <c r="F1065" t="s">
        <v>5355</v>
      </c>
      <c r="G1065">
        <v>720</v>
      </c>
      <c r="H1065" t="s">
        <v>951</v>
      </c>
      <c r="I1065" t="s">
        <v>6936</v>
      </c>
      <c r="J1065" s="1520">
        <v>46286</v>
      </c>
      <c r="K1065" s="1520">
        <v>46340</v>
      </c>
      <c r="L1065" s="1520">
        <v>46330</v>
      </c>
      <c r="M1065" s="1520"/>
      <c r="N1065" t="s">
        <v>11129</v>
      </c>
      <c r="O1065" s="1520" t="s">
        <v>2480</v>
      </c>
      <c r="P1065" s="1520">
        <v>46330</v>
      </c>
    </row>
    <row r="1066" spans="1:16">
      <c r="A1066" t="s">
        <v>6946</v>
      </c>
      <c r="B1066" t="s">
        <v>144</v>
      </c>
      <c r="C1066" t="s">
        <v>145</v>
      </c>
      <c r="D1066" t="s">
        <v>284</v>
      </c>
      <c r="E1066" t="s">
        <v>6849</v>
      </c>
      <c r="F1066" t="s">
        <v>6850</v>
      </c>
      <c r="G1066">
        <v>3744</v>
      </c>
      <c r="H1066" t="s">
        <v>951</v>
      </c>
      <c r="I1066" t="s">
        <v>6948</v>
      </c>
      <c r="J1066" s="1520">
        <v>46294</v>
      </c>
      <c r="K1066" s="1520">
        <v>46329</v>
      </c>
      <c r="L1066" s="1520">
        <v>46336.708333333336</v>
      </c>
      <c r="M1066" s="1520" t="s">
        <v>2480</v>
      </c>
      <c r="N1066" t="s">
        <v>11129</v>
      </c>
      <c r="O1066" s="1520" t="s">
        <v>2480</v>
      </c>
      <c r="P1066" s="1520">
        <v>46336.708333333336</v>
      </c>
    </row>
    <row r="1067" spans="1:16">
      <c r="A1067" t="s">
        <v>6859</v>
      </c>
      <c r="B1067" t="s">
        <v>144</v>
      </c>
      <c r="C1067" t="s">
        <v>145</v>
      </c>
      <c r="D1067" t="s">
        <v>284</v>
      </c>
      <c r="E1067" t="s">
        <v>6856</v>
      </c>
      <c r="F1067" t="s">
        <v>6857</v>
      </c>
      <c r="G1067">
        <v>7488</v>
      </c>
      <c r="H1067" t="s">
        <v>951</v>
      </c>
      <c r="I1067" t="s">
        <v>6861</v>
      </c>
      <c r="J1067" s="1520">
        <v>46290</v>
      </c>
      <c r="K1067" s="1520">
        <v>46333</v>
      </c>
      <c r="L1067" s="1520">
        <v>46338.875</v>
      </c>
      <c r="M1067" s="1520" t="s">
        <v>2480</v>
      </c>
      <c r="N1067" t="s">
        <v>11129</v>
      </c>
      <c r="O1067" s="1520" t="s">
        <v>2480</v>
      </c>
      <c r="P1067" s="1520">
        <v>46338.875</v>
      </c>
    </row>
    <row r="1068" spans="1:16">
      <c r="A1068" t="s">
        <v>6865</v>
      </c>
      <c r="B1068" t="s">
        <v>64</v>
      </c>
      <c r="C1068" t="s">
        <v>310</v>
      </c>
      <c r="D1068" t="s">
        <v>550</v>
      </c>
      <c r="E1068" t="s">
        <v>2134</v>
      </c>
      <c r="F1068" t="s">
        <v>2135</v>
      </c>
      <c r="G1068">
        <v>3168</v>
      </c>
      <c r="H1068" t="s">
        <v>951</v>
      </c>
      <c r="I1068" t="s">
        <v>6866</v>
      </c>
      <c r="J1068" s="1520">
        <v>46292</v>
      </c>
      <c r="K1068" s="1520">
        <v>46337</v>
      </c>
      <c r="L1068" s="1520">
        <v>46344.5</v>
      </c>
      <c r="M1068" s="1520" t="s">
        <v>2480</v>
      </c>
      <c r="N1068" t="s">
        <v>11129</v>
      </c>
      <c r="O1068" s="1520" t="s">
        <v>2480</v>
      </c>
      <c r="P1068" s="1520">
        <v>46354.5</v>
      </c>
    </row>
    <row r="1069" spans="1:16">
      <c r="A1069" t="s">
        <v>6679</v>
      </c>
      <c r="B1069" t="s">
        <v>64</v>
      </c>
      <c r="C1069" t="s">
        <v>65</v>
      </c>
      <c r="D1069" t="s">
        <v>4540</v>
      </c>
      <c r="E1069" t="s">
        <v>706</v>
      </c>
      <c r="F1069" t="s">
        <v>707</v>
      </c>
      <c r="G1069">
        <v>864</v>
      </c>
      <c r="H1069" t="s">
        <v>951</v>
      </c>
      <c r="I1069" t="s">
        <v>6680</v>
      </c>
      <c r="J1069" s="1520">
        <v>46282</v>
      </c>
      <c r="K1069" s="1520">
        <v>46328</v>
      </c>
      <c r="L1069" s="1520">
        <v>46342.25</v>
      </c>
      <c r="M1069" s="1520" t="s">
        <v>2480</v>
      </c>
      <c r="N1069" t="s">
        <v>11129</v>
      </c>
      <c r="O1069" s="1520" t="s">
        <v>2480</v>
      </c>
      <c r="P1069" s="1520">
        <v>46350.25</v>
      </c>
    </row>
    <row r="1070" spans="1:16">
      <c r="A1070" t="s">
        <v>7055</v>
      </c>
      <c r="B1070" t="s">
        <v>144</v>
      </c>
      <c r="C1070" t="s">
        <v>145</v>
      </c>
      <c r="D1070" t="s">
        <v>4540</v>
      </c>
      <c r="E1070" t="s">
        <v>71</v>
      </c>
      <c r="F1070" t="s">
        <v>72</v>
      </c>
      <c r="G1070">
        <v>4320</v>
      </c>
      <c r="H1070" t="s">
        <v>951</v>
      </c>
      <c r="I1070" t="s">
        <v>7058</v>
      </c>
      <c r="J1070" s="1520">
        <v>46294</v>
      </c>
      <c r="K1070" s="1520">
        <v>46344</v>
      </c>
      <c r="L1070" s="1520">
        <v>46351.75</v>
      </c>
      <c r="M1070" s="1520" t="s">
        <v>2480</v>
      </c>
      <c r="N1070" t="s">
        <v>11129</v>
      </c>
      <c r="O1070" s="1520" t="s">
        <v>2480</v>
      </c>
      <c r="P1070" s="1520">
        <v>46351.75</v>
      </c>
    </row>
    <row r="1071" spans="1:16">
      <c r="A1071" t="s">
        <v>7035</v>
      </c>
      <c r="B1071" t="s">
        <v>64</v>
      </c>
      <c r="C1071" t="s">
        <v>65</v>
      </c>
      <c r="D1071" t="s">
        <v>4540</v>
      </c>
      <c r="E1071" t="s">
        <v>71</v>
      </c>
      <c r="F1071" t="s">
        <v>72</v>
      </c>
      <c r="G1071">
        <v>4320</v>
      </c>
      <c r="H1071" t="s">
        <v>951</v>
      </c>
      <c r="I1071" t="s">
        <v>7036</v>
      </c>
      <c r="J1071" s="1520">
        <v>46295</v>
      </c>
      <c r="K1071" s="1520">
        <v>46370</v>
      </c>
      <c r="L1071" s="1520">
        <v>46363.791666666664</v>
      </c>
      <c r="M1071" s="1520" t="s">
        <v>2480</v>
      </c>
      <c r="N1071" t="s">
        <v>11129</v>
      </c>
      <c r="O1071" s="1520" t="s">
        <v>2480</v>
      </c>
      <c r="P1071" s="1520">
        <v>46371.791666666664</v>
      </c>
    </row>
    <row r="1072" spans="1:16">
      <c r="A1072" t="s">
        <v>7018</v>
      </c>
      <c r="B1072" t="s">
        <v>64</v>
      </c>
      <c r="C1072" t="s">
        <v>65</v>
      </c>
      <c r="D1072" t="s">
        <v>4540</v>
      </c>
      <c r="E1072" t="s">
        <v>71</v>
      </c>
      <c r="F1072" t="s">
        <v>72</v>
      </c>
      <c r="G1072">
        <v>1728</v>
      </c>
      <c r="H1072" t="s">
        <v>951</v>
      </c>
      <c r="I1072" t="s">
        <v>7020</v>
      </c>
      <c r="J1072" s="1520">
        <v>46295</v>
      </c>
      <c r="K1072" s="1520">
        <v>46365</v>
      </c>
      <c r="L1072" s="1520">
        <v>46365.25</v>
      </c>
      <c r="M1072" s="1520" t="s">
        <v>2480</v>
      </c>
      <c r="N1072" t="s">
        <v>11129</v>
      </c>
      <c r="O1072" s="1520" t="s">
        <v>2480</v>
      </c>
      <c r="P1072" s="1520">
        <v>46373.25</v>
      </c>
    </row>
    <row r="1073" spans="1:16">
      <c r="A1073" t="s">
        <v>7040</v>
      </c>
      <c r="B1073" t="s">
        <v>64</v>
      </c>
      <c r="C1073" t="s">
        <v>100</v>
      </c>
      <c r="D1073" t="s">
        <v>284</v>
      </c>
      <c r="E1073" t="s">
        <v>6169</v>
      </c>
      <c r="F1073" t="s">
        <v>1570</v>
      </c>
      <c r="G1073">
        <v>2880</v>
      </c>
      <c r="H1073" t="s">
        <v>951</v>
      </c>
      <c r="I1073" t="s">
        <v>7041</v>
      </c>
      <c r="J1073" s="1520">
        <v>46292</v>
      </c>
      <c r="K1073" s="1520">
        <v>46336</v>
      </c>
      <c r="L1073" s="1520">
        <v>46342.083333333336</v>
      </c>
      <c r="M1073" s="1520" t="s">
        <v>2480</v>
      </c>
      <c r="N1073" t="s">
        <v>11129</v>
      </c>
      <c r="O1073" s="1520" t="s">
        <v>2480</v>
      </c>
      <c r="P1073" s="1520">
        <v>46349.083333333336</v>
      </c>
    </row>
    <row r="1074" spans="1:16">
      <c r="A1074" t="s">
        <v>7045</v>
      </c>
      <c r="B1074" t="s">
        <v>64</v>
      </c>
      <c r="C1074" t="s">
        <v>100</v>
      </c>
      <c r="D1074" t="s">
        <v>284</v>
      </c>
      <c r="E1074" t="s">
        <v>5354</v>
      </c>
      <c r="F1074" t="s">
        <v>5355</v>
      </c>
      <c r="G1074">
        <v>2880</v>
      </c>
      <c r="H1074" t="s">
        <v>951</v>
      </c>
      <c r="I1074" t="s">
        <v>7046</v>
      </c>
      <c r="J1074" s="1520">
        <v>46292</v>
      </c>
      <c r="K1074" s="1520">
        <v>46336</v>
      </c>
      <c r="L1074" s="1520">
        <v>46342.083333333336</v>
      </c>
      <c r="M1074" s="1520" t="s">
        <v>2480</v>
      </c>
      <c r="N1074" t="s">
        <v>11129</v>
      </c>
      <c r="O1074" s="1520" t="s">
        <v>2480</v>
      </c>
      <c r="P1074" s="1520">
        <v>46349.083333333336</v>
      </c>
    </row>
    <row r="1075" spans="1:16">
      <c r="A1075" t="s">
        <v>6675</v>
      </c>
      <c r="B1075" t="s">
        <v>64</v>
      </c>
      <c r="C1075" t="s">
        <v>65</v>
      </c>
      <c r="D1075" t="s">
        <v>4540</v>
      </c>
      <c r="E1075" t="s">
        <v>691</v>
      </c>
      <c r="F1075" t="s">
        <v>692</v>
      </c>
      <c r="G1075">
        <v>864</v>
      </c>
      <c r="H1075" t="s">
        <v>951</v>
      </c>
      <c r="I1075" t="s">
        <v>6676</v>
      </c>
      <c r="J1075" s="1520">
        <v>46282</v>
      </c>
      <c r="K1075" s="1520">
        <v>46328</v>
      </c>
      <c r="L1075" s="1520">
        <v>46342.25</v>
      </c>
      <c r="M1075" s="1520" t="s">
        <v>2480</v>
      </c>
      <c r="N1075" t="s">
        <v>11129</v>
      </c>
      <c r="O1075" s="1520" t="s">
        <v>2480</v>
      </c>
      <c r="P1075" s="1520">
        <v>46350.25</v>
      </c>
    </row>
    <row r="1076" spans="1:16">
      <c r="A1076" t="s">
        <v>6952</v>
      </c>
      <c r="B1076" t="s">
        <v>144</v>
      </c>
      <c r="C1076" t="s">
        <v>145</v>
      </c>
      <c r="D1076" t="s">
        <v>284</v>
      </c>
      <c r="E1076" t="s">
        <v>6856</v>
      </c>
      <c r="F1076" t="s">
        <v>6857</v>
      </c>
      <c r="G1076">
        <v>6552</v>
      </c>
      <c r="H1076" t="s">
        <v>951</v>
      </c>
      <c r="I1076" t="s">
        <v>6955</v>
      </c>
      <c r="J1076" s="1520">
        <v>46294</v>
      </c>
      <c r="K1076" s="1520">
        <v>46329</v>
      </c>
      <c r="L1076" s="1520">
        <v>46336.708333333336</v>
      </c>
      <c r="M1076" s="1520" t="s">
        <v>2480</v>
      </c>
      <c r="N1076" t="s">
        <v>11129</v>
      </c>
      <c r="O1076" s="1520" t="s">
        <v>2480</v>
      </c>
      <c r="P1076" s="1520">
        <v>46336.708333333336</v>
      </c>
    </row>
    <row r="1077" spans="1:16">
      <c r="A1077" t="s">
        <v>6896</v>
      </c>
      <c r="B1077" t="s">
        <v>64</v>
      </c>
      <c r="C1077" t="s">
        <v>100</v>
      </c>
      <c r="D1077" t="s">
        <v>550</v>
      </c>
      <c r="E1077" t="s">
        <v>2134</v>
      </c>
      <c r="F1077" t="s">
        <v>2135</v>
      </c>
      <c r="G1077">
        <v>3960</v>
      </c>
      <c r="H1077" t="s">
        <v>951</v>
      </c>
      <c r="I1077" t="s">
        <v>6897</v>
      </c>
      <c r="J1077" s="1520">
        <v>46292</v>
      </c>
      <c r="K1077" s="1520">
        <v>46324</v>
      </c>
      <c r="L1077" s="1520">
        <v>46332.625</v>
      </c>
      <c r="M1077" s="1520" t="s">
        <v>2480</v>
      </c>
      <c r="N1077" t="s">
        <v>11129</v>
      </c>
      <c r="O1077" s="1520" t="s">
        <v>2480</v>
      </c>
      <c r="P1077" s="1520">
        <v>46339.625</v>
      </c>
    </row>
    <row r="1078" spans="1:16">
      <c r="A1078" t="s">
        <v>7047</v>
      </c>
      <c r="B1078" t="s">
        <v>64</v>
      </c>
      <c r="C1078" t="s">
        <v>450</v>
      </c>
      <c r="D1078" t="s">
        <v>4540</v>
      </c>
      <c r="E1078" t="s">
        <v>7049</v>
      </c>
      <c r="F1078" t="s">
        <v>7050</v>
      </c>
      <c r="G1078">
        <v>864</v>
      </c>
      <c r="H1078" t="s">
        <v>951</v>
      </c>
      <c r="I1078" t="s">
        <v>7052</v>
      </c>
      <c r="J1078" s="1520">
        <v>46292</v>
      </c>
      <c r="K1078" s="1520">
        <v>46348</v>
      </c>
      <c r="L1078" s="1520">
        <v>46350.145833333336</v>
      </c>
      <c r="M1078" s="1520" t="s">
        <v>2480</v>
      </c>
      <c r="N1078" t="s">
        <v>11129</v>
      </c>
      <c r="O1078" s="1520" t="s">
        <v>2480</v>
      </c>
      <c r="P1078" s="1520">
        <v>46357.145833333336</v>
      </c>
    </row>
    <row r="1079" spans="1:16">
      <c r="A1079" t="s">
        <v>6809</v>
      </c>
      <c r="B1079" t="s">
        <v>64</v>
      </c>
      <c r="C1079" t="s">
        <v>100</v>
      </c>
      <c r="D1079" t="s">
        <v>132</v>
      </c>
      <c r="E1079" t="s">
        <v>1062</v>
      </c>
      <c r="F1079" t="s">
        <v>1063</v>
      </c>
      <c r="G1079">
        <v>2592</v>
      </c>
      <c r="I1079" t="s">
        <v>6810</v>
      </c>
      <c r="J1079" s="1520">
        <v>46284</v>
      </c>
      <c r="K1079" s="1520">
        <v>46318</v>
      </c>
      <c r="L1079" s="1520">
        <v>46333.625</v>
      </c>
      <c r="M1079" s="1520" t="s">
        <v>2480</v>
      </c>
      <c r="N1079" t="s">
        <v>11129</v>
      </c>
      <c r="O1079" s="1520" t="s">
        <v>2480</v>
      </c>
      <c r="P1079" s="1520">
        <v>46340.625</v>
      </c>
    </row>
    <row r="1080" spans="1:16">
      <c r="A1080" t="s">
        <v>6962</v>
      </c>
      <c r="B1080" t="s">
        <v>144</v>
      </c>
      <c r="C1080" t="s">
        <v>145</v>
      </c>
      <c r="D1080" t="s">
        <v>284</v>
      </c>
      <c r="E1080" t="s">
        <v>6849</v>
      </c>
      <c r="F1080" t="s">
        <v>6850</v>
      </c>
      <c r="G1080">
        <v>7488</v>
      </c>
      <c r="H1080" t="s">
        <v>951</v>
      </c>
      <c r="I1080" t="s">
        <v>6964</v>
      </c>
      <c r="J1080" s="1520">
        <v>46296</v>
      </c>
      <c r="K1080" s="1520">
        <v>46340</v>
      </c>
      <c r="L1080" s="1520">
        <v>46345.625</v>
      </c>
      <c r="M1080" s="1520" t="s">
        <v>2480</v>
      </c>
      <c r="N1080" t="s">
        <v>11129</v>
      </c>
      <c r="O1080" s="1520" t="s">
        <v>2480</v>
      </c>
      <c r="P1080" s="1520">
        <v>46345.625</v>
      </c>
    </row>
    <row r="1081" spans="1:16">
      <c r="A1081" t="s">
        <v>6968</v>
      </c>
      <c r="B1081" t="s">
        <v>144</v>
      </c>
      <c r="C1081" t="s">
        <v>145</v>
      </c>
      <c r="D1081" t="s">
        <v>284</v>
      </c>
      <c r="E1081" t="s">
        <v>6849</v>
      </c>
      <c r="F1081" t="s">
        <v>6850</v>
      </c>
      <c r="G1081">
        <v>5616</v>
      </c>
      <c r="H1081" t="s">
        <v>951</v>
      </c>
      <c r="I1081" t="s">
        <v>6970</v>
      </c>
      <c r="J1081" s="1520">
        <v>46296</v>
      </c>
      <c r="K1081" s="1520">
        <v>46340</v>
      </c>
      <c r="L1081" s="1520">
        <v>46341.979166666664</v>
      </c>
      <c r="M1081" s="1520" t="s">
        <v>2480</v>
      </c>
      <c r="N1081" t="s">
        <v>11129</v>
      </c>
      <c r="O1081" s="1520" t="s">
        <v>2480</v>
      </c>
      <c r="P1081" s="1520">
        <v>46341.979166666664</v>
      </c>
    </row>
    <row r="1082" spans="1:16">
      <c r="A1082" t="s">
        <v>6973</v>
      </c>
      <c r="B1082" t="s">
        <v>144</v>
      </c>
      <c r="C1082" t="s">
        <v>145</v>
      </c>
      <c r="D1082" t="s">
        <v>284</v>
      </c>
      <c r="E1082" t="s">
        <v>6849</v>
      </c>
      <c r="F1082" t="s">
        <v>6850</v>
      </c>
      <c r="G1082">
        <v>2808</v>
      </c>
      <c r="H1082" t="s">
        <v>951</v>
      </c>
      <c r="I1082" t="s">
        <v>6974</v>
      </c>
      <c r="J1082" s="1520">
        <v>46296</v>
      </c>
      <c r="K1082" s="1520">
        <v>46340</v>
      </c>
      <c r="L1082" s="1520">
        <v>46341.979166666664</v>
      </c>
      <c r="M1082" s="1520" t="s">
        <v>2480</v>
      </c>
      <c r="N1082" t="s">
        <v>11129</v>
      </c>
      <c r="O1082" s="1520" t="s">
        <v>2480</v>
      </c>
      <c r="P1082" s="1520">
        <v>46341.979166666664</v>
      </c>
    </row>
    <row r="1083" spans="1:16">
      <c r="A1083" t="s">
        <v>6983</v>
      </c>
      <c r="B1083" t="s">
        <v>144</v>
      </c>
      <c r="C1083" t="s">
        <v>145</v>
      </c>
      <c r="D1083" t="s">
        <v>284</v>
      </c>
      <c r="E1083" t="s">
        <v>6849</v>
      </c>
      <c r="F1083" t="s">
        <v>6850</v>
      </c>
      <c r="G1083">
        <v>4680</v>
      </c>
      <c r="H1083" t="s">
        <v>951</v>
      </c>
      <c r="I1083" t="s">
        <v>6985</v>
      </c>
      <c r="J1083" s="1520">
        <v>46296</v>
      </c>
      <c r="K1083" s="1520">
        <v>46340</v>
      </c>
      <c r="L1083" s="1520">
        <v>46341.979166666664</v>
      </c>
      <c r="M1083" s="1520" t="s">
        <v>2480</v>
      </c>
      <c r="N1083" t="s">
        <v>11129</v>
      </c>
      <c r="O1083" s="1520" t="s">
        <v>2480</v>
      </c>
      <c r="P1083" s="1520">
        <v>46341.979166666664</v>
      </c>
    </row>
    <row r="1084" spans="1:16">
      <c r="A1084" t="s">
        <v>6975</v>
      </c>
      <c r="B1084" t="s">
        <v>144</v>
      </c>
      <c r="C1084" t="s">
        <v>145</v>
      </c>
      <c r="D1084" t="s">
        <v>284</v>
      </c>
      <c r="E1084" t="s">
        <v>6856</v>
      </c>
      <c r="F1084" t="s">
        <v>6857</v>
      </c>
      <c r="G1084">
        <v>2808</v>
      </c>
      <c r="H1084" t="s">
        <v>951</v>
      </c>
      <c r="I1084" t="s">
        <v>6977</v>
      </c>
      <c r="J1084" s="1520">
        <v>46296</v>
      </c>
      <c r="K1084" s="1520">
        <v>46340</v>
      </c>
      <c r="L1084" s="1520">
        <v>46341.979166666664</v>
      </c>
      <c r="M1084" s="1520" t="s">
        <v>2480</v>
      </c>
      <c r="N1084" t="s">
        <v>11129</v>
      </c>
      <c r="O1084" s="1520" t="s">
        <v>2480</v>
      </c>
      <c r="P1084" s="1520">
        <v>46341.979166666664</v>
      </c>
    </row>
    <row r="1085" spans="1:16">
      <c r="A1085" t="s">
        <v>6978</v>
      </c>
      <c r="B1085" t="s">
        <v>144</v>
      </c>
      <c r="C1085" t="s">
        <v>145</v>
      </c>
      <c r="D1085" t="s">
        <v>284</v>
      </c>
      <c r="E1085" t="s">
        <v>6856</v>
      </c>
      <c r="F1085" t="s">
        <v>6857</v>
      </c>
      <c r="G1085">
        <v>2808</v>
      </c>
      <c r="H1085" t="s">
        <v>951</v>
      </c>
      <c r="I1085" t="s">
        <v>6980</v>
      </c>
      <c r="J1085" s="1520">
        <v>46296</v>
      </c>
      <c r="K1085" s="1520">
        <v>46340</v>
      </c>
      <c r="L1085" s="1520">
        <v>46341.979166666664</v>
      </c>
      <c r="M1085" s="1520" t="s">
        <v>2480</v>
      </c>
      <c r="N1085" t="s">
        <v>11129</v>
      </c>
      <c r="O1085" s="1520" t="s">
        <v>2480</v>
      </c>
      <c r="P1085" s="1520">
        <v>46341.979166666664</v>
      </c>
    </row>
    <row r="1086" spans="1:16">
      <c r="A1086" t="s">
        <v>6905</v>
      </c>
      <c r="B1086" t="s">
        <v>64</v>
      </c>
      <c r="C1086" t="s">
        <v>310</v>
      </c>
      <c r="D1086" t="s">
        <v>550</v>
      </c>
      <c r="E1086" t="s">
        <v>2134</v>
      </c>
      <c r="F1086" t="s">
        <v>2135</v>
      </c>
      <c r="G1086">
        <v>1584</v>
      </c>
      <c r="H1086" t="s">
        <v>951</v>
      </c>
      <c r="I1086" t="s">
        <v>6906</v>
      </c>
      <c r="J1086" s="1520">
        <v>46291</v>
      </c>
      <c r="K1086" s="1520">
        <v>46337</v>
      </c>
      <c r="L1086" s="1520">
        <v>46344.5</v>
      </c>
      <c r="M1086" s="1520" t="s">
        <v>2480</v>
      </c>
      <c r="N1086" t="s">
        <v>11129</v>
      </c>
      <c r="O1086" s="1520" t="s">
        <v>2480</v>
      </c>
      <c r="P1086" s="1520">
        <v>46354.5</v>
      </c>
    </row>
    <row r="1087" spans="1:16">
      <c r="A1087" t="s">
        <v>7072</v>
      </c>
      <c r="B1087" t="s">
        <v>144</v>
      </c>
      <c r="C1087" t="s">
        <v>145</v>
      </c>
      <c r="D1087" t="s">
        <v>284</v>
      </c>
      <c r="E1087" t="s">
        <v>6856</v>
      </c>
      <c r="F1087" t="s">
        <v>6857</v>
      </c>
      <c r="G1087">
        <v>7488</v>
      </c>
      <c r="H1087" t="s">
        <v>951</v>
      </c>
      <c r="I1087" t="s">
        <v>7074</v>
      </c>
      <c r="J1087" s="1520">
        <v>46302</v>
      </c>
      <c r="K1087" s="1520">
        <v>46347</v>
      </c>
      <c r="L1087" s="1520">
        <v>46344.82916666667</v>
      </c>
      <c r="M1087" s="1520" t="s">
        <v>2480</v>
      </c>
      <c r="N1087" t="s">
        <v>11129</v>
      </c>
      <c r="O1087" s="1520" t="s">
        <v>2480</v>
      </c>
      <c r="P1087" s="1520">
        <v>46344.82916666667</v>
      </c>
    </row>
    <row r="1088" spans="1:16">
      <c r="A1088" t="s">
        <v>6956</v>
      </c>
      <c r="B1088" t="s">
        <v>144</v>
      </c>
      <c r="C1088" t="s">
        <v>145</v>
      </c>
      <c r="D1088" t="s">
        <v>284</v>
      </c>
      <c r="E1088" t="s">
        <v>6849</v>
      </c>
      <c r="F1088" t="s">
        <v>6850</v>
      </c>
      <c r="G1088">
        <v>4680</v>
      </c>
      <c r="H1088" t="s">
        <v>951</v>
      </c>
      <c r="I1088" t="s">
        <v>6958</v>
      </c>
      <c r="J1088" s="1520">
        <v>46293</v>
      </c>
      <c r="K1088" s="1520">
        <v>46330</v>
      </c>
      <c r="L1088" s="1520">
        <v>46346.125</v>
      </c>
      <c r="M1088" s="1520" t="s">
        <v>2480</v>
      </c>
      <c r="N1088" t="s">
        <v>11129</v>
      </c>
      <c r="O1088" s="1520" t="s">
        <v>2480</v>
      </c>
      <c r="P1088" s="1520">
        <v>46346.125</v>
      </c>
    </row>
    <row r="1089" spans="1:16">
      <c r="A1089" t="s">
        <v>6900</v>
      </c>
      <c r="B1089" t="s">
        <v>64</v>
      </c>
      <c r="C1089" t="s">
        <v>100</v>
      </c>
      <c r="D1089" t="s">
        <v>550</v>
      </c>
      <c r="E1089" t="s">
        <v>551</v>
      </c>
      <c r="F1089" t="s">
        <v>2151</v>
      </c>
      <c r="G1089">
        <v>2376</v>
      </c>
      <c r="H1089" t="s">
        <v>951</v>
      </c>
      <c r="I1089" t="s">
        <v>6901</v>
      </c>
      <c r="J1089" s="1520">
        <v>46290</v>
      </c>
      <c r="K1089" s="1520">
        <v>46326</v>
      </c>
      <c r="L1089" s="1520">
        <v>46338.875</v>
      </c>
      <c r="M1089" s="1520" t="s">
        <v>2480</v>
      </c>
      <c r="N1089" t="s">
        <v>11129</v>
      </c>
      <c r="O1089" s="1520" t="s">
        <v>2480</v>
      </c>
      <c r="P1089" s="1520">
        <v>46345.875</v>
      </c>
    </row>
    <row r="1090" spans="1:16">
      <c r="A1090" t="s">
        <v>7130</v>
      </c>
      <c r="B1090" t="s">
        <v>64</v>
      </c>
      <c r="C1090" t="s">
        <v>65</v>
      </c>
      <c r="D1090" t="s">
        <v>550</v>
      </c>
      <c r="E1090" t="s">
        <v>551</v>
      </c>
      <c r="F1090" t="s">
        <v>2151</v>
      </c>
      <c r="G1090">
        <v>792</v>
      </c>
      <c r="H1090" t="s">
        <v>951</v>
      </c>
      <c r="I1090" t="s">
        <v>7131</v>
      </c>
      <c r="J1090" s="1520">
        <v>46296</v>
      </c>
      <c r="K1090" s="1520">
        <v>46337</v>
      </c>
      <c r="L1090" s="1520">
        <v>46337.25</v>
      </c>
      <c r="M1090" s="1520" t="s">
        <v>2480</v>
      </c>
      <c r="N1090" t="s">
        <v>11129</v>
      </c>
      <c r="O1090" s="1520" t="s">
        <v>2480</v>
      </c>
      <c r="P1090" s="1520">
        <v>46345.25</v>
      </c>
    </row>
    <row r="1091" spans="1:16">
      <c r="A1091" t="s">
        <v>7102</v>
      </c>
      <c r="B1091" t="s">
        <v>64</v>
      </c>
      <c r="C1091" t="s">
        <v>65</v>
      </c>
      <c r="D1091" t="s">
        <v>550</v>
      </c>
      <c r="E1091" t="s">
        <v>551</v>
      </c>
      <c r="F1091" t="s">
        <v>2151</v>
      </c>
      <c r="G1091">
        <v>792</v>
      </c>
      <c r="H1091" t="s">
        <v>951</v>
      </c>
      <c r="I1091" t="s">
        <v>7103</v>
      </c>
      <c r="J1091" s="1520">
        <v>46303</v>
      </c>
      <c r="K1091" s="1520">
        <v>46344</v>
      </c>
      <c r="L1091" s="1520">
        <v>46346.25</v>
      </c>
      <c r="M1091" s="1520" t="s">
        <v>2480</v>
      </c>
      <c r="N1091" t="s">
        <v>11129</v>
      </c>
      <c r="O1091" s="1520" t="s">
        <v>2480</v>
      </c>
      <c r="P1091" s="1520">
        <v>46354.25</v>
      </c>
    </row>
    <row r="1092" spans="1:16">
      <c r="A1092" t="s">
        <v>7092</v>
      </c>
      <c r="B1092" t="s">
        <v>64</v>
      </c>
      <c r="C1092" t="s">
        <v>100</v>
      </c>
      <c r="D1092" t="s">
        <v>550</v>
      </c>
      <c r="E1092" t="s">
        <v>551</v>
      </c>
      <c r="F1092" t="s">
        <v>2151</v>
      </c>
      <c r="G1092">
        <v>792</v>
      </c>
      <c r="H1092" t="s">
        <v>951</v>
      </c>
      <c r="I1092" t="s">
        <v>7093</v>
      </c>
      <c r="J1092" s="1520">
        <v>46302</v>
      </c>
      <c r="K1092" s="1520">
        <v>46337</v>
      </c>
      <c r="L1092" s="1520">
        <v>46344.875</v>
      </c>
      <c r="M1092" s="1520" t="s">
        <v>2480</v>
      </c>
      <c r="N1092" t="s">
        <v>11129</v>
      </c>
      <c r="O1092" s="1520" t="s">
        <v>2480</v>
      </c>
      <c r="P1092" s="1520">
        <v>46351.875</v>
      </c>
    </row>
    <row r="1093" spans="1:16">
      <c r="A1093" t="s">
        <v>7083</v>
      </c>
      <c r="B1093" t="s">
        <v>64</v>
      </c>
      <c r="C1093" t="s">
        <v>65</v>
      </c>
      <c r="D1093" t="s">
        <v>550</v>
      </c>
      <c r="E1093" t="s">
        <v>551</v>
      </c>
      <c r="F1093" t="s">
        <v>2151</v>
      </c>
      <c r="G1093">
        <v>2376</v>
      </c>
      <c r="H1093" t="s">
        <v>951</v>
      </c>
      <c r="I1093" t="s">
        <v>7084</v>
      </c>
      <c r="J1093" s="1520">
        <v>46301</v>
      </c>
      <c r="K1093" s="1520">
        <v>46344</v>
      </c>
      <c r="L1093" s="1520">
        <v>46346.25</v>
      </c>
      <c r="M1093" s="1520" t="s">
        <v>2480</v>
      </c>
      <c r="N1093" t="s">
        <v>11129</v>
      </c>
      <c r="O1093" s="1520" t="s">
        <v>2480</v>
      </c>
      <c r="P1093" s="1520">
        <v>46354.25</v>
      </c>
    </row>
    <row r="1094" spans="1:16">
      <c r="A1094" t="s">
        <v>7013</v>
      </c>
      <c r="B1094" t="s">
        <v>64</v>
      </c>
      <c r="C1094" t="s">
        <v>65</v>
      </c>
      <c r="D1094" t="s">
        <v>550</v>
      </c>
      <c r="E1094" t="s">
        <v>551</v>
      </c>
      <c r="F1094" t="s">
        <v>2151</v>
      </c>
      <c r="G1094">
        <v>2376</v>
      </c>
      <c r="H1094" t="s">
        <v>951</v>
      </c>
      <c r="I1094" t="s">
        <v>7014</v>
      </c>
      <c r="J1094" s="1520">
        <v>46297</v>
      </c>
      <c r="K1094" s="1520">
        <v>46337</v>
      </c>
      <c r="L1094" s="1520">
        <v>46346.25</v>
      </c>
      <c r="M1094" s="1520" t="s">
        <v>2480</v>
      </c>
      <c r="N1094" t="s">
        <v>11129</v>
      </c>
      <c r="O1094" s="1520" t="s">
        <v>2480</v>
      </c>
      <c r="P1094" s="1520">
        <v>46354.25</v>
      </c>
    </row>
    <row r="1095" spans="1:16">
      <c r="A1095" t="s">
        <v>7004</v>
      </c>
      <c r="B1095" t="s">
        <v>64</v>
      </c>
      <c r="C1095" t="s">
        <v>65</v>
      </c>
      <c r="D1095" t="s">
        <v>550</v>
      </c>
      <c r="E1095" t="s">
        <v>551</v>
      </c>
      <c r="F1095" t="s">
        <v>2151</v>
      </c>
      <c r="G1095">
        <v>3168</v>
      </c>
      <c r="H1095" t="s">
        <v>951</v>
      </c>
      <c r="I1095" t="s">
        <v>7005</v>
      </c>
      <c r="J1095" s="1520">
        <v>46297</v>
      </c>
      <c r="K1095" s="1520">
        <v>46349</v>
      </c>
      <c r="L1095" s="1520">
        <v>46359.791666666664</v>
      </c>
      <c r="M1095" s="1520" t="s">
        <v>2480</v>
      </c>
      <c r="N1095" t="s">
        <v>11129</v>
      </c>
      <c r="O1095" s="1520" t="s">
        <v>2480</v>
      </c>
      <c r="P1095" s="1520">
        <v>46367.791666666664</v>
      </c>
    </row>
    <row r="1096" spans="1:16">
      <c r="A1096" t="s">
        <v>6993</v>
      </c>
      <c r="B1096" t="s">
        <v>64</v>
      </c>
      <c r="C1096" t="s">
        <v>100</v>
      </c>
      <c r="D1096" t="s">
        <v>550</v>
      </c>
      <c r="E1096" t="s">
        <v>551</v>
      </c>
      <c r="F1096" t="s">
        <v>2151</v>
      </c>
      <c r="G1096">
        <v>1584</v>
      </c>
      <c r="H1096" t="s">
        <v>951</v>
      </c>
      <c r="I1096" t="s">
        <v>6994</v>
      </c>
      <c r="J1096" s="1520">
        <v>46297</v>
      </c>
      <c r="K1096" s="1520">
        <v>46334</v>
      </c>
      <c r="L1096" s="1520"/>
      <c r="M1096" s="1520" t="s">
        <v>2480</v>
      </c>
      <c r="N1096" t="s">
        <v>11129</v>
      </c>
      <c r="O1096" s="1520" t="s">
        <v>2480</v>
      </c>
      <c r="P1096" s="1520">
        <v>46341</v>
      </c>
    </row>
    <row r="1097" spans="1:16">
      <c r="A1097" t="s">
        <v>7062</v>
      </c>
      <c r="B1097" t="s">
        <v>144</v>
      </c>
      <c r="C1097" t="s">
        <v>145</v>
      </c>
      <c r="D1097" t="s">
        <v>284</v>
      </c>
      <c r="E1097" t="s">
        <v>6856</v>
      </c>
      <c r="F1097" t="s">
        <v>6857</v>
      </c>
      <c r="G1097">
        <v>8424</v>
      </c>
      <c r="H1097" t="s">
        <v>951</v>
      </c>
      <c r="I1097" t="s">
        <v>7064</v>
      </c>
      <c r="J1097" s="1520">
        <v>46301</v>
      </c>
      <c r="K1097" s="1520">
        <v>46336</v>
      </c>
      <c r="L1097" s="1520">
        <v>46342.083333333336</v>
      </c>
      <c r="M1097" s="1520" t="s">
        <v>2480</v>
      </c>
      <c r="N1097" t="s">
        <v>11129</v>
      </c>
      <c r="O1097" s="1520" t="s">
        <v>2480</v>
      </c>
      <c r="P1097" s="1520">
        <v>46342.083333333336</v>
      </c>
    </row>
    <row r="1098" spans="1:16">
      <c r="A1098" t="s">
        <v>6893</v>
      </c>
      <c r="B1098" t="s">
        <v>144</v>
      </c>
      <c r="C1098" t="s">
        <v>145</v>
      </c>
      <c r="D1098" t="s">
        <v>4540</v>
      </c>
      <c r="E1098" t="s">
        <v>6245</v>
      </c>
      <c r="F1098" t="s">
        <v>330</v>
      </c>
      <c r="G1098">
        <v>7920</v>
      </c>
      <c r="H1098" t="s">
        <v>951</v>
      </c>
      <c r="I1098" t="s">
        <v>6894</v>
      </c>
      <c r="J1098" s="1520">
        <v>46289</v>
      </c>
      <c r="K1098" s="1520">
        <v>46330</v>
      </c>
      <c r="L1098" s="1520"/>
      <c r="M1098" s="1520" t="s">
        <v>2480</v>
      </c>
      <c r="N1098" t="s">
        <v>11129</v>
      </c>
      <c r="O1098" s="1520" t="s">
        <v>2480</v>
      </c>
      <c r="P1098" s="1520">
        <v>46330</v>
      </c>
    </row>
    <row r="1099" spans="1:16">
      <c r="A1099" t="s">
        <v>6888</v>
      </c>
      <c r="B1099" t="s">
        <v>144</v>
      </c>
      <c r="C1099" t="s">
        <v>145</v>
      </c>
      <c r="D1099" t="s">
        <v>4540</v>
      </c>
      <c r="E1099" t="s">
        <v>6245</v>
      </c>
      <c r="F1099" t="s">
        <v>330</v>
      </c>
      <c r="G1099">
        <v>7920</v>
      </c>
      <c r="H1099" t="s">
        <v>951</v>
      </c>
      <c r="I1099" t="s">
        <v>6890</v>
      </c>
      <c r="J1099" s="1520">
        <v>46289</v>
      </c>
      <c r="K1099" s="1520">
        <v>46330</v>
      </c>
      <c r="L1099" s="1520"/>
      <c r="M1099" s="1520" t="s">
        <v>2480</v>
      </c>
      <c r="N1099" t="s">
        <v>11129</v>
      </c>
      <c r="O1099" s="1520" t="s">
        <v>2480</v>
      </c>
      <c r="P1099" s="1520">
        <v>46330</v>
      </c>
    </row>
    <row r="1100" spans="1:16">
      <c r="A1100" t="s">
        <v>6681</v>
      </c>
      <c r="B1100" t="s">
        <v>64</v>
      </c>
      <c r="C1100" t="s">
        <v>65</v>
      </c>
      <c r="D1100" t="s">
        <v>4540</v>
      </c>
      <c r="E1100" t="s">
        <v>691</v>
      </c>
      <c r="F1100" t="s">
        <v>692</v>
      </c>
      <c r="G1100">
        <v>864</v>
      </c>
      <c r="H1100" t="s">
        <v>951</v>
      </c>
      <c r="I1100" t="s">
        <v>6682</v>
      </c>
      <c r="J1100" s="1520">
        <v>46288</v>
      </c>
      <c r="K1100" s="1520">
        <v>46335</v>
      </c>
      <c r="L1100" s="1520">
        <v>46350.791666666664</v>
      </c>
      <c r="M1100" s="1520" t="s">
        <v>2480</v>
      </c>
      <c r="N1100" t="s">
        <v>11129</v>
      </c>
      <c r="O1100" s="1520" t="s">
        <v>2480</v>
      </c>
      <c r="P1100" s="1520">
        <v>46358.791666666664</v>
      </c>
    </row>
    <row r="1101" spans="1:16">
      <c r="A1101" t="s">
        <v>7204</v>
      </c>
      <c r="B1101" t="s">
        <v>64</v>
      </c>
      <c r="C1101" t="s">
        <v>65</v>
      </c>
      <c r="D1101" t="s">
        <v>4540</v>
      </c>
      <c r="E1101" t="s">
        <v>706</v>
      </c>
      <c r="F1101" t="s">
        <v>707</v>
      </c>
      <c r="G1101">
        <v>4320</v>
      </c>
      <c r="H1101" t="s">
        <v>951</v>
      </c>
      <c r="I1101" t="s">
        <v>7205</v>
      </c>
      <c r="J1101" s="1520">
        <v>46306</v>
      </c>
      <c r="K1101" s="1520">
        <v>46370</v>
      </c>
      <c r="L1101" s="1520">
        <v>46370.791666666664</v>
      </c>
      <c r="M1101" s="1520" t="s">
        <v>2480</v>
      </c>
      <c r="N1101" t="s">
        <v>11129</v>
      </c>
      <c r="O1101" s="1520" t="s">
        <v>2480</v>
      </c>
      <c r="P1101" s="1520">
        <v>46378.791666666664</v>
      </c>
    </row>
    <row r="1102" spans="1:16">
      <c r="A1102" t="s">
        <v>7078</v>
      </c>
      <c r="B1102" t="s">
        <v>64</v>
      </c>
      <c r="C1102" t="s">
        <v>65</v>
      </c>
      <c r="D1102" t="s">
        <v>4540</v>
      </c>
      <c r="E1102" t="s">
        <v>706</v>
      </c>
      <c r="F1102" t="s">
        <v>707</v>
      </c>
      <c r="G1102">
        <v>864</v>
      </c>
      <c r="H1102" t="s">
        <v>951</v>
      </c>
      <c r="I1102" t="s">
        <v>7079</v>
      </c>
      <c r="J1102" s="1520">
        <v>46301</v>
      </c>
      <c r="K1102" s="1520">
        <v>46344</v>
      </c>
      <c r="L1102" s="1520">
        <v>46346.25</v>
      </c>
      <c r="M1102" s="1520" t="s">
        <v>2480</v>
      </c>
      <c r="N1102" t="s">
        <v>11129</v>
      </c>
      <c r="O1102" s="1520" t="s">
        <v>2480</v>
      </c>
      <c r="P1102" s="1520">
        <v>46354.25</v>
      </c>
    </row>
    <row r="1103" spans="1:16">
      <c r="A1103" t="s">
        <v>7195</v>
      </c>
      <c r="B1103" t="s">
        <v>64</v>
      </c>
      <c r="C1103" t="s">
        <v>100</v>
      </c>
      <c r="D1103" t="s">
        <v>4540</v>
      </c>
      <c r="E1103" t="s">
        <v>1151</v>
      </c>
      <c r="F1103" t="s">
        <v>421</v>
      </c>
      <c r="G1103">
        <v>864</v>
      </c>
      <c r="H1103" t="s">
        <v>951</v>
      </c>
      <c r="I1103" t="s">
        <v>7196</v>
      </c>
      <c r="J1103" s="1520">
        <v>46306</v>
      </c>
      <c r="K1103" s="1520">
        <v>46351</v>
      </c>
      <c r="L1103" s="1520">
        <v>46350.333333333336</v>
      </c>
      <c r="M1103" s="1520" t="s">
        <v>2480</v>
      </c>
      <c r="N1103" t="s">
        <v>11129</v>
      </c>
      <c r="O1103" s="1520" t="s">
        <v>2480</v>
      </c>
      <c r="P1103" s="1520">
        <v>46357.333333333336</v>
      </c>
    </row>
    <row r="1104" spans="1:16">
      <c r="A1104" t="s">
        <v>7142</v>
      </c>
      <c r="B1104" t="s">
        <v>64</v>
      </c>
      <c r="C1104" t="s">
        <v>100</v>
      </c>
      <c r="D1104" t="s">
        <v>4540</v>
      </c>
      <c r="E1104" t="s">
        <v>1151</v>
      </c>
      <c r="F1104" t="s">
        <v>421</v>
      </c>
      <c r="G1104">
        <v>864</v>
      </c>
      <c r="H1104" t="s">
        <v>951</v>
      </c>
      <c r="I1104" t="s">
        <v>7143</v>
      </c>
      <c r="J1104" s="1520">
        <v>46300</v>
      </c>
      <c r="K1104" s="1520">
        <v>46346</v>
      </c>
      <c r="L1104" s="1520">
        <v>46346.125</v>
      </c>
      <c r="M1104" s="1520" t="s">
        <v>2480</v>
      </c>
      <c r="N1104" t="s">
        <v>11129</v>
      </c>
      <c r="O1104" s="1520" t="s">
        <v>2480</v>
      </c>
      <c r="P1104" s="1520">
        <v>46353.125</v>
      </c>
    </row>
    <row r="1105" spans="1:16">
      <c r="A1105" t="s">
        <v>7113</v>
      </c>
      <c r="B1105" t="s">
        <v>64</v>
      </c>
      <c r="C1105" t="s">
        <v>65</v>
      </c>
      <c r="D1105" t="s">
        <v>4540</v>
      </c>
      <c r="E1105" t="s">
        <v>1151</v>
      </c>
      <c r="F1105" t="s">
        <v>421</v>
      </c>
      <c r="G1105">
        <v>4320</v>
      </c>
      <c r="H1105" t="s">
        <v>951</v>
      </c>
      <c r="I1105" t="s">
        <v>7114</v>
      </c>
      <c r="J1105" s="1520">
        <v>46300</v>
      </c>
      <c r="K1105" s="1520">
        <v>46363</v>
      </c>
      <c r="L1105" s="1520">
        <v>46363.791666666664</v>
      </c>
      <c r="M1105" s="1520" t="s">
        <v>2480</v>
      </c>
      <c r="N1105" t="s">
        <v>11129</v>
      </c>
      <c r="O1105" s="1520" t="s">
        <v>2480</v>
      </c>
      <c r="P1105" s="1520">
        <v>46371.791666666664</v>
      </c>
    </row>
    <row r="1106" spans="1:16">
      <c r="A1106" t="s">
        <v>7122</v>
      </c>
      <c r="B1106" t="s">
        <v>64</v>
      </c>
      <c r="C1106" t="s">
        <v>65</v>
      </c>
      <c r="D1106" t="s">
        <v>4540</v>
      </c>
      <c r="E1106" t="s">
        <v>1151</v>
      </c>
      <c r="F1106" t="s">
        <v>421</v>
      </c>
      <c r="G1106">
        <v>1728</v>
      </c>
      <c r="H1106" t="s">
        <v>951</v>
      </c>
      <c r="I1106" t="s">
        <v>7123</v>
      </c>
      <c r="J1106" s="1520">
        <v>46300</v>
      </c>
      <c r="K1106" s="1520">
        <v>46358</v>
      </c>
      <c r="L1106" s="1520">
        <v>46358.25</v>
      </c>
      <c r="M1106" s="1520" t="s">
        <v>2480</v>
      </c>
      <c r="N1106" t="s">
        <v>11129</v>
      </c>
      <c r="O1106" s="1520" t="s">
        <v>2480</v>
      </c>
      <c r="P1106" s="1520">
        <v>46366.25</v>
      </c>
    </row>
    <row r="1107" spans="1:16">
      <c r="A1107" t="s">
        <v>7202</v>
      </c>
      <c r="B1107" t="s">
        <v>64</v>
      </c>
      <c r="C1107" t="s">
        <v>100</v>
      </c>
      <c r="D1107" t="s">
        <v>4540</v>
      </c>
      <c r="E1107" t="s">
        <v>71</v>
      </c>
      <c r="F1107" t="s">
        <v>72</v>
      </c>
      <c r="G1107">
        <v>864</v>
      </c>
      <c r="H1107" t="s">
        <v>951</v>
      </c>
      <c r="I1107" t="s">
        <v>7203</v>
      </c>
      <c r="J1107" s="1520">
        <v>46306</v>
      </c>
      <c r="K1107" s="1520">
        <v>46351</v>
      </c>
      <c r="L1107" s="1520">
        <v>46350.333333333336</v>
      </c>
      <c r="M1107" s="1520" t="s">
        <v>2480</v>
      </c>
      <c r="N1107" t="s">
        <v>11129</v>
      </c>
      <c r="O1107" s="1520" t="s">
        <v>2480</v>
      </c>
      <c r="P1107" s="1520">
        <v>46357.333333333336</v>
      </c>
    </row>
    <row r="1108" spans="1:16">
      <c r="A1108" t="s">
        <v>7200</v>
      </c>
      <c r="B1108" t="s">
        <v>64</v>
      </c>
      <c r="C1108" t="s">
        <v>100</v>
      </c>
      <c r="D1108" t="s">
        <v>4540</v>
      </c>
      <c r="E1108" t="s">
        <v>71</v>
      </c>
      <c r="F1108" t="s">
        <v>72</v>
      </c>
      <c r="G1108">
        <v>5184</v>
      </c>
      <c r="H1108" t="s">
        <v>951</v>
      </c>
      <c r="I1108" t="s">
        <v>7201</v>
      </c>
      <c r="J1108" s="1520">
        <v>46306</v>
      </c>
      <c r="K1108" s="1520">
        <v>46351</v>
      </c>
      <c r="L1108" s="1520">
        <v>46350.333333333336</v>
      </c>
      <c r="M1108" s="1520" t="s">
        <v>2480</v>
      </c>
      <c r="N1108" t="s">
        <v>11129</v>
      </c>
      <c r="O1108" s="1520" t="s">
        <v>2480</v>
      </c>
      <c r="P1108" s="1520">
        <v>46357.333333333336</v>
      </c>
    </row>
    <row r="1109" spans="1:16">
      <c r="A1109" t="s">
        <v>7139</v>
      </c>
      <c r="B1109" t="s">
        <v>64</v>
      </c>
      <c r="C1109" t="s">
        <v>100</v>
      </c>
      <c r="D1109" t="s">
        <v>4540</v>
      </c>
      <c r="E1109" t="s">
        <v>71</v>
      </c>
      <c r="F1109" t="s">
        <v>72</v>
      </c>
      <c r="G1109">
        <v>1728</v>
      </c>
      <c r="H1109" t="s">
        <v>951</v>
      </c>
      <c r="I1109" t="s">
        <v>7141</v>
      </c>
      <c r="J1109" s="1520">
        <v>46300</v>
      </c>
      <c r="K1109" s="1520">
        <v>46346</v>
      </c>
      <c r="L1109" s="1520">
        <v>46346.125</v>
      </c>
      <c r="M1109" s="1520" t="s">
        <v>2480</v>
      </c>
      <c r="N1109" t="s">
        <v>11129</v>
      </c>
      <c r="O1109" s="1520" t="s">
        <v>2480</v>
      </c>
      <c r="P1109" s="1520">
        <v>46353.125</v>
      </c>
    </row>
    <row r="1110" spans="1:16">
      <c r="A1110" t="s">
        <v>7135</v>
      </c>
      <c r="B1110" t="s">
        <v>64</v>
      </c>
      <c r="C1110" t="s">
        <v>100</v>
      </c>
      <c r="D1110" t="s">
        <v>4540</v>
      </c>
      <c r="E1110" t="s">
        <v>71</v>
      </c>
      <c r="F1110" t="s">
        <v>72</v>
      </c>
      <c r="G1110">
        <v>4320</v>
      </c>
      <c r="H1110" t="s">
        <v>951</v>
      </c>
      <c r="I1110" t="s">
        <v>7136</v>
      </c>
      <c r="J1110" s="1520">
        <v>46300</v>
      </c>
      <c r="K1110" s="1520">
        <v>46346</v>
      </c>
      <c r="L1110" s="1520">
        <v>46346.125</v>
      </c>
      <c r="M1110" s="1520" t="s">
        <v>2480</v>
      </c>
      <c r="N1110" t="s">
        <v>11129</v>
      </c>
      <c r="O1110" s="1520" t="s">
        <v>2480</v>
      </c>
      <c r="P1110" s="1520">
        <v>46353.125</v>
      </c>
    </row>
    <row r="1111" spans="1:16">
      <c r="A1111" t="s">
        <v>7163</v>
      </c>
      <c r="B1111" t="s">
        <v>64</v>
      </c>
      <c r="C1111" t="s">
        <v>310</v>
      </c>
      <c r="D1111" t="s">
        <v>550</v>
      </c>
      <c r="E1111" t="s">
        <v>2134</v>
      </c>
      <c r="F1111" t="s">
        <v>2135</v>
      </c>
      <c r="G1111">
        <v>3960</v>
      </c>
      <c r="H1111" t="s">
        <v>951</v>
      </c>
      <c r="I1111" t="s">
        <v>7165</v>
      </c>
      <c r="J1111" s="1520">
        <v>46311</v>
      </c>
      <c r="K1111" s="1520">
        <v>46358</v>
      </c>
      <c r="L1111" s="1520">
        <v>46358.25</v>
      </c>
      <c r="M1111" s="1520" t="s">
        <v>2480</v>
      </c>
      <c r="N1111" t="s">
        <v>11129</v>
      </c>
      <c r="O1111" s="1520" t="s">
        <v>2480</v>
      </c>
      <c r="P1111" s="1520">
        <v>46368.25</v>
      </c>
    </row>
    <row r="1112" spans="1:16">
      <c r="A1112" t="s">
        <v>7008</v>
      </c>
      <c r="B1112" t="s">
        <v>64</v>
      </c>
      <c r="C1112" t="s">
        <v>114</v>
      </c>
      <c r="D1112" t="s">
        <v>550</v>
      </c>
      <c r="E1112" t="s">
        <v>2134</v>
      </c>
      <c r="F1112" t="s">
        <v>2135</v>
      </c>
      <c r="G1112">
        <v>792</v>
      </c>
      <c r="H1112" t="s">
        <v>951</v>
      </c>
      <c r="I1112" t="s">
        <v>7009</v>
      </c>
      <c r="J1112" s="1520">
        <v>46297</v>
      </c>
      <c r="K1112" s="1520">
        <v>46331</v>
      </c>
      <c r="L1112" s="1520">
        <v>46340.583333333336</v>
      </c>
      <c r="M1112" s="1520" t="s">
        <v>2480</v>
      </c>
      <c r="N1112" t="s">
        <v>11129</v>
      </c>
      <c r="O1112" s="1520" t="s">
        <v>2480</v>
      </c>
      <c r="P1112" s="1520">
        <v>46349.583333333336</v>
      </c>
    </row>
    <row r="1113" spans="1:16">
      <c r="A1113" t="s">
        <v>7109</v>
      </c>
      <c r="B1113" t="s">
        <v>64</v>
      </c>
      <c r="C1113" t="s">
        <v>450</v>
      </c>
      <c r="D1113" t="s">
        <v>550</v>
      </c>
      <c r="E1113" t="s">
        <v>2134</v>
      </c>
      <c r="F1113" t="s">
        <v>2135</v>
      </c>
      <c r="G1113">
        <v>1584</v>
      </c>
      <c r="H1113" t="s">
        <v>951</v>
      </c>
      <c r="I1113" t="s">
        <v>7110</v>
      </c>
      <c r="J1113" s="1520">
        <v>46296</v>
      </c>
      <c r="K1113" s="1520">
        <v>46334</v>
      </c>
      <c r="L1113" s="1520">
        <v>46340.541666666664</v>
      </c>
      <c r="M1113" s="1520" t="s">
        <v>2480</v>
      </c>
      <c r="N1113" t="s">
        <v>11129</v>
      </c>
      <c r="O1113" s="1520" t="s">
        <v>2480</v>
      </c>
      <c r="P1113" s="1520">
        <v>46347.541666666664</v>
      </c>
    </row>
    <row r="1114" spans="1:16">
      <c r="A1114" t="s">
        <v>7068</v>
      </c>
      <c r="B1114" t="s">
        <v>64</v>
      </c>
      <c r="C1114" t="s">
        <v>100</v>
      </c>
      <c r="D1114" t="s">
        <v>550</v>
      </c>
      <c r="E1114" t="s">
        <v>2134</v>
      </c>
      <c r="F1114" t="s">
        <v>2135</v>
      </c>
      <c r="G1114">
        <v>3960</v>
      </c>
      <c r="H1114" t="s">
        <v>951</v>
      </c>
      <c r="I1114" t="s">
        <v>7069</v>
      </c>
      <c r="J1114" s="1520">
        <v>46301</v>
      </c>
      <c r="K1114" s="1520">
        <v>46337</v>
      </c>
      <c r="L1114" s="1520" t="s">
        <v>2480</v>
      </c>
      <c r="M1114" s="1520" t="s">
        <v>2480</v>
      </c>
      <c r="N1114" t="s">
        <v>11129</v>
      </c>
      <c r="O1114" s="1520" t="s">
        <v>2480</v>
      </c>
      <c r="P1114" s="1520">
        <v>46344</v>
      </c>
    </row>
    <row r="1115" spans="1:16">
      <c r="A1115" t="s">
        <v>7000</v>
      </c>
      <c r="B1115" t="s">
        <v>64</v>
      </c>
      <c r="C1115" t="s">
        <v>310</v>
      </c>
      <c r="D1115" t="s">
        <v>550</v>
      </c>
      <c r="E1115" t="s">
        <v>2134</v>
      </c>
      <c r="F1115" t="s">
        <v>2135</v>
      </c>
      <c r="G1115">
        <v>3168</v>
      </c>
      <c r="H1115" t="s">
        <v>951</v>
      </c>
      <c r="I1115" t="s">
        <v>7001</v>
      </c>
      <c r="J1115" s="1520">
        <v>46297</v>
      </c>
      <c r="K1115" s="1520">
        <v>46341</v>
      </c>
      <c r="L1115" s="1520">
        <v>46355.75</v>
      </c>
      <c r="M1115" s="1520" t="s">
        <v>2480</v>
      </c>
      <c r="N1115" t="s">
        <v>11129</v>
      </c>
      <c r="O1115" s="1520" t="s">
        <v>2480</v>
      </c>
      <c r="P1115" s="1520">
        <v>46365.75</v>
      </c>
    </row>
    <row r="1116" spans="1:16">
      <c r="A1116" t="s">
        <v>6995</v>
      </c>
      <c r="B1116" t="s">
        <v>64</v>
      </c>
      <c r="C1116" t="s">
        <v>310</v>
      </c>
      <c r="D1116" t="s">
        <v>550</v>
      </c>
      <c r="E1116" t="s">
        <v>2134</v>
      </c>
      <c r="F1116" t="s">
        <v>2135</v>
      </c>
      <c r="G1116">
        <v>3168</v>
      </c>
      <c r="H1116" t="s">
        <v>951</v>
      </c>
      <c r="I1116" t="s">
        <v>6996</v>
      </c>
      <c r="J1116" s="1520">
        <v>46297</v>
      </c>
      <c r="K1116" s="1520">
        <v>46344</v>
      </c>
      <c r="L1116" s="1520">
        <v>46354.25</v>
      </c>
      <c r="M1116" s="1520" t="s">
        <v>2480</v>
      </c>
      <c r="N1116" t="s">
        <v>11129</v>
      </c>
      <c r="O1116" s="1520" t="s">
        <v>2480</v>
      </c>
      <c r="P1116" s="1520">
        <v>46364.25</v>
      </c>
    </row>
    <row r="1117" spans="1:16">
      <c r="A1117" t="s">
        <v>6991</v>
      </c>
      <c r="B1117" t="s">
        <v>64</v>
      </c>
      <c r="C1117" t="s">
        <v>100</v>
      </c>
      <c r="D1117" t="s">
        <v>550</v>
      </c>
      <c r="E1117" t="s">
        <v>2134</v>
      </c>
      <c r="F1117" t="s">
        <v>2135</v>
      </c>
      <c r="G1117">
        <v>3960</v>
      </c>
      <c r="H1117" t="s">
        <v>951</v>
      </c>
      <c r="I1117" t="s">
        <v>6992</v>
      </c>
      <c r="J1117" s="1520">
        <v>46297</v>
      </c>
      <c r="K1117" s="1520">
        <v>46334</v>
      </c>
      <c r="L1117" s="1520"/>
      <c r="M1117" s="1520" t="s">
        <v>2480</v>
      </c>
      <c r="N1117" t="s">
        <v>11129</v>
      </c>
      <c r="O1117" s="1520" t="s">
        <v>2480</v>
      </c>
      <c r="P1117" s="1520">
        <v>46341</v>
      </c>
    </row>
    <row r="1118" spans="1:16">
      <c r="A1118" t="s">
        <v>7107</v>
      </c>
      <c r="B1118" t="s">
        <v>64</v>
      </c>
      <c r="C1118" t="s">
        <v>100</v>
      </c>
      <c r="D1118" t="s">
        <v>550</v>
      </c>
      <c r="E1118" t="s">
        <v>2134</v>
      </c>
      <c r="F1118" t="s">
        <v>2135</v>
      </c>
      <c r="G1118">
        <v>792</v>
      </c>
      <c r="H1118" t="s">
        <v>951</v>
      </c>
      <c r="I1118" t="s">
        <v>7108</v>
      </c>
      <c r="J1118" s="1520">
        <v>46302</v>
      </c>
      <c r="K1118" s="1520">
        <v>46337</v>
      </c>
      <c r="L1118" s="1520">
        <v>46344.875</v>
      </c>
      <c r="M1118" s="1520" t="s">
        <v>2480</v>
      </c>
      <c r="N1118" t="s">
        <v>11129</v>
      </c>
      <c r="O1118" s="1520" t="s">
        <v>2480</v>
      </c>
      <c r="P1118" s="1520">
        <v>46351.875</v>
      </c>
    </row>
    <row r="1119" spans="1:16">
      <c r="A1119" t="s">
        <v>6986</v>
      </c>
      <c r="B1119" t="s">
        <v>64</v>
      </c>
      <c r="C1119" t="s">
        <v>100</v>
      </c>
      <c r="D1119" t="s">
        <v>550</v>
      </c>
      <c r="E1119" t="s">
        <v>2134</v>
      </c>
      <c r="F1119" t="s">
        <v>2135</v>
      </c>
      <c r="G1119">
        <v>792</v>
      </c>
      <c r="H1119" t="s">
        <v>951</v>
      </c>
      <c r="I1119" t="s">
        <v>6987</v>
      </c>
      <c r="J1119" s="1520">
        <v>46297</v>
      </c>
      <c r="K1119" s="1520">
        <v>46334</v>
      </c>
      <c r="L1119" s="1520" t="s">
        <v>2480</v>
      </c>
      <c r="M1119" s="1520" t="s">
        <v>2480</v>
      </c>
      <c r="N1119" t="s">
        <v>11129</v>
      </c>
      <c r="O1119" s="1520" t="s">
        <v>2480</v>
      </c>
      <c r="P1119" s="1520">
        <v>46341</v>
      </c>
    </row>
    <row r="1120" spans="1:16">
      <c r="A1120" t="s">
        <v>7178</v>
      </c>
      <c r="B1120" t="s">
        <v>64</v>
      </c>
      <c r="C1120" t="s">
        <v>65</v>
      </c>
      <c r="D1120" t="s">
        <v>550</v>
      </c>
      <c r="E1120" t="s">
        <v>551</v>
      </c>
      <c r="F1120" t="s">
        <v>2151</v>
      </c>
      <c r="G1120">
        <v>1584</v>
      </c>
      <c r="H1120" t="s">
        <v>951</v>
      </c>
      <c r="I1120" t="s">
        <v>7180</v>
      </c>
      <c r="J1120" s="1520">
        <v>46311</v>
      </c>
      <c r="K1120" s="1520">
        <v>46363</v>
      </c>
      <c r="L1120" s="1520">
        <v>46363.791666666664</v>
      </c>
      <c r="M1120" s="1520" t="s">
        <v>2480</v>
      </c>
      <c r="N1120" t="s">
        <v>11129</v>
      </c>
      <c r="O1120" s="1520" t="s">
        <v>2480</v>
      </c>
      <c r="P1120" s="1520">
        <v>46371.791666666664</v>
      </c>
    </row>
    <row r="1121" spans="1:16">
      <c r="A1121" t="s">
        <v>7169</v>
      </c>
      <c r="B1121" t="s">
        <v>64</v>
      </c>
      <c r="C1121" t="s">
        <v>114</v>
      </c>
      <c r="D1121" t="s">
        <v>170</v>
      </c>
      <c r="E1121" t="s">
        <v>171</v>
      </c>
      <c r="F1121" t="s">
        <v>1731</v>
      </c>
      <c r="G1121">
        <v>1320</v>
      </c>
      <c r="I1121" t="s">
        <v>7171</v>
      </c>
      <c r="J1121" s="1520">
        <v>46311</v>
      </c>
      <c r="K1121" s="1520">
        <v>46366</v>
      </c>
      <c r="L1121" s="1520">
        <v>46366.625</v>
      </c>
      <c r="M1121" s="1520" t="s">
        <v>2480</v>
      </c>
      <c r="N1121" t="s">
        <v>11129</v>
      </c>
      <c r="O1121" s="1520" t="s">
        <v>2480</v>
      </c>
      <c r="P1121" s="1520">
        <v>46375.625</v>
      </c>
    </row>
    <row r="1122" spans="1:16">
      <c r="A1122" t="s">
        <v>7118</v>
      </c>
      <c r="B1122" t="s">
        <v>64</v>
      </c>
      <c r="C1122" t="s">
        <v>450</v>
      </c>
      <c r="D1122" t="s">
        <v>4540</v>
      </c>
      <c r="E1122" t="s">
        <v>7049</v>
      </c>
      <c r="F1122" t="s">
        <v>7050</v>
      </c>
      <c r="G1122">
        <v>864</v>
      </c>
      <c r="H1122" t="s">
        <v>951</v>
      </c>
      <c r="I1122" t="s">
        <v>7119</v>
      </c>
      <c r="J1122" s="1520">
        <v>46300</v>
      </c>
      <c r="K1122" s="1520">
        <v>46355</v>
      </c>
      <c r="L1122" s="1520">
        <v>46356.833333333336</v>
      </c>
      <c r="M1122" s="1520" t="s">
        <v>2480</v>
      </c>
      <c r="N1122" t="s">
        <v>11129</v>
      </c>
      <c r="O1122" s="1520" t="s">
        <v>2480</v>
      </c>
      <c r="P1122" s="1520">
        <v>46363.833333333336</v>
      </c>
    </row>
    <row r="1123" spans="1:16">
      <c r="A1123" t="s">
        <v>7174</v>
      </c>
      <c r="B1123" t="s">
        <v>64</v>
      </c>
      <c r="C1123" t="s">
        <v>310</v>
      </c>
      <c r="D1123" t="s">
        <v>170</v>
      </c>
      <c r="E1123" t="s">
        <v>171</v>
      </c>
      <c r="F1123" t="s">
        <v>1731</v>
      </c>
      <c r="G1123">
        <v>1980</v>
      </c>
      <c r="I1123" t="s">
        <v>7175</v>
      </c>
      <c r="J1123" s="1520">
        <v>46311</v>
      </c>
      <c r="K1123" s="1520">
        <v>46360</v>
      </c>
      <c r="L1123" s="1520">
        <v>0</v>
      </c>
      <c r="M1123" s="1520" t="s">
        <v>2480</v>
      </c>
      <c r="N1123" t="s">
        <v>11129</v>
      </c>
      <c r="O1123" s="1520" t="s">
        <v>2480</v>
      </c>
      <c r="P1123" s="1520">
        <v>46370</v>
      </c>
    </row>
    <row r="1124" spans="1:16">
      <c r="A1124" t="s">
        <v>7208</v>
      </c>
      <c r="B1124" t="s">
        <v>64</v>
      </c>
      <c r="C1124" t="s">
        <v>450</v>
      </c>
      <c r="D1124" t="s">
        <v>4540</v>
      </c>
      <c r="E1124" t="s">
        <v>7049</v>
      </c>
      <c r="F1124" t="s">
        <v>7050</v>
      </c>
      <c r="G1124">
        <v>864</v>
      </c>
      <c r="H1124" t="s">
        <v>951</v>
      </c>
      <c r="I1124" t="s">
        <v>7209</v>
      </c>
      <c r="J1124" s="1520">
        <v>46306</v>
      </c>
      <c r="K1124" s="1520">
        <v>46362</v>
      </c>
      <c r="L1124" s="1520">
        <v>46376.041666666664</v>
      </c>
      <c r="M1124" s="1520" t="s">
        <v>2480</v>
      </c>
      <c r="N1124" t="s">
        <v>11129</v>
      </c>
      <c r="O1124" s="1520" t="s">
        <v>2480</v>
      </c>
      <c r="P1124" s="1520">
        <v>46383.041666666664</v>
      </c>
    </row>
    <row r="1125" spans="1:16">
      <c r="A1125" t="s">
        <v>6347</v>
      </c>
      <c r="B1125" t="s">
        <v>64</v>
      </c>
      <c r="C1125" t="s">
        <v>65</v>
      </c>
      <c r="D1125" t="s">
        <v>4540</v>
      </c>
      <c r="E1125" t="s">
        <v>1151</v>
      </c>
      <c r="F1125" t="s">
        <v>421</v>
      </c>
      <c r="G1125">
        <v>864</v>
      </c>
      <c r="H1125" t="s">
        <v>75</v>
      </c>
      <c r="I1125" t="s">
        <v>6350</v>
      </c>
      <c r="J1125" s="1520">
        <v>46261</v>
      </c>
      <c r="K1125" s="1520">
        <v>46307</v>
      </c>
      <c r="L1125" s="1520">
        <v>46318.302083333336</v>
      </c>
      <c r="M1125" s="1520">
        <v>46318.374756944446</v>
      </c>
      <c r="N1125" t="s">
        <v>11129</v>
      </c>
      <c r="O1125" s="1520" t="s">
        <v>2480</v>
      </c>
      <c r="P1125" s="1520">
        <v>46326.374756944446</v>
      </c>
    </row>
    <row r="1126" spans="1:16">
      <c r="A1126" t="s">
        <v>7126</v>
      </c>
      <c r="B1126" t="s">
        <v>64</v>
      </c>
      <c r="C1126" t="s">
        <v>65</v>
      </c>
      <c r="D1126" t="s">
        <v>550</v>
      </c>
      <c r="E1126" t="s">
        <v>551</v>
      </c>
      <c r="F1126" t="s">
        <v>2151</v>
      </c>
      <c r="G1126">
        <v>792</v>
      </c>
      <c r="H1126" t="s">
        <v>951</v>
      </c>
      <c r="I1126" t="s">
        <v>7127</v>
      </c>
      <c r="J1126" s="1520">
        <v>46298</v>
      </c>
      <c r="K1126" s="1520">
        <v>46349</v>
      </c>
      <c r="L1126" s="1520">
        <v>46359.791666666664</v>
      </c>
      <c r="M1126" s="1520" t="s">
        <v>2480</v>
      </c>
      <c r="N1126" t="s">
        <v>11129</v>
      </c>
      <c r="O1126" s="1520" t="s">
        <v>2480</v>
      </c>
      <c r="P1126" s="1520">
        <v>46367.791666666664</v>
      </c>
    </row>
    <row r="1127" spans="1:16">
      <c r="A1127" t="s">
        <v>7024</v>
      </c>
      <c r="B1127" t="s">
        <v>64</v>
      </c>
      <c r="C1127" t="s">
        <v>65</v>
      </c>
      <c r="D1127" t="s">
        <v>4540</v>
      </c>
      <c r="E1127" t="s">
        <v>1151</v>
      </c>
      <c r="F1127" t="s">
        <v>421</v>
      </c>
      <c r="G1127">
        <v>4320</v>
      </c>
      <c r="H1127" t="s">
        <v>951</v>
      </c>
      <c r="I1127" t="s">
        <v>7025</v>
      </c>
      <c r="J1127" s="1520">
        <v>46313</v>
      </c>
      <c r="K1127" s="1520">
        <v>46384</v>
      </c>
      <c r="L1127" s="1520">
        <v>46384.791666666664</v>
      </c>
      <c r="M1127" s="1520" t="s">
        <v>2480</v>
      </c>
      <c r="N1127" t="s">
        <v>11129</v>
      </c>
      <c r="O1127" s="1520" t="s">
        <v>2480</v>
      </c>
      <c r="P1127" s="1520">
        <v>46392.791666666664</v>
      </c>
    </row>
    <row r="1128" spans="1:16">
      <c r="A1128" t="s">
        <v>7029</v>
      </c>
      <c r="B1128" t="s">
        <v>64</v>
      </c>
      <c r="C1128" t="s">
        <v>65</v>
      </c>
      <c r="D1128" t="s">
        <v>4540</v>
      </c>
      <c r="E1128" t="s">
        <v>1151</v>
      </c>
      <c r="F1128" t="s">
        <v>421</v>
      </c>
      <c r="G1128">
        <v>864</v>
      </c>
      <c r="H1128" t="s">
        <v>951</v>
      </c>
      <c r="I1128" t="s">
        <v>7030</v>
      </c>
      <c r="J1128" s="1520">
        <v>46313</v>
      </c>
      <c r="K1128" s="1520">
        <v>46384</v>
      </c>
      <c r="L1128" s="1520">
        <v>46372.25</v>
      </c>
      <c r="M1128" s="1520" t="s">
        <v>2480</v>
      </c>
      <c r="N1128" t="s">
        <v>11129</v>
      </c>
      <c r="O1128" s="1520" t="s">
        <v>2480</v>
      </c>
      <c r="P1128" s="1520">
        <v>46380.25</v>
      </c>
    </row>
    <row r="1129" spans="1:16">
      <c r="A1129" t="s">
        <v>7233</v>
      </c>
      <c r="B1129" t="s">
        <v>64</v>
      </c>
      <c r="C1129" t="s">
        <v>100</v>
      </c>
      <c r="D1129" t="s">
        <v>284</v>
      </c>
      <c r="E1129" t="s">
        <v>7223</v>
      </c>
      <c r="F1129" t="s">
        <v>7224</v>
      </c>
      <c r="G1129">
        <v>4680</v>
      </c>
      <c r="H1129" t="s">
        <v>951</v>
      </c>
      <c r="I1129" t="s">
        <v>7234</v>
      </c>
      <c r="J1129" s="1520">
        <v>46314</v>
      </c>
      <c r="K1129" s="1520">
        <v>46351</v>
      </c>
      <c r="L1129" s="1520">
        <v>46355.875</v>
      </c>
      <c r="M1129" s="1520" t="s">
        <v>2480</v>
      </c>
      <c r="N1129" t="s">
        <v>11129</v>
      </c>
      <c r="O1129" s="1520" t="s">
        <v>2480</v>
      </c>
      <c r="P1129" s="1520">
        <v>46362.875</v>
      </c>
    </row>
    <row r="1130" spans="1:16">
      <c r="A1130" t="s">
        <v>7158</v>
      </c>
      <c r="B1130" t="s">
        <v>64</v>
      </c>
      <c r="C1130" t="s">
        <v>100</v>
      </c>
      <c r="D1130" t="s">
        <v>170</v>
      </c>
      <c r="E1130" t="s">
        <v>1977</v>
      </c>
      <c r="F1130" t="s">
        <v>1978</v>
      </c>
      <c r="G1130">
        <v>3300</v>
      </c>
      <c r="I1130" t="s">
        <v>7160</v>
      </c>
      <c r="J1130" s="1520">
        <v>46310</v>
      </c>
      <c r="K1130" s="1520">
        <v>46346</v>
      </c>
      <c r="L1130" s="1520">
        <v>46346.125</v>
      </c>
      <c r="M1130" s="1520" t="s">
        <v>2480</v>
      </c>
      <c r="N1130" t="s">
        <v>11129</v>
      </c>
      <c r="O1130" s="1520" t="s">
        <v>2480</v>
      </c>
      <c r="P1130" s="1520">
        <v>46353.125</v>
      </c>
    </row>
    <row r="1131" spans="1:16">
      <c r="A1131" t="s">
        <v>7150</v>
      </c>
      <c r="B1131" t="s">
        <v>64</v>
      </c>
      <c r="C1131" t="s">
        <v>450</v>
      </c>
      <c r="D1131" t="s">
        <v>284</v>
      </c>
      <c r="E1131" t="s">
        <v>5860</v>
      </c>
      <c r="F1131" t="s">
        <v>5861</v>
      </c>
      <c r="G1131">
        <v>936</v>
      </c>
      <c r="H1131" t="s">
        <v>951</v>
      </c>
      <c r="I1131" t="s">
        <v>7151</v>
      </c>
      <c r="J1131" s="1520">
        <v>46308</v>
      </c>
      <c r="K1131" s="1520">
        <v>46349</v>
      </c>
      <c r="L1131" s="1520">
        <v>46350.145833333336</v>
      </c>
      <c r="M1131" s="1520" t="s">
        <v>2480</v>
      </c>
      <c r="N1131" t="s">
        <v>11129</v>
      </c>
      <c r="O1131" s="1520" t="s">
        <v>2480</v>
      </c>
      <c r="P1131" s="1520">
        <v>46357.145833333336</v>
      </c>
    </row>
    <row r="1132" spans="1:16">
      <c r="A1132" t="s">
        <v>7097</v>
      </c>
      <c r="B1132" t="s">
        <v>64</v>
      </c>
      <c r="C1132" t="s">
        <v>310</v>
      </c>
      <c r="D1132" t="s">
        <v>550</v>
      </c>
      <c r="E1132" t="s">
        <v>551</v>
      </c>
      <c r="F1132" t="s">
        <v>2151</v>
      </c>
      <c r="G1132">
        <v>792</v>
      </c>
      <c r="H1132" t="s">
        <v>951</v>
      </c>
      <c r="I1132" t="s">
        <v>7098</v>
      </c>
      <c r="J1132" s="1520">
        <v>46298</v>
      </c>
      <c r="K1132" s="1520">
        <v>46344</v>
      </c>
      <c r="L1132" s="1520">
        <v>46354.25</v>
      </c>
      <c r="M1132" s="1520" t="s">
        <v>2480</v>
      </c>
      <c r="N1132" t="s">
        <v>11129</v>
      </c>
      <c r="O1132" s="1520" t="s">
        <v>2480</v>
      </c>
      <c r="P1132" s="1520">
        <v>46364.25</v>
      </c>
    </row>
    <row r="1133" spans="1:16">
      <c r="A1133" t="s">
        <v>7156</v>
      </c>
      <c r="B1133" t="s">
        <v>64</v>
      </c>
      <c r="C1133" t="s">
        <v>100</v>
      </c>
      <c r="D1133" t="s">
        <v>284</v>
      </c>
      <c r="E1133" t="s">
        <v>5860</v>
      </c>
      <c r="F1133" t="s">
        <v>5861</v>
      </c>
      <c r="G1133">
        <v>3744</v>
      </c>
      <c r="H1133" t="s">
        <v>951</v>
      </c>
      <c r="I1133" t="s">
        <v>7157</v>
      </c>
      <c r="J1133" s="1520">
        <v>46310</v>
      </c>
      <c r="K1133" s="1520">
        <v>46346</v>
      </c>
      <c r="L1133" s="1520">
        <v>46346.125</v>
      </c>
      <c r="M1133" s="1520" t="s">
        <v>2480</v>
      </c>
      <c r="N1133" t="s">
        <v>11129</v>
      </c>
      <c r="O1133" s="1520" t="s">
        <v>2480</v>
      </c>
      <c r="P1133" s="1520">
        <v>46353.125</v>
      </c>
    </row>
    <row r="1134" spans="1:16">
      <c r="A1134" t="s">
        <v>7229</v>
      </c>
      <c r="B1134" t="s">
        <v>64</v>
      </c>
      <c r="C1134" t="s">
        <v>100</v>
      </c>
      <c r="D1134" t="s">
        <v>284</v>
      </c>
      <c r="E1134" t="s">
        <v>5860</v>
      </c>
      <c r="F1134" t="s">
        <v>5861</v>
      </c>
      <c r="G1134">
        <v>10296</v>
      </c>
      <c r="H1134" t="s">
        <v>951</v>
      </c>
      <c r="I1134" t="s">
        <v>7230</v>
      </c>
      <c r="J1134" s="1520">
        <v>46315</v>
      </c>
      <c r="K1134" s="1520">
        <v>46351</v>
      </c>
      <c r="L1134" s="1520">
        <v>46350.333333333336</v>
      </c>
      <c r="M1134" s="1520" t="s">
        <v>2480</v>
      </c>
      <c r="N1134" t="s">
        <v>11129</v>
      </c>
      <c r="O1134" s="1520" t="s">
        <v>2480</v>
      </c>
      <c r="P1134" s="1520">
        <v>46357.333333333336</v>
      </c>
    </row>
    <row r="1135" spans="1:16">
      <c r="A1135" t="s">
        <v>7212</v>
      </c>
      <c r="B1135" t="s">
        <v>64</v>
      </c>
      <c r="C1135" t="s">
        <v>100</v>
      </c>
      <c r="D1135" t="s">
        <v>4540</v>
      </c>
      <c r="E1135" t="s">
        <v>71</v>
      </c>
      <c r="F1135" t="s">
        <v>72</v>
      </c>
      <c r="G1135">
        <v>6912</v>
      </c>
      <c r="H1135" t="s">
        <v>951</v>
      </c>
      <c r="I1135" t="s">
        <v>7213</v>
      </c>
      <c r="J1135" s="1520">
        <v>46313</v>
      </c>
      <c r="K1135" s="1520">
        <v>46358</v>
      </c>
      <c r="L1135" s="1520">
        <v>46361.208333333336</v>
      </c>
      <c r="M1135" s="1520" t="s">
        <v>2480</v>
      </c>
      <c r="N1135" t="s">
        <v>11129</v>
      </c>
      <c r="O1135" s="1520" t="s">
        <v>2480</v>
      </c>
      <c r="P1135" s="1520">
        <v>46368.208333333336</v>
      </c>
    </row>
    <row r="1136" spans="1:16">
      <c r="A1136" t="s">
        <v>7033</v>
      </c>
      <c r="B1136" t="s">
        <v>64</v>
      </c>
      <c r="C1136" t="s">
        <v>65</v>
      </c>
      <c r="D1136" t="s">
        <v>4540</v>
      </c>
      <c r="E1136" t="s">
        <v>71</v>
      </c>
      <c r="F1136" t="s">
        <v>72</v>
      </c>
      <c r="G1136">
        <v>864</v>
      </c>
      <c r="H1136" t="s">
        <v>951</v>
      </c>
      <c r="I1136" t="s">
        <v>7034</v>
      </c>
      <c r="J1136" s="1520">
        <v>46313</v>
      </c>
      <c r="K1136" s="1520">
        <v>46372</v>
      </c>
      <c r="L1136" s="1520">
        <v>46372.25</v>
      </c>
      <c r="M1136" s="1520" t="s">
        <v>2480</v>
      </c>
      <c r="N1136" t="s">
        <v>11129</v>
      </c>
      <c r="O1136" s="1520" t="s">
        <v>2480</v>
      </c>
      <c r="P1136" s="1520">
        <v>46380.25</v>
      </c>
    </row>
    <row r="1137" spans="1:16">
      <c r="A1137" t="s">
        <v>7238</v>
      </c>
      <c r="B1137" t="s">
        <v>64</v>
      </c>
      <c r="C1137" t="s">
        <v>100</v>
      </c>
      <c r="D1137" t="s">
        <v>284</v>
      </c>
      <c r="E1137" t="s">
        <v>5860</v>
      </c>
      <c r="F1137" t="s">
        <v>5861</v>
      </c>
      <c r="G1137">
        <v>7488</v>
      </c>
      <c r="H1137" t="s">
        <v>951</v>
      </c>
      <c r="I1137" t="s">
        <v>7239</v>
      </c>
      <c r="J1137" s="1520">
        <v>46313</v>
      </c>
      <c r="K1137" s="1520">
        <v>46361</v>
      </c>
      <c r="L1137" s="1520">
        <v>46350.333333333336</v>
      </c>
      <c r="M1137" s="1520" t="s">
        <v>2480</v>
      </c>
      <c r="N1137" t="s">
        <v>11129</v>
      </c>
      <c r="O1137" s="1520" t="s">
        <v>2480</v>
      </c>
      <c r="P1137" s="1520">
        <v>46357.333333333336</v>
      </c>
    </row>
    <row r="1138" spans="1:16">
      <c r="A1138" t="s">
        <v>7183</v>
      </c>
      <c r="B1138" t="s">
        <v>64</v>
      </c>
      <c r="C1138" t="s">
        <v>100</v>
      </c>
      <c r="D1138" t="s">
        <v>284</v>
      </c>
      <c r="E1138" t="s">
        <v>5860</v>
      </c>
      <c r="F1138" t="s">
        <v>5861</v>
      </c>
      <c r="G1138">
        <v>4680</v>
      </c>
      <c r="H1138" t="s">
        <v>951</v>
      </c>
      <c r="I1138" t="s">
        <v>7184</v>
      </c>
      <c r="J1138" s="1520">
        <v>46312</v>
      </c>
      <c r="K1138" s="1520">
        <v>46346</v>
      </c>
      <c r="L1138" s="1520">
        <v>46346.125</v>
      </c>
      <c r="M1138" s="1520" t="s">
        <v>2480</v>
      </c>
      <c r="N1138" t="s">
        <v>11129</v>
      </c>
      <c r="O1138" s="1520" t="s">
        <v>2480</v>
      </c>
      <c r="P1138" s="1520">
        <v>46353.125</v>
      </c>
    </row>
    <row r="1139" spans="1:16">
      <c r="A1139" t="s">
        <v>7144</v>
      </c>
      <c r="B1139" t="s">
        <v>64</v>
      </c>
      <c r="C1139" t="s">
        <v>450</v>
      </c>
      <c r="D1139" t="s">
        <v>284</v>
      </c>
      <c r="E1139" t="s">
        <v>6219</v>
      </c>
      <c r="F1139" t="s">
        <v>6220</v>
      </c>
      <c r="G1139">
        <v>3744</v>
      </c>
      <c r="H1139" t="s">
        <v>951</v>
      </c>
      <c r="I1139" t="s">
        <v>7146</v>
      </c>
      <c r="J1139" s="1520">
        <v>46308</v>
      </c>
      <c r="K1139" s="1520">
        <v>46349</v>
      </c>
      <c r="L1139" s="1520">
        <v>46350.145833333336</v>
      </c>
      <c r="M1139" s="1520" t="s">
        <v>2480</v>
      </c>
      <c r="N1139" t="s">
        <v>11129</v>
      </c>
      <c r="O1139" s="1520" t="s">
        <v>2480</v>
      </c>
      <c r="P1139" s="1520">
        <v>46357.145833333336</v>
      </c>
    </row>
    <row r="1140" spans="1:16">
      <c r="A1140" t="s">
        <v>7243</v>
      </c>
      <c r="B1140" t="s">
        <v>64</v>
      </c>
      <c r="C1140" t="s">
        <v>100</v>
      </c>
      <c r="D1140" t="s">
        <v>4495</v>
      </c>
      <c r="E1140" t="s">
        <v>7244</v>
      </c>
      <c r="F1140" t="s">
        <v>7245</v>
      </c>
      <c r="G1140">
        <v>5760</v>
      </c>
      <c r="H1140" t="s">
        <v>951</v>
      </c>
      <c r="I1140" t="s">
        <v>7246</v>
      </c>
      <c r="J1140" s="1520">
        <v>46314</v>
      </c>
      <c r="K1140" s="1520">
        <v>46351</v>
      </c>
      <c r="L1140" s="1520">
        <v>46350.333333333336</v>
      </c>
      <c r="M1140" s="1520" t="s">
        <v>2480</v>
      </c>
      <c r="N1140" t="s">
        <v>11129</v>
      </c>
      <c r="O1140" s="1520" t="s">
        <v>2480</v>
      </c>
      <c r="P1140" s="1520">
        <v>46357.333333333336</v>
      </c>
    </row>
    <row r="1141" spans="1:16">
      <c r="A1141" t="s">
        <v>7152</v>
      </c>
      <c r="B1141" t="s">
        <v>64</v>
      </c>
      <c r="C1141" t="s">
        <v>100</v>
      </c>
      <c r="D1141" t="s">
        <v>284</v>
      </c>
      <c r="E1141" t="s">
        <v>6219</v>
      </c>
      <c r="F1141" t="s">
        <v>6220</v>
      </c>
      <c r="G1141">
        <v>1872</v>
      </c>
      <c r="H1141" t="s">
        <v>951</v>
      </c>
      <c r="I1141" t="s">
        <v>7153</v>
      </c>
      <c r="J1141" s="1520">
        <v>46310</v>
      </c>
      <c r="K1141" s="1520">
        <v>46346</v>
      </c>
      <c r="L1141" s="1520">
        <v>46346.125</v>
      </c>
      <c r="M1141" s="1520" t="s">
        <v>2480</v>
      </c>
      <c r="N1141" t="s">
        <v>11129</v>
      </c>
      <c r="O1141" s="1520" t="s">
        <v>2480</v>
      </c>
      <c r="P1141" s="1520">
        <v>46353.125</v>
      </c>
    </row>
    <row r="1142" spans="1:16">
      <c r="A1142" t="s">
        <v>7353</v>
      </c>
      <c r="B1142" t="s">
        <v>64</v>
      </c>
      <c r="C1142" t="s">
        <v>65</v>
      </c>
      <c r="D1142" t="s">
        <v>4540</v>
      </c>
      <c r="E1142" t="s">
        <v>1151</v>
      </c>
      <c r="F1142" t="s">
        <v>421</v>
      </c>
      <c r="G1142">
        <v>3456</v>
      </c>
      <c r="H1142" t="s">
        <v>951</v>
      </c>
      <c r="I1142" t="s">
        <v>7354</v>
      </c>
      <c r="J1142" s="1520">
        <v>46319</v>
      </c>
      <c r="K1142" s="1520">
        <v>46391</v>
      </c>
      <c r="L1142" s="1520">
        <v>46391.791666666664</v>
      </c>
      <c r="M1142" s="1520" t="s">
        <v>2480</v>
      </c>
      <c r="N1142" t="s">
        <v>11129</v>
      </c>
      <c r="O1142" s="1520" t="s">
        <v>2480</v>
      </c>
      <c r="P1142" s="1520">
        <v>46399.791666666664</v>
      </c>
    </row>
    <row r="1143" spans="1:16">
      <c r="A1143" t="s">
        <v>7391</v>
      </c>
      <c r="B1143" t="s">
        <v>64</v>
      </c>
      <c r="C1143" t="s">
        <v>450</v>
      </c>
      <c r="D1143" t="s">
        <v>4540</v>
      </c>
      <c r="E1143" t="s">
        <v>7049</v>
      </c>
      <c r="F1143" t="s">
        <v>7050</v>
      </c>
      <c r="G1143">
        <v>864</v>
      </c>
      <c r="H1143" t="s">
        <v>951</v>
      </c>
      <c r="I1143" t="s">
        <v>7392</v>
      </c>
      <c r="J1143" s="1520">
        <v>46319</v>
      </c>
      <c r="K1143" s="1520">
        <v>46376</v>
      </c>
      <c r="L1143" s="1520">
        <v>46376.041666666664</v>
      </c>
      <c r="M1143" s="1520" t="s">
        <v>2480</v>
      </c>
      <c r="N1143" t="s">
        <v>11129</v>
      </c>
      <c r="O1143" s="1520" t="s">
        <v>2480</v>
      </c>
      <c r="P1143" s="1520">
        <v>46383.041666666664</v>
      </c>
    </row>
    <row r="1144" spans="1:16">
      <c r="A1144" t="s">
        <v>7379</v>
      </c>
      <c r="B1144" t="s">
        <v>64</v>
      </c>
      <c r="C1144" t="s">
        <v>100</v>
      </c>
      <c r="D1144" t="s">
        <v>4540</v>
      </c>
      <c r="E1144" t="s">
        <v>71</v>
      </c>
      <c r="F1144" t="s">
        <v>72</v>
      </c>
      <c r="G1144">
        <v>864</v>
      </c>
      <c r="H1144" t="s">
        <v>951</v>
      </c>
      <c r="I1144" t="s">
        <v>7380</v>
      </c>
      <c r="J1144" s="1520">
        <v>46319</v>
      </c>
      <c r="K1144" s="1520">
        <v>46364</v>
      </c>
      <c r="L1144" s="1520">
        <v>46364.333333333336</v>
      </c>
      <c r="M1144" s="1520" t="s">
        <v>2480</v>
      </c>
      <c r="N1144" t="s">
        <v>11129</v>
      </c>
      <c r="O1144" s="1520" t="s">
        <v>2480</v>
      </c>
      <c r="P1144" s="1520">
        <v>46371.333333333336</v>
      </c>
    </row>
    <row r="1145" spans="1:16">
      <c r="A1145" t="s">
        <v>7254</v>
      </c>
      <c r="B1145" t="s">
        <v>64</v>
      </c>
      <c r="C1145" t="s">
        <v>310</v>
      </c>
      <c r="D1145" t="s">
        <v>170</v>
      </c>
      <c r="E1145" t="s">
        <v>1977</v>
      </c>
      <c r="F1145" t="s">
        <v>1978</v>
      </c>
      <c r="G1145">
        <v>6600</v>
      </c>
      <c r="I1145" t="s">
        <v>7255</v>
      </c>
      <c r="J1145" s="1520">
        <v>46318</v>
      </c>
      <c r="K1145" s="1520">
        <v>46365</v>
      </c>
      <c r="L1145" s="1520">
        <v>46365.25</v>
      </c>
      <c r="M1145" s="1520" t="s">
        <v>2480</v>
      </c>
      <c r="N1145" t="s">
        <v>11129</v>
      </c>
      <c r="O1145" s="1520" t="s">
        <v>2480</v>
      </c>
      <c r="P1145" s="1520">
        <v>46375.25</v>
      </c>
    </row>
    <row r="1146" spans="1:16">
      <c r="A1146" t="s">
        <v>7329</v>
      </c>
      <c r="B1146" t="s">
        <v>64</v>
      </c>
      <c r="C1146" t="s">
        <v>114</v>
      </c>
      <c r="D1146" t="s">
        <v>4540</v>
      </c>
      <c r="E1146" t="s">
        <v>7330</v>
      </c>
      <c r="F1146" t="s">
        <v>1484</v>
      </c>
      <c r="G1146">
        <v>1188</v>
      </c>
      <c r="H1146" t="s">
        <v>951</v>
      </c>
      <c r="I1146" t="s">
        <v>7332</v>
      </c>
      <c r="J1146" s="1520">
        <v>46321</v>
      </c>
      <c r="K1146" s="1520">
        <v>46359</v>
      </c>
      <c r="L1146" s="1520">
        <v>46359.833333333336</v>
      </c>
      <c r="M1146" s="1520" t="s">
        <v>2480</v>
      </c>
      <c r="N1146" t="s">
        <v>11129</v>
      </c>
      <c r="O1146" s="1520" t="s">
        <v>2480</v>
      </c>
      <c r="P1146" s="1520">
        <v>46368.833333333336</v>
      </c>
    </row>
    <row r="1147" spans="1:16">
      <c r="A1147" t="s">
        <v>7313</v>
      </c>
      <c r="B1147" t="s">
        <v>64</v>
      </c>
      <c r="C1147" t="s">
        <v>100</v>
      </c>
      <c r="D1147" t="s">
        <v>170</v>
      </c>
      <c r="E1147" t="s">
        <v>171</v>
      </c>
      <c r="F1147" t="s">
        <v>1731</v>
      </c>
      <c r="G1147">
        <v>3300</v>
      </c>
      <c r="I1147" t="s">
        <v>7314</v>
      </c>
      <c r="J1147" s="1520">
        <v>46321</v>
      </c>
      <c r="K1147" s="1520">
        <v>46358</v>
      </c>
      <c r="L1147" s="1520">
        <v>46358.875</v>
      </c>
      <c r="M1147" s="1520" t="s">
        <v>2480</v>
      </c>
      <c r="N1147" t="s">
        <v>11129</v>
      </c>
      <c r="O1147" s="1520" t="s">
        <v>2480</v>
      </c>
      <c r="P1147" s="1520">
        <v>46365.875</v>
      </c>
    </row>
    <row r="1148" spans="1:16">
      <c r="A1148" t="s">
        <v>7335</v>
      </c>
      <c r="B1148" t="s">
        <v>64</v>
      </c>
      <c r="C1148" t="s">
        <v>114</v>
      </c>
      <c r="D1148" t="s">
        <v>4540</v>
      </c>
      <c r="E1148" t="s">
        <v>7336</v>
      </c>
      <c r="F1148" t="s">
        <v>1682</v>
      </c>
      <c r="G1148">
        <v>1782</v>
      </c>
      <c r="H1148" t="s">
        <v>951</v>
      </c>
      <c r="I1148" t="s">
        <v>7337</v>
      </c>
      <c r="J1148" s="1520">
        <v>46321</v>
      </c>
      <c r="K1148" s="1520">
        <v>46359</v>
      </c>
      <c r="L1148" s="1520">
        <v>46359.833333333336</v>
      </c>
      <c r="M1148" s="1520" t="s">
        <v>2480</v>
      </c>
      <c r="N1148" t="s">
        <v>11129</v>
      </c>
      <c r="O1148" s="1520" t="s">
        <v>2480</v>
      </c>
      <c r="P1148" s="1520">
        <v>46368.833333333336</v>
      </c>
    </row>
    <row r="1149" spans="1:16">
      <c r="A1149" t="s">
        <v>7309</v>
      </c>
      <c r="B1149" t="s">
        <v>64</v>
      </c>
      <c r="C1149" t="s">
        <v>100</v>
      </c>
      <c r="D1149" t="s">
        <v>170</v>
      </c>
      <c r="E1149" t="s">
        <v>171</v>
      </c>
      <c r="F1149" t="s">
        <v>1731</v>
      </c>
      <c r="G1149">
        <v>660</v>
      </c>
      <c r="I1149" t="s">
        <v>7310</v>
      </c>
      <c r="J1149" s="1520">
        <v>46322</v>
      </c>
      <c r="K1149" s="1520">
        <v>46358</v>
      </c>
      <c r="L1149" s="1520">
        <v>46361.208333333336</v>
      </c>
      <c r="M1149" s="1520" t="s">
        <v>2480</v>
      </c>
      <c r="N1149" t="s">
        <v>11129</v>
      </c>
      <c r="O1149" s="1520" t="s">
        <v>2480</v>
      </c>
      <c r="P1149" s="1520">
        <v>46368.208333333336</v>
      </c>
    </row>
    <row r="1150" spans="1:16">
      <c r="A1150" t="s">
        <v>7222</v>
      </c>
      <c r="B1150" t="s">
        <v>64</v>
      </c>
      <c r="C1150" t="s">
        <v>450</v>
      </c>
      <c r="D1150" t="s">
        <v>284</v>
      </c>
      <c r="E1150" t="s">
        <v>7223</v>
      </c>
      <c r="F1150" t="s">
        <v>7224</v>
      </c>
      <c r="G1150">
        <v>2808</v>
      </c>
      <c r="H1150" t="s">
        <v>951</v>
      </c>
      <c r="I1150" t="s">
        <v>7225</v>
      </c>
      <c r="J1150" s="1520">
        <v>46314</v>
      </c>
      <c r="K1150" s="1520">
        <v>46355</v>
      </c>
      <c r="L1150" s="1520">
        <v>46356.833333333336</v>
      </c>
      <c r="M1150" s="1520" t="s">
        <v>2480</v>
      </c>
      <c r="N1150" t="s">
        <v>11129</v>
      </c>
      <c r="O1150" s="1520" t="s">
        <v>2480</v>
      </c>
      <c r="P1150" s="1520">
        <v>46363.833333333336</v>
      </c>
    </row>
    <row r="1151" spans="1:16">
      <c r="A1151" t="s">
        <v>7305</v>
      </c>
      <c r="B1151" t="s">
        <v>64</v>
      </c>
      <c r="C1151" t="s">
        <v>100</v>
      </c>
      <c r="D1151" t="s">
        <v>170</v>
      </c>
      <c r="E1151" t="s">
        <v>171</v>
      </c>
      <c r="F1151" t="s">
        <v>1731</v>
      </c>
      <c r="G1151">
        <v>1980</v>
      </c>
      <c r="I1151" t="s">
        <v>7306</v>
      </c>
      <c r="J1151" s="1520">
        <v>46318</v>
      </c>
      <c r="K1151" s="1520">
        <v>46354</v>
      </c>
      <c r="L1151" s="1520">
        <v>46359.875</v>
      </c>
      <c r="M1151" s="1520" t="s">
        <v>2480</v>
      </c>
      <c r="N1151" t="s">
        <v>11129</v>
      </c>
      <c r="O1151" s="1520" t="s">
        <v>2480</v>
      </c>
      <c r="P1151" s="1520">
        <v>46366.875</v>
      </c>
    </row>
    <row r="1152" spans="1:16">
      <c r="A1152" t="s">
        <v>7259</v>
      </c>
      <c r="B1152" t="s">
        <v>64</v>
      </c>
      <c r="C1152" t="s">
        <v>114</v>
      </c>
      <c r="D1152" t="s">
        <v>284</v>
      </c>
      <c r="E1152" t="s">
        <v>7223</v>
      </c>
      <c r="F1152" t="s">
        <v>7224</v>
      </c>
      <c r="G1152">
        <v>936</v>
      </c>
      <c r="H1152" t="s">
        <v>951</v>
      </c>
      <c r="I1152" t="s">
        <v>7261</v>
      </c>
      <c r="J1152" s="1520">
        <v>46315</v>
      </c>
      <c r="K1152" s="1520">
        <v>46352</v>
      </c>
      <c r="L1152" s="1520">
        <v>46352.833333333336</v>
      </c>
      <c r="M1152" s="1520" t="s">
        <v>2480</v>
      </c>
      <c r="N1152" t="s">
        <v>11129</v>
      </c>
      <c r="O1152" s="1520" t="s">
        <v>2480</v>
      </c>
      <c r="P1152" s="1520">
        <v>46361.833333333336</v>
      </c>
    </row>
    <row r="1153" spans="1:16">
      <c r="A1153" t="s">
        <v>7375</v>
      </c>
      <c r="B1153" t="s">
        <v>64</v>
      </c>
      <c r="C1153" t="s">
        <v>100</v>
      </c>
      <c r="D1153" t="s">
        <v>4540</v>
      </c>
      <c r="E1153" t="s">
        <v>1151</v>
      </c>
      <c r="F1153" t="s">
        <v>421</v>
      </c>
      <c r="G1153">
        <v>864</v>
      </c>
      <c r="H1153" t="s">
        <v>951</v>
      </c>
      <c r="I1153" t="s">
        <v>7376</v>
      </c>
      <c r="J1153" s="1520">
        <v>46319</v>
      </c>
      <c r="K1153" s="1520">
        <v>46364</v>
      </c>
      <c r="L1153" s="1520">
        <v>46364.333333333336</v>
      </c>
      <c r="M1153" s="1520" t="s">
        <v>2480</v>
      </c>
      <c r="N1153" t="s">
        <v>11129</v>
      </c>
      <c r="O1153" s="1520" t="s">
        <v>2480</v>
      </c>
      <c r="P1153" s="1520">
        <v>46371.333333333336</v>
      </c>
    </row>
    <row r="1154" spans="1:16">
      <c r="A1154" t="s">
        <v>7300</v>
      </c>
      <c r="B1154" t="s">
        <v>144</v>
      </c>
      <c r="C1154" t="s">
        <v>145</v>
      </c>
      <c r="D1154" t="s">
        <v>284</v>
      </c>
      <c r="E1154" t="s">
        <v>7223</v>
      </c>
      <c r="F1154" t="s">
        <v>7224</v>
      </c>
      <c r="G1154">
        <v>9360</v>
      </c>
      <c r="H1154" t="s">
        <v>951</v>
      </c>
      <c r="I1154" t="s">
        <v>7302</v>
      </c>
      <c r="J1154" s="1520">
        <v>46322</v>
      </c>
      <c r="K1154" s="1520">
        <v>46365</v>
      </c>
      <c r="L1154" s="1520"/>
      <c r="M1154" s="1520" t="s">
        <v>2480</v>
      </c>
      <c r="N1154" t="s">
        <v>11129</v>
      </c>
      <c r="O1154" s="1520" t="s">
        <v>2480</v>
      </c>
      <c r="P1154" s="1520">
        <v>46365</v>
      </c>
    </row>
    <row r="1155" spans="1:16">
      <c r="A1155" t="s">
        <v>7295</v>
      </c>
      <c r="B1155" t="s">
        <v>64</v>
      </c>
      <c r="C1155" t="s">
        <v>65</v>
      </c>
      <c r="D1155" t="s">
        <v>5388</v>
      </c>
      <c r="E1155" t="s">
        <v>7266</v>
      </c>
      <c r="F1155" t="s">
        <v>7267</v>
      </c>
      <c r="G1155">
        <v>936</v>
      </c>
      <c r="H1155" t="s">
        <v>951</v>
      </c>
      <c r="I1155" t="s">
        <v>7296</v>
      </c>
      <c r="J1155" s="1520">
        <v>46314</v>
      </c>
      <c r="K1155" s="1520">
        <v>46358</v>
      </c>
      <c r="L1155" s="1520">
        <v>46358.25</v>
      </c>
      <c r="M1155" s="1520" t="s">
        <v>2480</v>
      </c>
      <c r="N1155" t="s">
        <v>11129</v>
      </c>
      <c r="O1155" s="1520" t="s">
        <v>2480</v>
      </c>
      <c r="P1155" s="1520">
        <v>46366.25</v>
      </c>
    </row>
    <row r="1156" spans="1:16">
      <c r="A1156" t="s">
        <v>7265</v>
      </c>
      <c r="B1156" t="s">
        <v>64</v>
      </c>
      <c r="C1156" t="s">
        <v>65</v>
      </c>
      <c r="D1156" t="s">
        <v>5388</v>
      </c>
      <c r="E1156" t="s">
        <v>7266</v>
      </c>
      <c r="F1156" t="s">
        <v>7267</v>
      </c>
      <c r="G1156">
        <v>3744</v>
      </c>
      <c r="H1156" t="s">
        <v>951</v>
      </c>
      <c r="I1156" t="s">
        <v>7268</v>
      </c>
      <c r="J1156" s="1520">
        <v>46315</v>
      </c>
      <c r="K1156" s="1520">
        <v>46358</v>
      </c>
      <c r="L1156" s="1520">
        <v>46358.25</v>
      </c>
      <c r="M1156" s="1520" t="s">
        <v>2480</v>
      </c>
      <c r="N1156" t="s">
        <v>11129</v>
      </c>
      <c r="O1156" s="1520" t="s">
        <v>2480</v>
      </c>
      <c r="P1156" s="1520">
        <v>46366.25</v>
      </c>
    </row>
    <row r="1157" spans="1:16">
      <c r="A1157" t="s">
        <v>7290</v>
      </c>
      <c r="B1157" t="s">
        <v>64</v>
      </c>
      <c r="C1157" t="s">
        <v>100</v>
      </c>
      <c r="D1157" t="s">
        <v>284</v>
      </c>
      <c r="E1157" t="s">
        <v>5860</v>
      </c>
      <c r="F1157" t="s">
        <v>5861</v>
      </c>
      <c r="G1157">
        <v>2808</v>
      </c>
      <c r="H1157" t="s">
        <v>951</v>
      </c>
      <c r="I1157" t="s">
        <v>7291</v>
      </c>
      <c r="J1157" s="1520">
        <v>46316</v>
      </c>
      <c r="K1157" s="1520">
        <v>46351</v>
      </c>
      <c r="L1157" s="1520">
        <v>46355.875</v>
      </c>
      <c r="M1157" s="1520" t="s">
        <v>2480</v>
      </c>
      <c r="N1157" t="s">
        <v>11129</v>
      </c>
      <c r="O1157" s="1520" t="s">
        <v>2480</v>
      </c>
      <c r="P1157" s="1520">
        <v>46362.875</v>
      </c>
    </row>
    <row r="1158" spans="1:16">
      <c r="A1158" t="s">
        <v>7286</v>
      </c>
      <c r="B1158" t="s">
        <v>64</v>
      </c>
      <c r="C1158" t="s">
        <v>100</v>
      </c>
      <c r="D1158" t="s">
        <v>284</v>
      </c>
      <c r="E1158" t="s">
        <v>5860</v>
      </c>
      <c r="F1158" t="s">
        <v>5861</v>
      </c>
      <c r="G1158">
        <v>4680</v>
      </c>
      <c r="H1158" t="s">
        <v>951</v>
      </c>
      <c r="I1158" t="s">
        <v>7287</v>
      </c>
      <c r="J1158" s="1520">
        <v>46319</v>
      </c>
      <c r="K1158" s="1520">
        <v>46351</v>
      </c>
      <c r="L1158" s="1520">
        <v>46350.333333333336</v>
      </c>
      <c r="M1158" s="1520" t="s">
        <v>2480</v>
      </c>
      <c r="N1158" t="s">
        <v>11129</v>
      </c>
      <c r="O1158" s="1520" t="s">
        <v>2480</v>
      </c>
      <c r="P1158" s="1520">
        <v>46357.333333333336</v>
      </c>
    </row>
    <row r="1159" spans="1:16">
      <c r="A1159" t="s">
        <v>7369</v>
      </c>
      <c r="B1159" t="s">
        <v>144</v>
      </c>
      <c r="C1159" t="s">
        <v>145</v>
      </c>
      <c r="D1159" t="s">
        <v>284</v>
      </c>
      <c r="E1159" t="s">
        <v>5860</v>
      </c>
      <c r="F1159" t="s">
        <v>5861</v>
      </c>
      <c r="G1159">
        <v>1872</v>
      </c>
      <c r="H1159" t="s">
        <v>2480</v>
      </c>
      <c r="I1159" t="s">
        <v>7370</v>
      </c>
      <c r="J1159" s="1520">
        <v>46324</v>
      </c>
      <c r="K1159" s="1520">
        <v>46362</v>
      </c>
      <c r="L1159" s="1520">
        <v>46364.25</v>
      </c>
      <c r="M1159" s="1520" t="s">
        <v>2480</v>
      </c>
      <c r="N1159" t="s">
        <v>11129</v>
      </c>
      <c r="O1159" s="1520" t="s">
        <v>2480</v>
      </c>
      <c r="P1159" s="1520">
        <v>46364.25</v>
      </c>
    </row>
    <row r="1160" spans="1:16">
      <c r="A1160" t="s">
        <v>7281</v>
      </c>
      <c r="B1160" t="s">
        <v>64</v>
      </c>
      <c r="C1160" t="s">
        <v>450</v>
      </c>
      <c r="D1160" t="s">
        <v>284</v>
      </c>
      <c r="E1160" t="s">
        <v>5860</v>
      </c>
      <c r="F1160" t="s">
        <v>5861</v>
      </c>
      <c r="G1160">
        <v>1872</v>
      </c>
      <c r="H1160" t="s">
        <v>951</v>
      </c>
      <c r="I1160" t="s">
        <v>7283</v>
      </c>
      <c r="J1160" s="1520">
        <v>46317</v>
      </c>
      <c r="K1160" s="1520">
        <v>46355</v>
      </c>
      <c r="L1160" s="1520">
        <v>46356.645833333336</v>
      </c>
      <c r="M1160" s="1520" t="s">
        <v>2480</v>
      </c>
      <c r="N1160" t="s">
        <v>11129</v>
      </c>
      <c r="O1160" s="1520" t="s">
        <v>2480</v>
      </c>
      <c r="P1160" s="1520">
        <v>46363.645833333336</v>
      </c>
    </row>
    <row r="1161" spans="1:16">
      <c r="A1161" t="s">
        <v>7249</v>
      </c>
      <c r="B1161" t="s">
        <v>64</v>
      </c>
      <c r="C1161" t="s">
        <v>100</v>
      </c>
      <c r="D1161" t="s">
        <v>284</v>
      </c>
      <c r="E1161" t="s">
        <v>5860</v>
      </c>
      <c r="F1161" t="s">
        <v>5861</v>
      </c>
      <c r="G1161">
        <v>4680</v>
      </c>
      <c r="H1161" t="s">
        <v>951</v>
      </c>
      <c r="I1161" t="s">
        <v>7250</v>
      </c>
      <c r="J1161" s="1520">
        <v>46318</v>
      </c>
      <c r="K1161" s="1520">
        <v>46354</v>
      </c>
      <c r="L1161" s="1520">
        <v>46359.875</v>
      </c>
      <c r="M1161" s="1520" t="s">
        <v>2480</v>
      </c>
      <c r="N1161" t="s">
        <v>11129</v>
      </c>
      <c r="O1161" s="1520" t="s">
        <v>2480</v>
      </c>
      <c r="P1161" s="1520">
        <v>46366.875</v>
      </c>
    </row>
    <row r="1162" spans="1:16">
      <c r="A1162" t="s">
        <v>7276</v>
      </c>
      <c r="B1162" t="s">
        <v>64</v>
      </c>
      <c r="C1162" t="s">
        <v>310</v>
      </c>
      <c r="D1162" t="s">
        <v>284</v>
      </c>
      <c r="E1162" t="s">
        <v>5860</v>
      </c>
      <c r="F1162" t="s">
        <v>5861</v>
      </c>
      <c r="G1162">
        <v>1872</v>
      </c>
      <c r="H1162" t="s">
        <v>2480</v>
      </c>
      <c r="I1162" t="s">
        <v>7278</v>
      </c>
      <c r="J1162" s="1520">
        <v>46319</v>
      </c>
      <c r="K1162" s="1520">
        <v>46365</v>
      </c>
      <c r="L1162" s="1520">
        <v>46365.25</v>
      </c>
      <c r="M1162" s="1520" t="s">
        <v>2480</v>
      </c>
      <c r="N1162" t="s">
        <v>11129</v>
      </c>
      <c r="O1162" s="1520" t="s">
        <v>2480</v>
      </c>
      <c r="P1162" s="1520">
        <v>46375.25</v>
      </c>
    </row>
    <row r="1163" spans="1:16">
      <c r="A1163" t="s">
        <v>7191</v>
      </c>
      <c r="B1163" t="s">
        <v>64</v>
      </c>
      <c r="C1163" t="s">
        <v>65</v>
      </c>
      <c r="D1163" t="s">
        <v>550</v>
      </c>
      <c r="E1163" t="s">
        <v>551</v>
      </c>
      <c r="F1163" t="s">
        <v>2151</v>
      </c>
      <c r="G1163">
        <v>792</v>
      </c>
      <c r="H1163" t="s">
        <v>951</v>
      </c>
      <c r="I1163" t="s">
        <v>7192</v>
      </c>
      <c r="J1163" s="1520">
        <v>46312</v>
      </c>
      <c r="K1163" s="1520">
        <v>46363</v>
      </c>
      <c r="L1163" s="1520">
        <v>46363.791666666664</v>
      </c>
      <c r="M1163" s="1520" t="s">
        <v>2480</v>
      </c>
      <c r="N1163" t="s">
        <v>11129</v>
      </c>
      <c r="O1163" s="1520" t="s">
        <v>2480</v>
      </c>
      <c r="P1163" s="1520">
        <v>46371.791666666664</v>
      </c>
    </row>
    <row r="1164" spans="1:16">
      <c r="A1164" t="s">
        <v>7387</v>
      </c>
      <c r="B1164" t="s">
        <v>64</v>
      </c>
      <c r="C1164" t="s">
        <v>310</v>
      </c>
      <c r="D1164" t="s">
        <v>4540</v>
      </c>
      <c r="E1164" t="s">
        <v>1151</v>
      </c>
      <c r="F1164" t="s">
        <v>421</v>
      </c>
      <c r="G1164">
        <v>864</v>
      </c>
      <c r="H1164" t="s">
        <v>951</v>
      </c>
      <c r="I1164" t="s">
        <v>7388</v>
      </c>
      <c r="J1164" s="1520">
        <v>46319</v>
      </c>
      <c r="K1164" s="1520">
        <v>46372</v>
      </c>
      <c r="L1164" s="1520">
        <v>46372.25</v>
      </c>
      <c r="M1164" s="1520" t="s">
        <v>2480</v>
      </c>
      <c r="N1164" t="s">
        <v>11129</v>
      </c>
      <c r="O1164" s="1520" t="s">
        <v>2480</v>
      </c>
      <c r="P1164" s="1520">
        <v>46382.25</v>
      </c>
    </row>
    <row r="1165" spans="1:16">
      <c r="A1165" t="s">
        <v>7382</v>
      </c>
      <c r="B1165" t="s">
        <v>64</v>
      </c>
      <c r="C1165" t="s">
        <v>310</v>
      </c>
      <c r="D1165" t="s">
        <v>4540</v>
      </c>
      <c r="E1165" t="s">
        <v>1151</v>
      </c>
      <c r="F1165" t="s">
        <v>421</v>
      </c>
      <c r="G1165">
        <v>1728</v>
      </c>
      <c r="H1165" t="s">
        <v>951</v>
      </c>
      <c r="I1165" t="s">
        <v>7384</v>
      </c>
      <c r="J1165" s="1520">
        <v>46319</v>
      </c>
      <c r="K1165" s="1520">
        <v>46372</v>
      </c>
      <c r="L1165" s="1520">
        <v>46372.25</v>
      </c>
      <c r="M1165" s="1520" t="s">
        <v>2480</v>
      </c>
      <c r="N1165" t="s">
        <v>11129</v>
      </c>
      <c r="O1165" s="1520" t="s">
        <v>2480</v>
      </c>
      <c r="P1165" s="1520">
        <v>46382.25</v>
      </c>
    </row>
    <row r="1166" spans="1:16">
      <c r="A1166" t="s">
        <v>7346</v>
      </c>
      <c r="B1166" t="s">
        <v>64</v>
      </c>
      <c r="C1166" t="s">
        <v>310</v>
      </c>
      <c r="D1166" t="s">
        <v>4540</v>
      </c>
      <c r="E1166" t="s">
        <v>1151</v>
      </c>
      <c r="F1166" t="s">
        <v>421</v>
      </c>
      <c r="G1166">
        <v>864</v>
      </c>
      <c r="H1166" t="s">
        <v>2480</v>
      </c>
      <c r="I1166" t="s">
        <v>7349</v>
      </c>
      <c r="J1166" s="1520">
        <v>46323</v>
      </c>
      <c r="K1166" s="1520">
        <v>46386</v>
      </c>
      <c r="L1166" s="1520">
        <v>46386.25</v>
      </c>
      <c r="M1166" s="1520" t="s">
        <v>2480</v>
      </c>
      <c r="N1166" t="s">
        <v>11129</v>
      </c>
      <c r="O1166" s="1520" t="s">
        <v>2480</v>
      </c>
      <c r="P1166" s="1520">
        <v>46396.25</v>
      </c>
    </row>
    <row r="1167" spans="1:16">
      <c r="A1167" t="s">
        <v>7271</v>
      </c>
      <c r="B1167" t="s">
        <v>144</v>
      </c>
      <c r="C1167" t="s">
        <v>145</v>
      </c>
      <c r="D1167" t="s">
        <v>284</v>
      </c>
      <c r="E1167" t="s">
        <v>5860</v>
      </c>
      <c r="F1167" t="s">
        <v>5861</v>
      </c>
      <c r="G1167">
        <v>5616</v>
      </c>
      <c r="H1167" t="s">
        <v>2480</v>
      </c>
      <c r="I1167" t="s">
        <v>7273</v>
      </c>
      <c r="J1167" s="1520">
        <v>46321</v>
      </c>
      <c r="K1167" s="1520">
        <v>46362</v>
      </c>
      <c r="L1167" s="1520">
        <v>46370.791666666664</v>
      </c>
      <c r="M1167" s="1520" t="s">
        <v>2480</v>
      </c>
      <c r="N1167" t="s">
        <v>11129</v>
      </c>
      <c r="O1167" s="1520" t="s">
        <v>2480</v>
      </c>
      <c r="P1167" s="1520">
        <v>46370.791666666664</v>
      </c>
    </row>
    <row r="1168" spans="1:16">
      <c r="A1168" t="s">
        <v>7342</v>
      </c>
      <c r="B1168" t="s">
        <v>64</v>
      </c>
      <c r="C1168" t="s">
        <v>100</v>
      </c>
      <c r="D1168" t="s">
        <v>284</v>
      </c>
      <c r="E1168" t="s">
        <v>7223</v>
      </c>
      <c r="F1168" t="s">
        <v>7224</v>
      </c>
      <c r="G1168">
        <v>3744</v>
      </c>
      <c r="H1168" t="s">
        <v>2480</v>
      </c>
      <c r="I1168" t="s">
        <v>7343</v>
      </c>
      <c r="J1168" s="1520">
        <v>46326</v>
      </c>
      <c r="K1168" s="1520">
        <v>46358</v>
      </c>
      <c r="L1168" s="1520">
        <v>46361.208333333336</v>
      </c>
      <c r="M1168" s="1520" t="s">
        <v>2480</v>
      </c>
      <c r="N1168" t="s">
        <v>11129</v>
      </c>
      <c r="O1168" s="1520" t="s">
        <v>2480</v>
      </c>
      <c r="P1168" s="1520">
        <v>46368.208333333336</v>
      </c>
    </row>
    <row r="1169" spans="1:16">
      <c r="A1169" t="s">
        <v>7373</v>
      </c>
      <c r="B1169" t="s">
        <v>64</v>
      </c>
      <c r="C1169" t="s">
        <v>100</v>
      </c>
      <c r="D1169" t="s">
        <v>284</v>
      </c>
      <c r="E1169" t="s">
        <v>6219</v>
      </c>
      <c r="F1169" t="s">
        <v>6220</v>
      </c>
      <c r="G1169">
        <v>936</v>
      </c>
      <c r="H1169" t="s">
        <v>2480</v>
      </c>
      <c r="I1169" t="s">
        <v>7374</v>
      </c>
      <c r="J1169" s="1520">
        <v>46326</v>
      </c>
      <c r="K1169" s="1520">
        <v>46358</v>
      </c>
      <c r="L1169" s="1520">
        <v>46361.208333333336</v>
      </c>
      <c r="M1169" s="1520" t="s">
        <v>2480</v>
      </c>
      <c r="N1169" t="s">
        <v>11129</v>
      </c>
      <c r="O1169" s="1520" t="s">
        <v>2480</v>
      </c>
      <c r="P1169" s="1520">
        <v>46368.208333333336</v>
      </c>
    </row>
    <row r="1170" spans="1:16">
      <c r="A1170" t="s">
        <v>7187</v>
      </c>
      <c r="B1170" t="s">
        <v>64</v>
      </c>
      <c r="C1170" t="s">
        <v>310</v>
      </c>
      <c r="D1170" t="s">
        <v>550</v>
      </c>
      <c r="E1170" t="s">
        <v>551</v>
      </c>
      <c r="F1170" t="s">
        <v>2151</v>
      </c>
      <c r="G1170">
        <v>792</v>
      </c>
      <c r="H1170" t="s">
        <v>951</v>
      </c>
      <c r="I1170" t="s">
        <v>7188</v>
      </c>
      <c r="J1170" s="1520">
        <v>46312</v>
      </c>
      <c r="K1170" s="1520">
        <v>46358</v>
      </c>
      <c r="L1170" s="1520">
        <v>46365.25</v>
      </c>
      <c r="M1170" s="1520" t="s">
        <v>2480</v>
      </c>
      <c r="N1170" t="s">
        <v>11129</v>
      </c>
      <c r="O1170" s="1520" t="s">
        <v>2480</v>
      </c>
      <c r="P1170" s="1520">
        <v>46375.25</v>
      </c>
    </row>
    <row r="1171" spans="1:16">
      <c r="A1171" t="s">
        <v>7363</v>
      </c>
      <c r="B1171" t="s">
        <v>64</v>
      </c>
      <c r="C1171" t="s">
        <v>114</v>
      </c>
      <c r="D1171" t="s">
        <v>4540</v>
      </c>
      <c r="E1171" t="s">
        <v>7330</v>
      </c>
      <c r="F1171" t="s">
        <v>1484</v>
      </c>
      <c r="G1171">
        <v>594</v>
      </c>
      <c r="H1171" t="s">
        <v>2480</v>
      </c>
      <c r="I1171" t="s">
        <v>7365</v>
      </c>
      <c r="J1171" s="1520">
        <v>46321</v>
      </c>
      <c r="K1171" s="1520">
        <v>46359</v>
      </c>
      <c r="L1171" s="1520">
        <v>46359.833333333336</v>
      </c>
      <c r="M1171" s="1520" t="s">
        <v>2480</v>
      </c>
      <c r="N1171" t="s">
        <v>11129</v>
      </c>
      <c r="O1171" s="1520" t="s">
        <v>2480</v>
      </c>
      <c r="P1171" s="1520">
        <v>46368.833333333336</v>
      </c>
    </row>
    <row r="1172" spans="1:16">
      <c r="A1172" t="s">
        <v>7085</v>
      </c>
      <c r="B1172" t="s">
        <v>144</v>
      </c>
      <c r="C1172" t="s">
        <v>145</v>
      </c>
      <c r="D1172" t="s">
        <v>4540</v>
      </c>
      <c r="E1172" t="s">
        <v>6245</v>
      </c>
      <c r="F1172" t="s">
        <v>330</v>
      </c>
      <c r="G1172">
        <v>720</v>
      </c>
      <c r="H1172" t="s">
        <v>75</v>
      </c>
      <c r="I1172" t="s">
        <v>7087</v>
      </c>
      <c r="J1172" s="1520">
        <v>46288</v>
      </c>
      <c r="K1172" s="1520">
        <v>46298</v>
      </c>
      <c r="L1172" s="1520">
        <v>46307</v>
      </c>
      <c r="M1172" s="1520">
        <v>46307</v>
      </c>
      <c r="N1172" t="s">
        <v>11129</v>
      </c>
      <c r="O1172" s="1520" t="s">
        <v>2480</v>
      </c>
      <c r="P1172" s="1520">
        <v>46307</v>
      </c>
    </row>
    <row r="1173" spans="1:16">
      <c r="A1173" t="s">
        <v>8330</v>
      </c>
      <c r="B1173" t="s">
        <v>64</v>
      </c>
      <c r="C1173" t="s">
        <v>65</v>
      </c>
      <c r="E1173" t="s">
        <v>7851</v>
      </c>
      <c r="F1173" t="s">
        <v>7853</v>
      </c>
      <c r="G1173">
        <v>276</v>
      </c>
      <c r="H1173" t="s">
        <v>951</v>
      </c>
      <c r="I1173" t="s">
        <v>8395</v>
      </c>
      <c r="J1173" s="1520"/>
      <c r="K1173" s="1520">
        <v>46351</v>
      </c>
      <c r="L1173" s="1520">
        <v>46351</v>
      </c>
      <c r="M1173" s="1520"/>
      <c r="N1173" t="s">
        <v>11129</v>
      </c>
      <c r="O1173" s="1520" t="s">
        <v>2480</v>
      </c>
      <c r="P1173" s="1520">
        <v>46359</v>
      </c>
    </row>
    <row r="1174" spans="1:16">
      <c r="A1174" t="s">
        <v>7999</v>
      </c>
      <c r="B1174" t="s">
        <v>64</v>
      </c>
      <c r="C1174" t="s">
        <v>100</v>
      </c>
      <c r="E1174" t="s">
        <v>7977</v>
      </c>
      <c r="F1174" t="s">
        <v>7979</v>
      </c>
      <c r="G1174">
        <v>16</v>
      </c>
      <c r="H1174" t="s">
        <v>75</v>
      </c>
      <c r="I1174" t="s">
        <v>8001</v>
      </c>
      <c r="J1174" s="1520"/>
      <c r="K1174" s="1520">
        <v>46177</v>
      </c>
      <c r="L1174" s="1520">
        <v>46177</v>
      </c>
      <c r="M1174" s="1520">
        <v>46178</v>
      </c>
      <c r="N1174" t="s">
        <v>11129</v>
      </c>
      <c r="O1174" s="1520" t="s">
        <v>2480</v>
      </c>
      <c r="P1174" s="1520">
        <v>46192</v>
      </c>
    </row>
    <row r="1175" spans="1:16">
      <c r="A1175" t="s">
        <v>8352</v>
      </c>
      <c r="B1175" t="s">
        <v>64</v>
      </c>
      <c r="C1175" t="s">
        <v>114</v>
      </c>
      <c r="E1175" t="s">
        <v>7837</v>
      </c>
      <c r="F1175" t="s">
        <v>7838</v>
      </c>
      <c r="G1175">
        <v>38</v>
      </c>
      <c r="H1175" t="s">
        <v>951</v>
      </c>
      <c r="I1175" t="s">
        <v>8348</v>
      </c>
      <c r="J1175" s="1520"/>
      <c r="K1175" s="1520">
        <v>46324</v>
      </c>
      <c r="L1175" s="1520">
        <v>46328</v>
      </c>
      <c r="M1175" s="1520"/>
      <c r="N1175" t="s">
        <v>11129</v>
      </c>
      <c r="O1175" s="1520" t="s">
        <v>2480</v>
      </c>
      <c r="P1175" s="1520">
        <v>46337</v>
      </c>
    </row>
    <row r="1176" spans="1:16">
      <c r="A1176" t="s">
        <v>8346</v>
      </c>
      <c r="B1176" t="s">
        <v>64</v>
      </c>
      <c r="C1176" t="s">
        <v>114</v>
      </c>
      <c r="E1176" t="s">
        <v>7828</v>
      </c>
      <c r="F1176" t="s">
        <v>7830</v>
      </c>
      <c r="G1176">
        <v>90</v>
      </c>
      <c r="H1176" t="s">
        <v>951</v>
      </c>
      <c r="I1176" t="s">
        <v>8348</v>
      </c>
      <c r="J1176" s="1520"/>
      <c r="K1176" s="1520">
        <v>46324</v>
      </c>
      <c r="L1176" s="1520">
        <v>46328</v>
      </c>
      <c r="M1176" s="1520"/>
      <c r="N1176" t="s">
        <v>11129</v>
      </c>
      <c r="O1176" s="1520" t="s">
        <v>2480</v>
      </c>
      <c r="P1176" s="1520">
        <v>46337</v>
      </c>
    </row>
    <row r="1177" spans="1:16">
      <c r="A1177" t="s">
        <v>8353</v>
      </c>
      <c r="B1177" t="s">
        <v>64</v>
      </c>
      <c r="C1177" t="s">
        <v>114</v>
      </c>
      <c r="E1177" t="s">
        <v>7837</v>
      </c>
      <c r="F1177" t="s">
        <v>7838</v>
      </c>
      <c r="G1177">
        <v>2</v>
      </c>
      <c r="H1177" t="s">
        <v>951</v>
      </c>
      <c r="I1177" t="s">
        <v>8348</v>
      </c>
      <c r="J1177" s="1520"/>
      <c r="K1177" s="1520">
        <v>46324</v>
      </c>
      <c r="L1177" s="1520">
        <v>46328</v>
      </c>
      <c r="M1177" s="1520"/>
      <c r="N1177" t="s">
        <v>11129</v>
      </c>
      <c r="O1177" s="1520" t="s">
        <v>2480</v>
      </c>
      <c r="P1177" s="1520">
        <v>46337</v>
      </c>
    </row>
    <row r="1178" spans="1:16">
      <c r="A1178" t="s">
        <v>8354</v>
      </c>
      <c r="B1178" t="s">
        <v>64</v>
      </c>
      <c r="C1178" t="s">
        <v>114</v>
      </c>
      <c r="E1178" t="s">
        <v>7840</v>
      </c>
      <c r="F1178" t="s">
        <v>7842</v>
      </c>
      <c r="G1178">
        <v>130</v>
      </c>
      <c r="H1178" t="s">
        <v>951</v>
      </c>
      <c r="I1178" t="s">
        <v>8348</v>
      </c>
      <c r="J1178" s="1520"/>
      <c r="K1178" s="1520">
        <v>46324</v>
      </c>
      <c r="L1178" s="1520">
        <v>46328</v>
      </c>
      <c r="M1178" s="1520"/>
      <c r="N1178" t="s">
        <v>11129</v>
      </c>
      <c r="O1178" s="1520" t="s">
        <v>2480</v>
      </c>
      <c r="P1178" s="1520">
        <v>46337</v>
      </c>
    </row>
    <row r="1179" spans="1:16">
      <c r="A1179" t="s">
        <v>8355</v>
      </c>
      <c r="B1179" t="s">
        <v>64</v>
      </c>
      <c r="C1179" t="s">
        <v>65</v>
      </c>
      <c r="E1179" t="s">
        <v>7862</v>
      </c>
      <c r="F1179" t="s">
        <v>7863</v>
      </c>
      <c r="G1179">
        <v>18</v>
      </c>
      <c r="H1179" t="s">
        <v>951</v>
      </c>
      <c r="I1179" t="s">
        <v>8356</v>
      </c>
      <c r="J1179" s="1520"/>
      <c r="K1179" s="1520">
        <v>46342</v>
      </c>
      <c r="L1179" s="1520">
        <v>46342</v>
      </c>
      <c r="M1179" s="1520"/>
      <c r="N1179" t="s">
        <v>11129</v>
      </c>
      <c r="O1179" s="1520" t="s">
        <v>2480</v>
      </c>
      <c r="P1179" s="1520">
        <v>46350</v>
      </c>
    </row>
    <row r="1180" spans="1:16">
      <c r="A1180" t="s">
        <v>8360</v>
      </c>
      <c r="B1180" t="s">
        <v>64</v>
      </c>
      <c r="C1180" t="s">
        <v>65</v>
      </c>
      <c r="E1180" t="s">
        <v>7862</v>
      </c>
      <c r="F1180" t="s">
        <v>7863</v>
      </c>
      <c r="G1180">
        <v>2</v>
      </c>
      <c r="H1180" t="s">
        <v>951</v>
      </c>
      <c r="I1180" t="s">
        <v>8356</v>
      </c>
      <c r="J1180" s="1520"/>
      <c r="K1180" s="1520">
        <v>46342</v>
      </c>
      <c r="L1180" s="1520">
        <v>46342</v>
      </c>
      <c r="M1180" s="1520"/>
      <c r="N1180" t="s">
        <v>11129</v>
      </c>
      <c r="O1180" s="1520" t="s">
        <v>2480</v>
      </c>
      <c r="P1180" s="1520">
        <v>46350</v>
      </c>
    </row>
    <row r="1181" spans="1:16">
      <c r="A1181" t="s">
        <v>8361</v>
      </c>
      <c r="B1181" t="s">
        <v>64</v>
      </c>
      <c r="C1181" t="s">
        <v>65</v>
      </c>
      <c r="E1181" t="s">
        <v>7828</v>
      </c>
      <c r="F1181" t="s">
        <v>7830</v>
      </c>
      <c r="G1181">
        <v>94</v>
      </c>
      <c r="H1181" t="s">
        <v>951</v>
      </c>
      <c r="I1181" t="s">
        <v>8356</v>
      </c>
      <c r="J1181" s="1520"/>
      <c r="K1181" s="1520">
        <v>46342</v>
      </c>
      <c r="L1181" s="1520">
        <v>46342</v>
      </c>
      <c r="M1181" s="1520"/>
      <c r="N1181" t="s">
        <v>11129</v>
      </c>
      <c r="O1181" s="1520" t="s">
        <v>2480</v>
      </c>
      <c r="P1181" s="1520">
        <v>46350</v>
      </c>
    </row>
    <row r="1182" spans="1:16">
      <c r="A1182" t="s">
        <v>8363</v>
      </c>
      <c r="B1182" t="s">
        <v>64</v>
      </c>
      <c r="C1182" t="s">
        <v>65</v>
      </c>
      <c r="E1182" t="s">
        <v>7840</v>
      </c>
      <c r="F1182" t="s">
        <v>7842</v>
      </c>
      <c r="G1182">
        <v>111</v>
      </c>
      <c r="H1182" t="s">
        <v>951</v>
      </c>
      <c r="I1182" t="s">
        <v>8356</v>
      </c>
      <c r="J1182" s="1520"/>
      <c r="K1182" s="1520">
        <v>46342</v>
      </c>
      <c r="L1182" s="1520">
        <v>46342</v>
      </c>
      <c r="M1182" s="1520"/>
      <c r="N1182" t="s">
        <v>11129</v>
      </c>
      <c r="O1182" s="1520" t="s">
        <v>2480</v>
      </c>
      <c r="P1182" s="1520">
        <v>46350</v>
      </c>
    </row>
    <row r="1183" spans="1:16">
      <c r="A1183" t="s">
        <v>8364</v>
      </c>
      <c r="B1183" t="s">
        <v>64</v>
      </c>
      <c r="C1183" t="s">
        <v>65</v>
      </c>
      <c r="E1183" t="s">
        <v>7840</v>
      </c>
      <c r="F1183" t="s">
        <v>7842</v>
      </c>
      <c r="G1183">
        <v>19</v>
      </c>
      <c r="H1183" t="s">
        <v>951</v>
      </c>
      <c r="I1183" t="s">
        <v>8356</v>
      </c>
      <c r="J1183" s="1520"/>
      <c r="K1183" s="1520">
        <v>46342</v>
      </c>
      <c r="L1183" s="1520">
        <v>46342</v>
      </c>
      <c r="M1183" s="1520"/>
      <c r="N1183" t="s">
        <v>11129</v>
      </c>
      <c r="O1183" s="1520" t="s">
        <v>2480</v>
      </c>
      <c r="P1183" s="1520">
        <v>46350</v>
      </c>
    </row>
    <row r="1184" spans="1:16">
      <c r="A1184" t="s">
        <v>8365</v>
      </c>
      <c r="B1184" t="s">
        <v>64</v>
      </c>
      <c r="C1184" t="s">
        <v>65</v>
      </c>
      <c r="E1184" t="s">
        <v>7816</v>
      </c>
      <c r="F1184" t="s">
        <v>7818</v>
      </c>
      <c r="G1184">
        <v>180</v>
      </c>
      <c r="H1184" t="s">
        <v>951</v>
      </c>
      <c r="I1184" t="s">
        <v>8356</v>
      </c>
      <c r="J1184" s="1520"/>
      <c r="K1184" s="1520">
        <v>46342</v>
      </c>
      <c r="L1184" s="1520">
        <v>46342</v>
      </c>
      <c r="M1184" s="1520"/>
      <c r="N1184" t="s">
        <v>11129</v>
      </c>
      <c r="O1184" s="1520" t="s">
        <v>2480</v>
      </c>
      <c r="P1184" s="1520">
        <v>46350</v>
      </c>
    </row>
    <row r="1185" spans="1:16">
      <c r="A1185" t="s">
        <v>8366</v>
      </c>
      <c r="B1185" t="s">
        <v>64</v>
      </c>
      <c r="C1185" t="s">
        <v>65</v>
      </c>
      <c r="E1185" t="s">
        <v>7828</v>
      </c>
      <c r="F1185" t="s">
        <v>7830</v>
      </c>
      <c r="G1185">
        <v>130</v>
      </c>
      <c r="H1185" t="s">
        <v>951</v>
      </c>
      <c r="I1185" t="s">
        <v>8356</v>
      </c>
      <c r="J1185" s="1520"/>
      <c r="K1185" s="1520">
        <v>46342</v>
      </c>
      <c r="L1185" s="1520">
        <v>46342</v>
      </c>
      <c r="M1185" s="1520"/>
      <c r="N1185" t="s">
        <v>11129</v>
      </c>
      <c r="O1185" s="1520" t="s">
        <v>2480</v>
      </c>
      <c r="P1185" s="1520">
        <v>46350</v>
      </c>
    </row>
    <row r="1186" spans="1:16">
      <c r="A1186" t="s">
        <v>8368</v>
      </c>
      <c r="B1186" t="s">
        <v>64</v>
      </c>
      <c r="C1186" t="s">
        <v>65</v>
      </c>
      <c r="E1186" t="s">
        <v>7840</v>
      </c>
      <c r="F1186" t="s">
        <v>7842</v>
      </c>
      <c r="G1186">
        <v>130</v>
      </c>
      <c r="H1186" t="s">
        <v>951</v>
      </c>
      <c r="I1186" t="s">
        <v>8356</v>
      </c>
      <c r="J1186" s="1520"/>
      <c r="K1186" s="1520">
        <v>46342</v>
      </c>
      <c r="L1186" s="1520">
        <v>46342</v>
      </c>
      <c r="M1186" s="1520"/>
      <c r="N1186" t="s">
        <v>11129</v>
      </c>
      <c r="O1186" s="1520" t="s">
        <v>2480</v>
      </c>
      <c r="P1186" s="1520">
        <v>46350</v>
      </c>
    </row>
    <row r="1187" spans="1:16">
      <c r="A1187" t="s">
        <v>8362</v>
      </c>
      <c r="B1187" t="s">
        <v>64</v>
      </c>
      <c r="C1187" t="s">
        <v>65</v>
      </c>
      <c r="E1187" t="s">
        <v>7828</v>
      </c>
      <c r="F1187" t="s">
        <v>7830</v>
      </c>
      <c r="G1187">
        <v>16</v>
      </c>
      <c r="H1187" t="s">
        <v>951</v>
      </c>
      <c r="I1187" t="s">
        <v>8356</v>
      </c>
      <c r="J1187" s="1520"/>
      <c r="K1187" s="1520">
        <v>46342</v>
      </c>
      <c r="L1187" s="1520">
        <v>46342</v>
      </c>
      <c r="M1187" s="1520"/>
      <c r="N1187" t="s">
        <v>11129</v>
      </c>
      <c r="O1187" s="1520" t="s">
        <v>2480</v>
      </c>
      <c r="P1187" s="1520">
        <v>46350</v>
      </c>
    </row>
    <row r="1188" spans="1:16">
      <c r="A1188" t="s">
        <v>7827</v>
      </c>
      <c r="B1188" t="s">
        <v>64</v>
      </c>
      <c r="C1188" t="s">
        <v>68</v>
      </c>
      <c r="E1188" t="s">
        <v>7828</v>
      </c>
      <c r="F1188" t="s">
        <v>7830</v>
      </c>
      <c r="G1188">
        <v>224</v>
      </c>
      <c r="H1188" t="s">
        <v>75</v>
      </c>
      <c r="I1188" t="s">
        <v>7831</v>
      </c>
      <c r="J1188" s="1520"/>
      <c r="K1188" s="1520">
        <v>46048</v>
      </c>
      <c r="L1188" s="1520">
        <v>46062</v>
      </c>
      <c r="M1188" s="1520">
        <v>46062</v>
      </c>
      <c r="N1188" t="s">
        <v>973</v>
      </c>
      <c r="O1188" s="1520">
        <v>46076</v>
      </c>
      <c r="P1188" s="1520">
        <v>46070</v>
      </c>
    </row>
    <row r="1189" spans="1:16">
      <c r="A1189" t="s">
        <v>7839</v>
      </c>
      <c r="B1189" t="s">
        <v>64</v>
      </c>
      <c r="C1189" t="s">
        <v>68</v>
      </c>
      <c r="E1189" t="s">
        <v>7840</v>
      </c>
      <c r="F1189" t="s">
        <v>7842</v>
      </c>
      <c r="G1189">
        <v>350</v>
      </c>
      <c r="H1189" t="s">
        <v>75</v>
      </c>
      <c r="I1189" t="s">
        <v>7843</v>
      </c>
      <c r="J1189" s="1520"/>
      <c r="K1189" s="1520">
        <v>46048</v>
      </c>
      <c r="L1189" s="1520">
        <v>46062</v>
      </c>
      <c r="M1189" s="1520">
        <v>46062</v>
      </c>
      <c r="N1189" t="s">
        <v>973</v>
      </c>
      <c r="O1189" s="1520">
        <v>46076</v>
      </c>
      <c r="P1189" s="1520">
        <v>46070</v>
      </c>
    </row>
    <row r="1190" spans="1:16">
      <c r="A1190" t="s">
        <v>7813</v>
      </c>
      <c r="B1190" t="s">
        <v>64</v>
      </c>
      <c r="C1190" t="s">
        <v>68</v>
      </c>
      <c r="E1190" t="s">
        <v>7816</v>
      </c>
      <c r="F1190" t="s">
        <v>7818</v>
      </c>
      <c r="G1190">
        <v>78</v>
      </c>
      <c r="H1190" t="s">
        <v>75</v>
      </c>
      <c r="I1190" t="s">
        <v>7819</v>
      </c>
      <c r="J1190" s="1520"/>
      <c r="K1190" s="1520">
        <v>46048</v>
      </c>
      <c r="L1190" s="1520">
        <v>46062</v>
      </c>
      <c r="M1190" s="1520">
        <v>46062</v>
      </c>
      <c r="N1190" t="s">
        <v>973</v>
      </c>
      <c r="O1190" s="1520">
        <v>46076</v>
      </c>
      <c r="P1190" s="1520">
        <v>46070</v>
      </c>
    </row>
    <row r="1191" spans="1:16">
      <c r="A1191" t="s">
        <v>7849</v>
      </c>
      <c r="B1191" t="s">
        <v>64</v>
      </c>
      <c r="C1191" t="s">
        <v>68</v>
      </c>
      <c r="E1191" t="s">
        <v>7840</v>
      </c>
      <c r="F1191" t="s">
        <v>7842</v>
      </c>
      <c r="G1191">
        <v>12</v>
      </c>
      <c r="H1191" t="s">
        <v>75</v>
      </c>
      <c r="I1191" t="s">
        <v>7819</v>
      </c>
      <c r="J1191" s="1520"/>
      <c r="K1191" s="1520">
        <v>46048</v>
      </c>
      <c r="L1191" s="1520">
        <v>46062</v>
      </c>
      <c r="M1191" s="1520">
        <v>46062</v>
      </c>
      <c r="N1191" t="s">
        <v>973</v>
      </c>
      <c r="O1191" s="1520">
        <v>46076</v>
      </c>
      <c r="P1191" s="1520">
        <v>46070</v>
      </c>
    </row>
    <row r="1192" spans="1:16">
      <c r="A1192" t="s">
        <v>7848</v>
      </c>
      <c r="B1192" t="s">
        <v>64</v>
      </c>
      <c r="C1192" t="s">
        <v>68</v>
      </c>
      <c r="E1192" t="s">
        <v>7837</v>
      </c>
      <c r="F1192" t="s">
        <v>7838</v>
      </c>
      <c r="G1192">
        <v>1</v>
      </c>
      <c r="H1192" t="s">
        <v>75</v>
      </c>
      <c r="I1192" t="s">
        <v>7819</v>
      </c>
      <c r="J1192" s="1520"/>
      <c r="K1192" s="1520">
        <v>46048</v>
      </c>
      <c r="L1192" s="1520">
        <v>46062</v>
      </c>
      <c r="M1192" s="1520">
        <v>46062</v>
      </c>
      <c r="N1192" t="s">
        <v>973</v>
      </c>
      <c r="O1192" s="1520">
        <v>46076</v>
      </c>
      <c r="P1192" s="1520">
        <v>46070</v>
      </c>
    </row>
    <row r="1193" spans="1:16">
      <c r="A1193" t="s">
        <v>7847</v>
      </c>
      <c r="B1193" t="s">
        <v>64</v>
      </c>
      <c r="C1193" t="s">
        <v>68</v>
      </c>
      <c r="E1193" t="s">
        <v>7834</v>
      </c>
      <c r="F1193" t="s">
        <v>7835</v>
      </c>
      <c r="G1193">
        <v>2</v>
      </c>
      <c r="H1193" t="s">
        <v>75</v>
      </c>
      <c r="I1193" t="s">
        <v>7819</v>
      </c>
      <c r="J1193" s="1520"/>
      <c r="K1193" s="1520">
        <v>46048</v>
      </c>
      <c r="L1193" s="1520">
        <v>46062</v>
      </c>
      <c r="M1193" s="1520">
        <v>46062</v>
      </c>
      <c r="N1193" t="s">
        <v>973</v>
      </c>
      <c r="O1193" s="1520">
        <v>46076</v>
      </c>
      <c r="P1193" s="1520">
        <v>46070</v>
      </c>
    </row>
    <row r="1194" spans="1:16">
      <c r="A1194" t="s">
        <v>7845</v>
      </c>
      <c r="B1194" t="s">
        <v>64</v>
      </c>
      <c r="C1194" t="s">
        <v>68</v>
      </c>
      <c r="E1194" t="s">
        <v>7828</v>
      </c>
      <c r="F1194" t="s">
        <v>7830</v>
      </c>
      <c r="G1194">
        <v>9</v>
      </c>
      <c r="H1194" t="s">
        <v>75</v>
      </c>
      <c r="I1194" t="s">
        <v>7819</v>
      </c>
      <c r="J1194" s="1520"/>
      <c r="K1194" s="1520">
        <v>46048</v>
      </c>
      <c r="L1194" s="1520">
        <v>46062</v>
      </c>
      <c r="M1194" s="1520">
        <v>46062</v>
      </c>
      <c r="N1194" t="s">
        <v>973</v>
      </c>
      <c r="O1194" s="1520">
        <v>46076</v>
      </c>
      <c r="P1194" s="1520">
        <v>46070</v>
      </c>
    </row>
    <row r="1195" spans="1:16">
      <c r="A1195" t="s">
        <v>7844</v>
      </c>
      <c r="B1195" t="s">
        <v>64</v>
      </c>
      <c r="C1195" t="s">
        <v>68</v>
      </c>
      <c r="E1195" t="s">
        <v>7840</v>
      </c>
      <c r="F1195" t="s">
        <v>7842</v>
      </c>
      <c r="G1195">
        <v>45</v>
      </c>
      <c r="H1195" t="s">
        <v>75</v>
      </c>
      <c r="I1195" t="s">
        <v>7819</v>
      </c>
      <c r="J1195" s="1520"/>
      <c r="K1195" s="1520">
        <v>46048</v>
      </c>
      <c r="L1195" s="1520">
        <v>46062</v>
      </c>
      <c r="M1195" s="1520">
        <v>46062</v>
      </c>
      <c r="N1195" t="s">
        <v>973</v>
      </c>
      <c r="O1195" s="1520">
        <v>46076</v>
      </c>
      <c r="P1195" s="1520">
        <v>46070</v>
      </c>
    </row>
    <row r="1196" spans="1:16">
      <c r="A1196" t="s">
        <v>7836</v>
      </c>
      <c r="B1196" t="s">
        <v>64</v>
      </c>
      <c r="C1196" t="s">
        <v>68</v>
      </c>
      <c r="E1196" t="s">
        <v>7837</v>
      </c>
      <c r="F1196" t="s">
        <v>7838</v>
      </c>
      <c r="G1196">
        <v>10</v>
      </c>
      <c r="H1196" t="s">
        <v>75</v>
      </c>
      <c r="I1196" t="s">
        <v>7819</v>
      </c>
      <c r="J1196" s="1520"/>
      <c r="K1196" s="1520">
        <v>46048</v>
      </c>
      <c r="L1196" s="1520">
        <v>46062</v>
      </c>
      <c r="M1196" s="1520">
        <v>46062</v>
      </c>
      <c r="N1196" t="s">
        <v>973</v>
      </c>
      <c r="O1196" s="1520">
        <v>46076</v>
      </c>
      <c r="P1196" s="1520">
        <v>46070</v>
      </c>
    </row>
    <row r="1197" spans="1:16">
      <c r="A1197" t="s">
        <v>7833</v>
      </c>
      <c r="B1197" t="s">
        <v>64</v>
      </c>
      <c r="C1197" t="s">
        <v>68</v>
      </c>
      <c r="E1197" t="s">
        <v>7834</v>
      </c>
      <c r="F1197" t="s">
        <v>7835</v>
      </c>
      <c r="G1197">
        <v>60</v>
      </c>
      <c r="H1197" t="s">
        <v>75</v>
      </c>
      <c r="I1197" t="s">
        <v>7819</v>
      </c>
      <c r="J1197" s="1520"/>
      <c r="K1197" s="1520">
        <v>46048</v>
      </c>
      <c r="L1197" s="1520">
        <v>46062</v>
      </c>
      <c r="M1197" s="1520">
        <v>46062</v>
      </c>
      <c r="N1197" t="s">
        <v>973</v>
      </c>
      <c r="O1197" s="1520">
        <v>46076</v>
      </c>
      <c r="P1197" s="1520">
        <v>46070</v>
      </c>
    </row>
    <row r="1198" spans="1:16">
      <c r="A1198" t="s">
        <v>7832</v>
      </c>
      <c r="B1198" t="s">
        <v>64</v>
      </c>
      <c r="C1198" t="s">
        <v>68</v>
      </c>
      <c r="E1198" t="s">
        <v>7828</v>
      </c>
      <c r="F1198" t="s">
        <v>7830</v>
      </c>
      <c r="G1198">
        <v>101</v>
      </c>
      <c r="H1198" t="s">
        <v>75</v>
      </c>
      <c r="I1198" t="s">
        <v>7819</v>
      </c>
      <c r="J1198" s="1520"/>
      <c r="K1198" s="1520">
        <v>46048</v>
      </c>
      <c r="L1198" s="1520">
        <v>46062</v>
      </c>
      <c r="M1198" s="1520">
        <v>46062</v>
      </c>
      <c r="N1198" t="s">
        <v>973</v>
      </c>
      <c r="O1198" s="1520">
        <v>46076</v>
      </c>
      <c r="P1198" s="1520">
        <v>46070</v>
      </c>
    </row>
    <row r="1199" spans="1:16">
      <c r="A1199" t="s">
        <v>7823</v>
      </c>
      <c r="B1199" t="s">
        <v>64</v>
      </c>
      <c r="C1199" t="s">
        <v>68</v>
      </c>
      <c r="E1199" t="s">
        <v>7824</v>
      </c>
      <c r="F1199" t="s">
        <v>7826</v>
      </c>
      <c r="G1199">
        <v>24</v>
      </c>
      <c r="H1199" t="s">
        <v>75</v>
      </c>
      <c r="I1199" t="s">
        <v>7819</v>
      </c>
      <c r="J1199" s="1520"/>
      <c r="K1199" s="1520">
        <v>46048</v>
      </c>
      <c r="L1199" s="1520">
        <v>46062</v>
      </c>
      <c r="M1199" s="1520">
        <v>46062</v>
      </c>
      <c r="N1199" t="s">
        <v>973</v>
      </c>
      <c r="O1199" s="1520">
        <v>46076</v>
      </c>
      <c r="P1199" s="1520">
        <v>46070</v>
      </c>
    </row>
    <row r="1200" spans="1:16">
      <c r="A1200" t="s">
        <v>7871</v>
      </c>
      <c r="B1200" t="s">
        <v>64</v>
      </c>
      <c r="C1200" t="s">
        <v>68</v>
      </c>
      <c r="E1200" t="s">
        <v>7840</v>
      </c>
      <c r="F1200" t="s">
        <v>7842</v>
      </c>
      <c r="G1200">
        <v>58</v>
      </c>
      <c r="H1200" t="s">
        <v>75</v>
      </c>
      <c r="I1200" t="s">
        <v>7865</v>
      </c>
      <c r="J1200" s="1520"/>
      <c r="K1200" s="1520">
        <v>46111</v>
      </c>
      <c r="L1200" s="1520">
        <v>46133</v>
      </c>
      <c r="M1200" s="1520">
        <v>46132</v>
      </c>
      <c r="N1200" t="s">
        <v>973</v>
      </c>
      <c r="O1200" s="1520">
        <v>46142</v>
      </c>
      <c r="P1200" s="1520">
        <v>46140</v>
      </c>
    </row>
    <row r="1201" spans="1:16">
      <c r="A1201" t="s">
        <v>7870</v>
      </c>
      <c r="B1201" t="s">
        <v>64</v>
      </c>
      <c r="C1201" t="s">
        <v>68</v>
      </c>
      <c r="E1201" t="s">
        <v>7828</v>
      </c>
      <c r="F1201" t="s">
        <v>7830</v>
      </c>
      <c r="G1201">
        <v>9</v>
      </c>
      <c r="H1201" t="s">
        <v>75</v>
      </c>
      <c r="I1201" t="s">
        <v>7865</v>
      </c>
      <c r="J1201" s="1520"/>
      <c r="K1201" s="1520">
        <v>46111</v>
      </c>
      <c r="L1201" s="1520">
        <v>46133</v>
      </c>
      <c r="M1201" s="1520">
        <v>46132</v>
      </c>
      <c r="N1201" t="s">
        <v>973</v>
      </c>
      <c r="O1201" s="1520">
        <v>46142</v>
      </c>
      <c r="P1201" s="1520">
        <v>46140</v>
      </c>
    </row>
    <row r="1202" spans="1:16">
      <c r="A1202" t="s">
        <v>7868</v>
      </c>
      <c r="B1202" t="s">
        <v>64</v>
      </c>
      <c r="C1202" t="s">
        <v>68</v>
      </c>
      <c r="E1202" t="s">
        <v>7862</v>
      </c>
      <c r="F1202" t="s">
        <v>7863</v>
      </c>
      <c r="G1202">
        <v>3</v>
      </c>
      <c r="H1202" t="s">
        <v>75</v>
      </c>
      <c r="I1202" t="s">
        <v>7865</v>
      </c>
      <c r="J1202" s="1520"/>
      <c r="K1202" s="1520">
        <v>46111</v>
      </c>
      <c r="L1202" s="1520">
        <v>46133</v>
      </c>
      <c r="M1202" s="1520">
        <v>46132</v>
      </c>
      <c r="N1202" t="s">
        <v>973</v>
      </c>
      <c r="O1202" s="1520">
        <v>46142</v>
      </c>
      <c r="P1202" s="1520">
        <v>46140</v>
      </c>
    </row>
    <row r="1203" spans="1:16">
      <c r="A1203" t="s">
        <v>7869</v>
      </c>
      <c r="B1203" t="s">
        <v>64</v>
      </c>
      <c r="C1203" t="s">
        <v>68</v>
      </c>
      <c r="E1203" t="s">
        <v>7828</v>
      </c>
      <c r="F1203" t="s">
        <v>7830</v>
      </c>
      <c r="G1203">
        <v>72</v>
      </c>
      <c r="H1203" t="s">
        <v>75</v>
      </c>
      <c r="I1203" t="s">
        <v>7865</v>
      </c>
      <c r="J1203" s="1520"/>
      <c r="K1203" s="1520">
        <v>46111</v>
      </c>
      <c r="L1203" s="1520">
        <v>46133</v>
      </c>
      <c r="M1203" s="1520">
        <v>46132</v>
      </c>
      <c r="N1203" t="s">
        <v>973</v>
      </c>
      <c r="O1203" s="1520">
        <v>46142</v>
      </c>
      <c r="P1203" s="1520">
        <v>46140</v>
      </c>
    </row>
    <row r="1204" spans="1:16">
      <c r="A1204" t="s">
        <v>7861</v>
      </c>
      <c r="B1204" t="s">
        <v>64</v>
      </c>
      <c r="C1204" t="s">
        <v>68</v>
      </c>
      <c r="E1204" t="s">
        <v>7862</v>
      </c>
      <c r="F1204" t="s">
        <v>7863</v>
      </c>
      <c r="G1204">
        <v>100</v>
      </c>
      <c r="H1204" t="s">
        <v>75</v>
      </c>
      <c r="I1204" t="s">
        <v>7865</v>
      </c>
      <c r="J1204" s="1520"/>
      <c r="K1204" s="1520">
        <v>46111</v>
      </c>
      <c r="L1204" s="1520">
        <v>46133</v>
      </c>
      <c r="M1204" s="1520">
        <v>46132</v>
      </c>
      <c r="N1204" t="s">
        <v>973</v>
      </c>
      <c r="O1204" s="1520">
        <v>46142</v>
      </c>
      <c r="P1204" s="1520">
        <v>46140</v>
      </c>
    </row>
    <row r="1205" spans="1:16">
      <c r="A1205" t="s">
        <v>7879</v>
      </c>
      <c r="B1205" t="s">
        <v>64</v>
      </c>
      <c r="C1205" t="s">
        <v>68</v>
      </c>
      <c r="E1205" t="s">
        <v>7840</v>
      </c>
      <c r="F1205" t="s">
        <v>7842</v>
      </c>
      <c r="G1205">
        <v>12</v>
      </c>
      <c r="H1205" t="s">
        <v>75</v>
      </c>
      <c r="I1205" t="s">
        <v>7878</v>
      </c>
      <c r="J1205" s="1520"/>
      <c r="K1205" s="1520">
        <v>46111</v>
      </c>
      <c r="L1205" s="1520">
        <v>46133</v>
      </c>
      <c r="M1205" s="1520">
        <v>46132</v>
      </c>
      <c r="N1205" t="s">
        <v>973</v>
      </c>
      <c r="O1205" s="1520">
        <v>46142</v>
      </c>
      <c r="P1205" s="1520">
        <v>46140</v>
      </c>
    </row>
    <row r="1206" spans="1:16">
      <c r="A1206" t="s">
        <v>7875</v>
      </c>
      <c r="B1206" t="s">
        <v>64</v>
      </c>
      <c r="C1206" t="s">
        <v>68</v>
      </c>
      <c r="E1206" t="s">
        <v>7840</v>
      </c>
      <c r="F1206" t="s">
        <v>7842</v>
      </c>
      <c r="G1206">
        <v>338</v>
      </c>
      <c r="H1206" t="s">
        <v>75</v>
      </c>
      <c r="I1206" t="s">
        <v>7878</v>
      </c>
      <c r="J1206" s="1520"/>
      <c r="K1206" s="1520">
        <v>46111</v>
      </c>
      <c r="L1206" s="1520">
        <v>46133</v>
      </c>
      <c r="M1206" s="1520">
        <v>46132</v>
      </c>
      <c r="N1206" t="s">
        <v>973</v>
      </c>
      <c r="O1206" s="1520">
        <v>46142</v>
      </c>
      <c r="P1206" s="1520">
        <v>46140</v>
      </c>
    </row>
    <row r="1207" spans="1:16">
      <c r="A1207" t="s">
        <v>7850</v>
      </c>
      <c r="B1207" t="s">
        <v>64</v>
      </c>
      <c r="C1207" t="s">
        <v>68</v>
      </c>
      <c r="E1207" t="s">
        <v>7851</v>
      </c>
      <c r="F1207" t="s">
        <v>7853</v>
      </c>
      <c r="G1207">
        <v>276</v>
      </c>
      <c r="H1207" t="s">
        <v>75</v>
      </c>
      <c r="I1207" t="s">
        <v>7856</v>
      </c>
      <c r="J1207" s="1520"/>
      <c r="K1207" s="1520">
        <v>46100</v>
      </c>
      <c r="L1207" s="1520">
        <v>46100</v>
      </c>
      <c r="M1207" s="1520">
        <v>46116</v>
      </c>
      <c r="N1207" t="s">
        <v>973</v>
      </c>
      <c r="O1207" s="1520">
        <v>46121</v>
      </c>
      <c r="P1207" s="1520">
        <v>46124</v>
      </c>
    </row>
    <row r="1208" spans="1:16">
      <c r="A1208" t="s">
        <v>7859</v>
      </c>
      <c r="B1208" t="s">
        <v>64</v>
      </c>
      <c r="C1208" t="s">
        <v>68</v>
      </c>
      <c r="E1208" t="s">
        <v>7851</v>
      </c>
      <c r="F1208" t="s">
        <v>7853</v>
      </c>
      <c r="G1208">
        <v>276</v>
      </c>
      <c r="H1208" t="s">
        <v>75</v>
      </c>
      <c r="I1208" t="s">
        <v>7856</v>
      </c>
      <c r="J1208" s="1520"/>
      <c r="K1208" s="1520">
        <v>46100</v>
      </c>
      <c r="L1208" s="1520">
        <v>46100</v>
      </c>
      <c r="M1208" s="1520">
        <v>46116</v>
      </c>
      <c r="N1208" t="s">
        <v>973</v>
      </c>
      <c r="O1208" s="1520">
        <v>46121</v>
      </c>
      <c r="P1208" s="1520">
        <v>46124</v>
      </c>
    </row>
    <row r="1209" spans="1:16">
      <c r="A1209" t="s">
        <v>7872</v>
      </c>
      <c r="B1209" t="s">
        <v>64</v>
      </c>
      <c r="C1209" t="s">
        <v>68</v>
      </c>
      <c r="E1209" t="s">
        <v>7828</v>
      </c>
      <c r="F1209" t="s">
        <v>7830</v>
      </c>
      <c r="G1209">
        <v>224</v>
      </c>
      <c r="H1209" t="s">
        <v>75</v>
      </c>
      <c r="I1209" t="s">
        <v>7874</v>
      </c>
      <c r="J1209" s="1520"/>
      <c r="K1209" s="1520">
        <v>46111</v>
      </c>
      <c r="L1209" s="1520">
        <v>46133</v>
      </c>
      <c r="M1209" s="1520">
        <v>46132</v>
      </c>
      <c r="N1209" t="s">
        <v>973</v>
      </c>
      <c r="O1209" s="1520">
        <v>46142</v>
      </c>
      <c r="P1209" s="1520">
        <v>46140</v>
      </c>
    </row>
    <row r="1210" spans="1:16">
      <c r="A1210" t="s">
        <v>963</v>
      </c>
      <c r="B1210" t="s">
        <v>64</v>
      </c>
      <c r="C1210" t="s">
        <v>68</v>
      </c>
      <c r="E1210" t="s">
        <v>7910</v>
      </c>
      <c r="F1210" t="s">
        <v>7912</v>
      </c>
      <c r="G1210">
        <v>10</v>
      </c>
      <c r="H1210" t="s">
        <v>75</v>
      </c>
      <c r="I1210" t="s">
        <v>7892</v>
      </c>
      <c r="J1210" s="1520"/>
      <c r="K1210" s="1520">
        <v>46114</v>
      </c>
      <c r="L1210" s="1520">
        <v>46114</v>
      </c>
      <c r="M1210" s="1520">
        <v>46116</v>
      </c>
      <c r="N1210" t="s">
        <v>973</v>
      </c>
      <c r="O1210" s="1520">
        <v>46128</v>
      </c>
      <c r="P1210" s="1520">
        <v>46124</v>
      </c>
    </row>
    <row r="1211" spans="1:16">
      <c r="A1211" t="s">
        <v>7900</v>
      </c>
      <c r="B1211" t="s">
        <v>64</v>
      </c>
      <c r="C1211" t="s">
        <v>68</v>
      </c>
      <c r="E1211" t="s">
        <v>7840</v>
      </c>
      <c r="F1211" t="s">
        <v>7842</v>
      </c>
      <c r="G1211">
        <v>6</v>
      </c>
      <c r="H1211" t="s">
        <v>75</v>
      </c>
      <c r="I1211" t="s">
        <v>7892</v>
      </c>
      <c r="J1211" s="1520"/>
      <c r="K1211" s="1520">
        <v>46114</v>
      </c>
      <c r="L1211" s="1520">
        <v>46114</v>
      </c>
      <c r="M1211" s="1520">
        <v>46116</v>
      </c>
      <c r="N1211" t="s">
        <v>973</v>
      </c>
      <c r="O1211" s="1520">
        <v>46128</v>
      </c>
      <c r="P1211" s="1520">
        <v>46124</v>
      </c>
    </row>
    <row r="1212" spans="1:16">
      <c r="A1212" t="s">
        <v>1149</v>
      </c>
      <c r="B1212" t="s">
        <v>64</v>
      </c>
      <c r="C1212" t="s">
        <v>68</v>
      </c>
      <c r="E1212" t="s">
        <v>7917</v>
      </c>
      <c r="F1212" t="s">
        <v>7919</v>
      </c>
      <c r="G1212">
        <v>10</v>
      </c>
      <c r="H1212" t="s">
        <v>75</v>
      </c>
      <c r="I1212" t="s">
        <v>7892</v>
      </c>
      <c r="J1212" s="1520"/>
      <c r="K1212" s="1520">
        <v>46114</v>
      </c>
      <c r="L1212" s="1520">
        <v>46114</v>
      </c>
      <c r="M1212" s="1520">
        <v>46116</v>
      </c>
      <c r="N1212" t="s">
        <v>973</v>
      </c>
      <c r="O1212" s="1520">
        <v>46128</v>
      </c>
      <c r="P1212" s="1520">
        <v>46124</v>
      </c>
    </row>
    <row r="1213" spans="1:16">
      <c r="A1213" t="s">
        <v>7899</v>
      </c>
      <c r="B1213" t="s">
        <v>64</v>
      </c>
      <c r="C1213" t="s">
        <v>68</v>
      </c>
      <c r="E1213" t="s">
        <v>7834</v>
      </c>
      <c r="F1213" t="s">
        <v>7835</v>
      </c>
      <c r="G1213">
        <v>6</v>
      </c>
      <c r="H1213" t="s">
        <v>75</v>
      </c>
      <c r="I1213" t="s">
        <v>7892</v>
      </c>
      <c r="J1213" s="1520"/>
      <c r="K1213" s="1520">
        <v>46114</v>
      </c>
      <c r="L1213" s="1520">
        <v>46114</v>
      </c>
      <c r="M1213" s="1520">
        <v>46116</v>
      </c>
      <c r="N1213" t="s">
        <v>973</v>
      </c>
      <c r="O1213" s="1520">
        <v>46128</v>
      </c>
      <c r="P1213" s="1520">
        <v>46124</v>
      </c>
    </row>
    <row r="1214" spans="1:16">
      <c r="A1214" t="s">
        <v>7897</v>
      </c>
      <c r="B1214" t="s">
        <v>64</v>
      </c>
      <c r="C1214" t="s">
        <v>68</v>
      </c>
      <c r="E1214" t="s">
        <v>7898</v>
      </c>
      <c r="F1214" t="s">
        <v>7853</v>
      </c>
      <c r="G1214">
        <v>8</v>
      </c>
      <c r="H1214" t="s">
        <v>75</v>
      </c>
      <c r="I1214" t="s">
        <v>7892</v>
      </c>
      <c r="J1214" s="1520"/>
      <c r="K1214" s="1520">
        <v>46114</v>
      </c>
      <c r="L1214" s="1520">
        <v>46114</v>
      </c>
      <c r="M1214" s="1520">
        <v>46116</v>
      </c>
      <c r="N1214" t="s">
        <v>973</v>
      </c>
      <c r="O1214" s="1520">
        <v>46128</v>
      </c>
      <c r="P1214" s="1520">
        <v>46124</v>
      </c>
    </row>
    <row r="1215" spans="1:16">
      <c r="A1215" t="s">
        <v>7895</v>
      </c>
      <c r="B1215" t="s">
        <v>64</v>
      </c>
      <c r="C1215" t="s">
        <v>68</v>
      </c>
      <c r="E1215" t="s">
        <v>7851</v>
      </c>
      <c r="F1215" t="s">
        <v>7853</v>
      </c>
      <c r="G1215">
        <v>24</v>
      </c>
      <c r="H1215" t="s">
        <v>75</v>
      </c>
      <c r="I1215" t="s">
        <v>7892</v>
      </c>
      <c r="J1215" s="1520"/>
      <c r="K1215" s="1520">
        <v>46114</v>
      </c>
      <c r="L1215" s="1520">
        <v>46114</v>
      </c>
      <c r="M1215" s="1520">
        <v>46116</v>
      </c>
      <c r="N1215" t="s">
        <v>973</v>
      </c>
      <c r="O1215" s="1520">
        <v>46128</v>
      </c>
      <c r="P1215" s="1520">
        <v>46124</v>
      </c>
    </row>
    <row r="1216" spans="1:16">
      <c r="A1216" t="s">
        <v>7891</v>
      </c>
      <c r="B1216" t="s">
        <v>64</v>
      </c>
      <c r="C1216" t="s">
        <v>68</v>
      </c>
      <c r="E1216" t="s">
        <v>7851</v>
      </c>
      <c r="F1216" t="s">
        <v>7853</v>
      </c>
      <c r="G1216">
        <v>220</v>
      </c>
      <c r="H1216" t="s">
        <v>75</v>
      </c>
      <c r="I1216" t="s">
        <v>7892</v>
      </c>
      <c r="J1216" s="1520"/>
      <c r="K1216" s="1520">
        <v>46114</v>
      </c>
      <c r="L1216" s="1520">
        <v>46114</v>
      </c>
      <c r="M1216" s="1520">
        <v>46116</v>
      </c>
      <c r="N1216" t="s">
        <v>973</v>
      </c>
      <c r="O1216" s="1520">
        <v>46128</v>
      </c>
      <c r="P1216" s="1520">
        <v>46124</v>
      </c>
    </row>
    <row r="1217" spans="1:16">
      <c r="A1217" t="s">
        <v>985</v>
      </c>
      <c r="B1217" t="s">
        <v>64</v>
      </c>
      <c r="C1217" t="s">
        <v>68</v>
      </c>
      <c r="E1217" t="s">
        <v>7906</v>
      </c>
      <c r="F1217" t="s">
        <v>7908</v>
      </c>
      <c r="G1217">
        <v>20</v>
      </c>
      <c r="H1217" t="s">
        <v>75</v>
      </c>
      <c r="I1217" t="s">
        <v>7892</v>
      </c>
      <c r="J1217" s="1520"/>
      <c r="K1217" s="1520">
        <v>46114</v>
      </c>
      <c r="L1217" s="1520">
        <v>46114</v>
      </c>
      <c r="M1217" s="1520">
        <v>46116</v>
      </c>
      <c r="N1217" t="s">
        <v>973</v>
      </c>
      <c r="O1217" s="1520">
        <v>46128</v>
      </c>
      <c r="P1217" s="1520">
        <v>46124</v>
      </c>
    </row>
    <row r="1218" spans="1:16">
      <c r="A1218" t="s">
        <v>7913</v>
      </c>
      <c r="B1218" t="s">
        <v>64</v>
      </c>
      <c r="C1218" t="s">
        <v>68</v>
      </c>
      <c r="E1218" t="s">
        <v>7824</v>
      </c>
      <c r="F1218" t="s">
        <v>7826</v>
      </c>
      <c r="G1218">
        <v>10</v>
      </c>
      <c r="H1218" t="s">
        <v>75</v>
      </c>
      <c r="I1218" t="s">
        <v>7892</v>
      </c>
      <c r="J1218" s="1520"/>
      <c r="K1218" s="1520">
        <v>46114</v>
      </c>
      <c r="L1218" s="1520">
        <v>46114</v>
      </c>
      <c r="M1218" s="1520">
        <v>46116</v>
      </c>
      <c r="N1218" t="s">
        <v>973</v>
      </c>
      <c r="O1218" s="1520">
        <v>46128</v>
      </c>
      <c r="P1218" s="1520">
        <v>46124</v>
      </c>
    </row>
    <row r="1219" spans="1:16">
      <c r="A1219" t="s">
        <v>1007</v>
      </c>
      <c r="B1219" t="s">
        <v>64</v>
      </c>
      <c r="C1219" t="s">
        <v>68</v>
      </c>
      <c r="E1219" t="s">
        <v>7921</v>
      </c>
      <c r="F1219" t="s">
        <v>7923</v>
      </c>
      <c r="G1219">
        <v>10</v>
      </c>
      <c r="H1219" t="s">
        <v>75</v>
      </c>
      <c r="I1219" t="s">
        <v>7892</v>
      </c>
      <c r="J1219" s="1520"/>
      <c r="K1219" s="1520">
        <v>46114</v>
      </c>
      <c r="L1219" s="1520">
        <v>46114</v>
      </c>
      <c r="M1219" s="1520">
        <v>46116</v>
      </c>
      <c r="N1219" t="s">
        <v>973</v>
      </c>
      <c r="O1219" s="1520">
        <v>46128</v>
      </c>
      <c r="P1219" s="1520">
        <v>46124</v>
      </c>
    </row>
    <row r="1220" spans="1:16">
      <c r="A1220" t="s">
        <v>7938</v>
      </c>
      <c r="B1220" t="s">
        <v>64</v>
      </c>
      <c r="C1220" t="s">
        <v>68</v>
      </c>
      <c r="E1220" t="s">
        <v>7940</v>
      </c>
      <c r="F1220" t="s">
        <v>7942</v>
      </c>
      <c r="G1220">
        <v>10</v>
      </c>
      <c r="H1220" t="s">
        <v>75</v>
      </c>
      <c r="I1220" t="s">
        <v>7892</v>
      </c>
      <c r="J1220" s="1520"/>
      <c r="K1220" s="1520">
        <v>46114</v>
      </c>
      <c r="L1220" s="1520">
        <v>46114</v>
      </c>
      <c r="M1220" s="1520">
        <v>46116</v>
      </c>
      <c r="N1220" t="s">
        <v>973</v>
      </c>
      <c r="O1220" s="1520">
        <v>46128</v>
      </c>
      <c r="P1220" s="1520">
        <v>46124</v>
      </c>
    </row>
    <row r="1221" spans="1:16">
      <c r="A1221" t="s">
        <v>1000</v>
      </c>
      <c r="B1221" t="s">
        <v>64</v>
      </c>
      <c r="C1221" t="s">
        <v>68</v>
      </c>
      <c r="E1221" t="s">
        <v>7925</v>
      </c>
      <c r="F1221" t="s">
        <v>7927</v>
      </c>
      <c r="G1221">
        <v>50</v>
      </c>
      <c r="H1221" t="s">
        <v>75</v>
      </c>
      <c r="I1221" t="s">
        <v>7892</v>
      </c>
      <c r="J1221" s="1520"/>
      <c r="K1221" s="1520">
        <v>46114</v>
      </c>
      <c r="L1221" s="1520">
        <v>46114</v>
      </c>
      <c r="M1221" s="1520">
        <v>46116</v>
      </c>
      <c r="N1221" t="s">
        <v>973</v>
      </c>
      <c r="O1221" s="1520">
        <v>46128</v>
      </c>
      <c r="P1221" s="1520">
        <v>46124</v>
      </c>
    </row>
    <row r="1222" spans="1:16">
      <c r="A1222" t="s">
        <v>7928</v>
      </c>
      <c r="B1222" t="s">
        <v>64</v>
      </c>
      <c r="C1222" t="s">
        <v>68</v>
      </c>
      <c r="E1222" t="s">
        <v>7930</v>
      </c>
      <c r="F1222" t="s">
        <v>7932</v>
      </c>
      <c r="G1222">
        <v>20</v>
      </c>
      <c r="H1222" t="s">
        <v>75</v>
      </c>
      <c r="I1222" t="s">
        <v>7892</v>
      </c>
      <c r="J1222" s="1520"/>
      <c r="K1222" s="1520">
        <v>46114</v>
      </c>
      <c r="L1222" s="1520">
        <v>46114</v>
      </c>
      <c r="M1222" s="1520">
        <v>46116</v>
      </c>
      <c r="N1222" t="s">
        <v>973</v>
      </c>
      <c r="O1222" s="1520">
        <v>46128</v>
      </c>
      <c r="P1222" s="1520">
        <v>46124</v>
      </c>
    </row>
    <row r="1223" spans="1:16">
      <c r="A1223" t="s">
        <v>7933</v>
      </c>
      <c r="B1223" t="s">
        <v>64</v>
      </c>
      <c r="C1223" t="s">
        <v>68</v>
      </c>
      <c r="E1223" t="s">
        <v>7935</v>
      </c>
      <c r="F1223" t="s">
        <v>7937</v>
      </c>
      <c r="G1223">
        <v>10</v>
      </c>
      <c r="H1223" t="s">
        <v>75</v>
      </c>
      <c r="I1223" t="s">
        <v>7892</v>
      </c>
      <c r="J1223" s="1520"/>
      <c r="K1223" s="1520">
        <v>46114</v>
      </c>
      <c r="L1223" s="1520">
        <v>46114</v>
      </c>
      <c r="M1223" s="1520">
        <v>46116</v>
      </c>
      <c r="N1223" t="s">
        <v>973</v>
      </c>
      <c r="O1223" s="1520">
        <v>46128</v>
      </c>
      <c r="P1223" s="1520">
        <v>46124</v>
      </c>
    </row>
    <row r="1224" spans="1:16">
      <c r="A1224" t="s">
        <v>7943</v>
      </c>
      <c r="B1224" t="s">
        <v>64</v>
      </c>
      <c r="C1224" t="s">
        <v>68</v>
      </c>
      <c r="E1224" t="s">
        <v>7944</v>
      </c>
      <c r="F1224" t="s">
        <v>7946</v>
      </c>
      <c r="G1224">
        <v>40</v>
      </c>
      <c r="H1224" t="s">
        <v>75</v>
      </c>
      <c r="I1224" t="s">
        <v>7892</v>
      </c>
      <c r="J1224" s="1520"/>
      <c r="K1224" s="1520">
        <v>46114</v>
      </c>
      <c r="L1224" s="1520">
        <v>46114</v>
      </c>
      <c r="M1224" s="1520">
        <v>46116</v>
      </c>
      <c r="N1224" t="s">
        <v>973</v>
      </c>
      <c r="O1224" s="1520">
        <v>46128</v>
      </c>
      <c r="P1224" s="1520">
        <v>46124</v>
      </c>
    </row>
    <row r="1225" spans="1:16">
      <c r="A1225" t="s">
        <v>7947</v>
      </c>
      <c r="B1225" t="s">
        <v>64</v>
      </c>
      <c r="C1225" t="s">
        <v>68</v>
      </c>
      <c r="E1225" t="s">
        <v>7948</v>
      </c>
      <c r="F1225" t="s">
        <v>7950</v>
      </c>
      <c r="G1225">
        <v>10</v>
      </c>
      <c r="H1225" t="s">
        <v>75</v>
      </c>
      <c r="I1225" t="s">
        <v>7892</v>
      </c>
      <c r="J1225" s="1520"/>
      <c r="K1225" s="1520">
        <v>46114</v>
      </c>
      <c r="L1225" s="1520">
        <v>46114</v>
      </c>
      <c r="M1225" s="1520">
        <v>46116</v>
      </c>
      <c r="N1225" t="s">
        <v>973</v>
      </c>
      <c r="O1225" s="1520">
        <v>46128</v>
      </c>
      <c r="P1225" s="1520">
        <v>46124</v>
      </c>
    </row>
    <row r="1226" spans="1:16">
      <c r="A1226" t="s">
        <v>1427</v>
      </c>
      <c r="B1226" t="s">
        <v>64</v>
      </c>
      <c r="C1226" t="s">
        <v>68</v>
      </c>
      <c r="E1226" t="s">
        <v>7902</v>
      </c>
      <c r="F1226" t="s">
        <v>7904</v>
      </c>
      <c r="G1226">
        <v>50</v>
      </c>
      <c r="H1226" t="s">
        <v>75</v>
      </c>
      <c r="I1226" t="s">
        <v>7892</v>
      </c>
      <c r="J1226" s="1520"/>
      <c r="K1226" s="1520">
        <v>46114</v>
      </c>
      <c r="L1226" s="1520">
        <v>46114</v>
      </c>
      <c r="M1226" s="1520">
        <v>46116</v>
      </c>
      <c r="N1226" t="s">
        <v>973</v>
      </c>
      <c r="O1226" s="1520">
        <v>46128</v>
      </c>
      <c r="P1226" s="1520">
        <v>46124</v>
      </c>
    </row>
    <row r="1227" spans="1:16">
      <c r="A1227" t="s">
        <v>7954</v>
      </c>
      <c r="B1227" t="s">
        <v>64</v>
      </c>
      <c r="C1227" t="s">
        <v>68</v>
      </c>
      <c r="E1227" t="s">
        <v>7956</v>
      </c>
      <c r="F1227" t="s">
        <v>7958</v>
      </c>
      <c r="G1227">
        <v>10</v>
      </c>
      <c r="H1227" t="s">
        <v>75</v>
      </c>
      <c r="I1227" t="s">
        <v>7892</v>
      </c>
      <c r="J1227" s="1520"/>
      <c r="K1227" s="1520">
        <v>46114</v>
      </c>
      <c r="L1227" s="1520">
        <v>46114</v>
      </c>
      <c r="M1227" s="1520">
        <v>46116</v>
      </c>
      <c r="N1227" t="s">
        <v>973</v>
      </c>
      <c r="O1227" s="1520">
        <v>46128</v>
      </c>
      <c r="P1227" s="1520">
        <v>46124</v>
      </c>
    </row>
    <row r="1228" spans="1:16">
      <c r="A1228" t="s">
        <v>7959</v>
      </c>
      <c r="B1228" t="s">
        <v>64</v>
      </c>
      <c r="C1228" t="s">
        <v>68</v>
      </c>
      <c r="E1228" t="s">
        <v>7961</v>
      </c>
      <c r="F1228" t="s">
        <v>7963</v>
      </c>
      <c r="G1228">
        <v>40</v>
      </c>
      <c r="H1228" t="s">
        <v>75</v>
      </c>
      <c r="I1228" t="s">
        <v>7892</v>
      </c>
      <c r="J1228" s="1520"/>
      <c r="K1228" s="1520">
        <v>46114</v>
      </c>
      <c r="L1228" s="1520">
        <v>46114</v>
      </c>
      <c r="M1228" s="1520">
        <v>46116</v>
      </c>
      <c r="N1228" t="s">
        <v>973</v>
      </c>
      <c r="O1228" s="1520">
        <v>46128</v>
      </c>
      <c r="P1228" s="1520">
        <v>46124</v>
      </c>
    </row>
    <row r="1229" spans="1:16">
      <c r="A1229" t="s">
        <v>7964</v>
      </c>
      <c r="B1229" t="s">
        <v>64</v>
      </c>
      <c r="C1229" t="s">
        <v>68</v>
      </c>
      <c r="E1229" t="s">
        <v>7966</v>
      </c>
      <c r="F1229" t="s">
        <v>7968</v>
      </c>
      <c r="G1229">
        <v>10</v>
      </c>
      <c r="H1229" t="s">
        <v>75</v>
      </c>
      <c r="I1229" t="s">
        <v>7892</v>
      </c>
      <c r="J1229" s="1520"/>
      <c r="K1229" s="1520">
        <v>46114</v>
      </c>
      <c r="L1229" s="1520">
        <v>46114</v>
      </c>
      <c r="M1229" s="1520">
        <v>46116</v>
      </c>
      <c r="N1229" t="s">
        <v>973</v>
      </c>
      <c r="O1229" s="1520">
        <v>46128</v>
      </c>
      <c r="P1229" s="1520">
        <v>46124</v>
      </c>
    </row>
    <row r="1230" spans="1:16">
      <c r="A1230" t="s">
        <v>7969</v>
      </c>
      <c r="B1230" t="s">
        <v>64</v>
      </c>
      <c r="C1230" t="s">
        <v>68</v>
      </c>
      <c r="E1230" t="s">
        <v>7971</v>
      </c>
      <c r="F1230" t="s">
        <v>7973</v>
      </c>
      <c r="G1230">
        <v>40</v>
      </c>
      <c r="H1230" t="s">
        <v>75</v>
      </c>
      <c r="I1230" t="s">
        <v>7892</v>
      </c>
      <c r="J1230" s="1520"/>
      <c r="K1230" s="1520">
        <v>46114</v>
      </c>
      <c r="L1230" s="1520">
        <v>46114</v>
      </c>
      <c r="M1230" s="1520">
        <v>46116</v>
      </c>
      <c r="N1230" t="s">
        <v>973</v>
      </c>
      <c r="O1230" s="1520">
        <v>46128</v>
      </c>
      <c r="P1230" s="1520">
        <v>46124</v>
      </c>
    </row>
    <row r="1231" spans="1:16">
      <c r="A1231" t="s">
        <v>7951</v>
      </c>
      <c r="B1231" t="s">
        <v>64</v>
      </c>
      <c r="C1231" t="s">
        <v>68</v>
      </c>
      <c r="E1231" t="s">
        <v>7816</v>
      </c>
      <c r="F1231" t="s">
        <v>7818</v>
      </c>
      <c r="G1231">
        <v>10</v>
      </c>
      <c r="H1231" t="s">
        <v>75</v>
      </c>
      <c r="I1231" t="s">
        <v>7892</v>
      </c>
      <c r="J1231" s="1520"/>
      <c r="K1231" s="1520">
        <v>46114</v>
      </c>
      <c r="L1231" s="1520">
        <v>46114</v>
      </c>
      <c r="M1231" s="1520">
        <v>46116</v>
      </c>
      <c r="N1231" t="s">
        <v>973</v>
      </c>
      <c r="O1231" s="1520">
        <v>46128</v>
      </c>
      <c r="P1231" s="1520">
        <v>46124</v>
      </c>
    </row>
    <row r="1232" spans="1:16">
      <c r="A1232" t="s">
        <v>7974</v>
      </c>
      <c r="B1232" t="s">
        <v>64</v>
      </c>
      <c r="C1232" t="s">
        <v>100</v>
      </c>
      <c r="E1232" t="s">
        <v>7977</v>
      </c>
      <c r="F1232" t="s">
        <v>7979</v>
      </c>
      <c r="G1232">
        <v>16</v>
      </c>
      <c r="H1232" t="s">
        <v>75</v>
      </c>
      <c r="I1232" t="s">
        <v>7980</v>
      </c>
      <c r="J1232" s="1520"/>
      <c r="K1232" s="1520">
        <v>46125</v>
      </c>
      <c r="L1232" s="1520">
        <v>46126</v>
      </c>
      <c r="M1232" s="1520">
        <v>46127</v>
      </c>
      <c r="N1232" t="s">
        <v>973</v>
      </c>
      <c r="O1232" s="1520">
        <v>46132</v>
      </c>
      <c r="P1232" s="1520">
        <v>46141</v>
      </c>
    </row>
    <row r="1233" spans="1:16">
      <c r="A1233" t="s">
        <v>7993</v>
      </c>
      <c r="B1233" t="s">
        <v>64</v>
      </c>
      <c r="C1233" t="s">
        <v>100</v>
      </c>
      <c r="E1233" t="s">
        <v>7977</v>
      </c>
      <c r="F1233" t="s">
        <v>7979</v>
      </c>
      <c r="G1233">
        <v>16</v>
      </c>
      <c r="H1233" t="s">
        <v>75</v>
      </c>
      <c r="I1233" t="s">
        <v>7995</v>
      </c>
      <c r="J1233" s="1520"/>
      <c r="K1233" s="1520">
        <v>46181</v>
      </c>
      <c r="L1233" s="1520">
        <v>46182</v>
      </c>
      <c r="M1233" s="1520">
        <v>46181</v>
      </c>
      <c r="N1233" t="s">
        <v>973</v>
      </c>
      <c r="O1233" s="1520">
        <v>46196</v>
      </c>
      <c r="P1233" s="1520">
        <v>46195</v>
      </c>
    </row>
    <row r="1234" spans="1:16">
      <c r="A1234" t="s">
        <v>8048</v>
      </c>
      <c r="B1234" t="s">
        <v>64</v>
      </c>
      <c r="C1234" t="s">
        <v>100</v>
      </c>
      <c r="E1234" t="s">
        <v>7851</v>
      </c>
      <c r="F1234" t="s">
        <v>7853</v>
      </c>
      <c r="G1234">
        <v>552</v>
      </c>
      <c r="H1234" t="s">
        <v>75</v>
      </c>
      <c r="I1234" t="s">
        <v>8051</v>
      </c>
      <c r="J1234" s="1520"/>
      <c r="K1234" s="1520">
        <v>46202</v>
      </c>
      <c r="L1234" s="1520">
        <v>46210</v>
      </c>
      <c r="M1234" s="1520">
        <v>46211</v>
      </c>
      <c r="N1234" t="s">
        <v>973</v>
      </c>
      <c r="O1234" s="1520">
        <v>46220</v>
      </c>
      <c r="P1234" s="1520">
        <v>46218</v>
      </c>
    </row>
    <row r="1235" spans="1:16">
      <c r="A1235" t="s">
        <v>8056</v>
      </c>
      <c r="B1235" t="s">
        <v>64</v>
      </c>
      <c r="C1235" t="s">
        <v>100</v>
      </c>
      <c r="E1235" t="s">
        <v>7851</v>
      </c>
      <c r="F1235" t="s">
        <v>7853</v>
      </c>
      <c r="G1235">
        <v>252</v>
      </c>
      <c r="H1235" t="s">
        <v>75</v>
      </c>
      <c r="I1235" t="s">
        <v>8051</v>
      </c>
      <c r="J1235" s="1520"/>
      <c r="K1235" s="1520">
        <v>46202</v>
      </c>
      <c r="L1235" s="1520">
        <v>46202</v>
      </c>
      <c r="M1235" s="1520">
        <v>46202</v>
      </c>
      <c r="N1235" t="s">
        <v>973</v>
      </c>
      <c r="O1235" s="1520">
        <v>46220</v>
      </c>
      <c r="P1235" s="1520">
        <v>46209</v>
      </c>
    </row>
    <row r="1236" spans="1:16">
      <c r="A1236" t="s">
        <v>8060</v>
      </c>
      <c r="B1236" t="s">
        <v>64</v>
      </c>
      <c r="C1236" t="s">
        <v>100</v>
      </c>
      <c r="E1236" t="s">
        <v>7851</v>
      </c>
      <c r="F1236" t="s">
        <v>7853</v>
      </c>
      <c r="G1236">
        <v>24</v>
      </c>
      <c r="H1236" t="s">
        <v>75</v>
      </c>
      <c r="I1236" t="s">
        <v>8051</v>
      </c>
      <c r="J1236" s="1520"/>
      <c r="K1236" s="1520">
        <v>46202</v>
      </c>
      <c r="L1236" s="1520">
        <v>46202</v>
      </c>
      <c r="M1236" s="1520">
        <v>46202</v>
      </c>
      <c r="N1236" t="s">
        <v>973</v>
      </c>
      <c r="O1236" s="1520">
        <v>46220</v>
      </c>
      <c r="P1236" s="1520">
        <v>46209</v>
      </c>
    </row>
    <row r="1237" spans="1:16">
      <c r="A1237" t="s">
        <v>8046</v>
      </c>
      <c r="B1237" t="s">
        <v>64</v>
      </c>
      <c r="C1237" t="s">
        <v>100</v>
      </c>
      <c r="E1237" t="s">
        <v>7840</v>
      </c>
      <c r="F1237" t="s">
        <v>7842</v>
      </c>
      <c r="G1237">
        <v>338</v>
      </c>
      <c r="H1237" t="s">
        <v>75</v>
      </c>
      <c r="I1237" t="s">
        <v>8042</v>
      </c>
      <c r="J1237" s="1520"/>
      <c r="K1237" s="1520">
        <v>46196</v>
      </c>
      <c r="L1237" s="1520">
        <v>46197</v>
      </c>
      <c r="M1237" s="1520">
        <v>46203</v>
      </c>
      <c r="N1237" t="s">
        <v>973</v>
      </c>
      <c r="O1237" s="1520">
        <v>46211</v>
      </c>
      <c r="P1237" s="1520">
        <v>46210</v>
      </c>
    </row>
    <row r="1238" spans="1:16">
      <c r="A1238" t="s">
        <v>8045</v>
      </c>
      <c r="B1238" t="s">
        <v>64</v>
      </c>
      <c r="C1238" t="s">
        <v>100</v>
      </c>
      <c r="E1238" t="s">
        <v>7828</v>
      </c>
      <c r="F1238" t="s">
        <v>7830</v>
      </c>
      <c r="G1238">
        <v>10</v>
      </c>
      <c r="H1238" t="s">
        <v>75</v>
      </c>
      <c r="I1238" t="s">
        <v>8042</v>
      </c>
      <c r="J1238" s="1520"/>
      <c r="K1238" s="1520">
        <v>46196</v>
      </c>
      <c r="L1238" s="1520">
        <v>46197</v>
      </c>
      <c r="M1238" s="1520">
        <v>46203</v>
      </c>
      <c r="N1238" t="s">
        <v>973</v>
      </c>
      <c r="O1238" s="1520">
        <v>46211</v>
      </c>
      <c r="P1238" s="1520">
        <v>46210</v>
      </c>
    </row>
    <row r="1239" spans="1:16">
      <c r="A1239" t="s">
        <v>8040</v>
      </c>
      <c r="B1239" t="s">
        <v>64</v>
      </c>
      <c r="C1239" t="s">
        <v>100</v>
      </c>
      <c r="E1239" t="s">
        <v>7828</v>
      </c>
      <c r="F1239" t="s">
        <v>7830</v>
      </c>
      <c r="G1239">
        <v>214</v>
      </c>
      <c r="H1239" t="s">
        <v>75</v>
      </c>
      <c r="I1239" t="s">
        <v>8042</v>
      </c>
      <c r="J1239" s="1520"/>
      <c r="K1239" s="1520">
        <v>46196</v>
      </c>
      <c r="L1239" s="1520">
        <v>46197</v>
      </c>
      <c r="M1239" s="1520">
        <v>46203</v>
      </c>
      <c r="N1239" t="s">
        <v>973</v>
      </c>
      <c r="O1239" s="1520">
        <v>46211</v>
      </c>
      <c r="P1239" s="1520">
        <v>46210</v>
      </c>
    </row>
    <row r="1240" spans="1:16">
      <c r="A1240" t="s">
        <v>8047</v>
      </c>
      <c r="B1240" t="s">
        <v>64</v>
      </c>
      <c r="C1240" t="s">
        <v>100</v>
      </c>
      <c r="E1240" t="s">
        <v>7840</v>
      </c>
      <c r="F1240" t="s">
        <v>7842</v>
      </c>
      <c r="G1240">
        <v>12</v>
      </c>
      <c r="H1240" t="s">
        <v>75</v>
      </c>
      <c r="I1240" t="s">
        <v>8042</v>
      </c>
      <c r="J1240" s="1520"/>
      <c r="K1240" s="1520">
        <v>46196</v>
      </c>
      <c r="L1240" s="1520">
        <v>46197</v>
      </c>
      <c r="M1240" s="1520">
        <v>46203</v>
      </c>
      <c r="N1240" t="s">
        <v>973</v>
      </c>
      <c r="O1240" s="1520">
        <v>46211</v>
      </c>
      <c r="P1240" s="1520">
        <v>46210</v>
      </c>
    </row>
    <row r="1241" spans="1:16">
      <c r="A1241" t="s">
        <v>8039</v>
      </c>
      <c r="B1241" t="s">
        <v>64</v>
      </c>
      <c r="C1241" t="s">
        <v>100</v>
      </c>
      <c r="E1241" t="s">
        <v>7816</v>
      </c>
      <c r="F1241" t="s">
        <v>7818</v>
      </c>
      <c r="G1241">
        <v>78</v>
      </c>
      <c r="H1241" t="s">
        <v>75</v>
      </c>
      <c r="I1241" t="s">
        <v>8028</v>
      </c>
      <c r="J1241" s="1520"/>
      <c r="K1241" s="1520">
        <v>46200</v>
      </c>
      <c r="L1241" s="1520">
        <v>46202</v>
      </c>
      <c r="M1241" s="1520">
        <v>46201</v>
      </c>
      <c r="N1241" t="s">
        <v>973</v>
      </c>
      <c r="O1241" s="1520">
        <v>46216</v>
      </c>
      <c r="P1241" s="1520">
        <v>46208</v>
      </c>
    </row>
    <row r="1242" spans="1:16">
      <c r="A1242" t="s">
        <v>8038</v>
      </c>
      <c r="B1242" t="s">
        <v>64</v>
      </c>
      <c r="C1242" t="s">
        <v>100</v>
      </c>
      <c r="E1242" t="s">
        <v>7887</v>
      </c>
      <c r="F1242" t="s">
        <v>7842</v>
      </c>
      <c r="G1242">
        <v>2</v>
      </c>
      <c r="H1242" t="s">
        <v>75</v>
      </c>
      <c r="I1242" t="s">
        <v>8028</v>
      </c>
      <c r="J1242" s="1520"/>
      <c r="K1242" s="1520">
        <v>46200</v>
      </c>
      <c r="L1242" s="1520">
        <v>46202</v>
      </c>
      <c r="M1242" s="1520">
        <v>46201</v>
      </c>
      <c r="N1242" t="s">
        <v>973</v>
      </c>
      <c r="O1242" s="1520">
        <v>46216</v>
      </c>
      <c r="P1242" s="1520">
        <v>46208</v>
      </c>
    </row>
    <row r="1243" spans="1:16">
      <c r="A1243" t="s">
        <v>8036</v>
      </c>
      <c r="B1243" t="s">
        <v>64</v>
      </c>
      <c r="C1243" t="s">
        <v>100</v>
      </c>
      <c r="E1243" t="s">
        <v>7840</v>
      </c>
      <c r="F1243" t="s">
        <v>7842</v>
      </c>
      <c r="G1243">
        <v>48</v>
      </c>
      <c r="H1243" t="s">
        <v>75</v>
      </c>
      <c r="I1243" t="s">
        <v>8028</v>
      </c>
      <c r="J1243" s="1520"/>
      <c r="K1243" s="1520">
        <v>46200</v>
      </c>
      <c r="L1243" s="1520">
        <v>46202</v>
      </c>
      <c r="M1243" s="1520">
        <v>46201</v>
      </c>
      <c r="N1243" t="s">
        <v>973</v>
      </c>
      <c r="O1243" s="1520">
        <v>46216</v>
      </c>
      <c r="P1243" s="1520">
        <v>46208</v>
      </c>
    </row>
    <row r="1244" spans="1:16">
      <c r="A1244" t="s">
        <v>8035</v>
      </c>
      <c r="B1244" t="s">
        <v>64</v>
      </c>
      <c r="C1244" t="s">
        <v>100</v>
      </c>
      <c r="E1244" t="s">
        <v>7837</v>
      </c>
      <c r="F1244" t="s">
        <v>7838</v>
      </c>
      <c r="G1244">
        <v>2</v>
      </c>
      <c r="H1244" t="s">
        <v>75</v>
      </c>
      <c r="I1244" t="s">
        <v>8028</v>
      </c>
      <c r="J1244" s="1520"/>
      <c r="K1244" s="1520">
        <v>46200</v>
      </c>
      <c r="L1244" s="1520">
        <v>46202</v>
      </c>
      <c r="M1244" s="1520">
        <v>46201</v>
      </c>
      <c r="N1244" t="s">
        <v>973</v>
      </c>
      <c r="O1244" s="1520">
        <v>46216</v>
      </c>
      <c r="P1244" s="1520">
        <v>46208</v>
      </c>
    </row>
    <row r="1245" spans="1:16">
      <c r="A1245" t="s">
        <v>8033</v>
      </c>
      <c r="B1245" t="s">
        <v>64</v>
      </c>
      <c r="C1245" t="s">
        <v>100</v>
      </c>
      <c r="E1245" t="s">
        <v>7834</v>
      </c>
      <c r="F1245" t="s">
        <v>7835</v>
      </c>
      <c r="G1245">
        <v>2</v>
      </c>
      <c r="H1245" t="s">
        <v>75</v>
      </c>
      <c r="I1245" t="s">
        <v>8028</v>
      </c>
      <c r="J1245" s="1520"/>
      <c r="K1245" s="1520">
        <v>46200</v>
      </c>
      <c r="L1245" s="1520">
        <v>46202</v>
      </c>
      <c r="M1245" s="1520">
        <v>46201</v>
      </c>
      <c r="N1245" t="s">
        <v>973</v>
      </c>
      <c r="O1245" s="1520">
        <v>46216</v>
      </c>
      <c r="P1245" s="1520">
        <v>46208</v>
      </c>
    </row>
    <row r="1246" spans="1:16">
      <c r="A1246" t="s">
        <v>8026</v>
      </c>
      <c r="B1246" t="s">
        <v>64</v>
      </c>
      <c r="C1246" t="s">
        <v>100</v>
      </c>
      <c r="E1246" t="s">
        <v>7828</v>
      </c>
      <c r="F1246" t="s">
        <v>7830</v>
      </c>
      <c r="G1246">
        <v>114</v>
      </c>
      <c r="H1246" t="s">
        <v>75</v>
      </c>
      <c r="I1246" t="s">
        <v>8028</v>
      </c>
      <c r="J1246" s="1520"/>
      <c r="K1246" s="1520">
        <v>46200</v>
      </c>
      <c r="L1246" s="1520">
        <v>46202</v>
      </c>
      <c r="M1246" s="1520">
        <v>46201</v>
      </c>
      <c r="N1246" t="s">
        <v>973</v>
      </c>
      <c r="O1246" s="1520">
        <v>46216</v>
      </c>
      <c r="P1246" s="1520">
        <v>46208</v>
      </c>
    </row>
    <row r="1247" spans="1:16">
      <c r="A1247" t="s">
        <v>8034</v>
      </c>
      <c r="B1247" t="s">
        <v>64</v>
      </c>
      <c r="C1247" t="s">
        <v>100</v>
      </c>
      <c r="E1247" t="s">
        <v>7837</v>
      </c>
      <c r="F1247" t="s">
        <v>7838</v>
      </c>
      <c r="G1247">
        <v>58</v>
      </c>
      <c r="H1247" t="s">
        <v>75</v>
      </c>
      <c r="I1247" t="s">
        <v>8028</v>
      </c>
      <c r="J1247" s="1520"/>
      <c r="K1247" s="1520">
        <v>46200</v>
      </c>
      <c r="L1247" s="1520">
        <v>46202</v>
      </c>
      <c r="M1247" s="1520">
        <v>46201</v>
      </c>
      <c r="N1247" t="s">
        <v>973</v>
      </c>
      <c r="O1247" s="1520">
        <v>46216</v>
      </c>
      <c r="P1247" s="1520">
        <v>46208</v>
      </c>
    </row>
    <row r="1248" spans="1:16">
      <c r="A1248" t="s">
        <v>8085</v>
      </c>
      <c r="B1248" t="s">
        <v>64</v>
      </c>
      <c r="C1248" t="s">
        <v>65</v>
      </c>
      <c r="E1248" t="s">
        <v>7828</v>
      </c>
      <c r="F1248" t="s">
        <v>7830</v>
      </c>
      <c r="G1248">
        <v>96</v>
      </c>
      <c r="H1248" t="s">
        <v>75</v>
      </c>
      <c r="I1248" t="s">
        <v>8087</v>
      </c>
      <c r="J1248" s="1520"/>
      <c r="K1248" s="1520">
        <v>46226</v>
      </c>
      <c r="L1248" s="1520">
        <v>46233</v>
      </c>
      <c r="M1248" s="1520">
        <v>46233</v>
      </c>
      <c r="N1248" t="s">
        <v>973</v>
      </c>
      <c r="O1248" s="1520">
        <v>46244</v>
      </c>
      <c r="P1248" s="1520">
        <v>46240</v>
      </c>
    </row>
    <row r="1249" spans="1:16">
      <c r="A1249" t="s">
        <v>8090</v>
      </c>
      <c r="B1249" t="s">
        <v>64</v>
      </c>
      <c r="C1249" t="s">
        <v>65</v>
      </c>
      <c r="E1249" t="s">
        <v>7840</v>
      </c>
      <c r="F1249" t="s">
        <v>7842</v>
      </c>
      <c r="G1249">
        <v>194</v>
      </c>
      <c r="H1249" t="s">
        <v>75</v>
      </c>
      <c r="I1249" t="s">
        <v>8087</v>
      </c>
      <c r="J1249" s="1520"/>
      <c r="K1249" s="1520">
        <v>46226</v>
      </c>
      <c r="L1249" s="1520">
        <v>46233</v>
      </c>
      <c r="M1249" s="1520">
        <v>46233</v>
      </c>
      <c r="N1249" t="s">
        <v>973</v>
      </c>
      <c r="O1249" s="1520">
        <v>46244</v>
      </c>
      <c r="P1249" s="1520">
        <v>46240</v>
      </c>
    </row>
    <row r="1250" spans="1:16">
      <c r="A1250" t="s">
        <v>8091</v>
      </c>
      <c r="B1250" t="s">
        <v>64</v>
      </c>
      <c r="C1250" t="s">
        <v>65</v>
      </c>
      <c r="E1250" t="s">
        <v>7816</v>
      </c>
      <c r="F1250" t="s">
        <v>7818</v>
      </c>
      <c r="G1250">
        <v>165</v>
      </c>
      <c r="H1250" t="s">
        <v>75</v>
      </c>
      <c r="I1250" t="s">
        <v>8087</v>
      </c>
      <c r="J1250" s="1520"/>
      <c r="K1250" s="1520">
        <v>46226</v>
      </c>
      <c r="L1250" s="1520">
        <v>46233</v>
      </c>
      <c r="M1250" s="1520">
        <v>46233</v>
      </c>
      <c r="N1250" t="s">
        <v>973</v>
      </c>
      <c r="O1250" s="1520">
        <v>46244</v>
      </c>
      <c r="P1250" s="1520">
        <v>46240</v>
      </c>
    </row>
    <row r="1251" spans="1:16">
      <c r="A1251" t="s">
        <v>8092</v>
      </c>
      <c r="B1251" t="s">
        <v>64</v>
      </c>
      <c r="C1251" t="s">
        <v>65</v>
      </c>
      <c r="E1251" t="s">
        <v>7824</v>
      </c>
      <c r="F1251" t="s">
        <v>7826</v>
      </c>
      <c r="G1251">
        <v>72</v>
      </c>
      <c r="H1251" t="s">
        <v>75</v>
      </c>
      <c r="I1251" t="s">
        <v>8087</v>
      </c>
      <c r="J1251" s="1520"/>
      <c r="K1251" s="1520">
        <v>46226</v>
      </c>
      <c r="L1251" s="1520">
        <v>46233</v>
      </c>
      <c r="M1251" s="1520">
        <v>46233</v>
      </c>
      <c r="N1251" t="s">
        <v>973</v>
      </c>
      <c r="O1251" s="1520">
        <v>46244</v>
      </c>
      <c r="P1251" s="1520">
        <v>46240</v>
      </c>
    </row>
    <row r="1252" spans="1:16">
      <c r="A1252" t="s">
        <v>8094</v>
      </c>
      <c r="B1252" t="s">
        <v>64</v>
      </c>
      <c r="C1252" t="s">
        <v>65</v>
      </c>
      <c r="E1252" t="s">
        <v>8095</v>
      </c>
      <c r="F1252" t="s">
        <v>8097</v>
      </c>
      <c r="G1252">
        <v>150</v>
      </c>
      <c r="H1252" t="s">
        <v>75</v>
      </c>
      <c r="I1252" t="s">
        <v>8087</v>
      </c>
      <c r="J1252" s="1520"/>
      <c r="K1252" s="1520">
        <v>46226</v>
      </c>
      <c r="L1252" s="1520">
        <v>46233</v>
      </c>
      <c r="M1252" s="1520">
        <v>46233</v>
      </c>
      <c r="N1252" t="s">
        <v>973</v>
      </c>
      <c r="O1252" s="1520">
        <v>46244</v>
      </c>
      <c r="P1252" s="1520">
        <v>46240</v>
      </c>
    </row>
    <row r="1253" spans="1:16">
      <c r="A1253" t="s">
        <v>8098</v>
      </c>
      <c r="B1253" t="s">
        <v>64</v>
      </c>
      <c r="C1253" t="s">
        <v>65</v>
      </c>
      <c r="E1253" t="s">
        <v>7828</v>
      </c>
      <c r="F1253" t="s">
        <v>7830</v>
      </c>
      <c r="G1253">
        <v>224</v>
      </c>
      <c r="H1253" t="s">
        <v>75</v>
      </c>
      <c r="I1253" t="s">
        <v>8087</v>
      </c>
      <c r="J1253" s="1520"/>
      <c r="K1253" s="1520">
        <v>46226</v>
      </c>
      <c r="L1253" s="1520">
        <v>46233</v>
      </c>
      <c r="M1253" s="1520">
        <v>46233</v>
      </c>
      <c r="N1253" t="s">
        <v>973</v>
      </c>
      <c r="O1253" s="1520">
        <v>46244</v>
      </c>
      <c r="P1253" s="1520">
        <v>46240</v>
      </c>
    </row>
    <row r="1254" spans="1:16">
      <c r="A1254" t="s">
        <v>8083</v>
      </c>
      <c r="B1254" t="s">
        <v>64</v>
      </c>
      <c r="C1254" t="s">
        <v>65</v>
      </c>
      <c r="E1254" t="s">
        <v>7851</v>
      </c>
      <c r="F1254" t="s">
        <v>7853</v>
      </c>
      <c r="G1254">
        <v>244</v>
      </c>
      <c r="H1254" t="s">
        <v>75</v>
      </c>
      <c r="I1254" t="s">
        <v>8080</v>
      </c>
      <c r="J1254" s="1520"/>
      <c r="K1254" s="1520">
        <v>46235</v>
      </c>
      <c r="L1254" s="1520">
        <v>46235</v>
      </c>
      <c r="M1254" s="1520">
        <v>46235</v>
      </c>
      <c r="N1254" t="s">
        <v>973</v>
      </c>
      <c r="O1254" s="1520">
        <v>46244</v>
      </c>
      <c r="P1254" s="1520">
        <v>46242</v>
      </c>
    </row>
    <row r="1255" spans="1:16">
      <c r="A1255" t="s">
        <v>8079</v>
      </c>
      <c r="B1255" t="s">
        <v>64</v>
      </c>
      <c r="C1255" t="s">
        <v>65</v>
      </c>
      <c r="E1255" t="s">
        <v>7851</v>
      </c>
      <c r="F1255" t="s">
        <v>7853</v>
      </c>
      <c r="G1255">
        <v>276</v>
      </c>
      <c r="H1255" t="s">
        <v>75</v>
      </c>
      <c r="I1255" t="s">
        <v>8080</v>
      </c>
      <c r="J1255" s="1520"/>
      <c r="K1255" s="1520">
        <v>46235</v>
      </c>
      <c r="L1255" s="1520">
        <v>46235</v>
      </c>
      <c r="M1255" s="1520">
        <v>46235</v>
      </c>
      <c r="N1255" t="s">
        <v>973</v>
      </c>
      <c r="O1255" s="1520">
        <v>46244</v>
      </c>
      <c r="P1255" s="1520">
        <v>46242</v>
      </c>
    </row>
    <row r="1256" spans="1:16">
      <c r="A1256" t="s">
        <v>8084</v>
      </c>
      <c r="B1256" t="s">
        <v>64</v>
      </c>
      <c r="C1256" t="s">
        <v>65</v>
      </c>
      <c r="E1256" t="s">
        <v>7851</v>
      </c>
      <c r="F1256" t="s">
        <v>7853</v>
      </c>
      <c r="G1256">
        <v>32</v>
      </c>
      <c r="H1256" t="s">
        <v>75</v>
      </c>
      <c r="I1256" t="s">
        <v>8080</v>
      </c>
      <c r="J1256" s="1520"/>
      <c r="K1256" s="1520">
        <v>46235</v>
      </c>
      <c r="L1256" s="1520">
        <v>46235</v>
      </c>
      <c r="M1256" s="1520">
        <v>46235</v>
      </c>
      <c r="N1256" t="s">
        <v>973</v>
      </c>
      <c r="O1256" s="1520">
        <v>46244</v>
      </c>
      <c r="P1256" s="1520">
        <v>46242</v>
      </c>
    </row>
    <row r="1257" spans="1:16">
      <c r="A1257" t="s">
        <v>8075</v>
      </c>
      <c r="B1257" t="s">
        <v>64</v>
      </c>
      <c r="C1257" t="s">
        <v>65</v>
      </c>
      <c r="E1257" t="s">
        <v>7851</v>
      </c>
      <c r="F1257" t="s">
        <v>7853</v>
      </c>
      <c r="G1257">
        <v>276</v>
      </c>
      <c r="H1257" t="s">
        <v>75</v>
      </c>
      <c r="I1257" t="s">
        <v>8076</v>
      </c>
      <c r="J1257" s="1520"/>
      <c r="K1257" s="1520">
        <v>46241</v>
      </c>
      <c r="L1257" s="1520">
        <v>46235</v>
      </c>
      <c r="M1257" s="1520">
        <v>46235</v>
      </c>
      <c r="N1257" t="s">
        <v>973</v>
      </c>
      <c r="O1257" s="1520">
        <v>46247</v>
      </c>
      <c r="P1257" s="1520">
        <v>46245</v>
      </c>
    </row>
    <row r="1258" spans="1:16">
      <c r="A1258" t="s">
        <v>8070</v>
      </c>
      <c r="B1258" t="s">
        <v>64</v>
      </c>
      <c r="C1258" t="s">
        <v>65</v>
      </c>
      <c r="E1258" t="s">
        <v>7851</v>
      </c>
      <c r="F1258" t="s">
        <v>7853</v>
      </c>
      <c r="G1258">
        <v>276</v>
      </c>
      <c r="H1258" t="s">
        <v>75</v>
      </c>
      <c r="I1258" t="s">
        <v>8072</v>
      </c>
      <c r="J1258" s="1520"/>
      <c r="K1258" s="1520">
        <v>46228</v>
      </c>
      <c r="L1258" s="1520">
        <v>46228</v>
      </c>
      <c r="M1258" s="1520">
        <v>46228</v>
      </c>
      <c r="N1258" t="s">
        <v>973</v>
      </c>
      <c r="O1258" s="1520">
        <v>46237</v>
      </c>
      <c r="P1258" s="1520">
        <v>46235</v>
      </c>
    </row>
    <row r="1259" spans="1:16">
      <c r="A1259" t="s">
        <v>8061</v>
      </c>
      <c r="B1259" t="s">
        <v>64</v>
      </c>
      <c r="C1259" t="s">
        <v>65</v>
      </c>
      <c r="E1259" t="s">
        <v>7828</v>
      </c>
      <c r="F1259" t="s">
        <v>7830</v>
      </c>
      <c r="G1259">
        <v>160</v>
      </c>
      <c r="H1259" t="s">
        <v>75</v>
      </c>
      <c r="I1259" t="s">
        <v>8062</v>
      </c>
      <c r="J1259" s="1520"/>
      <c r="K1259" s="1520">
        <v>46217</v>
      </c>
      <c r="L1259" s="1520">
        <v>46223</v>
      </c>
      <c r="M1259" s="1520">
        <v>46223</v>
      </c>
      <c r="N1259" t="s">
        <v>973</v>
      </c>
      <c r="O1259" s="1520">
        <v>46230</v>
      </c>
      <c r="P1259" s="1520">
        <v>46230</v>
      </c>
    </row>
    <row r="1260" spans="1:16">
      <c r="A1260" t="s">
        <v>8065</v>
      </c>
      <c r="B1260" t="s">
        <v>64</v>
      </c>
      <c r="C1260" t="s">
        <v>65</v>
      </c>
      <c r="E1260" t="s">
        <v>7828</v>
      </c>
      <c r="F1260" t="s">
        <v>7830</v>
      </c>
      <c r="G1260">
        <v>14</v>
      </c>
      <c r="H1260" t="s">
        <v>75</v>
      </c>
      <c r="I1260" t="s">
        <v>8062</v>
      </c>
      <c r="J1260" s="1520"/>
      <c r="K1260" s="1520">
        <v>46217</v>
      </c>
      <c r="L1260" s="1520">
        <v>46223</v>
      </c>
      <c r="M1260" s="1520">
        <v>46223</v>
      </c>
      <c r="N1260" t="s">
        <v>973</v>
      </c>
      <c r="O1260" s="1520">
        <v>46230</v>
      </c>
      <c r="P1260" s="1520">
        <v>46230</v>
      </c>
    </row>
    <row r="1261" spans="1:16">
      <c r="A1261" t="s">
        <v>8066</v>
      </c>
      <c r="B1261" t="s">
        <v>64</v>
      </c>
      <c r="C1261" t="s">
        <v>65</v>
      </c>
      <c r="E1261" t="s">
        <v>7837</v>
      </c>
      <c r="F1261" t="s">
        <v>7838</v>
      </c>
      <c r="G1261">
        <v>48</v>
      </c>
      <c r="H1261" t="s">
        <v>75</v>
      </c>
      <c r="I1261" t="s">
        <v>8062</v>
      </c>
      <c r="J1261" s="1520"/>
      <c r="K1261" s="1520">
        <v>46217</v>
      </c>
      <c r="L1261" s="1520">
        <v>46223</v>
      </c>
      <c r="M1261" s="1520">
        <v>46223</v>
      </c>
      <c r="N1261" t="s">
        <v>973</v>
      </c>
      <c r="O1261" s="1520">
        <v>46230</v>
      </c>
      <c r="P1261" s="1520">
        <v>46230</v>
      </c>
    </row>
    <row r="1262" spans="1:16">
      <c r="A1262" t="s">
        <v>8067</v>
      </c>
      <c r="B1262" t="s">
        <v>64</v>
      </c>
      <c r="C1262" t="s">
        <v>65</v>
      </c>
      <c r="E1262" t="s">
        <v>7837</v>
      </c>
      <c r="F1262" t="s">
        <v>7838</v>
      </c>
      <c r="G1262">
        <v>2</v>
      </c>
      <c r="H1262" t="s">
        <v>75</v>
      </c>
      <c r="I1262" t="s">
        <v>8062</v>
      </c>
      <c r="J1262" s="1520"/>
      <c r="K1262" s="1520">
        <v>46217</v>
      </c>
      <c r="L1262" s="1520">
        <v>46223</v>
      </c>
      <c r="M1262" s="1520">
        <v>46223</v>
      </c>
      <c r="N1262" t="s">
        <v>973</v>
      </c>
      <c r="O1262" s="1520">
        <v>46230</v>
      </c>
      <c r="P1262" s="1520">
        <v>46230</v>
      </c>
    </row>
    <row r="1263" spans="1:16">
      <c r="A1263" t="s">
        <v>8068</v>
      </c>
      <c r="B1263" t="s">
        <v>64</v>
      </c>
      <c r="C1263" t="s">
        <v>65</v>
      </c>
      <c r="E1263" t="s">
        <v>7840</v>
      </c>
      <c r="F1263" t="s">
        <v>7842</v>
      </c>
      <c r="G1263">
        <v>334</v>
      </c>
      <c r="H1263" t="s">
        <v>75</v>
      </c>
      <c r="I1263" t="s">
        <v>8062</v>
      </c>
      <c r="J1263" s="1520"/>
      <c r="K1263" s="1520">
        <v>46217</v>
      </c>
      <c r="L1263" s="1520">
        <v>46223</v>
      </c>
      <c r="M1263" s="1520">
        <v>46223</v>
      </c>
      <c r="N1263" t="s">
        <v>973</v>
      </c>
      <c r="O1263" s="1520">
        <v>46230</v>
      </c>
      <c r="P1263" s="1520">
        <v>46230</v>
      </c>
    </row>
    <row r="1264" spans="1:16">
      <c r="A1264" t="s">
        <v>8069</v>
      </c>
      <c r="B1264" t="s">
        <v>64</v>
      </c>
      <c r="C1264" t="s">
        <v>65</v>
      </c>
      <c r="E1264" t="s">
        <v>7840</v>
      </c>
      <c r="F1264" t="s">
        <v>7842</v>
      </c>
      <c r="G1264">
        <v>16</v>
      </c>
      <c r="H1264" t="s">
        <v>75</v>
      </c>
      <c r="I1264" t="s">
        <v>8062</v>
      </c>
      <c r="J1264" s="1520"/>
      <c r="K1264" s="1520">
        <v>46217</v>
      </c>
      <c r="L1264" s="1520">
        <v>46223</v>
      </c>
      <c r="M1264" s="1520">
        <v>46223</v>
      </c>
      <c r="N1264" t="s">
        <v>973</v>
      </c>
      <c r="O1264" s="1520">
        <v>46230</v>
      </c>
      <c r="P1264" s="1520">
        <v>46230</v>
      </c>
    </row>
    <row r="1265" spans="1:16">
      <c r="A1265" t="s">
        <v>8111</v>
      </c>
      <c r="B1265" t="s">
        <v>64</v>
      </c>
      <c r="C1265" t="s">
        <v>65</v>
      </c>
      <c r="E1265" t="s">
        <v>7851</v>
      </c>
      <c r="F1265" t="s">
        <v>7853</v>
      </c>
      <c r="G1265">
        <v>276</v>
      </c>
      <c r="H1265" t="s">
        <v>75</v>
      </c>
      <c r="I1265" t="s">
        <v>8112</v>
      </c>
      <c r="J1265" s="1520"/>
      <c r="K1265" s="1520">
        <v>46249</v>
      </c>
      <c r="L1265" s="1520">
        <v>46249</v>
      </c>
      <c r="M1265" s="1520">
        <v>46249</v>
      </c>
      <c r="N1265" t="s">
        <v>973</v>
      </c>
      <c r="O1265" s="1520">
        <v>46255</v>
      </c>
      <c r="P1265" s="1520">
        <v>46256</v>
      </c>
    </row>
    <row r="1266" spans="1:16">
      <c r="A1266" t="s">
        <v>8115</v>
      </c>
      <c r="B1266" t="s">
        <v>64</v>
      </c>
      <c r="C1266" t="s">
        <v>65</v>
      </c>
      <c r="E1266" t="s">
        <v>8116</v>
      </c>
      <c r="F1266" t="s">
        <v>8117</v>
      </c>
      <c r="G1266">
        <v>128</v>
      </c>
      <c r="H1266" t="s">
        <v>75</v>
      </c>
      <c r="I1266" t="s">
        <v>8112</v>
      </c>
      <c r="J1266" s="1520"/>
      <c r="K1266" s="1520">
        <v>46249</v>
      </c>
      <c r="L1266" s="1520">
        <v>46249</v>
      </c>
      <c r="M1266" s="1520">
        <v>46249</v>
      </c>
      <c r="N1266" t="s">
        <v>973</v>
      </c>
      <c r="O1266" s="1520">
        <v>46255</v>
      </c>
      <c r="P1266" s="1520">
        <v>46256</v>
      </c>
    </row>
    <row r="1267" spans="1:16">
      <c r="A1267" t="s">
        <v>8122</v>
      </c>
      <c r="B1267" t="s">
        <v>64</v>
      </c>
      <c r="C1267" t="s">
        <v>65</v>
      </c>
      <c r="E1267" t="s">
        <v>7851</v>
      </c>
      <c r="F1267" t="s">
        <v>7853</v>
      </c>
      <c r="G1267">
        <v>12</v>
      </c>
      <c r="H1267" t="s">
        <v>75</v>
      </c>
      <c r="I1267" t="s">
        <v>8112</v>
      </c>
      <c r="J1267" s="1520"/>
      <c r="K1267" s="1520">
        <v>46249</v>
      </c>
      <c r="L1267" s="1520">
        <v>46249</v>
      </c>
      <c r="M1267" s="1520">
        <v>46249</v>
      </c>
      <c r="N1267" t="s">
        <v>973</v>
      </c>
      <c r="O1267" s="1520">
        <v>46255</v>
      </c>
      <c r="P1267" s="1520">
        <v>46256</v>
      </c>
    </row>
    <row r="1268" spans="1:16">
      <c r="A1268" t="s">
        <v>8118</v>
      </c>
      <c r="B1268" t="s">
        <v>64</v>
      </c>
      <c r="C1268" t="s">
        <v>65</v>
      </c>
      <c r="E1268" t="s">
        <v>8116</v>
      </c>
      <c r="F1268" t="s">
        <v>8117</v>
      </c>
      <c r="G1268">
        <v>4</v>
      </c>
      <c r="H1268" t="s">
        <v>75</v>
      </c>
      <c r="I1268" t="s">
        <v>8112</v>
      </c>
      <c r="J1268" s="1520"/>
      <c r="K1268" s="1520">
        <v>46249</v>
      </c>
      <c r="L1268" s="1520">
        <v>46249</v>
      </c>
      <c r="M1268" s="1520">
        <v>46249</v>
      </c>
      <c r="N1268" t="s">
        <v>973</v>
      </c>
      <c r="O1268" s="1520">
        <v>46255</v>
      </c>
      <c r="P1268" s="1520">
        <v>46256</v>
      </c>
    </row>
    <row r="1269" spans="1:16">
      <c r="A1269" t="s">
        <v>8119</v>
      </c>
      <c r="B1269" t="s">
        <v>64</v>
      </c>
      <c r="C1269" t="s">
        <v>65</v>
      </c>
      <c r="E1269" t="s">
        <v>8101</v>
      </c>
      <c r="F1269" t="s">
        <v>8102</v>
      </c>
      <c r="G1269">
        <v>4</v>
      </c>
      <c r="H1269" t="s">
        <v>75</v>
      </c>
      <c r="I1269" t="s">
        <v>8112</v>
      </c>
      <c r="J1269" s="1520"/>
      <c r="K1269" s="1520">
        <v>46249</v>
      </c>
      <c r="L1269" s="1520">
        <v>46249</v>
      </c>
      <c r="M1269" s="1520">
        <v>46249</v>
      </c>
      <c r="N1269" t="s">
        <v>973</v>
      </c>
      <c r="O1269" s="1520">
        <v>46255</v>
      </c>
      <c r="P1269" s="1520">
        <v>46256</v>
      </c>
    </row>
    <row r="1270" spans="1:16">
      <c r="A1270" t="s">
        <v>8121</v>
      </c>
      <c r="B1270" t="s">
        <v>64</v>
      </c>
      <c r="C1270" t="s">
        <v>65</v>
      </c>
      <c r="E1270" t="s">
        <v>7851</v>
      </c>
      <c r="F1270" t="s">
        <v>7853</v>
      </c>
      <c r="G1270">
        <v>108</v>
      </c>
      <c r="H1270" t="s">
        <v>75</v>
      </c>
      <c r="I1270" t="s">
        <v>8112</v>
      </c>
      <c r="J1270" s="1520"/>
      <c r="K1270" s="1520">
        <v>46249</v>
      </c>
      <c r="L1270" s="1520">
        <v>46249</v>
      </c>
      <c r="M1270" s="1520">
        <v>46249</v>
      </c>
      <c r="N1270" t="s">
        <v>973</v>
      </c>
      <c r="O1270" s="1520">
        <v>46255</v>
      </c>
      <c r="P1270" s="1520">
        <v>46256</v>
      </c>
    </row>
    <row r="1271" spans="1:16">
      <c r="A1271" t="s">
        <v>8120</v>
      </c>
      <c r="B1271" t="s">
        <v>64</v>
      </c>
      <c r="C1271" t="s">
        <v>65</v>
      </c>
      <c r="E1271" t="s">
        <v>8101</v>
      </c>
      <c r="F1271" t="s">
        <v>8102</v>
      </c>
      <c r="G1271">
        <v>2</v>
      </c>
      <c r="H1271" t="s">
        <v>75</v>
      </c>
      <c r="I1271" t="s">
        <v>8112</v>
      </c>
      <c r="J1271" s="1520"/>
      <c r="K1271" s="1520">
        <v>46249</v>
      </c>
      <c r="L1271" s="1520">
        <v>46249</v>
      </c>
      <c r="M1271" s="1520">
        <v>46249</v>
      </c>
      <c r="N1271" t="s">
        <v>973</v>
      </c>
      <c r="O1271" s="1520">
        <v>46255</v>
      </c>
      <c r="P1271" s="1520">
        <v>46256</v>
      </c>
    </row>
    <row r="1272" spans="1:16">
      <c r="A1272" t="s">
        <v>8100</v>
      </c>
      <c r="B1272" t="s">
        <v>64</v>
      </c>
      <c r="C1272" t="s">
        <v>65</v>
      </c>
      <c r="E1272" t="s">
        <v>8101</v>
      </c>
      <c r="F1272" t="s">
        <v>8102</v>
      </c>
      <c r="G1272">
        <v>60</v>
      </c>
      <c r="H1272" t="s">
        <v>75</v>
      </c>
      <c r="I1272" t="s">
        <v>8103</v>
      </c>
      <c r="J1272" s="1520"/>
      <c r="K1272" s="1520">
        <v>46232</v>
      </c>
      <c r="L1272" s="1520">
        <v>46238</v>
      </c>
      <c r="M1272" s="1520">
        <v>46240</v>
      </c>
      <c r="N1272" t="s">
        <v>973</v>
      </c>
      <c r="O1272" s="1520">
        <v>46248</v>
      </c>
      <c r="P1272" s="1520">
        <v>46247</v>
      </c>
    </row>
    <row r="1273" spans="1:16">
      <c r="A1273" t="s">
        <v>8107</v>
      </c>
      <c r="B1273" t="s">
        <v>64</v>
      </c>
      <c r="C1273" t="s">
        <v>65</v>
      </c>
      <c r="E1273" t="s">
        <v>8108</v>
      </c>
      <c r="F1273" t="s">
        <v>8109</v>
      </c>
      <c r="G1273">
        <v>192</v>
      </c>
      <c r="H1273" t="s">
        <v>75</v>
      </c>
      <c r="I1273" t="s">
        <v>8103</v>
      </c>
      <c r="J1273" s="1520"/>
      <c r="K1273" s="1520">
        <v>46232</v>
      </c>
      <c r="L1273" s="1520">
        <v>46238</v>
      </c>
      <c r="M1273" s="1520">
        <v>46240</v>
      </c>
      <c r="N1273" t="s">
        <v>973</v>
      </c>
      <c r="O1273" s="1520">
        <v>46248</v>
      </c>
      <c r="P1273" s="1520">
        <v>46247</v>
      </c>
    </row>
    <row r="1274" spans="1:16">
      <c r="A1274" t="s">
        <v>8110</v>
      </c>
      <c r="B1274" t="s">
        <v>64</v>
      </c>
      <c r="C1274" t="s">
        <v>65</v>
      </c>
      <c r="E1274" t="s">
        <v>8108</v>
      </c>
      <c r="F1274" t="s">
        <v>8109</v>
      </c>
      <c r="G1274">
        <v>6</v>
      </c>
      <c r="H1274" t="s">
        <v>75</v>
      </c>
      <c r="I1274" t="s">
        <v>8103</v>
      </c>
      <c r="J1274" s="1520"/>
      <c r="K1274" s="1520">
        <v>46232</v>
      </c>
      <c r="L1274" s="1520">
        <v>46238</v>
      </c>
      <c r="M1274" s="1520">
        <v>46240</v>
      </c>
      <c r="N1274" t="s">
        <v>973</v>
      </c>
      <c r="O1274" s="1520">
        <v>46248</v>
      </c>
      <c r="P1274" s="1520">
        <v>46247</v>
      </c>
    </row>
    <row r="1275" spans="1:16">
      <c r="A1275" t="s">
        <v>8147</v>
      </c>
      <c r="B1275" t="s">
        <v>64</v>
      </c>
      <c r="C1275" t="s">
        <v>65</v>
      </c>
      <c r="E1275" t="s">
        <v>7840</v>
      </c>
      <c r="F1275" t="s">
        <v>7842</v>
      </c>
      <c r="G1275">
        <v>155</v>
      </c>
      <c r="H1275" t="s">
        <v>75</v>
      </c>
      <c r="I1275" t="s">
        <v>8140</v>
      </c>
      <c r="J1275" s="1520"/>
      <c r="K1275" s="1520">
        <v>46253</v>
      </c>
      <c r="L1275" s="1520">
        <v>46272</v>
      </c>
      <c r="M1275" s="1520">
        <v>46272</v>
      </c>
      <c r="N1275" t="s">
        <v>2434</v>
      </c>
      <c r="O1275" s="1520">
        <v>46279</v>
      </c>
      <c r="P1275" s="1520">
        <v>46280</v>
      </c>
    </row>
    <row r="1276" spans="1:16">
      <c r="A1276" t="s">
        <v>8146</v>
      </c>
      <c r="B1276" t="s">
        <v>64</v>
      </c>
      <c r="C1276" t="s">
        <v>65</v>
      </c>
      <c r="E1276" t="s">
        <v>7837</v>
      </c>
      <c r="F1276" t="s">
        <v>7838</v>
      </c>
      <c r="G1276">
        <v>2</v>
      </c>
      <c r="H1276" t="s">
        <v>75</v>
      </c>
      <c r="I1276" t="s">
        <v>8140</v>
      </c>
      <c r="J1276" s="1520"/>
      <c r="K1276" s="1520">
        <v>46253</v>
      </c>
      <c r="L1276" s="1520">
        <v>46272</v>
      </c>
      <c r="M1276" s="1520">
        <v>46272</v>
      </c>
      <c r="N1276" t="s">
        <v>2434</v>
      </c>
      <c r="O1276" s="1520">
        <v>46279</v>
      </c>
      <c r="P1276" s="1520">
        <v>46280</v>
      </c>
    </row>
    <row r="1277" spans="1:16">
      <c r="A1277" t="s">
        <v>8139</v>
      </c>
      <c r="B1277" t="s">
        <v>64</v>
      </c>
      <c r="C1277" t="s">
        <v>65</v>
      </c>
      <c r="E1277" t="s">
        <v>7862</v>
      </c>
      <c r="F1277" t="s">
        <v>7863</v>
      </c>
      <c r="G1277">
        <v>24</v>
      </c>
      <c r="H1277" t="s">
        <v>75</v>
      </c>
      <c r="I1277" t="s">
        <v>8140</v>
      </c>
      <c r="J1277" s="1520"/>
      <c r="K1277" s="1520">
        <v>46253</v>
      </c>
      <c r="L1277" s="1520">
        <v>46272</v>
      </c>
      <c r="M1277" s="1520">
        <v>46272</v>
      </c>
      <c r="N1277" t="s">
        <v>2434</v>
      </c>
      <c r="O1277" s="1520">
        <v>46279</v>
      </c>
      <c r="P1277" s="1520">
        <v>46280</v>
      </c>
    </row>
    <row r="1278" spans="1:16">
      <c r="A1278" t="s">
        <v>8144</v>
      </c>
      <c r="B1278" t="s">
        <v>64</v>
      </c>
      <c r="C1278" t="s">
        <v>65</v>
      </c>
      <c r="E1278" t="s">
        <v>7862</v>
      </c>
      <c r="F1278" t="s">
        <v>7863</v>
      </c>
      <c r="G1278">
        <v>1</v>
      </c>
      <c r="H1278" t="s">
        <v>75</v>
      </c>
      <c r="I1278" t="s">
        <v>8140</v>
      </c>
      <c r="J1278" s="1520"/>
      <c r="K1278" s="1520">
        <v>46253</v>
      </c>
      <c r="L1278" s="1520">
        <v>46272</v>
      </c>
      <c r="M1278" s="1520">
        <v>46272</v>
      </c>
      <c r="N1278" t="s">
        <v>2434</v>
      </c>
      <c r="O1278" s="1520">
        <v>46279</v>
      </c>
      <c r="P1278" s="1520">
        <v>46280</v>
      </c>
    </row>
    <row r="1279" spans="1:16">
      <c r="A1279" t="s">
        <v>8145</v>
      </c>
      <c r="B1279" t="s">
        <v>64</v>
      </c>
      <c r="C1279" t="s">
        <v>65</v>
      </c>
      <c r="E1279" t="s">
        <v>7837</v>
      </c>
      <c r="F1279" t="s">
        <v>7838</v>
      </c>
      <c r="G1279">
        <v>45</v>
      </c>
      <c r="H1279" t="s">
        <v>75</v>
      </c>
      <c r="I1279" t="s">
        <v>8140</v>
      </c>
      <c r="J1279" s="1520"/>
      <c r="K1279" s="1520">
        <v>46253</v>
      </c>
      <c r="L1279" s="1520">
        <v>46272</v>
      </c>
      <c r="M1279" s="1520">
        <v>46272</v>
      </c>
      <c r="N1279" t="s">
        <v>2434</v>
      </c>
      <c r="O1279" s="1520">
        <v>46279</v>
      </c>
      <c r="P1279" s="1520">
        <v>46280</v>
      </c>
    </row>
    <row r="1280" spans="1:16">
      <c r="A1280" t="s">
        <v>8154</v>
      </c>
      <c r="B1280" t="s">
        <v>64</v>
      </c>
      <c r="C1280" t="s">
        <v>65</v>
      </c>
      <c r="E1280" t="s">
        <v>7837</v>
      </c>
      <c r="F1280" t="s">
        <v>7838</v>
      </c>
      <c r="G1280">
        <v>12</v>
      </c>
      <c r="H1280" t="s">
        <v>75</v>
      </c>
      <c r="I1280" t="s">
        <v>8140</v>
      </c>
      <c r="J1280" s="1520"/>
      <c r="K1280" s="1520">
        <v>46260</v>
      </c>
      <c r="L1280" s="1520">
        <v>46272</v>
      </c>
      <c r="M1280" s="1520">
        <v>46272</v>
      </c>
      <c r="N1280" t="s">
        <v>2434</v>
      </c>
      <c r="O1280" s="1520">
        <v>46279</v>
      </c>
      <c r="P1280" s="1520">
        <v>46280</v>
      </c>
    </row>
    <row r="1281" spans="1:16">
      <c r="A1281" t="s">
        <v>11130</v>
      </c>
      <c r="B1281" t="s">
        <v>64</v>
      </c>
      <c r="C1281" t="s">
        <v>65</v>
      </c>
      <c r="E1281" t="s">
        <v>7828</v>
      </c>
      <c r="F1281" t="s">
        <v>7830</v>
      </c>
      <c r="G1281">
        <v>14</v>
      </c>
      <c r="H1281" t="s">
        <v>75</v>
      </c>
      <c r="I1281" t="s">
        <v>8140</v>
      </c>
      <c r="J1281" s="1520"/>
      <c r="K1281" s="1520">
        <v>46260</v>
      </c>
      <c r="L1281" s="1520">
        <v>46272</v>
      </c>
      <c r="M1281" s="1520">
        <v>46272</v>
      </c>
      <c r="N1281" t="s">
        <v>2434</v>
      </c>
      <c r="O1281" s="1520">
        <v>46279</v>
      </c>
      <c r="P1281" s="1520">
        <v>46280</v>
      </c>
    </row>
    <row r="1282" spans="1:16">
      <c r="A1282" t="s">
        <v>8150</v>
      </c>
      <c r="B1282" t="s">
        <v>64</v>
      </c>
      <c r="C1282" t="s">
        <v>65</v>
      </c>
      <c r="E1282" t="s">
        <v>7828</v>
      </c>
      <c r="F1282" t="s">
        <v>7830</v>
      </c>
      <c r="G1282">
        <v>198</v>
      </c>
      <c r="H1282" t="s">
        <v>75</v>
      </c>
      <c r="I1282" t="s">
        <v>8140</v>
      </c>
      <c r="J1282" s="1520"/>
      <c r="K1282" s="1520">
        <v>46260</v>
      </c>
      <c r="L1282" s="1520">
        <v>46272</v>
      </c>
      <c r="M1282" s="1520">
        <v>46272</v>
      </c>
      <c r="N1282" t="s">
        <v>2434</v>
      </c>
      <c r="O1282" s="1520">
        <v>46279</v>
      </c>
      <c r="P1282" s="1520">
        <v>46280</v>
      </c>
    </row>
    <row r="1283" spans="1:16">
      <c r="A1283" t="s">
        <v>8149</v>
      </c>
      <c r="B1283" t="s">
        <v>64</v>
      </c>
      <c r="C1283" t="s">
        <v>65</v>
      </c>
      <c r="E1283" t="s">
        <v>7816</v>
      </c>
      <c r="F1283" t="s">
        <v>7818</v>
      </c>
      <c r="G1283">
        <v>180</v>
      </c>
      <c r="H1283" t="s">
        <v>75</v>
      </c>
      <c r="I1283" t="s">
        <v>8140</v>
      </c>
      <c r="J1283" s="1520"/>
      <c r="K1283" s="1520">
        <v>46253</v>
      </c>
      <c r="L1283" s="1520">
        <v>46272</v>
      </c>
      <c r="M1283" s="1520">
        <v>46272</v>
      </c>
      <c r="N1283" t="s">
        <v>2434</v>
      </c>
      <c r="O1283" s="1520">
        <v>46279</v>
      </c>
      <c r="P1283" s="1520">
        <v>46280</v>
      </c>
    </row>
    <row r="1284" spans="1:16">
      <c r="A1284" t="s">
        <v>8148</v>
      </c>
      <c r="B1284" t="s">
        <v>64</v>
      </c>
      <c r="C1284" t="s">
        <v>65</v>
      </c>
      <c r="E1284" t="s">
        <v>7840</v>
      </c>
      <c r="F1284" t="s">
        <v>7842</v>
      </c>
      <c r="G1284">
        <v>15</v>
      </c>
      <c r="H1284" t="s">
        <v>75</v>
      </c>
      <c r="I1284" t="s">
        <v>8140</v>
      </c>
      <c r="J1284" s="1520"/>
      <c r="K1284" s="1520">
        <v>46253</v>
      </c>
      <c r="L1284" s="1520">
        <v>46272</v>
      </c>
      <c r="M1284" s="1520">
        <v>46272</v>
      </c>
      <c r="N1284" t="s">
        <v>2434</v>
      </c>
      <c r="O1284" s="1520">
        <v>46279</v>
      </c>
      <c r="P1284" s="1520">
        <v>46280</v>
      </c>
    </row>
    <row r="1285" spans="1:16">
      <c r="A1285" t="s">
        <v>8166</v>
      </c>
      <c r="B1285" t="s">
        <v>64</v>
      </c>
      <c r="C1285" t="s">
        <v>65</v>
      </c>
      <c r="E1285" t="s">
        <v>7840</v>
      </c>
      <c r="F1285" t="s">
        <v>7842</v>
      </c>
      <c r="G1285">
        <v>1</v>
      </c>
      <c r="H1285" t="s">
        <v>75</v>
      </c>
      <c r="I1285" t="s">
        <v>8163</v>
      </c>
      <c r="J1285" s="1520"/>
      <c r="K1285" s="1520">
        <v>46265</v>
      </c>
      <c r="L1285" s="1520">
        <v>46277</v>
      </c>
      <c r="M1285" s="1520">
        <v>46278</v>
      </c>
      <c r="N1285" t="s">
        <v>2434</v>
      </c>
      <c r="O1285" s="1520">
        <v>46283</v>
      </c>
      <c r="P1285" s="1520">
        <v>46286</v>
      </c>
    </row>
    <row r="1286" spans="1:16">
      <c r="A1286" t="s">
        <v>8162</v>
      </c>
      <c r="B1286" t="s">
        <v>64</v>
      </c>
      <c r="C1286" t="s">
        <v>65</v>
      </c>
      <c r="E1286" t="s">
        <v>7840</v>
      </c>
      <c r="F1286" t="s">
        <v>7842</v>
      </c>
      <c r="G1286">
        <v>349</v>
      </c>
      <c r="H1286" t="s">
        <v>75</v>
      </c>
      <c r="I1286" t="s">
        <v>8163</v>
      </c>
      <c r="J1286" s="1520"/>
      <c r="K1286" s="1520">
        <v>46265</v>
      </c>
      <c r="L1286" s="1520">
        <v>46277</v>
      </c>
      <c r="M1286" s="1520">
        <v>46278</v>
      </c>
      <c r="N1286" t="s">
        <v>2434</v>
      </c>
      <c r="O1286" s="1520">
        <v>46283</v>
      </c>
      <c r="P1286" s="1520">
        <v>46286</v>
      </c>
    </row>
    <row r="1287" spans="1:16">
      <c r="A1287" t="s">
        <v>8161</v>
      </c>
      <c r="B1287" t="s">
        <v>64</v>
      </c>
      <c r="C1287" t="s">
        <v>65</v>
      </c>
      <c r="E1287" t="s">
        <v>7851</v>
      </c>
      <c r="F1287" t="s">
        <v>7853</v>
      </c>
      <c r="G1287">
        <v>2</v>
      </c>
      <c r="H1287" t="s">
        <v>75</v>
      </c>
      <c r="I1287" t="s">
        <v>8157</v>
      </c>
      <c r="J1287" s="1520"/>
      <c r="K1287" s="1520">
        <v>46260</v>
      </c>
      <c r="L1287" s="1520">
        <v>46281</v>
      </c>
      <c r="M1287" s="1520">
        <v>46281</v>
      </c>
      <c r="N1287" t="s">
        <v>2434</v>
      </c>
      <c r="O1287" s="1520">
        <v>46288</v>
      </c>
      <c r="P1287" s="1520">
        <v>46289</v>
      </c>
    </row>
    <row r="1288" spans="1:16">
      <c r="A1288" t="s">
        <v>8160</v>
      </c>
      <c r="B1288" t="s">
        <v>64</v>
      </c>
      <c r="C1288" t="s">
        <v>65</v>
      </c>
      <c r="E1288" t="s">
        <v>7851</v>
      </c>
      <c r="F1288" t="s">
        <v>7853</v>
      </c>
      <c r="G1288">
        <v>80</v>
      </c>
      <c r="H1288" t="s">
        <v>75</v>
      </c>
      <c r="I1288" t="s">
        <v>8157</v>
      </c>
      <c r="J1288" s="1520"/>
      <c r="K1288" s="1520">
        <v>46260</v>
      </c>
      <c r="L1288" s="1520">
        <v>46281</v>
      </c>
      <c r="M1288" s="1520">
        <v>46281</v>
      </c>
      <c r="N1288" t="s">
        <v>2434</v>
      </c>
      <c r="O1288" s="1520">
        <v>46288</v>
      </c>
      <c r="P1288" s="1520">
        <v>46289</v>
      </c>
    </row>
    <row r="1289" spans="1:16">
      <c r="A1289" t="s">
        <v>8155</v>
      </c>
      <c r="B1289" t="s">
        <v>64</v>
      </c>
      <c r="C1289" t="s">
        <v>65</v>
      </c>
      <c r="E1289" t="s">
        <v>7851</v>
      </c>
      <c r="F1289" t="s">
        <v>7853</v>
      </c>
      <c r="G1289">
        <v>470</v>
      </c>
      <c r="H1289" t="s">
        <v>75</v>
      </c>
      <c r="I1289" t="s">
        <v>8157</v>
      </c>
      <c r="J1289" s="1520"/>
      <c r="K1289" s="1520">
        <v>46260</v>
      </c>
      <c r="L1289" s="1520">
        <v>46281</v>
      </c>
      <c r="M1289" s="1520">
        <v>46281</v>
      </c>
      <c r="N1289" t="s">
        <v>2434</v>
      </c>
      <c r="O1289" s="1520">
        <v>46288</v>
      </c>
      <c r="P1289" s="1520">
        <v>46289</v>
      </c>
    </row>
    <row r="1290" spans="1:16">
      <c r="A1290" t="s">
        <v>8133</v>
      </c>
      <c r="B1290" t="s">
        <v>64</v>
      </c>
      <c r="C1290" t="s">
        <v>65</v>
      </c>
      <c r="E1290" t="s">
        <v>7851</v>
      </c>
      <c r="F1290" t="s">
        <v>7853</v>
      </c>
      <c r="G1290">
        <v>227</v>
      </c>
      <c r="H1290" t="s">
        <v>75</v>
      </c>
      <c r="I1290" t="s">
        <v>8135</v>
      </c>
      <c r="J1290" s="1520"/>
      <c r="K1290" s="1520">
        <v>46260</v>
      </c>
      <c r="L1290" s="1520">
        <v>46260</v>
      </c>
      <c r="M1290" s="1520">
        <v>46253</v>
      </c>
      <c r="N1290" t="s">
        <v>973</v>
      </c>
      <c r="O1290" s="1520">
        <v>46268</v>
      </c>
      <c r="P1290" s="1520">
        <v>46261</v>
      </c>
    </row>
    <row r="1291" spans="1:16">
      <c r="A1291" t="s">
        <v>8138</v>
      </c>
      <c r="B1291" t="s">
        <v>64</v>
      </c>
      <c r="C1291" t="s">
        <v>65</v>
      </c>
      <c r="E1291" t="s">
        <v>7851</v>
      </c>
      <c r="F1291" t="s">
        <v>7853</v>
      </c>
      <c r="G1291">
        <v>49</v>
      </c>
      <c r="H1291" t="s">
        <v>75</v>
      </c>
      <c r="I1291" t="s">
        <v>8135</v>
      </c>
      <c r="J1291" s="1520"/>
      <c r="K1291" s="1520">
        <v>46260</v>
      </c>
      <c r="L1291" s="1520">
        <v>46260</v>
      </c>
      <c r="M1291" s="1520">
        <v>46253</v>
      </c>
      <c r="N1291" t="s">
        <v>973</v>
      </c>
      <c r="O1291" s="1520">
        <v>46268</v>
      </c>
      <c r="P1291" s="1520">
        <v>46261</v>
      </c>
    </row>
    <row r="1292" spans="1:16">
      <c r="A1292" t="s">
        <v>8167</v>
      </c>
      <c r="B1292" t="s">
        <v>64</v>
      </c>
      <c r="C1292" t="s">
        <v>65</v>
      </c>
      <c r="E1292" t="s">
        <v>7828</v>
      </c>
      <c r="F1292" t="s">
        <v>7830</v>
      </c>
      <c r="G1292">
        <v>224</v>
      </c>
      <c r="H1292" t="s">
        <v>75</v>
      </c>
      <c r="I1292" t="s">
        <v>8168</v>
      </c>
      <c r="J1292" s="1520"/>
      <c r="K1292" s="1520">
        <v>46279</v>
      </c>
      <c r="L1292" s="1520">
        <v>46285</v>
      </c>
      <c r="M1292" s="1520">
        <v>46284</v>
      </c>
      <c r="N1292" t="s">
        <v>2434</v>
      </c>
      <c r="O1292" s="1520">
        <v>46290</v>
      </c>
      <c r="P1292" s="1520">
        <v>46292</v>
      </c>
    </row>
    <row r="1293" spans="1:16">
      <c r="A1293" t="s">
        <v>8171</v>
      </c>
      <c r="B1293" t="s">
        <v>64</v>
      </c>
      <c r="C1293" t="s">
        <v>65</v>
      </c>
      <c r="E1293" t="s">
        <v>7851</v>
      </c>
      <c r="F1293" t="s">
        <v>7853</v>
      </c>
      <c r="G1293">
        <v>276</v>
      </c>
      <c r="H1293" t="s">
        <v>75</v>
      </c>
      <c r="I1293" t="s">
        <v>8172</v>
      </c>
      <c r="J1293" s="1520"/>
      <c r="K1293" s="1520">
        <v>46274</v>
      </c>
      <c r="L1293" s="1520">
        <v>46267</v>
      </c>
      <c r="M1293" s="1520">
        <v>46267</v>
      </c>
      <c r="N1293" t="s">
        <v>2434</v>
      </c>
      <c r="O1293" s="1520">
        <v>46275</v>
      </c>
      <c r="P1293" s="1520">
        <v>46275</v>
      </c>
    </row>
    <row r="1294" spans="1:16">
      <c r="A1294" t="s">
        <v>8175</v>
      </c>
      <c r="B1294" t="s">
        <v>64</v>
      </c>
      <c r="C1294" t="s">
        <v>65</v>
      </c>
      <c r="E1294" t="s">
        <v>7851</v>
      </c>
      <c r="F1294" t="s">
        <v>7853</v>
      </c>
      <c r="G1294">
        <v>276</v>
      </c>
      <c r="H1294" t="s">
        <v>75</v>
      </c>
      <c r="I1294" t="s">
        <v>8177</v>
      </c>
      <c r="J1294" s="1520"/>
      <c r="K1294" s="1520">
        <v>46281</v>
      </c>
      <c r="L1294" s="1520">
        <v>46288</v>
      </c>
      <c r="M1294" s="1520">
        <v>46289</v>
      </c>
      <c r="N1294" t="s">
        <v>2434</v>
      </c>
      <c r="O1294" s="1520">
        <v>46295</v>
      </c>
      <c r="P1294" s="1520">
        <v>46297</v>
      </c>
    </row>
    <row r="1295" spans="1:16">
      <c r="A1295" t="s">
        <v>8180</v>
      </c>
      <c r="B1295" t="s">
        <v>64</v>
      </c>
      <c r="C1295" t="s">
        <v>65</v>
      </c>
      <c r="E1295" t="s">
        <v>7851</v>
      </c>
      <c r="F1295" t="s">
        <v>7853</v>
      </c>
      <c r="G1295">
        <v>276</v>
      </c>
      <c r="H1295" t="s">
        <v>75</v>
      </c>
      <c r="I1295" t="s">
        <v>8177</v>
      </c>
      <c r="J1295" s="1520"/>
      <c r="K1295" s="1520">
        <v>46281</v>
      </c>
      <c r="L1295" s="1520">
        <v>46288</v>
      </c>
      <c r="M1295" s="1520">
        <v>46289</v>
      </c>
      <c r="N1295" t="s">
        <v>2434</v>
      </c>
      <c r="O1295" s="1520">
        <v>46295</v>
      </c>
      <c r="P1295" s="1520">
        <v>46297</v>
      </c>
    </row>
    <row r="1296" spans="1:16">
      <c r="A1296" t="s">
        <v>8194</v>
      </c>
      <c r="B1296" t="s">
        <v>64</v>
      </c>
      <c r="C1296" t="s">
        <v>65</v>
      </c>
      <c r="E1296" t="s">
        <v>7840</v>
      </c>
      <c r="F1296" t="s">
        <v>7842</v>
      </c>
      <c r="G1296">
        <v>331</v>
      </c>
      <c r="H1296" t="s">
        <v>75</v>
      </c>
      <c r="I1296" t="s">
        <v>8185</v>
      </c>
      <c r="J1296" s="1520"/>
      <c r="K1296" s="1520">
        <v>46274</v>
      </c>
      <c r="L1296" s="1520">
        <v>46272</v>
      </c>
      <c r="M1296" s="1520">
        <v>46272</v>
      </c>
      <c r="N1296" t="s">
        <v>2434</v>
      </c>
      <c r="O1296" s="1520">
        <v>46279</v>
      </c>
      <c r="P1296" s="1520">
        <v>46280</v>
      </c>
    </row>
    <row r="1297" spans="1:16">
      <c r="A1297" t="s">
        <v>8193</v>
      </c>
      <c r="B1297" t="s">
        <v>64</v>
      </c>
      <c r="C1297" t="s">
        <v>65</v>
      </c>
      <c r="E1297" t="s">
        <v>7837</v>
      </c>
      <c r="F1297" t="s">
        <v>7838</v>
      </c>
      <c r="G1297">
        <v>3</v>
      </c>
      <c r="H1297" t="s">
        <v>75</v>
      </c>
      <c r="I1297" t="s">
        <v>8185</v>
      </c>
      <c r="J1297" s="1520"/>
      <c r="K1297" s="1520">
        <v>46274</v>
      </c>
      <c r="L1297" s="1520">
        <v>46272</v>
      </c>
      <c r="M1297" s="1520">
        <v>46272</v>
      </c>
      <c r="N1297" t="s">
        <v>2434</v>
      </c>
      <c r="O1297" s="1520">
        <v>46279</v>
      </c>
      <c r="P1297" s="1520">
        <v>46280</v>
      </c>
    </row>
    <row r="1298" spans="1:16">
      <c r="A1298" t="s">
        <v>8183</v>
      </c>
      <c r="B1298" t="s">
        <v>64</v>
      </c>
      <c r="C1298" t="s">
        <v>65</v>
      </c>
      <c r="E1298" t="s">
        <v>7862</v>
      </c>
      <c r="F1298" t="s">
        <v>7863</v>
      </c>
      <c r="G1298">
        <v>29</v>
      </c>
      <c r="H1298" t="s">
        <v>75</v>
      </c>
      <c r="I1298" t="s">
        <v>8185</v>
      </c>
      <c r="J1298" s="1520"/>
      <c r="K1298" s="1520">
        <v>46274</v>
      </c>
      <c r="L1298" s="1520">
        <v>46272</v>
      </c>
      <c r="M1298" s="1520">
        <v>46272</v>
      </c>
      <c r="N1298" t="s">
        <v>2434</v>
      </c>
      <c r="O1298" s="1520">
        <v>46279</v>
      </c>
      <c r="P1298" s="1520">
        <v>46280</v>
      </c>
    </row>
    <row r="1299" spans="1:16">
      <c r="A1299" t="s">
        <v>8188</v>
      </c>
      <c r="B1299" t="s">
        <v>64</v>
      </c>
      <c r="C1299" t="s">
        <v>65</v>
      </c>
      <c r="E1299" t="s">
        <v>7862</v>
      </c>
      <c r="F1299" t="s">
        <v>7863</v>
      </c>
      <c r="G1299">
        <v>1</v>
      </c>
      <c r="H1299" t="s">
        <v>75</v>
      </c>
      <c r="I1299" t="s">
        <v>8185</v>
      </c>
      <c r="J1299" s="1520"/>
      <c r="K1299" s="1520">
        <v>46274</v>
      </c>
      <c r="L1299" s="1520">
        <v>46272</v>
      </c>
      <c r="M1299" s="1520">
        <v>46272</v>
      </c>
      <c r="N1299" t="s">
        <v>2434</v>
      </c>
      <c r="O1299" s="1520">
        <v>46279</v>
      </c>
      <c r="P1299" s="1520">
        <v>46280</v>
      </c>
    </row>
    <row r="1300" spans="1:16">
      <c r="A1300" t="s">
        <v>8189</v>
      </c>
      <c r="B1300" t="s">
        <v>64</v>
      </c>
      <c r="C1300" t="s">
        <v>65</v>
      </c>
      <c r="E1300" t="s">
        <v>7828</v>
      </c>
      <c r="F1300" t="s">
        <v>7830</v>
      </c>
      <c r="G1300">
        <v>88</v>
      </c>
      <c r="H1300" t="s">
        <v>75</v>
      </c>
      <c r="I1300" t="s">
        <v>8185</v>
      </c>
      <c r="J1300" s="1520"/>
      <c r="K1300" s="1520">
        <v>46274</v>
      </c>
      <c r="L1300" s="1520">
        <v>46272</v>
      </c>
      <c r="M1300" s="1520">
        <v>46272</v>
      </c>
      <c r="N1300" t="s">
        <v>2434</v>
      </c>
      <c r="O1300" s="1520">
        <v>46279</v>
      </c>
      <c r="P1300" s="1520">
        <v>46280</v>
      </c>
    </row>
    <row r="1301" spans="1:16">
      <c r="A1301" t="s">
        <v>8190</v>
      </c>
      <c r="B1301" t="s">
        <v>64</v>
      </c>
      <c r="C1301" t="s">
        <v>65</v>
      </c>
      <c r="E1301" t="s">
        <v>7828</v>
      </c>
      <c r="F1301" t="s">
        <v>7830</v>
      </c>
      <c r="G1301">
        <v>16</v>
      </c>
      <c r="H1301" t="s">
        <v>75</v>
      </c>
      <c r="I1301" t="s">
        <v>8185</v>
      </c>
      <c r="J1301" s="1520"/>
      <c r="K1301" s="1520">
        <v>46274</v>
      </c>
      <c r="L1301" s="1520">
        <v>46272</v>
      </c>
      <c r="M1301" s="1520">
        <v>46272</v>
      </c>
      <c r="N1301" t="s">
        <v>2434</v>
      </c>
      <c r="O1301" s="1520">
        <v>46279</v>
      </c>
      <c r="P1301" s="1520">
        <v>46280</v>
      </c>
    </row>
    <row r="1302" spans="1:16">
      <c r="A1302" t="s">
        <v>8192</v>
      </c>
      <c r="B1302" t="s">
        <v>64</v>
      </c>
      <c r="C1302" t="s">
        <v>65</v>
      </c>
      <c r="E1302" t="s">
        <v>7837</v>
      </c>
      <c r="F1302" t="s">
        <v>7838</v>
      </c>
      <c r="G1302">
        <v>87</v>
      </c>
      <c r="H1302" t="s">
        <v>75</v>
      </c>
      <c r="I1302" t="s">
        <v>8185</v>
      </c>
      <c r="J1302" s="1520"/>
      <c r="K1302" s="1520">
        <v>46274</v>
      </c>
      <c r="L1302" s="1520">
        <v>46272</v>
      </c>
      <c r="M1302" s="1520">
        <v>46272</v>
      </c>
      <c r="N1302" t="s">
        <v>2434</v>
      </c>
      <c r="O1302" s="1520">
        <v>46279</v>
      </c>
      <c r="P1302" s="1520">
        <v>46280</v>
      </c>
    </row>
    <row r="1303" spans="1:16">
      <c r="A1303" t="s">
        <v>8196</v>
      </c>
      <c r="B1303" t="s">
        <v>64</v>
      </c>
      <c r="C1303" t="s">
        <v>65</v>
      </c>
      <c r="E1303" t="s">
        <v>7840</v>
      </c>
      <c r="F1303" t="s">
        <v>7842</v>
      </c>
      <c r="G1303">
        <v>19</v>
      </c>
      <c r="H1303" t="s">
        <v>75</v>
      </c>
      <c r="I1303" t="s">
        <v>8185</v>
      </c>
      <c r="J1303" s="1520"/>
      <c r="K1303" s="1520">
        <v>46274</v>
      </c>
      <c r="L1303" s="1520">
        <v>46272</v>
      </c>
      <c r="M1303" s="1520">
        <v>46272</v>
      </c>
      <c r="N1303" t="s">
        <v>2434</v>
      </c>
      <c r="O1303" s="1520">
        <v>46279</v>
      </c>
      <c r="P1303" s="1520">
        <v>46280</v>
      </c>
    </row>
    <row r="1304" spans="1:16">
      <c r="A1304" t="s">
        <v>8217</v>
      </c>
      <c r="B1304" t="s">
        <v>64</v>
      </c>
      <c r="C1304" t="s">
        <v>65</v>
      </c>
      <c r="E1304" t="s">
        <v>7851</v>
      </c>
      <c r="F1304" t="s">
        <v>7853</v>
      </c>
      <c r="G1304">
        <v>552</v>
      </c>
      <c r="H1304" t="s">
        <v>75</v>
      </c>
      <c r="I1304" t="s">
        <v>8220</v>
      </c>
      <c r="J1304" s="1520"/>
      <c r="K1304" s="1520">
        <v>46295</v>
      </c>
      <c r="L1304" s="1520">
        <v>46302</v>
      </c>
      <c r="M1304" s="1520">
        <v>46296</v>
      </c>
      <c r="N1304" t="s">
        <v>2434</v>
      </c>
      <c r="O1304" s="1520">
        <v>46303</v>
      </c>
      <c r="P1304" s="1520">
        <v>46304</v>
      </c>
    </row>
    <row r="1305" spans="1:16">
      <c r="A1305" t="s">
        <v>8222</v>
      </c>
      <c r="B1305" t="s">
        <v>64</v>
      </c>
      <c r="C1305" t="s">
        <v>65</v>
      </c>
      <c r="E1305" t="s">
        <v>7851</v>
      </c>
      <c r="F1305" t="s">
        <v>7853</v>
      </c>
      <c r="G1305">
        <v>552</v>
      </c>
      <c r="H1305" t="s">
        <v>75</v>
      </c>
      <c r="I1305" t="s">
        <v>8220</v>
      </c>
      <c r="J1305" s="1520"/>
      <c r="K1305" s="1520">
        <v>46295</v>
      </c>
      <c r="L1305" s="1520">
        <v>46302</v>
      </c>
      <c r="M1305" s="1520">
        <v>46296</v>
      </c>
      <c r="N1305" t="s">
        <v>2434</v>
      </c>
      <c r="O1305" s="1520">
        <v>46303</v>
      </c>
      <c r="P1305" s="1520">
        <v>46304</v>
      </c>
    </row>
    <row r="1306" spans="1:16">
      <c r="A1306" t="s">
        <v>8198</v>
      </c>
      <c r="B1306" t="s">
        <v>64</v>
      </c>
      <c r="C1306" t="s">
        <v>65</v>
      </c>
      <c r="E1306" t="s">
        <v>7828</v>
      </c>
      <c r="F1306" t="s">
        <v>7830</v>
      </c>
      <c r="G1306">
        <v>224</v>
      </c>
      <c r="H1306" t="s">
        <v>75</v>
      </c>
      <c r="I1306" t="s">
        <v>8200</v>
      </c>
      <c r="J1306" s="1520"/>
      <c r="K1306" s="1520">
        <v>46281</v>
      </c>
      <c r="L1306" s="1520">
        <v>46282</v>
      </c>
      <c r="M1306" s="1520">
        <v>46283</v>
      </c>
      <c r="N1306" t="s">
        <v>2434</v>
      </c>
      <c r="O1306" s="1520">
        <v>46295</v>
      </c>
      <c r="P1306" s="1520">
        <v>46291</v>
      </c>
    </row>
    <row r="1307" spans="1:16">
      <c r="A1307" t="s">
        <v>8204</v>
      </c>
      <c r="B1307" t="s">
        <v>64</v>
      </c>
      <c r="C1307" t="s">
        <v>65</v>
      </c>
      <c r="E1307" t="s">
        <v>7840</v>
      </c>
      <c r="F1307" t="s">
        <v>7842</v>
      </c>
      <c r="G1307">
        <v>300</v>
      </c>
      <c r="H1307" t="s">
        <v>75</v>
      </c>
      <c r="I1307" t="s">
        <v>8200</v>
      </c>
      <c r="J1307" s="1520"/>
      <c r="K1307" s="1520">
        <v>46281</v>
      </c>
      <c r="L1307" s="1520">
        <v>46282</v>
      </c>
      <c r="M1307" s="1520">
        <v>46283</v>
      </c>
      <c r="N1307" t="s">
        <v>2434</v>
      </c>
      <c r="O1307" s="1520">
        <v>46295</v>
      </c>
      <c r="P1307" s="1520">
        <v>46291</v>
      </c>
    </row>
    <row r="1308" spans="1:16">
      <c r="A1308" t="s">
        <v>8205</v>
      </c>
      <c r="B1308" t="s">
        <v>64</v>
      </c>
      <c r="C1308" t="s">
        <v>65</v>
      </c>
      <c r="E1308" t="s">
        <v>7816</v>
      </c>
      <c r="F1308" t="s">
        <v>7818</v>
      </c>
      <c r="G1308">
        <v>180</v>
      </c>
      <c r="H1308" t="s">
        <v>75</v>
      </c>
      <c r="I1308" t="s">
        <v>8200</v>
      </c>
      <c r="J1308" s="1520"/>
      <c r="K1308" s="1520">
        <v>46281</v>
      </c>
      <c r="L1308" s="1520">
        <v>46282</v>
      </c>
      <c r="M1308" s="1520">
        <v>46283</v>
      </c>
      <c r="N1308" t="s">
        <v>2434</v>
      </c>
      <c r="O1308" s="1520">
        <v>46295</v>
      </c>
      <c r="P1308" s="1520">
        <v>46291</v>
      </c>
    </row>
    <row r="1309" spans="1:16">
      <c r="A1309" t="s">
        <v>8206</v>
      </c>
      <c r="B1309" t="s">
        <v>64</v>
      </c>
      <c r="C1309" t="s">
        <v>65</v>
      </c>
      <c r="E1309" t="s">
        <v>7828</v>
      </c>
      <c r="F1309" t="s">
        <v>7830</v>
      </c>
      <c r="G1309">
        <v>202</v>
      </c>
      <c r="H1309" t="s">
        <v>75</v>
      </c>
      <c r="I1309" t="s">
        <v>8200</v>
      </c>
      <c r="J1309" s="1520"/>
      <c r="K1309" s="1520">
        <v>46281</v>
      </c>
      <c r="L1309" s="1520">
        <v>46282</v>
      </c>
      <c r="M1309" s="1520">
        <v>46283</v>
      </c>
      <c r="N1309" t="s">
        <v>2434</v>
      </c>
      <c r="O1309" s="1520">
        <v>46295</v>
      </c>
      <c r="P1309" s="1520">
        <v>46291</v>
      </c>
    </row>
    <row r="1310" spans="1:16">
      <c r="A1310" t="s">
        <v>8215</v>
      </c>
      <c r="B1310" t="s">
        <v>64</v>
      </c>
      <c r="C1310" t="s">
        <v>65</v>
      </c>
      <c r="E1310" t="s">
        <v>7851</v>
      </c>
      <c r="F1310" t="s">
        <v>7853</v>
      </c>
      <c r="G1310">
        <v>276</v>
      </c>
      <c r="H1310" t="s">
        <v>75</v>
      </c>
      <c r="I1310" t="s">
        <v>8210</v>
      </c>
      <c r="J1310" s="1520"/>
      <c r="K1310" s="1520">
        <v>46288</v>
      </c>
      <c r="L1310" s="1520">
        <v>46302</v>
      </c>
      <c r="M1310" s="1520">
        <v>46296</v>
      </c>
      <c r="N1310" t="s">
        <v>2434</v>
      </c>
      <c r="O1310" s="1520">
        <v>46303</v>
      </c>
      <c r="P1310" s="1520">
        <v>46304</v>
      </c>
    </row>
    <row r="1311" spans="1:16">
      <c r="A1311" t="s">
        <v>8207</v>
      </c>
      <c r="B1311" t="s">
        <v>64</v>
      </c>
      <c r="C1311" t="s">
        <v>65</v>
      </c>
      <c r="E1311" t="s">
        <v>7851</v>
      </c>
      <c r="F1311" t="s">
        <v>7853</v>
      </c>
      <c r="G1311">
        <v>212</v>
      </c>
      <c r="H1311" t="s">
        <v>75</v>
      </c>
      <c r="I1311" t="s">
        <v>8210</v>
      </c>
      <c r="J1311" s="1520"/>
      <c r="K1311" s="1520">
        <v>46288</v>
      </c>
      <c r="L1311" s="1520">
        <v>46302</v>
      </c>
      <c r="M1311" s="1520">
        <v>46296</v>
      </c>
      <c r="N1311" t="s">
        <v>2434</v>
      </c>
      <c r="O1311" s="1520">
        <v>46303</v>
      </c>
      <c r="P1311" s="1520">
        <v>46304</v>
      </c>
    </row>
    <row r="1312" spans="1:16">
      <c r="A1312" t="s">
        <v>8213</v>
      </c>
      <c r="B1312" t="s">
        <v>64</v>
      </c>
      <c r="C1312" t="s">
        <v>65</v>
      </c>
      <c r="E1312" t="s">
        <v>7851</v>
      </c>
      <c r="F1312" t="s">
        <v>7853</v>
      </c>
      <c r="G1312">
        <v>64</v>
      </c>
      <c r="H1312" t="s">
        <v>75</v>
      </c>
      <c r="I1312" t="s">
        <v>8210</v>
      </c>
      <c r="J1312" s="1520"/>
      <c r="K1312" s="1520">
        <v>46288</v>
      </c>
      <c r="L1312" s="1520">
        <v>46302</v>
      </c>
      <c r="M1312" s="1520">
        <v>46296</v>
      </c>
      <c r="N1312" t="s">
        <v>2434</v>
      </c>
      <c r="O1312" s="1520">
        <v>46303</v>
      </c>
      <c r="P1312" s="1520">
        <v>46304</v>
      </c>
    </row>
    <row r="1313" spans="1:16">
      <c r="A1313" t="s">
        <v>8241</v>
      </c>
      <c r="B1313" t="s">
        <v>64</v>
      </c>
      <c r="C1313" t="s">
        <v>65</v>
      </c>
      <c r="E1313" t="s">
        <v>7840</v>
      </c>
      <c r="F1313" t="s">
        <v>7842</v>
      </c>
      <c r="G1313">
        <v>130</v>
      </c>
      <c r="H1313" t="s">
        <v>75</v>
      </c>
      <c r="I1313" t="s">
        <v>8236</v>
      </c>
      <c r="J1313" s="1520"/>
      <c r="K1313" s="1520">
        <v>46288</v>
      </c>
      <c r="L1313" s="1520">
        <v>46290</v>
      </c>
      <c r="M1313" s="1520">
        <v>46290</v>
      </c>
      <c r="N1313" t="s">
        <v>2434</v>
      </c>
      <c r="O1313" s="1520">
        <v>46296</v>
      </c>
      <c r="P1313" s="1520">
        <v>46298</v>
      </c>
    </row>
    <row r="1314" spans="1:16">
      <c r="A1314" t="s">
        <v>8240</v>
      </c>
      <c r="B1314" t="s">
        <v>64</v>
      </c>
      <c r="C1314" t="s">
        <v>65</v>
      </c>
      <c r="E1314" t="s">
        <v>7837</v>
      </c>
      <c r="F1314" t="s">
        <v>7838</v>
      </c>
      <c r="G1314">
        <v>23</v>
      </c>
      <c r="H1314" t="s">
        <v>75</v>
      </c>
      <c r="I1314" t="s">
        <v>8236</v>
      </c>
      <c r="J1314" s="1520"/>
      <c r="K1314" s="1520">
        <v>46288</v>
      </c>
      <c r="L1314" s="1520">
        <v>46290</v>
      </c>
      <c r="M1314" s="1520">
        <v>46290</v>
      </c>
      <c r="N1314" t="s">
        <v>2434</v>
      </c>
      <c r="O1314" s="1520">
        <v>46296</v>
      </c>
      <c r="P1314" s="1520">
        <v>46298</v>
      </c>
    </row>
    <row r="1315" spans="1:16">
      <c r="A1315" t="s">
        <v>8235</v>
      </c>
      <c r="B1315" t="s">
        <v>64</v>
      </c>
      <c r="C1315" t="s">
        <v>65</v>
      </c>
      <c r="E1315" t="s">
        <v>7828</v>
      </c>
      <c r="F1315" t="s">
        <v>7830</v>
      </c>
      <c r="G1315">
        <v>107</v>
      </c>
      <c r="H1315" t="s">
        <v>75</v>
      </c>
      <c r="I1315" t="s">
        <v>8236</v>
      </c>
      <c r="J1315" s="1520"/>
      <c r="K1315" s="1520">
        <v>46288</v>
      </c>
      <c r="L1315" s="1520">
        <v>46290</v>
      </c>
      <c r="M1315" s="1520">
        <v>46290</v>
      </c>
      <c r="N1315" t="s">
        <v>2434</v>
      </c>
      <c r="O1315" s="1520">
        <v>46296</v>
      </c>
      <c r="P1315" s="1520">
        <v>46298</v>
      </c>
    </row>
    <row r="1316" spans="1:16">
      <c r="A1316" t="s">
        <v>8225</v>
      </c>
      <c r="B1316" t="s">
        <v>64</v>
      </c>
      <c r="C1316" t="s">
        <v>65</v>
      </c>
      <c r="E1316" t="s">
        <v>7851</v>
      </c>
      <c r="F1316" t="s">
        <v>7853</v>
      </c>
      <c r="G1316">
        <v>552</v>
      </c>
      <c r="H1316" t="s">
        <v>75</v>
      </c>
      <c r="I1316" t="s">
        <v>8228</v>
      </c>
      <c r="J1316" s="1520"/>
      <c r="K1316" s="1520">
        <v>46302</v>
      </c>
      <c r="L1316" s="1520">
        <v>46302</v>
      </c>
      <c r="M1316" s="1520">
        <v>46303</v>
      </c>
      <c r="N1316" t="s">
        <v>2434</v>
      </c>
      <c r="O1316" s="1520">
        <v>46310</v>
      </c>
      <c r="P1316" s="1520">
        <v>46311</v>
      </c>
    </row>
    <row r="1317" spans="1:16">
      <c r="A1317" t="s">
        <v>8256</v>
      </c>
      <c r="B1317" t="s">
        <v>64</v>
      </c>
      <c r="C1317" t="s">
        <v>65</v>
      </c>
      <c r="E1317" t="s">
        <v>7828</v>
      </c>
      <c r="F1317" t="s">
        <v>7830</v>
      </c>
      <c r="G1317">
        <v>130</v>
      </c>
      <c r="H1317" t="s">
        <v>951</v>
      </c>
      <c r="I1317" t="s">
        <v>8257</v>
      </c>
      <c r="J1317" s="1520"/>
      <c r="K1317" s="1520">
        <v>46314</v>
      </c>
      <c r="L1317" s="1520">
        <v>46332</v>
      </c>
      <c r="M1317" s="1520"/>
      <c r="N1317" t="s">
        <v>2434</v>
      </c>
      <c r="O1317" s="1520">
        <v>46322</v>
      </c>
      <c r="P1317" s="1520">
        <v>46340</v>
      </c>
    </row>
    <row r="1318" spans="1:16">
      <c r="A1318" t="s">
        <v>8260</v>
      </c>
      <c r="B1318" t="s">
        <v>64</v>
      </c>
      <c r="C1318" t="s">
        <v>65</v>
      </c>
      <c r="E1318" t="s">
        <v>7840</v>
      </c>
      <c r="F1318" t="s">
        <v>7842</v>
      </c>
      <c r="G1318">
        <v>130</v>
      </c>
      <c r="H1318" t="s">
        <v>951</v>
      </c>
      <c r="I1318" t="s">
        <v>8257</v>
      </c>
      <c r="J1318" s="1520"/>
      <c r="K1318" s="1520">
        <v>46314</v>
      </c>
      <c r="L1318" s="1520">
        <v>46332</v>
      </c>
      <c r="M1318" s="1520"/>
      <c r="N1318" t="s">
        <v>2434</v>
      </c>
      <c r="O1318" s="1520">
        <v>46322</v>
      </c>
      <c r="P1318" s="1520">
        <v>46340</v>
      </c>
    </row>
    <row r="1319" spans="1:16">
      <c r="A1319" t="s">
        <v>8256</v>
      </c>
      <c r="B1319" t="s">
        <v>64</v>
      </c>
      <c r="C1319" t="s">
        <v>65</v>
      </c>
      <c r="E1319" t="s">
        <v>7828</v>
      </c>
      <c r="F1319" t="s">
        <v>7830</v>
      </c>
      <c r="G1319">
        <v>130</v>
      </c>
      <c r="H1319" t="s">
        <v>951</v>
      </c>
      <c r="I1319" t="s">
        <v>8257</v>
      </c>
      <c r="J1319" s="1520"/>
      <c r="K1319" s="1520">
        <v>46314</v>
      </c>
      <c r="L1319" s="1520">
        <v>46332</v>
      </c>
      <c r="M1319" s="1520"/>
      <c r="N1319" t="s">
        <v>2434</v>
      </c>
      <c r="O1319" s="1520">
        <v>46322</v>
      </c>
      <c r="P1319" s="1520">
        <v>46340</v>
      </c>
    </row>
    <row r="1320" spans="1:16">
      <c r="A1320" t="s">
        <v>8260</v>
      </c>
      <c r="B1320" t="s">
        <v>64</v>
      </c>
      <c r="C1320" t="s">
        <v>65</v>
      </c>
      <c r="E1320" t="s">
        <v>7840</v>
      </c>
      <c r="F1320" t="s">
        <v>7842</v>
      </c>
      <c r="G1320">
        <v>130</v>
      </c>
      <c r="H1320" t="s">
        <v>951</v>
      </c>
      <c r="I1320" t="s">
        <v>8257</v>
      </c>
      <c r="J1320" s="1520"/>
      <c r="K1320" s="1520">
        <v>46314</v>
      </c>
      <c r="L1320" s="1520">
        <v>46332</v>
      </c>
      <c r="M1320" s="1520"/>
      <c r="N1320" t="s">
        <v>2434</v>
      </c>
      <c r="O1320" s="1520">
        <v>46322</v>
      </c>
      <c r="P1320" s="1520">
        <v>46340</v>
      </c>
    </row>
    <row r="1321" spans="1:16">
      <c r="A1321" t="s">
        <v>8261</v>
      </c>
      <c r="B1321" t="s">
        <v>64</v>
      </c>
      <c r="C1321" t="s">
        <v>65</v>
      </c>
      <c r="E1321" t="s">
        <v>7828</v>
      </c>
      <c r="F1321" t="s">
        <v>7830</v>
      </c>
      <c r="G1321">
        <v>130</v>
      </c>
      <c r="H1321" t="s">
        <v>951</v>
      </c>
      <c r="I1321" t="s">
        <v>8257</v>
      </c>
      <c r="J1321" s="1520"/>
      <c r="K1321" s="1520">
        <v>46314</v>
      </c>
      <c r="L1321" s="1520">
        <v>46332</v>
      </c>
      <c r="M1321" s="1520"/>
      <c r="N1321" t="s">
        <v>2434</v>
      </c>
      <c r="O1321" s="1520">
        <v>46322</v>
      </c>
      <c r="P1321" s="1520">
        <v>46340</v>
      </c>
    </row>
    <row r="1322" spans="1:16">
      <c r="A1322" t="s">
        <v>8262</v>
      </c>
      <c r="B1322" t="s">
        <v>64</v>
      </c>
      <c r="C1322" t="s">
        <v>65</v>
      </c>
      <c r="E1322" t="s">
        <v>7840</v>
      </c>
      <c r="F1322" t="s">
        <v>7842</v>
      </c>
      <c r="G1322">
        <v>130</v>
      </c>
      <c r="H1322" t="s">
        <v>951</v>
      </c>
      <c r="I1322" t="s">
        <v>8257</v>
      </c>
      <c r="J1322" s="1520"/>
      <c r="K1322" s="1520">
        <v>46314</v>
      </c>
      <c r="L1322" s="1520">
        <v>46332</v>
      </c>
      <c r="M1322" s="1520"/>
      <c r="N1322" t="s">
        <v>2434</v>
      </c>
      <c r="O1322" s="1520">
        <v>46322</v>
      </c>
      <c r="P1322" s="1520">
        <v>46340</v>
      </c>
    </row>
    <row r="1323" spans="1:16">
      <c r="A1323" t="s">
        <v>8252</v>
      </c>
      <c r="B1323" t="s">
        <v>64</v>
      </c>
      <c r="C1323" t="s">
        <v>65</v>
      </c>
      <c r="E1323" t="s">
        <v>7816</v>
      </c>
      <c r="F1323" t="s">
        <v>7818</v>
      </c>
      <c r="G1323">
        <v>180</v>
      </c>
      <c r="H1323" t="s">
        <v>75</v>
      </c>
      <c r="I1323" t="s">
        <v>8243</v>
      </c>
      <c r="J1323" s="1520"/>
      <c r="K1323" s="1520">
        <v>46302</v>
      </c>
      <c r="L1323" s="1520">
        <v>46309</v>
      </c>
      <c r="M1323" s="1520">
        <v>46310</v>
      </c>
      <c r="N1323" t="s">
        <v>2434</v>
      </c>
      <c r="O1323" s="1520">
        <v>46317</v>
      </c>
      <c r="P1323" s="1520">
        <v>46318</v>
      </c>
    </row>
    <row r="1324" spans="1:16">
      <c r="A1324" t="s">
        <v>8251</v>
      </c>
      <c r="B1324" t="s">
        <v>64</v>
      </c>
      <c r="C1324" t="s">
        <v>65</v>
      </c>
      <c r="E1324" t="s">
        <v>7840</v>
      </c>
      <c r="F1324" t="s">
        <v>7842</v>
      </c>
      <c r="G1324">
        <v>30</v>
      </c>
      <c r="H1324" t="s">
        <v>75</v>
      </c>
      <c r="I1324" t="s">
        <v>8243</v>
      </c>
      <c r="J1324" s="1520"/>
      <c r="K1324" s="1520">
        <v>46302</v>
      </c>
      <c r="L1324" s="1520">
        <v>46309</v>
      </c>
      <c r="M1324" s="1520">
        <v>46310</v>
      </c>
      <c r="N1324" t="s">
        <v>2434</v>
      </c>
      <c r="O1324" s="1520">
        <v>46317</v>
      </c>
      <c r="P1324" s="1520">
        <v>46318</v>
      </c>
    </row>
    <row r="1325" spans="1:16">
      <c r="A1325" t="s">
        <v>8250</v>
      </c>
      <c r="B1325" t="s">
        <v>64</v>
      </c>
      <c r="C1325" t="s">
        <v>65</v>
      </c>
      <c r="E1325" t="s">
        <v>7840</v>
      </c>
      <c r="F1325" t="s">
        <v>7842</v>
      </c>
      <c r="G1325">
        <v>100</v>
      </c>
      <c r="H1325" t="s">
        <v>75</v>
      </c>
      <c r="I1325" t="s">
        <v>8243</v>
      </c>
      <c r="J1325" s="1520"/>
      <c r="K1325" s="1520">
        <v>46302</v>
      </c>
      <c r="L1325" s="1520">
        <v>46309</v>
      </c>
      <c r="M1325" s="1520">
        <v>46310</v>
      </c>
      <c r="N1325" t="s">
        <v>2434</v>
      </c>
      <c r="O1325" s="1520">
        <v>46317</v>
      </c>
      <c r="P1325" s="1520">
        <v>46318</v>
      </c>
    </row>
    <row r="1326" spans="1:16">
      <c r="A1326" t="s">
        <v>8249</v>
      </c>
      <c r="B1326" t="s">
        <v>64</v>
      </c>
      <c r="C1326" t="s">
        <v>65</v>
      </c>
      <c r="E1326" t="s">
        <v>7837</v>
      </c>
      <c r="F1326" t="s">
        <v>7838</v>
      </c>
      <c r="G1326">
        <v>3</v>
      </c>
      <c r="H1326" t="s">
        <v>75</v>
      </c>
      <c r="I1326" t="s">
        <v>8243</v>
      </c>
      <c r="J1326" s="1520"/>
      <c r="K1326" s="1520">
        <v>46302</v>
      </c>
      <c r="L1326" s="1520">
        <v>46309</v>
      </c>
      <c r="M1326" s="1520">
        <v>46310</v>
      </c>
      <c r="N1326" t="s">
        <v>2434</v>
      </c>
      <c r="O1326" s="1520">
        <v>46317</v>
      </c>
      <c r="P1326" s="1520">
        <v>46318</v>
      </c>
    </row>
    <row r="1327" spans="1:16">
      <c r="A1327" t="s">
        <v>8248</v>
      </c>
      <c r="B1327" t="s">
        <v>64</v>
      </c>
      <c r="C1327" t="s">
        <v>65</v>
      </c>
      <c r="E1327" t="s">
        <v>7837</v>
      </c>
      <c r="F1327" t="s">
        <v>7838</v>
      </c>
      <c r="G1327">
        <v>65</v>
      </c>
      <c r="H1327" t="s">
        <v>75</v>
      </c>
      <c r="I1327" t="s">
        <v>8243</v>
      </c>
      <c r="J1327" s="1520"/>
      <c r="K1327" s="1520">
        <v>46302</v>
      </c>
      <c r="L1327" s="1520">
        <v>46309</v>
      </c>
      <c r="M1327" s="1520">
        <v>46310</v>
      </c>
      <c r="N1327" t="s">
        <v>2434</v>
      </c>
      <c r="O1327" s="1520">
        <v>46317</v>
      </c>
      <c r="P1327" s="1520">
        <v>46318</v>
      </c>
    </row>
    <row r="1328" spans="1:16">
      <c r="A1328" t="s">
        <v>8242</v>
      </c>
      <c r="B1328" t="s">
        <v>64</v>
      </c>
      <c r="C1328" t="s">
        <v>65</v>
      </c>
      <c r="E1328" t="s">
        <v>7862</v>
      </c>
      <c r="F1328" t="s">
        <v>7863</v>
      </c>
      <c r="G1328">
        <v>34</v>
      </c>
      <c r="H1328" t="s">
        <v>75</v>
      </c>
      <c r="I1328" t="s">
        <v>8243</v>
      </c>
      <c r="J1328" s="1520"/>
      <c r="K1328" s="1520">
        <v>46302</v>
      </c>
      <c r="L1328" s="1520">
        <v>46309</v>
      </c>
      <c r="M1328" s="1520">
        <v>46310</v>
      </c>
      <c r="N1328" t="s">
        <v>2434</v>
      </c>
      <c r="O1328" s="1520">
        <v>46317</v>
      </c>
      <c r="P1328" s="1520">
        <v>46318</v>
      </c>
    </row>
    <row r="1329" spans="1:16">
      <c r="A1329" t="s">
        <v>8247</v>
      </c>
      <c r="B1329" t="s">
        <v>64</v>
      </c>
      <c r="C1329" t="s">
        <v>65</v>
      </c>
      <c r="E1329" t="s">
        <v>7828</v>
      </c>
      <c r="F1329" t="s">
        <v>7830</v>
      </c>
      <c r="G1329">
        <v>27</v>
      </c>
      <c r="H1329" t="s">
        <v>75</v>
      </c>
      <c r="I1329" t="s">
        <v>8243</v>
      </c>
      <c r="J1329" s="1520"/>
      <c r="K1329" s="1520">
        <v>46302</v>
      </c>
      <c r="L1329" s="1520">
        <v>46309</v>
      </c>
      <c r="M1329" s="1520">
        <v>46310</v>
      </c>
      <c r="N1329" t="s">
        <v>2434</v>
      </c>
      <c r="O1329" s="1520">
        <v>46317</v>
      </c>
      <c r="P1329" s="1520">
        <v>46318</v>
      </c>
    </row>
    <row r="1330" spans="1:16">
      <c r="A1330" t="s">
        <v>8254</v>
      </c>
      <c r="B1330" t="s">
        <v>64</v>
      </c>
      <c r="C1330" t="s">
        <v>65</v>
      </c>
      <c r="E1330" t="s">
        <v>7840</v>
      </c>
      <c r="F1330" t="s">
        <v>7842</v>
      </c>
      <c r="G1330">
        <v>130</v>
      </c>
      <c r="H1330" t="s">
        <v>75</v>
      </c>
      <c r="I1330" t="s">
        <v>8243</v>
      </c>
      <c r="J1330" s="1520"/>
      <c r="K1330" s="1520">
        <v>46302</v>
      </c>
      <c r="L1330" s="1520">
        <v>46309</v>
      </c>
      <c r="M1330" s="1520">
        <v>46310</v>
      </c>
      <c r="N1330" t="s">
        <v>2434</v>
      </c>
      <c r="O1330" s="1520">
        <v>46317</v>
      </c>
      <c r="P1330" s="1520">
        <v>46318</v>
      </c>
    </row>
    <row r="1331" spans="1:16">
      <c r="A1331" t="s">
        <v>8253</v>
      </c>
      <c r="B1331" t="s">
        <v>64</v>
      </c>
      <c r="C1331" t="s">
        <v>65</v>
      </c>
      <c r="E1331" t="s">
        <v>7828</v>
      </c>
      <c r="F1331" t="s">
        <v>7830</v>
      </c>
      <c r="G1331">
        <v>130</v>
      </c>
      <c r="H1331" t="s">
        <v>75</v>
      </c>
      <c r="I1331" t="s">
        <v>8243</v>
      </c>
      <c r="J1331" s="1520"/>
      <c r="K1331" s="1520">
        <v>46302</v>
      </c>
      <c r="L1331" s="1520">
        <v>46309</v>
      </c>
      <c r="M1331" s="1520">
        <v>46310</v>
      </c>
      <c r="N1331" t="s">
        <v>2434</v>
      </c>
      <c r="O1331" s="1520">
        <v>46317</v>
      </c>
      <c r="P1331" s="1520">
        <v>46318</v>
      </c>
    </row>
    <row r="1332" spans="1:16">
      <c r="A1332" t="s">
        <v>8246</v>
      </c>
      <c r="B1332" t="s">
        <v>64</v>
      </c>
      <c r="C1332" t="s">
        <v>65</v>
      </c>
      <c r="E1332" t="s">
        <v>7862</v>
      </c>
      <c r="F1332" t="s">
        <v>7863</v>
      </c>
      <c r="G1332">
        <v>1</v>
      </c>
      <c r="H1332" t="s">
        <v>75</v>
      </c>
      <c r="I1332" t="s">
        <v>8243</v>
      </c>
      <c r="J1332" s="1520"/>
      <c r="K1332" s="1520">
        <v>46302</v>
      </c>
      <c r="L1332" s="1520">
        <v>46309</v>
      </c>
      <c r="M1332" s="1520">
        <v>46310</v>
      </c>
      <c r="N1332" t="s">
        <v>2434</v>
      </c>
      <c r="O1332" s="1520">
        <v>46317</v>
      </c>
      <c r="P1332" s="1520">
        <v>46318</v>
      </c>
    </row>
    <row r="1333" spans="1:16">
      <c r="A1333" t="s">
        <v>8255</v>
      </c>
      <c r="B1333" t="s">
        <v>64</v>
      </c>
      <c r="C1333" t="s">
        <v>65</v>
      </c>
      <c r="E1333" t="s">
        <v>7824</v>
      </c>
      <c r="F1333" t="s">
        <v>7826</v>
      </c>
      <c r="G1333">
        <v>108</v>
      </c>
      <c r="H1333" t="s">
        <v>75</v>
      </c>
      <c r="I1333" t="s">
        <v>8243</v>
      </c>
      <c r="J1333" s="1520"/>
      <c r="K1333" s="1520">
        <v>46302</v>
      </c>
      <c r="L1333" s="1520">
        <v>46309</v>
      </c>
      <c r="M1333" s="1520">
        <v>46310</v>
      </c>
      <c r="N1333" t="s">
        <v>2434</v>
      </c>
      <c r="O1333" s="1520">
        <v>46317</v>
      </c>
      <c r="P1333" s="1520">
        <v>46318</v>
      </c>
    </row>
    <row r="1334" spans="1:16">
      <c r="A1334" t="s">
        <v>8234</v>
      </c>
      <c r="B1334" t="s">
        <v>64</v>
      </c>
      <c r="C1334" t="s">
        <v>65</v>
      </c>
      <c r="E1334" t="s">
        <v>7851</v>
      </c>
      <c r="F1334" t="s">
        <v>7853</v>
      </c>
      <c r="G1334">
        <v>276</v>
      </c>
      <c r="H1334" t="s">
        <v>75</v>
      </c>
      <c r="I1334" t="s">
        <v>8232</v>
      </c>
      <c r="J1334" s="1520"/>
      <c r="K1334" s="1520">
        <v>46302</v>
      </c>
      <c r="L1334" s="1520">
        <v>46302</v>
      </c>
      <c r="M1334" s="1520">
        <v>46303</v>
      </c>
      <c r="N1334" t="s">
        <v>2434</v>
      </c>
      <c r="O1334" s="1520">
        <v>46310</v>
      </c>
      <c r="P1334" s="1520">
        <v>46311</v>
      </c>
    </row>
    <row r="1335" spans="1:16">
      <c r="A1335" t="s">
        <v>8233</v>
      </c>
      <c r="B1335" t="s">
        <v>64</v>
      </c>
      <c r="C1335" t="s">
        <v>65</v>
      </c>
      <c r="E1335" t="s">
        <v>7851</v>
      </c>
      <c r="F1335" t="s">
        <v>7853</v>
      </c>
      <c r="G1335">
        <v>80</v>
      </c>
      <c r="H1335" t="s">
        <v>75</v>
      </c>
      <c r="I1335" t="s">
        <v>8232</v>
      </c>
      <c r="J1335" s="1520"/>
      <c r="K1335" s="1520">
        <v>46302</v>
      </c>
      <c r="L1335" s="1520">
        <v>46302</v>
      </c>
      <c r="M1335" s="1520">
        <v>46303</v>
      </c>
      <c r="N1335" t="s">
        <v>2434</v>
      </c>
      <c r="O1335" s="1520">
        <v>46310</v>
      </c>
      <c r="P1335" s="1520">
        <v>46311</v>
      </c>
    </row>
    <row r="1336" spans="1:16">
      <c r="A1336" t="s">
        <v>8231</v>
      </c>
      <c r="B1336" t="s">
        <v>64</v>
      </c>
      <c r="C1336" t="s">
        <v>65</v>
      </c>
      <c r="E1336" t="s">
        <v>7851</v>
      </c>
      <c r="F1336" t="s">
        <v>7853</v>
      </c>
      <c r="G1336">
        <v>196</v>
      </c>
      <c r="H1336" t="s">
        <v>75</v>
      </c>
      <c r="I1336" t="s">
        <v>8232</v>
      </c>
      <c r="J1336" s="1520"/>
      <c r="K1336" s="1520">
        <v>46302</v>
      </c>
      <c r="L1336" s="1520">
        <v>46302</v>
      </c>
      <c r="M1336" s="1520">
        <v>46303</v>
      </c>
      <c r="N1336" t="s">
        <v>2434</v>
      </c>
      <c r="O1336" s="1520">
        <v>46310</v>
      </c>
      <c r="P1336" s="1520">
        <v>46311</v>
      </c>
    </row>
    <row r="1337" spans="1:16">
      <c r="A1337" t="s">
        <v>8292</v>
      </c>
      <c r="B1337" t="s">
        <v>64</v>
      </c>
      <c r="C1337" t="s">
        <v>100</v>
      </c>
      <c r="E1337" t="s">
        <v>8294</v>
      </c>
      <c r="F1337" t="s">
        <v>8296</v>
      </c>
      <c r="G1337">
        <v>30</v>
      </c>
      <c r="H1337" t="s">
        <v>75</v>
      </c>
      <c r="I1337" t="s">
        <v>8299</v>
      </c>
      <c r="J1337" s="1520"/>
      <c r="K1337" s="1520">
        <v>46295</v>
      </c>
      <c r="L1337" s="1520">
        <v>46299</v>
      </c>
      <c r="M1337" s="1520">
        <v>46301</v>
      </c>
      <c r="N1337" t="s">
        <v>2434</v>
      </c>
      <c r="O1337" s="1520">
        <v>46312</v>
      </c>
      <c r="P1337" s="1520">
        <v>46315</v>
      </c>
    </row>
    <row r="1338" spans="1:16">
      <c r="A1338" t="s">
        <v>8276</v>
      </c>
      <c r="B1338" t="s">
        <v>64</v>
      </c>
      <c r="C1338" t="s">
        <v>65</v>
      </c>
      <c r="E1338" t="s">
        <v>7840</v>
      </c>
      <c r="F1338" t="s">
        <v>7842</v>
      </c>
      <c r="G1338">
        <v>130</v>
      </c>
      <c r="H1338" t="s">
        <v>951</v>
      </c>
      <c r="I1338" t="s">
        <v>8270</v>
      </c>
      <c r="J1338" s="1520"/>
      <c r="K1338" s="1520">
        <v>46321</v>
      </c>
      <c r="L1338" s="1520">
        <v>46336</v>
      </c>
      <c r="M1338" s="1520"/>
      <c r="N1338" t="s">
        <v>11129</v>
      </c>
      <c r="O1338" s="1520" t="s">
        <v>2480</v>
      </c>
      <c r="P1338" s="1520">
        <v>46344</v>
      </c>
    </row>
    <row r="1339" spans="1:16">
      <c r="A1339" t="s">
        <v>8274</v>
      </c>
      <c r="B1339" t="s">
        <v>64</v>
      </c>
      <c r="C1339" t="s">
        <v>65</v>
      </c>
      <c r="E1339" t="s">
        <v>7828</v>
      </c>
      <c r="F1339" t="s">
        <v>7830</v>
      </c>
      <c r="G1339">
        <v>130</v>
      </c>
      <c r="H1339" t="s">
        <v>951</v>
      </c>
      <c r="I1339" t="s">
        <v>8270</v>
      </c>
      <c r="J1339" s="1520"/>
      <c r="K1339" s="1520">
        <v>46321</v>
      </c>
      <c r="L1339" s="1520">
        <v>46336</v>
      </c>
      <c r="M1339" s="1520"/>
      <c r="N1339" t="s">
        <v>11129</v>
      </c>
      <c r="O1339" s="1520" t="s">
        <v>2480</v>
      </c>
      <c r="P1339" s="1520">
        <v>46344</v>
      </c>
    </row>
    <row r="1340" spans="1:16">
      <c r="A1340" t="s">
        <v>8273</v>
      </c>
      <c r="B1340" t="s">
        <v>64</v>
      </c>
      <c r="C1340" t="s">
        <v>65</v>
      </c>
      <c r="E1340" t="s">
        <v>7840</v>
      </c>
      <c r="F1340" t="s">
        <v>7842</v>
      </c>
      <c r="G1340">
        <v>130</v>
      </c>
      <c r="H1340" t="s">
        <v>951</v>
      </c>
      <c r="I1340" t="s">
        <v>8270</v>
      </c>
      <c r="J1340" s="1520"/>
      <c r="K1340" s="1520">
        <v>46321</v>
      </c>
      <c r="L1340" s="1520">
        <v>46336</v>
      </c>
      <c r="M1340" s="1520"/>
      <c r="N1340" t="s">
        <v>11129</v>
      </c>
      <c r="O1340" s="1520" t="s">
        <v>2480</v>
      </c>
      <c r="P1340" s="1520">
        <v>46344</v>
      </c>
    </row>
    <row r="1341" spans="1:16">
      <c r="A1341" t="s">
        <v>8268</v>
      </c>
      <c r="B1341" t="s">
        <v>64</v>
      </c>
      <c r="C1341" t="s">
        <v>65</v>
      </c>
      <c r="E1341" t="s">
        <v>7828</v>
      </c>
      <c r="F1341" t="s">
        <v>7830</v>
      </c>
      <c r="G1341">
        <v>130</v>
      </c>
      <c r="H1341" t="s">
        <v>951</v>
      </c>
      <c r="I1341" t="s">
        <v>8270</v>
      </c>
      <c r="J1341" s="1520"/>
      <c r="K1341" s="1520">
        <v>46321</v>
      </c>
      <c r="L1341" s="1520">
        <v>46336</v>
      </c>
      <c r="M1341" s="1520"/>
      <c r="N1341" t="s">
        <v>11129</v>
      </c>
      <c r="O1341" s="1520" t="s">
        <v>2480</v>
      </c>
      <c r="P1341" s="1520">
        <v>46344</v>
      </c>
    </row>
    <row r="1342" spans="1:16">
      <c r="A1342" t="s">
        <v>8336</v>
      </c>
      <c r="B1342" t="s">
        <v>64</v>
      </c>
      <c r="C1342" t="s">
        <v>65</v>
      </c>
      <c r="E1342" t="s">
        <v>7840</v>
      </c>
      <c r="F1342" t="s">
        <v>7842</v>
      </c>
      <c r="G1342">
        <v>130</v>
      </c>
      <c r="H1342" t="s">
        <v>951</v>
      </c>
      <c r="I1342" t="s">
        <v>8333</v>
      </c>
      <c r="J1342" s="1520"/>
      <c r="K1342" s="1520">
        <v>46328</v>
      </c>
      <c r="L1342" s="1520">
        <v>46342</v>
      </c>
      <c r="M1342" s="1520"/>
      <c r="N1342" t="s">
        <v>11129</v>
      </c>
      <c r="O1342" s="1520" t="s">
        <v>2480</v>
      </c>
      <c r="P1342" s="1520">
        <v>46350</v>
      </c>
    </row>
    <row r="1343" spans="1:16">
      <c r="A1343" t="s">
        <v>8331</v>
      </c>
      <c r="B1343" t="s">
        <v>64</v>
      </c>
      <c r="C1343" t="s">
        <v>65</v>
      </c>
      <c r="E1343" t="s">
        <v>7828</v>
      </c>
      <c r="F1343" t="s">
        <v>7830</v>
      </c>
      <c r="G1343">
        <v>130</v>
      </c>
      <c r="H1343" t="s">
        <v>951</v>
      </c>
      <c r="I1343" t="s">
        <v>8333</v>
      </c>
      <c r="J1343" s="1520"/>
      <c r="K1343" s="1520">
        <v>46328</v>
      </c>
      <c r="L1343" s="1520">
        <v>46342</v>
      </c>
      <c r="M1343" s="1520"/>
      <c r="N1343" t="s">
        <v>11129</v>
      </c>
      <c r="O1343" s="1520" t="s">
        <v>2480</v>
      </c>
      <c r="P1343" s="1520">
        <v>46350</v>
      </c>
    </row>
    <row r="1344" spans="1:16">
      <c r="A1344" t="s">
        <v>8263</v>
      </c>
      <c r="B1344" t="s">
        <v>64</v>
      </c>
      <c r="C1344" t="s">
        <v>65</v>
      </c>
      <c r="E1344" t="s">
        <v>7851</v>
      </c>
      <c r="F1344" t="s">
        <v>7853</v>
      </c>
      <c r="G1344">
        <v>552</v>
      </c>
      <c r="H1344" t="s">
        <v>951</v>
      </c>
      <c r="I1344" t="s">
        <v>8265</v>
      </c>
      <c r="J1344" s="1520"/>
      <c r="K1344" s="1520">
        <v>46330</v>
      </c>
      <c r="L1344" s="1520">
        <v>46330</v>
      </c>
      <c r="M1344" s="1520"/>
      <c r="N1344" t="s">
        <v>11129</v>
      </c>
      <c r="O1344" s="1520" t="s">
        <v>2480</v>
      </c>
      <c r="P1344" s="1520">
        <v>46338</v>
      </c>
    </row>
    <row r="1345" spans="1:16">
      <c r="A1345" t="s">
        <v>8277</v>
      </c>
      <c r="B1345" t="s">
        <v>64</v>
      </c>
      <c r="C1345" t="s">
        <v>65</v>
      </c>
      <c r="E1345" t="s">
        <v>7851</v>
      </c>
      <c r="F1345" t="s">
        <v>7853</v>
      </c>
      <c r="G1345">
        <v>552</v>
      </c>
      <c r="H1345" t="s">
        <v>951</v>
      </c>
      <c r="I1345" t="s">
        <v>8279</v>
      </c>
      <c r="J1345" s="1520"/>
      <c r="K1345" s="1520">
        <v>46316</v>
      </c>
      <c r="L1345" s="1520">
        <v>46323</v>
      </c>
      <c r="M1345" s="1520"/>
      <c r="N1345" t="s">
        <v>11129</v>
      </c>
      <c r="O1345" s="1520" t="s">
        <v>2480</v>
      </c>
      <c r="P1345" s="1520">
        <v>46331</v>
      </c>
    </row>
    <row r="1346" spans="1:16">
      <c r="A1346" t="s">
        <v>8330</v>
      </c>
      <c r="B1346" t="s">
        <v>64</v>
      </c>
      <c r="C1346" t="s">
        <v>114</v>
      </c>
      <c r="E1346" t="s">
        <v>7851</v>
      </c>
      <c r="F1346" t="s">
        <v>7853</v>
      </c>
      <c r="G1346">
        <v>132</v>
      </c>
      <c r="H1346" t="s">
        <v>75</v>
      </c>
      <c r="I1346" t="s">
        <v>8325</v>
      </c>
      <c r="J1346" s="1520"/>
      <c r="K1346" s="1520">
        <v>46306</v>
      </c>
      <c r="L1346" s="1520">
        <v>46313</v>
      </c>
      <c r="M1346" s="1520">
        <v>46315</v>
      </c>
      <c r="N1346" t="s">
        <v>11129</v>
      </c>
      <c r="O1346" s="1520" t="s">
        <v>2480</v>
      </c>
      <c r="P1346" s="1520">
        <v>46324</v>
      </c>
    </row>
    <row r="1347" spans="1:16">
      <c r="A1347" t="s">
        <v>8329</v>
      </c>
      <c r="B1347" t="s">
        <v>64</v>
      </c>
      <c r="C1347" t="s">
        <v>114</v>
      </c>
      <c r="E1347" t="s">
        <v>7840</v>
      </c>
      <c r="F1347" t="s">
        <v>7842</v>
      </c>
      <c r="G1347">
        <v>66</v>
      </c>
      <c r="H1347" t="s">
        <v>75</v>
      </c>
      <c r="I1347" t="s">
        <v>8325</v>
      </c>
      <c r="J1347" s="1520"/>
      <c r="K1347" s="1520">
        <v>46306</v>
      </c>
      <c r="L1347" s="1520">
        <v>46313</v>
      </c>
      <c r="M1347" s="1520">
        <v>46315</v>
      </c>
      <c r="N1347" t="s">
        <v>11129</v>
      </c>
      <c r="O1347" s="1520" t="s">
        <v>2480</v>
      </c>
      <c r="P1347" s="1520">
        <v>46324</v>
      </c>
    </row>
    <row r="1348" spans="1:16">
      <c r="A1348" t="s">
        <v>8328</v>
      </c>
      <c r="B1348" t="s">
        <v>64</v>
      </c>
      <c r="C1348" t="s">
        <v>114</v>
      </c>
      <c r="E1348" t="s">
        <v>7837</v>
      </c>
      <c r="F1348" t="s">
        <v>7838</v>
      </c>
      <c r="G1348">
        <v>20</v>
      </c>
      <c r="H1348" t="s">
        <v>75</v>
      </c>
      <c r="I1348" t="s">
        <v>8325</v>
      </c>
      <c r="J1348" s="1520"/>
      <c r="K1348" s="1520">
        <v>46306</v>
      </c>
      <c r="L1348" s="1520">
        <v>46313</v>
      </c>
      <c r="M1348" s="1520">
        <v>46315</v>
      </c>
      <c r="N1348" t="s">
        <v>11129</v>
      </c>
      <c r="O1348" s="1520" t="s">
        <v>2480</v>
      </c>
      <c r="P1348" s="1520">
        <v>46324</v>
      </c>
    </row>
    <row r="1349" spans="1:16">
      <c r="A1349" t="s">
        <v>8323</v>
      </c>
      <c r="B1349" t="s">
        <v>64</v>
      </c>
      <c r="C1349" t="s">
        <v>114</v>
      </c>
      <c r="E1349" t="s">
        <v>7828</v>
      </c>
      <c r="F1349" t="s">
        <v>7830</v>
      </c>
      <c r="G1349">
        <v>46</v>
      </c>
      <c r="H1349" t="s">
        <v>75</v>
      </c>
      <c r="I1349" t="s">
        <v>8325</v>
      </c>
      <c r="J1349" s="1520"/>
      <c r="K1349" s="1520">
        <v>46306</v>
      </c>
      <c r="L1349" s="1520">
        <v>46313</v>
      </c>
      <c r="M1349" s="1520">
        <v>46315</v>
      </c>
      <c r="N1349" t="s">
        <v>11129</v>
      </c>
      <c r="O1349" s="1520" t="s">
        <v>2480</v>
      </c>
      <c r="P1349" s="1520">
        <v>46324</v>
      </c>
    </row>
    <row r="1350" spans="1:16">
      <c r="A1350" t="s">
        <v>8287</v>
      </c>
      <c r="B1350" t="s">
        <v>64</v>
      </c>
      <c r="C1350" t="s">
        <v>65</v>
      </c>
      <c r="E1350" t="s">
        <v>7851</v>
      </c>
      <c r="F1350" t="s">
        <v>7853</v>
      </c>
      <c r="G1350">
        <v>552</v>
      </c>
      <c r="H1350" t="s">
        <v>951</v>
      </c>
      <c r="I1350" t="s">
        <v>8289</v>
      </c>
      <c r="J1350" s="1520"/>
      <c r="K1350" s="1520">
        <v>46337</v>
      </c>
      <c r="L1350" s="1520">
        <v>46337</v>
      </c>
      <c r="M1350" s="1520"/>
      <c r="N1350" t="s">
        <v>11129</v>
      </c>
      <c r="O1350" s="1520" t="s">
        <v>2480</v>
      </c>
      <c r="P1350" s="1520">
        <v>46345</v>
      </c>
    </row>
    <row r="1351" spans="1:16">
      <c r="A1351" t="s">
        <v>8282</v>
      </c>
      <c r="B1351" t="s">
        <v>64</v>
      </c>
      <c r="C1351" t="s">
        <v>65</v>
      </c>
      <c r="E1351" t="s">
        <v>7851</v>
      </c>
      <c r="F1351" t="s">
        <v>7853</v>
      </c>
      <c r="G1351">
        <v>552</v>
      </c>
      <c r="H1351" t="s">
        <v>951</v>
      </c>
      <c r="I1351" t="s">
        <v>8284</v>
      </c>
      <c r="J1351" s="1520"/>
      <c r="K1351" s="1520">
        <v>46323</v>
      </c>
      <c r="L1351" s="1520">
        <v>46337</v>
      </c>
      <c r="M1351" s="1520"/>
      <c r="N1351" t="s">
        <v>11129</v>
      </c>
      <c r="O1351" s="1520" t="s">
        <v>2480</v>
      </c>
      <c r="P1351" s="1520">
        <v>46345</v>
      </c>
    </row>
    <row r="1352" spans="1:16">
      <c r="A1352" t="s">
        <v>8344</v>
      </c>
      <c r="B1352" t="s">
        <v>64</v>
      </c>
      <c r="C1352" t="s">
        <v>450</v>
      </c>
      <c r="E1352" t="s">
        <v>7840</v>
      </c>
      <c r="F1352" t="s">
        <v>7842</v>
      </c>
      <c r="G1352">
        <v>66</v>
      </c>
      <c r="H1352" t="s">
        <v>951</v>
      </c>
      <c r="I1352" t="s">
        <v>8340</v>
      </c>
      <c r="J1352" s="1520"/>
      <c r="K1352" s="1520">
        <v>46321</v>
      </c>
      <c r="L1352" s="1520">
        <v>46328</v>
      </c>
      <c r="M1352" s="1520"/>
      <c r="N1352" t="s">
        <v>11129</v>
      </c>
      <c r="O1352" s="1520" t="s">
        <v>2480</v>
      </c>
      <c r="P1352" s="1520">
        <v>46328</v>
      </c>
    </row>
    <row r="1353" spans="1:16">
      <c r="A1353" t="s">
        <v>8343</v>
      </c>
      <c r="B1353" t="s">
        <v>64</v>
      </c>
      <c r="C1353" t="s">
        <v>450</v>
      </c>
      <c r="E1353" t="s">
        <v>7828</v>
      </c>
      <c r="F1353" t="s">
        <v>7830</v>
      </c>
      <c r="G1353">
        <v>26</v>
      </c>
      <c r="H1353" t="s">
        <v>951</v>
      </c>
      <c r="I1353" t="s">
        <v>8340</v>
      </c>
      <c r="J1353" s="1520"/>
      <c r="K1353" s="1520">
        <v>46321</v>
      </c>
      <c r="L1353" s="1520">
        <v>46328</v>
      </c>
      <c r="M1353" s="1520"/>
      <c r="N1353" t="s">
        <v>11129</v>
      </c>
      <c r="O1353" s="1520" t="s">
        <v>2480</v>
      </c>
      <c r="P1353" s="1520">
        <v>46328</v>
      </c>
    </row>
    <row r="1354" spans="1:16">
      <c r="A1354" t="s">
        <v>8337</v>
      </c>
      <c r="B1354" t="s">
        <v>64</v>
      </c>
      <c r="C1354" t="s">
        <v>450</v>
      </c>
      <c r="E1354" t="s">
        <v>7862</v>
      </c>
      <c r="F1354" t="s">
        <v>7863</v>
      </c>
      <c r="G1354">
        <v>40</v>
      </c>
      <c r="H1354" t="s">
        <v>951</v>
      </c>
      <c r="I1354" t="s">
        <v>8340</v>
      </c>
      <c r="J1354" s="1520"/>
      <c r="K1354" s="1520">
        <v>46321</v>
      </c>
      <c r="L1354" s="1520">
        <v>46328</v>
      </c>
      <c r="M1354" s="1520"/>
      <c r="N1354" t="s">
        <v>11129</v>
      </c>
      <c r="O1354" s="1520" t="s">
        <v>2480</v>
      </c>
      <c r="P1354" s="1520">
        <v>46328</v>
      </c>
    </row>
    <row r="1355" spans="1:16">
      <c r="A1355" t="s">
        <v>8345</v>
      </c>
      <c r="B1355" t="s">
        <v>64</v>
      </c>
      <c r="C1355" t="s">
        <v>450</v>
      </c>
      <c r="E1355" t="s">
        <v>7851</v>
      </c>
      <c r="F1355" t="s">
        <v>7853</v>
      </c>
      <c r="G1355">
        <v>132</v>
      </c>
      <c r="H1355" t="s">
        <v>951</v>
      </c>
      <c r="I1355" t="s">
        <v>8340</v>
      </c>
      <c r="J1355" s="1520"/>
      <c r="K1355" s="1520">
        <v>46321</v>
      </c>
      <c r="L1355" s="1520">
        <v>46328</v>
      </c>
      <c r="M1355" s="1520"/>
      <c r="N1355" t="s">
        <v>11129</v>
      </c>
      <c r="O1355" s="1520" t="s">
        <v>2480</v>
      </c>
      <c r="P1355" s="1520">
        <v>46328</v>
      </c>
    </row>
    <row r="1356" spans="1:16">
      <c r="A1356" t="s">
        <v>8376</v>
      </c>
      <c r="B1356" t="s">
        <v>64</v>
      </c>
      <c r="C1356" t="s">
        <v>65</v>
      </c>
      <c r="E1356" t="s">
        <v>8108</v>
      </c>
      <c r="F1356" t="s">
        <v>8109</v>
      </c>
      <c r="G1356">
        <v>143</v>
      </c>
      <c r="H1356" t="s">
        <v>951</v>
      </c>
      <c r="I1356" t="s">
        <v>8370</v>
      </c>
      <c r="J1356" s="1520"/>
      <c r="K1356" s="1520">
        <v>46337</v>
      </c>
      <c r="L1356" s="1520">
        <v>46344</v>
      </c>
      <c r="M1356" s="1520"/>
      <c r="N1356" t="s">
        <v>11129</v>
      </c>
      <c r="O1356" s="1520" t="s">
        <v>2480</v>
      </c>
      <c r="P1356" s="1520">
        <v>46352</v>
      </c>
    </row>
    <row r="1357" spans="1:16">
      <c r="A1357" t="s">
        <v>8375</v>
      </c>
      <c r="B1357" t="s">
        <v>64</v>
      </c>
      <c r="C1357" t="s">
        <v>65</v>
      </c>
      <c r="E1357" t="s">
        <v>8101</v>
      </c>
      <c r="F1357" t="s">
        <v>8102</v>
      </c>
      <c r="G1357">
        <v>3</v>
      </c>
      <c r="H1357" t="s">
        <v>951</v>
      </c>
      <c r="I1357" t="s">
        <v>8370</v>
      </c>
      <c r="J1357" s="1520"/>
      <c r="K1357" s="1520">
        <v>46337</v>
      </c>
      <c r="L1357" s="1520">
        <v>46344</v>
      </c>
      <c r="M1357" s="1520"/>
      <c r="N1357" t="s">
        <v>11129</v>
      </c>
      <c r="O1357" s="1520" t="s">
        <v>2480</v>
      </c>
      <c r="P1357" s="1520">
        <v>46352</v>
      </c>
    </row>
    <row r="1358" spans="1:16">
      <c r="A1358" t="s">
        <v>8377</v>
      </c>
      <c r="B1358" t="s">
        <v>64</v>
      </c>
      <c r="C1358" t="s">
        <v>65</v>
      </c>
      <c r="E1358" t="s">
        <v>8108</v>
      </c>
      <c r="F1358" t="s">
        <v>8109</v>
      </c>
      <c r="G1358">
        <v>9</v>
      </c>
      <c r="H1358" t="s">
        <v>951</v>
      </c>
      <c r="I1358" t="s">
        <v>8370</v>
      </c>
      <c r="J1358" s="1520"/>
      <c r="K1358" s="1520">
        <v>46337</v>
      </c>
      <c r="L1358" s="1520">
        <v>46344</v>
      </c>
      <c r="M1358" s="1520"/>
      <c r="N1358" t="s">
        <v>11129</v>
      </c>
      <c r="O1358" s="1520" t="s">
        <v>2480</v>
      </c>
      <c r="P1358" s="1520">
        <v>46352</v>
      </c>
    </row>
    <row r="1359" spans="1:16">
      <c r="A1359" t="s">
        <v>8373</v>
      </c>
      <c r="B1359" t="s">
        <v>64</v>
      </c>
      <c r="C1359" t="s">
        <v>65</v>
      </c>
      <c r="E1359" t="s">
        <v>8116</v>
      </c>
      <c r="F1359" t="s">
        <v>8117</v>
      </c>
      <c r="G1359">
        <v>6</v>
      </c>
      <c r="H1359" t="s">
        <v>951</v>
      </c>
      <c r="I1359" t="s">
        <v>8370</v>
      </c>
      <c r="J1359" s="1520"/>
      <c r="K1359" s="1520">
        <v>46337</v>
      </c>
      <c r="L1359" s="1520">
        <v>46344</v>
      </c>
      <c r="M1359" s="1520"/>
      <c r="N1359" t="s">
        <v>11129</v>
      </c>
      <c r="O1359" s="1520" t="s">
        <v>2480</v>
      </c>
      <c r="P1359" s="1520">
        <v>46352</v>
      </c>
    </row>
    <row r="1360" spans="1:16">
      <c r="A1360" t="s">
        <v>8369</v>
      </c>
      <c r="B1360" t="s">
        <v>64</v>
      </c>
      <c r="C1360" t="s">
        <v>65</v>
      </c>
      <c r="E1360" t="s">
        <v>8116</v>
      </c>
      <c r="F1360" t="s">
        <v>8117</v>
      </c>
      <c r="G1360">
        <v>42</v>
      </c>
      <c r="H1360" t="s">
        <v>951</v>
      </c>
      <c r="I1360" t="s">
        <v>8370</v>
      </c>
      <c r="J1360" s="1520"/>
      <c r="K1360" s="1520">
        <v>46337</v>
      </c>
      <c r="L1360" s="1520">
        <v>46344</v>
      </c>
      <c r="M1360" s="1520"/>
      <c r="N1360" t="s">
        <v>11129</v>
      </c>
      <c r="O1360" s="1520" t="s">
        <v>2480</v>
      </c>
      <c r="P1360" s="1520">
        <v>46352</v>
      </c>
    </row>
    <row r="1361" spans="1:16">
      <c r="A1361" t="s">
        <v>8374</v>
      </c>
      <c r="B1361" t="s">
        <v>64</v>
      </c>
      <c r="C1361" t="s">
        <v>65</v>
      </c>
      <c r="E1361" t="s">
        <v>8101</v>
      </c>
      <c r="F1361" t="s">
        <v>8102</v>
      </c>
      <c r="G1361">
        <v>101</v>
      </c>
      <c r="H1361" t="s">
        <v>951</v>
      </c>
      <c r="I1361" t="s">
        <v>8370</v>
      </c>
      <c r="J1361" s="1520"/>
      <c r="K1361" s="1520">
        <v>46337</v>
      </c>
      <c r="L1361" s="1520">
        <v>46344</v>
      </c>
      <c r="M1361" s="1520"/>
      <c r="N1361" t="s">
        <v>11129</v>
      </c>
      <c r="O1361" s="1520" t="s">
        <v>2480</v>
      </c>
      <c r="P1361" s="1520">
        <v>46352</v>
      </c>
    </row>
    <row r="1362" spans="1:16">
      <c r="A1362" t="s">
        <v>8511</v>
      </c>
      <c r="B1362" t="s">
        <v>64</v>
      </c>
      <c r="C1362" t="s">
        <v>100</v>
      </c>
      <c r="E1362" t="s">
        <v>7837</v>
      </c>
      <c r="F1362" t="s">
        <v>7838</v>
      </c>
      <c r="G1362">
        <v>1</v>
      </c>
      <c r="H1362" t="s">
        <v>951</v>
      </c>
      <c r="I1362" t="s">
        <v>8504</v>
      </c>
      <c r="J1362" s="1520"/>
      <c r="K1362" s="1520">
        <v>46326</v>
      </c>
      <c r="L1362" s="1520">
        <v>46338</v>
      </c>
      <c r="M1362" s="1520"/>
      <c r="N1362" t="s">
        <v>11129</v>
      </c>
      <c r="O1362" s="1520" t="s">
        <v>2480</v>
      </c>
      <c r="P1362" s="1520">
        <v>46345</v>
      </c>
    </row>
    <row r="1363" spans="1:16">
      <c r="A1363" t="s">
        <v>8510</v>
      </c>
      <c r="B1363" t="s">
        <v>64</v>
      </c>
      <c r="C1363" t="s">
        <v>100</v>
      </c>
      <c r="E1363" t="s">
        <v>7837</v>
      </c>
      <c r="F1363" t="s">
        <v>7838</v>
      </c>
      <c r="G1363">
        <v>29</v>
      </c>
      <c r="H1363" t="s">
        <v>951</v>
      </c>
      <c r="I1363" t="s">
        <v>8504</v>
      </c>
      <c r="J1363" s="1520"/>
      <c r="K1363" s="1520">
        <v>46326</v>
      </c>
      <c r="L1363" s="1520">
        <v>46338</v>
      </c>
      <c r="M1363" s="1520"/>
      <c r="N1363" t="s">
        <v>11129</v>
      </c>
      <c r="O1363" s="1520" t="s">
        <v>2480</v>
      </c>
      <c r="P1363" s="1520">
        <v>46345</v>
      </c>
    </row>
    <row r="1364" spans="1:16">
      <c r="A1364" t="s">
        <v>8503</v>
      </c>
      <c r="B1364" t="s">
        <v>64</v>
      </c>
      <c r="C1364" t="s">
        <v>100</v>
      </c>
      <c r="E1364" t="s">
        <v>7862</v>
      </c>
      <c r="F1364" t="s">
        <v>7863</v>
      </c>
      <c r="G1364">
        <v>23</v>
      </c>
      <c r="H1364" t="s">
        <v>951</v>
      </c>
      <c r="I1364" t="s">
        <v>8504</v>
      </c>
      <c r="J1364" s="1520"/>
      <c r="K1364" s="1520">
        <v>46326</v>
      </c>
      <c r="L1364" s="1520">
        <v>46338</v>
      </c>
      <c r="M1364" s="1520"/>
      <c r="N1364" t="s">
        <v>11129</v>
      </c>
      <c r="O1364" s="1520" t="s">
        <v>2480</v>
      </c>
      <c r="P1364" s="1520">
        <v>46345</v>
      </c>
    </row>
    <row r="1365" spans="1:16">
      <c r="A1365" t="s">
        <v>8509</v>
      </c>
      <c r="B1365" t="s">
        <v>64</v>
      </c>
      <c r="C1365" t="s">
        <v>100</v>
      </c>
      <c r="E1365" t="s">
        <v>7828</v>
      </c>
      <c r="F1365" t="s">
        <v>7830</v>
      </c>
      <c r="G1365">
        <v>10</v>
      </c>
      <c r="H1365" t="s">
        <v>951</v>
      </c>
      <c r="I1365" t="s">
        <v>8504</v>
      </c>
      <c r="J1365" s="1520"/>
      <c r="K1365" s="1520">
        <v>46326</v>
      </c>
      <c r="L1365" s="1520">
        <v>46338</v>
      </c>
      <c r="M1365" s="1520"/>
      <c r="N1365" t="s">
        <v>11129</v>
      </c>
      <c r="O1365" s="1520" t="s">
        <v>2480</v>
      </c>
      <c r="P1365" s="1520">
        <v>46345</v>
      </c>
    </row>
    <row r="1366" spans="1:16">
      <c r="A1366" t="s">
        <v>8508</v>
      </c>
      <c r="B1366" t="s">
        <v>64</v>
      </c>
      <c r="C1366" t="s">
        <v>100</v>
      </c>
      <c r="E1366" t="s">
        <v>7828</v>
      </c>
      <c r="F1366" t="s">
        <v>7830</v>
      </c>
      <c r="G1366">
        <v>66</v>
      </c>
      <c r="H1366" t="s">
        <v>951</v>
      </c>
      <c r="I1366" t="s">
        <v>8504</v>
      </c>
      <c r="J1366" s="1520"/>
      <c r="K1366" s="1520">
        <v>46326</v>
      </c>
      <c r="L1366" s="1520">
        <v>46338</v>
      </c>
      <c r="M1366" s="1520"/>
      <c r="N1366" t="s">
        <v>11129</v>
      </c>
      <c r="O1366" s="1520" t="s">
        <v>2480</v>
      </c>
      <c r="P1366" s="1520">
        <v>46345</v>
      </c>
    </row>
    <row r="1367" spans="1:16">
      <c r="A1367" t="s">
        <v>8507</v>
      </c>
      <c r="B1367" t="s">
        <v>64</v>
      </c>
      <c r="C1367" t="s">
        <v>100</v>
      </c>
      <c r="E1367" t="s">
        <v>7862</v>
      </c>
      <c r="F1367" t="s">
        <v>7863</v>
      </c>
      <c r="G1367">
        <v>1</v>
      </c>
      <c r="H1367" t="s">
        <v>951</v>
      </c>
      <c r="I1367" t="s">
        <v>8504</v>
      </c>
      <c r="J1367" s="1520"/>
      <c r="K1367" s="1520">
        <v>46326</v>
      </c>
      <c r="L1367" s="1520">
        <v>46338</v>
      </c>
      <c r="M1367" s="1520"/>
      <c r="N1367" t="s">
        <v>11129</v>
      </c>
      <c r="O1367" s="1520" t="s">
        <v>2480</v>
      </c>
      <c r="P1367" s="1520">
        <v>46345</v>
      </c>
    </row>
    <row r="1368" spans="1:16">
      <c r="A1368" t="s">
        <v>8512</v>
      </c>
      <c r="B1368" t="s">
        <v>64</v>
      </c>
      <c r="C1368" t="s">
        <v>100</v>
      </c>
      <c r="E1368" t="s">
        <v>7840</v>
      </c>
      <c r="F1368" t="s">
        <v>7842</v>
      </c>
      <c r="G1368">
        <v>119</v>
      </c>
      <c r="H1368" t="s">
        <v>951</v>
      </c>
      <c r="I1368" t="s">
        <v>8504</v>
      </c>
      <c r="J1368" s="1520"/>
      <c r="K1368" s="1520">
        <v>46326</v>
      </c>
      <c r="L1368" s="1520">
        <v>46338</v>
      </c>
      <c r="M1368" s="1520"/>
      <c r="N1368" t="s">
        <v>11129</v>
      </c>
      <c r="O1368" s="1520" t="s">
        <v>2480</v>
      </c>
      <c r="P1368" s="1520">
        <v>46345</v>
      </c>
    </row>
    <row r="1369" spans="1:16">
      <c r="A1369" t="s">
        <v>8513</v>
      </c>
      <c r="B1369" t="s">
        <v>64</v>
      </c>
      <c r="C1369" t="s">
        <v>100</v>
      </c>
      <c r="E1369" t="s">
        <v>7840</v>
      </c>
      <c r="F1369" t="s">
        <v>7842</v>
      </c>
      <c r="G1369">
        <v>11</v>
      </c>
      <c r="H1369" t="s">
        <v>951</v>
      </c>
      <c r="I1369" t="s">
        <v>8504</v>
      </c>
      <c r="J1369" s="1520"/>
      <c r="K1369" s="1520">
        <v>46326</v>
      </c>
      <c r="L1369" s="1520">
        <v>46338</v>
      </c>
      <c r="M1369" s="1520"/>
      <c r="N1369" t="s">
        <v>11129</v>
      </c>
      <c r="O1369" s="1520" t="s">
        <v>2480</v>
      </c>
      <c r="P1369" s="1520">
        <v>46345</v>
      </c>
    </row>
    <row r="1370" spans="1:16">
      <c r="A1370" t="s">
        <v>8398</v>
      </c>
      <c r="B1370" t="s">
        <v>64</v>
      </c>
      <c r="C1370" t="s">
        <v>65</v>
      </c>
      <c r="E1370" t="s">
        <v>7851</v>
      </c>
      <c r="F1370" t="s">
        <v>7853</v>
      </c>
      <c r="G1370">
        <v>552</v>
      </c>
      <c r="H1370" t="s">
        <v>951</v>
      </c>
      <c r="I1370" t="s">
        <v>8400</v>
      </c>
      <c r="J1370" s="1520"/>
      <c r="K1370" s="1520">
        <v>46358</v>
      </c>
      <c r="L1370" s="1520">
        <v>46351</v>
      </c>
      <c r="M1370" s="1520"/>
      <c r="N1370" t="s">
        <v>11129</v>
      </c>
      <c r="O1370" s="1520" t="s">
        <v>2480</v>
      </c>
      <c r="P1370" s="1520">
        <v>46359</v>
      </c>
    </row>
    <row r="1371" spans="1:16">
      <c r="A1371" t="s">
        <v>8383</v>
      </c>
      <c r="B1371" t="s">
        <v>64</v>
      </c>
      <c r="C1371" t="s">
        <v>65</v>
      </c>
      <c r="E1371" t="s">
        <v>8108</v>
      </c>
      <c r="F1371" t="s">
        <v>8109</v>
      </c>
      <c r="G1371">
        <v>152</v>
      </c>
      <c r="H1371" t="s">
        <v>951</v>
      </c>
      <c r="I1371" t="s">
        <v>8380</v>
      </c>
      <c r="J1371" s="1520"/>
      <c r="K1371" s="1520">
        <v>46344</v>
      </c>
      <c r="L1371" s="1520">
        <v>46344</v>
      </c>
      <c r="M1371" s="1520"/>
      <c r="N1371" t="s">
        <v>11129</v>
      </c>
      <c r="O1371" s="1520" t="s">
        <v>2480</v>
      </c>
      <c r="P1371" s="1520">
        <v>46352</v>
      </c>
    </row>
    <row r="1372" spans="1:16">
      <c r="A1372" t="s">
        <v>8378</v>
      </c>
      <c r="B1372" t="s">
        <v>64</v>
      </c>
      <c r="C1372" t="s">
        <v>65</v>
      </c>
      <c r="E1372" t="s">
        <v>8116</v>
      </c>
      <c r="F1372" t="s">
        <v>8117</v>
      </c>
      <c r="G1372">
        <v>152</v>
      </c>
      <c r="H1372" t="s">
        <v>951</v>
      </c>
      <c r="I1372" t="s">
        <v>8380</v>
      </c>
      <c r="J1372" s="1520"/>
      <c r="K1372" s="1520">
        <v>46344</v>
      </c>
      <c r="L1372" s="1520">
        <v>46344</v>
      </c>
      <c r="M1372" s="1520"/>
      <c r="N1372" t="s">
        <v>11129</v>
      </c>
      <c r="O1372" s="1520" t="s">
        <v>2480</v>
      </c>
      <c r="P1372" s="1520">
        <v>46352</v>
      </c>
    </row>
    <row r="1373" spans="1:16">
      <c r="A1373" t="s">
        <v>8390</v>
      </c>
      <c r="B1373" t="s">
        <v>64</v>
      </c>
      <c r="C1373" t="s">
        <v>100</v>
      </c>
      <c r="E1373" t="s">
        <v>7851</v>
      </c>
      <c r="F1373" t="s">
        <v>7853</v>
      </c>
      <c r="G1373">
        <v>80</v>
      </c>
      <c r="H1373" t="s">
        <v>951</v>
      </c>
      <c r="I1373" t="s">
        <v>8387</v>
      </c>
      <c r="J1373" s="1520"/>
      <c r="K1373" s="1520">
        <v>46340</v>
      </c>
      <c r="L1373" s="1520">
        <v>46340</v>
      </c>
      <c r="M1373" s="1520"/>
      <c r="N1373" t="s">
        <v>11129</v>
      </c>
      <c r="O1373" s="1520" t="s">
        <v>2480</v>
      </c>
      <c r="P1373" s="1520">
        <v>46347</v>
      </c>
    </row>
    <row r="1374" spans="1:16">
      <c r="A1374" t="s">
        <v>8384</v>
      </c>
      <c r="B1374" t="s">
        <v>64</v>
      </c>
      <c r="C1374" t="s">
        <v>100</v>
      </c>
      <c r="E1374" t="s">
        <v>7851</v>
      </c>
      <c r="F1374" t="s">
        <v>7853</v>
      </c>
      <c r="G1374">
        <v>472</v>
      </c>
      <c r="H1374" t="s">
        <v>951</v>
      </c>
      <c r="I1374" t="s">
        <v>8387</v>
      </c>
      <c r="J1374" s="1520"/>
      <c r="K1374" s="1520">
        <v>46340</v>
      </c>
      <c r="L1374" s="1520">
        <v>46340</v>
      </c>
      <c r="M1374" s="1520"/>
      <c r="N1374" t="s">
        <v>11129</v>
      </c>
      <c r="O1374" s="1520" t="s">
        <v>2480</v>
      </c>
      <c r="P1374" s="1520">
        <v>46347</v>
      </c>
    </row>
    <row r="1375" spans="1:16">
      <c r="A1375" t="s">
        <v>8391</v>
      </c>
      <c r="B1375" t="s">
        <v>64</v>
      </c>
      <c r="C1375" t="s">
        <v>114</v>
      </c>
      <c r="E1375" t="s">
        <v>7851</v>
      </c>
      <c r="F1375" t="s">
        <v>7853</v>
      </c>
      <c r="G1375">
        <v>276</v>
      </c>
      <c r="H1375" t="s">
        <v>951</v>
      </c>
      <c r="I1375" t="s">
        <v>8392</v>
      </c>
      <c r="J1375" s="1520"/>
      <c r="K1375" s="1520">
        <v>46327</v>
      </c>
      <c r="L1375" s="1520">
        <v>46328</v>
      </c>
      <c r="M1375" s="1520"/>
      <c r="N1375" t="s">
        <v>11129</v>
      </c>
      <c r="O1375" s="1520" t="s">
        <v>2480</v>
      </c>
      <c r="P1375" s="1520">
        <v>46337</v>
      </c>
    </row>
    <row r="1376" spans="1:16">
      <c r="A1376" t="s">
        <v>8495</v>
      </c>
      <c r="B1376" t="s">
        <v>64</v>
      </c>
      <c r="C1376" t="s">
        <v>100</v>
      </c>
      <c r="E1376" t="s">
        <v>8459</v>
      </c>
      <c r="F1376" t="s">
        <v>8461</v>
      </c>
      <c r="G1376">
        <v>16</v>
      </c>
      <c r="H1376" t="s">
        <v>951</v>
      </c>
      <c r="I1376" t="s">
        <v>8497</v>
      </c>
      <c r="J1376" s="1520"/>
      <c r="K1376" s="1520">
        <v>46349</v>
      </c>
      <c r="L1376" s="1520">
        <v>46347</v>
      </c>
      <c r="M1376" s="1520"/>
      <c r="N1376" t="s">
        <v>11129</v>
      </c>
      <c r="O1376" s="1520" t="s">
        <v>2480</v>
      </c>
      <c r="P1376" s="1520">
        <v>46354</v>
      </c>
    </row>
    <row r="1377" spans="1:16">
      <c r="A1377" t="s">
        <v>8519</v>
      </c>
      <c r="B1377" t="s">
        <v>64</v>
      </c>
      <c r="C1377" t="s">
        <v>310</v>
      </c>
      <c r="E1377" t="s">
        <v>7828</v>
      </c>
      <c r="F1377" t="s">
        <v>7830</v>
      </c>
      <c r="G1377">
        <v>130</v>
      </c>
      <c r="H1377" t="s">
        <v>951</v>
      </c>
      <c r="I1377" t="s">
        <v>8515</v>
      </c>
      <c r="J1377" s="1520"/>
      <c r="K1377" s="1520">
        <v>46365</v>
      </c>
      <c r="L1377" s="1520">
        <v>46365</v>
      </c>
      <c r="M1377" s="1520"/>
      <c r="N1377" t="s">
        <v>11129</v>
      </c>
      <c r="O1377" s="1520" t="s">
        <v>2480</v>
      </c>
      <c r="P1377" s="1520">
        <v>46375</v>
      </c>
    </row>
    <row r="1378" spans="1:16">
      <c r="A1378" t="s">
        <v>8521</v>
      </c>
      <c r="B1378" t="s">
        <v>64</v>
      </c>
      <c r="C1378" t="s">
        <v>310</v>
      </c>
      <c r="E1378" t="s">
        <v>7828</v>
      </c>
      <c r="F1378" t="s">
        <v>7830</v>
      </c>
      <c r="G1378">
        <v>130</v>
      </c>
      <c r="H1378" t="s">
        <v>951</v>
      </c>
      <c r="I1378" t="s">
        <v>8515</v>
      </c>
      <c r="J1378" s="1520"/>
      <c r="K1378" s="1520">
        <v>46365</v>
      </c>
      <c r="L1378" s="1520">
        <v>46365</v>
      </c>
      <c r="M1378" s="1520"/>
      <c r="N1378" t="s">
        <v>11129</v>
      </c>
      <c r="O1378" s="1520" t="s">
        <v>2480</v>
      </c>
      <c r="P1378" s="1520">
        <v>46375</v>
      </c>
    </row>
    <row r="1379" spans="1:16">
      <c r="A1379" t="s">
        <v>8522</v>
      </c>
      <c r="B1379" t="s">
        <v>64</v>
      </c>
      <c r="C1379" t="s">
        <v>310</v>
      </c>
      <c r="E1379" t="s">
        <v>7840</v>
      </c>
      <c r="F1379" t="s">
        <v>7842</v>
      </c>
      <c r="G1379">
        <v>130</v>
      </c>
      <c r="H1379" t="s">
        <v>951</v>
      </c>
      <c r="I1379" t="s">
        <v>8515</v>
      </c>
      <c r="J1379" s="1520"/>
      <c r="K1379" s="1520">
        <v>46365</v>
      </c>
      <c r="L1379" s="1520">
        <v>46365</v>
      </c>
      <c r="M1379" s="1520"/>
      <c r="N1379" t="s">
        <v>11129</v>
      </c>
      <c r="O1379" s="1520" t="s">
        <v>2480</v>
      </c>
      <c r="P1379" s="1520">
        <v>46375</v>
      </c>
    </row>
    <row r="1380" spans="1:16">
      <c r="A1380" t="s">
        <v>8514</v>
      </c>
      <c r="B1380" t="s">
        <v>64</v>
      </c>
      <c r="C1380" t="s">
        <v>310</v>
      </c>
      <c r="E1380" t="s">
        <v>7816</v>
      </c>
      <c r="F1380" t="s">
        <v>7818</v>
      </c>
      <c r="G1380">
        <v>108</v>
      </c>
      <c r="I1380" t="s">
        <v>8515</v>
      </c>
      <c r="J1380" s="1520"/>
      <c r="K1380" s="1520">
        <v>46365</v>
      </c>
      <c r="L1380" s="1520">
        <v>46365</v>
      </c>
      <c r="M1380" s="1520"/>
      <c r="N1380" t="s">
        <v>11129</v>
      </c>
      <c r="O1380" s="1520" t="s">
        <v>2480</v>
      </c>
      <c r="P1380" s="1520"/>
    </row>
    <row r="1381" spans="1:16">
      <c r="A1381" t="s">
        <v>8520</v>
      </c>
      <c r="B1381" t="s">
        <v>64</v>
      </c>
      <c r="C1381" t="s">
        <v>310</v>
      </c>
      <c r="E1381" t="s">
        <v>7840</v>
      </c>
      <c r="F1381" t="s">
        <v>7842</v>
      </c>
      <c r="G1381">
        <v>130</v>
      </c>
      <c r="H1381" t="s">
        <v>951</v>
      </c>
      <c r="I1381" t="s">
        <v>8515</v>
      </c>
      <c r="J1381" s="1520"/>
      <c r="K1381" s="1520">
        <v>46365</v>
      </c>
      <c r="L1381" s="1520">
        <v>46365</v>
      </c>
      <c r="M1381" s="1520"/>
      <c r="N1381" t="s">
        <v>11129</v>
      </c>
      <c r="O1381" s="1520" t="s">
        <v>2480</v>
      </c>
      <c r="P1381" s="1520">
        <v>46375</v>
      </c>
    </row>
    <row r="1382" spans="1:16">
      <c r="A1382" t="s">
        <v>8403</v>
      </c>
      <c r="B1382" t="s">
        <v>64</v>
      </c>
      <c r="C1382" t="s">
        <v>65</v>
      </c>
      <c r="E1382" t="s">
        <v>7851</v>
      </c>
      <c r="F1382" t="s">
        <v>7853</v>
      </c>
      <c r="G1382">
        <v>552</v>
      </c>
      <c r="H1382" t="s">
        <v>951</v>
      </c>
      <c r="I1382" t="s">
        <v>8406</v>
      </c>
      <c r="J1382" s="1520"/>
      <c r="K1382" s="1520">
        <v>46358</v>
      </c>
      <c r="L1382" s="1520">
        <v>46351</v>
      </c>
      <c r="M1382" s="1520"/>
      <c r="N1382" t="s">
        <v>11129</v>
      </c>
      <c r="O1382" s="1520" t="s">
        <v>2480</v>
      </c>
      <c r="P1382" s="1520">
        <v>46359</v>
      </c>
    </row>
    <row r="1383" spans="1:16">
      <c r="A1383" t="s">
        <v>8408</v>
      </c>
      <c r="B1383" t="s">
        <v>64</v>
      </c>
      <c r="C1383" t="s">
        <v>65</v>
      </c>
      <c r="E1383" t="s">
        <v>7851</v>
      </c>
      <c r="F1383" t="s">
        <v>7853</v>
      </c>
      <c r="G1383">
        <v>276</v>
      </c>
      <c r="H1383" t="s">
        <v>951</v>
      </c>
      <c r="I1383" t="s">
        <v>8411</v>
      </c>
      <c r="J1383" s="1520"/>
      <c r="K1383" s="1520">
        <v>46365</v>
      </c>
      <c r="L1383" s="1520">
        <v>46365</v>
      </c>
      <c r="M1383" s="1520"/>
      <c r="N1383" t="s">
        <v>11129</v>
      </c>
      <c r="O1383" s="1520" t="s">
        <v>2480</v>
      </c>
      <c r="P1383" s="1520">
        <v>46373</v>
      </c>
    </row>
    <row r="1384" spans="1:16">
      <c r="A1384" t="s">
        <v>8527</v>
      </c>
      <c r="B1384" t="s">
        <v>64</v>
      </c>
      <c r="C1384" t="s">
        <v>310</v>
      </c>
      <c r="E1384" t="s">
        <v>7851</v>
      </c>
      <c r="F1384" t="s">
        <v>7853</v>
      </c>
      <c r="G1384">
        <v>32</v>
      </c>
      <c r="H1384" t="s">
        <v>951</v>
      </c>
      <c r="I1384" t="s">
        <v>8524</v>
      </c>
      <c r="J1384" s="1520"/>
      <c r="K1384" s="1520">
        <v>46358</v>
      </c>
      <c r="L1384" s="1520">
        <v>46358</v>
      </c>
      <c r="M1384" s="1520"/>
      <c r="N1384" t="s">
        <v>11129</v>
      </c>
      <c r="O1384" s="1520" t="s">
        <v>2480</v>
      </c>
      <c r="P1384" s="1520">
        <v>46368</v>
      </c>
    </row>
    <row r="1385" spans="1:16">
      <c r="A1385" t="s">
        <v>8523</v>
      </c>
      <c r="B1385" t="s">
        <v>64</v>
      </c>
      <c r="C1385" t="s">
        <v>310</v>
      </c>
      <c r="E1385" t="s">
        <v>7851</v>
      </c>
      <c r="F1385" t="s">
        <v>7853</v>
      </c>
      <c r="G1385">
        <v>520</v>
      </c>
      <c r="H1385" t="s">
        <v>951</v>
      </c>
      <c r="I1385" t="s">
        <v>8524</v>
      </c>
      <c r="J1385" s="1520"/>
      <c r="K1385" s="1520">
        <v>46358</v>
      </c>
      <c r="L1385" s="1520">
        <v>46358</v>
      </c>
      <c r="M1385" s="1520"/>
      <c r="N1385" t="s">
        <v>11129</v>
      </c>
      <c r="O1385" s="1520" t="s">
        <v>2480</v>
      </c>
      <c r="P1385" s="1520">
        <v>46368</v>
      </c>
    </row>
    <row r="1386" spans="1:16">
      <c r="A1386" t="s">
        <v>8435</v>
      </c>
      <c r="B1386" t="s">
        <v>68</v>
      </c>
      <c r="C1386" t="s">
        <v>68</v>
      </c>
      <c r="E1386" t="s">
        <v>8305</v>
      </c>
      <c r="F1386" t="s">
        <v>8422</v>
      </c>
      <c r="G1386">
        <v>54</v>
      </c>
      <c r="H1386" t="s">
        <v>75</v>
      </c>
      <c r="I1386" t="s">
        <v>7553</v>
      </c>
      <c r="J1386" s="1520"/>
      <c r="K1386" s="1520">
        <v>46282</v>
      </c>
      <c r="L1386" s="1520">
        <v>46285</v>
      </c>
      <c r="M1386" s="1520">
        <v>46285</v>
      </c>
      <c r="N1386" t="s">
        <v>11129</v>
      </c>
      <c r="O1386" s="1520" t="s">
        <v>2480</v>
      </c>
      <c r="P1386" s="1520">
        <v>46299</v>
      </c>
    </row>
    <row r="1387" spans="1:16">
      <c r="A1387" t="s">
        <v>8441</v>
      </c>
      <c r="B1387" t="s">
        <v>68</v>
      </c>
      <c r="C1387" t="s">
        <v>68</v>
      </c>
      <c r="E1387" t="s">
        <v>8314</v>
      </c>
      <c r="F1387" t="s">
        <v>8425</v>
      </c>
      <c r="G1387">
        <v>54</v>
      </c>
      <c r="H1387" t="s">
        <v>75</v>
      </c>
      <c r="I1387" t="s">
        <v>7553</v>
      </c>
      <c r="J1387" s="1520"/>
      <c r="K1387" s="1520">
        <v>46282</v>
      </c>
      <c r="L1387" s="1520">
        <v>46285</v>
      </c>
      <c r="M1387" s="1520">
        <v>46285</v>
      </c>
      <c r="N1387" t="s">
        <v>11129</v>
      </c>
      <c r="O1387" s="1520" t="s">
        <v>2480</v>
      </c>
      <c r="P1387" s="1520">
        <v>46299</v>
      </c>
    </row>
    <row r="1388" spans="1:16">
      <c r="A1388" t="s">
        <v>8442</v>
      </c>
      <c r="B1388" t="s">
        <v>68</v>
      </c>
      <c r="C1388" t="s">
        <v>68</v>
      </c>
      <c r="E1388" t="s">
        <v>8318</v>
      </c>
      <c r="F1388" t="s">
        <v>8429</v>
      </c>
      <c r="G1388">
        <v>16</v>
      </c>
      <c r="H1388" t="s">
        <v>75</v>
      </c>
      <c r="I1388" t="s">
        <v>7553</v>
      </c>
      <c r="J1388" s="1520"/>
      <c r="K1388" s="1520">
        <v>46282</v>
      </c>
      <c r="L1388" s="1520">
        <v>46285</v>
      </c>
      <c r="M1388" s="1520">
        <v>46285</v>
      </c>
      <c r="N1388" t="s">
        <v>11129</v>
      </c>
      <c r="O1388" s="1520" t="s">
        <v>2480</v>
      </c>
      <c r="P1388" s="1520">
        <v>46299</v>
      </c>
    </row>
    <row r="1389" spans="1:16">
      <c r="A1389" t="s">
        <v>8458</v>
      </c>
      <c r="B1389" t="s">
        <v>68</v>
      </c>
      <c r="C1389" t="s">
        <v>68</v>
      </c>
      <c r="E1389" t="s">
        <v>8459</v>
      </c>
      <c r="F1389" t="s">
        <v>8461</v>
      </c>
      <c r="G1389">
        <v>8</v>
      </c>
      <c r="H1389" t="s">
        <v>75</v>
      </c>
      <c r="I1389" t="s">
        <v>8463</v>
      </c>
      <c r="J1389" s="1520"/>
      <c r="K1389" s="1520">
        <v>46299</v>
      </c>
      <c r="L1389" s="1520">
        <v>46301</v>
      </c>
      <c r="M1389" s="1520">
        <v>46301</v>
      </c>
      <c r="N1389" t="s">
        <v>11129</v>
      </c>
      <c r="O1389" s="1520" t="s">
        <v>2480</v>
      </c>
      <c r="P1389" s="1520">
        <v>46315</v>
      </c>
    </row>
    <row r="1390" spans="1:16">
      <c r="A1390" t="s">
        <v>8486</v>
      </c>
      <c r="C1390" t="s">
        <v>68</v>
      </c>
      <c r="E1390" t="s">
        <v>8487</v>
      </c>
      <c r="F1390" t="s">
        <v>8489</v>
      </c>
      <c r="G1390">
        <v>5</v>
      </c>
      <c r="H1390" t="s">
        <v>2480</v>
      </c>
      <c r="I1390" t="s">
        <v>8477</v>
      </c>
      <c r="J1390" s="1520"/>
      <c r="K1390" s="1520">
        <v>46333</v>
      </c>
      <c r="L1390" s="1520">
        <v>46333</v>
      </c>
      <c r="M1390" s="1520"/>
      <c r="N1390" t="s">
        <v>11129</v>
      </c>
      <c r="O1390" s="1520" t="s">
        <v>2480</v>
      </c>
      <c r="P1390" s="1520">
        <v>46347</v>
      </c>
    </row>
    <row r="1391" spans="1:16">
      <c r="A1391" t="s">
        <v>8482</v>
      </c>
      <c r="C1391" t="s">
        <v>68</v>
      </c>
      <c r="E1391" t="s">
        <v>8483</v>
      </c>
      <c r="F1391" t="s">
        <v>8485</v>
      </c>
      <c r="G1391">
        <v>5</v>
      </c>
      <c r="H1391" t="s">
        <v>2480</v>
      </c>
      <c r="I1391" t="s">
        <v>8477</v>
      </c>
      <c r="J1391" s="1520"/>
      <c r="K1391" s="1520">
        <v>46333</v>
      </c>
      <c r="L1391" s="1520">
        <v>46333</v>
      </c>
      <c r="M1391" s="1520"/>
      <c r="N1391" t="s">
        <v>11129</v>
      </c>
      <c r="O1391" s="1520" t="s">
        <v>2480</v>
      </c>
      <c r="P1391" s="1520">
        <v>46347</v>
      </c>
    </row>
    <row r="1392" spans="1:16">
      <c r="A1392" t="s">
        <v>8475</v>
      </c>
      <c r="B1392" t="s">
        <v>68</v>
      </c>
      <c r="C1392" t="s">
        <v>68</v>
      </c>
      <c r="E1392" t="s">
        <v>8471</v>
      </c>
      <c r="F1392" t="s">
        <v>8422</v>
      </c>
      <c r="G1392">
        <v>36</v>
      </c>
      <c r="H1392" t="s">
        <v>2480</v>
      </c>
      <c r="I1392" t="s">
        <v>8477</v>
      </c>
      <c r="J1392" s="1520"/>
      <c r="K1392" s="1520">
        <v>46333</v>
      </c>
      <c r="L1392" s="1520">
        <v>46333</v>
      </c>
      <c r="M1392" s="1520"/>
      <c r="N1392" t="s">
        <v>11129</v>
      </c>
      <c r="O1392" s="1520" t="s">
        <v>2480</v>
      </c>
      <c r="P1392" s="1520">
        <v>46347</v>
      </c>
    </row>
    <row r="1393" spans="1:16">
      <c r="A1393" t="s">
        <v>8480</v>
      </c>
      <c r="B1393" t="s">
        <v>68</v>
      </c>
      <c r="C1393" t="s">
        <v>68</v>
      </c>
      <c r="E1393" t="s">
        <v>8314</v>
      </c>
      <c r="F1393" t="s">
        <v>8425</v>
      </c>
      <c r="G1393">
        <v>36</v>
      </c>
      <c r="H1393" t="s">
        <v>2480</v>
      </c>
      <c r="I1393" t="s">
        <v>8477</v>
      </c>
      <c r="J1393" s="1520"/>
      <c r="K1393" s="1520">
        <v>46333</v>
      </c>
      <c r="L1393" s="1520">
        <v>46333</v>
      </c>
      <c r="M1393" s="1520"/>
      <c r="N1393" t="s">
        <v>11129</v>
      </c>
      <c r="O1393" s="1520" t="s">
        <v>2480</v>
      </c>
      <c r="P1393" s="1520">
        <v>46347</v>
      </c>
    </row>
    <row r="1394" spans="1:16">
      <c r="A1394" t="s">
        <v>8481</v>
      </c>
      <c r="B1394" t="s">
        <v>68</v>
      </c>
      <c r="C1394" t="s">
        <v>68</v>
      </c>
      <c r="E1394" t="s">
        <v>8318</v>
      </c>
      <c r="F1394" t="s">
        <v>8429</v>
      </c>
      <c r="G1394">
        <v>36</v>
      </c>
      <c r="H1394" t="s">
        <v>2480</v>
      </c>
      <c r="I1394" t="s">
        <v>8477</v>
      </c>
      <c r="J1394" s="1520"/>
      <c r="K1394" s="1520">
        <v>46333</v>
      </c>
      <c r="L1394" s="1520">
        <v>46333</v>
      </c>
      <c r="M1394" s="1520"/>
      <c r="N1394" t="s">
        <v>11129</v>
      </c>
      <c r="O1394" s="1520" t="s">
        <v>2480</v>
      </c>
      <c r="P1394" s="1520">
        <v>46347</v>
      </c>
    </row>
    <row r="1395" spans="1:16">
      <c r="A1395" t="s">
        <v>8493</v>
      </c>
      <c r="E1395" t="s">
        <v>8432</v>
      </c>
      <c r="F1395" t="s">
        <v>8434</v>
      </c>
      <c r="G1395">
        <v>7</v>
      </c>
      <c r="H1395" t="s">
        <v>2480</v>
      </c>
      <c r="I1395" t="s">
        <v>8477</v>
      </c>
      <c r="J1395" s="1520"/>
      <c r="K1395" s="1520">
        <v>46333</v>
      </c>
      <c r="L1395" s="1520">
        <v>46333</v>
      </c>
      <c r="M1395" s="1520"/>
      <c r="N1395" t="s">
        <v>11129</v>
      </c>
      <c r="O1395" s="1520" t="s">
        <v>2480</v>
      </c>
      <c r="P1395" s="1520">
        <v>46347</v>
      </c>
    </row>
    <row r="1396" spans="1:16">
      <c r="A1396" t="s">
        <v>8490</v>
      </c>
      <c r="C1396" t="s">
        <v>68</v>
      </c>
      <c r="E1396" t="s">
        <v>8491</v>
      </c>
      <c r="F1396" t="s">
        <v>8492</v>
      </c>
      <c r="G1396">
        <v>5</v>
      </c>
      <c r="H1396" t="s">
        <v>2480</v>
      </c>
      <c r="I1396" t="s">
        <v>8477</v>
      </c>
      <c r="J1396" s="1520"/>
      <c r="K1396" s="1520">
        <v>46333</v>
      </c>
      <c r="L1396" s="1520">
        <v>46333</v>
      </c>
      <c r="M1396" s="1520"/>
      <c r="N1396" t="s">
        <v>11129</v>
      </c>
      <c r="O1396" s="1520" t="s">
        <v>2480</v>
      </c>
      <c r="P1396" s="1520">
        <v>46347</v>
      </c>
    </row>
    <row r="1397" spans="1:16">
      <c r="A1397" t="s">
        <v>8470</v>
      </c>
      <c r="B1397" t="s">
        <v>68</v>
      </c>
      <c r="C1397" t="s">
        <v>68</v>
      </c>
      <c r="E1397" t="s">
        <v>8471</v>
      </c>
      <c r="F1397" t="s">
        <v>8422</v>
      </c>
      <c r="G1397">
        <v>72</v>
      </c>
      <c r="H1397" t="s">
        <v>2480</v>
      </c>
      <c r="I1397" t="s">
        <v>8473</v>
      </c>
      <c r="J1397" s="1520"/>
      <c r="K1397" s="1520">
        <v>46327</v>
      </c>
      <c r="L1397" s="1520">
        <v>46332</v>
      </c>
      <c r="M1397" s="1520"/>
      <c r="N1397" t="s">
        <v>11129</v>
      </c>
      <c r="O1397" s="1520" t="s">
        <v>2480</v>
      </c>
      <c r="P1397" s="1520">
        <v>46346</v>
      </c>
    </row>
    <row r="1398" spans="1:16">
      <c r="A1398" t="s">
        <v>8474</v>
      </c>
      <c r="B1398" t="s">
        <v>68</v>
      </c>
      <c r="C1398" t="s">
        <v>68</v>
      </c>
      <c r="E1398" t="s">
        <v>8314</v>
      </c>
      <c r="F1398" t="s">
        <v>8425</v>
      </c>
      <c r="G1398">
        <v>48</v>
      </c>
      <c r="H1398" t="s">
        <v>2480</v>
      </c>
      <c r="I1398" t="s">
        <v>8473</v>
      </c>
      <c r="J1398" s="1520"/>
      <c r="K1398" s="1520">
        <v>46327</v>
      </c>
      <c r="L1398" s="1520">
        <v>46332</v>
      </c>
      <c r="M1398" s="1520"/>
      <c r="N1398" t="s">
        <v>11129</v>
      </c>
      <c r="O1398" s="1520" t="s">
        <v>2480</v>
      </c>
      <c r="P1398" s="1520">
        <v>46346</v>
      </c>
    </row>
    <row r="1399" spans="1:16">
      <c r="A1399" t="s">
        <v>8466</v>
      </c>
      <c r="B1399" t="s">
        <v>68</v>
      </c>
      <c r="C1399" t="s">
        <v>68</v>
      </c>
      <c r="E1399" t="s">
        <v>8459</v>
      </c>
      <c r="F1399" t="s">
        <v>8461</v>
      </c>
      <c r="G1399">
        <v>8</v>
      </c>
      <c r="H1399" t="s">
        <v>2480</v>
      </c>
      <c r="I1399" t="s">
        <v>8467</v>
      </c>
      <c r="J1399" s="1520"/>
      <c r="K1399" s="1520">
        <v>46325</v>
      </c>
      <c r="L1399" s="1520">
        <v>46332</v>
      </c>
      <c r="M1399" s="1520"/>
      <c r="N1399" t="s">
        <v>11129</v>
      </c>
      <c r="O1399" s="1520" t="s">
        <v>2480</v>
      </c>
      <c r="P1399" s="1520">
        <v>46346</v>
      </c>
    </row>
    <row r="1400" spans="1:16">
      <c r="A1400" t="s">
        <v>8454</v>
      </c>
      <c r="B1400" t="s">
        <v>68</v>
      </c>
      <c r="C1400" t="s">
        <v>68</v>
      </c>
      <c r="E1400" t="s">
        <v>8455</v>
      </c>
      <c r="F1400" t="s">
        <v>8456</v>
      </c>
      <c r="G1400">
        <v>99</v>
      </c>
      <c r="H1400" t="s">
        <v>2480</v>
      </c>
      <c r="I1400" t="s">
        <v>8449</v>
      </c>
      <c r="J1400" s="1520"/>
      <c r="K1400" s="1520"/>
      <c r="L1400" s="1520"/>
      <c r="M1400" s="1520"/>
      <c r="N1400" t="s">
        <v>11129</v>
      </c>
      <c r="O1400" s="1520" t="s">
        <v>2480</v>
      </c>
      <c r="P1400" s="1520">
        <v>13</v>
      </c>
    </row>
    <row r="1401" spans="1:16">
      <c r="A1401" t="s">
        <v>8451</v>
      </c>
      <c r="B1401" t="s">
        <v>68</v>
      </c>
      <c r="C1401" t="s">
        <v>68</v>
      </c>
      <c r="E1401" t="s">
        <v>8452</v>
      </c>
      <c r="F1401" t="s">
        <v>8453</v>
      </c>
      <c r="G1401">
        <v>16</v>
      </c>
      <c r="H1401" t="s">
        <v>2480</v>
      </c>
      <c r="I1401" t="s">
        <v>8449</v>
      </c>
      <c r="J1401" s="1520"/>
      <c r="K1401" s="1520"/>
      <c r="L1401" s="1520"/>
      <c r="M1401" s="1520"/>
      <c r="N1401" t="s">
        <v>11129</v>
      </c>
      <c r="O1401" s="1520" t="s">
        <v>2480</v>
      </c>
      <c r="P1401" s="1520">
        <v>13</v>
      </c>
    </row>
    <row r="1402" spans="1:16">
      <c r="A1402" t="s">
        <v>8443</v>
      </c>
      <c r="B1402" t="s">
        <v>68</v>
      </c>
      <c r="C1402" t="s">
        <v>68</v>
      </c>
      <c r="E1402" t="s">
        <v>8445</v>
      </c>
      <c r="F1402" t="s">
        <v>8446</v>
      </c>
      <c r="G1402">
        <v>84</v>
      </c>
      <c r="H1402" t="s">
        <v>2480</v>
      </c>
      <c r="I1402" t="s">
        <v>8449</v>
      </c>
      <c r="J1402" s="1520"/>
      <c r="K1402" s="1520"/>
      <c r="L1402" s="1520"/>
      <c r="M1402" s="1520"/>
      <c r="N1402" t="s">
        <v>11129</v>
      </c>
      <c r="O1402" s="1520" t="s">
        <v>2480</v>
      </c>
      <c r="P1402" s="1520">
        <v>13</v>
      </c>
    </row>
    <row r="1403" spans="1:16">
      <c r="A1403" t="s">
        <v>8457</v>
      </c>
      <c r="B1403" t="s">
        <v>68</v>
      </c>
      <c r="C1403" t="s">
        <v>68</v>
      </c>
      <c r="E1403" t="s">
        <v>8455</v>
      </c>
      <c r="F1403" t="s">
        <v>8456</v>
      </c>
      <c r="G1403">
        <v>1</v>
      </c>
      <c r="H1403" t="s">
        <v>2480</v>
      </c>
      <c r="I1403" t="s">
        <v>8449</v>
      </c>
      <c r="J1403" s="1520"/>
      <c r="K1403" s="1520"/>
      <c r="L1403" s="1520"/>
      <c r="M1403" s="1520"/>
      <c r="N1403" t="s">
        <v>11129</v>
      </c>
      <c r="O1403" s="1520" t="s">
        <v>2480</v>
      </c>
      <c r="P1403" s="1520">
        <v>13</v>
      </c>
    </row>
  </sheetData>
  <phoneticPr fontId="64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A718-0EC2-476F-B594-D478D796910B}">
  <sheetPr>
    <tabColor rgb="FFFFFF00"/>
  </sheetPr>
  <dimension ref="A1:V181"/>
  <sheetViews>
    <sheetView zoomScale="85" zoomScaleNormal="85" workbookViewId="0">
      <selection activeCell="E91" sqref="E90:E91"/>
    </sheetView>
  </sheetViews>
  <sheetFormatPr defaultColWidth="9" defaultRowHeight="13"/>
  <cols>
    <col min="1" max="2" width="20.5" bestFit="1" customWidth="1"/>
    <col min="3" max="3" width="21.59765625" bestFit="1" customWidth="1"/>
    <col min="4" max="4" width="17.8984375" bestFit="1" customWidth="1"/>
    <col min="5" max="5" width="24" bestFit="1" customWidth="1"/>
    <col min="6" max="6" width="9.296875" bestFit="1" customWidth="1"/>
    <col min="7" max="7" width="14" bestFit="1" customWidth="1"/>
    <col min="8" max="8" width="10.09765625" bestFit="1" customWidth="1"/>
    <col min="9" max="9" width="12.796875" bestFit="1" customWidth="1"/>
    <col min="10" max="10" width="16.59765625" bestFit="1" customWidth="1"/>
    <col min="11" max="11" width="13.5" bestFit="1" customWidth="1"/>
    <col min="12" max="12" width="10.09765625" bestFit="1" customWidth="1"/>
    <col min="13" max="13" width="24.296875" bestFit="1" customWidth="1"/>
    <col min="14" max="15" width="16.59765625" style="214" bestFit="1" customWidth="1"/>
    <col min="16" max="16" width="14" style="214" bestFit="1" customWidth="1"/>
    <col min="17" max="18" width="16.59765625" style="214" bestFit="1" customWidth="1"/>
    <col min="19" max="19" width="14" style="214" bestFit="1" customWidth="1"/>
    <col min="20" max="20" width="19.19921875" style="214" bestFit="1" customWidth="1"/>
    <col min="21" max="21" width="33.3984375" bestFit="1" customWidth="1"/>
    <col min="22" max="22" width="32.09765625" style="214" bestFit="1" customWidth="1"/>
    <col min="23" max="23" width="24.8984375" bestFit="1" customWidth="1"/>
    <col min="24" max="24" width="22.3984375" bestFit="1" customWidth="1"/>
    <col min="25" max="25" width="16.59765625" bestFit="1" customWidth="1"/>
    <col min="26" max="26" width="17.8984375" bestFit="1" customWidth="1"/>
    <col min="27" max="27" width="34.59765625" bestFit="1" customWidth="1"/>
    <col min="28" max="29" width="25.59765625" bestFit="1" customWidth="1"/>
    <col min="30" max="30" width="39.09765625" bestFit="1" customWidth="1"/>
    <col min="31" max="31" width="37.59765625" bestFit="1" customWidth="1"/>
    <col min="32" max="32" width="30.09765625" bestFit="1" customWidth="1"/>
    <col min="33" max="33" width="12.8984375" bestFit="1" customWidth="1"/>
    <col min="34" max="34" width="31.59765625" bestFit="1" customWidth="1"/>
    <col min="35" max="36" width="22.3984375" bestFit="1" customWidth="1"/>
    <col min="37" max="37" width="19.3984375" bestFit="1" customWidth="1"/>
    <col min="38" max="39" width="22.3984375" bestFit="1" customWidth="1"/>
    <col min="40" max="41" width="19.3984375" bestFit="1" customWidth="1"/>
    <col min="42" max="42" width="66.3984375" bestFit="1" customWidth="1"/>
    <col min="43" max="43" width="17.8984375" bestFit="1" customWidth="1"/>
    <col min="44" max="44" width="34.59765625" bestFit="1" customWidth="1"/>
    <col min="45" max="46" width="20.09765625" bestFit="1" customWidth="1"/>
    <col min="47" max="47" width="37.59765625" bestFit="1" customWidth="1"/>
    <col min="48" max="48" width="30.09765625" bestFit="1" customWidth="1"/>
    <col min="49" max="49" width="25.59765625" bestFit="1" customWidth="1"/>
    <col min="50" max="50" width="33.09765625" bestFit="1" customWidth="1"/>
    <col min="51" max="51" width="27.09765625" bestFit="1" customWidth="1"/>
    <col min="52" max="52" width="42.3984375" bestFit="1" customWidth="1"/>
    <col min="53" max="53" width="40.8984375" bestFit="1" customWidth="1"/>
    <col min="54" max="54" width="19.3984375" bestFit="1" customWidth="1"/>
    <col min="55" max="55" width="20.8984375" bestFit="1" customWidth="1"/>
    <col min="56" max="56" width="19.3984375" bestFit="1" customWidth="1"/>
    <col min="57" max="57" width="22.3984375" bestFit="1" customWidth="1"/>
    <col min="58" max="58" width="16.59765625" bestFit="1" customWidth="1"/>
    <col min="59" max="59" width="22.3984375" bestFit="1" customWidth="1"/>
    <col min="60" max="60" width="27.09765625" bestFit="1" customWidth="1"/>
    <col min="61" max="61" width="42.3984375" bestFit="1" customWidth="1"/>
    <col min="62" max="62" width="49.3984375" bestFit="1" customWidth="1"/>
    <col min="63" max="64" width="12.59765625" bestFit="1" customWidth="1"/>
    <col min="65" max="65" width="18.8984375" bestFit="1" customWidth="1"/>
    <col min="66" max="66" width="42.3984375" bestFit="1" customWidth="1"/>
    <col min="67" max="67" width="22.3984375" bestFit="1" customWidth="1"/>
    <col min="68" max="69" width="20.8984375" bestFit="1" customWidth="1"/>
  </cols>
  <sheetData>
    <row r="1" spans="1:22">
      <c r="A1" t="s">
        <v>0</v>
      </c>
      <c r="B1" t="s">
        <v>5</v>
      </c>
      <c r="C1" t="s">
        <v>14</v>
      </c>
      <c r="D1" t="s">
        <v>15</v>
      </c>
      <c r="E1" t="s">
        <v>16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32</v>
      </c>
      <c r="M1" t="s">
        <v>33</v>
      </c>
      <c r="N1" s="214" t="s">
        <v>4416</v>
      </c>
      <c r="O1" s="214" t="s">
        <v>35</v>
      </c>
      <c r="P1" s="214" t="s">
        <v>36</v>
      </c>
      <c r="Q1" s="214" t="s">
        <v>37</v>
      </c>
      <c r="R1" s="214" t="s">
        <v>38</v>
      </c>
      <c r="S1" s="214" t="s">
        <v>39</v>
      </c>
      <c r="T1" s="214" t="s">
        <v>48</v>
      </c>
      <c r="U1" t="s">
        <v>51</v>
      </c>
      <c r="V1" s="214" t="s">
        <v>52</v>
      </c>
    </row>
    <row r="2" spans="1:22">
      <c r="A2" t="s">
        <v>7638</v>
      </c>
      <c r="B2" t="s">
        <v>100</v>
      </c>
      <c r="C2" t="s">
        <v>4540</v>
      </c>
      <c r="D2" t="s">
        <v>7336</v>
      </c>
      <c r="E2" t="s">
        <v>1682</v>
      </c>
      <c r="F2">
        <v>730</v>
      </c>
      <c r="G2">
        <v>5940</v>
      </c>
      <c r="H2">
        <v>4.3361999999999998</v>
      </c>
      <c r="I2">
        <v>180</v>
      </c>
      <c r="J2">
        <v>10</v>
      </c>
      <c r="K2" t="s">
        <v>4393</v>
      </c>
      <c r="L2" t="s">
        <v>123</v>
      </c>
      <c r="M2" t="s">
        <v>105</v>
      </c>
      <c r="N2" s="1520"/>
      <c r="O2" s="1520"/>
      <c r="P2" s="1520"/>
      <c r="Q2" s="1520"/>
      <c r="R2" s="1520"/>
      <c r="S2" s="1520"/>
      <c r="T2" s="1520"/>
      <c r="U2">
        <v>7</v>
      </c>
      <c r="V2" s="1520">
        <v>46437</v>
      </c>
    </row>
    <row r="3" spans="1:22">
      <c r="A3" t="s">
        <v>7705</v>
      </c>
      <c r="B3" t="s">
        <v>65</v>
      </c>
      <c r="C3" t="s">
        <v>4540</v>
      </c>
      <c r="D3" t="s">
        <v>7698</v>
      </c>
      <c r="E3" t="s">
        <v>7699</v>
      </c>
      <c r="F3">
        <v>715</v>
      </c>
      <c r="G3">
        <v>3564</v>
      </c>
      <c r="H3">
        <v>2.54826</v>
      </c>
      <c r="I3">
        <v>108</v>
      </c>
      <c r="J3">
        <v>6</v>
      </c>
      <c r="K3" t="s">
        <v>4393</v>
      </c>
      <c r="L3" t="s">
        <v>123</v>
      </c>
      <c r="M3" t="s">
        <v>78</v>
      </c>
      <c r="N3" s="1520"/>
      <c r="O3" s="1520"/>
      <c r="P3" s="1520"/>
      <c r="Q3" s="1520"/>
      <c r="R3" s="1520"/>
      <c r="S3" s="1520"/>
      <c r="T3" s="1520"/>
      <c r="U3">
        <v>8</v>
      </c>
      <c r="V3" s="1520">
        <v>46442</v>
      </c>
    </row>
    <row r="4" spans="1:22">
      <c r="A4" t="s">
        <v>7607</v>
      </c>
      <c r="B4" t="s">
        <v>450</v>
      </c>
      <c r="C4" t="s">
        <v>4540</v>
      </c>
      <c r="D4" t="s">
        <v>7049</v>
      </c>
      <c r="E4" t="s">
        <v>7050</v>
      </c>
      <c r="F4">
        <v>505</v>
      </c>
      <c r="G4">
        <v>5184</v>
      </c>
      <c r="H4">
        <v>2.6179199999999998</v>
      </c>
      <c r="I4">
        <v>144</v>
      </c>
      <c r="J4">
        <v>6</v>
      </c>
      <c r="K4" t="s">
        <v>4393</v>
      </c>
      <c r="L4" t="s">
        <v>61</v>
      </c>
      <c r="M4" t="s">
        <v>456</v>
      </c>
      <c r="N4" s="1520"/>
      <c r="O4" s="1520"/>
      <c r="P4" s="1520" t="s">
        <v>2480</v>
      </c>
      <c r="Q4" s="1520"/>
      <c r="R4" s="1520"/>
      <c r="S4" s="1520"/>
      <c r="T4" s="1520"/>
      <c r="U4">
        <v>7</v>
      </c>
      <c r="V4" s="1520">
        <v>46451</v>
      </c>
    </row>
    <row r="5" spans="1:22">
      <c r="A5" t="s">
        <v>7625</v>
      </c>
      <c r="B5" t="s">
        <v>114</v>
      </c>
      <c r="C5" t="s">
        <v>4540</v>
      </c>
      <c r="D5" t="s">
        <v>7330</v>
      </c>
      <c r="E5" t="s">
        <v>1484</v>
      </c>
      <c r="F5">
        <v>725</v>
      </c>
      <c r="G5">
        <v>2970</v>
      </c>
      <c r="H5">
        <v>2.1532499999999999</v>
      </c>
      <c r="I5">
        <v>90</v>
      </c>
      <c r="J5">
        <v>5</v>
      </c>
      <c r="K5" t="s">
        <v>4392</v>
      </c>
      <c r="L5" t="s">
        <v>123</v>
      </c>
      <c r="M5" t="s">
        <v>124</v>
      </c>
      <c r="N5" s="1520"/>
      <c r="O5" s="1520"/>
      <c r="P5" s="1520"/>
      <c r="Q5" s="1520"/>
      <c r="R5" s="1520"/>
      <c r="S5" s="1520"/>
      <c r="T5" s="1520"/>
      <c r="U5">
        <v>9</v>
      </c>
      <c r="V5" s="1520">
        <v>46432</v>
      </c>
    </row>
    <row r="6" spans="1:22">
      <c r="A6" t="s">
        <v>7749</v>
      </c>
      <c r="B6" t="s">
        <v>65</v>
      </c>
      <c r="C6" t="s">
        <v>284</v>
      </c>
      <c r="D6" t="s">
        <v>7744</v>
      </c>
      <c r="E6" t="s">
        <v>7745</v>
      </c>
      <c r="F6">
        <v>650</v>
      </c>
      <c r="G6">
        <v>7200</v>
      </c>
      <c r="H6">
        <v>4.68</v>
      </c>
      <c r="I6">
        <v>200</v>
      </c>
      <c r="J6">
        <v>10</v>
      </c>
      <c r="K6" t="s">
        <v>4392</v>
      </c>
      <c r="L6" t="s">
        <v>61</v>
      </c>
      <c r="M6" t="s">
        <v>78</v>
      </c>
      <c r="N6" s="1520"/>
      <c r="O6" s="1520"/>
      <c r="P6" s="1520"/>
      <c r="Q6" s="1520"/>
      <c r="R6" s="1520"/>
      <c r="S6" s="1520"/>
      <c r="T6" s="1520"/>
      <c r="U6">
        <v>8</v>
      </c>
      <c r="V6" s="1520">
        <v>46449</v>
      </c>
    </row>
    <row r="7" spans="1:22">
      <c r="A7" t="s">
        <v>7640</v>
      </c>
      <c r="B7" t="s">
        <v>114</v>
      </c>
      <c r="C7" t="s">
        <v>4540</v>
      </c>
      <c r="D7" t="s">
        <v>7336</v>
      </c>
      <c r="E7" t="s">
        <v>1682</v>
      </c>
      <c r="F7">
        <v>730</v>
      </c>
      <c r="G7">
        <v>7128</v>
      </c>
      <c r="H7">
        <v>5.2034399999999996</v>
      </c>
      <c r="I7">
        <v>216</v>
      </c>
      <c r="J7">
        <v>12</v>
      </c>
      <c r="K7" t="s">
        <v>4392</v>
      </c>
      <c r="L7" t="s">
        <v>123</v>
      </c>
      <c r="M7" t="s">
        <v>124</v>
      </c>
      <c r="N7" s="1520"/>
      <c r="O7" s="1520"/>
      <c r="P7" s="1520"/>
      <c r="Q7" s="1520"/>
      <c r="R7" s="1520"/>
      <c r="S7" s="1520"/>
      <c r="T7" s="1520"/>
      <c r="U7">
        <v>9</v>
      </c>
      <c r="V7" s="1520">
        <v>46432</v>
      </c>
    </row>
    <row r="8" spans="1:22">
      <c r="A8" t="s">
        <v>7721</v>
      </c>
      <c r="B8" t="s">
        <v>65</v>
      </c>
      <c r="C8" t="s">
        <v>4540</v>
      </c>
      <c r="D8" t="s">
        <v>7719</v>
      </c>
      <c r="E8" t="s">
        <v>7720</v>
      </c>
      <c r="F8">
        <v>720</v>
      </c>
      <c r="G8">
        <v>3564</v>
      </c>
      <c r="H8">
        <v>2.5660799999999999</v>
      </c>
      <c r="I8">
        <v>108</v>
      </c>
      <c r="J8">
        <v>6</v>
      </c>
      <c r="K8" t="s">
        <v>4392</v>
      </c>
      <c r="L8" t="s">
        <v>123</v>
      </c>
      <c r="M8" t="s">
        <v>78</v>
      </c>
      <c r="N8" s="1520"/>
      <c r="O8" s="1520"/>
      <c r="P8" s="1520"/>
      <c r="Q8" s="1520"/>
      <c r="R8" s="1520"/>
      <c r="S8" s="1520"/>
      <c r="T8" s="1520"/>
      <c r="U8">
        <v>8</v>
      </c>
      <c r="V8" s="1520">
        <v>46435</v>
      </c>
    </row>
    <row r="9" spans="1:22">
      <c r="A9" t="s">
        <v>7622</v>
      </c>
      <c r="B9" t="s">
        <v>100</v>
      </c>
      <c r="C9" t="s">
        <v>4540</v>
      </c>
      <c r="D9" t="s">
        <v>7330</v>
      </c>
      <c r="E9" t="s">
        <v>1484</v>
      </c>
      <c r="F9">
        <v>725</v>
      </c>
      <c r="G9">
        <v>5940</v>
      </c>
      <c r="H9">
        <v>4.3064999999999998</v>
      </c>
      <c r="I9">
        <v>180</v>
      </c>
      <c r="J9">
        <v>10</v>
      </c>
      <c r="K9" t="s">
        <v>4392</v>
      </c>
      <c r="L9" t="s">
        <v>123</v>
      </c>
      <c r="M9" t="s">
        <v>105</v>
      </c>
      <c r="N9" s="1520"/>
      <c r="O9" s="1520"/>
      <c r="P9" s="1520"/>
      <c r="Q9" s="1520"/>
      <c r="R9" s="1520"/>
      <c r="S9" s="1520"/>
      <c r="T9" s="1520"/>
      <c r="U9">
        <v>7</v>
      </c>
      <c r="V9" s="1520">
        <v>46430</v>
      </c>
    </row>
    <row r="10" spans="1:22">
      <c r="A10" t="s">
        <v>7686</v>
      </c>
      <c r="B10" t="s">
        <v>100</v>
      </c>
      <c r="C10" t="s">
        <v>5388</v>
      </c>
      <c r="D10" t="s">
        <v>7681</v>
      </c>
      <c r="E10" t="s">
        <v>7682</v>
      </c>
      <c r="F10">
        <v>485</v>
      </c>
      <c r="G10">
        <v>6552</v>
      </c>
      <c r="H10">
        <v>3.1777199999999999</v>
      </c>
      <c r="I10">
        <v>182</v>
      </c>
      <c r="J10">
        <v>7</v>
      </c>
      <c r="K10" t="s">
        <v>4391</v>
      </c>
      <c r="L10" t="s">
        <v>123</v>
      </c>
      <c r="M10" t="s">
        <v>105</v>
      </c>
      <c r="N10" s="1520"/>
      <c r="O10" s="1520"/>
      <c r="P10" s="1520"/>
      <c r="Q10" s="1520"/>
      <c r="R10" s="1520"/>
      <c r="S10" s="1520"/>
      <c r="T10" s="1520"/>
      <c r="U10">
        <v>7</v>
      </c>
      <c r="V10" s="1520">
        <v>6</v>
      </c>
    </row>
    <row r="11" spans="1:22">
      <c r="A11" t="s">
        <v>7703</v>
      </c>
      <c r="B11" t="s">
        <v>65</v>
      </c>
      <c r="C11" t="s">
        <v>4540</v>
      </c>
      <c r="D11" t="s">
        <v>7698</v>
      </c>
      <c r="E11" t="s">
        <v>7699</v>
      </c>
      <c r="F11">
        <v>715</v>
      </c>
      <c r="G11">
        <v>3564</v>
      </c>
      <c r="H11">
        <v>2.54826</v>
      </c>
      <c r="I11">
        <v>108</v>
      </c>
      <c r="J11">
        <v>6</v>
      </c>
      <c r="K11" t="s">
        <v>4391</v>
      </c>
      <c r="L11" t="s">
        <v>123</v>
      </c>
      <c r="M11" t="s">
        <v>78</v>
      </c>
      <c r="N11" s="1520"/>
      <c r="O11" s="1520"/>
      <c r="P11" s="1520"/>
      <c r="Q11" s="1520"/>
      <c r="R11" s="1520"/>
      <c r="S11" s="1520"/>
      <c r="T11" s="1520"/>
      <c r="U11">
        <v>8</v>
      </c>
      <c r="V11" s="1520">
        <v>7</v>
      </c>
    </row>
    <row r="12" spans="1:22">
      <c r="A12" t="s">
        <v>7746</v>
      </c>
      <c r="B12" t="s">
        <v>65</v>
      </c>
      <c r="C12" t="s">
        <v>284</v>
      </c>
      <c r="D12" t="s">
        <v>7744</v>
      </c>
      <c r="E12" t="s">
        <v>7745</v>
      </c>
      <c r="F12">
        <v>650</v>
      </c>
      <c r="G12">
        <v>7200</v>
      </c>
      <c r="H12">
        <v>4.68</v>
      </c>
      <c r="I12">
        <v>200</v>
      </c>
      <c r="J12">
        <v>10</v>
      </c>
      <c r="K12" t="s">
        <v>4391</v>
      </c>
      <c r="L12" t="s">
        <v>61</v>
      </c>
      <c r="M12" t="s">
        <v>78</v>
      </c>
      <c r="N12" s="1520"/>
      <c r="O12" s="1520"/>
      <c r="P12" s="1520"/>
      <c r="Q12" s="1520"/>
      <c r="R12" s="1520"/>
      <c r="S12" s="1520"/>
      <c r="T12" s="1520"/>
      <c r="U12">
        <v>8</v>
      </c>
      <c r="V12" s="1520">
        <v>7</v>
      </c>
    </row>
    <row r="13" spans="1:22">
      <c r="A13" t="s">
        <v>7637</v>
      </c>
      <c r="B13" t="s">
        <v>100</v>
      </c>
      <c r="C13" t="s">
        <v>4540</v>
      </c>
      <c r="D13" t="s">
        <v>7336</v>
      </c>
      <c r="E13" t="s">
        <v>1682</v>
      </c>
      <c r="F13">
        <v>730</v>
      </c>
      <c r="G13">
        <v>5940</v>
      </c>
      <c r="H13">
        <v>4.3361999999999998</v>
      </c>
      <c r="I13">
        <v>180</v>
      </c>
      <c r="J13">
        <v>10</v>
      </c>
      <c r="K13" t="s">
        <v>4391</v>
      </c>
      <c r="L13" t="s">
        <v>123</v>
      </c>
      <c r="M13" t="s">
        <v>105</v>
      </c>
      <c r="N13" s="1520"/>
      <c r="O13" s="1520"/>
      <c r="P13" s="1520"/>
      <c r="Q13" s="1520"/>
      <c r="R13" s="1520"/>
      <c r="S13" s="1520"/>
      <c r="T13" s="1520"/>
      <c r="U13">
        <v>7</v>
      </c>
      <c r="V13" s="1520">
        <v>6</v>
      </c>
    </row>
    <row r="14" spans="1:22">
      <c r="A14" t="s">
        <v>7753</v>
      </c>
      <c r="B14" t="s">
        <v>65</v>
      </c>
      <c r="C14" t="s">
        <v>284</v>
      </c>
      <c r="D14" t="s">
        <v>7744</v>
      </c>
      <c r="E14" t="s">
        <v>7745</v>
      </c>
      <c r="F14">
        <v>650</v>
      </c>
      <c r="G14">
        <v>7740</v>
      </c>
      <c r="H14">
        <v>5.0309999999999997</v>
      </c>
      <c r="I14">
        <v>215</v>
      </c>
      <c r="J14">
        <v>10.75</v>
      </c>
      <c r="K14" t="s">
        <v>4391</v>
      </c>
      <c r="L14" t="s">
        <v>61</v>
      </c>
      <c r="M14" t="s">
        <v>78</v>
      </c>
      <c r="N14" s="1520"/>
      <c r="O14" s="1520"/>
      <c r="P14" s="1520"/>
      <c r="Q14" s="1520"/>
      <c r="R14" s="1520"/>
      <c r="S14" s="1520"/>
      <c r="T14" s="1520"/>
      <c r="U14">
        <v>8</v>
      </c>
      <c r="V14" s="1520">
        <v>7</v>
      </c>
    </row>
    <row r="15" spans="1:22">
      <c r="A15" t="s">
        <v>7774</v>
      </c>
      <c r="B15" t="s">
        <v>65</v>
      </c>
      <c r="C15" t="s">
        <v>284</v>
      </c>
      <c r="D15" t="s">
        <v>7770</v>
      </c>
      <c r="E15" t="s">
        <v>7745</v>
      </c>
      <c r="F15">
        <v>650</v>
      </c>
      <c r="G15">
        <v>5040</v>
      </c>
      <c r="H15">
        <v>3.2759999999999998</v>
      </c>
      <c r="I15">
        <v>140</v>
      </c>
      <c r="J15">
        <v>7</v>
      </c>
      <c r="K15" t="s">
        <v>4390</v>
      </c>
      <c r="L15" t="s">
        <v>61</v>
      </c>
      <c r="M15" t="s">
        <v>78</v>
      </c>
      <c r="N15" s="1520"/>
      <c r="O15" s="1520"/>
      <c r="P15" s="1520"/>
      <c r="Q15" s="1520"/>
      <c r="R15" s="1520"/>
      <c r="S15" s="1520"/>
      <c r="T15" s="1520"/>
      <c r="U15">
        <v>8</v>
      </c>
      <c r="V15" s="1520">
        <v>46435</v>
      </c>
    </row>
    <row r="16" spans="1:22">
      <c r="A16" t="s">
        <v>7685</v>
      </c>
      <c r="B16" t="s">
        <v>100</v>
      </c>
      <c r="C16" t="s">
        <v>5388</v>
      </c>
      <c r="D16" t="s">
        <v>7681</v>
      </c>
      <c r="E16" t="s">
        <v>7682</v>
      </c>
      <c r="F16">
        <v>485</v>
      </c>
      <c r="G16">
        <v>5616</v>
      </c>
      <c r="H16">
        <v>2.72376</v>
      </c>
      <c r="I16">
        <v>156</v>
      </c>
      <c r="J16">
        <v>6</v>
      </c>
      <c r="K16" t="s">
        <v>4390</v>
      </c>
      <c r="L16" t="s">
        <v>123</v>
      </c>
      <c r="M16" t="s">
        <v>105</v>
      </c>
      <c r="N16" s="1520"/>
      <c r="O16" s="1520"/>
      <c r="P16" s="1520"/>
      <c r="Q16" s="1520"/>
      <c r="R16" s="1520"/>
      <c r="S16" s="1520"/>
      <c r="T16" s="1520"/>
      <c r="U16">
        <v>7</v>
      </c>
      <c r="V16" s="1520">
        <v>46416</v>
      </c>
    </row>
    <row r="17" spans="1:22">
      <c r="A17" t="s">
        <v>7621</v>
      </c>
      <c r="B17" t="s">
        <v>100</v>
      </c>
      <c r="C17" t="s">
        <v>4540</v>
      </c>
      <c r="D17" t="s">
        <v>7330</v>
      </c>
      <c r="E17" t="s">
        <v>1484</v>
      </c>
      <c r="F17">
        <v>725</v>
      </c>
      <c r="G17">
        <v>5940</v>
      </c>
      <c r="H17">
        <v>4.3064999999999998</v>
      </c>
      <c r="I17">
        <v>180</v>
      </c>
      <c r="J17">
        <v>10</v>
      </c>
      <c r="K17" t="s">
        <v>4390</v>
      </c>
      <c r="L17" t="s">
        <v>123</v>
      </c>
      <c r="M17" t="s">
        <v>105</v>
      </c>
      <c r="N17" s="1520"/>
      <c r="O17" s="1520"/>
      <c r="P17" s="1520"/>
      <c r="Q17" s="1520"/>
      <c r="R17" s="1520"/>
      <c r="S17" s="1520"/>
      <c r="T17" s="1520"/>
      <c r="U17">
        <v>7</v>
      </c>
      <c r="V17" s="1520">
        <v>46416</v>
      </c>
    </row>
    <row r="18" spans="1:22">
      <c r="A18" t="s">
        <v>7751</v>
      </c>
      <c r="B18" t="s">
        <v>65</v>
      </c>
      <c r="C18" t="s">
        <v>284</v>
      </c>
      <c r="D18" t="s">
        <v>7744</v>
      </c>
      <c r="E18" t="s">
        <v>7745</v>
      </c>
      <c r="F18">
        <v>650</v>
      </c>
      <c r="G18">
        <v>7200</v>
      </c>
      <c r="H18">
        <v>4.68</v>
      </c>
      <c r="I18">
        <v>200</v>
      </c>
      <c r="J18">
        <v>10</v>
      </c>
      <c r="K18" t="s">
        <v>4390</v>
      </c>
      <c r="L18" t="s">
        <v>61</v>
      </c>
      <c r="M18" t="s">
        <v>78</v>
      </c>
      <c r="N18" s="1520"/>
      <c r="O18" s="1520"/>
      <c r="P18" s="1520"/>
      <c r="Q18" s="1520"/>
      <c r="R18" s="1520"/>
      <c r="S18" s="1520"/>
      <c r="T18" s="1520"/>
      <c r="U18">
        <v>8</v>
      </c>
      <c r="V18" s="1520">
        <v>46435</v>
      </c>
    </row>
    <row r="19" spans="1:22">
      <c r="A19" t="s">
        <v>7700</v>
      </c>
      <c r="B19" t="s">
        <v>65</v>
      </c>
      <c r="C19" t="s">
        <v>4540</v>
      </c>
      <c r="D19" t="s">
        <v>7698</v>
      </c>
      <c r="E19" t="s">
        <v>7699</v>
      </c>
      <c r="F19">
        <v>715</v>
      </c>
      <c r="G19">
        <v>4752</v>
      </c>
      <c r="H19">
        <v>3.3976799999999998</v>
      </c>
      <c r="I19">
        <v>144</v>
      </c>
      <c r="J19">
        <v>8</v>
      </c>
      <c r="K19" t="s">
        <v>4390</v>
      </c>
      <c r="L19" t="s">
        <v>123</v>
      </c>
      <c r="M19" t="s">
        <v>78</v>
      </c>
      <c r="N19" s="1520"/>
      <c r="O19" s="1520"/>
      <c r="P19" s="1520"/>
      <c r="Q19" s="1520"/>
      <c r="R19" s="1520"/>
      <c r="S19" s="1520"/>
      <c r="T19" s="1520"/>
      <c r="U19">
        <v>8</v>
      </c>
      <c r="V19" s="1520">
        <v>46421</v>
      </c>
    </row>
    <row r="20" spans="1:22">
      <c r="A20" t="s">
        <v>7741</v>
      </c>
      <c r="B20" t="s">
        <v>65</v>
      </c>
      <c r="C20" t="s">
        <v>284</v>
      </c>
      <c r="D20" t="s">
        <v>7735</v>
      </c>
      <c r="E20" t="s">
        <v>7736</v>
      </c>
      <c r="F20">
        <v>655</v>
      </c>
      <c r="G20">
        <v>1764</v>
      </c>
      <c r="H20">
        <v>1.1554199999999999</v>
      </c>
      <c r="I20">
        <v>49</v>
      </c>
      <c r="J20">
        <v>2.4500000000000002</v>
      </c>
      <c r="K20" t="s">
        <v>4390</v>
      </c>
      <c r="L20" t="s">
        <v>61</v>
      </c>
      <c r="M20" t="s">
        <v>78</v>
      </c>
      <c r="N20" s="1520"/>
      <c r="O20" s="1520"/>
      <c r="P20" s="1520"/>
      <c r="Q20" s="1520"/>
      <c r="R20" s="1520"/>
      <c r="S20" s="1520"/>
      <c r="T20" s="1520"/>
      <c r="U20">
        <v>8</v>
      </c>
      <c r="V20" s="1520">
        <v>46435</v>
      </c>
    </row>
    <row r="21" spans="1:22">
      <c r="A21" t="s">
        <v>7738</v>
      </c>
      <c r="B21" t="s">
        <v>65</v>
      </c>
      <c r="C21" t="s">
        <v>284</v>
      </c>
      <c r="D21" t="s">
        <v>7735</v>
      </c>
      <c r="E21" t="s">
        <v>7736</v>
      </c>
      <c r="F21">
        <v>655</v>
      </c>
      <c r="G21">
        <v>7200</v>
      </c>
      <c r="H21">
        <v>4.7160000000000002</v>
      </c>
      <c r="I21">
        <v>200</v>
      </c>
      <c r="J21">
        <v>10</v>
      </c>
      <c r="K21" t="s">
        <v>4389</v>
      </c>
      <c r="L21" t="s">
        <v>61</v>
      </c>
      <c r="M21" t="s">
        <v>78</v>
      </c>
      <c r="N21" s="1520"/>
      <c r="O21" s="1520"/>
      <c r="P21" s="1520"/>
      <c r="Q21" s="1520"/>
      <c r="R21" s="1520"/>
      <c r="S21" s="1520"/>
      <c r="T21" s="1520"/>
      <c r="U21">
        <v>8</v>
      </c>
      <c r="V21" s="1520">
        <v>46428</v>
      </c>
    </row>
    <row r="22" spans="1:22">
      <c r="A22" t="s">
        <v>7652</v>
      </c>
      <c r="B22" t="s">
        <v>100</v>
      </c>
      <c r="C22" t="s">
        <v>4540</v>
      </c>
      <c r="D22" t="s">
        <v>71</v>
      </c>
      <c r="E22" t="s">
        <v>72</v>
      </c>
      <c r="F22">
        <v>500</v>
      </c>
      <c r="G22">
        <v>3456</v>
      </c>
      <c r="H22">
        <v>1.728</v>
      </c>
      <c r="I22">
        <v>96</v>
      </c>
      <c r="J22">
        <v>4</v>
      </c>
      <c r="K22" t="s">
        <v>4389</v>
      </c>
      <c r="L22" t="s">
        <v>61</v>
      </c>
      <c r="M22" t="s">
        <v>105</v>
      </c>
      <c r="N22" s="1520"/>
      <c r="O22" s="1520"/>
      <c r="P22" s="1520"/>
      <c r="Q22" s="1520"/>
      <c r="R22" s="1520"/>
      <c r="S22" s="1520"/>
      <c r="T22" s="1520"/>
      <c r="U22">
        <v>7</v>
      </c>
      <c r="V22" s="1520">
        <v>46430</v>
      </c>
    </row>
    <row r="23" spans="1:22">
      <c r="A23" t="s">
        <v>7668</v>
      </c>
      <c r="B23" t="s">
        <v>310</v>
      </c>
      <c r="C23" t="s">
        <v>284</v>
      </c>
      <c r="D23" t="s">
        <v>5860</v>
      </c>
      <c r="E23" t="s">
        <v>5861</v>
      </c>
      <c r="F23">
        <v>485</v>
      </c>
      <c r="G23">
        <v>4680</v>
      </c>
      <c r="H23">
        <v>2.2698</v>
      </c>
      <c r="I23">
        <v>130</v>
      </c>
      <c r="J23">
        <v>5</v>
      </c>
      <c r="K23" t="s">
        <v>4389</v>
      </c>
      <c r="L23" t="s">
        <v>123</v>
      </c>
      <c r="M23" t="s">
        <v>1561</v>
      </c>
      <c r="N23" s="1520"/>
      <c r="O23" s="1520"/>
      <c r="P23" s="1520"/>
      <c r="Q23" s="1520"/>
      <c r="R23" s="1520"/>
      <c r="S23" s="1520"/>
      <c r="T23" s="1520"/>
      <c r="U23">
        <v>10</v>
      </c>
      <c r="V23" s="1520">
        <v>46416</v>
      </c>
    </row>
    <row r="24" spans="1:22">
      <c r="A24" t="s">
        <v>7605</v>
      </c>
      <c r="B24" t="s">
        <v>450</v>
      </c>
      <c r="C24" t="s">
        <v>4540</v>
      </c>
      <c r="D24" t="s">
        <v>7049</v>
      </c>
      <c r="E24" t="s">
        <v>7050</v>
      </c>
      <c r="F24">
        <v>505</v>
      </c>
      <c r="G24">
        <v>5184</v>
      </c>
      <c r="H24">
        <v>2.6179199999999998</v>
      </c>
      <c r="I24">
        <v>144</v>
      </c>
      <c r="J24">
        <v>6</v>
      </c>
      <c r="K24" t="s">
        <v>4389</v>
      </c>
      <c r="L24" t="s">
        <v>61</v>
      </c>
      <c r="M24" t="s">
        <v>456</v>
      </c>
      <c r="N24" s="1520"/>
      <c r="O24" s="1520"/>
      <c r="P24" s="1520" t="s">
        <v>2480</v>
      </c>
      <c r="Q24" s="1520"/>
      <c r="R24" s="1520"/>
      <c r="S24" s="1520"/>
      <c r="T24" s="1520"/>
      <c r="U24">
        <v>7</v>
      </c>
      <c r="V24" s="1520">
        <v>46423</v>
      </c>
    </row>
    <row r="25" spans="1:22">
      <c r="A25" t="s">
        <v>7771</v>
      </c>
      <c r="B25" t="s">
        <v>65</v>
      </c>
      <c r="C25" t="s">
        <v>284</v>
      </c>
      <c r="D25" t="s">
        <v>7770</v>
      </c>
      <c r="E25" t="s">
        <v>7745</v>
      </c>
      <c r="F25">
        <v>650</v>
      </c>
      <c r="G25">
        <v>11520</v>
      </c>
      <c r="H25">
        <v>7.4880000000000004</v>
      </c>
      <c r="I25">
        <v>320</v>
      </c>
      <c r="J25">
        <v>16</v>
      </c>
      <c r="K25" t="s">
        <v>4389</v>
      </c>
      <c r="L25" t="s">
        <v>61</v>
      </c>
      <c r="M25" t="s">
        <v>78</v>
      </c>
      <c r="N25" s="1520"/>
      <c r="O25" s="1520"/>
      <c r="P25" s="1520"/>
      <c r="Q25" s="1520"/>
      <c r="R25" s="1520"/>
      <c r="S25" s="1520"/>
      <c r="T25" s="1520"/>
      <c r="U25">
        <v>8</v>
      </c>
      <c r="V25" s="1520">
        <v>46428</v>
      </c>
    </row>
    <row r="26" spans="1:22">
      <c r="A26" t="s">
        <v>7620</v>
      </c>
      <c r="B26" t="s">
        <v>100</v>
      </c>
      <c r="C26" t="s">
        <v>4540</v>
      </c>
      <c r="D26" t="s">
        <v>7330</v>
      </c>
      <c r="E26" t="s">
        <v>1484</v>
      </c>
      <c r="F26">
        <v>725</v>
      </c>
      <c r="G26">
        <v>5940</v>
      </c>
      <c r="H26">
        <v>4.3064999999999998</v>
      </c>
      <c r="I26">
        <v>180</v>
      </c>
      <c r="J26">
        <v>10</v>
      </c>
      <c r="K26" t="s">
        <v>4388</v>
      </c>
      <c r="L26" t="s">
        <v>123</v>
      </c>
      <c r="M26" t="s">
        <v>105</v>
      </c>
      <c r="N26" s="1520"/>
      <c r="O26" s="1520"/>
      <c r="P26" s="1520"/>
      <c r="Q26" s="1520"/>
      <c r="R26" s="1520"/>
      <c r="S26" s="1520"/>
      <c r="T26" s="1520"/>
      <c r="U26">
        <v>7</v>
      </c>
      <c r="V26" s="1520">
        <v>46402</v>
      </c>
    </row>
    <row r="27" spans="1:22">
      <c r="A27" t="s">
        <v>7618</v>
      </c>
      <c r="B27" t="s">
        <v>100</v>
      </c>
      <c r="C27" t="s">
        <v>4540</v>
      </c>
      <c r="D27" t="s">
        <v>7616</v>
      </c>
      <c r="E27" t="s">
        <v>7617</v>
      </c>
      <c r="F27">
        <v>635</v>
      </c>
      <c r="G27">
        <v>2880</v>
      </c>
      <c r="H27">
        <v>1.8288</v>
      </c>
      <c r="I27">
        <v>80</v>
      </c>
      <c r="J27">
        <v>4</v>
      </c>
      <c r="K27" t="s">
        <v>4388</v>
      </c>
      <c r="L27" t="s">
        <v>123</v>
      </c>
      <c r="M27" t="s">
        <v>105</v>
      </c>
      <c r="N27" s="1520"/>
      <c r="O27" s="1520"/>
      <c r="P27" s="1520"/>
      <c r="Q27" s="1520"/>
      <c r="R27" s="1520"/>
      <c r="S27" s="1520"/>
      <c r="T27" s="1520"/>
      <c r="U27">
        <v>7</v>
      </c>
      <c r="V27" s="1520">
        <v>46402</v>
      </c>
    </row>
    <row r="28" spans="1:22">
      <c r="A28" t="s">
        <v>7614</v>
      </c>
      <c r="B28" t="s">
        <v>100</v>
      </c>
      <c r="C28" t="s">
        <v>4540</v>
      </c>
      <c r="D28" t="s">
        <v>7610</v>
      </c>
      <c r="E28" t="s">
        <v>4607</v>
      </c>
      <c r="F28">
        <v>630</v>
      </c>
      <c r="G28">
        <v>4320</v>
      </c>
      <c r="H28">
        <v>2.7216</v>
      </c>
      <c r="I28">
        <v>120</v>
      </c>
      <c r="J28">
        <v>6</v>
      </c>
      <c r="K28" t="s">
        <v>4388</v>
      </c>
      <c r="L28" t="s">
        <v>123</v>
      </c>
      <c r="M28" t="s">
        <v>105</v>
      </c>
      <c r="N28" s="1520"/>
      <c r="O28" s="1520"/>
      <c r="P28" s="1520"/>
      <c r="Q28" s="1520"/>
      <c r="R28" s="1520"/>
      <c r="S28" s="1520"/>
      <c r="T28" s="1520"/>
      <c r="U28">
        <v>7</v>
      </c>
      <c r="V28" s="1520">
        <v>46402</v>
      </c>
    </row>
    <row r="29" spans="1:22">
      <c r="A29" t="s">
        <v>7613</v>
      </c>
      <c r="B29" t="s">
        <v>100</v>
      </c>
      <c r="C29" t="s">
        <v>4540</v>
      </c>
      <c r="D29" t="s">
        <v>7610</v>
      </c>
      <c r="E29" t="s">
        <v>4607</v>
      </c>
      <c r="F29">
        <v>630</v>
      </c>
      <c r="G29">
        <v>4320</v>
      </c>
      <c r="H29">
        <v>2.7216</v>
      </c>
      <c r="I29">
        <v>120</v>
      </c>
      <c r="J29">
        <v>6</v>
      </c>
      <c r="K29" t="s">
        <v>4388</v>
      </c>
      <c r="L29" t="s">
        <v>123</v>
      </c>
      <c r="M29" t="s">
        <v>105</v>
      </c>
      <c r="N29" s="1520"/>
      <c r="O29" s="1520"/>
      <c r="P29" s="1520"/>
      <c r="Q29" s="1520"/>
      <c r="R29" s="1520"/>
      <c r="S29" s="1520"/>
      <c r="T29" s="1520"/>
      <c r="U29">
        <v>7</v>
      </c>
      <c r="V29" s="1520">
        <v>46402</v>
      </c>
    </row>
    <row r="30" spans="1:22">
      <c r="A30" t="s">
        <v>7612</v>
      </c>
      <c r="B30" t="s">
        <v>100</v>
      </c>
      <c r="C30" t="s">
        <v>4540</v>
      </c>
      <c r="D30" t="s">
        <v>7610</v>
      </c>
      <c r="E30" t="s">
        <v>4607</v>
      </c>
      <c r="F30">
        <v>630</v>
      </c>
      <c r="G30">
        <v>720</v>
      </c>
      <c r="H30">
        <v>0.4536</v>
      </c>
      <c r="I30">
        <v>20</v>
      </c>
      <c r="J30">
        <v>1</v>
      </c>
      <c r="K30" t="s">
        <v>4388</v>
      </c>
      <c r="L30" t="s">
        <v>123</v>
      </c>
      <c r="M30" t="s">
        <v>105</v>
      </c>
      <c r="N30" s="1520">
        <v>46335</v>
      </c>
      <c r="O30" s="1520"/>
      <c r="P30" s="1520"/>
      <c r="Q30" s="1520">
        <v>46372</v>
      </c>
      <c r="R30" s="1520"/>
      <c r="S30" s="1520"/>
      <c r="T30" s="1520"/>
      <c r="U30">
        <v>7</v>
      </c>
      <c r="V30" s="1520">
        <v>46379</v>
      </c>
    </row>
    <row r="31" spans="1:22">
      <c r="A31" t="s">
        <v>7611</v>
      </c>
      <c r="B31" t="s">
        <v>100</v>
      </c>
      <c r="C31" t="s">
        <v>4540</v>
      </c>
      <c r="D31" t="s">
        <v>7610</v>
      </c>
      <c r="E31" t="s">
        <v>4607</v>
      </c>
      <c r="F31">
        <v>630</v>
      </c>
      <c r="G31">
        <v>3600</v>
      </c>
      <c r="H31">
        <v>2.2679999999999998</v>
      </c>
      <c r="I31">
        <v>100</v>
      </c>
      <c r="J31">
        <v>5</v>
      </c>
      <c r="K31" t="s">
        <v>4388</v>
      </c>
      <c r="L31" t="s">
        <v>123</v>
      </c>
      <c r="M31" t="s">
        <v>105</v>
      </c>
      <c r="N31" s="1520"/>
      <c r="O31" s="1520"/>
      <c r="P31" s="1520"/>
      <c r="Q31" s="1520"/>
      <c r="R31" s="1520"/>
      <c r="S31" s="1520"/>
      <c r="T31" s="1520"/>
      <c r="U31">
        <v>7</v>
      </c>
      <c r="V31" s="1520">
        <v>46402</v>
      </c>
    </row>
    <row r="32" spans="1:22">
      <c r="A32" t="s">
        <v>7636</v>
      </c>
      <c r="B32" t="s">
        <v>100</v>
      </c>
      <c r="C32" t="s">
        <v>4540</v>
      </c>
      <c r="D32" t="s">
        <v>7336</v>
      </c>
      <c r="E32" t="s">
        <v>1682</v>
      </c>
      <c r="F32">
        <v>730</v>
      </c>
      <c r="G32">
        <v>5940</v>
      </c>
      <c r="H32">
        <v>4.3361999999999998</v>
      </c>
      <c r="I32">
        <v>180</v>
      </c>
      <c r="J32">
        <v>10</v>
      </c>
      <c r="K32" t="s">
        <v>4388</v>
      </c>
      <c r="L32" t="s">
        <v>123</v>
      </c>
      <c r="M32" t="s">
        <v>105</v>
      </c>
      <c r="N32" s="1520"/>
      <c r="O32" s="1520"/>
      <c r="P32" s="1520"/>
      <c r="Q32" s="1520"/>
      <c r="R32" s="1520"/>
      <c r="S32" s="1520"/>
      <c r="T32" s="1520"/>
      <c r="U32">
        <v>7</v>
      </c>
      <c r="V32" s="1520">
        <v>46402</v>
      </c>
    </row>
    <row r="33" spans="1:22">
      <c r="A33" t="s">
        <v>7651</v>
      </c>
      <c r="B33" t="s">
        <v>100</v>
      </c>
      <c r="C33" t="s">
        <v>4540</v>
      </c>
      <c r="D33" t="s">
        <v>71</v>
      </c>
      <c r="E33" t="s">
        <v>72</v>
      </c>
      <c r="F33">
        <v>500</v>
      </c>
      <c r="G33">
        <v>3456</v>
      </c>
      <c r="H33">
        <v>1.728</v>
      </c>
      <c r="I33">
        <v>96</v>
      </c>
      <c r="J33">
        <v>4</v>
      </c>
      <c r="K33" t="s">
        <v>4388</v>
      </c>
      <c r="L33" t="s">
        <v>61</v>
      </c>
      <c r="M33" t="s">
        <v>105</v>
      </c>
      <c r="N33" s="1520"/>
      <c r="O33" s="1520"/>
      <c r="P33" s="1520"/>
      <c r="Q33" s="1520"/>
      <c r="R33" s="1520"/>
      <c r="S33" s="1520"/>
      <c r="T33" s="1520"/>
      <c r="U33">
        <v>7</v>
      </c>
      <c r="V33" s="1520">
        <v>46423</v>
      </c>
    </row>
    <row r="34" spans="1:22">
      <c r="A34" t="s">
        <v>7654</v>
      </c>
      <c r="B34" t="s">
        <v>65</v>
      </c>
      <c r="C34" t="s">
        <v>4540</v>
      </c>
      <c r="D34" t="s">
        <v>1151</v>
      </c>
      <c r="E34" t="s">
        <v>421</v>
      </c>
      <c r="F34">
        <v>505</v>
      </c>
      <c r="G34">
        <v>1728</v>
      </c>
      <c r="H34">
        <v>0.87263999999999997</v>
      </c>
      <c r="I34">
        <v>48</v>
      </c>
      <c r="J34">
        <v>2</v>
      </c>
      <c r="K34" t="s">
        <v>4388</v>
      </c>
      <c r="L34" t="s">
        <v>61</v>
      </c>
      <c r="M34" t="s">
        <v>78</v>
      </c>
      <c r="N34" s="1520">
        <v>46333</v>
      </c>
      <c r="O34" s="1520"/>
      <c r="P34" s="1520"/>
      <c r="Q34" s="1520">
        <v>46412</v>
      </c>
      <c r="R34" s="1520"/>
      <c r="S34" s="1520"/>
      <c r="T34" s="1520"/>
      <c r="U34">
        <v>8</v>
      </c>
      <c r="V34" s="1520">
        <v>46413.791666666664</v>
      </c>
    </row>
    <row r="35" spans="1:22">
      <c r="A35" t="s">
        <v>7662</v>
      </c>
      <c r="B35" t="s">
        <v>100</v>
      </c>
      <c r="C35" t="s">
        <v>284</v>
      </c>
      <c r="D35" t="s">
        <v>5860</v>
      </c>
      <c r="E35" t="s">
        <v>5861</v>
      </c>
      <c r="F35">
        <v>485</v>
      </c>
      <c r="G35">
        <v>7488</v>
      </c>
      <c r="H35">
        <v>3.6316799999999998</v>
      </c>
      <c r="I35">
        <v>208</v>
      </c>
      <c r="J35">
        <v>8</v>
      </c>
      <c r="K35" t="s">
        <v>4388</v>
      </c>
      <c r="L35" t="s">
        <v>123</v>
      </c>
      <c r="M35" t="s">
        <v>105</v>
      </c>
      <c r="N35" s="1520"/>
      <c r="O35" s="1520"/>
      <c r="P35" s="1520"/>
      <c r="Q35" s="1520"/>
      <c r="R35" s="1520"/>
      <c r="S35" s="1520"/>
      <c r="T35" s="1520"/>
      <c r="U35">
        <v>7</v>
      </c>
      <c r="V35" s="1520">
        <v>46402</v>
      </c>
    </row>
    <row r="36" spans="1:22">
      <c r="A36" t="s">
        <v>7664</v>
      </c>
      <c r="B36" t="s">
        <v>100</v>
      </c>
      <c r="C36" t="s">
        <v>284</v>
      </c>
      <c r="D36" t="s">
        <v>5860</v>
      </c>
      <c r="E36" t="s">
        <v>5861</v>
      </c>
      <c r="F36">
        <v>485</v>
      </c>
      <c r="G36">
        <v>9360</v>
      </c>
      <c r="H36">
        <v>4.5396000000000001</v>
      </c>
      <c r="I36">
        <v>260</v>
      </c>
      <c r="J36">
        <v>10</v>
      </c>
      <c r="K36" t="s">
        <v>4388</v>
      </c>
      <c r="L36" t="s">
        <v>123</v>
      </c>
      <c r="M36" t="s">
        <v>105</v>
      </c>
      <c r="N36" s="1520"/>
      <c r="O36" s="1520"/>
      <c r="P36" s="1520"/>
      <c r="Q36" s="1520"/>
      <c r="R36" s="1520"/>
      <c r="S36" s="1520"/>
      <c r="T36" s="1520"/>
      <c r="U36">
        <v>7</v>
      </c>
      <c r="V36" s="1520">
        <v>46402</v>
      </c>
    </row>
    <row r="37" spans="1:22">
      <c r="A37" t="s">
        <v>7665</v>
      </c>
      <c r="B37" t="s">
        <v>100</v>
      </c>
      <c r="C37" t="s">
        <v>284</v>
      </c>
      <c r="D37" t="s">
        <v>5860</v>
      </c>
      <c r="E37" t="s">
        <v>5861</v>
      </c>
      <c r="F37">
        <v>485</v>
      </c>
      <c r="G37">
        <v>9360</v>
      </c>
      <c r="H37">
        <v>4.5396000000000001</v>
      </c>
      <c r="I37">
        <v>260</v>
      </c>
      <c r="J37">
        <v>10</v>
      </c>
      <c r="K37" t="s">
        <v>4388</v>
      </c>
      <c r="L37" t="s">
        <v>123</v>
      </c>
      <c r="M37" t="s">
        <v>105</v>
      </c>
      <c r="N37" s="1520"/>
      <c r="O37" s="1520"/>
      <c r="P37" s="1520"/>
      <c r="Q37" s="1520"/>
      <c r="R37" s="1520"/>
      <c r="S37" s="1520"/>
      <c r="T37" s="1520"/>
      <c r="U37">
        <v>7</v>
      </c>
      <c r="V37" s="1520">
        <v>46402</v>
      </c>
    </row>
    <row r="38" spans="1:22">
      <c r="A38" t="s">
        <v>7666</v>
      </c>
      <c r="B38" t="s">
        <v>310</v>
      </c>
      <c r="C38" t="s">
        <v>284</v>
      </c>
      <c r="D38" t="s">
        <v>5860</v>
      </c>
      <c r="E38" t="s">
        <v>5861</v>
      </c>
      <c r="F38">
        <v>485</v>
      </c>
      <c r="G38">
        <v>4680</v>
      </c>
      <c r="H38">
        <v>2.2698</v>
      </c>
      <c r="I38">
        <v>130</v>
      </c>
      <c r="J38">
        <v>5</v>
      </c>
      <c r="K38" t="s">
        <v>4388</v>
      </c>
      <c r="L38" t="s">
        <v>123</v>
      </c>
      <c r="M38" t="s">
        <v>314</v>
      </c>
      <c r="N38" s="1520"/>
      <c r="O38" s="1520"/>
      <c r="P38" s="1520"/>
      <c r="Q38" s="1520"/>
      <c r="R38" s="1520"/>
      <c r="S38" s="1520"/>
      <c r="T38" s="1520"/>
      <c r="U38">
        <v>10</v>
      </c>
      <c r="V38" s="1520">
        <v>46409</v>
      </c>
    </row>
    <row r="39" spans="1:22">
      <c r="A39" t="s">
        <v>7670</v>
      </c>
      <c r="B39" t="s">
        <v>450</v>
      </c>
      <c r="C39" t="s">
        <v>284</v>
      </c>
      <c r="D39" t="s">
        <v>5860</v>
      </c>
      <c r="E39" t="s">
        <v>5861</v>
      </c>
      <c r="F39">
        <v>485</v>
      </c>
      <c r="G39">
        <v>4680</v>
      </c>
      <c r="H39">
        <v>2.2698</v>
      </c>
      <c r="I39">
        <v>130</v>
      </c>
      <c r="J39">
        <v>5</v>
      </c>
      <c r="K39" t="s">
        <v>4388</v>
      </c>
      <c r="L39" t="s">
        <v>123</v>
      </c>
      <c r="M39" t="s">
        <v>456</v>
      </c>
      <c r="N39" s="1520"/>
      <c r="O39" s="1520"/>
      <c r="P39" s="1520"/>
      <c r="Q39" s="1520"/>
      <c r="R39" s="1520"/>
      <c r="S39" s="1520"/>
      <c r="T39" s="1520"/>
      <c r="U39">
        <v>7</v>
      </c>
      <c r="V39" s="1520">
        <v>46402</v>
      </c>
    </row>
    <row r="40" spans="1:22">
      <c r="A40" t="s">
        <v>7683</v>
      </c>
      <c r="B40" t="s">
        <v>450</v>
      </c>
      <c r="C40" t="s">
        <v>5388</v>
      </c>
      <c r="D40" t="s">
        <v>7681</v>
      </c>
      <c r="E40" t="s">
        <v>7682</v>
      </c>
      <c r="F40">
        <v>485</v>
      </c>
      <c r="G40">
        <v>1872</v>
      </c>
      <c r="H40">
        <v>0.90791999999999995</v>
      </c>
      <c r="I40">
        <v>52</v>
      </c>
      <c r="J40">
        <v>2</v>
      </c>
      <c r="K40" t="s">
        <v>4388</v>
      </c>
      <c r="L40" t="s">
        <v>6003</v>
      </c>
      <c r="M40" t="s">
        <v>456</v>
      </c>
      <c r="N40" s="1520"/>
      <c r="O40" s="1520"/>
      <c r="P40" s="1520"/>
      <c r="Q40" s="1520"/>
      <c r="R40" s="1520"/>
      <c r="S40" s="1520"/>
      <c r="T40" s="1520"/>
      <c r="U40">
        <v>7</v>
      </c>
      <c r="V40" s="1520">
        <v>46402</v>
      </c>
    </row>
    <row r="41" spans="1:22">
      <c r="A41" t="s">
        <v>7684</v>
      </c>
      <c r="B41" t="s">
        <v>100</v>
      </c>
      <c r="C41" t="s">
        <v>5388</v>
      </c>
      <c r="D41" t="s">
        <v>7681</v>
      </c>
      <c r="E41" t="s">
        <v>7682</v>
      </c>
      <c r="F41">
        <v>485</v>
      </c>
      <c r="G41">
        <v>11232</v>
      </c>
      <c r="H41">
        <v>5.4475199999999999</v>
      </c>
      <c r="I41">
        <v>312</v>
      </c>
      <c r="J41">
        <v>12</v>
      </c>
      <c r="K41" t="s">
        <v>4388</v>
      </c>
      <c r="L41" t="s">
        <v>123</v>
      </c>
      <c r="M41" t="s">
        <v>105</v>
      </c>
      <c r="N41" s="1520"/>
      <c r="O41" s="1520"/>
      <c r="P41" s="1520"/>
      <c r="Q41" s="1520"/>
      <c r="R41" s="1520"/>
      <c r="S41" s="1520"/>
      <c r="T41" s="1520"/>
      <c r="U41">
        <v>7</v>
      </c>
      <c r="V41" s="1520">
        <v>46402</v>
      </c>
    </row>
    <row r="42" spans="1:22">
      <c r="A42" t="s">
        <v>7623</v>
      </c>
      <c r="B42" t="s">
        <v>114</v>
      </c>
      <c r="C42" t="s">
        <v>4540</v>
      </c>
      <c r="D42" t="s">
        <v>7330</v>
      </c>
      <c r="E42" t="s">
        <v>1484</v>
      </c>
      <c r="F42">
        <v>725</v>
      </c>
      <c r="G42">
        <v>5346</v>
      </c>
      <c r="H42">
        <v>3.8758499999999998</v>
      </c>
      <c r="I42">
        <v>162</v>
      </c>
      <c r="J42">
        <v>9</v>
      </c>
      <c r="K42" t="s">
        <v>4388</v>
      </c>
      <c r="L42" t="s">
        <v>123</v>
      </c>
      <c r="M42" t="s">
        <v>124</v>
      </c>
      <c r="N42" s="1520"/>
      <c r="O42" s="1520"/>
      <c r="P42" s="1520"/>
      <c r="Q42" s="1520"/>
      <c r="R42" s="1520"/>
      <c r="S42" s="1520"/>
      <c r="T42" s="1520"/>
      <c r="U42">
        <v>9</v>
      </c>
      <c r="V42" s="1520">
        <v>46404</v>
      </c>
    </row>
    <row r="43" spans="1:22">
      <c r="A43" t="s">
        <v>7595</v>
      </c>
      <c r="B43" t="s">
        <v>310</v>
      </c>
      <c r="C43" t="s">
        <v>170</v>
      </c>
      <c r="D43" t="s">
        <v>1977</v>
      </c>
      <c r="E43" t="s">
        <v>1978</v>
      </c>
      <c r="F43">
        <v>560</v>
      </c>
      <c r="G43">
        <v>3300</v>
      </c>
      <c r="H43">
        <v>1.8480000000000001</v>
      </c>
      <c r="I43">
        <v>100</v>
      </c>
      <c r="J43">
        <v>5</v>
      </c>
      <c r="K43" t="s">
        <v>4388</v>
      </c>
      <c r="L43" t="s">
        <v>123</v>
      </c>
      <c r="M43" t="s">
        <v>314</v>
      </c>
      <c r="N43" s="1520"/>
      <c r="O43" s="1520"/>
      <c r="P43" s="1520"/>
      <c r="Q43" s="1520"/>
      <c r="R43" s="1520"/>
      <c r="S43" s="1520"/>
      <c r="T43" s="1520"/>
      <c r="U43">
        <v>10</v>
      </c>
      <c r="V43" s="1520">
        <v>46409</v>
      </c>
    </row>
    <row r="44" spans="1:22">
      <c r="A44" t="s">
        <v>7691</v>
      </c>
      <c r="B44" t="s">
        <v>100</v>
      </c>
      <c r="C44" t="s">
        <v>4495</v>
      </c>
      <c r="D44" t="s">
        <v>7244</v>
      </c>
      <c r="E44" t="s">
        <v>7245</v>
      </c>
      <c r="F44">
        <v>650</v>
      </c>
      <c r="G44">
        <v>6120</v>
      </c>
      <c r="H44">
        <v>3.9780000000000002</v>
      </c>
      <c r="I44">
        <v>170</v>
      </c>
      <c r="J44">
        <v>8.5</v>
      </c>
      <c r="K44" t="s">
        <v>4388</v>
      </c>
      <c r="L44" t="s">
        <v>123</v>
      </c>
      <c r="M44" t="s">
        <v>105</v>
      </c>
      <c r="N44" s="1520"/>
      <c r="O44" s="1520"/>
      <c r="P44" s="1520" t="s">
        <v>2480</v>
      </c>
      <c r="Q44" s="1520"/>
      <c r="R44" s="1520"/>
      <c r="S44" s="1520"/>
      <c r="T44" s="1520"/>
      <c r="U44">
        <v>7</v>
      </c>
      <c r="V44" s="1520">
        <v>46402</v>
      </c>
    </row>
    <row r="45" spans="1:22">
      <c r="A45" t="s">
        <v>7414</v>
      </c>
      <c r="B45" t="s">
        <v>310</v>
      </c>
      <c r="C45" t="s">
        <v>170</v>
      </c>
      <c r="D45" t="s">
        <v>1977</v>
      </c>
      <c r="E45" t="s">
        <v>1978</v>
      </c>
      <c r="F45">
        <v>560</v>
      </c>
      <c r="G45">
        <v>660</v>
      </c>
      <c r="H45">
        <v>0.36959999999999998</v>
      </c>
      <c r="I45">
        <v>20</v>
      </c>
      <c r="J45">
        <v>1</v>
      </c>
      <c r="K45" t="s">
        <v>4388</v>
      </c>
      <c r="L45" t="s">
        <v>123</v>
      </c>
      <c r="M45" t="s">
        <v>314</v>
      </c>
      <c r="N45" s="1520">
        <v>46332</v>
      </c>
      <c r="O45" s="1520"/>
      <c r="P45" s="1520" t="s">
        <v>2480</v>
      </c>
      <c r="Q45" s="1520">
        <v>46379</v>
      </c>
      <c r="R45" s="1520"/>
      <c r="S45" s="1520"/>
      <c r="T45" s="1520"/>
      <c r="U45">
        <v>10</v>
      </c>
      <c r="V45" s="1520">
        <v>46389.25</v>
      </c>
    </row>
    <row r="46" spans="1:22">
      <c r="A46" t="s">
        <v>7661</v>
      </c>
      <c r="B46" t="s">
        <v>100</v>
      </c>
      <c r="C46" t="s">
        <v>284</v>
      </c>
      <c r="D46" t="s">
        <v>5860</v>
      </c>
      <c r="E46" t="s">
        <v>5861</v>
      </c>
      <c r="F46">
        <v>485</v>
      </c>
      <c r="G46">
        <v>8424</v>
      </c>
      <c r="H46">
        <v>4.0856399999999997</v>
      </c>
      <c r="I46">
        <v>234</v>
      </c>
      <c r="J46">
        <v>9</v>
      </c>
      <c r="K46" t="s">
        <v>4387</v>
      </c>
      <c r="L46" t="s">
        <v>123</v>
      </c>
      <c r="M46" t="s">
        <v>105</v>
      </c>
      <c r="N46" s="1520"/>
      <c r="O46" s="1520"/>
      <c r="P46" s="1520"/>
      <c r="Q46" s="1520"/>
      <c r="R46" s="1520"/>
      <c r="S46" s="1520"/>
      <c r="T46" s="1520"/>
      <c r="U46">
        <v>7</v>
      </c>
      <c r="V46" s="1520">
        <v>46395</v>
      </c>
    </row>
    <row r="47" spans="1:22">
      <c r="A47" t="s">
        <v>7455</v>
      </c>
      <c r="B47" t="s">
        <v>114</v>
      </c>
      <c r="C47" t="s">
        <v>4540</v>
      </c>
      <c r="D47" t="s">
        <v>7336</v>
      </c>
      <c r="E47" t="s">
        <v>1682</v>
      </c>
      <c r="F47">
        <v>730</v>
      </c>
      <c r="G47">
        <v>2970</v>
      </c>
      <c r="H47">
        <v>2.1680999999999999</v>
      </c>
      <c r="I47">
        <v>90</v>
      </c>
      <c r="J47">
        <v>5</v>
      </c>
      <c r="K47" t="s">
        <v>4387</v>
      </c>
      <c r="L47" t="s">
        <v>123</v>
      </c>
      <c r="M47" t="s">
        <v>124</v>
      </c>
      <c r="N47" s="1520">
        <v>46339</v>
      </c>
      <c r="O47" s="1520"/>
      <c r="P47" s="1520"/>
      <c r="Q47" s="1520">
        <v>46029</v>
      </c>
      <c r="R47" s="1520"/>
      <c r="S47" s="1520"/>
      <c r="T47" s="1520"/>
      <c r="U47">
        <v>9</v>
      </c>
      <c r="V47" s="1520">
        <v>46403.625</v>
      </c>
    </row>
    <row r="48" spans="1:22">
      <c r="A48" t="s">
        <v>7460</v>
      </c>
      <c r="B48" t="s">
        <v>310</v>
      </c>
      <c r="C48" t="s">
        <v>170</v>
      </c>
      <c r="D48" t="s">
        <v>1977</v>
      </c>
      <c r="E48" t="s">
        <v>1978</v>
      </c>
      <c r="F48">
        <v>560</v>
      </c>
      <c r="G48">
        <v>2640</v>
      </c>
      <c r="H48">
        <v>1.4783999999999999</v>
      </c>
      <c r="I48">
        <v>80</v>
      </c>
      <c r="J48">
        <v>4</v>
      </c>
      <c r="K48" t="s">
        <v>4387</v>
      </c>
      <c r="L48" t="s">
        <v>123</v>
      </c>
      <c r="M48" t="s">
        <v>1561</v>
      </c>
      <c r="N48" s="1520">
        <v>46339</v>
      </c>
      <c r="O48" s="1520"/>
      <c r="P48" s="1520" t="s">
        <v>2480</v>
      </c>
      <c r="Q48" s="1520">
        <v>46023</v>
      </c>
      <c r="R48" s="1520"/>
      <c r="S48" s="1520"/>
      <c r="T48" s="1520"/>
      <c r="U48">
        <v>10</v>
      </c>
      <c r="V48" s="1520">
        <v>46033</v>
      </c>
    </row>
    <row r="49" spans="1:22">
      <c r="A49" t="s">
        <v>7594</v>
      </c>
      <c r="B49" t="s">
        <v>100</v>
      </c>
      <c r="C49" t="s">
        <v>170</v>
      </c>
      <c r="D49" t="s">
        <v>1977</v>
      </c>
      <c r="E49" t="s">
        <v>1978</v>
      </c>
      <c r="F49">
        <v>560</v>
      </c>
      <c r="G49">
        <v>3960</v>
      </c>
      <c r="H49">
        <v>2.2176</v>
      </c>
      <c r="I49">
        <v>120</v>
      </c>
      <c r="J49">
        <v>6</v>
      </c>
      <c r="K49" t="s">
        <v>4387</v>
      </c>
      <c r="L49" t="s">
        <v>123</v>
      </c>
      <c r="M49" t="s">
        <v>105</v>
      </c>
      <c r="N49" s="1520">
        <v>46335</v>
      </c>
      <c r="O49" s="1520"/>
      <c r="P49" s="1520" t="s">
        <v>2480</v>
      </c>
      <c r="Q49" s="1520">
        <v>46372</v>
      </c>
      <c r="R49" s="1520"/>
      <c r="S49" s="1520"/>
      <c r="T49" s="1520"/>
      <c r="U49">
        <v>7</v>
      </c>
      <c r="V49" s="1520">
        <v>46379</v>
      </c>
    </row>
    <row r="50" spans="1:22">
      <c r="A50" t="s">
        <v>7650</v>
      </c>
      <c r="B50" t="s">
        <v>100</v>
      </c>
      <c r="C50" t="s">
        <v>4540</v>
      </c>
      <c r="D50" t="s">
        <v>71</v>
      </c>
      <c r="E50" t="s">
        <v>72</v>
      </c>
      <c r="F50">
        <v>500</v>
      </c>
      <c r="G50">
        <v>3456</v>
      </c>
      <c r="H50">
        <v>1.728</v>
      </c>
      <c r="I50">
        <v>96</v>
      </c>
      <c r="J50">
        <v>4</v>
      </c>
      <c r="K50" t="s">
        <v>4387</v>
      </c>
      <c r="L50" t="s">
        <v>61</v>
      </c>
      <c r="M50" t="s">
        <v>105</v>
      </c>
      <c r="N50" s="1520"/>
      <c r="O50" s="1520"/>
      <c r="P50" s="1520"/>
      <c r="Q50" s="1520"/>
      <c r="R50" s="1520"/>
      <c r="S50" s="1520"/>
      <c r="T50" s="1520"/>
      <c r="U50">
        <v>7</v>
      </c>
      <c r="V50" s="1520">
        <v>46416</v>
      </c>
    </row>
    <row r="51" spans="1:22">
      <c r="A51" t="s">
        <v>7657</v>
      </c>
      <c r="B51" t="s">
        <v>100</v>
      </c>
      <c r="C51" t="s">
        <v>4540</v>
      </c>
      <c r="D51" t="s">
        <v>1151</v>
      </c>
      <c r="E51" t="s">
        <v>421</v>
      </c>
      <c r="F51">
        <v>505</v>
      </c>
      <c r="G51">
        <v>3456</v>
      </c>
      <c r="H51">
        <v>1.7452799999999999</v>
      </c>
      <c r="I51">
        <v>96</v>
      </c>
      <c r="J51">
        <v>4</v>
      </c>
      <c r="K51" t="s">
        <v>4387</v>
      </c>
      <c r="L51" t="s">
        <v>61</v>
      </c>
      <c r="M51" t="s">
        <v>105</v>
      </c>
      <c r="N51" s="1520"/>
      <c r="O51" s="1520"/>
      <c r="P51" s="1520"/>
      <c r="Q51" s="1520"/>
      <c r="R51" s="1520"/>
      <c r="S51" s="1520"/>
      <c r="T51" s="1520"/>
      <c r="U51">
        <v>7</v>
      </c>
      <c r="V51" s="1520">
        <v>46416</v>
      </c>
    </row>
    <row r="52" spans="1:22">
      <c r="A52" t="s">
        <v>7659</v>
      </c>
      <c r="B52" t="s">
        <v>310</v>
      </c>
      <c r="C52" t="s">
        <v>284</v>
      </c>
      <c r="D52" t="s">
        <v>7223</v>
      </c>
      <c r="E52" t="s">
        <v>7224</v>
      </c>
      <c r="F52">
        <v>490</v>
      </c>
      <c r="G52">
        <v>1872</v>
      </c>
      <c r="H52">
        <v>0.91727999999999998</v>
      </c>
      <c r="I52">
        <v>52</v>
      </c>
      <c r="J52">
        <v>2</v>
      </c>
      <c r="K52" t="s">
        <v>4387</v>
      </c>
      <c r="L52" t="s">
        <v>123</v>
      </c>
      <c r="M52" t="s">
        <v>314</v>
      </c>
      <c r="N52" s="1520"/>
      <c r="O52" s="1520"/>
      <c r="P52" s="1520"/>
      <c r="Q52" s="1520"/>
      <c r="R52" s="1520"/>
      <c r="S52" s="1520"/>
      <c r="T52" s="1520"/>
      <c r="U52">
        <v>10</v>
      </c>
      <c r="V52" s="1520">
        <v>46402</v>
      </c>
    </row>
    <row r="53" spans="1:22">
      <c r="A53" t="s">
        <v>7480</v>
      </c>
      <c r="B53" t="s">
        <v>114</v>
      </c>
      <c r="C53" t="s">
        <v>4540</v>
      </c>
      <c r="D53" t="s">
        <v>7336</v>
      </c>
      <c r="E53" t="s">
        <v>1682</v>
      </c>
      <c r="F53">
        <v>730</v>
      </c>
      <c r="G53">
        <v>1782</v>
      </c>
      <c r="H53">
        <v>1.3008599999999999</v>
      </c>
      <c r="I53">
        <v>54</v>
      </c>
      <c r="J53">
        <v>3</v>
      </c>
      <c r="K53" t="s">
        <v>4387</v>
      </c>
      <c r="L53" t="s">
        <v>123</v>
      </c>
      <c r="M53" t="s">
        <v>124</v>
      </c>
      <c r="N53" s="1520"/>
      <c r="O53" s="1520"/>
      <c r="P53" s="1520"/>
      <c r="Q53" s="1520"/>
      <c r="R53" s="1520"/>
      <c r="S53" s="1520"/>
      <c r="T53" s="1520"/>
      <c r="U53">
        <v>9</v>
      </c>
      <c r="V53" s="1520">
        <v>46397</v>
      </c>
    </row>
    <row r="54" spans="1:22">
      <c r="A54" t="s">
        <v>7446</v>
      </c>
      <c r="B54" t="s">
        <v>100</v>
      </c>
      <c r="C54" t="s">
        <v>4540</v>
      </c>
      <c r="D54" t="s">
        <v>6492</v>
      </c>
      <c r="E54" t="s">
        <v>103</v>
      </c>
      <c r="F54">
        <v>620</v>
      </c>
      <c r="G54">
        <v>3600</v>
      </c>
      <c r="H54">
        <v>2.2320000000000002</v>
      </c>
      <c r="I54">
        <v>100</v>
      </c>
      <c r="J54">
        <v>5</v>
      </c>
      <c r="K54" t="s">
        <v>4387</v>
      </c>
      <c r="L54" t="s">
        <v>122</v>
      </c>
      <c r="M54" t="s">
        <v>105</v>
      </c>
      <c r="N54" s="1520">
        <v>46335</v>
      </c>
      <c r="O54" s="1520"/>
      <c r="P54" s="1520" t="s">
        <v>2480</v>
      </c>
      <c r="Q54" s="1520">
        <v>46372</v>
      </c>
      <c r="R54" s="1520"/>
      <c r="S54" s="1520"/>
      <c r="T54" s="1520"/>
      <c r="U54">
        <v>7</v>
      </c>
      <c r="V54" s="1520">
        <v>46379.875</v>
      </c>
    </row>
    <row r="55" spans="1:22">
      <c r="A55" t="s">
        <v>7671</v>
      </c>
      <c r="B55" t="s">
        <v>68</v>
      </c>
      <c r="C55" t="s">
        <v>284</v>
      </c>
      <c r="D55" t="s">
        <v>5860</v>
      </c>
      <c r="E55" t="s">
        <v>5861</v>
      </c>
      <c r="F55">
        <v>485</v>
      </c>
      <c r="G55">
        <v>9360</v>
      </c>
      <c r="H55">
        <v>4.5396000000000001</v>
      </c>
      <c r="I55">
        <v>260</v>
      </c>
      <c r="J55">
        <v>10</v>
      </c>
      <c r="K55" t="s">
        <v>4387</v>
      </c>
      <c r="L55" t="s">
        <v>123</v>
      </c>
      <c r="M55" t="s">
        <v>105</v>
      </c>
      <c r="N55" s="1520"/>
      <c r="O55" s="1520"/>
      <c r="P55" s="1520"/>
      <c r="Q55" s="1520"/>
      <c r="R55" s="1520"/>
      <c r="S55" s="1520"/>
      <c r="T55" s="1520"/>
      <c r="U55">
        <v>7</v>
      </c>
      <c r="V55" s="1520" t="s">
        <v>68</v>
      </c>
    </row>
    <row r="56" spans="1:22">
      <c r="A56" t="s">
        <v>7566</v>
      </c>
      <c r="B56" t="s">
        <v>100</v>
      </c>
      <c r="C56" t="s">
        <v>5388</v>
      </c>
      <c r="D56" t="s">
        <v>6687</v>
      </c>
      <c r="E56" t="s">
        <v>6688</v>
      </c>
      <c r="F56">
        <v>475</v>
      </c>
      <c r="G56">
        <v>288</v>
      </c>
      <c r="H56">
        <v>0.1368</v>
      </c>
      <c r="I56">
        <v>8</v>
      </c>
      <c r="J56">
        <v>0.30769230769230771</v>
      </c>
      <c r="K56" t="s">
        <v>4387</v>
      </c>
      <c r="L56" t="s">
        <v>123</v>
      </c>
      <c r="M56" t="s">
        <v>105</v>
      </c>
      <c r="N56" s="1520">
        <v>46335</v>
      </c>
      <c r="O56" s="1520"/>
      <c r="P56" s="1520" t="s">
        <v>2480</v>
      </c>
      <c r="Q56" s="1520">
        <v>46372</v>
      </c>
      <c r="R56" s="1520"/>
      <c r="S56" s="1520"/>
      <c r="T56" s="1520"/>
      <c r="U56">
        <v>7</v>
      </c>
      <c r="V56" s="1520">
        <v>46379</v>
      </c>
    </row>
    <row r="57" spans="1:22">
      <c r="A57" t="s">
        <v>7569</v>
      </c>
      <c r="B57" t="s">
        <v>100</v>
      </c>
      <c r="C57" t="s">
        <v>5388</v>
      </c>
      <c r="D57" t="s">
        <v>5389</v>
      </c>
      <c r="E57" t="s">
        <v>5390</v>
      </c>
      <c r="F57">
        <v>470</v>
      </c>
      <c r="G57">
        <v>576</v>
      </c>
      <c r="H57">
        <v>0.27072000000000002</v>
      </c>
      <c r="I57">
        <v>16</v>
      </c>
      <c r="J57">
        <v>0.61538461538461542</v>
      </c>
      <c r="K57" t="s">
        <v>4387</v>
      </c>
      <c r="L57" t="s">
        <v>123</v>
      </c>
      <c r="M57" t="s">
        <v>105</v>
      </c>
      <c r="N57" s="1520">
        <v>46335</v>
      </c>
      <c r="O57" s="1520"/>
      <c r="P57" s="1520" t="s">
        <v>2480</v>
      </c>
      <c r="Q57" s="1520">
        <v>46372</v>
      </c>
      <c r="R57" s="1520"/>
      <c r="S57" s="1520"/>
      <c r="T57" s="1520"/>
      <c r="U57">
        <v>7</v>
      </c>
      <c r="V57" s="1520">
        <v>46379</v>
      </c>
    </row>
    <row r="58" spans="1:22">
      <c r="A58" t="s">
        <v>7570</v>
      </c>
      <c r="B58" t="s">
        <v>100</v>
      </c>
      <c r="C58" t="s">
        <v>5388</v>
      </c>
      <c r="D58" t="s">
        <v>6781</v>
      </c>
      <c r="E58" t="s">
        <v>6782</v>
      </c>
      <c r="F58">
        <v>480</v>
      </c>
      <c r="G58">
        <v>72</v>
      </c>
      <c r="H58">
        <v>3.456E-2</v>
      </c>
      <c r="I58">
        <v>2</v>
      </c>
      <c r="J58">
        <v>7.6923076923076927E-2</v>
      </c>
      <c r="K58" t="s">
        <v>4387</v>
      </c>
      <c r="L58" t="s">
        <v>123</v>
      </c>
      <c r="M58" t="s">
        <v>105</v>
      </c>
      <c r="N58" s="1520">
        <v>46335</v>
      </c>
      <c r="O58" s="1520"/>
      <c r="P58" s="1520" t="s">
        <v>2480</v>
      </c>
      <c r="Q58" s="1520">
        <v>46372</v>
      </c>
      <c r="R58" s="1520"/>
      <c r="S58" s="1520"/>
      <c r="T58" s="1520"/>
      <c r="U58">
        <v>7</v>
      </c>
      <c r="V58" s="1520">
        <v>46379</v>
      </c>
    </row>
    <row r="59" spans="1:22">
      <c r="A59" t="s">
        <v>7677</v>
      </c>
      <c r="B59" t="s">
        <v>68</v>
      </c>
      <c r="C59" t="s">
        <v>284</v>
      </c>
      <c r="D59" t="s">
        <v>6219</v>
      </c>
      <c r="E59" t="s">
        <v>6220</v>
      </c>
      <c r="F59">
        <v>490</v>
      </c>
      <c r="G59">
        <v>4680</v>
      </c>
      <c r="H59">
        <v>2.2932000000000001</v>
      </c>
      <c r="I59">
        <v>130</v>
      </c>
      <c r="J59">
        <v>5</v>
      </c>
      <c r="K59" t="s">
        <v>4387</v>
      </c>
      <c r="L59" t="s">
        <v>123</v>
      </c>
      <c r="M59" t="s">
        <v>105</v>
      </c>
      <c r="N59" s="1520"/>
      <c r="O59" s="1520"/>
      <c r="P59" s="1520"/>
      <c r="Q59" s="1520"/>
      <c r="R59" s="1520"/>
      <c r="S59" s="1520"/>
      <c r="T59" s="1520"/>
      <c r="U59">
        <v>7</v>
      </c>
      <c r="V59" s="1520" t="s">
        <v>68</v>
      </c>
    </row>
    <row r="60" spans="1:22">
      <c r="A60" t="s">
        <v>7679</v>
      </c>
      <c r="B60" t="s">
        <v>100</v>
      </c>
      <c r="C60" t="s">
        <v>5388</v>
      </c>
      <c r="D60" t="s">
        <v>6781</v>
      </c>
      <c r="E60" t="s">
        <v>6782</v>
      </c>
      <c r="F60">
        <v>480</v>
      </c>
      <c r="G60">
        <v>7488</v>
      </c>
      <c r="H60">
        <v>3.5942400000000001</v>
      </c>
      <c r="I60">
        <v>208</v>
      </c>
      <c r="J60">
        <v>8</v>
      </c>
      <c r="K60" t="s">
        <v>4387</v>
      </c>
      <c r="L60" t="s">
        <v>123</v>
      </c>
      <c r="M60" t="s">
        <v>105</v>
      </c>
      <c r="N60" s="1520"/>
      <c r="O60" s="1520"/>
      <c r="P60" s="1520"/>
      <c r="Q60" s="1520"/>
      <c r="R60" s="1520"/>
      <c r="S60" s="1520"/>
      <c r="T60" s="1520"/>
      <c r="U60">
        <v>7</v>
      </c>
      <c r="V60" s="1520">
        <v>46395</v>
      </c>
    </row>
    <row r="61" spans="1:22">
      <c r="A61" t="s">
        <v>7409</v>
      </c>
      <c r="B61" t="s">
        <v>100</v>
      </c>
      <c r="C61" t="s">
        <v>170</v>
      </c>
      <c r="D61" t="s">
        <v>1977</v>
      </c>
      <c r="E61" t="s">
        <v>1978</v>
      </c>
      <c r="F61">
        <v>560</v>
      </c>
      <c r="G61">
        <v>1320</v>
      </c>
      <c r="H61">
        <v>0.73919999999999997</v>
      </c>
      <c r="I61">
        <v>40</v>
      </c>
      <c r="J61">
        <v>2</v>
      </c>
      <c r="K61" t="s">
        <v>4387</v>
      </c>
      <c r="L61" t="s">
        <v>123</v>
      </c>
      <c r="M61" t="s">
        <v>105</v>
      </c>
      <c r="N61" s="1520">
        <v>46329</v>
      </c>
      <c r="O61" s="1520"/>
      <c r="P61" s="1520" t="s">
        <v>2480</v>
      </c>
      <c r="Q61" s="1520">
        <v>46364</v>
      </c>
      <c r="R61" s="1520"/>
      <c r="S61" s="1520"/>
      <c r="T61" s="1520"/>
      <c r="U61">
        <v>7</v>
      </c>
      <c r="V61" s="1520">
        <v>46371.333333333336</v>
      </c>
    </row>
    <row r="62" spans="1:22">
      <c r="A62" t="s">
        <v>7410</v>
      </c>
      <c r="B62" t="s">
        <v>310</v>
      </c>
      <c r="C62" t="s">
        <v>550</v>
      </c>
      <c r="D62" t="s">
        <v>2134</v>
      </c>
      <c r="E62" t="s">
        <v>2135</v>
      </c>
      <c r="F62">
        <v>515</v>
      </c>
      <c r="G62">
        <v>3960</v>
      </c>
      <c r="H62">
        <v>2.0394000000000001</v>
      </c>
      <c r="I62">
        <v>110</v>
      </c>
      <c r="J62">
        <v>5</v>
      </c>
      <c r="K62" t="s">
        <v>4386</v>
      </c>
      <c r="L62" t="s">
        <v>122</v>
      </c>
      <c r="M62" t="s">
        <v>314</v>
      </c>
      <c r="N62" s="1520">
        <v>46332</v>
      </c>
      <c r="O62" s="1520"/>
      <c r="P62" s="1520" t="s">
        <v>2480</v>
      </c>
      <c r="Q62" s="1520">
        <v>46379</v>
      </c>
      <c r="R62" s="1520"/>
      <c r="S62" s="1520"/>
      <c r="T62" s="1520"/>
      <c r="U62">
        <v>10</v>
      </c>
      <c r="V62" s="1520">
        <v>46389.25</v>
      </c>
    </row>
    <row r="63" spans="1:22">
      <c r="A63" t="s">
        <v>7442</v>
      </c>
      <c r="B63" t="s">
        <v>450</v>
      </c>
      <c r="C63" t="s">
        <v>284</v>
      </c>
      <c r="D63" t="s">
        <v>5860</v>
      </c>
      <c r="E63" t="s">
        <v>5861</v>
      </c>
      <c r="F63">
        <v>485</v>
      </c>
      <c r="G63">
        <v>4680</v>
      </c>
      <c r="H63">
        <v>2.2698</v>
      </c>
      <c r="I63">
        <v>130</v>
      </c>
      <c r="J63">
        <v>5</v>
      </c>
      <c r="K63" t="s">
        <v>4386</v>
      </c>
      <c r="L63" t="s">
        <v>123</v>
      </c>
      <c r="M63" t="s">
        <v>456</v>
      </c>
      <c r="N63" s="1520">
        <v>46305</v>
      </c>
      <c r="O63" s="1520"/>
      <c r="P63" s="1520" t="s">
        <v>2480</v>
      </c>
      <c r="Q63" s="1520">
        <v>46376</v>
      </c>
      <c r="R63" s="1520"/>
      <c r="S63" s="1520"/>
      <c r="T63" s="1520"/>
      <c r="U63">
        <v>7</v>
      </c>
      <c r="V63" s="1520">
        <v>46383.041666666664</v>
      </c>
    </row>
    <row r="64" spans="1:22">
      <c r="A64" t="s">
        <v>7674</v>
      </c>
      <c r="B64" t="s">
        <v>100</v>
      </c>
      <c r="C64" t="s">
        <v>284</v>
      </c>
      <c r="D64" t="s">
        <v>5860</v>
      </c>
      <c r="E64" t="s">
        <v>5861</v>
      </c>
      <c r="F64">
        <v>485</v>
      </c>
      <c r="G64">
        <v>10296</v>
      </c>
      <c r="H64">
        <v>4.9935600000000004</v>
      </c>
      <c r="I64">
        <v>286</v>
      </c>
      <c r="J64">
        <v>11</v>
      </c>
      <c r="K64" t="s">
        <v>4386</v>
      </c>
      <c r="L64" t="s">
        <v>123</v>
      </c>
      <c r="M64" t="s">
        <v>105</v>
      </c>
      <c r="N64" s="1520"/>
      <c r="O64" s="1520"/>
      <c r="P64" s="1520"/>
      <c r="Q64" s="1520"/>
      <c r="R64" s="1520"/>
      <c r="S64" s="1520"/>
      <c r="T64" s="1520"/>
      <c r="U64">
        <v>7</v>
      </c>
      <c r="V64" s="1520">
        <v>46388</v>
      </c>
    </row>
    <row r="65" spans="1:22">
      <c r="A65" t="s">
        <v>7675</v>
      </c>
      <c r="B65" t="s">
        <v>100</v>
      </c>
      <c r="C65" t="s">
        <v>284</v>
      </c>
      <c r="D65" t="s">
        <v>5860</v>
      </c>
      <c r="E65" t="s">
        <v>5861</v>
      </c>
      <c r="F65">
        <v>485</v>
      </c>
      <c r="G65">
        <v>4680</v>
      </c>
      <c r="H65">
        <v>2.2698</v>
      </c>
      <c r="I65">
        <v>130</v>
      </c>
      <c r="J65">
        <v>5</v>
      </c>
      <c r="K65" t="s">
        <v>4386</v>
      </c>
      <c r="L65" t="s">
        <v>6003</v>
      </c>
      <c r="M65" t="s">
        <v>105</v>
      </c>
      <c r="N65" s="1520"/>
      <c r="O65" s="1520"/>
      <c r="P65" s="1520"/>
      <c r="Q65" s="1520"/>
      <c r="R65" s="1520"/>
      <c r="S65" s="1520"/>
      <c r="T65" s="1520"/>
      <c r="U65">
        <v>7</v>
      </c>
      <c r="V65" s="1520">
        <v>46388</v>
      </c>
    </row>
    <row r="66" spans="1:22">
      <c r="A66" t="s">
        <v>7656</v>
      </c>
      <c r="B66" t="s">
        <v>100</v>
      </c>
      <c r="C66" t="s">
        <v>4540</v>
      </c>
      <c r="D66" t="s">
        <v>1151</v>
      </c>
      <c r="E66" t="s">
        <v>421</v>
      </c>
      <c r="F66">
        <v>505</v>
      </c>
      <c r="G66">
        <v>1728</v>
      </c>
      <c r="H66">
        <v>0.87263999999999997</v>
      </c>
      <c r="I66">
        <v>48</v>
      </c>
      <c r="J66">
        <v>2</v>
      </c>
      <c r="K66" t="s">
        <v>4386</v>
      </c>
      <c r="L66" t="s">
        <v>61</v>
      </c>
      <c r="M66" t="s">
        <v>105</v>
      </c>
      <c r="N66" s="1520"/>
      <c r="O66" s="1520"/>
      <c r="P66" s="1520"/>
      <c r="Q66" s="1520"/>
      <c r="R66" s="1520"/>
      <c r="S66" s="1520"/>
      <c r="T66" s="1520"/>
      <c r="U66">
        <v>7</v>
      </c>
      <c r="V66" s="1520">
        <v>46409</v>
      </c>
    </row>
    <row r="67" spans="1:22">
      <c r="A67" t="s">
        <v>7419</v>
      </c>
      <c r="B67" t="s">
        <v>114</v>
      </c>
      <c r="C67" t="s">
        <v>284</v>
      </c>
      <c r="D67" t="s">
        <v>7223</v>
      </c>
      <c r="E67" t="s">
        <v>7224</v>
      </c>
      <c r="F67">
        <v>490</v>
      </c>
      <c r="G67">
        <v>936</v>
      </c>
      <c r="H67">
        <v>0.45863999999999999</v>
      </c>
      <c r="I67">
        <v>26</v>
      </c>
      <c r="J67">
        <v>1</v>
      </c>
      <c r="K67" t="s">
        <v>4386</v>
      </c>
      <c r="L67" t="s">
        <v>6003</v>
      </c>
      <c r="M67" t="s">
        <v>124</v>
      </c>
      <c r="N67" s="1520">
        <v>46328</v>
      </c>
      <c r="O67" s="1520"/>
      <c r="P67" s="1520" t="s">
        <v>2480</v>
      </c>
      <c r="Q67" s="1520">
        <v>46366</v>
      </c>
      <c r="R67" s="1520"/>
      <c r="S67" s="1520"/>
      <c r="T67" s="1520"/>
      <c r="U67">
        <v>9</v>
      </c>
      <c r="V67" s="1520">
        <v>46375.833333333336</v>
      </c>
    </row>
    <row r="68" spans="1:22">
      <c r="A68" t="s">
        <v>7599</v>
      </c>
      <c r="B68" t="s">
        <v>100</v>
      </c>
      <c r="C68" t="s">
        <v>4540</v>
      </c>
      <c r="D68" t="s">
        <v>71</v>
      </c>
      <c r="E68" t="s">
        <v>72</v>
      </c>
      <c r="F68">
        <v>500</v>
      </c>
      <c r="G68">
        <v>4320</v>
      </c>
      <c r="H68">
        <v>2.16</v>
      </c>
      <c r="I68">
        <v>120</v>
      </c>
      <c r="J68">
        <v>5</v>
      </c>
      <c r="K68" t="s">
        <v>4386</v>
      </c>
      <c r="L68" t="s">
        <v>61</v>
      </c>
      <c r="M68" t="s">
        <v>105</v>
      </c>
      <c r="N68" s="1520"/>
      <c r="O68" s="1520"/>
      <c r="P68" s="1520"/>
      <c r="Q68" s="1520"/>
      <c r="R68" s="1520"/>
      <c r="S68" s="1520"/>
      <c r="T68" s="1520"/>
      <c r="U68">
        <v>7</v>
      </c>
      <c r="V68" s="1520">
        <v>46409</v>
      </c>
    </row>
    <row r="69" spans="1:22">
      <c r="A69" t="s">
        <v>7427</v>
      </c>
      <c r="B69" t="s">
        <v>310</v>
      </c>
      <c r="C69" t="s">
        <v>284</v>
      </c>
      <c r="D69" t="s">
        <v>7223</v>
      </c>
      <c r="E69" t="s">
        <v>7224</v>
      </c>
      <c r="F69">
        <v>490</v>
      </c>
      <c r="G69">
        <v>1872</v>
      </c>
      <c r="H69">
        <v>0.91727999999999998</v>
      </c>
      <c r="I69">
        <v>52</v>
      </c>
      <c r="J69">
        <v>2</v>
      </c>
      <c r="K69" t="s">
        <v>4386</v>
      </c>
      <c r="L69" t="s">
        <v>6003</v>
      </c>
      <c r="M69" t="s">
        <v>314</v>
      </c>
      <c r="N69" s="1520">
        <v>46333</v>
      </c>
      <c r="O69" s="1520"/>
      <c r="P69" s="1520" t="s">
        <v>2480</v>
      </c>
      <c r="Q69" s="1520">
        <v>46379</v>
      </c>
      <c r="R69" s="1520"/>
      <c r="S69" s="1520"/>
      <c r="T69" s="1520"/>
      <c r="U69">
        <v>10</v>
      </c>
      <c r="V69" s="1520">
        <v>46389.25</v>
      </c>
    </row>
    <row r="70" spans="1:22">
      <c r="A70" t="s">
        <v>7467</v>
      </c>
      <c r="B70" t="s">
        <v>450</v>
      </c>
      <c r="C70" t="s">
        <v>5388</v>
      </c>
      <c r="D70" t="s">
        <v>6781</v>
      </c>
      <c r="E70" t="s">
        <v>6782</v>
      </c>
      <c r="F70">
        <v>480</v>
      </c>
      <c r="G70">
        <v>1872</v>
      </c>
      <c r="H70">
        <v>0.89856000000000003</v>
      </c>
      <c r="I70">
        <v>52</v>
      </c>
      <c r="J70">
        <v>2</v>
      </c>
      <c r="K70" t="s">
        <v>4386</v>
      </c>
      <c r="L70" t="s">
        <v>6003</v>
      </c>
      <c r="M70" t="s">
        <v>456</v>
      </c>
      <c r="N70" s="1520">
        <v>46337</v>
      </c>
      <c r="O70" s="1520"/>
      <c r="P70" s="1520" t="s">
        <v>2480</v>
      </c>
      <c r="Q70" s="1520">
        <v>46376</v>
      </c>
      <c r="R70" s="1520"/>
      <c r="S70" s="1520"/>
      <c r="T70" s="1520"/>
      <c r="U70">
        <v>7</v>
      </c>
      <c r="V70" s="1520">
        <v>46383.041666666664</v>
      </c>
    </row>
    <row r="71" spans="1:22">
      <c r="A71" t="s">
        <v>7602</v>
      </c>
      <c r="B71" t="s">
        <v>450</v>
      </c>
      <c r="C71" t="s">
        <v>4540</v>
      </c>
      <c r="D71" t="s">
        <v>7049</v>
      </c>
      <c r="E71" t="s">
        <v>7050</v>
      </c>
      <c r="F71">
        <v>505</v>
      </c>
      <c r="G71">
        <v>5184</v>
      </c>
      <c r="H71">
        <v>2.6179199999999998</v>
      </c>
      <c r="I71">
        <v>144</v>
      </c>
      <c r="J71">
        <v>6</v>
      </c>
      <c r="K71" t="s">
        <v>4386</v>
      </c>
      <c r="L71" t="s">
        <v>61</v>
      </c>
      <c r="M71" t="s">
        <v>456</v>
      </c>
      <c r="N71" s="1520"/>
      <c r="O71" s="1520"/>
      <c r="P71" s="1520" t="s">
        <v>2480</v>
      </c>
      <c r="Q71" s="1520"/>
      <c r="R71" s="1520"/>
      <c r="S71" s="1520"/>
      <c r="T71" s="1520"/>
      <c r="U71">
        <v>7</v>
      </c>
      <c r="V71" s="1520">
        <v>46402</v>
      </c>
    </row>
    <row r="72" spans="1:22">
      <c r="A72" t="s">
        <v>7470</v>
      </c>
      <c r="B72" t="s">
        <v>100</v>
      </c>
      <c r="C72" t="s">
        <v>284</v>
      </c>
      <c r="D72" t="s">
        <v>5860</v>
      </c>
      <c r="E72" t="s">
        <v>5861</v>
      </c>
      <c r="F72">
        <v>485</v>
      </c>
      <c r="G72">
        <v>2808</v>
      </c>
      <c r="H72">
        <v>1.36188</v>
      </c>
      <c r="I72">
        <v>78</v>
      </c>
      <c r="J72">
        <v>3</v>
      </c>
      <c r="K72" t="s">
        <v>4386</v>
      </c>
      <c r="L72" t="s">
        <v>6003</v>
      </c>
      <c r="M72" t="s">
        <v>105</v>
      </c>
      <c r="N72" s="1520">
        <v>46337</v>
      </c>
      <c r="O72" s="1520"/>
      <c r="P72" s="1520" t="s">
        <v>2480</v>
      </c>
      <c r="Q72" s="1520">
        <v>46372</v>
      </c>
      <c r="R72" s="1520"/>
      <c r="S72" s="1520"/>
      <c r="T72" s="1520"/>
      <c r="U72">
        <v>7</v>
      </c>
      <c r="V72" s="1520">
        <v>46379.875</v>
      </c>
    </row>
    <row r="73" spans="1:22">
      <c r="A73" t="s">
        <v>7474</v>
      </c>
      <c r="B73" t="s">
        <v>310</v>
      </c>
      <c r="C73" t="s">
        <v>284</v>
      </c>
      <c r="D73" t="s">
        <v>7223</v>
      </c>
      <c r="E73" t="s">
        <v>7224</v>
      </c>
      <c r="F73">
        <v>490</v>
      </c>
      <c r="G73">
        <v>1872</v>
      </c>
      <c r="H73">
        <v>0.91727999999999998</v>
      </c>
      <c r="I73">
        <v>52</v>
      </c>
      <c r="J73">
        <v>2</v>
      </c>
      <c r="K73" t="s">
        <v>4386</v>
      </c>
      <c r="L73" t="s">
        <v>6003</v>
      </c>
      <c r="M73" t="s">
        <v>314</v>
      </c>
      <c r="N73" s="1520">
        <v>46340</v>
      </c>
      <c r="O73" s="1520"/>
      <c r="P73" s="1520" t="s">
        <v>2480</v>
      </c>
      <c r="Q73" s="1520">
        <v>46386</v>
      </c>
      <c r="R73" s="1520"/>
      <c r="S73" s="1520"/>
      <c r="T73" s="1520"/>
      <c r="U73">
        <v>10</v>
      </c>
      <c r="V73" s="1520">
        <v>46396.25</v>
      </c>
    </row>
    <row r="74" spans="1:22">
      <c r="A74" t="s">
        <v>7477</v>
      </c>
      <c r="B74" t="s">
        <v>114</v>
      </c>
      <c r="C74" t="s">
        <v>4540</v>
      </c>
      <c r="D74" t="s">
        <v>7336</v>
      </c>
      <c r="E74" t="s">
        <v>1682</v>
      </c>
      <c r="F74">
        <v>730</v>
      </c>
      <c r="G74">
        <v>1188</v>
      </c>
      <c r="H74">
        <v>0.86724000000000001</v>
      </c>
      <c r="I74">
        <v>36</v>
      </c>
      <c r="J74">
        <v>2</v>
      </c>
      <c r="K74" t="s">
        <v>4386</v>
      </c>
      <c r="L74" t="s">
        <v>123</v>
      </c>
      <c r="M74" t="s">
        <v>124</v>
      </c>
      <c r="N74" s="1520"/>
      <c r="O74" s="1520"/>
      <c r="P74" s="1520"/>
      <c r="Q74" s="1520"/>
      <c r="R74" s="1520"/>
      <c r="S74" s="1520"/>
      <c r="T74" s="1520"/>
      <c r="U74">
        <v>9</v>
      </c>
      <c r="V74" s="1520">
        <v>46390</v>
      </c>
    </row>
    <row r="75" spans="1:22">
      <c r="A75" t="s">
        <v>7688</v>
      </c>
      <c r="B75" t="s">
        <v>65</v>
      </c>
      <c r="C75" t="s">
        <v>5388</v>
      </c>
      <c r="D75" t="s">
        <v>7266</v>
      </c>
      <c r="E75" t="s">
        <v>7267</v>
      </c>
      <c r="F75">
        <v>480</v>
      </c>
      <c r="G75">
        <v>3744</v>
      </c>
      <c r="H75">
        <v>1.7971200000000001</v>
      </c>
      <c r="I75">
        <v>104</v>
      </c>
      <c r="J75">
        <v>4</v>
      </c>
      <c r="K75" t="s">
        <v>4386</v>
      </c>
      <c r="L75" t="s">
        <v>123</v>
      </c>
      <c r="M75" t="s">
        <v>78</v>
      </c>
      <c r="N75" s="1520"/>
      <c r="O75" s="1520"/>
      <c r="P75" s="1520"/>
      <c r="Q75" s="1520"/>
      <c r="R75" s="1520"/>
      <c r="S75" s="1520"/>
      <c r="T75" s="1520"/>
      <c r="U75">
        <v>8</v>
      </c>
      <c r="V75" s="1520">
        <v>46393</v>
      </c>
    </row>
    <row r="76" spans="1:22">
      <c r="A76" t="s">
        <v>7496</v>
      </c>
      <c r="B76" t="s">
        <v>310</v>
      </c>
      <c r="C76" t="s">
        <v>4540</v>
      </c>
      <c r="D76" t="s">
        <v>1151</v>
      </c>
      <c r="E76" t="s">
        <v>421</v>
      </c>
      <c r="F76">
        <v>505</v>
      </c>
      <c r="G76">
        <v>2592</v>
      </c>
      <c r="H76">
        <v>1.3089599999999999</v>
      </c>
      <c r="I76">
        <v>72</v>
      </c>
      <c r="J76">
        <v>3</v>
      </c>
      <c r="K76" t="s">
        <v>4386</v>
      </c>
      <c r="L76" t="s">
        <v>61</v>
      </c>
      <c r="M76" t="s">
        <v>314</v>
      </c>
      <c r="N76" s="1520">
        <v>46333</v>
      </c>
      <c r="O76" s="1520"/>
      <c r="P76" s="1520" t="s">
        <v>2480</v>
      </c>
      <c r="Q76" s="1520">
        <v>46407</v>
      </c>
      <c r="R76" s="1520"/>
      <c r="S76" s="1520"/>
      <c r="T76" s="1520"/>
      <c r="U76">
        <v>10</v>
      </c>
      <c r="V76" s="1520">
        <v>46410.25</v>
      </c>
    </row>
    <row r="77" spans="1:22">
      <c r="A77" t="s">
        <v>7450</v>
      </c>
      <c r="B77" t="s">
        <v>100</v>
      </c>
      <c r="C77" t="s">
        <v>5388</v>
      </c>
      <c r="D77" t="s">
        <v>6781</v>
      </c>
      <c r="E77" t="s">
        <v>6782</v>
      </c>
      <c r="F77">
        <v>480</v>
      </c>
      <c r="G77">
        <v>7488</v>
      </c>
      <c r="H77">
        <v>3.5942400000000001</v>
      </c>
      <c r="I77">
        <v>208</v>
      </c>
      <c r="J77">
        <v>8</v>
      </c>
      <c r="K77" t="s">
        <v>4386</v>
      </c>
      <c r="L77" t="s">
        <v>123</v>
      </c>
      <c r="M77" t="s">
        <v>105</v>
      </c>
      <c r="N77" s="1520">
        <v>46334</v>
      </c>
      <c r="O77" s="1520"/>
      <c r="P77" s="1520" t="s">
        <v>2480</v>
      </c>
      <c r="Q77" s="1520">
        <v>46382</v>
      </c>
      <c r="R77" s="1520"/>
      <c r="S77" s="1520"/>
      <c r="T77" s="1520"/>
      <c r="U77">
        <v>7</v>
      </c>
      <c r="V77" s="1520">
        <v>46389.791666666664</v>
      </c>
    </row>
    <row r="78" spans="1:22">
      <c r="A78" t="s">
        <v>7403</v>
      </c>
      <c r="B78" t="s">
        <v>100</v>
      </c>
      <c r="C78" t="s">
        <v>284</v>
      </c>
      <c r="D78" t="s">
        <v>5860</v>
      </c>
      <c r="E78" t="s">
        <v>5861</v>
      </c>
      <c r="F78">
        <v>485</v>
      </c>
      <c r="G78">
        <v>1872</v>
      </c>
      <c r="H78">
        <v>0.90791999999999995</v>
      </c>
      <c r="I78">
        <v>52</v>
      </c>
      <c r="J78">
        <v>2</v>
      </c>
      <c r="K78" t="s">
        <v>4385</v>
      </c>
      <c r="L78" t="s">
        <v>123</v>
      </c>
      <c r="M78" t="s">
        <v>105</v>
      </c>
      <c r="N78" s="1520">
        <v>46328</v>
      </c>
      <c r="O78" s="1520"/>
      <c r="P78" s="1520" t="s">
        <v>2480</v>
      </c>
      <c r="Q78" s="1520">
        <v>46365</v>
      </c>
      <c r="R78" s="1520"/>
      <c r="S78" s="1520"/>
      <c r="T78" s="1520"/>
      <c r="U78">
        <v>7</v>
      </c>
      <c r="V78" s="1520">
        <v>46372.875</v>
      </c>
    </row>
    <row r="79" spans="1:22">
      <c r="A79" t="s">
        <v>7324</v>
      </c>
      <c r="B79" t="s">
        <v>65</v>
      </c>
      <c r="C79" t="s">
        <v>550</v>
      </c>
      <c r="D79" t="s">
        <v>551</v>
      </c>
      <c r="E79" t="s">
        <v>2151</v>
      </c>
      <c r="F79">
        <v>510</v>
      </c>
      <c r="G79">
        <v>792</v>
      </c>
      <c r="H79">
        <v>0.40392</v>
      </c>
      <c r="I79">
        <v>22</v>
      </c>
      <c r="J79">
        <v>1</v>
      </c>
      <c r="K79" t="s">
        <v>4385</v>
      </c>
      <c r="L79" t="s">
        <v>122</v>
      </c>
      <c r="M79" t="s">
        <v>78</v>
      </c>
      <c r="N79" s="1520">
        <v>46329</v>
      </c>
      <c r="O79" s="1520"/>
      <c r="P79" s="1520" t="s">
        <v>2480</v>
      </c>
      <c r="Q79" s="1520">
        <v>46377</v>
      </c>
      <c r="R79" s="1520"/>
      <c r="S79" s="1520"/>
      <c r="T79" s="1520"/>
      <c r="U79">
        <v>8</v>
      </c>
      <c r="V79" s="1520">
        <v>46385.791666666664</v>
      </c>
    </row>
    <row r="80" spans="1:22">
      <c r="A80" t="s">
        <v>7325</v>
      </c>
      <c r="B80" t="s">
        <v>65</v>
      </c>
      <c r="C80" t="s">
        <v>550</v>
      </c>
      <c r="D80" t="s">
        <v>551</v>
      </c>
      <c r="E80" t="s">
        <v>2151</v>
      </c>
      <c r="F80">
        <v>510</v>
      </c>
      <c r="G80">
        <v>792</v>
      </c>
      <c r="H80">
        <v>0.40392</v>
      </c>
      <c r="I80">
        <v>22</v>
      </c>
      <c r="J80">
        <v>1</v>
      </c>
      <c r="K80" t="s">
        <v>4385</v>
      </c>
      <c r="L80" t="s">
        <v>122</v>
      </c>
      <c r="M80" t="s">
        <v>78</v>
      </c>
      <c r="N80" s="1520">
        <v>46329</v>
      </c>
      <c r="O80" s="1520"/>
      <c r="P80" s="1520" t="s">
        <v>2480</v>
      </c>
      <c r="Q80" s="1520">
        <v>46377</v>
      </c>
      <c r="R80" s="1520"/>
      <c r="S80" s="1520"/>
      <c r="T80" s="1520"/>
      <c r="U80">
        <v>8</v>
      </c>
      <c r="V80" s="1520">
        <v>46385.791666666664</v>
      </c>
    </row>
    <row r="81" spans="1:22">
      <c r="A81" t="s">
        <v>7326</v>
      </c>
      <c r="B81" t="s">
        <v>310</v>
      </c>
      <c r="C81" t="s">
        <v>170</v>
      </c>
      <c r="D81" t="s">
        <v>171</v>
      </c>
      <c r="E81" t="s">
        <v>1731</v>
      </c>
      <c r="F81">
        <v>555</v>
      </c>
      <c r="G81">
        <v>3960</v>
      </c>
      <c r="H81">
        <v>2.1978</v>
      </c>
      <c r="I81">
        <v>120</v>
      </c>
      <c r="J81">
        <v>6</v>
      </c>
      <c r="K81" t="s">
        <v>4385</v>
      </c>
      <c r="L81" t="s">
        <v>123</v>
      </c>
      <c r="M81" t="s">
        <v>314</v>
      </c>
      <c r="N81" s="1520">
        <v>46329</v>
      </c>
      <c r="O81" s="1520"/>
      <c r="P81" s="1520" t="s">
        <v>2480</v>
      </c>
      <c r="Q81" s="1520">
        <v>46372</v>
      </c>
      <c r="R81" s="1520"/>
      <c r="S81" s="1520"/>
      <c r="T81" s="1520"/>
      <c r="U81">
        <v>10</v>
      </c>
      <c r="V81" s="1520">
        <v>46382.25</v>
      </c>
    </row>
    <row r="82" spans="1:22">
      <c r="A82" t="s">
        <v>7500</v>
      </c>
      <c r="B82" t="s">
        <v>100</v>
      </c>
      <c r="C82" t="s">
        <v>284</v>
      </c>
      <c r="D82" t="s">
        <v>5860</v>
      </c>
      <c r="E82" t="s">
        <v>5861</v>
      </c>
      <c r="F82">
        <v>485</v>
      </c>
      <c r="G82">
        <v>3744</v>
      </c>
      <c r="H82">
        <v>1.8158399999999999</v>
      </c>
      <c r="I82">
        <v>104</v>
      </c>
      <c r="J82">
        <v>4</v>
      </c>
      <c r="K82" t="s">
        <v>4385</v>
      </c>
      <c r="L82" t="s">
        <v>123</v>
      </c>
      <c r="M82" t="s">
        <v>105</v>
      </c>
      <c r="N82" s="1520">
        <v>46335</v>
      </c>
      <c r="O82" s="1520"/>
      <c r="P82" s="1520"/>
      <c r="Q82" s="1520">
        <v>46372</v>
      </c>
      <c r="R82" s="1520"/>
      <c r="S82" s="1520"/>
      <c r="T82" s="1520"/>
      <c r="U82">
        <v>7</v>
      </c>
      <c r="V82" s="1520">
        <v>46379</v>
      </c>
    </row>
    <row r="83" spans="1:22">
      <c r="A83" t="s">
        <v>7395</v>
      </c>
      <c r="B83" t="s">
        <v>450</v>
      </c>
      <c r="C83" t="s">
        <v>284</v>
      </c>
      <c r="D83" t="s">
        <v>7223</v>
      </c>
      <c r="E83" t="s">
        <v>7224</v>
      </c>
      <c r="F83">
        <v>490</v>
      </c>
      <c r="G83">
        <v>2808</v>
      </c>
      <c r="H83">
        <v>1.37592</v>
      </c>
      <c r="I83">
        <v>78</v>
      </c>
      <c r="J83">
        <v>3</v>
      </c>
      <c r="K83" t="s">
        <v>4385</v>
      </c>
      <c r="L83" t="s">
        <v>123</v>
      </c>
      <c r="M83" t="s">
        <v>456</v>
      </c>
      <c r="N83" s="1520">
        <v>46328</v>
      </c>
      <c r="O83" s="1520"/>
      <c r="P83" s="1520" t="s">
        <v>2480</v>
      </c>
      <c r="Q83" s="1520">
        <v>46369</v>
      </c>
      <c r="R83" s="1520"/>
      <c r="S83" s="1520"/>
      <c r="T83" s="1520"/>
      <c r="U83">
        <v>7</v>
      </c>
      <c r="V83" s="1520">
        <v>46376.625</v>
      </c>
    </row>
    <row r="84" spans="1:22">
      <c r="A84" t="s">
        <v>7399</v>
      </c>
      <c r="B84" t="s">
        <v>100</v>
      </c>
      <c r="C84" t="s">
        <v>284</v>
      </c>
      <c r="D84" t="s">
        <v>7223</v>
      </c>
      <c r="E84" t="s">
        <v>7224</v>
      </c>
      <c r="F84">
        <v>490</v>
      </c>
      <c r="G84">
        <v>7488</v>
      </c>
      <c r="H84">
        <v>3.6691199999999999</v>
      </c>
      <c r="I84">
        <v>208</v>
      </c>
      <c r="J84">
        <v>8</v>
      </c>
      <c r="K84" t="s">
        <v>4385</v>
      </c>
      <c r="L84" t="s">
        <v>123</v>
      </c>
      <c r="M84" t="s">
        <v>105</v>
      </c>
      <c r="N84" s="1520">
        <v>46327</v>
      </c>
      <c r="O84" s="1520"/>
      <c r="P84" s="1520" t="s">
        <v>2480</v>
      </c>
      <c r="Q84" s="1520">
        <v>46375</v>
      </c>
      <c r="R84" s="1520"/>
      <c r="S84" s="1520"/>
      <c r="T84" s="1520"/>
      <c r="U84">
        <v>7</v>
      </c>
      <c r="V84" s="1520">
        <v>46382.791666666664</v>
      </c>
    </row>
    <row r="85" spans="1:22">
      <c r="A85" t="s">
        <v>7318</v>
      </c>
      <c r="B85" t="s">
        <v>65</v>
      </c>
      <c r="C85" t="s">
        <v>5388</v>
      </c>
      <c r="D85" t="s">
        <v>7319</v>
      </c>
      <c r="E85" t="s">
        <v>7320</v>
      </c>
      <c r="F85">
        <v>485</v>
      </c>
      <c r="G85">
        <v>2808</v>
      </c>
      <c r="H85">
        <v>1.36188</v>
      </c>
      <c r="I85">
        <v>78</v>
      </c>
      <c r="J85">
        <v>3</v>
      </c>
      <c r="K85" t="s">
        <v>4385</v>
      </c>
      <c r="L85" t="s">
        <v>123</v>
      </c>
      <c r="M85" t="s">
        <v>78</v>
      </c>
      <c r="N85" s="1520">
        <v>46329</v>
      </c>
      <c r="O85" s="1520"/>
      <c r="P85" s="1520" t="s">
        <v>2480</v>
      </c>
      <c r="Q85" s="1520">
        <v>46377</v>
      </c>
      <c r="R85" s="1520"/>
      <c r="S85" s="1520"/>
      <c r="T85" s="1520"/>
      <c r="U85">
        <v>8</v>
      </c>
      <c r="V85" s="1520">
        <v>46385.791666666664</v>
      </c>
    </row>
    <row r="86" spans="1:22">
      <c r="A86" t="s">
        <v>7488</v>
      </c>
      <c r="B86" t="s">
        <v>114</v>
      </c>
      <c r="C86" t="s">
        <v>4540</v>
      </c>
      <c r="D86" t="s">
        <v>7336</v>
      </c>
      <c r="E86" t="s">
        <v>1682</v>
      </c>
      <c r="F86">
        <v>730</v>
      </c>
      <c r="G86">
        <v>594</v>
      </c>
      <c r="H86">
        <v>0.43362000000000001</v>
      </c>
      <c r="I86">
        <v>18</v>
      </c>
      <c r="J86">
        <v>1</v>
      </c>
      <c r="K86" t="s">
        <v>4385</v>
      </c>
      <c r="L86" t="s">
        <v>6003</v>
      </c>
      <c r="M86" t="s">
        <v>124</v>
      </c>
      <c r="N86" s="1520">
        <v>46345</v>
      </c>
      <c r="O86" s="1520"/>
      <c r="P86" s="1520" t="s">
        <v>2480</v>
      </c>
      <c r="Q86" s="1520">
        <v>46380</v>
      </c>
      <c r="R86" s="1520"/>
      <c r="S86" s="1520"/>
      <c r="T86" s="1520"/>
      <c r="U86">
        <v>9</v>
      </c>
      <c r="V86" s="1520">
        <v>46389.833333333336</v>
      </c>
    </row>
    <row r="87" spans="1:22">
      <c r="A87" t="s">
        <v>7484</v>
      </c>
      <c r="B87" t="s">
        <v>100</v>
      </c>
      <c r="C87" t="s">
        <v>284</v>
      </c>
      <c r="D87" t="s">
        <v>5860</v>
      </c>
      <c r="E87" t="s">
        <v>5861</v>
      </c>
      <c r="F87">
        <v>485</v>
      </c>
      <c r="G87">
        <v>2808</v>
      </c>
      <c r="H87">
        <v>1.36188</v>
      </c>
      <c r="I87">
        <v>78</v>
      </c>
      <c r="J87">
        <v>3</v>
      </c>
      <c r="K87" t="s">
        <v>4385</v>
      </c>
      <c r="L87" t="s">
        <v>6003</v>
      </c>
      <c r="M87" t="s">
        <v>105</v>
      </c>
      <c r="N87" s="1520">
        <v>46344</v>
      </c>
      <c r="O87" s="1520"/>
      <c r="P87" s="1520" t="s">
        <v>2480</v>
      </c>
      <c r="Q87" s="1520">
        <v>46379</v>
      </c>
      <c r="R87" s="1520"/>
      <c r="S87" s="1520"/>
      <c r="T87" s="1520"/>
      <c r="U87">
        <v>7</v>
      </c>
      <c r="V87" s="1520">
        <v>46386.875</v>
      </c>
    </row>
    <row r="88" spans="1:22">
      <c r="A88" t="s">
        <v>7481</v>
      </c>
      <c r="B88" t="s">
        <v>100</v>
      </c>
      <c r="C88" t="s">
        <v>284</v>
      </c>
      <c r="D88" t="s">
        <v>5860</v>
      </c>
      <c r="E88" t="s">
        <v>5861</v>
      </c>
      <c r="F88">
        <v>485</v>
      </c>
      <c r="G88">
        <v>4680</v>
      </c>
      <c r="H88">
        <v>2.2698</v>
      </c>
      <c r="I88">
        <v>130</v>
      </c>
      <c r="J88">
        <v>5</v>
      </c>
      <c r="K88" t="s">
        <v>4385</v>
      </c>
      <c r="L88" t="s">
        <v>6003</v>
      </c>
      <c r="M88" t="s">
        <v>105</v>
      </c>
      <c r="N88" s="1520">
        <v>46343</v>
      </c>
      <c r="O88" s="1520"/>
      <c r="P88" s="1520" t="s">
        <v>2480</v>
      </c>
      <c r="Q88" s="1520">
        <v>46382</v>
      </c>
      <c r="R88" s="1520"/>
      <c r="S88" s="1520"/>
      <c r="T88" s="1520"/>
      <c r="U88">
        <v>7</v>
      </c>
      <c r="V88" s="1520">
        <v>46385.333333333336</v>
      </c>
    </row>
    <row r="89" spans="1:22">
      <c r="A89" t="s">
        <v>7463</v>
      </c>
      <c r="B89" t="s">
        <v>100</v>
      </c>
      <c r="C89" t="s">
        <v>4540</v>
      </c>
      <c r="D89" t="s">
        <v>71</v>
      </c>
      <c r="E89" t="s">
        <v>72</v>
      </c>
      <c r="F89">
        <v>500</v>
      </c>
      <c r="G89">
        <v>6912</v>
      </c>
      <c r="H89">
        <v>3.456</v>
      </c>
      <c r="I89">
        <v>192</v>
      </c>
      <c r="J89">
        <v>8</v>
      </c>
      <c r="K89" t="s">
        <v>4385</v>
      </c>
      <c r="L89" t="s">
        <v>61</v>
      </c>
      <c r="M89" t="s">
        <v>105</v>
      </c>
      <c r="N89" s="1520">
        <v>46333</v>
      </c>
      <c r="O89" s="1520"/>
      <c r="P89" s="1520" t="s">
        <v>2480</v>
      </c>
      <c r="Q89" s="1520">
        <v>46378</v>
      </c>
      <c r="R89" s="1520"/>
      <c r="S89" s="1520"/>
      <c r="T89" s="1520"/>
      <c r="U89">
        <v>7</v>
      </c>
      <c r="V89" s="1520">
        <v>46385.333333333336</v>
      </c>
    </row>
    <row r="90" spans="1:22">
      <c r="A90" t="s">
        <v>7358</v>
      </c>
      <c r="B90" t="s">
        <v>310</v>
      </c>
      <c r="C90" t="s">
        <v>284</v>
      </c>
      <c r="D90" t="s">
        <v>5860</v>
      </c>
      <c r="E90" t="s">
        <v>5861</v>
      </c>
      <c r="F90">
        <v>485</v>
      </c>
      <c r="G90">
        <v>1872</v>
      </c>
      <c r="H90">
        <v>0.90791999999999995</v>
      </c>
      <c r="I90">
        <v>52</v>
      </c>
      <c r="J90">
        <v>2</v>
      </c>
      <c r="K90" t="s">
        <v>4384</v>
      </c>
      <c r="L90" t="s">
        <v>6003</v>
      </c>
      <c r="M90" t="s">
        <v>314</v>
      </c>
      <c r="N90" s="1520">
        <v>46330</v>
      </c>
      <c r="O90" s="1520"/>
      <c r="P90" s="1520" t="s">
        <v>2480</v>
      </c>
      <c r="Q90" s="1520">
        <v>46372</v>
      </c>
      <c r="R90" s="1520"/>
      <c r="S90" s="1520"/>
      <c r="T90" s="1520"/>
      <c r="U90">
        <v>10</v>
      </c>
      <c r="V90" s="1520">
        <v>46382.25</v>
      </c>
    </row>
    <row r="91" spans="1:22">
      <c r="A91" t="s">
        <v>7415</v>
      </c>
      <c r="B91" t="s">
        <v>310</v>
      </c>
      <c r="C91" t="s">
        <v>284</v>
      </c>
      <c r="D91" t="s">
        <v>5860</v>
      </c>
      <c r="E91" t="s">
        <v>5861</v>
      </c>
      <c r="F91">
        <v>485</v>
      </c>
      <c r="G91">
        <v>3744</v>
      </c>
      <c r="H91">
        <v>1.8158399999999999</v>
      </c>
      <c r="I91">
        <v>104</v>
      </c>
      <c r="J91">
        <v>4</v>
      </c>
      <c r="K91" t="s">
        <v>4384</v>
      </c>
      <c r="L91" t="s">
        <v>123</v>
      </c>
      <c r="M91" t="s">
        <v>1561</v>
      </c>
      <c r="N91" s="1520">
        <v>46332</v>
      </c>
      <c r="O91" s="1520"/>
      <c r="P91" s="1520" t="s">
        <v>2480</v>
      </c>
      <c r="Q91" s="1520">
        <v>46381</v>
      </c>
      <c r="R91" s="1520"/>
      <c r="S91" s="1520"/>
      <c r="T91" s="1520"/>
      <c r="U91">
        <v>10</v>
      </c>
      <c r="V91" s="1520">
        <v>46391</v>
      </c>
    </row>
    <row r="92" spans="1:22">
      <c r="A92" t="s">
        <v>7586</v>
      </c>
      <c r="B92" t="s">
        <v>68</v>
      </c>
      <c r="C92" t="s">
        <v>4540</v>
      </c>
      <c r="D92" t="s">
        <v>6470</v>
      </c>
      <c r="E92" t="s">
        <v>4607</v>
      </c>
      <c r="F92">
        <v>630</v>
      </c>
      <c r="G92">
        <v>6480</v>
      </c>
      <c r="H92">
        <v>4.0823999999999998</v>
      </c>
      <c r="I92">
        <v>180</v>
      </c>
      <c r="J92">
        <v>9</v>
      </c>
      <c r="K92" t="s">
        <v>4384</v>
      </c>
      <c r="L92" t="s">
        <v>122</v>
      </c>
      <c r="M92" t="s">
        <v>68</v>
      </c>
      <c r="N92" s="1520"/>
      <c r="O92" s="1520"/>
      <c r="P92" s="1520" t="s">
        <v>2480</v>
      </c>
      <c r="Q92" s="1520"/>
      <c r="R92" s="1520"/>
      <c r="S92" s="1520"/>
      <c r="T92" s="1520"/>
      <c r="U92">
        <v>14</v>
      </c>
      <c r="V92" s="1520" t="s">
        <v>68</v>
      </c>
    </row>
    <row r="93" spans="1:22">
      <c r="A93" t="s">
        <v>7338</v>
      </c>
      <c r="B93" t="s">
        <v>100</v>
      </c>
      <c r="C93" t="s">
        <v>284</v>
      </c>
      <c r="D93" t="s">
        <v>7223</v>
      </c>
      <c r="E93" t="s">
        <v>7224</v>
      </c>
      <c r="F93">
        <v>490</v>
      </c>
      <c r="G93">
        <v>2808</v>
      </c>
      <c r="H93">
        <v>1.37592</v>
      </c>
      <c r="I93">
        <v>78</v>
      </c>
      <c r="J93">
        <v>3</v>
      </c>
      <c r="K93" t="s">
        <v>4384</v>
      </c>
      <c r="L93" t="s">
        <v>6003</v>
      </c>
      <c r="M93" t="s">
        <v>105</v>
      </c>
      <c r="N93" s="1520">
        <v>46330</v>
      </c>
      <c r="O93" s="1520"/>
      <c r="P93" s="1520" t="s">
        <v>2480</v>
      </c>
      <c r="Q93" s="1520">
        <v>46365</v>
      </c>
      <c r="R93" s="1520"/>
      <c r="S93" s="1520"/>
      <c r="T93" s="1520"/>
      <c r="U93">
        <v>7</v>
      </c>
      <c r="V93" s="1520">
        <v>46372.875</v>
      </c>
    </row>
    <row r="94" spans="1:22">
      <c r="A94" t="s">
        <v>7424</v>
      </c>
      <c r="B94" t="s">
        <v>100</v>
      </c>
      <c r="C94" t="s">
        <v>284</v>
      </c>
      <c r="D94" t="s">
        <v>5860</v>
      </c>
      <c r="E94" t="s">
        <v>5861</v>
      </c>
      <c r="F94">
        <v>485</v>
      </c>
      <c r="G94">
        <v>1872</v>
      </c>
      <c r="H94">
        <v>0.90791999999999995</v>
      </c>
      <c r="I94">
        <v>52</v>
      </c>
      <c r="J94">
        <v>2</v>
      </c>
      <c r="K94" t="s">
        <v>4384</v>
      </c>
      <c r="L94" t="s">
        <v>6003</v>
      </c>
      <c r="M94" t="s">
        <v>105</v>
      </c>
      <c r="N94" s="1520">
        <v>46333</v>
      </c>
      <c r="O94" s="1520"/>
      <c r="P94" s="1520" t="s">
        <v>2480</v>
      </c>
      <c r="Q94" s="1520">
        <v>46364</v>
      </c>
      <c r="R94" s="1520"/>
      <c r="S94" s="1520"/>
      <c r="T94" s="1520"/>
      <c r="U94">
        <v>7</v>
      </c>
      <c r="V94" s="1520">
        <v>46371.333333333336</v>
      </c>
    </row>
    <row r="95" spans="1:22">
      <c r="A95" t="s">
        <v>7406</v>
      </c>
      <c r="B95" t="s">
        <v>100</v>
      </c>
      <c r="C95" t="s">
        <v>170</v>
      </c>
      <c r="D95" t="s">
        <v>171</v>
      </c>
      <c r="E95" t="s">
        <v>1731</v>
      </c>
      <c r="F95">
        <v>555</v>
      </c>
      <c r="G95">
        <v>1320</v>
      </c>
      <c r="H95">
        <v>0.73260000000000003</v>
      </c>
      <c r="I95">
        <v>40</v>
      </c>
      <c r="J95">
        <v>2</v>
      </c>
      <c r="K95" t="s">
        <v>4384</v>
      </c>
      <c r="L95" t="s">
        <v>123</v>
      </c>
      <c r="M95" t="s">
        <v>105</v>
      </c>
      <c r="N95" s="1520">
        <v>46329</v>
      </c>
      <c r="O95" s="1520"/>
      <c r="P95" s="1520" t="s">
        <v>2480</v>
      </c>
      <c r="Q95" s="1520">
        <v>46364</v>
      </c>
      <c r="R95" s="1520"/>
      <c r="S95" s="1520"/>
      <c r="T95" s="1520"/>
      <c r="U95">
        <v>7</v>
      </c>
      <c r="V95" s="1520">
        <v>46371.333333333336</v>
      </c>
    </row>
    <row r="96" spans="1:22">
      <c r="A96" t="s">
        <v>7502</v>
      </c>
      <c r="B96" t="s">
        <v>65</v>
      </c>
      <c r="C96" t="s">
        <v>5388</v>
      </c>
      <c r="D96" t="s">
        <v>7319</v>
      </c>
      <c r="E96" t="s">
        <v>7320</v>
      </c>
      <c r="F96">
        <v>485</v>
      </c>
      <c r="G96">
        <v>3744</v>
      </c>
      <c r="H96">
        <v>1.8158399999999999</v>
      </c>
      <c r="I96">
        <v>104</v>
      </c>
      <c r="J96">
        <v>4</v>
      </c>
      <c r="K96" t="s">
        <v>4383</v>
      </c>
      <c r="L96" t="s">
        <v>123</v>
      </c>
      <c r="M96" t="s">
        <v>78</v>
      </c>
      <c r="N96" s="1520"/>
      <c r="O96" s="1520"/>
      <c r="P96" s="1520"/>
      <c r="Q96" s="1520"/>
      <c r="R96" s="1520"/>
      <c r="S96" s="1520"/>
      <c r="T96" s="1520"/>
      <c r="U96">
        <v>8</v>
      </c>
      <c r="V96" s="1520">
        <v>46372</v>
      </c>
    </row>
    <row r="97" spans="1:22">
      <c r="A97" t="s">
        <v>7431</v>
      </c>
      <c r="B97" t="s">
        <v>450</v>
      </c>
      <c r="C97" t="s">
        <v>4540</v>
      </c>
      <c r="D97" t="s">
        <v>7049</v>
      </c>
      <c r="E97" t="s">
        <v>7050</v>
      </c>
      <c r="F97">
        <v>505</v>
      </c>
      <c r="G97">
        <v>5184</v>
      </c>
      <c r="H97">
        <v>2.6179199999999998</v>
      </c>
      <c r="I97">
        <v>144</v>
      </c>
      <c r="J97">
        <v>6</v>
      </c>
      <c r="K97" t="s">
        <v>4383</v>
      </c>
      <c r="L97" t="s">
        <v>61</v>
      </c>
      <c r="M97" t="s">
        <v>456</v>
      </c>
      <c r="N97" s="1520">
        <v>46332</v>
      </c>
      <c r="O97" s="1520"/>
      <c r="P97" s="1520"/>
      <c r="Q97" s="1520">
        <v>46025</v>
      </c>
      <c r="R97" s="1520"/>
      <c r="S97" s="1520"/>
      <c r="T97" s="1520"/>
      <c r="U97">
        <v>7</v>
      </c>
      <c r="V97" s="1520">
        <v>46032</v>
      </c>
    </row>
    <row r="98" spans="1:22">
      <c r="A98" t="s">
        <v>7633</v>
      </c>
      <c r="B98" t="s">
        <v>114</v>
      </c>
      <c r="C98" t="s">
        <v>4540</v>
      </c>
      <c r="D98" t="s">
        <v>7330</v>
      </c>
      <c r="E98" t="s">
        <v>1484</v>
      </c>
      <c r="F98">
        <v>725</v>
      </c>
      <c r="G98">
        <v>3564</v>
      </c>
      <c r="H98">
        <v>2.5838999999999999</v>
      </c>
      <c r="I98">
        <v>108</v>
      </c>
      <c r="J98">
        <v>6</v>
      </c>
      <c r="K98" t="s">
        <v>2152</v>
      </c>
      <c r="L98" t="s">
        <v>123</v>
      </c>
      <c r="M98" t="s">
        <v>124</v>
      </c>
      <c r="N98" s="1520"/>
      <c r="O98" s="1520"/>
      <c r="P98" s="1520"/>
      <c r="Q98" s="1520"/>
      <c r="R98" s="1520"/>
      <c r="S98" s="1520"/>
      <c r="T98" s="1520"/>
      <c r="U98">
        <v>9</v>
      </c>
      <c r="V98" s="1520">
        <v>46194</v>
      </c>
    </row>
    <row r="99" spans="1:22">
      <c r="A99" t="s">
        <v>7645</v>
      </c>
      <c r="B99" t="s">
        <v>114</v>
      </c>
      <c r="C99" t="s">
        <v>4540</v>
      </c>
      <c r="D99" t="s">
        <v>7336</v>
      </c>
      <c r="E99" t="s">
        <v>1682</v>
      </c>
      <c r="F99">
        <v>730</v>
      </c>
      <c r="G99">
        <v>7128</v>
      </c>
      <c r="H99">
        <v>5.2034399999999996</v>
      </c>
      <c r="I99">
        <v>216</v>
      </c>
      <c r="J99">
        <v>12</v>
      </c>
      <c r="K99" t="s">
        <v>7631</v>
      </c>
      <c r="L99" t="s">
        <v>123</v>
      </c>
      <c r="M99" t="s">
        <v>124</v>
      </c>
      <c r="N99" s="1520"/>
      <c r="O99" s="1520"/>
      <c r="P99" s="1520"/>
      <c r="Q99" s="1520"/>
      <c r="R99" s="1520"/>
      <c r="S99" s="1520"/>
      <c r="T99" s="1520"/>
      <c r="U99">
        <v>9</v>
      </c>
      <c r="V99" s="1520">
        <v>46152</v>
      </c>
    </row>
    <row r="100" spans="1:22">
      <c r="A100" t="s">
        <v>7630</v>
      </c>
      <c r="B100" t="s">
        <v>114</v>
      </c>
      <c r="C100" t="s">
        <v>4540</v>
      </c>
      <c r="D100" t="s">
        <v>7330</v>
      </c>
      <c r="E100" t="s">
        <v>1484</v>
      </c>
      <c r="F100">
        <v>725</v>
      </c>
      <c r="G100">
        <v>5940</v>
      </c>
      <c r="H100">
        <v>4.3064999999999998</v>
      </c>
      <c r="I100">
        <v>180</v>
      </c>
      <c r="J100">
        <v>10</v>
      </c>
      <c r="K100" t="s">
        <v>7631</v>
      </c>
      <c r="L100" t="s">
        <v>123</v>
      </c>
      <c r="M100" t="s">
        <v>124</v>
      </c>
      <c r="N100" s="1520"/>
      <c r="O100" s="1520"/>
      <c r="P100" s="1520"/>
      <c r="Q100" s="1520"/>
      <c r="R100" s="1520"/>
      <c r="S100" s="1520"/>
      <c r="T100" s="1520"/>
      <c r="U100">
        <v>9</v>
      </c>
      <c r="V100" s="1520">
        <v>46152</v>
      </c>
    </row>
    <row r="101" spans="1:22">
      <c r="A101" t="s">
        <v>7731</v>
      </c>
      <c r="B101" t="s">
        <v>65</v>
      </c>
      <c r="C101" t="s">
        <v>4540</v>
      </c>
      <c r="D101" t="s">
        <v>7719</v>
      </c>
      <c r="E101" t="s">
        <v>7720</v>
      </c>
      <c r="F101">
        <v>720</v>
      </c>
      <c r="G101">
        <v>3564</v>
      </c>
      <c r="H101">
        <v>2.5660799999999999</v>
      </c>
      <c r="I101">
        <v>108</v>
      </c>
      <c r="J101">
        <v>6</v>
      </c>
      <c r="K101" t="s">
        <v>7732</v>
      </c>
      <c r="L101" t="s">
        <v>123</v>
      </c>
      <c r="M101" t="s">
        <v>78</v>
      </c>
      <c r="N101" s="1520"/>
      <c r="O101" s="1520"/>
      <c r="P101" s="1520"/>
      <c r="Q101" s="1520"/>
      <c r="R101" s="1520"/>
      <c r="S101" s="1520"/>
      <c r="T101" s="1520"/>
      <c r="U101">
        <v>8</v>
      </c>
      <c r="V101" s="1520">
        <v>46148</v>
      </c>
    </row>
    <row r="102" spans="1:22">
      <c r="A102" t="s">
        <v>7767</v>
      </c>
      <c r="B102" t="s">
        <v>65</v>
      </c>
      <c r="C102" t="s">
        <v>284</v>
      </c>
      <c r="D102" t="s">
        <v>7756</v>
      </c>
      <c r="E102" t="s">
        <v>7736</v>
      </c>
      <c r="F102">
        <v>655</v>
      </c>
      <c r="G102">
        <v>3960</v>
      </c>
      <c r="H102">
        <v>2.5937999999999999</v>
      </c>
      <c r="I102">
        <v>110</v>
      </c>
      <c r="J102">
        <v>5.5</v>
      </c>
      <c r="K102" t="s">
        <v>7732</v>
      </c>
      <c r="L102" t="s">
        <v>61</v>
      </c>
      <c r="M102" t="s">
        <v>78</v>
      </c>
      <c r="N102" s="1520"/>
      <c r="O102" s="1520"/>
      <c r="P102" s="1520"/>
      <c r="Q102" s="1520"/>
      <c r="R102" s="1520"/>
      <c r="S102" s="1520"/>
      <c r="T102" s="1520"/>
      <c r="U102">
        <v>8</v>
      </c>
      <c r="V102" s="1520">
        <v>46162</v>
      </c>
    </row>
    <row r="103" spans="1:22">
      <c r="A103" t="s">
        <v>7765</v>
      </c>
      <c r="B103" t="s">
        <v>65</v>
      </c>
      <c r="C103" t="s">
        <v>284</v>
      </c>
      <c r="D103" t="s">
        <v>7756</v>
      </c>
      <c r="E103" t="s">
        <v>7736</v>
      </c>
      <c r="F103">
        <v>655</v>
      </c>
      <c r="G103">
        <v>4320</v>
      </c>
      <c r="H103">
        <v>2.8296000000000001</v>
      </c>
      <c r="I103">
        <v>120</v>
      </c>
      <c r="J103">
        <v>6</v>
      </c>
      <c r="K103" t="s">
        <v>7729</v>
      </c>
      <c r="L103" t="s">
        <v>61</v>
      </c>
      <c r="M103" t="s">
        <v>78</v>
      </c>
      <c r="N103" s="1520"/>
      <c r="O103" s="1520"/>
      <c r="P103" s="1520"/>
      <c r="Q103" s="1520"/>
      <c r="R103" s="1520"/>
      <c r="S103" s="1520"/>
      <c r="T103" s="1520"/>
      <c r="U103">
        <v>8</v>
      </c>
      <c r="V103" s="1520">
        <v>46155</v>
      </c>
    </row>
    <row r="104" spans="1:22">
      <c r="A104" t="s">
        <v>7728</v>
      </c>
      <c r="B104" t="s">
        <v>65</v>
      </c>
      <c r="C104" t="s">
        <v>4540</v>
      </c>
      <c r="D104" t="s">
        <v>7719</v>
      </c>
      <c r="E104" t="s">
        <v>7720</v>
      </c>
      <c r="F104">
        <v>720</v>
      </c>
      <c r="G104">
        <v>4455</v>
      </c>
      <c r="H104">
        <v>3.2075999999999998</v>
      </c>
      <c r="I104">
        <v>135</v>
      </c>
      <c r="J104">
        <v>7.5</v>
      </c>
      <c r="K104" t="s">
        <v>7729</v>
      </c>
      <c r="L104" t="s">
        <v>123</v>
      </c>
      <c r="M104" t="s">
        <v>78</v>
      </c>
      <c r="N104" s="1520"/>
      <c r="O104" s="1520"/>
      <c r="P104" s="1520"/>
      <c r="Q104" s="1520"/>
      <c r="R104" s="1520"/>
      <c r="S104" s="1520"/>
      <c r="T104" s="1520"/>
      <c r="U104">
        <v>8</v>
      </c>
      <c r="V104" s="1520">
        <v>46141</v>
      </c>
    </row>
    <row r="105" spans="1:22">
      <c r="A105" t="s">
        <v>7763</v>
      </c>
      <c r="B105" t="s">
        <v>65</v>
      </c>
      <c r="C105" t="s">
        <v>284</v>
      </c>
      <c r="D105" t="s">
        <v>7756</v>
      </c>
      <c r="E105" t="s">
        <v>7736</v>
      </c>
      <c r="F105">
        <v>655</v>
      </c>
      <c r="G105">
        <v>4320</v>
      </c>
      <c r="H105">
        <v>2.8296000000000001</v>
      </c>
      <c r="I105">
        <v>120</v>
      </c>
      <c r="J105">
        <v>6</v>
      </c>
      <c r="K105" t="s">
        <v>7716</v>
      </c>
      <c r="L105" t="s">
        <v>61</v>
      </c>
      <c r="M105" t="s">
        <v>78</v>
      </c>
      <c r="N105" s="1520"/>
      <c r="O105" s="1520"/>
      <c r="P105" s="1520"/>
      <c r="Q105" s="1520"/>
      <c r="R105" s="1520"/>
      <c r="S105" s="1520"/>
      <c r="T105" s="1520"/>
      <c r="U105">
        <v>8</v>
      </c>
      <c r="V105" s="1520">
        <v>46148</v>
      </c>
    </row>
    <row r="106" spans="1:22">
      <c r="A106" t="s">
        <v>7715</v>
      </c>
      <c r="B106" t="s">
        <v>65</v>
      </c>
      <c r="C106" t="s">
        <v>4540</v>
      </c>
      <c r="D106" t="s">
        <v>7698</v>
      </c>
      <c r="E106" t="s">
        <v>7699</v>
      </c>
      <c r="F106">
        <v>715</v>
      </c>
      <c r="G106">
        <v>4455</v>
      </c>
      <c r="H106">
        <v>3.1853250000000002</v>
      </c>
      <c r="I106">
        <v>135</v>
      </c>
      <c r="J106">
        <v>7.5</v>
      </c>
      <c r="K106" t="s">
        <v>7716</v>
      </c>
      <c r="L106" t="s">
        <v>123</v>
      </c>
      <c r="M106" t="s">
        <v>78</v>
      </c>
      <c r="N106" s="1520"/>
      <c r="O106" s="1520"/>
      <c r="P106" s="1520"/>
      <c r="Q106" s="1520"/>
      <c r="R106" s="1520"/>
      <c r="S106" s="1520"/>
      <c r="T106" s="1520"/>
      <c r="U106">
        <v>8</v>
      </c>
      <c r="V106" s="1520">
        <v>46134</v>
      </c>
    </row>
    <row r="107" spans="1:22">
      <c r="A107" t="s">
        <v>7761</v>
      </c>
      <c r="B107" t="s">
        <v>65</v>
      </c>
      <c r="C107" t="s">
        <v>284</v>
      </c>
      <c r="D107" t="s">
        <v>7756</v>
      </c>
      <c r="E107" t="s">
        <v>7736</v>
      </c>
      <c r="F107">
        <v>655</v>
      </c>
      <c r="G107">
        <v>4320</v>
      </c>
      <c r="H107">
        <v>2.8296000000000001</v>
      </c>
      <c r="I107">
        <v>120</v>
      </c>
      <c r="J107">
        <v>6</v>
      </c>
      <c r="K107" t="s">
        <v>7713</v>
      </c>
      <c r="L107" t="s">
        <v>61</v>
      </c>
      <c r="M107" t="s">
        <v>78</v>
      </c>
      <c r="N107" s="1520"/>
      <c r="O107" s="1520"/>
      <c r="P107" s="1520"/>
      <c r="Q107" s="1520"/>
      <c r="R107" s="1520"/>
      <c r="S107" s="1520"/>
      <c r="T107" s="1520"/>
      <c r="U107">
        <v>8</v>
      </c>
      <c r="V107" s="1520">
        <v>46141</v>
      </c>
    </row>
    <row r="108" spans="1:22">
      <c r="A108" t="s">
        <v>7712</v>
      </c>
      <c r="B108" t="s">
        <v>65</v>
      </c>
      <c r="C108" t="s">
        <v>4540</v>
      </c>
      <c r="D108" t="s">
        <v>7698</v>
      </c>
      <c r="E108" t="s">
        <v>7699</v>
      </c>
      <c r="F108">
        <v>715</v>
      </c>
      <c r="G108">
        <v>4752</v>
      </c>
      <c r="H108">
        <v>3.3976799999999998</v>
      </c>
      <c r="I108">
        <v>144</v>
      </c>
      <c r="J108">
        <v>8</v>
      </c>
      <c r="K108" t="s">
        <v>7713</v>
      </c>
      <c r="L108" t="s">
        <v>123</v>
      </c>
      <c r="M108" t="s">
        <v>78</v>
      </c>
      <c r="N108" s="1520"/>
      <c r="O108" s="1520"/>
      <c r="P108" s="1520"/>
      <c r="Q108" s="1520"/>
      <c r="R108" s="1520"/>
      <c r="S108" s="1520"/>
      <c r="T108" s="1520"/>
      <c r="U108">
        <v>8</v>
      </c>
      <c r="V108" s="1520">
        <v>46127</v>
      </c>
    </row>
    <row r="109" spans="1:22">
      <c r="A109" t="s">
        <v>7757</v>
      </c>
      <c r="B109" t="s">
        <v>65</v>
      </c>
      <c r="C109" t="s">
        <v>284</v>
      </c>
      <c r="D109" t="s">
        <v>7756</v>
      </c>
      <c r="E109" t="s">
        <v>7736</v>
      </c>
      <c r="F109">
        <v>655</v>
      </c>
      <c r="G109">
        <v>5040</v>
      </c>
      <c r="H109">
        <v>3.3012000000000001</v>
      </c>
      <c r="I109">
        <v>140</v>
      </c>
      <c r="J109">
        <v>7</v>
      </c>
      <c r="K109" t="s">
        <v>7759</v>
      </c>
      <c r="L109" t="s">
        <v>61</v>
      </c>
      <c r="M109" t="s">
        <v>78</v>
      </c>
      <c r="N109" s="1520"/>
      <c r="O109" s="1520"/>
      <c r="P109" s="1520"/>
      <c r="Q109" s="1520"/>
      <c r="R109" s="1520"/>
      <c r="S109" s="1520"/>
      <c r="T109" s="1520"/>
      <c r="U109">
        <v>8</v>
      </c>
      <c r="V109" s="1520">
        <v>46134</v>
      </c>
    </row>
    <row r="110" spans="1:22">
      <c r="A110" t="s">
        <v>7710</v>
      </c>
      <c r="B110" t="s">
        <v>65</v>
      </c>
      <c r="C110" t="s">
        <v>4540</v>
      </c>
      <c r="D110" t="s">
        <v>7698</v>
      </c>
      <c r="E110" t="s">
        <v>7699</v>
      </c>
      <c r="F110">
        <v>715</v>
      </c>
      <c r="G110">
        <v>3564</v>
      </c>
      <c r="H110">
        <v>2.54826</v>
      </c>
      <c r="I110">
        <v>108</v>
      </c>
      <c r="J110">
        <v>6</v>
      </c>
      <c r="K110" t="s">
        <v>7643</v>
      </c>
      <c r="L110" t="s">
        <v>123</v>
      </c>
      <c r="M110" t="s">
        <v>78</v>
      </c>
      <c r="N110" s="1520"/>
      <c r="O110" s="1520"/>
      <c r="P110" s="1520"/>
      <c r="Q110" s="1520"/>
      <c r="R110" s="1520"/>
      <c r="S110" s="1520"/>
      <c r="T110" s="1520"/>
      <c r="U110">
        <v>8</v>
      </c>
      <c r="V110" s="1520">
        <v>46113</v>
      </c>
    </row>
    <row r="111" spans="1:22">
      <c r="A111" t="s">
        <v>7642</v>
      </c>
      <c r="B111" t="s">
        <v>114</v>
      </c>
      <c r="C111" t="s">
        <v>4540</v>
      </c>
      <c r="D111" t="s">
        <v>7336</v>
      </c>
      <c r="E111" t="s">
        <v>1682</v>
      </c>
      <c r="F111">
        <v>730</v>
      </c>
      <c r="G111">
        <v>7128</v>
      </c>
      <c r="H111">
        <v>5.2034399999999996</v>
      </c>
      <c r="I111">
        <v>216</v>
      </c>
      <c r="J111">
        <v>12</v>
      </c>
      <c r="K111" t="s">
        <v>7643</v>
      </c>
      <c r="L111" t="s">
        <v>123</v>
      </c>
      <c r="M111" t="s">
        <v>124</v>
      </c>
      <c r="N111" s="1520"/>
      <c r="O111" s="1520"/>
      <c r="P111" s="1520"/>
      <c r="Q111" s="1520"/>
      <c r="R111" s="1520"/>
      <c r="S111" s="1520"/>
      <c r="T111" s="1520"/>
      <c r="U111">
        <v>9</v>
      </c>
      <c r="V111" s="1520">
        <v>46110</v>
      </c>
    </row>
    <row r="112" spans="1:22">
      <c r="A112" t="s">
        <v>7707</v>
      </c>
      <c r="B112" t="s">
        <v>65</v>
      </c>
      <c r="C112" t="s">
        <v>4540</v>
      </c>
      <c r="D112" t="s">
        <v>7698</v>
      </c>
      <c r="E112" t="s">
        <v>7699</v>
      </c>
      <c r="F112">
        <v>715</v>
      </c>
      <c r="G112">
        <v>4158</v>
      </c>
      <c r="H112">
        <v>2.9729700000000001</v>
      </c>
      <c r="I112">
        <v>126</v>
      </c>
      <c r="J112">
        <v>7</v>
      </c>
      <c r="K112" t="s">
        <v>7708</v>
      </c>
      <c r="L112" t="s">
        <v>123</v>
      </c>
      <c r="M112" t="s">
        <v>78</v>
      </c>
      <c r="N112" s="1520"/>
      <c r="O112" s="1520"/>
      <c r="P112" s="1520"/>
      <c r="Q112" s="1520"/>
      <c r="R112" s="1520"/>
      <c r="S112" s="1520"/>
      <c r="T112" s="1520"/>
      <c r="U112">
        <v>8</v>
      </c>
      <c r="V112" s="1520">
        <v>46106</v>
      </c>
    </row>
    <row r="113" spans="1:22">
      <c r="A113" t="s">
        <v>7627</v>
      </c>
      <c r="B113" t="s">
        <v>114</v>
      </c>
      <c r="C113" t="s">
        <v>4540</v>
      </c>
      <c r="D113" t="s">
        <v>7330</v>
      </c>
      <c r="E113" t="s">
        <v>1484</v>
      </c>
      <c r="F113">
        <v>725</v>
      </c>
      <c r="G113">
        <v>5940</v>
      </c>
      <c r="H113">
        <v>4.3064999999999998</v>
      </c>
      <c r="I113">
        <v>180</v>
      </c>
      <c r="J113">
        <v>10</v>
      </c>
      <c r="K113" t="s">
        <v>7628</v>
      </c>
      <c r="L113" t="s">
        <v>123</v>
      </c>
      <c r="M113" t="s">
        <v>124</v>
      </c>
      <c r="N113" s="1520"/>
      <c r="O113" s="1520"/>
      <c r="P113" s="1520"/>
      <c r="Q113" s="1520"/>
      <c r="R113" s="1520"/>
      <c r="S113" s="1520"/>
      <c r="T113" s="1520"/>
      <c r="U113">
        <v>9</v>
      </c>
      <c r="V113" s="1520">
        <v>46096</v>
      </c>
    </row>
    <row r="114" spans="1:22">
      <c r="A114" t="s">
        <v>7726</v>
      </c>
      <c r="B114" t="s">
        <v>65</v>
      </c>
      <c r="C114" t="s">
        <v>4540</v>
      </c>
      <c r="D114" t="s">
        <v>7719</v>
      </c>
      <c r="E114" t="s">
        <v>7720</v>
      </c>
      <c r="F114">
        <v>720</v>
      </c>
      <c r="G114">
        <v>3564</v>
      </c>
      <c r="H114">
        <v>2.5660799999999999</v>
      </c>
      <c r="I114">
        <v>108</v>
      </c>
      <c r="J114">
        <v>6</v>
      </c>
      <c r="K114" t="s">
        <v>7628</v>
      </c>
      <c r="L114" t="s">
        <v>123</v>
      </c>
      <c r="M114" t="s">
        <v>78</v>
      </c>
      <c r="N114" s="1520"/>
      <c r="O114" s="1520"/>
      <c r="P114" s="1520"/>
      <c r="Q114" s="1520"/>
      <c r="R114" s="1520"/>
      <c r="S114" s="1520"/>
      <c r="T114" s="1520"/>
      <c r="U114">
        <v>8</v>
      </c>
      <c r="V114" s="1520">
        <v>46099</v>
      </c>
    </row>
    <row r="115" spans="1:22">
      <c r="A115" t="s">
        <v>7723</v>
      </c>
      <c r="B115" t="s">
        <v>65</v>
      </c>
      <c r="C115" t="s">
        <v>4540</v>
      </c>
      <c r="D115" t="s">
        <v>7719</v>
      </c>
      <c r="E115" t="s">
        <v>7720</v>
      </c>
      <c r="F115">
        <v>720</v>
      </c>
      <c r="G115">
        <v>4158</v>
      </c>
      <c r="H115">
        <v>2.99376</v>
      </c>
      <c r="I115">
        <v>126</v>
      </c>
      <c r="J115">
        <v>7</v>
      </c>
      <c r="K115" t="s">
        <v>7724</v>
      </c>
      <c r="L115" t="s">
        <v>123</v>
      </c>
      <c r="M115" t="s">
        <v>78</v>
      </c>
      <c r="N115" s="1520"/>
      <c r="O115" s="1520"/>
      <c r="P115" s="1520"/>
      <c r="Q115" s="1520"/>
      <c r="R115" s="1520"/>
      <c r="S115" s="1520"/>
      <c r="T115" s="1520"/>
      <c r="U115">
        <v>8</v>
      </c>
      <c r="V115" s="1520">
        <v>46092</v>
      </c>
    </row>
    <row r="116" spans="1:22">
      <c r="A116" t="s">
        <v>7792</v>
      </c>
      <c r="B116" t="s">
        <v>68</v>
      </c>
      <c r="C116" t="s">
        <v>284</v>
      </c>
      <c r="D116" t="s">
        <v>6849</v>
      </c>
      <c r="E116" t="s">
        <v>6850</v>
      </c>
      <c r="F116">
        <v>490</v>
      </c>
      <c r="G116">
        <v>65520</v>
      </c>
      <c r="H116">
        <v>32.104799999999997</v>
      </c>
      <c r="I116">
        <v>1820</v>
      </c>
      <c r="J116">
        <v>70</v>
      </c>
      <c r="K116" t="s">
        <v>7039</v>
      </c>
      <c r="L116" t="s">
        <v>123</v>
      </c>
      <c r="N116" s="1520"/>
      <c r="O116" s="1520"/>
      <c r="P116" s="1520"/>
      <c r="Q116" s="1520"/>
      <c r="R116" s="1520"/>
      <c r="S116" s="1520"/>
      <c r="T116" s="1520"/>
      <c r="U116">
        <v>14</v>
      </c>
      <c r="V116" s="1520" t="s">
        <v>68</v>
      </c>
    </row>
    <row r="117" spans="1:22">
      <c r="A117" t="s">
        <v>7790</v>
      </c>
      <c r="B117" t="s">
        <v>68</v>
      </c>
      <c r="C117" t="s">
        <v>284</v>
      </c>
      <c r="D117" t="s">
        <v>6856</v>
      </c>
      <c r="E117" t="s">
        <v>6857</v>
      </c>
      <c r="F117">
        <v>485</v>
      </c>
      <c r="G117">
        <v>24336</v>
      </c>
      <c r="H117">
        <v>11.802960000000001</v>
      </c>
      <c r="I117">
        <v>676</v>
      </c>
      <c r="J117">
        <v>26</v>
      </c>
      <c r="K117" t="s">
        <v>7039</v>
      </c>
      <c r="L117" t="s">
        <v>123</v>
      </c>
      <c r="N117" s="1520"/>
      <c r="O117" s="1520"/>
      <c r="P117" s="1520"/>
      <c r="Q117" s="1520"/>
      <c r="R117" s="1520"/>
      <c r="S117" s="1520"/>
      <c r="T117" s="1520"/>
      <c r="U117">
        <v>14</v>
      </c>
      <c r="V117" s="1520" t="s">
        <v>68</v>
      </c>
    </row>
    <row r="118" spans="1:22">
      <c r="A118" t="s">
        <v>7793</v>
      </c>
      <c r="B118" t="s">
        <v>68</v>
      </c>
      <c r="C118" t="s">
        <v>4540</v>
      </c>
      <c r="D118" t="s">
        <v>71</v>
      </c>
      <c r="E118" t="s">
        <v>72</v>
      </c>
      <c r="F118">
        <v>500</v>
      </c>
      <c r="G118">
        <v>35424</v>
      </c>
      <c r="H118">
        <v>17.712</v>
      </c>
      <c r="I118">
        <v>984</v>
      </c>
      <c r="J118">
        <v>41</v>
      </c>
      <c r="K118" t="s">
        <v>7039</v>
      </c>
      <c r="L118" t="s">
        <v>61</v>
      </c>
      <c r="N118" s="1520"/>
      <c r="O118" s="1520"/>
      <c r="P118" s="1520"/>
      <c r="Q118" s="1520"/>
      <c r="R118" s="1520"/>
      <c r="S118" s="1520"/>
      <c r="T118" s="1520"/>
      <c r="U118">
        <v>14</v>
      </c>
      <c r="V118" s="1520" t="s">
        <v>68</v>
      </c>
    </row>
    <row r="119" spans="1:22">
      <c r="A119" t="s">
        <v>7799</v>
      </c>
      <c r="B119" t="s">
        <v>68</v>
      </c>
      <c r="C119" t="s">
        <v>284</v>
      </c>
      <c r="D119" t="s">
        <v>5860</v>
      </c>
      <c r="E119" t="s">
        <v>5861</v>
      </c>
      <c r="F119">
        <v>485</v>
      </c>
      <c r="G119">
        <v>131976</v>
      </c>
      <c r="H119">
        <v>64.008359999999996</v>
      </c>
      <c r="I119">
        <v>3666</v>
      </c>
      <c r="J119">
        <v>141</v>
      </c>
      <c r="K119" t="s">
        <v>7039</v>
      </c>
      <c r="L119" t="s">
        <v>123</v>
      </c>
      <c r="N119" s="1520"/>
      <c r="O119" s="1520"/>
      <c r="P119" s="1520"/>
      <c r="Q119" s="1520"/>
      <c r="R119" s="1520"/>
      <c r="S119" s="1520"/>
      <c r="T119" s="1520"/>
      <c r="U119">
        <v>14</v>
      </c>
      <c r="V119" s="1520" t="s">
        <v>68</v>
      </c>
    </row>
    <row r="120" spans="1:22">
      <c r="A120" t="s">
        <v>7796</v>
      </c>
      <c r="B120" t="s">
        <v>68</v>
      </c>
      <c r="C120" t="s">
        <v>284</v>
      </c>
      <c r="D120" t="s">
        <v>7223</v>
      </c>
      <c r="E120" t="s">
        <v>7224</v>
      </c>
      <c r="F120">
        <v>490</v>
      </c>
      <c r="G120">
        <v>41184</v>
      </c>
      <c r="H120">
        <v>20.180160000000001</v>
      </c>
      <c r="I120">
        <v>1144</v>
      </c>
      <c r="J120">
        <v>44</v>
      </c>
      <c r="K120" t="s">
        <v>7039</v>
      </c>
      <c r="L120" t="s">
        <v>123</v>
      </c>
      <c r="N120" s="1520"/>
      <c r="O120" s="1520"/>
      <c r="P120" s="1520"/>
      <c r="Q120" s="1520"/>
      <c r="R120" s="1520"/>
      <c r="S120" s="1520"/>
      <c r="T120" s="1520"/>
      <c r="U120">
        <v>14</v>
      </c>
      <c r="V120" s="1520" t="s">
        <v>68</v>
      </c>
    </row>
    <row r="121" spans="1:22">
      <c r="A121" t="s">
        <v>7787</v>
      </c>
      <c r="B121" t="s">
        <v>68</v>
      </c>
      <c r="C121" t="s">
        <v>5388</v>
      </c>
      <c r="D121" t="s">
        <v>7788</v>
      </c>
      <c r="E121" t="s">
        <v>7789</v>
      </c>
      <c r="F121">
        <v>490</v>
      </c>
      <c r="G121">
        <v>20592</v>
      </c>
      <c r="H121">
        <v>10.09008</v>
      </c>
      <c r="I121">
        <v>572</v>
      </c>
      <c r="J121">
        <v>22</v>
      </c>
      <c r="K121" t="s">
        <v>7039</v>
      </c>
      <c r="L121" t="s">
        <v>123</v>
      </c>
      <c r="N121" s="1520"/>
      <c r="O121" s="1520"/>
      <c r="P121" s="1520"/>
      <c r="Q121" s="1520"/>
      <c r="R121" s="1520"/>
      <c r="S121" s="1520"/>
      <c r="T121" s="1520"/>
      <c r="U121">
        <v>14</v>
      </c>
      <c r="V121" s="1520" t="s">
        <v>68</v>
      </c>
    </row>
    <row r="122" spans="1:22">
      <c r="A122" t="s">
        <v>7800</v>
      </c>
      <c r="B122" t="s">
        <v>68</v>
      </c>
      <c r="C122" t="s">
        <v>284</v>
      </c>
      <c r="D122" t="s">
        <v>6219</v>
      </c>
      <c r="E122" t="s">
        <v>6220</v>
      </c>
      <c r="F122">
        <v>490</v>
      </c>
      <c r="G122">
        <v>32760</v>
      </c>
      <c r="H122">
        <v>16.052399999999999</v>
      </c>
      <c r="I122">
        <v>910</v>
      </c>
      <c r="J122">
        <v>35</v>
      </c>
      <c r="K122" t="s">
        <v>7039</v>
      </c>
      <c r="L122" t="s">
        <v>123</v>
      </c>
      <c r="N122" s="1520"/>
      <c r="O122" s="1520"/>
      <c r="P122" s="1520"/>
      <c r="Q122" s="1520"/>
      <c r="R122" s="1520"/>
      <c r="S122" s="1520"/>
      <c r="T122" s="1520"/>
      <c r="U122">
        <v>14</v>
      </c>
      <c r="V122" s="1520" t="s">
        <v>68</v>
      </c>
    </row>
    <row r="123" spans="1:22">
      <c r="A123" t="s">
        <v>7801</v>
      </c>
      <c r="B123" t="s">
        <v>68</v>
      </c>
      <c r="C123" t="s">
        <v>5388</v>
      </c>
      <c r="D123" t="s">
        <v>6291</v>
      </c>
      <c r="E123" t="s">
        <v>6292</v>
      </c>
      <c r="F123">
        <v>480</v>
      </c>
      <c r="G123">
        <v>1872</v>
      </c>
      <c r="H123">
        <v>0.89856000000000003</v>
      </c>
      <c r="I123">
        <v>52</v>
      </c>
      <c r="J123">
        <v>2</v>
      </c>
      <c r="K123" t="s">
        <v>7039</v>
      </c>
      <c r="L123" t="s">
        <v>123</v>
      </c>
      <c r="N123" s="1520"/>
      <c r="O123" s="1520"/>
      <c r="P123" s="1520"/>
      <c r="Q123" s="1520"/>
      <c r="R123" s="1520"/>
      <c r="S123" s="1520"/>
      <c r="T123" s="1520"/>
      <c r="U123">
        <v>14</v>
      </c>
      <c r="V123" s="1520" t="s">
        <v>68</v>
      </c>
    </row>
    <row r="124" spans="1:22">
      <c r="A124" t="s">
        <v>7802</v>
      </c>
      <c r="B124" t="s">
        <v>68</v>
      </c>
      <c r="C124" t="s">
        <v>5388</v>
      </c>
      <c r="D124" t="s">
        <v>7803</v>
      </c>
      <c r="E124" t="s">
        <v>7804</v>
      </c>
      <c r="F124">
        <v>485</v>
      </c>
      <c r="G124">
        <v>18720</v>
      </c>
      <c r="H124">
        <v>9.0792000000000002</v>
      </c>
      <c r="I124">
        <v>520</v>
      </c>
      <c r="J124">
        <v>20</v>
      </c>
      <c r="K124" t="s">
        <v>7039</v>
      </c>
      <c r="L124" t="s">
        <v>123</v>
      </c>
      <c r="N124" s="1520"/>
      <c r="O124" s="1520"/>
      <c r="P124" s="1520"/>
      <c r="Q124" s="1520"/>
      <c r="R124" s="1520"/>
      <c r="S124" s="1520"/>
      <c r="T124" s="1520"/>
      <c r="U124">
        <v>14</v>
      </c>
      <c r="V124" s="1520" t="s">
        <v>68</v>
      </c>
    </row>
    <row r="125" spans="1:22">
      <c r="A125" t="s">
        <v>7795</v>
      </c>
      <c r="B125" t="s">
        <v>68</v>
      </c>
      <c r="C125" t="s">
        <v>4540</v>
      </c>
      <c r="D125" t="s">
        <v>1151</v>
      </c>
      <c r="E125" t="s">
        <v>421</v>
      </c>
      <c r="F125">
        <v>505</v>
      </c>
      <c r="G125">
        <v>24192</v>
      </c>
      <c r="H125">
        <v>12.21696</v>
      </c>
      <c r="I125">
        <v>672</v>
      </c>
      <c r="J125">
        <v>28</v>
      </c>
      <c r="K125" t="s">
        <v>7039</v>
      </c>
      <c r="L125" t="s">
        <v>61</v>
      </c>
      <c r="N125" s="1520"/>
      <c r="O125" s="1520"/>
      <c r="P125" s="1520"/>
      <c r="Q125" s="1520"/>
      <c r="R125" s="1520"/>
      <c r="S125" s="1520"/>
      <c r="T125" s="1520"/>
      <c r="U125">
        <v>14</v>
      </c>
      <c r="V125" s="1520" t="s">
        <v>68</v>
      </c>
    </row>
    <row r="126" spans="1:22">
      <c r="A126" t="s">
        <v>7783</v>
      </c>
      <c r="B126" t="s">
        <v>68</v>
      </c>
      <c r="C126" t="s">
        <v>5388</v>
      </c>
      <c r="D126" t="s">
        <v>7784</v>
      </c>
      <c r="E126" t="s">
        <v>7785</v>
      </c>
      <c r="F126">
        <v>485</v>
      </c>
      <c r="G126">
        <v>71136</v>
      </c>
      <c r="H126">
        <v>34.500959999999999</v>
      </c>
      <c r="I126">
        <v>1976</v>
      </c>
      <c r="J126">
        <v>76</v>
      </c>
      <c r="K126" t="s">
        <v>7039</v>
      </c>
      <c r="L126" t="s">
        <v>123</v>
      </c>
      <c r="N126" s="1520"/>
      <c r="O126" s="1520"/>
      <c r="P126" s="1520"/>
      <c r="Q126" s="1520"/>
      <c r="R126" s="1520"/>
      <c r="S126" s="1520"/>
      <c r="T126" s="1520"/>
      <c r="U126">
        <v>14</v>
      </c>
      <c r="V126" s="1520" t="s">
        <v>68</v>
      </c>
    </row>
    <row r="127" spans="1:22">
      <c r="A127" t="s">
        <v>7676</v>
      </c>
      <c r="B127" t="s">
        <v>68</v>
      </c>
      <c r="C127" t="s">
        <v>284</v>
      </c>
      <c r="D127" t="s">
        <v>6219</v>
      </c>
      <c r="E127" t="s">
        <v>6220</v>
      </c>
      <c r="F127">
        <v>490</v>
      </c>
      <c r="G127">
        <v>17856</v>
      </c>
      <c r="H127">
        <v>8.7494399999999999</v>
      </c>
      <c r="I127">
        <v>496</v>
      </c>
      <c r="J127">
        <v>19.076923076923077</v>
      </c>
      <c r="K127" t="s">
        <v>7039</v>
      </c>
      <c r="L127" t="s">
        <v>123</v>
      </c>
      <c r="M127" t="s">
        <v>68</v>
      </c>
      <c r="N127" s="1520"/>
      <c r="O127" s="1520"/>
      <c r="P127" s="1520"/>
      <c r="Q127" s="1520"/>
      <c r="R127" s="1520"/>
      <c r="S127" s="1520"/>
      <c r="T127" s="1520"/>
      <c r="U127">
        <v>14</v>
      </c>
      <c r="V127" s="1520" t="s">
        <v>68</v>
      </c>
    </row>
    <row r="128" spans="1:22">
      <c r="A128" t="s">
        <v>7776</v>
      </c>
      <c r="B128" t="s">
        <v>68</v>
      </c>
      <c r="C128" t="s">
        <v>5388</v>
      </c>
      <c r="D128" t="s">
        <v>7777</v>
      </c>
      <c r="E128" t="s">
        <v>7778</v>
      </c>
      <c r="F128">
        <v>480</v>
      </c>
      <c r="G128">
        <v>61776</v>
      </c>
      <c r="H128">
        <v>29.652480000000001</v>
      </c>
      <c r="I128">
        <v>1716</v>
      </c>
      <c r="J128">
        <v>66</v>
      </c>
      <c r="K128" t="s">
        <v>7039</v>
      </c>
      <c r="L128" t="s">
        <v>123</v>
      </c>
      <c r="N128" s="1520"/>
      <c r="O128" s="1520"/>
      <c r="P128" s="1520"/>
      <c r="Q128" s="1520"/>
      <c r="R128" s="1520"/>
      <c r="S128" s="1520"/>
      <c r="T128" s="1520"/>
      <c r="U128">
        <v>14</v>
      </c>
      <c r="V128" s="1520" t="s">
        <v>68</v>
      </c>
    </row>
    <row r="129" spans="1:22">
      <c r="A129" t="s">
        <v>7537</v>
      </c>
      <c r="B129" t="s">
        <v>68</v>
      </c>
      <c r="C129" t="s">
        <v>713</v>
      </c>
      <c r="D129" t="s">
        <v>7538</v>
      </c>
      <c r="E129" t="s">
        <v>1300</v>
      </c>
      <c r="F129">
        <v>720</v>
      </c>
      <c r="G129">
        <v>594</v>
      </c>
      <c r="H129">
        <v>0.42768</v>
      </c>
      <c r="I129">
        <v>18</v>
      </c>
      <c r="J129">
        <v>1</v>
      </c>
      <c r="K129" t="s">
        <v>7039</v>
      </c>
      <c r="L129" t="s">
        <v>123</v>
      </c>
      <c r="M129" t="s">
        <v>68</v>
      </c>
      <c r="N129" s="1520"/>
      <c r="O129" s="1520"/>
      <c r="P129" s="1520"/>
      <c r="Q129" s="1520"/>
      <c r="R129" s="1520"/>
      <c r="S129" s="1520"/>
      <c r="T129" s="1520"/>
      <c r="U129">
        <v>14</v>
      </c>
      <c r="V129" s="1520">
        <v>46355</v>
      </c>
    </row>
    <row r="130" spans="1:22">
      <c r="A130" t="s">
        <v>7584</v>
      </c>
      <c r="B130" t="s">
        <v>68</v>
      </c>
      <c r="C130" t="s">
        <v>4540</v>
      </c>
      <c r="D130" t="s">
        <v>6245</v>
      </c>
      <c r="E130" t="s">
        <v>330</v>
      </c>
      <c r="F130">
        <v>625</v>
      </c>
      <c r="G130">
        <v>2880</v>
      </c>
      <c r="H130">
        <v>1.8</v>
      </c>
      <c r="I130">
        <v>80</v>
      </c>
      <c r="J130">
        <v>4</v>
      </c>
      <c r="K130" t="s">
        <v>7039</v>
      </c>
      <c r="L130" t="s">
        <v>122</v>
      </c>
      <c r="M130" t="s">
        <v>68</v>
      </c>
      <c r="N130" s="1520"/>
      <c r="O130" s="1520"/>
      <c r="P130" s="1520" t="s">
        <v>2480</v>
      </c>
      <c r="Q130" s="1520"/>
      <c r="R130" s="1520"/>
      <c r="S130" s="1520"/>
      <c r="T130" s="1520"/>
      <c r="U130">
        <v>14</v>
      </c>
      <c r="V130" s="1520" t="s">
        <v>68</v>
      </c>
    </row>
    <row r="131" spans="1:22">
      <c r="A131" t="s">
        <v>7694</v>
      </c>
      <c r="B131" t="s">
        <v>68</v>
      </c>
      <c r="C131" t="s">
        <v>4495</v>
      </c>
      <c r="D131" t="s">
        <v>7695</v>
      </c>
      <c r="E131" t="s">
        <v>7245</v>
      </c>
      <c r="F131">
        <v>650</v>
      </c>
      <c r="G131">
        <v>7776</v>
      </c>
      <c r="H131">
        <v>5.0544000000000002</v>
      </c>
      <c r="I131">
        <v>216</v>
      </c>
      <c r="J131">
        <v>10.8</v>
      </c>
      <c r="K131" t="s">
        <v>7039</v>
      </c>
      <c r="L131" t="s">
        <v>123</v>
      </c>
      <c r="M131" t="s">
        <v>68</v>
      </c>
      <c r="N131" s="1520"/>
      <c r="O131" s="1520"/>
      <c r="P131" s="1520"/>
      <c r="Q131" s="1520"/>
      <c r="R131" s="1520"/>
      <c r="S131" s="1520"/>
      <c r="T131" s="1520"/>
      <c r="U131">
        <v>14</v>
      </c>
      <c r="V131" s="1520" t="s">
        <v>68</v>
      </c>
    </row>
    <row r="132" spans="1:22">
      <c r="A132" t="s">
        <v>7601</v>
      </c>
      <c r="B132" t="s">
        <v>68</v>
      </c>
      <c r="C132" t="s">
        <v>4540</v>
      </c>
      <c r="D132" t="s">
        <v>7049</v>
      </c>
      <c r="E132" t="s">
        <v>7050</v>
      </c>
      <c r="F132">
        <v>505</v>
      </c>
      <c r="G132">
        <v>1728</v>
      </c>
      <c r="H132">
        <v>0.87263999999999997</v>
      </c>
      <c r="I132">
        <v>48</v>
      </c>
      <c r="J132">
        <v>2</v>
      </c>
      <c r="K132" t="s">
        <v>7039</v>
      </c>
      <c r="L132" t="s">
        <v>61</v>
      </c>
      <c r="M132" t="s">
        <v>68</v>
      </c>
      <c r="N132" s="1520"/>
      <c r="O132" s="1520"/>
      <c r="P132" s="1520" t="s">
        <v>2480</v>
      </c>
      <c r="Q132" s="1520"/>
      <c r="R132" s="1520"/>
      <c r="S132" s="1520"/>
      <c r="T132" s="1520"/>
      <c r="U132">
        <v>14</v>
      </c>
      <c r="V132" s="1520" t="s">
        <v>68</v>
      </c>
    </row>
    <row r="133" spans="1:22">
      <c r="A133" t="s">
        <v>7619</v>
      </c>
      <c r="B133" t="s">
        <v>68</v>
      </c>
      <c r="C133" t="s">
        <v>4540</v>
      </c>
      <c r="D133" t="s">
        <v>7330</v>
      </c>
      <c r="E133" t="s">
        <v>1484</v>
      </c>
      <c r="F133">
        <v>725</v>
      </c>
      <c r="G133">
        <v>4752</v>
      </c>
      <c r="H133">
        <v>3.4451999999999998</v>
      </c>
      <c r="I133">
        <v>144</v>
      </c>
      <c r="J133">
        <v>8</v>
      </c>
      <c r="K133" t="s">
        <v>7039</v>
      </c>
      <c r="L133" t="s">
        <v>123</v>
      </c>
      <c r="N133" s="1520"/>
      <c r="O133" s="1520"/>
      <c r="P133" s="1520"/>
      <c r="Q133" s="1520"/>
      <c r="R133" s="1520"/>
      <c r="S133" s="1520"/>
      <c r="T133" s="1520"/>
      <c r="U133">
        <v>14</v>
      </c>
      <c r="V133" s="1520" t="s">
        <v>68</v>
      </c>
    </row>
    <row r="134" spans="1:22">
      <c r="A134" t="s">
        <v>7635</v>
      </c>
      <c r="B134" t="s">
        <v>68</v>
      </c>
      <c r="C134" t="s">
        <v>4540</v>
      </c>
      <c r="D134" t="s">
        <v>7336</v>
      </c>
      <c r="E134" t="s">
        <v>1682</v>
      </c>
      <c r="F134">
        <v>730</v>
      </c>
      <c r="G134">
        <v>594</v>
      </c>
      <c r="H134">
        <v>0.43362000000000001</v>
      </c>
      <c r="I134">
        <v>18</v>
      </c>
      <c r="J134">
        <v>1</v>
      </c>
      <c r="K134" t="s">
        <v>7039</v>
      </c>
      <c r="L134" t="s">
        <v>123</v>
      </c>
      <c r="N134" s="1520"/>
      <c r="O134" s="1520"/>
      <c r="P134" s="1520"/>
      <c r="Q134" s="1520"/>
      <c r="R134" s="1520"/>
      <c r="S134" s="1520"/>
      <c r="T134" s="1520"/>
      <c r="U134">
        <v>14</v>
      </c>
      <c r="V134" s="1520" t="s">
        <v>68</v>
      </c>
    </row>
    <row r="135" spans="1:22">
      <c r="A135" t="s">
        <v>7805</v>
      </c>
      <c r="B135" t="s">
        <v>68</v>
      </c>
      <c r="C135" t="s">
        <v>5388</v>
      </c>
      <c r="D135" t="s">
        <v>7266</v>
      </c>
      <c r="E135" t="s">
        <v>7267</v>
      </c>
      <c r="F135">
        <v>480</v>
      </c>
      <c r="G135">
        <v>12168</v>
      </c>
      <c r="H135">
        <v>5.8406399999999996</v>
      </c>
      <c r="I135">
        <v>338</v>
      </c>
      <c r="J135">
        <v>13</v>
      </c>
      <c r="K135" t="s">
        <v>7039</v>
      </c>
      <c r="L135" t="s">
        <v>123</v>
      </c>
      <c r="N135" s="1520"/>
      <c r="O135" s="1520"/>
      <c r="P135" s="1520"/>
      <c r="Q135" s="1520"/>
      <c r="R135" s="1520"/>
      <c r="S135" s="1520"/>
      <c r="T135" s="1520"/>
      <c r="U135">
        <v>14</v>
      </c>
      <c r="V135" s="1520" t="s">
        <v>68</v>
      </c>
    </row>
    <row r="136" spans="1:22">
      <c r="A136" t="s">
        <v>7647</v>
      </c>
      <c r="B136" t="s">
        <v>68</v>
      </c>
      <c r="C136" t="s">
        <v>4540</v>
      </c>
      <c r="D136" t="s">
        <v>71</v>
      </c>
      <c r="E136" t="s">
        <v>72</v>
      </c>
      <c r="F136">
        <v>500</v>
      </c>
      <c r="G136">
        <v>5184</v>
      </c>
      <c r="H136">
        <v>2.5920000000000001</v>
      </c>
      <c r="I136">
        <v>144</v>
      </c>
      <c r="J136">
        <v>6</v>
      </c>
      <c r="K136" t="s">
        <v>7039</v>
      </c>
      <c r="L136" t="s">
        <v>61</v>
      </c>
      <c r="M136" t="s">
        <v>68</v>
      </c>
      <c r="N136" s="1520"/>
      <c r="O136" s="1520"/>
      <c r="P136" s="1520"/>
      <c r="Q136" s="1520"/>
      <c r="R136" s="1520"/>
      <c r="S136" s="1520"/>
      <c r="T136" s="1520"/>
      <c r="U136">
        <v>14</v>
      </c>
      <c r="V136" s="1520" t="s">
        <v>68</v>
      </c>
    </row>
    <row r="137" spans="1:22">
      <c r="A137" t="s">
        <v>7282</v>
      </c>
      <c r="B137" t="s">
        <v>68</v>
      </c>
      <c r="C137" t="s">
        <v>284</v>
      </c>
      <c r="D137" t="s">
        <v>5860</v>
      </c>
      <c r="E137" t="s">
        <v>5861</v>
      </c>
      <c r="F137">
        <v>485</v>
      </c>
      <c r="G137">
        <v>-72</v>
      </c>
      <c r="H137">
        <v>-3.492E-2</v>
      </c>
      <c r="I137">
        <v>-2</v>
      </c>
      <c r="J137">
        <v>-7.6923076923076927E-2</v>
      </c>
      <c r="K137" t="s">
        <v>7039</v>
      </c>
      <c r="L137" t="s">
        <v>123</v>
      </c>
      <c r="M137" t="s">
        <v>68</v>
      </c>
      <c r="N137" s="1520"/>
      <c r="O137" s="1520"/>
      <c r="P137" s="1520"/>
      <c r="Q137" s="1520"/>
      <c r="R137" s="1520"/>
      <c r="S137" s="1520"/>
      <c r="T137" s="1520"/>
      <c r="U137">
        <v>14</v>
      </c>
      <c r="V137" s="1520" t="s">
        <v>68</v>
      </c>
    </row>
    <row r="138" spans="1:22">
      <c r="A138" t="s">
        <v>7780</v>
      </c>
      <c r="B138" t="s">
        <v>68</v>
      </c>
      <c r="C138" t="s">
        <v>5388</v>
      </c>
      <c r="D138" t="s">
        <v>7781</v>
      </c>
      <c r="E138" t="s">
        <v>7782</v>
      </c>
      <c r="F138">
        <v>485</v>
      </c>
      <c r="G138">
        <v>82368</v>
      </c>
      <c r="H138">
        <v>39.948480000000004</v>
      </c>
      <c r="I138">
        <v>2288</v>
      </c>
      <c r="J138">
        <v>88</v>
      </c>
      <c r="K138" t="s">
        <v>7039</v>
      </c>
      <c r="L138" t="s">
        <v>123</v>
      </c>
      <c r="N138" s="1520"/>
      <c r="O138" s="1520"/>
      <c r="P138" s="1520"/>
      <c r="Q138" s="1520"/>
      <c r="R138" s="1520"/>
      <c r="S138" s="1520"/>
      <c r="T138" s="1520"/>
      <c r="U138">
        <v>14</v>
      </c>
      <c r="V138" s="1520" t="s">
        <v>68</v>
      </c>
    </row>
    <row r="139" spans="1:22">
      <c r="A139" t="s">
        <v>7806</v>
      </c>
      <c r="B139" t="s">
        <v>68</v>
      </c>
      <c r="C139" t="s">
        <v>5388</v>
      </c>
      <c r="D139" t="s">
        <v>7319</v>
      </c>
      <c r="E139" t="s">
        <v>7320</v>
      </c>
      <c r="F139">
        <v>485</v>
      </c>
      <c r="G139">
        <v>8424</v>
      </c>
      <c r="H139">
        <v>4.0856399999999997</v>
      </c>
      <c r="I139">
        <v>234</v>
      </c>
      <c r="J139">
        <v>9</v>
      </c>
      <c r="K139" t="s">
        <v>7039</v>
      </c>
      <c r="L139" t="s">
        <v>123</v>
      </c>
      <c r="N139" s="1520"/>
      <c r="O139" s="1520"/>
      <c r="P139" s="1520"/>
      <c r="Q139" s="1520"/>
      <c r="R139" s="1520"/>
      <c r="S139" s="1520"/>
      <c r="T139" s="1520"/>
      <c r="U139">
        <v>14</v>
      </c>
      <c r="V139" s="1520" t="s">
        <v>68</v>
      </c>
    </row>
    <row r="140" spans="1:22">
      <c r="A140" t="s">
        <v>8500</v>
      </c>
      <c r="D140" t="s">
        <v>8501</v>
      </c>
      <c r="E140" t="s">
        <v>8502</v>
      </c>
      <c r="G140">
        <v>5</v>
      </c>
      <c r="N140" s="1520"/>
      <c r="O140" s="1520"/>
      <c r="P140" s="1520"/>
      <c r="Q140" s="1520"/>
      <c r="R140" s="1520"/>
      <c r="S140" s="1520"/>
      <c r="T140" s="1520"/>
      <c r="U140">
        <v>14</v>
      </c>
      <c r="V140" s="1520">
        <v>13</v>
      </c>
    </row>
    <row r="141" spans="1:22">
      <c r="A141" t="s">
        <v>8550</v>
      </c>
      <c r="B141" t="s">
        <v>68</v>
      </c>
      <c r="D141" t="s">
        <v>8551</v>
      </c>
      <c r="E141" t="s">
        <v>8552</v>
      </c>
      <c r="G141">
        <v>1</v>
      </c>
      <c r="J141">
        <v>5.5555555555555552E-2</v>
      </c>
      <c r="L141" t="s">
        <v>288</v>
      </c>
      <c r="M141" t="s">
        <v>8535</v>
      </c>
      <c r="N141" s="1520"/>
      <c r="O141" s="1520"/>
      <c r="P141" s="1520"/>
      <c r="Q141" s="1520"/>
      <c r="R141" s="1520"/>
      <c r="S141" s="1520"/>
      <c r="T141" s="1520"/>
      <c r="U141">
        <v>14</v>
      </c>
      <c r="V141" s="1520">
        <v>13</v>
      </c>
    </row>
    <row r="142" spans="1:22">
      <c r="A142" t="s">
        <v>8547</v>
      </c>
      <c r="B142" t="s">
        <v>68</v>
      </c>
      <c r="D142" t="s">
        <v>8548</v>
      </c>
      <c r="E142" t="s">
        <v>8549</v>
      </c>
      <c r="G142">
        <v>1</v>
      </c>
      <c r="J142">
        <v>5.5555555555555552E-2</v>
      </c>
      <c r="L142" t="s">
        <v>288</v>
      </c>
      <c r="M142" t="s">
        <v>8535</v>
      </c>
      <c r="N142" s="1520"/>
      <c r="O142" s="1520"/>
      <c r="P142" s="1520"/>
      <c r="Q142" s="1520"/>
      <c r="R142" s="1520"/>
      <c r="S142" s="1520"/>
      <c r="T142" s="1520"/>
      <c r="U142">
        <v>14</v>
      </c>
      <c r="V142" s="1520">
        <v>13</v>
      </c>
    </row>
    <row r="143" spans="1:22">
      <c r="A143" t="s">
        <v>8533</v>
      </c>
      <c r="B143" t="s">
        <v>68</v>
      </c>
      <c r="D143" t="s">
        <v>8459</v>
      </c>
      <c r="E143" t="s">
        <v>8534</v>
      </c>
      <c r="G143">
        <v>7</v>
      </c>
      <c r="J143">
        <v>0.3888888888888889</v>
      </c>
      <c r="L143" t="s">
        <v>288</v>
      </c>
      <c r="M143" t="s">
        <v>8535</v>
      </c>
      <c r="N143" s="1520"/>
      <c r="O143" s="1520"/>
      <c r="P143" s="1520"/>
      <c r="Q143" s="1520"/>
      <c r="R143" s="1520"/>
      <c r="S143" s="1520"/>
      <c r="T143" s="1520"/>
      <c r="U143">
        <v>14</v>
      </c>
      <c r="V143" s="1520">
        <v>13</v>
      </c>
    </row>
    <row r="144" spans="1:22">
      <c r="A144" t="s">
        <v>8536</v>
      </c>
      <c r="B144" t="s">
        <v>68</v>
      </c>
      <c r="D144" t="s">
        <v>8537</v>
      </c>
      <c r="E144" t="s">
        <v>8539</v>
      </c>
      <c r="G144">
        <v>1</v>
      </c>
      <c r="J144">
        <v>5.5555555555555552E-2</v>
      </c>
      <c r="L144" t="s">
        <v>288</v>
      </c>
      <c r="M144" t="s">
        <v>8535</v>
      </c>
      <c r="N144" s="1520"/>
      <c r="O144" s="1520"/>
      <c r="P144" s="1520"/>
      <c r="Q144" s="1520"/>
      <c r="R144" s="1520"/>
      <c r="S144" s="1520"/>
      <c r="T144" s="1520"/>
      <c r="U144">
        <v>14</v>
      </c>
      <c r="V144" s="1520">
        <v>13</v>
      </c>
    </row>
    <row r="145" spans="1:22">
      <c r="A145" t="s">
        <v>8540</v>
      </c>
      <c r="B145" t="s">
        <v>68</v>
      </c>
      <c r="D145" t="s">
        <v>8459</v>
      </c>
      <c r="E145" t="s">
        <v>8534</v>
      </c>
      <c r="G145">
        <v>3</v>
      </c>
      <c r="J145">
        <v>0.16666666666666666</v>
      </c>
      <c r="L145" t="s">
        <v>288</v>
      </c>
      <c r="M145" t="s">
        <v>8535</v>
      </c>
      <c r="N145" s="1520"/>
      <c r="O145" s="1520"/>
      <c r="P145" s="1520"/>
      <c r="Q145" s="1520"/>
      <c r="R145" s="1520"/>
      <c r="S145" s="1520"/>
      <c r="T145" s="1520"/>
      <c r="U145">
        <v>14</v>
      </c>
      <c r="V145" s="1520">
        <v>13</v>
      </c>
    </row>
    <row r="146" spans="1:22">
      <c r="A146" t="s">
        <v>8541</v>
      </c>
      <c r="B146" t="s">
        <v>68</v>
      </c>
      <c r="D146" t="s">
        <v>8542</v>
      </c>
      <c r="E146" t="s">
        <v>8543</v>
      </c>
      <c r="G146">
        <v>4</v>
      </c>
      <c r="J146">
        <v>0.22222222222222221</v>
      </c>
      <c r="L146" t="s">
        <v>288</v>
      </c>
      <c r="M146" t="s">
        <v>8535</v>
      </c>
      <c r="N146" s="1520"/>
      <c r="O146" s="1520"/>
      <c r="P146" s="1520"/>
      <c r="Q146" s="1520"/>
      <c r="R146" s="1520"/>
      <c r="S146" s="1520"/>
      <c r="T146" s="1520"/>
      <c r="U146">
        <v>14</v>
      </c>
      <c r="V146" s="1520">
        <v>13</v>
      </c>
    </row>
    <row r="147" spans="1:22">
      <c r="A147" t="s">
        <v>8544</v>
      </c>
      <c r="B147" t="s">
        <v>68</v>
      </c>
      <c r="D147" t="s">
        <v>8545</v>
      </c>
      <c r="E147" t="s">
        <v>8546</v>
      </c>
      <c r="G147">
        <v>1</v>
      </c>
      <c r="J147">
        <v>5.5555555555555552E-2</v>
      </c>
      <c r="L147" t="s">
        <v>288</v>
      </c>
      <c r="M147" t="s">
        <v>8535</v>
      </c>
      <c r="N147" s="1520"/>
      <c r="O147" s="1520"/>
      <c r="P147" s="1520"/>
      <c r="Q147" s="1520"/>
      <c r="R147" s="1520"/>
      <c r="S147" s="1520"/>
      <c r="T147" s="1520"/>
      <c r="U147">
        <v>14</v>
      </c>
      <c r="V147" s="1520">
        <v>13</v>
      </c>
    </row>
    <row r="148" spans="1:22">
      <c r="A148" t="s">
        <v>8365</v>
      </c>
      <c r="B148" t="s">
        <v>100</v>
      </c>
      <c r="D148" t="s">
        <v>8414</v>
      </c>
      <c r="E148" t="s">
        <v>8415</v>
      </c>
      <c r="G148">
        <v>9</v>
      </c>
      <c r="J148">
        <v>6.25E-2</v>
      </c>
      <c r="K148" t="s">
        <v>8367</v>
      </c>
      <c r="L148" t="s">
        <v>288</v>
      </c>
      <c r="M148" t="s">
        <v>105</v>
      </c>
      <c r="N148" s="1520"/>
      <c r="O148" s="1520"/>
      <c r="P148" s="1520"/>
      <c r="Q148" s="1520"/>
      <c r="R148" s="1520"/>
      <c r="S148" s="1520"/>
      <c r="T148" s="1520"/>
      <c r="U148">
        <v>7</v>
      </c>
      <c r="V148" s="1520">
        <v>46346</v>
      </c>
    </row>
    <row r="149" spans="1:22">
      <c r="A149" t="s">
        <v>8417</v>
      </c>
      <c r="B149" t="s">
        <v>100</v>
      </c>
      <c r="D149" t="s">
        <v>8418</v>
      </c>
      <c r="E149" t="s">
        <v>8419</v>
      </c>
      <c r="G149">
        <v>18</v>
      </c>
      <c r="J149">
        <v>0.125</v>
      </c>
      <c r="K149" t="s">
        <v>8367</v>
      </c>
      <c r="L149" t="s">
        <v>288</v>
      </c>
      <c r="M149" t="s">
        <v>105</v>
      </c>
      <c r="N149" s="1520"/>
      <c r="O149" s="1520"/>
      <c r="P149" s="1520"/>
      <c r="Q149" s="1520"/>
      <c r="R149" s="1520"/>
      <c r="S149" s="1520"/>
      <c r="T149" s="1520"/>
      <c r="U149">
        <v>7</v>
      </c>
      <c r="V149" s="1520">
        <v>46346</v>
      </c>
    </row>
    <row r="150" spans="1:22">
      <c r="A150" t="s">
        <v>8420</v>
      </c>
      <c r="B150" t="s">
        <v>100</v>
      </c>
      <c r="D150" t="s">
        <v>8421</v>
      </c>
      <c r="E150" t="s">
        <v>8422</v>
      </c>
      <c r="G150">
        <v>18</v>
      </c>
      <c r="J150">
        <v>0.125</v>
      </c>
      <c r="K150" t="s">
        <v>8367</v>
      </c>
      <c r="L150" t="s">
        <v>288</v>
      </c>
      <c r="M150" t="s">
        <v>105</v>
      </c>
      <c r="N150" s="1520"/>
      <c r="O150" s="1520"/>
      <c r="P150" s="1520"/>
      <c r="Q150" s="1520"/>
      <c r="R150" s="1520"/>
      <c r="S150" s="1520"/>
      <c r="T150" s="1520"/>
      <c r="U150">
        <v>7</v>
      </c>
      <c r="V150" s="1520">
        <v>46346</v>
      </c>
    </row>
    <row r="151" spans="1:22">
      <c r="A151" t="s">
        <v>8423</v>
      </c>
      <c r="B151" t="s">
        <v>100</v>
      </c>
      <c r="D151" t="s">
        <v>8424</v>
      </c>
      <c r="E151" t="s">
        <v>8425</v>
      </c>
      <c r="G151">
        <v>60</v>
      </c>
      <c r="J151">
        <v>0.41666666666666669</v>
      </c>
      <c r="K151" t="s">
        <v>8367</v>
      </c>
      <c r="L151" t="s">
        <v>288</v>
      </c>
      <c r="M151" t="s">
        <v>105</v>
      </c>
      <c r="N151" s="1520"/>
      <c r="O151" s="1520"/>
      <c r="P151" s="1520"/>
      <c r="Q151" s="1520"/>
      <c r="R151" s="1520"/>
      <c r="S151" s="1520"/>
      <c r="T151" s="1520"/>
      <c r="U151">
        <v>7</v>
      </c>
      <c r="V151" s="1520">
        <v>46346</v>
      </c>
    </row>
    <row r="152" spans="1:22">
      <c r="A152" t="s">
        <v>8426</v>
      </c>
      <c r="B152" t="s">
        <v>100</v>
      </c>
      <c r="D152" t="s">
        <v>8427</v>
      </c>
      <c r="E152" t="s">
        <v>8429</v>
      </c>
      <c r="G152">
        <v>24</v>
      </c>
      <c r="J152">
        <v>0.16666666666666666</v>
      </c>
      <c r="K152" t="s">
        <v>8367</v>
      </c>
      <c r="L152" t="s">
        <v>288</v>
      </c>
      <c r="M152" t="s">
        <v>105</v>
      </c>
      <c r="N152" s="1520"/>
      <c r="O152" s="1520"/>
      <c r="P152" s="1520"/>
      <c r="Q152" s="1520"/>
      <c r="R152" s="1520"/>
      <c r="S152" s="1520"/>
      <c r="T152" s="1520"/>
      <c r="U152">
        <v>7</v>
      </c>
      <c r="V152" s="1520">
        <v>46346</v>
      </c>
    </row>
    <row r="153" spans="1:22">
      <c r="A153" t="s">
        <v>8430</v>
      </c>
      <c r="B153" t="s">
        <v>100</v>
      </c>
      <c r="D153" t="s">
        <v>8432</v>
      </c>
      <c r="E153" t="s">
        <v>8434</v>
      </c>
      <c r="G153">
        <v>15</v>
      </c>
      <c r="J153">
        <v>0.10416666666666667</v>
      </c>
      <c r="K153" t="s">
        <v>8367</v>
      </c>
      <c r="L153" t="s">
        <v>288</v>
      </c>
      <c r="M153" t="s">
        <v>105</v>
      </c>
      <c r="N153" s="1520"/>
      <c r="O153" s="1520"/>
      <c r="P153" s="1520"/>
      <c r="Q153" s="1520"/>
      <c r="R153" s="1520"/>
      <c r="S153" s="1520"/>
      <c r="T153" s="1520"/>
      <c r="U153">
        <v>7</v>
      </c>
      <c r="V153" s="1520">
        <v>46346</v>
      </c>
    </row>
    <row r="154" spans="1:22">
      <c r="A154" t="s">
        <v>8565</v>
      </c>
      <c r="B154" t="s">
        <v>310</v>
      </c>
      <c r="D154" t="s">
        <v>7828</v>
      </c>
      <c r="E154" t="s">
        <v>7830</v>
      </c>
      <c r="G154">
        <v>130</v>
      </c>
      <c r="J154">
        <v>0.5</v>
      </c>
      <c r="K154" t="s">
        <v>8529</v>
      </c>
      <c r="L154" t="s">
        <v>122</v>
      </c>
      <c r="M154" t="s">
        <v>314</v>
      </c>
      <c r="N154" s="1520"/>
      <c r="O154" s="1520"/>
      <c r="P154" s="1520"/>
      <c r="Q154" s="1520">
        <v>46372</v>
      </c>
      <c r="R154" s="1520"/>
      <c r="S154" s="1520"/>
      <c r="T154" s="1520"/>
      <c r="U154">
        <v>10</v>
      </c>
      <c r="V154" s="1520">
        <v>46382</v>
      </c>
    </row>
    <row r="155" spans="1:22">
      <c r="A155" t="s">
        <v>8568</v>
      </c>
      <c r="B155" t="s">
        <v>310</v>
      </c>
      <c r="D155" t="s">
        <v>7840</v>
      </c>
      <c r="E155" t="s">
        <v>7842</v>
      </c>
      <c r="G155">
        <v>130</v>
      </c>
      <c r="J155">
        <v>0.5</v>
      </c>
      <c r="K155" t="s">
        <v>8529</v>
      </c>
      <c r="L155" t="s">
        <v>122</v>
      </c>
      <c r="M155" t="s">
        <v>314</v>
      </c>
      <c r="N155" s="1520"/>
      <c r="O155" s="1520"/>
      <c r="P155" s="1520"/>
      <c r="Q155" s="1520">
        <v>46372</v>
      </c>
      <c r="R155" s="1520"/>
      <c r="S155" s="1520"/>
      <c r="T155" s="1520"/>
      <c r="U155">
        <v>10</v>
      </c>
      <c r="V155" s="1520">
        <v>46382</v>
      </c>
    </row>
    <row r="156" spans="1:22">
      <c r="A156" t="s">
        <v>8559</v>
      </c>
      <c r="B156" t="s">
        <v>65</v>
      </c>
      <c r="D156" t="s">
        <v>7840</v>
      </c>
      <c r="E156" t="s">
        <v>7842</v>
      </c>
      <c r="G156">
        <v>34</v>
      </c>
      <c r="J156">
        <v>0.13076923076923078</v>
      </c>
      <c r="K156" t="s">
        <v>8529</v>
      </c>
      <c r="L156" t="s">
        <v>122</v>
      </c>
      <c r="M156" t="s">
        <v>78</v>
      </c>
      <c r="N156" s="1520"/>
      <c r="O156" s="1520"/>
      <c r="P156" s="1520"/>
      <c r="Q156" s="1520">
        <v>46384</v>
      </c>
      <c r="R156" s="1520"/>
      <c r="S156" s="1520"/>
      <c r="T156" s="1520"/>
      <c r="U156">
        <v>8</v>
      </c>
      <c r="V156" s="1520">
        <v>46392</v>
      </c>
    </row>
    <row r="157" spans="1:22">
      <c r="A157" t="s">
        <v>8557</v>
      </c>
      <c r="B157" t="s">
        <v>65</v>
      </c>
      <c r="D157" t="s">
        <v>7837</v>
      </c>
      <c r="E157" t="s">
        <v>7838</v>
      </c>
      <c r="G157">
        <v>2</v>
      </c>
      <c r="J157">
        <v>7.6923076923076927E-3</v>
      </c>
      <c r="K157" t="s">
        <v>8529</v>
      </c>
      <c r="L157" t="s">
        <v>122</v>
      </c>
      <c r="M157" t="s">
        <v>78</v>
      </c>
      <c r="N157" s="1520"/>
      <c r="O157" s="1520"/>
      <c r="P157" s="1520"/>
      <c r="Q157" s="1520">
        <v>46384</v>
      </c>
      <c r="R157" s="1520"/>
      <c r="S157" s="1520"/>
      <c r="T157" s="1520"/>
      <c r="U157">
        <v>8</v>
      </c>
      <c r="V157" s="1520">
        <v>46392</v>
      </c>
    </row>
    <row r="158" spans="1:22">
      <c r="A158" t="s">
        <v>8558</v>
      </c>
      <c r="B158" t="s">
        <v>65</v>
      </c>
      <c r="D158" t="s">
        <v>7840</v>
      </c>
      <c r="E158" t="s">
        <v>7842</v>
      </c>
      <c r="G158">
        <v>96</v>
      </c>
      <c r="J158">
        <v>0.36923076923076925</v>
      </c>
      <c r="K158" t="s">
        <v>8529</v>
      </c>
      <c r="L158" t="s">
        <v>122</v>
      </c>
      <c r="M158" t="s">
        <v>78</v>
      </c>
      <c r="N158" s="1520"/>
      <c r="O158" s="1520"/>
      <c r="P158" s="1520"/>
      <c r="Q158" s="1520">
        <v>46384</v>
      </c>
      <c r="R158" s="1520"/>
      <c r="S158" s="1520"/>
      <c r="T158" s="1520"/>
      <c r="U158">
        <v>8</v>
      </c>
      <c r="V158" s="1520">
        <v>46392</v>
      </c>
    </row>
    <row r="159" spans="1:22">
      <c r="A159" t="s">
        <v>8555</v>
      </c>
      <c r="B159" t="s">
        <v>65</v>
      </c>
      <c r="D159" t="s">
        <v>7828</v>
      </c>
      <c r="E159" t="s">
        <v>7830</v>
      </c>
      <c r="G159">
        <v>28</v>
      </c>
      <c r="J159">
        <v>0.1076923076923077</v>
      </c>
      <c r="K159" t="s">
        <v>8529</v>
      </c>
      <c r="L159" t="s">
        <v>122</v>
      </c>
      <c r="M159" t="s">
        <v>78</v>
      </c>
      <c r="N159" s="1520"/>
      <c r="O159" s="1520"/>
      <c r="P159" s="1520"/>
      <c r="Q159" s="1520">
        <v>46384</v>
      </c>
      <c r="R159" s="1520"/>
      <c r="S159" s="1520"/>
      <c r="T159" s="1520"/>
      <c r="U159">
        <v>8</v>
      </c>
      <c r="V159" s="1520">
        <v>46392</v>
      </c>
    </row>
    <row r="160" spans="1:22">
      <c r="A160" t="s">
        <v>8553</v>
      </c>
      <c r="B160" t="s">
        <v>65</v>
      </c>
      <c r="D160" t="s">
        <v>7828</v>
      </c>
      <c r="E160" t="s">
        <v>7830</v>
      </c>
      <c r="G160">
        <v>22</v>
      </c>
      <c r="J160">
        <v>8.461538461538462E-2</v>
      </c>
      <c r="K160" t="s">
        <v>8529</v>
      </c>
      <c r="L160" t="s">
        <v>122</v>
      </c>
      <c r="M160" t="s">
        <v>78</v>
      </c>
      <c r="N160" s="1520"/>
      <c r="O160" s="1520"/>
      <c r="P160" s="1520"/>
      <c r="Q160" s="1520">
        <v>46384</v>
      </c>
      <c r="R160" s="1520"/>
      <c r="S160" s="1520"/>
      <c r="T160" s="1520"/>
      <c r="U160">
        <v>8</v>
      </c>
      <c r="V160" s="1520">
        <v>46392</v>
      </c>
    </row>
    <row r="161" spans="1:22">
      <c r="A161" t="s">
        <v>8556</v>
      </c>
      <c r="B161" t="s">
        <v>65</v>
      </c>
      <c r="D161" t="s">
        <v>7837</v>
      </c>
      <c r="E161" t="s">
        <v>7838</v>
      </c>
      <c r="G161">
        <v>78</v>
      </c>
      <c r="J161">
        <v>0.3</v>
      </c>
      <c r="K161" t="s">
        <v>8529</v>
      </c>
      <c r="L161" t="s">
        <v>122</v>
      </c>
      <c r="M161" t="s">
        <v>78</v>
      </c>
      <c r="N161" s="1520"/>
      <c r="O161" s="1520"/>
      <c r="P161" s="1520"/>
      <c r="Q161" s="1520">
        <v>46384</v>
      </c>
      <c r="R161" s="1520"/>
      <c r="S161" s="1520"/>
      <c r="T161" s="1520"/>
      <c r="U161">
        <v>8</v>
      </c>
      <c r="V161" s="1520">
        <v>46392</v>
      </c>
    </row>
    <row r="162" spans="1:22">
      <c r="A162" t="s">
        <v>8528</v>
      </c>
      <c r="B162" t="s">
        <v>310</v>
      </c>
      <c r="D162" t="s">
        <v>7851</v>
      </c>
      <c r="E162" t="s">
        <v>7853</v>
      </c>
      <c r="G162">
        <v>276</v>
      </c>
      <c r="J162">
        <v>1</v>
      </c>
      <c r="K162" t="s">
        <v>8529</v>
      </c>
      <c r="L162" t="s">
        <v>122</v>
      </c>
      <c r="M162" t="s">
        <v>314</v>
      </c>
      <c r="N162" s="1520"/>
      <c r="O162" s="1520"/>
      <c r="P162" s="1520"/>
      <c r="Q162" s="1520">
        <v>46372</v>
      </c>
      <c r="R162" s="1520"/>
      <c r="S162" s="1520"/>
      <c r="T162" s="1520"/>
      <c r="U162">
        <v>10</v>
      </c>
      <c r="V162" s="1520">
        <v>46382</v>
      </c>
    </row>
    <row r="163" spans="1:22">
      <c r="A163" t="s">
        <v>8532</v>
      </c>
      <c r="B163" t="s">
        <v>310</v>
      </c>
      <c r="D163" t="s">
        <v>7851</v>
      </c>
      <c r="E163" t="s">
        <v>7853</v>
      </c>
      <c r="G163">
        <v>276</v>
      </c>
      <c r="J163">
        <v>1</v>
      </c>
      <c r="K163" t="s">
        <v>8529</v>
      </c>
      <c r="L163" t="s">
        <v>122</v>
      </c>
      <c r="M163" t="s">
        <v>314</v>
      </c>
      <c r="N163" s="1520"/>
      <c r="O163" s="1520"/>
      <c r="P163" s="1520"/>
      <c r="Q163" s="1520">
        <v>46372</v>
      </c>
      <c r="R163" s="1520"/>
      <c r="S163" s="1520"/>
      <c r="T163" s="1520"/>
      <c r="U163">
        <v>10</v>
      </c>
      <c r="V163" s="1520">
        <v>46382</v>
      </c>
    </row>
    <row r="164" spans="1:22">
      <c r="A164" t="s">
        <v>8574</v>
      </c>
      <c r="B164" t="s">
        <v>310</v>
      </c>
      <c r="D164" t="s">
        <v>7840</v>
      </c>
      <c r="E164" t="s">
        <v>7842</v>
      </c>
      <c r="G164">
        <v>130</v>
      </c>
      <c r="J164">
        <v>0.5</v>
      </c>
      <c r="K164" t="s">
        <v>8448</v>
      </c>
      <c r="L164" t="s">
        <v>122</v>
      </c>
      <c r="M164" t="s">
        <v>314</v>
      </c>
      <c r="N164" s="1520"/>
      <c r="O164" s="1520"/>
      <c r="P164" s="1520"/>
      <c r="Q164" s="1520">
        <v>46386</v>
      </c>
      <c r="R164" s="1520"/>
      <c r="S164" s="1520"/>
      <c r="T164" s="1520"/>
      <c r="U164">
        <v>10</v>
      </c>
      <c r="V164" s="1520">
        <v>46396</v>
      </c>
    </row>
    <row r="165" spans="1:22">
      <c r="A165" t="s">
        <v>8573</v>
      </c>
      <c r="B165" t="s">
        <v>310</v>
      </c>
      <c r="D165" t="s">
        <v>7828</v>
      </c>
      <c r="E165" t="s">
        <v>7830</v>
      </c>
      <c r="G165">
        <v>130</v>
      </c>
      <c r="J165">
        <v>0.5</v>
      </c>
      <c r="K165" t="s">
        <v>8448</v>
      </c>
      <c r="L165" t="s">
        <v>122</v>
      </c>
      <c r="M165" t="s">
        <v>314</v>
      </c>
      <c r="N165" s="1520"/>
      <c r="O165" s="1520"/>
      <c r="P165" s="1520"/>
      <c r="Q165" s="1520">
        <v>46386</v>
      </c>
      <c r="R165" s="1520"/>
      <c r="S165" s="1520"/>
      <c r="T165" s="1520"/>
      <c r="U165">
        <v>10</v>
      </c>
      <c r="V165" s="1520">
        <v>46396</v>
      </c>
    </row>
    <row r="166" spans="1:22">
      <c r="A166" t="s">
        <v>8569</v>
      </c>
      <c r="B166" t="s">
        <v>310</v>
      </c>
      <c r="D166" t="s">
        <v>7828</v>
      </c>
      <c r="E166" t="s">
        <v>7830</v>
      </c>
      <c r="G166">
        <v>130</v>
      </c>
      <c r="J166">
        <v>0.5</v>
      </c>
      <c r="K166" t="s">
        <v>8448</v>
      </c>
      <c r="L166" t="s">
        <v>122</v>
      </c>
      <c r="M166" t="s">
        <v>314</v>
      </c>
      <c r="N166" s="1520"/>
      <c r="O166" s="1520"/>
      <c r="P166" s="1520"/>
      <c r="Q166" s="1520">
        <v>46386</v>
      </c>
      <c r="R166" s="1520"/>
      <c r="S166" s="1520"/>
      <c r="T166" s="1520"/>
      <c r="U166">
        <v>10</v>
      </c>
      <c r="V166" s="1520">
        <v>46396</v>
      </c>
    </row>
    <row r="167" spans="1:22">
      <c r="A167" t="s">
        <v>8572</v>
      </c>
      <c r="B167" t="s">
        <v>310</v>
      </c>
      <c r="D167" t="s">
        <v>7840</v>
      </c>
      <c r="E167" t="s">
        <v>7842</v>
      </c>
      <c r="G167">
        <v>130</v>
      </c>
      <c r="J167">
        <v>0.5</v>
      </c>
      <c r="K167" t="s">
        <v>8448</v>
      </c>
      <c r="L167" t="s">
        <v>122</v>
      </c>
      <c r="M167" t="s">
        <v>314</v>
      </c>
      <c r="N167" s="1520"/>
      <c r="O167" s="1520"/>
      <c r="P167" s="1520"/>
      <c r="Q167" s="1520">
        <v>46386</v>
      </c>
      <c r="R167" s="1520"/>
      <c r="S167" s="1520"/>
      <c r="T167" s="1520"/>
      <c r="U167">
        <v>10</v>
      </c>
      <c r="V167" s="1520">
        <v>46396</v>
      </c>
    </row>
    <row r="168" spans="1:22">
      <c r="A168" t="s">
        <v>8563</v>
      </c>
      <c r="B168" t="s">
        <v>100</v>
      </c>
      <c r="D168" t="s">
        <v>7862</v>
      </c>
      <c r="E168" t="s">
        <v>7863</v>
      </c>
      <c r="G168">
        <v>4</v>
      </c>
      <c r="J168">
        <v>1.5384615384615385E-2</v>
      </c>
      <c r="K168" t="s">
        <v>8448</v>
      </c>
      <c r="L168" t="s">
        <v>122</v>
      </c>
      <c r="M168" t="s">
        <v>105</v>
      </c>
      <c r="N168" s="1520"/>
      <c r="O168" s="1520"/>
      <c r="P168" s="1520"/>
      <c r="Q168" s="1520"/>
      <c r="R168" s="1520"/>
      <c r="S168" s="1520"/>
      <c r="T168" s="1520"/>
      <c r="U168">
        <v>7</v>
      </c>
      <c r="V168" s="1520">
        <v>46388</v>
      </c>
    </row>
    <row r="169" spans="1:22">
      <c r="A169" t="s">
        <v>8562</v>
      </c>
      <c r="B169" t="s">
        <v>100</v>
      </c>
      <c r="D169" t="s">
        <v>7862</v>
      </c>
      <c r="E169" t="s">
        <v>7863</v>
      </c>
      <c r="G169">
        <v>126</v>
      </c>
      <c r="J169">
        <v>0.48461538461538461</v>
      </c>
      <c r="K169" t="s">
        <v>8448</v>
      </c>
      <c r="L169" t="s">
        <v>122</v>
      </c>
      <c r="M169" t="s">
        <v>105</v>
      </c>
      <c r="N169" s="1520"/>
      <c r="O169" s="1520"/>
      <c r="P169" s="1520"/>
      <c r="Q169" s="1520"/>
      <c r="R169" s="1520"/>
      <c r="S169" s="1520"/>
      <c r="T169" s="1520"/>
      <c r="U169">
        <v>7</v>
      </c>
      <c r="V169" s="1520">
        <v>46388</v>
      </c>
    </row>
    <row r="170" spans="1:22">
      <c r="A170" t="s">
        <v>8561</v>
      </c>
      <c r="B170" t="s">
        <v>65</v>
      </c>
      <c r="D170" t="s">
        <v>7840</v>
      </c>
      <c r="E170" t="s">
        <v>7842</v>
      </c>
      <c r="G170">
        <v>130</v>
      </c>
      <c r="J170">
        <v>0.5</v>
      </c>
      <c r="K170" t="s">
        <v>8448</v>
      </c>
      <c r="L170" t="s">
        <v>122</v>
      </c>
      <c r="M170" t="s">
        <v>78</v>
      </c>
      <c r="N170" s="1520"/>
      <c r="O170" s="1520"/>
      <c r="P170" s="1520"/>
      <c r="Q170" s="1520">
        <v>46384</v>
      </c>
      <c r="R170" s="1520"/>
      <c r="S170" s="1520"/>
      <c r="T170" s="1520"/>
      <c r="U170">
        <v>8</v>
      </c>
      <c r="V170" s="1520">
        <v>46392</v>
      </c>
    </row>
    <row r="171" spans="1:22">
      <c r="A171" t="s">
        <v>8560</v>
      </c>
      <c r="B171" t="s">
        <v>65</v>
      </c>
      <c r="D171" t="s">
        <v>7828</v>
      </c>
      <c r="E171" t="s">
        <v>7830</v>
      </c>
      <c r="G171">
        <v>130</v>
      </c>
      <c r="J171">
        <v>0.5</v>
      </c>
      <c r="K171" t="s">
        <v>8448</v>
      </c>
      <c r="L171" t="s">
        <v>122</v>
      </c>
      <c r="M171" t="s">
        <v>78</v>
      </c>
      <c r="N171" s="1520"/>
      <c r="O171" s="1520"/>
      <c r="P171" s="1520"/>
      <c r="Q171" s="1520">
        <v>46384</v>
      </c>
      <c r="R171" s="1520"/>
      <c r="S171" s="1520"/>
      <c r="T171" s="1520"/>
      <c r="U171">
        <v>8</v>
      </c>
      <c r="V171" s="1520">
        <v>46392</v>
      </c>
    </row>
    <row r="172" spans="1:22">
      <c r="A172" t="s">
        <v>8564</v>
      </c>
      <c r="B172" t="s">
        <v>100</v>
      </c>
      <c r="D172" t="s">
        <v>7840</v>
      </c>
      <c r="E172" t="s">
        <v>7842</v>
      </c>
      <c r="G172">
        <v>130</v>
      </c>
      <c r="J172">
        <v>0.5</v>
      </c>
      <c r="K172" t="s">
        <v>8448</v>
      </c>
      <c r="L172" t="s">
        <v>122</v>
      </c>
      <c r="M172" t="s">
        <v>105</v>
      </c>
      <c r="N172" s="1520"/>
      <c r="O172" s="1520"/>
      <c r="P172" s="1520"/>
      <c r="Q172" s="1520"/>
      <c r="R172" s="1520"/>
      <c r="S172" s="1520"/>
      <c r="T172" s="1520"/>
      <c r="U172">
        <v>7</v>
      </c>
      <c r="V172" s="1520">
        <v>46388</v>
      </c>
    </row>
    <row r="173" spans="1:22">
      <c r="A173" t="s">
        <v>8588</v>
      </c>
      <c r="B173" t="s">
        <v>310</v>
      </c>
      <c r="D173" t="s">
        <v>7851</v>
      </c>
      <c r="E173" t="s">
        <v>7853</v>
      </c>
      <c r="G173">
        <v>24</v>
      </c>
      <c r="J173">
        <v>8.6956521739130432E-2</v>
      </c>
      <c r="K173" t="s">
        <v>8576</v>
      </c>
      <c r="L173" t="s">
        <v>122</v>
      </c>
      <c r="M173" t="s">
        <v>314</v>
      </c>
      <c r="N173" s="1520"/>
      <c r="O173" s="1520"/>
      <c r="P173" s="1520"/>
      <c r="Q173" s="1520">
        <v>46379</v>
      </c>
      <c r="R173" s="1520"/>
      <c r="S173" s="1520"/>
      <c r="T173" s="1520"/>
      <c r="U173">
        <v>10</v>
      </c>
      <c r="V173" s="1520">
        <v>46389</v>
      </c>
    </row>
    <row r="174" spans="1:22">
      <c r="A174" t="s">
        <v>8575</v>
      </c>
      <c r="B174" t="s">
        <v>65</v>
      </c>
      <c r="D174" t="s">
        <v>7828</v>
      </c>
      <c r="E174" t="s">
        <v>7830</v>
      </c>
      <c r="G174">
        <v>130</v>
      </c>
      <c r="J174">
        <v>0.5</v>
      </c>
      <c r="K174" t="s">
        <v>8576</v>
      </c>
      <c r="L174" t="s">
        <v>122</v>
      </c>
      <c r="M174" t="s">
        <v>78</v>
      </c>
      <c r="N174" s="1520"/>
      <c r="O174" s="1520"/>
      <c r="P174" s="1520"/>
      <c r="Q174" s="1520">
        <v>46026</v>
      </c>
      <c r="R174" s="1520"/>
      <c r="S174" s="1520"/>
      <c r="T174" s="1520"/>
      <c r="U174">
        <v>8</v>
      </c>
      <c r="V174" s="1520">
        <v>46034</v>
      </c>
    </row>
    <row r="175" spans="1:22">
      <c r="A175" t="s">
        <v>8578</v>
      </c>
      <c r="B175" t="s">
        <v>65</v>
      </c>
      <c r="D175" t="s">
        <v>7840</v>
      </c>
      <c r="E175" t="s">
        <v>7842</v>
      </c>
      <c r="G175">
        <v>130</v>
      </c>
      <c r="J175">
        <v>0.5</v>
      </c>
      <c r="K175" t="s">
        <v>8576</v>
      </c>
      <c r="L175" t="s">
        <v>122</v>
      </c>
      <c r="M175" t="s">
        <v>78</v>
      </c>
      <c r="N175" s="1520"/>
      <c r="O175" s="1520"/>
      <c r="P175" s="1520"/>
      <c r="Q175" s="1520">
        <v>46026</v>
      </c>
      <c r="R175" s="1520"/>
      <c r="S175" s="1520"/>
      <c r="T175" s="1520"/>
      <c r="U175">
        <v>8</v>
      </c>
      <c r="V175" s="1520">
        <v>46034</v>
      </c>
    </row>
    <row r="176" spans="1:22">
      <c r="A176" t="s">
        <v>8579</v>
      </c>
      <c r="B176" t="s">
        <v>65</v>
      </c>
      <c r="D176" t="s">
        <v>7828</v>
      </c>
      <c r="E176" t="s">
        <v>7830</v>
      </c>
      <c r="G176">
        <v>130</v>
      </c>
      <c r="J176">
        <v>0.5</v>
      </c>
      <c r="K176" t="s">
        <v>8576</v>
      </c>
      <c r="L176" t="s">
        <v>122</v>
      </c>
      <c r="M176" t="s">
        <v>78</v>
      </c>
      <c r="N176" s="1520"/>
      <c r="O176" s="1520"/>
      <c r="P176" s="1520"/>
      <c r="Q176" s="1520"/>
      <c r="R176" s="1520"/>
      <c r="S176" s="1520"/>
      <c r="T176" s="1520"/>
      <c r="U176">
        <v>8</v>
      </c>
      <c r="V176" s="1520">
        <v>46400</v>
      </c>
    </row>
    <row r="177" spans="1:22">
      <c r="A177" t="s">
        <v>8580</v>
      </c>
      <c r="B177" t="s">
        <v>65</v>
      </c>
      <c r="D177" t="s">
        <v>7840</v>
      </c>
      <c r="E177" t="s">
        <v>7842</v>
      </c>
      <c r="G177">
        <v>130</v>
      </c>
      <c r="J177">
        <v>0.5</v>
      </c>
      <c r="K177" t="s">
        <v>8576</v>
      </c>
      <c r="L177" t="s">
        <v>122</v>
      </c>
      <c r="M177" t="s">
        <v>78</v>
      </c>
      <c r="N177" s="1520"/>
      <c r="O177" s="1520"/>
      <c r="P177" s="1520"/>
      <c r="Q177" s="1520"/>
      <c r="R177" s="1520"/>
      <c r="S177" s="1520"/>
      <c r="T177" s="1520"/>
      <c r="U177">
        <v>8</v>
      </c>
      <c r="V177" s="1520">
        <v>46400</v>
      </c>
    </row>
    <row r="178" spans="1:22">
      <c r="A178" t="s">
        <v>8584</v>
      </c>
      <c r="B178" t="s">
        <v>310</v>
      </c>
      <c r="D178" t="s">
        <v>7851</v>
      </c>
      <c r="E178" t="s">
        <v>7853</v>
      </c>
      <c r="G178">
        <v>528</v>
      </c>
      <c r="J178">
        <v>1.9130434782608696</v>
      </c>
      <c r="K178" t="s">
        <v>8576</v>
      </c>
      <c r="L178" t="s">
        <v>122</v>
      </c>
      <c r="M178" t="s">
        <v>314</v>
      </c>
      <c r="N178" s="1520"/>
      <c r="O178" s="1520"/>
      <c r="P178" s="1520"/>
      <c r="Q178" s="1520">
        <v>46379</v>
      </c>
      <c r="R178" s="1520"/>
      <c r="S178" s="1520"/>
      <c r="T178" s="1520"/>
      <c r="U178">
        <v>10</v>
      </c>
      <c r="V178" s="1520">
        <v>46389</v>
      </c>
    </row>
    <row r="179" spans="1:22">
      <c r="A179" t="s">
        <v>8581</v>
      </c>
      <c r="B179" t="s">
        <v>310</v>
      </c>
      <c r="D179" t="s">
        <v>7828</v>
      </c>
      <c r="E179" t="s">
        <v>7830</v>
      </c>
      <c r="G179">
        <v>130</v>
      </c>
      <c r="J179">
        <v>0.5</v>
      </c>
      <c r="K179" t="s">
        <v>8582</v>
      </c>
      <c r="L179" t="s">
        <v>122</v>
      </c>
      <c r="M179" t="s">
        <v>314</v>
      </c>
      <c r="N179" s="1520"/>
      <c r="O179" s="1520"/>
      <c r="P179" s="1520"/>
      <c r="Q179" s="1520"/>
      <c r="R179" s="1520"/>
      <c r="S179" s="1520"/>
      <c r="T179" s="1520"/>
      <c r="U179">
        <v>10</v>
      </c>
      <c r="V179" s="1520">
        <v>46409</v>
      </c>
    </row>
    <row r="180" spans="1:22">
      <c r="A180" t="s">
        <v>8583</v>
      </c>
      <c r="B180" t="s">
        <v>310</v>
      </c>
      <c r="D180" t="s">
        <v>7840</v>
      </c>
      <c r="E180" t="s">
        <v>7842</v>
      </c>
      <c r="G180">
        <v>130</v>
      </c>
      <c r="J180">
        <v>0.5</v>
      </c>
      <c r="K180" t="s">
        <v>8582</v>
      </c>
      <c r="L180" t="s">
        <v>122</v>
      </c>
      <c r="M180" t="s">
        <v>314</v>
      </c>
      <c r="N180" s="1520"/>
      <c r="O180" s="1520"/>
      <c r="P180" s="1520"/>
      <c r="Q180" s="1520"/>
      <c r="R180" s="1520"/>
      <c r="S180" s="1520"/>
      <c r="T180" s="1520"/>
      <c r="U180">
        <v>10</v>
      </c>
      <c r="V180" s="1520">
        <v>46409</v>
      </c>
    </row>
    <row r="181" spans="1:22">
      <c r="A181" t="s">
        <v>8589</v>
      </c>
      <c r="B181" t="s">
        <v>100</v>
      </c>
      <c r="D181" t="s">
        <v>7851</v>
      </c>
      <c r="E181" t="s">
        <v>7853</v>
      </c>
      <c r="G181">
        <v>276</v>
      </c>
      <c r="J181">
        <v>1</v>
      </c>
      <c r="K181" t="s">
        <v>8582</v>
      </c>
      <c r="L181" t="s">
        <v>122</v>
      </c>
      <c r="M181" t="s">
        <v>105</v>
      </c>
      <c r="N181" s="1520"/>
      <c r="O181" s="1520"/>
      <c r="P181" s="1520"/>
      <c r="Q181" s="1520"/>
      <c r="R181" s="1520"/>
      <c r="S181" s="1520"/>
      <c r="T181" s="1520"/>
      <c r="U181">
        <v>7</v>
      </c>
      <c r="V181" s="1520">
        <v>46402</v>
      </c>
    </row>
  </sheetData>
  <phoneticPr fontId="64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4101-4D40-4EAB-9D26-FDB96624BB9F}">
  <sheetPr codeName="Sheet6">
    <tabColor rgb="FFFFFF00"/>
  </sheetPr>
  <dimension ref="A3:Y76"/>
  <sheetViews>
    <sheetView topLeftCell="L16" zoomScaleNormal="100" workbookViewId="0">
      <selection activeCell="H45" sqref="H45"/>
    </sheetView>
  </sheetViews>
  <sheetFormatPr defaultColWidth="9" defaultRowHeight="13"/>
  <cols>
    <col min="2" max="2" width="25.09765625" customWidth="1"/>
    <col min="3" max="3" width="13.8984375" customWidth="1"/>
    <col min="5" max="6" width="21.3984375" customWidth="1"/>
    <col min="7" max="7" width="25.8984375" customWidth="1"/>
    <col min="8" max="11" width="21.3984375" customWidth="1"/>
    <col min="12" max="12" width="32.8984375" bestFit="1" customWidth="1"/>
    <col min="14" max="14" width="53.59765625" bestFit="1" customWidth="1"/>
    <col min="15" max="15" width="33.8984375" bestFit="1" customWidth="1"/>
    <col min="17" max="17" width="12.3984375" bestFit="1" customWidth="1"/>
    <col min="19" max="19" width="20.8984375" bestFit="1" customWidth="1"/>
    <col min="20" max="20" width="12.59765625" bestFit="1" customWidth="1"/>
    <col min="21" max="21" width="18.59765625" bestFit="1" customWidth="1"/>
    <col min="23" max="23" width="18.09765625" bestFit="1" customWidth="1"/>
    <col min="25" max="25" width="10" bestFit="1" customWidth="1"/>
  </cols>
  <sheetData>
    <row r="3" spans="2:25" ht="27" customHeight="1">
      <c r="B3" s="156" t="s">
        <v>11131</v>
      </c>
      <c r="C3" s="156" t="s">
        <v>11132</v>
      </c>
      <c r="E3" t="s">
        <v>11133</v>
      </c>
      <c r="F3" s="167" t="s">
        <v>31</v>
      </c>
      <c r="G3" s="167" t="s">
        <v>33</v>
      </c>
      <c r="H3" s="167" t="s">
        <v>5</v>
      </c>
      <c r="I3" s="168" t="s">
        <v>11134</v>
      </c>
      <c r="J3" s="169" t="s">
        <v>11135</v>
      </c>
      <c r="K3" s="309" t="s">
        <v>11136</v>
      </c>
      <c r="L3" t="s">
        <v>11001</v>
      </c>
      <c r="N3" s="396" t="s">
        <v>7</v>
      </c>
      <c r="O3" s="397" t="s">
        <v>2453</v>
      </c>
      <c r="Q3" t="s">
        <v>7811</v>
      </c>
      <c r="S3" s="399" t="s">
        <v>33</v>
      </c>
      <c r="T3" s="399" t="s">
        <v>11137</v>
      </c>
      <c r="U3" s="399" t="s">
        <v>11138</v>
      </c>
      <c r="W3" s="352" t="s">
        <v>11139</v>
      </c>
      <c r="Y3" s="352" t="s">
        <v>11140</v>
      </c>
    </row>
    <row r="4" spans="2:25" ht="15" customHeight="1">
      <c r="B4" t="s">
        <v>7724</v>
      </c>
      <c r="C4" s="46">
        <v>46024</v>
      </c>
      <c r="E4" t="str">
        <f>LT_REF[[#This Row],[PORT OF LOADING]]&amp;LT_REF[[#This Row],[PORT DESTINATION]]</f>
        <v>ShanghaiFELIXSTOWE</v>
      </c>
      <c r="F4" t="s">
        <v>123</v>
      </c>
      <c r="G4" t="s">
        <v>456</v>
      </c>
      <c r="H4" t="s">
        <v>450</v>
      </c>
      <c r="I4">
        <v>56</v>
      </c>
      <c r="J4" s="1036">
        <f>LT_REF[[#This Row],[in Days]]/7</f>
        <v>8</v>
      </c>
      <c r="K4">
        <v>7</v>
      </c>
      <c r="N4" t="s">
        <v>67</v>
      </c>
      <c r="O4" t="s">
        <v>2474</v>
      </c>
      <c r="Q4" t="s">
        <v>402</v>
      </c>
      <c r="S4" t="s">
        <v>105</v>
      </c>
      <c r="T4" t="s">
        <v>109</v>
      </c>
      <c r="U4" t="s">
        <v>11141</v>
      </c>
      <c r="W4" s="352" t="s">
        <v>68</v>
      </c>
      <c r="Y4" s="352" t="s">
        <v>68</v>
      </c>
    </row>
    <row r="5" spans="2:25" ht="15" customHeight="1">
      <c r="B5" t="s">
        <v>7628</v>
      </c>
      <c r="C5" s="46">
        <v>46031</v>
      </c>
      <c r="E5" t="s">
        <v>11142</v>
      </c>
      <c r="F5" t="s">
        <v>77</v>
      </c>
      <c r="G5" t="s">
        <v>456</v>
      </c>
      <c r="H5" t="s">
        <v>450</v>
      </c>
      <c r="I5">
        <f>I4+14</f>
        <v>70</v>
      </c>
      <c r="J5" s="1036">
        <f>LT_REF[[#This Row],[in Days]]/7</f>
        <v>10</v>
      </c>
      <c r="K5">
        <v>7</v>
      </c>
      <c r="N5" t="s">
        <v>311</v>
      </c>
      <c r="O5" t="s">
        <v>2497</v>
      </c>
      <c r="Q5" t="s">
        <v>146</v>
      </c>
      <c r="S5" t="s">
        <v>78</v>
      </c>
      <c r="T5" t="s">
        <v>86</v>
      </c>
      <c r="U5" t="s">
        <v>10960</v>
      </c>
      <c r="W5" s="352" t="s">
        <v>7494</v>
      </c>
      <c r="Y5" s="352" t="s">
        <v>689</v>
      </c>
    </row>
    <row r="6" spans="2:25" ht="15" customHeight="1">
      <c r="B6" t="s">
        <v>7708</v>
      </c>
      <c r="C6" s="46">
        <v>46038</v>
      </c>
      <c r="E6" t="str">
        <f>LT_REF[[#This Row],[PORT OF LOADING]]&amp;LT_REF[[#This Row],[PORT DESTINATION]]</f>
        <v>NingboFELIXSTOWE</v>
      </c>
      <c r="F6" t="s">
        <v>6003</v>
      </c>
      <c r="G6" t="s">
        <v>456</v>
      </c>
      <c r="H6" t="s">
        <v>450</v>
      </c>
      <c r="I6">
        <f>I4</f>
        <v>56</v>
      </c>
      <c r="J6" s="1036">
        <f>LT_REF[[#This Row],[in Days]]/7</f>
        <v>8</v>
      </c>
      <c r="K6">
        <v>7</v>
      </c>
      <c r="N6" t="s">
        <v>451</v>
      </c>
      <c r="O6" t="s">
        <v>2831</v>
      </c>
      <c r="Q6" s="398" t="s">
        <v>156</v>
      </c>
      <c r="S6" t="s">
        <v>356</v>
      </c>
      <c r="T6" t="s">
        <v>109</v>
      </c>
      <c r="U6" t="s">
        <v>10960</v>
      </c>
      <c r="W6" s="352" t="s">
        <v>7272</v>
      </c>
      <c r="Y6" s="352" t="s">
        <v>882</v>
      </c>
    </row>
    <row r="7" spans="2:25" ht="15" customHeight="1">
      <c r="B7" t="s">
        <v>7643</v>
      </c>
      <c r="C7" s="46">
        <v>46045</v>
      </c>
      <c r="E7" t="str">
        <f>LT_REF[[#This Row],[PORT OF LOADING]]&amp;LT_REF[[#This Row],[PORT DESTINATION]]</f>
        <v>ShanghaiFOS SUR MER</v>
      </c>
      <c r="F7" t="s">
        <v>123</v>
      </c>
      <c r="G7" t="s">
        <v>78</v>
      </c>
      <c r="H7" t="s">
        <v>65</v>
      </c>
      <c r="I7">
        <v>60</v>
      </c>
      <c r="J7" s="1036">
        <f>LT_REF[[#This Row],[in Days]]/7</f>
        <v>8.5714285714285712</v>
      </c>
      <c r="K7">
        <v>8</v>
      </c>
      <c r="N7" t="s">
        <v>115</v>
      </c>
      <c r="O7" t="s">
        <v>2482</v>
      </c>
      <c r="Q7" t="s">
        <v>11143</v>
      </c>
      <c r="S7" t="s">
        <v>314</v>
      </c>
      <c r="T7" t="s">
        <v>86</v>
      </c>
      <c r="U7" t="s">
        <v>10921</v>
      </c>
      <c r="W7" s="352" t="s">
        <v>11144</v>
      </c>
      <c r="Y7" s="352" t="s">
        <v>822</v>
      </c>
    </row>
    <row r="8" spans="2:25" ht="15" customHeight="1">
      <c r="B8" t="s">
        <v>7759</v>
      </c>
      <c r="C8" s="46">
        <v>46052</v>
      </c>
      <c r="E8" t="str">
        <f>LT_REF[[#This Row],[PORT OF LOADING]]&amp;LT_REF[[#This Row],[PORT DESTINATION]]</f>
        <v>TIANJINFOS SUR MER</v>
      </c>
      <c r="F8" t="s">
        <v>77</v>
      </c>
      <c r="G8" t="s">
        <v>78</v>
      </c>
      <c r="H8" t="s">
        <v>65</v>
      </c>
      <c r="I8">
        <f>I7+14</f>
        <v>74</v>
      </c>
      <c r="J8" s="1036">
        <f>LT_REF[[#This Row],[in Days]]/7</f>
        <v>10.571428571428571</v>
      </c>
      <c r="K8">
        <v>8</v>
      </c>
      <c r="N8" t="s">
        <v>941</v>
      </c>
      <c r="O8" t="s">
        <v>11145</v>
      </c>
      <c r="Q8" t="s">
        <v>11146</v>
      </c>
      <c r="S8" t="s">
        <v>1561</v>
      </c>
      <c r="T8" t="s">
        <v>86</v>
      </c>
      <c r="U8" t="s">
        <v>10921</v>
      </c>
      <c r="W8" s="352" t="s">
        <v>11147</v>
      </c>
      <c r="Y8" s="352" t="s">
        <v>1395</v>
      </c>
    </row>
    <row r="9" spans="2:25" ht="15" customHeight="1">
      <c r="B9" t="s">
        <v>7713</v>
      </c>
      <c r="C9" s="46">
        <v>46059</v>
      </c>
      <c r="E9" t="str">
        <f>LT_REF[[#This Row],[PORT OF LOADING]]&amp;LT_REF[[#This Row],[PORT DESTINATION]]</f>
        <v>NingboFOS SUR MER</v>
      </c>
      <c r="F9" t="s">
        <v>6003</v>
      </c>
      <c r="G9" t="s">
        <v>78</v>
      </c>
      <c r="H9" t="s">
        <v>65</v>
      </c>
      <c r="I9">
        <f>I7</f>
        <v>60</v>
      </c>
      <c r="J9" s="1036">
        <f>LT_REF[[#This Row],[in Days]]/7</f>
        <v>8.5714285714285712</v>
      </c>
      <c r="K9">
        <v>8</v>
      </c>
      <c r="N9" t="s">
        <v>68</v>
      </c>
      <c r="O9" t="s">
        <v>68</v>
      </c>
      <c r="Q9" t="s">
        <v>66</v>
      </c>
      <c r="S9" t="s">
        <v>124</v>
      </c>
      <c r="T9" t="s">
        <v>86</v>
      </c>
      <c r="U9" t="s">
        <v>11148</v>
      </c>
      <c r="W9" s="228"/>
      <c r="Y9" s="352" t="s">
        <v>2004</v>
      </c>
    </row>
    <row r="10" spans="2:25" ht="15" customHeight="1">
      <c r="B10" t="s">
        <v>7716</v>
      </c>
      <c r="C10" s="46">
        <v>46066</v>
      </c>
      <c r="E10" t="str">
        <f>LT_REF[[#This Row],[PORT OF LOADING]]&amp;LT_REF[[#This Row],[PORT DESTINATION]]</f>
        <v>ShanghaiGENOA</v>
      </c>
      <c r="F10" t="s">
        <v>123</v>
      </c>
      <c r="G10" t="s">
        <v>314</v>
      </c>
      <c r="H10" t="s">
        <v>310</v>
      </c>
      <c r="I10">
        <v>60</v>
      </c>
      <c r="J10" s="1036">
        <f>LT_REF[[#This Row],[in Days]]/7</f>
        <v>8.5714285714285712</v>
      </c>
      <c r="K10">
        <v>10</v>
      </c>
      <c r="L10" s="259"/>
      <c r="N10" t="s">
        <v>2671</v>
      </c>
      <c r="O10" t="s">
        <v>2666</v>
      </c>
      <c r="Q10" t="s">
        <v>68</v>
      </c>
      <c r="Y10" s="352" t="s">
        <v>869</v>
      </c>
    </row>
    <row r="11" spans="2:25" ht="15" customHeight="1">
      <c r="B11" t="s">
        <v>7729</v>
      </c>
      <c r="C11" s="46">
        <v>46073</v>
      </c>
      <c r="E11" t="str">
        <f>LT_REF[[#This Row],[PORT OF LOADING]]&amp;LT_REF[[#This Row],[PORT DESTINATION]]</f>
        <v>TIANJINGENOA</v>
      </c>
      <c r="F11" t="s">
        <v>77</v>
      </c>
      <c r="G11" t="s">
        <v>314</v>
      </c>
      <c r="H11" t="s">
        <v>310</v>
      </c>
      <c r="I11">
        <f>I10+14</f>
        <v>74</v>
      </c>
      <c r="J11" s="1036">
        <f>LT_REF[[#This Row],[in Days]]/7</f>
        <v>10.571428571428571</v>
      </c>
      <c r="K11">
        <v>10</v>
      </c>
      <c r="N11" t="s">
        <v>4306</v>
      </c>
      <c r="O11" t="s">
        <v>2489</v>
      </c>
      <c r="S11" t="s">
        <v>11149</v>
      </c>
      <c r="T11" t="s">
        <v>86</v>
      </c>
      <c r="U11" t="s">
        <v>11150</v>
      </c>
    </row>
    <row r="12" spans="2:25" ht="15" customHeight="1">
      <c r="B12" t="s">
        <v>7732</v>
      </c>
      <c r="C12" s="46">
        <v>46080</v>
      </c>
      <c r="E12" t="str">
        <f>LT_REF[[#This Row],[PORT OF LOADING]]&amp;LT_REF[[#This Row],[PORT DESTINATION]]</f>
        <v>NingboGENOA</v>
      </c>
      <c r="F12" t="s">
        <v>6003</v>
      </c>
      <c r="G12" t="s">
        <v>314</v>
      </c>
      <c r="H12" t="s">
        <v>310</v>
      </c>
      <c r="I12">
        <f>I10</f>
        <v>60</v>
      </c>
      <c r="J12" s="1036">
        <f>LT_REF[[#This Row],[in Days]]/7</f>
        <v>8.5714285714285712</v>
      </c>
      <c r="K12">
        <v>10</v>
      </c>
      <c r="N12" t="s">
        <v>147</v>
      </c>
      <c r="O12" t="s">
        <v>2666</v>
      </c>
      <c r="S12" t="s">
        <v>888</v>
      </c>
      <c r="T12" t="s">
        <v>109</v>
      </c>
      <c r="U12" t="s">
        <v>11151</v>
      </c>
    </row>
    <row r="13" spans="2:25" ht="15" customHeight="1">
      <c r="B13" t="s">
        <v>7631</v>
      </c>
      <c r="C13" s="46">
        <v>46087</v>
      </c>
      <c r="E13" t="str">
        <f>LT_REF[[#This Row],[PORT OF LOADING]]&amp;LT_REF[[#This Row],[PORT DESTINATION]]</f>
        <v>ShanghaiNAPLES</v>
      </c>
      <c r="F13" t="s">
        <v>123</v>
      </c>
      <c r="G13" t="s">
        <v>1561</v>
      </c>
      <c r="H13" t="s">
        <v>310</v>
      </c>
      <c r="I13">
        <v>60</v>
      </c>
      <c r="J13" s="1036">
        <f>LT_REF[[#This Row],[in Days]]/7</f>
        <v>8.5714285714285712</v>
      </c>
      <c r="K13">
        <v>10</v>
      </c>
      <c r="N13" t="s">
        <v>1080</v>
      </c>
      <c r="O13" t="s">
        <v>2719</v>
      </c>
      <c r="S13" t="s">
        <v>2301</v>
      </c>
      <c r="T13" t="s">
        <v>109</v>
      </c>
      <c r="U13" t="s">
        <v>11152</v>
      </c>
    </row>
    <row r="14" spans="2:25" ht="15" customHeight="1">
      <c r="B14" t="s">
        <v>11153</v>
      </c>
      <c r="C14" s="46">
        <v>46094</v>
      </c>
      <c r="E14" t="str">
        <f>LT_REF[[#This Row],[PORT OF LOADING]]&amp;LT_REF[[#This Row],[PORT DESTINATION]]</f>
        <v>TIANJINNAPLES</v>
      </c>
      <c r="F14" t="s">
        <v>77</v>
      </c>
      <c r="G14" t="s">
        <v>1561</v>
      </c>
      <c r="H14" t="s">
        <v>310</v>
      </c>
      <c r="I14">
        <f>I13+14</f>
        <v>74</v>
      </c>
      <c r="J14" s="1036">
        <f>LT_REF[[#This Row],[in Days]]/7</f>
        <v>10.571428571428571</v>
      </c>
      <c r="K14">
        <v>10</v>
      </c>
      <c r="N14" t="s">
        <v>881</v>
      </c>
      <c r="O14" t="s">
        <v>2489</v>
      </c>
      <c r="S14" t="s">
        <v>159</v>
      </c>
      <c r="T14" t="s">
        <v>109</v>
      </c>
      <c r="U14" t="s">
        <v>11154</v>
      </c>
    </row>
    <row r="15" spans="2:25" ht="15" customHeight="1">
      <c r="B15" t="s">
        <v>8700</v>
      </c>
      <c r="C15" s="46">
        <v>46101</v>
      </c>
      <c r="E15" t="str">
        <f>LT_REF[[#This Row],[PORT OF LOADING]]&amp;LT_REF[[#This Row],[PORT DESTINATION]]</f>
        <v>NingboNAPLES</v>
      </c>
      <c r="F15" t="s">
        <v>6003</v>
      </c>
      <c r="G15" t="s">
        <v>1561</v>
      </c>
      <c r="H15" t="s">
        <v>310</v>
      </c>
      <c r="I15">
        <f>I13</f>
        <v>60</v>
      </c>
      <c r="J15" s="1036">
        <f>LT_REF[[#This Row],[in Days]]/7</f>
        <v>8.5714285714285712</v>
      </c>
      <c r="K15">
        <v>10</v>
      </c>
      <c r="N15" t="s">
        <v>11155</v>
      </c>
      <c r="O15" t="s">
        <v>2489</v>
      </c>
      <c r="S15" t="s">
        <v>532</v>
      </c>
      <c r="T15" t="s">
        <v>109</v>
      </c>
      <c r="U15" t="s">
        <v>11156</v>
      </c>
    </row>
    <row r="16" spans="2:25" ht="15" customHeight="1">
      <c r="B16" t="s">
        <v>8021</v>
      </c>
      <c r="C16" s="46">
        <v>46108</v>
      </c>
      <c r="E16" t="str">
        <f>LT_REF[[#This Row],[PORT OF LOADING]]&amp;LT_REF[[#This Row],[PORT DESTINATION]]</f>
        <v>ShanghaiROTTERDAM</v>
      </c>
      <c r="F16" t="s">
        <v>123</v>
      </c>
      <c r="G16" t="s">
        <v>105</v>
      </c>
      <c r="H16" t="s">
        <v>100</v>
      </c>
      <c r="I16">
        <v>56</v>
      </c>
      <c r="J16" s="1036">
        <f>LT_REF[[#This Row],[in Days]]/7</f>
        <v>8</v>
      </c>
      <c r="K16">
        <v>7</v>
      </c>
      <c r="N16" t="s">
        <v>538</v>
      </c>
      <c r="O16" t="s">
        <v>2831</v>
      </c>
      <c r="S16" t="s">
        <v>1084</v>
      </c>
      <c r="T16" t="s">
        <v>109</v>
      </c>
      <c r="U16" t="s">
        <v>11157</v>
      </c>
    </row>
    <row r="17" spans="2:21" ht="15" customHeight="1">
      <c r="B17" t="s">
        <v>11158</v>
      </c>
      <c r="C17" s="46">
        <v>46115</v>
      </c>
      <c r="E17" t="str">
        <f>LT_REF[[#This Row],[PORT OF LOADING]]&amp;LT_REF[[#This Row],[PORT DESTINATION]]</f>
        <v>TIANJINROTTERDAM</v>
      </c>
      <c r="F17" t="s">
        <v>77</v>
      </c>
      <c r="G17" t="s">
        <v>105</v>
      </c>
      <c r="H17" t="s">
        <v>100</v>
      </c>
      <c r="I17">
        <v>77</v>
      </c>
      <c r="J17" s="1036">
        <f>LT_REF[[#This Row],[in Days]]/7</f>
        <v>11</v>
      </c>
      <c r="K17">
        <v>7</v>
      </c>
      <c r="N17" t="s">
        <v>593</v>
      </c>
      <c r="O17" t="s">
        <v>2528</v>
      </c>
      <c r="S17" t="s">
        <v>541</v>
      </c>
      <c r="T17" t="s">
        <v>109</v>
      </c>
      <c r="U17" t="s">
        <v>11159</v>
      </c>
    </row>
    <row r="18" spans="2:21" ht="15" customHeight="1">
      <c r="B18" t="s">
        <v>11160</v>
      </c>
      <c r="C18" s="46">
        <v>46122</v>
      </c>
      <c r="E18" t="str">
        <f>LT_REF[[#This Row],[PORT OF LOADING]]&amp;LT_REF[[#This Row],[PORT DESTINATION]]</f>
        <v>NingboROTTERDAM</v>
      </c>
      <c r="F18" t="s">
        <v>6003</v>
      </c>
      <c r="G18" t="s">
        <v>105</v>
      </c>
      <c r="H18" t="s">
        <v>100</v>
      </c>
      <c r="I18">
        <f>I16</f>
        <v>56</v>
      </c>
      <c r="J18" s="1036">
        <f>LT_REF[[#This Row],[in Days]]/7</f>
        <v>8</v>
      </c>
      <c r="K18">
        <v>7</v>
      </c>
      <c r="N18" t="s">
        <v>526</v>
      </c>
      <c r="O18" t="s">
        <v>2769</v>
      </c>
      <c r="S18" t="s">
        <v>456</v>
      </c>
      <c r="T18" t="s">
        <v>109</v>
      </c>
      <c r="U18" t="s">
        <v>11152</v>
      </c>
    </row>
    <row r="19" spans="2:21" ht="15" customHeight="1">
      <c r="B19" t="s">
        <v>2152</v>
      </c>
      <c r="C19" s="46">
        <v>46129</v>
      </c>
      <c r="E19" t="str">
        <f>LT_REF[[#This Row],[PORT OF LOADING]]&amp;LT_REF[[#This Row],[PORT DESTINATION]]</f>
        <v>ShanghaiVALENCIA</v>
      </c>
      <c r="F19" t="s">
        <v>123</v>
      </c>
      <c r="G19" t="s">
        <v>124</v>
      </c>
      <c r="H19" t="s">
        <v>114</v>
      </c>
      <c r="I19">
        <v>56</v>
      </c>
      <c r="J19" s="1036">
        <f>LT_REF[[#This Row],[in Days]]/7</f>
        <v>8</v>
      </c>
      <c r="K19">
        <v>9</v>
      </c>
      <c r="N19" t="s">
        <v>670</v>
      </c>
      <c r="O19" t="s">
        <v>2732</v>
      </c>
      <c r="S19" t="s">
        <v>11161</v>
      </c>
      <c r="T19" t="s">
        <v>86</v>
      </c>
      <c r="U19" t="s">
        <v>11150</v>
      </c>
    </row>
    <row r="20" spans="2:21" ht="15" customHeight="1">
      <c r="B20" t="s">
        <v>11162</v>
      </c>
      <c r="C20" s="46">
        <v>46136</v>
      </c>
      <c r="E20" t="str">
        <f>LT_REF[[#This Row],[PORT OF LOADING]]&amp;LT_REF[[#This Row],[PORT DESTINATION]]</f>
        <v>TIANJINVALENCIA</v>
      </c>
      <c r="F20" t="s">
        <v>77</v>
      </c>
      <c r="G20" t="s">
        <v>124</v>
      </c>
      <c r="H20" t="s">
        <v>114</v>
      </c>
      <c r="I20">
        <f>I19+14</f>
        <v>70</v>
      </c>
      <c r="J20" s="1036">
        <f>LT_REF[[#This Row],[in Days]]/7</f>
        <v>10</v>
      </c>
      <c r="K20">
        <v>9</v>
      </c>
      <c r="N20" t="s">
        <v>1912</v>
      </c>
      <c r="O20" t="s">
        <v>2528</v>
      </c>
      <c r="S20" t="s">
        <v>7219</v>
      </c>
      <c r="T20" t="s">
        <v>68</v>
      </c>
      <c r="U20" t="s">
        <v>68</v>
      </c>
    </row>
    <row r="21" spans="2:21" ht="15" customHeight="1">
      <c r="B21" t="s">
        <v>7994</v>
      </c>
      <c r="C21" s="46">
        <v>46143</v>
      </c>
      <c r="E21" t="str">
        <f>LT_REF[[#This Row],[PORT OF LOADING]]&amp;LT_REF[[#This Row],[PORT DESTINATION]]</f>
        <v>NingboVALENCIA</v>
      </c>
      <c r="F21" t="s">
        <v>6003</v>
      </c>
      <c r="G21" t="s">
        <v>124</v>
      </c>
      <c r="H21" t="s">
        <v>114</v>
      </c>
      <c r="I21">
        <f>I19</f>
        <v>56</v>
      </c>
      <c r="J21" s="1036">
        <f>LT_REF[[#This Row],[in Days]]/7</f>
        <v>8</v>
      </c>
      <c r="K21">
        <v>9</v>
      </c>
      <c r="N21" t="s">
        <v>157</v>
      </c>
      <c r="O21" t="s">
        <v>2489</v>
      </c>
      <c r="S21" t="s">
        <v>68</v>
      </c>
      <c r="T21" t="s">
        <v>68</v>
      </c>
      <c r="U21" t="s">
        <v>68</v>
      </c>
    </row>
    <row r="22" spans="2:21" ht="15" customHeight="1">
      <c r="B22" t="s">
        <v>8000</v>
      </c>
      <c r="C22" s="46">
        <v>46150</v>
      </c>
      <c r="E22" t="str">
        <f>LT_REF[[#This Row],[PORT OF LOADING]]&amp;LT_REF[[#This Row],[PORT DESTINATION]]</f>
        <v>ShanghaiLE HAVRE</v>
      </c>
      <c r="F22" t="s">
        <v>123</v>
      </c>
      <c r="G22" t="s">
        <v>356</v>
      </c>
      <c r="H22" t="s">
        <v>65</v>
      </c>
      <c r="I22">
        <v>56</v>
      </c>
      <c r="J22" s="1036">
        <f>LT_REF[[#This Row],[in Days]]/7</f>
        <v>8</v>
      </c>
      <c r="K22">
        <v>10</v>
      </c>
      <c r="N22" t="s">
        <v>1449</v>
      </c>
      <c r="O22" t="s">
        <v>2732</v>
      </c>
      <c r="S22" t="s">
        <v>5796</v>
      </c>
      <c r="T22" t="s">
        <v>68</v>
      </c>
      <c r="U22" t="s">
        <v>11163</v>
      </c>
    </row>
    <row r="23" spans="2:21" ht="15" customHeight="1">
      <c r="B23" t="s">
        <v>8041</v>
      </c>
      <c r="C23" s="46">
        <v>46157</v>
      </c>
      <c r="E23" t="str">
        <f>LT_REF[[#This Row],[PORT OF LOADING]]&amp;LT_REF[[#This Row],[PORT DESTINATION]]</f>
        <v>TIANJINLE HAVRE</v>
      </c>
      <c r="F23" t="s">
        <v>77</v>
      </c>
      <c r="G23" t="s">
        <v>356</v>
      </c>
      <c r="H23" t="s">
        <v>65</v>
      </c>
      <c r="I23">
        <f>I22+14</f>
        <v>70</v>
      </c>
      <c r="J23" s="1036">
        <f>LT_REF[[#This Row],[in Days]]/7</f>
        <v>10</v>
      </c>
      <c r="K23">
        <v>10</v>
      </c>
      <c r="N23" t="s">
        <v>2394</v>
      </c>
      <c r="O23" t="s">
        <v>2489</v>
      </c>
      <c r="S23" t="s">
        <v>1404</v>
      </c>
      <c r="T23" t="s">
        <v>68</v>
      </c>
      <c r="U23" t="s">
        <v>68</v>
      </c>
    </row>
    <row r="24" spans="2:21" ht="15" customHeight="1">
      <c r="B24" t="s">
        <v>4363</v>
      </c>
      <c r="C24" s="46">
        <v>46164</v>
      </c>
      <c r="E24" t="str">
        <f>LT_REF[[#This Row],[PORT OF LOADING]]&amp;LT_REF[[#This Row],[PORT DESTINATION]]</f>
        <v>NingboLE HAVRE</v>
      </c>
      <c r="F24" t="s">
        <v>6003</v>
      </c>
      <c r="G24" t="s">
        <v>356</v>
      </c>
      <c r="H24" t="s">
        <v>65</v>
      </c>
      <c r="I24">
        <f>I22</f>
        <v>56</v>
      </c>
      <c r="J24" s="1036">
        <f>LT_REF[[#This Row],[in Days]]/7</f>
        <v>8</v>
      </c>
      <c r="K24">
        <v>10</v>
      </c>
      <c r="N24" t="s">
        <v>1029</v>
      </c>
      <c r="O24" t="s">
        <v>2489</v>
      </c>
      <c r="S24" t="s">
        <v>946</v>
      </c>
      <c r="T24" t="s">
        <v>68</v>
      </c>
      <c r="U24" t="s">
        <v>68</v>
      </c>
    </row>
    <row r="25" spans="2:21" ht="15" customHeight="1">
      <c r="B25" t="s">
        <v>4364</v>
      </c>
      <c r="C25" s="46">
        <v>46171</v>
      </c>
      <c r="E25" t="str">
        <f>LT_REF[[#This Row],[PORT OF LOADING]]&amp;LT_REF[[#This Row],[PORT DESTINATION]]</f>
        <v>ShanghaiCORK</v>
      </c>
      <c r="F25" t="s">
        <v>123</v>
      </c>
      <c r="G25" t="s">
        <v>541</v>
      </c>
      <c r="I25">
        <f>I4</f>
        <v>56</v>
      </c>
      <c r="J25" s="1036">
        <f>LT_REF[[#This Row],[in Days]]/7</f>
        <v>8</v>
      </c>
      <c r="K25">
        <v>0</v>
      </c>
      <c r="N25" t="s">
        <v>11164</v>
      </c>
      <c r="O25" t="s">
        <v>2528</v>
      </c>
      <c r="S25" t="s">
        <v>953</v>
      </c>
      <c r="T25" t="s">
        <v>68</v>
      </c>
      <c r="U25" t="s">
        <v>68</v>
      </c>
    </row>
    <row r="26" spans="2:21" ht="15" customHeight="1">
      <c r="B26" t="s">
        <v>4365</v>
      </c>
      <c r="C26" s="46">
        <v>46178</v>
      </c>
      <c r="E26" t="str">
        <f>LT_REF[[#This Row],[PORT OF LOADING]]&amp;LT_REF[[#This Row],[PORT DESTINATION]]</f>
        <v>TIANJINCORK</v>
      </c>
      <c r="F26" t="s">
        <v>77</v>
      </c>
      <c r="G26" t="s">
        <v>541</v>
      </c>
      <c r="I26">
        <f>I25+14</f>
        <v>70</v>
      </c>
      <c r="J26" s="1036">
        <f>LT_REF[[#This Row],[in Days]]/7</f>
        <v>10</v>
      </c>
      <c r="K26">
        <v>0</v>
      </c>
      <c r="N26" t="s">
        <v>1156</v>
      </c>
      <c r="O26" t="s">
        <v>2666</v>
      </c>
      <c r="Q26" s="1128"/>
      <c r="S26" t="s">
        <v>5038</v>
      </c>
      <c r="T26" t="s">
        <v>68</v>
      </c>
      <c r="U26" t="s">
        <v>68</v>
      </c>
    </row>
    <row r="27" spans="2:21" ht="15" customHeight="1">
      <c r="B27" t="s">
        <v>4366</v>
      </c>
      <c r="C27" s="46">
        <f t="shared" ref="C27:C32" si="0">C26+7</f>
        <v>46185</v>
      </c>
      <c r="E27" t="str">
        <f>LT_REF[[#This Row],[PORT OF LOADING]]&amp;LT_REF[[#This Row],[PORT DESTINATION]]</f>
        <v>NingboCORK</v>
      </c>
      <c r="F27" t="s">
        <v>6003</v>
      </c>
      <c r="G27" t="s">
        <v>541</v>
      </c>
      <c r="I27">
        <f>I25</f>
        <v>56</v>
      </c>
      <c r="J27" s="1036">
        <f>LT_REF[[#This Row],[in Days]]/7</f>
        <v>8</v>
      </c>
      <c r="K27">
        <v>0</v>
      </c>
      <c r="L27">
        <v>7</v>
      </c>
      <c r="N27" t="s">
        <v>1381</v>
      </c>
      <c r="O27" t="s">
        <v>2831</v>
      </c>
      <c r="S27" t="s">
        <v>4790</v>
      </c>
      <c r="T27" t="s">
        <v>68</v>
      </c>
      <c r="U27" t="s">
        <v>68</v>
      </c>
    </row>
    <row r="28" spans="2:21" ht="15" customHeight="1">
      <c r="B28" t="s">
        <v>4367</v>
      </c>
      <c r="C28" s="46">
        <f t="shared" si="0"/>
        <v>46192</v>
      </c>
      <c r="E28" t="str">
        <f>LT_REF[[#This Row],[PORT OF LOADING]]&amp;LT_REF[[#This Row],[PORT DESTINATION]]</f>
        <v>ShanghaiAARHUS</v>
      </c>
      <c r="F28" t="s">
        <v>123</v>
      </c>
      <c r="G28" t="s">
        <v>532</v>
      </c>
      <c r="I28">
        <v>63</v>
      </c>
      <c r="J28" s="1036">
        <f>LT_REF[[#This Row],[in Days]]/7</f>
        <v>9</v>
      </c>
      <c r="K28">
        <v>0</v>
      </c>
      <c r="N28" t="s">
        <v>1280</v>
      </c>
      <c r="O28" t="s">
        <v>2831</v>
      </c>
      <c r="S28" t="s">
        <v>5786</v>
      </c>
      <c r="T28" t="s">
        <v>68</v>
      </c>
      <c r="U28" t="s">
        <v>68</v>
      </c>
    </row>
    <row r="29" spans="2:21" ht="15" customHeight="1">
      <c r="B29" t="s">
        <v>4368</v>
      </c>
      <c r="C29" s="46">
        <f t="shared" si="0"/>
        <v>46199</v>
      </c>
      <c r="E29" t="str">
        <f>LT_REF[[#This Row],[PORT OF LOADING]]&amp;LT_REF[[#This Row],[PORT DESTINATION]]</f>
        <v>TIANJINAARHUS</v>
      </c>
      <c r="F29" t="s">
        <v>77</v>
      </c>
      <c r="G29" t="s">
        <v>532</v>
      </c>
      <c r="I29">
        <f>I28+14</f>
        <v>77</v>
      </c>
      <c r="J29" s="1036">
        <f>LT_REF[[#This Row],[in Days]]/7</f>
        <v>11</v>
      </c>
      <c r="K29">
        <v>0</v>
      </c>
      <c r="N29" t="s">
        <v>1275</v>
      </c>
      <c r="O29" t="s">
        <v>2831</v>
      </c>
      <c r="S29" s="1128" t="s">
        <v>7088</v>
      </c>
      <c r="T29" t="s">
        <v>68</v>
      </c>
      <c r="U29" t="s">
        <v>68</v>
      </c>
    </row>
    <row r="30" spans="2:21" ht="15" customHeight="1">
      <c r="B30" t="s">
        <v>4369</v>
      </c>
      <c r="C30" s="46">
        <f t="shared" si="0"/>
        <v>46206</v>
      </c>
      <c r="E30" t="str">
        <f>LT_REF[[#This Row],[PORT OF LOADING]]&amp;LT_REF[[#This Row],[PORT DESTINATION]]</f>
        <v>ShanghaiKLAIPEDA</v>
      </c>
      <c r="F30" t="s">
        <v>123</v>
      </c>
      <c r="G30" t="s">
        <v>159</v>
      </c>
      <c r="I30">
        <v>56</v>
      </c>
      <c r="J30" s="1036">
        <f>LT_REF[[#This Row],[in Days]]/7</f>
        <v>8</v>
      </c>
      <c r="K30">
        <v>0</v>
      </c>
      <c r="L30" t="s">
        <v>11165</v>
      </c>
      <c r="N30" t="s">
        <v>1269</v>
      </c>
      <c r="O30" t="s">
        <v>2831</v>
      </c>
      <c r="S30" s="953" t="s">
        <v>6519</v>
      </c>
      <c r="T30" t="s">
        <v>68</v>
      </c>
      <c r="U30" t="s">
        <v>68</v>
      </c>
    </row>
    <row r="31" spans="2:21" ht="15" customHeight="1">
      <c r="B31" t="s">
        <v>4370</v>
      </c>
      <c r="C31" s="46">
        <f t="shared" si="0"/>
        <v>46213</v>
      </c>
      <c r="E31" t="str">
        <f>LT_REF[[#This Row],[PORT OF LOADING]]&amp;LT_REF[[#This Row],[PORT DESTINATION]]</f>
        <v>TIANJINKLAIPEDA</v>
      </c>
      <c r="F31" t="s">
        <v>77</v>
      </c>
      <c r="G31" t="s">
        <v>159</v>
      </c>
      <c r="I31">
        <f>I30+14</f>
        <v>70</v>
      </c>
      <c r="J31" s="1036">
        <f>LT_REF[[#This Row],[in Days]]/7</f>
        <v>10</v>
      </c>
      <c r="K31">
        <v>0</v>
      </c>
      <c r="N31" t="s">
        <v>5276</v>
      </c>
      <c r="O31" t="s">
        <v>2489</v>
      </c>
    </row>
    <row r="32" spans="2:21" ht="15" customHeight="1">
      <c r="B32" t="s">
        <v>4371</v>
      </c>
      <c r="C32" s="46">
        <f t="shared" si="0"/>
        <v>46220</v>
      </c>
      <c r="E32" t="str">
        <f>LT_REF[[#This Row],[PORT OF LOADING]]&amp;LT_REF[[#This Row],[PORT DESTINATION]]</f>
        <v>ShanghaiGDANSK</v>
      </c>
      <c r="F32" t="s">
        <v>123</v>
      </c>
      <c r="G32" t="s">
        <v>888</v>
      </c>
      <c r="I32">
        <v>63</v>
      </c>
      <c r="J32" s="1036">
        <f>LT_REF[[#This Row],[in Days]]/7</f>
        <v>9</v>
      </c>
      <c r="K32">
        <v>0</v>
      </c>
      <c r="L32" t="s">
        <v>11166</v>
      </c>
      <c r="N32" t="s">
        <v>4973</v>
      </c>
      <c r="O32" t="s">
        <v>2474</v>
      </c>
    </row>
    <row r="33" spans="2:15" ht="15" customHeight="1">
      <c r="B33" t="s">
        <v>4372</v>
      </c>
      <c r="C33" s="46">
        <v>46227</v>
      </c>
      <c r="E33" t="str">
        <f>LT_REF[[#This Row],[PORT OF LOADING]]&amp;LT_REF[[#This Row],[PORT DESTINATION]]</f>
        <v>TIANJINGDANSK</v>
      </c>
      <c r="F33" t="s">
        <v>77</v>
      </c>
      <c r="G33" t="s">
        <v>888</v>
      </c>
      <c r="I33">
        <f>I32+14</f>
        <v>77</v>
      </c>
      <c r="J33" s="1036">
        <f>LT_REF[[#This Row],[in Days]]/7</f>
        <v>11</v>
      </c>
      <c r="K33">
        <v>0</v>
      </c>
      <c r="N33" t="s">
        <v>11167</v>
      </c>
      <c r="O33" t="s">
        <v>2474</v>
      </c>
    </row>
    <row r="34" spans="2:15" ht="15" customHeight="1">
      <c r="B34" t="s">
        <v>4373</v>
      </c>
      <c r="C34" s="46">
        <f t="shared" ref="C34:C54" si="1">C33+7</f>
        <v>46234</v>
      </c>
      <c r="E34" t="str">
        <f>LT_REF[[#This Row],[PORT OF LOADING]]&amp;LT_REF[[#This Row],[PORT DESTINATION]]</f>
        <v>NingboGDANSK</v>
      </c>
      <c r="F34" t="s">
        <v>6003</v>
      </c>
      <c r="G34" t="s">
        <v>888</v>
      </c>
      <c r="I34">
        <f>I32</f>
        <v>63</v>
      </c>
      <c r="J34" s="1036">
        <f>LT_REF[[#This Row],[in Days]]/7</f>
        <v>9</v>
      </c>
      <c r="K34">
        <f>K32</f>
        <v>0</v>
      </c>
      <c r="N34" t="s">
        <v>5792</v>
      </c>
      <c r="O34" t="s">
        <v>2489</v>
      </c>
    </row>
    <row r="35" spans="2:15" ht="15" customHeight="1">
      <c r="B35" t="s">
        <v>4374</v>
      </c>
      <c r="C35" s="46">
        <f t="shared" si="1"/>
        <v>46241</v>
      </c>
      <c r="E35" t="str">
        <f>LT_REF[[#This Row],[PORT OF LOADING]]&amp;LT_REF[[#This Row],[PORT DESTINATION]]</f>
        <v>ShanghaiANTWERP</v>
      </c>
      <c r="F35" t="s">
        <v>123</v>
      </c>
      <c r="G35" t="s">
        <v>1084</v>
      </c>
      <c r="I35">
        <v>63</v>
      </c>
      <c r="J35" s="1036">
        <f>LT_REF[[#This Row],[in Days]]/7</f>
        <v>9</v>
      </c>
      <c r="K35">
        <v>0</v>
      </c>
      <c r="N35" t="s">
        <v>6331</v>
      </c>
      <c r="O35" t="s">
        <v>2831</v>
      </c>
    </row>
    <row r="36" spans="2:15" ht="15" customHeight="1">
      <c r="B36" t="s">
        <v>4375</v>
      </c>
      <c r="C36" s="46">
        <f t="shared" si="1"/>
        <v>46248</v>
      </c>
      <c r="E36" t="str">
        <f>LT_REF[[#This Row],[PORT OF LOADING]]&amp;LT_REF[[#This Row],[PORT DESTINATION]]</f>
        <v>TIANJINANTWERP</v>
      </c>
      <c r="F36" t="s">
        <v>77</v>
      </c>
      <c r="G36" t="s">
        <v>1084</v>
      </c>
      <c r="I36">
        <f>I35+14</f>
        <v>77</v>
      </c>
      <c r="J36" s="1036">
        <f>LT_REF[[#This Row],[in Days]]/7</f>
        <v>11</v>
      </c>
      <c r="K36">
        <v>0</v>
      </c>
      <c r="N36" t="s">
        <v>6516</v>
      </c>
      <c r="O36" t="s">
        <v>11168</v>
      </c>
    </row>
    <row r="37" spans="2:15" ht="15" customHeight="1">
      <c r="B37" t="s">
        <v>4376</v>
      </c>
      <c r="C37" s="46">
        <f t="shared" si="1"/>
        <v>46255</v>
      </c>
      <c r="E37" t="str">
        <f>LT_REF[[#This Row],[PORT OF LOADING]]&amp;LT_REF[[#This Row],[PORT DESTINATION]]</f>
        <v>ShanghaiROTTERDAM-CORK</v>
      </c>
      <c r="F37" t="s">
        <v>123</v>
      </c>
      <c r="G37" t="s">
        <v>1617</v>
      </c>
      <c r="I37">
        <f>MAX(I16,I25)</f>
        <v>56</v>
      </c>
      <c r="J37" s="1036">
        <f>LT_REF[[#This Row],[in Days]]/7</f>
        <v>8</v>
      </c>
      <c r="K37">
        <v>0</v>
      </c>
      <c r="L37" t="s">
        <v>11169</v>
      </c>
      <c r="N37" t="s">
        <v>6662</v>
      </c>
      <c r="O37" t="s">
        <v>11168</v>
      </c>
    </row>
    <row r="38" spans="2:15" ht="15" customHeight="1">
      <c r="B38" t="s">
        <v>4377</v>
      </c>
      <c r="C38" s="46">
        <f t="shared" si="1"/>
        <v>46262</v>
      </c>
      <c r="E38" t="str">
        <f>LT_REF[[#This Row],[PORT OF LOADING]]&amp;LT_REF[[#This Row],[PORT DESTINATION]]</f>
        <v>ShanghaiGRANGEMOUTH</v>
      </c>
      <c r="F38" t="s">
        <v>123</v>
      </c>
      <c r="G38" t="s">
        <v>2301</v>
      </c>
      <c r="I38">
        <f>I4+7</f>
        <v>63</v>
      </c>
      <c r="J38" s="1036">
        <f>LT_REF[[#This Row],[in Days]]/7</f>
        <v>9</v>
      </c>
      <c r="K38">
        <v>7</v>
      </c>
      <c r="N38" t="s">
        <v>7086</v>
      </c>
      <c r="O38" t="s">
        <v>11145</v>
      </c>
    </row>
    <row r="39" spans="2:15" ht="15" customHeight="1">
      <c r="B39" t="s">
        <v>4378</v>
      </c>
      <c r="C39" s="46">
        <f t="shared" si="1"/>
        <v>46269</v>
      </c>
      <c r="E39" t="str">
        <f>LT_REF[[#This Row],[PORT OF LOADING]]&amp;LT_REF[[#This Row],[PORT DESTINATION]]</f>
        <v>SHANGHAIMANILA NORTH</v>
      </c>
      <c r="F39" t="s">
        <v>122</v>
      </c>
      <c r="G39" t="s">
        <v>946</v>
      </c>
      <c r="I39">
        <v>14</v>
      </c>
      <c r="J39" s="1036">
        <f>LT_REF[[#This Row],[in Days]]/7</f>
        <v>2</v>
      </c>
      <c r="K39">
        <v>0</v>
      </c>
      <c r="O39" t="s">
        <v>11145</v>
      </c>
    </row>
    <row r="40" spans="2:15">
      <c r="B40" t="s">
        <v>4379</v>
      </c>
      <c r="C40" s="46">
        <f t="shared" si="1"/>
        <v>46276</v>
      </c>
      <c r="E40" t="str">
        <f>LT_REF[[#This Row],[PORT OF LOADING]]&amp;LT_REF[[#This Row],[PORT DESTINATION]]</f>
        <v>SHENZHENROTTERDAM</v>
      </c>
      <c r="F40" t="s">
        <v>288</v>
      </c>
      <c r="G40" t="s">
        <v>105</v>
      </c>
      <c r="H40" t="s">
        <v>100</v>
      </c>
      <c r="I40">
        <f>I16-7</f>
        <v>49</v>
      </c>
      <c r="J40" s="1036">
        <f>LT_REF[[#This Row],[in Days]]/7</f>
        <v>7</v>
      </c>
      <c r="K40">
        <v>7</v>
      </c>
    </row>
    <row r="41" spans="2:15">
      <c r="B41" t="s">
        <v>4380</v>
      </c>
      <c r="C41" s="46">
        <f t="shared" si="1"/>
        <v>46283</v>
      </c>
      <c r="E41" t="str">
        <f>LT_REF[[#This Row],[PORT OF LOADING]]&amp;LT_REF[[#This Row],[PORT DESTINATION]]</f>
        <v>SHENZHENGENOA</v>
      </c>
      <c r="F41" t="s">
        <v>288</v>
      </c>
      <c r="G41" t="s">
        <v>314</v>
      </c>
      <c r="H41" t="s">
        <v>310</v>
      </c>
      <c r="I41">
        <f>I10-7</f>
        <v>53</v>
      </c>
      <c r="J41" s="1036">
        <f>LT_REF[[#This Row],[in Days]]/7</f>
        <v>7.5714285714285712</v>
      </c>
      <c r="K41">
        <v>10</v>
      </c>
    </row>
    <row r="42" spans="2:15" ht="14">
      <c r="B42" t="s">
        <v>4381</v>
      </c>
      <c r="C42" s="46">
        <f t="shared" si="1"/>
        <v>46290</v>
      </c>
      <c r="E42" t="str">
        <f>LT_REF[[#This Row],[PORT OF LOADING]]&amp;LT_REF[[#This Row],[PORT DESTINATION]]</f>
        <v>ShanghaiLondon Gateway</v>
      </c>
      <c r="F42" t="s">
        <v>123</v>
      </c>
      <c r="G42" s="1502" t="s">
        <v>8341</v>
      </c>
      <c r="H42" t="s">
        <v>450</v>
      </c>
      <c r="I42" s="1503"/>
      <c r="J42" s="1504"/>
      <c r="K42" s="228"/>
    </row>
    <row r="43" spans="2:15">
      <c r="B43" t="s">
        <v>4382</v>
      </c>
      <c r="C43" s="46">
        <f t="shared" si="1"/>
        <v>46297</v>
      </c>
      <c r="E43" t="str">
        <f>LT_REF[[#This Row],[PORT OF LOADING]]&amp;LT_REF[[#This Row],[PORT DESTINATION]]</f>
        <v>SHENZHENFELIXSTOWE</v>
      </c>
      <c r="F43" t="s">
        <v>288</v>
      </c>
      <c r="G43" t="s">
        <v>456</v>
      </c>
      <c r="H43" t="s">
        <v>450</v>
      </c>
      <c r="I43">
        <f>I4-7</f>
        <v>49</v>
      </c>
      <c r="J43" s="1036">
        <f>LT_REF[[#This Row],[in Days]]/7</f>
        <v>7</v>
      </c>
      <c r="K43">
        <v>7</v>
      </c>
    </row>
    <row r="44" spans="2:15">
      <c r="B44" t="s">
        <v>4383</v>
      </c>
      <c r="C44" s="46">
        <f t="shared" si="1"/>
        <v>46304</v>
      </c>
      <c r="J44" s="1036"/>
    </row>
    <row r="45" spans="2:15">
      <c r="B45" t="s">
        <v>4384</v>
      </c>
      <c r="C45" s="46">
        <f t="shared" si="1"/>
        <v>46311</v>
      </c>
    </row>
    <row r="46" spans="2:15">
      <c r="B46" t="s">
        <v>4385</v>
      </c>
      <c r="C46" s="46">
        <f t="shared" si="1"/>
        <v>46318</v>
      </c>
    </row>
    <row r="47" spans="2:15">
      <c r="B47" t="s">
        <v>4386</v>
      </c>
      <c r="C47" s="46">
        <f t="shared" si="1"/>
        <v>46325</v>
      </c>
      <c r="H47" s="619"/>
    </row>
    <row r="48" spans="2:15">
      <c r="B48" t="s">
        <v>4387</v>
      </c>
      <c r="C48" s="46">
        <f t="shared" si="1"/>
        <v>46332</v>
      </c>
      <c r="F48" s="1001" t="s">
        <v>8341</v>
      </c>
    </row>
    <row r="49" spans="1:8">
      <c r="B49" t="s">
        <v>4388</v>
      </c>
      <c r="C49" s="46">
        <f t="shared" si="1"/>
        <v>46339</v>
      </c>
      <c r="H49" s="214"/>
    </row>
    <row r="50" spans="1:8">
      <c r="B50" t="s">
        <v>4389</v>
      </c>
      <c r="C50" s="46">
        <f t="shared" si="1"/>
        <v>46346</v>
      </c>
    </row>
    <row r="51" spans="1:8">
      <c r="B51" t="s">
        <v>4390</v>
      </c>
      <c r="C51" s="46">
        <f t="shared" si="1"/>
        <v>46353</v>
      </c>
    </row>
    <row r="52" spans="1:8" ht="14">
      <c r="A52" s="1505"/>
      <c r="B52" t="s">
        <v>11170</v>
      </c>
      <c r="C52" s="46">
        <f t="shared" si="1"/>
        <v>46360</v>
      </c>
    </row>
    <row r="53" spans="1:8">
      <c r="B53" t="s">
        <v>4392</v>
      </c>
      <c r="C53" s="46">
        <f t="shared" si="1"/>
        <v>46367</v>
      </c>
    </row>
    <row r="54" spans="1:8">
      <c r="B54" t="s">
        <v>4393</v>
      </c>
      <c r="C54" s="46">
        <f t="shared" si="1"/>
        <v>46374</v>
      </c>
    </row>
    <row r="69" spans="2:22">
      <c r="V69" t="s">
        <v>11171</v>
      </c>
    </row>
    <row r="70" spans="2:22">
      <c r="V70" t="s">
        <v>11172</v>
      </c>
    </row>
    <row r="71" spans="2:22">
      <c r="U71" t="s">
        <v>114</v>
      </c>
      <c r="V71" t="s">
        <v>11173</v>
      </c>
    </row>
    <row r="72" spans="2:22">
      <c r="U72" t="s">
        <v>310</v>
      </c>
      <c r="V72" t="s">
        <v>11174</v>
      </c>
    </row>
    <row r="73" spans="2:22">
      <c r="B73" s="294"/>
      <c r="U73" t="s">
        <v>100</v>
      </c>
      <c r="V73" t="s">
        <v>11175</v>
      </c>
    </row>
    <row r="74" spans="2:22">
      <c r="B74" s="294"/>
      <c r="U74" t="s">
        <v>65</v>
      </c>
    </row>
    <row r="75" spans="2:22">
      <c r="B75" s="294"/>
      <c r="U75" t="s">
        <v>450</v>
      </c>
    </row>
    <row r="76" spans="2:22">
      <c r="B76" s="294"/>
    </row>
  </sheetData>
  <protectedRanges>
    <protectedRange sqref="N3:O3" name="PV_Data_2"/>
    <protectedRange sqref="G38:H38 S63 H39" name="PV_Data"/>
  </protectedRanges>
  <sortState xmlns:xlrd2="http://schemas.microsoft.com/office/spreadsheetml/2017/richdata2" ref="U71:U95">
    <sortCondition ref="U71:U95"/>
  </sortState>
  <phoneticPr fontId="0" type="noConversion"/>
  <dataValidations count="2">
    <dataValidation allowBlank="1" showInputMessage="1" showErrorMessage="1" sqref="N3:O3 F48" xr:uid="{262B2EE3-E995-4834-9635-6DE6981D509C}"/>
    <dataValidation type="list" allowBlank="1" showInputMessage="1" showErrorMessage="1" sqref="G39" xr:uid="{1CF5CC15-AE69-4591-BEAD-09880FE1880A}">
      <formula1>$S$4:$S$30</formula1>
    </dataValidation>
  </dataValidation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18CF-2895-4CCE-8297-0CF150259E50}">
  <dimension ref="A2:C19"/>
  <sheetViews>
    <sheetView workbookViewId="0"/>
  </sheetViews>
  <sheetFormatPr defaultRowHeight="13"/>
  <sheetData>
    <row r="2" spans="1:3">
      <c r="A2" s="1506"/>
      <c r="B2" s="1507"/>
      <c r="C2" s="1508"/>
    </row>
    <row r="3" spans="1:3">
      <c r="A3" s="1479"/>
      <c r="B3" s="1480"/>
      <c r="C3" s="1481"/>
    </row>
    <row r="4" spans="1:3">
      <c r="A4" s="1479"/>
      <c r="B4" s="1480"/>
      <c r="C4" s="1481"/>
    </row>
    <row r="5" spans="1:3">
      <c r="A5" s="1479"/>
      <c r="B5" s="1480"/>
      <c r="C5" s="1481"/>
    </row>
    <row r="6" spans="1:3">
      <c r="A6" s="1479"/>
      <c r="B6" s="1480"/>
      <c r="C6" s="1481"/>
    </row>
    <row r="7" spans="1:3">
      <c r="A7" s="1479"/>
      <c r="B7" s="1480"/>
      <c r="C7" s="1481"/>
    </row>
    <row r="8" spans="1:3">
      <c r="A8" s="1479"/>
      <c r="B8" s="1480"/>
      <c r="C8" s="1481"/>
    </row>
    <row r="9" spans="1:3">
      <c r="A9" s="1479"/>
      <c r="B9" s="1480"/>
      <c r="C9" s="1481"/>
    </row>
    <row r="10" spans="1:3">
      <c r="A10" s="1479"/>
      <c r="B10" s="1480"/>
      <c r="C10" s="1481"/>
    </row>
    <row r="11" spans="1:3">
      <c r="A11" s="1479"/>
      <c r="B11" s="1480"/>
      <c r="C11" s="1481"/>
    </row>
    <row r="12" spans="1:3">
      <c r="A12" s="1479"/>
      <c r="B12" s="1480"/>
      <c r="C12" s="1481"/>
    </row>
    <row r="13" spans="1:3">
      <c r="A13" s="1479"/>
      <c r="B13" s="1480"/>
      <c r="C13" s="1481"/>
    </row>
    <row r="14" spans="1:3">
      <c r="A14" s="1479"/>
      <c r="B14" s="1480"/>
      <c r="C14" s="1481"/>
    </row>
    <row r="15" spans="1:3">
      <c r="A15" s="1479"/>
      <c r="B15" s="1480"/>
      <c r="C15" s="1481"/>
    </row>
    <row r="16" spans="1:3">
      <c r="A16" s="1479"/>
      <c r="B16" s="1480"/>
      <c r="C16" s="1481"/>
    </row>
    <row r="17" spans="1:3">
      <c r="A17" s="1479"/>
      <c r="B17" s="1480"/>
      <c r="C17" s="1481"/>
    </row>
    <row r="18" spans="1:3">
      <c r="A18" s="1479"/>
      <c r="B18" s="1480"/>
      <c r="C18" s="1481"/>
    </row>
    <row r="19" spans="1:3">
      <c r="A19" s="1482"/>
      <c r="B19" s="1483"/>
      <c r="C19" s="1484"/>
    </row>
  </sheetData>
  <phoneticPr fontId="6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b72da5-8012-4793-a6d2-7233248b2692" xsi:nil="true"/>
    <lcf76f155ced4ddcb4097134ff3c332f xmlns="2b3fffea-ccfa-4079-8527-8ee4d8b7d40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1FB9C124E1754A8AA6BF2AA6679455" ma:contentTypeVersion="11" ma:contentTypeDescription="Create a new document." ma:contentTypeScope="" ma:versionID="70990ea2a1503e854dab526edb2d69e4">
  <xsd:schema xmlns:xsd="http://www.w3.org/2001/XMLSchema" xmlns:xs="http://www.w3.org/2001/XMLSchema" xmlns:p="http://schemas.microsoft.com/office/2006/metadata/properties" xmlns:ns2="2b3fffea-ccfa-4079-8527-8ee4d8b7d40d" xmlns:ns3="bab72da5-8012-4793-a6d2-7233248b2692" targetNamespace="http://schemas.microsoft.com/office/2006/metadata/properties" ma:root="true" ma:fieldsID="0931c770b1f3c730be6942b3e80ba4f7" ns2:_="" ns3:_="">
    <xsd:import namespace="2b3fffea-ccfa-4079-8527-8ee4d8b7d40d"/>
    <xsd:import namespace="bab72da5-8012-4793-a6d2-7233248b26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fffea-ccfa-4079-8527-8ee4d8b7d4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b3c370a-f6a1-4133-bcf0-4563e56bd0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72da5-8012-4793-a6d2-7233248b269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c44e8a7-00da-4aaf-8490-27e29bd7e624}" ma:internalName="TaxCatchAll" ma:showField="CatchAllData" ma:web="bab72da5-8012-4793-a6d2-7233248b26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FD7639E-9262-4BC9-950F-4CA107E429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EE715B-DAB8-4D1C-9C3F-995C010FA2FD}">
  <ds:schemaRefs>
    <ds:schemaRef ds:uri="http://schemas.microsoft.com/office/2006/metadata/properties"/>
    <ds:schemaRef ds:uri="http://schemas.microsoft.com/office/infopath/2007/PartnerControls"/>
    <ds:schemaRef ds:uri="bab72da5-8012-4793-a6d2-7233248b2692"/>
    <ds:schemaRef ds:uri="2b3fffea-ccfa-4079-8527-8ee4d8b7d40d"/>
  </ds:schemaRefs>
</ds:datastoreItem>
</file>

<file path=customXml/itemProps3.xml><?xml version="1.0" encoding="utf-8"?>
<ds:datastoreItem xmlns:ds="http://schemas.openxmlformats.org/officeDocument/2006/customXml" ds:itemID="{93D4040A-4FAB-4EFE-96F7-1F9C7A5515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3fffea-ccfa-4079-8527-8ee4d8b7d40d"/>
    <ds:schemaRef ds:uri="bab72da5-8012-4793-a6d2-7233248b26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F38AC60-4980-4869-9471-B70E2AAD37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H1-2026 PV DATA</vt:lpstr>
      <vt:lpstr>H2-2025 PV DATA</vt:lpstr>
      <vt:lpstr>CT capacity tracker</vt:lpstr>
      <vt:lpstr>PV SUPPLY DATA</vt:lpstr>
      <vt:lpstr>ESS SUPPLY DATA</vt:lpstr>
      <vt:lpstr>CT tracker site</vt:lpstr>
      <vt:lpstr>Carole - Sales Requests</vt:lpstr>
      <vt:lpstr>New Ark data</vt:lpstr>
      <vt:lpstr>Sheet3</vt:lpstr>
      <vt:lpstr>Vessel</vt:lpstr>
      <vt:lpstr>ESS ATP JB</vt:lpstr>
      <vt:lpstr>H1-2025 PV DATA</vt:lpstr>
      <vt:lpstr>SAMPLES &amp; SPARE PARTS</vt:lpstr>
      <vt:lpstr>Sheet2</vt:lpstr>
      <vt:lpstr>Diane - MDS </vt:lpstr>
      <vt:lpstr>Priority Level</vt:lpstr>
      <vt:lpstr>Product Spec</vt:lpstr>
      <vt:lpstr>PO Check</vt:lpstr>
      <vt:lpstr>Total Stock</vt:lpstr>
      <vt:lpstr>Assumption ATP</vt:lpstr>
      <vt:lpstr>Sheet4</vt:lpstr>
    </vt:vector>
  </TitlesOfParts>
  <Manager/>
  <Company>Maxeon Solar Technologies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Mye Villapando</dc:creator>
  <cp:keywords/>
  <dc:description/>
  <cp:lastModifiedBy>Nan Shao 邵楠</cp:lastModifiedBy>
  <cp:revision/>
  <dcterms:created xsi:type="dcterms:W3CDTF">2025-01-08T05:27:00Z</dcterms:created>
  <dcterms:modified xsi:type="dcterms:W3CDTF">2026-10-29T12:58:09Z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cb9f19-846b-41a1-9ab8-0868aa095f56_Enabled">
    <vt:lpwstr>true</vt:lpwstr>
  </property>
  <property fmtid="{D5CDD505-2E9C-101B-9397-08002B2CF9AE}" pid="3" name="MSIP_Label_b8cb9f19-846b-41a1-9ab8-0868aa095f56_SetDate">
    <vt:lpwstr>2025-01-08T05:29:18Z</vt:lpwstr>
  </property>
  <property fmtid="{D5CDD505-2E9C-101B-9397-08002B2CF9AE}" pid="4" name="MSIP_Label_b8cb9f19-846b-41a1-9ab8-0868aa095f56_Method">
    <vt:lpwstr>Privileged</vt:lpwstr>
  </property>
  <property fmtid="{D5CDD505-2E9C-101B-9397-08002B2CF9AE}" pid="5" name="MSIP_Label_b8cb9f19-846b-41a1-9ab8-0868aa095f56_Name">
    <vt:lpwstr>Restricted Data</vt:lpwstr>
  </property>
  <property fmtid="{D5CDD505-2E9C-101B-9397-08002B2CF9AE}" pid="6" name="MSIP_Label_b8cb9f19-846b-41a1-9ab8-0868aa095f56_SiteId">
    <vt:lpwstr>ac8a6e24-a760-4d82-ac1b-f51cb55a9227</vt:lpwstr>
  </property>
  <property fmtid="{D5CDD505-2E9C-101B-9397-08002B2CF9AE}" pid="7" name="MSIP_Label_b8cb9f19-846b-41a1-9ab8-0868aa095f56_ActionId">
    <vt:lpwstr>70e5edfd-3089-46a0-a2e9-55ad596f96f5</vt:lpwstr>
  </property>
  <property fmtid="{D5CDD505-2E9C-101B-9397-08002B2CF9AE}" pid="8" name="MSIP_Label_b8cb9f19-846b-41a1-9ab8-0868aa095f56_ContentBits">
    <vt:lpwstr>0</vt:lpwstr>
  </property>
  <property fmtid="{D5CDD505-2E9C-101B-9397-08002B2CF9AE}" pid="9" name="ContentTypeId">
    <vt:lpwstr>0x010100DB1FB9C124E1754A8AA6BF2AA6679455</vt:lpwstr>
  </property>
  <property fmtid="{D5CDD505-2E9C-101B-9397-08002B2CF9AE}" pid="10" name="ICV">
    <vt:lpwstr>DB5773A7D33A4C108021E66E622BD99C_12</vt:lpwstr>
  </property>
  <property fmtid="{D5CDD505-2E9C-101B-9397-08002B2CF9AE}" pid="11" name="KSOProductBuildVer">
    <vt:lpwstr>2052-12.1.0.20305</vt:lpwstr>
  </property>
  <property fmtid="{D5CDD505-2E9C-101B-9397-08002B2CF9AE}" pid="12" name="MSIP_Label_defa4170-0d19-0005-0004-bc88714345d2_Enabled">
    <vt:lpwstr>true</vt:lpwstr>
  </property>
  <property fmtid="{D5CDD505-2E9C-101B-9397-08002B2CF9AE}" pid="13" name="MSIP_Label_defa4170-0d19-0005-0004-bc88714345d2_SetDate">
    <vt:lpwstr>2025-06-23T13:06:47Z</vt:lpwstr>
  </property>
  <property fmtid="{D5CDD505-2E9C-101B-9397-08002B2CF9AE}" pid="14" name="MSIP_Label_defa4170-0d19-0005-0004-bc88714345d2_Method">
    <vt:lpwstr>Standard</vt:lpwstr>
  </property>
  <property fmtid="{D5CDD505-2E9C-101B-9397-08002B2CF9AE}" pid="15" name="MSIP_Label_defa4170-0d19-0005-0004-bc88714345d2_Name">
    <vt:lpwstr>defa4170-0d19-0005-0004-bc88714345d2</vt:lpwstr>
  </property>
  <property fmtid="{D5CDD505-2E9C-101B-9397-08002B2CF9AE}" pid="16" name="MSIP_Label_defa4170-0d19-0005-0004-bc88714345d2_SiteId">
    <vt:lpwstr>4f5443a1-c98b-4415-9433-0790d384cbe3</vt:lpwstr>
  </property>
  <property fmtid="{D5CDD505-2E9C-101B-9397-08002B2CF9AE}" pid="17" name="MSIP_Label_defa4170-0d19-0005-0004-bc88714345d2_ActionId">
    <vt:lpwstr>ccee752d-0221-4655-b1c5-84e8879b9873</vt:lpwstr>
  </property>
  <property fmtid="{D5CDD505-2E9C-101B-9397-08002B2CF9AE}" pid="18" name="MSIP_Label_defa4170-0d19-0005-0004-bc88714345d2_ContentBits">
    <vt:lpwstr>0</vt:lpwstr>
  </property>
  <property fmtid="{D5CDD505-2E9C-101B-9397-08002B2CF9AE}" pid="19" name="ComplianceAssetId">
    <vt:lpwstr/>
  </property>
  <property fmtid="{D5CDD505-2E9C-101B-9397-08002B2CF9AE}" pid="20" name="_ExtendedDescription">
    <vt:lpwstr/>
  </property>
  <property fmtid="{D5CDD505-2E9C-101B-9397-08002B2CF9AE}" pid="21" name="TriggerFlowInfo">
    <vt:lpwstr/>
  </property>
  <property fmtid="{D5CDD505-2E9C-101B-9397-08002B2CF9AE}" pid="22" name="_activity">
    <vt:lpwstr>{"FileActivityType":"6","FileActivityTimeStamp":"2025-12-19T11:21:37.253Z","FileActivityUsersOnPage":[{"DisplayName":"Carole Arenou","Id":"carenou@sunpowerglobal.com"}],"FileActivityNavigationId":null}</vt:lpwstr>
  </property>
  <property fmtid="{D5CDD505-2E9C-101B-9397-08002B2CF9AE}" pid="23" name="MediaServiceImageTags">
    <vt:lpwstr/>
  </property>
</Properties>
</file>